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H:\CONTRATO SRT 293-2019\PROCESOS  DE SELECCION TERCIARIA 2019\CMA-DT-HUI-002-2019\"/>
    </mc:Choice>
  </mc:AlternateContent>
  <bookViews>
    <workbookView xWindow="0" yWindow="0" windowWidth="28800" windowHeight="11835" tabRatio="690" firstSheet="5"/>
  </bookViews>
  <sheets>
    <sheet name="PRESUPUESTOS" sheetId="1" r:id="rId1"/>
    <sheet name="PROPONENTES" sheetId="2" r:id="rId2"/>
    <sheet name="INTEGRANTES" sheetId="21" r:id="rId3"/>
    <sheet name="EXP. ESP." sheetId="16" r:id="rId4"/>
    <sheet name="SMMLV CTOS EXT" sheetId="41" state="veryHidden" r:id="rId5"/>
    <sheet name="SUSPENSIONES" sheetId="37" r:id="rId6"/>
    <sheet name="HAB.EXP.ESP." sheetId="30" r:id="rId7"/>
    <sheet name="PON.EXP.ESP." sheetId="23" r:id="rId8"/>
    <sheet name="VIN.PERS.DISC." sheetId="43" r:id="rId9"/>
    <sheet name="APOYO A IND. NAL." sheetId="25" r:id="rId10"/>
    <sheet name="RESUMEN" sheetId="27" r:id="rId11"/>
    <sheet name="SMMLV" sheetId="17" state="veryHidden" r:id="rId12"/>
    <sheet name="DEPENDENCIAS" sheetId="12" state="veryHidden" r:id="rId13"/>
    <sheet name="HAB.GEN." sheetId="40" r:id="rId14"/>
    <sheet name="RESUMENGEN" sheetId="39" r:id="rId15"/>
    <sheet name="ELEGIBILIDAD" sheetId="33" r:id="rId16"/>
    <sheet name="CUADRO INFORME" sheetId="42" r:id="rId17"/>
    <sheet name="VERIFICACIÓN" sheetId="31" state="veryHidden" r:id="rId18"/>
    <sheet name="LISTAS" sheetId="26" state="veryHidden" r:id="rId19"/>
  </sheets>
  <externalReferences>
    <externalReference r:id="rId20"/>
  </externalReferences>
  <definedNames>
    <definedName name="APOYONAL" localSheetId="4">[1]LISTAS!$H$2:$H$6</definedName>
    <definedName name="APOYONAL">LISTAS!$H$2:$H$6</definedName>
    <definedName name="_xlnm.Print_Area" localSheetId="15">ELEGIBILIDAD!$B$1:$K$220</definedName>
    <definedName name="_xlnm.Print_Area" localSheetId="3">'EXP. ESP.'!$A$1:$AI$5510</definedName>
    <definedName name="_xlnm.Print_Area" localSheetId="6">HAB.EXP.ESP.!$A$1:$N$228</definedName>
    <definedName name="_xlnm.Print_Area" localSheetId="13">HAB.GEN.!$A$1:$I$233</definedName>
    <definedName name="_xlnm.Print_Area" localSheetId="2">INTEGRANTES!$A$1:$G$235</definedName>
    <definedName name="_xlnm.Print_Area" localSheetId="7">PON.EXP.ESP.!$A$1:$K$231</definedName>
    <definedName name="_xlnm.Print_Area" localSheetId="10">RESUMEN!$B$1:$K$220</definedName>
    <definedName name="_xlnm.Print_Area" localSheetId="14">RESUMENGEN!$B$1:$K$220</definedName>
    <definedName name="CONDANCHOC">LISTAS!$O$2:$O$4</definedName>
    <definedName name="CONDCUMEXP">LISTAS!$P$2:$P$3</definedName>
    <definedName name="CONDVIAURBANA">LISTAS!$O$2:$O$4</definedName>
    <definedName name="CONSORCIO">LISTAS!$C$2:$C$4</definedName>
    <definedName name="CUMPCTONACIONAL">LISTAS!$L$2:$L$4</definedName>
    <definedName name="CUMPLIMIENTO">LISTAS!$E$2:$E$3</definedName>
    <definedName name="CUMPLIMIENTOPC">LISTAS!$J$2:$J$4</definedName>
    <definedName name="DEPENDENCIAS">LISTAS!$B$2:$B$22</definedName>
    <definedName name="EJECUCIONCTO">LISTAS!$N$2:$N$3</definedName>
    <definedName name="Estado">LISTAS!$G$2:$G$3</definedName>
    <definedName name="EXPREQVTD">'EXP. ESP.'!$Y$44</definedName>
    <definedName name="FechaCierre" localSheetId="4">[1]PRESUPUESTOS!$H$21</definedName>
    <definedName name="FechaCierre">PRESUPUESTOS!$H$21</definedName>
    <definedName name="FMINEXP" localSheetId="4">[1]PRESUPUESTOS!$H$20</definedName>
    <definedName name="FMINEXP">PRESUPUESTOS!$H$20</definedName>
    <definedName name="HABILIDAD">LISTAS!$K$2:$K$4</definedName>
    <definedName name="NUMMAXCONT">PRESUPUESTOS!$H$26</definedName>
    <definedName name="NUMMINCONT">PRESUPUESTOS!$G$26</definedName>
    <definedName name="NUMMOD" localSheetId="4">[1]PRESUPUESTOS!$B$16</definedName>
    <definedName name="NUMMOD">PRESUPUESTOS!$B$16</definedName>
    <definedName name="NUMPROPHAB">PON.EXP.ESP.!$E$20</definedName>
    <definedName name="NUMPROPMOD">PRESUPUESTOS!$K$16</definedName>
    <definedName name="PLAZOMOD" localSheetId="4">[1]PRESUPUESTOS!$F$16</definedName>
    <definedName name="PLAZOMOD">PRESUPUESTOS!$F$16</definedName>
    <definedName name="PMFOMOD" localSheetId="4">[1]PRESUPUESTOS!$G$16</definedName>
    <definedName name="PMFOMOD">PRESUPUESTOS!$G$16</definedName>
    <definedName name="PORCREQUERIDO" localSheetId="4">[1]PRESUPUESTOS!$J$16</definedName>
    <definedName name="PORCREQUERIDO">PRESUPUESTOS!$J$16</definedName>
    <definedName name="PORCREQUERIDOINT">PRESUPUESTOS!$L$16</definedName>
    <definedName name="PORPMFOMOD">HAB.EXP.ESP.!$K$16</definedName>
    <definedName name="POSMMLV">PRESUPUESTOS!$E$16</definedName>
    <definedName name="PPHMOD">PON.EXP.ESP.!$E$21</definedName>
    <definedName name="PTJEEXPESP1" localSheetId="4">[1]PRESUPUESTOS!$D$26</definedName>
    <definedName name="PTJEEXPESP1">PRESUPUESTOS!$D$26</definedName>
    <definedName name="PTJEEXPESP2" localSheetId="4">[1]PRESUPUESTOS!$E$26</definedName>
    <definedName name="PTJEEXPESP2">PRESUPUESTOS!$E$26</definedName>
    <definedName name="PTJETOTAL">PRESUPUESTOS!$F$26</definedName>
    <definedName name="RELACIONPO">HAB.EXP.ESP.!$K$18</definedName>
    <definedName name="SALACTUAL" localSheetId="4">[1]SMMLV!$D$35</definedName>
    <definedName name="SALACTUAL">SMMLV!$H$10</definedName>
    <definedName name="TAMAÑOEMP">LISTAS!$I$2:$I$6</definedName>
    <definedName name="TIPODEVIA">LISTAS!$Q$2:$Q$7</definedName>
    <definedName name="_xlnm.Print_Titles" localSheetId="9">'APOYO A IND. NAL.'!$1:$18</definedName>
    <definedName name="_xlnm.Print_Titles" localSheetId="15">ELEGIBILIDAD!$1:$15</definedName>
    <definedName name="_xlnm.Print_Titles" localSheetId="10">RESUMEN!$1:$19</definedName>
    <definedName name="_xlnm.Print_Titles" localSheetId="14">RESUMENGEN!$1:$19</definedName>
    <definedName name="_xlnm.Print_Titles" localSheetId="8">VIN.PERS.DISC.!$1:$18</definedName>
    <definedName name="TOTALPTJEEXES">PRESUPUESTOS!$F$26</definedName>
    <definedName name="TRMPROCESO">PRESUPUESTOS!$N$16</definedName>
    <definedName name="Z_098B2E87_9C52_4BA2_B1C3_E2EE72C3347E_.wvu.Rows" localSheetId="1" hidden="1">PROPONENTES!$39:$218</definedName>
    <definedName name="Z_5A13C38E_C765_461C_8416_6F71B9B5782E_.wvu.PrintArea" localSheetId="12" hidden="1">DEPENDENCIAS!#REF!</definedName>
    <definedName name="Z_5C1A9AEF_CD7F_43E2_BF95_F3A089BEC7D3_.wvu.PrintArea" localSheetId="0" hidden="1">PRESUPUESTOS!$B$1:$H$95</definedName>
    <definedName name="Z_5C1A9AEF_CD7F_43E2_BF95_F3A089BEC7D3_.wvu.PrintArea" localSheetId="1" hidden="1">PROPONENTES!$B$1:$E$220</definedName>
  </definedNames>
  <calcPr calcId="152511"/>
  <customWorkbookViews>
    <customWorkbookView name="Oscar Javier Salamanca - Vista personalizada" guid="{098B2E87-9C52-4BA2-B1C3-E2EE72C3347E}" mergeInterval="0" personalView="1" maximized="1" windowWidth="1362" windowHeight="543" tabRatio="894" activeSheetId="2"/>
    <customWorkbookView name="Diego Alexander Ramirez Cruz - Vista personalizada" guid="{DE67EBC3-31FE-423B-B030-1FFACB67D900}" mergeInterval="0" personalView="1" maximized="1" windowWidth="1362" windowHeight="523" tabRatio="690" activeSheetId="1"/>
  </customWorkbookViews>
</workbook>
</file>

<file path=xl/calcChain.xml><?xml version="1.0" encoding="utf-8"?>
<calcChain xmlns="http://schemas.openxmlformats.org/spreadsheetml/2006/main">
  <c r="Q69" i="16" l="1"/>
  <c r="P72" i="16" l="1"/>
  <c r="I59" i="16" l="1"/>
  <c r="I57" i="16"/>
  <c r="I58" i="16"/>
  <c r="I56" i="16"/>
  <c r="I55" i="16"/>
  <c r="I54" i="16"/>
  <c r="O59" i="16" l="1"/>
  <c r="O58" i="16"/>
  <c r="O57" i="16"/>
  <c r="E58" i="16"/>
  <c r="E59" i="16" s="1"/>
  <c r="U115" i="16" l="1"/>
  <c r="G19" i="37"/>
  <c r="G20" i="37"/>
  <c r="G18" i="37"/>
  <c r="O117" i="16"/>
  <c r="O116" i="16"/>
  <c r="O115" i="16"/>
  <c r="O114" i="16"/>
  <c r="O113" i="16"/>
  <c r="O83" i="16"/>
  <c r="O84" i="16"/>
  <c r="O85" i="16"/>
  <c r="O86" i="16"/>
  <c r="C87" i="16"/>
  <c r="C88" i="16" s="1"/>
  <c r="O87" i="16"/>
  <c r="O88" i="16"/>
  <c r="F18" i="31" l="1"/>
  <c r="C14" i="31"/>
  <c r="C8" i="31"/>
  <c r="I3" i="31"/>
  <c r="F12" i="31" s="1"/>
  <c r="F14" i="31" s="1"/>
  <c r="F20" i="31" s="1"/>
  <c r="F2" i="31"/>
  <c r="F3" i="31" s="1"/>
  <c r="C32" i="33"/>
  <c r="C31" i="33"/>
  <c r="E31" i="33" s="1"/>
  <c r="F31" i="33" s="1"/>
  <c r="C30" i="33"/>
  <c r="I30" i="33" s="1"/>
  <c r="C29" i="33"/>
  <c r="C28" i="33"/>
  <c r="E28" i="33" s="1"/>
  <c r="F28" i="33" s="1"/>
  <c r="C27" i="33"/>
  <c r="C26" i="33"/>
  <c r="I26" i="33" s="1"/>
  <c r="J26" i="33" s="1"/>
  <c r="C25" i="33"/>
  <c r="I25" i="33" s="1"/>
  <c r="C24" i="33"/>
  <c r="C23" i="33"/>
  <c r="D20" i="33"/>
  <c r="D21" i="33" s="1"/>
  <c r="D22" i="33" s="1"/>
  <c r="D23" i="33" s="1"/>
  <c r="D24" i="33" s="1"/>
  <c r="D25" i="33" s="1"/>
  <c r="D26" i="33" s="1"/>
  <c r="D27" i="33" s="1"/>
  <c r="D28" i="33" s="1"/>
  <c r="D29" i="33" s="1"/>
  <c r="D30" i="33" s="1"/>
  <c r="D31" i="33" s="1"/>
  <c r="D32" i="33" s="1"/>
  <c r="D33" i="33" s="1"/>
  <c r="D34" i="33" s="1"/>
  <c r="D35" i="33" s="1"/>
  <c r="D36" i="33" s="1"/>
  <c r="D37" i="33" s="1"/>
  <c r="D38" i="33" s="1"/>
  <c r="D39" i="33" s="1"/>
  <c r="D40" i="33" s="1"/>
  <c r="D41" i="33" s="1"/>
  <c r="D42" i="33" s="1"/>
  <c r="D43" i="33" s="1"/>
  <c r="D44" i="33" s="1"/>
  <c r="D45" i="33" s="1"/>
  <c r="D46" i="33" s="1"/>
  <c r="D47" i="33" s="1"/>
  <c r="D48" i="33" s="1"/>
  <c r="D49" i="33" s="1"/>
  <c r="D50" i="33" s="1"/>
  <c r="D51" i="33" s="1"/>
  <c r="D52" i="33" s="1"/>
  <c r="D53" i="33" s="1"/>
  <c r="D54" i="33" s="1"/>
  <c r="D55" i="33" s="1"/>
  <c r="D56" i="33" s="1"/>
  <c r="D57" i="33" s="1"/>
  <c r="D58" i="33" s="1"/>
  <c r="D59" i="33" s="1"/>
  <c r="D60" i="33" s="1"/>
  <c r="D61" i="33" s="1"/>
  <c r="D62" i="33" s="1"/>
  <c r="D63" i="33" s="1"/>
  <c r="D64" i="33" s="1"/>
  <c r="D65" i="33" s="1"/>
  <c r="D66" i="33" s="1"/>
  <c r="D67" i="33" s="1"/>
  <c r="D68" i="33" s="1"/>
  <c r="D69" i="33" s="1"/>
  <c r="D70" i="33" s="1"/>
  <c r="D71" i="33" s="1"/>
  <c r="D72" i="33" s="1"/>
  <c r="D73" i="33" s="1"/>
  <c r="D74" i="33" s="1"/>
  <c r="D75" i="33" s="1"/>
  <c r="D76" i="33" s="1"/>
  <c r="D77" i="33" s="1"/>
  <c r="D78" i="33" s="1"/>
  <c r="D79" i="33" s="1"/>
  <c r="D80" i="33" s="1"/>
  <c r="D81" i="33" s="1"/>
  <c r="D82" i="33" s="1"/>
  <c r="D83" i="33" s="1"/>
  <c r="D84" i="33" s="1"/>
  <c r="D85" i="33" s="1"/>
  <c r="D86" i="33" s="1"/>
  <c r="D87" i="33" s="1"/>
  <c r="D88" i="33" s="1"/>
  <c r="D89" i="33" s="1"/>
  <c r="D90" i="33" s="1"/>
  <c r="D91" i="33" s="1"/>
  <c r="D92" i="33" s="1"/>
  <c r="D93" i="33" s="1"/>
  <c r="D94" i="33" s="1"/>
  <c r="D95" i="33" s="1"/>
  <c r="D96" i="33" s="1"/>
  <c r="D97" i="33" s="1"/>
  <c r="D98" i="33" s="1"/>
  <c r="D99" i="33" s="1"/>
  <c r="D100" i="33" s="1"/>
  <c r="D101" i="33" s="1"/>
  <c r="D102" i="33" s="1"/>
  <c r="D103" i="33" s="1"/>
  <c r="D104" i="33" s="1"/>
  <c r="D105" i="33" s="1"/>
  <c r="D106" i="33" s="1"/>
  <c r="D107" i="33" s="1"/>
  <c r="D108" i="33" s="1"/>
  <c r="D109" i="33" s="1"/>
  <c r="D110" i="33" s="1"/>
  <c r="D111" i="33" s="1"/>
  <c r="D112" i="33" s="1"/>
  <c r="D113" i="33" s="1"/>
  <c r="D114" i="33" s="1"/>
  <c r="D115" i="33" s="1"/>
  <c r="D116" i="33" s="1"/>
  <c r="D117" i="33" s="1"/>
  <c r="D118" i="33" s="1"/>
  <c r="D119" i="33" s="1"/>
  <c r="D120" i="33" s="1"/>
  <c r="D121" i="33" s="1"/>
  <c r="D122" i="33" s="1"/>
  <c r="D123" i="33" s="1"/>
  <c r="D124" i="33" s="1"/>
  <c r="D125" i="33" s="1"/>
  <c r="D126" i="33" s="1"/>
  <c r="D127" i="33" s="1"/>
  <c r="D128" i="33" s="1"/>
  <c r="D129" i="33" s="1"/>
  <c r="D130" i="33" s="1"/>
  <c r="D131" i="33" s="1"/>
  <c r="D132" i="33" s="1"/>
  <c r="D133" i="33" s="1"/>
  <c r="D134" i="33" s="1"/>
  <c r="D135" i="33" s="1"/>
  <c r="D136" i="33" s="1"/>
  <c r="D137" i="33" s="1"/>
  <c r="D138" i="33" s="1"/>
  <c r="D139" i="33" s="1"/>
  <c r="D140" i="33" s="1"/>
  <c r="D141" i="33" s="1"/>
  <c r="D142" i="33" s="1"/>
  <c r="D143" i="33" s="1"/>
  <c r="D144" i="33" s="1"/>
  <c r="D145" i="33" s="1"/>
  <c r="D146" i="33" s="1"/>
  <c r="D147" i="33" s="1"/>
  <c r="D148" i="33" s="1"/>
  <c r="D149" i="33" s="1"/>
  <c r="D150" i="33" s="1"/>
  <c r="D151" i="33" s="1"/>
  <c r="D152" i="33" s="1"/>
  <c r="D153" i="33" s="1"/>
  <c r="D154" i="33" s="1"/>
  <c r="D155" i="33" s="1"/>
  <c r="D156" i="33" s="1"/>
  <c r="D157" i="33" s="1"/>
  <c r="D158" i="33" s="1"/>
  <c r="D159" i="33" s="1"/>
  <c r="D160" i="33" s="1"/>
  <c r="D161" i="33" s="1"/>
  <c r="D162" i="33" s="1"/>
  <c r="D163" i="33" s="1"/>
  <c r="D164" i="33" s="1"/>
  <c r="D165" i="33" s="1"/>
  <c r="D166" i="33" s="1"/>
  <c r="D167" i="33" s="1"/>
  <c r="D168" i="33" s="1"/>
  <c r="D169" i="33" s="1"/>
  <c r="D170" i="33" s="1"/>
  <c r="D171" i="33" s="1"/>
  <c r="D172" i="33" s="1"/>
  <c r="D173" i="33" s="1"/>
  <c r="D174" i="33" s="1"/>
  <c r="D175" i="33" s="1"/>
  <c r="D176" i="33" s="1"/>
  <c r="D177" i="33" s="1"/>
  <c r="D178" i="33" s="1"/>
  <c r="D179" i="33" s="1"/>
  <c r="D180" i="33" s="1"/>
  <c r="D181" i="33" s="1"/>
  <c r="D182" i="33" s="1"/>
  <c r="D183" i="33" s="1"/>
  <c r="D184" i="33" s="1"/>
  <c r="D185" i="33" s="1"/>
  <c r="D186" i="33" s="1"/>
  <c r="D187" i="33" s="1"/>
  <c r="D188" i="33" s="1"/>
  <c r="D189" i="33" s="1"/>
  <c r="D190" i="33" s="1"/>
  <c r="D191" i="33" s="1"/>
  <c r="D192" i="33" s="1"/>
  <c r="D193" i="33" s="1"/>
  <c r="D194" i="33" s="1"/>
  <c r="D195" i="33" s="1"/>
  <c r="D196" i="33" s="1"/>
  <c r="D197" i="33" s="1"/>
  <c r="D198" i="33" s="1"/>
  <c r="D199" i="33" s="1"/>
  <c r="D200" i="33" s="1"/>
  <c r="D201" i="33" s="1"/>
  <c r="D202" i="33" s="1"/>
  <c r="D203" i="33" s="1"/>
  <c r="D204" i="33" s="1"/>
  <c r="D205" i="33" s="1"/>
  <c r="D206" i="33" s="1"/>
  <c r="D207" i="33" s="1"/>
  <c r="D208" i="33" s="1"/>
  <c r="D209" i="33" s="1"/>
  <c r="D210" i="33" s="1"/>
  <c r="D211" i="33" s="1"/>
  <c r="D212" i="33" s="1"/>
  <c r="D213" i="33" s="1"/>
  <c r="D214" i="33" s="1"/>
  <c r="D215" i="33" s="1"/>
  <c r="D216" i="33" s="1"/>
  <c r="D217" i="33" s="1"/>
  <c r="D218" i="33" s="1"/>
  <c r="B1" i="33"/>
  <c r="B219" i="39"/>
  <c r="B218" i="39"/>
  <c r="L217" i="39"/>
  <c r="C216" i="33" s="1"/>
  <c r="D217" i="39"/>
  <c r="B217" i="39"/>
  <c r="B216" i="39"/>
  <c r="B215" i="39"/>
  <c r="B214" i="39"/>
  <c r="B213" i="39"/>
  <c r="B212" i="39"/>
  <c r="B211" i="39"/>
  <c r="B210" i="39"/>
  <c r="B209" i="39"/>
  <c r="B208" i="39"/>
  <c r="B207" i="39"/>
  <c r="B206" i="39"/>
  <c r="B205" i="39"/>
  <c r="B204" i="39"/>
  <c r="B203" i="39"/>
  <c r="B202" i="39"/>
  <c r="B201" i="39"/>
  <c r="B200" i="39"/>
  <c r="B199" i="39"/>
  <c r="B198" i="39"/>
  <c r="B197" i="39"/>
  <c r="D196" i="39"/>
  <c r="B196" i="39"/>
  <c r="B195" i="39"/>
  <c r="L194" i="39"/>
  <c r="C193" i="33" s="1"/>
  <c r="D194" i="39"/>
  <c r="B194" i="39"/>
  <c r="L193" i="39"/>
  <c r="C192" i="33" s="1"/>
  <c r="D193" i="39"/>
  <c r="B193" i="39"/>
  <c r="B192" i="39"/>
  <c r="B191" i="39"/>
  <c r="L190" i="39"/>
  <c r="C189" i="33" s="1"/>
  <c r="D190" i="39"/>
  <c r="B190" i="39"/>
  <c r="B189" i="39"/>
  <c r="L188" i="39"/>
  <c r="C187" i="33" s="1"/>
  <c r="D188" i="39"/>
  <c r="B188" i="39"/>
  <c r="B187" i="39"/>
  <c r="L186" i="39"/>
  <c r="C185" i="33" s="1"/>
  <c r="D186" i="39"/>
  <c r="B186" i="39"/>
  <c r="B185" i="39"/>
  <c r="L184" i="39"/>
  <c r="C183" i="33" s="1"/>
  <c r="D184" i="39"/>
  <c r="B184" i="39"/>
  <c r="B183" i="39"/>
  <c r="L182" i="39"/>
  <c r="C181" i="33" s="1"/>
  <c r="D182" i="39"/>
  <c r="B182" i="39"/>
  <c r="B181" i="39"/>
  <c r="L180" i="39"/>
  <c r="C179" i="33" s="1"/>
  <c r="D180" i="39"/>
  <c r="B180" i="39"/>
  <c r="B179" i="39"/>
  <c r="L178" i="39"/>
  <c r="C177" i="33" s="1"/>
  <c r="D178" i="39"/>
  <c r="B178" i="39"/>
  <c r="B177" i="39"/>
  <c r="L176" i="39"/>
  <c r="C175" i="33" s="1"/>
  <c r="D176" i="39"/>
  <c r="B176" i="39"/>
  <c r="B175" i="39"/>
  <c r="L174" i="39"/>
  <c r="C173" i="33" s="1"/>
  <c r="D174" i="39"/>
  <c r="B174" i="39"/>
  <c r="B173" i="39"/>
  <c r="L172" i="39"/>
  <c r="C171" i="33" s="1"/>
  <c r="B172" i="39"/>
  <c r="B171" i="39"/>
  <c r="L171" i="39" s="1"/>
  <c r="C170" i="33" s="1"/>
  <c r="L170" i="39"/>
  <c r="C169" i="33" s="1"/>
  <c r="B170" i="39"/>
  <c r="B169" i="39"/>
  <c r="L169" i="39" s="1"/>
  <c r="C168" i="33" s="1"/>
  <c r="L168" i="39"/>
  <c r="C167" i="33" s="1"/>
  <c r="B168" i="39"/>
  <c r="B167" i="39"/>
  <c r="L167" i="39" s="1"/>
  <c r="C166" i="33" s="1"/>
  <c r="L166" i="39"/>
  <c r="C165" i="33" s="1"/>
  <c r="B166" i="39"/>
  <c r="B165" i="39"/>
  <c r="L165" i="39" s="1"/>
  <c r="C164" i="33" s="1"/>
  <c r="L164" i="39"/>
  <c r="C163" i="33" s="1"/>
  <c r="B164" i="39"/>
  <c r="B163" i="39"/>
  <c r="L163" i="39" s="1"/>
  <c r="C162" i="33" s="1"/>
  <c r="L162" i="39"/>
  <c r="C161" i="33" s="1"/>
  <c r="B162" i="39"/>
  <c r="B161" i="39"/>
  <c r="L161" i="39" s="1"/>
  <c r="C160" i="33" s="1"/>
  <c r="L160" i="39"/>
  <c r="C159" i="33" s="1"/>
  <c r="B160" i="39"/>
  <c r="B159" i="39"/>
  <c r="L159" i="39" s="1"/>
  <c r="C158" i="33" s="1"/>
  <c r="L158" i="39"/>
  <c r="C157" i="33" s="1"/>
  <c r="B158" i="39"/>
  <c r="B157" i="39"/>
  <c r="L157" i="39" s="1"/>
  <c r="C156" i="33" s="1"/>
  <c r="L156" i="39"/>
  <c r="C155" i="33" s="1"/>
  <c r="B156" i="39"/>
  <c r="B155" i="39"/>
  <c r="L155" i="39" s="1"/>
  <c r="C154" i="33" s="1"/>
  <c r="L154" i="39"/>
  <c r="C153" i="33" s="1"/>
  <c r="B154" i="39"/>
  <c r="B153" i="39"/>
  <c r="L153" i="39" s="1"/>
  <c r="C152" i="33" s="1"/>
  <c r="L152" i="39"/>
  <c r="C151" i="33" s="1"/>
  <c r="B152" i="39"/>
  <c r="B151" i="39"/>
  <c r="L151" i="39" s="1"/>
  <c r="C150" i="33" s="1"/>
  <c r="L150" i="39"/>
  <c r="C149" i="33" s="1"/>
  <c r="B150" i="39"/>
  <c r="B149" i="39"/>
  <c r="L149" i="39" s="1"/>
  <c r="C148" i="33" s="1"/>
  <c r="L148" i="39"/>
  <c r="C147" i="33" s="1"/>
  <c r="B148" i="39"/>
  <c r="B147" i="39"/>
  <c r="L147" i="39" s="1"/>
  <c r="C146" i="33" s="1"/>
  <c r="L146" i="39"/>
  <c r="C145" i="33" s="1"/>
  <c r="B146" i="39"/>
  <c r="B145" i="39"/>
  <c r="L145" i="39" s="1"/>
  <c r="C144" i="33" s="1"/>
  <c r="L144" i="39"/>
  <c r="C143" i="33" s="1"/>
  <c r="B144" i="39"/>
  <c r="B143" i="39"/>
  <c r="L143" i="39" s="1"/>
  <c r="C142" i="33" s="1"/>
  <c r="L142" i="39"/>
  <c r="C141" i="33" s="1"/>
  <c r="B142" i="39"/>
  <c r="B141" i="39"/>
  <c r="L141" i="39" s="1"/>
  <c r="C140" i="33" s="1"/>
  <c r="L140" i="39"/>
  <c r="C139" i="33" s="1"/>
  <c r="B140" i="39"/>
  <c r="B139" i="39"/>
  <c r="L139" i="39" s="1"/>
  <c r="C138" i="33" s="1"/>
  <c r="L138" i="39"/>
  <c r="C137" i="33" s="1"/>
  <c r="B138" i="39"/>
  <c r="B137" i="39"/>
  <c r="L137" i="39" s="1"/>
  <c r="C136" i="33" s="1"/>
  <c r="L136" i="39"/>
  <c r="C135" i="33" s="1"/>
  <c r="B136" i="39"/>
  <c r="B135" i="39"/>
  <c r="L135" i="39" s="1"/>
  <c r="C134" i="33" s="1"/>
  <c r="L134" i="39"/>
  <c r="C133" i="33" s="1"/>
  <c r="B134" i="39"/>
  <c r="B133" i="39"/>
  <c r="L133" i="39" s="1"/>
  <c r="C132" i="33" s="1"/>
  <c r="L132" i="39"/>
  <c r="C131" i="33" s="1"/>
  <c r="B132" i="39"/>
  <c r="B131" i="39"/>
  <c r="L131" i="39" s="1"/>
  <c r="C130" i="33" s="1"/>
  <c r="L130" i="39"/>
  <c r="C129" i="33" s="1"/>
  <c r="B130" i="39"/>
  <c r="B129" i="39"/>
  <c r="L129" i="39" s="1"/>
  <c r="C128" i="33" s="1"/>
  <c r="L128" i="39"/>
  <c r="C127" i="33" s="1"/>
  <c r="B128" i="39"/>
  <c r="B127" i="39"/>
  <c r="L127" i="39" s="1"/>
  <c r="C126" i="33" s="1"/>
  <c r="L126" i="39"/>
  <c r="C125" i="33" s="1"/>
  <c r="B126" i="39"/>
  <c r="B125" i="39"/>
  <c r="L125" i="39" s="1"/>
  <c r="C124" i="33" s="1"/>
  <c r="L124" i="39"/>
  <c r="C123" i="33" s="1"/>
  <c r="B124" i="39"/>
  <c r="B123" i="39"/>
  <c r="L123" i="39" s="1"/>
  <c r="C122" i="33" s="1"/>
  <c r="L122" i="39"/>
  <c r="C121" i="33" s="1"/>
  <c r="B122" i="39"/>
  <c r="B121" i="39"/>
  <c r="L121" i="39" s="1"/>
  <c r="C120" i="33" s="1"/>
  <c r="L120" i="39"/>
  <c r="C119" i="33" s="1"/>
  <c r="B120" i="39"/>
  <c r="B119" i="39"/>
  <c r="L119" i="39" s="1"/>
  <c r="C118" i="33" s="1"/>
  <c r="L118" i="39"/>
  <c r="C117" i="33" s="1"/>
  <c r="B118" i="39"/>
  <c r="B117" i="39"/>
  <c r="L117" i="39" s="1"/>
  <c r="C116" i="33" s="1"/>
  <c r="L116" i="39"/>
  <c r="C115" i="33" s="1"/>
  <c r="B116" i="39"/>
  <c r="B115" i="39"/>
  <c r="L115" i="39" s="1"/>
  <c r="C114" i="33" s="1"/>
  <c r="L114" i="39"/>
  <c r="C113" i="33" s="1"/>
  <c r="B114" i="39"/>
  <c r="B113" i="39"/>
  <c r="L113" i="39" s="1"/>
  <c r="C112" i="33" s="1"/>
  <c r="L112" i="39"/>
  <c r="C111" i="33" s="1"/>
  <c r="B112" i="39"/>
  <c r="B111" i="39"/>
  <c r="L111" i="39" s="1"/>
  <c r="C110" i="33" s="1"/>
  <c r="L110" i="39"/>
  <c r="C109" i="33" s="1"/>
  <c r="B110" i="39"/>
  <c r="B109" i="39"/>
  <c r="L109" i="39" s="1"/>
  <c r="C108" i="33" s="1"/>
  <c r="L108" i="39"/>
  <c r="C107" i="33" s="1"/>
  <c r="B108" i="39"/>
  <c r="B107" i="39"/>
  <c r="B106" i="39"/>
  <c r="L105" i="39"/>
  <c r="C104" i="33" s="1"/>
  <c r="D105" i="39"/>
  <c r="B105" i="39"/>
  <c r="L104" i="39"/>
  <c r="C103" i="33" s="1"/>
  <c r="D104" i="39"/>
  <c r="B104" i="39"/>
  <c r="D103" i="39"/>
  <c r="B103" i="39"/>
  <c r="B102" i="39"/>
  <c r="L101" i="39"/>
  <c r="C100" i="33" s="1"/>
  <c r="D101" i="39"/>
  <c r="B101" i="39"/>
  <c r="L100" i="39"/>
  <c r="C99" i="33" s="1"/>
  <c r="D100" i="39"/>
  <c r="B100" i="39"/>
  <c r="D99" i="39"/>
  <c r="B99" i="39"/>
  <c r="B98" i="39"/>
  <c r="L97" i="39"/>
  <c r="C96" i="33" s="1"/>
  <c r="D97" i="39"/>
  <c r="B97" i="39"/>
  <c r="L96" i="39"/>
  <c r="C95" i="33" s="1"/>
  <c r="D96" i="39"/>
  <c r="B96" i="39"/>
  <c r="B95" i="39"/>
  <c r="B94" i="39"/>
  <c r="L93" i="39"/>
  <c r="C92" i="33" s="1"/>
  <c r="D93" i="39"/>
  <c r="B93" i="39"/>
  <c r="L92" i="39"/>
  <c r="C91" i="33" s="1"/>
  <c r="D92" i="39"/>
  <c r="B92" i="39"/>
  <c r="B91" i="39"/>
  <c r="D91" i="39" s="1"/>
  <c r="B90" i="39"/>
  <c r="L89" i="39"/>
  <c r="C88" i="33" s="1"/>
  <c r="D89" i="39"/>
  <c r="B89" i="39"/>
  <c r="L88" i="39"/>
  <c r="C87" i="33" s="1"/>
  <c r="D88" i="39"/>
  <c r="B88" i="39"/>
  <c r="D87" i="39"/>
  <c r="B87" i="39"/>
  <c r="B86" i="39"/>
  <c r="L85" i="39"/>
  <c r="C84" i="33" s="1"/>
  <c r="D85" i="39"/>
  <c r="B85" i="39"/>
  <c r="L84" i="39"/>
  <c r="C83" i="33" s="1"/>
  <c r="D84" i="39"/>
  <c r="B84" i="39"/>
  <c r="D83" i="39"/>
  <c r="B83" i="39"/>
  <c r="B82" i="39"/>
  <c r="L81" i="39"/>
  <c r="C80" i="33" s="1"/>
  <c r="D81" i="39"/>
  <c r="B81" i="39"/>
  <c r="L80" i="39"/>
  <c r="C79" i="33" s="1"/>
  <c r="D80" i="39"/>
  <c r="B80" i="39"/>
  <c r="B79" i="39"/>
  <c r="B78" i="39"/>
  <c r="L77" i="39"/>
  <c r="C76" i="33" s="1"/>
  <c r="D77" i="39"/>
  <c r="B77" i="39"/>
  <c r="L76" i="39"/>
  <c r="C75" i="33" s="1"/>
  <c r="D76" i="39"/>
  <c r="B76" i="39"/>
  <c r="B75" i="39"/>
  <c r="B74" i="39"/>
  <c r="B73" i="39"/>
  <c r="B72" i="39"/>
  <c r="B71" i="39"/>
  <c r="B70" i="39"/>
  <c r="B69" i="39"/>
  <c r="B68" i="39"/>
  <c r="B67" i="39"/>
  <c r="B66" i="39"/>
  <c r="B65" i="39"/>
  <c r="B64" i="39"/>
  <c r="B63" i="39"/>
  <c r="B62" i="39"/>
  <c r="B61" i="39"/>
  <c r="B60" i="39"/>
  <c r="B59" i="39"/>
  <c r="B58" i="39"/>
  <c r="B57" i="39"/>
  <c r="B56" i="39"/>
  <c r="B55" i="39"/>
  <c r="B54" i="39"/>
  <c r="B53" i="39"/>
  <c r="B52" i="39"/>
  <c r="B51" i="39"/>
  <c r="B50" i="39"/>
  <c r="B49" i="39"/>
  <c r="B48" i="39"/>
  <c r="B47" i="39"/>
  <c r="B46" i="39"/>
  <c r="B45" i="39"/>
  <c r="B44" i="39"/>
  <c r="B43" i="39"/>
  <c r="B42" i="39"/>
  <c r="B41" i="39"/>
  <c r="B40" i="39"/>
  <c r="B39" i="39"/>
  <c r="B38" i="39"/>
  <c r="B37" i="39"/>
  <c r="B36" i="39"/>
  <c r="B35" i="39"/>
  <c r="B34" i="39"/>
  <c r="L33" i="39"/>
  <c r="L32" i="39"/>
  <c r="L31" i="39"/>
  <c r="L30" i="39"/>
  <c r="L29" i="39"/>
  <c r="L28" i="39"/>
  <c r="L27" i="39"/>
  <c r="L26" i="39"/>
  <c r="L25" i="39"/>
  <c r="L24" i="39"/>
  <c r="B23" i="39"/>
  <c r="L23" i="39" s="1"/>
  <c r="C22" i="33" s="1"/>
  <c r="B22" i="39"/>
  <c r="L22" i="39" s="1"/>
  <c r="C21" i="33" s="1"/>
  <c r="B21" i="39"/>
  <c r="L21" i="39" s="1"/>
  <c r="C20" i="33" s="1"/>
  <c r="D20" i="39"/>
  <c r="B20" i="39"/>
  <c r="B1" i="39"/>
  <c r="K218" i="40"/>
  <c r="D218" i="40"/>
  <c r="C218" i="40"/>
  <c r="H218" i="40" s="1"/>
  <c r="I218" i="40" s="1"/>
  <c r="K217" i="40"/>
  <c r="D217" i="40"/>
  <c r="C217" i="40"/>
  <c r="H217" i="40" s="1"/>
  <c r="I217" i="40" s="1"/>
  <c r="K216" i="40"/>
  <c r="D216" i="40"/>
  <c r="C216" i="40"/>
  <c r="H216" i="40" s="1"/>
  <c r="I216" i="40" s="1"/>
  <c r="K215" i="40"/>
  <c r="D215" i="40"/>
  <c r="C215" i="40"/>
  <c r="H215" i="40" s="1"/>
  <c r="I215" i="40" s="1"/>
  <c r="K214" i="40"/>
  <c r="D214" i="40"/>
  <c r="C214" i="40"/>
  <c r="H214" i="40" s="1"/>
  <c r="I214" i="40" s="1"/>
  <c r="K213" i="40"/>
  <c r="D213" i="40"/>
  <c r="C213" i="40"/>
  <c r="H213" i="40" s="1"/>
  <c r="I213" i="40" s="1"/>
  <c r="K212" i="40"/>
  <c r="D212" i="40"/>
  <c r="C212" i="40"/>
  <c r="H212" i="40" s="1"/>
  <c r="I212" i="40" s="1"/>
  <c r="K211" i="40"/>
  <c r="D211" i="40"/>
  <c r="C211" i="40"/>
  <c r="H211" i="40" s="1"/>
  <c r="I211" i="40" s="1"/>
  <c r="K210" i="40"/>
  <c r="D210" i="40"/>
  <c r="C210" i="40"/>
  <c r="H210" i="40" s="1"/>
  <c r="I210" i="40" s="1"/>
  <c r="K209" i="40"/>
  <c r="D209" i="40"/>
  <c r="C209" i="40"/>
  <c r="H209" i="40" s="1"/>
  <c r="I209" i="40" s="1"/>
  <c r="K208" i="40"/>
  <c r="D208" i="40"/>
  <c r="C208" i="40"/>
  <c r="H208" i="40" s="1"/>
  <c r="I208" i="40" s="1"/>
  <c r="K207" i="40"/>
  <c r="D207" i="40"/>
  <c r="C207" i="40"/>
  <c r="H207" i="40" s="1"/>
  <c r="I207" i="40" s="1"/>
  <c r="K206" i="40"/>
  <c r="D206" i="40"/>
  <c r="C206" i="40"/>
  <c r="H206" i="40" s="1"/>
  <c r="I206" i="40" s="1"/>
  <c r="K205" i="40"/>
  <c r="D205" i="40"/>
  <c r="C205" i="40"/>
  <c r="H205" i="40" s="1"/>
  <c r="I205" i="40" s="1"/>
  <c r="K204" i="40"/>
  <c r="D204" i="40"/>
  <c r="C204" i="40"/>
  <c r="H204" i="40" s="1"/>
  <c r="I204" i="40" s="1"/>
  <c r="K203" i="40"/>
  <c r="D203" i="40"/>
  <c r="C203" i="40"/>
  <c r="H203" i="40" s="1"/>
  <c r="I203" i="40" s="1"/>
  <c r="K202" i="40"/>
  <c r="D202" i="40"/>
  <c r="C202" i="40"/>
  <c r="H202" i="40" s="1"/>
  <c r="I202" i="40" s="1"/>
  <c r="K201" i="40"/>
  <c r="D201" i="40"/>
  <c r="C201" i="40"/>
  <c r="H201" i="40" s="1"/>
  <c r="I201" i="40" s="1"/>
  <c r="K200" i="40"/>
  <c r="D200" i="40"/>
  <c r="C200" i="40"/>
  <c r="H200" i="40" s="1"/>
  <c r="I200" i="40" s="1"/>
  <c r="K199" i="40"/>
  <c r="D199" i="40"/>
  <c r="C199" i="40"/>
  <c r="H199" i="40" s="1"/>
  <c r="I199" i="40" s="1"/>
  <c r="K198" i="40"/>
  <c r="D198" i="40"/>
  <c r="C198" i="40"/>
  <c r="H198" i="40" s="1"/>
  <c r="I198" i="40" s="1"/>
  <c r="K197" i="40"/>
  <c r="D197" i="40"/>
  <c r="C197" i="40"/>
  <c r="H197" i="40" s="1"/>
  <c r="I197" i="40" s="1"/>
  <c r="K196" i="40"/>
  <c r="D196" i="40"/>
  <c r="C196" i="40"/>
  <c r="H196" i="40" s="1"/>
  <c r="I196" i="40" s="1"/>
  <c r="K195" i="40"/>
  <c r="D195" i="40"/>
  <c r="C195" i="40"/>
  <c r="H195" i="40" s="1"/>
  <c r="I195" i="40" s="1"/>
  <c r="K194" i="40"/>
  <c r="D194" i="40"/>
  <c r="C194" i="40"/>
  <c r="H194" i="40" s="1"/>
  <c r="I194" i="40" s="1"/>
  <c r="K193" i="40"/>
  <c r="D193" i="40"/>
  <c r="C193" i="40"/>
  <c r="H193" i="40" s="1"/>
  <c r="I193" i="40" s="1"/>
  <c r="K192" i="40"/>
  <c r="D192" i="40"/>
  <c r="C192" i="40"/>
  <c r="H192" i="40" s="1"/>
  <c r="I192" i="40" s="1"/>
  <c r="K191" i="40"/>
  <c r="D191" i="40"/>
  <c r="C191" i="40"/>
  <c r="H191" i="40" s="1"/>
  <c r="I191" i="40" s="1"/>
  <c r="K190" i="40"/>
  <c r="D190" i="40"/>
  <c r="C190" i="40"/>
  <c r="H190" i="40" s="1"/>
  <c r="I190" i="40" s="1"/>
  <c r="K189" i="40"/>
  <c r="D189" i="40"/>
  <c r="C189" i="40"/>
  <c r="H189" i="40" s="1"/>
  <c r="I189" i="40" s="1"/>
  <c r="K188" i="40"/>
  <c r="D188" i="40"/>
  <c r="C188" i="40"/>
  <c r="H188" i="40" s="1"/>
  <c r="I188" i="40" s="1"/>
  <c r="K187" i="40"/>
  <c r="D187" i="40"/>
  <c r="C187" i="40"/>
  <c r="H187" i="40" s="1"/>
  <c r="I187" i="40" s="1"/>
  <c r="K186" i="40"/>
  <c r="D186" i="40"/>
  <c r="C186" i="40"/>
  <c r="H186" i="40" s="1"/>
  <c r="I186" i="40" s="1"/>
  <c r="K185" i="40"/>
  <c r="D185" i="40"/>
  <c r="C185" i="40"/>
  <c r="H185" i="40" s="1"/>
  <c r="I185" i="40" s="1"/>
  <c r="K184" i="40"/>
  <c r="D184" i="40"/>
  <c r="C184" i="40"/>
  <c r="H184" i="40" s="1"/>
  <c r="I184" i="40" s="1"/>
  <c r="K183" i="40"/>
  <c r="D183" i="40"/>
  <c r="C183" i="40"/>
  <c r="H183" i="40" s="1"/>
  <c r="I183" i="40" s="1"/>
  <c r="K182" i="40"/>
  <c r="D182" i="40"/>
  <c r="C182" i="40"/>
  <c r="H182" i="40" s="1"/>
  <c r="I182" i="40" s="1"/>
  <c r="K181" i="40"/>
  <c r="D181" i="40"/>
  <c r="C181" i="40"/>
  <c r="H181" i="40" s="1"/>
  <c r="I181" i="40" s="1"/>
  <c r="K180" i="40"/>
  <c r="D180" i="40"/>
  <c r="C180" i="40"/>
  <c r="H180" i="40" s="1"/>
  <c r="I180" i="40" s="1"/>
  <c r="K179" i="40"/>
  <c r="D179" i="40"/>
  <c r="C179" i="40"/>
  <c r="H179" i="40" s="1"/>
  <c r="I179" i="40" s="1"/>
  <c r="K178" i="40"/>
  <c r="D178" i="40"/>
  <c r="C178" i="40"/>
  <c r="H178" i="40" s="1"/>
  <c r="I178" i="40" s="1"/>
  <c r="K177" i="40"/>
  <c r="D177" i="40"/>
  <c r="C177" i="40"/>
  <c r="H177" i="40" s="1"/>
  <c r="I177" i="40" s="1"/>
  <c r="K176" i="40"/>
  <c r="D176" i="40"/>
  <c r="C176" i="40"/>
  <c r="H176" i="40" s="1"/>
  <c r="I176" i="40" s="1"/>
  <c r="K175" i="40"/>
  <c r="D175" i="40"/>
  <c r="C175" i="40"/>
  <c r="H175" i="40" s="1"/>
  <c r="I175" i="40" s="1"/>
  <c r="K174" i="40"/>
  <c r="D174" i="40"/>
  <c r="C174" i="40"/>
  <c r="H174" i="40" s="1"/>
  <c r="I174" i="40" s="1"/>
  <c r="K173" i="40"/>
  <c r="D173" i="40"/>
  <c r="C173" i="40"/>
  <c r="H173" i="40" s="1"/>
  <c r="I173" i="40" s="1"/>
  <c r="K172" i="40"/>
  <c r="D172" i="40"/>
  <c r="C172" i="40"/>
  <c r="H172" i="40" s="1"/>
  <c r="I172" i="40" s="1"/>
  <c r="K171" i="40"/>
  <c r="D171" i="40"/>
  <c r="C171" i="40"/>
  <c r="H171" i="40" s="1"/>
  <c r="I171" i="40" s="1"/>
  <c r="K170" i="40"/>
  <c r="D170" i="40"/>
  <c r="C170" i="40"/>
  <c r="H170" i="40" s="1"/>
  <c r="I170" i="40" s="1"/>
  <c r="K169" i="40"/>
  <c r="D169" i="40"/>
  <c r="C169" i="40"/>
  <c r="H169" i="40" s="1"/>
  <c r="I169" i="40" s="1"/>
  <c r="K168" i="40"/>
  <c r="D168" i="40"/>
  <c r="C168" i="40"/>
  <c r="H168" i="40" s="1"/>
  <c r="I168" i="40" s="1"/>
  <c r="K167" i="40"/>
  <c r="D167" i="40"/>
  <c r="C167" i="40"/>
  <c r="H167" i="40" s="1"/>
  <c r="I167" i="40" s="1"/>
  <c r="K166" i="40"/>
  <c r="D166" i="40"/>
  <c r="C166" i="40"/>
  <c r="H166" i="40" s="1"/>
  <c r="I166" i="40" s="1"/>
  <c r="K165" i="40"/>
  <c r="D165" i="40"/>
  <c r="C165" i="40"/>
  <c r="H165" i="40" s="1"/>
  <c r="I165" i="40" s="1"/>
  <c r="K164" i="40"/>
  <c r="D164" i="40"/>
  <c r="C164" i="40"/>
  <c r="H164" i="40" s="1"/>
  <c r="I164" i="40" s="1"/>
  <c r="K163" i="40"/>
  <c r="D163" i="40"/>
  <c r="C163" i="40"/>
  <c r="H163" i="40" s="1"/>
  <c r="I163" i="40" s="1"/>
  <c r="K162" i="40"/>
  <c r="D162" i="40"/>
  <c r="C162" i="40"/>
  <c r="H162" i="40" s="1"/>
  <c r="I162" i="40" s="1"/>
  <c r="K161" i="40"/>
  <c r="D161" i="40"/>
  <c r="C161" i="40"/>
  <c r="H161" i="40" s="1"/>
  <c r="I161" i="40" s="1"/>
  <c r="K160" i="40"/>
  <c r="D160" i="40"/>
  <c r="C160" i="40"/>
  <c r="H160" i="40" s="1"/>
  <c r="I160" i="40" s="1"/>
  <c r="K159" i="40"/>
  <c r="D159" i="40"/>
  <c r="C159" i="40"/>
  <c r="H159" i="40" s="1"/>
  <c r="I159" i="40" s="1"/>
  <c r="K158" i="40"/>
  <c r="D158" i="40"/>
  <c r="C158" i="40"/>
  <c r="H158" i="40" s="1"/>
  <c r="I158" i="40" s="1"/>
  <c r="K157" i="40"/>
  <c r="D157" i="40"/>
  <c r="C157" i="40"/>
  <c r="H157" i="40" s="1"/>
  <c r="I157" i="40" s="1"/>
  <c r="K156" i="40"/>
  <c r="D156" i="40"/>
  <c r="C156" i="40"/>
  <c r="H156" i="40" s="1"/>
  <c r="I156" i="40" s="1"/>
  <c r="K155" i="40"/>
  <c r="D155" i="40"/>
  <c r="C155" i="40"/>
  <c r="H155" i="40" s="1"/>
  <c r="I155" i="40" s="1"/>
  <c r="K154" i="40"/>
  <c r="D154" i="40"/>
  <c r="C154" i="40"/>
  <c r="H154" i="40" s="1"/>
  <c r="I154" i="40" s="1"/>
  <c r="K153" i="40"/>
  <c r="D153" i="40"/>
  <c r="C153" i="40"/>
  <c r="H153" i="40" s="1"/>
  <c r="I153" i="40" s="1"/>
  <c r="K152" i="40"/>
  <c r="D152" i="40"/>
  <c r="C152" i="40"/>
  <c r="H152" i="40" s="1"/>
  <c r="I152" i="40" s="1"/>
  <c r="K151" i="40"/>
  <c r="D151" i="40"/>
  <c r="C151" i="40"/>
  <c r="H151" i="40" s="1"/>
  <c r="I151" i="40" s="1"/>
  <c r="K150" i="40"/>
  <c r="D150" i="40"/>
  <c r="C150" i="40"/>
  <c r="H150" i="40" s="1"/>
  <c r="I150" i="40" s="1"/>
  <c r="K149" i="40"/>
  <c r="D149" i="40"/>
  <c r="C149" i="40"/>
  <c r="H149" i="40" s="1"/>
  <c r="I149" i="40" s="1"/>
  <c r="K148" i="40"/>
  <c r="D148" i="40"/>
  <c r="C148" i="40"/>
  <c r="H148" i="40" s="1"/>
  <c r="I148" i="40" s="1"/>
  <c r="K147" i="40"/>
  <c r="D147" i="40"/>
  <c r="C147" i="40"/>
  <c r="H147" i="40" s="1"/>
  <c r="I147" i="40" s="1"/>
  <c r="K146" i="40"/>
  <c r="D146" i="40"/>
  <c r="C146" i="40"/>
  <c r="H146" i="40" s="1"/>
  <c r="I146" i="40" s="1"/>
  <c r="K145" i="40"/>
  <c r="D145" i="40"/>
  <c r="C145" i="40"/>
  <c r="H145" i="40" s="1"/>
  <c r="I145" i="40" s="1"/>
  <c r="K144" i="40"/>
  <c r="D144" i="40"/>
  <c r="C144" i="40"/>
  <c r="H144" i="40" s="1"/>
  <c r="I144" i="40" s="1"/>
  <c r="K143" i="40"/>
  <c r="D143" i="40"/>
  <c r="C143" i="40"/>
  <c r="H143" i="40" s="1"/>
  <c r="I143" i="40" s="1"/>
  <c r="K142" i="40"/>
  <c r="D142" i="40"/>
  <c r="C142" i="40"/>
  <c r="H142" i="40" s="1"/>
  <c r="I142" i="40" s="1"/>
  <c r="K141" i="40"/>
  <c r="D141" i="40"/>
  <c r="C141" i="40"/>
  <c r="H141" i="40" s="1"/>
  <c r="I141" i="40" s="1"/>
  <c r="K140" i="40"/>
  <c r="D140" i="40"/>
  <c r="C140" i="40"/>
  <c r="H140" i="40" s="1"/>
  <c r="I140" i="40" s="1"/>
  <c r="K139" i="40"/>
  <c r="D139" i="40"/>
  <c r="C139" i="40"/>
  <c r="H139" i="40" s="1"/>
  <c r="I139" i="40" s="1"/>
  <c r="K138" i="40"/>
  <c r="D138" i="40"/>
  <c r="C138" i="40"/>
  <c r="H138" i="40" s="1"/>
  <c r="I138" i="40" s="1"/>
  <c r="K137" i="40"/>
  <c r="D137" i="40"/>
  <c r="C137" i="40"/>
  <c r="H137" i="40" s="1"/>
  <c r="I137" i="40" s="1"/>
  <c r="K136" i="40"/>
  <c r="D136" i="40"/>
  <c r="C136" i="40"/>
  <c r="H136" i="40" s="1"/>
  <c r="I136" i="40" s="1"/>
  <c r="K135" i="40"/>
  <c r="D135" i="40"/>
  <c r="C135" i="40"/>
  <c r="H135" i="40" s="1"/>
  <c r="I135" i="40" s="1"/>
  <c r="K134" i="40"/>
  <c r="D134" i="40"/>
  <c r="C134" i="40"/>
  <c r="H134" i="40" s="1"/>
  <c r="I134" i="40" s="1"/>
  <c r="K133" i="40"/>
  <c r="D133" i="40"/>
  <c r="C133" i="40"/>
  <c r="H133" i="40" s="1"/>
  <c r="I133" i="40" s="1"/>
  <c r="K132" i="40"/>
  <c r="D132" i="40"/>
  <c r="C132" i="40"/>
  <c r="H132" i="40" s="1"/>
  <c r="I132" i="40" s="1"/>
  <c r="K131" i="40"/>
  <c r="D131" i="40"/>
  <c r="C131" i="40"/>
  <c r="H131" i="40" s="1"/>
  <c r="I131" i="40" s="1"/>
  <c r="K130" i="40"/>
  <c r="D130" i="40"/>
  <c r="C130" i="40"/>
  <c r="H130" i="40" s="1"/>
  <c r="I130" i="40" s="1"/>
  <c r="K129" i="40"/>
  <c r="D129" i="40"/>
  <c r="C129" i="40"/>
  <c r="H129" i="40" s="1"/>
  <c r="I129" i="40" s="1"/>
  <c r="K128" i="40"/>
  <c r="D128" i="40"/>
  <c r="C128" i="40"/>
  <c r="H128" i="40" s="1"/>
  <c r="I128" i="40" s="1"/>
  <c r="K127" i="40"/>
  <c r="D127" i="40"/>
  <c r="C127" i="40"/>
  <c r="H127" i="40" s="1"/>
  <c r="I127" i="40" s="1"/>
  <c r="K126" i="40"/>
  <c r="D126" i="40"/>
  <c r="C126" i="40"/>
  <c r="H126" i="40" s="1"/>
  <c r="I126" i="40" s="1"/>
  <c r="K125" i="40"/>
  <c r="D125" i="40"/>
  <c r="C125" i="40"/>
  <c r="H125" i="40" s="1"/>
  <c r="I125" i="40" s="1"/>
  <c r="K124" i="40"/>
  <c r="D124" i="40"/>
  <c r="C124" i="40"/>
  <c r="H124" i="40" s="1"/>
  <c r="I124" i="40" s="1"/>
  <c r="K123" i="40"/>
  <c r="D123" i="40"/>
  <c r="C123" i="40"/>
  <c r="H123" i="40" s="1"/>
  <c r="I123" i="40" s="1"/>
  <c r="K122" i="40"/>
  <c r="D122" i="40"/>
  <c r="C122" i="40"/>
  <c r="H122" i="40" s="1"/>
  <c r="I122" i="40" s="1"/>
  <c r="K121" i="40"/>
  <c r="D121" i="40"/>
  <c r="C121" i="40"/>
  <c r="H121" i="40" s="1"/>
  <c r="I121" i="40" s="1"/>
  <c r="K120" i="40"/>
  <c r="D120" i="40"/>
  <c r="C120" i="40"/>
  <c r="H120" i="40" s="1"/>
  <c r="I120" i="40" s="1"/>
  <c r="K119" i="40"/>
  <c r="D119" i="40"/>
  <c r="C119" i="40"/>
  <c r="H119" i="40" s="1"/>
  <c r="I119" i="40" s="1"/>
  <c r="K118" i="40"/>
  <c r="D118" i="40"/>
  <c r="C118" i="40"/>
  <c r="H118" i="40" s="1"/>
  <c r="I118" i="40" s="1"/>
  <c r="K117" i="40"/>
  <c r="D117" i="40"/>
  <c r="C117" i="40"/>
  <c r="H117" i="40" s="1"/>
  <c r="I117" i="40" s="1"/>
  <c r="K116" i="40"/>
  <c r="D116" i="40"/>
  <c r="C116" i="40"/>
  <c r="H116" i="40" s="1"/>
  <c r="I116" i="40" s="1"/>
  <c r="K115" i="40"/>
  <c r="D115" i="40"/>
  <c r="C115" i="40"/>
  <c r="H115" i="40" s="1"/>
  <c r="I115" i="40" s="1"/>
  <c r="K114" i="40"/>
  <c r="D114" i="40"/>
  <c r="C114" i="40"/>
  <c r="H114" i="40" s="1"/>
  <c r="I114" i="40" s="1"/>
  <c r="K113" i="40"/>
  <c r="D113" i="40"/>
  <c r="C113" i="40"/>
  <c r="H113" i="40" s="1"/>
  <c r="I113" i="40" s="1"/>
  <c r="K112" i="40"/>
  <c r="D112" i="40"/>
  <c r="C112" i="40"/>
  <c r="H112" i="40" s="1"/>
  <c r="I112" i="40" s="1"/>
  <c r="K111" i="40"/>
  <c r="D111" i="40"/>
  <c r="C111" i="40"/>
  <c r="H111" i="40" s="1"/>
  <c r="I111" i="40" s="1"/>
  <c r="K110" i="40"/>
  <c r="D110" i="40"/>
  <c r="C110" i="40"/>
  <c r="H110" i="40" s="1"/>
  <c r="I110" i="40" s="1"/>
  <c r="K109" i="40"/>
  <c r="D109" i="40"/>
  <c r="C109" i="40"/>
  <c r="H109" i="40" s="1"/>
  <c r="I109" i="40" s="1"/>
  <c r="K108" i="40"/>
  <c r="D108" i="40"/>
  <c r="C108" i="40"/>
  <c r="H108" i="40" s="1"/>
  <c r="I108" i="40" s="1"/>
  <c r="K107" i="40"/>
  <c r="D107" i="40"/>
  <c r="C107" i="40"/>
  <c r="H107" i="40" s="1"/>
  <c r="I107" i="40" s="1"/>
  <c r="K106" i="40"/>
  <c r="D106" i="40"/>
  <c r="C106" i="40"/>
  <c r="H106" i="40" s="1"/>
  <c r="I106" i="40" s="1"/>
  <c r="K105" i="40"/>
  <c r="D105" i="40"/>
  <c r="C105" i="40"/>
  <c r="H105" i="40" s="1"/>
  <c r="I105" i="40" s="1"/>
  <c r="K104" i="40"/>
  <c r="D104" i="40"/>
  <c r="C104" i="40"/>
  <c r="H104" i="40" s="1"/>
  <c r="I104" i="40" s="1"/>
  <c r="K103" i="40"/>
  <c r="D103" i="40"/>
  <c r="C103" i="40"/>
  <c r="H103" i="40" s="1"/>
  <c r="I103" i="40" s="1"/>
  <c r="K102" i="40"/>
  <c r="D102" i="40"/>
  <c r="C102" i="40"/>
  <c r="H102" i="40" s="1"/>
  <c r="I102" i="40" s="1"/>
  <c r="K101" i="40"/>
  <c r="D101" i="40"/>
  <c r="C101" i="40"/>
  <c r="H101" i="40" s="1"/>
  <c r="I101" i="40" s="1"/>
  <c r="K100" i="40"/>
  <c r="D100" i="40"/>
  <c r="C100" i="40"/>
  <c r="H100" i="40" s="1"/>
  <c r="I100" i="40" s="1"/>
  <c r="K99" i="40"/>
  <c r="D99" i="40"/>
  <c r="C99" i="40"/>
  <c r="H99" i="40" s="1"/>
  <c r="I99" i="40" s="1"/>
  <c r="K98" i="40"/>
  <c r="D98" i="40"/>
  <c r="C98" i="40"/>
  <c r="H98" i="40" s="1"/>
  <c r="I98" i="40" s="1"/>
  <c r="K97" i="40"/>
  <c r="D97" i="40"/>
  <c r="C97" i="40"/>
  <c r="H97" i="40" s="1"/>
  <c r="I97" i="40" s="1"/>
  <c r="K96" i="40"/>
  <c r="D96" i="40"/>
  <c r="C96" i="40"/>
  <c r="H96" i="40" s="1"/>
  <c r="I96" i="40" s="1"/>
  <c r="K95" i="40"/>
  <c r="D95" i="40"/>
  <c r="C95" i="40"/>
  <c r="H95" i="40" s="1"/>
  <c r="I95" i="40" s="1"/>
  <c r="K94" i="40"/>
  <c r="D94" i="40"/>
  <c r="C94" i="40"/>
  <c r="H94" i="40" s="1"/>
  <c r="I94" i="40" s="1"/>
  <c r="K93" i="40"/>
  <c r="D93" i="40"/>
  <c r="C93" i="40"/>
  <c r="H93" i="40" s="1"/>
  <c r="I93" i="40" s="1"/>
  <c r="K92" i="40"/>
  <c r="D92" i="40"/>
  <c r="C92" i="40"/>
  <c r="H92" i="40" s="1"/>
  <c r="I92" i="40" s="1"/>
  <c r="K91" i="40"/>
  <c r="D91" i="40"/>
  <c r="C91" i="40"/>
  <c r="H91" i="40" s="1"/>
  <c r="I91" i="40" s="1"/>
  <c r="K90" i="40"/>
  <c r="D90" i="40"/>
  <c r="C90" i="40"/>
  <c r="H90" i="40" s="1"/>
  <c r="I90" i="40" s="1"/>
  <c r="K89" i="40"/>
  <c r="D89" i="40"/>
  <c r="C89" i="40"/>
  <c r="H89" i="40" s="1"/>
  <c r="I89" i="40" s="1"/>
  <c r="K88" i="40"/>
  <c r="D88" i="40"/>
  <c r="C88" i="40"/>
  <c r="H88" i="40" s="1"/>
  <c r="I88" i="40" s="1"/>
  <c r="K87" i="40"/>
  <c r="D87" i="40"/>
  <c r="C87" i="40"/>
  <c r="H87" i="40" s="1"/>
  <c r="I87" i="40" s="1"/>
  <c r="K86" i="40"/>
  <c r="D86" i="40"/>
  <c r="C86" i="40"/>
  <c r="H86" i="40" s="1"/>
  <c r="I86" i="40" s="1"/>
  <c r="K85" i="40"/>
  <c r="D85" i="40"/>
  <c r="C85" i="40"/>
  <c r="H85" i="40" s="1"/>
  <c r="I85" i="40" s="1"/>
  <c r="K84" i="40"/>
  <c r="D84" i="40"/>
  <c r="C84" i="40"/>
  <c r="H84" i="40" s="1"/>
  <c r="I84" i="40" s="1"/>
  <c r="K83" i="40"/>
  <c r="D83" i="40"/>
  <c r="C83" i="40"/>
  <c r="H83" i="40" s="1"/>
  <c r="I83" i="40" s="1"/>
  <c r="K82" i="40"/>
  <c r="D82" i="40"/>
  <c r="C82" i="40"/>
  <c r="H82" i="40" s="1"/>
  <c r="I82" i="40" s="1"/>
  <c r="K81" i="40"/>
  <c r="D81" i="40"/>
  <c r="C81" i="40"/>
  <c r="H81" i="40" s="1"/>
  <c r="I81" i="40" s="1"/>
  <c r="K80" i="40"/>
  <c r="D80" i="40"/>
  <c r="C80" i="40"/>
  <c r="H80" i="40" s="1"/>
  <c r="I80" i="40" s="1"/>
  <c r="K79" i="40"/>
  <c r="D79" i="40"/>
  <c r="C79" i="40"/>
  <c r="H79" i="40" s="1"/>
  <c r="I79" i="40" s="1"/>
  <c r="K78" i="40"/>
  <c r="D78" i="40"/>
  <c r="C78" i="40"/>
  <c r="H78" i="40" s="1"/>
  <c r="I78" i="40" s="1"/>
  <c r="K77" i="40"/>
  <c r="D77" i="40"/>
  <c r="C77" i="40"/>
  <c r="H77" i="40" s="1"/>
  <c r="I77" i="40" s="1"/>
  <c r="K76" i="40"/>
  <c r="D76" i="40"/>
  <c r="C76" i="40"/>
  <c r="H76" i="40" s="1"/>
  <c r="I76" i="40" s="1"/>
  <c r="K75" i="40"/>
  <c r="D75" i="40"/>
  <c r="C75" i="40"/>
  <c r="H75" i="40" s="1"/>
  <c r="I75" i="40" s="1"/>
  <c r="K74" i="40"/>
  <c r="D74" i="40"/>
  <c r="C74" i="40"/>
  <c r="H74" i="40" s="1"/>
  <c r="I74" i="40" s="1"/>
  <c r="K73" i="40"/>
  <c r="D73" i="40"/>
  <c r="C73" i="40"/>
  <c r="H73" i="40" s="1"/>
  <c r="I73" i="40" s="1"/>
  <c r="K72" i="40"/>
  <c r="D72" i="40"/>
  <c r="C72" i="40"/>
  <c r="H72" i="40" s="1"/>
  <c r="I72" i="40" s="1"/>
  <c r="K71" i="40"/>
  <c r="D71" i="40"/>
  <c r="C71" i="40"/>
  <c r="H71" i="40" s="1"/>
  <c r="I71" i="40" s="1"/>
  <c r="K70" i="40"/>
  <c r="D70" i="40"/>
  <c r="C70" i="40"/>
  <c r="H70" i="40" s="1"/>
  <c r="I70" i="40" s="1"/>
  <c r="K69" i="40"/>
  <c r="D69" i="40"/>
  <c r="C69" i="40"/>
  <c r="H69" i="40" s="1"/>
  <c r="I69" i="40" s="1"/>
  <c r="K68" i="40"/>
  <c r="D68" i="40"/>
  <c r="C68" i="40"/>
  <c r="H68" i="40" s="1"/>
  <c r="I68" i="40" s="1"/>
  <c r="K67" i="40"/>
  <c r="D67" i="40"/>
  <c r="C67" i="40"/>
  <c r="H67" i="40" s="1"/>
  <c r="I67" i="40" s="1"/>
  <c r="K66" i="40"/>
  <c r="D66" i="40"/>
  <c r="C66" i="40"/>
  <c r="H66" i="40" s="1"/>
  <c r="I66" i="40" s="1"/>
  <c r="K65" i="40"/>
  <c r="D65" i="40"/>
  <c r="C65" i="40"/>
  <c r="H65" i="40" s="1"/>
  <c r="I65" i="40" s="1"/>
  <c r="K64" i="40"/>
  <c r="D64" i="40"/>
  <c r="C64" i="40"/>
  <c r="H64" i="40" s="1"/>
  <c r="I64" i="40" s="1"/>
  <c r="K63" i="40"/>
  <c r="D63" i="40"/>
  <c r="C63" i="40"/>
  <c r="H63" i="40" s="1"/>
  <c r="I63" i="40" s="1"/>
  <c r="K62" i="40"/>
  <c r="D62" i="40"/>
  <c r="C62" i="40"/>
  <c r="H62" i="40" s="1"/>
  <c r="I62" i="40" s="1"/>
  <c r="K61" i="40"/>
  <c r="D61" i="40"/>
  <c r="C61" i="40"/>
  <c r="H61" i="40" s="1"/>
  <c r="I61" i="40" s="1"/>
  <c r="K60" i="40"/>
  <c r="D60" i="40"/>
  <c r="C60" i="40"/>
  <c r="H60" i="40" s="1"/>
  <c r="I60" i="40" s="1"/>
  <c r="K59" i="40"/>
  <c r="D59" i="40"/>
  <c r="C59" i="40"/>
  <c r="H59" i="40" s="1"/>
  <c r="I59" i="40" s="1"/>
  <c r="K58" i="40"/>
  <c r="D58" i="40"/>
  <c r="C58" i="40"/>
  <c r="H58" i="40" s="1"/>
  <c r="I58" i="40" s="1"/>
  <c r="K57" i="40"/>
  <c r="D57" i="40"/>
  <c r="C57" i="40"/>
  <c r="H57" i="40" s="1"/>
  <c r="I57" i="40" s="1"/>
  <c r="K56" i="40"/>
  <c r="D56" i="40"/>
  <c r="C56" i="40"/>
  <c r="H56" i="40" s="1"/>
  <c r="I56" i="40" s="1"/>
  <c r="K55" i="40"/>
  <c r="D55" i="40"/>
  <c r="C55" i="40"/>
  <c r="H55" i="40" s="1"/>
  <c r="I55" i="40" s="1"/>
  <c r="K54" i="40"/>
  <c r="D54" i="40"/>
  <c r="C54" i="40"/>
  <c r="H54" i="40" s="1"/>
  <c r="I54" i="40" s="1"/>
  <c r="K53" i="40"/>
  <c r="D53" i="40"/>
  <c r="C53" i="40"/>
  <c r="H53" i="40" s="1"/>
  <c r="I53" i="40" s="1"/>
  <c r="K52" i="40"/>
  <c r="D52" i="40"/>
  <c r="C52" i="40"/>
  <c r="H52" i="40" s="1"/>
  <c r="I52" i="40" s="1"/>
  <c r="K51" i="40"/>
  <c r="D51" i="40"/>
  <c r="C51" i="40"/>
  <c r="H51" i="40" s="1"/>
  <c r="I51" i="40" s="1"/>
  <c r="K50" i="40"/>
  <c r="D50" i="40"/>
  <c r="C50" i="40"/>
  <c r="H50" i="40" s="1"/>
  <c r="I50" i="40" s="1"/>
  <c r="K49" i="40"/>
  <c r="D49" i="40"/>
  <c r="C49" i="40"/>
  <c r="H49" i="40" s="1"/>
  <c r="I49" i="40" s="1"/>
  <c r="K48" i="40"/>
  <c r="D48" i="40"/>
  <c r="C48" i="40"/>
  <c r="H48" i="40" s="1"/>
  <c r="I48" i="40" s="1"/>
  <c r="K47" i="40"/>
  <c r="D47" i="40"/>
  <c r="C47" i="40"/>
  <c r="H47" i="40" s="1"/>
  <c r="I47" i="40" s="1"/>
  <c r="K46" i="40"/>
  <c r="D46" i="40"/>
  <c r="C46" i="40"/>
  <c r="H46" i="40" s="1"/>
  <c r="I46" i="40" s="1"/>
  <c r="K45" i="40"/>
  <c r="D45" i="40"/>
  <c r="C45" i="40"/>
  <c r="H45" i="40" s="1"/>
  <c r="I45" i="40" s="1"/>
  <c r="K44" i="40"/>
  <c r="D44" i="40"/>
  <c r="C44" i="40"/>
  <c r="H44" i="40" s="1"/>
  <c r="I44" i="40" s="1"/>
  <c r="K43" i="40"/>
  <c r="D43" i="40"/>
  <c r="C43" i="40"/>
  <c r="H43" i="40" s="1"/>
  <c r="I43" i="40" s="1"/>
  <c r="K42" i="40"/>
  <c r="D42" i="40"/>
  <c r="C42" i="40"/>
  <c r="H42" i="40" s="1"/>
  <c r="I42" i="40" s="1"/>
  <c r="K41" i="40"/>
  <c r="D41" i="40"/>
  <c r="C41" i="40"/>
  <c r="H41" i="40" s="1"/>
  <c r="I41" i="40" s="1"/>
  <c r="K40" i="40"/>
  <c r="D40" i="40"/>
  <c r="C40" i="40"/>
  <c r="H40" i="40" s="1"/>
  <c r="I40" i="40" s="1"/>
  <c r="K39" i="40"/>
  <c r="D39" i="40"/>
  <c r="C39" i="40"/>
  <c r="H39" i="40" s="1"/>
  <c r="I39" i="40" s="1"/>
  <c r="K38" i="40"/>
  <c r="D38" i="40"/>
  <c r="C38" i="40"/>
  <c r="H38" i="40" s="1"/>
  <c r="I38" i="40" s="1"/>
  <c r="K37" i="40"/>
  <c r="D37" i="40"/>
  <c r="C37" i="40"/>
  <c r="H37" i="40" s="1"/>
  <c r="I37" i="40" s="1"/>
  <c r="K36" i="40"/>
  <c r="D36" i="40"/>
  <c r="C36" i="40"/>
  <c r="H36" i="40" s="1"/>
  <c r="I36" i="40" s="1"/>
  <c r="K35" i="40"/>
  <c r="D35" i="40"/>
  <c r="C35" i="40"/>
  <c r="H35" i="40" s="1"/>
  <c r="I35" i="40" s="1"/>
  <c r="K34" i="40"/>
  <c r="D34" i="40"/>
  <c r="C34" i="40"/>
  <c r="H34" i="40" s="1"/>
  <c r="I34" i="40" s="1"/>
  <c r="K33" i="40"/>
  <c r="D33" i="40"/>
  <c r="C33" i="40"/>
  <c r="H33" i="40" s="1"/>
  <c r="I33" i="40" s="1"/>
  <c r="K32" i="40"/>
  <c r="K31" i="40"/>
  <c r="K30" i="40"/>
  <c r="K29" i="40"/>
  <c r="K28" i="40"/>
  <c r="K27" i="40"/>
  <c r="K26" i="40"/>
  <c r="K25" i="40"/>
  <c r="K24" i="40"/>
  <c r="K23" i="40"/>
  <c r="K22" i="40"/>
  <c r="D22" i="40"/>
  <c r="C22" i="40"/>
  <c r="K21" i="40"/>
  <c r="D21" i="40"/>
  <c r="C21" i="40"/>
  <c r="K20" i="40"/>
  <c r="D20" i="40"/>
  <c r="C20" i="40"/>
  <c r="K19" i="40"/>
  <c r="D19" i="40"/>
  <c r="C19" i="40"/>
  <c r="B11" i="40"/>
  <c r="B9" i="40"/>
  <c r="B1" i="40"/>
  <c r="E40" i="17"/>
  <c r="E39" i="17"/>
  <c r="E38" i="17"/>
  <c r="E37" i="17"/>
  <c r="E36" i="17"/>
  <c r="G10" i="17"/>
  <c r="H10" i="17" s="1"/>
  <c r="B219" i="27"/>
  <c r="B218" i="27"/>
  <c r="B217" i="27"/>
  <c r="B216" i="27"/>
  <c r="D216" i="27" s="1"/>
  <c r="B215" i="27"/>
  <c r="B214" i="27"/>
  <c r="B213" i="27"/>
  <c r="D212" i="27"/>
  <c r="B212" i="27"/>
  <c r="B211" i="27"/>
  <c r="B210" i="27"/>
  <c r="B209" i="27"/>
  <c r="B208" i="27"/>
  <c r="D208" i="27" s="1"/>
  <c r="B207" i="27"/>
  <c r="B206" i="27"/>
  <c r="B205" i="27"/>
  <c r="B204" i="27"/>
  <c r="D204" i="27" s="1"/>
  <c r="B203" i="27"/>
  <c r="B202" i="27"/>
  <c r="B201" i="27"/>
  <c r="D200" i="27"/>
  <c r="B200" i="27"/>
  <c r="B199" i="27"/>
  <c r="B198" i="27"/>
  <c r="B197" i="27"/>
  <c r="D196" i="27"/>
  <c r="B196" i="27"/>
  <c r="B195" i="27"/>
  <c r="B194" i="27"/>
  <c r="B193" i="27"/>
  <c r="B192" i="27"/>
  <c r="D192" i="27" s="1"/>
  <c r="B191" i="27"/>
  <c r="B190" i="27"/>
  <c r="B189" i="27"/>
  <c r="B188" i="27"/>
  <c r="D188" i="27" s="1"/>
  <c r="D187" i="27"/>
  <c r="B187" i="27"/>
  <c r="B186" i="27"/>
  <c r="B185" i="27"/>
  <c r="D184" i="27"/>
  <c r="B184" i="27"/>
  <c r="B183" i="27"/>
  <c r="D183" i="27" s="1"/>
  <c r="B182" i="27"/>
  <c r="B181" i="27"/>
  <c r="B180" i="27"/>
  <c r="D180" i="27" s="1"/>
  <c r="D179" i="27"/>
  <c r="B179" i="27"/>
  <c r="B178" i="27"/>
  <c r="B177" i="27"/>
  <c r="D176" i="27"/>
  <c r="B176" i="27"/>
  <c r="B175" i="27"/>
  <c r="D175" i="27" s="1"/>
  <c r="B174" i="27"/>
  <c r="B173" i="27"/>
  <c r="B172" i="27"/>
  <c r="D172" i="27" s="1"/>
  <c r="D171" i="27"/>
  <c r="B171" i="27"/>
  <c r="B170" i="27"/>
  <c r="B169" i="27"/>
  <c r="D168" i="27"/>
  <c r="B168" i="27"/>
  <c r="B167" i="27"/>
  <c r="D167" i="27" s="1"/>
  <c r="B166" i="27"/>
  <c r="B165" i="27"/>
  <c r="B164" i="27"/>
  <c r="D164" i="27" s="1"/>
  <c r="D163" i="27"/>
  <c r="B163" i="27"/>
  <c r="B162" i="27"/>
  <c r="B161" i="27"/>
  <c r="D160" i="27"/>
  <c r="B160" i="27"/>
  <c r="B159" i="27"/>
  <c r="D159" i="27" s="1"/>
  <c r="B158" i="27"/>
  <c r="B157" i="27"/>
  <c r="B156" i="27"/>
  <c r="D156" i="27" s="1"/>
  <c r="D155" i="27"/>
  <c r="B155" i="27"/>
  <c r="B154" i="27"/>
  <c r="B153" i="27"/>
  <c r="D152" i="27"/>
  <c r="B152" i="27"/>
  <c r="B151" i="27"/>
  <c r="D151" i="27" s="1"/>
  <c r="B150" i="27"/>
  <c r="B149" i="27"/>
  <c r="B148" i="27"/>
  <c r="D148" i="27" s="1"/>
  <c r="D147" i="27"/>
  <c r="B147" i="27"/>
  <c r="B146" i="27"/>
  <c r="B145" i="27"/>
  <c r="D144" i="27"/>
  <c r="B144" i="27"/>
  <c r="B143" i="27"/>
  <c r="D143" i="27" s="1"/>
  <c r="D142" i="27"/>
  <c r="B142" i="27"/>
  <c r="B141" i="27"/>
  <c r="B140" i="27"/>
  <c r="D140" i="27" s="1"/>
  <c r="B139" i="27"/>
  <c r="D139" i="27" s="1"/>
  <c r="B138" i="27"/>
  <c r="B137" i="27"/>
  <c r="B136" i="27"/>
  <c r="D136" i="27" s="1"/>
  <c r="B135" i="27"/>
  <c r="D135" i="27" s="1"/>
  <c r="B134" i="27"/>
  <c r="D134" i="27" s="1"/>
  <c r="B133" i="27"/>
  <c r="D132" i="27"/>
  <c r="B132" i="27"/>
  <c r="B131" i="27"/>
  <c r="D131" i="27" s="1"/>
  <c r="B130" i="27"/>
  <c r="B129" i="27"/>
  <c r="B128" i="27"/>
  <c r="D128" i="27" s="1"/>
  <c r="D127" i="27"/>
  <c r="B127" i="27"/>
  <c r="B126" i="27"/>
  <c r="D126" i="27" s="1"/>
  <c r="B125" i="27"/>
  <c r="B124" i="27"/>
  <c r="D124" i="27" s="1"/>
  <c r="B123" i="27"/>
  <c r="D123" i="27" s="1"/>
  <c r="B122" i="27"/>
  <c r="B121" i="27"/>
  <c r="B120" i="27"/>
  <c r="D120" i="27" s="1"/>
  <c r="B119" i="27"/>
  <c r="D119" i="27" s="1"/>
  <c r="B118" i="27"/>
  <c r="D118" i="27" s="1"/>
  <c r="B117" i="27"/>
  <c r="B116" i="27"/>
  <c r="D116" i="27" s="1"/>
  <c r="D115" i="27"/>
  <c r="B115" i="27"/>
  <c r="B114" i="27"/>
  <c r="B113" i="27"/>
  <c r="D112" i="27"/>
  <c r="B112" i="27"/>
  <c r="B111" i="27"/>
  <c r="D111" i="27" s="1"/>
  <c r="D110" i="27"/>
  <c r="B110" i="27"/>
  <c r="B109" i="27"/>
  <c r="B108" i="27"/>
  <c r="D108" i="27" s="1"/>
  <c r="B107" i="27"/>
  <c r="D107" i="27" s="1"/>
  <c r="B106" i="27"/>
  <c r="B105" i="27"/>
  <c r="B104" i="27"/>
  <c r="D104" i="27" s="1"/>
  <c r="D103" i="27"/>
  <c r="B103" i="27"/>
  <c r="B102" i="27"/>
  <c r="D102" i="27" s="1"/>
  <c r="B101" i="27"/>
  <c r="D100" i="27"/>
  <c r="B100" i="27"/>
  <c r="B99" i="27"/>
  <c r="D99" i="27" s="1"/>
  <c r="B98" i="27"/>
  <c r="B97" i="27"/>
  <c r="B96" i="27"/>
  <c r="D96" i="27" s="1"/>
  <c r="D95" i="27"/>
  <c r="B95" i="27"/>
  <c r="B94" i="27"/>
  <c r="D94" i="27" s="1"/>
  <c r="B93" i="27"/>
  <c r="B92" i="27"/>
  <c r="D92" i="27" s="1"/>
  <c r="B91" i="27"/>
  <c r="D91" i="27" s="1"/>
  <c r="B90" i="27"/>
  <c r="B89" i="27"/>
  <c r="B88" i="27"/>
  <c r="D88" i="27" s="1"/>
  <c r="B87" i="27"/>
  <c r="D87" i="27" s="1"/>
  <c r="B86" i="27"/>
  <c r="D86" i="27" s="1"/>
  <c r="B85" i="27"/>
  <c r="D84" i="27"/>
  <c r="B84" i="27"/>
  <c r="D83" i="27"/>
  <c r="B83" i="27"/>
  <c r="B82" i="27"/>
  <c r="B81" i="27"/>
  <c r="D80" i="27"/>
  <c r="B80" i="27"/>
  <c r="D79" i="27"/>
  <c r="B79" i="27"/>
  <c r="D78" i="27"/>
  <c r="B78" i="27"/>
  <c r="B77" i="27"/>
  <c r="B76" i="27"/>
  <c r="D76" i="27" s="1"/>
  <c r="B75" i="27"/>
  <c r="D75" i="27" s="1"/>
  <c r="B74" i="27"/>
  <c r="B73" i="27"/>
  <c r="B72" i="27"/>
  <c r="D72" i="27" s="1"/>
  <c r="B71" i="27"/>
  <c r="D71" i="27" s="1"/>
  <c r="B70" i="27"/>
  <c r="D70" i="27" s="1"/>
  <c r="B69" i="27"/>
  <c r="D68" i="27"/>
  <c r="B68" i="27"/>
  <c r="B67" i="27"/>
  <c r="D67" i="27" s="1"/>
  <c r="B66" i="27"/>
  <c r="B65" i="27"/>
  <c r="B64" i="27"/>
  <c r="D64" i="27" s="1"/>
  <c r="D63" i="27"/>
  <c r="B63" i="27"/>
  <c r="B62" i="27"/>
  <c r="D62" i="27" s="1"/>
  <c r="B61" i="27"/>
  <c r="B60" i="27"/>
  <c r="D60" i="27" s="1"/>
  <c r="B59" i="27"/>
  <c r="D59" i="27" s="1"/>
  <c r="B58" i="27"/>
  <c r="D58" i="27" s="1"/>
  <c r="B57" i="27"/>
  <c r="D56" i="27"/>
  <c r="B56" i="27"/>
  <c r="B55" i="27"/>
  <c r="D54" i="27"/>
  <c r="B54" i="27"/>
  <c r="B53" i="27"/>
  <c r="B52" i="27"/>
  <c r="D52" i="27" s="1"/>
  <c r="D51" i="27"/>
  <c r="B51" i="27"/>
  <c r="B50" i="27"/>
  <c r="D50" i="27" s="1"/>
  <c r="B49" i="27"/>
  <c r="B48" i="27"/>
  <c r="D48" i="27" s="1"/>
  <c r="B47" i="27"/>
  <c r="D46" i="27"/>
  <c r="B46" i="27"/>
  <c r="B45" i="27"/>
  <c r="B44" i="27"/>
  <c r="D44" i="27" s="1"/>
  <c r="B43" i="27"/>
  <c r="D43" i="27" s="1"/>
  <c r="B42" i="27"/>
  <c r="D42" i="27" s="1"/>
  <c r="B41" i="27"/>
  <c r="B40" i="27"/>
  <c r="D40" i="27" s="1"/>
  <c r="B39" i="27"/>
  <c r="B38" i="27"/>
  <c r="D38" i="27" s="1"/>
  <c r="B37" i="27"/>
  <c r="D36" i="27"/>
  <c r="B36" i="27"/>
  <c r="D35" i="27"/>
  <c r="B35" i="27"/>
  <c r="D34" i="27"/>
  <c r="B34" i="27"/>
  <c r="D23" i="27"/>
  <c r="B23" i="27"/>
  <c r="D22" i="27"/>
  <c r="B22" i="27"/>
  <c r="B21" i="27"/>
  <c r="B20" i="27"/>
  <c r="D20" i="27" s="1"/>
  <c r="B1" i="27"/>
  <c r="C218" i="25"/>
  <c r="B218" i="25"/>
  <c r="C217" i="25"/>
  <c r="B217" i="25"/>
  <c r="C216" i="25"/>
  <c r="B216" i="25"/>
  <c r="C215" i="25"/>
  <c r="B215" i="25"/>
  <c r="C214" i="25"/>
  <c r="B214" i="25"/>
  <c r="C213" i="25"/>
  <c r="B213" i="25"/>
  <c r="C212" i="25"/>
  <c r="B212" i="25"/>
  <c r="C211" i="25"/>
  <c r="B211" i="25"/>
  <c r="C210" i="25"/>
  <c r="B210" i="25"/>
  <c r="C209" i="25"/>
  <c r="B209" i="25"/>
  <c r="C208" i="25"/>
  <c r="B208" i="25"/>
  <c r="C207" i="25"/>
  <c r="B207" i="25"/>
  <c r="C206" i="25"/>
  <c r="B206" i="25"/>
  <c r="C205" i="25"/>
  <c r="B205" i="25"/>
  <c r="C204" i="25"/>
  <c r="B204" i="25"/>
  <c r="C203" i="25"/>
  <c r="B203" i="25"/>
  <c r="C202" i="25"/>
  <c r="B202" i="25"/>
  <c r="C201" i="25"/>
  <c r="B201" i="25"/>
  <c r="C200" i="25"/>
  <c r="B200" i="25"/>
  <c r="C199" i="25"/>
  <c r="B199" i="25"/>
  <c r="C198" i="25"/>
  <c r="B198" i="25"/>
  <c r="C197" i="25"/>
  <c r="B197" i="25"/>
  <c r="C196" i="25"/>
  <c r="B196" i="25"/>
  <c r="C195" i="25"/>
  <c r="B195" i="25"/>
  <c r="C194" i="25"/>
  <c r="B194" i="25"/>
  <c r="C193" i="25"/>
  <c r="B193" i="25"/>
  <c r="C192" i="25"/>
  <c r="B192" i="25"/>
  <c r="C191" i="25"/>
  <c r="B191" i="25"/>
  <c r="C190" i="25"/>
  <c r="B190" i="25"/>
  <c r="C189" i="25"/>
  <c r="B189" i="25"/>
  <c r="C188" i="25"/>
  <c r="B188" i="25"/>
  <c r="C187" i="25"/>
  <c r="B187" i="25"/>
  <c r="C186" i="25"/>
  <c r="B186" i="25"/>
  <c r="C185" i="25"/>
  <c r="B185" i="25"/>
  <c r="C184" i="25"/>
  <c r="B184" i="25"/>
  <c r="C183" i="25"/>
  <c r="B183" i="25"/>
  <c r="C182" i="25"/>
  <c r="B182" i="25"/>
  <c r="C181" i="25"/>
  <c r="B181" i="25"/>
  <c r="C180" i="25"/>
  <c r="B180" i="25"/>
  <c r="C179" i="25"/>
  <c r="B179" i="25"/>
  <c r="C178" i="25"/>
  <c r="B178" i="25"/>
  <c r="C177" i="25"/>
  <c r="B177" i="25"/>
  <c r="C176" i="25"/>
  <c r="B176" i="25"/>
  <c r="C175" i="25"/>
  <c r="B175" i="25"/>
  <c r="C174" i="25"/>
  <c r="B174" i="25"/>
  <c r="C173" i="25"/>
  <c r="B173" i="25"/>
  <c r="C172" i="25"/>
  <c r="B172" i="25"/>
  <c r="C171" i="25"/>
  <c r="B171" i="25"/>
  <c r="C170" i="25"/>
  <c r="B170" i="25"/>
  <c r="C169" i="25"/>
  <c r="B169" i="25"/>
  <c r="C168" i="25"/>
  <c r="B168" i="25"/>
  <c r="C167" i="25"/>
  <c r="B167" i="25"/>
  <c r="C166" i="25"/>
  <c r="B166" i="25"/>
  <c r="C165" i="25"/>
  <c r="B165" i="25"/>
  <c r="C164" i="25"/>
  <c r="B164" i="25"/>
  <c r="C163" i="25"/>
  <c r="B163" i="25"/>
  <c r="C162" i="25"/>
  <c r="B162" i="25"/>
  <c r="C161" i="25"/>
  <c r="B161" i="25"/>
  <c r="C160" i="25"/>
  <c r="B160" i="25"/>
  <c r="C159" i="25"/>
  <c r="B159" i="25"/>
  <c r="C158" i="25"/>
  <c r="B158" i="25"/>
  <c r="C157" i="25"/>
  <c r="B157" i="25"/>
  <c r="C156" i="25"/>
  <c r="B156" i="25"/>
  <c r="C155" i="25"/>
  <c r="B155" i="25"/>
  <c r="C154" i="25"/>
  <c r="B154" i="25"/>
  <c r="C153" i="25"/>
  <c r="B153" i="25"/>
  <c r="C152" i="25"/>
  <c r="B152" i="25"/>
  <c r="C151" i="25"/>
  <c r="B151" i="25"/>
  <c r="C150" i="25"/>
  <c r="B150" i="25"/>
  <c r="C149" i="25"/>
  <c r="B149" i="25"/>
  <c r="C148" i="25"/>
  <c r="B148" i="25"/>
  <c r="C147" i="25"/>
  <c r="B147" i="25"/>
  <c r="C146" i="25"/>
  <c r="B146" i="25"/>
  <c r="C145" i="25"/>
  <c r="B145" i="25"/>
  <c r="C144" i="25"/>
  <c r="B144" i="25"/>
  <c r="C143" i="25"/>
  <c r="B143" i="25"/>
  <c r="C142" i="25"/>
  <c r="B142" i="25"/>
  <c r="C141" i="25"/>
  <c r="B141" i="25"/>
  <c r="C140" i="25"/>
  <c r="B140" i="25"/>
  <c r="C139" i="25"/>
  <c r="B139" i="25"/>
  <c r="C138" i="25"/>
  <c r="B138" i="25"/>
  <c r="C137" i="25"/>
  <c r="B137" i="25"/>
  <c r="C136" i="25"/>
  <c r="B136" i="25"/>
  <c r="C135" i="25"/>
  <c r="B135" i="25"/>
  <c r="C134" i="25"/>
  <c r="B134" i="25"/>
  <c r="C133" i="25"/>
  <c r="B133" i="25"/>
  <c r="C132" i="25"/>
  <c r="B132" i="25"/>
  <c r="C131" i="25"/>
  <c r="B131" i="25"/>
  <c r="C130" i="25"/>
  <c r="B130" i="25"/>
  <c r="C129" i="25"/>
  <c r="B129" i="25"/>
  <c r="C128" i="25"/>
  <c r="B128" i="25"/>
  <c r="C127" i="25"/>
  <c r="B127" i="25"/>
  <c r="C126" i="25"/>
  <c r="B126" i="25"/>
  <c r="C125" i="25"/>
  <c r="B125" i="25"/>
  <c r="C124" i="25"/>
  <c r="B124" i="25"/>
  <c r="C123" i="25"/>
  <c r="B123" i="25"/>
  <c r="C122" i="25"/>
  <c r="B122" i="25"/>
  <c r="C121" i="25"/>
  <c r="B121" i="25"/>
  <c r="C120" i="25"/>
  <c r="B120" i="25"/>
  <c r="C119" i="25"/>
  <c r="B119" i="25"/>
  <c r="C118" i="25"/>
  <c r="B118" i="25"/>
  <c r="C117" i="25"/>
  <c r="B117" i="25"/>
  <c r="C116" i="25"/>
  <c r="B116" i="25"/>
  <c r="C115" i="25"/>
  <c r="B115" i="25"/>
  <c r="C114" i="25"/>
  <c r="B114" i="25"/>
  <c r="C113" i="25"/>
  <c r="B113" i="25"/>
  <c r="C112" i="25"/>
  <c r="B112" i="25"/>
  <c r="C111" i="25"/>
  <c r="B111" i="25"/>
  <c r="C110" i="25"/>
  <c r="B110" i="25"/>
  <c r="C109" i="25"/>
  <c r="B109" i="25"/>
  <c r="C108" i="25"/>
  <c r="B108" i="25"/>
  <c r="C107" i="25"/>
  <c r="B107" i="25"/>
  <c r="C106" i="25"/>
  <c r="B106" i="25"/>
  <c r="C105" i="25"/>
  <c r="B105" i="25"/>
  <c r="C104" i="25"/>
  <c r="B104" i="25"/>
  <c r="C103" i="25"/>
  <c r="B103" i="25"/>
  <c r="C102" i="25"/>
  <c r="B102" i="25"/>
  <c r="C101" i="25"/>
  <c r="B101" i="25"/>
  <c r="C100" i="25"/>
  <c r="B100" i="25"/>
  <c r="C99" i="25"/>
  <c r="B99" i="25"/>
  <c r="C98" i="25"/>
  <c r="B98" i="25"/>
  <c r="C97" i="25"/>
  <c r="B97" i="25"/>
  <c r="C96" i="25"/>
  <c r="B96" i="25"/>
  <c r="C95" i="25"/>
  <c r="B95" i="25"/>
  <c r="C94" i="25"/>
  <c r="B94" i="25"/>
  <c r="C93" i="25"/>
  <c r="B93" i="25"/>
  <c r="C92" i="25"/>
  <c r="B92" i="25"/>
  <c r="C91" i="25"/>
  <c r="B91" i="25"/>
  <c r="C90" i="25"/>
  <c r="B90" i="25"/>
  <c r="C89" i="25"/>
  <c r="B89" i="25"/>
  <c r="C88" i="25"/>
  <c r="B88" i="25"/>
  <c r="C87" i="25"/>
  <c r="B87" i="25"/>
  <c r="C86" i="25"/>
  <c r="B86" i="25"/>
  <c r="C85" i="25"/>
  <c r="B85" i="25"/>
  <c r="C84" i="25"/>
  <c r="B84" i="25"/>
  <c r="C83" i="25"/>
  <c r="B83" i="25"/>
  <c r="C82" i="25"/>
  <c r="B82" i="25"/>
  <c r="C81" i="25"/>
  <c r="B81" i="25"/>
  <c r="C80" i="25"/>
  <c r="B80" i="25"/>
  <c r="C79" i="25"/>
  <c r="B79" i="25"/>
  <c r="C78" i="25"/>
  <c r="B78" i="25"/>
  <c r="B77" i="25"/>
  <c r="C77" i="25" s="1"/>
  <c r="B76" i="25"/>
  <c r="C76" i="25" s="1"/>
  <c r="B75" i="25"/>
  <c r="C75" i="25" s="1"/>
  <c r="C74" i="25"/>
  <c r="B74" i="25"/>
  <c r="B73" i="25"/>
  <c r="C73" i="25" s="1"/>
  <c r="C72" i="25"/>
  <c r="B72" i="25"/>
  <c r="B71" i="25"/>
  <c r="C71" i="25" s="1"/>
  <c r="C70" i="25"/>
  <c r="B70" i="25"/>
  <c r="B69" i="25"/>
  <c r="C69" i="25" s="1"/>
  <c r="B68" i="25"/>
  <c r="C68" i="25" s="1"/>
  <c r="B67" i="25"/>
  <c r="C67" i="25" s="1"/>
  <c r="C66" i="25"/>
  <c r="B66" i="25"/>
  <c r="B65" i="25"/>
  <c r="C65" i="25" s="1"/>
  <c r="C64" i="25"/>
  <c r="B64" i="25"/>
  <c r="B63" i="25"/>
  <c r="C63" i="25" s="1"/>
  <c r="B62" i="25"/>
  <c r="C62" i="25" s="1"/>
  <c r="B61" i="25"/>
  <c r="C61" i="25" s="1"/>
  <c r="B60" i="25"/>
  <c r="C60" i="25" s="1"/>
  <c r="B59" i="25"/>
  <c r="C59" i="25" s="1"/>
  <c r="B58" i="25"/>
  <c r="C58" i="25" s="1"/>
  <c r="B57" i="25"/>
  <c r="C57" i="25" s="1"/>
  <c r="B56" i="25"/>
  <c r="C56" i="25" s="1"/>
  <c r="B55" i="25"/>
  <c r="C55" i="25" s="1"/>
  <c r="B54" i="25"/>
  <c r="C54" i="25" s="1"/>
  <c r="B53" i="25"/>
  <c r="C53" i="25" s="1"/>
  <c r="C52" i="25"/>
  <c r="B52" i="25"/>
  <c r="B51" i="25"/>
  <c r="C51" i="25" s="1"/>
  <c r="C50" i="25"/>
  <c r="B50" i="25"/>
  <c r="B49" i="25"/>
  <c r="C49" i="25" s="1"/>
  <c r="B48" i="25"/>
  <c r="C48" i="25" s="1"/>
  <c r="B47" i="25"/>
  <c r="C47" i="25" s="1"/>
  <c r="B46" i="25"/>
  <c r="C46" i="25" s="1"/>
  <c r="B45" i="25"/>
  <c r="C45" i="25" s="1"/>
  <c r="C44" i="25"/>
  <c r="B44" i="25"/>
  <c r="B43" i="25"/>
  <c r="C43" i="25" s="1"/>
  <c r="B42" i="25"/>
  <c r="C42" i="25" s="1"/>
  <c r="B41" i="25"/>
  <c r="C41" i="25" s="1"/>
  <c r="B40" i="25"/>
  <c r="C40" i="25" s="1"/>
  <c r="B39" i="25"/>
  <c r="C39" i="25" s="1"/>
  <c r="B38" i="25"/>
  <c r="C38" i="25" s="1"/>
  <c r="B37" i="25"/>
  <c r="C37" i="25" s="1"/>
  <c r="C36" i="25"/>
  <c r="B36" i="25"/>
  <c r="B35" i="25"/>
  <c r="C35" i="25" s="1"/>
  <c r="C34" i="25"/>
  <c r="B34" i="25"/>
  <c r="B33" i="25"/>
  <c r="C33" i="25" s="1"/>
  <c r="B22" i="25"/>
  <c r="C22" i="25" s="1"/>
  <c r="B21" i="25"/>
  <c r="C21" i="25" s="1"/>
  <c r="B20" i="25"/>
  <c r="C20" i="25" s="1"/>
  <c r="B19" i="25"/>
  <c r="B1" i="25"/>
  <c r="B218" i="43"/>
  <c r="C218" i="43" s="1"/>
  <c r="B217" i="43"/>
  <c r="C217" i="43" s="1"/>
  <c r="B216" i="43"/>
  <c r="C216" i="43" s="1"/>
  <c r="B215" i="43"/>
  <c r="C215" i="43" s="1"/>
  <c r="B214" i="43"/>
  <c r="C214" i="43" s="1"/>
  <c r="C213" i="43"/>
  <c r="B213" i="43"/>
  <c r="B212" i="43"/>
  <c r="C212" i="43" s="1"/>
  <c r="C211" i="43"/>
  <c r="B211" i="43"/>
  <c r="B210" i="43"/>
  <c r="C210" i="43" s="1"/>
  <c r="B209" i="43"/>
  <c r="C209" i="43" s="1"/>
  <c r="B208" i="43"/>
  <c r="C208" i="43" s="1"/>
  <c r="B207" i="43"/>
  <c r="C207" i="43" s="1"/>
  <c r="B206" i="43"/>
  <c r="C206" i="43" s="1"/>
  <c r="C205" i="43"/>
  <c r="B205" i="43"/>
  <c r="B204" i="43"/>
  <c r="C204" i="43" s="1"/>
  <c r="B203" i="43"/>
  <c r="C203" i="43" s="1"/>
  <c r="B202" i="43"/>
  <c r="C202" i="43" s="1"/>
  <c r="B201" i="43"/>
  <c r="C201" i="43" s="1"/>
  <c r="B200" i="43"/>
  <c r="C200" i="43" s="1"/>
  <c r="B199" i="43"/>
  <c r="C199" i="43" s="1"/>
  <c r="B198" i="43"/>
  <c r="C198" i="43" s="1"/>
  <c r="C197" i="43"/>
  <c r="B197" i="43"/>
  <c r="B196" i="43"/>
  <c r="C196" i="43" s="1"/>
  <c r="C195" i="43"/>
  <c r="B195" i="43"/>
  <c r="B194" i="43"/>
  <c r="C194" i="43" s="1"/>
  <c r="B193" i="43"/>
  <c r="C193" i="43" s="1"/>
  <c r="B192" i="43"/>
  <c r="C192" i="43" s="1"/>
  <c r="B191" i="43"/>
  <c r="C191" i="43" s="1"/>
  <c r="B190" i="43"/>
  <c r="C190" i="43" s="1"/>
  <c r="C189" i="43"/>
  <c r="B189" i="43"/>
  <c r="B188" i="43"/>
  <c r="C188" i="43" s="1"/>
  <c r="B187" i="43"/>
  <c r="C187" i="43" s="1"/>
  <c r="B186" i="43"/>
  <c r="C186" i="43" s="1"/>
  <c r="B185" i="43"/>
  <c r="C185" i="43" s="1"/>
  <c r="B184" i="43"/>
  <c r="C184" i="43" s="1"/>
  <c r="B183" i="43"/>
  <c r="C183" i="43" s="1"/>
  <c r="B182" i="43"/>
  <c r="C182" i="43" s="1"/>
  <c r="C181" i="43"/>
  <c r="B181" i="43"/>
  <c r="B180" i="43"/>
  <c r="C180" i="43" s="1"/>
  <c r="C179" i="43"/>
  <c r="B179" i="43"/>
  <c r="B178" i="43"/>
  <c r="C178" i="43" s="1"/>
  <c r="B177" i="43"/>
  <c r="C177" i="43" s="1"/>
  <c r="B176" i="43"/>
  <c r="C176" i="43" s="1"/>
  <c r="B175" i="43"/>
  <c r="C175" i="43" s="1"/>
  <c r="B174" i="43"/>
  <c r="C174" i="43" s="1"/>
  <c r="C173" i="43"/>
  <c r="B173" i="43"/>
  <c r="B172" i="43"/>
  <c r="C172" i="43" s="1"/>
  <c r="B171" i="43"/>
  <c r="C171" i="43" s="1"/>
  <c r="B170" i="43"/>
  <c r="C170" i="43" s="1"/>
  <c r="B169" i="43"/>
  <c r="C169" i="43" s="1"/>
  <c r="B168" i="43"/>
  <c r="C168" i="43" s="1"/>
  <c r="B167" i="43"/>
  <c r="C167" i="43" s="1"/>
  <c r="B166" i="43"/>
  <c r="C166" i="43" s="1"/>
  <c r="C165" i="43"/>
  <c r="B165" i="43"/>
  <c r="B164" i="43"/>
  <c r="C164" i="43" s="1"/>
  <c r="C163" i="43"/>
  <c r="B163" i="43"/>
  <c r="B162" i="43"/>
  <c r="C162" i="43" s="1"/>
  <c r="B161" i="43"/>
  <c r="C161" i="43" s="1"/>
  <c r="B160" i="43"/>
  <c r="C160" i="43" s="1"/>
  <c r="B159" i="43"/>
  <c r="C159" i="43" s="1"/>
  <c r="B158" i="43"/>
  <c r="C158" i="43" s="1"/>
  <c r="C157" i="43"/>
  <c r="B157" i="43"/>
  <c r="B156" i="43"/>
  <c r="C156" i="43" s="1"/>
  <c r="B155" i="43"/>
  <c r="C155" i="43" s="1"/>
  <c r="B154" i="43"/>
  <c r="C154" i="43" s="1"/>
  <c r="B153" i="43"/>
  <c r="C153" i="43" s="1"/>
  <c r="B152" i="43"/>
  <c r="C152" i="43" s="1"/>
  <c r="B151" i="43"/>
  <c r="C151" i="43" s="1"/>
  <c r="B150" i="43"/>
  <c r="C150" i="43" s="1"/>
  <c r="C149" i="43"/>
  <c r="B149" i="43"/>
  <c r="B148" i="43"/>
  <c r="C148" i="43" s="1"/>
  <c r="C147" i="43"/>
  <c r="B147" i="43"/>
  <c r="B146" i="43"/>
  <c r="C146" i="43" s="1"/>
  <c r="B145" i="43"/>
  <c r="C145" i="43" s="1"/>
  <c r="B144" i="43"/>
  <c r="C144" i="43" s="1"/>
  <c r="B143" i="43"/>
  <c r="C143" i="43" s="1"/>
  <c r="B142" i="43"/>
  <c r="C142" i="43" s="1"/>
  <c r="C141" i="43"/>
  <c r="B141" i="43"/>
  <c r="B140" i="43"/>
  <c r="C140" i="43" s="1"/>
  <c r="B139" i="43"/>
  <c r="C139" i="43" s="1"/>
  <c r="B138" i="43"/>
  <c r="C138" i="43" s="1"/>
  <c r="B137" i="43"/>
  <c r="C137" i="43" s="1"/>
  <c r="B136" i="43"/>
  <c r="C136" i="43" s="1"/>
  <c r="B135" i="43"/>
  <c r="C135" i="43" s="1"/>
  <c r="B134" i="43"/>
  <c r="C134" i="43" s="1"/>
  <c r="C133" i="43"/>
  <c r="B133" i="43"/>
  <c r="B132" i="43"/>
  <c r="C132" i="43" s="1"/>
  <c r="C131" i="43"/>
  <c r="B131" i="43"/>
  <c r="B130" i="43"/>
  <c r="C130" i="43" s="1"/>
  <c r="B129" i="43"/>
  <c r="C129" i="43" s="1"/>
  <c r="B128" i="43"/>
  <c r="C128" i="43" s="1"/>
  <c r="B127" i="43"/>
  <c r="C127" i="43" s="1"/>
  <c r="B126" i="43"/>
  <c r="C126" i="43" s="1"/>
  <c r="C125" i="43"/>
  <c r="B125" i="43"/>
  <c r="B124" i="43"/>
  <c r="C124" i="43" s="1"/>
  <c r="B123" i="43"/>
  <c r="C123" i="43" s="1"/>
  <c r="B122" i="43"/>
  <c r="C122" i="43" s="1"/>
  <c r="B121" i="43"/>
  <c r="C121" i="43" s="1"/>
  <c r="B120" i="43"/>
  <c r="C120" i="43" s="1"/>
  <c r="B119" i="43"/>
  <c r="C119" i="43" s="1"/>
  <c r="B118" i="43"/>
  <c r="C118" i="43" s="1"/>
  <c r="C117" i="43"/>
  <c r="B117" i="43"/>
  <c r="B116" i="43"/>
  <c r="C116" i="43" s="1"/>
  <c r="B115" i="43"/>
  <c r="C115" i="43" s="1"/>
  <c r="B114" i="43"/>
  <c r="C114" i="43" s="1"/>
  <c r="C113" i="43"/>
  <c r="B113" i="43"/>
  <c r="B112" i="43"/>
  <c r="C112" i="43" s="1"/>
  <c r="B111" i="43"/>
  <c r="C111" i="43" s="1"/>
  <c r="B110" i="43"/>
  <c r="C110" i="43" s="1"/>
  <c r="C109" i="43"/>
  <c r="B109" i="43"/>
  <c r="B108" i="43"/>
  <c r="C108" i="43" s="1"/>
  <c r="C107" i="43"/>
  <c r="B107" i="43"/>
  <c r="B106" i="43"/>
  <c r="C106" i="43" s="1"/>
  <c r="C105" i="43"/>
  <c r="B105" i="43"/>
  <c r="B104" i="43"/>
  <c r="C104" i="43" s="1"/>
  <c r="B103" i="43"/>
  <c r="C103" i="43" s="1"/>
  <c r="B102" i="43"/>
  <c r="C102" i="43" s="1"/>
  <c r="C101" i="43"/>
  <c r="B101" i="43"/>
  <c r="B100" i="43"/>
  <c r="C100" i="43" s="1"/>
  <c r="C99" i="43"/>
  <c r="B99" i="43"/>
  <c r="B98" i="43"/>
  <c r="C98" i="43" s="1"/>
  <c r="B97" i="43"/>
  <c r="C97" i="43" s="1"/>
  <c r="B96" i="43"/>
  <c r="C96" i="43" s="1"/>
  <c r="B95" i="43"/>
  <c r="C95" i="43" s="1"/>
  <c r="B94" i="43"/>
  <c r="C94" i="43" s="1"/>
  <c r="C93" i="43"/>
  <c r="B93" i="43"/>
  <c r="B92" i="43"/>
  <c r="C92" i="43" s="1"/>
  <c r="B91" i="43"/>
  <c r="C91" i="43" s="1"/>
  <c r="B90" i="43"/>
  <c r="C90" i="43" s="1"/>
  <c r="B89" i="43"/>
  <c r="C89" i="43" s="1"/>
  <c r="B88" i="43"/>
  <c r="C88" i="43" s="1"/>
  <c r="B87" i="43"/>
  <c r="C87" i="43" s="1"/>
  <c r="B86" i="43"/>
  <c r="C86" i="43" s="1"/>
  <c r="C85" i="43"/>
  <c r="B85" i="43"/>
  <c r="B84" i="43"/>
  <c r="C84" i="43" s="1"/>
  <c r="B83" i="43"/>
  <c r="C83" i="43" s="1"/>
  <c r="B82" i="43"/>
  <c r="C82" i="43" s="1"/>
  <c r="C81" i="43"/>
  <c r="B81" i="43"/>
  <c r="B80" i="43"/>
  <c r="C80" i="43" s="1"/>
  <c r="B79" i="43"/>
  <c r="C79" i="43" s="1"/>
  <c r="B78" i="43"/>
  <c r="C78" i="43" s="1"/>
  <c r="C77" i="43"/>
  <c r="B77" i="43"/>
  <c r="B76" i="43"/>
  <c r="C76" i="43" s="1"/>
  <c r="C75" i="43"/>
  <c r="B75" i="43"/>
  <c r="B74" i="43"/>
  <c r="C74" i="43" s="1"/>
  <c r="C73" i="43"/>
  <c r="B73" i="43"/>
  <c r="B72" i="43"/>
  <c r="C72" i="43" s="1"/>
  <c r="B71" i="43"/>
  <c r="C71" i="43" s="1"/>
  <c r="B70" i="43"/>
  <c r="C70" i="43" s="1"/>
  <c r="C69" i="43"/>
  <c r="B69" i="43"/>
  <c r="B68" i="43"/>
  <c r="C68" i="43" s="1"/>
  <c r="C67" i="43"/>
  <c r="B67" i="43"/>
  <c r="B66" i="43"/>
  <c r="C66" i="43" s="1"/>
  <c r="B65" i="43"/>
  <c r="C65" i="43" s="1"/>
  <c r="B64" i="43"/>
  <c r="C64" i="43" s="1"/>
  <c r="B63" i="43"/>
  <c r="C63" i="43" s="1"/>
  <c r="B62" i="43"/>
  <c r="C62" i="43" s="1"/>
  <c r="C61" i="43"/>
  <c r="B61" i="43"/>
  <c r="B60" i="43"/>
  <c r="C60" i="43" s="1"/>
  <c r="B59" i="43"/>
  <c r="C59" i="43" s="1"/>
  <c r="B58" i="43"/>
  <c r="C58" i="43" s="1"/>
  <c r="B57" i="43"/>
  <c r="C57" i="43" s="1"/>
  <c r="B56" i="43"/>
  <c r="C56" i="43" s="1"/>
  <c r="B55" i="43"/>
  <c r="C55" i="43" s="1"/>
  <c r="B54" i="43"/>
  <c r="C54" i="43" s="1"/>
  <c r="C53" i="43"/>
  <c r="B53" i="43"/>
  <c r="B52" i="43"/>
  <c r="C52" i="43" s="1"/>
  <c r="B51" i="43"/>
  <c r="C51" i="43" s="1"/>
  <c r="B50" i="43"/>
  <c r="C50" i="43" s="1"/>
  <c r="C49" i="43"/>
  <c r="B49" i="43"/>
  <c r="B48" i="43"/>
  <c r="C48" i="43" s="1"/>
  <c r="B47" i="43"/>
  <c r="C47" i="43" s="1"/>
  <c r="B46" i="43"/>
  <c r="C46" i="43" s="1"/>
  <c r="C45" i="43"/>
  <c r="B45" i="43"/>
  <c r="B44" i="43"/>
  <c r="C44" i="43" s="1"/>
  <c r="C43" i="43"/>
  <c r="B43" i="43"/>
  <c r="B42" i="43"/>
  <c r="C42" i="43" s="1"/>
  <c r="C41" i="43"/>
  <c r="B41" i="43"/>
  <c r="B40" i="43"/>
  <c r="C40" i="43" s="1"/>
  <c r="B39" i="43"/>
  <c r="C39" i="43" s="1"/>
  <c r="B38" i="43"/>
  <c r="C38" i="43" s="1"/>
  <c r="C37" i="43"/>
  <c r="B37" i="43"/>
  <c r="B36" i="43"/>
  <c r="C36" i="43" s="1"/>
  <c r="C35" i="43"/>
  <c r="B35" i="43"/>
  <c r="B34" i="43"/>
  <c r="C34" i="43" s="1"/>
  <c r="B33" i="43"/>
  <c r="C33" i="43" s="1"/>
  <c r="B22" i="43"/>
  <c r="C22" i="43" s="1"/>
  <c r="B21" i="43"/>
  <c r="C21" i="43" s="1"/>
  <c r="B20" i="43"/>
  <c r="C19" i="43"/>
  <c r="B19" i="43"/>
  <c r="B1" i="43"/>
  <c r="G229" i="23"/>
  <c r="D229" i="23"/>
  <c r="C229" i="23"/>
  <c r="D228" i="23"/>
  <c r="C228" i="23"/>
  <c r="D227" i="23"/>
  <c r="C227" i="23"/>
  <c r="G227" i="23" s="1"/>
  <c r="D226" i="23"/>
  <c r="C226" i="23"/>
  <c r="D225" i="23"/>
  <c r="C225" i="23"/>
  <c r="G225" i="23" s="1"/>
  <c r="D224" i="23"/>
  <c r="C224" i="23"/>
  <c r="D223" i="23"/>
  <c r="C223" i="23"/>
  <c r="G223" i="23" s="1"/>
  <c r="D222" i="23"/>
  <c r="C222" i="23"/>
  <c r="G222" i="23" s="1"/>
  <c r="G221" i="23"/>
  <c r="D221" i="23"/>
  <c r="C221" i="23"/>
  <c r="D220" i="23"/>
  <c r="C220" i="23"/>
  <c r="D219" i="23"/>
  <c r="C219" i="23"/>
  <c r="G219" i="23" s="1"/>
  <c r="G218" i="23"/>
  <c r="F218" i="23"/>
  <c r="D218" i="23"/>
  <c r="C218" i="23"/>
  <c r="G217" i="23"/>
  <c r="D217" i="23"/>
  <c r="C217" i="23"/>
  <c r="D216" i="23"/>
  <c r="C216" i="23"/>
  <c r="D215" i="23"/>
  <c r="C215" i="23"/>
  <c r="G215" i="23" s="1"/>
  <c r="F214" i="23"/>
  <c r="D214" i="23"/>
  <c r="C214" i="23"/>
  <c r="G214" i="23" s="1"/>
  <c r="D213" i="23"/>
  <c r="C213" i="23"/>
  <c r="G213" i="23" s="1"/>
  <c r="D212" i="23"/>
  <c r="C212" i="23"/>
  <c r="D211" i="23"/>
  <c r="C211" i="23"/>
  <c r="G211" i="23" s="1"/>
  <c r="G210" i="23"/>
  <c r="D210" i="23"/>
  <c r="C210" i="23"/>
  <c r="F210" i="23" s="1"/>
  <c r="G209" i="23"/>
  <c r="D209" i="23"/>
  <c r="C209" i="23"/>
  <c r="D208" i="23"/>
  <c r="C208" i="23"/>
  <c r="D207" i="23"/>
  <c r="C207" i="23"/>
  <c r="G207" i="23" s="1"/>
  <c r="G206" i="23"/>
  <c r="F206" i="23"/>
  <c r="D206" i="23"/>
  <c r="C206" i="23"/>
  <c r="G205" i="23"/>
  <c r="D205" i="23"/>
  <c r="C205" i="23"/>
  <c r="D204" i="23"/>
  <c r="C204" i="23"/>
  <c r="G203" i="23"/>
  <c r="D203" i="23"/>
  <c r="C203" i="23"/>
  <c r="F203" i="23" s="1"/>
  <c r="D202" i="23"/>
  <c r="C202" i="23"/>
  <c r="G201" i="23"/>
  <c r="F201" i="23"/>
  <c r="D201" i="23"/>
  <c r="C201" i="23"/>
  <c r="D200" i="23"/>
  <c r="C200" i="23"/>
  <c r="D199" i="23"/>
  <c r="C199" i="23"/>
  <c r="F199" i="23" s="1"/>
  <c r="D198" i="23"/>
  <c r="C198" i="23"/>
  <c r="G197" i="23"/>
  <c r="F197" i="23"/>
  <c r="D197" i="23"/>
  <c r="C197" i="23"/>
  <c r="D196" i="23"/>
  <c r="C196" i="23"/>
  <c r="D195" i="23"/>
  <c r="C195" i="23"/>
  <c r="D194" i="23"/>
  <c r="C194" i="23"/>
  <c r="G193" i="23"/>
  <c r="F193" i="23"/>
  <c r="D193" i="23"/>
  <c r="C193" i="23"/>
  <c r="D192" i="23"/>
  <c r="C192" i="23"/>
  <c r="G191" i="23"/>
  <c r="D191" i="23"/>
  <c r="C191" i="23"/>
  <c r="F191" i="23" s="1"/>
  <c r="D190" i="23"/>
  <c r="C190" i="23"/>
  <c r="G189" i="23"/>
  <c r="F189" i="23"/>
  <c r="D189" i="23"/>
  <c r="C189" i="23"/>
  <c r="D188" i="23"/>
  <c r="C188" i="23"/>
  <c r="G187" i="23"/>
  <c r="D187" i="23"/>
  <c r="C187" i="23"/>
  <c r="F187" i="23" s="1"/>
  <c r="D186" i="23"/>
  <c r="C186" i="23"/>
  <c r="H186" i="23" s="1"/>
  <c r="G185" i="23"/>
  <c r="F185" i="23"/>
  <c r="D185" i="23"/>
  <c r="C185" i="23"/>
  <c r="D184" i="23"/>
  <c r="C184" i="23"/>
  <c r="H184" i="23" s="1"/>
  <c r="D183" i="23"/>
  <c r="C183" i="23"/>
  <c r="F183" i="23" s="1"/>
  <c r="D182" i="23"/>
  <c r="C182" i="23"/>
  <c r="H182" i="23" s="1"/>
  <c r="D181" i="23"/>
  <c r="C181" i="23"/>
  <c r="H180" i="23"/>
  <c r="D180" i="23"/>
  <c r="C180" i="23"/>
  <c r="G179" i="23"/>
  <c r="F179" i="23"/>
  <c r="D179" i="23"/>
  <c r="C179" i="23"/>
  <c r="D178" i="23"/>
  <c r="C178" i="23"/>
  <c r="H178" i="23" s="1"/>
  <c r="D177" i="23"/>
  <c r="C177" i="23"/>
  <c r="D176" i="23"/>
  <c r="C176" i="23"/>
  <c r="H176" i="23" s="1"/>
  <c r="G175" i="23"/>
  <c r="F175" i="23"/>
  <c r="D175" i="23"/>
  <c r="C175" i="23"/>
  <c r="D174" i="23"/>
  <c r="C174" i="23"/>
  <c r="H174" i="23" s="1"/>
  <c r="D173" i="23"/>
  <c r="C173" i="23"/>
  <c r="D172" i="23"/>
  <c r="C172" i="23"/>
  <c r="H172" i="23" s="1"/>
  <c r="D171" i="23"/>
  <c r="C171" i="23"/>
  <c r="F171" i="23" s="1"/>
  <c r="D170" i="23"/>
  <c r="C170" i="23"/>
  <c r="H170" i="23" s="1"/>
  <c r="G169" i="23"/>
  <c r="F169" i="23"/>
  <c r="D169" i="23"/>
  <c r="C169" i="23"/>
  <c r="D168" i="23"/>
  <c r="C168" i="23"/>
  <c r="H168" i="23" s="1"/>
  <c r="D167" i="23"/>
  <c r="C167" i="23"/>
  <c r="H166" i="23"/>
  <c r="D166" i="23"/>
  <c r="C166" i="23"/>
  <c r="G165" i="23"/>
  <c r="F165" i="23"/>
  <c r="D165" i="23"/>
  <c r="C165" i="23"/>
  <c r="H164" i="23"/>
  <c r="D164" i="23"/>
  <c r="C164" i="23"/>
  <c r="G163" i="23"/>
  <c r="F163" i="23"/>
  <c r="D163" i="23"/>
  <c r="C163" i="23"/>
  <c r="D162" i="23"/>
  <c r="C162" i="23"/>
  <c r="H162" i="23" s="1"/>
  <c r="G161" i="23"/>
  <c r="D161" i="23"/>
  <c r="C161" i="23"/>
  <c r="F161" i="23" s="1"/>
  <c r="D160" i="23"/>
  <c r="C160" i="23"/>
  <c r="H160" i="23" s="1"/>
  <c r="G159" i="23"/>
  <c r="F159" i="23"/>
  <c r="D159" i="23"/>
  <c r="C159" i="23"/>
  <c r="D158" i="23"/>
  <c r="C158" i="23"/>
  <c r="H158" i="23" s="1"/>
  <c r="F157" i="23"/>
  <c r="D157" i="23"/>
  <c r="C157" i="23"/>
  <c r="G157" i="23" s="1"/>
  <c r="D156" i="23"/>
  <c r="C156" i="23"/>
  <c r="H156" i="23" s="1"/>
  <c r="D155" i="23"/>
  <c r="C155" i="23"/>
  <c r="D154" i="23"/>
  <c r="C154" i="23"/>
  <c r="H154" i="23" s="1"/>
  <c r="G153" i="23"/>
  <c r="F153" i="23"/>
  <c r="D153" i="23"/>
  <c r="C153" i="23"/>
  <c r="D152" i="23"/>
  <c r="C152" i="23"/>
  <c r="H152" i="23" s="1"/>
  <c r="G151" i="23"/>
  <c r="D151" i="23"/>
  <c r="C151" i="23"/>
  <c r="F151" i="23" s="1"/>
  <c r="H150" i="23"/>
  <c r="D150" i="23"/>
  <c r="C150" i="23"/>
  <c r="G149" i="23"/>
  <c r="F149" i="23"/>
  <c r="D149" i="23"/>
  <c r="C149" i="23"/>
  <c r="H148" i="23"/>
  <c r="D148" i="23"/>
  <c r="C148" i="23"/>
  <c r="G147" i="23"/>
  <c r="F147" i="23"/>
  <c r="D147" i="23"/>
  <c r="C147" i="23"/>
  <c r="D146" i="23"/>
  <c r="C146" i="23"/>
  <c r="H146" i="23" s="1"/>
  <c r="G145" i="23"/>
  <c r="D145" i="23"/>
  <c r="C145" i="23"/>
  <c r="F145" i="23" s="1"/>
  <c r="D144" i="23"/>
  <c r="C144" i="23"/>
  <c r="H144" i="23" s="1"/>
  <c r="G143" i="23"/>
  <c r="F143" i="23"/>
  <c r="D143" i="23"/>
  <c r="C143" i="23"/>
  <c r="H142" i="23"/>
  <c r="D142" i="23"/>
  <c r="C142" i="23"/>
  <c r="F141" i="23"/>
  <c r="D141" i="23"/>
  <c r="C141" i="23"/>
  <c r="G141" i="23" s="1"/>
  <c r="D140" i="23"/>
  <c r="C140" i="23"/>
  <c r="H140" i="23" s="1"/>
  <c r="G139" i="23"/>
  <c r="D139" i="23"/>
  <c r="C139" i="23"/>
  <c r="F139" i="23" s="1"/>
  <c r="D138" i="23"/>
  <c r="C138" i="23"/>
  <c r="H138" i="23" s="1"/>
  <c r="G137" i="23"/>
  <c r="F137" i="23"/>
  <c r="D137" i="23"/>
  <c r="C137" i="23"/>
  <c r="D136" i="23"/>
  <c r="C136" i="23"/>
  <c r="H136" i="23" s="1"/>
  <c r="G135" i="23"/>
  <c r="D135" i="23"/>
  <c r="C135" i="23"/>
  <c r="F135" i="23" s="1"/>
  <c r="D134" i="23"/>
  <c r="C134" i="23"/>
  <c r="H134" i="23" s="1"/>
  <c r="D133" i="23"/>
  <c r="C133" i="23"/>
  <c r="G133" i="23" s="1"/>
  <c r="H132" i="23"/>
  <c r="D132" i="23"/>
  <c r="C132" i="23"/>
  <c r="G131" i="23"/>
  <c r="F131" i="23"/>
  <c r="D131" i="23"/>
  <c r="C131" i="23"/>
  <c r="D130" i="23"/>
  <c r="C130" i="23"/>
  <c r="H130" i="23" s="1"/>
  <c r="D129" i="23"/>
  <c r="C129" i="23"/>
  <c r="F129" i="23" s="1"/>
  <c r="D128" i="23"/>
  <c r="C128" i="23"/>
  <c r="H128" i="23" s="1"/>
  <c r="G127" i="23"/>
  <c r="F127" i="23"/>
  <c r="D127" i="23"/>
  <c r="C127" i="23"/>
  <c r="H126" i="23"/>
  <c r="D126" i="23"/>
  <c r="C126" i="23"/>
  <c r="D125" i="23"/>
  <c r="C125" i="23"/>
  <c r="G125" i="23" s="1"/>
  <c r="D124" i="23"/>
  <c r="C124" i="23"/>
  <c r="H124" i="23" s="1"/>
  <c r="G123" i="23"/>
  <c r="D123" i="23"/>
  <c r="C123" i="23"/>
  <c r="F123" i="23" s="1"/>
  <c r="J122" i="23"/>
  <c r="E122" i="23"/>
  <c r="D122" i="23"/>
  <c r="C122" i="23"/>
  <c r="D121" i="23"/>
  <c r="C121" i="23"/>
  <c r="H120" i="23"/>
  <c r="D120" i="23"/>
  <c r="C120" i="23"/>
  <c r="G120" i="23" s="1"/>
  <c r="H119" i="23"/>
  <c r="D119" i="23"/>
  <c r="C119" i="23"/>
  <c r="G119" i="23" s="1"/>
  <c r="D118" i="23"/>
  <c r="C118" i="23"/>
  <c r="G118" i="23" s="1"/>
  <c r="D117" i="23"/>
  <c r="C117" i="23"/>
  <c r="H116" i="23"/>
  <c r="D116" i="23"/>
  <c r="C116" i="23"/>
  <c r="G116" i="23" s="1"/>
  <c r="H115" i="23"/>
  <c r="D115" i="23"/>
  <c r="C115" i="23"/>
  <c r="G115" i="23" s="1"/>
  <c r="D114" i="23"/>
  <c r="C114" i="23"/>
  <c r="D113" i="23"/>
  <c r="C113" i="23"/>
  <c r="D112" i="23"/>
  <c r="C112" i="23"/>
  <c r="G112" i="23" s="1"/>
  <c r="H111" i="23"/>
  <c r="D111" i="23"/>
  <c r="C111" i="23"/>
  <c r="G111" i="23" s="1"/>
  <c r="H110" i="23"/>
  <c r="D110" i="23"/>
  <c r="C110" i="23"/>
  <c r="G110" i="23" s="1"/>
  <c r="D109" i="23"/>
  <c r="C109" i="23"/>
  <c r="D108" i="23"/>
  <c r="C108" i="23"/>
  <c r="H107" i="23"/>
  <c r="D107" i="23"/>
  <c r="C107" i="23"/>
  <c r="G107" i="23" s="1"/>
  <c r="H106" i="23"/>
  <c r="D106" i="23"/>
  <c r="C106" i="23"/>
  <c r="G106" i="23" s="1"/>
  <c r="D105" i="23"/>
  <c r="C105" i="23"/>
  <c r="H104" i="23"/>
  <c r="D104" i="23"/>
  <c r="C104" i="23"/>
  <c r="G104" i="23" s="1"/>
  <c r="H103" i="23"/>
  <c r="D103" i="23"/>
  <c r="C103" i="23"/>
  <c r="G103" i="23" s="1"/>
  <c r="D102" i="23"/>
  <c r="C102" i="23"/>
  <c r="D101" i="23"/>
  <c r="C101" i="23"/>
  <c r="H100" i="23"/>
  <c r="D100" i="23"/>
  <c r="C100" i="23"/>
  <c r="G100" i="23" s="1"/>
  <c r="H99" i="23"/>
  <c r="D99" i="23"/>
  <c r="C99" i="23"/>
  <c r="G99" i="23" s="1"/>
  <c r="D98" i="23"/>
  <c r="C98" i="23"/>
  <c r="D97" i="23"/>
  <c r="C97" i="23"/>
  <c r="D96" i="23"/>
  <c r="C96" i="23"/>
  <c r="H95" i="23"/>
  <c r="D95" i="23"/>
  <c r="C95" i="23"/>
  <c r="G95" i="23" s="1"/>
  <c r="H94" i="23"/>
  <c r="D94" i="23"/>
  <c r="C94" i="23"/>
  <c r="G94" i="23" s="1"/>
  <c r="D93" i="23"/>
  <c r="C93" i="23"/>
  <c r="D92" i="23"/>
  <c r="C92" i="23"/>
  <c r="H91" i="23"/>
  <c r="D91" i="23"/>
  <c r="C91" i="23"/>
  <c r="G91" i="23" s="1"/>
  <c r="H90" i="23"/>
  <c r="D90" i="23"/>
  <c r="C90" i="23"/>
  <c r="G90" i="23" s="1"/>
  <c r="D89" i="23"/>
  <c r="C89" i="23"/>
  <c r="H88" i="23"/>
  <c r="D88" i="23"/>
  <c r="C88" i="23"/>
  <c r="G88" i="23" s="1"/>
  <c r="H87" i="23"/>
  <c r="D87" i="23"/>
  <c r="C87" i="23"/>
  <c r="G87" i="23" s="1"/>
  <c r="D86" i="23"/>
  <c r="C86" i="23"/>
  <c r="D85" i="23"/>
  <c r="C85" i="23"/>
  <c r="H84" i="23"/>
  <c r="D84" i="23"/>
  <c r="C84" i="23"/>
  <c r="G84" i="23" s="1"/>
  <c r="H83" i="23"/>
  <c r="D83" i="23"/>
  <c r="C83" i="23"/>
  <c r="G83" i="23" s="1"/>
  <c r="D82" i="23"/>
  <c r="C82" i="23"/>
  <c r="D81" i="23"/>
  <c r="C81" i="23"/>
  <c r="D80" i="23"/>
  <c r="C80" i="23"/>
  <c r="D79" i="23"/>
  <c r="C79" i="23"/>
  <c r="H79" i="23" s="1"/>
  <c r="D78" i="23"/>
  <c r="C78" i="23"/>
  <c r="H78" i="23" s="1"/>
  <c r="D77" i="23"/>
  <c r="C77" i="23"/>
  <c r="H77" i="23" s="1"/>
  <c r="D76" i="23"/>
  <c r="C76" i="23"/>
  <c r="H76" i="23" s="1"/>
  <c r="D75" i="23"/>
  <c r="C75" i="23"/>
  <c r="H75" i="23" s="1"/>
  <c r="D74" i="23"/>
  <c r="C74" i="23"/>
  <c r="H74" i="23" s="1"/>
  <c r="D73" i="23"/>
  <c r="C73" i="23"/>
  <c r="H73" i="23" s="1"/>
  <c r="D72" i="23"/>
  <c r="C72" i="23"/>
  <c r="H72" i="23" s="1"/>
  <c r="D71" i="23"/>
  <c r="C71" i="23"/>
  <c r="H71" i="23" s="1"/>
  <c r="D70" i="23"/>
  <c r="C70" i="23"/>
  <c r="H70" i="23" s="1"/>
  <c r="D69" i="23"/>
  <c r="C69" i="23"/>
  <c r="H69" i="23" s="1"/>
  <c r="D68" i="23"/>
  <c r="C68" i="23"/>
  <c r="H68" i="23" s="1"/>
  <c r="D67" i="23"/>
  <c r="C67" i="23"/>
  <c r="H67" i="23" s="1"/>
  <c r="D66" i="23"/>
  <c r="C66" i="23"/>
  <c r="H66" i="23" s="1"/>
  <c r="D65" i="23"/>
  <c r="C65" i="23"/>
  <c r="H65" i="23" s="1"/>
  <c r="D64" i="23"/>
  <c r="C64" i="23"/>
  <c r="H64" i="23" s="1"/>
  <c r="D63" i="23"/>
  <c r="C63" i="23"/>
  <c r="H63" i="23" s="1"/>
  <c r="D62" i="23"/>
  <c r="C62" i="23"/>
  <c r="H62" i="23" s="1"/>
  <c r="D61" i="23"/>
  <c r="C61" i="23"/>
  <c r="H61" i="23" s="1"/>
  <c r="D60" i="23"/>
  <c r="C60" i="23"/>
  <c r="H60" i="23" s="1"/>
  <c r="D59" i="23"/>
  <c r="C59" i="23"/>
  <c r="H59" i="23" s="1"/>
  <c r="D58" i="23"/>
  <c r="C58" i="23"/>
  <c r="H58" i="23" s="1"/>
  <c r="D57" i="23"/>
  <c r="C57" i="23"/>
  <c r="H57" i="23" s="1"/>
  <c r="D56" i="23"/>
  <c r="C56" i="23"/>
  <c r="H56" i="23" s="1"/>
  <c r="D55" i="23"/>
  <c r="C55" i="23"/>
  <c r="H55" i="23" s="1"/>
  <c r="D54" i="23"/>
  <c r="C54" i="23"/>
  <c r="H54" i="23" s="1"/>
  <c r="D53" i="23"/>
  <c r="C53" i="23"/>
  <c r="H53" i="23" s="1"/>
  <c r="D52" i="23"/>
  <c r="C52" i="23"/>
  <c r="H52" i="23" s="1"/>
  <c r="D51" i="23"/>
  <c r="C51" i="23"/>
  <c r="H51" i="23" s="1"/>
  <c r="D50" i="23"/>
  <c r="C50" i="23"/>
  <c r="H50" i="23" s="1"/>
  <c r="D49" i="23"/>
  <c r="C49" i="23"/>
  <c r="H49" i="23" s="1"/>
  <c r="D48" i="23"/>
  <c r="C48" i="23"/>
  <c r="H48" i="23" s="1"/>
  <c r="D47" i="23"/>
  <c r="C47" i="23"/>
  <c r="H47" i="23" s="1"/>
  <c r="D46" i="23"/>
  <c r="C46" i="23"/>
  <c r="H46" i="23" s="1"/>
  <c r="D45" i="23"/>
  <c r="C45" i="23"/>
  <c r="H45" i="23" s="1"/>
  <c r="D44" i="23"/>
  <c r="C44" i="23"/>
  <c r="H44" i="23" s="1"/>
  <c r="D33" i="23"/>
  <c r="C33" i="23"/>
  <c r="D32" i="23"/>
  <c r="C32" i="23"/>
  <c r="D31" i="23"/>
  <c r="C31" i="23"/>
  <c r="D30" i="23"/>
  <c r="C30" i="23"/>
  <c r="I20" i="23"/>
  <c r="E19" i="23"/>
  <c r="E18" i="23"/>
  <c r="I16" i="23"/>
  <c r="E16" i="23"/>
  <c r="B12" i="23"/>
  <c r="B11" i="23"/>
  <c r="B9" i="23"/>
  <c r="B1" i="23"/>
  <c r="E226" i="30"/>
  <c r="D226" i="30"/>
  <c r="C226" i="30"/>
  <c r="G226" i="30" s="1"/>
  <c r="M226" i="30" s="1"/>
  <c r="I225" i="30"/>
  <c r="E225" i="30"/>
  <c r="D225" i="30"/>
  <c r="C225" i="30"/>
  <c r="K224" i="30"/>
  <c r="E224" i="30"/>
  <c r="D224" i="30"/>
  <c r="C224" i="30"/>
  <c r="J223" i="30"/>
  <c r="F223" i="30"/>
  <c r="E223" i="30"/>
  <c r="D223" i="30"/>
  <c r="C223" i="30"/>
  <c r="L223" i="30" s="1"/>
  <c r="L222" i="30"/>
  <c r="G222" i="30"/>
  <c r="M222" i="30" s="1"/>
  <c r="E222" i="30"/>
  <c r="D222" i="30"/>
  <c r="C222" i="30"/>
  <c r="K222" i="30" s="1"/>
  <c r="E221" i="30"/>
  <c r="D221" i="30"/>
  <c r="C221" i="30"/>
  <c r="L221" i="30" s="1"/>
  <c r="E220" i="30"/>
  <c r="D220" i="30"/>
  <c r="C220" i="30"/>
  <c r="G220" i="30" s="1"/>
  <c r="M220" i="30" s="1"/>
  <c r="J219" i="30"/>
  <c r="F219" i="30"/>
  <c r="E219" i="30"/>
  <c r="D219" i="30"/>
  <c r="C219" i="30"/>
  <c r="L219" i="30" s="1"/>
  <c r="E218" i="30"/>
  <c r="D218" i="30"/>
  <c r="C218" i="30"/>
  <c r="G218" i="30" s="1"/>
  <c r="M218" i="30" s="1"/>
  <c r="F217" i="30"/>
  <c r="E217" i="30"/>
  <c r="D217" i="30"/>
  <c r="C217" i="30"/>
  <c r="E216" i="30"/>
  <c r="D216" i="30"/>
  <c r="C216" i="30"/>
  <c r="G216" i="30" s="1"/>
  <c r="M216" i="30" s="1"/>
  <c r="J215" i="30"/>
  <c r="F215" i="30"/>
  <c r="E215" i="30"/>
  <c r="D215" i="30"/>
  <c r="C215" i="30"/>
  <c r="L215" i="30" s="1"/>
  <c r="L214" i="30"/>
  <c r="G214" i="30"/>
  <c r="M214" i="30" s="1"/>
  <c r="E214" i="30"/>
  <c r="D214" i="30"/>
  <c r="C214" i="30"/>
  <c r="K214" i="30" s="1"/>
  <c r="J213" i="30"/>
  <c r="F213" i="30"/>
  <c r="E213" i="30"/>
  <c r="D213" i="30"/>
  <c r="C213" i="30"/>
  <c r="L213" i="30" s="1"/>
  <c r="G212" i="30"/>
  <c r="M212" i="30" s="1"/>
  <c r="E212" i="30"/>
  <c r="D212" i="30"/>
  <c r="C212" i="30"/>
  <c r="E211" i="30"/>
  <c r="D211" i="30"/>
  <c r="C211" i="30"/>
  <c r="L211" i="30" s="1"/>
  <c r="E210" i="30"/>
  <c r="D210" i="30"/>
  <c r="C210" i="30"/>
  <c r="G210" i="30" s="1"/>
  <c r="M210" i="30" s="1"/>
  <c r="E209" i="30"/>
  <c r="D209" i="30"/>
  <c r="C209" i="30"/>
  <c r="I209" i="30" s="1"/>
  <c r="E208" i="30"/>
  <c r="D208" i="30"/>
  <c r="C208" i="30"/>
  <c r="L208" i="30" s="1"/>
  <c r="E207" i="30"/>
  <c r="D207" i="30"/>
  <c r="C207" i="30"/>
  <c r="J207" i="30" s="1"/>
  <c r="L206" i="30"/>
  <c r="K206" i="30"/>
  <c r="G206" i="30"/>
  <c r="M206" i="30" s="1"/>
  <c r="E206" i="30"/>
  <c r="D206" i="30"/>
  <c r="C206" i="30"/>
  <c r="I206" i="30" s="1"/>
  <c r="E205" i="30"/>
  <c r="D205" i="30"/>
  <c r="C205" i="30"/>
  <c r="F205" i="30" s="1"/>
  <c r="E204" i="30"/>
  <c r="D204" i="30"/>
  <c r="C204" i="30"/>
  <c r="L204" i="30" s="1"/>
  <c r="E203" i="30"/>
  <c r="D203" i="30"/>
  <c r="C203" i="30"/>
  <c r="J203" i="30" s="1"/>
  <c r="L202" i="30"/>
  <c r="K202" i="30"/>
  <c r="G202" i="30"/>
  <c r="M202" i="30" s="1"/>
  <c r="E202" i="30"/>
  <c r="D202" i="30"/>
  <c r="C202" i="30"/>
  <c r="I202" i="30" s="1"/>
  <c r="F201" i="30"/>
  <c r="E201" i="30"/>
  <c r="D201" i="30"/>
  <c r="C201" i="30"/>
  <c r="L201" i="30" s="1"/>
  <c r="E200" i="30"/>
  <c r="D200" i="30"/>
  <c r="C200" i="30"/>
  <c r="I200" i="30" s="1"/>
  <c r="F199" i="30"/>
  <c r="E199" i="30"/>
  <c r="D199" i="30"/>
  <c r="C199" i="30"/>
  <c r="I199" i="30" s="1"/>
  <c r="E198" i="30"/>
  <c r="D198" i="30"/>
  <c r="C198" i="30"/>
  <c r="K198" i="30" s="1"/>
  <c r="E197" i="30"/>
  <c r="D197" i="30"/>
  <c r="C197" i="30"/>
  <c r="J197" i="30" s="1"/>
  <c r="H196" i="30"/>
  <c r="E196" i="30"/>
  <c r="D196" i="30"/>
  <c r="C196" i="30"/>
  <c r="E195" i="30"/>
  <c r="D195" i="30"/>
  <c r="C195" i="30"/>
  <c r="I195" i="30" s="1"/>
  <c r="L194" i="30"/>
  <c r="H194" i="30"/>
  <c r="E194" i="30"/>
  <c r="D194" i="30"/>
  <c r="C194" i="30"/>
  <c r="K194" i="30" s="1"/>
  <c r="E193" i="30"/>
  <c r="D193" i="30"/>
  <c r="C193" i="30"/>
  <c r="I193" i="30" s="1"/>
  <c r="I192" i="30"/>
  <c r="E192" i="30"/>
  <c r="D192" i="30"/>
  <c r="C192" i="30"/>
  <c r="F191" i="30"/>
  <c r="E191" i="30"/>
  <c r="D191" i="30"/>
  <c r="C191" i="30"/>
  <c r="I191" i="30" s="1"/>
  <c r="L190" i="30"/>
  <c r="H190" i="30"/>
  <c r="E190" i="30"/>
  <c r="D190" i="30"/>
  <c r="C190" i="30"/>
  <c r="K190" i="30" s="1"/>
  <c r="J189" i="30"/>
  <c r="E189" i="30"/>
  <c r="D189" i="30"/>
  <c r="C189" i="30"/>
  <c r="E188" i="30"/>
  <c r="D188" i="30"/>
  <c r="C188" i="30"/>
  <c r="H188" i="30" s="1"/>
  <c r="F187" i="30"/>
  <c r="E187" i="30"/>
  <c r="D187" i="30"/>
  <c r="C187" i="30"/>
  <c r="I187" i="30" s="1"/>
  <c r="L186" i="30"/>
  <c r="H186" i="30"/>
  <c r="E186" i="30"/>
  <c r="D186" i="30"/>
  <c r="C186" i="30"/>
  <c r="K186" i="30" s="1"/>
  <c r="F185" i="30"/>
  <c r="E185" i="30"/>
  <c r="D185" i="30"/>
  <c r="C185" i="30"/>
  <c r="I185" i="30" s="1"/>
  <c r="E184" i="30"/>
  <c r="D184" i="30"/>
  <c r="C184" i="30"/>
  <c r="I184" i="30" s="1"/>
  <c r="F183" i="30"/>
  <c r="E183" i="30"/>
  <c r="D183" i="30"/>
  <c r="C183" i="30"/>
  <c r="I183" i="30" s="1"/>
  <c r="E182" i="30"/>
  <c r="D182" i="30"/>
  <c r="C182" i="30"/>
  <c r="K182" i="30" s="1"/>
  <c r="E181" i="30"/>
  <c r="D181" i="30"/>
  <c r="C181" i="30"/>
  <c r="J181" i="30" s="1"/>
  <c r="H180" i="30"/>
  <c r="E180" i="30"/>
  <c r="D180" i="30"/>
  <c r="C180" i="30"/>
  <c r="E179" i="30"/>
  <c r="D179" i="30"/>
  <c r="C179" i="30"/>
  <c r="J179" i="30" s="1"/>
  <c r="E178" i="30"/>
  <c r="D178" i="30"/>
  <c r="C178" i="30"/>
  <c r="K178" i="30" s="1"/>
  <c r="E177" i="30"/>
  <c r="D177" i="30"/>
  <c r="C177" i="30"/>
  <c r="J177" i="30" s="1"/>
  <c r="E176" i="30"/>
  <c r="D176" i="30"/>
  <c r="C176" i="30"/>
  <c r="I176" i="30" s="1"/>
  <c r="E175" i="30"/>
  <c r="D175" i="30"/>
  <c r="C175" i="30"/>
  <c r="J175" i="30" s="1"/>
  <c r="L174" i="30"/>
  <c r="H174" i="30"/>
  <c r="E174" i="30"/>
  <c r="D174" i="30"/>
  <c r="C174" i="30"/>
  <c r="K174" i="30" s="1"/>
  <c r="E173" i="30"/>
  <c r="D173" i="30"/>
  <c r="C173" i="30"/>
  <c r="J173" i="30" s="1"/>
  <c r="E172" i="30"/>
  <c r="D172" i="30"/>
  <c r="C172" i="30"/>
  <c r="H172" i="30" s="1"/>
  <c r="E171" i="30"/>
  <c r="D171" i="30"/>
  <c r="C171" i="30"/>
  <c r="J171" i="30" s="1"/>
  <c r="L170" i="30"/>
  <c r="H170" i="30"/>
  <c r="E170" i="30"/>
  <c r="D170" i="30"/>
  <c r="C170" i="30"/>
  <c r="K170" i="30" s="1"/>
  <c r="E169" i="30"/>
  <c r="D169" i="30"/>
  <c r="C169" i="30"/>
  <c r="J169" i="30" s="1"/>
  <c r="I168" i="30"/>
  <c r="E168" i="30"/>
  <c r="D168" i="30"/>
  <c r="C168" i="30"/>
  <c r="E167" i="30"/>
  <c r="D167" i="30"/>
  <c r="C167" i="30"/>
  <c r="J167" i="30" s="1"/>
  <c r="L166" i="30"/>
  <c r="H166" i="30"/>
  <c r="E166" i="30"/>
  <c r="D166" i="30"/>
  <c r="C166" i="30"/>
  <c r="K166" i="30" s="1"/>
  <c r="E165" i="30"/>
  <c r="D165" i="30"/>
  <c r="C165" i="30"/>
  <c r="J165" i="30" s="1"/>
  <c r="H164" i="30"/>
  <c r="E164" i="30"/>
  <c r="D164" i="30"/>
  <c r="C164" i="30"/>
  <c r="E163" i="30"/>
  <c r="D163" i="30"/>
  <c r="C163" i="30"/>
  <c r="J163" i="30" s="1"/>
  <c r="E162" i="30"/>
  <c r="D162" i="30"/>
  <c r="C162" i="30"/>
  <c r="K162" i="30" s="1"/>
  <c r="E161" i="30"/>
  <c r="D161" i="30"/>
  <c r="C161" i="30"/>
  <c r="J161" i="30" s="1"/>
  <c r="E160" i="30"/>
  <c r="D160" i="30"/>
  <c r="C160" i="30"/>
  <c r="I160" i="30" s="1"/>
  <c r="E159" i="30"/>
  <c r="D159" i="30"/>
  <c r="C159" i="30"/>
  <c r="J159" i="30" s="1"/>
  <c r="L158" i="30"/>
  <c r="H158" i="30"/>
  <c r="E158" i="30"/>
  <c r="D158" i="30"/>
  <c r="C158" i="30"/>
  <c r="K158" i="30" s="1"/>
  <c r="E157" i="30"/>
  <c r="D157" i="30"/>
  <c r="C157" i="30"/>
  <c r="J157" i="30" s="1"/>
  <c r="E156" i="30"/>
  <c r="D156" i="30"/>
  <c r="C156" i="30"/>
  <c r="H156" i="30" s="1"/>
  <c r="E155" i="30"/>
  <c r="D155" i="30"/>
  <c r="C155" i="30"/>
  <c r="J155" i="30" s="1"/>
  <c r="L154" i="30"/>
  <c r="H154" i="30"/>
  <c r="E154" i="30"/>
  <c r="D154" i="30"/>
  <c r="C154" i="30"/>
  <c r="K154" i="30" s="1"/>
  <c r="E153" i="30"/>
  <c r="D153" i="30"/>
  <c r="C153" i="30"/>
  <c r="J153" i="30" s="1"/>
  <c r="I152" i="30"/>
  <c r="E152" i="30"/>
  <c r="D152" i="30"/>
  <c r="C152" i="30"/>
  <c r="E151" i="30"/>
  <c r="D151" i="30"/>
  <c r="C151" i="30"/>
  <c r="J151" i="30" s="1"/>
  <c r="L150" i="30"/>
  <c r="H150" i="30"/>
  <c r="E150" i="30"/>
  <c r="D150" i="30"/>
  <c r="C150" i="30"/>
  <c r="K150" i="30" s="1"/>
  <c r="E149" i="30"/>
  <c r="D149" i="30"/>
  <c r="C149" i="30"/>
  <c r="J149" i="30" s="1"/>
  <c r="H148" i="30"/>
  <c r="E148" i="30"/>
  <c r="D148" i="30"/>
  <c r="C148" i="30"/>
  <c r="E147" i="30"/>
  <c r="D147" i="30"/>
  <c r="C147" i="30"/>
  <c r="J147" i="30" s="1"/>
  <c r="E146" i="30"/>
  <c r="D146" i="30"/>
  <c r="C146" i="30"/>
  <c r="K146" i="30" s="1"/>
  <c r="E145" i="30"/>
  <c r="D145" i="30"/>
  <c r="C145" i="30"/>
  <c r="J145" i="30" s="1"/>
  <c r="E144" i="30"/>
  <c r="D144" i="30"/>
  <c r="C144" i="30"/>
  <c r="I144" i="30" s="1"/>
  <c r="E143" i="30"/>
  <c r="D143" i="30"/>
  <c r="C143" i="30"/>
  <c r="J143" i="30" s="1"/>
  <c r="L142" i="30"/>
  <c r="H142" i="30"/>
  <c r="E142" i="30"/>
  <c r="D142" i="30"/>
  <c r="C142" i="30"/>
  <c r="K142" i="30" s="1"/>
  <c r="E141" i="30"/>
  <c r="D141" i="30"/>
  <c r="C141" i="30"/>
  <c r="J141" i="30" s="1"/>
  <c r="E140" i="30"/>
  <c r="D140" i="30"/>
  <c r="C140" i="30"/>
  <c r="H140" i="30" s="1"/>
  <c r="E139" i="30"/>
  <c r="D139" i="30"/>
  <c r="C139" i="30"/>
  <c r="J139" i="30" s="1"/>
  <c r="L138" i="30"/>
  <c r="H138" i="30"/>
  <c r="E138" i="30"/>
  <c r="D138" i="30"/>
  <c r="C138" i="30"/>
  <c r="K138" i="30" s="1"/>
  <c r="E137" i="30"/>
  <c r="D137" i="30"/>
  <c r="C137" i="30"/>
  <c r="J137" i="30" s="1"/>
  <c r="I136" i="30"/>
  <c r="E136" i="30"/>
  <c r="D136" i="30"/>
  <c r="C136" i="30"/>
  <c r="E135" i="30"/>
  <c r="D135" i="30"/>
  <c r="C135" i="30"/>
  <c r="J135" i="30" s="1"/>
  <c r="L134" i="30"/>
  <c r="H134" i="30"/>
  <c r="E134" i="30"/>
  <c r="D134" i="30"/>
  <c r="C134" i="30"/>
  <c r="K134" i="30" s="1"/>
  <c r="E133" i="30"/>
  <c r="D133" i="30"/>
  <c r="C133" i="30"/>
  <c r="J133" i="30" s="1"/>
  <c r="H132" i="30"/>
  <c r="E132" i="30"/>
  <c r="D132" i="30"/>
  <c r="C132" i="30"/>
  <c r="E131" i="30"/>
  <c r="D131" i="30"/>
  <c r="C131" i="30"/>
  <c r="J131" i="30" s="1"/>
  <c r="E130" i="30"/>
  <c r="D130" i="30"/>
  <c r="C130" i="30"/>
  <c r="K130" i="30" s="1"/>
  <c r="E129" i="30"/>
  <c r="D129" i="30"/>
  <c r="C129" i="30"/>
  <c r="J129" i="30" s="1"/>
  <c r="E128" i="30"/>
  <c r="D128" i="30"/>
  <c r="C128" i="30"/>
  <c r="I128" i="30" s="1"/>
  <c r="E127" i="30"/>
  <c r="D127" i="30"/>
  <c r="C127" i="30"/>
  <c r="J127" i="30" s="1"/>
  <c r="L126" i="30"/>
  <c r="H126" i="30"/>
  <c r="E126" i="30"/>
  <c r="D126" i="30"/>
  <c r="C126" i="30"/>
  <c r="K126" i="30" s="1"/>
  <c r="E125" i="30"/>
  <c r="D125" i="30"/>
  <c r="C125" i="30"/>
  <c r="J125" i="30" s="1"/>
  <c r="E124" i="30"/>
  <c r="D124" i="30"/>
  <c r="C124" i="30"/>
  <c r="H124" i="30" s="1"/>
  <c r="E123" i="30"/>
  <c r="D123" i="30"/>
  <c r="C123" i="30"/>
  <c r="J123" i="30" s="1"/>
  <c r="L122" i="30"/>
  <c r="H122" i="30"/>
  <c r="E122" i="30"/>
  <c r="D122" i="30"/>
  <c r="C122" i="30"/>
  <c r="K122" i="30" s="1"/>
  <c r="E121" i="30"/>
  <c r="D121" i="30"/>
  <c r="C121" i="30"/>
  <c r="J121" i="30" s="1"/>
  <c r="E120" i="30"/>
  <c r="D120" i="30"/>
  <c r="C120" i="30"/>
  <c r="L120" i="30" s="1"/>
  <c r="E119" i="30"/>
  <c r="D119" i="30"/>
  <c r="C119" i="30"/>
  <c r="J119" i="30" s="1"/>
  <c r="I118" i="30"/>
  <c r="E118" i="30"/>
  <c r="D118" i="30"/>
  <c r="C118" i="30"/>
  <c r="L118" i="30" s="1"/>
  <c r="E117" i="30"/>
  <c r="D117" i="30"/>
  <c r="C117" i="30"/>
  <c r="J117" i="30" s="1"/>
  <c r="E116" i="30"/>
  <c r="D116" i="30"/>
  <c r="C116" i="30"/>
  <c r="E115" i="30"/>
  <c r="D115" i="30"/>
  <c r="C115" i="30"/>
  <c r="J115" i="30" s="1"/>
  <c r="E114" i="30"/>
  <c r="D114" i="30"/>
  <c r="C114" i="30"/>
  <c r="L114" i="30" s="1"/>
  <c r="E113" i="30"/>
  <c r="D113" i="30"/>
  <c r="C113" i="30"/>
  <c r="J113" i="30" s="1"/>
  <c r="I112" i="30"/>
  <c r="E112" i="30"/>
  <c r="D112" i="30"/>
  <c r="C112" i="30"/>
  <c r="L112" i="30" s="1"/>
  <c r="E111" i="30"/>
  <c r="D111" i="30"/>
  <c r="C111" i="30"/>
  <c r="J111" i="30" s="1"/>
  <c r="I110" i="30"/>
  <c r="E110" i="30"/>
  <c r="D110" i="30"/>
  <c r="C110" i="30"/>
  <c r="L110" i="30" s="1"/>
  <c r="E109" i="30"/>
  <c r="D109" i="30"/>
  <c r="C109" i="30"/>
  <c r="J109" i="30" s="1"/>
  <c r="E108" i="30"/>
  <c r="D108" i="30"/>
  <c r="C108" i="30"/>
  <c r="E107" i="30"/>
  <c r="D107" i="30"/>
  <c r="C107" i="30"/>
  <c r="J107" i="30" s="1"/>
  <c r="I106" i="30"/>
  <c r="E106" i="30"/>
  <c r="D106" i="30"/>
  <c r="C106" i="30"/>
  <c r="L106" i="30" s="1"/>
  <c r="E105" i="30"/>
  <c r="D105" i="30"/>
  <c r="C105" i="30"/>
  <c r="J105" i="30" s="1"/>
  <c r="E104" i="30"/>
  <c r="D104" i="30"/>
  <c r="C104" i="30"/>
  <c r="L104" i="30" s="1"/>
  <c r="E103" i="30"/>
  <c r="D103" i="30"/>
  <c r="C103" i="30"/>
  <c r="J103" i="30" s="1"/>
  <c r="I102" i="30"/>
  <c r="E102" i="30"/>
  <c r="D102" i="30"/>
  <c r="C102" i="30"/>
  <c r="L102" i="30" s="1"/>
  <c r="E101" i="30"/>
  <c r="D101" i="30"/>
  <c r="C101" i="30"/>
  <c r="J101" i="30" s="1"/>
  <c r="E100" i="30"/>
  <c r="D100" i="30"/>
  <c r="C100" i="30"/>
  <c r="E99" i="30"/>
  <c r="D99" i="30"/>
  <c r="C99" i="30"/>
  <c r="J99" i="30" s="1"/>
  <c r="E98" i="30"/>
  <c r="D98" i="30"/>
  <c r="C98" i="30"/>
  <c r="L98" i="30" s="1"/>
  <c r="E97" i="30"/>
  <c r="D97" i="30"/>
  <c r="C97" i="30"/>
  <c r="J97" i="30" s="1"/>
  <c r="I96" i="30"/>
  <c r="E96" i="30"/>
  <c r="D96" i="30"/>
  <c r="C96" i="30"/>
  <c r="L96" i="30" s="1"/>
  <c r="E95" i="30"/>
  <c r="D95" i="30"/>
  <c r="C95" i="30"/>
  <c r="J95" i="30" s="1"/>
  <c r="I94" i="30"/>
  <c r="E94" i="30"/>
  <c r="D94" i="30"/>
  <c r="C94" i="30"/>
  <c r="L94" i="30" s="1"/>
  <c r="E93" i="30"/>
  <c r="D93" i="30"/>
  <c r="C93" i="30"/>
  <c r="J93" i="30" s="1"/>
  <c r="E92" i="30"/>
  <c r="D92" i="30"/>
  <c r="C92" i="30"/>
  <c r="E91" i="30"/>
  <c r="D91" i="30"/>
  <c r="C91" i="30"/>
  <c r="J91" i="30" s="1"/>
  <c r="E90" i="30"/>
  <c r="D90" i="30"/>
  <c r="C90" i="30"/>
  <c r="L90" i="30" s="1"/>
  <c r="E89" i="30"/>
  <c r="D89" i="30"/>
  <c r="C89" i="30"/>
  <c r="J89" i="30" s="1"/>
  <c r="E88" i="30"/>
  <c r="D88" i="30"/>
  <c r="C88" i="30"/>
  <c r="L88" i="30" s="1"/>
  <c r="I87" i="30"/>
  <c r="E87" i="30"/>
  <c r="D87" i="30"/>
  <c r="C87" i="30"/>
  <c r="J87" i="30" s="1"/>
  <c r="E86" i="30"/>
  <c r="D86" i="30"/>
  <c r="C86" i="30"/>
  <c r="L86" i="30" s="1"/>
  <c r="E85" i="30"/>
  <c r="D85" i="30"/>
  <c r="C85" i="30"/>
  <c r="E84" i="30"/>
  <c r="D84" i="30"/>
  <c r="C84" i="30"/>
  <c r="L84" i="30" s="1"/>
  <c r="E83" i="30"/>
  <c r="D83" i="30"/>
  <c r="C83" i="30"/>
  <c r="J83" i="30" s="1"/>
  <c r="E82" i="30"/>
  <c r="D82" i="30"/>
  <c r="C82" i="30"/>
  <c r="L82" i="30" s="1"/>
  <c r="I81" i="30"/>
  <c r="E81" i="30"/>
  <c r="D81" i="30"/>
  <c r="C81" i="30"/>
  <c r="J81" i="30" s="1"/>
  <c r="E80" i="30"/>
  <c r="D80" i="30"/>
  <c r="C80" i="30"/>
  <c r="L80" i="30" s="1"/>
  <c r="I79" i="30"/>
  <c r="E79" i="30"/>
  <c r="D79" i="30"/>
  <c r="C79" i="30"/>
  <c r="J79" i="30" s="1"/>
  <c r="E78" i="30"/>
  <c r="D78" i="30"/>
  <c r="C78" i="30"/>
  <c r="L78" i="30" s="1"/>
  <c r="E77" i="30"/>
  <c r="D77" i="30"/>
  <c r="C77" i="30"/>
  <c r="E76" i="30"/>
  <c r="D76" i="30"/>
  <c r="C76" i="30"/>
  <c r="L76" i="30" s="1"/>
  <c r="I75" i="30"/>
  <c r="E75" i="30"/>
  <c r="D75" i="30"/>
  <c r="C75" i="30"/>
  <c r="J75" i="30" s="1"/>
  <c r="E74" i="30"/>
  <c r="D74" i="30"/>
  <c r="C74" i="30"/>
  <c r="L74" i="30" s="1"/>
  <c r="E73" i="30"/>
  <c r="D73" i="30"/>
  <c r="C73" i="30"/>
  <c r="J73" i="30" s="1"/>
  <c r="E72" i="30"/>
  <c r="D72" i="30"/>
  <c r="C72" i="30"/>
  <c r="L72" i="30" s="1"/>
  <c r="I71" i="30"/>
  <c r="E71" i="30"/>
  <c r="D71" i="30"/>
  <c r="C71" i="30"/>
  <c r="J71" i="30" s="1"/>
  <c r="E70" i="30"/>
  <c r="D70" i="30"/>
  <c r="C70" i="30"/>
  <c r="L70" i="30" s="1"/>
  <c r="E69" i="30"/>
  <c r="D69" i="30"/>
  <c r="C69" i="30"/>
  <c r="J69" i="30" s="1"/>
  <c r="E68" i="30"/>
  <c r="D68" i="30"/>
  <c r="C68" i="30"/>
  <c r="L68" i="30" s="1"/>
  <c r="I67" i="30"/>
  <c r="E67" i="30"/>
  <c r="D67" i="30"/>
  <c r="C67" i="30"/>
  <c r="J67" i="30" s="1"/>
  <c r="E66" i="30"/>
  <c r="D66" i="30"/>
  <c r="C66" i="30"/>
  <c r="L66" i="30" s="1"/>
  <c r="E65" i="30"/>
  <c r="D65" i="30"/>
  <c r="C65" i="30"/>
  <c r="J65" i="30" s="1"/>
  <c r="E64" i="30"/>
  <c r="D64" i="30"/>
  <c r="C64" i="30"/>
  <c r="L64" i="30" s="1"/>
  <c r="I63" i="30"/>
  <c r="E63" i="30"/>
  <c r="D63" i="30"/>
  <c r="C63" i="30"/>
  <c r="J63" i="30" s="1"/>
  <c r="E62" i="30"/>
  <c r="D62" i="30"/>
  <c r="C62" i="30"/>
  <c r="L62" i="30" s="1"/>
  <c r="E61" i="30"/>
  <c r="D61" i="30"/>
  <c r="C61" i="30"/>
  <c r="J61" i="30" s="1"/>
  <c r="E60" i="30"/>
  <c r="D60" i="30"/>
  <c r="C60" i="30"/>
  <c r="L60" i="30" s="1"/>
  <c r="I59" i="30"/>
  <c r="E59" i="30"/>
  <c r="D59" i="30"/>
  <c r="C59" i="30"/>
  <c r="J59" i="30" s="1"/>
  <c r="E58" i="30"/>
  <c r="D58" i="30"/>
  <c r="C58" i="30"/>
  <c r="L58" i="30" s="1"/>
  <c r="E57" i="30"/>
  <c r="D57" i="30"/>
  <c r="C57" i="30"/>
  <c r="J57" i="30" s="1"/>
  <c r="E56" i="30"/>
  <c r="D56" i="30"/>
  <c r="C56" i="30"/>
  <c r="L56" i="30" s="1"/>
  <c r="I55" i="30"/>
  <c r="E55" i="30"/>
  <c r="D55" i="30"/>
  <c r="C55" i="30"/>
  <c r="J55" i="30" s="1"/>
  <c r="E54" i="30"/>
  <c r="D54" i="30"/>
  <c r="C54" i="30"/>
  <c r="L54" i="30" s="1"/>
  <c r="E53" i="30"/>
  <c r="D53" i="30"/>
  <c r="C53" i="30"/>
  <c r="J53" i="30" s="1"/>
  <c r="E52" i="30"/>
  <c r="D52" i="30"/>
  <c r="C52" i="30"/>
  <c r="L52" i="30" s="1"/>
  <c r="I51" i="30"/>
  <c r="E51" i="30"/>
  <c r="D51" i="30"/>
  <c r="C51" i="30"/>
  <c r="J51" i="30" s="1"/>
  <c r="E50" i="30"/>
  <c r="D50" i="30"/>
  <c r="C50" i="30"/>
  <c r="L50" i="30" s="1"/>
  <c r="E49" i="30"/>
  <c r="D49" i="30"/>
  <c r="C49" i="30"/>
  <c r="J49" i="30" s="1"/>
  <c r="E48" i="30"/>
  <c r="D48" i="30"/>
  <c r="C48" i="30"/>
  <c r="L48" i="30" s="1"/>
  <c r="I47" i="30"/>
  <c r="E47" i="30"/>
  <c r="D47" i="30"/>
  <c r="C47" i="30"/>
  <c r="J47" i="30" s="1"/>
  <c r="E46" i="30"/>
  <c r="D46" i="30"/>
  <c r="C46" i="30"/>
  <c r="L46" i="30" s="1"/>
  <c r="E45" i="30"/>
  <c r="D45" i="30"/>
  <c r="C45" i="30"/>
  <c r="J45" i="30" s="1"/>
  <c r="E44" i="30"/>
  <c r="D44" i="30"/>
  <c r="C44" i="30"/>
  <c r="L44" i="30" s="1"/>
  <c r="I43" i="30"/>
  <c r="E43" i="30"/>
  <c r="D43" i="30"/>
  <c r="C43" i="30"/>
  <c r="J43" i="30" s="1"/>
  <c r="E42" i="30"/>
  <c r="D42" i="30"/>
  <c r="C42" i="30"/>
  <c r="L42" i="30" s="1"/>
  <c r="E41" i="30"/>
  <c r="D41" i="30"/>
  <c r="C41" i="30"/>
  <c r="J41" i="30" s="1"/>
  <c r="E30" i="30"/>
  <c r="D30" i="30"/>
  <c r="C30" i="30"/>
  <c r="L30" i="30" s="1"/>
  <c r="E29" i="30"/>
  <c r="D29" i="30"/>
  <c r="C29" i="30"/>
  <c r="L29" i="30" s="1"/>
  <c r="E28" i="30"/>
  <c r="D28" i="30"/>
  <c r="C28" i="30"/>
  <c r="L28" i="30" s="1"/>
  <c r="E27" i="30"/>
  <c r="D27" i="30"/>
  <c r="C27" i="30"/>
  <c r="L27" i="30" s="1"/>
  <c r="G20" i="30"/>
  <c r="G19" i="30"/>
  <c r="K17" i="30"/>
  <c r="F17" i="30"/>
  <c r="F16" i="30"/>
  <c r="F15" i="30"/>
  <c r="F14" i="30"/>
  <c r="B10" i="30"/>
  <c r="B9" i="30"/>
  <c r="B7" i="30"/>
  <c r="B1" i="30"/>
  <c r="G2104" i="37"/>
  <c r="G2103" i="37"/>
  <c r="G2102" i="37"/>
  <c r="G2101" i="37"/>
  <c r="G2100" i="37"/>
  <c r="G2099" i="37"/>
  <c r="G2098" i="37"/>
  <c r="G2097" i="37"/>
  <c r="G2096" i="37"/>
  <c r="G2095" i="37"/>
  <c r="G2094" i="37"/>
  <c r="G2093" i="37"/>
  <c r="G2092" i="37"/>
  <c r="G2091" i="37"/>
  <c r="G2090" i="37"/>
  <c r="G2089" i="37"/>
  <c r="G2088" i="37"/>
  <c r="G2087" i="37"/>
  <c r="G2086" i="37"/>
  <c r="G2085" i="37"/>
  <c r="G2084" i="37"/>
  <c r="G2083" i="37"/>
  <c r="G2082" i="37"/>
  <c r="G2081" i="37"/>
  <c r="G2080" i="37"/>
  <c r="G2079" i="37"/>
  <c r="G2078" i="37"/>
  <c r="G2077" i="37"/>
  <c r="G2076" i="37"/>
  <c r="G2075" i="37"/>
  <c r="G2074" i="37"/>
  <c r="G2073" i="37"/>
  <c r="G2072" i="37"/>
  <c r="G2071" i="37"/>
  <c r="G2070" i="37"/>
  <c r="G2069" i="37"/>
  <c r="G2068" i="37"/>
  <c r="G2067" i="37"/>
  <c r="G2066" i="37"/>
  <c r="G2065" i="37"/>
  <c r="G2064" i="37"/>
  <c r="G2063" i="37"/>
  <c r="G2062" i="37"/>
  <c r="G2061" i="37"/>
  <c r="G2060" i="37"/>
  <c r="G2059" i="37"/>
  <c r="G2058" i="37"/>
  <c r="G2057" i="37"/>
  <c r="G2056" i="37"/>
  <c r="G2055" i="37"/>
  <c r="G2054" i="37"/>
  <c r="G2053" i="37"/>
  <c r="G2052" i="37"/>
  <c r="G2051" i="37"/>
  <c r="G2050" i="37"/>
  <c r="G2049" i="37"/>
  <c r="G2048" i="37"/>
  <c r="G2047" i="37"/>
  <c r="G2046" i="37"/>
  <c r="G2045" i="37"/>
  <c r="G2044" i="37"/>
  <c r="G2043" i="37"/>
  <c r="G2042" i="37"/>
  <c r="G2041" i="37"/>
  <c r="G2040" i="37"/>
  <c r="G2039" i="37"/>
  <c r="G2038" i="37"/>
  <c r="G2037" i="37"/>
  <c r="G2036" i="37"/>
  <c r="G2035" i="37"/>
  <c r="G2034" i="37"/>
  <c r="G2033" i="37"/>
  <c r="G2032" i="37"/>
  <c r="G2031" i="37"/>
  <c r="G2030" i="37"/>
  <c r="G2029" i="37"/>
  <c r="G2028" i="37"/>
  <c r="G2027" i="37"/>
  <c r="G2026" i="37"/>
  <c r="G2025" i="37"/>
  <c r="G2024" i="37"/>
  <c r="G2023" i="37"/>
  <c r="G2022" i="37"/>
  <c r="G2021" i="37"/>
  <c r="G2020" i="37"/>
  <c r="G2019" i="37"/>
  <c r="G2018" i="37"/>
  <c r="G2017" i="37"/>
  <c r="G2016" i="37"/>
  <c r="G2015" i="37"/>
  <c r="G2014" i="37"/>
  <c r="G2013" i="37"/>
  <c r="G2012" i="37"/>
  <c r="G2011" i="37"/>
  <c r="G2010" i="37"/>
  <c r="G2009" i="37"/>
  <c r="G2008" i="37"/>
  <c r="G2007" i="37"/>
  <c r="G2006" i="37"/>
  <c r="G2005" i="37"/>
  <c r="G2004" i="37"/>
  <c r="G2003" i="37"/>
  <c r="G2002" i="37"/>
  <c r="G2001" i="37"/>
  <c r="G2000" i="37"/>
  <c r="G1999" i="37"/>
  <c r="G1998" i="37"/>
  <c r="G1997" i="37"/>
  <c r="G1996" i="37"/>
  <c r="G1995" i="37"/>
  <c r="G1994" i="37"/>
  <c r="G1993" i="37"/>
  <c r="G1992" i="37"/>
  <c r="G1991" i="37"/>
  <c r="G1990" i="37"/>
  <c r="G1989" i="37"/>
  <c r="G1988" i="37"/>
  <c r="G1987" i="37"/>
  <c r="G1986" i="37"/>
  <c r="G1985" i="37"/>
  <c r="G1984" i="37"/>
  <c r="G1983" i="37"/>
  <c r="G1982" i="37"/>
  <c r="G1981" i="37"/>
  <c r="G1980" i="37"/>
  <c r="G1979" i="37"/>
  <c r="G1978" i="37"/>
  <c r="G1977" i="37"/>
  <c r="G1976" i="37"/>
  <c r="G1975" i="37"/>
  <c r="G1974" i="37"/>
  <c r="G1973" i="37"/>
  <c r="G1972" i="37"/>
  <c r="G1971" i="37"/>
  <c r="G1970" i="37"/>
  <c r="G1969" i="37"/>
  <c r="G1968" i="37"/>
  <c r="G1967" i="37"/>
  <c r="G1966" i="37"/>
  <c r="G1965" i="37"/>
  <c r="G1964" i="37"/>
  <c r="G1963" i="37"/>
  <c r="G1962" i="37"/>
  <c r="G1961" i="37"/>
  <c r="G1960" i="37"/>
  <c r="G1959" i="37"/>
  <c r="G1958" i="37"/>
  <c r="G1957" i="37"/>
  <c r="G1956" i="37"/>
  <c r="G1955" i="37"/>
  <c r="G1954" i="37"/>
  <c r="G1953" i="37"/>
  <c r="G1952" i="37"/>
  <c r="G1951" i="37"/>
  <c r="G1950" i="37"/>
  <c r="G1949" i="37"/>
  <c r="G1948" i="37"/>
  <c r="G1947" i="37"/>
  <c r="G1946" i="37"/>
  <c r="G1945" i="37"/>
  <c r="G1944" i="37"/>
  <c r="G1943" i="37"/>
  <c r="G1942" i="37"/>
  <c r="G1941" i="37"/>
  <c r="G1940" i="37"/>
  <c r="G1939" i="37"/>
  <c r="G1938" i="37"/>
  <c r="G1937" i="37"/>
  <c r="G1936" i="37"/>
  <c r="G1935" i="37"/>
  <c r="G1934" i="37"/>
  <c r="G1933" i="37"/>
  <c r="G1932" i="37"/>
  <c r="G1931" i="37"/>
  <c r="G1930" i="37"/>
  <c r="G1929" i="37"/>
  <c r="G1928" i="37"/>
  <c r="G1927" i="37"/>
  <c r="G1926" i="37"/>
  <c r="G1925" i="37"/>
  <c r="G1924" i="37"/>
  <c r="G1923" i="37"/>
  <c r="G1922" i="37"/>
  <c r="G1921" i="37"/>
  <c r="G1920" i="37"/>
  <c r="G1919" i="37"/>
  <c r="G1918" i="37"/>
  <c r="G1917" i="37"/>
  <c r="G1916" i="37"/>
  <c r="G1915" i="37"/>
  <c r="G1914" i="37"/>
  <c r="G1913" i="37"/>
  <c r="G1912" i="37"/>
  <c r="G1911" i="37"/>
  <c r="G1910" i="37"/>
  <c r="G1909" i="37"/>
  <c r="G1908" i="37"/>
  <c r="G1907" i="37"/>
  <c r="G1906" i="37"/>
  <c r="G1905" i="37"/>
  <c r="G1904" i="37"/>
  <c r="G1903" i="37"/>
  <c r="G1902" i="37"/>
  <c r="G1901" i="37"/>
  <c r="G1900" i="37"/>
  <c r="G1899" i="37"/>
  <c r="G1898" i="37"/>
  <c r="G1897" i="37"/>
  <c r="G1896" i="37"/>
  <c r="G1895" i="37"/>
  <c r="G1894" i="37"/>
  <c r="G1893" i="37"/>
  <c r="G1892" i="37"/>
  <c r="G1891" i="37"/>
  <c r="G1890" i="37"/>
  <c r="G1889" i="37"/>
  <c r="G1888" i="37"/>
  <c r="G1887" i="37"/>
  <c r="G1886" i="37"/>
  <c r="G1885" i="37"/>
  <c r="G1884" i="37"/>
  <c r="G1883" i="37"/>
  <c r="G1882" i="37"/>
  <c r="G1881" i="37"/>
  <c r="G1880" i="37"/>
  <c r="G1879" i="37"/>
  <c r="G1878" i="37"/>
  <c r="G1877" i="37"/>
  <c r="G1876" i="37"/>
  <c r="G1875" i="37"/>
  <c r="G1874" i="37"/>
  <c r="G1873" i="37"/>
  <c r="G1872" i="37"/>
  <c r="G1871" i="37"/>
  <c r="G1870" i="37"/>
  <c r="G1869" i="37"/>
  <c r="G1868" i="37"/>
  <c r="G1867" i="37"/>
  <c r="G1866" i="37"/>
  <c r="G1865" i="37"/>
  <c r="G1864" i="37"/>
  <c r="G1863" i="37"/>
  <c r="G1862" i="37"/>
  <c r="G1861" i="37"/>
  <c r="G1860" i="37"/>
  <c r="G1859" i="37"/>
  <c r="G1858" i="37"/>
  <c r="G1857" i="37"/>
  <c r="G1856" i="37"/>
  <c r="G1855" i="37"/>
  <c r="G1854" i="37"/>
  <c r="G1853" i="37"/>
  <c r="G1852" i="37"/>
  <c r="G1851" i="37"/>
  <c r="G1850" i="37"/>
  <c r="G1849" i="37"/>
  <c r="G1848" i="37"/>
  <c r="G1847" i="37"/>
  <c r="G1846" i="37"/>
  <c r="G1845" i="37"/>
  <c r="G1844" i="37"/>
  <c r="G1843" i="37"/>
  <c r="G1842" i="37"/>
  <c r="G1841" i="37"/>
  <c r="G1840" i="37"/>
  <c r="G1839" i="37"/>
  <c r="G1838" i="37"/>
  <c r="G1837" i="37"/>
  <c r="G1836" i="37"/>
  <c r="G1835" i="37"/>
  <c r="G1834" i="37"/>
  <c r="G1833" i="37"/>
  <c r="G1832" i="37"/>
  <c r="G1831" i="37"/>
  <c r="G1830" i="37"/>
  <c r="G1829" i="37"/>
  <c r="G1828" i="37"/>
  <c r="G1827" i="37"/>
  <c r="G1826" i="37"/>
  <c r="G1825" i="37"/>
  <c r="G1824" i="37"/>
  <c r="G1823" i="37"/>
  <c r="G1822" i="37"/>
  <c r="G1821" i="37"/>
  <c r="G1820" i="37"/>
  <c r="G1819" i="37"/>
  <c r="G1818" i="37"/>
  <c r="G1817" i="37"/>
  <c r="G1816" i="37"/>
  <c r="G1815" i="37"/>
  <c r="G1814" i="37"/>
  <c r="G1813" i="37"/>
  <c r="G1812" i="37"/>
  <c r="G1811" i="37"/>
  <c r="G1810" i="37"/>
  <c r="G1809" i="37"/>
  <c r="G1808" i="37"/>
  <c r="G1807" i="37"/>
  <c r="G1806" i="37"/>
  <c r="G1805" i="37"/>
  <c r="G1804" i="37"/>
  <c r="G1803" i="37"/>
  <c r="G1802" i="37"/>
  <c r="G1801" i="37"/>
  <c r="G1800" i="37"/>
  <c r="G1799" i="37"/>
  <c r="G1798" i="37"/>
  <c r="G1797" i="37"/>
  <c r="G1796" i="37"/>
  <c r="G1795" i="37"/>
  <c r="G1794" i="37"/>
  <c r="G1793" i="37"/>
  <c r="G1792" i="37"/>
  <c r="G1791" i="37"/>
  <c r="G1790" i="37"/>
  <c r="G1789" i="37"/>
  <c r="G1788" i="37"/>
  <c r="G1787" i="37"/>
  <c r="G1786" i="37"/>
  <c r="G1785" i="37"/>
  <c r="G1784" i="37"/>
  <c r="G1783" i="37"/>
  <c r="G1782" i="37"/>
  <c r="G1781" i="37"/>
  <c r="G1780" i="37"/>
  <c r="G1779" i="37"/>
  <c r="G1778" i="37"/>
  <c r="G1777" i="37"/>
  <c r="G1776" i="37"/>
  <c r="G1775" i="37"/>
  <c r="G1774" i="37"/>
  <c r="G1773" i="37"/>
  <c r="G1772" i="37"/>
  <c r="G1771" i="37"/>
  <c r="G1770" i="37"/>
  <c r="G1769" i="37"/>
  <c r="G1768" i="37"/>
  <c r="G1767" i="37"/>
  <c r="G1766" i="37"/>
  <c r="G1765" i="37"/>
  <c r="G1764" i="37"/>
  <c r="G1763" i="37"/>
  <c r="G1762" i="37"/>
  <c r="G1761" i="37"/>
  <c r="G1760" i="37"/>
  <c r="G1759" i="37"/>
  <c r="G1758" i="37"/>
  <c r="G1757" i="37"/>
  <c r="G1756" i="37"/>
  <c r="G1755" i="37"/>
  <c r="G1754" i="37"/>
  <c r="G1753" i="37"/>
  <c r="G1752" i="37"/>
  <c r="G1751" i="37"/>
  <c r="G1750" i="37"/>
  <c r="G1749" i="37"/>
  <c r="G1748" i="37"/>
  <c r="G1747" i="37"/>
  <c r="G1746" i="37"/>
  <c r="G1745" i="37"/>
  <c r="G1744" i="37"/>
  <c r="G1743" i="37"/>
  <c r="G1742" i="37"/>
  <c r="G1741" i="37"/>
  <c r="G1740" i="37"/>
  <c r="G1739" i="37"/>
  <c r="G1738" i="37"/>
  <c r="G1737" i="37"/>
  <c r="G1736" i="37"/>
  <c r="G1735" i="37"/>
  <c r="G1734" i="37"/>
  <c r="G1733" i="37"/>
  <c r="G1732" i="37"/>
  <c r="G1731" i="37"/>
  <c r="G1730" i="37"/>
  <c r="G1729" i="37"/>
  <c r="G1728" i="37"/>
  <c r="G1727" i="37"/>
  <c r="G1726" i="37"/>
  <c r="G1725" i="37"/>
  <c r="G1724" i="37"/>
  <c r="G1723" i="37"/>
  <c r="G1722" i="37"/>
  <c r="G1721" i="37"/>
  <c r="G1720" i="37"/>
  <c r="G1719" i="37"/>
  <c r="G1718" i="37"/>
  <c r="G1717" i="37"/>
  <c r="G1716" i="37"/>
  <c r="G1715" i="37"/>
  <c r="G1714" i="37"/>
  <c r="G1713" i="37"/>
  <c r="G1712" i="37"/>
  <c r="G1711" i="37"/>
  <c r="G1710" i="37"/>
  <c r="G1709" i="37"/>
  <c r="G1708" i="37"/>
  <c r="G1707" i="37"/>
  <c r="G1706" i="37"/>
  <c r="G1705" i="37"/>
  <c r="G1704" i="37"/>
  <c r="G1703" i="37"/>
  <c r="G1702" i="37"/>
  <c r="G1701" i="37"/>
  <c r="G1700" i="37"/>
  <c r="G1699" i="37"/>
  <c r="G1698" i="37"/>
  <c r="G1697" i="37"/>
  <c r="G1696" i="37"/>
  <c r="G1695" i="37"/>
  <c r="G1694" i="37"/>
  <c r="G1693" i="37"/>
  <c r="G1692" i="37"/>
  <c r="G1691" i="37"/>
  <c r="G1690" i="37"/>
  <c r="G1689" i="37"/>
  <c r="G1688" i="37"/>
  <c r="G1687" i="37"/>
  <c r="G1686" i="37"/>
  <c r="G1685" i="37"/>
  <c r="G1684" i="37"/>
  <c r="G1683" i="37"/>
  <c r="G1682" i="37"/>
  <c r="G1681" i="37"/>
  <c r="G1680" i="37"/>
  <c r="G1679" i="37"/>
  <c r="G1678" i="37"/>
  <c r="G1677" i="37"/>
  <c r="G1676" i="37"/>
  <c r="G1675" i="37"/>
  <c r="G1674" i="37"/>
  <c r="G1673" i="37"/>
  <c r="G1672" i="37"/>
  <c r="G1671" i="37"/>
  <c r="G1670" i="37"/>
  <c r="G1669" i="37"/>
  <c r="G1668" i="37"/>
  <c r="G1667" i="37"/>
  <c r="G1666" i="37"/>
  <c r="G1665" i="37"/>
  <c r="G1664" i="37"/>
  <c r="G1663" i="37"/>
  <c r="G1662" i="37"/>
  <c r="G1661" i="37"/>
  <c r="G1660" i="37"/>
  <c r="G1659" i="37"/>
  <c r="G1658" i="37"/>
  <c r="G1657" i="37"/>
  <c r="G1656" i="37"/>
  <c r="G1655" i="37"/>
  <c r="G1654" i="37"/>
  <c r="G1653" i="37"/>
  <c r="G1652" i="37"/>
  <c r="G1651" i="37"/>
  <c r="G1650" i="37"/>
  <c r="G1649" i="37"/>
  <c r="G1648" i="37"/>
  <c r="G1647" i="37"/>
  <c r="G1646" i="37"/>
  <c r="G1645" i="37"/>
  <c r="G1644" i="37"/>
  <c r="G1643" i="37"/>
  <c r="G1642" i="37"/>
  <c r="G1641" i="37"/>
  <c r="G1640" i="37"/>
  <c r="G1639" i="37"/>
  <c r="G1638" i="37"/>
  <c r="G1637" i="37"/>
  <c r="G1636" i="37"/>
  <c r="G1635" i="37"/>
  <c r="G1634" i="37"/>
  <c r="G1633" i="37"/>
  <c r="G1632" i="37"/>
  <c r="G1631" i="37"/>
  <c r="G1630" i="37"/>
  <c r="G1629" i="37"/>
  <c r="G1628" i="37"/>
  <c r="G1627" i="37"/>
  <c r="G1626" i="37"/>
  <c r="G1625" i="37"/>
  <c r="G1624" i="37"/>
  <c r="G1623" i="37"/>
  <c r="G1622" i="37"/>
  <c r="G1621" i="37"/>
  <c r="G1620" i="37"/>
  <c r="G1619" i="37"/>
  <c r="G1618" i="37"/>
  <c r="G1617" i="37"/>
  <c r="G1616" i="37"/>
  <c r="G1615" i="37"/>
  <c r="G1614" i="37"/>
  <c r="G1613" i="37"/>
  <c r="G1612" i="37"/>
  <c r="G1611" i="37"/>
  <c r="G1610" i="37"/>
  <c r="G1609" i="37"/>
  <c r="G1608" i="37"/>
  <c r="G1607" i="37"/>
  <c r="G1606" i="37"/>
  <c r="G1605" i="37"/>
  <c r="G1604" i="37"/>
  <c r="G1603" i="37"/>
  <c r="G1602" i="37"/>
  <c r="G1601" i="37"/>
  <c r="G1600" i="37"/>
  <c r="G1599" i="37"/>
  <c r="G1598" i="37"/>
  <c r="G1597" i="37"/>
  <c r="G1596" i="37"/>
  <c r="G1595" i="37"/>
  <c r="G1594" i="37"/>
  <c r="G1593" i="37"/>
  <c r="G1592" i="37"/>
  <c r="G1591" i="37"/>
  <c r="G1590" i="37"/>
  <c r="G1589" i="37"/>
  <c r="G1588" i="37"/>
  <c r="G1587" i="37"/>
  <c r="G1586" i="37"/>
  <c r="G1585" i="37"/>
  <c r="G1584" i="37"/>
  <c r="G1583" i="37"/>
  <c r="G1582" i="37"/>
  <c r="G1581" i="37"/>
  <c r="G1580" i="37"/>
  <c r="G1579" i="37"/>
  <c r="G1578" i="37"/>
  <c r="G1577" i="37"/>
  <c r="G1576" i="37"/>
  <c r="G1575" i="37"/>
  <c r="G1574" i="37"/>
  <c r="G1573" i="37"/>
  <c r="G1572" i="37"/>
  <c r="G1571" i="37"/>
  <c r="G1570" i="37"/>
  <c r="G1569" i="37"/>
  <c r="G1568" i="37"/>
  <c r="G1567" i="37"/>
  <c r="G1566" i="37"/>
  <c r="G1565" i="37"/>
  <c r="G1564" i="37"/>
  <c r="G1563" i="37"/>
  <c r="G1562" i="37"/>
  <c r="G1561" i="37"/>
  <c r="G1560" i="37"/>
  <c r="G1559" i="37"/>
  <c r="G1558" i="37"/>
  <c r="G1557" i="37"/>
  <c r="G1556" i="37"/>
  <c r="G1555" i="37"/>
  <c r="G1554" i="37"/>
  <c r="G1553" i="37"/>
  <c r="G1552" i="37"/>
  <c r="G1551" i="37"/>
  <c r="G1550" i="37"/>
  <c r="G1549" i="37"/>
  <c r="G1548" i="37"/>
  <c r="G1547" i="37"/>
  <c r="G1546" i="37"/>
  <c r="G1545" i="37"/>
  <c r="G1544" i="37"/>
  <c r="G1543" i="37"/>
  <c r="G1542" i="37"/>
  <c r="G1541" i="37"/>
  <c r="G1540" i="37"/>
  <c r="G1539" i="37"/>
  <c r="G1538" i="37"/>
  <c r="G1537" i="37"/>
  <c r="G1536" i="37"/>
  <c r="G1535" i="37"/>
  <c r="G1534" i="37"/>
  <c r="G1533" i="37"/>
  <c r="G1532" i="37"/>
  <c r="G1531" i="37"/>
  <c r="G1530" i="37"/>
  <c r="G1529" i="37"/>
  <c r="G1528" i="37"/>
  <c r="G1527" i="37"/>
  <c r="G1526" i="37"/>
  <c r="G1525" i="37"/>
  <c r="G1524" i="37"/>
  <c r="G1523" i="37"/>
  <c r="G1522" i="37"/>
  <c r="G1521" i="37"/>
  <c r="G1520" i="37"/>
  <c r="G1519" i="37"/>
  <c r="G1518" i="37"/>
  <c r="G1517" i="37"/>
  <c r="G1516" i="37"/>
  <c r="G1515" i="37"/>
  <c r="G1514" i="37"/>
  <c r="G1513" i="37"/>
  <c r="G1512" i="37"/>
  <c r="G1511" i="37"/>
  <c r="G1510" i="37"/>
  <c r="G1509" i="37"/>
  <c r="G1508" i="37"/>
  <c r="G1507" i="37"/>
  <c r="G1506" i="37"/>
  <c r="G1505" i="37"/>
  <c r="G1504" i="37"/>
  <c r="G1503" i="37"/>
  <c r="G1502" i="37"/>
  <c r="G1501" i="37"/>
  <c r="G1500" i="37"/>
  <c r="G1499" i="37"/>
  <c r="G1498" i="37"/>
  <c r="G1497" i="37"/>
  <c r="G1496" i="37"/>
  <c r="G1495" i="37"/>
  <c r="G1494" i="37"/>
  <c r="G1493" i="37"/>
  <c r="G1492" i="37"/>
  <c r="G1491" i="37"/>
  <c r="G1490" i="37"/>
  <c r="G1489" i="37"/>
  <c r="G1488" i="37"/>
  <c r="G1487" i="37"/>
  <c r="G1486" i="37"/>
  <c r="G1485" i="37"/>
  <c r="G1484" i="37"/>
  <c r="G1483" i="37"/>
  <c r="G1482" i="37"/>
  <c r="G1481" i="37"/>
  <c r="G1480" i="37"/>
  <c r="G1479" i="37"/>
  <c r="G1478" i="37"/>
  <c r="G1477" i="37"/>
  <c r="G1476" i="37"/>
  <c r="G1475" i="37"/>
  <c r="G1474" i="37"/>
  <c r="G1473" i="37"/>
  <c r="G1472" i="37"/>
  <c r="G1471" i="37"/>
  <c r="G1470" i="37"/>
  <c r="G1469" i="37"/>
  <c r="G1468" i="37"/>
  <c r="G1467" i="37"/>
  <c r="G1466" i="37"/>
  <c r="G1465" i="37"/>
  <c r="G1464" i="37"/>
  <c r="G1463" i="37"/>
  <c r="G1462" i="37"/>
  <c r="G1461" i="37"/>
  <c r="G1460" i="37"/>
  <c r="G1459" i="37"/>
  <c r="G1458" i="37"/>
  <c r="G1457" i="37"/>
  <c r="G1456" i="37"/>
  <c r="G1455" i="37"/>
  <c r="G1454" i="37"/>
  <c r="G1453" i="37"/>
  <c r="G1452" i="37"/>
  <c r="G1451" i="37"/>
  <c r="G1450" i="37"/>
  <c r="G1449" i="37"/>
  <c r="G1448" i="37"/>
  <c r="G1447" i="37"/>
  <c r="G1446" i="37"/>
  <c r="G1445" i="37"/>
  <c r="G1444" i="37"/>
  <c r="G1443" i="37"/>
  <c r="G1442" i="37"/>
  <c r="G1441" i="37"/>
  <c r="G1440" i="37"/>
  <c r="G1439" i="37"/>
  <c r="G1438" i="37"/>
  <c r="G1437" i="37"/>
  <c r="G1436" i="37"/>
  <c r="G1435" i="37"/>
  <c r="G1434" i="37"/>
  <c r="G1433" i="37"/>
  <c r="G1432" i="37"/>
  <c r="G1431" i="37"/>
  <c r="G1430" i="37"/>
  <c r="G1429" i="37"/>
  <c r="G1428" i="37"/>
  <c r="G1427" i="37"/>
  <c r="G1426" i="37"/>
  <c r="G1425" i="37"/>
  <c r="G1424" i="37"/>
  <c r="G1423" i="37"/>
  <c r="G1422" i="37"/>
  <c r="G1421" i="37"/>
  <c r="G1420" i="37"/>
  <c r="G1419" i="37"/>
  <c r="G1418" i="37"/>
  <c r="G1417" i="37"/>
  <c r="G1416" i="37"/>
  <c r="G1415" i="37"/>
  <c r="G1414" i="37"/>
  <c r="G1413" i="37"/>
  <c r="G1412" i="37"/>
  <c r="G1411" i="37"/>
  <c r="G1410" i="37"/>
  <c r="G1409" i="37"/>
  <c r="G1408" i="37"/>
  <c r="G1407" i="37"/>
  <c r="G1406" i="37"/>
  <c r="G1405" i="37"/>
  <c r="G1404" i="37"/>
  <c r="G1403" i="37"/>
  <c r="G1402" i="37"/>
  <c r="G1401" i="37"/>
  <c r="G1400" i="37"/>
  <c r="G1399" i="37"/>
  <c r="G1398" i="37"/>
  <c r="G1397" i="37"/>
  <c r="G1396" i="37"/>
  <c r="G1395" i="37"/>
  <c r="G1394" i="37"/>
  <c r="G1393" i="37"/>
  <c r="G1392" i="37"/>
  <c r="G1391" i="37"/>
  <c r="G1390" i="37"/>
  <c r="G1389" i="37"/>
  <c r="G1388" i="37"/>
  <c r="G1387" i="37"/>
  <c r="G1386" i="37"/>
  <c r="G1385" i="37"/>
  <c r="G1384" i="37"/>
  <c r="G1383" i="37"/>
  <c r="G1382" i="37"/>
  <c r="G1381" i="37"/>
  <c r="G1380" i="37"/>
  <c r="G1379" i="37"/>
  <c r="G1378" i="37"/>
  <c r="G1377" i="37"/>
  <c r="G1376" i="37"/>
  <c r="G1375" i="37"/>
  <c r="G1374" i="37"/>
  <c r="G1373" i="37"/>
  <c r="G1372" i="37"/>
  <c r="G1371" i="37"/>
  <c r="G1370" i="37"/>
  <c r="G1369" i="37"/>
  <c r="G1368" i="37"/>
  <c r="G1367" i="37"/>
  <c r="G1366" i="37"/>
  <c r="G1365" i="37"/>
  <c r="G1364" i="37"/>
  <c r="G1363" i="37"/>
  <c r="G1362" i="37"/>
  <c r="G1361" i="37"/>
  <c r="G1360" i="37"/>
  <c r="G1359" i="37"/>
  <c r="G1358" i="37"/>
  <c r="G1357" i="37"/>
  <c r="G1356" i="37"/>
  <c r="G1355" i="37"/>
  <c r="G1354" i="37"/>
  <c r="G1353" i="37"/>
  <c r="G1352" i="37"/>
  <c r="G1351" i="37"/>
  <c r="G1350" i="37"/>
  <c r="G1349" i="37"/>
  <c r="G1348" i="37"/>
  <c r="G1347" i="37"/>
  <c r="G1346" i="37"/>
  <c r="G1345" i="37"/>
  <c r="G1344" i="37"/>
  <c r="G1343" i="37"/>
  <c r="G1342" i="37"/>
  <c r="G1341" i="37"/>
  <c r="G1340" i="37"/>
  <c r="G1339" i="37"/>
  <c r="G1338" i="37"/>
  <c r="G1337" i="37"/>
  <c r="G1336" i="37"/>
  <c r="G1335" i="37"/>
  <c r="G1334" i="37"/>
  <c r="G1333" i="37"/>
  <c r="G1332" i="37"/>
  <c r="G1331" i="37"/>
  <c r="G1330" i="37"/>
  <c r="G1329" i="37"/>
  <c r="G1328" i="37"/>
  <c r="G1327" i="37"/>
  <c r="G1326" i="37"/>
  <c r="G1325" i="37"/>
  <c r="G1324" i="37"/>
  <c r="G1323" i="37"/>
  <c r="G1322" i="37"/>
  <c r="G1321" i="37"/>
  <c r="G1320" i="37"/>
  <c r="G1319" i="37"/>
  <c r="G1318" i="37"/>
  <c r="G1317" i="37"/>
  <c r="G1316" i="37"/>
  <c r="G1315" i="37"/>
  <c r="G1314" i="37"/>
  <c r="G1313" i="37"/>
  <c r="G1312" i="37"/>
  <c r="G1311" i="37"/>
  <c r="G1310" i="37"/>
  <c r="G1309" i="37"/>
  <c r="G1308" i="37"/>
  <c r="G1307" i="37"/>
  <c r="G1306" i="37"/>
  <c r="G1305" i="37"/>
  <c r="G1304" i="37"/>
  <c r="G1303" i="37"/>
  <c r="G1302" i="37"/>
  <c r="G1301" i="37"/>
  <c r="G1300" i="37"/>
  <c r="G1299" i="37"/>
  <c r="G1298" i="37"/>
  <c r="G1297" i="37"/>
  <c r="G1296" i="37"/>
  <c r="G1295" i="37"/>
  <c r="G1294" i="37"/>
  <c r="G1293" i="37"/>
  <c r="G1292" i="37"/>
  <c r="G1291" i="37"/>
  <c r="G1290" i="37"/>
  <c r="G1289" i="37"/>
  <c r="G1288" i="37"/>
  <c r="G1287" i="37"/>
  <c r="G1286" i="37"/>
  <c r="G1285" i="37"/>
  <c r="G1284" i="37"/>
  <c r="G1283" i="37"/>
  <c r="G1282" i="37"/>
  <c r="G1281" i="37"/>
  <c r="G1280" i="37"/>
  <c r="G1279" i="37"/>
  <c r="G1278" i="37"/>
  <c r="G1277" i="37"/>
  <c r="G1276" i="37"/>
  <c r="G1275" i="37"/>
  <c r="G1274" i="37"/>
  <c r="G1273" i="37"/>
  <c r="G1272" i="37"/>
  <c r="G1271" i="37"/>
  <c r="G1270" i="37"/>
  <c r="G1269" i="37"/>
  <c r="G1268" i="37"/>
  <c r="G1267" i="37"/>
  <c r="G1266" i="37"/>
  <c r="G1265" i="37"/>
  <c r="G1264" i="37"/>
  <c r="G1263" i="37"/>
  <c r="G1262" i="37"/>
  <c r="G1261" i="37"/>
  <c r="G1260" i="37"/>
  <c r="G1259" i="37"/>
  <c r="G1258" i="37"/>
  <c r="G1257" i="37"/>
  <c r="G1256" i="37"/>
  <c r="G1255" i="37"/>
  <c r="G1254" i="37"/>
  <c r="G1253" i="37"/>
  <c r="G1252" i="37"/>
  <c r="G1251" i="37"/>
  <c r="G1250" i="37"/>
  <c r="G1249" i="37"/>
  <c r="G1248" i="37"/>
  <c r="G1247" i="37"/>
  <c r="G1246" i="37"/>
  <c r="G1245" i="37"/>
  <c r="G1244" i="37"/>
  <c r="G1243" i="37"/>
  <c r="G1242" i="37"/>
  <c r="G1241" i="37"/>
  <c r="G1240" i="37"/>
  <c r="G1239" i="37"/>
  <c r="G1238" i="37"/>
  <c r="G1237" i="37"/>
  <c r="G1236" i="37"/>
  <c r="G1235" i="37"/>
  <c r="G1234" i="37"/>
  <c r="G1233" i="37"/>
  <c r="G1232" i="37"/>
  <c r="G1231" i="37"/>
  <c r="G1230" i="37"/>
  <c r="G1229" i="37"/>
  <c r="G1228" i="37"/>
  <c r="G1227" i="37"/>
  <c r="G1226" i="37"/>
  <c r="G1225" i="37"/>
  <c r="G1224" i="37"/>
  <c r="G1223" i="37"/>
  <c r="G1222" i="37"/>
  <c r="G1221" i="37"/>
  <c r="G1220" i="37"/>
  <c r="G1219" i="37"/>
  <c r="G1218" i="37"/>
  <c r="G1217" i="37"/>
  <c r="G1216" i="37"/>
  <c r="G1215" i="37"/>
  <c r="G1214" i="37"/>
  <c r="G1213" i="37"/>
  <c r="G1212" i="37"/>
  <c r="G1211" i="37"/>
  <c r="G1210" i="37"/>
  <c r="G1209" i="37"/>
  <c r="G1208" i="37"/>
  <c r="G1207" i="37"/>
  <c r="G1206" i="37"/>
  <c r="G1205" i="37"/>
  <c r="G1204" i="37"/>
  <c r="G1203" i="37"/>
  <c r="G1202" i="37"/>
  <c r="G1201" i="37"/>
  <c r="G1200" i="37"/>
  <c r="G1199" i="37"/>
  <c r="G1198" i="37"/>
  <c r="G1197" i="37"/>
  <c r="G1196" i="37"/>
  <c r="G1195" i="37"/>
  <c r="G1194" i="37"/>
  <c r="G1193" i="37"/>
  <c r="G1192" i="37"/>
  <c r="G1191" i="37"/>
  <c r="G1190" i="37"/>
  <c r="G1189" i="37"/>
  <c r="G1188" i="37"/>
  <c r="G1187" i="37"/>
  <c r="G1186" i="37"/>
  <c r="G1185" i="37"/>
  <c r="G1184" i="37"/>
  <c r="G1183" i="37"/>
  <c r="G1182" i="37"/>
  <c r="G1181" i="37"/>
  <c r="G1180" i="37"/>
  <c r="G1179" i="37"/>
  <c r="G1178" i="37"/>
  <c r="G1177" i="37"/>
  <c r="G1176" i="37"/>
  <c r="G1175" i="37"/>
  <c r="G1174" i="37"/>
  <c r="G1173" i="37"/>
  <c r="G1172" i="37"/>
  <c r="G1171" i="37"/>
  <c r="G1170" i="37"/>
  <c r="G1169" i="37"/>
  <c r="G1168" i="37"/>
  <c r="G1167" i="37"/>
  <c r="G1166" i="37"/>
  <c r="G1165" i="37"/>
  <c r="G1164" i="37"/>
  <c r="G1163" i="37"/>
  <c r="G1162" i="37"/>
  <c r="G1161" i="37"/>
  <c r="G1160" i="37"/>
  <c r="G1159" i="37"/>
  <c r="G1158" i="37"/>
  <c r="G1157" i="37"/>
  <c r="G1156" i="37"/>
  <c r="G1155" i="37"/>
  <c r="G1154" i="37"/>
  <c r="G1153" i="37"/>
  <c r="G1152" i="37"/>
  <c r="G1151" i="37"/>
  <c r="G1150" i="37"/>
  <c r="G1149" i="37"/>
  <c r="G1148" i="37"/>
  <c r="G1147" i="37"/>
  <c r="G1146" i="37"/>
  <c r="G1145" i="37"/>
  <c r="G1144" i="37"/>
  <c r="G1143" i="37"/>
  <c r="G1142" i="37"/>
  <c r="G1141" i="37"/>
  <c r="G1140" i="37"/>
  <c r="G1139" i="37"/>
  <c r="G1138" i="37"/>
  <c r="G1137" i="37"/>
  <c r="G1136" i="37"/>
  <c r="G1135" i="37"/>
  <c r="G1134" i="37"/>
  <c r="G1133" i="37"/>
  <c r="G1132" i="37"/>
  <c r="G1131" i="37"/>
  <c r="G1130" i="37"/>
  <c r="G1129" i="37"/>
  <c r="G1128" i="37"/>
  <c r="G1127" i="37"/>
  <c r="G1126" i="37"/>
  <c r="G1125" i="37"/>
  <c r="G1124" i="37"/>
  <c r="G1123" i="37"/>
  <c r="G1122" i="37"/>
  <c r="G1121" i="37"/>
  <c r="G1120" i="37"/>
  <c r="G1119" i="37"/>
  <c r="G1118" i="37"/>
  <c r="G1117" i="37"/>
  <c r="G1116" i="37"/>
  <c r="G1115" i="37"/>
  <c r="G1114" i="37"/>
  <c r="G1113" i="37"/>
  <c r="G1112" i="37"/>
  <c r="G1111" i="37"/>
  <c r="G1110" i="37"/>
  <c r="G1109" i="37"/>
  <c r="G1108" i="37"/>
  <c r="G1107" i="37"/>
  <c r="G1106" i="37"/>
  <c r="G1105" i="37"/>
  <c r="G1104" i="37"/>
  <c r="G1103" i="37"/>
  <c r="G1102" i="37"/>
  <c r="G1101" i="37"/>
  <c r="G1100" i="37"/>
  <c r="G1099" i="37"/>
  <c r="G1098" i="37"/>
  <c r="G1097" i="37"/>
  <c r="G1096" i="37"/>
  <c r="G1095" i="37"/>
  <c r="G1094" i="37"/>
  <c r="G1093" i="37"/>
  <c r="G1092" i="37"/>
  <c r="G1091" i="37"/>
  <c r="G1090" i="37"/>
  <c r="G1089" i="37"/>
  <c r="G1088" i="37"/>
  <c r="G1087" i="37"/>
  <c r="G1086" i="37"/>
  <c r="G1085" i="37"/>
  <c r="G1084" i="37"/>
  <c r="G1083" i="37"/>
  <c r="G1082" i="37"/>
  <c r="G1081" i="37"/>
  <c r="G1080" i="37"/>
  <c r="G1079" i="37"/>
  <c r="G1078" i="37"/>
  <c r="G1077" i="37"/>
  <c r="G1076" i="37"/>
  <c r="G1075" i="37"/>
  <c r="G1074" i="37"/>
  <c r="G1073" i="37"/>
  <c r="G1072" i="37"/>
  <c r="G1071" i="37"/>
  <c r="G1070" i="37"/>
  <c r="G1069" i="37"/>
  <c r="G1068" i="37"/>
  <c r="G1067" i="37"/>
  <c r="G1066" i="37"/>
  <c r="G1065" i="37"/>
  <c r="G1064" i="37"/>
  <c r="G1063" i="37"/>
  <c r="G1062" i="37"/>
  <c r="G1061" i="37"/>
  <c r="G1060" i="37"/>
  <c r="G1059" i="37"/>
  <c r="G1058" i="37"/>
  <c r="G1057" i="37"/>
  <c r="G1056" i="37"/>
  <c r="G1055" i="37"/>
  <c r="G1054" i="37"/>
  <c r="G1053" i="37"/>
  <c r="G1052" i="37"/>
  <c r="G1051" i="37"/>
  <c r="G1050" i="37"/>
  <c r="G1049" i="37"/>
  <c r="G1048" i="37"/>
  <c r="G1047" i="37"/>
  <c r="G1046" i="37"/>
  <c r="G1045" i="37"/>
  <c r="G1044" i="37"/>
  <c r="G1043" i="37"/>
  <c r="G1042" i="37"/>
  <c r="G1041" i="37"/>
  <c r="G1040" i="37"/>
  <c r="G1039" i="37"/>
  <c r="G1038" i="37"/>
  <c r="G1037" i="37"/>
  <c r="G1036" i="37"/>
  <c r="G1035" i="37"/>
  <c r="G1034" i="37"/>
  <c r="G1033" i="37"/>
  <c r="G1032" i="37"/>
  <c r="G1031" i="37"/>
  <c r="G1030" i="37"/>
  <c r="G1029" i="37"/>
  <c r="G1028" i="37"/>
  <c r="G1027" i="37"/>
  <c r="G1026" i="37"/>
  <c r="G1025" i="37"/>
  <c r="G1024" i="37"/>
  <c r="G1023" i="37"/>
  <c r="G1022" i="37"/>
  <c r="G1021" i="37"/>
  <c r="G1020" i="37"/>
  <c r="G1019" i="37"/>
  <c r="G1018" i="37"/>
  <c r="G1017" i="37"/>
  <c r="G1016" i="37"/>
  <c r="G1015" i="37"/>
  <c r="G1014" i="37"/>
  <c r="G1013" i="37"/>
  <c r="G1012" i="37"/>
  <c r="G1011" i="37"/>
  <c r="G1010" i="37"/>
  <c r="G1009" i="37"/>
  <c r="G1008" i="37"/>
  <c r="G1007" i="37"/>
  <c r="G1006" i="37"/>
  <c r="N1005" i="37"/>
  <c r="G1005" i="37"/>
  <c r="N1004" i="37"/>
  <c r="G1004" i="37"/>
  <c r="N1003" i="37"/>
  <c r="G1003" i="37"/>
  <c r="N1002" i="37"/>
  <c r="G1002" i="37"/>
  <c r="N1001" i="37"/>
  <c r="G1001" i="37"/>
  <c r="N1000" i="37"/>
  <c r="G1000" i="37"/>
  <c r="N999" i="37"/>
  <c r="G999" i="37"/>
  <c r="N998" i="37"/>
  <c r="G998" i="37"/>
  <c r="N997" i="37"/>
  <c r="G997" i="37"/>
  <c r="N996" i="37"/>
  <c r="G996" i="37"/>
  <c r="N995" i="37"/>
  <c r="G995" i="37"/>
  <c r="N994" i="37"/>
  <c r="G994" i="37"/>
  <c r="N993" i="37"/>
  <c r="G993" i="37"/>
  <c r="N992" i="37"/>
  <c r="G992" i="37"/>
  <c r="N991" i="37"/>
  <c r="G991" i="37"/>
  <c r="N990" i="37"/>
  <c r="G990" i="37"/>
  <c r="N989" i="37"/>
  <c r="G989" i="37"/>
  <c r="N988" i="37"/>
  <c r="G988" i="37"/>
  <c r="N987" i="37"/>
  <c r="G987" i="37"/>
  <c r="N986" i="37"/>
  <c r="G986" i="37"/>
  <c r="N985" i="37"/>
  <c r="G985" i="37"/>
  <c r="N984" i="37"/>
  <c r="G984" i="37"/>
  <c r="N983" i="37"/>
  <c r="G983" i="37"/>
  <c r="N982" i="37"/>
  <c r="G982" i="37"/>
  <c r="N981" i="37"/>
  <c r="G981" i="37"/>
  <c r="N980" i="37"/>
  <c r="G980" i="37"/>
  <c r="N979" i="37"/>
  <c r="G979" i="37"/>
  <c r="N978" i="37"/>
  <c r="G978" i="37"/>
  <c r="N977" i="37"/>
  <c r="G977" i="37"/>
  <c r="N976" i="37"/>
  <c r="G976" i="37"/>
  <c r="N975" i="37"/>
  <c r="G975" i="37"/>
  <c r="N974" i="37"/>
  <c r="G974" i="37"/>
  <c r="N973" i="37"/>
  <c r="G973" i="37"/>
  <c r="N972" i="37"/>
  <c r="G972" i="37"/>
  <c r="N971" i="37"/>
  <c r="G971" i="37"/>
  <c r="N970" i="37"/>
  <c r="G970" i="37"/>
  <c r="N969" i="37"/>
  <c r="G969" i="37"/>
  <c r="N968" i="37"/>
  <c r="G968" i="37"/>
  <c r="N967" i="37"/>
  <c r="G967" i="37"/>
  <c r="N966" i="37"/>
  <c r="G966" i="37"/>
  <c r="N965" i="37"/>
  <c r="G965" i="37"/>
  <c r="N964" i="37"/>
  <c r="G964" i="37"/>
  <c r="N963" i="37"/>
  <c r="G963" i="37"/>
  <c r="N962" i="37"/>
  <c r="G962" i="37"/>
  <c r="N961" i="37"/>
  <c r="G961" i="37"/>
  <c r="N960" i="37"/>
  <c r="G960" i="37"/>
  <c r="N959" i="37"/>
  <c r="G959" i="37"/>
  <c r="N958" i="37"/>
  <c r="G958" i="37"/>
  <c r="N957" i="37"/>
  <c r="G957" i="37"/>
  <c r="N956" i="37"/>
  <c r="G956" i="37"/>
  <c r="N955" i="37"/>
  <c r="G955" i="37"/>
  <c r="N954" i="37"/>
  <c r="G954" i="37"/>
  <c r="N953" i="37"/>
  <c r="G953" i="37"/>
  <c r="N952" i="37"/>
  <c r="G952" i="37"/>
  <c r="N951" i="37"/>
  <c r="G951" i="37"/>
  <c r="N950" i="37"/>
  <c r="G950" i="37"/>
  <c r="N949" i="37"/>
  <c r="G949" i="37"/>
  <c r="N948" i="37"/>
  <c r="G948" i="37"/>
  <c r="N947" i="37"/>
  <c r="G947" i="37"/>
  <c r="N946" i="37"/>
  <c r="G946" i="37"/>
  <c r="N945" i="37"/>
  <c r="G945" i="37"/>
  <c r="N944" i="37"/>
  <c r="G944" i="37"/>
  <c r="N943" i="37"/>
  <c r="G943" i="37"/>
  <c r="N942" i="37"/>
  <c r="G942" i="37"/>
  <c r="N941" i="37"/>
  <c r="G941" i="37"/>
  <c r="N940" i="37"/>
  <c r="G940" i="37"/>
  <c r="N939" i="37"/>
  <c r="G939" i="37"/>
  <c r="N938" i="37"/>
  <c r="G938" i="37"/>
  <c r="N937" i="37"/>
  <c r="G937" i="37"/>
  <c r="N936" i="37"/>
  <c r="G936" i="37"/>
  <c r="N935" i="37"/>
  <c r="G935" i="37"/>
  <c r="N934" i="37"/>
  <c r="G934" i="37"/>
  <c r="N933" i="37"/>
  <c r="G933" i="37"/>
  <c r="N932" i="37"/>
  <c r="G932" i="37"/>
  <c r="N931" i="37"/>
  <c r="G931" i="37"/>
  <c r="N930" i="37"/>
  <c r="G930" i="37"/>
  <c r="N929" i="37"/>
  <c r="G929" i="37"/>
  <c r="N928" i="37"/>
  <c r="G928" i="37"/>
  <c r="N927" i="37"/>
  <c r="G927" i="37"/>
  <c r="N926" i="37"/>
  <c r="G926" i="37"/>
  <c r="N925" i="37"/>
  <c r="G925" i="37"/>
  <c r="N924" i="37"/>
  <c r="G924" i="37"/>
  <c r="N923" i="37"/>
  <c r="G923" i="37"/>
  <c r="N922" i="37"/>
  <c r="G922" i="37"/>
  <c r="N921" i="37"/>
  <c r="G921" i="37"/>
  <c r="N920" i="37"/>
  <c r="G920" i="37"/>
  <c r="N919" i="37"/>
  <c r="G919" i="37"/>
  <c r="N918" i="37"/>
  <c r="G918" i="37"/>
  <c r="N917" i="37"/>
  <c r="G917" i="37"/>
  <c r="N916" i="37"/>
  <c r="G916" i="37"/>
  <c r="N915" i="37"/>
  <c r="G915" i="37"/>
  <c r="N914" i="37"/>
  <c r="G914" i="37"/>
  <c r="N913" i="37"/>
  <c r="G913" i="37"/>
  <c r="N912" i="37"/>
  <c r="G912" i="37"/>
  <c r="N911" i="37"/>
  <c r="G911" i="37"/>
  <c r="N910" i="37"/>
  <c r="G910" i="37"/>
  <c r="N909" i="37"/>
  <c r="G909" i="37"/>
  <c r="N908" i="37"/>
  <c r="G908" i="37"/>
  <c r="N907" i="37"/>
  <c r="G907" i="37"/>
  <c r="N906" i="37"/>
  <c r="G906" i="37"/>
  <c r="N905" i="37"/>
  <c r="G905" i="37"/>
  <c r="N904" i="37"/>
  <c r="G904" i="37"/>
  <c r="N903" i="37"/>
  <c r="G903" i="37"/>
  <c r="N902" i="37"/>
  <c r="G902" i="37"/>
  <c r="N901" i="37"/>
  <c r="G901" i="37"/>
  <c r="N900" i="37"/>
  <c r="G900" i="37"/>
  <c r="N899" i="37"/>
  <c r="G899" i="37"/>
  <c r="N898" i="37"/>
  <c r="G898" i="37"/>
  <c r="N897" i="37"/>
  <c r="G897" i="37"/>
  <c r="N896" i="37"/>
  <c r="G896" i="37"/>
  <c r="N895" i="37"/>
  <c r="G895" i="37"/>
  <c r="N894" i="37"/>
  <c r="G894" i="37"/>
  <c r="N893" i="37"/>
  <c r="G893" i="37"/>
  <c r="N892" i="37"/>
  <c r="G892" i="37"/>
  <c r="N891" i="37"/>
  <c r="G891" i="37"/>
  <c r="N890" i="37"/>
  <c r="G890" i="37"/>
  <c r="N889" i="37"/>
  <c r="G889" i="37"/>
  <c r="N888" i="37"/>
  <c r="G888" i="37"/>
  <c r="N887" i="37"/>
  <c r="G887" i="37"/>
  <c r="N886" i="37"/>
  <c r="G886" i="37"/>
  <c r="N885" i="37"/>
  <c r="G885" i="37"/>
  <c r="N884" i="37"/>
  <c r="G884" i="37"/>
  <c r="N883" i="37"/>
  <c r="G883" i="37"/>
  <c r="N882" i="37"/>
  <c r="G882" i="37"/>
  <c r="N881" i="37"/>
  <c r="G881" i="37"/>
  <c r="N880" i="37"/>
  <c r="G880" i="37"/>
  <c r="N879" i="37"/>
  <c r="G879" i="37"/>
  <c r="N878" i="37"/>
  <c r="G878" i="37"/>
  <c r="N877" i="37"/>
  <c r="G877" i="37"/>
  <c r="N876" i="37"/>
  <c r="G876" i="37"/>
  <c r="N875" i="37"/>
  <c r="G875" i="37"/>
  <c r="N874" i="37"/>
  <c r="G874" i="37"/>
  <c r="N873" i="37"/>
  <c r="G873" i="37"/>
  <c r="N872" i="37"/>
  <c r="G872" i="37"/>
  <c r="N871" i="37"/>
  <c r="G871" i="37"/>
  <c r="N870" i="37"/>
  <c r="G870" i="37"/>
  <c r="N869" i="37"/>
  <c r="G869" i="37"/>
  <c r="N868" i="37"/>
  <c r="G868" i="37"/>
  <c r="N867" i="37"/>
  <c r="G867" i="37"/>
  <c r="N866" i="37"/>
  <c r="G866" i="37"/>
  <c r="N865" i="37"/>
  <c r="G865" i="37"/>
  <c r="N864" i="37"/>
  <c r="G864" i="37"/>
  <c r="N863" i="37"/>
  <c r="G863" i="37"/>
  <c r="N862" i="37"/>
  <c r="G862" i="37"/>
  <c r="N861" i="37"/>
  <c r="G861" i="37"/>
  <c r="N860" i="37"/>
  <c r="G860" i="37"/>
  <c r="N859" i="37"/>
  <c r="G859" i="37"/>
  <c r="N858" i="37"/>
  <c r="G858" i="37"/>
  <c r="N857" i="37"/>
  <c r="G857" i="37"/>
  <c r="N856" i="37"/>
  <c r="G856" i="37"/>
  <c r="N855" i="37"/>
  <c r="G855" i="37"/>
  <c r="N854" i="37"/>
  <c r="G854" i="37"/>
  <c r="N853" i="37"/>
  <c r="G853" i="37"/>
  <c r="N852" i="37"/>
  <c r="G852" i="37"/>
  <c r="N851" i="37"/>
  <c r="G851" i="37"/>
  <c r="N850" i="37"/>
  <c r="G850" i="37"/>
  <c r="N849" i="37"/>
  <c r="G849" i="37"/>
  <c r="N848" i="37"/>
  <c r="G848" i="37"/>
  <c r="N847" i="37"/>
  <c r="G847" i="37"/>
  <c r="N846" i="37"/>
  <c r="G846" i="37"/>
  <c r="N845" i="37"/>
  <c r="G845" i="37"/>
  <c r="N844" i="37"/>
  <c r="G844" i="37"/>
  <c r="N843" i="37"/>
  <c r="G843" i="37"/>
  <c r="N842" i="37"/>
  <c r="G842" i="37"/>
  <c r="N841" i="37"/>
  <c r="G841" i="37"/>
  <c r="N840" i="37"/>
  <c r="G840" i="37"/>
  <c r="N839" i="37"/>
  <c r="G839" i="37"/>
  <c r="N838" i="37"/>
  <c r="G838" i="37"/>
  <c r="N837" i="37"/>
  <c r="G837" i="37"/>
  <c r="N836" i="37"/>
  <c r="G836" i="37"/>
  <c r="N835" i="37"/>
  <c r="G835" i="37"/>
  <c r="N834" i="37"/>
  <c r="G834" i="37"/>
  <c r="N833" i="37"/>
  <c r="G833" i="37"/>
  <c r="N832" i="37"/>
  <c r="G832" i="37"/>
  <c r="N831" i="37"/>
  <c r="G831" i="37"/>
  <c r="N830" i="37"/>
  <c r="G830" i="37"/>
  <c r="N829" i="37"/>
  <c r="G829" i="37"/>
  <c r="N828" i="37"/>
  <c r="G828" i="37"/>
  <c r="N827" i="37"/>
  <c r="G827" i="37"/>
  <c r="N826" i="37"/>
  <c r="G826" i="37"/>
  <c r="N825" i="37"/>
  <c r="G825" i="37"/>
  <c r="N824" i="37"/>
  <c r="G824" i="37"/>
  <c r="N823" i="37"/>
  <c r="G823" i="37"/>
  <c r="N822" i="37"/>
  <c r="G822" i="37"/>
  <c r="N821" i="37"/>
  <c r="G821" i="37"/>
  <c r="N820" i="37"/>
  <c r="G820" i="37"/>
  <c r="N819" i="37"/>
  <c r="G819" i="37"/>
  <c r="N818" i="37"/>
  <c r="G818" i="37"/>
  <c r="N817" i="37"/>
  <c r="G817" i="37"/>
  <c r="N816" i="37"/>
  <c r="G816" i="37"/>
  <c r="N815" i="37"/>
  <c r="G815" i="37"/>
  <c r="N814" i="37"/>
  <c r="G814" i="37"/>
  <c r="N813" i="37"/>
  <c r="G813" i="37"/>
  <c r="N812" i="37"/>
  <c r="G812" i="37"/>
  <c r="N811" i="37"/>
  <c r="G811" i="37"/>
  <c r="N810" i="37"/>
  <c r="G810" i="37"/>
  <c r="N809" i="37"/>
  <c r="G809" i="37"/>
  <c r="N808" i="37"/>
  <c r="G808" i="37"/>
  <c r="N807" i="37"/>
  <c r="G807" i="37"/>
  <c r="N806" i="37"/>
  <c r="G806" i="37"/>
  <c r="N805" i="37"/>
  <c r="G805" i="37"/>
  <c r="N804" i="37"/>
  <c r="G804" i="37"/>
  <c r="N803" i="37"/>
  <c r="G803" i="37"/>
  <c r="N802" i="37"/>
  <c r="G802" i="37"/>
  <c r="N801" i="37"/>
  <c r="G801" i="37"/>
  <c r="N800" i="37"/>
  <c r="G800" i="37"/>
  <c r="N799" i="37"/>
  <c r="G799" i="37"/>
  <c r="N798" i="37"/>
  <c r="G798" i="37"/>
  <c r="N797" i="37"/>
  <c r="G797" i="37"/>
  <c r="N796" i="37"/>
  <c r="G796" i="37"/>
  <c r="N795" i="37"/>
  <c r="G795" i="37"/>
  <c r="N794" i="37"/>
  <c r="G794" i="37"/>
  <c r="N793" i="37"/>
  <c r="G793" i="37"/>
  <c r="N792" i="37"/>
  <c r="G792" i="37"/>
  <c r="N791" i="37"/>
  <c r="G791" i="37"/>
  <c r="N790" i="37"/>
  <c r="G790" i="37"/>
  <c r="N789" i="37"/>
  <c r="G789" i="37"/>
  <c r="N788" i="37"/>
  <c r="G788" i="37"/>
  <c r="N787" i="37"/>
  <c r="G787" i="37"/>
  <c r="N786" i="37"/>
  <c r="G786" i="37"/>
  <c r="N785" i="37"/>
  <c r="G785" i="37"/>
  <c r="N784" i="37"/>
  <c r="G784" i="37"/>
  <c r="N783" i="37"/>
  <c r="G783" i="37"/>
  <c r="N782" i="37"/>
  <c r="G782" i="37"/>
  <c r="N781" i="37"/>
  <c r="G781" i="37"/>
  <c r="N780" i="37"/>
  <c r="G780" i="37"/>
  <c r="N779" i="37"/>
  <c r="G779" i="37"/>
  <c r="N778" i="37"/>
  <c r="G778" i="37"/>
  <c r="N777" i="37"/>
  <c r="G777" i="37"/>
  <c r="N776" i="37"/>
  <c r="G776" i="37"/>
  <c r="N775" i="37"/>
  <c r="G775" i="37"/>
  <c r="N774" i="37"/>
  <c r="G774" i="37"/>
  <c r="N773" i="37"/>
  <c r="G773" i="37"/>
  <c r="N772" i="37"/>
  <c r="G772" i="37"/>
  <c r="N771" i="37"/>
  <c r="G771" i="37"/>
  <c r="N770" i="37"/>
  <c r="G770" i="37"/>
  <c r="N769" i="37"/>
  <c r="G769" i="37"/>
  <c r="N768" i="37"/>
  <c r="G768" i="37"/>
  <c r="N767" i="37"/>
  <c r="G767" i="37"/>
  <c r="N766" i="37"/>
  <c r="G766" i="37"/>
  <c r="N765" i="37"/>
  <c r="G765" i="37"/>
  <c r="N764" i="37"/>
  <c r="G764" i="37"/>
  <c r="N763" i="37"/>
  <c r="G763" i="37"/>
  <c r="N762" i="37"/>
  <c r="G762" i="37"/>
  <c r="N761" i="37"/>
  <c r="G761" i="37"/>
  <c r="N760" i="37"/>
  <c r="G760" i="37"/>
  <c r="N759" i="37"/>
  <c r="G759" i="37"/>
  <c r="N758" i="37"/>
  <c r="G758" i="37"/>
  <c r="N757" i="37"/>
  <c r="G757" i="37"/>
  <c r="N756" i="37"/>
  <c r="G756" i="37"/>
  <c r="N755" i="37"/>
  <c r="G755" i="37"/>
  <c r="N754" i="37"/>
  <c r="G754" i="37"/>
  <c r="N753" i="37"/>
  <c r="G753" i="37"/>
  <c r="N752" i="37"/>
  <c r="G752" i="37"/>
  <c r="N751" i="37"/>
  <c r="G751" i="37"/>
  <c r="N750" i="37"/>
  <c r="G750" i="37"/>
  <c r="N749" i="37"/>
  <c r="G749" i="37"/>
  <c r="N748" i="37"/>
  <c r="G748" i="37"/>
  <c r="N747" i="37"/>
  <c r="G747" i="37"/>
  <c r="N746" i="37"/>
  <c r="G746" i="37"/>
  <c r="N745" i="37"/>
  <c r="G745" i="37"/>
  <c r="N744" i="37"/>
  <c r="G744" i="37"/>
  <c r="N743" i="37"/>
  <c r="G743" i="37"/>
  <c r="N742" i="37"/>
  <c r="G742" i="37"/>
  <c r="N741" i="37"/>
  <c r="G741" i="37"/>
  <c r="N740" i="37"/>
  <c r="G740" i="37"/>
  <c r="N739" i="37"/>
  <c r="G739" i="37"/>
  <c r="N738" i="37"/>
  <c r="G738" i="37"/>
  <c r="N737" i="37"/>
  <c r="G737" i="37"/>
  <c r="N736" i="37"/>
  <c r="G736" i="37"/>
  <c r="N735" i="37"/>
  <c r="G735" i="37"/>
  <c r="N734" i="37"/>
  <c r="G734" i="37"/>
  <c r="N733" i="37"/>
  <c r="G733" i="37"/>
  <c r="N732" i="37"/>
  <c r="G732" i="37"/>
  <c r="N731" i="37"/>
  <c r="G731" i="37"/>
  <c r="N730" i="37"/>
  <c r="G730" i="37"/>
  <c r="N729" i="37"/>
  <c r="G729" i="37"/>
  <c r="N728" i="37"/>
  <c r="G728" i="37"/>
  <c r="N727" i="37"/>
  <c r="G727" i="37"/>
  <c r="N726" i="37"/>
  <c r="G726" i="37"/>
  <c r="N725" i="37"/>
  <c r="G725" i="37"/>
  <c r="N724" i="37"/>
  <c r="G724" i="37"/>
  <c r="N723" i="37"/>
  <c r="G723" i="37"/>
  <c r="N722" i="37"/>
  <c r="G722" i="37"/>
  <c r="N721" i="37"/>
  <c r="G721" i="37"/>
  <c r="N720" i="37"/>
  <c r="G720" i="37"/>
  <c r="N719" i="37"/>
  <c r="G719" i="37"/>
  <c r="N718" i="37"/>
  <c r="G718" i="37"/>
  <c r="N717" i="37"/>
  <c r="G717" i="37"/>
  <c r="N716" i="37"/>
  <c r="G716" i="37"/>
  <c r="N715" i="37"/>
  <c r="G715" i="37"/>
  <c r="N714" i="37"/>
  <c r="G714" i="37"/>
  <c r="N713" i="37"/>
  <c r="G713" i="37"/>
  <c r="N712" i="37"/>
  <c r="G712" i="37"/>
  <c r="N711" i="37"/>
  <c r="G711" i="37"/>
  <c r="N710" i="37"/>
  <c r="G710" i="37"/>
  <c r="N709" i="37"/>
  <c r="G709" i="37"/>
  <c r="N708" i="37"/>
  <c r="G708" i="37"/>
  <c r="N707" i="37"/>
  <c r="G707" i="37"/>
  <c r="N706" i="37"/>
  <c r="G706" i="37"/>
  <c r="N705" i="37"/>
  <c r="G705" i="37"/>
  <c r="N704" i="37"/>
  <c r="G704" i="37"/>
  <c r="N703" i="37"/>
  <c r="G703" i="37"/>
  <c r="N702" i="37"/>
  <c r="G702" i="37"/>
  <c r="N701" i="37"/>
  <c r="G701" i="37"/>
  <c r="N700" i="37"/>
  <c r="G700" i="37"/>
  <c r="N699" i="37"/>
  <c r="G699" i="37"/>
  <c r="N698" i="37"/>
  <c r="G698" i="37"/>
  <c r="N697" i="37"/>
  <c r="G697" i="37"/>
  <c r="N696" i="37"/>
  <c r="G696" i="37"/>
  <c r="N695" i="37"/>
  <c r="G695" i="37"/>
  <c r="N694" i="37"/>
  <c r="G694" i="37"/>
  <c r="N693" i="37"/>
  <c r="G693" i="37"/>
  <c r="N692" i="37"/>
  <c r="G692" i="37"/>
  <c r="N691" i="37"/>
  <c r="G691" i="37"/>
  <c r="N690" i="37"/>
  <c r="G690" i="37"/>
  <c r="N689" i="37"/>
  <c r="G689" i="37"/>
  <c r="N688" i="37"/>
  <c r="G688" i="37"/>
  <c r="N687" i="37"/>
  <c r="G687" i="37"/>
  <c r="N686" i="37"/>
  <c r="G686" i="37"/>
  <c r="N685" i="37"/>
  <c r="G685" i="37"/>
  <c r="N684" i="37"/>
  <c r="G684" i="37"/>
  <c r="N683" i="37"/>
  <c r="G683" i="37"/>
  <c r="N682" i="37"/>
  <c r="G682" i="37"/>
  <c r="N681" i="37"/>
  <c r="G681" i="37"/>
  <c r="N680" i="37"/>
  <c r="G680" i="37"/>
  <c r="N679" i="37"/>
  <c r="G679" i="37"/>
  <c r="N678" i="37"/>
  <c r="G678" i="37"/>
  <c r="N677" i="37"/>
  <c r="G677" i="37"/>
  <c r="N676" i="37"/>
  <c r="G676" i="37"/>
  <c r="N675" i="37"/>
  <c r="G675" i="37"/>
  <c r="N674" i="37"/>
  <c r="G674" i="37"/>
  <c r="N673" i="37"/>
  <c r="G673" i="37"/>
  <c r="N672" i="37"/>
  <c r="G672" i="37"/>
  <c r="N671" i="37"/>
  <c r="G671" i="37"/>
  <c r="N670" i="37"/>
  <c r="G670" i="37"/>
  <c r="N669" i="37"/>
  <c r="G669" i="37"/>
  <c r="N668" i="37"/>
  <c r="G668" i="37"/>
  <c r="N667" i="37"/>
  <c r="G667" i="37"/>
  <c r="N666" i="37"/>
  <c r="G666" i="37"/>
  <c r="N665" i="37"/>
  <c r="G665" i="37"/>
  <c r="N664" i="37"/>
  <c r="G664" i="37"/>
  <c r="N663" i="37"/>
  <c r="G663" i="37"/>
  <c r="N662" i="37"/>
  <c r="G662" i="37"/>
  <c r="N661" i="37"/>
  <c r="G661" i="37"/>
  <c r="N660" i="37"/>
  <c r="G660" i="37"/>
  <c r="N659" i="37"/>
  <c r="G659" i="37"/>
  <c r="N658" i="37"/>
  <c r="G658" i="37"/>
  <c r="N657" i="37"/>
  <c r="G657" i="37"/>
  <c r="N656" i="37"/>
  <c r="G656" i="37"/>
  <c r="N655" i="37"/>
  <c r="G655" i="37"/>
  <c r="N654" i="37"/>
  <c r="G654" i="37"/>
  <c r="N653" i="37"/>
  <c r="G653" i="37"/>
  <c r="N652" i="37"/>
  <c r="G652" i="37"/>
  <c r="N651" i="37"/>
  <c r="G651" i="37"/>
  <c r="N650" i="37"/>
  <c r="G650" i="37"/>
  <c r="N649" i="37"/>
  <c r="G649" i="37"/>
  <c r="N648" i="37"/>
  <c r="G648" i="37"/>
  <c r="N647" i="37"/>
  <c r="G647" i="37"/>
  <c r="N646" i="37"/>
  <c r="G646" i="37"/>
  <c r="N645" i="37"/>
  <c r="G645" i="37"/>
  <c r="N644" i="37"/>
  <c r="G644" i="37"/>
  <c r="N643" i="37"/>
  <c r="G643" i="37"/>
  <c r="N642" i="37"/>
  <c r="G642" i="37"/>
  <c r="N641" i="37"/>
  <c r="G641" i="37"/>
  <c r="N640" i="37"/>
  <c r="G640" i="37"/>
  <c r="N639" i="37"/>
  <c r="G639" i="37"/>
  <c r="N638" i="37"/>
  <c r="G638" i="37"/>
  <c r="N637" i="37"/>
  <c r="G637" i="37"/>
  <c r="N636" i="37"/>
  <c r="G636" i="37"/>
  <c r="N635" i="37"/>
  <c r="G635" i="37"/>
  <c r="N634" i="37"/>
  <c r="G634" i="37"/>
  <c r="N633" i="37"/>
  <c r="G633" i="37"/>
  <c r="N632" i="37"/>
  <c r="G632" i="37"/>
  <c r="N631" i="37"/>
  <c r="G631" i="37"/>
  <c r="N630" i="37"/>
  <c r="G630" i="37"/>
  <c r="N629" i="37"/>
  <c r="G629" i="37"/>
  <c r="N628" i="37"/>
  <c r="G628" i="37"/>
  <c r="N627" i="37"/>
  <c r="G627" i="37"/>
  <c r="N626" i="37"/>
  <c r="G626" i="37"/>
  <c r="N625" i="37"/>
  <c r="G625" i="37"/>
  <c r="N624" i="37"/>
  <c r="G624" i="37"/>
  <c r="N623" i="37"/>
  <c r="G623" i="37"/>
  <c r="N622" i="37"/>
  <c r="G622" i="37"/>
  <c r="N621" i="37"/>
  <c r="G621" i="37"/>
  <c r="N620" i="37"/>
  <c r="G620" i="37"/>
  <c r="N619" i="37"/>
  <c r="G619" i="37"/>
  <c r="N618" i="37"/>
  <c r="G618" i="37"/>
  <c r="N617" i="37"/>
  <c r="G617" i="37"/>
  <c r="N616" i="37"/>
  <c r="G616" i="37"/>
  <c r="N615" i="37"/>
  <c r="G615" i="37"/>
  <c r="N614" i="37"/>
  <c r="G614" i="37"/>
  <c r="N613" i="37"/>
  <c r="G613" i="37"/>
  <c r="N612" i="37"/>
  <c r="G612" i="37"/>
  <c r="N611" i="37"/>
  <c r="G611" i="37"/>
  <c r="N610" i="37"/>
  <c r="G610" i="37"/>
  <c r="N609" i="37"/>
  <c r="G609" i="37"/>
  <c r="N608" i="37"/>
  <c r="G608" i="37"/>
  <c r="N607" i="37"/>
  <c r="G607" i="37"/>
  <c r="N606" i="37"/>
  <c r="G606" i="37"/>
  <c r="N605" i="37"/>
  <c r="G605" i="37"/>
  <c r="N604" i="37"/>
  <c r="G604" i="37"/>
  <c r="N603" i="37"/>
  <c r="G603" i="37"/>
  <c r="N602" i="37"/>
  <c r="G602" i="37"/>
  <c r="N601" i="37"/>
  <c r="G601" i="37"/>
  <c r="N600" i="37"/>
  <c r="G600" i="37"/>
  <c r="N599" i="37"/>
  <c r="G599" i="37"/>
  <c r="N598" i="37"/>
  <c r="G598" i="37"/>
  <c r="N597" i="37"/>
  <c r="G597" i="37"/>
  <c r="N596" i="37"/>
  <c r="G596" i="37"/>
  <c r="N595" i="37"/>
  <c r="G595" i="37"/>
  <c r="N594" i="37"/>
  <c r="G594" i="37"/>
  <c r="N593" i="37"/>
  <c r="G593" i="37"/>
  <c r="N592" i="37"/>
  <c r="G592" i="37"/>
  <c r="N591" i="37"/>
  <c r="G591" i="37"/>
  <c r="N590" i="37"/>
  <c r="G590" i="37"/>
  <c r="N589" i="37"/>
  <c r="G589" i="37"/>
  <c r="N588" i="37"/>
  <c r="G588" i="37"/>
  <c r="N587" i="37"/>
  <c r="G587" i="37"/>
  <c r="N586" i="37"/>
  <c r="G586" i="37"/>
  <c r="N585" i="37"/>
  <c r="G585" i="37"/>
  <c r="N584" i="37"/>
  <c r="G584" i="37"/>
  <c r="N583" i="37"/>
  <c r="G583" i="37"/>
  <c r="N582" i="37"/>
  <c r="G582" i="37"/>
  <c r="N581" i="37"/>
  <c r="G581" i="37"/>
  <c r="N580" i="37"/>
  <c r="G580" i="37"/>
  <c r="N579" i="37"/>
  <c r="G579" i="37"/>
  <c r="N578" i="37"/>
  <c r="G578" i="37"/>
  <c r="N577" i="37"/>
  <c r="G577" i="37"/>
  <c r="N576" i="37"/>
  <c r="G576" i="37"/>
  <c r="N575" i="37"/>
  <c r="G575" i="37"/>
  <c r="N574" i="37"/>
  <c r="G574" i="37"/>
  <c r="N573" i="37"/>
  <c r="G573" i="37"/>
  <c r="N572" i="37"/>
  <c r="G572" i="37"/>
  <c r="N571" i="37"/>
  <c r="G571" i="37"/>
  <c r="N570" i="37"/>
  <c r="G570" i="37"/>
  <c r="N569" i="37"/>
  <c r="G569" i="37"/>
  <c r="N568" i="37"/>
  <c r="G568" i="37"/>
  <c r="N567" i="37"/>
  <c r="G567" i="37"/>
  <c r="N566" i="37"/>
  <c r="G566" i="37"/>
  <c r="N565" i="37"/>
  <c r="G565" i="37"/>
  <c r="N564" i="37"/>
  <c r="G564" i="37"/>
  <c r="N563" i="37"/>
  <c r="G563" i="37"/>
  <c r="N562" i="37"/>
  <c r="G562" i="37"/>
  <c r="N561" i="37"/>
  <c r="G561" i="37"/>
  <c r="N560" i="37"/>
  <c r="G560" i="37"/>
  <c r="N559" i="37"/>
  <c r="G559" i="37"/>
  <c r="N558" i="37"/>
  <c r="G558" i="37"/>
  <c r="N557" i="37"/>
  <c r="G557" i="37"/>
  <c r="N556" i="37"/>
  <c r="G556" i="37"/>
  <c r="N555" i="37"/>
  <c r="G555" i="37"/>
  <c r="N554" i="37"/>
  <c r="G554" i="37"/>
  <c r="N553" i="37"/>
  <c r="G553" i="37"/>
  <c r="N552" i="37"/>
  <c r="G552" i="37"/>
  <c r="N551" i="37"/>
  <c r="G551" i="37"/>
  <c r="N550" i="37"/>
  <c r="G550" i="37"/>
  <c r="N549" i="37"/>
  <c r="G549" i="37"/>
  <c r="N548" i="37"/>
  <c r="G548" i="37"/>
  <c r="N547" i="37"/>
  <c r="G547" i="37"/>
  <c r="N546" i="37"/>
  <c r="G546" i="37"/>
  <c r="N545" i="37"/>
  <c r="G545" i="37"/>
  <c r="N544" i="37"/>
  <c r="G544" i="37"/>
  <c r="N543" i="37"/>
  <c r="G543" i="37"/>
  <c r="N542" i="37"/>
  <c r="G542" i="37"/>
  <c r="N541" i="37"/>
  <c r="G541" i="37"/>
  <c r="N540" i="37"/>
  <c r="G540" i="37"/>
  <c r="N539" i="37"/>
  <c r="G539" i="37"/>
  <c r="N538" i="37"/>
  <c r="G538" i="37"/>
  <c r="N537" i="37"/>
  <c r="G537" i="37"/>
  <c r="N536" i="37"/>
  <c r="G536" i="37"/>
  <c r="N535" i="37"/>
  <c r="G535" i="37"/>
  <c r="N534" i="37"/>
  <c r="G534" i="37"/>
  <c r="N533" i="37"/>
  <c r="G533" i="37"/>
  <c r="N532" i="37"/>
  <c r="G532" i="37"/>
  <c r="N531" i="37"/>
  <c r="G531" i="37"/>
  <c r="N530" i="37"/>
  <c r="G530" i="37"/>
  <c r="N529" i="37"/>
  <c r="G529" i="37"/>
  <c r="N528" i="37"/>
  <c r="G528" i="37"/>
  <c r="N527" i="37"/>
  <c r="G527" i="37"/>
  <c r="N526" i="37"/>
  <c r="G526" i="37"/>
  <c r="N525" i="37"/>
  <c r="G525" i="37"/>
  <c r="N524" i="37"/>
  <c r="G524" i="37"/>
  <c r="N523" i="37"/>
  <c r="G523" i="37"/>
  <c r="N522" i="37"/>
  <c r="G522" i="37"/>
  <c r="N521" i="37"/>
  <c r="G521" i="37"/>
  <c r="N520" i="37"/>
  <c r="G520" i="37"/>
  <c r="N519" i="37"/>
  <c r="G519" i="37"/>
  <c r="N518" i="37"/>
  <c r="G518" i="37"/>
  <c r="N517" i="37"/>
  <c r="G517" i="37"/>
  <c r="N516" i="37"/>
  <c r="G516" i="37"/>
  <c r="N515" i="37"/>
  <c r="G515" i="37"/>
  <c r="N514" i="37"/>
  <c r="G514" i="37"/>
  <c r="N513" i="37"/>
  <c r="G513" i="37"/>
  <c r="N512" i="37"/>
  <c r="G512" i="37"/>
  <c r="N511" i="37"/>
  <c r="G511" i="37"/>
  <c r="N510" i="37"/>
  <c r="G510" i="37"/>
  <c r="N509" i="37"/>
  <c r="G509" i="37"/>
  <c r="N508" i="37"/>
  <c r="G508" i="37"/>
  <c r="N507" i="37"/>
  <c r="G507" i="37"/>
  <c r="N506" i="37"/>
  <c r="G506" i="37"/>
  <c r="N505" i="37"/>
  <c r="G505" i="37"/>
  <c r="N504" i="37"/>
  <c r="G504" i="37"/>
  <c r="N503" i="37"/>
  <c r="G503" i="37"/>
  <c r="N502" i="37"/>
  <c r="G502" i="37"/>
  <c r="N501" i="37"/>
  <c r="G501" i="37"/>
  <c r="N500" i="37"/>
  <c r="G500" i="37"/>
  <c r="N499" i="37"/>
  <c r="G499" i="37"/>
  <c r="N498" i="37"/>
  <c r="G498" i="37"/>
  <c r="N497" i="37"/>
  <c r="G497" i="37"/>
  <c r="N496" i="37"/>
  <c r="G496" i="37"/>
  <c r="N495" i="37"/>
  <c r="G495" i="37"/>
  <c r="N494" i="37"/>
  <c r="G494" i="37"/>
  <c r="N493" i="37"/>
  <c r="G493" i="37"/>
  <c r="N492" i="37"/>
  <c r="G492" i="37"/>
  <c r="N491" i="37"/>
  <c r="G491" i="37"/>
  <c r="N490" i="37"/>
  <c r="G490" i="37"/>
  <c r="N489" i="37"/>
  <c r="G489" i="37"/>
  <c r="N488" i="37"/>
  <c r="G488" i="37"/>
  <c r="N487" i="37"/>
  <c r="G487" i="37"/>
  <c r="N486" i="37"/>
  <c r="G486" i="37"/>
  <c r="N485" i="37"/>
  <c r="G485" i="37"/>
  <c r="N484" i="37"/>
  <c r="G484" i="37"/>
  <c r="N483" i="37"/>
  <c r="G483" i="37"/>
  <c r="N482" i="37"/>
  <c r="G482" i="37"/>
  <c r="N481" i="37"/>
  <c r="G481" i="37"/>
  <c r="N480" i="37"/>
  <c r="G480" i="37"/>
  <c r="N479" i="37"/>
  <c r="G479" i="37"/>
  <c r="N478" i="37"/>
  <c r="G478" i="37"/>
  <c r="N477" i="37"/>
  <c r="G477" i="37"/>
  <c r="N476" i="37"/>
  <c r="G476" i="37"/>
  <c r="N475" i="37"/>
  <c r="G475" i="37"/>
  <c r="N474" i="37"/>
  <c r="G474" i="37"/>
  <c r="N473" i="37"/>
  <c r="G473" i="37"/>
  <c r="N472" i="37"/>
  <c r="G472" i="37"/>
  <c r="N471" i="37"/>
  <c r="G471" i="37"/>
  <c r="N470" i="37"/>
  <c r="G470" i="37"/>
  <c r="N469" i="37"/>
  <c r="G469" i="37"/>
  <c r="N468" i="37"/>
  <c r="G468" i="37"/>
  <c r="N467" i="37"/>
  <c r="G467" i="37"/>
  <c r="N466" i="37"/>
  <c r="G466" i="37"/>
  <c r="N465" i="37"/>
  <c r="G465" i="37"/>
  <c r="N464" i="37"/>
  <c r="G464" i="37"/>
  <c r="N463" i="37"/>
  <c r="G463" i="37"/>
  <c r="N462" i="37"/>
  <c r="G462" i="37"/>
  <c r="N461" i="37"/>
  <c r="G461" i="37"/>
  <c r="N460" i="37"/>
  <c r="G460" i="37"/>
  <c r="N459" i="37"/>
  <c r="G459" i="37"/>
  <c r="N458" i="37"/>
  <c r="G458" i="37"/>
  <c r="N457" i="37"/>
  <c r="G457" i="37"/>
  <c r="N456" i="37"/>
  <c r="G456" i="37"/>
  <c r="N455" i="37"/>
  <c r="G455" i="37"/>
  <c r="N454" i="37"/>
  <c r="G454" i="37"/>
  <c r="N453" i="37"/>
  <c r="G453" i="37"/>
  <c r="N452" i="37"/>
  <c r="G452" i="37"/>
  <c r="N451" i="37"/>
  <c r="G451" i="37"/>
  <c r="N450" i="37"/>
  <c r="G450" i="37"/>
  <c r="N449" i="37"/>
  <c r="G449" i="37"/>
  <c r="N448" i="37"/>
  <c r="G448" i="37"/>
  <c r="N447" i="37"/>
  <c r="G447" i="37"/>
  <c r="N446" i="37"/>
  <c r="G446" i="37"/>
  <c r="N445" i="37"/>
  <c r="G445" i="37"/>
  <c r="N444" i="37"/>
  <c r="G444" i="37"/>
  <c r="N443" i="37"/>
  <c r="G443" i="37"/>
  <c r="N442" i="37"/>
  <c r="G442" i="37"/>
  <c r="N441" i="37"/>
  <c r="G441" i="37"/>
  <c r="N440" i="37"/>
  <c r="G440" i="37"/>
  <c r="N439" i="37"/>
  <c r="G439" i="37"/>
  <c r="N438" i="37"/>
  <c r="G438" i="37"/>
  <c r="N437" i="37"/>
  <c r="G437" i="37"/>
  <c r="N436" i="37"/>
  <c r="G436" i="37"/>
  <c r="N435" i="37"/>
  <c r="G435" i="37"/>
  <c r="N434" i="37"/>
  <c r="G434" i="37"/>
  <c r="N433" i="37"/>
  <c r="G433" i="37"/>
  <c r="N432" i="37"/>
  <c r="G432" i="37"/>
  <c r="N431" i="37"/>
  <c r="G431" i="37"/>
  <c r="N430" i="37"/>
  <c r="G430" i="37"/>
  <c r="N429" i="37"/>
  <c r="G429" i="37"/>
  <c r="N428" i="37"/>
  <c r="G428" i="37"/>
  <c r="N427" i="37"/>
  <c r="G427" i="37"/>
  <c r="N426" i="37"/>
  <c r="G426" i="37"/>
  <c r="N425" i="37"/>
  <c r="G425" i="37"/>
  <c r="N424" i="37"/>
  <c r="G424" i="37"/>
  <c r="N423" i="37"/>
  <c r="G423" i="37"/>
  <c r="N422" i="37"/>
  <c r="G422" i="37"/>
  <c r="N421" i="37"/>
  <c r="G421" i="37"/>
  <c r="N420" i="37"/>
  <c r="G420" i="37"/>
  <c r="N419" i="37"/>
  <c r="G419" i="37"/>
  <c r="N418" i="37"/>
  <c r="G418" i="37"/>
  <c r="N417" i="37"/>
  <c r="G417" i="37"/>
  <c r="N416" i="37"/>
  <c r="G416" i="37"/>
  <c r="N415" i="37"/>
  <c r="G415" i="37"/>
  <c r="N414" i="37"/>
  <c r="G414" i="37"/>
  <c r="N413" i="37"/>
  <c r="G413" i="37"/>
  <c r="N412" i="37"/>
  <c r="G412" i="37"/>
  <c r="N411" i="37"/>
  <c r="G411" i="37"/>
  <c r="N410" i="37"/>
  <c r="G410" i="37"/>
  <c r="N409" i="37"/>
  <c r="G409" i="37"/>
  <c r="N408" i="37"/>
  <c r="G408" i="37"/>
  <c r="N407" i="37"/>
  <c r="G407" i="37"/>
  <c r="N406" i="37"/>
  <c r="G406" i="37"/>
  <c r="N405" i="37"/>
  <c r="G405" i="37"/>
  <c r="N404" i="37"/>
  <c r="G404" i="37"/>
  <c r="N403" i="37"/>
  <c r="G403" i="37"/>
  <c r="N402" i="37"/>
  <c r="G402" i="37"/>
  <c r="N401" i="37"/>
  <c r="G401" i="37"/>
  <c r="N400" i="37"/>
  <c r="G400" i="37"/>
  <c r="N399" i="37"/>
  <c r="G399" i="37"/>
  <c r="N398" i="37"/>
  <c r="G398" i="37"/>
  <c r="N397" i="37"/>
  <c r="G397" i="37"/>
  <c r="N396" i="37"/>
  <c r="G396" i="37"/>
  <c r="N395" i="37"/>
  <c r="G395" i="37"/>
  <c r="N394" i="37"/>
  <c r="G394" i="37"/>
  <c r="N393" i="37"/>
  <c r="G393" i="37"/>
  <c r="N392" i="37"/>
  <c r="G392" i="37"/>
  <c r="N391" i="37"/>
  <c r="G391" i="37"/>
  <c r="N390" i="37"/>
  <c r="G390" i="37"/>
  <c r="N389" i="37"/>
  <c r="G389" i="37"/>
  <c r="N388" i="37"/>
  <c r="G388" i="37"/>
  <c r="N387" i="37"/>
  <c r="G387" i="37"/>
  <c r="N386" i="37"/>
  <c r="G386" i="37"/>
  <c r="N385" i="37"/>
  <c r="G385" i="37"/>
  <c r="N384" i="37"/>
  <c r="G384" i="37"/>
  <c r="N383" i="37"/>
  <c r="G383" i="37"/>
  <c r="N382" i="37"/>
  <c r="G382" i="37"/>
  <c r="N381" i="37"/>
  <c r="G381" i="37"/>
  <c r="N380" i="37"/>
  <c r="G380" i="37"/>
  <c r="N379" i="37"/>
  <c r="G379" i="37"/>
  <c r="N378" i="37"/>
  <c r="G378" i="37"/>
  <c r="N377" i="37"/>
  <c r="G377" i="37"/>
  <c r="N376" i="37"/>
  <c r="G376" i="37"/>
  <c r="N375" i="37"/>
  <c r="G375" i="37"/>
  <c r="N374" i="37"/>
  <c r="G374" i="37"/>
  <c r="N373" i="37"/>
  <c r="G373" i="37"/>
  <c r="N372" i="37"/>
  <c r="G372" i="37"/>
  <c r="N371" i="37"/>
  <c r="G371" i="37"/>
  <c r="N370" i="37"/>
  <c r="G370" i="37"/>
  <c r="N369" i="37"/>
  <c r="G369" i="37"/>
  <c r="N368" i="37"/>
  <c r="G368" i="37"/>
  <c r="N367" i="37"/>
  <c r="G367" i="37"/>
  <c r="N366" i="37"/>
  <c r="G366" i="37"/>
  <c r="N365" i="37"/>
  <c r="G365" i="37"/>
  <c r="N364" i="37"/>
  <c r="G364" i="37"/>
  <c r="N363" i="37"/>
  <c r="G363" i="37"/>
  <c r="N362" i="37"/>
  <c r="G362" i="37"/>
  <c r="N361" i="37"/>
  <c r="G361" i="37"/>
  <c r="N360" i="37"/>
  <c r="G360" i="37"/>
  <c r="N359" i="37"/>
  <c r="G359" i="37"/>
  <c r="N358" i="37"/>
  <c r="G358" i="37"/>
  <c r="N357" i="37"/>
  <c r="G357" i="37"/>
  <c r="N356" i="37"/>
  <c r="G356" i="37"/>
  <c r="N355" i="37"/>
  <c r="G355" i="37"/>
  <c r="N354" i="37"/>
  <c r="G354" i="37"/>
  <c r="N353" i="37"/>
  <c r="G353" i="37"/>
  <c r="N352" i="37"/>
  <c r="G352" i="37"/>
  <c r="N351" i="37"/>
  <c r="G351" i="37"/>
  <c r="N350" i="37"/>
  <c r="G350" i="37"/>
  <c r="N349" i="37"/>
  <c r="G349" i="37"/>
  <c r="N348" i="37"/>
  <c r="G348" i="37"/>
  <c r="N347" i="37"/>
  <c r="G347" i="37"/>
  <c r="N346" i="37"/>
  <c r="G346" i="37"/>
  <c r="N345" i="37"/>
  <c r="G345" i="37"/>
  <c r="N344" i="37"/>
  <c r="G344" i="37"/>
  <c r="N343" i="37"/>
  <c r="G343" i="37"/>
  <c r="N342" i="37"/>
  <c r="G342" i="37"/>
  <c r="N341" i="37"/>
  <c r="G341" i="37"/>
  <c r="N340" i="37"/>
  <c r="G340" i="37"/>
  <c r="N339" i="37"/>
  <c r="G339" i="37"/>
  <c r="N338" i="37"/>
  <c r="G338" i="37"/>
  <c r="N337" i="37"/>
  <c r="G337" i="37"/>
  <c r="N336" i="37"/>
  <c r="G336" i="37"/>
  <c r="N335" i="37"/>
  <c r="G335" i="37"/>
  <c r="N334" i="37"/>
  <c r="G334" i="37"/>
  <c r="N333" i="37"/>
  <c r="G333" i="37"/>
  <c r="N332" i="37"/>
  <c r="G332" i="37"/>
  <c r="N331" i="37"/>
  <c r="G331" i="37"/>
  <c r="N330" i="37"/>
  <c r="G330" i="37"/>
  <c r="N329" i="37"/>
  <c r="G329" i="37"/>
  <c r="N328" i="37"/>
  <c r="G328" i="37"/>
  <c r="N327" i="37"/>
  <c r="G327" i="37"/>
  <c r="N326" i="37"/>
  <c r="G326" i="37"/>
  <c r="N325" i="37"/>
  <c r="G325" i="37"/>
  <c r="N324" i="37"/>
  <c r="G324" i="37"/>
  <c r="N323" i="37"/>
  <c r="G323" i="37"/>
  <c r="N322" i="37"/>
  <c r="G322" i="37"/>
  <c r="N321" i="37"/>
  <c r="G321" i="37"/>
  <c r="N320" i="37"/>
  <c r="G320" i="37"/>
  <c r="N319" i="37"/>
  <c r="G319" i="37"/>
  <c r="N318" i="37"/>
  <c r="G318" i="37"/>
  <c r="N317" i="37"/>
  <c r="G317" i="37"/>
  <c r="N316" i="37"/>
  <c r="G316" i="37"/>
  <c r="N315" i="37"/>
  <c r="G315" i="37"/>
  <c r="N314" i="37"/>
  <c r="G314" i="37"/>
  <c r="N313" i="37"/>
  <c r="G313" i="37"/>
  <c r="N312" i="37"/>
  <c r="G312" i="37"/>
  <c r="N311" i="37"/>
  <c r="G311" i="37"/>
  <c r="N310" i="37"/>
  <c r="G310" i="37"/>
  <c r="N309" i="37"/>
  <c r="G309" i="37"/>
  <c r="N308" i="37"/>
  <c r="G308" i="37"/>
  <c r="N307" i="37"/>
  <c r="G307" i="37"/>
  <c r="N306" i="37"/>
  <c r="G306" i="37"/>
  <c r="N305" i="37"/>
  <c r="G305" i="37"/>
  <c r="N304" i="37"/>
  <c r="G304" i="37"/>
  <c r="N303" i="37"/>
  <c r="G303" i="37"/>
  <c r="N302" i="37"/>
  <c r="G302" i="37"/>
  <c r="N301" i="37"/>
  <c r="G301" i="37"/>
  <c r="N300" i="37"/>
  <c r="G300" i="37"/>
  <c r="N299" i="37"/>
  <c r="G299" i="37"/>
  <c r="N298" i="37"/>
  <c r="G298" i="37"/>
  <c r="N297" i="37"/>
  <c r="G297" i="37"/>
  <c r="N296" i="37"/>
  <c r="G296" i="37"/>
  <c r="N295" i="37"/>
  <c r="G295" i="37"/>
  <c r="N294" i="37"/>
  <c r="G294" i="37"/>
  <c r="N293" i="37"/>
  <c r="G293" i="37"/>
  <c r="N292" i="37"/>
  <c r="G292" i="37"/>
  <c r="N291" i="37"/>
  <c r="G291" i="37"/>
  <c r="N290" i="37"/>
  <c r="G290" i="37"/>
  <c r="N289" i="37"/>
  <c r="G289" i="37"/>
  <c r="N288" i="37"/>
  <c r="G288" i="37"/>
  <c r="N287" i="37"/>
  <c r="G287" i="37"/>
  <c r="N286" i="37"/>
  <c r="G286" i="37"/>
  <c r="N285" i="37"/>
  <c r="G285" i="37"/>
  <c r="N284" i="37"/>
  <c r="G284" i="37"/>
  <c r="N283" i="37"/>
  <c r="G283" i="37"/>
  <c r="N282" i="37"/>
  <c r="G282" i="37"/>
  <c r="N281" i="37"/>
  <c r="G281" i="37"/>
  <c r="N280" i="37"/>
  <c r="G280" i="37"/>
  <c r="N279" i="37"/>
  <c r="G279" i="37"/>
  <c r="N278" i="37"/>
  <c r="G278" i="37"/>
  <c r="N277" i="37"/>
  <c r="G277" i="37"/>
  <c r="N276" i="37"/>
  <c r="G276" i="37"/>
  <c r="N275" i="37"/>
  <c r="G275" i="37"/>
  <c r="N274" i="37"/>
  <c r="G274" i="37"/>
  <c r="N273" i="37"/>
  <c r="G273" i="37"/>
  <c r="N272" i="37"/>
  <c r="G272" i="37"/>
  <c r="N271" i="37"/>
  <c r="G271" i="37"/>
  <c r="N270" i="37"/>
  <c r="G270" i="37"/>
  <c r="N269" i="37"/>
  <c r="G269" i="37"/>
  <c r="N268" i="37"/>
  <c r="G268" i="37"/>
  <c r="N267" i="37"/>
  <c r="G267" i="37"/>
  <c r="N266" i="37"/>
  <c r="G266" i="37"/>
  <c r="N265" i="37"/>
  <c r="G265" i="37"/>
  <c r="N264" i="37"/>
  <c r="G264" i="37"/>
  <c r="N263" i="37"/>
  <c r="G263" i="37"/>
  <c r="N262" i="37"/>
  <c r="G262" i="37"/>
  <c r="N261" i="37"/>
  <c r="G261" i="37"/>
  <c r="N260" i="37"/>
  <c r="G260" i="37"/>
  <c r="N259" i="37"/>
  <c r="G259" i="37"/>
  <c r="N258" i="37"/>
  <c r="G258" i="37"/>
  <c r="N257" i="37"/>
  <c r="G257" i="37"/>
  <c r="N256" i="37"/>
  <c r="G256" i="37"/>
  <c r="N255" i="37"/>
  <c r="G255" i="37"/>
  <c r="N254" i="37"/>
  <c r="G254" i="37"/>
  <c r="N253" i="37"/>
  <c r="G253" i="37"/>
  <c r="N252" i="37"/>
  <c r="G252" i="37"/>
  <c r="N251" i="37"/>
  <c r="G251" i="37"/>
  <c r="N250" i="37"/>
  <c r="G250" i="37"/>
  <c r="N249" i="37"/>
  <c r="G249" i="37"/>
  <c r="N248" i="37"/>
  <c r="G248" i="37"/>
  <c r="N247" i="37"/>
  <c r="G247" i="37"/>
  <c r="N246" i="37"/>
  <c r="G246" i="37"/>
  <c r="N245" i="37"/>
  <c r="G245" i="37"/>
  <c r="N244" i="37"/>
  <c r="G244" i="37"/>
  <c r="N243" i="37"/>
  <c r="G243" i="37"/>
  <c r="N242" i="37"/>
  <c r="G242" i="37"/>
  <c r="N241" i="37"/>
  <c r="G241" i="37"/>
  <c r="N240" i="37"/>
  <c r="G240" i="37"/>
  <c r="N239" i="37"/>
  <c r="G239" i="37"/>
  <c r="N238" i="37"/>
  <c r="G238" i="37"/>
  <c r="N237" i="37"/>
  <c r="G237" i="37"/>
  <c r="N236" i="37"/>
  <c r="G236" i="37"/>
  <c r="N235" i="37"/>
  <c r="G235" i="37"/>
  <c r="N234" i="37"/>
  <c r="G234" i="37"/>
  <c r="N233" i="37"/>
  <c r="G233" i="37"/>
  <c r="N232" i="37"/>
  <c r="G232" i="37"/>
  <c r="N231" i="37"/>
  <c r="G231" i="37"/>
  <c r="N230" i="37"/>
  <c r="G230" i="37"/>
  <c r="N229" i="37"/>
  <c r="G229" i="37"/>
  <c r="N228" i="37"/>
  <c r="G228" i="37"/>
  <c r="N227" i="37"/>
  <c r="G227" i="37"/>
  <c r="N226" i="37"/>
  <c r="G226" i="37"/>
  <c r="N225" i="37"/>
  <c r="G225" i="37"/>
  <c r="N224" i="37"/>
  <c r="G224" i="37"/>
  <c r="N223" i="37"/>
  <c r="G223" i="37"/>
  <c r="N222" i="37"/>
  <c r="G222" i="37"/>
  <c r="N221" i="37"/>
  <c r="G221" i="37"/>
  <c r="N220" i="37"/>
  <c r="G220" i="37"/>
  <c r="N219" i="37"/>
  <c r="G219" i="37"/>
  <c r="N218" i="37"/>
  <c r="G218" i="37"/>
  <c r="N217" i="37"/>
  <c r="G217" i="37"/>
  <c r="N216" i="37"/>
  <c r="G216" i="37"/>
  <c r="N215" i="37"/>
  <c r="G215" i="37"/>
  <c r="N214" i="37"/>
  <c r="G214" i="37"/>
  <c r="N213" i="37"/>
  <c r="G213" i="37"/>
  <c r="N212" i="37"/>
  <c r="G212" i="37"/>
  <c r="N211" i="37"/>
  <c r="G211" i="37"/>
  <c r="N210" i="37"/>
  <c r="G210" i="37"/>
  <c r="N209" i="37"/>
  <c r="G209" i="37"/>
  <c r="N208" i="37"/>
  <c r="G208" i="37"/>
  <c r="N207" i="37"/>
  <c r="G207" i="37"/>
  <c r="N206" i="37"/>
  <c r="G206" i="37"/>
  <c r="N205" i="37"/>
  <c r="G205" i="37"/>
  <c r="N204" i="37"/>
  <c r="G204" i="37"/>
  <c r="N203" i="37"/>
  <c r="G203" i="37"/>
  <c r="N202" i="37"/>
  <c r="G202" i="37"/>
  <c r="N201" i="37"/>
  <c r="G201" i="37"/>
  <c r="N200" i="37"/>
  <c r="G200" i="37"/>
  <c r="N199" i="37"/>
  <c r="G199" i="37"/>
  <c r="N198" i="37"/>
  <c r="G198" i="37"/>
  <c r="N197" i="37"/>
  <c r="G197" i="37"/>
  <c r="N196" i="37"/>
  <c r="G196" i="37"/>
  <c r="N195" i="37"/>
  <c r="G195" i="37"/>
  <c r="N194" i="37"/>
  <c r="G194" i="37"/>
  <c r="N193" i="37"/>
  <c r="G193" i="37"/>
  <c r="N192" i="37"/>
  <c r="G192" i="37"/>
  <c r="N191" i="37"/>
  <c r="G191" i="37"/>
  <c r="N190" i="37"/>
  <c r="G190" i="37"/>
  <c r="N189" i="37"/>
  <c r="G189" i="37"/>
  <c r="N188" i="37"/>
  <c r="G188" i="37"/>
  <c r="N187" i="37"/>
  <c r="G187" i="37"/>
  <c r="N186" i="37"/>
  <c r="G186" i="37"/>
  <c r="N185" i="37"/>
  <c r="G185" i="37"/>
  <c r="N184" i="37"/>
  <c r="G184" i="37"/>
  <c r="N183" i="37"/>
  <c r="G183" i="37"/>
  <c r="N182" i="37"/>
  <c r="G182" i="37"/>
  <c r="N181" i="37"/>
  <c r="G181" i="37"/>
  <c r="N180" i="37"/>
  <c r="G180" i="37"/>
  <c r="N179" i="37"/>
  <c r="G179" i="37"/>
  <c r="N178" i="37"/>
  <c r="G178" i="37"/>
  <c r="N177" i="37"/>
  <c r="G177" i="37"/>
  <c r="N176" i="37"/>
  <c r="G176" i="37"/>
  <c r="N175" i="37"/>
  <c r="G175" i="37"/>
  <c r="N174" i="37"/>
  <c r="G174" i="37"/>
  <c r="N173" i="37"/>
  <c r="G173" i="37"/>
  <c r="N172" i="37"/>
  <c r="G172" i="37"/>
  <c r="N171" i="37"/>
  <c r="G171" i="37"/>
  <c r="N170" i="37"/>
  <c r="G170" i="37"/>
  <c r="N169" i="37"/>
  <c r="G169" i="37"/>
  <c r="N168" i="37"/>
  <c r="G168" i="37"/>
  <c r="N167" i="37"/>
  <c r="G167" i="37"/>
  <c r="N166" i="37"/>
  <c r="G166" i="37"/>
  <c r="N165" i="37"/>
  <c r="G165" i="37"/>
  <c r="N164" i="37"/>
  <c r="G164" i="37"/>
  <c r="N163" i="37"/>
  <c r="G163" i="37"/>
  <c r="N162" i="37"/>
  <c r="G162" i="37"/>
  <c r="N161" i="37"/>
  <c r="G161" i="37"/>
  <c r="N160" i="37"/>
  <c r="G160" i="37"/>
  <c r="N159" i="37"/>
  <c r="G159" i="37"/>
  <c r="N158" i="37"/>
  <c r="G158" i="37"/>
  <c r="N157" i="37"/>
  <c r="G157" i="37"/>
  <c r="N156" i="37"/>
  <c r="G156" i="37"/>
  <c r="N155" i="37"/>
  <c r="G155" i="37"/>
  <c r="N154" i="37"/>
  <c r="G154" i="37"/>
  <c r="N153" i="37"/>
  <c r="G153" i="37"/>
  <c r="N152" i="37"/>
  <c r="G152" i="37"/>
  <c r="N151" i="37"/>
  <c r="G151" i="37"/>
  <c r="N150" i="37"/>
  <c r="G150" i="37"/>
  <c r="N149" i="37"/>
  <c r="G149" i="37"/>
  <c r="N148" i="37"/>
  <c r="G148" i="37"/>
  <c r="N147" i="37"/>
  <c r="G147" i="37"/>
  <c r="N146" i="37"/>
  <c r="G146" i="37"/>
  <c r="N145" i="37"/>
  <c r="G145" i="37"/>
  <c r="N144" i="37"/>
  <c r="G144" i="37"/>
  <c r="N143" i="37"/>
  <c r="G143" i="37"/>
  <c r="N142" i="37"/>
  <c r="G142" i="37"/>
  <c r="N141" i="37"/>
  <c r="G141" i="37"/>
  <c r="N140" i="37"/>
  <c r="G140" i="37"/>
  <c r="N139" i="37"/>
  <c r="G139" i="37"/>
  <c r="N138" i="37"/>
  <c r="G138" i="37"/>
  <c r="N137" i="37"/>
  <c r="G137" i="37"/>
  <c r="N136" i="37"/>
  <c r="G136" i="37"/>
  <c r="N135" i="37"/>
  <c r="G135" i="37"/>
  <c r="N134" i="37"/>
  <c r="G134" i="37"/>
  <c r="N133" i="37"/>
  <c r="G133" i="37"/>
  <c r="N132" i="37"/>
  <c r="G132" i="37"/>
  <c r="N131" i="37"/>
  <c r="G131" i="37"/>
  <c r="N130" i="37"/>
  <c r="G130" i="37"/>
  <c r="N129" i="37"/>
  <c r="G129" i="37"/>
  <c r="N128" i="37"/>
  <c r="G128" i="37"/>
  <c r="N127" i="37"/>
  <c r="G127" i="37"/>
  <c r="N126" i="37"/>
  <c r="G126" i="37"/>
  <c r="N125" i="37"/>
  <c r="G125" i="37"/>
  <c r="N124" i="37"/>
  <c r="G124" i="37"/>
  <c r="N123" i="37"/>
  <c r="G123" i="37"/>
  <c r="N122" i="37"/>
  <c r="G122" i="37"/>
  <c r="N121" i="37"/>
  <c r="G121" i="37"/>
  <c r="N120" i="37"/>
  <c r="G120" i="37"/>
  <c r="N119" i="37"/>
  <c r="G119" i="37"/>
  <c r="N118" i="37"/>
  <c r="G118" i="37"/>
  <c r="N117" i="37"/>
  <c r="G117" i="37"/>
  <c r="N116" i="37"/>
  <c r="G116" i="37"/>
  <c r="N115" i="37"/>
  <c r="G115" i="37"/>
  <c r="N114" i="37"/>
  <c r="G114" i="37"/>
  <c r="N113" i="37"/>
  <c r="G113" i="37"/>
  <c r="N112" i="37"/>
  <c r="G112" i="37"/>
  <c r="N111" i="37"/>
  <c r="G111" i="37"/>
  <c r="N110" i="37"/>
  <c r="G110" i="37"/>
  <c r="N109" i="37"/>
  <c r="G109" i="37"/>
  <c r="N108" i="37"/>
  <c r="G108" i="37"/>
  <c r="N107" i="37"/>
  <c r="G107" i="37"/>
  <c r="N106" i="37"/>
  <c r="G106" i="37"/>
  <c r="N105" i="37"/>
  <c r="G105" i="37"/>
  <c r="N104" i="37"/>
  <c r="G104" i="37"/>
  <c r="N103" i="37"/>
  <c r="G103" i="37"/>
  <c r="N102" i="37"/>
  <c r="G102" i="37"/>
  <c r="N101" i="37"/>
  <c r="G101" i="37"/>
  <c r="N100" i="37"/>
  <c r="G100" i="37"/>
  <c r="N99" i="37"/>
  <c r="G99" i="37"/>
  <c r="N98" i="37"/>
  <c r="G98" i="37"/>
  <c r="N97" i="37"/>
  <c r="G97" i="37"/>
  <c r="N96" i="37"/>
  <c r="G96" i="37"/>
  <c r="N95" i="37"/>
  <c r="G95" i="37"/>
  <c r="N94" i="37"/>
  <c r="G94" i="37"/>
  <c r="N93" i="37"/>
  <c r="G93" i="37"/>
  <c r="N92" i="37"/>
  <c r="G92" i="37"/>
  <c r="N91" i="37"/>
  <c r="G91" i="37"/>
  <c r="N90" i="37"/>
  <c r="G90" i="37"/>
  <c r="N89" i="37"/>
  <c r="K266" i="16" s="1"/>
  <c r="G89" i="37"/>
  <c r="N88" i="37"/>
  <c r="G88" i="37"/>
  <c r="N87" i="37"/>
  <c r="K264" i="16" s="1"/>
  <c r="G87" i="37"/>
  <c r="N86" i="37"/>
  <c r="K263" i="16" s="1"/>
  <c r="G86" i="37"/>
  <c r="N85" i="37"/>
  <c r="G85" i="37"/>
  <c r="N84" i="37"/>
  <c r="G84" i="37"/>
  <c r="N83" i="37"/>
  <c r="G83" i="37"/>
  <c r="N82" i="37"/>
  <c r="G82" i="37"/>
  <c r="N81" i="37"/>
  <c r="G81" i="37"/>
  <c r="N80" i="37"/>
  <c r="G80" i="37"/>
  <c r="N79" i="37"/>
  <c r="G79" i="37"/>
  <c r="N78" i="37"/>
  <c r="G78" i="37"/>
  <c r="N77" i="37"/>
  <c r="G77" i="37"/>
  <c r="N76" i="37"/>
  <c r="G76" i="37"/>
  <c r="N75" i="37"/>
  <c r="G75" i="37"/>
  <c r="N74" i="37"/>
  <c r="G74" i="37"/>
  <c r="N73" i="37"/>
  <c r="G73" i="37"/>
  <c r="N72" i="37"/>
  <c r="G72" i="37"/>
  <c r="N71" i="37"/>
  <c r="G71" i="37"/>
  <c r="N70" i="37"/>
  <c r="G70" i="37"/>
  <c r="N69" i="37"/>
  <c r="G69" i="37"/>
  <c r="N68" i="37"/>
  <c r="G68" i="37"/>
  <c r="N67" i="37"/>
  <c r="G67" i="37"/>
  <c r="N66" i="37"/>
  <c r="G66" i="37"/>
  <c r="N65" i="37"/>
  <c r="G65" i="37"/>
  <c r="N64" i="37"/>
  <c r="G64" i="37"/>
  <c r="N63" i="37"/>
  <c r="G63" i="37"/>
  <c r="N62" i="37"/>
  <c r="G62" i="37"/>
  <c r="N61" i="37"/>
  <c r="G61" i="37"/>
  <c r="N60" i="37"/>
  <c r="G60" i="37"/>
  <c r="N59" i="37"/>
  <c r="G59" i="37"/>
  <c r="N58" i="37"/>
  <c r="G58" i="37"/>
  <c r="N57" i="37"/>
  <c r="G57" i="37"/>
  <c r="N56" i="37"/>
  <c r="G56" i="37"/>
  <c r="N55" i="37"/>
  <c r="G55" i="37"/>
  <c r="N54" i="37"/>
  <c r="G54" i="37"/>
  <c r="N53" i="37"/>
  <c r="G53" i="37"/>
  <c r="N52" i="37"/>
  <c r="G52" i="37"/>
  <c r="N51" i="37"/>
  <c r="G51" i="37"/>
  <c r="N50" i="37"/>
  <c r="G50" i="37"/>
  <c r="N49" i="37"/>
  <c r="G49" i="37"/>
  <c r="N48" i="37"/>
  <c r="G48" i="37"/>
  <c r="N47" i="37"/>
  <c r="G47" i="37"/>
  <c r="N46" i="37"/>
  <c r="G46" i="37"/>
  <c r="N45" i="37"/>
  <c r="G45" i="37"/>
  <c r="N44" i="37"/>
  <c r="G44" i="37"/>
  <c r="N43" i="37"/>
  <c r="G43" i="37"/>
  <c r="N42" i="37"/>
  <c r="G42" i="37"/>
  <c r="N41" i="37"/>
  <c r="G41" i="37"/>
  <c r="N40" i="37"/>
  <c r="K117" i="16" s="1"/>
  <c r="G40" i="37"/>
  <c r="N39" i="37"/>
  <c r="G39" i="37"/>
  <c r="N38" i="37"/>
  <c r="G38" i="37"/>
  <c r="N37" i="37"/>
  <c r="G37" i="37"/>
  <c r="N36" i="37"/>
  <c r="G36" i="37"/>
  <c r="N35" i="37"/>
  <c r="G35" i="37"/>
  <c r="N34" i="37"/>
  <c r="G34" i="37"/>
  <c r="N33" i="37"/>
  <c r="G33" i="37"/>
  <c r="N32" i="37"/>
  <c r="G32" i="37"/>
  <c r="N31" i="37"/>
  <c r="K88" i="16" s="1"/>
  <c r="G31" i="37"/>
  <c r="N28" i="37"/>
  <c r="N27" i="37"/>
  <c r="N26" i="37"/>
  <c r="K83" i="16" s="1"/>
  <c r="N25" i="37"/>
  <c r="N24" i="37"/>
  <c r="N23" i="37"/>
  <c r="N22" i="37"/>
  <c r="N21" i="37"/>
  <c r="N20" i="37"/>
  <c r="N18" i="37"/>
  <c r="N17" i="37"/>
  <c r="J17" i="37"/>
  <c r="J19" i="37" s="1"/>
  <c r="G17" i="37"/>
  <c r="N16" i="37"/>
  <c r="J16" i="37"/>
  <c r="G16" i="37"/>
  <c r="G15" i="37"/>
  <c r="G14" i="37"/>
  <c r="J13" i="37"/>
  <c r="G13" i="37"/>
  <c r="N30" i="37" s="1"/>
  <c r="K87" i="16" s="1"/>
  <c r="G12" i="37"/>
  <c r="G11" i="37"/>
  <c r="G10" i="37"/>
  <c r="N9" i="37"/>
  <c r="G9" i="37"/>
  <c r="N19" i="37" s="1"/>
  <c r="K57" i="16" s="1"/>
  <c r="K58" i="16" s="1"/>
  <c r="K59" i="16" s="1"/>
  <c r="N8" i="37"/>
  <c r="G8" i="37"/>
  <c r="N7" i="37"/>
  <c r="J7" i="37"/>
  <c r="G7" i="37"/>
  <c r="N6" i="37"/>
  <c r="G6" i="37"/>
  <c r="G5" i="37"/>
  <c r="F2104" i="41"/>
  <c r="F2103" i="41"/>
  <c r="F2102" i="41"/>
  <c r="F2101" i="41"/>
  <c r="F2100" i="41"/>
  <c r="F2099" i="41"/>
  <c r="F2098" i="41"/>
  <c r="F2097" i="41"/>
  <c r="F2096" i="41"/>
  <c r="F2095" i="41"/>
  <c r="F2094" i="41"/>
  <c r="F2093" i="41"/>
  <c r="F2092" i="41"/>
  <c r="F2091" i="41"/>
  <c r="F2090" i="41"/>
  <c r="F2089" i="41"/>
  <c r="F2088" i="41"/>
  <c r="F2087" i="41"/>
  <c r="F2086" i="41"/>
  <c r="F2085" i="41"/>
  <c r="F2084" i="41"/>
  <c r="F2083" i="41"/>
  <c r="F2082" i="41"/>
  <c r="F2081" i="41"/>
  <c r="F2080" i="41"/>
  <c r="F2079" i="41"/>
  <c r="F2078" i="41"/>
  <c r="F2077" i="41"/>
  <c r="F2076" i="41"/>
  <c r="F2075" i="41"/>
  <c r="F2074" i="41"/>
  <c r="F2073" i="41"/>
  <c r="F2072" i="41"/>
  <c r="F2071" i="41"/>
  <c r="F2070" i="41"/>
  <c r="F2069" i="41"/>
  <c r="F2068" i="41"/>
  <c r="F2067" i="41"/>
  <c r="F2066" i="41"/>
  <c r="F2065" i="41"/>
  <c r="F2064" i="41"/>
  <c r="F2063" i="41"/>
  <c r="F2062" i="41"/>
  <c r="F2061" i="41"/>
  <c r="F2060" i="41"/>
  <c r="F2059" i="41"/>
  <c r="F2058" i="41"/>
  <c r="F2057" i="41"/>
  <c r="F2056" i="41"/>
  <c r="F2055" i="41"/>
  <c r="F2054" i="41"/>
  <c r="F2053" i="41"/>
  <c r="F2052" i="41"/>
  <c r="F2051" i="41"/>
  <c r="F2050" i="41"/>
  <c r="F2049" i="41"/>
  <c r="F2048" i="41"/>
  <c r="F2047" i="41"/>
  <c r="F2046" i="41"/>
  <c r="F2045" i="41"/>
  <c r="F2044" i="41"/>
  <c r="F2043" i="41"/>
  <c r="F2042" i="41"/>
  <c r="F2041" i="41"/>
  <c r="F2040" i="41"/>
  <c r="F2039" i="41"/>
  <c r="F2038" i="41"/>
  <c r="F2037" i="41"/>
  <c r="F2036" i="41"/>
  <c r="F2035" i="41"/>
  <c r="F2034" i="41"/>
  <c r="F2033" i="41"/>
  <c r="F2032" i="41"/>
  <c r="F2031" i="41"/>
  <c r="F2030" i="41"/>
  <c r="F2029" i="41"/>
  <c r="F2028" i="41"/>
  <c r="F2027" i="41"/>
  <c r="F2026" i="41"/>
  <c r="F2025" i="41"/>
  <c r="F2024" i="41"/>
  <c r="F2023" i="41"/>
  <c r="F2022" i="41"/>
  <c r="F2021" i="41"/>
  <c r="F2020" i="41"/>
  <c r="F2019" i="41"/>
  <c r="F2018" i="41"/>
  <c r="F2017" i="41"/>
  <c r="F2016" i="41"/>
  <c r="F2015" i="41"/>
  <c r="F2014" i="41"/>
  <c r="F2013" i="41"/>
  <c r="F2012" i="41"/>
  <c r="F2011" i="41"/>
  <c r="F2010" i="41"/>
  <c r="F2009" i="41"/>
  <c r="F2008" i="41"/>
  <c r="F2007" i="41"/>
  <c r="F2006" i="41"/>
  <c r="F2005" i="41"/>
  <c r="F2004" i="41"/>
  <c r="F2003" i="41"/>
  <c r="F2002" i="41"/>
  <c r="F2001" i="41"/>
  <c r="F2000" i="41"/>
  <c r="F1999" i="41"/>
  <c r="F1998" i="41"/>
  <c r="F1997" i="41"/>
  <c r="F1996" i="41"/>
  <c r="F1995" i="41"/>
  <c r="F1994" i="41"/>
  <c r="F1993" i="41"/>
  <c r="F1992" i="41"/>
  <c r="F1991" i="41"/>
  <c r="F1990" i="41"/>
  <c r="F1989" i="41"/>
  <c r="F1988" i="41"/>
  <c r="F1987" i="41"/>
  <c r="F1986" i="41"/>
  <c r="F1985" i="41"/>
  <c r="F1984" i="41"/>
  <c r="F1983" i="41"/>
  <c r="F1982" i="41"/>
  <c r="F1981" i="41"/>
  <c r="F1980" i="41"/>
  <c r="F1979" i="41"/>
  <c r="F1978" i="41"/>
  <c r="F1977" i="41"/>
  <c r="F1976" i="41"/>
  <c r="F1975" i="41"/>
  <c r="F1974" i="41"/>
  <c r="F1973" i="41"/>
  <c r="F1972" i="41"/>
  <c r="F1971" i="41"/>
  <c r="F1970" i="41"/>
  <c r="F1969" i="41"/>
  <c r="F1968" i="41"/>
  <c r="F1967" i="41"/>
  <c r="F1966" i="41"/>
  <c r="F1965" i="41"/>
  <c r="F1964" i="41"/>
  <c r="F1963" i="41"/>
  <c r="F1962" i="41"/>
  <c r="F1961" i="41"/>
  <c r="F1960" i="41"/>
  <c r="F1959" i="41"/>
  <c r="F1958" i="41"/>
  <c r="F1957" i="41"/>
  <c r="F1956" i="41"/>
  <c r="F1955" i="41"/>
  <c r="F1954" i="41"/>
  <c r="F1953" i="41"/>
  <c r="F1952" i="41"/>
  <c r="F1951" i="41"/>
  <c r="F1950" i="41"/>
  <c r="F1949" i="41"/>
  <c r="F1948" i="41"/>
  <c r="F1947" i="41"/>
  <c r="F1946" i="41"/>
  <c r="F1945" i="41"/>
  <c r="F1944" i="41"/>
  <c r="F1943" i="41"/>
  <c r="F1942" i="41"/>
  <c r="F1941" i="41"/>
  <c r="F1940" i="41"/>
  <c r="F1939" i="41"/>
  <c r="F1938" i="41"/>
  <c r="F1937" i="41"/>
  <c r="F1936" i="41"/>
  <c r="F1935" i="41"/>
  <c r="F1934" i="41"/>
  <c r="F1933" i="41"/>
  <c r="F1932" i="41"/>
  <c r="F1931" i="41"/>
  <c r="F1930" i="41"/>
  <c r="F1929" i="41"/>
  <c r="F1928" i="41"/>
  <c r="F1927" i="41"/>
  <c r="F1926" i="41"/>
  <c r="F1925" i="41"/>
  <c r="F1924" i="41"/>
  <c r="F1923" i="41"/>
  <c r="F1922" i="41"/>
  <c r="F1921" i="41"/>
  <c r="F1920" i="41"/>
  <c r="F1919" i="41"/>
  <c r="F1918" i="41"/>
  <c r="F1917" i="41"/>
  <c r="F1916" i="41"/>
  <c r="F1915" i="41"/>
  <c r="F1914" i="41"/>
  <c r="F1913" i="41"/>
  <c r="F1912" i="41"/>
  <c r="F1911" i="41"/>
  <c r="F1910" i="41"/>
  <c r="F1909" i="41"/>
  <c r="F1908" i="41"/>
  <c r="F1907" i="41"/>
  <c r="F1906" i="41"/>
  <c r="F1905" i="41"/>
  <c r="F1904" i="41"/>
  <c r="F1903" i="41"/>
  <c r="F1902" i="41"/>
  <c r="F1901" i="41"/>
  <c r="F1900" i="41"/>
  <c r="F1899" i="41"/>
  <c r="F1898" i="41"/>
  <c r="F1897" i="41"/>
  <c r="F1896" i="41"/>
  <c r="F1895" i="41"/>
  <c r="F1894" i="41"/>
  <c r="F1893" i="41"/>
  <c r="F1892" i="41"/>
  <c r="F1891" i="41"/>
  <c r="F1890" i="41"/>
  <c r="F1889" i="41"/>
  <c r="F1888" i="41"/>
  <c r="F1887" i="41"/>
  <c r="F1886" i="41"/>
  <c r="F1885" i="41"/>
  <c r="F1884" i="41"/>
  <c r="F1883" i="41"/>
  <c r="F1882" i="41"/>
  <c r="F1881" i="41"/>
  <c r="F1880" i="41"/>
  <c r="F1879" i="41"/>
  <c r="F1878" i="41"/>
  <c r="F1877" i="41"/>
  <c r="F1876" i="41"/>
  <c r="F1875" i="41"/>
  <c r="F1874" i="41"/>
  <c r="F1873" i="41"/>
  <c r="F1872" i="41"/>
  <c r="F1871" i="41"/>
  <c r="F1870" i="41"/>
  <c r="F1869" i="41"/>
  <c r="F1868" i="41"/>
  <c r="F1867" i="41"/>
  <c r="F1866" i="41"/>
  <c r="F1865" i="41"/>
  <c r="F1864" i="41"/>
  <c r="F1863" i="41"/>
  <c r="F1862" i="41"/>
  <c r="F1861" i="41"/>
  <c r="F1860" i="41"/>
  <c r="F1859" i="41"/>
  <c r="F1858" i="41"/>
  <c r="F1857" i="41"/>
  <c r="F1856" i="41"/>
  <c r="F1855" i="41"/>
  <c r="F1854" i="41"/>
  <c r="F1853" i="41"/>
  <c r="F1852" i="41"/>
  <c r="F1851" i="41"/>
  <c r="F1850" i="41"/>
  <c r="F1849" i="41"/>
  <c r="F1848" i="41"/>
  <c r="F1847" i="41"/>
  <c r="F1846" i="41"/>
  <c r="F1845" i="41"/>
  <c r="F1844" i="41"/>
  <c r="F1843" i="41"/>
  <c r="F1842" i="41"/>
  <c r="F1841" i="41"/>
  <c r="F1840" i="41"/>
  <c r="F1839" i="41"/>
  <c r="F1838" i="41"/>
  <c r="F1837" i="41"/>
  <c r="F1836" i="41"/>
  <c r="F1835" i="41"/>
  <c r="F1834" i="41"/>
  <c r="F1833" i="41"/>
  <c r="F1832" i="41"/>
  <c r="F1831" i="41"/>
  <c r="F1830" i="41"/>
  <c r="F1829" i="41"/>
  <c r="F1828" i="41"/>
  <c r="F1827" i="41"/>
  <c r="F1826" i="41"/>
  <c r="F1825" i="41"/>
  <c r="F1824" i="41"/>
  <c r="F1823" i="41"/>
  <c r="F1822" i="41"/>
  <c r="F1821" i="41"/>
  <c r="F1820" i="41"/>
  <c r="F1819" i="41"/>
  <c r="F1818" i="41"/>
  <c r="F1817" i="41"/>
  <c r="F1816" i="41"/>
  <c r="F1815" i="41"/>
  <c r="F1814" i="41"/>
  <c r="F1813" i="41"/>
  <c r="F1812" i="41"/>
  <c r="F1811" i="41"/>
  <c r="F1810" i="41"/>
  <c r="F1809" i="41"/>
  <c r="F1808" i="41"/>
  <c r="F1807" i="41"/>
  <c r="F1806" i="41"/>
  <c r="F1805" i="41"/>
  <c r="F1804" i="41"/>
  <c r="F1803" i="41"/>
  <c r="F1802" i="41"/>
  <c r="F1801" i="41"/>
  <c r="F1800" i="41"/>
  <c r="F1799" i="41"/>
  <c r="F1798" i="41"/>
  <c r="F1797" i="41"/>
  <c r="F1796" i="41"/>
  <c r="F1795" i="41"/>
  <c r="F1794" i="41"/>
  <c r="F1793" i="41"/>
  <c r="F1792" i="41"/>
  <c r="F1791" i="41"/>
  <c r="F1790" i="41"/>
  <c r="F1789" i="41"/>
  <c r="F1788" i="41"/>
  <c r="F1787" i="41"/>
  <c r="F1786" i="41"/>
  <c r="F1785" i="41"/>
  <c r="F1784" i="41"/>
  <c r="F1783" i="41"/>
  <c r="F1782" i="41"/>
  <c r="F1781" i="41"/>
  <c r="F1780" i="41"/>
  <c r="F1779" i="41"/>
  <c r="F1778" i="41"/>
  <c r="F1777" i="41"/>
  <c r="F1776" i="41"/>
  <c r="F1775" i="41"/>
  <c r="F1774" i="41"/>
  <c r="F1773" i="41"/>
  <c r="F1772" i="41"/>
  <c r="F1771" i="41"/>
  <c r="F1770" i="41"/>
  <c r="F1769" i="41"/>
  <c r="F1768" i="41"/>
  <c r="F1767" i="41"/>
  <c r="F1766" i="41"/>
  <c r="F1765" i="41"/>
  <c r="F1764" i="41"/>
  <c r="F1763" i="41"/>
  <c r="F1762" i="41"/>
  <c r="F1761" i="41"/>
  <c r="F1760" i="41"/>
  <c r="F1759" i="41"/>
  <c r="F1758" i="41"/>
  <c r="F1757" i="41"/>
  <c r="F1756" i="41"/>
  <c r="F1755" i="41"/>
  <c r="F1754" i="41"/>
  <c r="F1753" i="41"/>
  <c r="F1752" i="41"/>
  <c r="F1751" i="41"/>
  <c r="F1750" i="41"/>
  <c r="F1749" i="41"/>
  <c r="F1748" i="41"/>
  <c r="F1747" i="41"/>
  <c r="F1746" i="41"/>
  <c r="F1745" i="41"/>
  <c r="F1744" i="41"/>
  <c r="F1743" i="41"/>
  <c r="F1742" i="41"/>
  <c r="F1741" i="41"/>
  <c r="F1740" i="41"/>
  <c r="F1739" i="41"/>
  <c r="F1738" i="41"/>
  <c r="F1737" i="41"/>
  <c r="F1736" i="41"/>
  <c r="F1735" i="41"/>
  <c r="F1734" i="41"/>
  <c r="F1733" i="41"/>
  <c r="F1732" i="41"/>
  <c r="F1731" i="41"/>
  <c r="F1730" i="41"/>
  <c r="F1729" i="41"/>
  <c r="F1728" i="41"/>
  <c r="F1727" i="41"/>
  <c r="F1726" i="41"/>
  <c r="F1725" i="41"/>
  <c r="F1724" i="41"/>
  <c r="F1723" i="41"/>
  <c r="F1722" i="41"/>
  <c r="F1721" i="41"/>
  <c r="F1720" i="41"/>
  <c r="F1719" i="41"/>
  <c r="F1718" i="41"/>
  <c r="F1717" i="41"/>
  <c r="F1716" i="41"/>
  <c r="F1715" i="41"/>
  <c r="F1714" i="41"/>
  <c r="F1713" i="41"/>
  <c r="F1712" i="41"/>
  <c r="F1711" i="41"/>
  <c r="F1710" i="41"/>
  <c r="F1709" i="41"/>
  <c r="F1708" i="41"/>
  <c r="F1707" i="41"/>
  <c r="F1706" i="41"/>
  <c r="F1705" i="41"/>
  <c r="F1704" i="41"/>
  <c r="F1703" i="41"/>
  <c r="F1702" i="41"/>
  <c r="F1701" i="41"/>
  <c r="F1700" i="41"/>
  <c r="F1699" i="41"/>
  <c r="F1698" i="41"/>
  <c r="F1697" i="41"/>
  <c r="F1696" i="41"/>
  <c r="F1695" i="41"/>
  <c r="F1694" i="41"/>
  <c r="F1693" i="41"/>
  <c r="F1692" i="41"/>
  <c r="F1691" i="41"/>
  <c r="F1690" i="41"/>
  <c r="F1689" i="41"/>
  <c r="F1688" i="41"/>
  <c r="F1687" i="41"/>
  <c r="F1686" i="41"/>
  <c r="F1685" i="41"/>
  <c r="F1684" i="41"/>
  <c r="F1683" i="41"/>
  <c r="F1682" i="41"/>
  <c r="F1681" i="41"/>
  <c r="F1680" i="41"/>
  <c r="F1679" i="41"/>
  <c r="F1678" i="41"/>
  <c r="F1677" i="41"/>
  <c r="F1676" i="41"/>
  <c r="F1675" i="41"/>
  <c r="F1674" i="41"/>
  <c r="F1673" i="41"/>
  <c r="F1672" i="41"/>
  <c r="F1671" i="41"/>
  <c r="F1670" i="41"/>
  <c r="F1669" i="41"/>
  <c r="F1668" i="41"/>
  <c r="F1667" i="41"/>
  <c r="F1666" i="41"/>
  <c r="F1665" i="41"/>
  <c r="F1664" i="41"/>
  <c r="F1663" i="41"/>
  <c r="F1662" i="41"/>
  <c r="F1661" i="41"/>
  <c r="F1660" i="41"/>
  <c r="F1659" i="41"/>
  <c r="F1658" i="41"/>
  <c r="F1657" i="41"/>
  <c r="F1656" i="41"/>
  <c r="F1655" i="41"/>
  <c r="F1654" i="41"/>
  <c r="F1653" i="41"/>
  <c r="F1652" i="41"/>
  <c r="F1651" i="41"/>
  <c r="F1650" i="41"/>
  <c r="F1649" i="41"/>
  <c r="F1648" i="41"/>
  <c r="F1647" i="41"/>
  <c r="F1646" i="41"/>
  <c r="F1645" i="41"/>
  <c r="F1644" i="41"/>
  <c r="F1643" i="41"/>
  <c r="F1642" i="41"/>
  <c r="F1641" i="41"/>
  <c r="F1640" i="41"/>
  <c r="F1639" i="41"/>
  <c r="F1638" i="41"/>
  <c r="F1637" i="41"/>
  <c r="F1636" i="41"/>
  <c r="F1635" i="41"/>
  <c r="F1634" i="41"/>
  <c r="F1633" i="41"/>
  <c r="F1632" i="41"/>
  <c r="F1631" i="41"/>
  <c r="F1630" i="41"/>
  <c r="F1629" i="41"/>
  <c r="F1628" i="41"/>
  <c r="F1627" i="41"/>
  <c r="F1626" i="41"/>
  <c r="F1625" i="41"/>
  <c r="F1624" i="41"/>
  <c r="F1623" i="41"/>
  <c r="F1622" i="41"/>
  <c r="F1621" i="41"/>
  <c r="F1620" i="41"/>
  <c r="F1619" i="41"/>
  <c r="F1618" i="41"/>
  <c r="F1617" i="41"/>
  <c r="F1616" i="41"/>
  <c r="F1615" i="41"/>
  <c r="F1614" i="41"/>
  <c r="F1613" i="41"/>
  <c r="F1612" i="41"/>
  <c r="F1611" i="41"/>
  <c r="F1610" i="41"/>
  <c r="F1609" i="41"/>
  <c r="F1608" i="41"/>
  <c r="F1607" i="41"/>
  <c r="F1606" i="41"/>
  <c r="F1605" i="41"/>
  <c r="F1604" i="41"/>
  <c r="F1603" i="41"/>
  <c r="F1602" i="41"/>
  <c r="F1601" i="41"/>
  <c r="F1600" i="41"/>
  <c r="F1599" i="41"/>
  <c r="F1598" i="41"/>
  <c r="F1597" i="41"/>
  <c r="F1596" i="41"/>
  <c r="F1595" i="41"/>
  <c r="F1594" i="41"/>
  <c r="F1593" i="41"/>
  <c r="F1592" i="41"/>
  <c r="F1591" i="41"/>
  <c r="F1590" i="41"/>
  <c r="F1589" i="41"/>
  <c r="F1588" i="41"/>
  <c r="F1587" i="41"/>
  <c r="F1586" i="41"/>
  <c r="F1585" i="41"/>
  <c r="F1584" i="41"/>
  <c r="F1583" i="41"/>
  <c r="F1582" i="41"/>
  <c r="F1581" i="41"/>
  <c r="F1580" i="41"/>
  <c r="F1579" i="41"/>
  <c r="F1578" i="41"/>
  <c r="F1577" i="41"/>
  <c r="F1576" i="41"/>
  <c r="F1575" i="41"/>
  <c r="F1574" i="41"/>
  <c r="F1573" i="41"/>
  <c r="F1572" i="41"/>
  <c r="F1571" i="41"/>
  <c r="F1570" i="41"/>
  <c r="F1569" i="41"/>
  <c r="F1568" i="41"/>
  <c r="F1567" i="41"/>
  <c r="F1566" i="41"/>
  <c r="F1565" i="41"/>
  <c r="F1564" i="41"/>
  <c r="F1563" i="41"/>
  <c r="F1562" i="41"/>
  <c r="F1561" i="41"/>
  <c r="F1560" i="41"/>
  <c r="F1559" i="41"/>
  <c r="F1558" i="41"/>
  <c r="F1557" i="41"/>
  <c r="F1556" i="41"/>
  <c r="F1555" i="41"/>
  <c r="F1554" i="41"/>
  <c r="F1553" i="41"/>
  <c r="F1552" i="41"/>
  <c r="F1551" i="41"/>
  <c r="F1550" i="41"/>
  <c r="F1549" i="41"/>
  <c r="F1548" i="41"/>
  <c r="F1547" i="41"/>
  <c r="F1546" i="41"/>
  <c r="F1545" i="41"/>
  <c r="F1544" i="41"/>
  <c r="F1543" i="41"/>
  <c r="F1542" i="41"/>
  <c r="F1541" i="41"/>
  <c r="F1540" i="41"/>
  <c r="F1539" i="41"/>
  <c r="F1538" i="41"/>
  <c r="F1537" i="41"/>
  <c r="F1536" i="41"/>
  <c r="F1535" i="41"/>
  <c r="F1534" i="41"/>
  <c r="F1533" i="41"/>
  <c r="F1532" i="41"/>
  <c r="F1531" i="41"/>
  <c r="F1530" i="41"/>
  <c r="F1529" i="41"/>
  <c r="F1528" i="41"/>
  <c r="F1527" i="41"/>
  <c r="F1526" i="41"/>
  <c r="F1525" i="41"/>
  <c r="F1524" i="41"/>
  <c r="F1523" i="41"/>
  <c r="F1522" i="41"/>
  <c r="F1521" i="41"/>
  <c r="F1520" i="41"/>
  <c r="F1519" i="41"/>
  <c r="F1518" i="41"/>
  <c r="F1517" i="41"/>
  <c r="F1516" i="41"/>
  <c r="F1515" i="41"/>
  <c r="F1514" i="41"/>
  <c r="F1513" i="41"/>
  <c r="F1512" i="41"/>
  <c r="F1511" i="41"/>
  <c r="F1510" i="41"/>
  <c r="F1509" i="41"/>
  <c r="F1508" i="41"/>
  <c r="F1507" i="41"/>
  <c r="F1506" i="41"/>
  <c r="F1505" i="41"/>
  <c r="F1504" i="41"/>
  <c r="F1503" i="41"/>
  <c r="F1502" i="41"/>
  <c r="F1501" i="41"/>
  <c r="F1500" i="41"/>
  <c r="F1499" i="41"/>
  <c r="F1498" i="41"/>
  <c r="F1497" i="41"/>
  <c r="F1496" i="41"/>
  <c r="F1495" i="41"/>
  <c r="F1494" i="41"/>
  <c r="F1493" i="41"/>
  <c r="F1492" i="41"/>
  <c r="F1491" i="41"/>
  <c r="F1490" i="41"/>
  <c r="F1489" i="41"/>
  <c r="F1488" i="41"/>
  <c r="F1487" i="41"/>
  <c r="F1486" i="41"/>
  <c r="F1485" i="41"/>
  <c r="F1484" i="41"/>
  <c r="F1483" i="41"/>
  <c r="F1482" i="41"/>
  <c r="F1481" i="41"/>
  <c r="F1480" i="41"/>
  <c r="F1479" i="41"/>
  <c r="F1478" i="41"/>
  <c r="F1477" i="41"/>
  <c r="F1476" i="41"/>
  <c r="F1475" i="41"/>
  <c r="F1474" i="41"/>
  <c r="F1473" i="41"/>
  <c r="F1472" i="41"/>
  <c r="F1471" i="41"/>
  <c r="F1470" i="41"/>
  <c r="F1469" i="41"/>
  <c r="F1468" i="41"/>
  <c r="F1467" i="41"/>
  <c r="F1466" i="41"/>
  <c r="F1465" i="41"/>
  <c r="F1464" i="41"/>
  <c r="F1463" i="41"/>
  <c r="F1462" i="41"/>
  <c r="F1461" i="41"/>
  <c r="F1460" i="41"/>
  <c r="F1459" i="41"/>
  <c r="F1458" i="41"/>
  <c r="F1457" i="41"/>
  <c r="F1456" i="41"/>
  <c r="F1455" i="41"/>
  <c r="F1454" i="41"/>
  <c r="F1453" i="41"/>
  <c r="F1452" i="41"/>
  <c r="F1451" i="41"/>
  <c r="F1450" i="41"/>
  <c r="F1449" i="41"/>
  <c r="F1448" i="41"/>
  <c r="F1447" i="41"/>
  <c r="F1446" i="41"/>
  <c r="F1445" i="41"/>
  <c r="F1444" i="41"/>
  <c r="F1443" i="41"/>
  <c r="F1442" i="41"/>
  <c r="F1441" i="41"/>
  <c r="F1440" i="41"/>
  <c r="F1439" i="41"/>
  <c r="F1438" i="41"/>
  <c r="F1437" i="41"/>
  <c r="F1436" i="41"/>
  <c r="F1435" i="41"/>
  <c r="F1434" i="41"/>
  <c r="F1433" i="41"/>
  <c r="F1432" i="41"/>
  <c r="F1431" i="41"/>
  <c r="F1430" i="41"/>
  <c r="F1429" i="41"/>
  <c r="F1428" i="41"/>
  <c r="F1427" i="41"/>
  <c r="F1426" i="41"/>
  <c r="F1425" i="41"/>
  <c r="F1424" i="41"/>
  <c r="F1423" i="41"/>
  <c r="F1422" i="41"/>
  <c r="F1421" i="41"/>
  <c r="F1420" i="41"/>
  <c r="F1419" i="41"/>
  <c r="F1418" i="41"/>
  <c r="F1417" i="41"/>
  <c r="F1416" i="41"/>
  <c r="F1415" i="41"/>
  <c r="F1414" i="41"/>
  <c r="F1413" i="41"/>
  <c r="F1412" i="41"/>
  <c r="F1411" i="41"/>
  <c r="F1410" i="41"/>
  <c r="F1409" i="41"/>
  <c r="F1408" i="41"/>
  <c r="F1407" i="41"/>
  <c r="F1406" i="41"/>
  <c r="F1405" i="41"/>
  <c r="F1404" i="41"/>
  <c r="F1403" i="41"/>
  <c r="F1402" i="41"/>
  <c r="F1401" i="41"/>
  <c r="F1400" i="41"/>
  <c r="F1399" i="41"/>
  <c r="F1398" i="41"/>
  <c r="F1397" i="41"/>
  <c r="F1396" i="41"/>
  <c r="F1395" i="41"/>
  <c r="F1394" i="41"/>
  <c r="F1393" i="41"/>
  <c r="F1392" i="41"/>
  <c r="F1391" i="41"/>
  <c r="F1390" i="41"/>
  <c r="F1389" i="41"/>
  <c r="F1388" i="41"/>
  <c r="F1387" i="41"/>
  <c r="F1386" i="41"/>
  <c r="F1385" i="41"/>
  <c r="F1384" i="41"/>
  <c r="F1383" i="41"/>
  <c r="F1382" i="41"/>
  <c r="F1381" i="41"/>
  <c r="F1380" i="41"/>
  <c r="F1379" i="41"/>
  <c r="F1378" i="41"/>
  <c r="F1377" i="41"/>
  <c r="F1376" i="41"/>
  <c r="F1375" i="41"/>
  <c r="F1374" i="41"/>
  <c r="F1373" i="41"/>
  <c r="F1372" i="41"/>
  <c r="F1371" i="41"/>
  <c r="F1370" i="41"/>
  <c r="F1369" i="41"/>
  <c r="F1368" i="41"/>
  <c r="F1367" i="41"/>
  <c r="F1366" i="41"/>
  <c r="F1365" i="41"/>
  <c r="F1364" i="41"/>
  <c r="F1363" i="41"/>
  <c r="F1362" i="41"/>
  <c r="F1361" i="41"/>
  <c r="F1360" i="41"/>
  <c r="F1359" i="41"/>
  <c r="F1358" i="41"/>
  <c r="F1357" i="41"/>
  <c r="F1356" i="41"/>
  <c r="F1355" i="41"/>
  <c r="F1354" i="41"/>
  <c r="F1353" i="41"/>
  <c r="F1352" i="41"/>
  <c r="F1351" i="41"/>
  <c r="F1350" i="41"/>
  <c r="F1349" i="41"/>
  <c r="F1348" i="41"/>
  <c r="F1347" i="41"/>
  <c r="F1346" i="41"/>
  <c r="F1345" i="41"/>
  <c r="F1344" i="41"/>
  <c r="F1343" i="41"/>
  <c r="F1342" i="41"/>
  <c r="F1341" i="41"/>
  <c r="F1340" i="41"/>
  <c r="F1339" i="41"/>
  <c r="F1338" i="41"/>
  <c r="F1337" i="41"/>
  <c r="F1336" i="41"/>
  <c r="F1335" i="41"/>
  <c r="F1334" i="41"/>
  <c r="F1333" i="41"/>
  <c r="F1332" i="41"/>
  <c r="F1331" i="41"/>
  <c r="F1330" i="41"/>
  <c r="F1329" i="41"/>
  <c r="F1328" i="41"/>
  <c r="F1327" i="41"/>
  <c r="F1326" i="41"/>
  <c r="F1325" i="41"/>
  <c r="F1324" i="41"/>
  <c r="F1323" i="41"/>
  <c r="F1322" i="41"/>
  <c r="F1321" i="41"/>
  <c r="F1320" i="41"/>
  <c r="F1319" i="41"/>
  <c r="F1318" i="41"/>
  <c r="F1317" i="41"/>
  <c r="F1316" i="41"/>
  <c r="F1315" i="41"/>
  <c r="F1314" i="41"/>
  <c r="F1313" i="41"/>
  <c r="F1312" i="41"/>
  <c r="F1311" i="41"/>
  <c r="F1310" i="41"/>
  <c r="F1309" i="41"/>
  <c r="F1308" i="41"/>
  <c r="F1307" i="41"/>
  <c r="F1306" i="41"/>
  <c r="F1305" i="41"/>
  <c r="F1304" i="41"/>
  <c r="F1303" i="41"/>
  <c r="F1302" i="41"/>
  <c r="F1301" i="41"/>
  <c r="F1300" i="41"/>
  <c r="F1299" i="41"/>
  <c r="F1298" i="41"/>
  <c r="F1297" i="41"/>
  <c r="F1296" i="41"/>
  <c r="F1295" i="41"/>
  <c r="F1294" i="41"/>
  <c r="F1293" i="41"/>
  <c r="F1292" i="41"/>
  <c r="F1291" i="41"/>
  <c r="F1290" i="41"/>
  <c r="F1289" i="41"/>
  <c r="F1288" i="41"/>
  <c r="F1287" i="41"/>
  <c r="F1286" i="41"/>
  <c r="F1285" i="41"/>
  <c r="F1284" i="41"/>
  <c r="F1283" i="41"/>
  <c r="F1282" i="41"/>
  <c r="F1281" i="41"/>
  <c r="F1280" i="41"/>
  <c r="F1279" i="41"/>
  <c r="F1278" i="41"/>
  <c r="F1277" i="41"/>
  <c r="F1276" i="41"/>
  <c r="F1275" i="41"/>
  <c r="F1274" i="41"/>
  <c r="F1273" i="41"/>
  <c r="F1272" i="41"/>
  <c r="F1271" i="41"/>
  <c r="F1270" i="41"/>
  <c r="F1269" i="41"/>
  <c r="F1268" i="41"/>
  <c r="F1267" i="41"/>
  <c r="F1266" i="41"/>
  <c r="F1265" i="41"/>
  <c r="F1264" i="41"/>
  <c r="F1263" i="41"/>
  <c r="F1262" i="41"/>
  <c r="F1261" i="41"/>
  <c r="F1260" i="41"/>
  <c r="F1259" i="41"/>
  <c r="F1258" i="41"/>
  <c r="F1257" i="41"/>
  <c r="F1256" i="41"/>
  <c r="F1255" i="41"/>
  <c r="F1254" i="41"/>
  <c r="F1253" i="41"/>
  <c r="F1252" i="41"/>
  <c r="F1251" i="41"/>
  <c r="F1250" i="41"/>
  <c r="F1249" i="41"/>
  <c r="F1248" i="41"/>
  <c r="F1247" i="41"/>
  <c r="F1246" i="41"/>
  <c r="F1245" i="41"/>
  <c r="F1244" i="41"/>
  <c r="F1243" i="41"/>
  <c r="F1242" i="41"/>
  <c r="F1241" i="41"/>
  <c r="F1240" i="41"/>
  <c r="F1239" i="41"/>
  <c r="F1238" i="41"/>
  <c r="F1237" i="41"/>
  <c r="F1236" i="41"/>
  <c r="F1235" i="41"/>
  <c r="F1234" i="41"/>
  <c r="F1233" i="41"/>
  <c r="F1232" i="41"/>
  <c r="F1231" i="41"/>
  <c r="F1230" i="41"/>
  <c r="F1229" i="41"/>
  <c r="F1228" i="41"/>
  <c r="F1227" i="41"/>
  <c r="F1226" i="41"/>
  <c r="F1225" i="41"/>
  <c r="F1224" i="41"/>
  <c r="F1223" i="41"/>
  <c r="F1222" i="41"/>
  <c r="F1221" i="41"/>
  <c r="F1220" i="41"/>
  <c r="F1219" i="41"/>
  <c r="F1218" i="41"/>
  <c r="F1217" i="41"/>
  <c r="F1216" i="41"/>
  <c r="F1215" i="41"/>
  <c r="F1214" i="41"/>
  <c r="F1213" i="41"/>
  <c r="F1212" i="41"/>
  <c r="F1211" i="41"/>
  <c r="F1210" i="41"/>
  <c r="F1209" i="41"/>
  <c r="F1208" i="41"/>
  <c r="F1207" i="41"/>
  <c r="F1206" i="41"/>
  <c r="F1205" i="41"/>
  <c r="F1204" i="41"/>
  <c r="F1203" i="41"/>
  <c r="F1202" i="41"/>
  <c r="F1201" i="41"/>
  <c r="F1200" i="41"/>
  <c r="F1199" i="41"/>
  <c r="F1198" i="41"/>
  <c r="F1197" i="41"/>
  <c r="F1196" i="41"/>
  <c r="F1195" i="41"/>
  <c r="F1194" i="41"/>
  <c r="F1193" i="41"/>
  <c r="F1192" i="41"/>
  <c r="F1191" i="41"/>
  <c r="F1190" i="41"/>
  <c r="F1189" i="41"/>
  <c r="F1188" i="41"/>
  <c r="F1187" i="41"/>
  <c r="F1186" i="41"/>
  <c r="F1185" i="41"/>
  <c r="F1184" i="41"/>
  <c r="F1183" i="41"/>
  <c r="F1182" i="41"/>
  <c r="F1181" i="41"/>
  <c r="F1180" i="41"/>
  <c r="F1179" i="41"/>
  <c r="F1178" i="41"/>
  <c r="F1177" i="41"/>
  <c r="F1176" i="41"/>
  <c r="F1175" i="41"/>
  <c r="F1174" i="41"/>
  <c r="F1173" i="41"/>
  <c r="F1172" i="41"/>
  <c r="F1171" i="41"/>
  <c r="F1170" i="41"/>
  <c r="F1169" i="41"/>
  <c r="F1168" i="41"/>
  <c r="F1167" i="41"/>
  <c r="F1166" i="41"/>
  <c r="F1165" i="41"/>
  <c r="F1164" i="41"/>
  <c r="F1163" i="41"/>
  <c r="F1162" i="41"/>
  <c r="F1161" i="41"/>
  <c r="F1160" i="41"/>
  <c r="F1159" i="41"/>
  <c r="F1158" i="41"/>
  <c r="F1157" i="41"/>
  <c r="F1156" i="41"/>
  <c r="F1155" i="41"/>
  <c r="F1154" i="41"/>
  <c r="F1153" i="41"/>
  <c r="F1152" i="41"/>
  <c r="F1151" i="41"/>
  <c r="F1150" i="41"/>
  <c r="F1149" i="41"/>
  <c r="F1148" i="41"/>
  <c r="F1147" i="41"/>
  <c r="F1146" i="41"/>
  <c r="F1145" i="41"/>
  <c r="F1144" i="41"/>
  <c r="F1143" i="41"/>
  <c r="F1142" i="41"/>
  <c r="F1141" i="41"/>
  <c r="F1140" i="41"/>
  <c r="F1139" i="41"/>
  <c r="F1138" i="41"/>
  <c r="F1137" i="41"/>
  <c r="F1136" i="41"/>
  <c r="F1135" i="41"/>
  <c r="F1134" i="41"/>
  <c r="F1133" i="41"/>
  <c r="F1132" i="41"/>
  <c r="F1131" i="41"/>
  <c r="F1130" i="41"/>
  <c r="F1129" i="41"/>
  <c r="F1128" i="41"/>
  <c r="F1127" i="41"/>
  <c r="F1126" i="41"/>
  <c r="F1125" i="41"/>
  <c r="F1124" i="41"/>
  <c r="F1123" i="41"/>
  <c r="F1122" i="41"/>
  <c r="F1121" i="41"/>
  <c r="F1120" i="41"/>
  <c r="F1119" i="41"/>
  <c r="F1118" i="41"/>
  <c r="F1117" i="41"/>
  <c r="F1116" i="41"/>
  <c r="F1115" i="41"/>
  <c r="F1114" i="41"/>
  <c r="F1113" i="41"/>
  <c r="F1112" i="41"/>
  <c r="F1111" i="41"/>
  <c r="F1110" i="41"/>
  <c r="F1109" i="41"/>
  <c r="F1108" i="41"/>
  <c r="F1107" i="41"/>
  <c r="F1106" i="41"/>
  <c r="F1105" i="41"/>
  <c r="F1104" i="41"/>
  <c r="F1103" i="41"/>
  <c r="F1102" i="41"/>
  <c r="F1101" i="41"/>
  <c r="F1100" i="41"/>
  <c r="F1099" i="41"/>
  <c r="F1098" i="41"/>
  <c r="F1097" i="41"/>
  <c r="F1096" i="41"/>
  <c r="F1095" i="41"/>
  <c r="F1094" i="41"/>
  <c r="F1093" i="41"/>
  <c r="F1092" i="41"/>
  <c r="F1091" i="41"/>
  <c r="F1090" i="41"/>
  <c r="F1089" i="41"/>
  <c r="F1088" i="41"/>
  <c r="F1087" i="41"/>
  <c r="F1086" i="41"/>
  <c r="F1085" i="41"/>
  <c r="F1084" i="41"/>
  <c r="F1083" i="41"/>
  <c r="F1082" i="41"/>
  <c r="F1081" i="41"/>
  <c r="F1080" i="41"/>
  <c r="F1079" i="41"/>
  <c r="F1078" i="41"/>
  <c r="F1077" i="41"/>
  <c r="F1076" i="41"/>
  <c r="F1075" i="41"/>
  <c r="F1074" i="41"/>
  <c r="F1073" i="41"/>
  <c r="F1072" i="41"/>
  <c r="F1071" i="41"/>
  <c r="F1070" i="41"/>
  <c r="F1069" i="41"/>
  <c r="F1068" i="41"/>
  <c r="F1067" i="41"/>
  <c r="F1066" i="41"/>
  <c r="F1065" i="41"/>
  <c r="F1064" i="41"/>
  <c r="F1063" i="41"/>
  <c r="F1062" i="41"/>
  <c r="F1061" i="41"/>
  <c r="F1060" i="41"/>
  <c r="F1059" i="41"/>
  <c r="F1058" i="41"/>
  <c r="F1057" i="41"/>
  <c r="F1056" i="41"/>
  <c r="F1055" i="41"/>
  <c r="F1054" i="41"/>
  <c r="F1053" i="41"/>
  <c r="F1052" i="41"/>
  <c r="F1051" i="41"/>
  <c r="F1050" i="41"/>
  <c r="F1049" i="41"/>
  <c r="F1048" i="41"/>
  <c r="F1047" i="41"/>
  <c r="F1046" i="41"/>
  <c r="F1045" i="41"/>
  <c r="F1044" i="41"/>
  <c r="F1043" i="41"/>
  <c r="F1042" i="41"/>
  <c r="F1041" i="41"/>
  <c r="F1040" i="41"/>
  <c r="F1039" i="41"/>
  <c r="F1038" i="41"/>
  <c r="F1037" i="41"/>
  <c r="F1036" i="41"/>
  <c r="F1035" i="41"/>
  <c r="F1034" i="41"/>
  <c r="F1033" i="41"/>
  <c r="F1032" i="41"/>
  <c r="F1031" i="41"/>
  <c r="F1030" i="41"/>
  <c r="F1029" i="41"/>
  <c r="F1028" i="41"/>
  <c r="F1027" i="41"/>
  <c r="F1026" i="41"/>
  <c r="F1025" i="41"/>
  <c r="F1024" i="41"/>
  <c r="F1023" i="41"/>
  <c r="F1022" i="41"/>
  <c r="F1021" i="41"/>
  <c r="F1020" i="41"/>
  <c r="F1019" i="41"/>
  <c r="F1018" i="41"/>
  <c r="F1017" i="41"/>
  <c r="F1016" i="41"/>
  <c r="F1015" i="41"/>
  <c r="F1014" i="41"/>
  <c r="F1013" i="41"/>
  <c r="F1012" i="41"/>
  <c r="F1011" i="41"/>
  <c r="F1010" i="41"/>
  <c r="F1009" i="41"/>
  <c r="F1008" i="41"/>
  <c r="F1007" i="41"/>
  <c r="F1006" i="41"/>
  <c r="M1005" i="41"/>
  <c r="F1005" i="41"/>
  <c r="M1004" i="41"/>
  <c r="F1004" i="41"/>
  <c r="M1003" i="41"/>
  <c r="F1003" i="41"/>
  <c r="M1002" i="41"/>
  <c r="F1002" i="41"/>
  <c r="M1001" i="41"/>
  <c r="F1001" i="41"/>
  <c r="M1000" i="41"/>
  <c r="F1000" i="41"/>
  <c r="M999" i="41"/>
  <c r="F999" i="41"/>
  <c r="M998" i="41"/>
  <c r="F998" i="41"/>
  <c r="M997" i="41"/>
  <c r="F997" i="41"/>
  <c r="M996" i="41"/>
  <c r="F996" i="41"/>
  <c r="M995" i="41"/>
  <c r="F995" i="41"/>
  <c r="M994" i="41"/>
  <c r="F994" i="41"/>
  <c r="M993" i="41"/>
  <c r="F993" i="41"/>
  <c r="M992" i="41"/>
  <c r="F992" i="41"/>
  <c r="M991" i="41"/>
  <c r="F991" i="41"/>
  <c r="M990" i="41"/>
  <c r="F990" i="41"/>
  <c r="M989" i="41"/>
  <c r="F989" i="41"/>
  <c r="M988" i="41"/>
  <c r="F988" i="41"/>
  <c r="M987" i="41"/>
  <c r="F987" i="41"/>
  <c r="M986" i="41"/>
  <c r="F986" i="41"/>
  <c r="M985" i="41"/>
  <c r="F985" i="41"/>
  <c r="M984" i="41"/>
  <c r="F984" i="41"/>
  <c r="M983" i="41"/>
  <c r="F983" i="41"/>
  <c r="M982" i="41"/>
  <c r="F982" i="41"/>
  <c r="M981" i="41"/>
  <c r="F981" i="41"/>
  <c r="M980" i="41"/>
  <c r="F980" i="41"/>
  <c r="M979" i="41"/>
  <c r="F979" i="41"/>
  <c r="M978" i="41"/>
  <c r="F978" i="41"/>
  <c r="M977" i="41"/>
  <c r="F977" i="41"/>
  <c r="M976" i="41"/>
  <c r="F976" i="41"/>
  <c r="M975" i="41"/>
  <c r="F975" i="41"/>
  <c r="M974" i="41"/>
  <c r="F974" i="41"/>
  <c r="M973" i="41"/>
  <c r="F973" i="41"/>
  <c r="M972" i="41"/>
  <c r="F972" i="41"/>
  <c r="M971" i="41"/>
  <c r="F971" i="41"/>
  <c r="M970" i="41"/>
  <c r="F970" i="41"/>
  <c r="M969" i="41"/>
  <c r="F969" i="41"/>
  <c r="M968" i="41"/>
  <c r="F968" i="41"/>
  <c r="M967" i="41"/>
  <c r="F967" i="41"/>
  <c r="M966" i="41"/>
  <c r="F966" i="41"/>
  <c r="M965" i="41"/>
  <c r="F965" i="41"/>
  <c r="M964" i="41"/>
  <c r="F964" i="41"/>
  <c r="M963" i="41"/>
  <c r="F963" i="41"/>
  <c r="M962" i="41"/>
  <c r="F962" i="41"/>
  <c r="M961" i="41"/>
  <c r="F961" i="41"/>
  <c r="M960" i="41"/>
  <c r="F960" i="41"/>
  <c r="M959" i="41"/>
  <c r="F959" i="41"/>
  <c r="M958" i="41"/>
  <c r="F958" i="41"/>
  <c r="M957" i="41"/>
  <c r="F957" i="41"/>
  <c r="M956" i="41"/>
  <c r="F956" i="41"/>
  <c r="M955" i="41"/>
  <c r="F955" i="41"/>
  <c r="M954" i="41"/>
  <c r="F954" i="41"/>
  <c r="M953" i="41"/>
  <c r="F953" i="41"/>
  <c r="M952" i="41"/>
  <c r="F952" i="41"/>
  <c r="M951" i="41"/>
  <c r="F951" i="41"/>
  <c r="M950" i="41"/>
  <c r="F950" i="41"/>
  <c r="M949" i="41"/>
  <c r="F949" i="41"/>
  <c r="M948" i="41"/>
  <c r="F948" i="41"/>
  <c r="M947" i="41"/>
  <c r="F947" i="41"/>
  <c r="M946" i="41"/>
  <c r="F946" i="41"/>
  <c r="M945" i="41"/>
  <c r="F945" i="41"/>
  <c r="M944" i="41"/>
  <c r="F944" i="41"/>
  <c r="M943" i="41"/>
  <c r="F943" i="41"/>
  <c r="M942" i="41"/>
  <c r="F942" i="41"/>
  <c r="M941" i="41"/>
  <c r="F941" i="41"/>
  <c r="M940" i="41"/>
  <c r="F940" i="41"/>
  <c r="M939" i="41"/>
  <c r="F939" i="41"/>
  <c r="M938" i="41"/>
  <c r="F938" i="41"/>
  <c r="M937" i="41"/>
  <c r="F937" i="41"/>
  <c r="M936" i="41"/>
  <c r="F936" i="41"/>
  <c r="M935" i="41"/>
  <c r="F935" i="41"/>
  <c r="M934" i="41"/>
  <c r="F934" i="41"/>
  <c r="M933" i="41"/>
  <c r="F933" i="41"/>
  <c r="M932" i="41"/>
  <c r="F932" i="41"/>
  <c r="M931" i="41"/>
  <c r="F931" i="41"/>
  <c r="M930" i="41"/>
  <c r="F930" i="41"/>
  <c r="M929" i="41"/>
  <c r="F929" i="41"/>
  <c r="M928" i="41"/>
  <c r="F928" i="41"/>
  <c r="M927" i="41"/>
  <c r="F927" i="41"/>
  <c r="M926" i="41"/>
  <c r="F926" i="41"/>
  <c r="M925" i="41"/>
  <c r="F925" i="41"/>
  <c r="M924" i="41"/>
  <c r="F924" i="41"/>
  <c r="M923" i="41"/>
  <c r="F923" i="41"/>
  <c r="M922" i="41"/>
  <c r="F922" i="41"/>
  <c r="M921" i="41"/>
  <c r="F921" i="41"/>
  <c r="M920" i="41"/>
  <c r="F920" i="41"/>
  <c r="M919" i="41"/>
  <c r="F919" i="41"/>
  <c r="M918" i="41"/>
  <c r="F918" i="41"/>
  <c r="M917" i="41"/>
  <c r="F917" i="41"/>
  <c r="M916" i="41"/>
  <c r="F916" i="41"/>
  <c r="M915" i="41"/>
  <c r="F915" i="41"/>
  <c r="M914" i="41"/>
  <c r="F914" i="41"/>
  <c r="M913" i="41"/>
  <c r="F913" i="41"/>
  <c r="M912" i="41"/>
  <c r="F912" i="41"/>
  <c r="M911" i="41"/>
  <c r="F911" i="41"/>
  <c r="M910" i="41"/>
  <c r="F910" i="41"/>
  <c r="M909" i="41"/>
  <c r="F909" i="41"/>
  <c r="M908" i="41"/>
  <c r="F908" i="41"/>
  <c r="M907" i="41"/>
  <c r="F907" i="41"/>
  <c r="M906" i="41"/>
  <c r="F906" i="41"/>
  <c r="M905" i="41"/>
  <c r="F905" i="41"/>
  <c r="M904" i="41"/>
  <c r="F904" i="41"/>
  <c r="M903" i="41"/>
  <c r="F903" i="41"/>
  <c r="M902" i="41"/>
  <c r="F902" i="41"/>
  <c r="M901" i="41"/>
  <c r="F901" i="41"/>
  <c r="M900" i="41"/>
  <c r="F900" i="41"/>
  <c r="M899" i="41"/>
  <c r="F899" i="41"/>
  <c r="M898" i="41"/>
  <c r="F898" i="41"/>
  <c r="M897" i="41"/>
  <c r="F897" i="41"/>
  <c r="M896" i="41"/>
  <c r="F896" i="41"/>
  <c r="M895" i="41"/>
  <c r="F895" i="41"/>
  <c r="M894" i="41"/>
  <c r="F894" i="41"/>
  <c r="M893" i="41"/>
  <c r="F893" i="41"/>
  <c r="M892" i="41"/>
  <c r="F892" i="41"/>
  <c r="M891" i="41"/>
  <c r="F891" i="41"/>
  <c r="M890" i="41"/>
  <c r="F890" i="41"/>
  <c r="M889" i="41"/>
  <c r="F889" i="41"/>
  <c r="M888" i="41"/>
  <c r="F888" i="41"/>
  <c r="M887" i="41"/>
  <c r="F887" i="41"/>
  <c r="M886" i="41"/>
  <c r="F886" i="41"/>
  <c r="M885" i="41"/>
  <c r="F885" i="41"/>
  <c r="M884" i="41"/>
  <c r="F884" i="41"/>
  <c r="M883" i="41"/>
  <c r="F883" i="41"/>
  <c r="M882" i="41"/>
  <c r="F882" i="41"/>
  <c r="M881" i="41"/>
  <c r="F881" i="41"/>
  <c r="M880" i="41"/>
  <c r="F880" i="41"/>
  <c r="M879" i="41"/>
  <c r="F879" i="41"/>
  <c r="M878" i="41"/>
  <c r="F878" i="41"/>
  <c r="M877" i="41"/>
  <c r="F877" i="41"/>
  <c r="M876" i="41"/>
  <c r="F876" i="41"/>
  <c r="M875" i="41"/>
  <c r="F875" i="41"/>
  <c r="M874" i="41"/>
  <c r="F874" i="41"/>
  <c r="M873" i="41"/>
  <c r="F873" i="41"/>
  <c r="M872" i="41"/>
  <c r="F872" i="41"/>
  <c r="M871" i="41"/>
  <c r="F871" i="41"/>
  <c r="M870" i="41"/>
  <c r="F870" i="41"/>
  <c r="M869" i="41"/>
  <c r="F869" i="41"/>
  <c r="M868" i="41"/>
  <c r="F868" i="41"/>
  <c r="M867" i="41"/>
  <c r="F867" i="41"/>
  <c r="M866" i="41"/>
  <c r="F866" i="41"/>
  <c r="M865" i="41"/>
  <c r="F865" i="41"/>
  <c r="M864" i="41"/>
  <c r="F864" i="41"/>
  <c r="M863" i="41"/>
  <c r="F863" i="41"/>
  <c r="M862" i="41"/>
  <c r="F862" i="41"/>
  <c r="M861" i="41"/>
  <c r="F861" i="41"/>
  <c r="M860" i="41"/>
  <c r="F860" i="41"/>
  <c r="M859" i="41"/>
  <c r="F859" i="41"/>
  <c r="M858" i="41"/>
  <c r="F858" i="41"/>
  <c r="M857" i="41"/>
  <c r="F857" i="41"/>
  <c r="M856" i="41"/>
  <c r="F856" i="41"/>
  <c r="M855" i="41"/>
  <c r="F855" i="41"/>
  <c r="M854" i="41"/>
  <c r="F854" i="41"/>
  <c r="M853" i="41"/>
  <c r="F853" i="41"/>
  <c r="M852" i="41"/>
  <c r="F852" i="41"/>
  <c r="M851" i="41"/>
  <c r="F851" i="41"/>
  <c r="M850" i="41"/>
  <c r="F850" i="41"/>
  <c r="M849" i="41"/>
  <c r="F849" i="41"/>
  <c r="M848" i="41"/>
  <c r="F848" i="41"/>
  <c r="M847" i="41"/>
  <c r="F847" i="41"/>
  <c r="M846" i="41"/>
  <c r="F846" i="41"/>
  <c r="M845" i="41"/>
  <c r="F845" i="41"/>
  <c r="M844" i="41"/>
  <c r="F844" i="41"/>
  <c r="M843" i="41"/>
  <c r="F843" i="41"/>
  <c r="M842" i="41"/>
  <c r="F842" i="41"/>
  <c r="M841" i="41"/>
  <c r="F841" i="41"/>
  <c r="M840" i="41"/>
  <c r="F840" i="41"/>
  <c r="M839" i="41"/>
  <c r="F839" i="41"/>
  <c r="M838" i="41"/>
  <c r="F838" i="41"/>
  <c r="M837" i="41"/>
  <c r="F837" i="41"/>
  <c r="M836" i="41"/>
  <c r="F836" i="41"/>
  <c r="M835" i="41"/>
  <c r="F835" i="41"/>
  <c r="M834" i="41"/>
  <c r="F834" i="41"/>
  <c r="M833" i="41"/>
  <c r="F833" i="41"/>
  <c r="M832" i="41"/>
  <c r="F832" i="41"/>
  <c r="M831" i="41"/>
  <c r="F831" i="41"/>
  <c r="M830" i="41"/>
  <c r="F830" i="41"/>
  <c r="M829" i="41"/>
  <c r="F829" i="41"/>
  <c r="M828" i="41"/>
  <c r="F828" i="41"/>
  <c r="M827" i="41"/>
  <c r="F827" i="41"/>
  <c r="M826" i="41"/>
  <c r="F826" i="41"/>
  <c r="M825" i="41"/>
  <c r="F825" i="41"/>
  <c r="M824" i="41"/>
  <c r="F824" i="41"/>
  <c r="M823" i="41"/>
  <c r="F823" i="41"/>
  <c r="M822" i="41"/>
  <c r="F822" i="41"/>
  <c r="M821" i="41"/>
  <c r="F821" i="41"/>
  <c r="M820" i="41"/>
  <c r="F820" i="41"/>
  <c r="M819" i="41"/>
  <c r="F819" i="41"/>
  <c r="M818" i="41"/>
  <c r="F818" i="41"/>
  <c r="M817" i="41"/>
  <c r="F817" i="41"/>
  <c r="M816" i="41"/>
  <c r="F816" i="41"/>
  <c r="M815" i="41"/>
  <c r="F815" i="41"/>
  <c r="M814" i="41"/>
  <c r="F814" i="41"/>
  <c r="M813" i="41"/>
  <c r="F813" i="41"/>
  <c r="M812" i="41"/>
  <c r="F812" i="41"/>
  <c r="M811" i="41"/>
  <c r="F811" i="41"/>
  <c r="M810" i="41"/>
  <c r="F810" i="41"/>
  <c r="M809" i="41"/>
  <c r="F809" i="41"/>
  <c r="M808" i="41"/>
  <c r="F808" i="41"/>
  <c r="M807" i="41"/>
  <c r="F807" i="41"/>
  <c r="M806" i="41"/>
  <c r="F806" i="41"/>
  <c r="M805" i="41"/>
  <c r="F805" i="41"/>
  <c r="M804" i="41"/>
  <c r="F804" i="41"/>
  <c r="M803" i="41"/>
  <c r="F803" i="41"/>
  <c r="M802" i="41"/>
  <c r="F802" i="41"/>
  <c r="M801" i="41"/>
  <c r="F801" i="41"/>
  <c r="M800" i="41"/>
  <c r="F800" i="41"/>
  <c r="M799" i="41"/>
  <c r="F799" i="41"/>
  <c r="M798" i="41"/>
  <c r="F798" i="41"/>
  <c r="M797" i="41"/>
  <c r="F797" i="41"/>
  <c r="M796" i="41"/>
  <c r="F796" i="41"/>
  <c r="M795" i="41"/>
  <c r="F795" i="41"/>
  <c r="M794" i="41"/>
  <c r="F794" i="41"/>
  <c r="M793" i="41"/>
  <c r="F793" i="41"/>
  <c r="M792" i="41"/>
  <c r="F792" i="41"/>
  <c r="M791" i="41"/>
  <c r="F791" i="41"/>
  <c r="M790" i="41"/>
  <c r="F790" i="41"/>
  <c r="M789" i="41"/>
  <c r="F789" i="41"/>
  <c r="M788" i="41"/>
  <c r="F788" i="41"/>
  <c r="M787" i="41"/>
  <c r="F787" i="41"/>
  <c r="M786" i="41"/>
  <c r="F786" i="41"/>
  <c r="M785" i="41"/>
  <c r="F785" i="41"/>
  <c r="M784" i="41"/>
  <c r="F784" i="41"/>
  <c r="M783" i="41"/>
  <c r="F783" i="41"/>
  <c r="M782" i="41"/>
  <c r="F782" i="41"/>
  <c r="M781" i="41"/>
  <c r="F781" i="41"/>
  <c r="M780" i="41"/>
  <c r="F780" i="41"/>
  <c r="M779" i="41"/>
  <c r="F779" i="41"/>
  <c r="M778" i="41"/>
  <c r="F778" i="41"/>
  <c r="M777" i="41"/>
  <c r="F777" i="41"/>
  <c r="M776" i="41"/>
  <c r="F776" i="41"/>
  <c r="M775" i="41"/>
  <c r="F775" i="41"/>
  <c r="M774" i="41"/>
  <c r="F774" i="41"/>
  <c r="M773" i="41"/>
  <c r="F773" i="41"/>
  <c r="M772" i="41"/>
  <c r="F772" i="41"/>
  <c r="M771" i="41"/>
  <c r="F771" i="41"/>
  <c r="M770" i="41"/>
  <c r="F770" i="41"/>
  <c r="M769" i="41"/>
  <c r="F769" i="41"/>
  <c r="M768" i="41"/>
  <c r="F768" i="41"/>
  <c r="M767" i="41"/>
  <c r="F767" i="41"/>
  <c r="M766" i="41"/>
  <c r="F766" i="41"/>
  <c r="M765" i="41"/>
  <c r="F765" i="41"/>
  <c r="M764" i="41"/>
  <c r="F764" i="41"/>
  <c r="M763" i="41"/>
  <c r="F763" i="41"/>
  <c r="M762" i="41"/>
  <c r="F762" i="41"/>
  <c r="M761" i="41"/>
  <c r="F761" i="41"/>
  <c r="M760" i="41"/>
  <c r="F760" i="41"/>
  <c r="M759" i="41"/>
  <c r="F759" i="41"/>
  <c r="M758" i="41"/>
  <c r="F758" i="41"/>
  <c r="M757" i="41"/>
  <c r="F757" i="41"/>
  <c r="M756" i="41"/>
  <c r="F756" i="41"/>
  <c r="M755" i="41"/>
  <c r="F755" i="41"/>
  <c r="M754" i="41"/>
  <c r="F754" i="41"/>
  <c r="M753" i="41"/>
  <c r="F753" i="41"/>
  <c r="M752" i="41"/>
  <c r="F752" i="41"/>
  <c r="M751" i="41"/>
  <c r="F751" i="41"/>
  <c r="M750" i="41"/>
  <c r="F750" i="41"/>
  <c r="M749" i="41"/>
  <c r="F749" i="41"/>
  <c r="M748" i="41"/>
  <c r="F748" i="41"/>
  <c r="M747" i="41"/>
  <c r="F747" i="41"/>
  <c r="M746" i="41"/>
  <c r="F746" i="41"/>
  <c r="M745" i="41"/>
  <c r="F745" i="41"/>
  <c r="M744" i="41"/>
  <c r="F744" i="41"/>
  <c r="M743" i="41"/>
  <c r="F743" i="41"/>
  <c r="M742" i="41"/>
  <c r="F742" i="41"/>
  <c r="M741" i="41"/>
  <c r="F741" i="41"/>
  <c r="M740" i="41"/>
  <c r="F740" i="41"/>
  <c r="M739" i="41"/>
  <c r="F739" i="41"/>
  <c r="M738" i="41"/>
  <c r="F738" i="41"/>
  <c r="M737" i="41"/>
  <c r="F737" i="41"/>
  <c r="M736" i="41"/>
  <c r="F736" i="41"/>
  <c r="M735" i="41"/>
  <c r="F735" i="41"/>
  <c r="M734" i="41"/>
  <c r="F734" i="41"/>
  <c r="M733" i="41"/>
  <c r="F733" i="41"/>
  <c r="M732" i="41"/>
  <c r="F732" i="41"/>
  <c r="M731" i="41"/>
  <c r="F731" i="41"/>
  <c r="M730" i="41"/>
  <c r="F730" i="41"/>
  <c r="M729" i="41"/>
  <c r="F729" i="41"/>
  <c r="M728" i="41"/>
  <c r="F728" i="41"/>
  <c r="M727" i="41"/>
  <c r="F727" i="41"/>
  <c r="M726" i="41"/>
  <c r="F726" i="41"/>
  <c r="M725" i="41"/>
  <c r="F725" i="41"/>
  <c r="M724" i="41"/>
  <c r="F724" i="41"/>
  <c r="M723" i="41"/>
  <c r="F723" i="41"/>
  <c r="M722" i="41"/>
  <c r="F722" i="41"/>
  <c r="M721" i="41"/>
  <c r="F721" i="41"/>
  <c r="M720" i="41"/>
  <c r="F720" i="41"/>
  <c r="M719" i="41"/>
  <c r="F719" i="41"/>
  <c r="M718" i="41"/>
  <c r="F718" i="41"/>
  <c r="M717" i="41"/>
  <c r="F717" i="41"/>
  <c r="M716" i="41"/>
  <c r="F716" i="41"/>
  <c r="M715" i="41"/>
  <c r="F715" i="41"/>
  <c r="M714" i="41"/>
  <c r="F714" i="41"/>
  <c r="M713" i="41"/>
  <c r="F713" i="41"/>
  <c r="M712" i="41"/>
  <c r="F712" i="41"/>
  <c r="M711" i="41"/>
  <c r="F711" i="41"/>
  <c r="M710" i="41"/>
  <c r="F710" i="41"/>
  <c r="M709" i="41"/>
  <c r="F709" i="41"/>
  <c r="M708" i="41"/>
  <c r="F708" i="41"/>
  <c r="M707" i="41"/>
  <c r="F707" i="41"/>
  <c r="M706" i="41"/>
  <c r="F706" i="41"/>
  <c r="M705" i="41"/>
  <c r="F705" i="41"/>
  <c r="M704" i="41"/>
  <c r="F704" i="41"/>
  <c r="M703" i="41"/>
  <c r="F703" i="41"/>
  <c r="M702" i="41"/>
  <c r="F702" i="41"/>
  <c r="M701" i="41"/>
  <c r="F701" i="41"/>
  <c r="M700" i="41"/>
  <c r="F700" i="41"/>
  <c r="M699" i="41"/>
  <c r="F699" i="41"/>
  <c r="M698" i="41"/>
  <c r="F698" i="41"/>
  <c r="M697" i="41"/>
  <c r="F697" i="41"/>
  <c r="M696" i="41"/>
  <c r="F696" i="41"/>
  <c r="M695" i="41"/>
  <c r="F695" i="41"/>
  <c r="M694" i="41"/>
  <c r="F694" i="41"/>
  <c r="M693" i="41"/>
  <c r="F693" i="41"/>
  <c r="M692" i="41"/>
  <c r="F692" i="41"/>
  <c r="M691" i="41"/>
  <c r="F691" i="41"/>
  <c r="M690" i="41"/>
  <c r="F690" i="41"/>
  <c r="M689" i="41"/>
  <c r="F689" i="41"/>
  <c r="M688" i="41"/>
  <c r="F688" i="41"/>
  <c r="M687" i="41"/>
  <c r="F687" i="41"/>
  <c r="M686" i="41"/>
  <c r="F686" i="41"/>
  <c r="M685" i="41"/>
  <c r="F685" i="41"/>
  <c r="M684" i="41"/>
  <c r="F684" i="41"/>
  <c r="M683" i="41"/>
  <c r="F683" i="41"/>
  <c r="M682" i="41"/>
  <c r="F682" i="41"/>
  <c r="M681" i="41"/>
  <c r="F681" i="41"/>
  <c r="M680" i="41"/>
  <c r="F680" i="41"/>
  <c r="M679" i="41"/>
  <c r="F679" i="41"/>
  <c r="M678" i="41"/>
  <c r="F678" i="41"/>
  <c r="M677" i="41"/>
  <c r="F677" i="41"/>
  <c r="M676" i="41"/>
  <c r="F676" i="41"/>
  <c r="M675" i="41"/>
  <c r="F675" i="41"/>
  <c r="M674" i="41"/>
  <c r="F674" i="41"/>
  <c r="M673" i="41"/>
  <c r="F673" i="41"/>
  <c r="M672" i="41"/>
  <c r="F672" i="41"/>
  <c r="M671" i="41"/>
  <c r="F671" i="41"/>
  <c r="M670" i="41"/>
  <c r="F670" i="41"/>
  <c r="M669" i="41"/>
  <c r="F669" i="41"/>
  <c r="M668" i="41"/>
  <c r="F668" i="41"/>
  <c r="M667" i="41"/>
  <c r="F667" i="41"/>
  <c r="M666" i="41"/>
  <c r="F666" i="41"/>
  <c r="M665" i="41"/>
  <c r="F665" i="41"/>
  <c r="M664" i="41"/>
  <c r="F664" i="41"/>
  <c r="M663" i="41"/>
  <c r="F663" i="41"/>
  <c r="M662" i="41"/>
  <c r="F662" i="41"/>
  <c r="M661" i="41"/>
  <c r="F661" i="41"/>
  <c r="M660" i="41"/>
  <c r="F660" i="41"/>
  <c r="M659" i="41"/>
  <c r="F659" i="41"/>
  <c r="M658" i="41"/>
  <c r="F658" i="41"/>
  <c r="M657" i="41"/>
  <c r="F657" i="41"/>
  <c r="M656" i="41"/>
  <c r="F656" i="41"/>
  <c r="M655" i="41"/>
  <c r="F655" i="41"/>
  <c r="M654" i="41"/>
  <c r="F654" i="41"/>
  <c r="M653" i="41"/>
  <c r="F653" i="41"/>
  <c r="M652" i="41"/>
  <c r="F652" i="41"/>
  <c r="M651" i="41"/>
  <c r="F651" i="41"/>
  <c r="M650" i="41"/>
  <c r="F650" i="41"/>
  <c r="M649" i="41"/>
  <c r="F649" i="41"/>
  <c r="M648" i="41"/>
  <c r="F648" i="41"/>
  <c r="M647" i="41"/>
  <c r="F647" i="41"/>
  <c r="M646" i="41"/>
  <c r="F646" i="41"/>
  <c r="M645" i="41"/>
  <c r="F645" i="41"/>
  <c r="M644" i="41"/>
  <c r="F644" i="41"/>
  <c r="M643" i="41"/>
  <c r="F643" i="41"/>
  <c r="M642" i="41"/>
  <c r="F642" i="41"/>
  <c r="M641" i="41"/>
  <c r="F641" i="41"/>
  <c r="M640" i="41"/>
  <c r="F640" i="41"/>
  <c r="M639" i="41"/>
  <c r="F639" i="41"/>
  <c r="M638" i="41"/>
  <c r="F638" i="41"/>
  <c r="M637" i="41"/>
  <c r="F637" i="41"/>
  <c r="M636" i="41"/>
  <c r="F636" i="41"/>
  <c r="M635" i="41"/>
  <c r="F635" i="41"/>
  <c r="M634" i="41"/>
  <c r="F634" i="41"/>
  <c r="M633" i="41"/>
  <c r="F633" i="41"/>
  <c r="M632" i="41"/>
  <c r="F632" i="41"/>
  <c r="M631" i="41"/>
  <c r="F631" i="41"/>
  <c r="M630" i="41"/>
  <c r="F630" i="41"/>
  <c r="M629" i="41"/>
  <c r="F629" i="41"/>
  <c r="M628" i="41"/>
  <c r="F628" i="41"/>
  <c r="M627" i="41"/>
  <c r="F627" i="41"/>
  <c r="M626" i="41"/>
  <c r="F626" i="41"/>
  <c r="M625" i="41"/>
  <c r="F625" i="41"/>
  <c r="M624" i="41"/>
  <c r="F624" i="41"/>
  <c r="M623" i="41"/>
  <c r="F623" i="41"/>
  <c r="M622" i="41"/>
  <c r="F622" i="41"/>
  <c r="M621" i="41"/>
  <c r="F621" i="41"/>
  <c r="M620" i="41"/>
  <c r="F620" i="41"/>
  <c r="M619" i="41"/>
  <c r="F619" i="41"/>
  <c r="M618" i="41"/>
  <c r="F618" i="41"/>
  <c r="M617" i="41"/>
  <c r="F617" i="41"/>
  <c r="M616" i="41"/>
  <c r="F616" i="41"/>
  <c r="M615" i="41"/>
  <c r="F615" i="41"/>
  <c r="M614" i="41"/>
  <c r="F614" i="41"/>
  <c r="M613" i="41"/>
  <c r="F613" i="41"/>
  <c r="M612" i="41"/>
  <c r="F612" i="41"/>
  <c r="M611" i="41"/>
  <c r="F611" i="41"/>
  <c r="M610" i="41"/>
  <c r="F610" i="41"/>
  <c r="M609" i="41"/>
  <c r="F609" i="41"/>
  <c r="M608" i="41"/>
  <c r="F608" i="41"/>
  <c r="M607" i="41"/>
  <c r="F607" i="41"/>
  <c r="M606" i="41"/>
  <c r="F606" i="41"/>
  <c r="M605" i="41"/>
  <c r="F605" i="41"/>
  <c r="M604" i="41"/>
  <c r="F604" i="41"/>
  <c r="M603" i="41"/>
  <c r="F603" i="41"/>
  <c r="M602" i="41"/>
  <c r="F602" i="41"/>
  <c r="M601" i="41"/>
  <c r="F601" i="41"/>
  <c r="M600" i="41"/>
  <c r="F600" i="41"/>
  <c r="M599" i="41"/>
  <c r="F599" i="41"/>
  <c r="M598" i="41"/>
  <c r="F598" i="41"/>
  <c r="M597" i="41"/>
  <c r="F597" i="41"/>
  <c r="M596" i="41"/>
  <c r="F596" i="41"/>
  <c r="M595" i="41"/>
  <c r="F595" i="41"/>
  <c r="M594" i="41"/>
  <c r="F594" i="41"/>
  <c r="M593" i="41"/>
  <c r="F593" i="41"/>
  <c r="M592" i="41"/>
  <c r="F592" i="41"/>
  <c r="M591" i="41"/>
  <c r="F591" i="41"/>
  <c r="M590" i="41"/>
  <c r="F590" i="41"/>
  <c r="M589" i="41"/>
  <c r="F589" i="41"/>
  <c r="M588" i="41"/>
  <c r="F588" i="41"/>
  <c r="M587" i="41"/>
  <c r="F587" i="41"/>
  <c r="M586" i="41"/>
  <c r="F586" i="41"/>
  <c r="M585" i="41"/>
  <c r="F585" i="41"/>
  <c r="M584" i="41"/>
  <c r="F584" i="41"/>
  <c r="M583" i="41"/>
  <c r="F583" i="41"/>
  <c r="M582" i="41"/>
  <c r="F582" i="41"/>
  <c r="M581" i="41"/>
  <c r="F581" i="41"/>
  <c r="M580" i="41"/>
  <c r="F580" i="41"/>
  <c r="M579" i="41"/>
  <c r="F579" i="41"/>
  <c r="M578" i="41"/>
  <c r="F578" i="41"/>
  <c r="M577" i="41"/>
  <c r="F577" i="41"/>
  <c r="M576" i="41"/>
  <c r="F576" i="41"/>
  <c r="M575" i="41"/>
  <c r="F575" i="41"/>
  <c r="M574" i="41"/>
  <c r="F574" i="41"/>
  <c r="M573" i="41"/>
  <c r="F573" i="41"/>
  <c r="M572" i="41"/>
  <c r="F572" i="41"/>
  <c r="M571" i="41"/>
  <c r="F571" i="41"/>
  <c r="M570" i="41"/>
  <c r="F570" i="41"/>
  <c r="M569" i="41"/>
  <c r="F569" i="41"/>
  <c r="M568" i="41"/>
  <c r="F568" i="41"/>
  <c r="M567" i="41"/>
  <c r="F567" i="41"/>
  <c r="M566" i="41"/>
  <c r="F566" i="41"/>
  <c r="M565" i="41"/>
  <c r="F565" i="41"/>
  <c r="M564" i="41"/>
  <c r="F564" i="41"/>
  <c r="M563" i="41"/>
  <c r="F563" i="41"/>
  <c r="M562" i="41"/>
  <c r="F562" i="41"/>
  <c r="M561" i="41"/>
  <c r="F561" i="41"/>
  <c r="M560" i="41"/>
  <c r="F560" i="41"/>
  <c r="M559" i="41"/>
  <c r="F559" i="41"/>
  <c r="M558" i="41"/>
  <c r="F558" i="41"/>
  <c r="M557" i="41"/>
  <c r="F557" i="41"/>
  <c r="M556" i="41"/>
  <c r="F556" i="41"/>
  <c r="M555" i="41"/>
  <c r="F555" i="41"/>
  <c r="M554" i="41"/>
  <c r="F554" i="41"/>
  <c r="M553" i="41"/>
  <c r="F553" i="41"/>
  <c r="M552" i="41"/>
  <c r="F552" i="41"/>
  <c r="M551" i="41"/>
  <c r="F551" i="41"/>
  <c r="M550" i="41"/>
  <c r="F550" i="41"/>
  <c r="M549" i="41"/>
  <c r="F549" i="41"/>
  <c r="M548" i="41"/>
  <c r="F548" i="41"/>
  <c r="M547" i="41"/>
  <c r="F547" i="41"/>
  <c r="M546" i="41"/>
  <c r="F546" i="41"/>
  <c r="M545" i="41"/>
  <c r="F545" i="41"/>
  <c r="M544" i="41"/>
  <c r="F544" i="41"/>
  <c r="M543" i="41"/>
  <c r="F543" i="41"/>
  <c r="M542" i="41"/>
  <c r="F542" i="41"/>
  <c r="M541" i="41"/>
  <c r="F541" i="41"/>
  <c r="M540" i="41"/>
  <c r="F540" i="41"/>
  <c r="M539" i="41"/>
  <c r="F539" i="41"/>
  <c r="M538" i="41"/>
  <c r="F538" i="41"/>
  <c r="M537" i="41"/>
  <c r="F537" i="41"/>
  <c r="M536" i="41"/>
  <c r="F536" i="41"/>
  <c r="M535" i="41"/>
  <c r="F535" i="41"/>
  <c r="M534" i="41"/>
  <c r="F534" i="41"/>
  <c r="M533" i="41"/>
  <c r="F533" i="41"/>
  <c r="M532" i="41"/>
  <c r="F532" i="41"/>
  <c r="M531" i="41"/>
  <c r="F531" i="41"/>
  <c r="M530" i="41"/>
  <c r="F530" i="41"/>
  <c r="M529" i="41"/>
  <c r="F529" i="41"/>
  <c r="M528" i="41"/>
  <c r="F528" i="41"/>
  <c r="M527" i="41"/>
  <c r="F527" i="41"/>
  <c r="M526" i="41"/>
  <c r="F526" i="41"/>
  <c r="M525" i="41"/>
  <c r="F525" i="41"/>
  <c r="M524" i="41"/>
  <c r="F524" i="41"/>
  <c r="M523" i="41"/>
  <c r="F523" i="41"/>
  <c r="M522" i="41"/>
  <c r="F522" i="41"/>
  <c r="M521" i="41"/>
  <c r="F521" i="41"/>
  <c r="M520" i="41"/>
  <c r="F520" i="41"/>
  <c r="M519" i="41"/>
  <c r="F519" i="41"/>
  <c r="M518" i="41"/>
  <c r="F518" i="41"/>
  <c r="M517" i="41"/>
  <c r="F517" i="41"/>
  <c r="M516" i="41"/>
  <c r="F516" i="41"/>
  <c r="M515" i="41"/>
  <c r="F515" i="41"/>
  <c r="M514" i="41"/>
  <c r="F514" i="41"/>
  <c r="M513" i="41"/>
  <c r="F513" i="41"/>
  <c r="M512" i="41"/>
  <c r="F512" i="41"/>
  <c r="M511" i="41"/>
  <c r="F511" i="41"/>
  <c r="M510" i="41"/>
  <c r="F510" i="41"/>
  <c r="M509" i="41"/>
  <c r="F509" i="41"/>
  <c r="M508" i="41"/>
  <c r="F508" i="41"/>
  <c r="M507" i="41"/>
  <c r="F507" i="41"/>
  <c r="M506" i="41"/>
  <c r="F506" i="41"/>
  <c r="M505" i="41"/>
  <c r="F505" i="41"/>
  <c r="M504" i="41"/>
  <c r="F504" i="41"/>
  <c r="M503" i="41"/>
  <c r="F503" i="41"/>
  <c r="M502" i="41"/>
  <c r="F502" i="41"/>
  <c r="M501" i="41"/>
  <c r="F501" i="41"/>
  <c r="M500" i="41"/>
  <c r="F500" i="41"/>
  <c r="M499" i="41"/>
  <c r="F499" i="41"/>
  <c r="M498" i="41"/>
  <c r="F498" i="41"/>
  <c r="M497" i="41"/>
  <c r="F497" i="41"/>
  <c r="M496" i="41"/>
  <c r="F496" i="41"/>
  <c r="M495" i="41"/>
  <c r="F495" i="41"/>
  <c r="M494" i="41"/>
  <c r="F494" i="41"/>
  <c r="M493" i="41"/>
  <c r="F493" i="41"/>
  <c r="M492" i="41"/>
  <c r="F492" i="41"/>
  <c r="M491" i="41"/>
  <c r="F491" i="41"/>
  <c r="M490" i="41"/>
  <c r="F490" i="41"/>
  <c r="M489" i="41"/>
  <c r="F489" i="41"/>
  <c r="M488" i="41"/>
  <c r="F488" i="41"/>
  <c r="M487" i="41"/>
  <c r="F487" i="41"/>
  <c r="M486" i="41"/>
  <c r="F486" i="41"/>
  <c r="M485" i="41"/>
  <c r="F485" i="41"/>
  <c r="M484" i="41"/>
  <c r="F484" i="41"/>
  <c r="M483" i="41"/>
  <c r="F483" i="41"/>
  <c r="M482" i="41"/>
  <c r="F482" i="41"/>
  <c r="M481" i="41"/>
  <c r="F481" i="41"/>
  <c r="M480" i="41"/>
  <c r="F480" i="41"/>
  <c r="M479" i="41"/>
  <c r="F479" i="41"/>
  <c r="M478" i="41"/>
  <c r="F478" i="41"/>
  <c r="M477" i="41"/>
  <c r="F477" i="41"/>
  <c r="M476" i="41"/>
  <c r="F476" i="41"/>
  <c r="M475" i="41"/>
  <c r="F475" i="41"/>
  <c r="M474" i="41"/>
  <c r="F474" i="41"/>
  <c r="M473" i="41"/>
  <c r="F473" i="41"/>
  <c r="M472" i="41"/>
  <c r="F472" i="41"/>
  <c r="M471" i="41"/>
  <c r="F471" i="41"/>
  <c r="M470" i="41"/>
  <c r="F470" i="41"/>
  <c r="M469" i="41"/>
  <c r="F469" i="41"/>
  <c r="M468" i="41"/>
  <c r="F468" i="41"/>
  <c r="M467" i="41"/>
  <c r="F467" i="41"/>
  <c r="M466" i="41"/>
  <c r="F466" i="41"/>
  <c r="M465" i="41"/>
  <c r="F465" i="41"/>
  <c r="M464" i="41"/>
  <c r="F464" i="41"/>
  <c r="M463" i="41"/>
  <c r="F463" i="41"/>
  <c r="M462" i="41"/>
  <c r="F462" i="41"/>
  <c r="M461" i="41"/>
  <c r="F461" i="41"/>
  <c r="M460" i="41"/>
  <c r="F460" i="41"/>
  <c r="M459" i="41"/>
  <c r="F459" i="41"/>
  <c r="M458" i="41"/>
  <c r="F458" i="41"/>
  <c r="M457" i="41"/>
  <c r="F457" i="41"/>
  <c r="M456" i="41"/>
  <c r="F456" i="41"/>
  <c r="M455" i="41"/>
  <c r="F455" i="41"/>
  <c r="M454" i="41"/>
  <c r="F454" i="41"/>
  <c r="M453" i="41"/>
  <c r="F453" i="41"/>
  <c r="M452" i="41"/>
  <c r="F452" i="41"/>
  <c r="M451" i="41"/>
  <c r="F451" i="41"/>
  <c r="M450" i="41"/>
  <c r="F450" i="41"/>
  <c r="M449" i="41"/>
  <c r="F449" i="41"/>
  <c r="M448" i="41"/>
  <c r="F448" i="41"/>
  <c r="M447" i="41"/>
  <c r="F447" i="41"/>
  <c r="M446" i="41"/>
  <c r="F446" i="41"/>
  <c r="M445" i="41"/>
  <c r="F445" i="41"/>
  <c r="M444" i="41"/>
  <c r="F444" i="41"/>
  <c r="M443" i="41"/>
  <c r="F443" i="41"/>
  <c r="M442" i="41"/>
  <c r="F442" i="41"/>
  <c r="M441" i="41"/>
  <c r="F441" i="41"/>
  <c r="M440" i="41"/>
  <c r="F440" i="41"/>
  <c r="M439" i="41"/>
  <c r="F439" i="41"/>
  <c r="M438" i="41"/>
  <c r="F438" i="41"/>
  <c r="M437" i="41"/>
  <c r="F437" i="41"/>
  <c r="M436" i="41"/>
  <c r="F436" i="41"/>
  <c r="M435" i="41"/>
  <c r="F435" i="41"/>
  <c r="M434" i="41"/>
  <c r="F434" i="41"/>
  <c r="M433" i="41"/>
  <c r="F433" i="41"/>
  <c r="M432" i="41"/>
  <c r="F432" i="41"/>
  <c r="M431" i="41"/>
  <c r="F431" i="41"/>
  <c r="M430" i="41"/>
  <c r="F430" i="41"/>
  <c r="M429" i="41"/>
  <c r="F429" i="41"/>
  <c r="M428" i="41"/>
  <c r="F428" i="41"/>
  <c r="M427" i="41"/>
  <c r="F427" i="41"/>
  <c r="M426" i="41"/>
  <c r="F426" i="41"/>
  <c r="M425" i="41"/>
  <c r="F425" i="41"/>
  <c r="M424" i="41"/>
  <c r="F424" i="41"/>
  <c r="M423" i="41"/>
  <c r="F423" i="41"/>
  <c r="M422" i="41"/>
  <c r="F422" i="41"/>
  <c r="M421" i="41"/>
  <c r="F421" i="41"/>
  <c r="M420" i="41"/>
  <c r="F420" i="41"/>
  <c r="M419" i="41"/>
  <c r="F419" i="41"/>
  <c r="M418" i="41"/>
  <c r="F418" i="41"/>
  <c r="M417" i="41"/>
  <c r="F417" i="41"/>
  <c r="M416" i="41"/>
  <c r="F416" i="41"/>
  <c r="M415" i="41"/>
  <c r="F415" i="41"/>
  <c r="M414" i="41"/>
  <c r="F414" i="41"/>
  <c r="M413" i="41"/>
  <c r="F413" i="41"/>
  <c r="M412" i="41"/>
  <c r="F412" i="41"/>
  <c r="M411" i="41"/>
  <c r="F411" i="41"/>
  <c r="M410" i="41"/>
  <c r="F410" i="41"/>
  <c r="M409" i="41"/>
  <c r="F409" i="41"/>
  <c r="M408" i="41"/>
  <c r="F408" i="41"/>
  <c r="M407" i="41"/>
  <c r="F407" i="41"/>
  <c r="M406" i="41"/>
  <c r="F406" i="41"/>
  <c r="M405" i="41"/>
  <c r="F405" i="41"/>
  <c r="M404" i="41"/>
  <c r="F404" i="41"/>
  <c r="M403" i="41"/>
  <c r="F403" i="41"/>
  <c r="M402" i="41"/>
  <c r="F402" i="41"/>
  <c r="M401" i="41"/>
  <c r="F401" i="41"/>
  <c r="M400" i="41"/>
  <c r="F400" i="41"/>
  <c r="M399" i="41"/>
  <c r="F399" i="41"/>
  <c r="M398" i="41"/>
  <c r="F398" i="41"/>
  <c r="M397" i="41"/>
  <c r="F397" i="41"/>
  <c r="M396" i="41"/>
  <c r="F396" i="41"/>
  <c r="M395" i="41"/>
  <c r="F395" i="41"/>
  <c r="M394" i="41"/>
  <c r="F394" i="41"/>
  <c r="M393" i="41"/>
  <c r="F393" i="41"/>
  <c r="M392" i="41"/>
  <c r="F392" i="41"/>
  <c r="M391" i="41"/>
  <c r="F391" i="41"/>
  <c r="M390" i="41"/>
  <c r="F390" i="41"/>
  <c r="M389" i="41"/>
  <c r="F389" i="41"/>
  <c r="M388" i="41"/>
  <c r="F388" i="41"/>
  <c r="M387" i="41"/>
  <c r="F387" i="41"/>
  <c r="M386" i="41"/>
  <c r="F386" i="41"/>
  <c r="M385" i="41"/>
  <c r="F385" i="41"/>
  <c r="M384" i="41"/>
  <c r="F384" i="41"/>
  <c r="M383" i="41"/>
  <c r="F383" i="41"/>
  <c r="M382" i="41"/>
  <c r="F382" i="41"/>
  <c r="M381" i="41"/>
  <c r="F381" i="41"/>
  <c r="M380" i="41"/>
  <c r="F380" i="41"/>
  <c r="M379" i="41"/>
  <c r="F379" i="41"/>
  <c r="M378" i="41"/>
  <c r="F378" i="41"/>
  <c r="M377" i="41"/>
  <c r="F377" i="41"/>
  <c r="M376" i="41"/>
  <c r="F376" i="41"/>
  <c r="M375" i="41"/>
  <c r="F375" i="41"/>
  <c r="M374" i="41"/>
  <c r="F374" i="41"/>
  <c r="M373" i="41"/>
  <c r="F373" i="41"/>
  <c r="M372" i="41"/>
  <c r="F372" i="41"/>
  <c r="M371" i="41"/>
  <c r="F371" i="41"/>
  <c r="M370" i="41"/>
  <c r="F370" i="41"/>
  <c r="M369" i="41"/>
  <c r="F369" i="41"/>
  <c r="M368" i="41"/>
  <c r="F368" i="41"/>
  <c r="M367" i="41"/>
  <c r="F367" i="41"/>
  <c r="M366" i="41"/>
  <c r="F366" i="41"/>
  <c r="M365" i="41"/>
  <c r="F365" i="41"/>
  <c r="M364" i="41"/>
  <c r="F364" i="41"/>
  <c r="M363" i="41"/>
  <c r="F363" i="41"/>
  <c r="M362" i="41"/>
  <c r="F362" i="41"/>
  <c r="M361" i="41"/>
  <c r="F361" i="41"/>
  <c r="M360" i="41"/>
  <c r="F360" i="41"/>
  <c r="M359" i="41"/>
  <c r="F359" i="41"/>
  <c r="M358" i="41"/>
  <c r="F358" i="41"/>
  <c r="M357" i="41"/>
  <c r="F357" i="41"/>
  <c r="M356" i="41"/>
  <c r="F356" i="41"/>
  <c r="M355" i="41"/>
  <c r="F355" i="41"/>
  <c r="M354" i="41"/>
  <c r="F354" i="41"/>
  <c r="M353" i="41"/>
  <c r="F353" i="41"/>
  <c r="M352" i="41"/>
  <c r="F352" i="41"/>
  <c r="M351" i="41"/>
  <c r="F351" i="41"/>
  <c r="M350" i="41"/>
  <c r="F350" i="41"/>
  <c r="M349" i="41"/>
  <c r="F349" i="41"/>
  <c r="M348" i="41"/>
  <c r="F348" i="41"/>
  <c r="M347" i="41"/>
  <c r="F347" i="41"/>
  <c r="M346" i="41"/>
  <c r="F346" i="41"/>
  <c r="M345" i="41"/>
  <c r="F345" i="41"/>
  <c r="M344" i="41"/>
  <c r="F344" i="41"/>
  <c r="M343" i="41"/>
  <c r="F343" i="41"/>
  <c r="M342" i="41"/>
  <c r="F342" i="41"/>
  <c r="M341" i="41"/>
  <c r="F341" i="41"/>
  <c r="M340" i="41"/>
  <c r="F340" i="41"/>
  <c r="M339" i="41"/>
  <c r="F339" i="41"/>
  <c r="M338" i="41"/>
  <c r="F338" i="41"/>
  <c r="M337" i="41"/>
  <c r="F337" i="41"/>
  <c r="M336" i="41"/>
  <c r="F336" i="41"/>
  <c r="M335" i="41"/>
  <c r="F335" i="41"/>
  <c r="M334" i="41"/>
  <c r="F334" i="41"/>
  <c r="M333" i="41"/>
  <c r="F333" i="41"/>
  <c r="M332" i="41"/>
  <c r="F332" i="41"/>
  <c r="M331" i="41"/>
  <c r="F331" i="41"/>
  <c r="M330" i="41"/>
  <c r="F330" i="41"/>
  <c r="M329" i="41"/>
  <c r="F329" i="41"/>
  <c r="M328" i="41"/>
  <c r="F328" i="41"/>
  <c r="M327" i="41"/>
  <c r="F327" i="41"/>
  <c r="M326" i="41"/>
  <c r="F326" i="41"/>
  <c r="M325" i="41"/>
  <c r="F325" i="41"/>
  <c r="M324" i="41"/>
  <c r="F324" i="41"/>
  <c r="M323" i="41"/>
  <c r="F323" i="41"/>
  <c r="M322" i="41"/>
  <c r="F322" i="41"/>
  <c r="M321" i="41"/>
  <c r="F321" i="41"/>
  <c r="M320" i="41"/>
  <c r="F320" i="41"/>
  <c r="M319" i="41"/>
  <c r="F319" i="41"/>
  <c r="M318" i="41"/>
  <c r="F318" i="41"/>
  <c r="M317" i="41"/>
  <c r="F317" i="41"/>
  <c r="M316" i="41"/>
  <c r="F316" i="41"/>
  <c r="M315" i="41"/>
  <c r="F315" i="41"/>
  <c r="M314" i="41"/>
  <c r="F314" i="41"/>
  <c r="M313" i="41"/>
  <c r="F313" i="41"/>
  <c r="M312" i="41"/>
  <c r="F312" i="41"/>
  <c r="M311" i="41"/>
  <c r="F311" i="41"/>
  <c r="M310" i="41"/>
  <c r="F310" i="41"/>
  <c r="M309" i="41"/>
  <c r="F309" i="41"/>
  <c r="M308" i="41"/>
  <c r="F308" i="41"/>
  <c r="M307" i="41"/>
  <c r="F307" i="41"/>
  <c r="M306" i="41"/>
  <c r="F306" i="41"/>
  <c r="M305" i="41"/>
  <c r="F305" i="41"/>
  <c r="M304" i="41"/>
  <c r="F304" i="41"/>
  <c r="M303" i="41"/>
  <c r="F303" i="41"/>
  <c r="M302" i="41"/>
  <c r="F302" i="41"/>
  <c r="M301" i="41"/>
  <c r="F301" i="41"/>
  <c r="M300" i="41"/>
  <c r="F300" i="41"/>
  <c r="M299" i="41"/>
  <c r="F299" i="41"/>
  <c r="M298" i="41"/>
  <c r="F298" i="41"/>
  <c r="M297" i="41"/>
  <c r="F297" i="41"/>
  <c r="M296" i="41"/>
  <c r="F296" i="41"/>
  <c r="M295" i="41"/>
  <c r="F295" i="41"/>
  <c r="M294" i="41"/>
  <c r="F294" i="41"/>
  <c r="M293" i="41"/>
  <c r="F293" i="41"/>
  <c r="M292" i="41"/>
  <c r="F292" i="41"/>
  <c r="M291" i="41"/>
  <c r="F291" i="41"/>
  <c r="M290" i="41"/>
  <c r="F290" i="41"/>
  <c r="M289" i="41"/>
  <c r="F289" i="41"/>
  <c r="M288" i="41"/>
  <c r="F288" i="41"/>
  <c r="M287" i="41"/>
  <c r="F287" i="41"/>
  <c r="M286" i="41"/>
  <c r="F286" i="41"/>
  <c r="M285" i="41"/>
  <c r="F285" i="41"/>
  <c r="M284" i="41"/>
  <c r="F284" i="41"/>
  <c r="M283" i="41"/>
  <c r="F283" i="41"/>
  <c r="M282" i="41"/>
  <c r="F282" i="41"/>
  <c r="M281" i="41"/>
  <c r="F281" i="41"/>
  <c r="M280" i="41"/>
  <c r="F280" i="41"/>
  <c r="M279" i="41"/>
  <c r="F279" i="41"/>
  <c r="M278" i="41"/>
  <c r="F278" i="41"/>
  <c r="M277" i="41"/>
  <c r="F277" i="41"/>
  <c r="M276" i="41"/>
  <c r="F276" i="41"/>
  <c r="M275" i="41"/>
  <c r="F275" i="41"/>
  <c r="M274" i="41"/>
  <c r="F274" i="41"/>
  <c r="M273" i="41"/>
  <c r="F273" i="41"/>
  <c r="M272" i="41"/>
  <c r="F272" i="41"/>
  <c r="M271" i="41"/>
  <c r="F271" i="41"/>
  <c r="M270" i="41"/>
  <c r="F270" i="41"/>
  <c r="M269" i="41"/>
  <c r="F269" i="41"/>
  <c r="M268" i="41"/>
  <c r="F268" i="41"/>
  <c r="M267" i="41"/>
  <c r="F267" i="41"/>
  <c r="M266" i="41"/>
  <c r="F266" i="41"/>
  <c r="M265" i="41"/>
  <c r="F265" i="41"/>
  <c r="M264" i="41"/>
  <c r="F264" i="41"/>
  <c r="M263" i="41"/>
  <c r="F263" i="41"/>
  <c r="M262" i="41"/>
  <c r="F262" i="41"/>
  <c r="M261" i="41"/>
  <c r="F261" i="41"/>
  <c r="M260" i="41"/>
  <c r="F260" i="41"/>
  <c r="M259" i="41"/>
  <c r="F259" i="41"/>
  <c r="M258" i="41"/>
  <c r="F258" i="41"/>
  <c r="M257" i="41"/>
  <c r="F257" i="41"/>
  <c r="M256" i="41"/>
  <c r="F256" i="41"/>
  <c r="M255" i="41"/>
  <c r="F255" i="41"/>
  <c r="M254" i="41"/>
  <c r="F254" i="41"/>
  <c r="M253" i="41"/>
  <c r="F253" i="41"/>
  <c r="M252" i="41"/>
  <c r="F252" i="41"/>
  <c r="M251" i="41"/>
  <c r="F251" i="41"/>
  <c r="M250" i="41"/>
  <c r="F250" i="41"/>
  <c r="M249" i="41"/>
  <c r="F249" i="41"/>
  <c r="M248" i="41"/>
  <c r="F248" i="41"/>
  <c r="M247" i="41"/>
  <c r="F247" i="41"/>
  <c r="M246" i="41"/>
  <c r="F246" i="41"/>
  <c r="M245" i="41"/>
  <c r="F245" i="41"/>
  <c r="M244" i="41"/>
  <c r="F244" i="41"/>
  <c r="M243" i="41"/>
  <c r="F243" i="41"/>
  <c r="M242" i="41"/>
  <c r="F242" i="41"/>
  <c r="M241" i="41"/>
  <c r="F241" i="41"/>
  <c r="M240" i="41"/>
  <c r="F240" i="41"/>
  <c r="M239" i="41"/>
  <c r="F239" i="41"/>
  <c r="M238" i="41"/>
  <c r="F238" i="41"/>
  <c r="M237" i="41"/>
  <c r="F237" i="41"/>
  <c r="M236" i="41"/>
  <c r="F236" i="41"/>
  <c r="M235" i="41"/>
  <c r="F235" i="41"/>
  <c r="M234" i="41"/>
  <c r="F234" i="41"/>
  <c r="M233" i="41"/>
  <c r="F233" i="41"/>
  <c r="M232" i="41"/>
  <c r="F232" i="41"/>
  <c r="M231" i="41"/>
  <c r="F231" i="41"/>
  <c r="M230" i="41"/>
  <c r="F230" i="41"/>
  <c r="M229" i="41"/>
  <c r="F229" i="41"/>
  <c r="M228" i="41"/>
  <c r="F228" i="41"/>
  <c r="M227" i="41"/>
  <c r="F227" i="41"/>
  <c r="M226" i="41"/>
  <c r="F226" i="41"/>
  <c r="M225" i="41"/>
  <c r="F225" i="41"/>
  <c r="M224" i="41"/>
  <c r="F224" i="41"/>
  <c r="M223" i="41"/>
  <c r="F223" i="41"/>
  <c r="M222" i="41"/>
  <c r="F222" i="41"/>
  <c r="M221" i="41"/>
  <c r="F221" i="41"/>
  <c r="M220" i="41"/>
  <c r="F220" i="41"/>
  <c r="M219" i="41"/>
  <c r="F219" i="41"/>
  <c r="M218" i="41"/>
  <c r="F218" i="41"/>
  <c r="M217" i="41"/>
  <c r="F217" i="41"/>
  <c r="M216" i="41"/>
  <c r="F216" i="41"/>
  <c r="M215" i="41"/>
  <c r="F215" i="41"/>
  <c r="M214" i="41"/>
  <c r="F214" i="41"/>
  <c r="M213" i="41"/>
  <c r="F213" i="41"/>
  <c r="M212" i="41"/>
  <c r="F212" i="41"/>
  <c r="M211" i="41"/>
  <c r="F211" i="41"/>
  <c r="M210" i="41"/>
  <c r="F210" i="41"/>
  <c r="M209" i="41"/>
  <c r="F209" i="41"/>
  <c r="M208" i="41"/>
  <c r="F208" i="41"/>
  <c r="M207" i="41"/>
  <c r="F207" i="41"/>
  <c r="M206" i="41"/>
  <c r="F206" i="41"/>
  <c r="M205" i="41"/>
  <c r="F205" i="41"/>
  <c r="M204" i="41"/>
  <c r="F204" i="41"/>
  <c r="M203" i="41"/>
  <c r="F203" i="41"/>
  <c r="M202" i="41"/>
  <c r="F202" i="41"/>
  <c r="M201" i="41"/>
  <c r="F201" i="41"/>
  <c r="M200" i="41"/>
  <c r="F200" i="41"/>
  <c r="M199" i="41"/>
  <c r="F199" i="41"/>
  <c r="M198" i="41"/>
  <c r="F198" i="41"/>
  <c r="M197" i="41"/>
  <c r="F197" i="41"/>
  <c r="M196" i="41"/>
  <c r="F196" i="41"/>
  <c r="M195" i="41"/>
  <c r="F195" i="41"/>
  <c r="M194" i="41"/>
  <c r="F194" i="41"/>
  <c r="M193" i="41"/>
  <c r="F193" i="41"/>
  <c r="M192" i="41"/>
  <c r="F192" i="41"/>
  <c r="M191" i="41"/>
  <c r="F191" i="41"/>
  <c r="M190" i="41"/>
  <c r="F190" i="41"/>
  <c r="M189" i="41"/>
  <c r="F189" i="41"/>
  <c r="M188" i="41"/>
  <c r="F188" i="41"/>
  <c r="M187" i="41"/>
  <c r="F187" i="41"/>
  <c r="M186" i="41"/>
  <c r="F186" i="41"/>
  <c r="M185" i="41"/>
  <c r="F185" i="41"/>
  <c r="M184" i="41"/>
  <c r="F184" i="41"/>
  <c r="M183" i="41"/>
  <c r="F183" i="41"/>
  <c r="M182" i="41"/>
  <c r="F182" i="41"/>
  <c r="M181" i="41"/>
  <c r="F181" i="41"/>
  <c r="M180" i="41"/>
  <c r="F180" i="41"/>
  <c r="M179" i="41"/>
  <c r="F179" i="41"/>
  <c r="M178" i="41"/>
  <c r="F178" i="41"/>
  <c r="M177" i="41"/>
  <c r="F177" i="41"/>
  <c r="M176" i="41"/>
  <c r="F176" i="41"/>
  <c r="M175" i="41"/>
  <c r="F175" i="41"/>
  <c r="M174" i="41"/>
  <c r="F174" i="41"/>
  <c r="M173" i="41"/>
  <c r="F173" i="41"/>
  <c r="M172" i="41"/>
  <c r="F172" i="41"/>
  <c r="M171" i="41"/>
  <c r="F171" i="41"/>
  <c r="M170" i="41"/>
  <c r="F170" i="41"/>
  <c r="M169" i="41"/>
  <c r="F169" i="41"/>
  <c r="M168" i="41"/>
  <c r="F168" i="41"/>
  <c r="M167" i="41"/>
  <c r="F167" i="41"/>
  <c r="M166" i="41"/>
  <c r="F166" i="41"/>
  <c r="M165" i="41"/>
  <c r="F165" i="41"/>
  <c r="M164" i="41"/>
  <c r="F164" i="41"/>
  <c r="M163" i="41"/>
  <c r="F163" i="41"/>
  <c r="M162" i="41"/>
  <c r="F162" i="41"/>
  <c r="M161" i="41"/>
  <c r="F161" i="41"/>
  <c r="M160" i="41"/>
  <c r="F160" i="41"/>
  <c r="M159" i="41"/>
  <c r="F159" i="41"/>
  <c r="M158" i="41"/>
  <c r="F158" i="41"/>
  <c r="M157" i="41"/>
  <c r="F157" i="41"/>
  <c r="M156" i="41"/>
  <c r="F156" i="41"/>
  <c r="M155" i="41"/>
  <c r="F155" i="41"/>
  <c r="M154" i="41"/>
  <c r="F154" i="41"/>
  <c r="M153" i="41"/>
  <c r="F153" i="41"/>
  <c r="M152" i="41"/>
  <c r="F152" i="41"/>
  <c r="M151" i="41"/>
  <c r="F151" i="41"/>
  <c r="M150" i="41"/>
  <c r="F150" i="41"/>
  <c r="M149" i="41"/>
  <c r="F149" i="41"/>
  <c r="M148" i="41"/>
  <c r="F148" i="41"/>
  <c r="M147" i="41"/>
  <c r="F147" i="41"/>
  <c r="M146" i="41"/>
  <c r="F146" i="41"/>
  <c r="M145" i="41"/>
  <c r="F145" i="41"/>
  <c r="M144" i="41"/>
  <c r="F144" i="41"/>
  <c r="M143" i="41"/>
  <c r="F143" i="41"/>
  <c r="M142" i="41"/>
  <c r="F142" i="41"/>
  <c r="M141" i="41"/>
  <c r="F141" i="41"/>
  <c r="M140" i="41"/>
  <c r="F140" i="41"/>
  <c r="M139" i="41"/>
  <c r="F139" i="41"/>
  <c r="M138" i="41"/>
  <c r="F138" i="41"/>
  <c r="M137" i="41"/>
  <c r="F137" i="41"/>
  <c r="M136" i="41"/>
  <c r="F136" i="41"/>
  <c r="M135" i="41"/>
  <c r="F135" i="41"/>
  <c r="M134" i="41"/>
  <c r="F134" i="41"/>
  <c r="M133" i="41"/>
  <c r="F133" i="41"/>
  <c r="M132" i="41"/>
  <c r="F132" i="41"/>
  <c r="M131" i="41"/>
  <c r="F131" i="41"/>
  <c r="M130" i="41"/>
  <c r="F130" i="41"/>
  <c r="M129" i="41"/>
  <c r="F129" i="41"/>
  <c r="M128" i="41"/>
  <c r="F128" i="41"/>
  <c r="M127" i="41"/>
  <c r="F127" i="41"/>
  <c r="M126" i="41"/>
  <c r="F126" i="41"/>
  <c r="M125" i="41"/>
  <c r="F125" i="41"/>
  <c r="M124" i="41"/>
  <c r="F124" i="41"/>
  <c r="M123" i="41"/>
  <c r="F123" i="41"/>
  <c r="M122" i="41"/>
  <c r="F122" i="41"/>
  <c r="M121" i="41"/>
  <c r="F121" i="41"/>
  <c r="M120" i="41"/>
  <c r="F120" i="41"/>
  <c r="M119" i="41"/>
  <c r="F119" i="41"/>
  <c r="M118" i="41"/>
  <c r="F118" i="41"/>
  <c r="M117" i="41"/>
  <c r="F117" i="41"/>
  <c r="M116" i="41"/>
  <c r="F116" i="41"/>
  <c r="M115" i="41"/>
  <c r="F115" i="41"/>
  <c r="M114" i="41"/>
  <c r="F114" i="41"/>
  <c r="M113" i="41"/>
  <c r="F113" i="41"/>
  <c r="M112" i="41"/>
  <c r="F112" i="41"/>
  <c r="M111" i="41"/>
  <c r="F111" i="41"/>
  <c r="M110" i="41"/>
  <c r="F110" i="41"/>
  <c r="M109" i="41"/>
  <c r="F109" i="41"/>
  <c r="M108" i="41"/>
  <c r="F108" i="41"/>
  <c r="M107" i="41"/>
  <c r="F107" i="41"/>
  <c r="M106" i="41"/>
  <c r="F106" i="41"/>
  <c r="M105" i="41"/>
  <c r="F105" i="41"/>
  <c r="M104" i="41"/>
  <c r="F104" i="41"/>
  <c r="M103" i="41"/>
  <c r="F103" i="41"/>
  <c r="M102" i="41"/>
  <c r="F102" i="41"/>
  <c r="M101" i="41"/>
  <c r="F101" i="41"/>
  <c r="M100" i="41"/>
  <c r="F100" i="41"/>
  <c r="M99" i="41"/>
  <c r="F99" i="41"/>
  <c r="M98" i="41"/>
  <c r="F98" i="41"/>
  <c r="M97" i="41"/>
  <c r="F97" i="41"/>
  <c r="M96" i="41"/>
  <c r="F96" i="41"/>
  <c r="M95" i="41"/>
  <c r="F95" i="41"/>
  <c r="M94" i="41"/>
  <c r="F94" i="41"/>
  <c r="M93" i="41"/>
  <c r="F93" i="41"/>
  <c r="M92" i="41"/>
  <c r="F92" i="41"/>
  <c r="M91" i="41"/>
  <c r="F91" i="41"/>
  <c r="M90" i="41"/>
  <c r="F90" i="41"/>
  <c r="M89" i="41"/>
  <c r="F89" i="41"/>
  <c r="M88" i="41"/>
  <c r="F88" i="41"/>
  <c r="M87" i="41"/>
  <c r="F87" i="41"/>
  <c r="M86" i="41"/>
  <c r="F86" i="41"/>
  <c r="M85" i="41"/>
  <c r="F85" i="41"/>
  <c r="M84" i="41"/>
  <c r="F84" i="41"/>
  <c r="M83" i="41"/>
  <c r="F83" i="41"/>
  <c r="M82" i="41"/>
  <c r="F82" i="41"/>
  <c r="M81" i="41"/>
  <c r="F81" i="41"/>
  <c r="M80" i="41"/>
  <c r="F80" i="41"/>
  <c r="M79" i="41"/>
  <c r="F79" i="41"/>
  <c r="M78" i="41"/>
  <c r="F78" i="41"/>
  <c r="M77" i="41"/>
  <c r="F77" i="41"/>
  <c r="M76" i="41"/>
  <c r="F76" i="41"/>
  <c r="M75" i="41"/>
  <c r="F75" i="41"/>
  <c r="M74" i="41"/>
  <c r="F74" i="41"/>
  <c r="M73" i="41"/>
  <c r="F73" i="41"/>
  <c r="M72" i="41"/>
  <c r="F72" i="41"/>
  <c r="M71" i="41"/>
  <c r="F71" i="41"/>
  <c r="M70" i="41"/>
  <c r="F70" i="41"/>
  <c r="M69" i="41"/>
  <c r="F69" i="41"/>
  <c r="M68" i="41"/>
  <c r="F68" i="41"/>
  <c r="M67" i="41"/>
  <c r="F67" i="41"/>
  <c r="M66" i="41"/>
  <c r="F66" i="41"/>
  <c r="M65" i="41"/>
  <c r="F65" i="41"/>
  <c r="M64" i="41"/>
  <c r="F64" i="41"/>
  <c r="M63" i="41"/>
  <c r="F63" i="41"/>
  <c r="M62" i="41"/>
  <c r="F62" i="41"/>
  <c r="M61" i="41"/>
  <c r="F61" i="41"/>
  <c r="M60" i="41"/>
  <c r="F60" i="41"/>
  <c r="M59" i="41"/>
  <c r="F59" i="41"/>
  <c r="M58" i="41"/>
  <c r="F58" i="41"/>
  <c r="M57" i="41"/>
  <c r="F57" i="41"/>
  <c r="M56" i="41"/>
  <c r="F56" i="41"/>
  <c r="M55" i="41"/>
  <c r="F55" i="41"/>
  <c r="M54" i="41"/>
  <c r="F54" i="41"/>
  <c r="M53" i="41"/>
  <c r="F53" i="41"/>
  <c r="M52" i="41"/>
  <c r="F52" i="41"/>
  <c r="M51" i="41"/>
  <c r="F51" i="41"/>
  <c r="M50" i="41"/>
  <c r="F50" i="41"/>
  <c r="M49" i="41"/>
  <c r="F49" i="41"/>
  <c r="M48" i="41"/>
  <c r="F48" i="41"/>
  <c r="M47" i="41"/>
  <c r="F47" i="41"/>
  <c r="M46" i="41"/>
  <c r="F46" i="41"/>
  <c r="M45" i="41"/>
  <c r="F45" i="41"/>
  <c r="M44" i="41"/>
  <c r="F44" i="41"/>
  <c r="M43" i="41"/>
  <c r="F43" i="41"/>
  <c r="M42" i="41"/>
  <c r="F42" i="41"/>
  <c r="M41" i="41"/>
  <c r="F41" i="41"/>
  <c r="M40" i="41"/>
  <c r="F40" i="41"/>
  <c r="M39" i="41"/>
  <c r="F39" i="41"/>
  <c r="M38" i="41"/>
  <c r="F38" i="41"/>
  <c r="M37" i="41"/>
  <c r="F37" i="41"/>
  <c r="M36" i="41"/>
  <c r="F36" i="41"/>
  <c r="M35" i="41"/>
  <c r="F35" i="41"/>
  <c r="M34" i="41"/>
  <c r="F34" i="41"/>
  <c r="M33" i="41"/>
  <c r="F33" i="41"/>
  <c r="M32" i="41"/>
  <c r="F32" i="41"/>
  <c r="M31" i="41"/>
  <c r="F31" i="41"/>
  <c r="M30" i="41"/>
  <c r="F30" i="41"/>
  <c r="M29" i="41"/>
  <c r="F29" i="41"/>
  <c r="M28" i="41"/>
  <c r="F28" i="41"/>
  <c r="M27" i="41"/>
  <c r="F27" i="41"/>
  <c r="M26" i="41"/>
  <c r="F26" i="41"/>
  <c r="M25" i="41"/>
  <c r="F25" i="41"/>
  <c r="M24" i="41"/>
  <c r="F24" i="41"/>
  <c r="M23" i="41"/>
  <c r="F23" i="41"/>
  <c r="M22" i="41"/>
  <c r="F22" i="41"/>
  <c r="M21" i="41"/>
  <c r="F21" i="41"/>
  <c r="M20" i="41"/>
  <c r="F20" i="41"/>
  <c r="F19" i="41"/>
  <c r="M18" i="41"/>
  <c r="F18" i="41"/>
  <c r="M17" i="41"/>
  <c r="F17" i="41"/>
  <c r="M16" i="41"/>
  <c r="F16" i="41"/>
  <c r="M15" i="41"/>
  <c r="F15" i="41"/>
  <c r="M14" i="41"/>
  <c r="F14" i="41"/>
  <c r="M13" i="41"/>
  <c r="F13" i="41"/>
  <c r="M12" i="41"/>
  <c r="F12" i="41"/>
  <c r="M11" i="41"/>
  <c r="F11" i="41"/>
  <c r="M10" i="41"/>
  <c r="F10" i="41"/>
  <c r="M9" i="41"/>
  <c r="F9" i="41"/>
  <c r="M8" i="41"/>
  <c r="F8" i="41"/>
  <c r="M19" i="41" s="1"/>
  <c r="F7" i="41"/>
  <c r="F6" i="41"/>
  <c r="M7" i="41" s="1"/>
  <c r="F5" i="41"/>
  <c r="I7" i="41" s="1"/>
  <c r="M6015" i="16"/>
  <c r="M6012" i="16"/>
  <c r="O6012" i="16" s="1"/>
  <c r="J6009" i="16"/>
  <c r="A6009" i="16"/>
  <c r="AF6007" i="16"/>
  <c r="AE6007" i="16"/>
  <c r="O6002" i="16"/>
  <c r="M6002" i="16"/>
  <c r="P6002" i="16" s="1"/>
  <c r="Q6002" i="16" s="1"/>
  <c r="O6001" i="16"/>
  <c r="M6001" i="16"/>
  <c r="P6001" i="16" s="1"/>
  <c r="Q6001" i="16" s="1"/>
  <c r="Q6000" i="16"/>
  <c r="O6000" i="16"/>
  <c r="M6000" i="16"/>
  <c r="P6000" i="16" s="1"/>
  <c r="O5999" i="16"/>
  <c r="M5999" i="16"/>
  <c r="P5999" i="16" s="1"/>
  <c r="Q5999" i="16" s="1"/>
  <c r="O5998" i="16"/>
  <c r="M5998" i="16"/>
  <c r="P5998" i="16" s="1"/>
  <c r="Q5998" i="16" s="1"/>
  <c r="Q5997" i="16"/>
  <c r="O5997" i="16"/>
  <c r="M5997" i="16"/>
  <c r="P5997" i="16" s="1"/>
  <c r="O5996" i="16"/>
  <c r="M5996" i="16"/>
  <c r="P5996" i="16" s="1"/>
  <c r="Q5996" i="16" s="1"/>
  <c r="O5995" i="16"/>
  <c r="M5995" i="16"/>
  <c r="P5995" i="16" s="1"/>
  <c r="Q5995" i="16" s="1"/>
  <c r="O5994" i="16"/>
  <c r="M5994" i="16"/>
  <c r="P5994" i="16" s="1"/>
  <c r="Q5994" i="16" s="1"/>
  <c r="O5993" i="16"/>
  <c r="M5993" i="16"/>
  <c r="P5993" i="16" s="1"/>
  <c r="A5993" i="16"/>
  <c r="F5989" i="16"/>
  <c r="E5989" i="16"/>
  <c r="A6011" i="16" s="1"/>
  <c r="M5985" i="16"/>
  <c r="A5983" i="16"/>
  <c r="M5982" i="16"/>
  <c r="O5982" i="16" s="1"/>
  <c r="J5979" i="16"/>
  <c r="AF5977" i="16"/>
  <c r="AE5977" i="16"/>
  <c r="O5972" i="16"/>
  <c r="M5972" i="16"/>
  <c r="P5972" i="16" s="1"/>
  <c r="Q5972" i="16" s="1"/>
  <c r="O5971" i="16"/>
  <c r="M5971" i="16"/>
  <c r="P5971" i="16" s="1"/>
  <c r="Q5971" i="16" s="1"/>
  <c r="O5970" i="16"/>
  <c r="M5970" i="16"/>
  <c r="P5970" i="16" s="1"/>
  <c r="Q5970" i="16" s="1"/>
  <c r="O5969" i="16"/>
  <c r="M5969" i="16"/>
  <c r="P5969" i="16" s="1"/>
  <c r="Q5969" i="16" s="1"/>
  <c r="O5968" i="16"/>
  <c r="M5968" i="16"/>
  <c r="P5968" i="16" s="1"/>
  <c r="Q5968" i="16" s="1"/>
  <c r="P5967" i="16"/>
  <c r="Q5967" i="16" s="1"/>
  <c r="O5967" i="16"/>
  <c r="M5967" i="16"/>
  <c r="O5966" i="16"/>
  <c r="M5966" i="16"/>
  <c r="P5966" i="16" s="1"/>
  <c r="Q5966" i="16" s="1"/>
  <c r="O5965" i="16"/>
  <c r="M5965" i="16"/>
  <c r="P5965" i="16" s="1"/>
  <c r="Q5965" i="16" s="1"/>
  <c r="O5964" i="16"/>
  <c r="M5964" i="16"/>
  <c r="P5964" i="16" s="1"/>
  <c r="Q5964" i="16" s="1"/>
  <c r="O5963" i="16"/>
  <c r="M5963" i="16"/>
  <c r="P5963" i="16" s="1"/>
  <c r="Q5963" i="16" s="1"/>
  <c r="F5959" i="16"/>
  <c r="E5959" i="16"/>
  <c r="M5955" i="16"/>
  <c r="M5952" i="16"/>
  <c r="O5952" i="16" s="1"/>
  <c r="A5951" i="16"/>
  <c r="J5949" i="16"/>
  <c r="AF5947" i="16"/>
  <c r="T5947" i="16" s="1"/>
  <c r="AE5947" i="16"/>
  <c r="O5942" i="16"/>
  <c r="M5942" i="16"/>
  <c r="P5942" i="16" s="1"/>
  <c r="Q5942" i="16" s="1"/>
  <c r="P5941" i="16"/>
  <c r="Q5941" i="16" s="1"/>
  <c r="O5941" i="16"/>
  <c r="M5941" i="16"/>
  <c r="O5940" i="16"/>
  <c r="M5940" i="16"/>
  <c r="P5940" i="16" s="1"/>
  <c r="Q5940" i="16" s="1"/>
  <c r="O5939" i="16"/>
  <c r="M5939" i="16"/>
  <c r="P5939" i="16" s="1"/>
  <c r="Q5939" i="16" s="1"/>
  <c r="O5938" i="16"/>
  <c r="M5938" i="16"/>
  <c r="P5938" i="16" s="1"/>
  <c r="Q5938" i="16" s="1"/>
  <c r="O5937" i="16"/>
  <c r="M5937" i="16"/>
  <c r="P5937" i="16" s="1"/>
  <c r="Q5937" i="16" s="1"/>
  <c r="O5936" i="16"/>
  <c r="M5936" i="16"/>
  <c r="P5936" i="16" s="1"/>
  <c r="Q5936" i="16" s="1"/>
  <c r="O5935" i="16"/>
  <c r="M5935" i="16"/>
  <c r="P5935" i="16" s="1"/>
  <c r="Q5935" i="16" s="1"/>
  <c r="O5934" i="16"/>
  <c r="M5934" i="16"/>
  <c r="P5934" i="16" s="1"/>
  <c r="O5933" i="16"/>
  <c r="M5933" i="16"/>
  <c r="P5933" i="16" s="1"/>
  <c r="Q5933" i="16" s="1"/>
  <c r="F5929" i="16"/>
  <c r="E5929" i="16"/>
  <c r="M5925" i="16"/>
  <c r="A5924" i="16"/>
  <c r="M5922" i="16"/>
  <c r="O5922" i="16" s="1"/>
  <c r="J5919" i="16"/>
  <c r="A5918" i="16"/>
  <c r="AF5917" i="16"/>
  <c r="AE5917" i="16"/>
  <c r="O5912" i="16"/>
  <c r="M5912" i="16"/>
  <c r="P5912" i="16" s="1"/>
  <c r="Q5912" i="16" s="1"/>
  <c r="O5911" i="16"/>
  <c r="M5911" i="16"/>
  <c r="P5911" i="16" s="1"/>
  <c r="Q5911" i="16" s="1"/>
  <c r="O5910" i="16"/>
  <c r="M5910" i="16"/>
  <c r="P5910" i="16" s="1"/>
  <c r="Q5910" i="16" s="1"/>
  <c r="O5909" i="16"/>
  <c r="M5909" i="16"/>
  <c r="P5909" i="16" s="1"/>
  <c r="Q5909" i="16" s="1"/>
  <c r="O5908" i="16"/>
  <c r="M5908" i="16"/>
  <c r="P5908" i="16" s="1"/>
  <c r="Q5908" i="16" s="1"/>
  <c r="O5907" i="16"/>
  <c r="M5907" i="16"/>
  <c r="P5907" i="16" s="1"/>
  <c r="Q5907" i="16" s="1"/>
  <c r="O5906" i="16"/>
  <c r="M5906" i="16"/>
  <c r="P5906" i="16" s="1"/>
  <c r="Q5906" i="16" s="1"/>
  <c r="O5905" i="16"/>
  <c r="M5905" i="16"/>
  <c r="P5905" i="16" s="1"/>
  <c r="Q5905" i="16" s="1"/>
  <c r="O5904" i="16"/>
  <c r="M5904" i="16"/>
  <c r="P5904" i="16" s="1"/>
  <c r="Q5904" i="16" s="1"/>
  <c r="O5903" i="16"/>
  <c r="M5903" i="16"/>
  <c r="P5903" i="16" s="1"/>
  <c r="Q5903" i="16" s="1"/>
  <c r="F5899" i="16"/>
  <c r="E5899" i="16"/>
  <c r="A5917" i="16" s="1"/>
  <c r="M5895" i="16"/>
  <c r="M5892" i="16"/>
  <c r="O5892" i="16" s="1"/>
  <c r="A5892" i="16"/>
  <c r="J5889" i="16"/>
  <c r="AF5887" i="16"/>
  <c r="AE5887" i="16"/>
  <c r="O5882" i="16"/>
  <c r="M5882" i="16"/>
  <c r="P5882" i="16" s="1"/>
  <c r="Q5882" i="16" s="1"/>
  <c r="O5881" i="16"/>
  <c r="M5881" i="16"/>
  <c r="P5881" i="16" s="1"/>
  <c r="Q5881" i="16" s="1"/>
  <c r="O5880" i="16"/>
  <c r="M5880" i="16"/>
  <c r="P5880" i="16" s="1"/>
  <c r="Q5880" i="16" s="1"/>
  <c r="O5879" i="16"/>
  <c r="M5879" i="16"/>
  <c r="P5879" i="16" s="1"/>
  <c r="Q5879" i="16" s="1"/>
  <c r="O5878" i="16"/>
  <c r="M5878" i="16"/>
  <c r="P5878" i="16" s="1"/>
  <c r="Q5878" i="16" s="1"/>
  <c r="O5877" i="16"/>
  <c r="M5877" i="16"/>
  <c r="P5877" i="16" s="1"/>
  <c r="Q5877" i="16" s="1"/>
  <c r="O5876" i="16"/>
  <c r="M5876" i="16"/>
  <c r="P5876" i="16" s="1"/>
  <c r="Q5876" i="16" s="1"/>
  <c r="O5875" i="16"/>
  <c r="M5875" i="16"/>
  <c r="P5875" i="16" s="1"/>
  <c r="Q5875" i="16" s="1"/>
  <c r="O5874" i="16"/>
  <c r="M5874" i="16"/>
  <c r="P5874" i="16" s="1"/>
  <c r="Q5874" i="16" s="1"/>
  <c r="O5873" i="16"/>
  <c r="M5873" i="16"/>
  <c r="P5873" i="16" s="1"/>
  <c r="F5869" i="16"/>
  <c r="E5869" i="16"/>
  <c r="M5865" i="16"/>
  <c r="M5862" i="16"/>
  <c r="O5862" i="16" s="1"/>
  <c r="J5859" i="16"/>
  <c r="AF5857" i="16"/>
  <c r="AE5857" i="16"/>
  <c r="O5852" i="16"/>
  <c r="M5852" i="16"/>
  <c r="P5852" i="16" s="1"/>
  <c r="Q5852" i="16" s="1"/>
  <c r="O5851" i="16"/>
  <c r="M5851" i="16"/>
  <c r="P5851" i="16" s="1"/>
  <c r="Q5851" i="16" s="1"/>
  <c r="P5850" i="16"/>
  <c r="Q5850" i="16" s="1"/>
  <c r="O5850" i="16"/>
  <c r="M5850" i="16"/>
  <c r="O5849" i="16"/>
  <c r="M5849" i="16"/>
  <c r="P5849" i="16" s="1"/>
  <c r="Q5849" i="16" s="1"/>
  <c r="O5848" i="16"/>
  <c r="M5848" i="16"/>
  <c r="P5848" i="16" s="1"/>
  <c r="Q5848" i="16" s="1"/>
  <c r="O5847" i="16"/>
  <c r="M5847" i="16"/>
  <c r="P5847" i="16" s="1"/>
  <c r="Q5847" i="16" s="1"/>
  <c r="O5846" i="16"/>
  <c r="M5846" i="16"/>
  <c r="P5846" i="16" s="1"/>
  <c r="Q5846" i="16" s="1"/>
  <c r="O5845" i="16"/>
  <c r="M5845" i="16"/>
  <c r="P5845" i="16" s="1"/>
  <c r="Q5845" i="16" s="1"/>
  <c r="O5844" i="16"/>
  <c r="M5844" i="16"/>
  <c r="P5844" i="16" s="1"/>
  <c r="Q5844" i="16" s="1"/>
  <c r="O5843" i="16"/>
  <c r="M5843" i="16"/>
  <c r="P5843" i="16" s="1"/>
  <c r="Q5843" i="16" s="1"/>
  <c r="F5839" i="16"/>
  <c r="E5839" i="16"/>
  <c r="A5863" i="16" s="1"/>
  <c r="M5835" i="16"/>
  <c r="M5832" i="16"/>
  <c r="O5832" i="16" s="1"/>
  <c r="J5829" i="16"/>
  <c r="AF5827" i="16"/>
  <c r="AE5827" i="16"/>
  <c r="O5822" i="16"/>
  <c r="M5822" i="16"/>
  <c r="P5822" i="16" s="1"/>
  <c r="Q5822" i="16" s="1"/>
  <c r="O5821" i="16"/>
  <c r="M5821" i="16"/>
  <c r="P5821" i="16" s="1"/>
  <c r="Q5821" i="16" s="1"/>
  <c r="O5820" i="16"/>
  <c r="M5820" i="16"/>
  <c r="P5820" i="16" s="1"/>
  <c r="Q5820" i="16" s="1"/>
  <c r="O5819" i="16"/>
  <c r="M5819" i="16"/>
  <c r="P5819" i="16" s="1"/>
  <c r="Q5819" i="16" s="1"/>
  <c r="O5818" i="16"/>
  <c r="M5818" i="16"/>
  <c r="P5818" i="16" s="1"/>
  <c r="Q5818" i="16" s="1"/>
  <c r="O5817" i="16"/>
  <c r="M5817" i="16"/>
  <c r="P5817" i="16" s="1"/>
  <c r="Q5817" i="16" s="1"/>
  <c r="O5816" i="16"/>
  <c r="M5816" i="16"/>
  <c r="P5816" i="16" s="1"/>
  <c r="Q5816" i="16" s="1"/>
  <c r="O5815" i="16"/>
  <c r="M5815" i="16"/>
  <c r="P5815" i="16" s="1"/>
  <c r="Q5815" i="16" s="1"/>
  <c r="O5814" i="16"/>
  <c r="M5814" i="16"/>
  <c r="P5814" i="16" s="1"/>
  <c r="Q5814" i="16" s="1"/>
  <c r="O5813" i="16"/>
  <c r="M5813" i="16"/>
  <c r="P5813" i="16" s="1"/>
  <c r="F5809" i="16"/>
  <c r="E5809" i="16"/>
  <c r="M5805" i="16"/>
  <c r="M5802" i="16"/>
  <c r="O5802" i="16" s="1"/>
  <c r="J5799" i="16"/>
  <c r="AF5797" i="16"/>
  <c r="AE5797" i="16"/>
  <c r="O5792" i="16"/>
  <c r="M5792" i="16"/>
  <c r="P5792" i="16" s="1"/>
  <c r="Q5792" i="16" s="1"/>
  <c r="O5791" i="16"/>
  <c r="M5791" i="16"/>
  <c r="P5791" i="16" s="1"/>
  <c r="Q5791" i="16" s="1"/>
  <c r="O5790" i="16"/>
  <c r="M5790" i="16"/>
  <c r="P5790" i="16" s="1"/>
  <c r="Q5790" i="16" s="1"/>
  <c r="O5789" i="16"/>
  <c r="M5789" i="16"/>
  <c r="P5789" i="16" s="1"/>
  <c r="Q5789" i="16" s="1"/>
  <c r="O5788" i="16"/>
  <c r="M5788" i="16"/>
  <c r="P5788" i="16" s="1"/>
  <c r="P5787" i="16"/>
  <c r="Q5787" i="16" s="1"/>
  <c r="O5787" i="16"/>
  <c r="M5787" i="16"/>
  <c r="O5786" i="16"/>
  <c r="M5786" i="16"/>
  <c r="P5786" i="16" s="1"/>
  <c r="Q5786" i="16" s="1"/>
  <c r="O5785" i="16"/>
  <c r="M5785" i="16"/>
  <c r="P5785" i="16" s="1"/>
  <c r="Q5785" i="16" s="1"/>
  <c r="P5784" i="16"/>
  <c r="Q5784" i="16" s="1"/>
  <c r="O5784" i="16"/>
  <c r="M5784" i="16"/>
  <c r="O5783" i="16"/>
  <c r="M5783" i="16"/>
  <c r="P5783" i="16" s="1"/>
  <c r="Q5783" i="16" s="1"/>
  <c r="F5779" i="16"/>
  <c r="E5779" i="16"/>
  <c r="M5775" i="16"/>
  <c r="M5772" i="16"/>
  <c r="O5772" i="16" s="1"/>
  <c r="J5769" i="16"/>
  <c r="AF5767" i="16"/>
  <c r="AE5767" i="16"/>
  <c r="T5767" i="16" s="1"/>
  <c r="O5762" i="16"/>
  <c r="M5762" i="16"/>
  <c r="P5762" i="16" s="1"/>
  <c r="Q5762" i="16" s="1"/>
  <c r="O5761" i="16"/>
  <c r="M5761" i="16"/>
  <c r="P5761" i="16" s="1"/>
  <c r="Q5761" i="16" s="1"/>
  <c r="O5760" i="16"/>
  <c r="M5760" i="16"/>
  <c r="P5760" i="16" s="1"/>
  <c r="Q5760" i="16" s="1"/>
  <c r="O5759" i="16"/>
  <c r="M5759" i="16"/>
  <c r="P5759" i="16" s="1"/>
  <c r="Q5759" i="16" s="1"/>
  <c r="O5758" i="16"/>
  <c r="M5758" i="16"/>
  <c r="P5758" i="16" s="1"/>
  <c r="Q5758" i="16" s="1"/>
  <c r="O5757" i="16"/>
  <c r="M5757" i="16"/>
  <c r="P5757" i="16" s="1"/>
  <c r="Q5757" i="16" s="1"/>
  <c r="O5756" i="16"/>
  <c r="M5756" i="16"/>
  <c r="P5756" i="16" s="1"/>
  <c r="Q5756" i="16" s="1"/>
  <c r="O5755" i="16"/>
  <c r="M5755" i="16"/>
  <c r="P5755" i="16" s="1"/>
  <c r="Q5755" i="16" s="1"/>
  <c r="O5754" i="16"/>
  <c r="M5754" i="16"/>
  <c r="P5754" i="16" s="1"/>
  <c r="Q5754" i="16" s="1"/>
  <c r="O5753" i="16"/>
  <c r="M5753" i="16"/>
  <c r="P5753" i="16" s="1"/>
  <c r="F5749" i="16"/>
  <c r="E5749" i="16"/>
  <c r="M5745" i="16"/>
  <c r="M5742" i="16"/>
  <c r="O5742" i="16" s="1"/>
  <c r="J5739" i="16"/>
  <c r="AF5737" i="16"/>
  <c r="T5737" i="16" s="1"/>
  <c r="AE5737" i="16"/>
  <c r="O5732" i="16"/>
  <c r="M5732" i="16"/>
  <c r="P5732" i="16" s="1"/>
  <c r="Q5732" i="16" s="1"/>
  <c r="P5731" i="16"/>
  <c r="Q5731" i="16" s="1"/>
  <c r="O5731" i="16"/>
  <c r="M5731" i="16"/>
  <c r="P5730" i="16"/>
  <c r="Q5730" i="16" s="1"/>
  <c r="O5730" i="16"/>
  <c r="M5730" i="16"/>
  <c r="O5729" i="16"/>
  <c r="M5729" i="16"/>
  <c r="P5729" i="16" s="1"/>
  <c r="Q5729" i="16" s="1"/>
  <c r="O5728" i="16"/>
  <c r="M5728" i="16"/>
  <c r="P5728" i="16" s="1"/>
  <c r="Q5728" i="16" s="1"/>
  <c r="O5727" i="16"/>
  <c r="M5727" i="16"/>
  <c r="P5727" i="16" s="1"/>
  <c r="Q5727" i="16" s="1"/>
  <c r="O5726" i="16"/>
  <c r="M5726" i="16"/>
  <c r="P5726" i="16" s="1"/>
  <c r="Q5726" i="16" s="1"/>
  <c r="O5725" i="16"/>
  <c r="M5725" i="16"/>
  <c r="P5725" i="16" s="1"/>
  <c r="Q5725" i="16" s="1"/>
  <c r="O5724" i="16"/>
  <c r="M5724" i="16"/>
  <c r="P5724" i="16" s="1"/>
  <c r="Q5724" i="16" s="1"/>
  <c r="O5723" i="16"/>
  <c r="M5723" i="16"/>
  <c r="P5723" i="16" s="1"/>
  <c r="Q5723" i="16" s="1"/>
  <c r="F5719" i="16"/>
  <c r="E5719" i="16"/>
  <c r="A5739" i="16" s="1"/>
  <c r="M5715" i="16"/>
  <c r="M5712" i="16"/>
  <c r="O5712" i="16" s="1"/>
  <c r="J5709" i="16"/>
  <c r="AF5707" i="16"/>
  <c r="AE5707" i="16"/>
  <c r="P5702" i="16"/>
  <c r="Q5702" i="16" s="1"/>
  <c r="O5702" i="16"/>
  <c r="M5702" i="16"/>
  <c r="O5701" i="16"/>
  <c r="M5701" i="16"/>
  <c r="P5701" i="16" s="1"/>
  <c r="Q5701" i="16" s="1"/>
  <c r="O5700" i="16"/>
  <c r="M5700" i="16"/>
  <c r="P5700" i="16" s="1"/>
  <c r="Q5700" i="16" s="1"/>
  <c r="O5699" i="16"/>
  <c r="M5699" i="16"/>
  <c r="P5699" i="16" s="1"/>
  <c r="Q5699" i="16" s="1"/>
  <c r="O5698" i="16"/>
  <c r="M5698" i="16"/>
  <c r="P5698" i="16" s="1"/>
  <c r="Q5698" i="16" s="1"/>
  <c r="O5697" i="16"/>
  <c r="M5697" i="16"/>
  <c r="P5697" i="16" s="1"/>
  <c r="Q5697" i="16" s="1"/>
  <c r="O5696" i="16"/>
  <c r="M5696" i="16"/>
  <c r="P5696" i="16" s="1"/>
  <c r="Q5696" i="16" s="1"/>
  <c r="O5695" i="16"/>
  <c r="M5695" i="16"/>
  <c r="P5695" i="16" s="1"/>
  <c r="Q5695" i="16" s="1"/>
  <c r="O5694" i="16"/>
  <c r="M5694" i="16"/>
  <c r="P5694" i="16" s="1"/>
  <c r="O5693" i="16"/>
  <c r="M5693" i="16"/>
  <c r="P5693" i="16" s="1"/>
  <c r="Q5693" i="16" s="1"/>
  <c r="F5689" i="16"/>
  <c r="E5689" i="16"/>
  <c r="M5685" i="16"/>
  <c r="A5683" i="16"/>
  <c r="M5682" i="16"/>
  <c r="O5682" i="16" s="1"/>
  <c r="A5681" i="16"/>
  <c r="J5679" i="16"/>
  <c r="AF5677" i="16"/>
  <c r="AE5677" i="16"/>
  <c r="T5677" i="16" s="1"/>
  <c r="O5672" i="16"/>
  <c r="M5672" i="16"/>
  <c r="P5672" i="16" s="1"/>
  <c r="Q5672" i="16" s="1"/>
  <c r="O5671" i="16"/>
  <c r="M5671" i="16"/>
  <c r="P5671" i="16" s="1"/>
  <c r="Q5671" i="16" s="1"/>
  <c r="O5670" i="16"/>
  <c r="M5670" i="16"/>
  <c r="P5670" i="16" s="1"/>
  <c r="Q5670" i="16" s="1"/>
  <c r="Q5669" i="16"/>
  <c r="O5669" i="16"/>
  <c r="M5669" i="16"/>
  <c r="P5669" i="16" s="1"/>
  <c r="O5668" i="16"/>
  <c r="M5668" i="16"/>
  <c r="P5668" i="16" s="1"/>
  <c r="Q5668" i="16" s="1"/>
  <c r="O5667" i="16"/>
  <c r="M5667" i="16"/>
  <c r="P5667" i="16" s="1"/>
  <c r="Q5667" i="16" s="1"/>
  <c r="P5666" i="16"/>
  <c r="Q5666" i="16" s="1"/>
  <c r="O5666" i="16"/>
  <c r="M5666" i="16"/>
  <c r="O5665" i="16"/>
  <c r="M5665" i="16"/>
  <c r="P5665" i="16" s="1"/>
  <c r="Q5665" i="16" s="1"/>
  <c r="O5664" i="16"/>
  <c r="M5664" i="16"/>
  <c r="P5664" i="16" s="1"/>
  <c r="Q5664" i="16" s="1"/>
  <c r="O5663" i="16"/>
  <c r="M5663" i="16"/>
  <c r="P5663" i="16" s="1"/>
  <c r="F5659" i="16"/>
  <c r="E5659" i="16"/>
  <c r="M5655" i="16"/>
  <c r="A5653" i="16"/>
  <c r="M5652" i="16"/>
  <c r="O5652" i="16" s="1"/>
  <c r="J5649" i="16"/>
  <c r="AF5647" i="16"/>
  <c r="AE5647" i="16"/>
  <c r="O5642" i="16"/>
  <c r="M5642" i="16"/>
  <c r="P5642" i="16" s="1"/>
  <c r="Q5642" i="16" s="1"/>
  <c r="O5641" i="16"/>
  <c r="M5641" i="16"/>
  <c r="P5641" i="16" s="1"/>
  <c r="Q5641" i="16" s="1"/>
  <c r="O5640" i="16"/>
  <c r="M5640" i="16"/>
  <c r="P5640" i="16" s="1"/>
  <c r="Q5640" i="16" s="1"/>
  <c r="O5639" i="16"/>
  <c r="M5639" i="16"/>
  <c r="P5639" i="16" s="1"/>
  <c r="Q5639" i="16" s="1"/>
  <c r="O5638" i="16"/>
  <c r="M5638" i="16"/>
  <c r="P5638" i="16" s="1"/>
  <c r="Q5638" i="16" s="1"/>
  <c r="O5637" i="16"/>
  <c r="M5637" i="16"/>
  <c r="P5637" i="16" s="1"/>
  <c r="Q5637" i="16" s="1"/>
  <c r="O5636" i="16"/>
  <c r="M5636" i="16"/>
  <c r="P5636" i="16" s="1"/>
  <c r="Q5636" i="16" s="1"/>
  <c r="O5635" i="16"/>
  <c r="M5635" i="16"/>
  <c r="P5635" i="16" s="1"/>
  <c r="O5634" i="16"/>
  <c r="M5634" i="16"/>
  <c r="P5634" i="16" s="1"/>
  <c r="Q5634" i="16" s="1"/>
  <c r="O5633" i="16"/>
  <c r="M5633" i="16"/>
  <c r="P5633" i="16" s="1"/>
  <c r="Q5633" i="16" s="1"/>
  <c r="F5629" i="16"/>
  <c r="E5629" i="16"/>
  <c r="A5637" i="16" s="1"/>
  <c r="M5625" i="16"/>
  <c r="M5622" i="16"/>
  <c r="O5622" i="16" s="1"/>
  <c r="J5619" i="16"/>
  <c r="AF5617" i="16"/>
  <c r="T5617" i="16" s="1"/>
  <c r="AE5617" i="16"/>
  <c r="O5612" i="16"/>
  <c r="M5612" i="16"/>
  <c r="P5612" i="16" s="1"/>
  <c r="Q5612" i="16" s="1"/>
  <c r="O5611" i="16"/>
  <c r="M5611" i="16"/>
  <c r="P5611" i="16" s="1"/>
  <c r="Q5611" i="16" s="1"/>
  <c r="P5610" i="16"/>
  <c r="Q5610" i="16" s="1"/>
  <c r="O5610" i="16"/>
  <c r="M5610" i="16"/>
  <c r="Q5609" i="16"/>
  <c r="O5609" i="16"/>
  <c r="M5609" i="16"/>
  <c r="P5609" i="16" s="1"/>
  <c r="O5608" i="16"/>
  <c r="M5608" i="16"/>
  <c r="P5608" i="16" s="1"/>
  <c r="Q5608" i="16" s="1"/>
  <c r="O5607" i="16"/>
  <c r="M5607" i="16"/>
  <c r="P5607" i="16" s="1"/>
  <c r="Q5607" i="16" s="1"/>
  <c r="O5606" i="16"/>
  <c r="M5606" i="16"/>
  <c r="P5606" i="16" s="1"/>
  <c r="Q5606" i="16" s="1"/>
  <c r="O5605" i="16"/>
  <c r="M5605" i="16"/>
  <c r="P5605" i="16" s="1"/>
  <c r="Q5605" i="16" s="1"/>
  <c r="O5604" i="16"/>
  <c r="M5604" i="16"/>
  <c r="P5604" i="16" s="1"/>
  <c r="Q5604" i="16" s="1"/>
  <c r="O5603" i="16"/>
  <c r="M5603" i="16"/>
  <c r="P5603" i="16" s="1"/>
  <c r="Q5603" i="16" s="1"/>
  <c r="F5599" i="16"/>
  <c r="E5599" i="16"/>
  <c r="M5595" i="16"/>
  <c r="M5592" i="16"/>
  <c r="O5592" i="16" s="1"/>
  <c r="J5589" i="16"/>
  <c r="AF5587" i="16"/>
  <c r="AE5587" i="16"/>
  <c r="O5582" i="16"/>
  <c r="M5582" i="16"/>
  <c r="P5582" i="16" s="1"/>
  <c r="Q5582" i="16" s="1"/>
  <c r="O5581" i="16"/>
  <c r="M5581" i="16"/>
  <c r="P5581" i="16" s="1"/>
  <c r="Q5581" i="16" s="1"/>
  <c r="O5580" i="16"/>
  <c r="M5580" i="16"/>
  <c r="P5580" i="16" s="1"/>
  <c r="Q5580" i="16" s="1"/>
  <c r="O5579" i="16"/>
  <c r="M5579" i="16"/>
  <c r="P5579" i="16" s="1"/>
  <c r="Q5579" i="16" s="1"/>
  <c r="O5578" i="16"/>
  <c r="M5578" i="16"/>
  <c r="P5578" i="16" s="1"/>
  <c r="Q5578" i="16" s="1"/>
  <c r="O5577" i="16"/>
  <c r="M5577" i="16"/>
  <c r="P5577" i="16" s="1"/>
  <c r="Q5577" i="16" s="1"/>
  <c r="O5576" i="16"/>
  <c r="M5576" i="16"/>
  <c r="P5576" i="16" s="1"/>
  <c r="Q5576" i="16" s="1"/>
  <c r="Q5575" i="16"/>
  <c r="O5575" i="16"/>
  <c r="M5575" i="16"/>
  <c r="P5575" i="16" s="1"/>
  <c r="O5574" i="16"/>
  <c r="M5574" i="16"/>
  <c r="P5574" i="16" s="1"/>
  <c r="Q5574" i="16" s="1"/>
  <c r="O5573" i="16"/>
  <c r="M5573" i="16"/>
  <c r="P5573" i="16" s="1"/>
  <c r="Q5573" i="16" s="1"/>
  <c r="F5569" i="16"/>
  <c r="E5569" i="16"/>
  <c r="A5587" i="16" s="1"/>
  <c r="M5565" i="16"/>
  <c r="M5562" i="16"/>
  <c r="O5562" i="16" s="1"/>
  <c r="J5559" i="16"/>
  <c r="AF5557" i="16"/>
  <c r="AE5557" i="16"/>
  <c r="O5552" i="16"/>
  <c r="M5552" i="16"/>
  <c r="P5552" i="16" s="1"/>
  <c r="Q5552" i="16" s="1"/>
  <c r="O5551" i="16"/>
  <c r="M5551" i="16"/>
  <c r="P5551" i="16" s="1"/>
  <c r="Q5551" i="16" s="1"/>
  <c r="O5550" i="16"/>
  <c r="M5550" i="16"/>
  <c r="P5550" i="16" s="1"/>
  <c r="Q5550" i="16" s="1"/>
  <c r="P5549" i="16"/>
  <c r="Q5549" i="16" s="1"/>
  <c r="O5549" i="16"/>
  <c r="M5549" i="16"/>
  <c r="O5548" i="16"/>
  <c r="M5548" i="16"/>
  <c r="P5548" i="16" s="1"/>
  <c r="Q5548" i="16" s="1"/>
  <c r="O5547" i="16"/>
  <c r="M5547" i="16"/>
  <c r="P5547" i="16" s="1"/>
  <c r="Q5547" i="16" s="1"/>
  <c r="P5546" i="16"/>
  <c r="Q5546" i="16" s="1"/>
  <c r="O5546" i="16"/>
  <c r="M5546" i="16"/>
  <c r="O5545" i="16"/>
  <c r="M5545" i="16"/>
  <c r="P5545" i="16" s="1"/>
  <c r="Q5545" i="16" s="1"/>
  <c r="O5544" i="16"/>
  <c r="M5544" i="16"/>
  <c r="P5544" i="16" s="1"/>
  <c r="Q5544" i="16" s="1"/>
  <c r="O5543" i="16"/>
  <c r="M5543" i="16"/>
  <c r="P5543" i="16" s="1"/>
  <c r="F5539" i="16"/>
  <c r="E5539" i="16"/>
  <c r="A5559" i="16" s="1"/>
  <c r="M5535" i="16"/>
  <c r="M5532" i="16"/>
  <c r="O5532" i="16" s="1"/>
  <c r="J5529" i="16"/>
  <c r="AF5527" i="16"/>
  <c r="AE5527" i="16"/>
  <c r="O5522" i="16"/>
  <c r="M5522" i="16"/>
  <c r="P5522" i="16" s="1"/>
  <c r="Q5522" i="16" s="1"/>
  <c r="O5521" i="16"/>
  <c r="M5521" i="16"/>
  <c r="P5521" i="16" s="1"/>
  <c r="Q5521" i="16" s="1"/>
  <c r="O5520" i="16"/>
  <c r="M5520" i="16"/>
  <c r="P5520" i="16" s="1"/>
  <c r="Q5520" i="16" s="1"/>
  <c r="O5519" i="16"/>
  <c r="M5519" i="16"/>
  <c r="P5519" i="16" s="1"/>
  <c r="Q5519" i="16" s="1"/>
  <c r="O5518" i="16"/>
  <c r="M5518" i="16"/>
  <c r="P5518" i="16" s="1"/>
  <c r="Q5518" i="16" s="1"/>
  <c r="O5517" i="16"/>
  <c r="M5517" i="16"/>
  <c r="P5517" i="16" s="1"/>
  <c r="Q5517" i="16" s="1"/>
  <c r="O5516" i="16"/>
  <c r="M5516" i="16"/>
  <c r="P5516" i="16" s="1"/>
  <c r="Q5516" i="16" s="1"/>
  <c r="O5515" i="16"/>
  <c r="M5515" i="16"/>
  <c r="P5515" i="16" s="1"/>
  <c r="Q5515" i="16" s="1"/>
  <c r="O5514" i="16"/>
  <c r="M5514" i="16"/>
  <c r="P5514" i="16" s="1"/>
  <c r="Q5514" i="16" s="1"/>
  <c r="O5513" i="16"/>
  <c r="M5513" i="16"/>
  <c r="P5513" i="16" s="1"/>
  <c r="Q5513" i="16" s="1"/>
  <c r="F5509" i="16"/>
  <c r="E5509" i="16"/>
  <c r="M5505" i="16"/>
  <c r="M5502" i="16"/>
  <c r="O5502" i="16" s="1"/>
  <c r="J5499" i="16"/>
  <c r="AF5497" i="16"/>
  <c r="AE5497" i="16"/>
  <c r="O5492" i="16"/>
  <c r="M5492" i="16"/>
  <c r="P5492" i="16" s="1"/>
  <c r="Q5492" i="16" s="1"/>
  <c r="O5491" i="16"/>
  <c r="M5491" i="16"/>
  <c r="P5491" i="16" s="1"/>
  <c r="Q5491" i="16" s="1"/>
  <c r="O5490" i="16"/>
  <c r="M5490" i="16"/>
  <c r="P5490" i="16" s="1"/>
  <c r="Q5490" i="16" s="1"/>
  <c r="O5489" i="16"/>
  <c r="M5489" i="16"/>
  <c r="P5489" i="16" s="1"/>
  <c r="Q5489" i="16" s="1"/>
  <c r="O5488" i="16"/>
  <c r="M5488" i="16"/>
  <c r="P5488" i="16" s="1"/>
  <c r="Q5488" i="16" s="1"/>
  <c r="A5488" i="16"/>
  <c r="O5487" i="16"/>
  <c r="M5487" i="16"/>
  <c r="P5487" i="16" s="1"/>
  <c r="Q5487" i="16" s="1"/>
  <c r="O5486" i="16"/>
  <c r="M5486" i="16"/>
  <c r="P5486" i="16" s="1"/>
  <c r="Q5486" i="16" s="1"/>
  <c r="O5485" i="16"/>
  <c r="M5485" i="16"/>
  <c r="P5485" i="16" s="1"/>
  <c r="Q5485" i="16" s="1"/>
  <c r="O5484" i="16"/>
  <c r="M5484" i="16"/>
  <c r="P5484" i="16" s="1"/>
  <c r="Q5484" i="16" s="1"/>
  <c r="O5483" i="16"/>
  <c r="M5483" i="16"/>
  <c r="P5483" i="16" s="1"/>
  <c r="F5479" i="16"/>
  <c r="E5479" i="16"/>
  <c r="A5499" i="16" s="1"/>
  <c r="M5475" i="16"/>
  <c r="M5472" i="16"/>
  <c r="O5472" i="16" s="1"/>
  <c r="J5469" i="16"/>
  <c r="AF5467" i="16"/>
  <c r="AE5467" i="16"/>
  <c r="O5462" i="16"/>
  <c r="M5462" i="16"/>
  <c r="P5462" i="16" s="1"/>
  <c r="Q5462" i="16" s="1"/>
  <c r="O5461" i="16"/>
  <c r="M5461" i="16"/>
  <c r="P5461" i="16" s="1"/>
  <c r="Q5461" i="16" s="1"/>
  <c r="O5460" i="16"/>
  <c r="M5460" i="16"/>
  <c r="P5460" i="16" s="1"/>
  <c r="Q5460" i="16" s="1"/>
  <c r="O5459" i="16"/>
  <c r="M5459" i="16"/>
  <c r="P5459" i="16" s="1"/>
  <c r="Q5459" i="16" s="1"/>
  <c r="O5458" i="16"/>
  <c r="M5458" i="16"/>
  <c r="P5458" i="16" s="1"/>
  <c r="Q5458" i="16" s="1"/>
  <c r="O5457" i="16"/>
  <c r="M5457" i="16"/>
  <c r="P5457" i="16" s="1"/>
  <c r="Q5457" i="16" s="1"/>
  <c r="O5456" i="16"/>
  <c r="M5456" i="16"/>
  <c r="P5456" i="16" s="1"/>
  <c r="Q5456" i="16" s="1"/>
  <c r="P5455" i="16"/>
  <c r="Q5455" i="16" s="1"/>
  <c r="O5455" i="16"/>
  <c r="M5455" i="16"/>
  <c r="O5454" i="16"/>
  <c r="M5454" i="16"/>
  <c r="P5454" i="16" s="1"/>
  <c r="O5453" i="16"/>
  <c r="M5453" i="16"/>
  <c r="P5453" i="16" s="1"/>
  <c r="Q5453" i="16" s="1"/>
  <c r="F5449" i="16"/>
  <c r="E5449" i="16"/>
  <c r="M5445" i="16"/>
  <c r="M5442" i="16"/>
  <c r="O5442" i="16" s="1"/>
  <c r="J5439" i="16"/>
  <c r="AF5437" i="16"/>
  <c r="AE5437" i="16"/>
  <c r="O5432" i="16"/>
  <c r="M5432" i="16"/>
  <c r="P5432" i="16" s="1"/>
  <c r="Q5432" i="16" s="1"/>
  <c r="O5431" i="16"/>
  <c r="M5431" i="16"/>
  <c r="P5431" i="16" s="1"/>
  <c r="Q5431" i="16" s="1"/>
  <c r="O5430" i="16"/>
  <c r="M5430" i="16"/>
  <c r="P5430" i="16" s="1"/>
  <c r="Q5430" i="16" s="1"/>
  <c r="O5429" i="16"/>
  <c r="M5429" i="16"/>
  <c r="P5429" i="16" s="1"/>
  <c r="Q5429" i="16" s="1"/>
  <c r="O5428" i="16"/>
  <c r="M5428" i="16"/>
  <c r="P5428" i="16" s="1"/>
  <c r="Q5428" i="16" s="1"/>
  <c r="Q5427" i="16"/>
  <c r="O5427" i="16"/>
  <c r="M5427" i="16"/>
  <c r="P5427" i="16" s="1"/>
  <c r="P5426" i="16"/>
  <c r="Q5426" i="16" s="1"/>
  <c r="O5426" i="16"/>
  <c r="M5426" i="16"/>
  <c r="O5425" i="16"/>
  <c r="M5425" i="16"/>
  <c r="P5425" i="16" s="1"/>
  <c r="Q5425" i="16" s="1"/>
  <c r="O5424" i="16"/>
  <c r="M5424" i="16"/>
  <c r="P5424" i="16" s="1"/>
  <c r="Q5424" i="16" s="1"/>
  <c r="O5423" i="16"/>
  <c r="M5423" i="16"/>
  <c r="P5423" i="16" s="1"/>
  <c r="F5419" i="16"/>
  <c r="E5419" i="16"/>
  <c r="A5416" i="16"/>
  <c r="M5415" i="16"/>
  <c r="M5412" i="16"/>
  <c r="O5412" i="16" s="1"/>
  <c r="J5409" i="16"/>
  <c r="F5408" i="16"/>
  <c r="AF5407" i="16"/>
  <c r="AE5407" i="16"/>
  <c r="O5402" i="16"/>
  <c r="M5402" i="16"/>
  <c r="P5402" i="16" s="1"/>
  <c r="Q5402" i="16" s="1"/>
  <c r="O5401" i="16"/>
  <c r="M5401" i="16"/>
  <c r="P5401" i="16" s="1"/>
  <c r="Q5401" i="16" s="1"/>
  <c r="O5400" i="16"/>
  <c r="M5400" i="16"/>
  <c r="P5400" i="16" s="1"/>
  <c r="Q5400" i="16" s="1"/>
  <c r="O5399" i="16"/>
  <c r="M5399" i="16"/>
  <c r="P5399" i="16" s="1"/>
  <c r="Q5399" i="16" s="1"/>
  <c r="O5398" i="16"/>
  <c r="M5398" i="16"/>
  <c r="P5398" i="16" s="1"/>
  <c r="Q5398" i="16" s="1"/>
  <c r="O5397" i="16"/>
  <c r="M5397" i="16"/>
  <c r="P5397" i="16" s="1"/>
  <c r="Q5397" i="16" s="1"/>
  <c r="O5396" i="16"/>
  <c r="M5396" i="16"/>
  <c r="P5396" i="16" s="1"/>
  <c r="Q5396" i="16" s="1"/>
  <c r="O5395" i="16"/>
  <c r="M5395" i="16"/>
  <c r="P5395" i="16" s="1"/>
  <c r="Q5395" i="16" s="1"/>
  <c r="O5394" i="16"/>
  <c r="M5394" i="16"/>
  <c r="P5394" i="16" s="1"/>
  <c r="O5393" i="16"/>
  <c r="M5393" i="16"/>
  <c r="P5393" i="16" s="1"/>
  <c r="Q5393" i="16" s="1"/>
  <c r="F5389" i="16"/>
  <c r="E5389" i="16"/>
  <c r="M5385" i="16"/>
  <c r="M5382" i="16"/>
  <c r="O5382" i="16" s="1"/>
  <c r="J5379" i="16"/>
  <c r="AF5377" i="16"/>
  <c r="AE5377" i="16"/>
  <c r="O5372" i="16"/>
  <c r="M5372" i="16"/>
  <c r="P5372" i="16" s="1"/>
  <c r="Q5372" i="16" s="1"/>
  <c r="O5371" i="16"/>
  <c r="M5371" i="16"/>
  <c r="P5371" i="16" s="1"/>
  <c r="Q5371" i="16" s="1"/>
  <c r="O5370" i="16"/>
  <c r="M5370" i="16"/>
  <c r="P5370" i="16" s="1"/>
  <c r="Q5370" i="16" s="1"/>
  <c r="O5369" i="16"/>
  <c r="M5369" i="16"/>
  <c r="P5369" i="16" s="1"/>
  <c r="Q5369" i="16" s="1"/>
  <c r="P5368" i="16"/>
  <c r="Q5368" i="16" s="1"/>
  <c r="O5368" i="16"/>
  <c r="M5368" i="16"/>
  <c r="O5367" i="16"/>
  <c r="M5367" i="16"/>
  <c r="P5367" i="16" s="1"/>
  <c r="Q5367" i="16" s="1"/>
  <c r="O5366" i="16"/>
  <c r="M5366" i="16"/>
  <c r="P5366" i="16" s="1"/>
  <c r="Q5366" i="16" s="1"/>
  <c r="O5365" i="16"/>
  <c r="M5365" i="16"/>
  <c r="P5365" i="16" s="1"/>
  <c r="Q5365" i="16" s="1"/>
  <c r="O5364" i="16"/>
  <c r="M5364" i="16"/>
  <c r="P5364" i="16" s="1"/>
  <c r="Q5364" i="16" s="1"/>
  <c r="O5363" i="16"/>
  <c r="M5363" i="16"/>
  <c r="P5363" i="16" s="1"/>
  <c r="F5359" i="16"/>
  <c r="E5359" i="16"/>
  <c r="A5365" i="16" s="1"/>
  <c r="M5355" i="16"/>
  <c r="M5352" i="16"/>
  <c r="O5352" i="16" s="1"/>
  <c r="J5349" i="16"/>
  <c r="AF5347" i="16"/>
  <c r="AE5347" i="16"/>
  <c r="O5342" i="16"/>
  <c r="M5342" i="16"/>
  <c r="P5342" i="16" s="1"/>
  <c r="Q5342" i="16" s="1"/>
  <c r="O5341" i="16"/>
  <c r="M5341" i="16"/>
  <c r="P5341" i="16" s="1"/>
  <c r="Q5341" i="16" s="1"/>
  <c r="O5340" i="16"/>
  <c r="M5340" i="16"/>
  <c r="P5340" i="16" s="1"/>
  <c r="Q5340" i="16" s="1"/>
  <c r="O5339" i="16"/>
  <c r="M5339" i="16"/>
  <c r="P5339" i="16" s="1"/>
  <c r="Q5339" i="16" s="1"/>
  <c r="O5338" i="16"/>
  <c r="M5338" i="16"/>
  <c r="P5338" i="16" s="1"/>
  <c r="Q5338" i="16" s="1"/>
  <c r="O5337" i="16"/>
  <c r="M5337" i="16"/>
  <c r="P5337" i="16" s="1"/>
  <c r="Q5337" i="16" s="1"/>
  <c r="O5336" i="16"/>
  <c r="M5336" i="16"/>
  <c r="P5336" i="16" s="1"/>
  <c r="Q5336" i="16" s="1"/>
  <c r="O5335" i="16"/>
  <c r="M5335" i="16"/>
  <c r="P5335" i="16" s="1"/>
  <c r="Q5335" i="16" s="1"/>
  <c r="O5334" i="16"/>
  <c r="M5334" i="16"/>
  <c r="P5334" i="16" s="1"/>
  <c r="Q5334" i="16" s="1"/>
  <c r="Q5333" i="16"/>
  <c r="O5333" i="16"/>
  <c r="M5333" i="16"/>
  <c r="P5333" i="16" s="1"/>
  <c r="F5329" i="16"/>
  <c r="E5329" i="16"/>
  <c r="M5325" i="16"/>
  <c r="M5322" i="16"/>
  <c r="O5322" i="16" s="1"/>
  <c r="J5319" i="16"/>
  <c r="AF5317" i="16"/>
  <c r="AE5317" i="16"/>
  <c r="T5317" i="16" s="1"/>
  <c r="O5312" i="16"/>
  <c r="M5312" i="16"/>
  <c r="P5312" i="16" s="1"/>
  <c r="Q5312" i="16" s="1"/>
  <c r="O5311" i="16"/>
  <c r="M5311" i="16"/>
  <c r="P5311" i="16" s="1"/>
  <c r="Q5311" i="16" s="1"/>
  <c r="O5310" i="16"/>
  <c r="M5310" i="16"/>
  <c r="P5310" i="16" s="1"/>
  <c r="Q5310" i="16" s="1"/>
  <c r="O5309" i="16"/>
  <c r="M5309" i="16"/>
  <c r="P5309" i="16" s="1"/>
  <c r="Q5309" i="16" s="1"/>
  <c r="O5308" i="16"/>
  <c r="M5308" i="16"/>
  <c r="P5308" i="16" s="1"/>
  <c r="Q5308" i="16" s="1"/>
  <c r="Q5307" i="16"/>
  <c r="O5307" i="16"/>
  <c r="M5307" i="16"/>
  <c r="P5307" i="16" s="1"/>
  <c r="O5306" i="16"/>
  <c r="M5306" i="16"/>
  <c r="P5306" i="16" s="1"/>
  <c r="Q5306" i="16" s="1"/>
  <c r="O5305" i="16"/>
  <c r="M5305" i="16"/>
  <c r="P5305" i="16" s="1"/>
  <c r="Q5305" i="16" s="1"/>
  <c r="A5305" i="16"/>
  <c r="O5304" i="16"/>
  <c r="M5304" i="16"/>
  <c r="P5304" i="16" s="1"/>
  <c r="Q5304" i="16" s="1"/>
  <c r="O5303" i="16"/>
  <c r="M5303" i="16"/>
  <c r="P5303" i="16" s="1"/>
  <c r="F5299" i="16"/>
  <c r="E5299" i="16"/>
  <c r="M5295" i="16"/>
  <c r="M5292" i="16"/>
  <c r="O5292" i="16" s="1"/>
  <c r="J5289" i="16"/>
  <c r="AF5287" i="16"/>
  <c r="AE5287" i="16"/>
  <c r="O5282" i="16"/>
  <c r="M5282" i="16"/>
  <c r="P5282" i="16" s="1"/>
  <c r="Q5282" i="16" s="1"/>
  <c r="O5281" i="16"/>
  <c r="M5281" i="16"/>
  <c r="P5281" i="16" s="1"/>
  <c r="Q5281" i="16" s="1"/>
  <c r="O5280" i="16"/>
  <c r="M5280" i="16"/>
  <c r="P5280" i="16" s="1"/>
  <c r="Q5280" i="16" s="1"/>
  <c r="O5279" i="16"/>
  <c r="M5279" i="16"/>
  <c r="P5279" i="16" s="1"/>
  <c r="Q5279" i="16" s="1"/>
  <c r="O5278" i="16"/>
  <c r="M5278" i="16"/>
  <c r="P5278" i="16" s="1"/>
  <c r="Q5278" i="16" s="1"/>
  <c r="O5277" i="16"/>
  <c r="M5277" i="16"/>
  <c r="P5277" i="16" s="1"/>
  <c r="Q5277" i="16" s="1"/>
  <c r="O5276" i="16"/>
  <c r="M5276" i="16"/>
  <c r="P5276" i="16" s="1"/>
  <c r="Q5276" i="16" s="1"/>
  <c r="O5275" i="16"/>
  <c r="M5275" i="16"/>
  <c r="P5275" i="16" s="1"/>
  <c r="Q5275" i="16" s="1"/>
  <c r="O5274" i="16"/>
  <c r="M5274" i="16"/>
  <c r="P5274" i="16" s="1"/>
  <c r="O5273" i="16"/>
  <c r="M5273" i="16"/>
  <c r="P5273" i="16" s="1"/>
  <c r="Q5273" i="16" s="1"/>
  <c r="F5269" i="16"/>
  <c r="E5269" i="16"/>
  <c r="M5265" i="16"/>
  <c r="M5262" i="16"/>
  <c r="O5262" i="16" s="1"/>
  <c r="J5259" i="16"/>
  <c r="AF5257" i="16"/>
  <c r="AE5257" i="16"/>
  <c r="O5252" i="16"/>
  <c r="M5252" i="16"/>
  <c r="P5252" i="16" s="1"/>
  <c r="Q5252" i="16" s="1"/>
  <c r="O5251" i="16"/>
  <c r="M5251" i="16"/>
  <c r="P5251" i="16" s="1"/>
  <c r="Q5251" i="16" s="1"/>
  <c r="O5250" i="16"/>
  <c r="M5250" i="16"/>
  <c r="P5250" i="16" s="1"/>
  <c r="Q5250" i="16" s="1"/>
  <c r="O5249" i="16"/>
  <c r="M5249" i="16"/>
  <c r="P5249" i="16" s="1"/>
  <c r="Q5249" i="16" s="1"/>
  <c r="P5248" i="16"/>
  <c r="Q5248" i="16" s="1"/>
  <c r="O5248" i="16"/>
  <c r="M5248" i="16"/>
  <c r="O5247" i="16"/>
  <c r="M5247" i="16"/>
  <c r="P5247" i="16" s="1"/>
  <c r="Q5247" i="16" s="1"/>
  <c r="O5246" i="16"/>
  <c r="M5246" i="16"/>
  <c r="P5246" i="16" s="1"/>
  <c r="Q5246" i="16" s="1"/>
  <c r="O5245" i="16"/>
  <c r="M5245" i="16"/>
  <c r="P5245" i="16" s="1"/>
  <c r="Q5245" i="16" s="1"/>
  <c r="O5244" i="16"/>
  <c r="M5244" i="16"/>
  <c r="P5244" i="16" s="1"/>
  <c r="Q5244" i="16" s="1"/>
  <c r="O5243" i="16"/>
  <c r="M5243" i="16"/>
  <c r="P5243" i="16" s="1"/>
  <c r="Q5243" i="16" s="1"/>
  <c r="F5239" i="16"/>
  <c r="E5239" i="16"/>
  <c r="M5235" i="16"/>
  <c r="M5232" i="16"/>
  <c r="O5232" i="16" s="1"/>
  <c r="J5229" i="16"/>
  <c r="AF5227" i="16"/>
  <c r="AE5227" i="16"/>
  <c r="O5222" i="16"/>
  <c r="M5222" i="16"/>
  <c r="P5222" i="16" s="1"/>
  <c r="Q5222" i="16" s="1"/>
  <c r="O5221" i="16"/>
  <c r="M5221" i="16"/>
  <c r="P5221" i="16" s="1"/>
  <c r="Q5221" i="16" s="1"/>
  <c r="O5220" i="16"/>
  <c r="M5220" i="16"/>
  <c r="P5220" i="16" s="1"/>
  <c r="Q5220" i="16" s="1"/>
  <c r="O5219" i="16"/>
  <c r="M5219" i="16"/>
  <c r="P5219" i="16" s="1"/>
  <c r="Q5219" i="16" s="1"/>
  <c r="O5218" i="16"/>
  <c r="M5218" i="16"/>
  <c r="P5218" i="16" s="1"/>
  <c r="Q5218" i="16" s="1"/>
  <c r="O5217" i="16"/>
  <c r="M5217" i="16"/>
  <c r="P5217" i="16" s="1"/>
  <c r="Q5217" i="16" s="1"/>
  <c r="O5216" i="16"/>
  <c r="M5216" i="16"/>
  <c r="P5216" i="16" s="1"/>
  <c r="Q5216" i="16" s="1"/>
  <c r="O5215" i="16"/>
  <c r="M5215" i="16"/>
  <c r="P5215" i="16" s="1"/>
  <c r="Q5215" i="16" s="1"/>
  <c r="O5214" i="16"/>
  <c r="M5214" i="16"/>
  <c r="P5214" i="16" s="1"/>
  <c r="Q5214" i="16" s="1"/>
  <c r="O5213" i="16"/>
  <c r="M5213" i="16"/>
  <c r="P5213" i="16" s="1"/>
  <c r="F5209" i="16"/>
  <c r="E5209" i="16"/>
  <c r="M5205" i="16"/>
  <c r="M5202" i="16"/>
  <c r="O5202" i="16" s="1"/>
  <c r="J5199" i="16"/>
  <c r="AF5197" i="16"/>
  <c r="AE5197" i="16"/>
  <c r="O5192" i="16"/>
  <c r="M5192" i="16"/>
  <c r="P5192" i="16" s="1"/>
  <c r="Q5192" i="16" s="1"/>
  <c r="O5191" i="16"/>
  <c r="M5191" i="16"/>
  <c r="P5191" i="16" s="1"/>
  <c r="Q5191" i="16" s="1"/>
  <c r="O5190" i="16"/>
  <c r="M5190" i="16"/>
  <c r="P5190" i="16" s="1"/>
  <c r="Q5190" i="16" s="1"/>
  <c r="O5189" i="16"/>
  <c r="M5189" i="16"/>
  <c r="P5189" i="16" s="1"/>
  <c r="Q5189" i="16" s="1"/>
  <c r="O5188" i="16"/>
  <c r="M5188" i="16"/>
  <c r="P5188" i="16" s="1"/>
  <c r="Q5188" i="16" s="1"/>
  <c r="O5187" i="16"/>
  <c r="M5187" i="16"/>
  <c r="P5187" i="16" s="1"/>
  <c r="Q5187" i="16" s="1"/>
  <c r="O5186" i="16"/>
  <c r="M5186" i="16"/>
  <c r="P5186" i="16" s="1"/>
  <c r="Q5186" i="16" s="1"/>
  <c r="O5185" i="16"/>
  <c r="M5185" i="16"/>
  <c r="P5185" i="16" s="1"/>
  <c r="Q5185" i="16" s="1"/>
  <c r="O5184" i="16"/>
  <c r="M5184" i="16"/>
  <c r="P5184" i="16" s="1"/>
  <c r="Q5184" i="16" s="1"/>
  <c r="O5183" i="16"/>
  <c r="M5183" i="16"/>
  <c r="P5183" i="16" s="1"/>
  <c r="F5179" i="16"/>
  <c r="E5179" i="16"/>
  <c r="M5175" i="16"/>
  <c r="M5172" i="16"/>
  <c r="O5172" i="16" s="1"/>
  <c r="J5169" i="16"/>
  <c r="A5169" i="16"/>
  <c r="AF5167" i="16"/>
  <c r="AE5167" i="16"/>
  <c r="O5162" i="16"/>
  <c r="M5162" i="16"/>
  <c r="P5162" i="16" s="1"/>
  <c r="Q5162" i="16" s="1"/>
  <c r="O5161" i="16"/>
  <c r="M5161" i="16"/>
  <c r="P5161" i="16" s="1"/>
  <c r="Q5161" i="16" s="1"/>
  <c r="O5160" i="16"/>
  <c r="M5160" i="16"/>
  <c r="P5160" i="16" s="1"/>
  <c r="Q5160" i="16" s="1"/>
  <c r="O5159" i="16"/>
  <c r="M5159" i="16"/>
  <c r="P5159" i="16" s="1"/>
  <c r="Q5159" i="16" s="1"/>
  <c r="A5159" i="16"/>
  <c r="O5158" i="16"/>
  <c r="M5158" i="16"/>
  <c r="P5158" i="16" s="1"/>
  <c r="Q5158" i="16" s="1"/>
  <c r="O5157" i="16"/>
  <c r="M5157" i="16"/>
  <c r="P5157" i="16" s="1"/>
  <c r="Q5157" i="16" s="1"/>
  <c r="O5156" i="16"/>
  <c r="M5156" i="16"/>
  <c r="P5156" i="16" s="1"/>
  <c r="Q5156" i="16" s="1"/>
  <c r="O5155" i="16"/>
  <c r="M5155" i="16"/>
  <c r="P5155" i="16" s="1"/>
  <c r="Q5155" i="16" s="1"/>
  <c r="O5154" i="16"/>
  <c r="M5154" i="16"/>
  <c r="P5154" i="16" s="1"/>
  <c r="Q5154" i="16" s="1"/>
  <c r="O5153" i="16"/>
  <c r="M5153" i="16"/>
  <c r="P5153" i="16" s="1"/>
  <c r="Q5153" i="16" s="1"/>
  <c r="F5149" i="16"/>
  <c r="E5149" i="16"/>
  <c r="A5162" i="16" s="1"/>
  <c r="M5145" i="16"/>
  <c r="M5142" i="16"/>
  <c r="O5142" i="16" s="1"/>
  <c r="J5139" i="16"/>
  <c r="AF5137" i="16"/>
  <c r="AE5137" i="16"/>
  <c r="P5132" i="16"/>
  <c r="Q5132" i="16" s="1"/>
  <c r="O5132" i="16"/>
  <c r="M5132" i="16"/>
  <c r="O5131" i="16"/>
  <c r="M5131" i="16"/>
  <c r="P5131" i="16" s="1"/>
  <c r="Q5131" i="16" s="1"/>
  <c r="O5130" i="16"/>
  <c r="M5130" i="16"/>
  <c r="P5130" i="16" s="1"/>
  <c r="Q5130" i="16" s="1"/>
  <c r="O5129" i="16"/>
  <c r="M5129" i="16"/>
  <c r="P5129" i="16" s="1"/>
  <c r="Q5129" i="16" s="1"/>
  <c r="O5128" i="16"/>
  <c r="M5128" i="16"/>
  <c r="P5128" i="16" s="1"/>
  <c r="Q5128" i="16" s="1"/>
  <c r="O5127" i="16"/>
  <c r="M5127" i="16"/>
  <c r="P5127" i="16" s="1"/>
  <c r="Q5127" i="16" s="1"/>
  <c r="O5126" i="16"/>
  <c r="M5126" i="16"/>
  <c r="P5126" i="16" s="1"/>
  <c r="Q5126" i="16" s="1"/>
  <c r="P5125" i="16"/>
  <c r="Q5125" i="16" s="1"/>
  <c r="O5125" i="16"/>
  <c r="M5125" i="16"/>
  <c r="O5124" i="16"/>
  <c r="M5124" i="16"/>
  <c r="P5124" i="16" s="1"/>
  <c r="Q5124" i="16" s="1"/>
  <c r="O5123" i="16"/>
  <c r="M5123" i="16"/>
  <c r="P5123" i="16" s="1"/>
  <c r="Q5123" i="16" s="1"/>
  <c r="F5119" i="16"/>
  <c r="E5119" i="16"/>
  <c r="M5115" i="16"/>
  <c r="M5112" i="16"/>
  <c r="O5112" i="16" s="1"/>
  <c r="J5109" i="16"/>
  <c r="AF5107" i="16"/>
  <c r="AE5107" i="16"/>
  <c r="O5102" i="16"/>
  <c r="M5102" i="16"/>
  <c r="P5102" i="16" s="1"/>
  <c r="Q5102" i="16" s="1"/>
  <c r="O5101" i="16"/>
  <c r="M5101" i="16"/>
  <c r="P5101" i="16" s="1"/>
  <c r="Q5101" i="16" s="1"/>
  <c r="O5100" i="16"/>
  <c r="M5100" i="16"/>
  <c r="P5100" i="16" s="1"/>
  <c r="Q5100" i="16" s="1"/>
  <c r="O5099" i="16"/>
  <c r="M5099" i="16"/>
  <c r="P5099" i="16" s="1"/>
  <c r="Q5099" i="16" s="1"/>
  <c r="O5098" i="16"/>
  <c r="M5098" i="16"/>
  <c r="P5098" i="16" s="1"/>
  <c r="Q5098" i="16" s="1"/>
  <c r="O5097" i="16"/>
  <c r="M5097" i="16"/>
  <c r="P5097" i="16" s="1"/>
  <c r="Q5097" i="16" s="1"/>
  <c r="O5096" i="16"/>
  <c r="M5096" i="16"/>
  <c r="P5096" i="16" s="1"/>
  <c r="Q5096" i="16" s="1"/>
  <c r="O5095" i="16"/>
  <c r="M5095" i="16"/>
  <c r="P5095" i="16" s="1"/>
  <c r="Q5095" i="16" s="1"/>
  <c r="O5094" i="16"/>
  <c r="M5094" i="16"/>
  <c r="P5094" i="16" s="1"/>
  <c r="Q5094" i="16" s="1"/>
  <c r="O5093" i="16"/>
  <c r="M5093" i="16"/>
  <c r="P5093" i="16" s="1"/>
  <c r="Q5093" i="16" s="1"/>
  <c r="F5089" i="16"/>
  <c r="E5089" i="16"/>
  <c r="M5085" i="16"/>
  <c r="M5082" i="16"/>
  <c r="O5082" i="16" s="1"/>
  <c r="J5079" i="16"/>
  <c r="AF5077" i="16"/>
  <c r="AE5077" i="16"/>
  <c r="O5072" i="16"/>
  <c r="M5072" i="16"/>
  <c r="P5072" i="16" s="1"/>
  <c r="Q5072" i="16" s="1"/>
  <c r="Q5071" i="16"/>
  <c r="O5071" i="16"/>
  <c r="M5071" i="16"/>
  <c r="P5071" i="16" s="1"/>
  <c r="O5070" i="16"/>
  <c r="M5070" i="16"/>
  <c r="P5070" i="16" s="1"/>
  <c r="Q5070" i="16" s="1"/>
  <c r="O5069" i="16"/>
  <c r="M5069" i="16"/>
  <c r="P5069" i="16" s="1"/>
  <c r="Q5069" i="16" s="1"/>
  <c r="O5068" i="16"/>
  <c r="M5068" i="16"/>
  <c r="P5068" i="16" s="1"/>
  <c r="Q5068" i="16" s="1"/>
  <c r="O5067" i="16"/>
  <c r="M5067" i="16"/>
  <c r="P5067" i="16" s="1"/>
  <c r="Q5067" i="16" s="1"/>
  <c r="O5066" i="16"/>
  <c r="M5066" i="16"/>
  <c r="P5066" i="16" s="1"/>
  <c r="Q5066" i="16" s="1"/>
  <c r="O5065" i="16"/>
  <c r="M5065" i="16"/>
  <c r="P5065" i="16" s="1"/>
  <c r="Q5065" i="16" s="1"/>
  <c r="O5064" i="16"/>
  <c r="M5064" i="16"/>
  <c r="P5064" i="16" s="1"/>
  <c r="Q5064" i="16" s="1"/>
  <c r="O5063" i="16"/>
  <c r="M5063" i="16"/>
  <c r="P5063" i="16" s="1"/>
  <c r="F5059" i="16"/>
  <c r="E5059" i="16"/>
  <c r="M5055" i="16"/>
  <c r="M5052" i="16"/>
  <c r="O5052" i="16" s="1"/>
  <c r="J5049" i="16"/>
  <c r="AF5047" i="16"/>
  <c r="AE5047" i="16"/>
  <c r="O5042" i="16"/>
  <c r="M5042" i="16"/>
  <c r="P5042" i="16" s="1"/>
  <c r="Q5042" i="16" s="1"/>
  <c r="O5041" i="16"/>
  <c r="M5041" i="16"/>
  <c r="P5041" i="16" s="1"/>
  <c r="Q5041" i="16" s="1"/>
  <c r="O5040" i="16"/>
  <c r="M5040" i="16"/>
  <c r="P5040" i="16" s="1"/>
  <c r="Q5040" i="16" s="1"/>
  <c r="O5039" i="16"/>
  <c r="M5039" i="16"/>
  <c r="P5039" i="16" s="1"/>
  <c r="Q5039" i="16" s="1"/>
  <c r="O5038" i="16"/>
  <c r="M5038" i="16"/>
  <c r="P5038" i="16" s="1"/>
  <c r="Q5038" i="16" s="1"/>
  <c r="O5037" i="16"/>
  <c r="M5037" i="16"/>
  <c r="P5037" i="16" s="1"/>
  <c r="Q5037" i="16" s="1"/>
  <c r="O5036" i="16"/>
  <c r="M5036" i="16"/>
  <c r="P5036" i="16" s="1"/>
  <c r="Q5036" i="16" s="1"/>
  <c r="O5035" i="16"/>
  <c r="M5035" i="16"/>
  <c r="P5035" i="16" s="1"/>
  <c r="Q5035" i="16" s="1"/>
  <c r="O5034" i="16"/>
  <c r="M5034" i="16"/>
  <c r="P5034" i="16" s="1"/>
  <c r="O5033" i="16"/>
  <c r="M5033" i="16"/>
  <c r="P5033" i="16" s="1"/>
  <c r="Q5033" i="16" s="1"/>
  <c r="F5029" i="16"/>
  <c r="E5029" i="16"/>
  <c r="A5056" i="16" s="1"/>
  <c r="M5025" i="16"/>
  <c r="M5022" i="16"/>
  <c r="O5022" i="16" s="1"/>
  <c r="J5019" i="16"/>
  <c r="AF5017" i="16"/>
  <c r="AE5017" i="16"/>
  <c r="T5017" i="16" s="1"/>
  <c r="P5012" i="16"/>
  <c r="Q5012" i="16" s="1"/>
  <c r="O5012" i="16"/>
  <c r="M5012" i="16"/>
  <c r="O5011" i="16"/>
  <c r="M5011" i="16"/>
  <c r="P5011" i="16" s="1"/>
  <c r="Q5011" i="16" s="1"/>
  <c r="O5010" i="16"/>
  <c r="M5010" i="16"/>
  <c r="P5010" i="16" s="1"/>
  <c r="Q5010" i="16" s="1"/>
  <c r="O5009" i="16"/>
  <c r="M5009" i="16"/>
  <c r="P5009" i="16" s="1"/>
  <c r="Q5009" i="16" s="1"/>
  <c r="Q5008" i="16"/>
  <c r="O5008" i="16"/>
  <c r="M5008" i="16"/>
  <c r="P5008" i="16" s="1"/>
  <c r="O5007" i="16"/>
  <c r="M5007" i="16"/>
  <c r="P5007" i="16" s="1"/>
  <c r="Q5007" i="16" s="1"/>
  <c r="O5006" i="16"/>
  <c r="M5006" i="16"/>
  <c r="P5006" i="16" s="1"/>
  <c r="Q5006" i="16" s="1"/>
  <c r="O5005" i="16"/>
  <c r="M5005" i="16"/>
  <c r="P5005" i="16" s="1"/>
  <c r="Q5005" i="16" s="1"/>
  <c r="O5004" i="16"/>
  <c r="M5004" i="16"/>
  <c r="P5004" i="16" s="1"/>
  <c r="Q5004" i="16" s="1"/>
  <c r="O5003" i="16"/>
  <c r="M5003" i="16"/>
  <c r="P5003" i="16" s="1"/>
  <c r="F4999" i="16"/>
  <c r="E4999" i="16"/>
  <c r="A5019" i="16" s="1"/>
  <c r="M4995" i="16"/>
  <c r="M4992" i="16"/>
  <c r="O4992" i="16" s="1"/>
  <c r="J4989" i="16"/>
  <c r="AF4987" i="16"/>
  <c r="AE4987" i="16"/>
  <c r="O4982" i="16"/>
  <c r="M4982" i="16"/>
  <c r="P4982" i="16" s="1"/>
  <c r="Q4982" i="16" s="1"/>
  <c r="O4981" i="16"/>
  <c r="M4981" i="16"/>
  <c r="P4981" i="16" s="1"/>
  <c r="Q4981" i="16" s="1"/>
  <c r="O4980" i="16"/>
  <c r="M4980" i="16"/>
  <c r="P4980" i="16" s="1"/>
  <c r="Q4980" i="16" s="1"/>
  <c r="O4979" i="16"/>
  <c r="M4979" i="16"/>
  <c r="P4979" i="16" s="1"/>
  <c r="Q4979" i="16" s="1"/>
  <c r="O4978" i="16"/>
  <c r="M4978" i="16"/>
  <c r="P4978" i="16" s="1"/>
  <c r="Q4978" i="16" s="1"/>
  <c r="O4977" i="16"/>
  <c r="M4977" i="16"/>
  <c r="P4977" i="16" s="1"/>
  <c r="Q4977" i="16" s="1"/>
  <c r="O4976" i="16"/>
  <c r="M4976" i="16"/>
  <c r="P4976" i="16" s="1"/>
  <c r="Q4976" i="16" s="1"/>
  <c r="O4975" i="16"/>
  <c r="M4975" i="16"/>
  <c r="P4975" i="16" s="1"/>
  <c r="Q4975" i="16" s="1"/>
  <c r="O4974" i="16"/>
  <c r="M4974" i="16"/>
  <c r="P4974" i="16" s="1"/>
  <c r="O4973" i="16"/>
  <c r="M4973" i="16"/>
  <c r="P4973" i="16" s="1"/>
  <c r="Q4973" i="16" s="1"/>
  <c r="F4969" i="16"/>
  <c r="E4969" i="16"/>
  <c r="A4996" i="16" s="1"/>
  <c r="M4965" i="16"/>
  <c r="M4962" i="16"/>
  <c r="O4962" i="16" s="1"/>
  <c r="J4959" i="16"/>
  <c r="AF4957" i="16"/>
  <c r="AE4957" i="16"/>
  <c r="O4952" i="16"/>
  <c r="M4952" i="16"/>
  <c r="P4952" i="16" s="1"/>
  <c r="Q4952" i="16" s="1"/>
  <c r="O4951" i="16"/>
  <c r="M4951" i="16"/>
  <c r="P4951" i="16" s="1"/>
  <c r="Q4951" i="16" s="1"/>
  <c r="O4950" i="16"/>
  <c r="M4950" i="16"/>
  <c r="P4950" i="16" s="1"/>
  <c r="Q4950" i="16" s="1"/>
  <c r="P4949" i="16"/>
  <c r="Q4949" i="16" s="1"/>
  <c r="O4949" i="16"/>
  <c r="M4949" i="16"/>
  <c r="O4948" i="16"/>
  <c r="M4948" i="16"/>
  <c r="P4948" i="16" s="1"/>
  <c r="Q4948" i="16" s="1"/>
  <c r="O4947" i="16"/>
  <c r="M4947" i="16"/>
  <c r="P4947" i="16" s="1"/>
  <c r="Q4947" i="16" s="1"/>
  <c r="O4946" i="16"/>
  <c r="M4946" i="16"/>
  <c r="P4946" i="16" s="1"/>
  <c r="Q4946" i="16" s="1"/>
  <c r="O4945" i="16"/>
  <c r="M4945" i="16"/>
  <c r="P4945" i="16" s="1"/>
  <c r="Q4945" i="16" s="1"/>
  <c r="O4944" i="16"/>
  <c r="M4944" i="16"/>
  <c r="P4944" i="16" s="1"/>
  <c r="Q4944" i="16" s="1"/>
  <c r="O4943" i="16"/>
  <c r="M4943" i="16"/>
  <c r="P4943" i="16" s="1"/>
  <c r="F4939" i="16"/>
  <c r="E4939" i="16"/>
  <c r="M4935" i="16"/>
  <c r="M4932" i="16"/>
  <c r="O4932" i="16" s="1"/>
  <c r="J4929" i="16"/>
  <c r="AF4927" i="16"/>
  <c r="AE4927" i="16"/>
  <c r="T4927" i="16" s="1"/>
  <c r="O4922" i="16"/>
  <c r="M4922" i="16"/>
  <c r="P4922" i="16" s="1"/>
  <c r="Q4922" i="16" s="1"/>
  <c r="O4921" i="16"/>
  <c r="M4921" i="16"/>
  <c r="P4921" i="16" s="1"/>
  <c r="Q4921" i="16" s="1"/>
  <c r="O4920" i="16"/>
  <c r="M4920" i="16"/>
  <c r="P4920" i="16" s="1"/>
  <c r="Q4920" i="16" s="1"/>
  <c r="O4919" i="16"/>
  <c r="M4919" i="16"/>
  <c r="P4919" i="16" s="1"/>
  <c r="Q4919" i="16" s="1"/>
  <c r="O4918" i="16"/>
  <c r="M4918" i="16"/>
  <c r="P4918" i="16" s="1"/>
  <c r="Q4918" i="16" s="1"/>
  <c r="O4917" i="16"/>
  <c r="M4917" i="16"/>
  <c r="P4917" i="16" s="1"/>
  <c r="Q4917" i="16" s="1"/>
  <c r="O4916" i="16"/>
  <c r="M4916" i="16"/>
  <c r="P4916" i="16" s="1"/>
  <c r="Q4916" i="16" s="1"/>
  <c r="O4915" i="16"/>
  <c r="M4915" i="16"/>
  <c r="P4915" i="16" s="1"/>
  <c r="Q4915" i="16" s="1"/>
  <c r="P4914" i="16"/>
  <c r="Q4914" i="16" s="1"/>
  <c r="O4914" i="16"/>
  <c r="M4914" i="16"/>
  <c r="P4913" i="16"/>
  <c r="O4913" i="16"/>
  <c r="M4913" i="16"/>
  <c r="F4909" i="16"/>
  <c r="E4909" i="16"/>
  <c r="M4905" i="16"/>
  <c r="M4902" i="16"/>
  <c r="O4902" i="16" s="1"/>
  <c r="J4899" i="16"/>
  <c r="AF4897" i="16"/>
  <c r="AE4897" i="16"/>
  <c r="O4892" i="16"/>
  <c r="M4892" i="16"/>
  <c r="P4892" i="16" s="1"/>
  <c r="Q4892" i="16" s="1"/>
  <c r="O4891" i="16"/>
  <c r="M4891" i="16"/>
  <c r="P4891" i="16" s="1"/>
  <c r="Q4891" i="16" s="1"/>
  <c r="O4890" i="16"/>
  <c r="M4890" i="16"/>
  <c r="P4890" i="16" s="1"/>
  <c r="Q4890" i="16" s="1"/>
  <c r="O4889" i="16"/>
  <c r="M4889" i="16"/>
  <c r="P4889" i="16" s="1"/>
  <c r="Q4889" i="16" s="1"/>
  <c r="O4888" i="16"/>
  <c r="M4888" i="16"/>
  <c r="P4888" i="16" s="1"/>
  <c r="Q4888" i="16" s="1"/>
  <c r="O4887" i="16"/>
  <c r="M4887" i="16"/>
  <c r="P4887" i="16" s="1"/>
  <c r="Q4887" i="16" s="1"/>
  <c r="O4886" i="16"/>
  <c r="M4886" i="16"/>
  <c r="P4886" i="16" s="1"/>
  <c r="Q4886" i="16" s="1"/>
  <c r="O4885" i="16"/>
  <c r="M4885" i="16"/>
  <c r="P4885" i="16" s="1"/>
  <c r="Q4885" i="16" s="1"/>
  <c r="O4884" i="16"/>
  <c r="M4884" i="16"/>
  <c r="P4884" i="16" s="1"/>
  <c r="Q4884" i="16" s="1"/>
  <c r="O4883" i="16"/>
  <c r="M4883" i="16"/>
  <c r="P4883" i="16" s="1"/>
  <c r="F4879" i="16"/>
  <c r="E4879" i="16"/>
  <c r="M4875" i="16"/>
  <c r="M4872" i="16"/>
  <c r="O4872" i="16" s="1"/>
  <c r="J4869" i="16"/>
  <c r="AF4867" i="16"/>
  <c r="T4867" i="16" s="1"/>
  <c r="AE4867" i="16"/>
  <c r="O4862" i="16"/>
  <c r="M4862" i="16"/>
  <c r="P4862" i="16" s="1"/>
  <c r="Q4862" i="16" s="1"/>
  <c r="O4861" i="16"/>
  <c r="M4861" i="16"/>
  <c r="P4861" i="16" s="1"/>
  <c r="Q4861" i="16" s="1"/>
  <c r="O4860" i="16"/>
  <c r="M4860" i="16"/>
  <c r="P4860" i="16" s="1"/>
  <c r="Q4860" i="16" s="1"/>
  <c r="O4859" i="16"/>
  <c r="M4859" i="16"/>
  <c r="P4859" i="16" s="1"/>
  <c r="Q4859" i="16" s="1"/>
  <c r="O4858" i="16"/>
  <c r="M4858" i="16"/>
  <c r="P4858" i="16" s="1"/>
  <c r="Q4858" i="16" s="1"/>
  <c r="O4857" i="16"/>
  <c r="M4857" i="16"/>
  <c r="P4857" i="16" s="1"/>
  <c r="Q4857" i="16" s="1"/>
  <c r="O4856" i="16"/>
  <c r="M4856" i="16"/>
  <c r="P4856" i="16" s="1"/>
  <c r="Q4856" i="16" s="1"/>
  <c r="A4856" i="16"/>
  <c r="O4855" i="16"/>
  <c r="M4855" i="16"/>
  <c r="P4855" i="16" s="1"/>
  <c r="Q4855" i="16" s="1"/>
  <c r="P4854" i="16"/>
  <c r="Q4854" i="16" s="1"/>
  <c r="O4854" i="16"/>
  <c r="M4854" i="16"/>
  <c r="O4853" i="16"/>
  <c r="M4853" i="16"/>
  <c r="P4853" i="16" s="1"/>
  <c r="F4849" i="16"/>
  <c r="E4849" i="16"/>
  <c r="A4857" i="16" s="1"/>
  <c r="M4845" i="16"/>
  <c r="A4845" i="16"/>
  <c r="M4842" i="16"/>
  <c r="O4842" i="16" s="1"/>
  <c r="J4839" i="16"/>
  <c r="AF4837" i="16"/>
  <c r="AE4837" i="16"/>
  <c r="O4832" i="16"/>
  <c r="M4832" i="16"/>
  <c r="P4832" i="16" s="1"/>
  <c r="Q4832" i="16" s="1"/>
  <c r="O4831" i="16"/>
  <c r="M4831" i="16"/>
  <c r="P4831" i="16" s="1"/>
  <c r="Q4831" i="16" s="1"/>
  <c r="O4830" i="16"/>
  <c r="M4830" i="16"/>
  <c r="P4830" i="16" s="1"/>
  <c r="Q4830" i="16" s="1"/>
  <c r="A4830" i="16"/>
  <c r="O4829" i="16"/>
  <c r="M4829" i="16"/>
  <c r="P4829" i="16" s="1"/>
  <c r="Q4829" i="16" s="1"/>
  <c r="O4828" i="16"/>
  <c r="M4828" i="16"/>
  <c r="P4828" i="16" s="1"/>
  <c r="Q4828" i="16" s="1"/>
  <c r="O4827" i="16"/>
  <c r="M4827" i="16"/>
  <c r="P4827" i="16" s="1"/>
  <c r="Q4827" i="16" s="1"/>
  <c r="O4826" i="16"/>
  <c r="M4826" i="16"/>
  <c r="P4826" i="16" s="1"/>
  <c r="Q4826" i="16" s="1"/>
  <c r="O4825" i="16"/>
  <c r="M4825" i="16"/>
  <c r="P4825" i="16" s="1"/>
  <c r="Q4825" i="16" s="1"/>
  <c r="O4824" i="16"/>
  <c r="M4824" i="16"/>
  <c r="P4824" i="16" s="1"/>
  <c r="Q4824" i="16" s="1"/>
  <c r="A4824" i="16"/>
  <c r="O4823" i="16"/>
  <c r="M4823" i="16"/>
  <c r="P4823" i="16" s="1"/>
  <c r="A4823" i="16"/>
  <c r="F4819" i="16"/>
  <c r="E4819" i="16"/>
  <c r="A4839" i="16" s="1"/>
  <c r="M4815" i="16"/>
  <c r="M4812" i="16"/>
  <c r="O4812" i="16" s="1"/>
  <c r="J4809" i="16"/>
  <c r="AF4807" i="16"/>
  <c r="AE4807" i="16"/>
  <c r="P4802" i="16"/>
  <c r="Q4802" i="16" s="1"/>
  <c r="O4802" i="16"/>
  <c r="M4802" i="16"/>
  <c r="O4801" i="16"/>
  <c r="M4801" i="16"/>
  <c r="P4801" i="16" s="1"/>
  <c r="Q4801" i="16" s="1"/>
  <c r="O4800" i="16"/>
  <c r="M4800" i="16"/>
  <c r="P4800" i="16" s="1"/>
  <c r="Q4800" i="16" s="1"/>
  <c r="O4799" i="16"/>
  <c r="M4799" i="16"/>
  <c r="P4799" i="16" s="1"/>
  <c r="Q4799" i="16" s="1"/>
  <c r="O4798" i="16"/>
  <c r="M4798" i="16"/>
  <c r="P4798" i="16" s="1"/>
  <c r="Q4798" i="16" s="1"/>
  <c r="O4797" i="16"/>
  <c r="M4797" i="16"/>
  <c r="P4797" i="16" s="1"/>
  <c r="Q4797" i="16" s="1"/>
  <c r="O4796" i="16"/>
  <c r="M4796" i="16"/>
  <c r="P4796" i="16" s="1"/>
  <c r="Q4796" i="16" s="1"/>
  <c r="O4795" i="16"/>
  <c r="M4795" i="16"/>
  <c r="P4795" i="16" s="1"/>
  <c r="Q4795" i="16" s="1"/>
  <c r="O4794" i="16"/>
  <c r="M4794" i="16"/>
  <c r="P4794" i="16" s="1"/>
  <c r="Q4794" i="16" s="1"/>
  <c r="O4793" i="16"/>
  <c r="M4793" i="16"/>
  <c r="P4793" i="16" s="1"/>
  <c r="F4789" i="16"/>
  <c r="E4789" i="16"/>
  <c r="A4813" i="16" s="1"/>
  <c r="M4785" i="16"/>
  <c r="M4782" i="16"/>
  <c r="O4782" i="16" s="1"/>
  <c r="J4779" i="16"/>
  <c r="AF4777" i="16"/>
  <c r="AE4777" i="16"/>
  <c r="O4772" i="16"/>
  <c r="M4772" i="16"/>
  <c r="P4772" i="16" s="1"/>
  <c r="Q4772" i="16" s="1"/>
  <c r="O4771" i="16"/>
  <c r="M4771" i="16"/>
  <c r="P4771" i="16" s="1"/>
  <c r="Q4771" i="16" s="1"/>
  <c r="O4770" i="16"/>
  <c r="M4770" i="16"/>
  <c r="P4770" i="16" s="1"/>
  <c r="Q4770" i="16" s="1"/>
  <c r="O4769" i="16"/>
  <c r="M4769" i="16"/>
  <c r="P4769" i="16" s="1"/>
  <c r="Q4769" i="16" s="1"/>
  <c r="O4768" i="16"/>
  <c r="M4768" i="16"/>
  <c r="P4768" i="16" s="1"/>
  <c r="Q4768" i="16" s="1"/>
  <c r="P4767" i="16"/>
  <c r="Q4767" i="16" s="1"/>
  <c r="O4767" i="16"/>
  <c r="M4767" i="16"/>
  <c r="O4766" i="16"/>
  <c r="M4766" i="16"/>
  <c r="P4766" i="16" s="1"/>
  <c r="Q4766" i="16" s="1"/>
  <c r="O4765" i="16"/>
  <c r="M4765" i="16"/>
  <c r="P4765" i="16" s="1"/>
  <c r="Q4765" i="16" s="1"/>
  <c r="O4764" i="16"/>
  <c r="M4764" i="16"/>
  <c r="P4764" i="16" s="1"/>
  <c r="Q4764" i="16" s="1"/>
  <c r="O4763" i="16"/>
  <c r="M4763" i="16"/>
  <c r="P4763" i="16" s="1"/>
  <c r="F4759" i="16"/>
  <c r="E4759" i="16"/>
  <c r="M4755" i="16"/>
  <c r="M4752" i="16"/>
  <c r="O4752" i="16" s="1"/>
  <c r="J4749" i="16"/>
  <c r="AF4747" i="16"/>
  <c r="AE4747" i="16"/>
  <c r="T4747" i="16" s="1"/>
  <c r="O4742" i="16"/>
  <c r="M4742" i="16"/>
  <c r="P4742" i="16" s="1"/>
  <c r="Q4742" i="16" s="1"/>
  <c r="O4741" i="16"/>
  <c r="M4741" i="16"/>
  <c r="P4741" i="16" s="1"/>
  <c r="Q4741" i="16" s="1"/>
  <c r="O4740" i="16"/>
  <c r="M4740" i="16"/>
  <c r="P4740" i="16" s="1"/>
  <c r="Q4740" i="16" s="1"/>
  <c r="O4739" i="16"/>
  <c r="M4739" i="16"/>
  <c r="P4739" i="16" s="1"/>
  <c r="Q4739" i="16" s="1"/>
  <c r="O4738" i="16"/>
  <c r="M4738" i="16"/>
  <c r="P4738" i="16" s="1"/>
  <c r="Q4738" i="16" s="1"/>
  <c r="O4737" i="16"/>
  <c r="M4737" i="16"/>
  <c r="P4737" i="16" s="1"/>
  <c r="Q4737" i="16" s="1"/>
  <c r="O4736" i="16"/>
  <c r="M4736" i="16"/>
  <c r="P4736" i="16" s="1"/>
  <c r="Q4736" i="16" s="1"/>
  <c r="O4735" i="16"/>
  <c r="M4735" i="16"/>
  <c r="P4735" i="16" s="1"/>
  <c r="Q4735" i="16" s="1"/>
  <c r="O4734" i="16"/>
  <c r="M4734" i="16"/>
  <c r="P4734" i="16" s="1"/>
  <c r="Q4734" i="16" s="1"/>
  <c r="O4733" i="16"/>
  <c r="M4733" i="16"/>
  <c r="P4733" i="16" s="1"/>
  <c r="F4729" i="16"/>
  <c r="E4729" i="16"/>
  <c r="A4749" i="16" s="1"/>
  <c r="M4725" i="16"/>
  <c r="M4722" i="16"/>
  <c r="O4722" i="16" s="1"/>
  <c r="A4722" i="16"/>
  <c r="A4721" i="16"/>
  <c r="J4719" i="16"/>
  <c r="A4718" i="16"/>
  <c r="AF4717" i="16"/>
  <c r="T4717" i="16" s="1"/>
  <c r="AE4717" i="16"/>
  <c r="O4712" i="16"/>
  <c r="M4712" i="16"/>
  <c r="P4712" i="16" s="1"/>
  <c r="Q4712" i="16" s="1"/>
  <c r="P4711" i="16"/>
  <c r="Q4711" i="16" s="1"/>
  <c r="O4711" i="16"/>
  <c r="M4711" i="16"/>
  <c r="O4710" i="16"/>
  <c r="M4710" i="16"/>
  <c r="P4710" i="16" s="1"/>
  <c r="Q4710" i="16" s="1"/>
  <c r="O4709" i="16"/>
  <c r="M4709" i="16"/>
  <c r="P4709" i="16" s="1"/>
  <c r="Q4709" i="16" s="1"/>
  <c r="P4708" i="16"/>
  <c r="Q4708" i="16" s="1"/>
  <c r="O4708" i="16"/>
  <c r="M4708" i="16"/>
  <c r="O4707" i="16"/>
  <c r="M4707" i="16"/>
  <c r="P4707" i="16" s="1"/>
  <c r="Q4707" i="16" s="1"/>
  <c r="O4706" i="16"/>
  <c r="M4706" i="16"/>
  <c r="P4706" i="16" s="1"/>
  <c r="Q4706" i="16" s="1"/>
  <c r="O4705" i="16"/>
  <c r="M4705" i="16"/>
  <c r="P4705" i="16" s="1"/>
  <c r="Q4705" i="16" s="1"/>
  <c r="O4704" i="16"/>
  <c r="M4704" i="16"/>
  <c r="P4704" i="16" s="1"/>
  <c r="Q4704" i="16" s="1"/>
  <c r="O4703" i="16"/>
  <c r="M4703" i="16"/>
  <c r="P4703" i="16" s="1"/>
  <c r="A4703" i="16"/>
  <c r="F4699" i="16"/>
  <c r="E4699" i="16"/>
  <c r="A4719" i="16" s="1"/>
  <c r="M4695" i="16"/>
  <c r="M4692" i="16"/>
  <c r="O4692" i="16" s="1"/>
  <c r="J4689" i="16"/>
  <c r="AF4687" i="16"/>
  <c r="AE4687" i="16"/>
  <c r="O4682" i="16"/>
  <c r="M4682" i="16"/>
  <c r="P4682" i="16" s="1"/>
  <c r="Q4682" i="16" s="1"/>
  <c r="O4681" i="16"/>
  <c r="M4681" i="16"/>
  <c r="P4681" i="16" s="1"/>
  <c r="Q4681" i="16" s="1"/>
  <c r="O4680" i="16"/>
  <c r="M4680" i="16"/>
  <c r="P4680" i="16" s="1"/>
  <c r="Q4680" i="16" s="1"/>
  <c r="O4679" i="16"/>
  <c r="M4679" i="16"/>
  <c r="P4679" i="16" s="1"/>
  <c r="Q4679" i="16" s="1"/>
  <c r="O4678" i="16"/>
  <c r="M4678" i="16"/>
  <c r="P4678" i="16" s="1"/>
  <c r="Q4678" i="16" s="1"/>
  <c r="O4677" i="16"/>
  <c r="M4677" i="16"/>
  <c r="P4677" i="16" s="1"/>
  <c r="Q4677" i="16" s="1"/>
  <c r="O4676" i="16"/>
  <c r="M4676" i="16"/>
  <c r="P4676" i="16" s="1"/>
  <c r="Q4676" i="16" s="1"/>
  <c r="O4675" i="16"/>
  <c r="M4675" i="16"/>
  <c r="P4675" i="16" s="1"/>
  <c r="Q4675" i="16" s="1"/>
  <c r="O4674" i="16"/>
  <c r="M4674" i="16"/>
  <c r="P4674" i="16" s="1"/>
  <c r="Q4674" i="16" s="1"/>
  <c r="O4673" i="16"/>
  <c r="M4673" i="16"/>
  <c r="P4673" i="16" s="1"/>
  <c r="F4669" i="16"/>
  <c r="E4669" i="16"/>
  <c r="M4665" i="16"/>
  <c r="M4662" i="16"/>
  <c r="O4662" i="16" s="1"/>
  <c r="J4659" i="16"/>
  <c r="AF4657" i="16"/>
  <c r="AE4657" i="16"/>
  <c r="O4652" i="16"/>
  <c r="M4652" i="16"/>
  <c r="P4652" i="16" s="1"/>
  <c r="Q4652" i="16" s="1"/>
  <c r="O4651" i="16"/>
  <c r="M4651" i="16"/>
  <c r="P4651" i="16" s="1"/>
  <c r="Q4651" i="16" s="1"/>
  <c r="O4650" i="16"/>
  <c r="M4650" i="16"/>
  <c r="P4650" i="16" s="1"/>
  <c r="Q4650" i="16" s="1"/>
  <c r="O4649" i="16"/>
  <c r="M4649" i="16"/>
  <c r="P4649" i="16" s="1"/>
  <c r="Q4649" i="16" s="1"/>
  <c r="P4648" i="16"/>
  <c r="Q4648" i="16" s="1"/>
  <c r="O4648" i="16"/>
  <c r="M4648" i="16"/>
  <c r="O4647" i="16"/>
  <c r="M4647" i="16"/>
  <c r="P4647" i="16" s="1"/>
  <c r="Q4647" i="16" s="1"/>
  <c r="O4646" i="16"/>
  <c r="M4646" i="16"/>
  <c r="P4646" i="16" s="1"/>
  <c r="Q4646" i="16" s="1"/>
  <c r="O4645" i="16"/>
  <c r="M4645" i="16"/>
  <c r="P4645" i="16" s="1"/>
  <c r="Q4645" i="16" s="1"/>
  <c r="O4644" i="16"/>
  <c r="M4644" i="16"/>
  <c r="P4644" i="16" s="1"/>
  <c r="Q4644" i="16" s="1"/>
  <c r="O4643" i="16"/>
  <c r="M4643" i="16"/>
  <c r="P4643" i="16" s="1"/>
  <c r="F4639" i="16"/>
  <c r="E4639" i="16"/>
  <c r="A4650" i="16" s="1"/>
  <c r="M4635" i="16"/>
  <c r="M4632" i="16"/>
  <c r="O4632" i="16" s="1"/>
  <c r="A4632" i="16"/>
  <c r="J4629" i="16"/>
  <c r="AF4627" i="16"/>
  <c r="T4627" i="16" s="1"/>
  <c r="AE4627" i="16"/>
  <c r="O4622" i="16"/>
  <c r="M4622" i="16"/>
  <c r="P4622" i="16" s="1"/>
  <c r="Q4622" i="16" s="1"/>
  <c r="O4621" i="16"/>
  <c r="M4621" i="16"/>
  <c r="P4621" i="16" s="1"/>
  <c r="Q4621" i="16" s="1"/>
  <c r="Q4620" i="16"/>
  <c r="O4620" i="16"/>
  <c r="M4620" i="16"/>
  <c r="P4620" i="16" s="1"/>
  <c r="O4619" i="16"/>
  <c r="M4619" i="16"/>
  <c r="P4619" i="16" s="1"/>
  <c r="Q4619" i="16" s="1"/>
  <c r="O4618" i="16"/>
  <c r="M4618" i="16"/>
  <c r="P4618" i="16" s="1"/>
  <c r="Q4618" i="16" s="1"/>
  <c r="P4617" i="16"/>
  <c r="Q4617" i="16" s="1"/>
  <c r="O4617" i="16"/>
  <c r="M4617" i="16"/>
  <c r="O4616" i="16"/>
  <c r="M4616" i="16"/>
  <c r="P4616" i="16" s="1"/>
  <c r="Q4616" i="16" s="1"/>
  <c r="O4615" i="16"/>
  <c r="M4615" i="16"/>
  <c r="P4615" i="16" s="1"/>
  <c r="Q4615" i="16" s="1"/>
  <c r="O4614" i="16"/>
  <c r="M4614" i="16"/>
  <c r="P4614" i="16" s="1"/>
  <c r="Q4614" i="16" s="1"/>
  <c r="O4613" i="16"/>
  <c r="M4613" i="16"/>
  <c r="P4613" i="16" s="1"/>
  <c r="A4613" i="16"/>
  <c r="F4609" i="16"/>
  <c r="E4609" i="16"/>
  <c r="M4605" i="16"/>
  <c r="M4602" i="16"/>
  <c r="O4602" i="16" s="1"/>
  <c r="J4599" i="16"/>
  <c r="AF4597" i="16"/>
  <c r="AE4597" i="16"/>
  <c r="O4592" i="16"/>
  <c r="M4592" i="16"/>
  <c r="P4592" i="16" s="1"/>
  <c r="Q4592" i="16" s="1"/>
  <c r="O4591" i="16"/>
  <c r="M4591" i="16"/>
  <c r="P4591" i="16" s="1"/>
  <c r="Q4591" i="16" s="1"/>
  <c r="O4590" i="16"/>
  <c r="M4590" i="16"/>
  <c r="P4590" i="16" s="1"/>
  <c r="Q4590" i="16" s="1"/>
  <c r="O4589" i="16"/>
  <c r="M4589" i="16"/>
  <c r="P4589" i="16" s="1"/>
  <c r="Q4589" i="16" s="1"/>
  <c r="O4588" i="16"/>
  <c r="M4588" i="16"/>
  <c r="P4588" i="16" s="1"/>
  <c r="Q4588" i="16" s="1"/>
  <c r="O4587" i="16"/>
  <c r="M4587" i="16"/>
  <c r="P4587" i="16" s="1"/>
  <c r="Q4587" i="16" s="1"/>
  <c r="O4586" i="16"/>
  <c r="M4586" i="16"/>
  <c r="P4586" i="16" s="1"/>
  <c r="Q4586" i="16" s="1"/>
  <c r="O4585" i="16"/>
  <c r="M4585" i="16"/>
  <c r="P4585" i="16" s="1"/>
  <c r="Q4585" i="16" s="1"/>
  <c r="O4584" i="16"/>
  <c r="M4584" i="16"/>
  <c r="P4584" i="16" s="1"/>
  <c r="Q4584" i="16" s="1"/>
  <c r="O4583" i="16"/>
  <c r="M4583" i="16"/>
  <c r="P4583" i="16" s="1"/>
  <c r="F4579" i="16"/>
  <c r="E4579" i="16"/>
  <c r="A4606" i="16" s="1"/>
  <c r="M4575" i="16"/>
  <c r="M4572" i="16"/>
  <c r="O4572" i="16" s="1"/>
  <c r="A4572" i="16"/>
  <c r="J4569" i="16"/>
  <c r="AF4567" i="16"/>
  <c r="AE4567" i="16"/>
  <c r="T4567" i="16" s="1"/>
  <c r="O4562" i="16"/>
  <c r="M4562" i="16"/>
  <c r="P4562" i="16" s="1"/>
  <c r="Q4562" i="16" s="1"/>
  <c r="O4561" i="16"/>
  <c r="M4561" i="16"/>
  <c r="P4561" i="16" s="1"/>
  <c r="Q4561" i="16" s="1"/>
  <c r="O4560" i="16"/>
  <c r="M4560" i="16"/>
  <c r="P4560" i="16" s="1"/>
  <c r="Q4560" i="16" s="1"/>
  <c r="O4559" i="16"/>
  <c r="M4559" i="16"/>
  <c r="P4559" i="16" s="1"/>
  <c r="Q4559" i="16" s="1"/>
  <c r="O4558" i="16"/>
  <c r="M4558" i="16"/>
  <c r="P4558" i="16" s="1"/>
  <c r="Q4558" i="16" s="1"/>
  <c r="O4557" i="16"/>
  <c r="M4557" i="16"/>
  <c r="P4557" i="16" s="1"/>
  <c r="Q4557" i="16" s="1"/>
  <c r="O4556" i="16"/>
  <c r="M4556" i="16"/>
  <c r="P4556" i="16" s="1"/>
  <c r="Q4556" i="16" s="1"/>
  <c r="O4555" i="16"/>
  <c r="M4555" i="16"/>
  <c r="P4555" i="16" s="1"/>
  <c r="Q4555" i="16" s="1"/>
  <c r="O4554" i="16"/>
  <c r="M4554" i="16"/>
  <c r="P4554" i="16" s="1"/>
  <c r="Q4554" i="16" s="1"/>
  <c r="O4553" i="16"/>
  <c r="M4553" i="16"/>
  <c r="P4553" i="16" s="1"/>
  <c r="F4549" i="16"/>
  <c r="E4549" i="16"/>
  <c r="A4558" i="16" s="1"/>
  <c r="M4545" i="16"/>
  <c r="M4542" i="16"/>
  <c r="O4542" i="16" s="1"/>
  <c r="J4539" i="16"/>
  <c r="AF4537" i="16"/>
  <c r="AE4537" i="16"/>
  <c r="T4537" i="16" s="1"/>
  <c r="O4532" i="16"/>
  <c r="M4532" i="16"/>
  <c r="P4532" i="16" s="1"/>
  <c r="Q4532" i="16" s="1"/>
  <c r="O4531" i="16"/>
  <c r="M4531" i="16"/>
  <c r="P4531" i="16" s="1"/>
  <c r="Q4531" i="16" s="1"/>
  <c r="O4530" i="16"/>
  <c r="M4530" i="16"/>
  <c r="P4530" i="16" s="1"/>
  <c r="Q4530" i="16" s="1"/>
  <c r="O4529" i="16"/>
  <c r="M4529" i="16"/>
  <c r="P4529" i="16" s="1"/>
  <c r="Q4529" i="16" s="1"/>
  <c r="O4528" i="16"/>
  <c r="M4528" i="16"/>
  <c r="P4528" i="16" s="1"/>
  <c r="Q4528" i="16" s="1"/>
  <c r="O4527" i="16"/>
  <c r="M4527" i="16"/>
  <c r="P4527" i="16" s="1"/>
  <c r="Q4527" i="16" s="1"/>
  <c r="O4526" i="16"/>
  <c r="M4526" i="16"/>
  <c r="P4526" i="16" s="1"/>
  <c r="Q4526" i="16" s="1"/>
  <c r="O4525" i="16"/>
  <c r="M4525" i="16"/>
  <c r="P4525" i="16" s="1"/>
  <c r="Q4525" i="16" s="1"/>
  <c r="O4524" i="16"/>
  <c r="M4524" i="16"/>
  <c r="P4524" i="16" s="1"/>
  <c r="Q4524" i="16" s="1"/>
  <c r="O4523" i="16"/>
  <c r="M4523" i="16"/>
  <c r="P4523" i="16" s="1"/>
  <c r="Q4523" i="16" s="1"/>
  <c r="F4519" i="16"/>
  <c r="E4519" i="16"/>
  <c r="A4542" i="16" s="1"/>
  <c r="M4515" i="16"/>
  <c r="M4512" i="16"/>
  <c r="O4512" i="16" s="1"/>
  <c r="J4509" i="16"/>
  <c r="AF4507" i="16"/>
  <c r="AE4507" i="16"/>
  <c r="O4502" i="16"/>
  <c r="M4502" i="16"/>
  <c r="P4502" i="16" s="1"/>
  <c r="Q4502" i="16" s="1"/>
  <c r="O4501" i="16"/>
  <c r="M4501" i="16"/>
  <c r="P4501" i="16" s="1"/>
  <c r="Q4501" i="16" s="1"/>
  <c r="O4500" i="16"/>
  <c r="M4500" i="16"/>
  <c r="P4500" i="16" s="1"/>
  <c r="Q4500" i="16" s="1"/>
  <c r="O4499" i="16"/>
  <c r="M4499" i="16"/>
  <c r="P4499" i="16" s="1"/>
  <c r="Q4499" i="16" s="1"/>
  <c r="O4498" i="16"/>
  <c r="M4498" i="16"/>
  <c r="P4498" i="16" s="1"/>
  <c r="Q4498" i="16" s="1"/>
  <c r="O4497" i="16"/>
  <c r="M4497" i="16"/>
  <c r="P4497" i="16" s="1"/>
  <c r="Q4497" i="16" s="1"/>
  <c r="O4496" i="16"/>
  <c r="M4496" i="16"/>
  <c r="P4496" i="16" s="1"/>
  <c r="Q4496" i="16" s="1"/>
  <c r="O4495" i="16"/>
  <c r="M4495" i="16"/>
  <c r="P4495" i="16" s="1"/>
  <c r="Q4495" i="16" s="1"/>
  <c r="O4494" i="16"/>
  <c r="M4494" i="16"/>
  <c r="P4494" i="16" s="1"/>
  <c r="Q4494" i="16" s="1"/>
  <c r="O4493" i="16"/>
  <c r="M4493" i="16"/>
  <c r="P4493" i="16" s="1"/>
  <c r="Q4493" i="16" s="1"/>
  <c r="F4489" i="16"/>
  <c r="E4489" i="16"/>
  <c r="A4513" i="16" s="1"/>
  <c r="M4485" i="16"/>
  <c r="M4482" i="16"/>
  <c r="O4482" i="16" s="1"/>
  <c r="J4479" i="16"/>
  <c r="AF4477" i="16"/>
  <c r="AE4477" i="16"/>
  <c r="O4472" i="16"/>
  <c r="M4472" i="16"/>
  <c r="P4472" i="16" s="1"/>
  <c r="Q4472" i="16" s="1"/>
  <c r="O4471" i="16"/>
  <c r="M4471" i="16"/>
  <c r="P4471" i="16" s="1"/>
  <c r="Q4471" i="16" s="1"/>
  <c r="Q4470" i="16"/>
  <c r="O4470" i="16"/>
  <c r="M4470" i="16"/>
  <c r="P4470" i="16" s="1"/>
  <c r="O4469" i="16"/>
  <c r="M4469" i="16"/>
  <c r="P4469" i="16" s="1"/>
  <c r="Q4469" i="16" s="1"/>
  <c r="O4468" i="16"/>
  <c r="M4468" i="16"/>
  <c r="P4468" i="16" s="1"/>
  <c r="Q4468" i="16" s="1"/>
  <c r="O4467" i="16"/>
  <c r="M4467" i="16"/>
  <c r="P4467" i="16" s="1"/>
  <c r="Q4467" i="16" s="1"/>
  <c r="O4466" i="16"/>
  <c r="M4466" i="16"/>
  <c r="P4466" i="16" s="1"/>
  <c r="Q4466" i="16" s="1"/>
  <c r="O4465" i="16"/>
  <c r="M4465" i="16"/>
  <c r="P4465" i="16" s="1"/>
  <c r="Q4465" i="16" s="1"/>
  <c r="O4464" i="16"/>
  <c r="M4464" i="16"/>
  <c r="P4464" i="16" s="1"/>
  <c r="Q4464" i="16" s="1"/>
  <c r="O4463" i="16"/>
  <c r="M4463" i="16"/>
  <c r="P4463" i="16" s="1"/>
  <c r="Q4463" i="16" s="1"/>
  <c r="F4459" i="16"/>
  <c r="E4459" i="16"/>
  <c r="M4455" i="16"/>
  <c r="M4452" i="16"/>
  <c r="O4452" i="16" s="1"/>
  <c r="J4449" i="16"/>
  <c r="AF4447" i="16"/>
  <c r="AE4447" i="16"/>
  <c r="O4442" i="16"/>
  <c r="M4442" i="16"/>
  <c r="P4442" i="16" s="1"/>
  <c r="Q4442" i="16" s="1"/>
  <c r="P4441" i="16"/>
  <c r="Q4441" i="16" s="1"/>
  <c r="O4441" i="16"/>
  <c r="M4441" i="16"/>
  <c r="A4441" i="16"/>
  <c r="O4440" i="16"/>
  <c r="M4440" i="16"/>
  <c r="P4440" i="16" s="1"/>
  <c r="Q4440" i="16" s="1"/>
  <c r="O4439" i="16"/>
  <c r="M4439" i="16"/>
  <c r="P4439" i="16" s="1"/>
  <c r="Q4439" i="16" s="1"/>
  <c r="O4438" i="16"/>
  <c r="M4438" i="16"/>
  <c r="P4438" i="16" s="1"/>
  <c r="Q4438" i="16" s="1"/>
  <c r="O4437" i="16"/>
  <c r="M4437" i="16"/>
  <c r="P4437" i="16" s="1"/>
  <c r="Q4437" i="16" s="1"/>
  <c r="O4436" i="16"/>
  <c r="M4436" i="16"/>
  <c r="P4436" i="16" s="1"/>
  <c r="Q4436" i="16" s="1"/>
  <c r="O4435" i="16"/>
  <c r="M4435" i="16"/>
  <c r="P4435" i="16" s="1"/>
  <c r="Q4435" i="16" s="1"/>
  <c r="O4434" i="16"/>
  <c r="M4434" i="16"/>
  <c r="P4434" i="16" s="1"/>
  <c r="Q4434" i="16" s="1"/>
  <c r="O4433" i="16"/>
  <c r="M4433" i="16"/>
  <c r="P4433" i="16" s="1"/>
  <c r="Q4433" i="16" s="1"/>
  <c r="F4429" i="16"/>
  <c r="E4429" i="16"/>
  <c r="M4425" i="16"/>
  <c r="M4422" i="16"/>
  <c r="O4422" i="16" s="1"/>
  <c r="J4419" i="16"/>
  <c r="AF4417" i="16"/>
  <c r="AE4417" i="16"/>
  <c r="O4412" i="16"/>
  <c r="M4412" i="16"/>
  <c r="P4412" i="16" s="1"/>
  <c r="Q4412" i="16" s="1"/>
  <c r="O4411" i="16"/>
  <c r="M4411" i="16"/>
  <c r="P4411" i="16" s="1"/>
  <c r="Q4411" i="16" s="1"/>
  <c r="O4410" i="16"/>
  <c r="M4410" i="16"/>
  <c r="P4410" i="16" s="1"/>
  <c r="Q4410" i="16" s="1"/>
  <c r="O4409" i="16"/>
  <c r="M4409" i="16"/>
  <c r="P4409" i="16" s="1"/>
  <c r="Q4409" i="16" s="1"/>
  <c r="O4408" i="16"/>
  <c r="M4408" i="16"/>
  <c r="P4408" i="16" s="1"/>
  <c r="Q4408" i="16" s="1"/>
  <c r="O4407" i="16"/>
  <c r="M4407" i="16"/>
  <c r="P4407" i="16" s="1"/>
  <c r="Q4407" i="16" s="1"/>
  <c r="O4406" i="16"/>
  <c r="M4406" i="16"/>
  <c r="P4406" i="16" s="1"/>
  <c r="Q4406" i="16" s="1"/>
  <c r="O4405" i="16"/>
  <c r="M4405" i="16"/>
  <c r="P4405" i="16" s="1"/>
  <c r="Q4405" i="16" s="1"/>
  <c r="O4404" i="16"/>
  <c r="M4404" i="16"/>
  <c r="P4404" i="16" s="1"/>
  <c r="Q4404" i="16" s="1"/>
  <c r="P4403" i="16"/>
  <c r="Q4403" i="16" s="1"/>
  <c r="O4403" i="16"/>
  <c r="M4403" i="16"/>
  <c r="F4399" i="16"/>
  <c r="E4399" i="16"/>
  <c r="M4395" i="16"/>
  <c r="M4392" i="16"/>
  <c r="O4392" i="16" s="1"/>
  <c r="J4389" i="16"/>
  <c r="AF4387" i="16"/>
  <c r="AE4387" i="16"/>
  <c r="O4382" i="16"/>
  <c r="M4382" i="16"/>
  <c r="P4382" i="16" s="1"/>
  <c r="Q4382" i="16" s="1"/>
  <c r="O4381" i="16"/>
  <c r="M4381" i="16"/>
  <c r="P4381" i="16" s="1"/>
  <c r="Q4381" i="16" s="1"/>
  <c r="O4380" i="16"/>
  <c r="M4380" i="16"/>
  <c r="P4380" i="16" s="1"/>
  <c r="Q4380" i="16" s="1"/>
  <c r="O4379" i="16"/>
  <c r="M4379" i="16"/>
  <c r="P4379" i="16" s="1"/>
  <c r="Q4379" i="16" s="1"/>
  <c r="O4378" i="16"/>
  <c r="M4378" i="16"/>
  <c r="P4378" i="16" s="1"/>
  <c r="Q4378" i="16" s="1"/>
  <c r="O4377" i="16"/>
  <c r="M4377" i="16"/>
  <c r="P4377" i="16" s="1"/>
  <c r="Q4377" i="16" s="1"/>
  <c r="O4376" i="16"/>
  <c r="M4376" i="16"/>
  <c r="P4376" i="16" s="1"/>
  <c r="Q4376" i="16" s="1"/>
  <c r="O4375" i="16"/>
  <c r="M4375" i="16"/>
  <c r="P4375" i="16" s="1"/>
  <c r="Q4375" i="16" s="1"/>
  <c r="O4374" i="16"/>
  <c r="M4374" i="16"/>
  <c r="P4374" i="16" s="1"/>
  <c r="Q4374" i="16" s="1"/>
  <c r="P4373" i="16"/>
  <c r="Q4373" i="16" s="1"/>
  <c r="O4373" i="16"/>
  <c r="M4373" i="16"/>
  <c r="F4369" i="16"/>
  <c r="E4369" i="16"/>
  <c r="M4365" i="16"/>
  <c r="M4362" i="16"/>
  <c r="O4362" i="16" s="1"/>
  <c r="J4359" i="16"/>
  <c r="AF4357" i="16"/>
  <c r="AE4357" i="16"/>
  <c r="O4352" i="16"/>
  <c r="M4352" i="16"/>
  <c r="P4352" i="16" s="1"/>
  <c r="Q4352" i="16" s="1"/>
  <c r="O4351" i="16"/>
  <c r="M4351" i="16"/>
  <c r="P4351" i="16" s="1"/>
  <c r="Q4351" i="16" s="1"/>
  <c r="O4350" i="16"/>
  <c r="M4350" i="16"/>
  <c r="P4350" i="16" s="1"/>
  <c r="Q4350" i="16" s="1"/>
  <c r="O4349" i="16"/>
  <c r="M4349" i="16"/>
  <c r="P4349" i="16" s="1"/>
  <c r="Q4349" i="16" s="1"/>
  <c r="O4348" i="16"/>
  <c r="M4348" i="16"/>
  <c r="P4348" i="16" s="1"/>
  <c r="Q4348" i="16" s="1"/>
  <c r="O4347" i="16"/>
  <c r="M4347" i="16"/>
  <c r="P4347" i="16" s="1"/>
  <c r="Q4347" i="16" s="1"/>
  <c r="O4346" i="16"/>
  <c r="M4346" i="16"/>
  <c r="P4346" i="16" s="1"/>
  <c r="Q4346" i="16" s="1"/>
  <c r="O4345" i="16"/>
  <c r="M4345" i="16"/>
  <c r="P4345" i="16" s="1"/>
  <c r="Q4345" i="16" s="1"/>
  <c r="P4344" i="16"/>
  <c r="Q4344" i="16" s="1"/>
  <c r="O4344" i="16"/>
  <c r="M4344" i="16"/>
  <c r="O4343" i="16"/>
  <c r="M4343" i="16"/>
  <c r="P4343" i="16" s="1"/>
  <c r="Q4343" i="16" s="1"/>
  <c r="F4339" i="16"/>
  <c r="E4339" i="16"/>
  <c r="A4336" i="16"/>
  <c r="M4335" i="16"/>
  <c r="A4334" i="16"/>
  <c r="M4332" i="16"/>
  <c r="O4332" i="16" s="1"/>
  <c r="A4330" i="16"/>
  <c r="J4329" i="16"/>
  <c r="AF4327" i="16"/>
  <c r="AE4327" i="16"/>
  <c r="T4327" i="16" s="1"/>
  <c r="O4322" i="16"/>
  <c r="M4322" i="16"/>
  <c r="P4322" i="16" s="1"/>
  <c r="Q4322" i="16" s="1"/>
  <c r="O4321" i="16"/>
  <c r="M4321" i="16"/>
  <c r="P4321" i="16" s="1"/>
  <c r="Q4321" i="16" s="1"/>
  <c r="A4321" i="16"/>
  <c r="O4320" i="16"/>
  <c r="M4320" i="16"/>
  <c r="P4320" i="16" s="1"/>
  <c r="Q4320" i="16" s="1"/>
  <c r="O4319" i="16"/>
  <c r="M4319" i="16"/>
  <c r="P4319" i="16" s="1"/>
  <c r="Q4319" i="16" s="1"/>
  <c r="O4318" i="16"/>
  <c r="M4318" i="16"/>
  <c r="P4318" i="16" s="1"/>
  <c r="Q4318" i="16" s="1"/>
  <c r="O4317" i="16"/>
  <c r="M4317" i="16"/>
  <c r="P4317" i="16" s="1"/>
  <c r="Q4317" i="16" s="1"/>
  <c r="O4316" i="16"/>
  <c r="M4316" i="16"/>
  <c r="P4316" i="16" s="1"/>
  <c r="Q4316" i="16" s="1"/>
  <c r="O4315" i="16"/>
  <c r="M4315" i="16"/>
  <c r="P4315" i="16" s="1"/>
  <c r="Q4315" i="16" s="1"/>
  <c r="O4314" i="16"/>
  <c r="M4314" i="16"/>
  <c r="P4314" i="16" s="1"/>
  <c r="Q4314" i="16" s="1"/>
  <c r="A4314" i="16"/>
  <c r="O4313" i="16"/>
  <c r="M4313" i="16"/>
  <c r="P4313" i="16" s="1"/>
  <c r="Q4313" i="16" s="1"/>
  <c r="A4313" i="16"/>
  <c r="F4309" i="16"/>
  <c r="E4309" i="16"/>
  <c r="A4329" i="16" s="1"/>
  <c r="M4305" i="16"/>
  <c r="M4302" i="16"/>
  <c r="O4302" i="16" s="1"/>
  <c r="J4299" i="16"/>
  <c r="AF4297" i="16"/>
  <c r="AE4297" i="16"/>
  <c r="T4297" i="16" s="1"/>
  <c r="O4292" i="16"/>
  <c r="M4292" i="16"/>
  <c r="P4292" i="16" s="1"/>
  <c r="Q4292" i="16" s="1"/>
  <c r="O4291" i="16"/>
  <c r="M4291" i="16"/>
  <c r="P4291" i="16" s="1"/>
  <c r="Q4291" i="16" s="1"/>
  <c r="O4290" i="16"/>
  <c r="M4290" i="16"/>
  <c r="P4290" i="16" s="1"/>
  <c r="Q4290" i="16" s="1"/>
  <c r="O4289" i="16"/>
  <c r="M4289" i="16"/>
  <c r="P4289" i="16" s="1"/>
  <c r="Q4289" i="16" s="1"/>
  <c r="P4288" i="16"/>
  <c r="Q4288" i="16" s="1"/>
  <c r="O4288" i="16"/>
  <c r="M4288" i="16"/>
  <c r="O4287" i="16"/>
  <c r="M4287" i="16"/>
  <c r="P4287" i="16" s="1"/>
  <c r="Q4287" i="16" s="1"/>
  <c r="O4286" i="16"/>
  <c r="M4286" i="16"/>
  <c r="P4286" i="16" s="1"/>
  <c r="Q4286" i="16" s="1"/>
  <c r="O4285" i="16"/>
  <c r="M4285" i="16"/>
  <c r="P4285" i="16" s="1"/>
  <c r="Q4285" i="16" s="1"/>
  <c r="O4284" i="16"/>
  <c r="M4284" i="16"/>
  <c r="P4284" i="16" s="1"/>
  <c r="Q4284" i="16" s="1"/>
  <c r="O4283" i="16"/>
  <c r="M4283" i="16"/>
  <c r="P4283" i="16" s="1"/>
  <c r="Q4283" i="16" s="1"/>
  <c r="F4279" i="16"/>
  <c r="E4279" i="16"/>
  <c r="A4305" i="16" s="1"/>
  <c r="M4275" i="16"/>
  <c r="M4272" i="16"/>
  <c r="O4272" i="16" s="1"/>
  <c r="J4269" i="16"/>
  <c r="AF4267" i="16"/>
  <c r="AE4267" i="16"/>
  <c r="O4262" i="16"/>
  <c r="M4262" i="16"/>
  <c r="P4262" i="16" s="1"/>
  <c r="Q4262" i="16" s="1"/>
  <c r="O4261" i="16"/>
  <c r="M4261" i="16"/>
  <c r="P4261" i="16" s="1"/>
  <c r="Q4261" i="16" s="1"/>
  <c r="O4260" i="16"/>
  <c r="M4260" i="16"/>
  <c r="P4260" i="16" s="1"/>
  <c r="Q4260" i="16" s="1"/>
  <c r="O4259" i="16"/>
  <c r="M4259" i="16"/>
  <c r="P4259" i="16" s="1"/>
  <c r="Q4259" i="16" s="1"/>
  <c r="O4258" i="16"/>
  <c r="M4258" i="16"/>
  <c r="P4258" i="16" s="1"/>
  <c r="Q4258" i="16" s="1"/>
  <c r="O4257" i="16"/>
  <c r="M4257" i="16"/>
  <c r="P4257" i="16" s="1"/>
  <c r="Q4257" i="16" s="1"/>
  <c r="O4256" i="16"/>
  <c r="M4256" i="16"/>
  <c r="P4256" i="16" s="1"/>
  <c r="Q4256" i="16" s="1"/>
  <c r="O4255" i="16"/>
  <c r="M4255" i="16"/>
  <c r="P4255" i="16" s="1"/>
  <c r="Q4255" i="16" s="1"/>
  <c r="O4254" i="16"/>
  <c r="M4254" i="16"/>
  <c r="P4254" i="16" s="1"/>
  <c r="Q4254" i="16" s="1"/>
  <c r="O4253" i="16"/>
  <c r="M4253" i="16"/>
  <c r="P4253" i="16" s="1"/>
  <c r="Q4253" i="16" s="1"/>
  <c r="F4249" i="16"/>
  <c r="E4249" i="16"/>
  <c r="A4272" i="16" s="1"/>
  <c r="M4245" i="16"/>
  <c r="M4242" i="16"/>
  <c r="O4242" i="16" s="1"/>
  <c r="J4239" i="16"/>
  <c r="AF4237" i="16"/>
  <c r="AE4237" i="16"/>
  <c r="T4237" i="16" s="1"/>
  <c r="O4232" i="16"/>
  <c r="M4232" i="16"/>
  <c r="P4232" i="16" s="1"/>
  <c r="Q4232" i="16" s="1"/>
  <c r="O4231" i="16"/>
  <c r="M4231" i="16"/>
  <c r="P4231" i="16" s="1"/>
  <c r="Q4231" i="16" s="1"/>
  <c r="O4230" i="16"/>
  <c r="M4230" i="16"/>
  <c r="P4230" i="16" s="1"/>
  <c r="Q4230" i="16" s="1"/>
  <c r="O4229" i="16"/>
  <c r="M4229" i="16"/>
  <c r="P4229" i="16" s="1"/>
  <c r="Q4229" i="16" s="1"/>
  <c r="O4228" i="16"/>
  <c r="M4228" i="16"/>
  <c r="P4228" i="16" s="1"/>
  <c r="Q4228" i="16" s="1"/>
  <c r="O4227" i="16"/>
  <c r="M4227" i="16"/>
  <c r="P4227" i="16" s="1"/>
  <c r="Q4227" i="16" s="1"/>
  <c r="O4226" i="16"/>
  <c r="M4226" i="16"/>
  <c r="P4226" i="16" s="1"/>
  <c r="Q4226" i="16" s="1"/>
  <c r="O4225" i="16"/>
  <c r="M4225" i="16"/>
  <c r="P4225" i="16" s="1"/>
  <c r="Q4225" i="16" s="1"/>
  <c r="O4224" i="16"/>
  <c r="M4224" i="16"/>
  <c r="P4224" i="16" s="1"/>
  <c r="Q4224" i="16" s="1"/>
  <c r="O4223" i="16"/>
  <c r="M4223" i="16"/>
  <c r="P4223" i="16" s="1"/>
  <c r="Q4223" i="16" s="1"/>
  <c r="A4223" i="16"/>
  <c r="F4219" i="16"/>
  <c r="E4219" i="16"/>
  <c r="M4215" i="16"/>
  <c r="M4212" i="16"/>
  <c r="O4212" i="16" s="1"/>
  <c r="J4209" i="16"/>
  <c r="AF4207" i="16"/>
  <c r="AE4207" i="16"/>
  <c r="P4202" i="16"/>
  <c r="Q4202" i="16" s="1"/>
  <c r="O4202" i="16"/>
  <c r="M4202" i="16"/>
  <c r="P4201" i="16"/>
  <c r="Q4201" i="16" s="1"/>
  <c r="O4201" i="16"/>
  <c r="M4201" i="16"/>
  <c r="O4200" i="16"/>
  <c r="M4200" i="16"/>
  <c r="P4200" i="16" s="1"/>
  <c r="Q4200" i="16" s="1"/>
  <c r="O4199" i="16"/>
  <c r="M4199" i="16"/>
  <c r="P4199" i="16" s="1"/>
  <c r="Q4199" i="16" s="1"/>
  <c r="O4198" i="16"/>
  <c r="M4198" i="16"/>
  <c r="P4198" i="16" s="1"/>
  <c r="Q4198" i="16" s="1"/>
  <c r="O4197" i="16"/>
  <c r="M4197" i="16"/>
  <c r="P4197" i="16" s="1"/>
  <c r="Q4197" i="16" s="1"/>
  <c r="O4196" i="16"/>
  <c r="M4196" i="16"/>
  <c r="P4196" i="16" s="1"/>
  <c r="Q4196" i="16" s="1"/>
  <c r="O4195" i="16"/>
  <c r="M4195" i="16"/>
  <c r="P4195" i="16" s="1"/>
  <c r="Q4195" i="16" s="1"/>
  <c r="O4194" i="16"/>
  <c r="M4194" i="16"/>
  <c r="P4194" i="16" s="1"/>
  <c r="Q4194" i="16" s="1"/>
  <c r="O4193" i="16"/>
  <c r="M4193" i="16"/>
  <c r="P4193" i="16" s="1"/>
  <c r="Q4193" i="16" s="1"/>
  <c r="F4189" i="16"/>
  <c r="E4189" i="16"/>
  <c r="M4185" i="16"/>
  <c r="M4182" i="16"/>
  <c r="O4182" i="16" s="1"/>
  <c r="J4179" i="16"/>
  <c r="AF4177" i="16"/>
  <c r="AE4177" i="16"/>
  <c r="O4172" i="16"/>
  <c r="M4172" i="16"/>
  <c r="P4172" i="16" s="1"/>
  <c r="Q4172" i="16" s="1"/>
  <c r="O4171" i="16"/>
  <c r="M4171" i="16"/>
  <c r="P4171" i="16" s="1"/>
  <c r="Q4171" i="16" s="1"/>
  <c r="O4170" i="16"/>
  <c r="M4170" i="16"/>
  <c r="P4170" i="16" s="1"/>
  <c r="Q4170" i="16" s="1"/>
  <c r="O4169" i="16"/>
  <c r="M4169" i="16"/>
  <c r="P4169" i="16" s="1"/>
  <c r="Q4169" i="16" s="1"/>
  <c r="O4168" i="16"/>
  <c r="M4168" i="16"/>
  <c r="P4168" i="16" s="1"/>
  <c r="Q4168" i="16" s="1"/>
  <c r="O4167" i="16"/>
  <c r="M4167" i="16"/>
  <c r="P4167" i="16" s="1"/>
  <c r="Q4167" i="16" s="1"/>
  <c r="O4166" i="16"/>
  <c r="M4166" i="16"/>
  <c r="P4166" i="16" s="1"/>
  <c r="Q4166" i="16" s="1"/>
  <c r="O4165" i="16"/>
  <c r="M4165" i="16"/>
  <c r="P4165" i="16" s="1"/>
  <c r="Q4165" i="16" s="1"/>
  <c r="O4164" i="16"/>
  <c r="M4164" i="16"/>
  <c r="P4164" i="16" s="1"/>
  <c r="Q4164" i="16" s="1"/>
  <c r="O4163" i="16"/>
  <c r="M4163" i="16"/>
  <c r="P4163" i="16" s="1"/>
  <c r="Q4163" i="16" s="1"/>
  <c r="F4159" i="16"/>
  <c r="E4159" i="16"/>
  <c r="A4179" i="16" s="1"/>
  <c r="M4155" i="16"/>
  <c r="M4152" i="16"/>
  <c r="O4152" i="16" s="1"/>
  <c r="J4149" i="16"/>
  <c r="AF4147" i="16"/>
  <c r="AE4147" i="16"/>
  <c r="T4147" i="16" s="1"/>
  <c r="O4142" i="16"/>
  <c r="M4142" i="16"/>
  <c r="P4142" i="16" s="1"/>
  <c r="Q4142" i="16" s="1"/>
  <c r="O4141" i="16"/>
  <c r="M4141" i="16"/>
  <c r="P4141" i="16" s="1"/>
  <c r="Q4141" i="16" s="1"/>
  <c r="O4140" i="16"/>
  <c r="M4140" i="16"/>
  <c r="P4140" i="16" s="1"/>
  <c r="Q4140" i="16" s="1"/>
  <c r="O4139" i="16"/>
  <c r="M4139" i="16"/>
  <c r="P4139" i="16" s="1"/>
  <c r="Q4139" i="16" s="1"/>
  <c r="O4138" i="16"/>
  <c r="M4138" i="16"/>
  <c r="P4138" i="16" s="1"/>
  <c r="Q4138" i="16" s="1"/>
  <c r="O4137" i="16"/>
  <c r="M4137" i="16"/>
  <c r="P4137" i="16" s="1"/>
  <c r="Q4137" i="16" s="1"/>
  <c r="O4136" i="16"/>
  <c r="M4136" i="16"/>
  <c r="P4136" i="16" s="1"/>
  <c r="Q4136" i="16" s="1"/>
  <c r="O4135" i="16"/>
  <c r="M4135" i="16"/>
  <c r="P4135" i="16" s="1"/>
  <c r="Q4135" i="16" s="1"/>
  <c r="O4134" i="16"/>
  <c r="M4134" i="16"/>
  <c r="P4134" i="16" s="1"/>
  <c r="Q4134" i="16" s="1"/>
  <c r="O4133" i="16"/>
  <c r="M4133" i="16"/>
  <c r="P4133" i="16" s="1"/>
  <c r="Q4133" i="16" s="1"/>
  <c r="F4129" i="16"/>
  <c r="E4129" i="16"/>
  <c r="A4149" i="16" s="1"/>
  <c r="M4125" i="16"/>
  <c r="A4124" i="16"/>
  <c r="M4122" i="16"/>
  <c r="O4122" i="16" s="1"/>
  <c r="A4122" i="16"/>
  <c r="J4119" i="16"/>
  <c r="AF4117" i="16"/>
  <c r="AE4117" i="16"/>
  <c r="O4112" i="16"/>
  <c r="M4112" i="16"/>
  <c r="P4112" i="16" s="1"/>
  <c r="Q4112" i="16" s="1"/>
  <c r="P4111" i="16"/>
  <c r="Q4111" i="16" s="1"/>
  <c r="O4111" i="16"/>
  <c r="M4111" i="16"/>
  <c r="O4110" i="16"/>
  <c r="M4110" i="16"/>
  <c r="P4110" i="16" s="1"/>
  <c r="Q4110" i="16" s="1"/>
  <c r="O4109" i="16"/>
  <c r="M4109" i="16"/>
  <c r="P4109" i="16" s="1"/>
  <c r="Q4109" i="16" s="1"/>
  <c r="O4108" i="16"/>
  <c r="M4108" i="16"/>
  <c r="P4108" i="16" s="1"/>
  <c r="Q4108" i="16" s="1"/>
  <c r="O4107" i="16"/>
  <c r="M4107" i="16"/>
  <c r="P4107" i="16" s="1"/>
  <c r="Q4107" i="16" s="1"/>
  <c r="O4106" i="16"/>
  <c r="M4106" i="16"/>
  <c r="P4106" i="16" s="1"/>
  <c r="Q4106" i="16" s="1"/>
  <c r="A4106" i="16"/>
  <c r="O4105" i="16"/>
  <c r="M4105" i="16"/>
  <c r="P4105" i="16" s="1"/>
  <c r="Q4105" i="16" s="1"/>
  <c r="O4104" i="16"/>
  <c r="M4104" i="16"/>
  <c r="P4104" i="16" s="1"/>
  <c r="Q4104" i="16" s="1"/>
  <c r="O4103" i="16"/>
  <c r="M4103" i="16"/>
  <c r="P4103" i="16" s="1"/>
  <c r="Q4103" i="16" s="1"/>
  <c r="A4103" i="16"/>
  <c r="F4099" i="16"/>
  <c r="E4099" i="16"/>
  <c r="A4119" i="16" s="1"/>
  <c r="M4095" i="16"/>
  <c r="M4092" i="16"/>
  <c r="O4092" i="16" s="1"/>
  <c r="J4089" i="16"/>
  <c r="AF4087" i="16"/>
  <c r="AE4087" i="16"/>
  <c r="O4082" i="16"/>
  <c r="M4082" i="16"/>
  <c r="P4082" i="16" s="1"/>
  <c r="Q4082" i="16" s="1"/>
  <c r="P4081" i="16"/>
  <c r="Q4081" i="16" s="1"/>
  <c r="O4081" i="16"/>
  <c r="M4081" i="16"/>
  <c r="O4080" i="16"/>
  <c r="M4080" i="16"/>
  <c r="P4080" i="16" s="1"/>
  <c r="Q4080" i="16" s="1"/>
  <c r="O4079" i="16"/>
  <c r="M4079" i="16"/>
  <c r="P4079" i="16" s="1"/>
  <c r="Q4079" i="16" s="1"/>
  <c r="O4078" i="16"/>
  <c r="M4078" i="16"/>
  <c r="P4078" i="16" s="1"/>
  <c r="Q4078" i="16" s="1"/>
  <c r="O4077" i="16"/>
  <c r="M4077" i="16"/>
  <c r="P4077" i="16" s="1"/>
  <c r="Q4077" i="16" s="1"/>
  <c r="O4076" i="16"/>
  <c r="M4076" i="16"/>
  <c r="P4076" i="16" s="1"/>
  <c r="Q4076" i="16" s="1"/>
  <c r="O4075" i="16"/>
  <c r="M4075" i="16"/>
  <c r="P4075" i="16" s="1"/>
  <c r="Q4075" i="16" s="1"/>
  <c r="P4074" i="16"/>
  <c r="Q4074" i="16" s="1"/>
  <c r="O4074" i="16"/>
  <c r="M4074" i="16"/>
  <c r="P4073" i="16"/>
  <c r="Q4073" i="16" s="1"/>
  <c r="O4073" i="16"/>
  <c r="M4073" i="16"/>
  <c r="F4069" i="16"/>
  <c r="E4069" i="16"/>
  <c r="M4065" i="16"/>
  <c r="M4062" i="16"/>
  <c r="O4062" i="16" s="1"/>
  <c r="J4059" i="16"/>
  <c r="AF4057" i="16"/>
  <c r="AE4057" i="16"/>
  <c r="T4057" i="16" s="1"/>
  <c r="O4052" i="16"/>
  <c r="M4052" i="16"/>
  <c r="P4052" i="16" s="1"/>
  <c r="Q4052" i="16" s="1"/>
  <c r="O4051" i="16"/>
  <c r="M4051" i="16"/>
  <c r="P4051" i="16" s="1"/>
  <c r="Q4051" i="16" s="1"/>
  <c r="O4050" i="16"/>
  <c r="M4050" i="16"/>
  <c r="P4050" i="16" s="1"/>
  <c r="Q4050" i="16" s="1"/>
  <c r="O4049" i="16"/>
  <c r="M4049" i="16"/>
  <c r="P4049" i="16" s="1"/>
  <c r="Q4049" i="16" s="1"/>
  <c r="O4048" i="16"/>
  <c r="M4048" i="16"/>
  <c r="P4048" i="16" s="1"/>
  <c r="Q4048" i="16" s="1"/>
  <c r="O4047" i="16"/>
  <c r="M4047" i="16"/>
  <c r="P4047" i="16" s="1"/>
  <c r="Q4047" i="16" s="1"/>
  <c r="O4046" i="16"/>
  <c r="M4046" i="16"/>
  <c r="P4046" i="16" s="1"/>
  <c r="Q4046" i="16" s="1"/>
  <c r="O4045" i="16"/>
  <c r="M4045" i="16"/>
  <c r="P4045" i="16" s="1"/>
  <c r="Q4045" i="16" s="1"/>
  <c r="O4044" i="16"/>
  <c r="M4044" i="16"/>
  <c r="P4044" i="16" s="1"/>
  <c r="Q4044" i="16" s="1"/>
  <c r="O4043" i="16"/>
  <c r="M4043" i="16"/>
  <c r="P4043" i="16" s="1"/>
  <c r="Q4043" i="16" s="1"/>
  <c r="F4039" i="16"/>
  <c r="E4039" i="16"/>
  <c r="M4035" i="16"/>
  <c r="M4032" i="16"/>
  <c r="O4032" i="16" s="1"/>
  <c r="J4029" i="16"/>
  <c r="AF4027" i="16"/>
  <c r="AE4027" i="16"/>
  <c r="T4027" i="16" s="1"/>
  <c r="O4022" i="16"/>
  <c r="M4022" i="16"/>
  <c r="P4022" i="16" s="1"/>
  <c r="Q4022" i="16" s="1"/>
  <c r="O4021" i="16"/>
  <c r="M4021" i="16"/>
  <c r="P4021" i="16" s="1"/>
  <c r="Q4021" i="16" s="1"/>
  <c r="O4020" i="16"/>
  <c r="M4020" i="16"/>
  <c r="P4020" i="16" s="1"/>
  <c r="Q4020" i="16" s="1"/>
  <c r="O4019" i="16"/>
  <c r="M4019" i="16"/>
  <c r="P4019" i="16" s="1"/>
  <c r="Q4019" i="16" s="1"/>
  <c r="O4018" i="16"/>
  <c r="M4018" i="16"/>
  <c r="P4018" i="16" s="1"/>
  <c r="Q4018" i="16" s="1"/>
  <c r="O4017" i="16"/>
  <c r="M4017" i="16"/>
  <c r="P4017" i="16" s="1"/>
  <c r="Q4017" i="16" s="1"/>
  <c r="O4016" i="16"/>
  <c r="M4016" i="16"/>
  <c r="P4016" i="16" s="1"/>
  <c r="Q4016" i="16" s="1"/>
  <c r="O4015" i="16"/>
  <c r="M4015" i="16"/>
  <c r="P4015" i="16" s="1"/>
  <c r="Q4015" i="16" s="1"/>
  <c r="P4014" i="16"/>
  <c r="Q4014" i="16" s="1"/>
  <c r="O4014" i="16"/>
  <c r="M4014" i="16"/>
  <c r="O4013" i="16"/>
  <c r="M4013" i="16"/>
  <c r="P4013" i="16" s="1"/>
  <c r="Q4013" i="16" s="1"/>
  <c r="F4009" i="16"/>
  <c r="E4009" i="16"/>
  <c r="M4005" i="16"/>
  <c r="M4002" i="16"/>
  <c r="O4002" i="16" s="1"/>
  <c r="J3999" i="16"/>
  <c r="AF3997" i="16"/>
  <c r="AE3997" i="16"/>
  <c r="T3997" i="16"/>
  <c r="O3992" i="16"/>
  <c r="M3992" i="16"/>
  <c r="P3992" i="16" s="1"/>
  <c r="Q3992" i="16" s="1"/>
  <c r="O3991" i="16"/>
  <c r="M3991" i="16"/>
  <c r="P3991" i="16" s="1"/>
  <c r="Q3991" i="16" s="1"/>
  <c r="O3990" i="16"/>
  <c r="M3990" i="16"/>
  <c r="P3990" i="16" s="1"/>
  <c r="Q3990" i="16" s="1"/>
  <c r="O3989" i="16"/>
  <c r="M3989" i="16"/>
  <c r="P3989" i="16" s="1"/>
  <c r="Q3989" i="16" s="1"/>
  <c r="O3988" i="16"/>
  <c r="M3988" i="16"/>
  <c r="P3988" i="16" s="1"/>
  <c r="Q3988" i="16" s="1"/>
  <c r="O3987" i="16"/>
  <c r="M3987" i="16"/>
  <c r="P3987" i="16" s="1"/>
  <c r="Q3987" i="16" s="1"/>
  <c r="O3986" i="16"/>
  <c r="M3986" i="16"/>
  <c r="P3986" i="16" s="1"/>
  <c r="Q3986" i="16" s="1"/>
  <c r="O3985" i="16"/>
  <c r="M3985" i="16"/>
  <c r="P3985" i="16" s="1"/>
  <c r="Q3985" i="16" s="1"/>
  <c r="O3984" i="16"/>
  <c r="M3984" i="16"/>
  <c r="P3984" i="16" s="1"/>
  <c r="Q3984" i="16" s="1"/>
  <c r="O3983" i="16"/>
  <c r="M3983" i="16"/>
  <c r="P3983" i="16" s="1"/>
  <c r="Q3983" i="16" s="1"/>
  <c r="F3979" i="16"/>
  <c r="E3979" i="16"/>
  <c r="M3975" i="16"/>
  <c r="M3972" i="16"/>
  <c r="O3972" i="16" s="1"/>
  <c r="J3969" i="16"/>
  <c r="AF3967" i="16"/>
  <c r="AE3967" i="16"/>
  <c r="T3967" i="16" s="1"/>
  <c r="O3962" i="16"/>
  <c r="M3962" i="16"/>
  <c r="P3962" i="16" s="1"/>
  <c r="Q3962" i="16" s="1"/>
  <c r="O3961" i="16"/>
  <c r="M3961" i="16"/>
  <c r="P3961" i="16" s="1"/>
  <c r="Q3961" i="16" s="1"/>
  <c r="O3960" i="16"/>
  <c r="M3960" i="16"/>
  <c r="P3960" i="16" s="1"/>
  <c r="Q3960" i="16" s="1"/>
  <c r="O3959" i="16"/>
  <c r="M3959" i="16"/>
  <c r="P3959" i="16" s="1"/>
  <c r="Q3959" i="16" s="1"/>
  <c r="O3958" i="16"/>
  <c r="M3958" i="16"/>
  <c r="P3958" i="16" s="1"/>
  <c r="Q3958" i="16" s="1"/>
  <c r="O3957" i="16"/>
  <c r="M3957" i="16"/>
  <c r="P3957" i="16" s="1"/>
  <c r="Q3957" i="16" s="1"/>
  <c r="O3956" i="16"/>
  <c r="M3956" i="16"/>
  <c r="P3956" i="16" s="1"/>
  <c r="Q3956" i="16" s="1"/>
  <c r="O3955" i="16"/>
  <c r="M3955" i="16"/>
  <c r="P3955" i="16" s="1"/>
  <c r="Q3955" i="16" s="1"/>
  <c r="O3954" i="16"/>
  <c r="M3954" i="16"/>
  <c r="P3954" i="16" s="1"/>
  <c r="Q3954" i="16" s="1"/>
  <c r="P3953" i="16"/>
  <c r="Q3953" i="16" s="1"/>
  <c r="O3953" i="16"/>
  <c r="M3953" i="16"/>
  <c r="F3949" i="16"/>
  <c r="E3949" i="16"/>
  <c r="A3969" i="16" s="1"/>
  <c r="M3945" i="16"/>
  <c r="M3942" i="16"/>
  <c r="O3942" i="16" s="1"/>
  <c r="J3939" i="16"/>
  <c r="AF3937" i="16"/>
  <c r="AE3937" i="16"/>
  <c r="T3937" i="16" s="1"/>
  <c r="O3932" i="16"/>
  <c r="M3932" i="16"/>
  <c r="P3932" i="16" s="1"/>
  <c r="Q3932" i="16" s="1"/>
  <c r="O3931" i="16"/>
  <c r="M3931" i="16"/>
  <c r="P3931" i="16" s="1"/>
  <c r="Q3931" i="16" s="1"/>
  <c r="O3930" i="16"/>
  <c r="M3930" i="16"/>
  <c r="P3930" i="16" s="1"/>
  <c r="Q3930" i="16" s="1"/>
  <c r="O3929" i="16"/>
  <c r="M3929" i="16"/>
  <c r="P3929" i="16" s="1"/>
  <c r="Q3929" i="16" s="1"/>
  <c r="O3928" i="16"/>
  <c r="M3928" i="16"/>
  <c r="P3928" i="16" s="1"/>
  <c r="Q3928" i="16" s="1"/>
  <c r="O3927" i="16"/>
  <c r="M3927" i="16"/>
  <c r="P3927" i="16" s="1"/>
  <c r="Q3927" i="16" s="1"/>
  <c r="O3926" i="16"/>
  <c r="M3926" i="16"/>
  <c r="P3926" i="16" s="1"/>
  <c r="Q3926" i="16" s="1"/>
  <c r="O3925" i="16"/>
  <c r="M3925" i="16"/>
  <c r="P3925" i="16" s="1"/>
  <c r="Q3925" i="16" s="1"/>
  <c r="O3924" i="16"/>
  <c r="M3924" i="16"/>
  <c r="P3924" i="16" s="1"/>
  <c r="Q3924" i="16" s="1"/>
  <c r="O3923" i="16"/>
  <c r="M3923" i="16"/>
  <c r="P3923" i="16" s="1"/>
  <c r="Q3923" i="16" s="1"/>
  <c r="F3919" i="16"/>
  <c r="E3919" i="16"/>
  <c r="A3939" i="16" s="1"/>
  <c r="M3915" i="16"/>
  <c r="M3912" i="16"/>
  <c r="O3912" i="16" s="1"/>
  <c r="J3909" i="16"/>
  <c r="AF3907" i="16"/>
  <c r="AE3907" i="16"/>
  <c r="T3907" i="16" s="1"/>
  <c r="O3902" i="16"/>
  <c r="M3902" i="16"/>
  <c r="P3902" i="16" s="1"/>
  <c r="Q3902" i="16" s="1"/>
  <c r="O3901" i="16"/>
  <c r="M3901" i="16"/>
  <c r="P3901" i="16" s="1"/>
  <c r="Q3901" i="16" s="1"/>
  <c r="O3900" i="16"/>
  <c r="M3900" i="16"/>
  <c r="P3900" i="16" s="1"/>
  <c r="Q3900" i="16" s="1"/>
  <c r="O3899" i="16"/>
  <c r="M3899" i="16"/>
  <c r="P3899" i="16" s="1"/>
  <c r="Q3899" i="16" s="1"/>
  <c r="O3898" i="16"/>
  <c r="M3898" i="16"/>
  <c r="P3898" i="16" s="1"/>
  <c r="Q3898" i="16" s="1"/>
  <c r="P3897" i="16"/>
  <c r="Q3897" i="16" s="1"/>
  <c r="O3897" i="16"/>
  <c r="M3897" i="16"/>
  <c r="O3896" i="16"/>
  <c r="M3896" i="16"/>
  <c r="P3896" i="16" s="1"/>
  <c r="Q3896" i="16" s="1"/>
  <c r="O3895" i="16"/>
  <c r="M3895" i="16"/>
  <c r="P3895" i="16" s="1"/>
  <c r="Q3895" i="16" s="1"/>
  <c r="O3894" i="16"/>
  <c r="M3894" i="16"/>
  <c r="P3894" i="16" s="1"/>
  <c r="Q3894" i="16" s="1"/>
  <c r="O3893" i="16"/>
  <c r="M3893" i="16"/>
  <c r="P3893" i="16" s="1"/>
  <c r="Q3893" i="16" s="1"/>
  <c r="F3889" i="16"/>
  <c r="E3889" i="16"/>
  <c r="A3909" i="16" s="1"/>
  <c r="M3885" i="16"/>
  <c r="M3882" i="16"/>
  <c r="O3882" i="16" s="1"/>
  <c r="J3879" i="16"/>
  <c r="AF3877" i="16"/>
  <c r="AE3877" i="16"/>
  <c r="T3877" i="16"/>
  <c r="P3872" i="16"/>
  <c r="Q3872" i="16" s="1"/>
  <c r="O3872" i="16"/>
  <c r="M3872" i="16"/>
  <c r="O3871" i="16"/>
  <c r="M3871" i="16"/>
  <c r="P3871" i="16" s="1"/>
  <c r="Q3871" i="16" s="1"/>
  <c r="O3870" i="16"/>
  <c r="M3870" i="16"/>
  <c r="P3870" i="16" s="1"/>
  <c r="Q3870" i="16" s="1"/>
  <c r="O3869" i="16"/>
  <c r="M3869" i="16"/>
  <c r="P3869" i="16" s="1"/>
  <c r="Q3869" i="16" s="1"/>
  <c r="O3868" i="16"/>
  <c r="M3868" i="16"/>
  <c r="P3868" i="16" s="1"/>
  <c r="Q3868" i="16" s="1"/>
  <c r="O3867" i="16"/>
  <c r="M3867" i="16"/>
  <c r="P3867" i="16" s="1"/>
  <c r="Q3867" i="16" s="1"/>
  <c r="O3866" i="16"/>
  <c r="M3866" i="16"/>
  <c r="P3866" i="16" s="1"/>
  <c r="Q3866" i="16" s="1"/>
  <c r="P3865" i="16"/>
  <c r="Q3865" i="16" s="1"/>
  <c r="O3865" i="16"/>
  <c r="M3865" i="16"/>
  <c r="O3864" i="16"/>
  <c r="M3864" i="16"/>
  <c r="P3864" i="16" s="1"/>
  <c r="Q3864" i="16" s="1"/>
  <c r="O3863" i="16"/>
  <c r="M3863" i="16"/>
  <c r="P3863" i="16" s="1"/>
  <c r="F3859" i="16"/>
  <c r="E3859" i="16"/>
  <c r="A3879" i="16" s="1"/>
  <c r="M3855" i="16"/>
  <c r="M3852" i="16"/>
  <c r="O3852" i="16" s="1"/>
  <c r="J3849" i="16"/>
  <c r="AF3847" i="16"/>
  <c r="AE3847" i="16"/>
  <c r="O3842" i="16"/>
  <c r="M3842" i="16"/>
  <c r="P3842" i="16" s="1"/>
  <c r="Q3842" i="16" s="1"/>
  <c r="O3841" i="16"/>
  <c r="M3841" i="16"/>
  <c r="P3841" i="16" s="1"/>
  <c r="Q3841" i="16" s="1"/>
  <c r="O3840" i="16"/>
  <c r="M3840" i="16"/>
  <c r="P3840" i="16" s="1"/>
  <c r="Q3840" i="16" s="1"/>
  <c r="O3839" i="16"/>
  <c r="M3839" i="16"/>
  <c r="P3839" i="16" s="1"/>
  <c r="Q3839" i="16" s="1"/>
  <c r="O3838" i="16"/>
  <c r="M3838" i="16"/>
  <c r="P3838" i="16" s="1"/>
  <c r="Q3838" i="16" s="1"/>
  <c r="O3837" i="16"/>
  <c r="M3837" i="16"/>
  <c r="P3837" i="16" s="1"/>
  <c r="Q3837" i="16" s="1"/>
  <c r="O3836" i="16"/>
  <c r="M3836" i="16"/>
  <c r="P3836" i="16" s="1"/>
  <c r="Q3836" i="16" s="1"/>
  <c r="O3835" i="16"/>
  <c r="M3835" i="16"/>
  <c r="P3835" i="16" s="1"/>
  <c r="Q3835" i="16" s="1"/>
  <c r="O3834" i="16"/>
  <c r="M3834" i="16"/>
  <c r="P3834" i="16" s="1"/>
  <c r="Q3834" i="16" s="1"/>
  <c r="O3833" i="16"/>
  <c r="M3833" i="16"/>
  <c r="P3833" i="16" s="1"/>
  <c r="F3829" i="16"/>
  <c r="E3829" i="16"/>
  <c r="A3855" i="16" s="1"/>
  <c r="M3825" i="16"/>
  <c r="M3822" i="16"/>
  <c r="O3822" i="16" s="1"/>
  <c r="J3819" i="16"/>
  <c r="AF3817" i="16"/>
  <c r="AE3817" i="16"/>
  <c r="O3812" i="16"/>
  <c r="M3812" i="16"/>
  <c r="P3812" i="16" s="1"/>
  <c r="Q3812" i="16" s="1"/>
  <c r="O3811" i="16"/>
  <c r="M3811" i="16"/>
  <c r="P3811" i="16" s="1"/>
  <c r="Q3811" i="16" s="1"/>
  <c r="O3810" i="16"/>
  <c r="M3810" i="16"/>
  <c r="P3810" i="16" s="1"/>
  <c r="Q3810" i="16" s="1"/>
  <c r="O3809" i="16"/>
  <c r="M3809" i="16"/>
  <c r="P3809" i="16" s="1"/>
  <c r="Q3809" i="16" s="1"/>
  <c r="Q3808" i="16"/>
  <c r="O3808" i="16"/>
  <c r="M3808" i="16"/>
  <c r="P3808" i="16" s="1"/>
  <c r="O3807" i="16"/>
  <c r="M3807" i="16"/>
  <c r="P3807" i="16" s="1"/>
  <c r="Q3807" i="16" s="1"/>
  <c r="O3806" i="16"/>
  <c r="M3806" i="16"/>
  <c r="P3806" i="16" s="1"/>
  <c r="Q3806" i="16" s="1"/>
  <c r="O3805" i="16"/>
  <c r="M3805" i="16"/>
  <c r="P3805" i="16" s="1"/>
  <c r="Q3805" i="16" s="1"/>
  <c r="O3804" i="16"/>
  <c r="M3804" i="16"/>
  <c r="P3804" i="16" s="1"/>
  <c r="Q3804" i="16" s="1"/>
  <c r="O3803" i="16"/>
  <c r="M3803" i="16"/>
  <c r="P3803" i="16" s="1"/>
  <c r="F3799" i="16"/>
  <c r="E3799" i="16"/>
  <c r="A3825" i="16" s="1"/>
  <c r="M3795" i="16"/>
  <c r="M3792" i="16"/>
  <c r="O3792" i="16" s="1"/>
  <c r="J3789" i="16"/>
  <c r="AF3787" i="16"/>
  <c r="AE3787" i="16"/>
  <c r="T3787" i="16" s="1"/>
  <c r="Q3782" i="16"/>
  <c r="O3782" i="16"/>
  <c r="M3782" i="16"/>
  <c r="P3782" i="16" s="1"/>
  <c r="O3781" i="16"/>
  <c r="M3781" i="16"/>
  <c r="P3781" i="16" s="1"/>
  <c r="Q3781" i="16" s="1"/>
  <c r="O3780" i="16"/>
  <c r="M3780" i="16"/>
  <c r="P3780" i="16" s="1"/>
  <c r="Q3780" i="16" s="1"/>
  <c r="O3779" i="16"/>
  <c r="M3779" i="16"/>
  <c r="P3779" i="16" s="1"/>
  <c r="Q3779" i="16" s="1"/>
  <c r="O3778" i="16"/>
  <c r="M3778" i="16"/>
  <c r="P3778" i="16" s="1"/>
  <c r="Q3778" i="16" s="1"/>
  <c r="O3777" i="16"/>
  <c r="M3777" i="16"/>
  <c r="P3777" i="16" s="1"/>
  <c r="Q3777" i="16" s="1"/>
  <c r="O3776" i="16"/>
  <c r="M3776" i="16"/>
  <c r="P3776" i="16" s="1"/>
  <c r="Q3776" i="16" s="1"/>
  <c r="O3775" i="16"/>
  <c r="M3775" i="16"/>
  <c r="P3775" i="16" s="1"/>
  <c r="Q3775" i="16" s="1"/>
  <c r="O3774" i="16"/>
  <c r="M3774" i="16"/>
  <c r="P3774" i="16" s="1"/>
  <c r="Q3774" i="16" s="1"/>
  <c r="O3773" i="16"/>
  <c r="M3773" i="16"/>
  <c r="P3773" i="16" s="1"/>
  <c r="F3769" i="16"/>
  <c r="E3769" i="16"/>
  <c r="A3789" i="16" s="1"/>
  <c r="M3765" i="16"/>
  <c r="M3762" i="16"/>
  <c r="O3762" i="16" s="1"/>
  <c r="J3759" i="16"/>
  <c r="AF3757" i="16"/>
  <c r="AE3757" i="16"/>
  <c r="O3752" i="16"/>
  <c r="M3752" i="16"/>
  <c r="P3752" i="16" s="1"/>
  <c r="Q3752" i="16" s="1"/>
  <c r="O3751" i="16"/>
  <c r="M3751" i="16"/>
  <c r="P3751" i="16" s="1"/>
  <c r="Q3751" i="16" s="1"/>
  <c r="O3750" i="16"/>
  <c r="M3750" i="16"/>
  <c r="P3750" i="16" s="1"/>
  <c r="Q3750" i="16" s="1"/>
  <c r="O3749" i="16"/>
  <c r="M3749" i="16"/>
  <c r="P3749" i="16" s="1"/>
  <c r="Q3749" i="16" s="1"/>
  <c r="O3748" i="16"/>
  <c r="M3748" i="16"/>
  <c r="P3748" i="16" s="1"/>
  <c r="Q3748" i="16" s="1"/>
  <c r="O3747" i="16"/>
  <c r="M3747" i="16"/>
  <c r="P3747" i="16" s="1"/>
  <c r="Q3747" i="16" s="1"/>
  <c r="O3746" i="16"/>
  <c r="M3746" i="16"/>
  <c r="P3746" i="16" s="1"/>
  <c r="Q3746" i="16" s="1"/>
  <c r="O3745" i="16"/>
  <c r="M3745" i="16"/>
  <c r="P3745" i="16" s="1"/>
  <c r="Q3745" i="16" s="1"/>
  <c r="O3744" i="16"/>
  <c r="M3744" i="16"/>
  <c r="P3744" i="16" s="1"/>
  <c r="Q3744" i="16" s="1"/>
  <c r="O3743" i="16"/>
  <c r="M3743" i="16"/>
  <c r="P3743" i="16" s="1"/>
  <c r="F3739" i="16"/>
  <c r="E3739" i="16"/>
  <c r="A3749" i="16" s="1"/>
  <c r="M3735" i="16"/>
  <c r="M3732" i="16"/>
  <c r="O3732" i="16" s="1"/>
  <c r="J3729" i="16"/>
  <c r="AF3727" i="16"/>
  <c r="AE3727" i="16"/>
  <c r="T3727" i="16" s="1"/>
  <c r="O3722" i="16"/>
  <c r="M3722" i="16"/>
  <c r="P3722" i="16" s="1"/>
  <c r="Q3722" i="16" s="1"/>
  <c r="O3721" i="16"/>
  <c r="M3721" i="16"/>
  <c r="P3721" i="16" s="1"/>
  <c r="Q3721" i="16" s="1"/>
  <c r="O3720" i="16"/>
  <c r="M3720" i="16"/>
  <c r="P3720" i="16" s="1"/>
  <c r="Q3720" i="16" s="1"/>
  <c r="O3719" i="16"/>
  <c r="M3719" i="16"/>
  <c r="P3719" i="16" s="1"/>
  <c r="Q3719" i="16" s="1"/>
  <c r="O3718" i="16"/>
  <c r="M3718" i="16"/>
  <c r="P3718" i="16" s="1"/>
  <c r="Q3718" i="16" s="1"/>
  <c r="O3717" i="16"/>
  <c r="M3717" i="16"/>
  <c r="P3717" i="16" s="1"/>
  <c r="Q3717" i="16" s="1"/>
  <c r="O3716" i="16"/>
  <c r="M3716" i="16"/>
  <c r="P3716" i="16" s="1"/>
  <c r="Q3716" i="16" s="1"/>
  <c r="O3715" i="16"/>
  <c r="M3715" i="16"/>
  <c r="P3715" i="16" s="1"/>
  <c r="Q3715" i="16" s="1"/>
  <c r="O3714" i="16"/>
  <c r="M3714" i="16"/>
  <c r="P3714" i="16" s="1"/>
  <c r="Q3714" i="16" s="1"/>
  <c r="O3713" i="16"/>
  <c r="M3713" i="16"/>
  <c r="P3713" i="16" s="1"/>
  <c r="F3709" i="16"/>
  <c r="E3709" i="16"/>
  <c r="A3729" i="16" s="1"/>
  <c r="M3705" i="16"/>
  <c r="M3702" i="16"/>
  <c r="O3702" i="16" s="1"/>
  <c r="J3699" i="16"/>
  <c r="AF3697" i="16"/>
  <c r="AE3697" i="16"/>
  <c r="O3692" i="16"/>
  <c r="M3692" i="16"/>
  <c r="P3692" i="16" s="1"/>
  <c r="Q3692" i="16" s="1"/>
  <c r="O3691" i="16"/>
  <c r="M3691" i="16"/>
  <c r="P3691" i="16" s="1"/>
  <c r="Q3691" i="16" s="1"/>
  <c r="O3690" i="16"/>
  <c r="M3690" i="16"/>
  <c r="P3690" i="16" s="1"/>
  <c r="Q3690" i="16" s="1"/>
  <c r="O3689" i="16"/>
  <c r="M3689" i="16"/>
  <c r="P3689" i="16" s="1"/>
  <c r="Q3689" i="16" s="1"/>
  <c r="O3688" i="16"/>
  <c r="M3688" i="16"/>
  <c r="P3688" i="16" s="1"/>
  <c r="Q3688" i="16" s="1"/>
  <c r="O3687" i="16"/>
  <c r="M3687" i="16"/>
  <c r="P3687" i="16" s="1"/>
  <c r="Q3687" i="16" s="1"/>
  <c r="P3686" i="16"/>
  <c r="Q3686" i="16" s="1"/>
  <c r="O3686" i="16"/>
  <c r="M3686" i="16"/>
  <c r="O3685" i="16"/>
  <c r="M3685" i="16"/>
  <c r="P3685" i="16" s="1"/>
  <c r="Q3685" i="16" s="1"/>
  <c r="O3684" i="16"/>
  <c r="M3684" i="16"/>
  <c r="P3684" i="16" s="1"/>
  <c r="Q3684" i="16" s="1"/>
  <c r="O3683" i="16"/>
  <c r="M3683" i="16"/>
  <c r="P3683" i="16" s="1"/>
  <c r="F3679" i="16"/>
  <c r="E3679" i="16"/>
  <c r="A3705" i="16" s="1"/>
  <c r="M3675" i="16"/>
  <c r="M3672" i="16"/>
  <c r="O3672" i="16" s="1"/>
  <c r="J3669" i="16"/>
  <c r="AF3667" i="16"/>
  <c r="AE3667" i="16"/>
  <c r="O3662" i="16"/>
  <c r="M3662" i="16"/>
  <c r="P3662" i="16" s="1"/>
  <c r="Q3662" i="16" s="1"/>
  <c r="O3661" i="16"/>
  <c r="M3661" i="16"/>
  <c r="P3661" i="16" s="1"/>
  <c r="Q3661" i="16" s="1"/>
  <c r="P3660" i="16"/>
  <c r="Q3660" i="16" s="1"/>
  <c r="O3660" i="16"/>
  <c r="M3660" i="16"/>
  <c r="O3659" i="16"/>
  <c r="M3659" i="16"/>
  <c r="P3659" i="16" s="1"/>
  <c r="Q3659" i="16" s="1"/>
  <c r="O3658" i="16"/>
  <c r="M3658" i="16"/>
  <c r="P3658" i="16" s="1"/>
  <c r="Q3658" i="16" s="1"/>
  <c r="O3657" i="16"/>
  <c r="M3657" i="16"/>
  <c r="P3657" i="16" s="1"/>
  <c r="Q3657" i="16" s="1"/>
  <c r="O3656" i="16"/>
  <c r="M3656" i="16"/>
  <c r="P3656" i="16" s="1"/>
  <c r="Q3656" i="16" s="1"/>
  <c r="O3655" i="16"/>
  <c r="M3655" i="16"/>
  <c r="P3655" i="16" s="1"/>
  <c r="Q3655" i="16" s="1"/>
  <c r="O3654" i="16"/>
  <c r="M3654" i="16"/>
  <c r="P3654" i="16" s="1"/>
  <c r="Q3654" i="16" s="1"/>
  <c r="O3653" i="16"/>
  <c r="M3653" i="16"/>
  <c r="P3653" i="16" s="1"/>
  <c r="F3649" i="16"/>
  <c r="E3649" i="16"/>
  <c r="A3669" i="16" s="1"/>
  <c r="M3645" i="16"/>
  <c r="M3642" i="16"/>
  <c r="O3642" i="16" s="1"/>
  <c r="J3639" i="16"/>
  <c r="AF3637" i="16"/>
  <c r="AE3637" i="16"/>
  <c r="O3632" i="16"/>
  <c r="M3632" i="16"/>
  <c r="P3632" i="16" s="1"/>
  <c r="Q3632" i="16" s="1"/>
  <c r="O3631" i="16"/>
  <c r="M3631" i="16"/>
  <c r="P3631" i="16" s="1"/>
  <c r="Q3631" i="16" s="1"/>
  <c r="O3630" i="16"/>
  <c r="M3630" i="16"/>
  <c r="P3630" i="16" s="1"/>
  <c r="Q3630" i="16" s="1"/>
  <c r="O3629" i="16"/>
  <c r="M3629" i="16"/>
  <c r="P3629" i="16" s="1"/>
  <c r="Q3629" i="16" s="1"/>
  <c r="O3628" i="16"/>
  <c r="M3628" i="16"/>
  <c r="P3628" i="16" s="1"/>
  <c r="Q3628" i="16" s="1"/>
  <c r="O3627" i="16"/>
  <c r="M3627" i="16"/>
  <c r="P3627" i="16" s="1"/>
  <c r="Q3627" i="16" s="1"/>
  <c r="O3626" i="16"/>
  <c r="M3626" i="16"/>
  <c r="P3626" i="16" s="1"/>
  <c r="Q3626" i="16" s="1"/>
  <c r="O3625" i="16"/>
  <c r="M3625" i="16"/>
  <c r="P3625" i="16" s="1"/>
  <c r="Q3625" i="16" s="1"/>
  <c r="O3624" i="16"/>
  <c r="M3624" i="16"/>
  <c r="P3624" i="16" s="1"/>
  <c r="Q3624" i="16" s="1"/>
  <c r="O3623" i="16"/>
  <c r="M3623" i="16"/>
  <c r="P3623" i="16" s="1"/>
  <c r="F3619" i="16"/>
  <c r="E3619" i="16"/>
  <c r="A3629" i="16" s="1"/>
  <c r="M3615" i="16"/>
  <c r="M3612" i="16"/>
  <c r="O3612" i="16" s="1"/>
  <c r="J3609" i="16"/>
  <c r="AF3607" i="16"/>
  <c r="AE3607" i="16"/>
  <c r="O3602" i="16"/>
  <c r="M3602" i="16"/>
  <c r="P3602" i="16" s="1"/>
  <c r="Q3602" i="16" s="1"/>
  <c r="O3601" i="16"/>
  <c r="M3601" i="16"/>
  <c r="P3601" i="16" s="1"/>
  <c r="Q3601" i="16" s="1"/>
  <c r="O3600" i="16"/>
  <c r="M3600" i="16"/>
  <c r="P3600" i="16" s="1"/>
  <c r="Q3600" i="16" s="1"/>
  <c r="O3599" i="16"/>
  <c r="M3599" i="16"/>
  <c r="P3599" i="16" s="1"/>
  <c r="Q3599" i="16" s="1"/>
  <c r="O3598" i="16"/>
  <c r="M3598" i="16"/>
  <c r="P3598" i="16" s="1"/>
  <c r="Q3598" i="16" s="1"/>
  <c r="O3597" i="16"/>
  <c r="M3597" i="16"/>
  <c r="P3597" i="16" s="1"/>
  <c r="Q3597" i="16" s="1"/>
  <c r="O3596" i="16"/>
  <c r="M3596" i="16"/>
  <c r="P3596" i="16" s="1"/>
  <c r="Q3596" i="16" s="1"/>
  <c r="O3595" i="16"/>
  <c r="M3595" i="16"/>
  <c r="P3595" i="16" s="1"/>
  <c r="Q3595" i="16" s="1"/>
  <c r="O3594" i="16"/>
  <c r="M3594" i="16"/>
  <c r="P3594" i="16" s="1"/>
  <c r="Q3594" i="16" s="1"/>
  <c r="O3593" i="16"/>
  <c r="M3593" i="16"/>
  <c r="P3593" i="16" s="1"/>
  <c r="F3589" i="16"/>
  <c r="E3589" i="16"/>
  <c r="M3585" i="16"/>
  <c r="M3582" i="16"/>
  <c r="O3582" i="16" s="1"/>
  <c r="J3579" i="16"/>
  <c r="AF3577" i="16"/>
  <c r="AE3577" i="16"/>
  <c r="O3572" i="16"/>
  <c r="M3572" i="16"/>
  <c r="P3572" i="16" s="1"/>
  <c r="Q3572" i="16" s="1"/>
  <c r="O3571" i="16"/>
  <c r="M3571" i="16"/>
  <c r="P3571" i="16" s="1"/>
  <c r="Q3571" i="16" s="1"/>
  <c r="O3570" i="16"/>
  <c r="M3570" i="16"/>
  <c r="P3570" i="16" s="1"/>
  <c r="Q3570" i="16" s="1"/>
  <c r="O3569" i="16"/>
  <c r="M3569" i="16"/>
  <c r="P3569" i="16" s="1"/>
  <c r="Q3569" i="16" s="1"/>
  <c r="O3568" i="16"/>
  <c r="M3568" i="16"/>
  <c r="P3568" i="16" s="1"/>
  <c r="Q3568" i="16" s="1"/>
  <c r="O3567" i="16"/>
  <c r="M3567" i="16"/>
  <c r="P3567" i="16" s="1"/>
  <c r="Q3567" i="16" s="1"/>
  <c r="O3566" i="16"/>
  <c r="M3566" i="16"/>
  <c r="P3566" i="16" s="1"/>
  <c r="Q3566" i="16" s="1"/>
  <c r="O3565" i="16"/>
  <c r="M3565" i="16"/>
  <c r="P3565" i="16" s="1"/>
  <c r="Q3565" i="16" s="1"/>
  <c r="O3564" i="16"/>
  <c r="M3564" i="16"/>
  <c r="P3564" i="16" s="1"/>
  <c r="Q3564" i="16" s="1"/>
  <c r="O3563" i="16"/>
  <c r="M3563" i="16"/>
  <c r="P3563" i="16" s="1"/>
  <c r="F3559" i="16"/>
  <c r="E3559" i="16"/>
  <c r="A3571" i="16" s="1"/>
  <c r="M3555" i="16"/>
  <c r="O3552" i="16"/>
  <c r="M3552" i="16"/>
  <c r="J3549" i="16"/>
  <c r="AF3547" i="16"/>
  <c r="AE3547" i="16"/>
  <c r="O3542" i="16"/>
  <c r="M3542" i="16"/>
  <c r="P3542" i="16" s="1"/>
  <c r="Q3542" i="16" s="1"/>
  <c r="O3541" i="16"/>
  <c r="M3541" i="16"/>
  <c r="P3541" i="16" s="1"/>
  <c r="Q3541" i="16" s="1"/>
  <c r="O3540" i="16"/>
  <c r="M3540" i="16"/>
  <c r="P3540" i="16" s="1"/>
  <c r="Q3540" i="16" s="1"/>
  <c r="P3539" i="16"/>
  <c r="Q3539" i="16" s="1"/>
  <c r="O3539" i="16"/>
  <c r="M3539" i="16"/>
  <c r="O3538" i="16"/>
  <c r="M3538" i="16"/>
  <c r="P3538" i="16" s="1"/>
  <c r="Q3538" i="16" s="1"/>
  <c r="O3537" i="16"/>
  <c r="M3537" i="16"/>
  <c r="P3537" i="16" s="1"/>
  <c r="Q3537" i="16" s="1"/>
  <c r="O3536" i="16"/>
  <c r="M3536" i="16"/>
  <c r="P3536" i="16" s="1"/>
  <c r="Q3536" i="16" s="1"/>
  <c r="O3535" i="16"/>
  <c r="M3535" i="16"/>
  <c r="P3535" i="16" s="1"/>
  <c r="Q3535" i="16" s="1"/>
  <c r="O3534" i="16"/>
  <c r="M3534" i="16"/>
  <c r="P3534" i="16" s="1"/>
  <c r="Q3534" i="16" s="1"/>
  <c r="O3533" i="16"/>
  <c r="M3533" i="16"/>
  <c r="P3533" i="16" s="1"/>
  <c r="F3529" i="16"/>
  <c r="E3529" i="16"/>
  <c r="A3553" i="16" s="1"/>
  <c r="M3525" i="16"/>
  <c r="M3522" i="16"/>
  <c r="O3522" i="16" s="1"/>
  <c r="J3519" i="16"/>
  <c r="AF3517" i="16"/>
  <c r="AE3517" i="16"/>
  <c r="O3512" i="16"/>
  <c r="M3512" i="16"/>
  <c r="P3512" i="16" s="1"/>
  <c r="Q3512" i="16" s="1"/>
  <c r="O3511" i="16"/>
  <c r="M3511" i="16"/>
  <c r="P3511" i="16" s="1"/>
  <c r="Q3511" i="16" s="1"/>
  <c r="O3510" i="16"/>
  <c r="M3510" i="16"/>
  <c r="P3510" i="16" s="1"/>
  <c r="Q3510" i="16" s="1"/>
  <c r="O3509" i="16"/>
  <c r="M3509" i="16"/>
  <c r="P3509" i="16" s="1"/>
  <c r="Q3509" i="16" s="1"/>
  <c r="O3508" i="16"/>
  <c r="M3508" i="16"/>
  <c r="P3508" i="16" s="1"/>
  <c r="Q3508" i="16" s="1"/>
  <c r="O3507" i="16"/>
  <c r="M3507" i="16"/>
  <c r="P3507" i="16" s="1"/>
  <c r="Q3507" i="16" s="1"/>
  <c r="O3506" i="16"/>
  <c r="M3506" i="16"/>
  <c r="P3506" i="16" s="1"/>
  <c r="Q3506" i="16" s="1"/>
  <c r="P3505" i="16"/>
  <c r="Q3505" i="16" s="1"/>
  <c r="O3505" i="16"/>
  <c r="M3505" i="16"/>
  <c r="O3504" i="16"/>
  <c r="M3504" i="16"/>
  <c r="P3504" i="16" s="1"/>
  <c r="Q3504" i="16" s="1"/>
  <c r="O3503" i="16"/>
  <c r="M3503" i="16"/>
  <c r="P3503" i="16" s="1"/>
  <c r="F3499" i="16"/>
  <c r="E3499" i="16"/>
  <c r="A3523" i="16" s="1"/>
  <c r="M3495" i="16"/>
  <c r="M3492" i="16"/>
  <c r="O3492" i="16" s="1"/>
  <c r="J3489" i="16"/>
  <c r="AF3487" i="16"/>
  <c r="AE3487" i="16"/>
  <c r="O3482" i="16"/>
  <c r="M3482" i="16"/>
  <c r="P3482" i="16" s="1"/>
  <c r="Q3482" i="16" s="1"/>
  <c r="O3481" i="16"/>
  <c r="M3481" i="16"/>
  <c r="P3481" i="16" s="1"/>
  <c r="Q3481" i="16" s="1"/>
  <c r="O3480" i="16"/>
  <c r="M3480" i="16"/>
  <c r="P3480" i="16" s="1"/>
  <c r="Q3480" i="16" s="1"/>
  <c r="P3479" i="16"/>
  <c r="Q3479" i="16" s="1"/>
  <c r="O3479" i="16"/>
  <c r="M3479" i="16"/>
  <c r="P3478" i="16"/>
  <c r="Q3478" i="16" s="1"/>
  <c r="O3478" i="16"/>
  <c r="M3478" i="16"/>
  <c r="O3477" i="16"/>
  <c r="M3477" i="16"/>
  <c r="P3477" i="16" s="1"/>
  <c r="Q3477" i="16" s="1"/>
  <c r="O3476" i="16"/>
  <c r="M3476" i="16"/>
  <c r="P3476" i="16" s="1"/>
  <c r="Q3476" i="16" s="1"/>
  <c r="O3475" i="16"/>
  <c r="M3475" i="16"/>
  <c r="P3475" i="16" s="1"/>
  <c r="Q3475" i="16" s="1"/>
  <c r="O3474" i="16"/>
  <c r="M3474" i="16"/>
  <c r="P3474" i="16" s="1"/>
  <c r="Q3474" i="16" s="1"/>
  <c r="O3473" i="16"/>
  <c r="M3473" i="16"/>
  <c r="P3473" i="16" s="1"/>
  <c r="F3469" i="16"/>
  <c r="E3469" i="16"/>
  <c r="A3493" i="16" s="1"/>
  <c r="M3465" i="16"/>
  <c r="M3462" i="16"/>
  <c r="O3462" i="16" s="1"/>
  <c r="J3459" i="16"/>
  <c r="AF3457" i="16"/>
  <c r="AE3457" i="16"/>
  <c r="O3452" i="16"/>
  <c r="M3452" i="16"/>
  <c r="P3452" i="16" s="1"/>
  <c r="Q3452" i="16" s="1"/>
  <c r="O3451" i="16"/>
  <c r="M3451" i="16"/>
  <c r="P3451" i="16" s="1"/>
  <c r="Q3451" i="16" s="1"/>
  <c r="O3450" i="16"/>
  <c r="M3450" i="16"/>
  <c r="P3450" i="16" s="1"/>
  <c r="Q3450" i="16" s="1"/>
  <c r="O3449" i="16"/>
  <c r="M3449" i="16"/>
  <c r="P3449" i="16" s="1"/>
  <c r="Q3449" i="16" s="1"/>
  <c r="O3448" i="16"/>
  <c r="M3448" i="16"/>
  <c r="P3448" i="16" s="1"/>
  <c r="Q3448" i="16" s="1"/>
  <c r="O3447" i="16"/>
  <c r="M3447" i="16"/>
  <c r="P3447" i="16" s="1"/>
  <c r="Q3447" i="16" s="1"/>
  <c r="O3446" i="16"/>
  <c r="M3446" i="16"/>
  <c r="P3446" i="16" s="1"/>
  <c r="Q3446" i="16" s="1"/>
  <c r="O3445" i="16"/>
  <c r="M3445" i="16"/>
  <c r="P3445" i="16" s="1"/>
  <c r="Q3445" i="16" s="1"/>
  <c r="O3444" i="16"/>
  <c r="M3444" i="16"/>
  <c r="P3444" i="16" s="1"/>
  <c r="Q3444" i="16" s="1"/>
  <c r="O3443" i="16"/>
  <c r="M3443" i="16"/>
  <c r="P3443" i="16" s="1"/>
  <c r="F3439" i="16"/>
  <c r="E3439" i="16"/>
  <c r="A3463" i="16" s="1"/>
  <c r="M3435" i="16"/>
  <c r="O3432" i="16"/>
  <c r="M3432" i="16"/>
  <c r="J3429" i="16"/>
  <c r="AF3427" i="16"/>
  <c r="AE3427" i="16"/>
  <c r="O3422" i="16"/>
  <c r="M3422" i="16"/>
  <c r="P3422" i="16" s="1"/>
  <c r="Q3422" i="16" s="1"/>
  <c r="O3421" i="16"/>
  <c r="M3421" i="16"/>
  <c r="P3421" i="16" s="1"/>
  <c r="Q3421" i="16" s="1"/>
  <c r="O3420" i="16"/>
  <c r="M3420" i="16"/>
  <c r="P3420" i="16" s="1"/>
  <c r="Q3420" i="16" s="1"/>
  <c r="P3419" i="16"/>
  <c r="Q3419" i="16" s="1"/>
  <c r="O3419" i="16"/>
  <c r="M3419" i="16"/>
  <c r="O3418" i="16"/>
  <c r="M3418" i="16"/>
  <c r="P3418" i="16" s="1"/>
  <c r="Q3418" i="16" s="1"/>
  <c r="O3417" i="16"/>
  <c r="M3417" i="16"/>
  <c r="P3417" i="16" s="1"/>
  <c r="Q3417" i="16" s="1"/>
  <c r="O3416" i="16"/>
  <c r="M3416" i="16"/>
  <c r="P3416" i="16" s="1"/>
  <c r="Q3416" i="16" s="1"/>
  <c r="O3415" i="16"/>
  <c r="M3415" i="16"/>
  <c r="P3415" i="16" s="1"/>
  <c r="Q3415" i="16" s="1"/>
  <c r="O3414" i="16"/>
  <c r="M3414" i="16"/>
  <c r="P3414" i="16" s="1"/>
  <c r="Q3414" i="16" s="1"/>
  <c r="O3413" i="16"/>
  <c r="M3413" i="16"/>
  <c r="P3413" i="16" s="1"/>
  <c r="F3409" i="16"/>
  <c r="E3409" i="16"/>
  <c r="A3433" i="16" s="1"/>
  <c r="M3405" i="16"/>
  <c r="M3402" i="16"/>
  <c r="O3402" i="16" s="1"/>
  <c r="J3399" i="16"/>
  <c r="AF3397" i="16"/>
  <c r="AE3397" i="16"/>
  <c r="O3392" i="16"/>
  <c r="M3392" i="16"/>
  <c r="P3392" i="16" s="1"/>
  <c r="Q3392" i="16" s="1"/>
  <c r="O3391" i="16"/>
  <c r="M3391" i="16"/>
  <c r="P3391" i="16" s="1"/>
  <c r="Q3391" i="16" s="1"/>
  <c r="O3390" i="16"/>
  <c r="M3390" i="16"/>
  <c r="P3390" i="16" s="1"/>
  <c r="Q3390" i="16" s="1"/>
  <c r="P3389" i="16"/>
  <c r="Q3389" i="16" s="1"/>
  <c r="O3389" i="16"/>
  <c r="M3389" i="16"/>
  <c r="P3388" i="16"/>
  <c r="Q3388" i="16" s="1"/>
  <c r="O3388" i="16"/>
  <c r="M3388" i="16"/>
  <c r="O3387" i="16"/>
  <c r="M3387" i="16"/>
  <c r="P3387" i="16" s="1"/>
  <c r="Q3387" i="16" s="1"/>
  <c r="O3386" i="16"/>
  <c r="M3386" i="16"/>
  <c r="P3386" i="16" s="1"/>
  <c r="Q3386" i="16" s="1"/>
  <c r="O3385" i="16"/>
  <c r="M3385" i="16"/>
  <c r="P3385" i="16" s="1"/>
  <c r="Q3385" i="16" s="1"/>
  <c r="Q3384" i="16"/>
  <c r="O3384" i="16"/>
  <c r="M3384" i="16"/>
  <c r="P3384" i="16" s="1"/>
  <c r="O3383" i="16"/>
  <c r="M3383" i="16"/>
  <c r="P3383" i="16" s="1"/>
  <c r="F3379" i="16"/>
  <c r="E3379" i="16"/>
  <c r="A3403" i="16" s="1"/>
  <c r="M3375" i="16"/>
  <c r="M3372" i="16"/>
  <c r="O3372" i="16" s="1"/>
  <c r="J3369" i="16"/>
  <c r="AF3367" i="16"/>
  <c r="AE3367" i="16"/>
  <c r="O3362" i="16"/>
  <c r="M3362" i="16"/>
  <c r="P3362" i="16" s="1"/>
  <c r="Q3362" i="16" s="1"/>
  <c r="O3361" i="16"/>
  <c r="M3361" i="16"/>
  <c r="P3361" i="16" s="1"/>
  <c r="Q3361" i="16" s="1"/>
  <c r="O3360" i="16"/>
  <c r="M3360" i="16"/>
  <c r="P3360" i="16" s="1"/>
  <c r="Q3360" i="16" s="1"/>
  <c r="O3359" i="16"/>
  <c r="M3359" i="16"/>
  <c r="P3359" i="16" s="1"/>
  <c r="Q3359" i="16" s="1"/>
  <c r="P3358" i="16"/>
  <c r="Q3358" i="16" s="1"/>
  <c r="O3358" i="16"/>
  <c r="M3358" i="16"/>
  <c r="O3357" i="16"/>
  <c r="M3357" i="16"/>
  <c r="P3357" i="16" s="1"/>
  <c r="Q3357" i="16" s="1"/>
  <c r="O3356" i="16"/>
  <c r="M3356" i="16"/>
  <c r="P3356" i="16" s="1"/>
  <c r="Q3356" i="16" s="1"/>
  <c r="P3355" i="16"/>
  <c r="Q3355" i="16" s="1"/>
  <c r="O3355" i="16"/>
  <c r="M3355" i="16"/>
  <c r="O3354" i="16"/>
  <c r="M3354" i="16"/>
  <c r="P3354" i="16" s="1"/>
  <c r="Q3354" i="16" s="1"/>
  <c r="O3353" i="16"/>
  <c r="M3353" i="16"/>
  <c r="P3353" i="16" s="1"/>
  <c r="F3349" i="16"/>
  <c r="E3349" i="16"/>
  <c r="A3373" i="16" s="1"/>
  <c r="M3345" i="16"/>
  <c r="M3342" i="16"/>
  <c r="O3342" i="16" s="1"/>
  <c r="J3339" i="16"/>
  <c r="AF3337" i="16"/>
  <c r="AE3337" i="16"/>
  <c r="T3337" i="16" s="1"/>
  <c r="O3332" i="16"/>
  <c r="M3332" i="16"/>
  <c r="P3332" i="16" s="1"/>
  <c r="Q3332" i="16" s="1"/>
  <c r="O3331" i="16"/>
  <c r="M3331" i="16"/>
  <c r="P3331" i="16" s="1"/>
  <c r="Q3331" i="16" s="1"/>
  <c r="O3330" i="16"/>
  <c r="M3330" i="16"/>
  <c r="P3330" i="16" s="1"/>
  <c r="Q3330" i="16" s="1"/>
  <c r="O3329" i="16"/>
  <c r="M3329" i="16"/>
  <c r="P3329" i="16" s="1"/>
  <c r="Q3329" i="16" s="1"/>
  <c r="P3328" i="16"/>
  <c r="Q3328" i="16" s="1"/>
  <c r="O3328" i="16"/>
  <c r="M3328" i="16"/>
  <c r="O3327" i="16"/>
  <c r="M3327" i="16"/>
  <c r="P3327" i="16" s="1"/>
  <c r="Q3327" i="16" s="1"/>
  <c r="O3326" i="16"/>
  <c r="M3326" i="16"/>
  <c r="P3326" i="16" s="1"/>
  <c r="Q3326" i="16" s="1"/>
  <c r="O3325" i="16"/>
  <c r="M3325" i="16"/>
  <c r="P3325" i="16" s="1"/>
  <c r="Q3325" i="16" s="1"/>
  <c r="O3324" i="16"/>
  <c r="M3324" i="16"/>
  <c r="P3324" i="16" s="1"/>
  <c r="Q3324" i="16" s="1"/>
  <c r="O3323" i="16"/>
  <c r="M3323" i="16"/>
  <c r="P3323" i="16" s="1"/>
  <c r="F3319" i="16"/>
  <c r="E3319" i="16"/>
  <c r="M3315" i="16"/>
  <c r="M3312" i="16"/>
  <c r="O3312" i="16" s="1"/>
  <c r="J3309" i="16"/>
  <c r="AF3307" i="16"/>
  <c r="AE3307" i="16"/>
  <c r="T3307" i="16" s="1"/>
  <c r="Q3302" i="16"/>
  <c r="O3302" i="16"/>
  <c r="M3302" i="16"/>
  <c r="P3302" i="16" s="1"/>
  <c r="O3301" i="16"/>
  <c r="M3301" i="16"/>
  <c r="P3301" i="16" s="1"/>
  <c r="Q3301" i="16" s="1"/>
  <c r="O3300" i="16"/>
  <c r="M3300" i="16"/>
  <c r="P3300" i="16" s="1"/>
  <c r="Q3300" i="16" s="1"/>
  <c r="O3299" i="16"/>
  <c r="M3299" i="16"/>
  <c r="P3299" i="16" s="1"/>
  <c r="Q3299" i="16" s="1"/>
  <c r="O3298" i="16"/>
  <c r="M3298" i="16"/>
  <c r="P3298" i="16" s="1"/>
  <c r="Q3298" i="16" s="1"/>
  <c r="O3297" i="16"/>
  <c r="M3297" i="16"/>
  <c r="P3297" i="16" s="1"/>
  <c r="Q3297" i="16" s="1"/>
  <c r="O3296" i="16"/>
  <c r="M3296" i="16"/>
  <c r="P3296" i="16" s="1"/>
  <c r="Q3296" i="16" s="1"/>
  <c r="O3295" i="16"/>
  <c r="M3295" i="16"/>
  <c r="P3295" i="16" s="1"/>
  <c r="Q3295" i="16" s="1"/>
  <c r="O3294" i="16"/>
  <c r="M3294" i="16"/>
  <c r="P3294" i="16" s="1"/>
  <c r="Q3294" i="16" s="1"/>
  <c r="O3293" i="16"/>
  <c r="M3293" i="16"/>
  <c r="P3293" i="16" s="1"/>
  <c r="F3289" i="16"/>
  <c r="E3289" i="16"/>
  <c r="M3285" i="16"/>
  <c r="M3282" i="16"/>
  <c r="O3282" i="16" s="1"/>
  <c r="J3279" i="16"/>
  <c r="AF3277" i="16"/>
  <c r="AE3277" i="16"/>
  <c r="O3272" i="16"/>
  <c r="M3272" i="16"/>
  <c r="P3272" i="16" s="1"/>
  <c r="Q3272" i="16" s="1"/>
  <c r="O3271" i="16"/>
  <c r="M3271" i="16"/>
  <c r="P3271" i="16" s="1"/>
  <c r="Q3271" i="16" s="1"/>
  <c r="O3270" i="16"/>
  <c r="M3270" i="16"/>
  <c r="P3270" i="16" s="1"/>
  <c r="Q3270" i="16" s="1"/>
  <c r="O3269" i="16"/>
  <c r="M3269" i="16"/>
  <c r="P3269" i="16" s="1"/>
  <c r="Q3269" i="16" s="1"/>
  <c r="O3268" i="16"/>
  <c r="M3268" i="16"/>
  <c r="P3268" i="16" s="1"/>
  <c r="Q3268" i="16" s="1"/>
  <c r="O3267" i="16"/>
  <c r="M3267" i="16"/>
  <c r="P3267" i="16" s="1"/>
  <c r="Q3267" i="16" s="1"/>
  <c r="O3266" i="16"/>
  <c r="M3266" i="16"/>
  <c r="P3266" i="16" s="1"/>
  <c r="Q3266" i="16" s="1"/>
  <c r="O3265" i="16"/>
  <c r="M3265" i="16"/>
  <c r="P3265" i="16" s="1"/>
  <c r="Q3265" i="16" s="1"/>
  <c r="O3264" i="16"/>
  <c r="M3264" i="16"/>
  <c r="P3264" i="16" s="1"/>
  <c r="Q3264" i="16" s="1"/>
  <c r="O3263" i="16"/>
  <c r="M3263" i="16"/>
  <c r="P3263" i="16" s="1"/>
  <c r="F3259" i="16"/>
  <c r="E3259" i="16"/>
  <c r="A3286" i="16" s="1"/>
  <c r="M3255" i="16"/>
  <c r="M3252" i="16"/>
  <c r="O3252" i="16" s="1"/>
  <c r="J3249" i="16"/>
  <c r="AF3247" i="16"/>
  <c r="AE3247" i="16"/>
  <c r="O3242" i="16"/>
  <c r="M3242" i="16"/>
  <c r="P3242" i="16" s="1"/>
  <c r="Q3242" i="16" s="1"/>
  <c r="O3241" i="16"/>
  <c r="M3241" i="16"/>
  <c r="P3241" i="16" s="1"/>
  <c r="Q3241" i="16" s="1"/>
  <c r="O3240" i="16"/>
  <c r="M3240" i="16"/>
  <c r="P3240" i="16" s="1"/>
  <c r="Q3240" i="16" s="1"/>
  <c r="O3239" i="16"/>
  <c r="M3239" i="16"/>
  <c r="P3239" i="16" s="1"/>
  <c r="Q3239" i="16" s="1"/>
  <c r="O3238" i="16"/>
  <c r="M3238" i="16"/>
  <c r="P3238" i="16" s="1"/>
  <c r="Q3238" i="16" s="1"/>
  <c r="O3237" i="16"/>
  <c r="M3237" i="16"/>
  <c r="P3237" i="16" s="1"/>
  <c r="Q3237" i="16" s="1"/>
  <c r="O3236" i="16"/>
  <c r="M3236" i="16"/>
  <c r="P3236" i="16" s="1"/>
  <c r="Q3236" i="16" s="1"/>
  <c r="O3235" i="16"/>
  <c r="M3235" i="16"/>
  <c r="P3235" i="16" s="1"/>
  <c r="Q3235" i="16" s="1"/>
  <c r="P3234" i="16"/>
  <c r="Q3234" i="16" s="1"/>
  <c r="O3234" i="16"/>
  <c r="M3234" i="16"/>
  <c r="O3233" i="16"/>
  <c r="M3233" i="16"/>
  <c r="P3233" i="16" s="1"/>
  <c r="F3229" i="16"/>
  <c r="E3229" i="16"/>
  <c r="A3255" i="16" s="1"/>
  <c r="M3225" i="16"/>
  <c r="M3222" i="16"/>
  <c r="O3222" i="16" s="1"/>
  <c r="J3219" i="16"/>
  <c r="AF3217" i="16"/>
  <c r="AE3217" i="16"/>
  <c r="O3212" i="16"/>
  <c r="M3212" i="16"/>
  <c r="P3212" i="16" s="1"/>
  <c r="Q3212" i="16" s="1"/>
  <c r="O3211" i="16"/>
  <c r="M3211" i="16"/>
  <c r="P3211" i="16" s="1"/>
  <c r="Q3211" i="16" s="1"/>
  <c r="O3210" i="16"/>
  <c r="M3210" i="16"/>
  <c r="P3210" i="16" s="1"/>
  <c r="Q3210" i="16" s="1"/>
  <c r="A3210" i="16"/>
  <c r="O3209" i="16"/>
  <c r="M3209" i="16"/>
  <c r="P3209" i="16" s="1"/>
  <c r="Q3209" i="16" s="1"/>
  <c r="Q3208" i="16"/>
  <c r="O3208" i="16"/>
  <c r="M3208" i="16"/>
  <c r="P3208" i="16" s="1"/>
  <c r="O3207" i="16"/>
  <c r="M3207" i="16"/>
  <c r="P3207" i="16" s="1"/>
  <c r="Q3207" i="16" s="1"/>
  <c r="O3206" i="16"/>
  <c r="M3206" i="16"/>
  <c r="P3206" i="16" s="1"/>
  <c r="Q3206" i="16" s="1"/>
  <c r="O3205" i="16"/>
  <c r="M3205" i="16"/>
  <c r="P3205" i="16" s="1"/>
  <c r="Q3205" i="16" s="1"/>
  <c r="O3204" i="16"/>
  <c r="M3204" i="16"/>
  <c r="P3204" i="16" s="1"/>
  <c r="Q3204" i="16" s="1"/>
  <c r="O3203" i="16"/>
  <c r="M3203" i="16"/>
  <c r="P3203" i="16" s="1"/>
  <c r="F3199" i="16"/>
  <c r="E3199" i="16"/>
  <c r="M3195" i="16"/>
  <c r="M3192" i="16"/>
  <c r="O3192" i="16" s="1"/>
  <c r="J3189" i="16"/>
  <c r="AF3187" i="16"/>
  <c r="AE3187" i="16"/>
  <c r="O3182" i="16"/>
  <c r="M3182" i="16"/>
  <c r="P3182" i="16" s="1"/>
  <c r="Q3182" i="16" s="1"/>
  <c r="O3181" i="16"/>
  <c r="M3181" i="16"/>
  <c r="P3181" i="16" s="1"/>
  <c r="Q3181" i="16" s="1"/>
  <c r="O3180" i="16"/>
  <c r="M3180" i="16"/>
  <c r="P3180" i="16" s="1"/>
  <c r="Q3180" i="16" s="1"/>
  <c r="O3179" i="16"/>
  <c r="M3179" i="16"/>
  <c r="P3179" i="16" s="1"/>
  <c r="Q3179" i="16" s="1"/>
  <c r="P3178" i="16"/>
  <c r="Q3178" i="16" s="1"/>
  <c r="O3178" i="16"/>
  <c r="M3178" i="16"/>
  <c r="O3177" i="16"/>
  <c r="M3177" i="16"/>
  <c r="P3177" i="16" s="1"/>
  <c r="Q3177" i="16" s="1"/>
  <c r="O3176" i="16"/>
  <c r="M3176" i="16"/>
  <c r="P3176" i="16" s="1"/>
  <c r="Q3176" i="16" s="1"/>
  <c r="O3175" i="16"/>
  <c r="M3175" i="16"/>
  <c r="P3175" i="16" s="1"/>
  <c r="Q3175" i="16" s="1"/>
  <c r="O3174" i="16"/>
  <c r="M3174" i="16"/>
  <c r="P3174" i="16" s="1"/>
  <c r="Q3174" i="16" s="1"/>
  <c r="O3173" i="16"/>
  <c r="M3173" i="16"/>
  <c r="P3173" i="16" s="1"/>
  <c r="F3169" i="16"/>
  <c r="E3169" i="16"/>
  <c r="M3165" i="16"/>
  <c r="O3162" i="16"/>
  <c r="M3162" i="16"/>
  <c r="J3159" i="16"/>
  <c r="AF3157" i="16"/>
  <c r="AE3157" i="16"/>
  <c r="T3157" i="16" s="1"/>
  <c r="O3152" i="16"/>
  <c r="M3152" i="16"/>
  <c r="P3152" i="16" s="1"/>
  <c r="Q3152" i="16" s="1"/>
  <c r="O3151" i="16"/>
  <c r="M3151" i="16"/>
  <c r="P3151" i="16" s="1"/>
  <c r="Q3151" i="16" s="1"/>
  <c r="O3150" i="16"/>
  <c r="M3150" i="16"/>
  <c r="P3150" i="16" s="1"/>
  <c r="Q3150" i="16" s="1"/>
  <c r="O3149" i="16"/>
  <c r="M3149" i="16"/>
  <c r="P3149" i="16" s="1"/>
  <c r="Q3149" i="16" s="1"/>
  <c r="P3148" i="16"/>
  <c r="Q3148" i="16" s="1"/>
  <c r="O3148" i="16"/>
  <c r="M3148" i="16"/>
  <c r="O3147" i="16"/>
  <c r="M3147" i="16"/>
  <c r="P3147" i="16" s="1"/>
  <c r="Q3147" i="16" s="1"/>
  <c r="O3146" i="16"/>
  <c r="M3146" i="16"/>
  <c r="P3146" i="16" s="1"/>
  <c r="Q3146" i="16" s="1"/>
  <c r="O3145" i="16"/>
  <c r="M3145" i="16"/>
  <c r="P3145" i="16" s="1"/>
  <c r="Q3145" i="16" s="1"/>
  <c r="O3144" i="16"/>
  <c r="M3144" i="16"/>
  <c r="P3144" i="16" s="1"/>
  <c r="Q3144" i="16" s="1"/>
  <c r="O3143" i="16"/>
  <c r="M3143" i="16"/>
  <c r="P3143" i="16" s="1"/>
  <c r="F3139" i="16"/>
  <c r="E3139" i="16"/>
  <c r="M3135" i="16"/>
  <c r="M3132" i="16"/>
  <c r="O3132" i="16" s="1"/>
  <c r="J3129" i="16"/>
  <c r="AF3127" i="16"/>
  <c r="AE3127" i="16"/>
  <c r="T3127" i="16" s="1"/>
  <c r="O3122" i="16"/>
  <c r="M3122" i="16"/>
  <c r="P3122" i="16" s="1"/>
  <c r="Q3122" i="16" s="1"/>
  <c r="A3122" i="16"/>
  <c r="O3121" i="16"/>
  <c r="M3121" i="16"/>
  <c r="P3121" i="16" s="1"/>
  <c r="Q3121" i="16" s="1"/>
  <c r="O3120" i="16"/>
  <c r="M3120" i="16"/>
  <c r="P3120" i="16" s="1"/>
  <c r="Q3120" i="16" s="1"/>
  <c r="O3119" i="16"/>
  <c r="M3119" i="16"/>
  <c r="P3119" i="16" s="1"/>
  <c r="Q3119" i="16" s="1"/>
  <c r="O3118" i="16"/>
  <c r="M3118" i="16"/>
  <c r="P3118" i="16" s="1"/>
  <c r="Q3118" i="16" s="1"/>
  <c r="O3117" i="16"/>
  <c r="M3117" i="16"/>
  <c r="P3117" i="16" s="1"/>
  <c r="Q3117" i="16" s="1"/>
  <c r="O3116" i="16"/>
  <c r="M3116" i="16"/>
  <c r="P3116" i="16" s="1"/>
  <c r="Q3116" i="16" s="1"/>
  <c r="O3115" i="16"/>
  <c r="M3115" i="16"/>
  <c r="P3115" i="16" s="1"/>
  <c r="Q3115" i="16" s="1"/>
  <c r="Q3114" i="16"/>
  <c r="O3114" i="16"/>
  <c r="M3114" i="16"/>
  <c r="P3114" i="16" s="1"/>
  <c r="O3113" i="16"/>
  <c r="M3113" i="16"/>
  <c r="P3113" i="16" s="1"/>
  <c r="F3109" i="16"/>
  <c r="E3109" i="16"/>
  <c r="A3130" i="16" s="1"/>
  <c r="M3105" i="16"/>
  <c r="M3102" i="16"/>
  <c r="O3102" i="16" s="1"/>
  <c r="J3099" i="16"/>
  <c r="AF3097" i="16"/>
  <c r="AE3097" i="16"/>
  <c r="O3092" i="16"/>
  <c r="M3092" i="16"/>
  <c r="P3092" i="16" s="1"/>
  <c r="Q3092" i="16" s="1"/>
  <c r="O3091" i="16"/>
  <c r="M3091" i="16"/>
  <c r="P3091" i="16" s="1"/>
  <c r="Q3091" i="16" s="1"/>
  <c r="O3090" i="16"/>
  <c r="M3090" i="16"/>
  <c r="P3090" i="16" s="1"/>
  <c r="Q3090" i="16" s="1"/>
  <c r="O3089" i="16"/>
  <c r="M3089" i="16"/>
  <c r="P3089" i="16" s="1"/>
  <c r="Q3089" i="16" s="1"/>
  <c r="O3088" i="16"/>
  <c r="M3088" i="16"/>
  <c r="P3088" i="16" s="1"/>
  <c r="Q3088" i="16" s="1"/>
  <c r="O3087" i="16"/>
  <c r="M3087" i="16"/>
  <c r="P3087" i="16" s="1"/>
  <c r="Q3087" i="16" s="1"/>
  <c r="O3086" i="16"/>
  <c r="M3086" i="16"/>
  <c r="P3086" i="16" s="1"/>
  <c r="Q3086" i="16" s="1"/>
  <c r="O3085" i="16"/>
  <c r="M3085" i="16"/>
  <c r="P3085" i="16" s="1"/>
  <c r="Q3085" i="16" s="1"/>
  <c r="O3084" i="16"/>
  <c r="M3084" i="16"/>
  <c r="P3084" i="16" s="1"/>
  <c r="Q3084" i="16" s="1"/>
  <c r="O3083" i="16"/>
  <c r="M3083" i="16"/>
  <c r="P3083" i="16" s="1"/>
  <c r="F3079" i="16"/>
  <c r="E3079" i="16"/>
  <c r="A3099" i="16" s="1"/>
  <c r="M3075" i="16"/>
  <c r="M3072" i="16"/>
  <c r="O3072" i="16" s="1"/>
  <c r="J3069" i="16"/>
  <c r="AF3067" i="16"/>
  <c r="AE3067" i="16"/>
  <c r="O3062" i="16"/>
  <c r="M3062" i="16"/>
  <c r="P3062" i="16" s="1"/>
  <c r="Q3062" i="16" s="1"/>
  <c r="O3061" i="16"/>
  <c r="M3061" i="16"/>
  <c r="P3061" i="16" s="1"/>
  <c r="Q3061" i="16" s="1"/>
  <c r="O3060" i="16"/>
  <c r="M3060" i="16"/>
  <c r="P3060" i="16" s="1"/>
  <c r="Q3060" i="16" s="1"/>
  <c r="O3059" i="16"/>
  <c r="M3059" i="16"/>
  <c r="P3059" i="16" s="1"/>
  <c r="Q3059" i="16" s="1"/>
  <c r="O3058" i="16"/>
  <c r="M3058" i="16"/>
  <c r="P3058" i="16" s="1"/>
  <c r="Q3058" i="16" s="1"/>
  <c r="O3057" i="16"/>
  <c r="M3057" i="16"/>
  <c r="P3057" i="16" s="1"/>
  <c r="Q3057" i="16" s="1"/>
  <c r="O3056" i="16"/>
  <c r="M3056" i="16"/>
  <c r="P3056" i="16" s="1"/>
  <c r="Q3056" i="16" s="1"/>
  <c r="O3055" i="16"/>
  <c r="M3055" i="16"/>
  <c r="P3055" i="16" s="1"/>
  <c r="Q3055" i="16" s="1"/>
  <c r="P3054" i="16"/>
  <c r="Q3054" i="16" s="1"/>
  <c r="O3054" i="16"/>
  <c r="M3054" i="16"/>
  <c r="O3053" i="16"/>
  <c r="M3053" i="16"/>
  <c r="P3053" i="16" s="1"/>
  <c r="F3049" i="16"/>
  <c r="E3049" i="16"/>
  <c r="A3069" i="16" s="1"/>
  <c r="M3045" i="16"/>
  <c r="A3045" i="16"/>
  <c r="M3042" i="16"/>
  <c r="O3042" i="16" s="1"/>
  <c r="J3039" i="16"/>
  <c r="AF3037" i="16"/>
  <c r="AE3037" i="16"/>
  <c r="T3037" i="16" s="1"/>
  <c r="O3032" i="16"/>
  <c r="M3032" i="16"/>
  <c r="P3032" i="16" s="1"/>
  <c r="Q3032" i="16" s="1"/>
  <c r="O3031" i="16"/>
  <c r="M3031" i="16"/>
  <c r="P3031" i="16" s="1"/>
  <c r="Q3031" i="16" s="1"/>
  <c r="O3030" i="16"/>
  <c r="M3030" i="16"/>
  <c r="P3030" i="16" s="1"/>
  <c r="Q3030" i="16" s="1"/>
  <c r="O3029" i="16"/>
  <c r="M3029" i="16"/>
  <c r="P3029" i="16" s="1"/>
  <c r="Q3029" i="16" s="1"/>
  <c r="O3028" i="16"/>
  <c r="M3028" i="16"/>
  <c r="P3028" i="16" s="1"/>
  <c r="Q3028" i="16" s="1"/>
  <c r="O3027" i="16"/>
  <c r="M3027" i="16"/>
  <c r="P3027" i="16" s="1"/>
  <c r="Q3027" i="16" s="1"/>
  <c r="O3026" i="16"/>
  <c r="M3026" i="16"/>
  <c r="P3026" i="16" s="1"/>
  <c r="Q3026" i="16" s="1"/>
  <c r="O3025" i="16"/>
  <c r="M3025" i="16"/>
  <c r="P3025" i="16" s="1"/>
  <c r="Q3025" i="16" s="1"/>
  <c r="O3024" i="16"/>
  <c r="M3024" i="16"/>
  <c r="P3024" i="16" s="1"/>
  <c r="Q3024" i="16" s="1"/>
  <c r="O3023" i="16"/>
  <c r="M3023" i="16"/>
  <c r="P3023" i="16" s="1"/>
  <c r="F3019" i="16"/>
  <c r="E3019" i="16"/>
  <c r="A3023" i="16" s="1"/>
  <c r="M3015" i="16"/>
  <c r="M3012" i="16"/>
  <c r="O3012" i="16" s="1"/>
  <c r="J3009" i="16"/>
  <c r="AF3007" i="16"/>
  <c r="AE3007" i="16"/>
  <c r="O3002" i="16"/>
  <c r="M3002" i="16"/>
  <c r="P3002" i="16" s="1"/>
  <c r="Q3002" i="16" s="1"/>
  <c r="O3001" i="16"/>
  <c r="M3001" i="16"/>
  <c r="P3001" i="16" s="1"/>
  <c r="Q3001" i="16" s="1"/>
  <c r="O3000" i="16"/>
  <c r="M3000" i="16"/>
  <c r="P3000" i="16" s="1"/>
  <c r="Q3000" i="16" s="1"/>
  <c r="O2999" i="16"/>
  <c r="M2999" i="16"/>
  <c r="P2999" i="16" s="1"/>
  <c r="Q2999" i="16" s="1"/>
  <c r="O2998" i="16"/>
  <c r="M2998" i="16"/>
  <c r="P2998" i="16" s="1"/>
  <c r="Q2998" i="16" s="1"/>
  <c r="A2998" i="16"/>
  <c r="O2997" i="16"/>
  <c r="M2997" i="16"/>
  <c r="P2997" i="16" s="1"/>
  <c r="Q2997" i="16" s="1"/>
  <c r="O2996" i="16"/>
  <c r="M2996" i="16"/>
  <c r="P2996" i="16" s="1"/>
  <c r="Q2996" i="16" s="1"/>
  <c r="P2995" i="16"/>
  <c r="Q2995" i="16" s="1"/>
  <c r="O2995" i="16"/>
  <c r="M2995" i="16"/>
  <c r="P2994" i="16"/>
  <c r="Q2994" i="16" s="1"/>
  <c r="O2994" i="16"/>
  <c r="M2994" i="16"/>
  <c r="O2993" i="16"/>
  <c r="M2993" i="16"/>
  <c r="P2993" i="16" s="1"/>
  <c r="F2989" i="16"/>
  <c r="E2989" i="16"/>
  <c r="M2985" i="16"/>
  <c r="M2982" i="16"/>
  <c r="O2982" i="16" s="1"/>
  <c r="J2979" i="16"/>
  <c r="AF2977" i="16"/>
  <c r="AE2977" i="16"/>
  <c r="O2972" i="16"/>
  <c r="M2972" i="16"/>
  <c r="P2972" i="16" s="1"/>
  <c r="Q2972" i="16" s="1"/>
  <c r="O2971" i="16"/>
  <c r="M2971" i="16"/>
  <c r="P2971" i="16" s="1"/>
  <c r="Q2971" i="16" s="1"/>
  <c r="O2970" i="16"/>
  <c r="M2970" i="16"/>
  <c r="P2970" i="16" s="1"/>
  <c r="Q2970" i="16" s="1"/>
  <c r="O2969" i="16"/>
  <c r="M2969" i="16"/>
  <c r="P2969" i="16" s="1"/>
  <c r="Q2969" i="16" s="1"/>
  <c r="O2968" i="16"/>
  <c r="M2968" i="16"/>
  <c r="P2968" i="16" s="1"/>
  <c r="Q2968" i="16" s="1"/>
  <c r="O2967" i="16"/>
  <c r="M2967" i="16"/>
  <c r="P2967" i="16" s="1"/>
  <c r="Q2967" i="16" s="1"/>
  <c r="O2966" i="16"/>
  <c r="M2966" i="16"/>
  <c r="P2966" i="16" s="1"/>
  <c r="Q2966" i="16" s="1"/>
  <c r="O2965" i="16"/>
  <c r="M2965" i="16"/>
  <c r="P2965" i="16" s="1"/>
  <c r="Q2965" i="16" s="1"/>
  <c r="O2964" i="16"/>
  <c r="M2964" i="16"/>
  <c r="P2964" i="16" s="1"/>
  <c r="Q2964" i="16" s="1"/>
  <c r="O2963" i="16"/>
  <c r="M2963" i="16"/>
  <c r="P2963" i="16" s="1"/>
  <c r="F2959" i="16"/>
  <c r="E2959" i="16"/>
  <c r="M2955" i="16"/>
  <c r="M2952" i="16"/>
  <c r="O2952" i="16" s="1"/>
  <c r="J2949" i="16"/>
  <c r="AF2947" i="16"/>
  <c r="AE2947" i="16"/>
  <c r="T2947" i="16" s="1"/>
  <c r="O2942" i="16"/>
  <c r="M2942" i="16"/>
  <c r="P2942" i="16" s="1"/>
  <c r="Q2942" i="16" s="1"/>
  <c r="O2941" i="16"/>
  <c r="M2941" i="16"/>
  <c r="P2941" i="16" s="1"/>
  <c r="Q2941" i="16" s="1"/>
  <c r="O2940" i="16"/>
  <c r="M2940" i="16"/>
  <c r="P2940" i="16" s="1"/>
  <c r="Q2940" i="16" s="1"/>
  <c r="A2940" i="16"/>
  <c r="O2939" i="16"/>
  <c r="M2939" i="16"/>
  <c r="P2939" i="16" s="1"/>
  <c r="Q2939" i="16" s="1"/>
  <c r="O2938" i="16"/>
  <c r="M2938" i="16"/>
  <c r="P2938" i="16" s="1"/>
  <c r="Q2938" i="16" s="1"/>
  <c r="O2937" i="16"/>
  <c r="M2937" i="16"/>
  <c r="P2937" i="16" s="1"/>
  <c r="Q2937" i="16" s="1"/>
  <c r="O2936" i="16"/>
  <c r="M2936" i="16"/>
  <c r="P2936" i="16" s="1"/>
  <c r="Q2936" i="16" s="1"/>
  <c r="O2935" i="16"/>
  <c r="M2935" i="16"/>
  <c r="P2935" i="16" s="1"/>
  <c r="Q2935" i="16" s="1"/>
  <c r="O2934" i="16"/>
  <c r="M2934" i="16"/>
  <c r="P2934" i="16" s="1"/>
  <c r="Q2934" i="16" s="1"/>
  <c r="O2933" i="16"/>
  <c r="M2933" i="16"/>
  <c r="P2933" i="16" s="1"/>
  <c r="F2929" i="16"/>
  <c r="E2929" i="16"/>
  <c r="A2938" i="16" s="1"/>
  <c r="M2925" i="16"/>
  <c r="M2922" i="16"/>
  <c r="O2922" i="16" s="1"/>
  <c r="J2919" i="16"/>
  <c r="AF2917" i="16"/>
  <c r="AE2917" i="16"/>
  <c r="O2912" i="16"/>
  <c r="M2912" i="16"/>
  <c r="P2912" i="16" s="1"/>
  <c r="Q2912" i="16" s="1"/>
  <c r="O2911" i="16"/>
  <c r="M2911" i="16"/>
  <c r="P2911" i="16" s="1"/>
  <c r="Q2911" i="16" s="1"/>
  <c r="O2910" i="16"/>
  <c r="M2910" i="16"/>
  <c r="P2910" i="16" s="1"/>
  <c r="Q2910" i="16" s="1"/>
  <c r="O2909" i="16"/>
  <c r="M2909" i="16"/>
  <c r="P2909" i="16" s="1"/>
  <c r="Q2909" i="16" s="1"/>
  <c r="O2908" i="16"/>
  <c r="M2908" i="16"/>
  <c r="P2908" i="16" s="1"/>
  <c r="Q2908" i="16" s="1"/>
  <c r="O2907" i="16"/>
  <c r="M2907" i="16"/>
  <c r="P2907" i="16" s="1"/>
  <c r="Q2907" i="16" s="1"/>
  <c r="O2906" i="16"/>
  <c r="M2906" i="16"/>
  <c r="P2906" i="16" s="1"/>
  <c r="Q2906" i="16" s="1"/>
  <c r="O2905" i="16"/>
  <c r="M2905" i="16"/>
  <c r="P2905" i="16" s="1"/>
  <c r="Q2905" i="16" s="1"/>
  <c r="O2904" i="16"/>
  <c r="M2904" i="16"/>
  <c r="P2904" i="16" s="1"/>
  <c r="Q2904" i="16" s="1"/>
  <c r="O2903" i="16"/>
  <c r="M2903" i="16"/>
  <c r="P2903" i="16" s="1"/>
  <c r="F2899" i="16"/>
  <c r="E2899" i="16"/>
  <c r="M2895" i="16"/>
  <c r="M2892" i="16"/>
  <c r="O2892" i="16" s="1"/>
  <c r="J2889" i="16"/>
  <c r="AF2887" i="16"/>
  <c r="AE2887" i="16"/>
  <c r="O2882" i="16"/>
  <c r="M2882" i="16"/>
  <c r="P2882" i="16" s="1"/>
  <c r="Q2882" i="16" s="1"/>
  <c r="O2881" i="16"/>
  <c r="M2881" i="16"/>
  <c r="P2881" i="16" s="1"/>
  <c r="Q2881" i="16" s="1"/>
  <c r="O2880" i="16"/>
  <c r="M2880" i="16"/>
  <c r="P2880" i="16" s="1"/>
  <c r="Q2880" i="16" s="1"/>
  <c r="O2879" i="16"/>
  <c r="M2879" i="16"/>
  <c r="P2879" i="16" s="1"/>
  <c r="Q2879" i="16" s="1"/>
  <c r="O2878" i="16"/>
  <c r="M2878" i="16"/>
  <c r="P2878" i="16" s="1"/>
  <c r="Q2878" i="16" s="1"/>
  <c r="O2877" i="16"/>
  <c r="M2877" i="16"/>
  <c r="P2877" i="16" s="1"/>
  <c r="Q2877" i="16" s="1"/>
  <c r="O2876" i="16"/>
  <c r="M2876" i="16"/>
  <c r="P2876" i="16" s="1"/>
  <c r="Q2876" i="16" s="1"/>
  <c r="O2875" i="16"/>
  <c r="M2875" i="16"/>
  <c r="P2875" i="16" s="1"/>
  <c r="Q2875" i="16" s="1"/>
  <c r="O2874" i="16"/>
  <c r="M2874" i="16"/>
  <c r="P2874" i="16" s="1"/>
  <c r="Q2874" i="16" s="1"/>
  <c r="O2873" i="16"/>
  <c r="M2873" i="16"/>
  <c r="P2873" i="16" s="1"/>
  <c r="F2869" i="16"/>
  <c r="E2869" i="16"/>
  <c r="A2895" i="16" s="1"/>
  <c r="M2865" i="16"/>
  <c r="A2865" i="16"/>
  <c r="M2862" i="16"/>
  <c r="O2862" i="16" s="1"/>
  <c r="J2859" i="16"/>
  <c r="AF2857" i="16"/>
  <c r="AE2857" i="16"/>
  <c r="T2857" i="16" s="1"/>
  <c r="O2852" i="16"/>
  <c r="M2852" i="16"/>
  <c r="P2852" i="16" s="1"/>
  <c r="Q2852" i="16" s="1"/>
  <c r="O2851" i="16"/>
  <c r="M2851" i="16"/>
  <c r="P2851" i="16" s="1"/>
  <c r="Q2851" i="16" s="1"/>
  <c r="O2850" i="16"/>
  <c r="M2850" i="16"/>
  <c r="P2850" i="16" s="1"/>
  <c r="Q2850" i="16" s="1"/>
  <c r="O2849" i="16"/>
  <c r="M2849" i="16"/>
  <c r="P2849" i="16" s="1"/>
  <c r="Q2849" i="16" s="1"/>
  <c r="P2848" i="16"/>
  <c r="Q2848" i="16" s="1"/>
  <c r="O2848" i="16"/>
  <c r="M2848" i="16"/>
  <c r="O2847" i="16"/>
  <c r="M2847" i="16"/>
  <c r="P2847" i="16" s="1"/>
  <c r="Q2847" i="16" s="1"/>
  <c r="O2846" i="16"/>
  <c r="M2846" i="16"/>
  <c r="P2846" i="16" s="1"/>
  <c r="Q2846" i="16" s="1"/>
  <c r="O2845" i="16"/>
  <c r="M2845" i="16"/>
  <c r="P2845" i="16" s="1"/>
  <c r="Q2845" i="16" s="1"/>
  <c r="O2844" i="16"/>
  <c r="M2844" i="16"/>
  <c r="P2844" i="16" s="1"/>
  <c r="Q2844" i="16" s="1"/>
  <c r="O2843" i="16"/>
  <c r="M2843" i="16"/>
  <c r="P2843" i="16" s="1"/>
  <c r="F2839" i="16"/>
  <c r="E2839" i="16"/>
  <c r="M2835" i="16"/>
  <c r="M2832" i="16"/>
  <c r="O2832" i="16" s="1"/>
  <c r="J2829" i="16"/>
  <c r="AF2827" i="16"/>
  <c r="AE2827" i="16"/>
  <c r="O2822" i="16"/>
  <c r="M2822" i="16"/>
  <c r="P2822" i="16" s="1"/>
  <c r="Q2822" i="16" s="1"/>
  <c r="O2821" i="16"/>
  <c r="M2821" i="16"/>
  <c r="P2821" i="16" s="1"/>
  <c r="Q2821" i="16" s="1"/>
  <c r="O2820" i="16"/>
  <c r="M2820" i="16"/>
  <c r="P2820" i="16" s="1"/>
  <c r="Q2820" i="16" s="1"/>
  <c r="P2819" i="16"/>
  <c r="Q2819" i="16" s="1"/>
  <c r="O2819" i="16"/>
  <c r="M2819" i="16"/>
  <c r="O2818" i="16"/>
  <c r="M2818" i="16"/>
  <c r="P2818" i="16" s="1"/>
  <c r="Q2818" i="16" s="1"/>
  <c r="O2817" i="16"/>
  <c r="M2817" i="16"/>
  <c r="P2817" i="16" s="1"/>
  <c r="Q2817" i="16" s="1"/>
  <c r="O2816" i="16"/>
  <c r="M2816" i="16"/>
  <c r="P2816" i="16" s="1"/>
  <c r="Q2816" i="16" s="1"/>
  <c r="O2815" i="16"/>
  <c r="M2815" i="16"/>
  <c r="P2815" i="16" s="1"/>
  <c r="Q2815" i="16" s="1"/>
  <c r="O2814" i="16"/>
  <c r="M2814" i="16"/>
  <c r="P2814" i="16" s="1"/>
  <c r="Q2814" i="16" s="1"/>
  <c r="O2813" i="16"/>
  <c r="M2813" i="16"/>
  <c r="P2813" i="16" s="1"/>
  <c r="F2809" i="16"/>
  <c r="E2809" i="16"/>
  <c r="A2829" i="16" s="1"/>
  <c r="M2805" i="16"/>
  <c r="M2802" i="16"/>
  <c r="O2802" i="16" s="1"/>
  <c r="J2799" i="16"/>
  <c r="AF2797" i="16"/>
  <c r="AE2797" i="16"/>
  <c r="O2792" i="16"/>
  <c r="M2792" i="16"/>
  <c r="P2792" i="16" s="1"/>
  <c r="Q2792" i="16" s="1"/>
  <c r="O2791" i="16"/>
  <c r="M2791" i="16"/>
  <c r="P2791" i="16" s="1"/>
  <c r="Q2791" i="16" s="1"/>
  <c r="O2790" i="16"/>
  <c r="M2790" i="16"/>
  <c r="P2790" i="16" s="1"/>
  <c r="Q2790" i="16" s="1"/>
  <c r="O2789" i="16"/>
  <c r="M2789" i="16"/>
  <c r="P2789" i="16" s="1"/>
  <c r="Q2789" i="16" s="1"/>
  <c r="O2788" i="16"/>
  <c r="M2788" i="16"/>
  <c r="P2788" i="16" s="1"/>
  <c r="Q2788" i="16" s="1"/>
  <c r="O2787" i="16"/>
  <c r="M2787" i="16"/>
  <c r="P2787" i="16" s="1"/>
  <c r="Q2787" i="16" s="1"/>
  <c r="O2786" i="16"/>
  <c r="M2786" i="16"/>
  <c r="P2786" i="16" s="1"/>
  <c r="Q2786" i="16" s="1"/>
  <c r="O2785" i="16"/>
  <c r="M2785" i="16"/>
  <c r="P2785" i="16" s="1"/>
  <c r="Q2785" i="16" s="1"/>
  <c r="O2784" i="16"/>
  <c r="M2784" i="16"/>
  <c r="P2784" i="16" s="1"/>
  <c r="Q2784" i="16" s="1"/>
  <c r="O2783" i="16"/>
  <c r="M2783" i="16"/>
  <c r="P2783" i="16" s="1"/>
  <c r="F2779" i="16"/>
  <c r="E2779" i="16"/>
  <c r="M2775" i="16"/>
  <c r="M2772" i="16"/>
  <c r="O2772" i="16" s="1"/>
  <c r="J2769" i="16"/>
  <c r="AF2767" i="16"/>
  <c r="AE2767" i="16"/>
  <c r="O2762" i="16"/>
  <c r="M2762" i="16"/>
  <c r="P2762" i="16" s="1"/>
  <c r="Q2762" i="16" s="1"/>
  <c r="O2761" i="16"/>
  <c r="M2761" i="16"/>
  <c r="P2761" i="16" s="1"/>
  <c r="Q2761" i="16" s="1"/>
  <c r="O2760" i="16"/>
  <c r="M2760" i="16"/>
  <c r="P2760" i="16" s="1"/>
  <c r="Q2760" i="16" s="1"/>
  <c r="O2759" i="16"/>
  <c r="M2759" i="16"/>
  <c r="P2759" i="16" s="1"/>
  <c r="Q2759" i="16" s="1"/>
  <c r="O2758" i="16"/>
  <c r="M2758" i="16"/>
  <c r="P2758" i="16" s="1"/>
  <c r="Q2758" i="16" s="1"/>
  <c r="O2757" i="16"/>
  <c r="M2757" i="16"/>
  <c r="P2757" i="16" s="1"/>
  <c r="Q2757" i="16" s="1"/>
  <c r="O2756" i="16"/>
  <c r="M2756" i="16"/>
  <c r="P2756" i="16" s="1"/>
  <c r="Q2756" i="16" s="1"/>
  <c r="O2755" i="16"/>
  <c r="M2755" i="16"/>
  <c r="P2755" i="16" s="1"/>
  <c r="Q2755" i="16" s="1"/>
  <c r="O2754" i="16"/>
  <c r="M2754" i="16"/>
  <c r="P2754" i="16" s="1"/>
  <c r="Q2754" i="16" s="1"/>
  <c r="O2753" i="16"/>
  <c r="M2753" i="16"/>
  <c r="P2753" i="16" s="1"/>
  <c r="F2749" i="16"/>
  <c r="E2749" i="16"/>
  <c r="A2775" i="16" s="1"/>
  <c r="M2745" i="16"/>
  <c r="M2742" i="16"/>
  <c r="O2742" i="16" s="1"/>
  <c r="A2741" i="16"/>
  <c r="J2739" i="16"/>
  <c r="AF2737" i="16"/>
  <c r="AE2737" i="16"/>
  <c r="T2737" i="16" s="1"/>
  <c r="O2732" i="16"/>
  <c r="M2732" i="16"/>
  <c r="P2732" i="16" s="1"/>
  <c r="Q2732" i="16" s="1"/>
  <c r="O2731" i="16"/>
  <c r="M2731" i="16"/>
  <c r="P2731" i="16" s="1"/>
  <c r="Q2731" i="16" s="1"/>
  <c r="O2730" i="16"/>
  <c r="M2730" i="16"/>
  <c r="P2730" i="16" s="1"/>
  <c r="Q2730" i="16" s="1"/>
  <c r="O2729" i="16"/>
  <c r="M2729" i="16"/>
  <c r="P2729" i="16" s="1"/>
  <c r="Q2729" i="16" s="1"/>
  <c r="O2728" i="16"/>
  <c r="M2728" i="16"/>
  <c r="P2728" i="16" s="1"/>
  <c r="Q2728" i="16" s="1"/>
  <c r="O2727" i="16"/>
  <c r="M2727" i="16"/>
  <c r="P2727" i="16" s="1"/>
  <c r="Q2727" i="16" s="1"/>
  <c r="O2726" i="16"/>
  <c r="M2726" i="16"/>
  <c r="P2726" i="16" s="1"/>
  <c r="Q2726" i="16" s="1"/>
  <c r="O2725" i="16"/>
  <c r="M2725" i="16"/>
  <c r="P2725" i="16" s="1"/>
  <c r="Q2725" i="16" s="1"/>
  <c r="O2724" i="16"/>
  <c r="M2724" i="16"/>
  <c r="P2724" i="16" s="1"/>
  <c r="Q2724" i="16" s="1"/>
  <c r="O2723" i="16"/>
  <c r="M2723" i="16"/>
  <c r="P2723" i="16" s="1"/>
  <c r="F2719" i="16"/>
  <c r="E2719" i="16"/>
  <c r="M2715" i="16"/>
  <c r="M2712" i="16"/>
  <c r="O2712" i="16" s="1"/>
  <c r="J2709" i="16"/>
  <c r="AF2707" i="16"/>
  <c r="AE2707" i="16"/>
  <c r="O2702" i="16"/>
  <c r="M2702" i="16"/>
  <c r="P2702" i="16" s="1"/>
  <c r="Q2702" i="16" s="1"/>
  <c r="O2701" i="16"/>
  <c r="M2701" i="16"/>
  <c r="P2701" i="16" s="1"/>
  <c r="Q2701" i="16" s="1"/>
  <c r="O2700" i="16"/>
  <c r="M2700" i="16"/>
  <c r="P2700" i="16" s="1"/>
  <c r="Q2700" i="16" s="1"/>
  <c r="O2699" i="16"/>
  <c r="M2699" i="16"/>
  <c r="P2699" i="16" s="1"/>
  <c r="Q2699" i="16" s="1"/>
  <c r="P2698" i="16"/>
  <c r="Q2698" i="16" s="1"/>
  <c r="O2698" i="16"/>
  <c r="M2698" i="16"/>
  <c r="O2697" i="16"/>
  <c r="M2697" i="16"/>
  <c r="P2697" i="16" s="1"/>
  <c r="Q2697" i="16" s="1"/>
  <c r="O2696" i="16"/>
  <c r="M2696" i="16"/>
  <c r="P2696" i="16" s="1"/>
  <c r="Q2696" i="16" s="1"/>
  <c r="O2695" i="16"/>
  <c r="M2695" i="16"/>
  <c r="P2695" i="16" s="1"/>
  <c r="Q2695" i="16" s="1"/>
  <c r="O2694" i="16"/>
  <c r="M2694" i="16"/>
  <c r="P2694" i="16" s="1"/>
  <c r="Q2694" i="16" s="1"/>
  <c r="O2693" i="16"/>
  <c r="M2693" i="16"/>
  <c r="P2693" i="16" s="1"/>
  <c r="F2689" i="16"/>
  <c r="E2689" i="16"/>
  <c r="M2685" i="16"/>
  <c r="M2682" i="16"/>
  <c r="O2682" i="16" s="1"/>
  <c r="A2682" i="16"/>
  <c r="J2679" i="16"/>
  <c r="AF2677" i="16"/>
  <c r="AE2677" i="16"/>
  <c r="O2672" i="16"/>
  <c r="M2672" i="16"/>
  <c r="P2672" i="16" s="1"/>
  <c r="Q2672" i="16" s="1"/>
  <c r="O2671" i="16"/>
  <c r="M2671" i="16"/>
  <c r="P2671" i="16" s="1"/>
  <c r="Q2671" i="16" s="1"/>
  <c r="O2670" i="16"/>
  <c r="M2670" i="16"/>
  <c r="P2670" i="16" s="1"/>
  <c r="Q2670" i="16" s="1"/>
  <c r="O2669" i="16"/>
  <c r="M2669" i="16"/>
  <c r="P2669" i="16" s="1"/>
  <c r="Q2669" i="16" s="1"/>
  <c r="O2668" i="16"/>
  <c r="M2668" i="16"/>
  <c r="P2668" i="16" s="1"/>
  <c r="Q2668" i="16" s="1"/>
  <c r="O2667" i="16"/>
  <c r="M2667" i="16"/>
  <c r="P2667" i="16" s="1"/>
  <c r="Q2667" i="16" s="1"/>
  <c r="O2666" i="16"/>
  <c r="M2666" i="16"/>
  <c r="P2666" i="16" s="1"/>
  <c r="Q2666" i="16" s="1"/>
  <c r="O2665" i="16"/>
  <c r="M2665" i="16"/>
  <c r="P2665" i="16" s="1"/>
  <c r="Q2665" i="16" s="1"/>
  <c r="O2664" i="16"/>
  <c r="M2664" i="16"/>
  <c r="P2664" i="16" s="1"/>
  <c r="Q2664" i="16" s="1"/>
  <c r="O2663" i="16"/>
  <c r="M2663" i="16"/>
  <c r="P2663" i="16" s="1"/>
  <c r="A2663" i="16"/>
  <c r="F2659" i="16"/>
  <c r="E2659" i="16"/>
  <c r="A2684" i="16" s="1"/>
  <c r="M2655" i="16"/>
  <c r="M2652" i="16"/>
  <c r="O2652" i="16" s="1"/>
  <c r="J2649" i="16"/>
  <c r="AF2647" i="16"/>
  <c r="AE2647" i="16"/>
  <c r="T2647" i="16" s="1"/>
  <c r="O2642" i="16"/>
  <c r="M2642" i="16"/>
  <c r="P2642" i="16" s="1"/>
  <c r="Q2642" i="16" s="1"/>
  <c r="O2641" i="16"/>
  <c r="M2641" i="16"/>
  <c r="P2641" i="16" s="1"/>
  <c r="Q2641" i="16" s="1"/>
  <c r="O2640" i="16"/>
  <c r="M2640" i="16"/>
  <c r="P2640" i="16" s="1"/>
  <c r="Q2640" i="16" s="1"/>
  <c r="O2639" i="16"/>
  <c r="M2639" i="16"/>
  <c r="P2639" i="16" s="1"/>
  <c r="Q2639" i="16" s="1"/>
  <c r="O2638" i="16"/>
  <c r="M2638" i="16"/>
  <c r="P2638" i="16" s="1"/>
  <c r="Q2638" i="16" s="1"/>
  <c r="O2637" i="16"/>
  <c r="M2637" i="16"/>
  <c r="P2637" i="16" s="1"/>
  <c r="Q2637" i="16" s="1"/>
  <c r="O2636" i="16"/>
  <c r="M2636" i="16"/>
  <c r="P2636" i="16" s="1"/>
  <c r="Q2636" i="16" s="1"/>
  <c r="O2635" i="16"/>
  <c r="M2635" i="16"/>
  <c r="P2635" i="16" s="1"/>
  <c r="Q2635" i="16" s="1"/>
  <c r="O2634" i="16"/>
  <c r="M2634" i="16"/>
  <c r="P2634" i="16" s="1"/>
  <c r="Q2634" i="16" s="1"/>
  <c r="O2633" i="16"/>
  <c r="M2633" i="16"/>
  <c r="P2633" i="16" s="1"/>
  <c r="F2629" i="16"/>
  <c r="E2629" i="16"/>
  <c r="M2625" i="16"/>
  <c r="M2622" i="16"/>
  <c r="O2622" i="16" s="1"/>
  <c r="J2619" i="16"/>
  <c r="AF2617" i="16"/>
  <c r="AE2617" i="16"/>
  <c r="T2617" i="16" s="1"/>
  <c r="O2612" i="16"/>
  <c r="M2612" i="16"/>
  <c r="P2612" i="16" s="1"/>
  <c r="Q2612" i="16" s="1"/>
  <c r="O2611" i="16"/>
  <c r="M2611" i="16"/>
  <c r="P2611" i="16" s="1"/>
  <c r="Q2611" i="16" s="1"/>
  <c r="O2610" i="16"/>
  <c r="M2610" i="16"/>
  <c r="P2610" i="16" s="1"/>
  <c r="Q2610" i="16" s="1"/>
  <c r="O2609" i="16"/>
  <c r="M2609" i="16"/>
  <c r="P2609" i="16" s="1"/>
  <c r="Q2609" i="16" s="1"/>
  <c r="O2608" i="16"/>
  <c r="M2608" i="16"/>
  <c r="P2608" i="16" s="1"/>
  <c r="Q2608" i="16" s="1"/>
  <c r="O2607" i="16"/>
  <c r="M2607" i="16"/>
  <c r="P2607" i="16" s="1"/>
  <c r="Q2607" i="16" s="1"/>
  <c r="O2606" i="16"/>
  <c r="M2606" i="16"/>
  <c r="P2606" i="16" s="1"/>
  <c r="Q2606" i="16" s="1"/>
  <c r="O2605" i="16"/>
  <c r="M2605" i="16"/>
  <c r="P2605" i="16" s="1"/>
  <c r="Q2605" i="16" s="1"/>
  <c r="O2604" i="16"/>
  <c r="M2604" i="16"/>
  <c r="P2604" i="16" s="1"/>
  <c r="Q2604" i="16" s="1"/>
  <c r="O2603" i="16"/>
  <c r="M2603" i="16"/>
  <c r="P2603" i="16" s="1"/>
  <c r="F2599" i="16"/>
  <c r="E2599" i="16"/>
  <c r="M2595" i="16"/>
  <c r="M2592" i="16"/>
  <c r="O2592" i="16" s="1"/>
  <c r="J2589" i="16"/>
  <c r="AF2587" i="16"/>
  <c r="AE2587" i="16"/>
  <c r="O2582" i="16"/>
  <c r="M2582" i="16"/>
  <c r="P2582" i="16" s="1"/>
  <c r="Q2582" i="16" s="1"/>
  <c r="O2581" i="16"/>
  <c r="M2581" i="16"/>
  <c r="P2581" i="16" s="1"/>
  <c r="Q2581" i="16" s="1"/>
  <c r="Q2580" i="16"/>
  <c r="O2580" i="16"/>
  <c r="M2580" i="16"/>
  <c r="P2580" i="16" s="1"/>
  <c r="O2579" i="16"/>
  <c r="M2579" i="16"/>
  <c r="P2579" i="16" s="1"/>
  <c r="Q2579" i="16" s="1"/>
  <c r="O2578" i="16"/>
  <c r="M2578" i="16"/>
  <c r="P2578" i="16" s="1"/>
  <c r="Q2578" i="16" s="1"/>
  <c r="O2577" i="16"/>
  <c r="M2577" i="16"/>
  <c r="P2577" i="16" s="1"/>
  <c r="Q2577" i="16" s="1"/>
  <c r="O2576" i="16"/>
  <c r="M2576" i="16"/>
  <c r="P2576" i="16" s="1"/>
  <c r="Q2576" i="16" s="1"/>
  <c r="P2575" i="16"/>
  <c r="Q2575" i="16" s="1"/>
  <c r="O2575" i="16"/>
  <c r="M2575" i="16"/>
  <c r="O2574" i="16"/>
  <c r="M2574" i="16"/>
  <c r="P2574" i="16" s="1"/>
  <c r="Q2574" i="16" s="1"/>
  <c r="O2573" i="16"/>
  <c r="M2573" i="16"/>
  <c r="P2573" i="16" s="1"/>
  <c r="F2569" i="16"/>
  <c r="E2569" i="16"/>
  <c r="A2588" i="16" s="1"/>
  <c r="M2565" i="16"/>
  <c r="M2562" i="16"/>
  <c r="O2562" i="16" s="1"/>
  <c r="J2559" i="16"/>
  <c r="AF2557" i="16"/>
  <c r="AE2557" i="16"/>
  <c r="O2552" i="16"/>
  <c r="M2552" i="16"/>
  <c r="P2552" i="16" s="1"/>
  <c r="Q2552" i="16" s="1"/>
  <c r="O2551" i="16"/>
  <c r="M2551" i="16"/>
  <c r="P2551" i="16" s="1"/>
  <c r="Q2551" i="16" s="1"/>
  <c r="O2550" i="16"/>
  <c r="M2550" i="16"/>
  <c r="P2550" i="16" s="1"/>
  <c r="Q2550" i="16" s="1"/>
  <c r="O2549" i="16"/>
  <c r="M2549" i="16"/>
  <c r="P2549" i="16" s="1"/>
  <c r="Q2549" i="16" s="1"/>
  <c r="O2548" i="16"/>
  <c r="M2548" i="16"/>
  <c r="P2548" i="16" s="1"/>
  <c r="Q2548" i="16" s="1"/>
  <c r="O2547" i="16"/>
  <c r="M2547" i="16"/>
  <c r="P2547" i="16" s="1"/>
  <c r="Q2547" i="16" s="1"/>
  <c r="O2546" i="16"/>
  <c r="M2546" i="16"/>
  <c r="P2546" i="16" s="1"/>
  <c r="Q2546" i="16" s="1"/>
  <c r="O2545" i="16"/>
  <c r="M2545" i="16"/>
  <c r="P2545" i="16" s="1"/>
  <c r="Q2545" i="16" s="1"/>
  <c r="P2544" i="16"/>
  <c r="Q2544" i="16" s="1"/>
  <c r="O2544" i="16"/>
  <c r="M2544" i="16"/>
  <c r="O2543" i="16"/>
  <c r="M2543" i="16"/>
  <c r="P2543" i="16" s="1"/>
  <c r="F2539" i="16"/>
  <c r="E2539" i="16"/>
  <c r="M2535" i="16"/>
  <c r="A2535" i="16"/>
  <c r="M2532" i="16"/>
  <c r="O2532" i="16" s="1"/>
  <c r="J2529" i="16"/>
  <c r="AF2527" i="16"/>
  <c r="AE2527" i="16"/>
  <c r="O2522" i="16"/>
  <c r="M2522" i="16"/>
  <c r="P2522" i="16" s="1"/>
  <c r="Q2522" i="16" s="1"/>
  <c r="O2521" i="16"/>
  <c r="M2521" i="16"/>
  <c r="P2521" i="16" s="1"/>
  <c r="Q2521" i="16" s="1"/>
  <c r="O2520" i="16"/>
  <c r="M2520" i="16"/>
  <c r="P2520" i="16" s="1"/>
  <c r="Q2520" i="16" s="1"/>
  <c r="O2519" i="16"/>
  <c r="M2519" i="16"/>
  <c r="P2519" i="16" s="1"/>
  <c r="Q2519" i="16" s="1"/>
  <c r="O2518" i="16"/>
  <c r="M2518" i="16"/>
  <c r="P2518" i="16" s="1"/>
  <c r="Q2518" i="16" s="1"/>
  <c r="O2517" i="16"/>
  <c r="M2517" i="16"/>
  <c r="P2517" i="16" s="1"/>
  <c r="Q2517" i="16" s="1"/>
  <c r="O2516" i="16"/>
  <c r="M2516" i="16"/>
  <c r="P2516" i="16" s="1"/>
  <c r="Q2516" i="16" s="1"/>
  <c r="O2515" i="16"/>
  <c r="M2515" i="16"/>
  <c r="P2515" i="16" s="1"/>
  <c r="Q2515" i="16" s="1"/>
  <c r="O2514" i="16"/>
  <c r="M2514" i="16"/>
  <c r="P2514" i="16" s="1"/>
  <c r="Q2514" i="16" s="1"/>
  <c r="O2513" i="16"/>
  <c r="M2513" i="16"/>
  <c r="P2513" i="16" s="1"/>
  <c r="F2509" i="16"/>
  <c r="E2509" i="16"/>
  <c r="A2531" i="16" s="1"/>
  <c r="M2505" i="16"/>
  <c r="M2502" i="16"/>
  <c r="O2502" i="16" s="1"/>
  <c r="J2499" i="16"/>
  <c r="AF2497" i="16"/>
  <c r="AE2497" i="16"/>
  <c r="O2492" i="16"/>
  <c r="M2492" i="16"/>
  <c r="P2492" i="16" s="1"/>
  <c r="Q2492" i="16" s="1"/>
  <c r="O2491" i="16"/>
  <c r="M2491" i="16"/>
  <c r="P2491" i="16" s="1"/>
  <c r="Q2491" i="16" s="1"/>
  <c r="O2490" i="16"/>
  <c r="M2490" i="16"/>
  <c r="P2490" i="16" s="1"/>
  <c r="Q2490" i="16" s="1"/>
  <c r="O2489" i="16"/>
  <c r="M2489" i="16"/>
  <c r="P2489" i="16" s="1"/>
  <c r="Q2489" i="16" s="1"/>
  <c r="O2488" i="16"/>
  <c r="M2488" i="16"/>
  <c r="P2488" i="16" s="1"/>
  <c r="Q2488" i="16" s="1"/>
  <c r="O2487" i="16"/>
  <c r="M2487" i="16"/>
  <c r="P2487" i="16" s="1"/>
  <c r="Q2487" i="16" s="1"/>
  <c r="O2486" i="16"/>
  <c r="M2486" i="16"/>
  <c r="P2486" i="16" s="1"/>
  <c r="Q2486" i="16" s="1"/>
  <c r="O2485" i="16"/>
  <c r="M2485" i="16"/>
  <c r="P2485" i="16" s="1"/>
  <c r="Q2485" i="16" s="1"/>
  <c r="O2484" i="16"/>
  <c r="M2484" i="16"/>
  <c r="P2484" i="16" s="1"/>
  <c r="Q2484" i="16" s="1"/>
  <c r="O2483" i="16"/>
  <c r="M2483" i="16"/>
  <c r="P2483" i="16" s="1"/>
  <c r="Q2483" i="16" s="1"/>
  <c r="F2479" i="16"/>
  <c r="E2479" i="16"/>
  <c r="A2499" i="16" s="1"/>
  <c r="M2475" i="16"/>
  <c r="M2472" i="16"/>
  <c r="O2472" i="16" s="1"/>
  <c r="J2469" i="16"/>
  <c r="AF2467" i="16"/>
  <c r="AE2467" i="16"/>
  <c r="O2462" i="16"/>
  <c r="M2462" i="16"/>
  <c r="P2462" i="16" s="1"/>
  <c r="Q2462" i="16" s="1"/>
  <c r="O2461" i="16"/>
  <c r="M2461" i="16"/>
  <c r="P2461" i="16" s="1"/>
  <c r="Q2461" i="16" s="1"/>
  <c r="O2460" i="16"/>
  <c r="M2460" i="16"/>
  <c r="P2460" i="16" s="1"/>
  <c r="Q2460" i="16" s="1"/>
  <c r="O2459" i="16"/>
  <c r="M2459" i="16"/>
  <c r="P2459" i="16" s="1"/>
  <c r="Q2459" i="16" s="1"/>
  <c r="O2458" i="16"/>
  <c r="M2458" i="16"/>
  <c r="P2458" i="16" s="1"/>
  <c r="Q2458" i="16" s="1"/>
  <c r="O2457" i="16"/>
  <c r="M2457" i="16"/>
  <c r="P2457" i="16" s="1"/>
  <c r="Q2457" i="16" s="1"/>
  <c r="O2456" i="16"/>
  <c r="M2456" i="16"/>
  <c r="P2456" i="16" s="1"/>
  <c r="Q2456" i="16" s="1"/>
  <c r="O2455" i="16"/>
  <c r="M2455" i="16"/>
  <c r="P2455" i="16" s="1"/>
  <c r="Q2455" i="16" s="1"/>
  <c r="O2454" i="16"/>
  <c r="M2454" i="16"/>
  <c r="P2454" i="16" s="1"/>
  <c r="Q2454" i="16" s="1"/>
  <c r="O2453" i="16"/>
  <c r="M2453" i="16"/>
  <c r="P2453" i="16" s="1"/>
  <c r="Q2453" i="16" s="1"/>
  <c r="F2449" i="16"/>
  <c r="E2449" i="16"/>
  <c r="A2469" i="16" s="1"/>
  <c r="M2445" i="16"/>
  <c r="M2442" i="16"/>
  <c r="O2442" i="16" s="1"/>
  <c r="J2439" i="16"/>
  <c r="AF2437" i="16"/>
  <c r="AE2437" i="16"/>
  <c r="O2432" i="16"/>
  <c r="M2432" i="16"/>
  <c r="P2432" i="16" s="1"/>
  <c r="Q2432" i="16" s="1"/>
  <c r="O2431" i="16"/>
  <c r="M2431" i="16"/>
  <c r="P2431" i="16" s="1"/>
  <c r="Q2431" i="16" s="1"/>
  <c r="O2430" i="16"/>
  <c r="M2430" i="16"/>
  <c r="P2430" i="16" s="1"/>
  <c r="Q2430" i="16" s="1"/>
  <c r="O2429" i="16"/>
  <c r="M2429" i="16"/>
  <c r="P2429" i="16" s="1"/>
  <c r="Q2429" i="16" s="1"/>
  <c r="O2428" i="16"/>
  <c r="M2428" i="16"/>
  <c r="P2428" i="16" s="1"/>
  <c r="Q2428" i="16" s="1"/>
  <c r="O2427" i="16"/>
  <c r="M2427" i="16"/>
  <c r="P2427" i="16" s="1"/>
  <c r="Q2427" i="16" s="1"/>
  <c r="O2426" i="16"/>
  <c r="M2426" i="16"/>
  <c r="P2426" i="16" s="1"/>
  <c r="Q2426" i="16" s="1"/>
  <c r="O2425" i="16"/>
  <c r="M2425" i="16"/>
  <c r="P2425" i="16" s="1"/>
  <c r="Q2425" i="16" s="1"/>
  <c r="O2424" i="16"/>
  <c r="M2424" i="16"/>
  <c r="P2424" i="16" s="1"/>
  <c r="Q2424" i="16" s="1"/>
  <c r="O2423" i="16"/>
  <c r="M2423" i="16"/>
  <c r="P2423" i="16" s="1"/>
  <c r="Q2423" i="16" s="1"/>
  <c r="F2419" i="16"/>
  <c r="E2419" i="16"/>
  <c r="A2439" i="16" s="1"/>
  <c r="M2415" i="16"/>
  <c r="M2412" i="16"/>
  <c r="O2412" i="16" s="1"/>
  <c r="J2409" i="16"/>
  <c r="AF2407" i="16"/>
  <c r="T2407" i="16" s="1"/>
  <c r="AE2407" i="16"/>
  <c r="O2402" i="16"/>
  <c r="M2402" i="16"/>
  <c r="P2402" i="16" s="1"/>
  <c r="Q2402" i="16" s="1"/>
  <c r="O2401" i="16"/>
  <c r="M2401" i="16"/>
  <c r="P2401" i="16" s="1"/>
  <c r="Q2401" i="16" s="1"/>
  <c r="O2400" i="16"/>
  <c r="M2400" i="16"/>
  <c r="P2400" i="16" s="1"/>
  <c r="Q2400" i="16" s="1"/>
  <c r="O2399" i="16"/>
  <c r="M2399" i="16"/>
  <c r="P2399" i="16" s="1"/>
  <c r="Q2399" i="16" s="1"/>
  <c r="O2398" i="16"/>
  <c r="M2398" i="16"/>
  <c r="P2398" i="16" s="1"/>
  <c r="Q2398" i="16" s="1"/>
  <c r="P2397" i="16"/>
  <c r="Q2397" i="16" s="1"/>
  <c r="O2397" i="16"/>
  <c r="M2397" i="16"/>
  <c r="O2396" i="16"/>
  <c r="M2396" i="16"/>
  <c r="P2396" i="16" s="1"/>
  <c r="Q2396" i="16" s="1"/>
  <c r="O2395" i="16"/>
  <c r="M2395" i="16"/>
  <c r="P2395" i="16" s="1"/>
  <c r="Q2395" i="16" s="1"/>
  <c r="O2394" i="16"/>
  <c r="M2394" i="16"/>
  <c r="P2394" i="16" s="1"/>
  <c r="O2393" i="16"/>
  <c r="M2393" i="16"/>
  <c r="P2393" i="16" s="1"/>
  <c r="Q2393" i="16" s="1"/>
  <c r="F2389" i="16"/>
  <c r="E2389" i="16"/>
  <c r="A2416" i="16" s="1"/>
  <c r="M2385" i="16"/>
  <c r="M2382" i="16"/>
  <c r="O2382" i="16" s="1"/>
  <c r="J2379" i="16"/>
  <c r="AF2377" i="16"/>
  <c r="AE2377" i="16"/>
  <c r="O2372" i="16"/>
  <c r="M2372" i="16"/>
  <c r="P2372" i="16" s="1"/>
  <c r="Q2372" i="16" s="1"/>
  <c r="O2371" i="16"/>
  <c r="M2371" i="16"/>
  <c r="P2371" i="16" s="1"/>
  <c r="Q2371" i="16" s="1"/>
  <c r="O2370" i="16"/>
  <c r="M2370" i="16"/>
  <c r="P2370" i="16" s="1"/>
  <c r="Q2370" i="16" s="1"/>
  <c r="O2369" i="16"/>
  <c r="M2369" i="16"/>
  <c r="P2369" i="16" s="1"/>
  <c r="Q2369" i="16" s="1"/>
  <c r="O2368" i="16"/>
  <c r="M2368" i="16"/>
  <c r="P2368" i="16" s="1"/>
  <c r="Q2368" i="16" s="1"/>
  <c r="P2367" i="16"/>
  <c r="Q2367" i="16" s="1"/>
  <c r="O2367" i="16"/>
  <c r="M2367" i="16"/>
  <c r="O2366" i="16"/>
  <c r="M2366" i="16"/>
  <c r="P2366" i="16" s="1"/>
  <c r="Q2366" i="16" s="1"/>
  <c r="O2365" i="16"/>
  <c r="M2365" i="16"/>
  <c r="P2365" i="16" s="1"/>
  <c r="Q2365" i="16" s="1"/>
  <c r="O2364" i="16"/>
  <c r="M2364" i="16"/>
  <c r="P2364" i="16" s="1"/>
  <c r="O2363" i="16"/>
  <c r="M2363" i="16"/>
  <c r="P2363" i="16" s="1"/>
  <c r="Q2363" i="16" s="1"/>
  <c r="F2359" i="16"/>
  <c r="E2359" i="16"/>
  <c r="A2385" i="16" s="1"/>
  <c r="M2355" i="16"/>
  <c r="M2352" i="16"/>
  <c r="O2352" i="16" s="1"/>
  <c r="J2349" i="16"/>
  <c r="AF2347" i="16"/>
  <c r="AE2347" i="16"/>
  <c r="O2342" i="16"/>
  <c r="M2342" i="16"/>
  <c r="P2342" i="16" s="1"/>
  <c r="Q2342" i="16" s="1"/>
  <c r="O2341" i="16"/>
  <c r="M2341" i="16"/>
  <c r="P2341" i="16" s="1"/>
  <c r="Q2341" i="16" s="1"/>
  <c r="O2340" i="16"/>
  <c r="M2340" i="16"/>
  <c r="P2340" i="16" s="1"/>
  <c r="Q2340" i="16" s="1"/>
  <c r="O2339" i="16"/>
  <c r="M2339" i="16"/>
  <c r="P2339" i="16" s="1"/>
  <c r="Q2339" i="16" s="1"/>
  <c r="O2338" i="16"/>
  <c r="M2338" i="16"/>
  <c r="P2338" i="16" s="1"/>
  <c r="Q2338" i="16" s="1"/>
  <c r="O2337" i="16"/>
  <c r="M2337" i="16"/>
  <c r="P2337" i="16" s="1"/>
  <c r="Q2337" i="16" s="1"/>
  <c r="O2336" i="16"/>
  <c r="M2336" i="16"/>
  <c r="P2336" i="16" s="1"/>
  <c r="Q2336" i="16" s="1"/>
  <c r="O2335" i="16"/>
  <c r="M2335" i="16"/>
  <c r="P2335" i="16" s="1"/>
  <c r="Q2335" i="16" s="1"/>
  <c r="O2334" i="16"/>
  <c r="M2334" i="16"/>
  <c r="P2334" i="16" s="1"/>
  <c r="O2333" i="16"/>
  <c r="M2333" i="16"/>
  <c r="P2333" i="16" s="1"/>
  <c r="Q2333" i="16" s="1"/>
  <c r="F2329" i="16"/>
  <c r="E2329" i="16"/>
  <c r="A2355" i="16" s="1"/>
  <c r="M2325" i="16"/>
  <c r="M2322" i="16"/>
  <c r="O2322" i="16" s="1"/>
  <c r="J2319" i="16"/>
  <c r="AF2317" i="16"/>
  <c r="AE2317" i="16"/>
  <c r="O2312" i="16"/>
  <c r="M2312" i="16"/>
  <c r="P2312" i="16" s="1"/>
  <c r="Q2312" i="16" s="1"/>
  <c r="O2311" i="16"/>
  <c r="M2311" i="16"/>
  <c r="P2311" i="16" s="1"/>
  <c r="Q2311" i="16" s="1"/>
  <c r="O2310" i="16"/>
  <c r="M2310" i="16"/>
  <c r="P2310" i="16" s="1"/>
  <c r="Q2310" i="16" s="1"/>
  <c r="O2309" i="16"/>
  <c r="M2309" i="16"/>
  <c r="P2309" i="16" s="1"/>
  <c r="Q2309" i="16" s="1"/>
  <c r="O2308" i="16"/>
  <c r="M2308" i="16"/>
  <c r="P2308" i="16" s="1"/>
  <c r="Q2308" i="16" s="1"/>
  <c r="O2307" i="16"/>
  <c r="M2307" i="16"/>
  <c r="P2307" i="16" s="1"/>
  <c r="Q2307" i="16" s="1"/>
  <c r="O2306" i="16"/>
  <c r="M2306" i="16"/>
  <c r="P2306" i="16" s="1"/>
  <c r="Q2306" i="16" s="1"/>
  <c r="O2305" i="16"/>
  <c r="M2305" i="16"/>
  <c r="P2305" i="16" s="1"/>
  <c r="Q2305" i="16" s="1"/>
  <c r="O2304" i="16"/>
  <c r="M2304" i="16"/>
  <c r="P2304" i="16" s="1"/>
  <c r="O2303" i="16"/>
  <c r="M2303" i="16"/>
  <c r="P2303" i="16" s="1"/>
  <c r="Q2303" i="16" s="1"/>
  <c r="F2299" i="16"/>
  <c r="E2299" i="16"/>
  <c r="A2325" i="16" s="1"/>
  <c r="M2295" i="16"/>
  <c r="M2292" i="16"/>
  <c r="O2292" i="16" s="1"/>
  <c r="J2289" i="16"/>
  <c r="AF2287" i="16"/>
  <c r="AE2287" i="16"/>
  <c r="O2282" i="16"/>
  <c r="M2282" i="16"/>
  <c r="P2282" i="16" s="1"/>
  <c r="Q2282" i="16" s="1"/>
  <c r="O2281" i="16"/>
  <c r="M2281" i="16"/>
  <c r="P2281" i="16" s="1"/>
  <c r="Q2281" i="16" s="1"/>
  <c r="O2280" i="16"/>
  <c r="M2280" i="16"/>
  <c r="P2280" i="16" s="1"/>
  <c r="Q2280" i="16" s="1"/>
  <c r="O2279" i="16"/>
  <c r="M2279" i="16"/>
  <c r="P2279" i="16" s="1"/>
  <c r="Q2279" i="16" s="1"/>
  <c r="O2278" i="16"/>
  <c r="M2278" i="16"/>
  <c r="P2278" i="16" s="1"/>
  <c r="Q2278" i="16" s="1"/>
  <c r="O2277" i="16"/>
  <c r="M2277" i="16"/>
  <c r="P2277" i="16" s="1"/>
  <c r="Q2277" i="16" s="1"/>
  <c r="O2276" i="16"/>
  <c r="M2276" i="16"/>
  <c r="P2276" i="16" s="1"/>
  <c r="Q2276" i="16" s="1"/>
  <c r="O2275" i="16"/>
  <c r="M2275" i="16"/>
  <c r="P2275" i="16" s="1"/>
  <c r="Q2275" i="16" s="1"/>
  <c r="O2274" i="16"/>
  <c r="M2274" i="16"/>
  <c r="P2274" i="16" s="1"/>
  <c r="Q2274" i="16" s="1"/>
  <c r="Q2273" i="16"/>
  <c r="O2273" i="16"/>
  <c r="M2273" i="16"/>
  <c r="P2273" i="16" s="1"/>
  <c r="F2269" i="16"/>
  <c r="E2269" i="16"/>
  <c r="A2295" i="16" s="1"/>
  <c r="M2265" i="16"/>
  <c r="M2262" i="16"/>
  <c r="O2262" i="16" s="1"/>
  <c r="J2259" i="16"/>
  <c r="AF2257" i="16"/>
  <c r="AE2257" i="16"/>
  <c r="O2252" i="16"/>
  <c r="M2252" i="16"/>
  <c r="P2252" i="16" s="1"/>
  <c r="Q2252" i="16" s="1"/>
  <c r="O2251" i="16"/>
  <c r="M2251" i="16"/>
  <c r="P2251" i="16" s="1"/>
  <c r="Q2251" i="16" s="1"/>
  <c r="O2250" i="16"/>
  <c r="M2250" i="16"/>
  <c r="P2250" i="16" s="1"/>
  <c r="Q2250" i="16" s="1"/>
  <c r="O2249" i="16"/>
  <c r="M2249" i="16"/>
  <c r="P2249" i="16" s="1"/>
  <c r="Q2249" i="16" s="1"/>
  <c r="O2248" i="16"/>
  <c r="M2248" i="16"/>
  <c r="P2248" i="16" s="1"/>
  <c r="Q2248" i="16" s="1"/>
  <c r="O2247" i="16"/>
  <c r="M2247" i="16"/>
  <c r="P2247" i="16" s="1"/>
  <c r="Q2247" i="16" s="1"/>
  <c r="O2246" i="16"/>
  <c r="M2246" i="16"/>
  <c r="P2246" i="16" s="1"/>
  <c r="Q2246" i="16" s="1"/>
  <c r="O2245" i="16"/>
  <c r="M2245" i="16"/>
  <c r="P2245" i="16" s="1"/>
  <c r="Q2245" i="16" s="1"/>
  <c r="O2244" i="16"/>
  <c r="M2244" i="16"/>
  <c r="P2244" i="16" s="1"/>
  <c r="Q2244" i="16" s="1"/>
  <c r="P2243" i="16"/>
  <c r="O2243" i="16"/>
  <c r="M2243" i="16"/>
  <c r="F2239" i="16"/>
  <c r="E2239" i="16"/>
  <c r="A2265" i="16" s="1"/>
  <c r="M2235" i="16"/>
  <c r="M2232" i="16"/>
  <c r="O2232" i="16" s="1"/>
  <c r="J2229" i="16"/>
  <c r="AF2227" i="16"/>
  <c r="AE2227" i="16"/>
  <c r="O2222" i="16"/>
  <c r="M2222" i="16"/>
  <c r="P2222" i="16" s="1"/>
  <c r="Q2222" i="16" s="1"/>
  <c r="P2221" i="16"/>
  <c r="Q2221" i="16" s="1"/>
  <c r="O2221" i="16"/>
  <c r="M2221" i="16"/>
  <c r="O2220" i="16"/>
  <c r="M2220" i="16"/>
  <c r="P2220" i="16" s="1"/>
  <c r="Q2220" i="16" s="1"/>
  <c r="O2219" i="16"/>
  <c r="M2219" i="16"/>
  <c r="P2219" i="16" s="1"/>
  <c r="Q2219" i="16" s="1"/>
  <c r="O2218" i="16"/>
  <c r="M2218" i="16"/>
  <c r="P2218" i="16" s="1"/>
  <c r="Q2218" i="16" s="1"/>
  <c r="O2217" i="16"/>
  <c r="M2217" i="16"/>
  <c r="P2217" i="16" s="1"/>
  <c r="Q2217" i="16" s="1"/>
  <c r="P2216" i="16"/>
  <c r="Q2216" i="16" s="1"/>
  <c r="O2216" i="16"/>
  <c r="M2216" i="16"/>
  <c r="O2215" i="16"/>
  <c r="M2215" i="16"/>
  <c r="P2215" i="16" s="1"/>
  <c r="Q2215" i="16" s="1"/>
  <c r="O2214" i="16"/>
  <c r="M2214" i="16"/>
  <c r="P2214" i="16" s="1"/>
  <c r="Q2214" i="16" s="1"/>
  <c r="O2213" i="16"/>
  <c r="M2213" i="16"/>
  <c r="P2213" i="16" s="1"/>
  <c r="F2209" i="16"/>
  <c r="E2209" i="16"/>
  <c r="A2235" i="16" s="1"/>
  <c r="M2205" i="16"/>
  <c r="M2202" i="16"/>
  <c r="O2202" i="16" s="1"/>
  <c r="J2199" i="16"/>
  <c r="AF2197" i="16"/>
  <c r="AE2197" i="16"/>
  <c r="O2192" i="16"/>
  <c r="M2192" i="16"/>
  <c r="P2192" i="16" s="1"/>
  <c r="Q2192" i="16" s="1"/>
  <c r="O2191" i="16"/>
  <c r="M2191" i="16"/>
  <c r="P2191" i="16" s="1"/>
  <c r="Q2191" i="16" s="1"/>
  <c r="O2190" i="16"/>
  <c r="M2190" i="16"/>
  <c r="P2190" i="16" s="1"/>
  <c r="Q2190" i="16" s="1"/>
  <c r="O2189" i="16"/>
  <c r="M2189" i="16"/>
  <c r="P2189" i="16" s="1"/>
  <c r="Q2189" i="16" s="1"/>
  <c r="O2188" i="16"/>
  <c r="M2188" i="16"/>
  <c r="P2188" i="16" s="1"/>
  <c r="Q2188" i="16" s="1"/>
  <c r="O2187" i="16"/>
  <c r="M2187" i="16"/>
  <c r="P2187" i="16" s="1"/>
  <c r="Q2187" i="16" s="1"/>
  <c r="P2186" i="16"/>
  <c r="Q2186" i="16" s="1"/>
  <c r="O2186" i="16"/>
  <c r="M2186" i="16"/>
  <c r="O2185" i="16"/>
  <c r="M2185" i="16"/>
  <c r="P2185" i="16" s="1"/>
  <c r="Q2185" i="16" s="1"/>
  <c r="O2184" i="16"/>
  <c r="M2184" i="16"/>
  <c r="P2184" i="16" s="1"/>
  <c r="Q2184" i="16" s="1"/>
  <c r="O2183" i="16"/>
  <c r="M2183" i="16"/>
  <c r="P2183" i="16" s="1"/>
  <c r="F2179" i="16"/>
  <c r="E2179" i="16"/>
  <c r="A2205" i="16" s="1"/>
  <c r="M2175" i="16"/>
  <c r="M2172" i="16"/>
  <c r="O2172" i="16" s="1"/>
  <c r="J2169" i="16"/>
  <c r="AF2167" i="16"/>
  <c r="AE2167" i="16"/>
  <c r="O2162" i="16"/>
  <c r="M2162" i="16"/>
  <c r="P2162" i="16" s="1"/>
  <c r="Q2162" i="16" s="1"/>
  <c r="O2161" i="16"/>
  <c r="M2161" i="16"/>
  <c r="P2161" i="16" s="1"/>
  <c r="Q2161" i="16" s="1"/>
  <c r="O2160" i="16"/>
  <c r="M2160" i="16"/>
  <c r="P2160" i="16" s="1"/>
  <c r="Q2160" i="16" s="1"/>
  <c r="O2159" i="16"/>
  <c r="M2159" i="16"/>
  <c r="P2159" i="16" s="1"/>
  <c r="Q2159" i="16" s="1"/>
  <c r="O2158" i="16"/>
  <c r="M2158" i="16"/>
  <c r="P2158" i="16" s="1"/>
  <c r="Q2158" i="16" s="1"/>
  <c r="P2157" i="16"/>
  <c r="Q2157" i="16" s="1"/>
  <c r="O2157" i="16"/>
  <c r="M2157" i="16"/>
  <c r="O2156" i="16"/>
  <c r="M2156" i="16"/>
  <c r="P2156" i="16" s="1"/>
  <c r="Q2156" i="16" s="1"/>
  <c r="O2155" i="16"/>
  <c r="M2155" i="16"/>
  <c r="P2155" i="16" s="1"/>
  <c r="Q2155" i="16" s="1"/>
  <c r="O2154" i="16"/>
  <c r="M2154" i="16"/>
  <c r="P2154" i="16" s="1"/>
  <c r="O2153" i="16"/>
  <c r="M2153" i="16"/>
  <c r="P2153" i="16" s="1"/>
  <c r="Q2153" i="16" s="1"/>
  <c r="F2149" i="16"/>
  <c r="E2149" i="16"/>
  <c r="A2175" i="16" s="1"/>
  <c r="M2145" i="16"/>
  <c r="M2142" i="16"/>
  <c r="O2142" i="16" s="1"/>
  <c r="J2139" i="16"/>
  <c r="AF2137" i="16"/>
  <c r="AE2137" i="16"/>
  <c r="O2132" i="16"/>
  <c r="M2132" i="16"/>
  <c r="P2132" i="16" s="1"/>
  <c r="Q2132" i="16" s="1"/>
  <c r="P2131" i="16"/>
  <c r="Q2131" i="16" s="1"/>
  <c r="O2131" i="16"/>
  <c r="M2131" i="16"/>
  <c r="O2130" i="16"/>
  <c r="M2130" i="16"/>
  <c r="P2130" i="16" s="1"/>
  <c r="Q2130" i="16" s="1"/>
  <c r="O2129" i="16"/>
  <c r="M2129" i="16"/>
  <c r="P2129" i="16" s="1"/>
  <c r="Q2129" i="16" s="1"/>
  <c r="O2128" i="16"/>
  <c r="M2128" i="16"/>
  <c r="P2128" i="16" s="1"/>
  <c r="Q2128" i="16" s="1"/>
  <c r="O2127" i="16"/>
  <c r="M2127" i="16"/>
  <c r="P2127" i="16" s="1"/>
  <c r="Q2127" i="16" s="1"/>
  <c r="O2126" i="16"/>
  <c r="M2126" i="16"/>
  <c r="P2126" i="16" s="1"/>
  <c r="Q2126" i="16" s="1"/>
  <c r="O2125" i="16"/>
  <c r="M2125" i="16"/>
  <c r="P2125" i="16" s="1"/>
  <c r="Q2125" i="16" s="1"/>
  <c r="O2124" i="16"/>
  <c r="M2124" i="16"/>
  <c r="P2124" i="16" s="1"/>
  <c r="O2123" i="16"/>
  <c r="M2123" i="16"/>
  <c r="P2123" i="16" s="1"/>
  <c r="Q2123" i="16" s="1"/>
  <c r="F2119" i="16"/>
  <c r="E2119" i="16"/>
  <c r="A2145" i="16" s="1"/>
  <c r="M2115" i="16"/>
  <c r="M2112" i="16"/>
  <c r="O2112" i="16" s="1"/>
  <c r="J2109" i="16"/>
  <c r="AF2107" i="16"/>
  <c r="AE2107" i="16"/>
  <c r="O2102" i="16"/>
  <c r="M2102" i="16"/>
  <c r="P2102" i="16" s="1"/>
  <c r="Q2102" i="16" s="1"/>
  <c r="O2101" i="16"/>
  <c r="M2101" i="16"/>
  <c r="P2101" i="16" s="1"/>
  <c r="Q2101" i="16" s="1"/>
  <c r="O2100" i="16"/>
  <c r="M2100" i="16"/>
  <c r="P2100" i="16" s="1"/>
  <c r="Q2100" i="16" s="1"/>
  <c r="O2099" i="16"/>
  <c r="M2099" i="16"/>
  <c r="P2099" i="16" s="1"/>
  <c r="Q2099" i="16" s="1"/>
  <c r="O2098" i="16"/>
  <c r="M2098" i="16"/>
  <c r="P2098" i="16" s="1"/>
  <c r="Q2098" i="16" s="1"/>
  <c r="O2097" i="16"/>
  <c r="M2097" i="16"/>
  <c r="P2097" i="16" s="1"/>
  <c r="Q2097" i="16" s="1"/>
  <c r="O2096" i="16"/>
  <c r="M2096" i="16"/>
  <c r="P2096" i="16" s="1"/>
  <c r="Q2096" i="16" s="1"/>
  <c r="O2095" i="16"/>
  <c r="M2095" i="16"/>
  <c r="P2095" i="16" s="1"/>
  <c r="Q2095" i="16" s="1"/>
  <c r="O2094" i="16"/>
  <c r="M2094" i="16"/>
  <c r="P2094" i="16" s="1"/>
  <c r="O2093" i="16"/>
  <c r="M2093" i="16"/>
  <c r="P2093" i="16" s="1"/>
  <c r="Q2093" i="16" s="1"/>
  <c r="F2089" i="16"/>
  <c r="E2089" i="16"/>
  <c r="A2115" i="16" s="1"/>
  <c r="M2085" i="16"/>
  <c r="M2082" i="16"/>
  <c r="O2082" i="16" s="1"/>
  <c r="J2079" i="16"/>
  <c r="AF2077" i="16"/>
  <c r="T2077" i="16" s="1"/>
  <c r="AE2077" i="16"/>
  <c r="O2072" i="16"/>
  <c r="M2072" i="16"/>
  <c r="P2072" i="16" s="1"/>
  <c r="Q2072" i="16" s="1"/>
  <c r="O2071" i="16"/>
  <c r="M2071" i="16"/>
  <c r="P2071" i="16" s="1"/>
  <c r="Q2071" i="16" s="1"/>
  <c r="P2070" i="16"/>
  <c r="Q2070" i="16" s="1"/>
  <c r="O2070" i="16"/>
  <c r="M2070" i="16"/>
  <c r="O2069" i="16"/>
  <c r="M2069" i="16"/>
  <c r="P2069" i="16" s="1"/>
  <c r="Q2069" i="16" s="1"/>
  <c r="O2068" i="16"/>
  <c r="M2068" i="16"/>
  <c r="P2068" i="16" s="1"/>
  <c r="Q2068" i="16" s="1"/>
  <c r="O2067" i="16"/>
  <c r="M2067" i="16"/>
  <c r="P2067" i="16" s="1"/>
  <c r="Q2067" i="16" s="1"/>
  <c r="O2066" i="16"/>
  <c r="M2066" i="16"/>
  <c r="P2066" i="16" s="1"/>
  <c r="Q2066" i="16" s="1"/>
  <c r="O2065" i="16"/>
  <c r="M2065" i="16"/>
  <c r="P2065" i="16" s="1"/>
  <c r="Q2065" i="16" s="1"/>
  <c r="O2064" i="16"/>
  <c r="M2064" i="16"/>
  <c r="P2064" i="16" s="1"/>
  <c r="O2063" i="16"/>
  <c r="M2063" i="16"/>
  <c r="P2063" i="16" s="1"/>
  <c r="Q2063" i="16" s="1"/>
  <c r="F2059" i="16"/>
  <c r="E2059" i="16"/>
  <c r="A2085" i="16" s="1"/>
  <c r="M2055" i="16"/>
  <c r="M2052" i="16"/>
  <c r="O2052" i="16" s="1"/>
  <c r="J2049" i="16"/>
  <c r="AF2047" i="16"/>
  <c r="AE2047" i="16"/>
  <c r="O2042" i="16"/>
  <c r="M2042" i="16"/>
  <c r="P2042" i="16" s="1"/>
  <c r="Q2042" i="16" s="1"/>
  <c r="O2041" i="16"/>
  <c r="M2041" i="16"/>
  <c r="P2041" i="16" s="1"/>
  <c r="Q2041" i="16" s="1"/>
  <c r="P2040" i="16"/>
  <c r="Q2040" i="16" s="1"/>
  <c r="O2040" i="16"/>
  <c r="M2040" i="16"/>
  <c r="O2039" i="16"/>
  <c r="M2039" i="16"/>
  <c r="P2039" i="16" s="1"/>
  <c r="Q2039" i="16" s="1"/>
  <c r="O2038" i="16"/>
  <c r="M2038" i="16"/>
  <c r="P2038" i="16" s="1"/>
  <c r="Q2038" i="16" s="1"/>
  <c r="P2037" i="16"/>
  <c r="Q2037" i="16" s="1"/>
  <c r="O2037" i="16"/>
  <c r="M2037" i="16"/>
  <c r="O2036" i="16"/>
  <c r="M2036" i="16"/>
  <c r="P2036" i="16" s="1"/>
  <c r="Q2036" i="16" s="1"/>
  <c r="O2035" i="16"/>
  <c r="M2035" i="16"/>
  <c r="P2035" i="16" s="1"/>
  <c r="Q2035" i="16" s="1"/>
  <c r="O2034" i="16"/>
  <c r="M2034" i="16"/>
  <c r="P2034" i="16" s="1"/>
  <c r="O2033" i="16"/>
  <c r="M2033" i="16"/>
  <c r="P2033" i="16" s="1"/>
  <c r="Q2033" i="16" s="1"/>
  <c r="F2029" i="16"/>
  <c r="E2029" i="16"/>
  <c r="A2055" i="16" s="1"/>
  <c r="M2025" i="16"/>
  <c r="M2022" i="16"/>
  <c r="O2022" i="16" s="1"/>
  <c r="J2019" i="16"/>
  <c r="AF2017" i="16"/>
  <c r="T2017" i="16" s="1"/>
  <c r="AE2017" i="16"/>
  <c r="O2012" i="16"/>
  <c r="M2012" i="16"/>
  <c r="P2012" i="16" s="1"/>
  <c r="Q2012" i="16" s="1"/>
  <c r="P2011" i="16"/>
  <c r="Q2011" i="16" s="1"/>
  <c r="O2011" i="16"/>
  <c r="M2011" i="16"/>
  <c r="O2010" i="16"/>
  <c r="M2010" i="16"/>
  <c r="P2010" i="16" s="1"/>
  <c r="Q2010" i="16" s="1"/>
  <c r="O2009" i="16"/>
  <c r="M2009" i="16"/>
  <c r="P2009" i="16" s="1"/>
  <c r="Q2009" i="16" s="1"/>
  <c r="O2008" i="16"/>
  <c r="M2008" i="16"/>
  <c r="P2008" i="16" s="1"/>
  <c r="Q2008" i="16" s="1"/>
  <c r="O2007" i="16"/>
  <c r="M2007" i="16"/>
  <c r="P2007" i="16" s="1"/>
  <c r="Q2007" i="16" s="1"/>
  <c r="O2006" i="16"/>
  <c r="M2006" i="16"/>
  <c r="P2006" i="16" s="1"/>
  <c r="Q2006" i="16" s="1"/>
  <c r="O2005" i="16"/>
  <c r="M2005" i="16"/>
  <c r="P2005" i="16" s="1"/>
  <c r="Q2005" i="16" s="1"/>
  <c r="O2004" i="16"/>
  <c r="M2004" i="16"/>
  <c r="P2004" i="16" s="1"/>
  <c r="O2003" i="16"/>
  <c r="M2003" i="16"/>
  <c r="P2003" i="16" s="1"/>
  <c r="Q2003" i="16" s="1"/>
  <c r="F1999" i="16"/>
  <c r="E1999" i="16"/>
  <c r="A2025" i="16" s="1"/>
  <c r="M1995" i="16"/>
  <c r="M1992" i="16"/>
  <c r="O1992" i="16" s="1"/>
  <c r="J1989" i="16"/>
  <c r="AF1987" i="16"/>
  <c r="AE1987" i="16"/>
  <c r="O1982" i="16"/>
  <c r="M1982" i="16"/>
  <c r="P1982" i="16" s="1"/>
  <c r="Q1982" i="16" s="1"/>
  <c r="O1981" i="16"/>
  <c r="M1981" i="16"/>
  <c r="P1981" i="16" s="1"/>
  <c r="Q1981" i="16" s="1"/>
  <c r="O1980" i="16"/>
  <c r="M1980" i="16"/>
  <c r="P1980" i="16" s="1"/>
  <c r="Q1980" i="16" s="1"/>
  <c r="O1979" i="16"/>
  <c r="M1979" i="16"/>
  <c r="P1979" i="16" s="1"/>
  <c r="Q1979" i="16" s="1"/>
  <c r="O1978" i="16"/>
  <c r="M1978" i="16"/>
  <c r="P1978" i="16" s="1"/>
  <c r="Q1978" i="16" s="1"/>
  <c r="O1977" i="16"/>
  <c r="M1977" i="16"/>
  <c r="P1977" i="16" s="1"/>
  <c r="Q1977" i="16" s="1"/>
  <c r="O1976" i="16"/>
  <c r="M1976" i="16"/>
  <c r="P1976" i="16" s="1"/>
  <c r="Q1976" i="16" s="1"/>
  <c r="O1975" i="16"/>
  <c r="M1975" i="16"/>
  <c r="P1975" i="16" s="1"/>
  <c r="Q1975" i="16" s="1"/>
  <c r="O1974" i="16"/>
  <c r="M1974" i="16"/>
  <c r="P1974" i="16" s="1"/>
  <c r="O1973" i="16"/>
  <c r="M1973" i="16"/>
  <c r="P1973" i="16" s="1"/>
  <c r="Q1973" i="16" s="1"/>
  <c r="F1969" i="16"/>
  <c r="E1969" i="16"/>
  <c r="A1995" i="16" s="1"/>
  <c r="M1965" i="16"/>
  <c r="M1962" i="16"/>
  <c r="O1962" i="16" s="1"/>
  <c r="J1959" i="16"/>
  <c r="AF1957" i="16"/>
  <c r="AE1957" i="16"/>
  <c r="O1952" i="16"/>
  <c r="M1952" i="16"/>
  <c r="P1952" i="16" s="1"/>
  <c r="Q1952" i="16" s="1"/>
  <c r="O1951" i="16"/>
  <c r="M1951" i="16"/>
  <c r="P1951" i="16" s="1"/>
  <c r="Q1951" i="16" s="1"/>
  <c r="O1950" i="16"/>
  <c r="M1950" i="16"/>
  <c r="P1950" i="16" s="1"/>
  <c r="Q1950" i="16" s="1"/>
  <c r="O1949" i="16"/>
  <c r="M1949" i="16"/>
  <c r="P1949" i="16" s="1"/>
  <c r="Q1949" i="16" s="1"/>
  <c r="O1948" i="16"/>
  <c r="M1948" i="16"/>
  <c r="P1948" i="16" s="1"/>
  <c r="Q1948" i="16" s="1"/>
  <c r="O1947" i="16"/>
  <c r="M1947" i="16"/>
  <c r="P1947" i="16" s="1"/>
  <c r="Q1947" i="16" s="1"/>
  <c r="O1946" i="16"/>
  <c r="M1946" i="16"/>
  <c r="P1946" i="16" s="1"/>
  <c r="Q1946" i="16" s="1"/>
  <c r="O1945" i="16"/>
  <c r="M1945" i="16"/>
  <c r="P1945" i="16" s="1"/>
  <c r="Q1945" i="16" s="1"/>
  <c r="O1944" i="16"/>
  <c r="M1944" i="16"/>
  <c r="P1944" i="16" s="1"/>
  <c r="O1943" i="16"/>
  <c r="M1943" i="16"/>
  <c r="P1943" i="16" s="1"/>
  <c r="Q1943" i="16" s="1"/>
  <c r="F1939" i="16"/>
  <c r="E1939" i="16"/>
  <c r="A1965" i="16" s="1"/>
  <c r="M1935" i="16"/>
  <c r="M1932" i="16"/>
  <c r="O1932" i="16" s="1"/>
  <c r="J1929" i="16"/>
  <c r="AF1927" i="16"/>
  <c r="AE1927" i="16"/>
  <c r="O1922" i="16"/>
  <c r="M1922" i="16"/>
  <c r="P1922" i="16" s="1"/>
  <c r="Q1922" i="16" s="1"/>
  <c r="O1921" i="16"/>
  <c r="M1921" i="16"/>
  <c r="P1921" i="16" s="1"/>
  <c r="Q1921" i="16" s="1"/>
  <c r="O1920" i="16"/>
  <c r="M1920" i="16"/>
  <c r="P1920" i="16" s="1"/>
  <c r="Q1920" i="16" s="1"/>
  <c r="O1919" i="16"/>
  <c r="M1919" i="16"/>
  <c r="P1919" i="16" s="1"/>
  <c r="Q1919" i="16" s="1"/>
  <c r="O1918" i="16"/>
  <c r="M1918" i="16"/>
  <c r="P1918" i="16" s="1"/>
  <c r="Q1918" i="16" s="1"/>
  <c r="P1917" i="16"/>
  <c r="Q1917" i="16" s="1"/>
  <c r="O1917" i="16"/>
  <c r="M1917" i="16"/>
  <c r="O1916" i="16"/>
  <c r="M1916" i="16"/>
  <c r="P1916" i="16" s="1"/>
  <c r="Q1916" i="16" s="1"/>
  <c r="O1915" i="16"/>
  <c r="M1915" i="16"/>
  <c r="P1915" i="16" s="1"/>
  <c r="Q1915" i="16" s="1"/>
  <c r="O1914" i="16"/>
  <c r="M1914" i="16"/>
  <c r="P1914" i="16" s="1"/>
  <c r="Q1914" i="16" s="1"/>
  <c r="O1913" i="16"/>
  <c r="M1913" i="16"/>
  <c r="P1913" i="16" s="1"/>
  <c r="Q1913" i="16" s="1"/>
  <c r="F1909" i="16"/>
  <c r="E1909" i="16"/>
  <c r="A1935" i="16" s="1"/>
  <c r="M1905" i="16"/>
  <c r="M1902" i="16"/>
  <c r="O1902" i="16" s="1"/>
  <c r="J1899" i="16"/>
  <c r="AF1897" i="16"/>
  <c r="T1897" i="16" s="1"/>
  <c r="AE1897" i="16"/>
  <c r="O1892" i="16"/>
  <c r="M1892" i="16"/>
  <c r="P1892" i="16" s="1"/>
  <c r="Q1892" i="16" s="1"/>
  <c r="O1891" i="16"/>
  <c r="M1891" i="16"/>
  <c r="P1891" i="16" s="1"/>
  <c r="Q1891" i="16" s="1"/>
  <c r="O1890" i="16"/>
  <c r="M1890" i="16"/>
  <c r="P1890" i="16" s="1"/>
  <c r="Q1890" i="16" s="1"/>
  <c r="O1889" i="16"/>
  <c r="M1889" i="16"/>
  <c r="P1889" i="16" s="1"/>
  <c r="Q1889" i="16" s="1"/>
  <c r="O1888" i="16"/>
  <c r="M1888" i="16"/>
  <c r="P1888" i="16" s="1"/>
  <c r="Q1888" i="16" s="1"/>
  <c r="P1887" i="16"/>
  <c r="Q1887" i="16" s="1"/>
  <c r="O1887" i="16"/>
  <c r="M1887" i="16"/>
  <c r="O1886" i="16"/>
  <c r="M1886" i="16"/>
  <c r="P1886" i="16" s="1"/>
  <c r="Q1886" i="16" s="1"/>
  <c r="O1885" i="16"/>
  <c r="M1885" i="16"/>
  <c r="P1885" i="16" s="1"/>
  <c r="Q1885" i="16" s="1"/>
  <c r="O1884" i="16"/>
  <c r="M1884" i="16"/>
  <c r="P1884" i="16" s="1"/>
  <c r="Q1884" i="16" s="1"/>
  <c r="O1883" i="16"/>
  <c r="M1883" i="16"/>
  <c r="P1883" i="16" s="1"/>
  <c r="F1879" i="16"/>
  <c r="E1879" i="16"/>
  <c r="A1905" i="16" s="1"/>
  <c r="M1875" i="16"/>
  <c r="M1872" i="16"/>
  <c r="O1872" i="16" s="1"/>
  <c r="J1869" i="16"/>
  <c r="AF1867" i="16"/>
  <c r="T1867" i="16" s="1"/>
  <c r="AE1867" i="16"/>
  <c r="O1862" i="16"/>
  <c r="M1862" i="16"/>
  <c r="P1862" i="16" s="1"/>
  <c r="Q1862" i="16" s="1"/>
  <c r="O1861" i="16"/>
  <c r="M1861" i="16"/>
  <c r="P1861" i="16" s="1"/>
  <c r="Q1861" i="16" s="1"/>
  <c r="O1860" i="16"/>
  <c r="M1860" i="16"/>
  <c r="P1860" i="16" s="1"/>
  <c r="Q1860" i="16" s="1"/>
  <c r="O1859" i="16"/>
  <c r="M1859" i="16"/>
  <c r="P1859" i="16" s="1"/>
  <c r="Q1859" i="16" s="1"/>
  <c r="O1858" i="16"/>
  <c r="M1858" i="16"/>
  <c r="P1858" i="16" s="1"/>
  <c r="Q1858" i="16" s="1"/>
  <c r="P1857" i="16"/>
  <c r="Q1857" i="16" s="1"/>
  <c r="O1857" i="16"/>
  <c r="M1857" i="16"/>
  <c r="P1856" i="16"/>
  <c r="Q1856" i="16" s="1"/>
  <c r="O1856" i="16"/>
  <c r="M1856" i="16"/>
  <c r="O1855" i="16"/>
  <c r="M1855" i="16"/>
  <c r="P1855" i="16" s="1"/>
  <c r="Q1855" i="16" s="1"/>
  <c r="O1854" i="16"/>
  <c r="M1854" i="16"/>
  <c r="P1854" i="16" s="1"/>
  <c r="Q1854" i="16" s="1"/>
  <c r="O1853" i="16"/>
  <c r="M1853" i="16"/>
  <c r="P1853" i="16" s="1"/>
  <c r="F1849" i="16"/>
  <c r="E1849" i="16"/>
  <c r="A1875" i="16" s="1"/>
  <c r="M1845" i="16"/>
  <c r="M1842" i="16"/>
  <c r="O1842" i="16" s="1"/>
  <c r="J1839" i="16"/>
  <c r="AF1837" i="16"/>
  <c r="AE1837" i="16"/>
  <c r="O1832" i="16"/>
  <c r="M1832" i="16"/>
  <c r="P1832" i="16" s="1"/>
  <c r="Q1832" i="16" s="1"/>
  <c r="O1831" i="16"/>
  <c r="M1831" i="16"/>
  <c r="P1831" i="16" s="1"/>
  <c r="Q1831" i="16" s="1"/>
  <c r="P1830" i="16"/>
  <c r="Q1830" i="16" s="1"/>
  <c r="O1830" i="16"/>
  <c r="M1830" i="16"/>
  <c r="O1829" i="16"/>
  <c r="M1829" i="16"/>
  <c r="P1829" i="16" s="1"/>
  <c r="Q1829" i="16" s="1"/>
  <c r="O1828" i="16"/>
  <c r="M1828" i="16"/>
  <c r="P1828" i="16" s="1"/>
  <c r="Q1828" i="16" s="1"/>
  <c r="O1827" i="16"/>
  <c r="M1827" i="16"/>
  <c r="P1827" i="16" s="1"/>
  <c r="Q1827" i="16" s="1"/>
  <c r="O1826" i="16"/>
  <c r="M1826" i="16"/>
  <c r="P1826" i="16" s="1"/>
  <c r="Q1826" i="16" s="1"/>
  <c r="O1825" i="16"/>
  <c r="M1825" i="16"/>
  <c r="P1825" i="16" s="1"/>
  <c r="Q1825" i="16" s="1"/>
  <c r="O1824" i="16"/>
  <c r="M1824" i="16"/>
  <c r="P1824" i="16" s="1"/>
  <c r="Q1824" i="16" s="1"/>
  <c r="O1823" i="16"/>
  <c r="M1823" i="16"/>
  <c r="P1823" i="16" s="1"/>
  <c r="F1819" i="16"/>
  <c r="E1819" i="16"/>
  <c r="A1837" i="16" s="1"/>
  <c r="M1815" i="16"/>
  <c r="M1812" i="16"/>
  <c r="O1812" i="16" s="1"/>
  <c r="J1809" i="16"/>
  <c r="AF1807" i="16"/>
  <c r="AE1807" i="16"/>
  <c r="O1802" i="16"/>
  <c r="M1802" i="16"/>
  <c r="P1802" i="16" s="1"/>
  <c r="Q1802" i="16" s="1"/>
  <c r="O1801" i="16"/>
  <c r="M1801" i="16"/>
  <c r="P1801" i="16" s="1"/>
  <c r="Q1801" i="16" s="1"/>
  <c r="P1800" i="16"/>
  <c r="Q1800" i="16" s="1"/>
  <c r="O1800" i="16"/>
  <c r="M1800" i="16"/>
  <c r="O1799" i="16"/>
  <c r="M1799" i="16"/>
  <c r="P1799" i="16" s="1"/>
  <c r="Q1799" i="16" s="1"/>
  <c r="O1798" i="16"/>
  <c r="M1798" i="16"/>
  <c r="P1798" i="16" s="1"/>
  <c r="Q1798" i="16" s="1"/>
  <c r="P1797" i="16"/>
  <c r="Q1797" i="16" s="1"/>
  <c r="O1797" i="16"/>
  <c r="M1797" i="16"/>
  <c r="O1796" i="16"/>
  <c r="M1796" i="16"/>
  <c r="P1796" i="16" s="1"/>
  <c r="Q1796" i="16" s="1"/>
  <c r="O1795" i="16"/>
  <c r="M1795" i="16"/>
  <c r="P1795" i="16" s="1"/>
  <c r="Q1795" i="16" s="1"/>
  <c r="O1794" i="16"/>
  <c r="M1794" i="16"/>
  <c r="P1794" i="16" s="1"/>
  <c r="Q1794" i="16" s="1"/>
  <c r="O1793" i="16"/>
  <c r="M1793" i="16"/>
  <c r="P1793" i="16" s="1"/>
  <c r="F1789" i="16"/>
  <c r="E1789" i="16"/>
  <c r="A1799" i="16" s="1"/>
  <c r="M1785" i="16"/>
  <c r="M1782" i="16"/>
  <c r="O1782" i="16" s="1"/>
  <c r="J1779" i="16"/>
  <c r="AF1777" i="16"/>
  <c r="T1777" i="16" s="1"/>
  <c r="AE1777" i="16"/>
  <c r="O1772" i="16"/>
  <c r="M1772" i="16"/>
  <c r="P1772" i="16" s="1"/>
  <c r="Q1772" i="16" s="1"/>
  <c r="O1771" i="16"/>
  <c r="M1771" i="16"/>
  <c r="P1771" i="16" s="1"/>
  <c r="Q1771" i="16" s="1"/>
  <c r="O1770" i="16"/>
  <c r="M1770" i="16"/>
  <c r="P1770" i="16" s="1"/>
  <c r="Q1770" i="16" s="1"/>
  <c r="O1769" i="16"/>
  <c r="M1769" i="16"/>
  <c r="P1769" i="16" s="1"/>
  <c r="Q1769" i="16" s="1"/>
  <c r="O1768" i="16"/>
  <c r="M1768" i="16"/>
  <c r="P1768" i="16" s="1"/>
  <c r="Q1768" i="16" s="1"/>
  <c r="O1767" i="16"/>
  <c r="M1767" i="16"/>
  <c r="P1767" i="16" s="1"/>
  <c r="Q1767" i="16" s="1"/>
  <c r="O1766" i="16"/>
  <c r="M1766" i="16"/>
  <c r="P1766" i="16" s="1"/>
  <c r="Q1766" i="16" s="1"/>
  <c r="O1765" i="16"/>
  <c r="M1765" i="16"/>
  <c r="P1765" i="16" s="1"/>
  <c r="Q1765" i="16" s="1"/>
  <c r="O1764" i="16"/>
  <c r="M1764" i="16"/>
  <c r="P1764" i="16" s="1"/>
  <c r="Q1764" i="16" s="1"/>
  <c r="O1763" i="16"/>
  <c r="M1763" i="16"/>
  <c r="P1763" i="16" s="1"/>
  <c r="F1759" i="16"/>
  <c r="E1759" i="16"/>
  <c r="A1777" i="16" s="1"/>
  <c r="M1755" i="16"/>
  <c r="M1752" i="16"/>
  <c r="O1752" i="16" s="1"/>
  <c r="J1749" i="16"/>
  <c r="AF1747" i="16"/>
  <c r="AE1747" i="16"/>
  <c r="O1742" i="16"/>
  <c r="M1742" i="16"/>
  <c r="P1742" i="16" s="1"/>
  <c r="Q1742" i="16" s="1"/>
  <c r="O1741" i="16"/>
  <c r="M1741" i="16"/>
  <c r="P1741" i="16" s="1"/>
  <c r="Q1741" i="16" s="1"/>
  <c r="O1740" i="16"/>
  <c r="M1740" i="16"/>
  <c r="P1740" i="16" s="1"/>
  <c r="Q1740" i="16" s="1"/>
  <c r="O1739" i="16"/>
  <c r="M1739" i="16"/>
  <c r="P1739" i="16" s="1"/>
  <c r="Q1739" i="16" s="1"/>
  <c r="O1738" i="16"/>
  <c r="M1738" i="16"/>
  <c r="P1738" i="16" s="1"/>
  <c r="Q1738" i="16" s="1"/>
  <c r="O1737" i="16"/>
  <c r="M1737" i="16"/>
  <c r="P1737" i="16" s="1"/>
  <c r="Q1737" i="16" s="1"/>
  <c r="P1736" i="16"/>
  <c r="Q1736" i="16" s="1"/>
  <c r="O1736" i="16"/>
  <c r="M1736" i="16"/>
  <c r="O1735" i="16"/>
  <c r="M1735" i="16"/>
  <c r="P1735" i="16" s="1"/>
  <c r="Q1735" i="16" s="1"/>
  <c r="O1734" i="16"/>
  <c r="M1734" i="16"/>
  <c r="P1734" i="16" s="1"/>
  <c r="Q1734" i="16" s="1"/>
  <c r="O1733" i="16"/>
  <c r="M1733" i="16"/>
  <c r="P1733" i="16" s="1"/>
  <c r="F1729" i="16"/>
  <c r="E1729" i="16"/>
  <c r="A1747" i="16" s="1"/>
  <c r="M1725" i="16"/>
  <c r="M1722" i="16"/>
  <c r="O1722" i="16" s="1"/>
  <c r="J1719" i="16"/>
  <c r="AF1717" i="16"/>
  <c r="T1717" i="16" s="1"/>
  <c r="AE1717" i="16"/>
  <c r="O1712" i="16"/>
  <c r="M1712" i="16"/>
  <c r="P1712" i="16" s="1"/>
  <c r="Q1712" i="16" s="1"/>
  <c r="O1711" i="16"/>
  <c r="M1711" i="16"/>
  <c r="P1711" i="16" s="1"/>
  <c r="Q1711" i="16" s="1"/>
  <c r="O1710" i="16"/>
  <c r="M1710" i="16"/>
  <c r="P1710" i="16" s="1"/>
  <c r="Q1710" i="16" s="1"/>
  <c r="O1709" i="16"/>
  <c r="M1709" i="16"/>
  <c r="P1709" i="16" s="1"/>
  <c r="Q1709" i="16" s="1"/>
  <c r="O1708" i="16"/>
  <c r="M1708" i="16"/>
  <c r="P1708" i="16" s="1"/>
  <c r="Q1708" i="16" s="1"/>
  <c r="O1707" i="16"/>
  <c r="M1707" i="16"/>
  <c r="P1707" i="16" s="1"/>
  <c r="Q1707" i="16" s="1"/>
  <c r="O1706" i="16"/>
  <c r="M1706" i="16"/>
  <c r="P1706" i="16" s="1"/>
  <c r="Q1706" i="16" s="1"/>
  <c r="O1705" i="16"/>
  <c r="M1705" i="16"/>
  <c r="P1705" i="16" s="1"/>
  <c r="Q1705" i="16" s="1"/>
  <c r="O1704" i="16"/>
  <c r="M1704" i="16"/>
  <c r="P1704" i="16" s="1"/>
  <c r="Q1704" i="16" s="1"/>
  <c r="O1703" i="16"/>
  <c r="M1703" i="16"/>
  <c r="P1703" i="16" s="1"/>
  <c r="F1699" i="16"/>
  <c r="E1699" i="16"/>
  <c r="M1695" i="16"/>
  <c r="M1692" i="16"/>
  <c r="O1692" i="16" s="1"/>
  <c r="J1689" i="16"/>
  <c r="AF1687" i="16"/>
  <c r="AE1687" i="16"/>
  <c r="A1687" i="16"/>
  <c r="O1682" i="16"/>
  <c r="M1682" i="16"/>
  <c r="P1682" i="16" s="1"/>
  <c r="Q1682" i="16" s="1"/>
  <c r="O1681" i="16"/>
  <c r="M1681" i="16"/>
  <c r="P1681" i="16" s="1"/>
  <c r="Q1681" i="16" s="1"/>
  <c r="O1680" i="16"/>
  <c r="M1680" i="16"/>
  <c r="P1680" i="16" s="1"/>
  <c r="Q1680" i="16" s="1"/>
  <c r="O1679" i="16"/>
  <c r="M1679" i="16"/>
  <c r="P1679" i="16" s="1"/>
  <c r="Q1679" i="16" s="1"/>
  <c r="O1678" i="16"/>
  <c r="M1678" i="16"/>
  <c r="P1678" i="16" s="1"/>
  <c r="Q1678" i="16" s="1"/>
  <c r="O1677" i="16"/>
  <c r="M1677" i="16"/>
  <c r="P1677" i="16" s="1"/>
  <c r="Q1677" i="16" s="1"/>
  <c r="O1676" i="16"/>
  <c r="M1676" i="16"/>
  <c r="P1676" i="16" s="1"/>
  <c r="Q1676" i="16" s="1"/>
  <c r="O1675" i="16"/>
  <c r="M1675" i="16"/>
  <c r="P1675" i="16" s="1"/>
  <c r="Q1675" i="16" s="1"/>
  <c r="O1674" i="16"/>
  <c r="M1674" i="16"/>
  <c r="P1674" i="16" s="1"/>
  <c r="Q1674" i="16" s="1"/>
  <c r="P1673" i="16"/>
  <c r="O1673" i="16"/>
  <c r="M1673" i="16"/>
  <c r="F1669" i="16"/>
  <c r="E1669" i="16"/>
  <c r="A1679" i="16" s="1"/>
  <c r="M1665" i="16"/>
  <c r="M1662" i="16"/>
  <c r="O1662" i="16" s="1"/>
  <c r="J1659" i="16"/>
  <c r="AF1657" i="16"/>
  <c r="AE1657" i="16"/>
  <c r="O1652" i="16"/>
  <c r="M1652" i="16"/>
  <c r="P1652" i="16" s="1"/>
  <c r="Q1652" i="16" s="1"/>
  <c r="O1651" i="16"/>
  <c r="M1651" i="16"/>
  <c r="P1651" i="16" s="1"/>
  <c r="Q1651" i="16" s="1"/>
  <c r="O1650" i="16"/>
  <c r="M1650" i="16"/>
  <c r="P1650" i="16" s="1"/>
  <c r="Q1650" i="16" s="1"/>
  <c r="O1649" i="16"/>
  <c r="M1649" i="16"/>
  <c r="P1649" i="16" s="1"/>
  <c r="Q1649" i="16" s="1"/>
  <c r="O1648" i="16"/>
  <c r="M1648" i="16"/>
  <c r="P1648" i="16" s="1"/>
  <c r="Q1648" i="16" s="1"/>
  <c r="O1647" i="16"/>
  <c r="M1647" i="16"/>
  <c r="P1647" i="16" s="1"/>
  <c r="Q1647" i="16" s="1"/>
  <c r="O1646" i="16"/>
  <c r="M1646" i="16"/>
  <c r="P1646" i="16" s="1"/>
  <c r="Q1646" i="16" s="1"/>
  <c r="Q1645" i="16"/>
  <c r="O1645" i="16"/>
  <c r="M1645" i="16"/>
  <c r="P1645" i="16" s="1"/>
  <c r="O1644" i="16"/>
  <c r="M1644" i="16"/>
  <c r="P1644" i="16" s="1"/>
  <c r="Q1644" i="16" s="1"/>
  <c r="O1643" i="16"/>
  <c r="M1643" i="16"/>
  <c r="P1643" i="16" s="1"/>
  <c r="F1639" i="16"/>
  <c r="E1639" i="16"/>
  <c r="A1659" i="16" s="1"/>
  <c r="M1635" i="16"/>
  <c r="M1632" i="16"/>
  <c r="O1632" i="16" s="1"/>
  <c r="J1629" i="16"/>
  <c r="AF1627" i="16"/>
  <c r="AE1627" i="16"/>
  <c r="O1622" i="16"/>
  <c r="M1622" i="16"/>
  <c r="P1622" i="16" s="1"/>
  <c r="Q1622" i="16" s="1"/>
  <c r="P1621" i="16"/>
  <c r="Q1621" i="16" s="1"/>
  <c r="O1621" i="16"/>
  <c r="M1621" i="16"/>
  <c r="O1620" i="16"/>
  <c r="M1620" i="16"/>
  <c r="P1620" i="16" s="1"/>
  <c r="Q1620" i="16" s="1"/>
  <c r="O1619" i="16"/>
  <c r="M1619" i="16"/>
  <c r="P1619" i="16" s="1"/>
  <c r="Q1619" i="16" s="1"/>
  <c r="O1618" i="16"/>
  <c r="M1618" i="16"/>
  <c r="P1618" i="16" s="1"/>
  <c r="Q1618" i="16" s="1"/>
  <c r="O1617" i="16"/>
  <c r="M1617" i="16"/>
  <c r="P1617" i="16" s="1"/>
  <c r="Q1617" i="16" s="1"/>
  <c r="O1616" i="16"/>
  <c r="M1616" i="16"/>
  <c r="P1616" i="16" s="1"/>
  <c r="Q1616" i="16" s="1"/>
  <c r="O1615" i="16"/>
  <c r="M1615" i="16"/>
  <c r="P1615" i="16" s="1"/>
  <c r="Q1615" i="16" s="1"/>
  <c r="O1614" i="16"/>
  <c r="M1614" i="16"/>
  <c r="P1614" i="16" s="1"/>
  <c r="Q1614" i="16" s="1"/>
  <c r="O1613" i="16"/>
  <c r="M1613" i="16"/>
  <c r="P1613" i="16" s="1"/>
  <c r="F1609" i="16"/>
  <c r="E1609" i="16"/>
  <c r="M1605" i="16"/>
  <c r="M1602" i="16"/>
  <c r="O1602" i="16" s="1"/>
  <c r="J1599" i="16"/>
  <c r="AF1597" i="16"/>
  <c r="AE1597" i="16"/>
  <c r="O1592" i="16"/>
  <c r="M1592" i="16"/>
  <c r="P1592" i="16" s="1"/>
  <c r="Q1592" i="16" s="1"/>
  <c r="O1591" i="16"/>
  <c r="M1591" i="16"/>
  <c r="P1591" i="16" s="1"/>
  <c r="Q1591" i="16" s="1"/>
  <c r="O1590" i="16"/>
  <c r="M1590" i="16"/>
  <c r="P1590" i="16" s="1"/>
  <c r="Q1590" i="16" s="1"/>
  <c r="O1589" i="16"/>
  <c r="M1589" i="16"/>
  <c r="P1589" i="16" s="1"/>
  <c r="Q1589" i="16" s="1"/>
  <c r="O1588" i="16"/>
  <c r="M1588" i="16"/>
  <c r="P1588" i="16" s="1"/>
  <c r="Q1588" i="16" s="1"/>
  <c r="O1587" i="16"/>
  <c r="M1587" i="16"/>
  <c r="P1587" i="16" s="1"/>
  <c r="Q1587" i="16" s="1"/>
  <c r="P1586" i="16"/>
  <c r="Q1586" i="16" s="1"/>
  <c r="O1586" i="16"/>
  <c r="M1586" i="16"/>
  <c r="O1585" i="16"/>
  <c r="M1585" i="16"/>
  <c r="P1585" i="16" s="1"/>
  <c r="Q1585" i="16" s="1"/>
  <c r="O1584" i="16"/>
  <c r="M1584" i="16"/>
  <c r="P1584" i="16" s="1"/>
  <c r="Q1584" i="16" s="1"/>
  <c r="P1583" i="16"/>
  <c r="O1583" i="16"/>
  <c r="M1583" i="16"/>
  <c r="F1579" i="16"/>
  <c r="E1579" i="16"/>
  <c r="A1597" i="16" s="1"/>
  <c r="M1575" i="16"/>
  <c r="M1572" i="16"/>
  <c r="O1572" i="16" s="1"/>
  <c r="J1569" i="16"/>
  <c r="AF1567" i="16"/>
  <c r="T1567" i="16" s="1"/>
  <c r="AE1567" i="16"/>
  <c r="O1562" i="16"/>
  <c r="M1562" i="16"/>
  <c r="P1562" i="16" s="1"/>
  <c r="Q1562" i="16" s="1"/>
  <c r="O1561" i="16"/>
  <c r="M1561" i="16"/>
  <c r="P1561" i="16" s="1"/>
  <c r="Q1561" i="16" s="1"/>
  <c r="O1560" i="16"/>
  <c r="M1560" i="16"/>
  <c r="P1560" i="16" s="1"/>
  <c r="Q1560" i="16" s="1"/>
  <c r="O1559" i="16"/>
  <c r="M1559" i="16"/>
  <c r="P1559" i="16" s="1"/>
  <c r="Q1559" i="16" s="1"/>
  <c r="O1558" i="16"/>
  <c r="M1558" i="16"/>
  <c r="P1558" i="16" s="1"/>
  <c r="Q1558" i="16" s="1"/>
  <c r="P1557" i="16"/>
  <c r="Q1557" i="16" s="1"/>
  <c r="O1557" i="16"/>
  <c r="M1557" i="16"/>
  <c r="O1556" i="16"/>
  <c r="M1556" i="16"/>
  <c r="P1556" i="16" s="1"/>
  <c r="Q1556" i="16" s="1"/>
  <c r="O1555" i="16"/>
  <c r="M1555" i="16"/>
  <c r="P1555" i="16" s="1"/>
  <c r="Q1555" i="16" s="1"/>
  <c r="O1554" i="16"/>
  <c r="M1554" i="16"/>
  <c r="P1554" i="16" s="1"/>
  <c r="Q1554" i="16" s="1"/>
  <c r="O1553" i="16"/>
  <c r="M1553" i="16"/>
  <c r="P1553" i="16" s="1"/>
  <c r="F1549" i="16"/>
  <c r="E1549" i="16"/>
  <c r="M1545" i="16"/>
  <c r="M1542" i="16"/>
  <c r="O1542" i="16" s="1"/>
  <c r="J1539" i="16"/>
  <c r="AF1537" i="16"/>
  <c r="AE1537" i="16"/>
  <c r="O1532" i="16"/>
  <c r="M1532" i="16"/>
  <c r="P1532" i="16" s="1"/>
  <c r="Q1532" i="16" s="1"/>
  <c r="O1531" i="16"/>
  <c r="M1531" i="16"/>
  <c r="P1531" i="16" s="1"/>
  <c r="Q1531" i="16" s="1"/>
  <c r="O1530" i="16"/>
  <c r="M1530" i="16"/>
  <c r="P1530" i="16" s="1"/>
  <c r="Q1530" i="16" s="1"/>
  <c r="O1529" i="16"/>
  <c r="M1529" i="16"/>
  <c r="P1529" i="16" s="1"/>
  <c r="Q1529" i="16" s="1"/>
  <c r="O1528" i="16"/>
  <c r="M1528" i="16"/>
  <c r="P1528" i="16" s="1"/>
  <c r="Q1528" i="16" s="1"/>
  <c r="O1527" i="16"/>
  <c r="M1527" i="16"/>
  <c r="P1527" i="16" s="1"/>
  <c r="Q1527" i="16" s="1"/>
  <c r="O1526" i="16"/>
  <c r="M1526" i="16"/>
  <c r="P1526" i="16" s="1"/>
  <c r="Q1526" i="16" s="1"/>
  <c r="O1525" i="16"/>
  <c r="M1525" i="16"/>
  <c r="P1525" i="16" s="1"/>
  <c r="Q1525" i="16" s="1"/>
  <c r="O1524" i="16"/>
  <c r="M1524" i="16"/>
  <c r="P1524" i="16" s="1"/>
  <c r="Q1524" i="16" s="1"/>
  <c r="O1523" i="16"/>
  <c r="M1523" i="16"/>
  <c r="P1523" i="16" s="1"/>
  <c r="F1519" i="16"/>
  <c r="E1519" i="16"/>
  <c r="M1515" i="16"/>
  <c r="M1512" i="16"/>
  <c r="O1512" i="16" s="1"/>
  <c r="J1509" i="16"/>
  <c r="AF1507" i="16"/>
  <c r="T1507" i="16" s="1"/>
  <c r="AE1507" i="16"/>
  <c r="O1502" i="16"/>
  <c r="M1502" i="16"/>
  <c r="P1502" i="16" s="1"/>
  <c r="Q1502" i="16" s="1"/>
  <c r="O1501" i="16"/>
  <c r="M1501" i="16"/>
  <c r="P1501" i="16" s="1"/>
  <c r="Q1501" i="16" s="1"/>
  <c r="O1500" i="16"/>
  <c r="M1500" i="16"/>
  <c r="P1500" i="16" s="1"/>
  <c r="Q1500" i="16" s="1"/>
  <c r="O1499" i="16"/>
  <c r="M1499" i="16"/>
  <c r="P1499" i="16" s="1"/>
  <c r="Q1499" i="16" s="1"/>
  <c r="O1498" i="16"/>
  <c r="M1498" i="16"/>
  <c r="P1498" i="16" s="1"/>
  <c r="Q1498" i="16" s="1"/>
  <c r="O1497" i="16"/>
  <c r="M1497" i="16"/>
  <c r="P1497" i="16" s="1"/>
  <c r="Q1497" i="16" s="1"/>
  <c r="O1496" i="16"/>
  <c r="M1496" i="16"/>
  <c r="P1496" i="16" s="1"/>
  <c r="Q1496" i="16" s="1"/>
  <c r="O1495" i="16"/>
  <c r="M1495" i="16"/>
  <c r="P1495" i="16" s="1"/>
  <c r="Q1495" i="16" s="1"/>
  <c r="O1494" i="16"/>
  <c r="M1494" i="16"/>
  <c r="P1494" i="16" s="1"/>
  <c r="Q1494" i="16" s="1"/>
  <c r="O1493" i="16"/>
  <c r="M1493" i="16"/>
  <c r="P1493" i="16" s="1"/>
  <c r="F1489" i="16"/>
  <c r="E1489" i="16"/>
  <c r="A1513" i="16" s="1"/>
  <c r="M1485" i="16"/>
  <c r="M1482" i="16"/>
  <c r="O1482" i="16" s="1"/>
  <c r="J1479" i="16"/>
  <c r="AF1477" i="16"/>
  <c r="T1477" i="16" s="1"/>
  <c r="AE1477" i="16"/>
  <c r="O1472" i="16"/>
  <c r="M1472" i="16"/>
  <c r="P1472" i="16" s="1"/>
  <c r="Q1472" i="16" s="1"/>
  <c r="O1471" i="16"/>
  <c r="M1471" i="16"/>
  <c r="P1471" i="16" s="1"/>
  <c r="Q1471" i="16" s="1"/>
  <c r="O1470" i="16"/>
  <c r="M1470" i="16"/>
  <c r="P1470" i="16" s="1"/>
  <c r="Q1470" i="16" s="1"/>
  <c r="O1469" i="16"/>
  <c r="M1469" i="16"/>
  <c r="P1469" i="16" s="1"/>
  <c r="Q1469" i="16" s="1"/>
  <c r="O1468" i="16"/>
  <c r="M1468" i="16"/>
  <c r="P1468" i="16" s="1"/>
  <c r="Q1468" i="16" s="1"/>
  <c r="O1467" i="16"/>
  <c r="M1467" i="16"/>
  <c r="P1467" i="16" s="1"/>
  <c r="Q1467" i="16" s="1"/>
  <c r="O1466" i="16"/>
  <c r="M1466" i="16"/>
  <c r="P1466" i="16" s="1"/>
  <c r="Q1466" i="16" s="1"/>
  <c r="O1465" i="16"/>
  <c r="M1465" i="16"/>
  <c r="P1465" i="16" s="1"/>
  <c r="Q1465" i="16" s="1"/>
  <c r="O1464" i="16"/>
  <c r="M1464" i="16"/>
  <c r="P1464" i="16" s="1"/>
  <c r="Q1464" i="16" s="1"/>
  <c r="O1463" i="16"/>
  <c r="M1463" i="16"/>
  <c r="P1463" i="16" s="1"/>
  <c r="F1459" i="16"/>
  <c r="E1459" i="16"/>
  <c r="A1481" i="16" s="1"/>
  <c r="M1455" i="16"/>
  <c r="M1452" i="16"/>
  <c r="O1452" i="16" s="1"/>
  <c r="J1449" i="16"/>
  <c r="AF1447" i="16"/>
  <c r="T1447" i="16" s="1"/>
  <c r="AE1447" i="16"/>
  <c r="O1442" i="16"/>
  <c r="M1442" i="16"/>
  <c r="P1442" i="16" s="1"/>
  <c r="Q1442" i="16" s="1"/>
  <c r="O1441" i="16"/>
  <c r="M1441" i="16"/>
  <c r="P1441" i="16" s="1"/>
  <c r="Q1441" i="16" s="1"/>
  <c r="O1440" i="16"/>
  <c r="M1440" i="16"/>
  <c r="P1440" i="16" s="1"/>
  <c r="Q1440" i="16" s="1"/>
  <c r="O1439" i="16"/>
  <c r="M1439" i="16"/>
  <c r="P1439" i="16" s="1"/>
  <c r="Q1439" i="16" s="1"/>
  <c r="O1438" i="16"/>
  <c r="M1438" i="16"/>
  <c r="P1438" i="16" s="1"/>
  <c r="Q1438" i="16" s="1"/>
  <c r="O1437" i="16"/>
  <c r="M1437" i="16"/>
  <c r="P1437" i="16" s="1"/>
  <c r="Q1437" i="16" s="1"/>
  <c r="O1436" i="16"/>
  <c r="M1436" i="16"/>
  <c r="P1436" i="16" s="1"/>
  <c r="Q1436" i="16" s="1"/>
  <c r="O1435" i="16"/>
  <c r="M1435" i="16"/>
  <c r="P1435" i="16" s="1"/>
  <c r="Q1435" i="16" s="1"/>
  <c r="A1435" i="16"/>
  <c r="O1434" i="16"/>
  <c r="M1434" i="16"/>
  <c r="P1434" i="16" s="1"/>
  <c r="Q1434" i="16" s="1"/>
  <c r="O1433" i="16"/>
  <c r="M1433" i="16"/>
  <c r="P1433" i="16" s="1"/>
  <c r="F1429" i="16"/>
  <c r="E1429" i="16"/>
  <c r="A1452" i="16" s="1"/>
  <c r="M1425" i="16"/>
  <c r="M1422" i="16"/>
  <c r="O1422" i="16" s="1"/>
  <c r="J1419" i="16"/>
  <c r="AF1417" i="16"/>
  <c r="AE1417" i="16"/>
  <c r="T1417" i="16"/>
  <c r="O1412" i="16"/>
  <c r="M1412" i="16"/>
  <c r="P1412" i="16" s="1"/>
  <c r="Q1412" i="16" s="1"/>
  <c r="O1411" i="16"/>
  <c r="M1411" i="16"/>
  <c r="P1411" i="16" s="1"/>
  <c r="Q1411" i="16" s="1"/>
  <c r="O1410" i="16"/>
  <c r="M1410" i="16"/>
  <c r="P1410" i="16" s="1"/>
  <c r="Q1410" i="16" s="1"/>
  <c r="O1409" i="16"/>
  <c r="M1409" i="16"/>
  <c r="P1409" i="16" s="1"/>
  <c r="Q1409" i="16" s="1"/>
  <c r="O1408" i="16"/>
  <c r="M1408" i="16"/>
  <c r="P1408" i="16" s="1"/>
  <c r="Q1408" i="16" s="1"/>
  <c r="O1407" i="16"/>
  <c r="M1407" i="16"/>
  <c r="P1407" i="16" s="1"/>
  <c r="Q1407" i="16" s="1"/>
  <c r="O1406" i="16"/>
  <c r="M1406" i="16"/>
  <c r="P1406" i="16" s="1"/>
  <c r="Q1406" i="16" s="1"/>
  <c r="O1405" i="16"/>
  <c r="M1405" i="16"/>
  <c r="P1405" i="16" s="1"/>
  <c r="Q1405" i="16" s="1"/>
  <c r="O1404" i="16"/>
  <c r="M1404" i="16"/>
  <c r="P1404" i="16" s="1"/>
  <c r="Q1404" i="16" s="1"/>
  <c r="P1403" i="16"/>
  <c r="O1403" i="16"/>
  <c r="M1403" i="16"/>
  <c r="F1399" i="16"/>
  <c r="E1399" i="16"/>
  <c r="M1395" i="16"/>
  <c r="M1392" i="16"/>
  <c r="O1392" i="16" s="1"/>
  <c r="J1389" i="16"/>
  <c r="AF1387" i="16"/>
  <c r="AE1387" i="16"/>
  <c r="O1382" i="16"/>
  <c r="M1382" i="16"/>
  <c r="P1382" i="16" s="1"/>
  <c r="Q1382" i="16" s="1"/>
  <c r="P1381" i="16"/>
  <c r="Q1381" i="16" s="1"/>
  <c r="O1381" i="16"/>
  <c r="M1381" i="16"/>
  <c r="O1380" i="16"/>
  <c r="M1380" i="16"/>
  <c r="P1380" i="16" s="1"/>
  <c r="Q1380" i="16" s="1"/>
  <c r="O1379" i="16"/>
  <c r="M1379" i="16"/>
  <c r="P1379" i="16" s="1"/>
  <c r="Q1379" i="16" s="1"/>
  <c r="O1378" i="16"/>
  <c r="M1378" i="16"/>
  <c r="P1378" i="16" s="1"/>
  <c r="Q1378" i="16" s="1"/>
  <c r="O1377" i="16"/>
  <c r="M1377" i="16"/>
  <c r="P1377" i="16" s="1"/>
  <c r="Q1377" i="16" s="1"/>
  <c r="Q1376" i="16"/>
  <c r="O1376" i="16"/>
  <c r="M1376" i="16"/>
  <c r="P1376" i="16" s="1"/>
  <c r="O1375" i="16"/>
  <c r="M1375" i="16"/>
  <c r="P1375" i="16" s="1"/>
  <c r="Q1375" i="16" s="1"/>
  <c r="O1374" i="16"/>
  <c r="M1374" i="16"/>
  <c r="P1374" i="16" s="1"/>
  <c r="Q1374" i="16" s="1"/>
  <c r="O1373" i="16"/>
  <c r="M1373" i="16"/>
  <c r="P1373" i="16" s="1"/>
  <c r="F1369" i="16"/>
  <c r="E1369" i="16"/>
  <c r="A1393" i="16" s="1"/>
  <c r="M1365" i="16"/>
  <c r="M1362" i="16"/>
  <c r="O1362" i="16" s="1"/>
  <c r="J1359" i="16"/>
  <c r="AF1357" i="16"/>
  <c r="AE1357" i="16"/>
  <c r="O1352" i="16"/>
  <c r="M1352" i="16"/>
  <c r="P1352" i="16" s="1"/>
  <c r="Q1352" i="16" s="1"/>
  <c r="O1351" i="16"/>
  <c r="M1351" i="16"/>
  <c r="P1351" i="16" s="1"/>
  <c r="Q1351" i="16" s="1"/>
  <c r="P1350" i="16"/>
  <c r="Q1350" i="16" s="1"/>
  <c r="O1350" i="16"/>
  <c r="M1350" i="16"/>
  <c r="O1349" i="16"/>
  <c r="M1349" i="16"/>
  <c r="P1349" i="16" s="1"/>
  <c r="Q1349" i="16" s="1"/>
  <c r="O1348" i="16"/>
  <c r="M1348" i="16"/>
  <c r="P1348" i="16" s="1"/>
  <c r="Q1348" i="16" s="1"/>
  <c r="O1347" i="16"/>
  <c r="M1347" i="16"/>
  <c r="P1347" i="16" s="1"/>
  <c r="Q1347" i="16" s="1"/>
  <c r="O1346" i="16"/>
  <c r="M1346" i="16"/>
  <c r="P1346" i="16" s="1"/>
  <c r="Q1346" i="16" s="1"/>
  <c r="O1345" i="16"/>
  <c r="M1345" i="16"/>
  <c r="P1345" i="16" s="1"/>
  <c r="Q1345" i="16" s="1"/>
  <c r="O1344" i="16"/>
  <c r="M1344" i="16"/>
  <c r="P1344" i="16" s="1"/>
  <c r="Q1344" i="16" s="1"/>
  <c r="O1343" i="16"/>
  <c r="M1343" i="16"/>
  <c r="P1343" i="16" s="1"/>
  <c r="Q1343" i="16" s="1"/>
  <c r="F1339" i="16"/>
  <c r="E1339" i="16"/>
  <c r="M1335" i="16"/>
  <c r="M1332" i="16"/>
  <c r="O1332" i="16" s="1"/>
  <c r="J1329" i="16"/>
  <c r="AF1327" i="16"/>
  <c r="AE1327" i="16"/>
  <c r="T1327" i="16" s="1"/>
  <c r="O1322" i="16"/>
  <c r="M1322" i="16"/>
  <c r="P1322" i="16" s="1"/>
  <c r="Q1322" i="16" s="1"/>
  <c r="O1321" i="16"/>
  <c r="M1321" i="16"/>
  <c r="P1321" i="16" s="1"/>
  <c r="Q1321" i="16" s="1"/>
  <c r="O1320" i="16"/>
  <c r="M1320" i="16"/>
  <c r="P1320" i="16" s="1"/>
  <c r="Q1320" i="16" s="1"/>
  <c r="O1319" i="16"/>
  <c r="M1319" i="16"/>
  <c r="P1319" i="16" s="1"/>
  <c r="Q1319" i="16" s="1"/>
  <c r="O1318" i="16"/>
  <c r="M1318" i="16"/>
  <c r="P1318" i="16" s="1"/>
  <c r="Q1318" i="16" s="1"/>
  <c r="P1317" i="16"/>
  <c r="Q1317" i="16" s="1"/>
  <c r="O1317" i="16"/>
  <c r="M1317" i="16"/>
  <c r="O1316" i="16"/>
  <c r="M1316" i="16"/>
  <c r="P1316" i="16" s="1"/>
  <c r="Q1316" i="16" s="1"/>
  <c r="O1315" i="16"/>
  <c r="M1315" i="16"/>
  <c r="P1315" i="16" s="1"/>
  <c r="Q1315" i="16" s="1"/>
  <c r="O1314" i="16"/>
  <c r="M1314" i="16"/>
  <c r="P1314" i="16" s="1"/>
  <c r="Q1314" i="16" s="1"/>
  <c r="O1313" i="16"/>
  <c r="M1313" i="16"/>
  <c r="P1313" i="16" s="1"/>
  <c r="Q1313" i="16" s="1"/>
  <c r="F1309" i="16"/>
  <c r="E1309" i="16"/>
  <c r="A1329" i="16" s="1"/>
  <c r="M1305" i="16"/>
  <c r="M1302" i="16"/>
  <c r="O1302" i="16" s="1"/>
  <c r="J1299" i="16"/>
  <c r="AF1297" i="16"/>
  <c r="T1297" i="16" s="1"/>
  <c r="AE1297" i="16"/>
  <c r="O1292" i="16"/>
  <c r="M1292" i="16"/>
  <c r="P1292" i="16" s="1"/>
  <c r="Q1292" i="16" s="1"/>
  <c r="O1291" i="16"/>
  <c r="M1291" i="16"/>
  <c r="P1291" i="16" s="1"/>
  <c r="Q1291" i="16" s="1"/>
  <c r="O1290" i="16"/>
  <c r="M1290" i="16"/>
  <c r="P1290" i="16" s="1"/>
  <c r="Q1290" i="16" s="1"/>
  <c r="O1289" i="16"/>
  <c r="M1289" i="16"/>
  <c r="P1289" i="16" s="1"/>
  <c r="Q1289" i="16" s="1"/>
  <c r="O1288" i="16"/>
  <c r="M1288" i="16"/>
  <c r="P1288" i="16" s="1"/>
  <c r="Q1288" i="16" s="1"/>
  <c r="P1287" i="16"/>
  <c r="Q1287" i="16" s="1"/>
  <c r="O1287" i="16"/>
  <c r="M1287" i="16"/>
  <c r="O1286" i="16"/>
  <c r="M1286" i="16"/>
  <c r="P1286" i="16" s="1"/>
  <c r="Q1286" i="16" s="1"/>
  <c r="O1285" i="16"/>
  <c r="M1285" i="16"/>
  <c r="P1285" i="16" s="1"/>
  <c r="Q1285" i="16" s="1"/>
  <c r="O1284" i="16"/>
  <c r="M1284" i="16"/>
  <c r="P1284" i="16" s="1"/>
  <c r="Q1284" i="16" s="1"/>
  <c r="O1283" i="16"/>
  <c r="M1283" i="16"/>
  <c r="P1283" i="16" s="1"/>
  <c r="Q1283" i="16" s="1"/>
  <c r="F1279" i="16"/>
  <c r="E1279" i="16"/>
  <c r="M1275" i="16"/>
  <c r="M1272" i="16"/>
  <c r="O1272" i="16" s="1"/>
  <c r="J1269" i="16"/>
  <c r="AF1267" i="16"/>
  <c r="AE1267" i="16"/>
  <c r="T1267" i="16" s="1"/>
  <c r="O1262" i="16"/>
  <c r="M1262" i="16"/>
  <c r="P1262" i="16" s="1"/>
  <c r="Q1262" i="16" s="1"/>
  <c r="O1261" i="16"/>
  <c r="M1261" i="16"/>
  <c r="P1261" i="16" s="1"/>
  <c r="Q1261" i="16" s="1"/>
  <c r="O1260" i="16"/>
  <c r="M1260" i="16"/>
  <c r="P1260" i="16" s="1"/>
  <c r="Q1260" i="16" s="1"/>
  <c r="O1259" i="16"/>
  <c r="M1259" i="16"/>
  <c r="P1259" i="16" s="1"/>
  <c r="Q1259" i="16" s="1"/>
  <c r="O1258" i="16"/>
  <c r="M1258" i="16"/>
  <c r="P1258" i="16" s="1"/>
  <c r="Q1258" i="16" s="1"/>
  <c r="O1257" i="16"/>
  <c r="M1257" i="16"/>
  <c r="P1257" i="16" s="1"/>
  <c r="Q1257" i="16" s="1"/>
  <c r="O1256" i="16"/>
  <c r="M1256" i="16"/>
  <c r="P1256" i="16" s="1"/>
  <c r="Q1256" i="16" s="1"/>
  <c r="O1255" i="16"/>
  <c r="M1255" i="16"/>
  <c r="P1255" i="16" s="1"/>
  <c r="Q1255" i="16" s="1"/>
  <c r="O1254" i="16"/>
  <c r="M1254" i="16"/>
  <c r="P1254" i="16" s="1"/>
  <c r="Q1254" i="16" s="1"/>
  <c r="O1253" i="16"/>
  <c r="M1253" i="16"/>
  <c r="P1253" i="16" s="1"/>
  <c r="Q1253" i="16" s="1"/>
  <c r="F1249" i="16"/>
  <c r="E1249" i="16"/>
  <c r="M1245" i="16"/>
  <c r="M1242" i="16"/>
  <c r="O1242" i="16" s="1"/>
  <c r="J1239" i="16"/>
  <c r="AF1237" i="16"/>
  <c r="T1237" i="16" s="1"/>
  <c r="AE1237" i="16"/>
  <c r="O1232" i="16"/>
  <c r="M1232" i="16"/>
  <c r="P1232" i="16" s="1"/>
  <c r="Q1232" i="16" s="1"/>
  <c r="O1231" i="16"/>
  <c r="M1231" i="16"/>
  <c r="P1231" i="16" s="1"/>
  <c r="Q1231" i="16" s="1"/>
  <c r="O1230" i="16"/>
  <c r="M1230" i="16"/>
  <c r="P1230" i="16" s="1"/>
  <c r="Q1230" i="16" s="1"/>
  <c r="O1229" i="16"/>
  <c r="M1229" i="16"/>
  <c r="P1229" i="16" s="1"/>
  <c r="Q1229" i="16" s="1"/>
  <c r="O1228" i="16"/>
  <c r="M1228" i="16"/>
  <c r="P1228" i="16" s="1"/>
  <c r="Q1228" i="16" s="1"/>
  <c r="O1227" i="16"/>
  <c r="M1227" i="16"/>
  <c r="P1227" i="16" s="1"/>
  <c r="Q1227" i="16" s="1"/>
  <c r="O1226" i="16"/>
  <c r="M1226" i="16"/>
  <c r="P1226" i="16" s="1"/>
  <c r="Q1226" i="16" s="1"/>
  <c r="O1225" i="16"/>
  <c r="M1225" i="16"/>
  <c r="P1225" i="16" s="1"/>
  <c r="Q1225" i="16" s="1"/>
  <c r="O1224" i="16"/>
  <c r="M1224" i="16"/>
  <c r="P1224" i="16" s="1"/>
  <c r="Q1224" i="16" s="1"/>
  <c r="O1223" i="16"/>
  <c r="M1223" i="16"/>
  <c r="P1223" i="16" s="1"/>
  <c r="Q1223" i="16" s="1"/>
  <c r="F1219" i="16"/>
  <c r="E1219" i="16"/>
  <c r="A1242" i="16" s="1"/>
  <c r="M1215" i="16"/>
  <c r="M1212" i="16"/>
  <c r="O1212" i="16" s="1"/>
  <c r="J1209" i="16"/>
  <c r="AF1207" i="16"/>
  <c r="AE1207" i="16"/>
  <c r="O1202" i="16"/>
  <c r="M1202" i="16"/>
  <c r="P1202" i="16" s="1"/>
  <c r="Q1202" i="16" s="1"/>
  <c r="O1201" i="16"/>
  <c r="M1201" i="16"/>
  <c r="P1201" i="16" s="1"/>
  <c r="Q1201" i="16" s="1"/>
  <c r="O1200" i="16"/>
  <c r="M1200" i="16"/>
  <c r="P1200" i="16" s="1"/>
  <c r="Q1200" i="16" s="1"/>
  <c r="O1199" i="16"/>
  <c r="M1199" i="16"/>
  <c r="P1199" i="16" s="1"/>
  <c r="Q1199" i="16" s="1"/>
  <c r="O1198" i="16"/>
  <c r="M1198" i="16"/>
  <c r="P1198" i="16" s="1"/>
  <c r="Q1198" i="16" s="1"/>
  <c r="O1197" i="16"/>
  <c r="M1197" i="16"/>
  <c r="P1197" i="16" s="1"/>
  <c r="Q1197" i="16" s="1"/>
  <c r="O1196" i="16"/>
  <c r="M1196" i="16"/>
  <c r="P1196" i="16" s="1"/>
  <c r="Q1196" i="16" s="1"/>
  <c r="O1195" i="16"/>
  <c r="M1195" i="16"/>
  <c r="P1195" i="16" s="1"/>
  <c r="Q1195" i="16" s="1"/>
  <c r="O1194" i="16"/>
  <c r="M1194" i="16"/>
  <c r="P1194" i="16" s="1"/>
  <c r="Q1194" i="16" s="1"/>
  <c r="O1193" i="16"/>
  <c r="M1193" i="16"/>
  <c r="P1193" i="16" s="1"/>
  <c r="Q1193" i="16" s="1"/>
  <c r="F1189" i="16"/>
  <c r="E1189" i="16"/>
  <c r="A1209" i="16" s="1"/>
  <c r="M1185" i="16"/>
  <c r="M1182" i="16"/>
  <c r="O1182" i="16" s="1"/>
  <c r="J1179" i="16"/>
  <c r="AF1177" i="16"/>
  <c r="AE1177" i="16"/>
  <c r="O1172" i="16"/>
  <c r="M1172" i="16"/>
  <c r="P1172" i="16" s="1"/>
  <c r="Q1172" i="16" s="1"/>
  <c r="O1171" i="16"/>
  <c r="M1171" i="16"/>
  <c r="P1171" i="16" s="1"/>
  <c r="Q1171" i="16" s="1"/>
  <c r="O1170" i="16"/>
  <c r="M1170" i="16"/>
  <c r="P1170" i="16" s="1"/>
  <c r="Q1170" i="16" s="1"/>
  <c r="O1169" i="16"/>
  <c r="M1169" i="16"/>
  <c r="P1169" i="16" s="1"/>
  <c r="Q1169" i="16" s="1"/>
  <c r="O1168" i="16"/>
  <c r="M1168" i="16"/>
  <c r="P1168" i="16" s="1"/>
  <c r="Q1168" i="16" s="1"/>
  <c r="O1167" i="16"/>
  <c r="M1167" i="16"/>
  <c r="P1167" i="16" s="1"/>
  <c r="Q1167" i="16" s="1"/>
  <c r="O1166" i="16"/>
  <c r="M1166" i="16"/>
  <c r="P1166" i="16" s="1"/>
  <c r="Q1166" i="16" s="1"/>
  <c r="O1165" i="16"/>
  <c r="M1165" i="16"/>
  <c r="P1165" i="16" s="1"/>
  <c r="Q1165" i="16" s="1"/>
  <c r="O1164" i="16"/>
  <c r="M1164" i="16"/>
  <c r="P1164" i="16" s="1"/>
  <c r="Q1164" i="16" s="1"/>
  <c r="O1163" i="16"/>
  <c r="M1163" i="16"/>
  <c r="P1163" i="16" s="1"/>
  <c r="Q1163" i="16" s="1"/>
  <c r="F1159" i="16"/>
  <c r="E1159" i="16"/>
  <c r="A1178" i="16" s="1"/>
  <c r="M1155" i="16"/>
  <c r="M1152" i="16"/>
  <c r="O1152" i="16" s="1"/>
  <c r="J1149" i="16"/>
  <c r="AF1147" i="16"/>
  <c r="T1147" i="16" s="1"/>
  <c r="AE1147" i="16"/>
  <c r="O1142" i="16"/>
  <c r="M1142" i="16"/>
  <c r="P1142" i="16" s="1"/>
  <c r="Q1142" i="16" s="1"/>
  <c r="O1141" i="16"/>
  <c r="M1141" i="16"/>
  <c r="P1141" i="16" s="1"/>
  <c r="Q1141" i="16" s="1"/>
  <c r="O1140" i="16"/>
  <c r="M1140" i="16"/>
  <c r="P1140" i="16" s="1"/>
  <c r="Q1140" i="16" s="1"/>
  <c r="O1139" i="16"/>
  <c r="M1139" i="16"/>
  <c r="P1139" i="16" s="1"/>
  <c r="Q1139" i="16" s="1"/>
  <c r="O1138" i="16"/>
  <c r="M1138" i="16"/>
  <c r="P1138" i="16" s="1"/>
  <c r="Q1138" i="16" s="1"/>
  <c r="O1137" i="16"/>
  <c r="M1137" i="16"/>
  <c r="P1137" i="16" s="1"/>
  <c r="Q1137" i="16" s="1"/>
  <c r="O1136" i="16"/>
  <c r="M1136" i="16"/>
  <c r="P1136" i="16" s="1"/>
  <c r="Q1136" i="16" s="1"/>
  <c r="O1135" i="16"/>
  <c r="M1135" i="16"/>
  <c r="P1135" i="16" s="1"/>
  <c r="Q1135" i="16" s="1"/>
  <c r="O1134" i="16"/>
  <c r="M1134" i="16"/>
  <c r="P1134" i="16" s="1"/>
  <c r="Q1134" i="16" s="1"/>
  <c r="O1133" i="16"/>
  <c r="M1133" i="16"/>
  <c r="P1133" i="16" s="1"/>
  <c r="F1129" i="16"/>
  <c r="E1129" i="16"/>
  <c r="F1148" i="16" s="1"/>
  <c r="Y1147" i="16" s="1"/>
  <c r="Y1150" i="16" s="1"/>
  <c r="Y1156" i="16" s="1"/>
  <c r="M1125" i="16"/>
  <c r="A1124" i="16"/>
  <c r="M1122" i="16"/>
  <c r="O1122" i="16" s="1"/>
  <c r="J1119" i="16"/>
  <c r="AF1117" i="16"/>
  <c r="AE1117" i="16"/>
  <c r="O1112" i="16"/>
  <c r="M1112" i="16"/>
  <c r="P1112" i="16" s="1"/>
  <c r="Q1112" i="16" s="1"/>
  <c r="O1111" i="16"/>
  <c r="M1111" i="16"/>
  <c r="P1111" i="16" s="1"/>
  <c r="Q1111" i="16" s="1"/>
  <c r="O1110" i="16"/>
  <c r="M1110" i="16"/>
  <c r="P1110" i="16" s="1"/>
  <c r="Q1110" i="16" s="1"/>
  <c r="O1109" i="16"/>
  <c r="M1109" i="16"/>
  <c r="P1109" i="16" s="1"/>
  <c r="Q1109" i="16" s="1"/>
  <c r="O1108" i="16"/>
  <c r="M1108" i="16"/>
  <c r="P1108" i="16" s="1"/>
  <c r="Q1108" i="16" s="1"/>
  <c r="A1108" i="16"/>
  <c r="O1107" i="16"/>
  <c r="M1107" i="16"/>
  <c r="P1107" i="16" s="1"/>
  <c r="Q1107" i="16" s="1"/>
  <c r="O1106" i="16"/>
  <c r="M1106" i="16"/>
  <c r="P1106" i="16" s="1"/>
  <c r="Q1106" i="16" s="1"/>
  <c r="O1105" i="16"/>
  <c r="M1105" i="16"/>
  <c r="P1105" i="16" s="1"/>
  <c r="Q1105" i="16" s="1"/>
  <c r="O1104" i="16"/>
  <c r="M1104" i="16"/>
  <c r="P1104" i="16" s="1"/>
  <c r="Q1104" i="16" s="1"/>
  <c r="O1103" i="16"/>
  <c r="M1103" i="16"/>
  <c r="P1103" i="16" s="1"/>
  <c r="A1103" i="16"/>
  <c r="F1099" i="16"/>
  <c r="E1099" i="16"/>
  <c r="A1123" i="16" s="1"/>
  <c r="M1095" i="16"/>
  <c r="M1092" i="16"/>
  <c r="O1092" i="16" s="1"/>
  <c r="J1089" i="16"/>
  <c r="AF1087" i="16"/>
  <c r="AE1087" i="16"/>
  <c r="O1082" i="16"/>
  <c r="M1082" i="16"/>
  <c r="P1082" i="16" s="1"/>
  <c r="Q1082" i="16" s="1"/>
  <c r="O1081" i="16"/>
  <c r="M1081" i="16"/>
  <c r="P1081" i="16" s="1"/>
  <c r="Q1081" i="16" s="1"/>
  <c r="O1080" i="16"/>
  <c r="M1080" i="16"/>
  <c r="P1080" i="16" s="1"/>
  <c r="Q1080" i="16" s="1"/>
  <c r="O1079" i="16"/>
  <c r="M1079" i="16"/>
  <c r="P1079" i="16" s="1"/>
  <c r="Q1079" i="16" s="1"/>
  <c r="O1078" i="16"/>
  <c r="M1078" i="16"/>
  <c r="P1078" i="16" s="1"/>
  <c r="Q1078" i="16" s="1"/>
  <c r="O1077" i="16"/>
  <c r="M1077" i="16"/>
  <c r="P1077" i="16" s="1"/>
  <c r="Q1077" i="16" s="1"/>
  <c r="O1076" i="16"/>
  <c r="M1076" i="16"/>
  <c r="P1076" i="16" s="1"/>
  <c r="Q1076" i="16" s="1"/>
  <c r="O1075" i="16"/>
  <c r="M1075" i="16"/>
  <c r="P1075" i="16" s="1"/>
  <c r="Q1075" i="16" s="1"/>
  <c r="O1074" i="16"/>
  <c r="M1074" i="16"/>
  <c r="P1074" i="16" s="1"/>
  <c r="Q1074" i="16" s="1"/>
  <c r="O1073" i="16"/>
  <c r="M1073" i="16"/>
  <c r="P1073" i="16" s="1"/>
  <c r="F1069" i="16"/>
  <c r="E1069" i="16"/>
  <c r="A1090" i="16" s="1"/>
  <c r="M1065" i="16"/>
  <c r="M1062" i="16"/>
  <c r="O1062" i="16" s="1"/>
  <c r="J1059" i="16"/>
  <c r="AF1057" i="16"/>
  <c r="AE1057" i="16"/>
  <c r="T1057" i="16" s="1"/>
  <c r="O1052" i="16"/>
  <c r="M1052" i="16"/>
  <c r="P1052" i="16" s="1"/>
  <c r="Q1052" i="16" s="1"/>
  <c r="O1051" i="16"/>
  <c r="M1051" i="16"/>
  <c r="P1051" i="16" s="1"/>
  <c r="Q1051" i="16" s="1"/>
  <c r="O1050" i="16"/>
  <c r="M1050" i="16"/>
  <c r="P1050" i="16" s="1"/>
  <c r="Q1050" i="16" s="1"/>
  <c r="O1049" i="16"/>
  <c r="M1049" i="16"/>
  <c r="P1049" i="16" s="1"/>
  <c r="Q1049" i="16" s="1"/>
  <c r="O1048" i="16"/>
  <c r="M1048" i="16"/>
  <c r="P1048" i="16" s="1"/>
  <c r="Q1048" i="16" s="1"/>
  <c r="A1048" i="16"/>
  <c r="O1047" i="16"/>
  <c r="M1047" i="16"/>
  <c r="P1047" i="16" s="1"/>
  <c r="Q1047" i="16" s="1"/>
  <c r="O1046" i="16"/>
  <c r="M1046" i="16"/>
  <c r="P1046" i="16" s="1"/>
  <c r="Q1046" i="16" s="1"/>
  <c r="O1045" i="16"/>
  <c r="M1045" i="16"/>
  <c r="P1045" i="16" s="1"/>
  <c r="Q1045" i="16" s="1"/>
  <c r="O1044" i="16"/>
  <c r="M1044" i="16"/>
  <c r="P1044" i="16" s="1"/>
  <c r="Q1044" i="16" s="1"/>
  <c r="O1043" i="16"/>
  <c r="M1043" i="16"/>
  <c r="P1043" i="16" s="1"/>
  <c r="A1043" i="16"/>
  <c r="F1039" i="16"/>
  <c r="E1039" i="16"/>
  <c r="A1060" i="16" s="1"/>
  <c r="M1035" i="16"/>
  <c r="A1034" i="16"/>
  <c r="M1032" i="16"/>
  <c r="O1032" i="16" s="1"/>
  <c r="A1030" i="16"/>
  <c r="J1029" i="16"/>
  <c r="F1028" i="16"/>
  <c r="AA1036" i="16" s="1"/>
  <c r="AF1027" i="16"/>
  <c r="AE1027" i="16"/>
  <c r="P1022" i="16"/>
  <c r="Q1022" i="16" s="1"/>
  <c r="O1022" i="16"/>
  <c r="M1022" i="16"/>
  <c r="A1022" i="16"/>
  <c r="O1021" i="16"/>
  <c r="M1021" i="16"/>
  <c r="P1021" i="16" s="1"/>
  <c r="Q1021" i="16" s="1"/>
  <c r="O1020" i="16"/>
  <c r="M1020" i="16"/>
  <c r="P1020" i="16" s="1"/>
  <c r="Q1020" i="16" s="1"/>
  <c r="O1019" i="16"/>
  <c r="M1019" i="16"/>
  <c r="P1019" i="16" s="1"/>
  <c r="Q1019" i="16" s="1"/>
  <c r="O1018" i="16"/>
  <c r="M1018" i="16"/>
  <c r="P1018" i="16" s="1"/>
  <c r="Q1018" i="16" s="1"/>
  <c r="A1018" i="16"/>
  <c r="O1017" i="16"/>
  <c r="M1017" i="16"/>
  <c r="P1017" i="16" s="1"/>
  <c r="Q1017" i="16" s="1"/>
  <c r="A1017" i="16"/>
  <c r="O1016" i="16"/>
  <c r="M1016" i="16"/>
  <c r="P1016" i="16" s="1"/>
  <c r="Q1016" i="16" s="1"/>
  <c r="O1015" i="16"/>
  <c r="M1015" i="16"/>
  <c r="P1015" i="16" s="1"/>
  <c r="Q1015" i="16" s="1"/>
  <c r="O1014" i="16"/>
  <c r="M1014" i="16"/>
  <c r="P1014" i="16" s="1"/>
  <c r="Q1014" i="16" s="1"/>
  <c r="O1013" i="16"/>
  <c r="M1013" i="16"/>
  <c r="P1013" i="16" s="1"/>
  <c r="A1013" i="16"/>
  <c r="F1009" i="16"/>
  <c r="E1009" i="16"/>
  <c r="A1033" i="16" s="1"/>
  <c r="M1005" i="16"/>
  <c r="M1002" i="16"/>
  <c r="O1002" i="16" s="1"/>
  <c r="J999" i="16"/>
  <c r="AF997" i="16"/>
  <c r="AE997" i="16"/>
  <c r="O992" i="16"/>
  <c r="M992" i="16"/>
  <c r="P992" i="16" s="1"/>
  <c r="Q992" i="16" s="1"/>
  <c r="O991" i="16"/>
  <c r="M991" i="16"/>
  <c r="P991" i="16" s="1"/>
  <c r="Q991" i="16" s="1"/>
  <c r="O990" i="16"/>
  <c r="M990" i="16"/>
  <c r="P990" i="16" s="1"/>
  <c r="Q990" i="16" s="1"/>
  <c r="O989" i="16"/>
  <c r="M989" i="16"/>
  <c r="P989" i="16" s="1"/>
  <c r="Q989" i="16" s="1"/>
  <c r="O988" i="16"/>
  <c r="M988" i="16"/>
  <c r="P988" i="16" s="1"/>
  <c r="Q988" i="16" s="1"/>
  <c r="O987" i="16"/>
  <c r="M987" i="16"/>
  <c r="P987" i="16" s="1"/>
  <c r="Q987" i="16" s="1"/>
  <c r="O986" i="16"/>
  <c r="M986" i="16"/>
  <c r="P986" i="16" s="1"/>
  <c r="Q986" i="16" s="1"/>
  <c r="O985" i="16"/>
  <c r="M985" i="16"/>
  <c r="P985" i="16" s="1"/>
  <c r="Q985" i="16" s="1"/>
  <c r="O984" i="16"/>
  <c r="M984" i="16"/>
  <c r="P984" i="16" s="1"/>
  <c r="Q984" i="16" s="1"/>
  <c r="O983" i="16"/>
  <c r="M983" i="16"/>
  <c r="P983" i="16" s="1"/>
  <c r="F979" i="16"/>
  <c r="E979" i="16"/>
  <c r="A1003" i="16" s="1"/>
  <c r="M975" i="16"/>
  <c r="M972" i="16"/>
  <c r="O972" i="16" s="1"/>
  <c r="J969" i="16"/>
  <c r="AF967" i="16"/>
  <c r="AE967" i="16"/>
  <c r="O962" i="16"/>
  <c r="M962" i="16"/>
  <c r="P962" i="16" s="1"/>
  <c r="Q962" i="16" s="1"/>
  <c r="O961" i="16"/>
  <c r="M961" i="16"/>
  <c r="P961" i="16" s="1"/>
  <c r="Q961" i="16" s="1"/>
  <c r="O960" i="16"/>
  <c r="M960" i="16"/>
  <c r="P960" i="16" s="1"/>
  <c r="Q960" i="16" s="1"/>
  <c r="O959" i="16"/>
  <c r="M959" i="16"/>
  <c r="P959" i="16" s="1"/>
  <c r="Q959" i="16" s="1"/>
  <c r="O958" i="16"/>
  <c r="M958" i="16"/>
  <c r="P958" i="16" s="1"/>
  <c r="Q958" i="16" s="1"/>
  <c r="O957" i="16"/>
  <c r="M957" i="16"/>
  <c r="P957" i="16" s="1"/>
  <c r="Q957" i="16" s="1"/>
  <c r="O956" i="16"/>
  <c r="M956" i="16"/>
  <c r="P956" i="16" s="1"/>
  <c r="Q956" i="16" s="1"/>
  <c r="O955" i="16"/>
  <c r="M955" i="16"/>
  <c r="P955" i="16" s="1"/>
  <c r="Q955" i="16" s="1"/>
  <c r="O954" i="16"/>
  <c r="M954" i="16"/>
  <c r="P954" i="16" s="1"/>
  <c r="Q954" i="16" s="1"/>
  <c r="O953" i="16"/>
  <c r="M953" i="16"/>
  <c r="P953" i="16" s="1"/>
  <c r="F949" i="16"/>
  <c r="E949" i="16"/>
  <c r="M945" i="16"/>
  <c r="M942" i="16"/>
  <c r="O942" i="16" s="1"/>
  <c r="J939" i="16"/>
  <c r="AF937" i="16"/>
  <c r="AE937" i="16"/>
  <c r="O932" i="16"/>
  <c r="M932" i="16"/>
  <c r="P932" i="16" s="1"/>
  <c r="Q932" i="16" s="1"/>
  <c r="O931" i="16"/>
  <c r="M931" i="16"/>
  <c r="P931" i="16" s="1"/>
  <c r="Q931" i="16" s="1"/>
  <c r="O930" i="16"/>
  <c r="M930" i="16"/>
  <c r="P930" i="16" s="1"/>
  <c r="Q930" i="16" s="1"/>
  <c r="O929" i="16"/>
  <c r="M929" i="16"/>
  <c r="P929" i="16" s="1"/>
  <c r="Q929" i="16" s="1"/>
  <c r="O928" i="16"/>
  <c r="M928" i="16"/>
  <c r="P928" i="16" s="1"/>
  <c r="Q928" i="16" s="1"/>
  <c r="O927" i="16"/>
  <c r="M927" i="16"/>
  <c r="P927" i="16" s="1"/>
  <c r="Q927" i="16" s="1"/>
  <c r="O926" i="16"/>
  <c r="M926" i="16"/>
  <c r="P926" i="16" s="1"/>
  <c r="Q926" i="16" s="1"/>
  <c r="O925" i="16"/>
  <c r="M925" i="16"/>
  <c r="P925" i="16" s="1"/>
  <c r="Q925" i="16" s="1"/>
  <c r="O924" i="16"/>
  <c r="M924" i="16"/>
  <c r="P924" i="16" s="1"/>
  <c r="Q924" i="16" s="1"/>
  <c r="O923" i="16"/>
  <c r="M923" i="16"/>
  <c r="P923" i="16" s="1"/>
  <c r="F919" i="16"/>
  <c r="E919" i="16"/>
  <c r="M915" i="16"/>
  <c r="M912" i="16"/>
  <c r="O912" i="16" s="1"/>
  <c r="J909" i="16"/>
  <c r="AF907" i="16"/>
  <c r="AE907" i="16"/>
  <c r="P902" i="16"/>
  <c r="Q902" i="16" s="1"/>
  <c r="O902" i="16"/>
  <c r="M902" i="16"/>
  <c r="O901" i="16"/>
  <c r="M901" i="16"/>
  <c r="P901" i="16" s="1"/>
  <c r="Q901" i="16" s="1"/>
  <c r="O900" i="16"/>
  <c r="M900" i="16"/>
  <c r="P900" i="16" s="1"/>
  <c r="Q900" i="16" s="1"/>
  <c r="O899" i="16"/>
  <c r="M899" i="16"/>
  <c r="P899" i="16" s="1"/>
  <c r="Q899" i="16" s="1"/>
  <c r="O898" i="16"/>
  <c r="M898" i="16"/>
  <c r="P898" i="16" s="1"/>
  <c r="Q898" i="16" s="1"/>
  <c r="O897" i="16"/>
  <c r="M897" i="16"/>
  <c r="P897" i="16" s="1"/>
  <c r="Q897" i="16" s="1"/>
  <c r="O896" i="16"/>
  <c r="M896" i="16"/>
  <c r="P896" i="16" s="1"/>
  <c r="Q896" i="16" s="1"/>
  <c r="O895" i="16"/>
  <c r="M895" i="16"/>
  <c r="P895" i="16" s="1"/>
  <c r="Q895" i="16" s="1"/>
  <c r="O894" i="16"/>
  <c r="M894" i="16"/>
  <c r="P894" i="16" s="1"/>
  <c r="Q894" i="16" s="1"/>
  <c r="O893" i="16"/>
  <c r="M893" i="16"/>
  <c r="P893" i="16" s="1"/>
  <c r="F889" i="16"/>
  <c r="E889" i="16"/>
  <c r="A914" i="16" s="1"/>
  <c r="M885" i="16"/>
  <c r="M882" i="16"/>
  <c r="O882" i="16" s="1"/>
  <c r="J879" i="16"/>
  <c r="AF877" i="16"/>
  <c r="AE877" i="16"/>
  <c r="O872" i="16"/>
  <c r="M872" i="16"/>
  <c r="P872" i="16" s="1"/>
  <c r="Q872" i="16" s="1"/>
  <c r="O871" i="16"/>
  <c r="M871" i="16"/>
  <c r="P871" i="16" s="1"/>
  <c r="Q871" i="16" s="1"/>
  <c r="O870" i="16"/>
  <c r="M870" i="16"/>
  <c r="P870" i="16" s="1"/>
  <c r="Q870" i="16" s="1"/>
  <c r="O869" i="16"/>
  <c r="M869" i="16"/>
  <c r="P869" i="16" s="1"/>
  <c r="Q869" i="16" s="1"/>
  <c r="O868" i="16"/>
  <c r="M868" i="16"/>
  <c r="P868" i="16" s="1"/>
  <c r="Q868" i="16" s="1"/>
  <c r="O867" i="16"/>
  <c r="M867" i="16"/>
  <c r="P867" i="16" s="1"/>
  <c r="Q867" i="16" s="1"/>
  <c r="O866" i="16"/>
  <c r="M866" i="16"/>
  <c r="P866" i="16" s="1"/>
  <c r="Q866" i="16" s="1"/>
  <c r="O865" i="16"/>
  <c r="M865" i="16"/>
  <c r="P865" i="16" s="1"/>
  <c r="Q865" i="16" s="1"/>
  <c r="O864" i="16"/>
  <c r="M864" i="16"/>
  <c r="P864" i="16" s="1"/>
  <c r="Q864" i="16" s="1"/>
  <c r="O863" i="16"/>
  <c r="M863" i="16"/>
  <c r="P863" i="16" s="1"/>
  <c r="F859" i="16"/>
  <c r="E859" i="16"/>
  <c r="A883" i="16" s="1"/>
  <c r="M855" i="16"/>
  <c r="M852" i="16"/>
  <c r="O852" i="16" s="1"/>
  <c r="A850" i="16"/>
  <c r="J849" i="16"/>
  <c r="AF847" i="16"/>
  <c r="AE847" i="16"/>
  <c r="P842" i="16"/>
  <c r="Q842" i="16" s="1"/>
  <c r="O842" i="16"/>
  <c r="M842" i="16"/>
  <c r="O841" i="16"/>
  <c r="M841" i="16"/>
  <c r="P841" i="16" s="1"/>
  <c r="Q841" i="16" s="1"/>
  <c r="O840" i="16"/>
  <c r="M840" i="16"/>
  <c r="P840" i="16" s="1"/>
  <c r="Q840" i="16" s="1"/>
  <c r="P839" i="16"/>
  <c r="Q839" i="16" s="1"/>
  <c r="O839" i="16"/>
  <c r="M839" i="16"/>
  <c r="P838" i="16"/>
  <c r="Q838" i="16" s="1"/>
  <c r="O838" i="16"/>
  <c r="M838" i="16"/>
  <c r="O837" i="16"/>
  <c r="M837" i="16"/>
  <c r="P837" i="16" s="1"/>
  <c r="Q837" i="16" s="1"/>
  <c r="O836" i="16"/>
  <c r="M836" i="16"/>
  <c r="P836" i="16" s="1"/>
  <c r="Q836" i="16" s="1"/>
  <c r="O835" i="16"/>
  <c r="M835" i="16"/>
  <c r="P835" i="16" s="1"/>
  <c r="Q835" i="16" s="1"/>
  <c r="O834" i="16"/>
  <c r="M834" i="16"/>
  <c r="P834" i="16" s="1"/>
  <c r="Q834" i="16" s="1"/>
  <c r="O833" i="16"/>
  <c r="M833" i="16"/>
  <c r="P833" i="16" s="1"/>
  <c r="F829" i="16"/>
  <c r="E829" i="16"/>
  <c r="M825" i="16"/>
  <c r="M822" i="16"/>
  <c r="O822" i="16" s="1"/>
  <c r="J819" i="16"/>
  <c r="AF817" i="16"/>
  <c r="AE817" i="16"/>
  <c r="T817" i="16" s="1"/>
  <c r="O812" i="16"/>
  <c r="M812" i="16"/>
  <c r="P812" i="16" s="1"/>
  <c r="Q812" i="16" s="1"/>
  <c r="O811" i="16"/>
  <c r="M811" i="16"/>
  <c r="P811" i="16" s="1"/>
  <c r="Q811" i="16" s="1"/>
  <c r="O810" i="16"/>
  <c r="M810" i="16"/>
  <c r="P810" i="16" s="1"/>
  <c r="Q810" i="16" s="1"/>
  <c r="O809" i="16"/>
  <c r="M809" i="16"/>
  <c r="P809" i="16" s="1"/>
  <c r="Q809" i="16" s="1"/>
  <c r="O808" i="16"/>
  <c r="M808" i="16"/>
  <c r="P808" i="16" s="1"/>
  <c r="Q808" i="16" s="1"/>
  <c r="O807" i="16"/>
  <c r="M807" i="16"/>
  <c r="P807" i="16" s="1"/>
  <c r="Q807" i="16" s="1"/>
  <c r="O806" i="16"/>
  <c r="M806" i="16"/>
  <c r="P806" i="16" s="1"/>
  <c r="Q806" i="16" s="1"/>
  <c r="O805" i="16"/>
  <c r="M805" i="16"/>
  <c r="P805" i="16" s="1"/>
  <c r="Q805" i="16" s="1"/>
  <c r="O804" i="16"/>
  <c r="M804" i="16"/>
  <c r="P804" i="16" s="1"/>
  <c r="Q804" i="16" s="1"/>
  <c r="O803" i="16"/>
  <c r="M803" i="16"/>
  <c r="P803" i="16" s="1"/>
  <c r="F799" i="16"/>
  <c r="E799" i="16"/>
  <c r="A823" i="16" s="1"/>
  <c r="M795" i="16"/>
  <c r="M792" i="16"/>
  <c r="O792" i="16" s="1"/>
  <c r="J789" i="16"/>
  <c r="AF787" i="16"/>
  <c r="AE787" i="16"/>
  <c r="O782" i="16"/>
  <c r="M782" i="16"/>
  <c r="P782" i="16" s="1"/>
  <c r="Q782" i="16" s="1"/>
  <c r="O781" i="16"/>
  <c r="M781" i="16"/>
  <c r="P781" i="16" s="1"/>
  <c r="Q781" i="16" s="1"/>
  <c r="O780" i="16"/>
  <c r="M780" i="16"/>
  <c r="P780" i="16" s="1"/>
  <c r="Q780" i="16" s="1"/>
  <c r="O779" i="16"/>
  <c r="M779" i="16"/>
  <c r="P779" i="16" s="1"/>
  <c r="Q779" i="16" s="1"/>
  <c r="P778" i="16"/>
  <c r="Q778" i="16" s="1"/>
  <c r="O778" i="16"/>
  <c r="M778" i="16"/>
  <c r="O777" i="16"/>
  <c r="M777" i="16"/>
  <c r="P777" i="16" s="1"/>
  <c r="Q777" i="16" s="1"/>
  <c r="O776" i="16"/>
  <c r="M776" i="16"/>
  <c r="P776" i="16" s="1"/>
  <c r="Q776" i="16" s="1"/>
  <c r="O775" i="16"/>
  <c r="M775" i="16"/>
  <c r="P775" i="16" s="1"/>
  <c r="Q775" i="16" s="1"/>
  <c r="Q774" i="16"/>
  <c r="O774" i="16"/>
  <c r="M774" i="16"/>
  <c r="P774" i="16" s="1"/>
  <c r="O773" i="16"/>
  <c r="M773" i="16"/>
  <c r="P773" i="16" s="1"/>
  <c r="F769" i="16"/>
  <c r="E769" i="16"/>
  <c r="A793" i="16" s="1"/>
  <c r="M765" i="16"/>
  <c r="O762" i="16"/>
  <c r="M762" i="16"/>
  <c r="J759" i="16"/>
  <c r="AF757" i="16"/>
  <c r="AE757" i="16"/>
  <c r="O752" i="16"/>
  <c r="M752" i="16"/>
  <c r="P752" i="16" s="1"/>
  <c r="Q752" i="16" s="1"/>
  <c r="O751" i="16"/>
  <c r="M751" i="16"/>
  <c r="P751" i="16" s="1"/>
  <c r="Q751" i="16" s="1"/>
  <c r="O750" i="16"/>
  <c r="M750" i="16"/>
  <c r="P750" i="16" s="1"/>
  <c r="Q750" i="16" s="1"/>
  <c r="O749" i="16"/>
  <c r="M749" i="16"/>
  <c r="P749" i="16" s="1"/>
  <c r="Q749" i="16" s="1"/>
  <c r="O748" i="16"/>
  <c r="M748" i="16"/>
  <c r="P748" i="16" s="1"/>
  <c r="Q748" i="16" s="1"/>
  <c r="O747" i="16"/>
  <c r="M747" i="16"/>
  <c r="P747" i="16" s="1"/>
  <c r="Q747" i="16" s="1"/>
  <c r="O746" i="16"/>
  <c r="M746" i="16"/>
  <c r="P746" i="16" s="1"/>
  <c r="Q746" i="16" s="1"/>
  <c r="O745" i="16"/>
  <c r="M745" i="16"/>
  <c r="P745" i="16" s="1"/>
  <c r="Q745" i="16" s="1"/>
  <c r="O744" i="16"/>
  <c r="M744" i="16"/>
  <c r="P744" i="16" s="1"/>
  <c r="Q744" i="16" s="1"/>
  <c r="O743" i="16"/>
  <c r="M743" i="16"/>
  <c r="P743" i="16" s="1"/>
  <c r="F739" i="16"/>
  <c r="E739" i="16"/>
  <c r="A763" i="16" s="1"/>
  <c r="M735" i="16"/>
  <c r="M732" i="16"/>
  <c r="O732" i="16" s="1"/>
  <c r="J729" i="16"/>
  <c r="AF727" i="16"/>
  <c r="AE727" i="16"/>
  <c r="T727" i="16" s="1"/>
  <c r="O722" i="16"/>
  <c r="M722" i="16"/>
  <c r="P722" i="16" s="1"/>
  <c r="Q722" i="16" s="1"/>
  <c r="O721" i="16"/>
  <c r="M721" i="16"/>
  <c r="P721" i="16" s="1"/>
  <c r="Q721" i="16" s="1"/>
  <c r="O720" i="16"/>
  <c r="M720" i="16"/>
  <c r="P720" i="16" s="1"/>
  <c r="Q720" i="16" s="1"/>
  <c r="O719" i="16"/>
  <c r="M719" i="16"/>
  <c r="P719" i="16" s="1"/>
  <c r="Q719" i="16" s="1"/>
  <c r="O718" i="16"/>
  <c r="M718" i="16"/>
  <c r="P718" i="16" s="1"/>
  <c r="Q718" i="16" s="1"/>
  <c r="O717" i="16"/>
  <c r="M717" i="16"/>
  <c r="P717" i="16" s="1"/>
  <c r="Q717" i="16" s="1"/>
  <c r="O716" i="16"/>
  <c r="M716" i="16"/>
  <c r="P716" i="16" s="1"/>
  <c r="Q716" i="16" s="1"/>
  <c r="O715" i="16"/>
  <c r="M715" i="16"/>
  <c r="P715" i="16" s="1"/>
  <c r="Q715" i="16" s="1"/>
  <c r="O714" i="16"/>
  <c r="M714" i="16"/>
  <c r="P714" i="16" s="1"/>
  <c r="Q714" i="16" s="1"/>
  <c r="O713" i="16"/>
  <c r="M713" i="16"/>
  <c r="P713" i="16" s="1"/>
  <c r="F709" i="16"/>
  <c r="E709" i="16"/>
  <c r="A733" i="16" s="1"/>
  <c r="M705" i="16"/>
  <c r="M702" i="16"/>
  <c r="O702" i="16" s="1"/>
  <c r="J699" i="16"/>
  <c r="AF697" i="16"/>
  <c r="AE697" i="16"/>
  <c r="O692" i="16"/>
  <c r="M692" i="16"/>
  <c r="P692" i="16" s="1"/>
  <c r="Q692" i="16" s="1"/>
  <c r="O691" i="16"/>
  <c r="M691" i="16"/>
  <c r="P691" i="16" s="1"/>
  <c r="Q691" i="16" s="1"/>
  <c r="O690" i="16"/>
  <c r="M690" i="16"/>
  <c r="P690" i="16" s="1"/>
  <c r="Q690" i="16" s="1"/>
  <c r="O689" i="16"/>
  <c r="M689" i="16"/>
  <c r="P689" i="16" s="1"/>
  <c r="Q689" i="16" s="1"/>
  <c r="O688" i="16"/>
  <c r="M688" i="16"/>
  <c r="P688" i="16" s="1"/>
  <c r="Q688" i="16" s="1"/>
  <c r="O687" i="16"/>
  <c r="M687" i="16"/>
  <c r="P687" i="16" s="1"/>
  <c r="Q687" i="16" s="1"/>
  <c r="O686" i="16"/>
  <c r="M686" i="16"/>
  <c r="P686" i="16" s="1"/>
  <c r="Q686" i="16" s="1"/>
  <c r="P685" i="16"/>
  <c r="Q685" i="16" s="1"/>
  <c r="O685" i="16"/>
  <c r="M685" i="16"/>
  <c r="O684" i="16"/>
  <c r="M684" i="16"/>
  <c r="P684" i="16" s="1"/>
  <c r="Q684" i="16" s="1"/>
  <c r="O683" i="16"/>
  <c r="M683" i="16"/>
  <c r="P683" i="16" s="1"/>
  <c r="F679" i="16"/>
  <c r="E679" i="16"/>
  <c r="A703" i="16" s="1"/>
  <c r="M675" i="16"/>
  <c r="M672" i="16"/>
  <c r="O672" i="16" s="1"/>
  <c r="J669" i="16"/>
  <c r="AF667" i="16"/>
  <c r="AE667" i="16"/>
  <c r="O662" i="16"/>
  <c r="M662" i="16"/>
  <c r="P662" i="16" s="1"/>
  <c r="Q662" i="16" s="1"/>
  <c r="O661" i="16"/>
  <c r="M661" i="16"/>
  <c r="P661" i="16" s="1"/>
  <c r="Q661" i="16" s="1"/>
  <c r="O660" i="16"/>
  <c r="M660" i="16"/>
  <c r="P660" i="16" s="1"/>
  <c r="Q660" i="16" s="1"/>
  <c r="O659" i="16"/>
  <c r="M659" i="16"/>
  <c r="P659" i="16" s="1"/>
  <c r="Q659" i="16" s="1"/>
  <c r="O658" i="16"/>
  <c r="M658" i="16"/>
  <c r="P658" i="16" s="1"/>
  <c r="Q658" i="16" s="1"/>
  <c r="O657" i="16"/>
  <c r="M657" i="16"/>
  <c r="P657" i="16" s="1"/>
  <c r="Q657" i="16" s="1"/>
  <c r="O656" i="16"/>
  <c r="M656" i="16"/>
  <c r="P656" i="16" s="1"/>
  <c r="Q656" i="16" s="1"/>
  <c r="O655" i="16"/>
  <c r="M655" i="16"/>
  <c r="P655" i="16" s="1"/>
  <c r="Q655" i="16" s="1"/>
  <c r="O654" i="16"/>
  <c r="M654" i="16"/>
  <c r="P654" i="16" s="1"/>
  <c r="Q654" i="16" s="1"/>
  <c r="O653" i="16"/>
  <c r="M653" i="16"/>
  <c r="P653" i="16" s="1"/>
  <c r="F649" i="16"/>
  <c r="E649" i="16"/>
  <c r="A673" i="16" s="1"/>
  <c r="M645" i="16"/>
  <c r="M642" i="16"/>
  <c r="O642" i="16" s="1"/>
  <c r="J639" i="16"/>
  <c r="AF637" i="16"/>
  <c r="AE637" i="16"/>
  <c r="O632" i="16"/>
  <c r="M632" i="16"/>
  <c r="P632" i="16" s="1"/>
  <c r="Q632" i="16" s="1"/>
  <c r="O631" i="16"/>
  <c r="M631" i="16"/>
  <c r="P631" i="16" s="1"/>
  <c r="Q631" i="16" s="1"/>
  <c r="O630" i="16"/>
  <c r="M630" i="16"/>
  <c r="P630" i="16" s="1"/>
  <c r="Q630" i="16" s="1"/>
  <c r="O629" i="16"/>
  <c r="M629" i="16"/>
  <c r="P629" i="16" s="1"/>
  <c r="Q629" i="16" s="1"/>
  <c r="O628" i="16"/>
  <c r="M628" i="16"/>
  <c r="P628" i="16" s="1"/>
  <c r="Q628" i="16" s="1"/>
  <c r="O627" i="16"/>
  <c r="M627" i="16"/>
  <c r="P627" i="16" s="1"/>
  <c r="Q627" i="16" s="1"/>
  <c r="O626" i="16"/>
  <c r="M626" i="16"/>
  <c r="P626" i="16" s="1"/>
  <c r="Q626" i="16" s="1"/>
  <c r="O625" i="16"/>
  <c r="M625" i="16"/>
  <c r="P625" i="16" s="1"/>
  <c r="Q625" i="16" s="1"/>
  <c r="O624" i="16"/>
  <c r="M624" i="16"/>
  <c r="P624" i="16" s="1"/>
  <c r="Q624" i="16" s="1"/>
  <c r="O623" i="16"/>
  <c r="M623" i="16"/>
  <c r="P623" i="16" s="1"/>
  <c r="F619" i="16"/>
  <c r="E619" i="16"/>
  <c r="A643" i="16" s="1"/>
  <c r="M615" i="16"/>
  <c r="M612" i="16"/>
  <c r="O612" i="16" s="1"/>
  <c r="J609" i="16"/>
  <c r="AF607" i="16"/>
  <c r="AE607" i="16"/>
  <c r="O602" i="16"/>
  <c r="M602" i="16"/>
  <c r="P602" i="16" s="1"/>
  <c r="Q602" i="16" s="1"/>
  <c r="O601" i="16"/>
  <c r="M601" i="16"/>
  <c r="P601" i="16" s="1"/>
  <c r="Q601" i="16" s="1"/>
  <c r="O600" i="16"/>
  <c r="M600" i="16"/>
  <c r="P600" i="16" s="1"/>
  <c r="Q600" i="16" s="1"/>
  <c r="O599" i="16"/>
  <c r="M599" i="16"/>
  <c r="P599" i="16" s="1"/>
  <c r="Q599" i="16" s="1"/>
  <c r="O598" i="16"/>
  <c r="M598" i="16"/>
  <c r="P598" i="16" s="1"/>
  <c r="Q598" i="16" s="1"/>
  <c r="O597" i="16"/>
  <c r="M597" i="16"/>
  <c r="P597" i="16" s="1"/>
  <c r="Q597" i="16" s="1"/>
  <c r="O596" i="16"/>
  <c r="M596" i="16"/>
  <c r="P596" i="16" s="1"/>
  <c r="Q596" i="16" s="1"/>
  <c r="O595" i="16"/>
  <c r="M595" i="16"/>
  <c r="P595" i="16" s="1"/>
  <c r="Q595" i="16" s="1"/>
  <c r="O594" i="16"/>
  <c r="M594" i="16"/>
  <c r="P594" i="16" s="1"/>
  <c r="Q594" i="16" s="1"/>
  <c r="O593" i="16"/>
  <c r="M593" i="16"/>
  <c r="P593" i="16" s="1"/>
  <c r="F589" i="16"/>
  <c r="E589" i="16"/>
  <c r="A613" i="16" s="1"/>
  <c r="M585" i="16"/>
  <c r="M582" i="16"/>
  <c r="O582" i="16" s="1"/>
  <c r="A580" i="16"/>
  <c r="J579" i="16"/>
  <c r="AF577" i="16"/>
  <c r="AE577" i="16"/>
  <c r="O572" i="16"/>
  <c r="M572" i="16"/>
  <c r="P572" i="16" s="1"/>
  <c r="Q572" i="16" s="1"/>
  <c r="O571" i="16"/>
  <c r="M571" i="16"/>
  <c r="P571" i="16" s="1"/>
  <c r="Q571" i="16" s="1"/>
  <c r="O570" i="16"/>
  <c r="M570" i="16"/>
  <c r="P570" i="16" s="1"/>
  <c r="Q570" i="16" s="1"/>
  <c r="O569" i="16"/>
  <c r="M569" i="16"/>
  <c r="P569" i="16" s="1"/>
  <c r="Q569" i="16" s="1"/>
  <c r="O568" i="16"/>
  <c r="M568" i="16"/>
  <c r="P568" i="16" s="1"/>
  <c r="Q568" i="16" s="1"/>
  <c r="O567" i="16"/>
  <c r="M567" i="16"/>
  <c r="P567" i="16" s="1"/>
  <c r="Q567" i="16" s="1"/>
  <c r="O566" i="16"/>
  <c r="M566" i="16"/>
  <c r="P566" i="16" s="1"/>
  <c r="Q566" i="16" s="1"/>
  <c r="O565" i="16"/>
  <c r="M565" i="16"/>
  <c r="P565" i="16" s="1"/>
  <c r="Q565" i="16" s="1"/>
  <c r="O564" i="16"/>
  <c r="M564" i="16"/>
  <c r="P564" i="16" s="1"/>
  <c r="Q564" i="16" s="1"/>
  <c r="O563" i="16"/>
  <c r="M563" i="16"/>
  <c r="P563" i="16" s="1"/>
  <c r="F559" i="16"/>
  <c r="E559" i="16"/>
  <c r="A583" i="16" s="1"/>
  <c r="M555" i="16"/>
  <c r="M552" i="16"/>
  <c r="O552" i="16" s="1"/>
  <c r="J549" i="16"/>
  <c r="AF547" i="16"/>
  <c r="AE547" i="16"/>
  <c r="O542" i="16"/>
  <c r="M542" i="16"/>
  <c r="P542" i="16" s="1"/>
  <c r="Q542" i="16" s="1"/>
  <c r="O541" i="16"/>
  <c r="M541" i="16"/>
  <c r="P541" i="16" s="1"/>
  <c r="Q541" i="16" s="1"/>
  <c r="O540" i="16"/>
  <c r="M540" i="16"/>
  <c r="P540" i="16" s="1"/>
  <c r="Q540" i="16" s="1"/>
  <c r="O539" i="16"/>
  <c r="M539" i="16"/>
  <c r="P539" i="16" s="1"/>
  <c r="Q539" i="16" s="1"/>
  <c r="O538" i="16"/>
  <c r="M538" i="16"/>
  <c r="P538" i="16" s="1"/>
  <c r="Q538" i="16" s="1"/>
  <c r="O537" i="16"/>
  <c r="M537" i="16"/>
  <c r="P537" i="16" s="1"/>
  <c r="Q537" i="16" s="1"/>
  <c r="O536" i="16"/>
  <c r="M536" i="16"/>
  <c r="P536" i="16" s="1"/>
  <c r="Q536" i="16" s="1"/>
  <c r="O535" i="16"/>
  <c r="M535" i="16"/>
  <c r="P535" i="16" s="1"/>
  <c r="Q535" i="16" s="1"/>
  <c r="O534" i="16"/>
  <c r="M534" i="16"/>
  <c r="P534" i="16" s="1"/>
  <c r="Q534" i="16" s="1"/>
  <c r="O533" i="16"/>
  <c r="M533" i="16"/>
  <c r="P533" i="16" s="1"/>
  <c r="F529" i="16"/>
  <c r="E529" i="16"/>
  <c r="A553" i="16" s="1"/>
  <c r="M525" i="16"/>
  <c r="M522" i="16"/>
  <c r="O522" i="16" s="1"/>
  <c r="J519" i="16"/>
  <c r="AF517" i="16"/>
  <c r="AE517" i="16"/>
  <c r="O512" i="16"/>
  <c r="M512" i="16"/>
  <c r="P512" i="16" s="1"/>
  <c r="Q512" i="16" s="1"/>
  <c r="O511" i="16"/>
  <c r="M511" i="16"/>
  <c r="P511" i="16" s="1"/>
  <c r="Q511" i="16" s="1"/>
  <c r="O510" i="16"/>
  <c r="M510" i="16"/>
  <c r="P510" i="16" s="1"/>
  <c r="Q510" i="16" s="1"/>
  <c r="O509" i="16"/>
  <c r="M509" i="16"/>
  <c r="P509" i="16" s="1"/>
  <c r="Q509" i="16" s="1"/>
  <c r="O508" i="16"/>
  <c r="M508" i="16"/>
  <c r="P508" i="16" s="1"/>
  <c r="Q508" i="16" s="1"/>
  <c r="O507" i="16"/>
  <c r="M507" i="16"/>
  <c r="P507" i="16" s="1"/>
  <c r="Q507" i="16" s="1"/>
  <c r="O506" i="16"/>
  <c r="M506" i="16"/>
  <c r="P506" i="16" s="1"/>
  <c r="Q506" i="16" s="1"/>
  <c r="O505" i="16"/>
  <c r="M505" i="16"/>
  <c r="P505" i="16" s="1"/>
  <c r="Q505" i="16" s="1"/>
  <c r="O504" i="16"/>
  <c r="M504" i="16"/>
  <c r="P504" i="16" s="1"/>
  <c r="Q504" i="16" s="1"/>
  <c r="O503" i="16"/>
  <c r="M503" i="16"/>
  <c r="P503" i="16" s="1"/>
  <c r="F499" i="16"/>
  <c r="E499" i="16"/>
  <c r="A523" i="16" s="1"/>
  <c r="M495" i="16"/>
  <c r="M492" i="16"/>
  <c r="O492" i="16" s="1"/>
  <c r="J489" i="16"/>
  <c r="AF487" i="16"/>
  <c r="AE487" i="16"/>
  <c r="O482" i="16"/>
  <c r="M482" i="16"/>
  <c r="P482" i="16" s="1"/>
  <c r="Q482" i="16" s="1"/>
  <c r="O481" i="16"/>
  <c r="M481" i="16"/>
  <c r="P481" i="16" s="1"/>
  <c r="Q481" i="16" s="1"/>
  <c r="O480" i="16"/>
  <c r="M480" i="16"/>
  <c r="P480" i="16" s="1"/>
  <c r="Q480" i="16" s="1"/>
  <c r="O479" i="16"/>
  <c r="M479" i="16"/>
  <c r="P479" i="16" s="1"/>
  <c r="Q479" i="16" s="1"/>
  <c r="O478" i="16"/>
  <c r="M478" i="16"/>
  <c r="P478" i="16" s="1"/>
  <c r="Q478" i="16" s="1"/>
  <c r="O477" i="16"/>
  <c r="M477" i="16"/>
  <c r="P477" i="16" s="1"/>
  <c r="Q477" i="16" s="1"/>
  <c r="O476" i="16"/>
  <c r="M476" i="16"/>
  <c r="P476" i="16" s="1"/>
  <c r="Q476" i="16" s="1"/>
  <c r="O475" i="16"/>
  <c r="M475" i="16"/>
  <c r="P475" i="16" s="1"/>
  <c r="Q475" i="16" s="1"/>
  <c r="O474" i="16"/>
  <c r="M474" i="16"/>
  <c r="P474" i="16" s="1"/>
  <c r="Q474" i="16" s="1"/>
  <c r="O473" i="16"/>
  <c r="M473" i="16"/>
  <c r="P473" i="16" s="1"/>
  <c r="F469" i="16"/>
  <c r="E469" i="16"/>
  <c r="A493" i="16" s="1"/>
  <c r="M465" i="16"/>
  <c r="M462" i="16"/>
  <c r="O462" i="16" s="1"/>
  <c r="A460" i="16"/>
  <c r="J459" i="16"/>
  <c r="AF457" i="16"/>
  <c r="AE457" i="16"/>
  <c r="O452" i="16"/>
  <c r="M452" i="16"/>
  <c r="P452" i="16" s="1"/>
  <c r="Q452" i="16" s="1"/>
  <c r="O451" i="16"/>
  <c r="M451" i="16"/>
  <c r="P451" i="16" s="1"/>
  <c r="Q451" i="16" s="1"/>
  <c r="O450" i="16"/>
  <c r="M450" i="16"/>
  <c r="P450" i="16" s="1"/>
  <c r="Q450" i="16" s="1"/>
  <c r="O449" i="16"/>
  <c r="M449" i="16"/>
  <c r="P449" i="16" s="1"/>
  <c r="Q449" i="16" s="1"/>
  <c r="O448" i="16"/>
  <c r="M448" i="16"/>
  <c r="P448" i="16" s="1"/>
  <c r="Q448" i="16" s="1"/>
  <c r="O447" i="16"/>
  <c r="M447" i="16"/>
  <c r="P447" i="16" s="1"/>
  <c r="Q447" i="16" s="1"/>
  <c r="O446" i="16"/>
  <c r="M446" i="16"/>
  <c r="P446" i="16" s="1"/>
  <c r="Q446" i="16" s="1"/>
  <c r="P445" i="16"/>
  <c r="Q445" i="16" s="1"/>
  <c r="O445" i="16"/>
  <c r="M445" i="16"/>
  <c r="O444" i="16"/>
  <c r="M444" i="16"/>
  <c r="P444" i="16" s="1"/>
  <c r="Q444" i="16" s="1"/>
  <c r="O443" i="16"/>
  <c r="M443" i="16"/>
  <c r="P443" i="16" s="1"/>
  <c r="F439" i="16"/>
  <c r="E439" i="16"/>
  <c r="A463" i="16" s="1"/>
  <c r="M435" i="16"/>
  <c r="M432" i="16"/>
  <c r="O432" i="16" s="1"/>
  <c r="J429" i="16"/>
  <c r="AF427" i="16"/>
  <c r="AE427" i="16"/>
  <c r="O422" i="16"/>
  <c r="M422" i="16"/>
  <c r="P422" i="16" s="1"/>
  <c r="Q422" i="16" s="1"/>
  <c r="O421" i="16"/>
  <c r="M421" i="16"/>
  <c r="P421" i="16" s="1"/>
  <c r="Q421" i="16" s="1"/>
  <c r="O420" i="16"/>
  <c r="M420" i="16"/>
  <c r="P420" i="16" s="1"/>
  <c r="Q420" i="16" s="1"/>
  <c r="O419" i="16"/>
  <c r="M419" i="16"/>
  <c r="P419" i="16" s="1"/>
  <c r="Q419" i="16" s="1"/>
  <c r="O418" i="16"/>
  <c r="M418" i="16"/>
  <c r="P418" i="16" s="1"/>
  <c r="Q418" i="16" s="1"/>
  <c r="P417" i="16"/>
  <c r="Q417" i="16" s="1"/>
  <c r="O417" i="16"/>
  <c r="P416" i="16"/>
  <c r="Q416" i="16" s="1"/>
  <c r="O416" i="16"/>
  <c r="P415" i="16"/>
  <c r="Q415" i="16" s="1"/>
  <c r="O415" i="16"/>
  <c r="P414" i="16"/>
  <c r="Q414" i="16" s="1"/>
  <c r="O414" i="16"/>
  <c r="P413" i="16"/>
  <c r="O413" i="16"/>
  <c r="F409" i="16"/>
  <c r="E409" i="16"/>
  <c r="A433" i="16" s="1"/>
  <c r="M405" i="16"/>
  <c r="M402" i="16"/>
  <c r="O402" i="16" s="1"/>
  <c r="J399" i="16"/>
  <c r="AF397" i="16"/>
  <c r="AE397" i="16"/>
  <c r="O392" i="16"/>
  <c r="M392" i="16"/>
  <c r="P392" i="16" s="1"/>
  <c r="Q392" i="16" s="1"/>
  <c r="O391" i="16"/>
  <c r="M391" i="16"/>
  <c r="P391" i="16" s="1"/>
  <c r="Q391" i="16" s="1"/>
  <c r="O390" i="16"/>
  <c r="M390" i="16"/>
  <c r="P390" i="16" s="1"/>
  <c r="Q390" i="16" s="1"/>
  <c r="O389" i="16"/>
  <c r="M389" i="16"/>
  <c r="P389" i="16" s="1"/>
  <c r="Q389" i="16" s="1"/>
  <c r="O388" i="16"/>
  <c r="M388" i="16"/>
  <c r="P388" i="16" s="1"/>
  <c r="Q388" i="16" s="1"/>
  <c r="P387" i="16"/>
  <c r="Q387" i="16" s="1"/>
  <c r="O387" i="16"/>
  <c r="P386" i="16"/>
  <c r="Q386" i="16" s="1"/>
  <c r="O386" i="16"/>
  <c r="P385" i="16"/>
  <c r="Q385" i="16" s="1"/>
  <c r="O385" i="16"/>
  <c r="P384" i="16"/>
  <c r="Q384" i="16" s="1"/>
  <c r="O384" i="16"/>
  <c r="P383" i="16"/>
  <c r="O383" i="16"/>
  <c r="F379" i="16"/>
  <c r="E379" i="16"/>
  <c r="A399" i="16" s="1"/>
  <c r="M375" i="16"/>
  <c r="M372" i="16"/>
  <c r="O372" i="16" s="1"/>
  <c r="J369" i="16"/>
  <c r="AF367" i="16"/>
  <c r="T367" i="16" s="1"/>
  <c r="AE367" i="16"/>
  <c r="O362" i="16"/>
  <c r="M362" i="16"/>
  <c r="P362" i="16" s="1"/>
  <c r="Q362" i="16" s="1"/>
  <c r="O361" i="16"/>
  <c r="M361" i="16"/>
  <c r="P361" i="16" s="1"/>
  <c r="Q361" i="16" s="1"/>
  <c r="P360" i="16"/>
  <c r="Q360" i="16" s="1"/>
  <c r="O360" i="16"/>
  <c r="P359" i="16"/>
  <c r="Q359" i="16" s="1"/>
  <c r="O359" i="16"/>
  <c r="P358" i="16"/>
  <c r="Q358" i="16" s="1"/>
  <c r="O358" i="16"/>
  <c r="P357" i="16"/>
  <c r="Q357" i="16" s="1"/>
  <c r="O357" i="16"/>
  <c r="P356" i="16"/>
  <c r="Q356" i="16" s="1"/>
  <c r="O356" i="16"/>
  <c r="P355" i="16"/>
  <c r="Q355" i="16" s="1"/>
  <c r="O355" i="16"/>
  <c r="P354" i="16"/>
  <c r="Q354" i="16" s="1"/>
  <c r="O354" i="16"/>
  <c r="P353" i="16"/>
  <c r="O353" i="16"/>
  <c r="F349" i="16"/>
  <c r="E349" i="16"/>
  <c r="A375" i="16" s="1"/>
  <c r="M345" i="16"/>
  <c r="M342" i="16"/>
  <c r="O342" i="16" s="1"/>
  <c r="J339" i="16"/>
  <c r="AF337" i="16"/>
  <c r="T337" i="16" s="1"/>
  <c r="AE337" i="16"/>
  <c r="O332" i="16"/>
  <c r="M332" i="16"/>
  <c r="P332" i="16" s="1"/>
  <c r="Q332" i="16" s="1"/>
  <c r="O331" i="16"/>
  <c r="M331" i="16"/>
  <c r="P331" i="16" s="1"/>
  <c r="Q331" i="16" s="1"/>
  <c r="O330" i="16"/>
  <c r="M330" i="16"/>
  <c r="P330" i="16" s="1"/>
  <c r="Q330" i="16" s="1"/>
  <c r="O329" i="16"/>
  <c r="M329" i="16"/>
  <c r="P329" i="16" s="1"/>
  <c r="Q329" i="16" s="1"/>
  <c r="O328" i="16"/>
  <c r="M328" i="16"/>
  <c r="P328" i="16" s="1"/>
  <c r="Q328" i="16" s="1"/>
  <c r="O327" i="16"/>
  <c r="M327" i="16"/>
  <c r="P327" i="16" s="1"/>
  <c r="Q327" i="16" s="1"/>
  <c r="O326" i="16"/>
  <c r="M326" i="16"/>
  <c r="P326" i="16" s="1"/>
  <c r="Q326" i="16" s="1"/>
  <c r="O325" i="16"/>
  <c r="M325" i="16"/>
  <c r="P325" i="16" s="1"/>
  <c r="Q325" i="16" s="1"/>
  <c r="O324" i="16"/>
  <c r="M324" i="16"/>
  <c r="P324" i="16" s="1"/>
  <c r="Q324" i="16" s="1"/>
  <c r="O323" i="16"/>
  <c r="M323" i="16"/>
  <c r="P323" i="16" s="1"/>
  <c r="F319" i="16"/>
  <c r="E319" i="16"/>
  <c r="A345" i="16" s="1"/>
  <c r="M315" i="16"/>
  <c r="M312" i="16"/>
  <c r="O312" i="16" s="1"/>
  <c r="J309" i="16"/>
  <c r="AF307" i="16"/>
  <c r="AE307" i="16"/>
  <c r="O302" i="16"/>
  <c r="M302" i="16"/>
  <c r="P302" i="16" s="1"/>
  <c r="Q302" i="16" s="1"/>
  <c r="O301" i="16"/>
  <c r="M301" i="16"/>
  <c r="P301" i="16" s="1"/>
  <c r="Q301" i="16" s="1"/>
  <c r="O300" i="16"/>
  <c r="M300" i="16"/>
  <c r="P300" i="16" s="1"/>
  <c r="Q300" i="16" s="1"/>
  <c r="O299" i="16"/>
  <c r="M299" i="16"/>
  <c r="P299" i="16" s="1"/>
  <c r="Q299" i="16" s="1"/>
  <c r="O298" i="16"/>
  <c r="M298" i="16"/>
  <c r="P298" i="16" s="1"/>
  <c r="Q298" i="16" s="1"/>
  <c r="O297" i="16"/>
  <c r="M297" i="16"/>
  <c r="P297" i="16" s="1"/>
  <c r="Q297" i="16" s="1"/>
  <c r="O296" i="16"/>
  <c r="M296" i="16"/>
  <c r="P296" i="16" s="1"/>
  <c r="Q296" i="16" s="1"/>
  <c r="O295" i="16"/>
  <c r="M295" i="16"/>
  <c r="P295" i="16" s="1"/>
  <c r="Q295" i="16" s="1"/>
  <c r="O294" i="16"/>
  <c r="M294" i="16"/>
  <c r="P294" i="16" s="1"/>
  <c r="Q294" i="16" s="1"/>
  <c r="O293" i="16"/>
  <c r="M293" i="16"/>
  <c r="P293" i="16" s="1"/>
  <c r="F289" i="16"/>
  <c r="E289" i="16"/>
  <c r="A315" i="16" s="1"/>
  <c r="M285" i="16"/>
  <c r="M282" i="16"/>
  <c r="O282" i="16" s="1"/>
  <c r="J279" i="16"/>
  <c r="AF277" i="16"/>
  <c r="AE277" i="16"/>
  <c r="T277" i="16" s="1"/>
  <c r="O272" i="16"/>
  <c r="M272" i="16"/>
  <c r="P272" i="16" s="1"/>
  <c r="Q272" i="16" s="1"/>
  <c r="O271" i="16"/>
  <c r="M271" i="16"/>
  <c r="P271" i="16" s="1"/>
  <c r="Q271" i="16" s="1"/>
  <c r="O270" i="16"/>
  <c r="M270" i="16"/>
  <c r="P270" i="16" s="1"/>
  <c r="Q270" i="16" s="1"/>
  <c r="O269" i="16"/>
  <c r="M269" i="16"/>
  <c r="P269" i="16" s="1"/>
  <c r="Q269" i="16" s="1"/>
  <c r="O268" i="16"/>
  <c r="M268" i="16"/>
  <c r="P268" i="16" s="1"/>
  <c r="Q268" i="16" s="1"/>
  <c r="O267" i="16"/>
  <c r="M267" i="16"/>
  <c r="P267" i="16" s="1"/>
  <c r="Q267" i="16" s="1"/>
  <c r="O266" i="16"/>
  <c r="O265" i="16"/>
  <c r="O264" i="16"/>
  <c r="O263" i="16"/>
  <c r="F259" i="16"/>
  <c r="E259" i="16"/>
  <c r="A285" i="16" s="1"/>
  <c r="M255" i="16"/>
  <c r="M252" i="16"/>
  <c r="O252" i="16" s="1"/>
  <c r="J249" i="16"/>
  <c r="AF247" i="16"/>
  <c r="AE247" i="16"/>
  <c r="O242" i="16"/>
  <c r="M242" i="16"/>
  <c r="P242" i="16" s="1"/>
  <c r="Q242" i="16" s="1"/>
  <c r="O241" i="16"/>
  <c r="M241" i="16"/>
  <c r="P241" i="16" s="1"/>
  <c r="Q241" i="16" s="1"/>
  <c r="O240" i="16"/>
  <c r="M240" i="16"/>
  <c r="P240" i="16" s="1"/>
  <c r="Q240" i="16" s="1"/>
  <c r="O239" i="16"/>
  <c r="M239" i="16"/>
  <c r="P239" i="16" s="1"/>
  <c r="Q239" i="16" s="1"/>
  <c r="P238" i="16"/>
  <c r="Q238" i="16" s="1"/>
  <c r="O238" i="16"/>
  <c r="M238" i="16"/>
  <c r="Q237" i="16"/>
  <c r="Q236" i="16"/>
  <c r="Q235" i="16"/>
  <c r="Q234" i="16"/>
  <c r="Q233" i="16"/>
  <c r="F229" i="16"/>
  <c r="E229" i="16"/>
  <c r="A249" i="16" s="1"/>
  <c r="AB226" i="16"/>
  <c r="K226" i="16"/>
  <c r="AB225" i="16"/>
  <c r="M225" i="16"/>
  <c r="AB224" i="16"/>
  <c r="AB223" i="16"/>
  <c r="AB222" i="16"/>
  <c r="M222" i="16"/>
  <c r="O222" i="16" s="1"/>
  <c r="AB221" i="16"/>
  <c r="J219" i="16"/>
  <c r="AF217" i="16"/>
  <c r="AE217" i="16"/>
  <c r="O212" i="16"/>
  <c r="M212" i="16"/>
  <c r="P212" i="16" s="1"/>
  <c r="Q212" i="16" s="1"/>
  <c r="O211" i="16"/>
  <c r="M211" i="16"/>
  <c r="P211" i="16" s="1"/>
  <c r="Q211" i="16" s="1"/>
  <c r="O210" i="16"/>
  <c r="M210" i="16"/>
  <c r="P210" i="16" s="1"/>
  <c r="Q210" i="16" s="1"/>
  <c r="P209" i="16"/>
  <c r="Q209" i="16" s="1"/>
  <c r="O209" i="16"/>
  <c r="M209" i="16"/>
  <c r="O208" i="16"/>
  <c r="M208" i="16"/>
  <c r="P208" i="16" s="1"/>
  <c r="Q208" i="16" s="1"/>
  <c r="O207" i="16"/>
  <c r="M207" i="16"/>
  <c r="P207" i="16" s="1"/>
  <c r="Q207" i="16" s="1"/>
  <c r="N206" i="16"/>
  <c r="O206" i="16" s="1"/>
  <c r="M206" i="16"/>
  <c r="P206" i="16" s="1"/>
  <c r="Q206" i="16" s="1"/>
  <c r="N205" i="16"/>
  <c r="O205" i="16" s="1"/>
  <c r="M205" i="16"/>
  <c r="P205" i="16" s="1"/>
  <c r="Q205" i="16" s="1"/>
  <c r="N204" i="16"/>
  <c r="O204" i="16" s="1"/>
  <c r="M204" i="16"/>
  <c r="P204" i="16" s="1"/>
  <c r="Q204" i="16" s="1"/>
  <c r="N203" i="16"/>
  <c r="O203" i="16" s="1"/>
  <c r="M203" i="16"/>
  <c r="P203" i="16" s="1"/>
  <c r="Q203" i="16" s="1"/>
  <c r="F199" i="16"/>
  <c r="E199" i="16"/>
  <c r="A223" i="16" s="1"/>
  <c r="AB196" i="16"/>
  <c r="AB195" i="16"/>
  <c r="M195" i="16"/>
  <c r="K195" i="16"/>
  <c r="J195" i="16"/>
  <c r="I195" i="16"/>
  <c r="AB194" i="16"/>
  <c r="K194" i="16"/>
  <c r="J194" i="16"/>
  <c r="I194" i="16"/>
  <c r="AB193" i="16"/>
  <c r="K193" i="16"/>
  <c r="J193" i="16"/>
  <c r="I193" i="16"/>
  <c r="AB192" i="16"/>
  <c r="M192" i="16"/>
  <c r="O192" i="16" s="1"/>
  <c r="K192" i="16"/>
  <c r="J192" i="16"/>
  <c r="I192" i="16"/>
  <c r="AB191" i="16"/>
  <c r="K191" i="16"/>
  <c r="J191" i="16"/>
  <c r="I191" i="16"/>
  <c r="K190" i="16"/>
  <c r="J190" i="16"/>
  <c r="J189" i="16"/>
  <c r="AF187" i="16"/>
  <c r="AE187" i="16"/>
  <c r="T187" i="16" s="1"/>
  <c r="O182" i="16"/>
  <c r="M182" i="16"/>
  <c r="P182" i="16" s="1"/>
  <c r="Q182" i="16" s="1"/>
  <c r="O181" i="16"/>
  <c r="M181" i="16"/>
  <c r="P181" i="16" s="1"/>
  <c r="Q181" i="16" s="1"/>
  <c r="O180" i="16"/>
  <c r="M180" i="16"/>
  <c r="P180" i="16" s="1"/>
  <c r="Q180" i="16" s="1"/>
  <c r="P179" i="16"/>
  <c r="O179" i="16"/>
  <c r="M179" i="16"/>
  <c r="A178" i="16"/>
  <c r="A174" i="16"/>
  <c r="F169" i="16"/>
  <c r="E169" i="16"/>
  <c r="A192" i="16" s="1"/>
  <c r="AB166" i="16"/>
  <c r="AB165" i="16"/>
  <c r="M165" i="16"/>
  <c r="K165" i="16"/>
  <c r="J165" i="16"/>
  <c r="I165" i="16"/>
  <c r="AB164" i="16"/>
  <c r="K164" i="16"/>
  <c r="J164" i="16"/>
  <c r="I164" i="16"/>
  <c r="AB163" i="16"/>
  <c r="K163" i="16"/>
  <c r="J163" i="16"/>
  <c r="I163" i="16"/>
  <c r="AB162" i="16"/>
  <c r="M162" i="16"/>
  <c r="O162" i="16" s="1"/>
  <c r="K162" i="16"/>
  <c r="J162" i="16"/>
  <c r="I162" i="16"/>
  <c r="AB161" i="16"/>
  <c r="K161" i="16"/>
  <c r="J161" i="16"/>
  <c r="I161" i="16"/>
  <c r="K160" i="16"/>
  <c r="J160" i="16"/>
  <c r="I160" i="16"/>
  <c r="J159" i="16"/>
  <c r="AF157" i="16"/>
  <c r="AE157" i="16"/>
  <c r="O152" i="16"/>
  <c r="M152" i="16"/>
  <c r="P152" i="16" s="1"/>
  <c r="Q152" i="16" s="1"/>
  <c r="O151" i="16"/>
  <c r="M151" i="16"/>
  <c r="P151" i="16" s="1"/>
  <c r="Q150" i="16"/>
  <c r="M150" i="16"/>
  <c r="Q149" i="16"/>
  <c r="M149" i="16"/>
  <c r="A149" i="16"/>
  <c r="Q148" i="16"/>
  <c r="M148" i="16"/>
  <c r="A146" i="16"/>
  <c r="A143" i="16"/>
  <c r="F139" i="16"/>
  <c r="E139" i="16"/>
  <c r="A152" i="16" s="1"/>
  <c r="M135" i="16"/>
  <c r="M132" i="16"/>
  <c r="O132" i="16" s="1"/>
  <c r="J129" i="16"/>
  <c r="A129" i="16"/>
  <c r="AF127" i="16"/>
  <c r="AE127" i="16"/>
  <c r="O122" i="16"/>
  <c r="M122" i="16"/>
  <c r="P122" i="16" s="1"/>
  <c r="Q122" i="16" s="1"/>
  <c r="A122" i="16"/>
  <c r="O121" i="16"/>
  <c r="M121" i="16"/>
  <c r="P121" i="16" s="1"/>
  <c r="Q121" i="16" s="1"/>
  <c r="A118" i="16"/>
  <c r="A114" i="16"/>
  <c r="F109" i="16"/>
  <c r="E109" i="16"/>
  <c r="A136" i="16" s="1"/>
  <c r="M105" i="16"/>
  <c r="M102" i="16"/>
  <c r="O102" i="16" s="1"/>
  <c r="J99" i="16"/>
  <c r="AF97" i="16"/>
  <c r="AE97" i="16"/>
  <c r="T97" i="16" s="1"/>
  <c r="O92" i="16"/>
  <c r="M92" i="16"/>
  <c r="P92" i="16" s="1"/>
  <c r="Q92" i="16" s="1"/>
  <c r="O91" i="16"/>
  <c r="M91" i="16"/>
  <c r="P91" i="16" s="1"/>
  <c r="Q91" i="16" s="1"/>
  <c r="O90" i="16"/>
  <c r="M90" i="16"/>
  <c r="P90" i="16" s="1"/>
  <c r="Q90" i="16" s="1"/>
  <c r="O89" i="16"/>
  <c r="M89" i="16"/>
  <c r="P89" i="16" s="1"/>
  <c r="Q89" i="16" s="1"/>
  <c r="A88" i="16"/>
  <c r="F79" i="16"/>
  <c r="E79" i="16"/>
  <c r="A101" i="16" s="1"/>
  <c r="AB76" i="16"/>
  <c r="AB75" i="16"/>
  <c r="M75" i="16"/>
  <c r="K75" i="16"/>
  <c r="AB74" i="16"/>
  <c r="K74" i="16"/>
  <c r="K73" i="16"/>
  <c r="M72" i="16"/>
  <c r="O72" i="16" s="1"/>
  <c r="J69" i="16"/>
  <c r="AF67" i="16"/>
  <c r="AE67" i="16"/>
  <c r="T67" i="16" s="1"/>
  <c r="O62" i="16"/>
  <c r="P62" i="16"/>
  <c r="Q62" i="16" s="1"/>
  <c r="C57" i="16"/>
  <c r="O56" i="16"/>
  <c r="O55" i="16"/>
  <c r="O54" i="16"/>
  <c r="F50" i="16"/>
  <c r="E50" i="16"/>
  <c r="A75" i="16" s="1"/>
  <c r="AB47" i="16"/>
  <c r="AD47" i="16" s="1"/>
  <c r="AB46" i="16"/>
  <c r="AD46" i="16" s="1"/>
  <c r="M46" i="16"/>
  <c r="K46" i="16"/>
  <c r="AB45" i="16"/>
  <c r="AD45" i="16" s="1"/>
  <c r="K45" i="16"/>
  <c r="K44" i="16"/>
  <c r="M43" i="16"/>
  <c r="O43" i="16" s="1"/>
  <c r="J40" i="16"/>
  <c r="AF38" i="16"/>
  <c r="AE38" i="16"/>
  <c r="O33" i="16"/>
  <c r="M33" i="16"/>
  <c r="P33" i="16" s="1"/>
  <c r="Q33" i="16" s="1"/>
  <c r="O32" i="16"/>
  <c r="M32" i="16"/>
  <c r="P32" i="16" s="1"/>
  <c r="Q32" i="16" s="1"/>
  <c r="P31" i="16"/>
  <c r="Q31" i="16" s="1"/>
  <c r="O31" i="16"/>
  <c r="M31" i="16"/>
  <c r="O30" i="16"/>
  <c r="M30" i="16"/>
  <c r="P30" i="16" s="1"/>
  <c r="Q30" i="16" s="1"/>
  <c r="O29" i="16"/>
  <c r="M29" i="16"/>
  <c r="P29" i="16" s="1"/>
  <c r="Q29" i="16" s="1"/>
  <c r="O28" i="16"/>
  <c r="M28" i="16"/>
  <c r="O27" i="16"/>
  <c r="M27" i="16"/>
  <c r="C27" i="16"/>
  <c r="O26" i="16"/>
  <c r="M26" i="16"/>
  <c r="O25" i="16"/>
  <c r="O24" i="16"/>
  <c r="M24" i="16"/>
  <c r="F20" i="16"/>
  <c r="E20" i="16"/>
  <c r="A39" i="16" s="1"/>
  <c r="P17" i="16"/>
  <c r="O17" i="16"/>
  <c r="B1" i="16"/>
  <c r="D234" i="21"/>
  <c r="E234" i="21" s="1"/>
  <c r="D233" i="21"/>
  <c r="E233" i="21" s="1"/>
  <c r="D232" i="21"/>
  <c r="E232" i="21" s="1"/>
  <c r="D231" i="21"/>
  <c r="E231" i="21" s="1"/>
  <c r="D230" i="21"/>
  <c r="E230" i="21" s="1"/>
  <c r="D229" i="21"/>
  <c r="E229" i="21" s="1"/>
  <c r="D228" i="21"/>
  <c r="E228" i="21" s="1"/>
  <c r="D227" i="21"/>
  <c r="E227" i="21" s="1"/>
  <c r="D226" i="21"/>
  <c r="E226" i="21" s="1"/>
  <c r="D225" i="21"/>
  <c r="E225" i="21" s="1"/>
  <c r="D224" i="21"/>
  <c r="E224" i="21" s="1"/>
  <c r="D223" i="21"/>
  <c r="E223" i="21" s="1"/>
  <c r="D222" i="21"/>
  <c r="E222" i="21" s="1"/>
  <c r="D221" i="21"/>
  <c r="E221" i="21" s="1"/>
  <c r="D220" i="21"/>
  <c r="E220" i="21" s="1"/>
  <c r="D219" i="21"/>
  <c r="E219" i="21" s="1"/>
  <c r="D218" i="21"/>
  <c r="E218" i="21" s="1"/>
  <c r="D217" i="21"/>
  <c r="E217" i="21" s="1"/>
  <c r="D216" i="21"/>
  <c r="E216" i="21" s="1"/>
  <c r="D215" i="21"/>
  <c r="E215" i="21" s="1"/>
  <c r="D214" i="21"/>
  <c r="E214" i="21" s="1"/>
  <c r="D213" i="21"/>
  <c r="E213" i="21" s="1"/>
  <c r="D212" i="21"/>
  <c r="E212" i="21" s="1"/>
  <c r="D211" i="21"/>
  <c r="E211" i="21" s="1"/>
  <c r="D210" i="21"/>
  <c r="E210" i="21" s="1"/>
  <c r="D209" i="21"/>
  <c r="E209" i="21" s="1"/>
  <c r="D208" i="21"/>
  <c r="E208" i="21" s="1"/>
  <c r="D207" i="21"/>
  <c r="E207" i="21" s="1"/>
  <c r="D206" i="21"/>
  <c r="E206" i="21" s="1"/>
  <c r="D205" i="21"/>
  <c r="E205" i="21" s="1"/>
  <c r="D204" i="21"/>
  <c r="E204" i="21" s="1"/>
  <c r="D203" i="21"/>
  <c r="E203" i="21" s="1"/>
  <c r="D202" i="21"/>
  <c r="E202" i="21" s="1"/>
  <c r="D201" i="21"/>
  <c r="E201" i="21" s="1"/>
  <c r="D200" i="21"/>
  <c r="E200" i="21" s="1"/>
  <c r="D199" i="21"/>
  <c r="E199" i="21" s="1"/>
  <c r="D198" i="21"/>
  <c r="E198" i="21" s="1"/>
  <c r="D197" i="21"/>
  <c r="E197" i="21" s="1"/>
  <c r="D196" i="21"/>
  <c r="E196" i="21" s="1"/>
  <c r="D195" i="21"/>
  <c r="E195" i="21" s="1"/>
  <c r="D194" i="21"/>
  <c r="E194" i="21" s="1"/>
  <c r="D193" i="21"/>
  <c r="E193" i="21" s="1"/>
  <c r="D192" i="21"/>
  <c r="E192" i="21" s="1"/>
  <c r="D191" i="21"/>
  <c r="E191" i="21" s="1"/>
  <c r="D190" i="21"/>
  <c r="E190" i="21" s="1"/>
  <c r="D189" i="21"/>
  <c r="E189" i="21" s="1"/>
  <c r="D188" i="21"/>
  <c r="E188" i="21" s="1"/>
  <c r="D187" i="21"/>
  <c r="E187" i="21" s="1"/>
  <c r="D186" i="21"/>
  <c r="E186" i="21" s="1"/>
  <c r="D185" i="21"/>
  <c r="E185" i="21" s="1"/>
  <c r="D184" i="21"/>
  <c r="E184" i="21" s="1"/>
  <c r="D183" i="21"/>
  <c r="E183" i="21" s="1"/>
  <c r="D182" i="21"/>
  <c r="E182" i="21" s="1"/>
  <c r="D181" i="21"/>
  <c r="E181" i="21" s="1"/>
  <c r="D180" i="21"/>
  <c r="E180" i="21" s="1"/>
  <c r="D179" i="21"/>
  <c r="E179" i="21" s="1"/>
  <c r="D178" i="21"/>
  <c r="E178" i="21" s="1"/>
  <c r="D177" i="21"/>
  <c r="E177" i="21" s="1"/>
  <c r="D176" i="21"/>
  <c r="E176" i="21" s="1"/>
  <c r="D175" i="21"/>
  <c r="E175" i="21" s="1"/>
  <c r="D174" i="21"/>
  <c r="E174" i="21" s="1"/>
  <c r="D173" i="21"/>
  <c r="E173" i="21" s="1"/>
  <c r="D172" i="21"/>
  <c r="E172" i="21" s="1"/>
  <c r="D171" i="21"/>
  <c r="E171" i="21" s="1"/>
  <c r="D170" i="21"/>
  <c r="E170" i="21" s="1"/>
  <c r="D169" i="21"/>
  <c r="E169" i="21" s="1"/>
  <c r="D168" i="21"/>
  <c r="E168" i="21" s="1"/>
  <c r="D167" i="21"/>
  <c r="E167" i="21" s="1"/>
  <c r="D166" i="21"/>
  <c r="E166" i="21" s="1"/>
  <c r="D165" i="21"/>
  <c r="E165" i="21" s="1"/>
  <c r="D164" i="21"/>
  <c r="E164" i="21" s="1"/>
  <c r="D163" i="21"/>
  <c r="E163" i="21" s="1"/>
  <c r="D162" i="21"/>
  <c r="E162" i="21" s="1"/>
  <c r="D161" i="21"/>
  <c r="E161" i="21" s="1"/>
  <c r="D160" i="21"/>
  <c r="E160" i="21" s="1"/>
  <c r="D159" i="21"/>
  <c r="E159" i="21" s="1"/>
  <c r="D158" i="21"/>
  <c r="E158" i="21" s="1"/>
  <c r="D157" i="21"/>
  <c r="E157" i="21" s="1"/>
  <c r="D156" i="21"/>
  <c r="E156" i="21" s="1"/>
  <c r="D155" i="21"/>
  <c r="E155" i="21" s="1"/>
  <c r="D154" i="21"/>
  <c r="E154" i="21" s="1"/>
  <c r="D153" i="21"/>
  <c r="E153" i="21" s="1"/>
  <c r="D152" i="21"/>
  <c r="E152" i="21" s="1"/>
  <c r="D151" i="21"/>
  <c r="E151" i="21" s="1"/>
  <c r="D150" i="21"/>
  <c r="E150" i="21" s="1"/>
  <c r="D149" i="21"/>
  <c r="E149" i="21" s="1"/>
  <c r="D148" i="21"/>
  <c r="E148" i="21" s="1"/>
  <c r="D147" i="21"/>
  <c r="E147" i="21" s="1"/>
  <c r="D146" i="21"/>
  <c r="E146" i="21" s="1"/>
  <c r="D145" i="21"/>
  <c r="E145" i="21" s="1"/>
  <c r="D144" i="21"/>
  <c r="E144" i="21" s="1"/>
  <c r="D143" i="21"/>
  <c r="E143" i="21" s="1"/>
  <c r="D142" i="21"/>
  <c r="E142" i="21" s="1"/>
  <c r="D141" i="21"/>
  <c r="E141" i="21" s="1"/>
  <c r="D140" i="21"/>
  <c r="E140" i="21" s="1"/>
  <c r="D139" i="21"/>
  <c r="E139" i="21" s="1"/>
  <c r="D138" i="21"/>
  <c r="E138" i="21" s="1"/>
  <c r="D137" i="21"/>
  <c r="E137" i="21" s="1"/>
  <c r="D136" i="21"/>
  <c r="E136" i="21" s="1"/>
  <c r="D135" i="21"/>
  <c r="E135" i="21" s="1"/>
  <c r="D134" i="21"/>
  <c r="E134" i="21" s="1"/>
  <c r="D133" i="21"/>
  <c r="E133" i="21" s="1"/>
  <c r="D132" i="21"/>
  <c r="E132" i="21" s="1"/>
  <c r="D131" i="21"/>
  <c r="E131" i="21" s="1"/>
  <c r="D130" i="21"/>
  <c r="E130" i="21" s="1"/>
  <c r="D129" i="21"/>
  <c r="E129" i="21" s="1"/>
  <c r="D128" i="21"/>
  <c r="E128" i="21" s="1"/>
  <c r="D127" i="21"/>
  <c r="E127" i="21" s="1"/>
  <c r="D126" i="21"/>
  <c r="E126" i="21" s="1"/>
  <c r="D125" i="21"/>
  <c r="E125" i="21" s="1"/>
  <c r="D124" i="21"/>
  <c r="E124" i="21" s="1"/>
  <c r="D123" i="21"/>
  <c r="E123" i="21" s="1"/>
  <c r="D122" i="21"/>
  <c r="E122" i="21" s="1"/>
  <c r="D121" i="21"/>
  <c r="E121" i="21" s="1"/>
  <c r="D120" i="21"/>
  <c r="E120" i="21" s="1"/>
  <c r="D119" i="21"/>
  <c r="E119" i="21" s="1"/>
  <c r="D118" i="21"/>
  <c r="E118" i="21" s="1"/>
  <c r="D117" i="21"/>
  <c r="E117" i="21" s="1"/>
  <c r="D116" i="21"/>
  <c r="E116" i="21" s="1"/>
  <c r="D115" i="21"/>
  <c r="E115" i="21" s="1"/>
  <c r="D114" i="21"/>
  <c r="E114" i="21" s="1"/>
  <c r="D113" i="21"/>
  <c r="E113" i="21" s="1"/>
  <c r="D112" i="21"/>
  <c r="E112" i="21" s="1"/>
  <c r="D111" i="21"/>
  <c r="E111" i="21" s="1"/>
  <c r="D110" i="21"/>
  <c r="E110" i="21" s="1"/>
  <c r="D109" i="21"/>
  <c r="E109" i="21" s="1"/>
  <c r="D108" i="21"/>
  <c r="E108" i="21" s="1"/>
  <c r="D107" i="21"/>
  <c r="E107" i="21" s="1"/>
  <c r="D106" i="21"/>
  <c r="E106" i="21" s="1"/>
  <c r="D105" i="21"/>
  <c r="E105" i="21" s="1"/>
  <c r="D104" i="21"/>
  <c r="E104" i="21" s="1"/>
  <c r="D103" i="21"/>
  <c r="E103" i="21" s="1"/>
  <c r="D102" i="21"/>
  <c r="E102" i="21" s="1"/>
  <c r="D101" i="21"/>
  <c r="E101" i="21" s="1"/>
  <c r="D100" i="21"/>
  <c r="E100" i="21" s="1"/>
  <c r="D99" i="21"/>
  <c r="E99" i="21" s="1"/>
  <c r="D98" i="21"/>
  <c r="E98" i="21" s="1"/>
  <c r="D97" i="21"/>
  <c r="E97" i="21" s="1"/>
  <c r="D96" i="21"/>
  <c r="E96" i="21" s="1"/>
  <c r="D95" i="21"/>
  <c r="E95" i="21" s="1"/>
  <c r="D94" i="21"/>
  <c r="E94" i="21" s="1"/>
  <c r="D93" i="21"/>
  <c r="E93" i="21" s="1"/>
  <c r="D92" i="21"/>
  <c r="E92" i="21" s="1"/>
  <c r="D91" i="21"/>
  <c r="E91" i="21" s="1"/>
  <c r="D90" i="21"/>
  <c r="E90" i="21" s="1"/>
  <c r="D89" i="21"/>
  <c r="E89" i="21" s="1"/>
  <c r="D88" i="21"/>
  <c r="E88" i="21" s="1"/>
  <c r="D87" i="21"/>
  <c r="E87" i="21" s="1"/>
  <c r="D86" i="21"/>
  <c r="E86" i="21" s="1"/>
  <c r="D85" i="21"/>
  <c r="E85" i="21" s="1"/>
  <c r="D84" i="21"/>
  <c r="E84" i="21" s="1"/>
  <c r="D83" i="21"/>
  <c r="E83" i="21" s="1"/>
  <c r="D82" i="21"/>
  <c r="E82" i="21" s="1"/>
  <c r="D81" i="21"/>
  <c r="E81" i="21" s="1"/>
  <c r="D80" i="21"/>
  <c r="E80" i="21" s="1"/>
  <c r="D79" i="21"/>
  <c r="E79" i="21" s="1"/>
  <c r="D78" i="21"/>
  <c r="E78" i="21" s="1"/>
  <c r="D77" i="21"/>
  <c r="E77" i="21" s="1"/>
  <c r="D76" i="21"/>
  <c r="E76" i="21" s="1"/>
  <c r="D75" i="21"/>
  <c r="E75" i="21" s="1"/>
  <c r="D74" i="21"/>
  <c r="E74" i="21" s="1"/>
  <c r="D73" i="21"/>
  <c r="E73" i="21" s="1"/>
  <c r="D72" i="21"/>
  <c r="E72" i="21" s="1"/>
  <c r="D71" i="21"/>
  <c r="E71" i="21" s="1"/>
  <c r="D70" i="21"/>
  <c r="E70" i="21" s="1"/>
  <c r="D69" i="21"/>
  <c r="E69" i="21" s="1"/>
  <c r="D68" i="21"/>
  <c r="E68" i="21" s="1"/>
  <c r="D67" i="21"/>
  <c r="E67" i="21" s="1"/>
  <c r="D66" i="21"/>
  <c r="E66" i="21" s="1"/>
  <c r="D65" i="21"/>
  <c r="E65" i="21" s="1"/>
  <c r="D64" i="21"/>
  <c r="E64" i="21" s="1"/>
  <c r="D63" i="21"/>
  <c r="E63" i="21" s="1"/>
  <c r="D62" i="21"/>
  <c r="E62" i="21" s="1"/>
  <c r="D61" i="21"/>
  <c r="E61" i="21" s="1"/>
  <c r="D60" i="21"/>
  <c r="E60" i="21" s="1"/>
  <c r="D59" i="21"/>
  <c r="E59" i="21" s="1"/>
  <c r="D58" i="21"/>
  <c r="E58" i="21" s="1"/>
  <c r="D57" i="21"/>
  <c r="E57" i="21" s="1"/>
  <c r="D56" i="21"/>
  <c r="E56" i="21" s="1"/>
  <c r="D55" i="21"/>
  <c r="E55" i="21" s="1"/>
  <c r="D54" i="21"/>
  <c r="E54" i="21" s="1"/>
  <c r="D53" i="21"/>
  <c r="E53" i="21" s="1"/>
  <c r="D52" i="21"/>
  <c r="E52" i="21" s="1"/>
  <c r="D51" i="21"/>
  <c r="E51" i="21" s="1"/>
  <c r="F48" i="21"/>
  <c r="E48" i="21"/>
  <c r="D48" i="21"/>
  <c r="E27" i="21"/>
  <c r="D27" i="21"/>
  <c r="E26" i="21"/>
  <c r="D26" i="21"/>
  <c r="F22" i="21"/>
  <c r="D22" i="21"/>
  <c r="E22" i="21" s="1"/>
  <c r="F18" i="21"/>
  <c r="D18" i="21"/>
  <c r="E18" i="21" s="1"/>
  <c r="D10" i="21"/>
  <c r="D2" i="21"/>
  <c r="D1" i="21"/>
  <c r="S218" i="2"/>
  <c r="R218" i="2"/>
  <c r="S217" i="2"/>
  <c r="R217" i="2"/>
  <c r="S216" i="2"/>
  <c r="R216" i="2"/>
  <c r="S215" i="2"/>
  <c r="R215" i="2"/>
  <c r="S214" i="2"/>
  <c r="R214" i="2"/>
  <c r="S213" i="2"/>
  <c r="R213" i="2"/>
  <c r="R212" i="2"/>
  <c r="S212" i="2" s="1"/>
  <c r="S211" i="2"/>
  <c r="R211" i="2"/>
  <c r="R210" i="2"/>
  <c r="S210" i="2" s="1"/>
  <c r="S209" i="2"/>
  <c r="R209" i="2"/>
  <c r="R208" i="2"/>
  <c r="S208" i="2" s="1"/>
  <c r="R207" i="2"/>
  <c r="S207" i="2" s="1"/>
  <c r="R206" i="2"/>
  <c r="S206" i="2" s="1"/>
  <c r="S205" i="2"/>
  <c r="R205" i="2"/>
  <c r="R204" i="2"/>
  <c r="S204" i="2" s="1"/>
  <c r="S203" i="2"/>
  <c r="R203" i="2"/>
  <c r="R202" i="2"/>
  <c r="S202" i="2" s="1"/>
  <c r="R201" i="2"/>
  <c r="S201" i="2" s="1"/>
  <c r="R200" i="2"/>
  <c r="S200" i="2" s="1"/>
  <c r="R199" i="2"/>
  <c r="S199" i="2" s="1"/>
  <c r="R198" i="2"/>
  <c r="S198" i="2" s="1"/>
  <c r="S197" i="2"/>
  <c r="R197" i="2"/>
  <c r="R196" i="2"/>
  <c r="S196" i="2" s="1"/>
  <c r="R195" i="2"/>
  <c r="S195" i="2" s="1"/>
  <c r="R194" i="2"/>
  <c r="S194" i="2" s="1"/>
  <c r="R193" i="2"/>
  <c r="S193" i="2" s="1"/>
  <c r="R192" i="2"/>
  <c r="S192" i="2" s="1"/>
  <c r="R191" i="2"/>
  <c r="S191" i="2" s="1"/>
  <c r="R190" i="2"/>
  <c r="S190" i="2" s="1"/>
  <c r="S189" i="2"/>
  <c r="R189" i="2"/>
  <c r="R188" i="2"/>
  <c r="S188" i="2" s="1"/>
  <c r="R187" i="2"/>
  <c r="S187" i="2" s="1"/>
  <c r="R186" i="2"/>
  <c r="S186" i="2" s="1"/>
  <c r="S185" i="2"/>
  <c r="R185" i="2"/>
  <c r="R184" i="2"/>
  <c r="S184" i="2" s="1"/>
  <c r="R183" i="2"/>
  <c r="S183" i="2" s="1"/>
  <c r="R182" i="2"/>
  <c r="S182" i="2" s="1"/>
  <c r="S181" i="2"/>
  <c r="R181" i="2"/>
  <c r="R180" i="2"/>
  <c r="S180" i="2" s="1"/>
  <c r="S179" i="2"/>
  <c r="R179" i="2"/>
  <c r="R178" i="2"/>
  <c r="S178" i="2" s="1"/>
  <c r="S177" i="2"/>
  <c r="R177" i="2"/>
  <c r="R176" i="2"/>
  <c r="S176" i="2" s="1"/>
  <c r="R175" i="2"/>
  <c r="S175" i="2" s="1"/>
  <c r="R174" i="2"/>
  <c r="S174" i="2" s="1"/>
  <c r="S173" i="2"/>
  <c r="R173" i="2"/>
  <c r="R172" i="2"/>
  <c r="S172" i="2" s="1"/>
  <c r="S171" i="2"/>
  <c r="R171" i="2"/>
  <c r="R170" i="2"/>
  <c r="S170" i="2" s="1"/>
  <c r="R169" i="2"/>
  <c r="S169" i="2" s="1"/>
  <c r="R168" i="2"/>
  <c r="S168" i="2" s="1"/>
  <c r="R167" i="2"/>
  <c r="S167" i="2" s="1"/>
  <c r="R166" i="2"/>
  <c r="S166" i="2" s="1"/>
  <c r="S165" i="2"/>
  <c r="R165" i="2"/>
  <c r="R164" i="2"/>
  <c r="S164" i="2" s="1"/>
  <c r="R163" i="2"/>
  <c r="S163" i="2" s="1"/>
  <c r="R162" i="2"/>
  <c r="S162" i="2" s="1"/>
  <c r="R161" i="2"/>
  <c r="S161" i="2" s="1"/>
  <c r="R160" i="2"/>
  <c r="S160" i="2" s="1"/>
  <c r="R159" i="2"/>
  <c r="S159" i="2" s="1"/>
  <c r="R158" i="2"/>
  <c r="S158" i="2" s="1"/>
  <c r="S157" i="2"/>
  <c r="R157" i="2"/>
  <c r="R156" i="2"/>
  <c r="S156" i="2" s="1"/>
  <c r="R155" i="2"/>
  <c r="S155" i="2" s="1"/>
  <c r="R154" i="2"/>
  <c r="S154" i="2" s="1"/>
  <c r="S153" i="2"/>
  <c r="R153" i="2"/>
  <c r="R152" i="2"/>
  <c r="S152" i="2" s="1"/>
  <c r="R151" i="2"/>
  <c r="S151" i="2" s="1"/>
  <c r="R150" i="2"/>
  <c r="S150" i="2" s="1"/>
  <c r="S149" i="2"/>
  <c r="R149" i="2"/>
  <c r="R148" i="2"/>
  <c r="S148" i="2" s="1"/>
  <c r="S147" i="2"/>
  <c r="R147" i="2"/>
  <c r="R146" i="2"/>
  <c r="S146" i="2" s="1"/>
  <c r="S145" i="2"/>
  <c r="R145" i="2"/>
  <c r="R144" i="2"/>
  <c r="S144" i="2" s="1"/>
  <c r="R143" i="2"/>
  <c r="S143" i="2" s="1"/>
  <c r="R142" i="2"/>
  <c r="S142" i="2" s="1"/>
  <c r="S141" i="2"/>
  <c r="R141" i="2"/>
  <c r="R140" i="2"/>
  <c r="S140" i="2" s="1"/>
  <c r="S139" i="2"/>
  <c r="R139" i="2"/>
  <c r="R138" i="2"/>
  <c r="S138" i="2" s="1"/>
  <c r="R137" i="2"/>
  <c r="S137" i="2" s="1"/>
  <c r="R136" i="2"/>
  <c r="S136" i="2" s="1"/>
  <c r="R135" i="2"/>
  <c r="S135" i="2" s="1"/>
  <c r="R134" i="2"/>
  <c r="S134" i="2" s="1"/>
  <c r="S133" i="2"/>
  <c r="R133" i="2"/>
  <c r="R132" i="2"/>
  <c r="S132" i="2" s="1"/>
  <c r="R131" i="2"/>
  <c r="S131" i="2" s="1"/>
  <c r="R130" i="2"/>
  <c r="S130" i="2" s="1"/>
  <c r="R129" i="2"/>
  <c r="S129" i="2" s="1"/>
  <c r="R128" i="2"/>
  <c r="S128" i="2" s="1"/>
  <c r="R127" i="2"/>
  <c r="S127" i="2" s="1"/>
  <c r="R126" i="2"/>
  <c r="S126" i="2" s="1"/>
  <c r="S125" i="2"/>
  <c r="R125" i="2"/>
  <c r="R124" i="2"/>
  <c r="S124" i="2" s="1"/>
  <c r="R123" i="2"/>
  <c r="S123" i="2" s="1"/>
  <c r="R122" i="2"/>
  <c r="S122" i="2" s="1"/>
  <c r="S121" i="2"/>
  <c r="R121" i="2"/>
  <c r="R120" i="2"/>
  <c r="S120" i="2" s="1"/>
  <c r="R119" i="2"/>
  <c r="S119" i="2" s="1"/>
  <c r="R118" i="2"/>
  <c r="S118" i="2" s="1"/>
  <c r="S117" i="2"/>
  <c r="R117" i="2"/>
  <c r="R116" i="2"/>
  <c r="S116" i="2" s="1"/>
  <c r="S115" i="2"/>
  <c r="R115" i="2"/>
  <c r="R114" i="2"/>
  <c r="S114" i="2" s="1"/>
  <c r="S113" i="2"/>
  <c r="R113" i="2"/>
  <c r="R112" i="2"/>
  <c r="S112" i="2" s="1"/>
  <c r="R111" i="2"/>
  <c r="S111" i="2" s="1"/>
  <c r="R110" i="2"/>
  <c r="S110" i="2" s="1"/>
  <c r="S109" i="2"/>
  <c r="R109" i="2"/>
  <c r="R108" i="2"/>
  <c r="S108" i="2" s="1"/>
  <c r="S107" i="2"/>
  <c r="R107" i="2"/>
  <c r="R106" i="2"/>
  <c r="S106" i="2" s="1"/>
  <c r="R105" i="2"/>
  <c r="S105" i="2" s="1"/>
  <c r="R104" i="2"/>
  <c r="S104" i="2" s="1"/>
  <c r="R103" i="2"/>
  <c r="S103" i="2" s="1"/>
  <c r="R102" i="2"/>
  <c r="S102" i="2" s="1"/>
  <c r="S101" i="2"/>
  <c r="R101" i="2"/>
  <c r="R100" i="2"/>
  <c r="S100" i="2" s="1"/>
  <c r="R99" i="2"/>
  <c r="S99" i="2" s="1"/>
  <c r="R98" i="2"/>
  <c r="S98" i="2" s="1"/>
  <c r="S97" i="2"/>
  <c r="R97" i="2"/>
  <c r="R96" i="2"/>
  <c r="S96" i="2" s="1"/>
  <c r="R95" i="2"/>
  <c r="S95" i="2" s="1"/>
  <c r="R94" i="2"/>
  <c r="S94" i="2" s="1"/>
  <c r="S93" i="2"/>
  <c r="R93" i="2"/>
  <c r="R92" i="2"/>
  <c r="S92" i="2" s="1"/>
  <c r="S91" i="2"/>
  <c r="R91" i="2"/>
  <c r="R90" i="2"/>
  <c r="S90" i="2" s="1"/>
  <c r="R89" i="2"/>
  <c r="S89" i="2" s="1"/>
  <c r="R88" i="2"/>
  <c r="S88" i="2" s="1"/>
  <c r="R87" i="2"/>
  <c r="S87" i="2" s="1"/>
  <c r="R86" i="2"/>
  <c r="S86" i="2" s="1"/>
  <c r="S85" i="2"/>
  <c r="R85" i="2"/>
  <c r="R84" i="2"/>
  <c r="S84" i="2" s="1"/>
  <c r="R83" i="2"/>
  <c r="S83" i="2" s="1"/>
  <c r="R82" i="2"/>
  <c r="S82" i="2" s="1"/>
  <c r="R81" i="2"/>
  <c r="S81" i="2" s="1"/>
  <c r="R80" i="2"/>
  <c r="S80" i="2" s="1"/>
  <c r="R79" i="2"/>
  <c r="S79" i="2" s="1"/>
  <c r="R78" i="2"/>
  <c r="S78" i="2" s="1"/>
  <c r="R77" i="2"/>
  <c r="S77" i="2" s="1"/>
  <c r="R76" i="2"/>
  <c r="S76" i="2" s="1"/>
  <c r="R75" i="2"/>
  <c r="S75" i="2" s="1"/>
  <c r="R74" i="2"/>
  <c r="S74" i="2" s="1"/>
  <c r="R73" i="2"/>
  <c r="S73" i="2" s="1"/>
  <c r="R72" i="2"/>
  <c r="S72" i="2" s="1"/>
  <c r="R71" i="2"/>
  <c r="S71" i="2" s="1"/>
  <c r="R70" i="2"/>
  <c r="S70" i="2" s="1"/>
  <c r="R69" i="2"/>
  <c r="S69" i="2" s="1"/>
  <c r="R68" i="2"/>
  <c r="S68" i="2" s="1"/>
  <c r="R67" i="2"/>
  <c r="S67" i="2" s="1"/>
  <c r="R66" i="2"/>
  <c r="S66" i="2" s="1"/>
  <c r="R65" i="2"/>
  <c r="S65" i="2" s="1"/>
  <c r="R64" i="2"/>
  <c r="S64" i="2" s="1"/>
  <c r="R63" i="2"/>
  <c r="S63" i="2" s="1"/>
  <c r="R62" i="2"/>
  <c r="S62" i="2" s="1"/>
  <c r="R61" i="2"/>
  <c r="S61" i="2" s="1"/>
  <c r="R60" i="2"/>
  <c r="S60" i="2" s="1"/>
  <c r="R59" i="2"/>
  <c r="S59" i="2" s="1"/>
  <c r="R58" i="2"/>
  <c r="S58" i="2" s="1"/>
  <c r="R57" i="2"/>
  <c r="S57" i="2" s="1"/>
  <c r="R56" i="2"/>
  <c r="S56" i="2" s="1"/>
  <c r="R55" i="2"/>
  <c r="S55" i="2" s="1"/>
  <c r="R54" i="2"/>
  <c r="S54" i="2" s="1"/>
  <c r="R53" i="2"/>
  <c r="S53" i="2" s="1"/>
  <c r="R52" i="2"/>
  <c r="S52" i="2" s="1"/>
  <c r="R51" i="2"/>
  <c r="S51" i="2" s="1"/>
  <c r="R50" i="2"/>
  <c r="S50" i="2" s="1"/>
  <c r="R49" i="2"/>
  <c r="S49" i="2" s="1"/>
  <c r="R48" i="2"/>
  <c r="S48" i="2" s="1"/>
  <c r="R47" i="2"/>
  <c r="S47" i="2" s="1"/>
  <c r="R46" i="2"/>
  <c r="S46" i="2" s="1"/>
  <c r="R45" i="2"/>
  <c r="S45" i="2" s="1"/>
  <c r="R44" i="2"/>
  <c r="S44" i="2" s="1"/>
  <c r="R43" i="2"/>
  <c r="S43" i="2" s="1"/>
  <c r="R42" i="2"/>
  <c r="S42" i="2" s="1"/>
  <c r="R41" i="2"/>
  <c r="S41" i="2" s="1"/>
  <c r="R40" i="2"/>
  <c r="S40" i="2" s="1"/>
  <c r="R39" i="2"/>
  <c r="S39" i="2" s="1"/>
  <c r="R38" i="2"/>
  <c r="S38" i="2" s="1"/>
  <c r="R37" i="2"/>
  <c r="S37" i="2" s="1"/>
  <c r="R36" i="2"/>
  <c r="S36" i="2" s="1"/>
  <c r="R35" i="2"/>
  <c r="S35" i="2" s="1"/>
  <c r="R34" i="2"/>
  <c r="S34" i="2" s="1"/>
  <c r="R33" i="2"/>
  <c r="S33" i="2" s="1"/>
  <c r="R32" i="2"/>
  <c r="S32" i="2" s="1"/>
  <c r="R31" i="2"/>
  <c r="S31" i="2" s="1"/>
  <c r="R30" i="2"/>
  <c r="S30" i="2" s="1"/>
  <c r="R29" i="2"/>
  <c r="S29" i="2" s="1"/>
  <c r="R28" i="2"/>
  <c r="S28" i="2" s="1"/>
  <c r="R27" i="2"/>
  <c r="S27" i="2" s="1"/>
  <c r="R26" i="2"/>
  <c r="S26" i="2" s="1"/>
  <c r="R25" i="2"/>
  <c r="S25" i="2" s="1"/>
  <c r="R24" i="2"/>
  <c r="S24" i="2" s="1"/>
  <c r="R23" i="2"/>
  <c r="S23" i="2" s="1"/>
  <c r="R22" i="2"/>
  <c r="S22" i="2" s="1"/>
  <c r="R21" i="2"/>
  <c r="S21" i="2" s="1"/>
  <c r="R20" i="2"/>
  <c r="S20" i="2" s="1"/>
  <c r="R19" i="2"/>
  <c r="S19" i="2" s="1"/>
  <c r="B11" i="2"/>
  <c r="B9" i="2"/>
  <c r="B7" i="2"/>
  <c r="B6" i="2"/>
  <c r="B6" i="16" s="1"/>
  <c r="B2" i="2"/>
  <c r="F26" i="1"/>
  <c r="C26" i="1"/>
  <c r="B26" i="1"/>
  <c r="N16" i="1"/>
  <c r="J16" i="1" s="1"/>
  <c r="E16" i="1"/>
  <c r="G16" i="1" s="1"/>
  <c r="H16" i="1" l="1"/>
  <c r="A864" i="16"/>
  <c r="A2641" i="16"/>
  <c r="A2638" i="16"/>
  <c r="A2640" i="16"/>
  <c r="A2821" i="16"/>
  <c r="A2831" i="16"/>
  <c r="F2978" i="16"/>
  <c r="AA2981" i="16" s="1"/>
  <c r="A2971" i="16"/>
  <c r="A3159" i="16"/>
  <c r="A3160" i="16"/>
  <c r="A3144" i="16"/>
  <c r="A3150" i="16"/>
  <c r="A3999" i="16"/>
  <c r="A3983" i="16"/>
  <c r="A43" i="16"/>
  <c r="A610" i="16"/>
  <c r="A2634" i="16"/>
  <c r="A2637" i="16"/>
  <c r="A2983" i="16"/>
  <c r="A3146" i="16"/>
  <c r="A4480" i="16"/>
  <c r="A4468" i="16"/>
  <c r="A4466" i="16"/>
  <c r="A4484" i="16"/>
  <c r="A692" i="16"/>
  <c r="A898" i="16"/>
  <c r="A988" i="16"/>
  <c r="A1006" i="16"/>
  <c r="AA1035" i="16"/>
  <c r="A1133" i="16"/>
  <c r="A1156" i="16"/>
  <c r="A1376" i="16"/>
  <c r="A1795" i="16"/>
  <c r="A2633" i="16"/>
  <c r="A2636" i="16"/>
  <c r="A2813" i="16"/>
  <c r="A2963" i="16"/>
  <c r="A3134" i="16"/>
  <c r="A3143" i="16"/>
  <c r="A3148" i="16"/>
  <c r="A4029" i="16"/>
  <c r="A4014" i="16"/>
  <c r="A4013" i="16"/>
  <c r="A4089" i="16"/>
  <c r="A4081" i="16"/>
  <c r="A4074" i="16"/>
  <c r="A4073" i="16"/>
  <c r="A4090" i="16"/>
  <c r="A4485" i="16"/>
  <c r="A4930" i="16"/>
  <c r="A4914" i="16"/>
  <c r="A4913" i="16"/>
  <c r="A490" i="16"/>
  <c r="A910" i="16"/>
  <c r="A984" i="16"/>
  <c r="A1138" i="16"/>
  <c r="A2642" i="16"/>
  <c r="A2656" i="16"/>
  <c r="A2970" i="16"/>
  <c r="A3158" i="16"/>
  <c r="P26" i="16"/>
  <c r="Q26" i="16" s="1"/>
  <c r="A24" i="16"/>
  <c r="A84" i="16"/>
  <c r="F98" i="16"/>
  <c r="AA106" i="16" s="1"/>
  <c r="A884" i="16"/>
  <c r="A893" i="16"/>
  <c r="A1120" i="16"/>
  <c r="A1152" i="16"/>
  <c r="A2713" i="16"/>
  <c r="A2693" i="16"/>
  <c r="A3331" i="16"/>
  <c r="A3344" i="16"/>
  <c r="A4449" i="16"/>
  <c r="A4434" i="16"/>
  <c r="A4456" i="16"/>
  <c r="A4450" i="16"/>
  <c r="A4433" i="16"/>
  <c r="A4454" i="16"/>
  <c r="A4947" i="16"/>
  <c r="A4959" i="16"/>
  <c r="A4945" i="16"/>
  <c r="A5588" i="16"/>
  <c r="A5596" i="16"/>
  <c r="A4496" i="16"/>
  <c r="A4561" i="16"/>
  <c r="A5037" i="16"/>
  <c r="A5038" i="16"/>
  <c r="A5483" i="16"/>
  <c r="A5500" i="16"/>
  <c r="A5543" i="16"/>
  <c r="A5903" i="16"/>
  <c r="A6008" i="16"/>
  <c r="A6013" i="16"/>
  <c r="A4796" i="16"/>
  <c r="A5487" i="16"/>
  <c r="A5911" i="16"/>
  <c r="A4568" i="16"/>
  <c r="F4838" i="16"/>
  <c r="A5544" i="16"/>
  <c r="A5906" i="16"/>
  <c r="A5922" i="16"/>
  <c r="A5926" i="16"/>
  <c r="A5997" i="16"/>
  <c r="A943" i="16"/>
  <c r="A944" i="16"/>
  <c r="A928" i="16"/>
  <c r="A923" i="16"/>
  <c r="A924" i="16"/>
  <c r="A1359" i="16"/>
  <c r="A1343" i="16"/>
  <c r="A4902" i="16"/>
  <c r="A4884" i="16"/>
  <c r="A4906" i="16"/>
  <c r="A4890" i="16"/>
  <c r="A4883" i="16"/>
  <c r="A5776" i="16"/>
  <c r="A5772" i="16"/>
  <c r="F5768" i="16"/>
  <c r="A5769" i="16"/>
  <c r="A5757" i="16"/>
  <c r="A5753" i="16"/>
  <c r="A5756" i="16"/>
  <c r="A5760" i="16"/>
  <c r="A5759" i="16"/>
  <c r="A5755" i="16"/>
  <c r="T127" i="16"/>
  <c r="K196" i="16"/>
  <c r="A774" i="16"/>
  <c r="A853" i="16"/>
  <c r="A834" i="16"/>
  <c r="A854" i="16"/>
  <c r="A973" i="16"/>
  <c r="A970" i="16"/>
  <c r="A958" i="16"/>
  <c r="A953" i="16"/>
  <c r="A974" i="16"/>
  <c r="A954" i="16"/>
  <c r="A1559" i="16"/>
  <c r="A1555" i="16"/>
  <c r="A1615" i="16"/>
  <c r="A1619" i="16"/>
  <c r="A4209" i="16"/>
  <c r="A4194" i="16"/>
  <c r="A4193" i="16"/>
  <c r="A4359" i="16"/>
  <c r="A4362" i="16"/>
  <c r="A4343" i="16"/>
  <c r="A4364" i="16"/>
  <c r="A4360" i="16"/>
  <c r="A4348" i="16"/>
  <c r="A4365" i="16"/>
  <c r="A4346" i="16"/>
  <c r="A5467" i="16"/>
  <c r="A5462" i="16"/>
  <c r="A5474" i="16"/>
  <c r="A5893" i="16"/>
  <c r="A5880" i="16"/>
  <c r="A5879" i="16"/>
  <c r="F5888" i="16"/>
  <c r="O1124" i="16"/>
  <c r="H13" i="1"/>
  <c r="Y1452" i="16" s="1"/>
  <c r="A1717" i="16"/>
  <c r="A1719" i="16"/>
  <c r="A1709" i="16"/>
  <c r="A1705" i="16"/>
  <c r="M59" i="16"/>
  <c r="P59" i="16" s="1"/>
  <c r="Q59" i="16" s="1"/>
  <c r="M58" i="16"/>
  <c r="P58" i="16" s="1"/>
  <c r="Q58" i="16" s="1"/>
  <c r="A166" i="16"/>
  <c r="A161" i="16"/>
  <c r="A160" i="16"/>
  <c r="A157" i="16"/>
  <c r="A150" i="16"/>
  <c r="T157" i="16"/>
  <c r="A838" i="16"/>
  <c r="A940" i="16"/>
  <c r="A962" i="16"/>
  <c r="A1093" i="16"/>
  <c r="A1094" i="16"/>
  <c r="A1078" i="16"/>
  <c r="A1073" i="16"/>
  <c r="A1074" i="16"/>
  <c r="A2619" i="16"/>
  <c r="A2603" i="16"/>
  <c r="A2622" i="16"/>
  <c r="A2626" i="16"/>
  <c r="A2608" i="16"/>
  <c r="A4689" i="16"/>
  <c r="A4680" i="16"/>
  <c r="A4696" i="16"/>
  <c r="A4681" i="16"/>
  <c r="A4676" i="16"/>
  <c r="A4693" i="16"/>
  <c r="A4677" i="16"/>
  <c r="F4688" i="16"/>
  <c r="Y4687" i="16" s="1"/>
  <c r="Y4690" i="16" s="1"/>
  <c r="Y4696" i="16" s="1"/>
  <c r="A4673" i="16"/>
  <c r="A5829" i="16"/>
  <c r="A5834" i="16"/>
  <c r="A5828" i="16"/>
  <c r="A5836" i="16"/>
  <c r="A5820" i="16"/>
  <c r="A5827" i="16"/>
  <c r="A804" i="16"/>
  <c r="A3196" i="16"/>
  <c r="A3192" i="16"/>
  <c r="A3180" i="16"/>
  <c r="A3173" i="16"/>
  <c r="A46" i="16"/>
  <c r="A28" i="16"/>
  <c r="A27" i="16"/>
  <c r="A25" i="16"/>
  <c r="A833" i="16"/>
  <c r="A913" i="16"/>
  <c r="A894" i="16"/>
  <c r="A957" i="16"/>
  <c r="A1336" i="16"/>
  <c r="A1319" i="16"/>
  <c r="A2739" i="16"/>
  <c r="A2743" i="16"/>
  <c r="A2723" i="16"/>
  <c r="A2745" i="16"/>
  <c r="A2731" i="16"/>
  <c r="F2738" i="16"/>
  <c r="Y2737" i="16" s="1"/>
  <c r="Y2740" i="16" s="1"/>
  <c r="Y2746" i="16" s="1"/>
  <c r="A2859" i="16"/>
  <c r="F2858" i="16"/>
  <c r="Y2857" i="16" s="1"/>
  <c r="Y2860" i="16" s="1"/>
  <c r="Y2866" i="16" s="1"/>
  <c r="A2851" i="16"/>
  <c r="A2863" i="16"/>
  <c r="A2843" i="16"/>
  <c r="A2861" i="16"/>
  <c r="A4198" i="16"/>
  <c r="A4376" i="16"/>
  <c r="A4393" i="16"/>
  <c r="A4377" i="16"/>
  <c r="T247" i="16"/>
  <c r="A863" i="16"/>
  <c r="A868" i="16"/>
  <c r="A983" i="16"/>
  <c r="F998" i="16"/>
  <c r="A1004" i="16"/>
  <c r="A1036" i="16"/>
  <c r="A1047" i="16"/>
  <c r="A1148" i="16"/>
  <c r="A1375" i="16"/>
  <c r="A1391" i="16"/>
  <c r="A1447" i="16"/>
  <c r="A1448" i="16"/>
  <c r="A1645" i="16"/>
  <c r="A1657" i="16"/>
  <c r="Q1899" i="16"/>
  <c r="T2527" i="16"/>
  <c r="F2708" i="16"/>
  <c r="T2827" i="16"/>
  <c r="A2949" i="16"/>
  <c r="A2953" i="16"/>
  <c r="F2948" i="16"/>
  <c r="A2941" i="16"/>
  <c r="T3187" i="16"/>
  <c r="A3313" i="16"/>
  <c r="A3315" i="16"/>
  <c r="A3297" i="16"/>
  <c r="A3302" i="16"/>
  <c r="T3427" i="16"/>
  <c r="T3457" i="16"/>
  <c r="T3547" i="16"/>
  <c r="T3607" i="16"/>
  <c r="T3847" i="16"/>
  <c r="A4422" i="16"/>
  <c r="F4418" i="16"/>
  <c r="A4407" i="16"/>
  <c r="A4425" i="16"/>
  <c r="A4779" i="16"/>
  <c r="A4782" i="16"/>
  <c r="A4770" i="16"/>
  <c r="A4764" i="16"/>
  <c r="F4778" i="16"/>
  <c r="Y4777" i="16" s="1"/>
  <c r="Y4780" i="16" s="1"/>
  <c r="Y4786" i="16" s="1"/>
  <c r="A5114" i="16"/>
  <c r="A5094" i="16"/>
  <c r="A5940" i="16"/>
  <c r="A5948" i="16"/>
  <c r="A5956" i="16"/>
  <c r="A5947" i="16"/>
  <c r="A5939" i="16"/>
  <c r="A2566" i="16"/>
  <c r="A2548" i="16"/>
  <c r="A2709" i="16"/>
  <c r="A2701" i="16"/>
  <c r="A3009" i="16"/>
  <c r="A3000" i="16"/>
  <c r="A3016" i="16"/>
  <c r="A3129" i="16"/>
  <c r="A3118" i="16"/>
  <c r="A3114" i="16"/>
  <c r="A3116" i="16"/>
  <c r="A3219" i="16"/>
  <c r="A3222" i="16"/>
  <c r="A3208" i="16"/>
  <c r="A4239" i="16"/>
  <c r="A4242" i="16"/>
  <c r="A4228" i="16"/>
  <c r="A4230" i="16"/>
  <c r="A4232" i="16"/>
  <c r="A4224" i="16"/>
  <c r="A4231" i="16"/>
  <c r="A4629" i="16"/>
  <c r="A4634" i="16"/>
  <c r="A4617" i="16"/>
  <c r="A4616" i="16"/>
  <c r="A4631" i="16"/>
  <c r="A4628" i="16"/>
  <c r="A5140" i="16"/>
  <c r="F5138" i="16"/>
  <c r="D5140" i="16" s="1"/>
  <c r="A5146" i="16"/>
  <c r="A5124" i="16"/>
  <c r="A5125" i="16"/>
  <c r="A5205" i="16"/>
  <c r="A5183" i="16"/>
  <c r="A5206" i="16"/>
  <c r="A5200" i="16"/>
  <c r="A5184" i="16"/>
  <c r="A5320" i="16"/>
  <c r="A5325" i="16"/>
  <c r="A5304" i="16"/>
  <c r="A5319" i="16"/>
  <c r="A5303" i="16"/>
  <c r="A5326" i="16"/>
  <c r="A1064" i="16"/>
  <c r="T38" i="16"/>
  <c r="A190" i="16"/>
  <c r="T397" i="16"/>
  <c r="A465" i="16"/>
  <c r="T487" i="16"/>
  <c r="A585" i="16"/>
  <c r="T607" i="16"/>
  <c r="A743" i="16"/>
  <c r="A880" i="16"/>
  <c r="A987" i="16"/>
  <c r="A992" i="16"/>
  <c r="A1000" i="16"/>
  <c r="T1177" i="16"/>
  <c r="T1207" i="16"/>
  <c r="A1436" i="16"/>
  <c r="T1537" i="16"/>
  <c r="A1649" i="16"/>
  <c r="T1657" i="16"/>
  <c r="T2137" i="16"/>
  <c r="T2347" i="16"/>
  <c r="T2497" i="16"/>
  <c r="A2529" i="16"/>
  <c r="A2533" i="16"/>
  <c r="F2528" i="16"/>
  <c r="A2589" i="16"/>
  <c r="A2582" i="16"/>
  <c r="A2581" i="16"/>
  <c r="A2580" i="16"/>
  <c r="A2578" i="16"/>
  <c r="A2577" i="16"/>
  <c r="A2576" i="16"/>
  <c r="A2574" i="16"/>
  <c r="A2573" i="16"/>
  <c r="T2587" i="16"/>
  <c r="A2590" i="16"/>
  <c r="A2596" i="16"/>
  <c r="A2649" i="16"/>
  <c r="A2648" i="16"/>
  <c r="A2650" i="16"/>
  <c r="A2683" i="16"/>
  <c r="A2668" i="16"/>
  <c r="T2707" i="16"/>
  <c r="A2711" i="16"/>
  <c r="A2933" i="16"/>
  <c r="A2951" i="16"/>
  <c r="A2979" i="16"/>
  <c r="A2986" i="16"/>
  <c r="A2981" i="16"/>
  <c r="A2968" i="16"/>
  <c r="A3012" i="16"/>
  <c r="A3039" i="16"/>
  <c r="A3030" i="16"/>
  <c r="A3028" i="16"/>
  <c r="A3042" i="16"/>
  <c r="A3120" i="16"/>
  <c r="A3128" i="16"/>
  <c r="T3217" i="16"/>
  <c r="A3225" i="16"/>
  <c r="F3308" i="16"/>
  <c r="T3397" i="16"/>
  <c r="T3487" i="16"/>
  <c r="T3517" i="16"/>
  <c r="A3564" i="16"/>
  <c r="A4226" i="16"/>
  <c r="A4244" i="16"/>
  <c r="A4763" i="16"/>
  <c r="A4785" i="16"/>
  <c r="A5093" i="16"/>
  <c r="F5168" i="16"/>
  <c r="AA5172" i="16" s="1"/>
  <c r="A5174" i="16"/>
  <c r="A5161" i="16"/>
  <c r="A5167" i="16"/>
  <c r="A5158" i="16"/>
  <c r="A5339" i="16"/>
  <c r="A5356" i="16"/>
  <c r="T1747" i="16"/>
  <c r="A1779" i="16"/>
  <c r="T1807" i="16"/>
  <c r="T1957" i="16"/>
  <c r="T2287" i="16"/>
  <c r="T2557" i="16"/>
  <c r="T2677" i="16"/>
  <c r="F2828" i="16"/>
  <c r="A2833" i="16"/>
  <c r="T2977" i="16"/>
  <c r="T3007" i="16"/>
  <c r="A3152" i="16"/>
  <c r="A3354" i="16"/>
  <c r="T3367" i="16"/>
  <c r="A3474" i="16"/>
  <c r="T3577" i="16"/>
  <c r="T3667" i="16"/>
  <c r="A4050" i="16"/>
  <c r="A4043" i="16"/>
  <c r="A4044" i="16"/>
  <c r="T4117" i="16"/>
  <c r="T4447" i="16"/>
  <c r="A4479" i="16"/>
  <c r="A4482" i="16"/>
  <c r="A4463" i="16"/>
  <c r="A4603" i="16"/>
  <c r="A4590" i="16"/>
  <c r="T4657" i="16"/>
  <c r="A4756" i="16"/>
  <c r="A5236" i="16"/>
  <c r="A5221" i="16"/>
  <c r="A5219" i="16"/>
  <c r="F5288" i="16"/>
  <c r="AA5292" i="16" s="1"/>
  <c r="A5281" i="16"/>
  <c r="A5279" i="16"/>
  <c r="A5296" i="16"/>
  <c r="A5386" i="16"/>
  <c r="A5379" i="16"/>
  <c r="A5363" i="16"/>
  <c r="A5364" i="16"/>
  <c r="T4087" i="16"/>
  <c r="T4207" i="16"/>
  <c r="T4267" i="16"/>
  <c r="A4569" i="16"/>
  <c r="F4568" i="16"/>
  <c r="A4554" i="16"/>
  <c r="A4553" i="16"/>
  <c r="A4659" i="16"/>
  <c r="A4666" i="16"/>
  <c r="F4658" i="16"/>
  <c r="Y4657" i="16" s="1"/>
  <c r="Y4660" i="16" s="1"/>
  <c r="Y4666" i="16" s="1"/>
  <c r="A4651" i="16"/>
  <c r="A4646" i="16"/>
  <c r="T4897" i="16"/>
  <c r="T5107" i="16"/>
  <c r="T5647" i="16"/>
  <c r="A5970" i="16"/>
  <c r="A5969" i="16"/>
  <c r="T5437" i="16"/>
  <c r="A5505" i="16"/>
  <c r="A5545" i="16"/>
  <c r="A5577" i="16"/>
  <c r="A5580" i="16"/>
  <c r="A5581" i="16"/>
  <c r="T5797" i="16"/>
  <c r="T5887" i="16"/>
  <c r="T5917" i="16"/>
  <c r="A5995" i="16"/>
  <c r="A5999" i="16"/>
  <c r="A6012" i="16"/>
  <c r="A6016" i="16"/>
  <c r="F30" i="30"/>
  <c r="I41" i="30"/>
  <c r="I49" i="30"/>
  <c r="I57" i="30"/>
  <c r="I65" i="30"/>
  <c r="I73" i="30"/>
  <c r="I98" i="30"/>
  <c r="L100" i="30"/>
  <c r="I100" i="30"/>
  <c r="I104" i="30"/>
  <c r="L130" i="30"/>
  <c r="K132" i="30"/>
  <c r="L132" i="30"/>
  <c r="I132" i="30"/>
  <c r="K136" i="30"/>
  <c r="H136" i="30"/>
  <c r="L136" i="30"/>
  <c r="I138" i="30"/>
  <c r="H146" i="30"/>
  <c r="L162" i="30"/>
  <c r="K164" i="30"/>
  <c r="L164" i="30"/>
  <c r="I164" i="30"/>
  <c r="K168" i="30"/>
  <c r="H168" i="30"/>
  <c r="L168" i="30"/>
  <c r="I170" i="30"/>
  <c r="H178" i="30"/>
  <c r="L182" i="30"/>
  <c r="J187" i="30"/>
  <c r="K192" i="30"/>
  <c r="H192" i="30"/>
  <c r="L192" i="30"/>
  <c r="F193" i="30"/>
  <c r="K196" i="30"/>
  <c r="L196" i="30"/>
  <c r="I196" i="30"/>
  <c r="H198" i="30"/>
  <c r="J201" i="30"/>
  <c r="K203" i="30"/>
  <c r="G204" i="30"/>
  <c r="M204" i="30" s="1"/>
  <c r="N204" i="30" s="1"/>
  <c r="K205" i="30"/>
  <c r="K207" i="30"/>
  <c r="G208" i="30"/>
  <c r="M208" i="30" s="1"/>
  <c r="N208" i="30" s="1"/>
  <c r="J211" i="30"/>
  <c r="K216" i="30"/>
  <c r="J221" i="30"/>
  <c r="G80" i="23"/>
  <c r="H80" i="23"/>
  <c r="G82" i="23"/>
  <c r="H82" i="23"/>
  <c r="G93" i="23"/>
  <c r="H93" i="23"/>
  <c r="G96" i="23"/>
  <c r="H96" i="23"/>
  <c r="G98" i="23"/>
  <c r="H98" i="23"/>
  <c r="G114" i="23"/>
  <c r="H114" i="23"/>
  <c r="C64" i="42"/>
  <c r="K64" i="42" s="1"/>
  <c r="L79" i="39"/>
  <c r="C78" i="33" s="1"/>
  <c r="D79" i="39"/>
  <c r="L92" i="30"/>
  <c r="I92" i="30"/>
  <c r="K140" i="30"/>
  <c r="L140" i="30"/>
  <c r="I140" i="30"/>
  <c r="K144" i="30"/>
  <c r="H144" i="30"/>
  <c r="L144" i="30"/>
  <c r="I146" i="30"/>
  <c r="K172" i="30"/>
  <c r="L172" i="30"/>
  <c r="I172" i="30"/>
  <c r="K176" i="30"/>
  <c r="H176" i="30"/>
  <c r="L176" i="30"/>
  <c r="I178" i="30"/>
  <c r="K184" i="30"/>
  <c r="H184" i="30"/>
  <c r="L184" i="30"/>
  <c r="K188" i="30"/>
  <c r="L188" i="30"/>
  <c r="I188" i="30"/>
  <c r="J193" i="30"/>
  <c r="I197" i="30"/>
  <c r="F197" i="30"/>
  <c r="I198" i="30"/>
  <c r="I204" i="30"/>
  <c r="I208" i="30"/>
  <c r="L216" i="30"/>
  <c r="N216" i="30" s="1"/>
  <c r="F155" i="23"/>
  <c r="G155" i="23"/>
  <c r="G173" i="23"/>
  <c r="F173" i="23"/>
  <c r="I45" i="30"/>
  <c r="I53" i="30"/>
  <c r="I61" i="30"/>
  <c r="I69" i="30"/>
  <c r="I83" i="30"/>
  <c r="J85" i="30"/>
  <c r="I85" i="30"/>
  <c r="I89" i="30"/>
  <c r="I114" i="30"/>
  <c r="L116" i="30"/>
  <c r="I116" i="30"/>
  <c r="I120" i="30"/>
  <c r="I122" i="30"/>
  <c r="H130" i="30"/>
  <c r="L146" i="30"/>
  <c r="K148" i="30"/>
  <c r="L148" i="30"/>
  <c r="I148" i="30"/>
  <c r="K152" i="30"/>
  <c r="H152" i="30"/>
  <c r="L152" i="30"/>
  <c r="I154" i="30"/>
  <c r="H162" i="30"/>
  <c r="L178" i="30"/>
  <c r="K180" i="30"/>
  <c r="L180" i="30"/>
  <c r="I180" i="30"/>
  <c r="H182" i="30"/>
  <c r="J185" i="30"/>
  <c r="I189" i="30"/>
  <c r="F189" i="30"/>
  <c r="I190" i="30"/>
  <c r="F195" i="30"/>
  <c r="L198" i="30"/>
  <c r="F203" i="30"/>
  <c r="K204" i="30"/>
  <c r="I205" i="30"/>
  <c r="F207" i="30"/>
  <c r="K208" i="30"/>
  <c r="F211" i="30"/>
  <c r="L217" i="30"/>
  <c r="J217" i="30"/>
  <c r="I217" i="30"/>
  <c r="F221" i="30"/>
  <c r="I223" i="30"/>
  <c r="G86" i="23"/>
  <c r="H86" i="23"/>
  <c r="G89" i="23"/>
  <c r="H89" i="23"/>
  <c r="G92" i="23"/>
  <c r="H92" i="23"/>
  <c r="G102" i="23"/>
  <c r="H102" i="23"/>
  <c r="G105" i="23"/>
  <c r="H105" i="23"/>
  <c r="G108" i="23"/>
  <c r="H108" i="23"/>
  <c r="G121" i="23"/>
  <c r="H121" i="23"/>
  <c r="F181" i="23"/>
  <c r="G181" i="23"/>
  <c r="F195" i="23"/>
  <c r="G195" i="23"/>
  <c r="C204" i="42"/>
  <c r="N204" i="42" s="1"/>
  <c r="L219" i="39"/>
  <c r="C218" i="33" s="1"/>
  <c r="D219" i="39"/>
  <c r="A4078" i="16"/>
  <c r="A4108" i="16"/>
  <c r="T4177" i="16"/>
  <c r="A4318" i="16"/>
  <c r="T4357" i="16"/>
  <c r="T4387" i="16"/>
  <c r="T4417" i="16"/>
  <c r="A4438" i="16"/>
  <c r="T4477" i="16"/>
  <c r="T4507" i="16"/>
  <c r="T4597" i="16"/>
  <c r="T4687" i="16"/>
  <c r="A4724" i="16"/>
  <c r="T4777" i="16"/>
  <c r="T4807" i="16"/>
  <c r="T4837" i="16"/>
  <c r="A4842" i="16"/>
  <c r="A4931" i="16"/>
  <c r="F5048" i="16"/>
  <c r="T5257" i="16"/>
  <c r="T5497" i="16"/>
  <c r="A5594" i="16"/>
  <c r="A5905" i="16"/>
  <c r="A5996" i="16"/>
  <c r="A6000" i="16"/>
  <c r="T6007" i="16"/>
  <c r="N10" i="37"/>
  <c r="K28" i="16" s="1"/>
  <c r="J77" i="30"/>
  <c r="I77" i="30"/>
  <c r="L108" i="30"/>
  <c r="I108" i="30"/>
  <c r="K124" i="30"/>
  <c r="L124" i="30"/>
  <c r="I124" i="30"/>
  <c r="K128" i="30"/>
  <c r="H128" i="30"/>
  <c r="L128" i="30"/>
  <c r="I130" i="30"/>
  <c r="K156" i="30"/>
  <c r="L156" i="30"/>
  <c r="I156" i="30"/>
  <c r="K160" i="30"/>
  <c r="H160" i="30"/>
  <c r="L160" i="30"/>
  <c r="I162" i="30"/>
  <c r="I181" i="30"/>
  <c r="F181" i="30"/>
  <c r="I182" i="30"/>
  <c r="J195" i="30"/>
  <c r="K200" i="30"/>
  <c r="H200" i="30"/>
  <c r="L200" i="30"/>
  <c r="I203" i="30"/>
  <c r="J205" i="30"/>
  <c r="I207" i="30"/>
  <c r="L209" i="30"/>
  <c r="F209" i="30"/>
  <c r="J209" i="30"/>
  <c r="I211" i="30"/>
  <c r="I221" i="30"/>
  <c r="F167" i="23"/>
  <c r="G167" i="23"/>
  <c r="F177" i="23"/>
  <c r="G177" i="23"/>
  <c r="G226" i="23"/>
  <c r="F226" i="23"/>
  <c r="G109" i="23"/>
  <c r="H109" i="23"/>
  <c r="C63" i="42"/>
  <c r="M63" i="42" s="1"/>
  <c r="L78" i="39"/>
  <c r="C77" i="33" s="1"/>
  <c r="D78" i="39"/>
  <c r="C67" i="42"/>
  <c r="O67" i="42" s="1"/>
  <c r="L82" i="39"/>
  <c r="C81" i="33" s="1"/>
  <c r="D82" i="39"/>
  <c r="C80" i="42"/>
  <c r="L80" i="42" s="1"/>
  <c r="L95" i="39"/>
  <c r="C94" i="33" s="1"/>
  <c r="D95" i="39"/>
  <c r="G85" i="23"/>
  <c r="H85" i="23"/>
  <c r="G101" i="23"/>
  <c r="H101" i="23"/>
  <c r="H112" i="23"/>
  <c r="G117" i="23"/>
  <c r="H117" i="23"/>
  <c r="H118" i="23"/>
  <c r="F125" i="23"/>
  <c r="G129" i="23"/>
  <c r="F133" i="23"/>
  <c r="G171" i="23"/>
  <c r="G183" i="23"/>
  <c r="G199" i="23"/>
  <c r="F222" i="23"/>
  <c r="H62" i="27"/>
  <c r="C92" i="42"/>
  <c r="O92" i="42" s="1"/>
  <c r="L107" i="39"/>
  <c r="C106" i="33" s="1"/>
  <c r="L191" i="39"/>
  <c r="C190" i="33" s="1"/>
  <c r="D191" i="39"/>
  <c r="L195" i="39"/>
  <c r="C194" i="33" s="1"/>
  <c r="D195" i="39"/>
  <c r="I126" i="30"/>
  <c r="I134" i="30"/>
  <c r="I142" i="30"/>
  <c r="I150" i="30"/>
  <c r="I158" i="30"/>
  <c r="I166" i="30"/>
  <c r="I174" i="30"/>
  <c r="J183" i="30"/>
  <c r="I186" i="30"/>
  <c r="J191" i="30"/>
  <c r="I194" i="30"/>
  <c r="J199" i="30"/>
  <c r="I213" i="30"/>
  <c r="I215" i="30"/>
  <c r="I219" i="30"/>
  <c r="G224" i="30"/>
  <c r="M224" i="30" s="1"/>
  <c r="L224" i="30"/>
  <c r="L225" i="30"/>
  <c r="F225" i="30"/>
  <c r="J225" i="30"/>
  <c r="G81" i="23"/>
  <c r="H81" i="23"/>
  <c r="G97" i="23"/>
  <c r="H97" i="23"/>
  <c r="G113" i="23"/>
  <c r="H113" i="23"/>
  <c r="I122" i="23"/>
  <c r="H122" i="23"/>
  <c r="C76" i="42"/>
  <c r="O76" i="42" s="1"/>
  <c r="L91" i="39"/>
  <c r="C90" i="33" s="1"/>
  <c r="C79" i="42"/>
  <c r="M79" i="42" s="1"/>
  <c r="L94" i="39"/>
  <c r="C93" i="33" s="1"/>
  <c r="D94" i="39"/>
  <c r="C83" i="42"/>
  <c r="M83" i="42" s="1"/>
  <c r="L98" i="39"/>
  <c r="C97" i="33" s="1"/>
  <c r="D98" i="39"/>
  <c r="D107" i="39"/>
  <c r="L192" i="39"/>
  <c r="C191" i="33" s="1"/>
  <c r="D192" i="39"/>
  <c r="C72" i="42"/>
  <c r="L72" i="42" s="1"/>
  <c r="L87" i="39"/>
  <c r="C86" i="33" s="1"/>
  <c r="C75" i="42"/>
  <c r="N75" i="42" s="1"/>
  <c r="L90" i="39"/>
  <c r="C89" i="33" s="1"/>
  <c r="D90" i="39"/>
  <c r="C88" i="42"/>
  <c r="L88" i="42" s="1"/>
  <c r="L103" i="39"/>
  <c r="C102" i="33" s="1"/>
  <c r="C91" i="42"/>
  <c r="N91" i="42" s="1"/>
  <c r="L106" i="39"/>
  <c r="C105" i="33" s="1"/>
  <c r="D106" i="39"/>
  <c r="C203" i="42"/>
  <c r="M203" i="42" s="1"/>
  <c r="L218" i="39"/>
  <c r="C217" i="33" s="1"/>
  <c r="D218" i="39"/>
  <c r="C68" i="42"/>
  <c r="O68" i="42" s="1"/>
  <c r="L83" i="39"/>
  <c r="C82" i="33" s="1"/>
  <c r="C71" i="42"/>
  <c r="O71" i="42" s="1"/>
  <c r="L86" i="39"/>
  <c r="C85" i="33" s="1"/>
  <c r="D86" i="39"/>
  <c r="C84" i="42"/>
  <c r="L84" i="42" s="1"/>
  <c r="L99" i="39"/>
  <c r="C98" i="33" s="1"/>
  <c r="C87" i="42"/>
  <c r="N87" i="42" s="1"/>
  <c r="L102" i="39"/>
  <c r="C101" i="33" s="1"/>
  <c r="D102" i="39"/>
  <c r="C62" i="42"/>
  <c r="L62" i="42" s="1"/>
  <c r="C66" i="42"/>
  <c r="J66" i="42" s="1"/>
  <c r="C70" i="42"/>
  <c r="O70" i="42" s="1"/>
  <c r="C74" i="42"/>
  <c r="K74" i="42" s="1"/>
  <c r="C78" i="42"/>
  <c r="O78" i="42" s="1"/>
  <c r="C82" i="42"/>
  <c r="N82" i="42" s="1"/>
  <c r="C86" i="42"/>
  <c r="I86" i="42" s="1"/>
  <c r="C90" i="42"/>
  <c r="I90" i="42" s="1"/>
  <c r="C202" i="42"/>
  <c r="N202" i="42" s="1"/>
  <c r="C61" i="42"/>
  <c r="M61" i="42" s="1"/>
  <c r="C65" i="42"/>
  <c r="O65" i="42" s="1"/>
  <c r="C69" i="42"/>
  <c r="M69" i="42" s="1"/>
  <c r="C73" i="42"/>
  <c r="O73" i="42" s="1"/>
  <c r="C77" i="42"/>
  <c r="N77" i="42" s="1"/>
  <c r="C81" i="42"/>
  <c r="L81" i="42" s="1"/>
  <c r="C85" i="42"/>
  <c r="N85" i="42" s="1"/>
  <c r="C89" i="42"/>
  <c r="L89" i="42" s="1"/>
  <c r="Q339" i="16"/>
  <c r="A42" i="16"/>
  <c r="A87" i="16"/>
  <c r="A105" i="16"/>
  <c r="A132" i="16"/>
  <c r="A159" i="16"/>
  <c r="A191" i="16"/>
  <c r="A196" i="16"/>
  <c r="A203" i="16"/>
  <c r="A207" i="16"/>
  <c r="A211" i="16"/>
  <c r="T217" i="16"/>
  <c r="A220" i="16"/>
  <c r="A240" i="16"/>
  <c r="A253" i="16"/>
  <c r="A268" i="16"/>
  <c r="A272" i="16"/>
  <c r="Q369" i="16"/>
  <c r="P375" i="16" s="1"/>
  <c r="A416" i="16"/>
  <c r="T427" i="16"/>
  <c r="A444" i="16"/>
  <c r="A448" i="16"/>
  <c r="A452" i="16"/>
  <c r="A495" i="16"/>
  <c r="A520" i="16"/>
  <c r="T547" i="16"/>
  <c r="A564" i="16"/>
  <c r="A568" i="16"/>
  <c r="A572" i="16"/>
  <c r="A615" i="16"/>
  <c r="A640" i="16"/>
  <c r="T667" i="16"/>
  <c r="A684" i="16"/>
  <c r="A700" i="16"/>
  <c r="A718" i="16"/>
  <c r="A722" i="16"/>
  <c r="A744" i="16"/>
  <c r="A748" i="16"/>
  <c r="A752" i="16"/>
  <c r="A760" i="16"/>
  <c r="A777" i="16"/>
  <c r="A782" i="16"/>
  <c r="A790" i="16"/>
  <c r="A807" i="16"/>
  <c r="A812" i="16"/>
  <c r="F818" i="16"/>
  <c r="A841" i="16"/>
  <c r="A855" i="16"/>
  <c r="A871" i="16"/>
  <c r="A885" i="16"/>
  <c r="A901" i="16"/>
  <c r="A915" i="16"/>
  <c r="A931" i="16"/>
  <c r="A945" i="16"/>
  <c r="A961" i="16"/>
  <c r="A975" i="16"/>
  <c r="A991" i="16"/>
  <c r="Y997" i="16"/>
  <c r="Y1000" i="16" s="1"/>
  <c r="Y1006" i="16" s="1"/>
  <c r="I998" i="16"/>
  <c r="A1005" i="16"/>
  <c r="A1021" i="16"/>
  <c r="Y1027" i="16"/>
  <c r="Y1030" i="16" s="1"/>
  <c r="Y1036" i="16" s="1"/>
  <c r="I1028" i="16"/>
  <c r="A1035" i="16"/>
  <c r="A1063" i="16"/>
  <c r="A1066" i="16"/>
  <c r="F1058" i="16"/>
  <c r="AA1061" i="16" s="1"/>
  <c r="A1052" i="16"/>
  <c r="A1065" i="16"/>
  <c r="A1051" i="16"/>
  <c r="F1238" i="16"/>
  <c r="AA1243" i="16" s="1"/>
  <c r="A1225" i="16"/>
  <c r="A1243" i="16"/>
  <c r="A1230" i="16"/>
  <c r="A1229" i="16"/>
  <c r="A1227" i="16"/>
  <c r="A1239" i="16"/>
  <c r="A1223" i="16"/>
  <c r="A1226" i="16"/>
  <c r="Q1869" i="16"/>
  <c r="K166" i="16"/>
  <c r="A224" i="16"/>
  <c r="A237" i="16"/>
  <c r="A251" i="16"/>
  <c r="A254" i="16"/>
  <c r="A267" i="16"/>
  <c r="A271" i="16"/>
  <c r="A280" i="16"/>
  <c r="Q399" i="16"/>
  <c r="Q429" i="16"/>
  <c r="A415" i="16"/>
  <c r="A422" i="16"/>
  <c r="T517" i="16"/>
  <c r="A534" i="16"/>
  <c r="A538" i="16"/>
  <c r="A542" i="16"/>
  <c r="T637" i="16"/>
  <c r="A654" i="16"/>
  <c r="A658" i="16"/>
  <c r="A662" i="16"/>
  <c r="T697" i="16"/>
  <c r="A714" i="16"/>
  <c r="A735" i="16"/>
  <c r="T757" i="16"/>
  <c r="A781" i="16"/>
  <c r="T787" i="16"/>
  <c r="A811" i="16"/>
  <c r="A825" i="16"/>
  <c r="T847" i="16"/>
  <c r="T877" i="16"/>
  <c r="T907" i="16"/>
  <c r="T937" i="16"/>
  <c r="T967" i="16"/>
  <c r="T997" i="16"/>
  <c r="AA1003" i="16"/>
  <c r="A1014" i="16"/>
  <c r="T1027" i="16"/>
  <c r="AA1033" i="16"/>
  <c r="A1044" i="16"/>
  <c r="P24" i="16"/>
  <c r="P27" i="16"/>
  <c r="Q27" i="16" s="1"/>
  <c r="A30" i="16"/>
  <c r="A38" i="16"/>
  <c r="A40" i="16"/>
  <c r="A83" i="16"/>
  <c r="A92" i="16"/>
  <c r="Y97" i="16"/>
  <c r="Y100" i="16" s="1"/>
  <c r="Y106" i="16" s="1"/>
  <c r="A103" i="16"/>
  <c r="A106" i="16"/>
  <c r="A205" i="16"/>
  <c r="F218" i="16"/>
  <c r="AA222" i="16" s="1"/>
  <c r="AD222" i="16" s="1"/>
  <c r="A226" i="16"/>
  <c r="A235" i="16"/>
  <c r="A248" i="16"/>
  <c r="A252" i="16"/>
  <c r="A265" i="16"/>
  <c r="A282" i="16"/>
  <c r="A286" i="16"/>
  <c r="A414" i="16"/>
  <c r="A418" i="16"/>
  <c r="A435" i="16"/>
  <c r="A504" i="16"/>
  <c r="A508" i="16"/>
  <c r="A512" i="16"/>
  <c r="A555" i="16"/>
  <c r="A624" i="16"/>
  <c r="A628" i="16"/>
  <c r="A632" i="16"/>
  <c r="A675" i="16"/>
  <c r="A730" i="16"/>
  <c r="A1273" i="16"/>
  <c r="A1276" i="16"/>
  <c r="A1268" i="16"/>
  <c r="A1257" i="16"/>
  <c r="A1271" i="16"/>
  <c r="A1260" i="16"/>
  <c r="A1259" i="16"/>
  <c r="A1256" i="16"/>
  <c r="A1255" i="16"/>
  <c r="A1253" i="16"/>
  <c r="A29" i="16"/>
  <c r="A33" i="16"/>
  <c r="A47" i="16"/>
  <c r="A91" i="16"/>
  <c r="A100" i="16"/>
  <c r="A104" i="16"/>
  <c r="A147" i="16"/>
  <c r="A162" i="16"/>
  <c r="A182" i="16"/>
  <c r="A208" i="16"/>
  <c r="A212" i="16"/>
  <c r="A225" i="16"/>
  <c r="A233" i="16"/>
  <c r="A241" i="16"/>
  <c r="F248" i="16"/>
  <c r="AA251" i="16" s="1"/>
  <c r="A256" i="16"/>
  <c r="A263" i="16"/>
  <c r="F278" i="16"/>
  <c r="AA285" i="16" s="1"/>
  <c r="T307" i="16"/>
  <c r="A413" i="16"/>
  <c r="A417" i="16"/>
  <c r="A430" i="16"/>
  <c r="T457" i="16"/>
  <c r="A474" i="16"/>
  <c r="A478" i="16"/>
  <c r="A482" i="16"/>
  <c r="A525" i="16"/>
  <c r="A550" i="16"/>
  <c r="T577" i="16"/>
  <c r="A594" i="16"/>
  <c r="A598" i="16"/>
  <c r="A602" i="16"/>
  <c r="A645" i="16"/>
  <c r="A670" i="16"/>
  <c r="A688" i="16"/>
  <c r="A705" i="16"/>
  <c r="A765" i="16"/>
  <c r="A773" i="16"/>
  <c r="A778" i="16"/>
  <c r="A795" i="16"/>
  <c r="A803" i="16"/>
  <c r="A808" i="16"/>
  <c r="A820" i="16"/>
  <c r="A824" i="16"/>
  <c r="A837" i="16"/>
  <c r="A842" i="16"/>
  <c r="F848" i="16"/>
  <c r="D852" i="16" s="1"/>
  <c r="A856" i="16"/>
  <c r="A867" i="16"/>
  <c r="A872" i="16"/>
  <c r="F878" i="16"/>
  <c r="AA881" i="16" s="1"/>
  <c r="A886" i="16"/>
  <c r="A897" i="16"/>
  <c r="A902" i="16"/>
  <c r="F908" i="16"/>
  <c r="D911" i="16" s="1"/>
  <c r="A916" i="16"/>
  <c r="A927" i="16"/>
  <c r="A932" i="16"/>
  <c r="F938" i="16"/>
  <c r="AA942" i="16" s="1"/>
  <c r="A946" i="16"/>
  <c r="F968" i="16"/>
  <c r="A976" i="16"/>
  <c r="D1004" i="16"/>
  <c r="D1034" i="16"/>
  <c r="J1034" i="16" s="1"/>
  <c r="A1269" i="16"/>
  <c r="Q1359" i="16"/>
  <c r="P1362" i="16" s="1"/>
  <c r="A1081" i="16"/>
  <c r="A1095" i="16"/>
  <c r="A1111" i="16"/>
  <c r="A1125" i="16"/>
  <c r="A1153" i="16"/>
  <c r="A1186" i="16"/>
  <c r="A1331" i="16"/>
  <c r="A1346" i="16"/>
  <c r="T1357" i="16"/>
  <c r="A1379" i="16"/>
  <c r="A1388" i="16"/>
  <c r="A1439" i="16"/>
  <c r="A1440" i="16"/>
  <c r="A1451" i="16"/>
  <c r="A1483" i="16"/>
  <c r="A1507" i="16"/>
  <c r="A1567" i="16"/>
  <c r="A1599" i="16"/>
  <c r="A1675" i="16"/>
  <c r="T1687" i="16"/>
  <c r="A1739" i="16"/>
  <c r="A1765" i="16"/>
  <c r="A1769" i="16"/>
  <c r="A1807" i="16"/>
  <c r="A1839" i="16"/>
  <c r="A2423" i="16"/>
  <c r="A2430" i="16"/>
  <c r="A2442" i="16"/>
  <c r="A2443" i="16"/>
  <c r="A2446" i="16"/>
  <c r="A2453" i="16"/>
  <c r="A2460" i="16"/>
  <c r="A2472" i="16"/>
  <c r="A2473" i="16"/>
  <c r="A2476" i="16"/>
  <c r="A2483" i="16"/>
  <c r="A2490" i="16"/>
  <c r="F2498" i="16"/>
  <c r="A2501" i="16"/>
  <c r="A2503" i="16"/>
  <c r="A2504" i="16"/>
  <c r="D2534" i="16"/>
  <c r="AA2535" i="16"/>
  <c r="Y2707" i="16"/>
  <c r="Y2710" i="16" s="1"/>
  <c r="Y2716" i="16" s="1"/>
  <c r="D2743" i="16"/>
  <c r="D2744" i="16"/>
  <c r="AA2745" i="16"/>
  <c r="AA2743" i="16"/>
  <c r="I2738" i="16"/>
  <c r="A2769" i="16"/>
  <c r="A2776" i="16"/>
  <c r="A2772" i="16"/>
  <c r="A2760" i="16"/>
  <c r="A2758" i="16"/>
  <c r="A2773" i="16"/>
  <c r="A2771" i="16"/>
  <c r="F2768" i="16"/>
  <c r="A2761" i="16"/>
  <c r="A2753" i="16"/>
  <c r="A2774" i="16"/>
  <c r="A2770" i="16"/>
  <c r="A2768" i="16"/>
  <c r="A2762" i="16"/>
  <c r="A2756" i="16"/>
  <c r="A2754" i="16"/>
  <c r="A2757" i="16"/>
  <c r="Y2827" i="16"/>
  <c r="Y2830" i="16" s="1"/>
  <c r="Y2836" i="16" s="1"/>
  <c r="D2863" i="16"/>
  <c r="D2864" i="16"/>
  <c r="AA2865" i="16"/>
  <c r="AA2863" i="16"/>
  <c r="I2858" i="16"/>
  <c r="A2889" i="16"/>
  <c r="A2896" i="16"/>
  <c r="A2892" i="16"/>
  <c r="A2880" i="16"/>
  <c r="A2878" i="16"/>
  <c r="A2893" i="16"/>
  <c r="A2891" i="16"/>
  <c r="F2888" i="16"/>
  <c r="A2881" i="16"/>
  <c r="A2873" i="16"/>
  <c r="A2894" i="16"/>
  <c r="A2890" i="16"/>
  <c r="A2888" i="16"/>
  <c r="A2882" i="16"/>
  <c r="A2876" i="16"/>
  <c r="A2874" i="16"/>
  <c r="A2877" i="16"/>
  <c r="T1087" i="16"/>
  <c r="A1104" i="16"/>
  <c r="T1117" i="16"/>
  <c r="A1134" i="16"/>
  <c r="A1151" i="16"/>
  <c r="A1181" i="16"/>
  <c r="A1320" i="16"/>
  <c r="A1328" i="16"/>
  <c r="A1345" i="16"/>
  <c r="F1358" i="16"/>
  <c r="Y1357" i="16" s="1"/>
  <c r="Y1360" i="16" s="1"/>
  <c r="Y1366" i="16" s="1"/>
  <c r="A1363" i="16"/>
  <c r="A1387" i="16"/>
  <c r="A1495" i="16"/>
  <c r="A1496" i="16"/>
  <c r="A1511" i="16"/>
  <c r="A1585" i="16"/>
  <c r="A1589" i="16"/>
  <c r="A1627" i="16"/>
  <c r="A1735" i="16"/>
  <c r="A1825" i="16"/>
  <c r="A1829" i="16"/>
  <c r="T1987" i="16"/>
  <c r="T2107" i="16"/>
  <c r="T2317" i="16"/>
  <c r="A2424" i="16"/>
  <c r="A2428" i="16"/>
  <c r="A2438" i="16"/>
  <c r="A2440" i="16"/>
  <c r="A2445" i="16"/>
  <c r="A2454" i="16"/>
  <c r="A2458" i="16"/>
  <c r="A2468" i="16"/>
  <c r="A2470" i="16"/>
  <c r="A2475" i="16"/>
  <c r="A2484" i="16"/>
  <c r="A2488" i="16"/>
  <c r="A2502" i="16"/>
  <c r="A2506" i="16"/>
  <c r="A2513" i="16"/>
  <c r="A2514" i="16"/>
  <c r="A2516" i="16"/>
  <c r="A2517" i="16"/>
  <c r="A2518" i="16"/>
  <c r="A2520" i="16"/>
  <c r="A2521" i="16"/>
  <c r="A2522" i="16"/>
  <c r="A2528" i="16"/>
  <c r="A2530" i="16"/>
  <c r="A2536" i="16"/>
  <c r="A2543" i="16"/>
  <c r="A2546" i="16"/>
  <c r="A2799" i="16"/>
  <c r="A2802" i="16"/>
  <c r="A2790" i="16"/>
  <c r="A2788" i="16"/>
  <c r="A2805" i="16"/>
  <c r="A2803" i="16"/>
  <c r="A2801" i="16"/>
  <c r="F2798" i="16"/>
  <c r="A2791" i="16"/>
  <c r="A2783" i="16"/>
  <c r="A2806" i="16"/>
  <c r="A2800" i="16"/>
  <c r="A2798" i="16"/>
  <c r="A2792" i="16"/>
  <c r="A2786" i="16"/>
  <c r="A2784" i="16"/>
  <c r="A2787" i="16"/>
  <c r="A2919" i="16"/>
  <c r="A2922" i="16"/>
  <c r="A2910" i="16"/>
  <c r="A2908" i="16"/>
  <c r="A2925" i="16"/>
  <c r="A2923" i="16"/>
  <c r="A2921" i="16"/>
  <c r="F2918" i="16"/>
  <c r="A2911" i="16"/>
  <c r="A2903" i="16"/>
  <c r="A2926" i="16"/>
  <c r="A2920" i="16"/>
  <c r="A2918" i="16"/>
  <c r="A2912" i="16"/>
  <c r="A2906" i="16"/>
  <c r="A2904" i="16"/>
  <c r="A2907" i="16"/>
  <c r="D2953" i="16"/>
  <c r="AA2953" i="16"/>
  <c r="I2948" i="16"/>
  <c r="A1500" i="16"/>
  <c r="A1512" i="16"/>
  <c r="A2427" i="16"/>
  <c r="A2432" i="16"/>
  <c r="F2438" i="16"/>
  <c r="A2441" i="16"/>
  <c r="A2444" i="16"/>
  <c r="A2457" i="16"/>
  <c r="A2462" i="16"/>
  <c r="F2468" i="16"/>
  <c r="A2471" i="16"/>
  <c r="A2474" i="16"/>
  <c r="A2487" i="16"/>
  <c r="A2492" i="16"/>
  <c r="A2505" i="16"/>
  <c r="AA2533" i="16"/>
  <c r="AA2536" i="16"/>
  <c r="A1077" i="16"/>
  <c r="A1082" i="16"/>
  <c r="F1088" i="16"/>
  <c r="D1091" i="16" s="1"/>
  <c r="A1096" i="16"/>
  <c r="A1107" i="16"/>
  <c r="A1112" i="16"/>
  <c r="F1118" i="16"/>
  <c r="AA1122" i="16" s="1"/>
  <c r="A1126" i="16"/>
  <c r="A1137" i="16"/>
  <c r="A1317" i="16"/>
  <c r="A1362" i="16"/>
  <c r="A1380" i="16"/>
  <c r="T1387" i="16"/>
  <c r="A1392" i="16"/>
  <c r="A1499" i="16"/>
  <c r="A1508" i="16"/>
  <c r="T1597" i="16"/>
  <c r="T1627" i="16"/>
  <c r="T1837" i="16"/>
  <c r="T1927" i="16"/>
  <c r="T2047" i="16"/>
  <c r="T2167" i="16"/>
  <c r="T2197" i="16"/>
  <c r="T2227" i="16"/>
  <c r="T2257" i="16"/>
  <c r="T2377" i="16"/>
  <c r="A2426" i="16"/>
  <c r="A2431" i="16"/>
  <c r="T2437" i="16"/>
  <c r="A2456" i="16"/>
  <c r="A2461" i="16"/>
  <c r="T2467" i="16"/>
  <c r="A2486" i="16"/>
  <c r="A2491" i="16"/>
  <c r="A2498" i="16"/>
  <c r="A2500" i="16"/>
  <c r="I2528" i="16"/>
  <c r="A2532" i="16"/>
  <c r="A2534" i="16"/>
  <c r="A2559" i="16"/>
  <c r="A2564" i="16"/>
  <c r="A2563" i="16"/>
  <c r="A2561" i="16"/>
  <c r="F2558" i="16"/>
  <c r="A2550" i="16"/>
  <c r="A2544" i="16"/>
  <c r="A2560" i="16"/>
  <c r="A2558" i="16"/>
  <c r="A2551" i="16"/>
  <c r="A2565" i="16"/>
  <c r="A2552" i="16"/>
  <c r="A2547" i="16"/>
  <c r="A2562" i="16"/>
  <c r="D2713" i="16"/>
  <c r="AA2713" i="16"/>
  <c r="I2708" i="16"/>
  <c r="A2804" i="16"/>
  <c r="D2833" i="16"/>
  <c r="AA2833" i="16"/>
  <c r="I2828" i="16"/>
  <c r="A2924" i="16"/>
  <c r="A3057" i="16"/>
  <c r="A3075" i="16"/>
  <c r="A3087" i="16"/>
  <c r="A3104" i="16"/>
  <c r="D3313" i="16"/>
  <c r="I3308" i="16"/>
  <c r="Y3307" i="16"/>
  <c r="Y3310" i="16" s="1"/>
  <c r="Y3316" i="16" s="1"/>
  <c r="AA3315" i="16"/>
  <c r="D3314" i="16"/>
  <c r="I3314" i="16" s="1"/>
  <c r="F2588" i="16"/>
  <c r="A2591" i="16"/>
  <c r="A2593" i="16"/>
  <c r="A2595" i="16"/>
  <c r="A2607" i="16"/>
  <c r="A2612" i="16"/>
  <c r="A2625" i="16"/>
  <c r="F2648" i="16"/>
  <c r="A2651" i="16"/>
  <c r="A2653" i="16"/>
  <c r="A2655" i="16"/>
  <c r="A2667" i="16"/>
  <c r="A2672" i="16"/>
  <c r="A2686" i="16"/>
  <c r="A2698" i="16"/>
  <c r="A2700" i="16"/>
  <c r="A2712" i="16"/>
  <c r="A2716" i="16"/>
  <c r="A2728" i="16"/>
  <c r="A2730" i="16"/>
  <c r="A2742" i="16"/>
  <c r="A2818" i="16"/>
  <c r="A2820" i="16"/>
  <c r="A2832" i="16"/>
  <c r="A2836" i="16"/>
  <c r="A2848" i="16"/>
  <c r="A2850" i="16"/>
  <c r="A2862" i="16"/>
  <c r="A2952" i="16"/>
  <c r="A2956" i="16"/>
  <c r="A2982" i="16"/>
  <c r="A2985" i="16"/>
  <c r="A2997" i="16"/>
  <c r="A3015" i="16"/>
  <c r="A3027" i="16"/>
  <c r="A3044" i="16"/>
  <c r="A3054" i="16"/>
  <c r="A3056" i="16"/>
  <c r="A3062" i="16"/>
  <c r="A3068" i="16"/>
  <c r="A3070" i="16"/>
  <c r="A3074" i="16"/>
  <c r="A3084" i="16"/>
  <c r="A3086" i="16"/>
  <c r="A3092" i="16"/>
  <c r="A3098" i="16"/>
  <c r="A3100" i="16"/>
  <c r="A3113" i="16"/>
  <c r="A3121" i="16"/>
  <c r="F3128" i="16"/>
  <c r="A3131" i="16"/>
  <c r="A3133" i="16"/>
  <c r="A3151" i="16"/>
  <c r="F3158" i="16"/>
  <c r="A3161" i="16"/>
  <c r="A3163" i="16"/>
  <c r="A3166" i="16"/>
  <c r="A3178" i="16"/>
  <c r="A3249" i="16"/>
  <c r="A3254" i="16"/>
  <c r="A3250" i="16"/>
  <c r="A3248" i="16"/>
  <c r="A3242" i="16"/>
  <c r="A3236" i="16"/>
  <c r="A3234" i="16"/>
  <c r="A3256" i="16"/>
  <c r="A3252" i="16"/>
  <c r="A3240" i="16"/>
  <c r="A3238" i="16"/>
  <c r="A3253" i="16"/>
  <c r="A3251" i="16"/>
  <c r="F3248" i="16"/>
  <c r="A3241" i="16"/>
  <c r="A3233" i="16"/>
  <c r="A3237" i="16"/>
  <c r="A2592" i="16"/>
  <c r="A2594" i="16"/>
  <c r="A2606" i="16"/>
  <c r="A2611" i="16"/>
  <c r="A2618" i="16"/>
  <c r="A2620" i="16"/>
  <c r="A2652" i="16"/>
  <c r="A2654" i="16"/>
  <c r="A2666" i="16"/>
  <c r="A2671" i="16"/>
  <c r="A2678" i="16"/>
  <c r="A2680" i="16"/>
  <c r="A2685" i="16"/>
  <c r="A2697" i="16"/>
  <c r="A2715" i="16"/>
  <c r="A2727" i="16"/>
  <c r="A2744" i="16"/>
  <c r="A2817" i="16"/>
  <c r="A2835" i="16"/>
  <c r="A2847" i="16"/>
  <c r="A2864" i="16"/>
  <c r="A2937" i="16"/>
  <c r="A2955" i="16"/>
  <c r="A2967" i="16"/>
  <c r="A2984" i="16"/>
  <c r="A2994" i="16"/>
  <c r="A2996" i="16"/>
  <c r="A3002" i="16"/>
  <c r="A3008" i="16"/>
  <c r="A3010" i="16"/>
  <c r="A3014" i="16"/>
  <c r="A3024" i="16"/>
  <c r="A3026" i="16"/>
  <c r="A3032" i="16"/>
  <c r="A3038" i="16"/>
  <c r="A3040" i="16"/>
  <c r="A3053" i="16"/>
  <c r="A3061" i="16"/>
  <c r="F3068" i="16"/>
  <c r="A3071" i="16"/>
  <c r="A3073" i="16"/>
  <c r="A3083" i="16"/>
  <c r="A3091" i="16"/>
  <c r="F3098" i="16"/>
  <c r="A3101" i="16"/>
  <c r="A3103" i="16"/>
  <c r="A3106" i="16"/>
  <c r="A3132" i="16"/>
  <c r="A3136" i="16"/>
  <c r="A3162" i="16"/>
  <c r="A3165" i="16"/>
  <c r="A3189" i="16"/>
  <c r="A3195" i="16"/>
  <c r="A3193" i="16"/>
  <c r="A3191" i="16"/>
  <c r="F3188" i="16"/>
  <c r="A3181" i="16"/>
  <c r="A3194" i="16"/>
  <c r="A3190" i="16"/>
  <c r="A3188" i="16"/>
  <c r="A3182" i="16"/>
  <c r="A3177" i="16"/>
  <c r="A3283" i="16"/>
  <c r="A3285" i="16"/>
  <c r="F3278" i="16"/>
  <c r="A3272" i="16"/>
  <c r="A3266" i="16"/>
  <c r="A3264" i="16"/>
  <c r="A3270" i="16"/>
  <c r="A3268" i="16"/>
  <c r="A3284" i="16"/>
  <c r="A3271" i="16"/>
  <c r="A3263" i="16"/>
  <c r="A3267" i="16"/>
  <c r="A3343" i="16"/>
  <c r="A3324" i="16"/>
  <c r="A3345" i="16"/>
  <c r="F3338" i="16"/>
  <c r="A3332" i="16"/>
  <c r="A3327" i="16"/>
  <c r="A3346" i="16"/>
  <c r="A3340" i="16"/>
  <c r="A3328" i="16"/>
  <c r="A3323" i="16"/>
  <c r="A2604" i="16"/>
  <c r="A2610" i="16"/>
  <c r="F2618" i="16"/>
  <c r="A2621" i="16"/>
  <c r="A2623" i="16"/>
  <c r="A2624" i="16"/>
  <c r="A2664" i="16"/>
  <c r="A2670" i="16"/>
  <c r="F2678" i="16"/>
  <c r="A2681" i="16"/>
  <c r="A2694" i="16"/>
  <c r="A2696" i="16"/>
  <c r="A2702" i="16"/>
  <c r="A2708" i="16"/>
  <c r="A2710" i="16"/>
  <c r="A2714" i="16"/>
  <c r="A2724" i="16"/>
  <c r="A2726" i="16"/>
  <c r="A2732" i="16"/>
  <c r="A2738" i="16"/>
  <c r="A2740" i="16"/>
  <c r="A2746" i="16"/>
  <c r="T2767" i="16"/>
  <c r="T2797" i="16"/>
  <c r="A2814" i="16"/>
  <c r="A2816" i="16"/>
  <c r="A2822" i="16"/>
  <c r="A2828" i="16"/>
  <c r="A2830" i="16"/>
  <c r="A2834" i="16"/>
  <c r="A2844" i="16"/>
  <c r="A2846" i="16"/>
  <c r="A2852" i="16"/>
  <c r="A2858" i="16"/>
  <c r="A2860" i="16"/>
  <c r="A2866" i="16"/>
  <c r="T2887" i="16"/>
  <c r="T2917" i="16"/>
  <c r="A2934" i="16"/>
  <c r="A2936" i="16"/>
  <c r="A2942" i="16"/>
  <c r="A2948" i="16"/>
  <c r="A2950" i="16"/>
  <c r="A2954" i="16"/>
  <c r="A2964" i="16"/>
  <c r="A2966" i="16"/>
  <c r="A2972" i="16"/>
  <c r="A2978" i="16"/>
  <c r="A2980" i="16"/>
  <c r="A2993" i="16"/>
  <c r="A3001" i="16"/>
  <c r="F3008" i="16"/>
  <c r="A3011" i="16"/>
  <c r="A3013" i="16"/>
  <c r="A3031" i="16"/>
  <c r="F3038" i="16"/>
  <c r="A3041" i="16"/>
  <c r="A3043" i="16"/>
  <c r="A3046" i="16"/>
  <c r="A3058" i="16"/>
  <c r="A3060" i="16"/>
  <c r="T3067" i="16"/>
  <c r="A3072" i="16"/>
  <c r="A3076" i="16"/>
  <c r="A3088" i="16"/>
  <c r="A3090" i="16"/>
  <c r="T3097" i="16"/>
  <c r="A3102" i="16"/>
  <c r="A3105" i="16"/>
  <c r="A3117" i="16"/>
  <c r="A3135" i="16"/>
  <c r="A3147" i="16"/>
  <c r="A3164" i="16"/>
  <c r="A3174" i="16"/>
  <c r="A3176" i="16"/>
  <c r="A3280" i="16"/>
  <c r="AA3313" i="16"/>
  <c r="A3204" i="16"/>
  <c r="A3206" i="16"/>
  <c r="A3212" i="16"/>
  <c r="A3218" i="16"/>
  <c r="A3220" i="16"/>
  <c r="A3294" i="16"/>
  <c r="A3357" i="16"/>
  <c r="A3362" i="16"/>
  <c r="F3368" i="16"/>
  <c r="A3375" i="16"/>
  <c r="A3391" i="16"/>
  <c r="A3404" i="16"/>
  <c r="A3414" i="16"/>
  <c r="A3443" i="16"/>
  <c r="A3448" i="16"/>
  <c r="A3460" i="16"/>
  <c r="A3466" i="16"/>
  <c r="A3477" i="16"/>
  <c r="A3482" i="16"/>
  <c r="F3488" i="16"/>
  <c r="A3495" i="16"/>
  <c r="A3511" i="16"/>
  <c r="A3524" i="16"/>
  <c r="A3534" i="16"/>
  <c r="A3563" i="16"/>
  <c r="A3568" i="16"/>
  <c r="A3580" i="16"/>
  <c r="A3700" i="16"/>
  <c r="A3765" i="16"/>
  <c r="A3808" i="16"/>
  <c r="A3809" i="16"/>
  <c r="A3864" i="16"/>
  <c r="A3866" i="16"/>
  <c r="A3867" i="16"/>
  <c r="F3878" i="16"/>
  <c r="A3884" i="16"/>
  <c r="A3901" i="16"/>
  <c r="A3910" i="16"/>
  <c r="A3926" i="16"/>
  <c r="A3928" i="16"/>
  <c r="A3953" i="16"/>
  <c r="A3954" i="16"/>
  <c r="A3961" i="16"/>
  <c r="A3970" i="16"/>
  <c r="A3974" i="16"/>
  <c r="A3976" i="16"/>
  <c r="A4000" i="16"/>
  <c r="A4005" i="16"/>
  <c r="A4021" i="16"/>
  <c r="A4030" i="16"/>
  <c r="A4046" i="16"/>
  <c r="A4048" i="16"/>
  <c r="A3203" i="16"/>
  <c r="A3211" i="16"/>
  <c r="F3218" i="16"/>
  <c r="A3221" i="16"/>
  <c r="A3223" i="16"/>
  <c r="A3226" i="16"/>
  <c r="T3247" i="16"/>
  <c r="T3277" i="16"/>
  <c r="A3293" i="16"/>
  <c r="A3298" i="16"/>
  <c r="A3310" i="16"/>
  <c r="A3316" i="16"/>
  <c r="A3361" i="16"/>
  <c r="A3374" i="16"/>
  <c r="A3384" i="16"/>
  <c r="A3413" i="16"/>
  <c r="A3418" i="16"/>
  <c r="A3430" i="16"/>
  <c r="A3436" i="16"/>
  <c r="A3447" i="16"/>
  <c r="A3452" i="16"/>
  <c r="F3458" i="16"/>
  <c r="A3465" i="16"/>
  <c r="A3481" i="16"/>
  <c r="A3494" i="16"/>
  <c r="A3504" i="16"/>
  <c r="A3533" i="16"/>
  <c r="A3538" i="16"/>
  <c r="A3550" i="16"/>
  <c r="A3556" i="16"/>
  <c r="A3567" i="16"/>
  <c r="A3572" i="16"/>
  <c r="F3578" i="16"/>
  <c r="A3581" i="16"/>
  <c r="A3645" i="16"/>
  <c r="A3688" i="16"/>
  <c r="A3689" i="16"/>
  <c r="A3760" i="16"/>
  <c r="A3863" i="16"/>
  <c r="A3868" i="16"/>
  <c r="A3893" i="16"/>
  <c r="A3894" i="16"/>
  <c r="A3900" i="16"/>
  <c r="A3902" i="16"/>
  <c r="A3908" i="16"/>
  <c r="A3911" i="16"/>
  <c r="A3916" i="16"/>
  <c r="A3923" i="16"/>
  <c r="A3940" i="16"/>
  <c r="A3943" i="16"/>
  <c r="A3946" i="16"/>
  <c r="A3960" i="16"/>
  <c r="A3962" i="16"/>
  <c r="A3968" i="16"/>
  <c r="A3971" i="16"/>
  <c r="A3984" i="16"/>
  <c r="A3990" i="16"/>
  <c r="A3991" i="16"/>
  <c r="A3992" i="16"/>
  <c r="A3998" i="16"/>
  <c r="A4001" i="16"/>
  <c r="A4020" i="16"/>
  <c r="A4022" i="16"/>
  <c r="A4028" i="16"/>
  <c r="A4031" i="16"/>
  <c r="A4036" i="16"/>
  <c r="A4051" i="16"/>
  <c r="F4058" i="16"/>
  <c r="A4065" i="16"/>
  <c r="A3383" i="16"/>
  <c r="A3388" i="16"/>
  <c r="A3400" i="16"/>
  <c r="A3406" i="16"/>
  <c r="A3417" i="16"/>
  <c r="A3422" i="16"/>
  <c r="F3428" i="16"/>
  <c r="A3435" i="16"/>
  <c r="A3451" i="16"/>
  <c r="A3464" i="16"/>
  <c r="A3503" i="16"/>
  <c r="A3508" i="16"/>
  <c r="A3520" i="16"/>
  <c r="A3526" i="16"/>
  <c r="A3537" i="16"/>
  <c r="A3542" i="16"/>
  <c r="F3548" i="16"/>
  <c r="A3555" i="16"/>
  <c r="A3640" i="16"/>
  <c r="A3748" i="16"/>
  <c r="A3849" i="16"/>
  <c r="A3871" i="16"/>
  <c r="A3881" i="16"/>
  <c r="A3883" i="16"/>
  <c r="A3886" i="16"/>
  <c r="F3908" i="16"/>
  <c r="A3912" i="16"/>
  <c r="A3914" i="16"/>
  <c r="A3924" i="16"/>
  <c r="A3930" i="16"/>
  <c r="A3931" i="16"/>
  <c r="A3932" i="16"/>
  <c r="A3938" i="16"/>
  <c r="A3941" i="16"/>
  <c r="A3944" i="16"/>
  <c r="A3956" i="16"/>
  <c r="A3957" i="16"/>
  <c r="F3968" i="16"/>
  <c r="A3972" i="16"/>
  <c r="A3973" i="16"/>
  <c r="A3975" i="16"/>
  <c r="A3987" i="16"/>
  <c r="F3998" i="16"/>
  <c r="A4003" i="16"/>
  <c r="A4006" i="16"/>
  <c r="F4028" i="16"/>
  <c r="A4032" i="16"/>
  <c r="A4034" i="16"/>
  <c r="A3207" i="16"/>
  <c r="A3224" i="16"/>
  <c r="A3301" i="16"/>
  <c r="A3314" i="16"/>
  <c r="A3353" i="16"/>
  <c r="A3358" i="16"/>
  <c r="A3370" i="16"/>
  <c r="A3376" i="16"/>
  <c r="A3387" i="16"/>
  <c r="A3392" i="16"/>
  <c r="F3398" i="16"/>
  <c r="A3405" i="16"/>
  <c r="A3421" i="16"/>
  <c r="A3434" i="16"/>
  <c r="A3444" i="16"/>
  <c r="A3473" i="16"/>
  <c r="A3478" i="16"/>
  <c r="A3490" i="16"/>
  <c r="A3496" i="16"/>
  <c r="A3507" i="16"/>
  <c r="A3512" i="16"/>
  <c r="F3518" i="16"/>
  <c r="A3525" i="16"/>
  <c r="A3541" i="16"/>
  <c r="A3554" i="16"/>
  <c r="A3628" i="16"/>
  <c r="A3820" i="16"/>
  <c r="A3870" i="16"/>
  <c r="A3872" i="16"/>
  <c r="A3878" i="16"/>
  <c r="A3882" i="16"/>
  <c r="A3896" i="16"/>
  <c r="A3897" i="16"/>
  <c r="A3898" i="16"/>
  <c r="A3913" i="16"/>
  <c r="A3915" i="16"/>
  <c r="A3927" i="16"/>
  <c r="F3938" i="16"/>
  <c r="Y3937" i="16" s="1"/>
  <c r="Y3940" i="16" s="1"/>
  <c r="Y3946" i="16" s="1"/>
  <c r="A3942" i="16"/>
  <c r="A3945" i="16"/>
  <c r="A3958" i="16"/>
  <c r="A3986" i="16"/>
  <c r="A3988" i="16"/>
  <c r="A4002" i="16"/>
  <c r="A4004" i="16"/>
  <c r="A4016" i="16"/>
  <c r="A4017" i="16"/>
  <c r="A4018" i="16"/>
  <c r="A4033" i="16"/>
  <c r="A4035" i="16"/>
  <c r="A4059" i="16"/>
  <c r="A4066" i="16"/>
  <c r="A4063" i="16"/>
  <c r="A4060" i="16"/>
  <c r="A4064" i="16"/>
  <c r="A4061" i="16"/>
  <c r="A4058" i="16"/>
  <c r="A4052" i="16"/>
  <c r="A4047" i="16"/>
  <c r="A4062" i="16"/>
  <c r="A4076" i="16"/>
  <c r="A4077" i="16"/>
  <c r="F4088" i="16"/>
  <c r="A4092" i="16"/>
  <c r="A4093" i="16"/>
  <c r="A4095" i="16"/>
  <c r="A4107" i="16"/>
  <c r="F4118" i="16"/>
  <c r="A4123" i="16"/>
  <c r="A4126" i="16"/>
  <c r="F4148" i="16"/>
  <c r="A4152" i="16"/>
  <c r="A4154" i="16"/>
  <c r="A4164" i="16"/>
  <c r="A4170" i="16"/>
  <c r="A4171" i="16"/>
  <c r="A4172" i="16"/>
  <c r="A4178" i="16"/>
  <c r="A4181" i="16"/>
  <c r="A4184" i="16"/>
  <c r="A4196" i="16"/>
  <c r="A4197" i="16"/>
  <c r="F4208" i="16"/>
  <c r="A4212" i="16"/>
  <c r="A4213" i="16"/>
  <c r="A4215" i="16"/>
  <c r="A4227" i="16"/>
  <c r="F4238" i="16"/>
  <c r="A4243" i="16"/>
  <c r="A4246" i="16"/>
  <c r="F4268" i="16"/>
  <c r="F4298" i="16"/>
  <c r="Y4297" i="16" s="1"/>
  <c r="Y4300" i="16" s="1"/>
  <c r="Y4306" i="16" s="1"/>
  <c r="A4419" i="16"/>
  <c r="A4424" i="16"/>
  <c r="A4421" i="16"/>
  <c r="A4418" i="16"/>
  <c r="A4412" i="16"/>
  <c r="A4411" i="16"/>
  <c r="A4410" i="16"/>
  <c r="A4404" i="16"/>
  <c r="A4426" i="16"/>
  <c r="A4423" i="16"/>
  <c r="A4420" i="16"/>
  <c r="A4403" i="16"/>
  <c r="A4408" i="16"/>
  <c r="A4406" i="16"/>
  <c r="A4497" i="16"/>
  <c r="A4527" i="16"/>
  <c r="A4599" i="16"/>
  <c r="F4598" i="16"/>
  <c r="A4591" i="16"/>
  <c r="A4587" i="16"/>
  <c r="A4586" i="16"/>
  <c r="A4602" i="16"/>
  <c r="A4598" i="16"/>
  <c r="A4583" i="16"/>
  <c r="A4604" i="16"/>
  <c r="A4601" i="16"/>
  <c r="D4665" i="16"/>
  <c r="AA4666" i="16"/>
  <c r="D4785" i="16"/>
  <c r="AA4786" i="16"/>
  <c r="A4869" i="16"/>
  <c r="A4875" i="16"/>
  <c r="A4872" i="16"/>
  <c r="F4868" i="16"/>
  <c r="A4860" i="16"/>
  <c r="A4854" i="16"/>
  <c r="A4853" i="16"/>
  <c r="A4874" i="16"/>
  <c r="A4871" i="16"/>
  <c r="A4868" i="16"/>
  <c r="A4862" i="16"/>
  <c r="A4861" i="16"/>
  <c r="A4858" i="16"/>
  <c r="A4870" i="16"/>
  <c r="A4876" i="16"/>
  <c r="A4995" i="16"/>
  <c r="A4989" i="16"/>
  <c r="A4987" i="16"/>
  <c r="A4975" i="16"/>
  <c r="A4974" i="16"/>
  <c r="A4973" i="16"/>
  <c r="F4988" i="16"/>
  <c r="A4978" i="16"/>
  <c r="A4977" i="16"/>
  <c r="A4990" i="16"/>
  <c r="A4136" i="16"/>
  <c r="A4137" i="16"/>
  <c r="A4138" i="16"/>
  <c r="A4153" i="16"/>
  <c r="A4155" i="16"/>
  <c r="A4167" i="16"/>
  <c r="F4178" i="16"/>
  <c r="Y4177" i="16" s="1"/>
  <c r="Y4180" i="16" s="1"/>
  <c r="Y4186" i="16" s="1"/>
  <c r="A4182" i="16"/>
  <c r="A4185" i="16"/>
  <c r="A4269" i="16"/>
  <c r="A4274" i="16"/>
  <c r="A4276" i="16"/>
  <c r="A4256" i="16"/>
  <c r="A4257" i="16"/>
  <c r="A4258" i="16"/>
  <c r="A4273" i="16"/>
  <c r="A4299" i="16"/>
  <c r="A4304" i="16"/>
  <c r="A4301" i="16"/>
  <c r="A4298" i="16"/>
  <c r="A4292" i="16"/>
  <c r="A4291" i="16"/>
  <c r="A4290" i="16"/>
  <c r="A4284" i="16"/>
  <c r="A4306" i="16"/>
  <c r="A4303" i="16"/>
  <c r="A4300" i="16"/>
  <c r="A4283" i="16"/>
  <c r="A4287" i="16"/>
  <c r="A4288" i="16"/>
  <c r="A4539" i="16"/>
  <c r="A4544" i="16"/>
  <c r="A4541" i="16"/>
  <c r="A4538" i="16"/>
  <c r="A4532" i="16"/>
  <c r="A4531" i="16"/>
  <c r="A4530" i="16"/>
  <c r="A4524" i="16"/>
  <c r="A4546" i="16"/>
  <c r="A4543" i="16"/>
  <c r="A4540" i="16"/>
  <c r="A4523" i="16"/>
  <c r="A4528" i="16"/>
  <c r="A4526" i="16"/>
  <c r="A4094" i="16"/>
  <c r="A4096" i="16"/>
  <c r="A4120" i="16"/>
  <c r="A4125" i="16"/>
  <c r="A4141" i="16"/>
  <c r="A4150" i="16"/>
  <c r="A4166" i="16"/>
  <c r="A4168" i="16"/>
  <c r="A4201" i="16"/>
  <c r="A4210" i="16"/>
  <c r="A4214" i="16"/>
  <c r="A4216" i="16"/>
  <c r="A4240" i="16"/>
  <c r="A4245" i="16"/>
  <c r="A4261" i="16"/>
  <c r="A4270" i="16"/>
  <c r="A4286" i="16"/>
  <c r="A4302" i="16"/>
  <c r="A4389" i="16"/>
  <c r="A4394" i="16"/>
  <c r="A4392" i="16"/>
  <c r="F4388" i="16"/>
  <c r="A4396" i="16"/>
  <c r="A4391" i="16"/>
  <c r="A4388" i="16"/>
  <c r="A4382" i="16"/>
  <c r="A4380" i="16"/>
  <c r="A4374" i="16"/>
  <c r="A4373" i="16"/>
  <c r="A4390" i="16"/>
  <c r="A4381" i="16"/>
  <c r="A4378" i="16"/>
  <c r="A4395" i="16"/>
  <c r="F4538" i="16"/>
  <c r="Y4537" i="16" s="1"/>
  <c r="Y4540" i="16" s="1"/>
  <c r="Y4546" i="16" s="1"/>
  <c r="A4545" i="16"/>
  <c r="A4809" i="16"/>
  <c r="A4815" i="16"/>
  <c r="A4812" i="16"/>
  <c r="F4808" i="16"/>
  <c r="A4800" i="16"/>
  <c r="A4794" i="16"/>
  <c r="A4793" i="16"/>
  <c r="A4814" i="16"/>
  <c r="A4811" i="16"/>
  <c r="A4808" i="16"/>
  <c r="A4802" i="16"/>
  <c r="A4801" i="16"/>
  <c r="A4798" i="16"/>
  <c r="A4810" i="16"/>
  <c r="A4816" i="16"/>
  <c r="D4845" i="16"/>
  <c r="E4845" i="16" s="1"/>
  <c r="AA4846" i="16"/>
  <c r="A4873" i="16"/>
  <c r="A4080" i="16"/>
  <c r="A4082" i="16"/>
  <c r="A4088" i="16"/>
  <c r="A4091" i="16"/>
  <c r="A4104" i="16"/>
  <c r="A4110" i="16"/>
  <c r="A4111" i="16"/>
  <c r="A4112" i="16"/>
  <c r="A4118" i="16"/>
  <c r="A4121" i="16"/>
  <c r="A4133" i="16"/>
  <c r="A4134" i="16"/>
  <c r="A4140" i="16"/>
  <c r="A4142" i="16"/>
  <c r="A4148" i="16"/>
  <c r="A4151" i="16"/>
  <c r="A4156" i="16"/>
  <c r="A4163" i="16"/>
  <c r="A4180" i="16"/>
  <c r="A4183" i="16"/>
  <c r="A4186" i="16"/>
  <c r="A4200" i="16"/>
  <c r="A4202" i="16"/>
  <c r="A4208" i="16"/>
  <c r="A4211" i="16"/>
  <c r="A4238" i="16"/>
  <c r="A4241" i="16"/>
  <c r="A4253" i="16"/>
  <c r="A4254" i="16"/>
  <c r="A4260" i="16"/>
  <c r="A4262" i="16"/>
  <c r="A4268" i="16"/>
  <c r="A4271" i="16"/>
  <c r="A4275" i="16"/>
  <c r="A4509" i="16"/>
  <c r="A4514" i="16"/>
  <c r="A4512" i="16"/>
  <c r="F4508" i="16"/>
  <c r="A4516" i="16"/>
  <c r="A4511" i="16"/>
  <c r="A4508" i="16"/>
  <c r="A4502" i="16"/>
  <c r="A4500" i="16"/>
  <c r="A4494" i="16"/>
  <c r="A4493" i="16"/>
  <c r="A4510" i="16"/>
  <c r="A4501" i="16"/>
  <c r="A4498" i="16"/>
  <c r="A4515" i="16"/>
  <c r="D4695" i="16"/>
  <c r="AA4696" i="16"/>
  <c r="A4797" i="16"/>
  <c r="Y4837" i="16"/>
  <c r="Y4840" i="16" s="1"/>
  <c r="Y4846" i="16" s="1"/>
  <c r="A4663" i="16"/>
  <c r="A4736" i="16"/>
  <c r="A4737" i="16"/>
  <c r="A4738" i="16"/>
  <c r="A4750" i="16"/>
  <c r="A4753" i="16"/>
  <c r="A5709" i="16"/>
  <c r="A5697" i="16"/>
  <c r="A5699" i="16"/>
  <c r="A5711" i="16"/>
  <c r="A4320" i="16"/>
  <c r="A4322" i="16"/>
  <c r="A4328" i="16"/>
  <c r="A4331" i="16"/>
  <c r="A4344" i="16"/>
  <c r="A4350" i="16"/>
  <c r="A4351" i="16"/>
  <c r="A4352" i="16"/>
  <c r="A4358" i="16"/>
  <c r="A4361" i="16"/>
  <c r="A4440" i="16"/>
  <c r="A4442" i="16"/>
  <c r="A4448" i="16"/>
  <c r="A4451" i="16"/>
  <c r="A4464" i="16"/>
  <c r="A4470" i="16"/>
  <c r="A4471" i="16"/>
  <c r="A4472" i="16"/>
  <c r="A4478" i="16"/>
  <c r="A4481" i="16"/>
  <c r="A4560" i="16"/>
  <c r="A4573" i="16"/>
  <c r="A4576" i="16"/>
  <c r="A4620" i="16"/>
  <c r="A4621" i="16"/>
  <c r="F4628" i="16"/>
  <c r="A4661" i="16"/>
  <c r="A4664" i="16"/>
  <c r="A4691" i="16"/>
  <c r="A4694" i="16"/>
  <c r="A4706" i="16"/>
  <c r="A4707" i="16"/>
  <c r="A4711" i="16"/>
  <c r="F4718" i="16"/>
  <c r="A4741" i="16"/>
  <c r="A4742" i="16"/>
  <c r="A4748" i="16"/>
  <c r="A4751" i="16"/>
  <c r="A4754" i="16"/>
  <c r="A4766" i="16"/>
  <c r="A4767" i="16"/>
  <c r="A4768" i="16"/>
  <c r="A4780" i="16"/>
  <c r="A4783" i="16"/>
  <c r="A4786" i="16"/>
  <c r="A4826" i="16"/>
  <c r="A4827" i="16"/>
  <c r="A4828" i="16"/>
  <c r="A4840" i="16"/>
  <c r="A4843" i="16"/>
  <c r="A4846" i="16"/>
  <c r="A4899" i="16"/>
  <c r="A4904" i="16"/>
  <c r="A4901" i="16"/>
  <c r="A4898" i="16"/>
  <c r="A4903" i="16"/>
  <c r="A4900" i="16"/>
  <c r="A4886" i="16"/>
  <c r="A4887" i="16"/>
  <c r="A4888" i="16"/>
  <c r="A5065" i="16"/>
  <c r="A5079" i="16"/>
  <c r="A5067" i="16"/>
  <c r="A5068" i="16"/>
  <c r="A5260" i="16"/>
  <c r="F5258" i="16"/>
  <c r="A5257" i="16"/>
  <c r="A5266" i="16"/>
  <c r="A5265" i="16"/>
  <c r="A5245" i="16"/>
  <c r="A5244" i="16"/>
  <c r="A5243" i="16"/>
  <c r="A5259" i="16"/>
  <c r="A5248" i="16"/>
  <c r="A5247" i="16"/>
  <c r="Q5274" i="16"/>
  <c r="Q5289" i="16"/>
  <c r="A5423" i="16"/>
  <c r="A5440" i="16"/>
  <c r="A5424" i="16"/>
  <c r="A5445" i="16"/>
  <c r="A5439" i="16"/>
  <c r="A5428" i="16"/>
  <c r="A5427" i="16"/>
  <c r="A5425" i="16"/>
  <c r="A4316" i="16"/>
  <c r="A4317" i="16"/>
  <c r="F4328" i="16"/>
  <c r="A4332" i="16"/>
  <c r="A4333" i="16"/>
  <c r="A4335" i="16"/>
  <c r="A4347" i="16"/>
  <c r="F4358" i="16"/>
  <c r="A4363" i="16"/>
  <c r="A4366" i="16"/>
  <c r="A4436" i="16"/>
  <c r="A4437" i="16"/>
  <c r="F4448" i="16"/>
  <c r="A4452" i="16"/>
  <c r="A4453" i="16"/>
  <c r="A4455" i="16"/>
  <c r="A4467" i="16"/>
  <c r="F4478" i="16"/>
  <c r="A4483" i="16"/>
  <c r="A4486" i="16"/>
  <c r="A4556" i="16"/>
  <c r="A4557" i="16"/>
  <c r="A4571" i="16"/>
  <c r="A4574" i="16"/>
  <c r="AA4576" i="16"/>
  <c r="A4633" i="16"/>
  <c r="A4636" i="16"/>
  <c r="A4643" i="16"/>
  <c r="A4647" i="16"/>
  <c r="A4658" i="16"/>
  <c r="A4662" i="16"/>
  <c r="A4688" i="16"/>
  <c r="A4692" i="16"/>
  <c r="A4710" i="16"/>
  <c r="A4723" i="16"/>
  <c r="A4726" i="16"/>
  <c r="A4733" i="16"/>
  <c r="A4734" i="16"/>
  <c r="A4740" i="16"/>
  <c r="F4748" i="16"/>
  <c r="A4752" i="16"/>
  <c r="A4771" i="16"/>
  <c r="A4772" i="16"/>
  <c r="A4778" i="16"/>
  <c r="A4781" i="16"/>
  <c r="A4784" i="16"/>
  <c r="A4831" i="16"/>
  <c r="A4832" i="16"/>
  <c r="A4838" i="16"/>
  <c r="A4841" i="16"/>
  <c r="A4844" i="16"/>
  <c r="A4891" i="16"/>
  <c r="A4892" i="16"/>
  <c r="F4898" i="16"/>
  <c r="D5144" i="16"/>
  <c r="D5142" i="16"/>
  <c r="D5145" i="16"/>
  <c r="D5143" i="16"/>
  <c r="D5141" i="16"/>
  <c r="A4917" i="16"/>
  <c r="A4928" i="16"/>
  <c r="A4936" i="16"/>
  <c r="A5008" i="16"/>
  <c r="A5033" i="16"/>
  <c r="A5034" i="16"/>
  <c r="A5035" i="16"/>
  <c r="A5047" i="16"/>
  <c r="A5049" i="16"/>
  <c r="A5055" i="16"/>
  <c r="A5110" i="16"/>
  <c r="A5123" i="16"/>
  <c r="A5137" i="16"/>
  <c r="A5139" i="16"/>
  <c r="A5145" i="16"/>
  <c r="A5157" i="16"/>
  <c r="A5176" i="16"/>
  <c r="F5198" i="16"/>
  <c r="A5218" i="16"/>
  <c r="F5228" i="16"/>
  <c r="A5234" i="16"/>
  <c r="D5294" i="16"/>
  <c r="T5377" i="16"/>
  <c r="Q5529" i="16"/>
  <c r="A5649" i="16"/>
  <c r="A5635" i="16"/>
  <c r="A5656" i="16"/>
  <c r="F5648" i="16"/>
  <c r="A5639" i="16"/>
  <c r="A5652" i="16"/>
  <c r="A5648" i="16"/>
  <c r="A5640" i="16"/>
  <c r="A5636" i="16"/>
  <c r="A5633" i="16"/>
  <c r="A5651" i="16"/>
  <c r="A5804" i="16"/>
  <c r="F5798" i="16"/>
  <c r="A5806" i="16"/>
  <c r="T5857" i="16"/>
  <c r="A4916" i="16"/>
  <c r="A4920" i="16"/>
  <c r="A4921" i="16"/>
  <c r="F4928" i="16"/>
  <c r="A4948" i="16"/>
  <c r="T4957" i="16"/>
  <c r="A5007" i="16"/>
  <c r="T5047" i="16"/>
  <c r="A5097" i="16"/>
  <c r="A5098" i="16"/>
  <c r="F5108" i="16"/>
  <c r="AA5115" i="16" s="1"/>
  <c r="A5116" i="16"/>
  <c r="T5137" i="16"/>
  <c r="A5185" i="16"/>
  <c r="A5187" i="16"/>
  <c r="A5188" i="16"/>
  <c r="A5197" i="16"/>
  <c r="A5199" i="16"/>
  <c r="A5217" i="16"/>
  <c r="A5222" i="16"/>
  <c r="A5227" i="16"/>
  <c r="A5229" i="16"/>
  <c r="F5618" i="16"/>
  <c r="A5607" i="16"/>
  <c r="A5606" i="16"/>
  <c r="A5610" i="16"/>
  <c r="A5609" i="16"/>
  <c r="A5622" i="16"/>
  <c r="A5802" i="16"/>
  <c r="A4935" i="16"/>
  <c r="T4987" i="16"/>
  <c r="A5005" i="16"/>
  <c r="A5050" i="16"/>
  <c r="T5077" i="16"/>
  <c r="A5095" i="16"/>
  <c r="A5107" i="16"/>
  <c r="A5109" i="16"/>
  <c r="A5127" i="16"/>
  <c r="A5128" i="16"/>
  <c r="T5197" i="16"/>
  <c r="T5227" i="16"/>
  <c r="F5348" i="16"/>
  <c r="AA5352" i="16" s="1"/>
  <c r="T5827" i="16"/>
  <c r="A5864" i="16"/>
  <c r="A5859" i="16"/>
  <c r="A5857" i="16"/>
  <c r="A5851" i="16"/>
  <c r="A5843" i="16"/>
  <c r="A5845" i="16"/>
  <c r="F5858" i="16"/>
  <c r="D5863" i="16" s="1"/>
  <c r="E5863" i="16" s="1"/>
  <c r="A5485" i="16"/>
  <c r="T5587" i="16"/>
  <c r="A5984" i="16"/>
  <c r="A5982" i="16"/>
  <c r="F5978" i="16"/>
  <c r="A5977" i="16"/>
  <c r="A5971" i="16"/>
  <c r="A5963" i="16"/>
  <c r="A5965" i="16"/>
  <c r="A5979" i="16"/>
  <c r="A5307" i="16"/>
  <c r="A5308" i="16"/>
  <c r="A5317" i="16"/>
  <c r="F5318" i="16"/>
  <c r="A5367" i="16"/>
  <c r="A5368" i="16"/>
  <c r="A5377" i="16"/>
  <c r="F5378" i="16"/>
  <c r="A5380" i="16"/>
  <c r="A5385" i="16"/>
  <c r="A5484" i="16"/>
  <c r="A5560" i="16"/>
  <c r="A5548" i="16"/>
  <c r="A5547" i="16"/>
  <c r="T5707" i="16"/>
  <c r="A5891" i="16"/>
  <c r="A5888" i="16"/>
  <c r="A5873" i="16"/>
  <c r="A5875" i="16"/>
  <c r="A5876" i="16"/>
  <c r="A5877" i="16"/>
  <c r="A5889" i="16"/>
  <c r="A5896" i="16"/>
  <c r="T5557" i="16"/>
  <c r="A5768" i="16"/>
  <c r="A5771" i="16"/>
  <c r="A5773" i="16"/>
  <c r="A5817" i="16"/>
  <c r="A5821" i="16"/>
  <c r="A5941" i="16"/>
  <c r="A5949" i="16"/>
  <c r="A5954" i="16"/>
  <c r="T5977" i="16"/>
  <c r="F6008" i="16"/>
  <c r="Y5983" i="16"/>
  <c r="Y5863" i="16"/>
  <c r="Y5743" i="16"/>
  <c r="Y5623" i="16"/>
  <c r="Y5953" i="16"/>
  <c r="Y5803" i="16"/>
  <c r="O5655" i="16"/>
  <c r="Y5653" i="16"/>
  <c r="O5955" i="16"/>
  <c r="O5715" i="16"/>
  <c r="Y5713" i="16"/>
  <c r="Y5593" i="16"/>
  <c r="Y5503" i="16"/>
  <c r="Y5443" i="16"/>
  <c r="Y5383" i="16"/>
  <c r="Y5323" i="16"/>
  <c r="Y5263" i="16"/>
  <c r="Y5923" i="16"/>
  <c r="Y5833" i="16"/>
  <c r="O5775" i="16"/>
  <c r="O5565" i="16"/>
  <c r="Y5473" i="16"/>
  <c r="Y5173" i="16"/>
  <c r="Y6013" i="16"/>
  <c r="Y5773" i="16"/>
  <c r="Y5683" i="16"/>
  <c r="Y5533" i="16"/>
  <c r="Y5293" i="16"/>
  <c r="Y5233" i="16"/>
  <c r="Y5083" i="16"/>
  <c r="Y5023" i="16"/>
  <c r="Y4963" i="16"/>
  <c r="O6015" i="16"/>
  <c r="Y5893" i="16"/>
  <c r="Y5353" i="16"/>
  <c r="Y5143" i="16"/>
  <c r="Y4903" i="16"/>
  <c r="Y4873" i="16"/>
  <c r="Y4843" i="16"/>
  <c r="Y4813" i="16"/>
  <c r="Y4783" i="16"/>
  <c r="Y4753" i="16"/>
  <c r="Y4723" i="16"/>
  <c r="Y4693" i="16"/>
  <c r="Y4663" i="16"/>
  <c r="Y4633" i="16"/>
  <c r="Y4603" i="16"/>
  <c r="Y4573" i="16"/>
  <c r="O5685" i="16"/>
  <c r="Y5113" i="16"/>
  <c r="O4695" i="16"/>
  <c r="O4575" i="16"/>
  <c r="Y4543" i="16"/>
  <c r="Y4483" i="16"/>
  <c r="Y4423" i="16"/>
  <c r="Y4363" i="16"/>
  <c r="Y4303" i="16"/>
  <c r="Y4243" i="16"/>
  <c r="Y4183" i="16"/>
  <c r="Y4123" i="16"/>
  <c r="Y4063" i="16"/>
  <c r="Y4003" i="16"/>
  <c r="Y3943" i="16"/>
  <c r="Y3823" i="16"/>
  <c r="Y3793" i="16"/>
  <c r="Y3763" i="16"/>
  <c r="Y3733" i="16"/>
  <c r="Y3703" i="16"/>
  <c r="Y3673" i="16"/>
  <c r="Y3643" i="16"/>
  <c r="Y3613" i="16"/>
  <c r="Y3583" i="16"/>
  <c r="O5895" i="16"/>
  <c r="Y5563" i="16"/>
  <c r="Y5053" i="16"/>
  <c r="O4725" i="16"/>
  <c r="O4605" i="16"/>
  <c r="O4545" i="16"/>
  <c r="O4485" i="16"/>
  <c r="O4425" i="16"/>
  <c r="O4365" i="16"/>
  <c r="O4305" i="16"/>
  <c r="O4245" i="16"/>
  <c r="O4185" i="16"/>
  <c r="O4125" i="16"/>
  <c r="O4065" i="16"/>
  <c r="O4005" i="16"/>
  <c r="O3945" i="16"/>
  <c r="O3885" i="16"/>
  <c r="O4665" i="16"/>
  <c r="O4635" i="16"/>
  <c r="O4515" i="16"/>
  <c r="Y4453" i="16"/>
  <c r="O4395" i="16"/>
  <c r="Y4333" i="16"/>
  <c r="O4275" i="16"/>
  <c r="Y4213" i="16"/>
  <c r="O4155" i="16"/>
  <c r="Y4093" i="16"/>
  <c r="O4035" i="16"/>
  <c r="Y3973" i="16"/>
  <c r="O3915" i="16"/>
  <c r="Y3883" i="16"/>
  <c r="Y3553" i="16"/>
  <c r="Y3523" i="16"/>
  <c r="Y3493" i="16"/>
  <c r="Y3463" i="16"/>
  <c r="Y3433" i="16"/>
  <c r="Y3403" i="16"/>
  <c r="Y3373" i="16"/>
  <c r="Y3343" i="16"/>
  <c r="Y3313" i="16"/>
  <c r="Y3283" i="16"/>
  <c r="Y3253" i="16"/>
  <c r="Y3223" i="16"/>
  <c r="Y3193" i="16"/>
  <c r="Y3163" i="16"/>
  <c r="Y3133" i="16"/>
  <c r="Y3103" i="16"/>
  <c r="Y3073" i="16"/>
  <c r="Y3043" i="16"/>
  <c r="Y3013" i="16"/>
  <c r="Y2983" i="16"/>
  <c r="Y2953" i="16"/>
  <c r="Y2923" i="16"/>
  <c r="Y2893" i="16"/>
  <c r="Y2863" i="16"/>
  <c r="Y2833" i="16"/>
  <c r="Y2803" i="16"/>
  <c r="Y2773" i="16"/>
  <c r="Y2743" i="16"/>
  <c r="Y2713" i="16"/>
  <c r="Y2683" i="16"/>
  <c r="Y2653" i="16"/>
  <c r="Y2623" i="16"/>
  <c r="Y2593" i="16"/>
  <c r="Y2563" i="16"/>
  <c r="Y2533" i="16"/>
  <c r="Y2503" i="16"/>
  <c r="Y4933" i="16"/>
  <c r="O3345" i="16"/>
  <c r="O3285" i="16"/>
  <c r="O3255" i="16"/>
  <c r="O3225" i="16"/>
  <c r="O3195" i="16"/>
  <c r="O3165" i="16"/>
  <c r="O3135" i="16"/>
  <c r="O3105" i="16"/>
  <c r="O3075" i="16"/>
  <c r="O3045" i="16"/>
  <c r="O3015" i="16"/>
  <c r="O2985" i="16"/>
  <c r="O2955" i="16"/>
  <c r="O2925" i="16"/>
  <c r="O2895" i="16"/>
  <c r="O2865" i="16"/>
  <c r="O2835" i="16"/>
  <c r="O2805" i="16"/>
  <c r="O2775" i="16"/>
  <c r="O2745" i="16"/>
  <c r="O2715" i="16"/>
  <c r="O2685" i="16"/>
  <c r="Y5203" i="16"/>
  <c r="Y4993" i="16"/>
  <c r="Y4513" i="16"/>
  <c r="O4455" i="16"/>
  <c r="Y4393" i="16"/>
  <c r="O4335" i="16"/>
  <c r="Y4273" i="16"/>
  <c r="O4215" i="16"/>
  <c r="Y4153" i="16"/>
  <c r="O4095" i="16"/>
  <c r="Y4033" i="16"/>
  <c r="O3975" i="16"/>
  <c r="Y3913" i="16"/>
  <c r="Y3853" i="16"/>
  <c r="O4875" i="16"/>
  <c r="O4845" i="16"/>
  <c r="O4815" i="16"/>
  <c r="O4785" i="16"/>
  <c r="O4755" i="16"/>
  <c r="O3855" i="16"/>
  <c r="O2475" i="16"/>
  <c r="O2445" i="16"/>
  <c r="O2415" i="16"/>
  <c r="Y5413" i="16"/>
  <c r="O4905" i="16"/>
  <c r="O2655" i="16"/>
  <c r="O2595" i="16"/>
  <c r="O2535" i="16"/>
  <c r="Y2473" i="16"/>
  <c r="Y2443" i="16"/>
  <c r="Y2413" i="16"/>
  <c r="Y2383" i="16"/>
  <c r="Y2353" i="16"/>
  <c r="Y2323" i="16"/>
  <c r="Y2293" i="16"/>
  <c r="Y2263" i="16"/>
  <c r="Y2233" i="16"/>
  <c r="Y2203" i="16"/>
  <c r="Y2173" i="16"/>
  <c r="Y2143" i="16"/>
  <c r="Y2113" i="16"/>
  <c r="Y2083" i="16"/>
  <c r="Y2053" i="16"/>
  <c r="Y2023" i="16"/>
  <c r="Y1993" i="16"/>
  <c r="Y1963" i="16"/>
  <c r="Y1933" i="16"/>
  <c r="Y1903" i="16"/>
  <c r="Y1873" i="16"/>
  <c r="Y1843" i="16"/>
  <c r="Y1813" i="16"/>
  <c r="Y1783" i="16"/>
  <c r="Y1753" i="16"/>
  <c r="Y1723" i="16"/>
  <c r="Y1693" i="16"/>
  <c r="Y1663" i="16"/>
  <c r="Y1633" i="16"/>
  <c r="Y1603" i="16"/>
  <c r="Y1573" i="16"/>
  <c r="Y1543" i="16"/>
  <c r="Y1513" i="16"/>
  <c r="Y1483" i="16"/>
  <c r="Y1453" i="16"/>
  <c r="Y1423" i="16"/>
  <c r="Y1393" i="16"/>
  <c r="O2625" i="16"/>
  <c r="O2565" i="16"/>
  <c r="O2505" i="16"/>
  <c r="Y1363" i="16"/>
  <c r="Y1243" i="16"/>
  <c r="O975" i="16"/>
  <c r="O915" i="16"/>
  <c r="O795" i="16"/>
  <c r="O765" i="16"/>
  <c r="O735" i="16"/>
  <c r="O645" i="16"/>
  <c r="O615" i="16"/>
  <c r="O585" i="16"/>
  <c r="O555" i="16"/>
  <c r="O525" i="16"/>
  <c r="O495" i="16"/>
  <c r="O465" i="16"/>
  <c r="O435" i="16"/>
  <c r="O225" i="16"/>
  <c r="Y133" i="16"/>
  <c r="Y73" i="16"/>
  <c r="O1485" i="16"/>
  <c r="O1365" i="16"/>
  <c r="O1335" i="16"/>
  <c r="Y1333" i="16"/>
  <c r="Y1213" i="16"/>
  <c r="Y373" i="16"/>
  <c r="Y343" i="16"/>
  <c r="Y313" i="16"/>
  <c r="Y193" i="16"/>
  <c r="Y163" i="16"/>
  <c r="Y1303" i="16"/>
  <c r="O1185" i="16"/>
  <c r="Y1183" i="16"/>
  <c r="Y403" i="16"/>
  <c r="Y253" i="16"/>
  <c r="Y103" i="16"/>
  <c r="O1545" i="16"/>
  <c r="O1425" i="16"/>
  <c r="O1275" i="16"/>
  <c r="Y1273" i="16"/>
  <c r="O1155" i="16"/>
  <c r="Y1153" i="16"/>
  <c r="Y1123" i="16"/>
  <c r="Y1093" i="16"/>
  <c r="Y1063" i="16"/>
  <c r="Y1033" i="16"/>
  <c r="Y1003" i="16"/>
  <c r="Y973" i="16"/>
  <c r="Y943" i="16"/>
  <c r="Y913" i="16"/>
  <c r="Y883" i="16"/>
  <c r="Y853" i="16"/>
  <c r="Y823" i="16"/>
  <c r="Y793" i="16"/>
  <c r="Y763" i="16"/>
  <c r="Y733" i="16"/>
  <c r="Y703" i="16"/>
  <c r="Y673" i="16"/>
  <c r="Y643" i="16"/>
  <c r="Y613" i="16"/>
  <c r="Y583" i="16"/>
  <c r="Y553" i="16"/>
  <c r="Y523" i="16"/>
  <c r="Y493" i="16"/>
  <c r="Y463" i="16"/>
  <c r="Y433" i="16"/>
  <c r="O405" i="16"/>
  <c r="Y283" i="16"/>
  <c r="O255" i="16"/>
  <c r="Y223" i="16"/>
  <c r="O135" i="16"/>
  <c r="Y44" i="16"/>
  <c r="O165" i="16"/>
  <c r="O345" i="16"/>
  <c r="O46" i="16"/>
  <c r="O195" i="16"/>
  <c r="Q459" i="16"/>
  <c r="Q443" i="16"/>
  <c r="Q579" i="16"/>
  <c r="Q563" i="16"/>
  <c r="Q699" i="16"/>
  <c r="Q683" i="16"/>
  <c r="Q759" i="16"/>
  <c r="Q743" i="16"/>
  <c r="O825" i="16"/>
  <c r="P345" i="16"/>
  <c r="P342" i="16"/>
  <c r="Q519" i="16"/>
  <c r="Q503" i="16"/>
  <c r="Q309" i="16"/>
  <c r="O315" i="16"/>
  <c r="Q549" i="16"/>
  <c r="Q533" i="16"/>
  <c r="Q669" i="16"/>
  <c r="Q653" i="16"/>
  <c r="O675" i="16"/>
  <c r="Q729" i="16"/>
  <c r="Q713" i="16"/>
  <c r="Q849" i="16"/>
  <c r="Q833" i="16"/>
  <c r="Q879" i="16"/>
  <c r="Q863" i="16"/>
  <c r="Q909" i="16"/>
  <c r="Q893" i="16"/>
  <c r="Q939" i="16"/>
  <c r="Q923" i="16"/>
  <c r="Q969" i="16"/>
  <c r="Q953" i="16"/>
  <c r="Q999" i="16"/>
  <c r="Q983" i="16"/>
  <c r="Q1029" i="16"/>
  <c r="Q1013" i="16"/>
  <c r="Q1059" i="16"/>
  <c r="Q1043" i="16"/>
  <c r="Q1089" i="16"/>
  <c r="Q1073" i="16"/>
  <c r="Q1119" i="16"/>
  <c r="Q1103" i="16"/>
  <c r="Q1149" i="16"/>
  <c r="Q1133" i="16"/>
  <c r="Q1239" i="16"/>
  <c r="Q1269" i="16"/>
  <c r="O1305" i="16"/>
  <c r="O1455" i="16"/>
  <c r="Q639" i="16"/>
  <c r="Q623" i="16"/>
  <c r="O705" i="16"/>
  <c r="Q789" i="16"/>
  <c r="Q773" i="16"/>
  <c r="Q819" i="16"/>
  <c r="Q803" i="16"/>
  <c r="O1245" i="16"/>
  <c r="Q1299" i="16"/>
  <c r="O1515" i="16"/>
  <c r="Q159" i="16"/>
  <c r="P165" i="16" s="1"/>
  <c r="Q151" i="16"/>
  <c r="O75" i="16"/>
  <c r="O105" i="16"/>
  <c r="Q189" i="16"/>
  <c r="O285" i="16"/>
  <c r="O375" i="16"/>
  <c r="P402" i="16"/>
  <c r="P405" i="16"/>
  <c r="Q489" i="16"/>
  <c r="Q473" i="16"/>
  <c r="Q609" i="16"/>
  <c r="Q593" i="16"/>
  <c r="O855" i="16"/>
  <c r="O885" i="16"/>
  <c r="O945" i="16"/>
  <c r="O1005" i="16"/>
  <c r="O1035" i="16"/>
  <c r="O1065" i="16"/>
  <c r="O1095" i="16"/>
  <c r="O1125" i="16"/>
  <c r="O1215" i="16"/>
  <c r="P1365" i="16"/>
  <c r="O1395" i="16"/>
  <c r="B7" i="33"/>
  <c r="B7" i="39"/>
  <c r="B7" i="25"/>
  <c r="B7" i="40"/>
  <c r="B7" i="27"/>
  <c r="B7" i="43"/>
  <c r="B5" i="30"/>
  <c r="B7" i="23"/>
  <c r="Y43" i="16"/>
  <c r="O45" i="16"/>
  <c r="M55" i="16"/>
  <c r="P55" i="16" s="1"/>
  <c r="Q55" i="16" s="1"/>
  <c r="A56" i="16"/>
  <c r="A58" i="16"/>
  <c r="A68" i="16"/>
  <c r="A71" i="16"/>
  <c r="D101" i="16"/>
  <c r="AA101" i="16"/>
  <c r="Q219" i="16"/>
  <c r="AA221" i="16"/>
  <c r="AD221" i="16" s="1"/>
  <c r="Y252" i="16"/>
  <c r="Y282" i="16"/>
  <c r="O284" i="16"/>
  <c r="D285" i="16"/>
  <c r="A295" i="16"/>
  <c r="A299" i="16"/>
  <c r="A307" i="16"/>
  <c r="A309" i="16"/>
  <c r="A325" i="16"/>
  <c r="A329" i="16"/>
  <c r="A337" i="16"/>
  <c r="A339" i="16"/>
  <c r="A367" i="16"/>
  <c r="A369" i="16"/>
  <c r="A390" i="16"/>
  <c r="A398" i="16"/>
  <c r="A401" i="16"/>
  <c r="A402" i="16"/>
  <c r="Y402" i="16"/>
  <c r="A403" i="16"/>
  <c r="Q413" i="16"/>
  <c r="A421" i="16"/>
  <c r="F428" i="16"/>
  <c r="A434" i="16"/>
  <c r="A436" i="16"/>
  <c r="A443" i="16"/>
  <c r="A447" i="16"/>
  <c r="A451" i="16"/>
  <c r="F458" i="16"/>
  <c r="A464" i="16"/>
  <c r="A466" i="16"/>
  <c r="A473" i="16"/>
  <c r="A477" i="16"/>
  <c r="A481" i="16"/>
  <c r="F488" i="16"/>
  <c r="A494" i="16"/>
  <c r="A496" i="16"/>
  <c r="A503" i="16"/>
  <c r="A507" i="16"/>
  <c r="A511" i="16"/>
  <c r="F518" i="16"/>
  <c r="A524" i="16"/>
  <c r="A526" i="16"/>
  <c r="A533" i="16"/>
  <c r="A537" i="16"/>
  <c r="A541" i="16"/>
  <c r="F548" i="16"/>
  <c r="A554" i="16"/>
  <c r="A556" i="16"/>
  <c r="A563" i="16"/>
  <c r="A567" i="16"/>
  <c r="A571" i="16"/>
  <c r="F578" i="16"/>
  <c r="A584" i="16"/>
  <c r="A586" i="16"/>
  <c r="A593" i="16"/>
  <c r="A597" i="16"/>
  <c r="A601" i="16"/>
  <c r="F608" i="16"/>
  <c r="A614" i="16"/>
  <c r="A616" i="16"/>
  <c r="A623" i="16"/>
  <c r="A627" i="16"/>
  <c r="A631" i="16"/>
  <c r="F638" i="16"/>
  <c r="A644" i="16"/>
  <c r="A646" i="16"/>
  <c r="A653" i="16"/>
  <c r="A657" i="16"/>
  <c r="A661" i="16"/>
  <c r="F668" i="16"/>
  <c r="A674" i="16"/>
  <c r="A676" i="16"/>
  <c r="A683" i="16"/>
  <c r="A687" i="16"/>
  <c r="A691" i="16"/>
  <c r="F698" i="16"/>
  <c r="A704" i="16"/>
  <c r="A706" i="16"/>
  <c r="A713" i="16"/>
  <c r="A717" i="16"/>
  <c r="A721" i="16"/>
  <c r="F728" i="16"/>
  <c r="A734" i="16"/>
  <c r="A736" i="16"/>
  <c r="A747" i="16"/>
  <c r="A751" i="16"/>
  <c r="F758" i="16"/>
  <c r="A764" i="16"/>
  <c r="A766" i="16"/>
  <c r="F788" i="16"/>
  <c r="A794" i="16"/>
  <c r="A796" i="16"/>
  <c r="A826" i="16"/>
  <c r="D851" i="16"/>
  <c r="AA851" i="16"/>
  <c r="D853" i="16"/>
  <c r="D881" i="16"/>
  <c r="AA882" i="16"/>
  <c r="D883" i="16"/>
  <c r="D912" i="16"/>
  <c r="AA912" i="16"/>
  <c r="AA941" i="16"/>
  <c r="D942" i="16"/>
  <c r="D971" i="16"/>
  <c r="AA971" i="16"/>
  <c r="D972" i="16"/>
  <c r="AA972" i="16"/>
  <c r="D973" i="16"/>
  <c r="D1001" i="16"/>
  <c r="AA1001" i="16"/>
  <c r="D1002" i="16"/>
  <c r="AA1002" i="16"/>
  <c r="D1003" i="16"/>
  <c r="D1031" i="16"/>
  <c r="AA1031" i="16"/>
  <c r="D1032" i="16"/>
  <c r="AA1032" i="16"/>
  <c r="D1033" i="16"/>
  <c r="G1034" i="16"/>
  <c r="K1034" i="16"/>
  <c r="D1061" i="16"/>
  <c r="AA1062" i="16"/>
  <c r="D1063" i="16"/>
  <c r="D1092" i="16"/>
  <c r="AA1092" i="16"/>
  <c r="AA1121" i="16"/>
  <c r="D1122" i="16"/>
  <c r="A1185" i="16"/>
  <c r="A1180" i="16"/>
  <c r="A1172" i="16"/>
  <c r="A1168" i="16"/>
  <c r="A1164" i="16"/>
  <c r="A1171" i="16"/>
  <c r="A1177" i="16"/>
  <c r="A1184" i="16"/>
  <c r="A1197" i="16"/>
  <c r="A1199" i="16"/>
  <c r="A1200" i="16"/>
  <c r="Y1212" i="16"/>
  <c r="AA1245" i="16"/>
  <c r="D1244" i="16"/>
  <c r="D1240" i="16"/>
  <c r="D1241" i="16"/>
  <c r="A1305" i="16"/>
  <c r="A1300" i="16"/>
  <c r="A1292" i="16"/>
  <c r="A1288" i="16"/>
  <c r="A1284" i="16"/>
  <c r="A1291" i="16"/>
  <c r="A1297" i="16"/>
  <c r="A1304" i="16"/>
  <c r="Y1332" i="16"/>
  <c r="AA1365" i="16"/>
  <c r="D1364" i="16"/>
  <c r="AA1363" i="16"/>
  <c r="I1358" i="16"/>
  <c r="D1360" i="16"/>
  <c r="D1361" i="16"/>
  <c r="A1425" i="16"/>
  <c r="A1420" i="16"/>
  <c r="A1412" i="16"/>
  <c r="A1408" i="16"/>
  <c r="A1404" i="16"/>
  <c r="A1426" i="16"/>
  <c r="A1424" i="16"/>
  <c r="F1418" i="16"/>
  <c r="A1411" i="16"/>
  <c r="A1407" i="16"/>
  <c r="A1403" i="16"/>
  <c r="Q1419" i="16"/>
  <c r="Q1403" i="16"/>
  <c r="A1419" i="16"/>
  <c r="Y1422" i="16"/>
  <c r="A1545" i="16"/>
  <c r="A1540" i="16"/>
  <c r="A1532" i="16"/>
  <c r="A1528" i="16"/>
  <c r="A1524" i="16"/>
  <c r="A1546" i="16"/>
  <c r="A1544" i="16"/>
  <c r="F1538" i="16"/>
  <c r="A1531" i="16"/>
  <c r="A1527" i="16"/>
  <c r="A1523" i="16"/>
  <c r="Q1539" i="16"/>
  <c r="Q1523" i="16"/>
  <c r="A1539" i="16"/>
  <c r="Y1542" i="16"/>
  <c r="O1575" i="16"/>
  <c r="O1635" i="16"/>
  <c r="O1695" i="16"/>
  <c r="O1755" i="16"/>
  <c r="O1815" i="16"/>
  <c r="O1935" i="16"/>
  <c r="Q2034" i="16"/>
  <c r="Q2049" i="16"/>
  <c r="O2055" i="16"/>
  <c r="Q2154" i="16"/>
  <c r="Q2169" i="16"/>
  <c r="O2175" i="16"/>
  <c r="O2205" i="16"/>
  <c r="O2235" i="16"/>
  <c r="O2265" i="16"/>
  <c r="Q2364" i="16"/>
  <c r="Q2379" i="16"/>
  <c r="O2385" i="16"/>
  <c r="Q2559" i="16"/>
  <c r="Q2543" i="16"/>
  <c r="Q2619" i="16"/>
  <c r="Q2603" i="16"/>
  <c r="Q2679" i="16"/>
  <c r="Q2663" i="16"/>
  <c r="B6" i="33"/>
  <c r="B6" i="39"/>
  <c r="B6" i="40"/>
  <c r="B6" i="27"/>
  <c r="B6" i="43"/>
  <c r="B6" i="25"/>
  <c r="B6" i="23"/>
  <c r="B4" i="30"/>
  <c r="D5" i="21"/>
  <c r="B7" i="16"/>
  <c r="M115" i="16"/>
  <c r="P115" i="16" s="1"/>
  <c r="Q115" i="16" s="1"/>
  <c r="M113" i="16"/>
  <c r="P113" i="16" s="1"/>
  <c r="M116" i="16"/>
  <c r="P116" i="16" s="1"/>
  <c r="Q116" i="16" s="1"/>
  <c r="M114" i="16"/>
  <c r="P114" i="16" s="1"/>
  <c r="Q114" i="16" s="1"/>
  <c r="M84" i="16"/>
  <c r="P84" i="16" s="1"/>
  <c r="Q84" i="16" s="1"/>
  <c r="M117" i="16"/>
  <c r="P117" i="16" s="1"/>
  <c r="Q117" i="16" s="1"/>
  <c r="M85" i="16"/>
  <c r="P85" i="16" s="1"/>
  <c r="Q85" i="16" s="1"/>
  <c r="M56" i="16"/>
  <c r="P56" i="16" s="1"/>
  <c r="Q56" i="16" s="1"/>
  <c r="A57" i="16"/>
  <c r="A59" i="16"/>
  <c r="F68" i="16"/>
  <c r="D70" i="16" s="1"/>
  <c r="A70" i="16"/>
  <c r="A73" i="16"/>
  <c r="A74" i="16"/>
  <c r="I98" i="16"/>
  <c r="Y102" i="16"/>
  <c r="D103" i="16"/>
  <c r="D104" i="16"/>
  <c r="O104" i="16"/>
  <c r="D105" i="16"/>
  <c r="A115" i="16"/>
  <c r="A119" i="16"/>
  <c r="A127" i="16"/>
  <c r="A128" i="16"/>
  <c r="A131" i="16"/>
  <c r="A175" i="16"/>
  <c r="A179" i="16"/>
  <c r="Q179" i="16"/>
  <c r="A187" i="16"/>
  <c r="A189" i="16"/>
  <c r="I218" i="16"/>
  <c r="AA223" i="16"/>
  <c r="AD223" i="16" s="1"/>
  <c r="O224" i="16"/>
  <c r="Q249" i="16"/>
  <c r="D251" i="16"/>
  <c r="AA252" i="16"/>
  <c r="D253" i="16"/>
  <c r="A296" i="16"/>
  <c r="A300" i="16"/>
  <c r="A308" i="16"/>
  <c r="A311" i="16"/>
  <c r="A312" i="16"/>
  <c r="Y312" i="16"/>
  <c r="A313" i="16"/>
  <c r="A326" i="16"/>
  <c r="A330" i="16"/>
  <c r="A338" i="16"/>
  <c r="A341" i="16"/>
  <c r="A342" i="16"/>
  <c r="Y342" i="16"/>
  <c r="A343" i="16"/>
  <c r="Q353" i="16"/>
  <c r="A368" i="16"/>
  <c r="A371" i="16"/>
  <c r="A372" i="16"/>
  <c r="Y372" i="16"/>
  <c r="A373" i="16"/>
  <c r="Q383" i="16"/>
  <c r="A391" i="16"/>
  <c r="F398" i="16"/>
  <c r="A404" i="16"/>
  <c r="A406" i="16"/>
  <c r="O434" i="16"/>
  <c r="O464" i="16"/>
  <c r="O494" i="16"/>
  <c r="O524" i="16"/>
  <c r="O554" i="16"/>
  <c r="O584" i="16"/>
  <c r="O614" i="16"/>
  <c r="O644" i="16"/>
  <c r="O674" i="16"/>
  <c r="O704" i="16"/>
  <c r="O734" i="16"/>
  <c r="O764" i="16"/>
  <c r="O794" i="16"/>
  <c r="O824" i="16"/>
  <c r="O854" i="16"/>
  <c r="O884" i="16"/>
  <c r="O914" i="16"/>
  <c r="O944" i="16"/>
  <c r="O974" i="16"/>
  <c r="O1004" i="16"/>
  <c r="H1034" i="16"/>
  <c r="O1034" i="16"/>
  <c r="O1064" i="16"/>
  <c r="O1094" i="16"/>
  <c r="AA1155" i="16"/>
  <c r="D1154" i="16"/>
  <c r="AA1153" i="16"/>
  <c r="I1148" i="16"/>
  <c r="D1150" i="16"/>
  <c r="D1151" i="16"/>
  <c r="D1155" i="16"/>
  <c r="Q1179" i="16"/>
  <c r="A1215" i="16"/>
  <c r="A1210" i="16"/>
  <c r="A1202" i="16"/>
  <c r="A1198" i="16"/>
  <c r="A1194" i="16"/>
  <c r="A1201" i="16"/>
  <c r="A1207" i="16"/>
  <c r="A1214" i="16"/>
  <c r="Y1242" i="16"/>
  <c r="F1268" i="16"/>
  <c r="A1272" i="16"/>
  <c r="A1298" i="16"/>
  <c r="A1301" i="16"/>
  <c r="A1306" i="16"/>
  <c r="A1335" i="16"/>
  <c r="A1330" i="16"/>
  <c r="A1322" i="16"/>
  <c r="A1318" i="16"/>
  <c r="A1314" i="16"/>
  <c r="A1321" i="16"/>
  <c r="A1327" i="16"/>
  <c r="A1334" i="16"/>
  <c r="A1347" i="16"/>
  <c r="A1349" i="16"/>
  <c r="A1350" i="16"/>
  <c r="D1362" i="16"/>
  <c r="Y1362" i="16"/>
  <c r="D1363" i="16"/>
  <c r="D1365" i="16"/>
  <c r="A1409" i="16"/>
  <c r="A1410" i="16"/>
  <c r="A1422" i="16"/>
  <c r="A1455" i="16"/>
  <c r="A1450" i="16"/>
  <c r="A1442" i="16"/>
  <c r="A1438" i="16"/>
  <c r="A1434" i="16"/>
  <c r="A1456" i="16"/>
  <c r="A1454" i="16"/>
  <c r="F1448" i="16"/>
  <c r="A1441" i="16"/>
  <c r="A1437" i="16"/>
  <c r="A1433" i="16"/>
  <c r="Q1449" i="16"/>
  <c r="Q1433" i="16"/>
  <c r="A1449" i="16"/>
  <c r="A1465" i="16"/>
  <c r="A1466" i="16"/>
  <c r="A1477" i="16"/>
  <c r="A1478" i="16"/>
  <c r="A1529" i="16"/>
  <c r="A1530" i="16"/>
  <c r="A1542" i="16"/>
  <c r="A1575" i="16"/>
  <c r="A1570" i="16"/>
  <c r="A1562" i="16"/>
  <c r="A1558" i="16"/>
  <c r="A1554" i="16"/>
  <c r="A1576" i="16"/>
  <c r="A1574" i="16"/>
  <c r="F1568" i="16"/>
  <c r="A1561" i="16"/>
  <c r="A1557" i="16"/>
  <c r="A1553" i="16"/>
  <c r="A1573" i="16"/>
  <c r="A1572" i="16"/>
  <c r="A1571" i="16"/>
  <c r="A1568" i="16"/>
  <c r="A1560" i="16"/>
  <c r="A1556" i="16"/>
  <c r="Q1569" i="16"/>
  <c r="Q1553" i="16"/>
  <c r="A1635" i="16"/>
  <c r="A1630" i="16"/>
  <c r="A1622" i="16"/>
  <c r="A1618" i="16"/>
  <c r="A1614" i="16"/>
  <c r="A1636" i="16"/>
  <c r="A1634" i="16"/>
  <c r="F1628" i="16"/>
  <c r="A1621" i="16"/>
  <c r="A1617" i="16"/>
  <c r="A1613" i="16"/>
  <c r="A1633" i="16"/>
  <c r="A1632" i="16"/>
  <c r="A1631" i="16"/>
  <c r="A1628" i="16"/>
  <c r="A1620" i="16"/>
  <c r="A1616" i="16"/>
  <c r="Q1629" i="16"/>
  <c r="A1695" i="16"/>
  <c r="A1690" i="16"/>
  <c r="A1682" i="16"/>
  <c r="A1678" i="16"/>
  <c r="A1674" i="16"/>
  <c r="A1696" i="16"/>
  <c r="A1694" i="16"/>
  <c r="F1688" i="16"/>
  <c r="A1681" i="16"/>
  <c r="A1677" i="16"/>
  <c r="A1673" i="16"/>
  <c r="A1693" i="16"/>
  <c r="A1692" i="16"/>
  <c r="A1691" i="16"/>
  <c r="A1688" i="16"/>
  <c r="A1680" i="16"/>
  <c r="A1676" i="16"/>
  <c r="Q1689" i="16"/>
  <c r="A1755" i="16"/>
  <c r="A1750" i="16"/>
  <c r="A1742" i="16"/>
  <c r="A1738" i="16"/>
  <c r="A1734" i="16"/>
  <c r="A1756" i="16"/>
  <c r="A1754" i="16"/>
  <c r="F1748" i="16"/>
  <c r="A1741" i="16"/>
  <c r="A1737" i="16"/>
  <c r="A1733" i="16"/>
  <c r="A1753" i="16"/>
  <c r="A1752" i="16"/>
  <c r="A1751" i="16"/>
  <c r="A1748" i="16"/>
  <c r="A1740" i="16"/>
  <c r="A1736" i="16"/>
  <c r="Q1749" i="16"/>
  <c r="A1815" i="16"/>
  <c r="A1810" i="16"/>
  <c r="A1802" i="16"/>
  <c r="A1798" i="16"/>
  <c r="A1794" i="16"/>
  <c r="A1816" i="16"/>
  <c r="A1814" i="16"/>
  <c r="F1808" i="16"/>
  <c r="A1801" i="16"/>
  <c r="A1797" i="16"/>
  <c r="A1793" i="16"/>
  <c r="A1813" i="16"/>
  <c r="A1812" i="16"/>
  <c r="A1811" i="16"/>
  <c r="A1808" i="16"/>
  <c r="A1800" i="16"/>
  <c r="A1796" i="16"/>
  <c r="Q1809" i="16"/>
  <c r="O1845" i="16"/>
  <c r="O1875" i="16"/>
  <c r="O1905" i="16"/>
  <c r="Q2004" i="16"/>
  <c r="Q2019" i="16"/>
  <c r="O2025" i="16"/>
  <c r="Q2124" i="16"/>
  <c r="Q2139" i="16"/>
  <c r="O2145" i="16"/>
  <c r="Q2199" i="16"/>
  <c r="Q2229" i="16"/>
  <c r="Q2259" i="16"/>
  <c r="Q2289" i="16"/>
  <c r="Q2334" i="16"/>
  <c r="Q2349" i="16"/>
  <c r="O2355" i="16"/>
  <c r="Y5922" i="16"/>
  <c r="Y5802" i="16"/>
  <c r="Y5682" i="16"/>
  <c r="Y5562" i="16"/>
  <c r="Y6012" i="16"/>
  <c r="Y5952" i="16"/>
  <c r="Y5862" i="16"/>
  <c r="Y5532" i="16"/>
  <c r="Y5502" i="16"/>
  <c r="Y5472" i="16"/>
  <c r="Y5442" i="16"/>
  <c r="Y5412" i="16"/>
  <c r="Y5382" i="16"/>
  <c r="Y5352" i="16"/>
  <c r="Y5322" i="16"/>
  <c r="Y5292" i="16"/>
  <c r="Y5262" i="16"/>
  <c r="Y5232" i="16"/>
  <c r="Y5202" i="16"/>
  <c r="Y5172" i="16"/>
  <c r="Y5142" i="16"/>
  <c r="Y5112" i="16"/>
  <c r="Y5772" i="16"/>
  <c r="Y5982" i="16"/>
  <c r="Y5742" i="16"/>
  <c r="Y5082" i="16"/>
  <c r="Y5052" i="16"/>
  <c r="Y5022" i="16"/>
  <c r="Y4992" i="16"/>
  <c r="Y4962" i="16"/>
  <c r="Y4932" i="16"/>
  <c r="Y5652" i="16"/>
  <c r="Y5592" i="16"/>
  <c r="Y5712" i="16"/>
  <c r="Y5622" i="16"/>
  <c r="Y5832" i="16"/>
  <c r="Y5892" i="16"/>
  <c r="Y4692" i="16"/>
  <c r="Y4572" i="16"/>
  <c r="Y4722" i="16"/>
  <c r="Y4602" i="16"/>
  <c r="Y4512" i="16"/>
  <c r="Y4452" i="16"/>
  <c r="Y4392" i="16"/>
  <c r="Y4332" i="16"/>
  <c r="Y4272" i="16"/>
  <c r="Y4212" i="16"/>
  <c r="Y4152" i="16"/>
  <c r="Y4092" i="16"/>
  <c r="Y4032" i="16"/>
  <c r="Y3972" i="16"/>
  <c r="Y3912" i="16"/>
  <c r="Y3852" i="16"/>
  <c r="Y3822" i="16"/>
  <c r="Y3792" i="16"/>
  <c r="Y3762" i="16"/>
  <c r="Y3732" i="16"/>
  <c r="Y3702" i="16"/>
  <c r="Y3672" i="16"/>
  <c r="Y3642" i="16"/>
  <c r="Y3612" i="16"/>
  <c r="Y3582" i="16"/>
  <c r="Y4482" i="16"/>
  <c r="Y4362" i="16"/>
  <c r="Y4242" i="16"/>
  <c r="Y4122" i="16"/>
  <c r="Y4002" i="16"/>
  <c r="Y3882" i="16"/>
  <c r="Y4632" i="16"/>
  <c r="Y3552" i="16"/>
  <c r="Y3522" i="16"/>
  <c r="Y3492" i="16"/>
  <c r="Y3462" i="16"/>
  <c r="Y3432" i="16"/>
  <c r="Y3402" i="16"/>
  <c r="Y3372" i="16"/>
  <c r="Y3342" i="16"/>
  <c r="Y3312" i="16"/>
  <c r="Y3282" i="16"/>
  <c r="Y3252" i="16"/>
  <c r="Y3222" i="16"/>
  <c r="Y3192" i="16"/>
  <c r="Y3162" i="16"/>
  <c r="Y3132" i="16"/>
  <c r="Y3102" i="16"/>
  <c r="Y3072" i="16"/>
  <c r="Y3042" i="16"/>
  <c r="Y3012" i="16"/>
  <c r="Y2982" i="16"/>
  <c r="Y2952" i="16"/>
  <c r="Y2922" i="16"/>
  <c r="Y2892" i="16"/>
  <c r="Y2862" i="16"/>
  <c r="Y2832" i="16"/>
  <c r="Y2802" i="16"/>
  <c r="Y2772" i="16"/>
  <c r="Y2742" i="16"/>
  <c r="Y2712" i="16"/>
  <c r="Y2682" i="16"/>
  <c r="Y4902" i="16"/>
  <c r="Y4872" i="16"/>
  <c r="Y4842" i="16"/>
  <c r="Y4812" i="16"/>
  <c r="Y4782" i="16"/>
  <c r="Y4542" i="16"/>
  <c r="Y4422" i="16"/>
  <c r="Y4302" i="16"/>
  <c r="Y4182" i="16"/>
  <c r="Y4062" i="16"/>
  <c r="Y3942" i="16"/>
  <c r="Y4752" i="16"/>
  <c r="Y4662" i="16"/>
  <c r="Y2622" i="16"/>
  <c r="Y2562" i="16"/>
  <c r="Y2502" i="16"/>
  <c r="Y2382" i="16"/>
  <c r="Y2352" i="16"/>
  <c r="Y2322" i="16"/>
  <c r="Y2292" i="16"/>
  <c r="Y2262" i="16"/>
  <c r="Y2232" i="16"/>
  <c r="Y2202" i="16"/>
  <c r="Y2172" i="16"/>
  <c r="Y2142" i="16"/>
  <c r="Y2112" i="16"/>
  <c r="Y2082" i="16"/>
  <c r="Y2052" i="16"/>
  <c r="Y2022" i="16"/>
  <c r="Y1992" i="16"/>
  <c r="Y1962" i="16"/>
  <c r="Y1932" i="16"/>
  <c r="Y1902" i="16"/>
  <c r="Y1872" i="16"/>
  <c r="Y1842" i="16"/>
  <c r="Y1812" i="16"/>
  <c r="Y1782" i="16"/>
  <c r="Y1752" i="16"/>
  <c r="Y1722" i="16"/>
  <c r="Y1692" i="16"/>
  <c r="Y1662" i="16"/>
  <c r="Y1632" i="16"/>
  <c r="Y1602" i="16"/>
  <c r="Y1572" i="16"/>
  <c r="Y2652" i="16"/>
  <c r="Y2592" i="16"/>
  <c r="Y2532" i="16"/>
  <c r="Y2472" i="16"/>
  <c r="Y2442" i="16"/>
  <c r="Y2412" i="16"/>
  <c r="F23" i="23"/>
  <c r="F22" i="23"/>
  <c r="F19" i="23"/>
  <c r="K18" i="30"/>
  <c r="G16" i="30"/>
  <c r="I21" i="23"/>
  <c r="K15" i="30"/>
  <c r="O6014" i="16"/>
  <c r="O5984" i="16"/>
  <c r="O5954" i="16"/>
  <c r="O5924" i="16"/>
  <c r="O5894" i="16"/>
  <c r="O5864" i="16"/>
  <c r="O5834" i="16"/>
  <c r="O5804" i="16"/>
  <c r="O5774" i="16"/>
  <c r="O5744" i="16"/>
  <c r="O5714" i="16"/>
  <c r="O5684" i="16"/>
  <c r="O5654" i="16"/>
  <c r="O5624" i="16"/>
  <c r="O5594" i="16"/>
  <c r="O5564" i="16"/>
  <c r="O5534" i="16"/>
  <c r="O5474" i="16"/>
  <c r="O5414" i="16"/>
  <c r="O5354" i="16"/>
  <c r="O5294" i="16"/>
  <c r="O5444" i="16"/>
  <c r="O5324" i="16"/>
  <c r="O5114" i="16"/>
  <c r="O5504" i="16"/>
  <c r="O5384" i="16"/>
  <c r="O5174" i="16"/>
  <c r="O5054" i="16"/>
  <c r="O4994" i="16"/>
  <c r="O4934" i="16"/>
  <c r="O4904" i="16"/>
  <c r="O4874" i="16"/>
  <c r="O4844" i="16"/>
  <c r="O4814" i="16"/>
  <c r="O4784" i="16"/>
  <c r="O4754" i="16"/>
  <c r="O4724" i="16"/>
  <c r="O4694" i="16"/>
  <c r="O4664" i="16"/>
  <c r="O4634" i="16"/>
  <c r="O4604" i="16"/>
  <c r="O4574" i="16"/>
  <c r="O4544" i="16"/>
  <c r="O4514" i="16"/>
  <c r="O4484" i="16"/>
  <c r="O4454" i="16"/>
  <c r="O4424" i="16"/>
  <c r="O4394" i="16"/>
  <c r="O4364" i="16"/>
  <c r="O4334" i="16"/>
  <c r="O4304" i="16"/>
  <c r="O4274" i="16"/>
  <c r="O4244" i="16"/>
  <c r="O4214" i="16"/>
  <c r="O4184" i="16"/>
  <c r="O4154" i="16"/>
  <c r="O4124" i="16"/>
  <c r="O4094" i="16"/>
  <c r="O4064" i="16"/>
  <c r="O4034" i="16"/>
  <c r="O4004" i="16"/>
  <c r="O3974" i="16"/>
  <c r="O3944" i="16"/>
  <c r="O3914" i="16"/>
  <c r="O3884" i="16"/>
  <c r="O5234" i="16"/>
  <c r="O5144" i="16"/>
  <c r="O5084" i="16"/>
  <c r="O5204" i="16"/>
  <c r="O5024" i="16"/>
  <c r="O3854" i="16"/>
  <c r="O3824" i="16"/>
  <c r="O3764" i="16"/>
  <c r="O3704" i="16"/>
  <c r="O3644" i="16"/>
  <c r="O3584" i="16"/>
  <c r="O5264" i="16"/>
  <c r="O3794" i="16"/>
  <c r="O3734" i="16"/>
  <c r="O3674" i="16"/>
  <c r="O3614" i="16"/>
  <c r="O3554" i="16"/>
  <c r="O3524" i="16"/>
  <c r="O3494" i="16"/>
  <c r="O3464" i="16"/>
  <c r="O3434" i="16"/>
  <c r="O3404" i="16"/>
  <c r="O3374" i="16"/>
  <c r="O3344" i="16"/>
  <c r="O3314" i="16"/>
  <c r="O3284" i="16"/>
  <c r="O3224" i="16"/>
  <c r="O3164" i="16"/>
  <c r="O3104" i="16"/>
  <c r="O3044" i="16"/>
  <c r="O2984" i="16"/>
  <c r="O2924" i="16"/>
  <c r="O2864" i="16"/>
  <c r="O2804" i="16"/>
  <c r="O2744" i="16"/>
  <c r="O2684" i="16"/>
  <c r="O2384" i="16"/>
  <c r="O2354" i="16"/>
  <c r="O2324" i="16"/>
  <c r="O2294" i="16"/>
  <c r="O2264" i="16"/>
  <c r="O2234" i="16"/>
  <c r="O2204" i="16"/>
  <c r="O2174" i="16"/>
  <c r="O2144" i="16"/>
  <c r="O2114" i="16"/>
  <c r="O2084" i="16"/>
  <c r="O2054" i="16"/>
  <c r="O2024" i="16"/>
  <c r="O1994" i="16"/>
  <c r="O1964" i="16"/>
  <c r="O1934" i="16"/>
  <c r="O1904" i="16"/>
  <c r="O1874" i="16"/>
  <c r="O1844" i="16"/>
  <c r="O1814" i="16"/>
  <c r="O1784" i="16"/>
  <c r="O1754" i="16"/>
  <c r="O1724" i="16"/>
  <c r="O1694" i="16"/>
  <c r="O1664" i="16"/>
  <c r="O1634" i="16"/>
  <c r="O1604" i="16"/>
  <c r="O1574" i="16"/>
  <c r="O1544" i="16"/>
  <c r="O1514" i="16"/>
  <c r="O1484" i="16"/>
  <c r="O1454" i="16"/>
  <c r="O1424" i="16"/>
  <c r="O1394" i="16"/>
  <c r="O1364" i="16"/>
  <c r="O1334" i="16"/>
  <c r="O1304" i="16"/>
  <c r="O1274" i="16"/>
  <c r="O1244" i="16"/>
  <c r="O1214" i="16"/>
  <c r="O1184" i="16"/>
  <c r="O1154" i="16"/>
  <c r="O2654" i="16"/>
  <c r="O2594" i="16"/>
  <c r="O2534" i="16"/>
  <c r="O3254" i="16"/>
  <c r="O3194" i="16"/>
  <c r="O3134" i="16"/>
  <c r="O3074" i="16"/>
  <c r="O3014" i="16"/>
  <c r="O2954" i="16"/>
  <c r="O2894" i="16"/>
  <c r="O2834" i="16"/>
  <c r="O2774" i="16"/>
  <c r="O2714" i="16"/>
  <c r="O4964" i="16"/>
  <c r="O2624" i="16"/>
  <c r="O2564" i="16"/>
  <c r="O2504" i="16"/>
  <c r="O2474" i="16"/>
  <c r="O2444" i="16"/>
  <c r="O2414" i="16"/>
  <c r="B9" i="33"/>
  <c r="B9" i="27"/>
  <c r="B9" i="39"/>
  <c r="B9" i="25"/>
  <c r="B9" i="43"/>
  <c r="B2" i="33"/>
  <c r="B2" i="39"/>
  <c r="B2" i="40"/>
  <c r="B2" i="27"/>
  <c r="B2" i="43"/>
  <c r="B2" i="25"/>
  <c r="B2" i="23"/>
  <c r="B2" i="30"/>
  <c r="B11" i="33"/>
  <c r="B11" i="39"/>
  <c r="B11" i="43"/>
  <c r="B11" i="27"/>
  <c r="B11" i="25"/>
  <c r="D6" i="21"/>
  <c r="B9" i="16"/>
  <c r="M25" i="16"/>
  <c r="P25" i="16" s="1"/>
  <c r="Q25" i="16" s="1"/>
  <c r="A26" i="16"/>
  <c r="P28" i="16"/>
  <c r="A31" i="16"/>
  <c r="F39" i="16"/>
  <c r="A41" i="16"/>
  <c r="A44" i="16"/>
  <c r="A45" i="16"/>
  <c r="A54" i="16"/>
  <c r="A76" i="16"/>
  <c r="A85" i="16"/>
  <c r="A89" i="16"/>
  <c r="A97" i="16"/>
  <c r="A99" i="16"/>
  <c r="D100" i="16"/>
  <c r="A102" i="16"/>
  <c r="AA102" i="16"/>
  <c r="AA103" i="16"/>
  <c r="AA104" i="16"/>
  <c r="A116" i="16"/>
  <c r="A120" i="16"/>
  <c r="F128" i="16"/>
  <c r="A133" i="16"/>
  <c r="A134" i="16"/>
  <c r="A135" i="16"/>
  <c r="A144" i="16"/>
  <c r="A148" i="16"/>
  <c r="A158" i="16"/>
  <c r="Y162" i="16"/>
  <c r="A163" i="16"/>
  <c r="A164" i="16"/>
  <c r="O164" i="16"/>
  <c r="A165" i="16"/>
  <c r="A176" i="16"/>
  <c r="A180" i="16"/>
  <c r="A188" i="16"/>
  <c r="Y192" i="16"/>
  <c r="A193" i="16"/>
  <c r="A194" i="16"/>
  <c r="O194" i="16"/>
  <c r="A195" i="16"/>
  <c r="A204" i="16"/>
  <c r="A206" i="16"/>
  <c r="A209" i="16"/>
  <c r="A217" i="16"/>
  <c r="A219" i="16"/>
  <c r="AA224" i="16"/>
  <c r="AD224" i="16" s="1"/>
  <c r="A234" i="16"/>
  <c r="A236" i="16"/>
  <c r="A238" i="16"/>
  <c r="A242" i="16"/>
  <c r="I248" i="16"/>
  <c r="A250" i="16"/>
  <c r="AA253" i="16"/>
  <c r="D254" i="16"/>
  <c r="O254" i="16"/>
  <c r="A255" i="16"/>
  <c r="AA255" i="16"/>
  <c r="M265" i="16"/>
  <c r="P265" i="16" s="1"/>
  <c r="Q265" i="16" s="1"/>
  <c r="A266" i="16"/>
  <c r="A269" i="16"/>
  <c r="A277" i="16"/>
  <c r="A279" i="16"/>
  <c r="A281" i="16"/>
  <c r="A293" i="16"/>
  <c r="Q293" i="16"/>
  <c r="A297" i="16"/>
  <c r="A301" i="16"/>
  <c r="F308" i="16"/>
  <c r="A314" i="16"/>
  <c r="A316" i="16"/>
  <c r="A323" i="16"/>
  <c r="Q323" i="16"/>
  <c r="A327" i="16"/>
  <c r="A331" i="16"/>
  <c r="F338" i="16"/>
  <c r="A344" i="16"/>
  <c r="A346" i="16"/>
  <c r="A353" i="16"/>
  <c r="A354" i="16"/>
  <c r="A355" i="16"/>
  <c r="A356" i="16"/>
  <c r="A357" i="16"/>
  <c r="A358" i="16"/>
  <c r="A359" i="16"/>
  <c r="A360" i="16"/>
  <c r="A361" i="16"/>
  <c r="F368" i="16"/>
  <c r="A374" i="16"/>
  <c r="A376" i="16"/>
  <c r="A383" i="16"/>
  <c r="A384" i="16"/>
  <c r="A385" i="16"/>
  <c r="A386" i="16"/>
  <c r="A387" i="16"/>
  <c r="A388" i="16"/>
  <c r="A392" i="16"/>
  <c r="A400" i="16"/>
  <c r="O404" i="16"/>
  <c r="A405" i="16"/>
  <c r="A419" i="16"/>
  <c r="A427" i="16"/>
  <c r="A429" i="16"/>
  <c r="A445" i="16"/>
  <c r="A449" i="16"/>
  <c r="A457" i="16"/>
  <c r="A459" i="16"/>
  <c r="A475" i="16"/>
  <c r="A479" i="16"/>
  <c r="A487" i="16"/>
  <c r="A489" i="16"/>
  <c r="A505" i="16"/>
  <c r="A509" i="16"/>
  <c r="A517" i="16"/>
  <c r="A519" i="16"/>
  <c r="A535" i="16"/>
  <c r="A539" i="16"/>
  <c r="A547" i="16"/>
  <c r="A549" i="16"/>
  <c r="A565" i="16"/>
  <c r="A569" i="16"/>
  <c r="A577" i="16"/>
  <c r="A579" i="16"/>
  <c r="A595" i="16"/>
  <c r="A599" i="16"/>
  <c r="A607" i="16"/>
  <c r="A609" i="16"/>
  <c r="A625" i="16"/>
  <c r="A629" i="16"/>
  <c r="A637" i="16"/>
  <c r="A639" i="16"/>
  <c r="A655" i="16"/>
  <c r="A659" i="16"/>
  <c r="A667" i="16"/>
  <c r="A669" i="16"/>
  <c r="A685" i="16"/>
  <c r="A689" i="16"/>
  <c r="A697" i="16"/>
  <c r="A699" i="16"/>
  <c r="A715" i="16"/>
  <c r="A719" i="16"/>
  <c r="A727" i="16"/>
  <c r="A729" i="16"/>
  <c r="A745" i="16"/>
  <c r="A749" i="16"/>
  <c r="A757" i="16"/>
  <c r="A759" i="16"/>
  <c r="A775" i="16"/>
  <c r="A779" i="16"/>
  <c r="A787" i="16"/>
  <c r="A789" i="16"/>
  <c r="A805" i="16"/>
  <c r="A809" i="16"/>
  <c r="A817" i="16"/>
  <c r="A819" i="16"/>
  <c r="A835" i="16"/>
  <c r="A839" i="16"/>
  <c r="A847" i="16"/>
  <c r="A849" i="16"/>
  <c r="D850" i="16"/>
  <c r="AA854" i="16"/>
  <c r="D855" i="16"/>
  <c r="A865" i="16"/>
  <c r="A869" i="16"/>
  <c r="A877" i="16"/>
  <c r="A879" i="16"/>
  <c r="D880" i="16"/>
  <c r="AA884" i="16"/>
  <c r="D885" i="16"/>
  <c r="A895" i="16"/>
  <c r="A899" i="16"/>
  <c r="A907" i="16"/>
  <c r="A909" i="16"/>
  <c r="D910" i="16"/>
  <c r="AA914" i="16"/>
  <c r="D915" i="16"/>
  <c r="A925" i="16"/>
  <c r="A929" i="16"/>
  <c r="A937" i="16"/>
  <c r="A939" i="16"/>
  <c r="D940" i="16"/>
  <c r="AA944" i="16"/>
  <c r="D945" i="16"/>
  <c r="A955" i="16"/>
  <c r="A959" i="16"/>
  <c r="A967" i="16"/>
  <c r="A969" i="16"/>
  <c r="D970" i="16"/>
  <c r="AA974" i="16"/>
  <c r="D975" i="16"/>
  <c r="A985" i="16"/>
  <c r="A989" i="16"/>
  <c r="A997" i="16"/>
  <c r="A999" i="16"/>
  <c r="D1000" i="16"/>
  <c r="AA1004" i="16"/>
  <c r="D1005" i="16"/>
  <c r="A1015" i="16"/>
  <c r="A1019" i="16"/>
  <c r="A1027" i="16"/>
  <c r="A1029" i="16"/>
  <c r="D1030" i="16"/>
  <c r="E1034" i="16"/>
  <c r="I1034" i="16"/>
  <c r="AA1034" i="16"/>
  <c r="D1035" i="16"/>
  <c r="AB1035" i="16"/>
  <c r="AD1035" i="16" s="1"/>
  <c r="A1045" i="16"/>
  <c r="A1049" i="16"/>
  <c r="A1057" i="16"/>
  <c r="A1059" i="16"/>
  <c r="D1060" i="16"/>
  <c r="AA1064" i="16"/>
  <c r="D1065" i="16"/>
  <c r="A1075" i="16"/>
  <c r="A1079" i="16"/>
  <c r="A1087" i="16"/>
  <c r="A1089" i="16"/>
  <c r="D1090" i="16"/>
  <c r="AA1094" i="16"/>
  <c r="D1095" i="16"/>
  <c r="A1105" i="16"/>
  <c r="A1109" i="16"/>
  <c r="A1117" i="16"/>
  <c r="A1119" i="16"/>
  <c r="D1120" i="16"/>
  <c r="AA1124" i="16"/>
  <c r="D1125" i="16"/>
  <c r="A1155" i="16"/>
  <c r="A1150" i="16"/>
  <c r="A1142" i="16"/>
  <c r="A1135" i="16"/>
  <c r="A1139" i="16"/>
  <c r="A1140" i="16"/>
  <c r="A1149" i="16"/>
  <c r="D1152" i="16"/>
  <c r="Y1152" i="16"/>
  <c r="D1153" i="16"/>
  <c r="AA1154" i="16"/>
  <c r="AA1156" i="16"/>
  <c r="A1163" i="16"/>
  <c r="A1165" i="16"/>
  <c r="A1166" i="16"/>
  <c r="F1178" i="16"/>
  <c r="A1182" i="16"/>
  <c r="A1183" i="16"/>
  <c r="A1208" i="16"/>
  <c r="Q1209" i="16"/>
  <c r="A1211" i="16"/>
  <c r="A1216" i="16"/>
  <c r="A1245" i="16"/>
  <c r="A1240" i="16"/>
  <c r="A1232" i="16"/>
  <c r="A1228" i="16"/>
  <c r="A1224" i="16"/>
  <c r="A1231" i="16"/>
  <c r="A1237" i="16"/>
  <c r="AA1241" i="16"/>
  <c r="AA1242" i="16"/>
  <c r="A1244" i="16"/>
  <c r="Y1272" i="16"/>
  <c r="A1283" i="16"/>
  <c r="A1285" i="16"/>
  <c r="A1286" i="16"/>
  <c r="F1298" i="16"/>
  <c r="A1302" i="16"/>
  <c r="A1303" i="16"/>
  <c r="Q1329" i="16"/>
  <c r="A1365" i="16"/>
  <c r="A1360" i="16"/>
  <c r="A1352" i="16"/>
  <c r="A1348" i="16"/>
  <c r="A1344" i="16"/>
  <c r="A1366" i="16"/>
  <c r="A1351" i="16"/>
  <c r="A1357" i="16"/>
  <c r="AA1361" i="16"/>
  <c r="AA1362" i="16"/>
  <c r="A1364" i="16"/>
  <c r="AA1366" i="16"/>
  <c r="A1423" i="16"/>
  <c r="A1485" i="16"/>
  <c r="A1480" i="16"/>
  <c r="A1472" i="16"/>
  <c r="A1468" i="16"/>
  <c r="A1464" i="16"/>
  <c r="A1486" i="16"/>
  <c r="A1484" i="16"/>
  <c r="F1478" i="16"/>
  <c r="A1471" i="16"/>
  <c r="A1467" i="16"/>
  <c r="A1463" i="16"/>
  <c r="Q1479" i="16"/>
  <c r="Q1463" i="16"/>
  <c r="A1479" i="16"/>
  <c r="Y1482" i="16"/>
  <c r="A1543" i="16"/>
  <c r="O1605" i="16"/>
  <c r="O1665" i="16"/>
  <c r="O1725" i="16"/>
  <c r="O1785" i="16"/>
  <c r="P1875" i="16"/>
  <c r="P1872" i="16"/>
  <c r="P1905" i="16"/>
  <c r="P1902" i="16"/>
  <c r="Q1929" i="16"/>
  <c r="Q1974" i="16"/>
  <c r="Q1989" i="16"/>
  <c r="O1995" i="16"/>
  <c r="Q2094" i="16"/>
  <c r="Q2109" i="16"/>
  <c r="O2115" i="16"/>
  <c r="Q2304" i="16"/>
  <c r="Q2319" i="16"/>
  <c r="O2325" i="16"/>
  <c r="I18" i="23"/>
  <c r="K14" i="30"/>
  <c r="K16" i="30"/>
  <c r="I19" i="23" s="1"/>
  <c r="D8" i="21"/>
  <c r="B2" i="16"/>
  <c r="B11" i="16"/>
  <c r="A32" i="16"/>
  <c r="M54" i="16"/>
  <c r="A55" i="16"/>
  <c r="A67" i="16"/>
  <c r="A69" i="16"/>
  <c r="A72" i="16"/>
  <c r="Y72" i="16"/>
  <c r="O74" i="16"/>
  <c r="A86" i="16"/>
  <c r="A90" i="16"/>
  <c r="A98" i="16"/>
  <c r="D102" i="16"/>
  <c r="AA105" i="16"/>
  <c r="A113" i="16"/>
  <c r="A117" i="16"/>
  <c r="A121" i="16"/>
  <c r="A130" i="16"/>
  <c r="Y132" i="16"/>
  <c r="O134" i="16"/>
  <c r="A145" i="16"/>
  <c r="A151" i="16"/>
  <c r="F158" i="16"/>
  <c r="A173" i="16"/>
  <c r="A177" i="16"/>
  <c r="A181" i="16"/>
  <c r="F188" i="16"/>
  <c r="A210" i="16"/>
  <c r="A218" i="16"/>
  <c r="A221" i="16"/>
  <c r="A222" i="16"/>
  <c r="Y222" i="16"/>
  <c r="A239" i="16"/>
  <c r="A247" i="16"/>
  <c r="D250" i="16"/>
  <c r="AA254" i="16"/>
  <c r="A264" i="16"/>
  <c r="A270" i="16"/>
  <c r="A278" i="16"/>
  <c r="A283" i="16"/>
  <c r="A284" i="16"/>
  <c r="A294" i="16"/>
  <c r="A298" i="16"/>
  <c r="A302" i="16"/>
  <c r="A310" i="16"/>
  <c r="O314" i="16"/>
  <c r="A324" i="16"/>
  <c r="A328" i="16"/>
  <c r="A332" i="16"/>
  <c r="A340" i="16"/>
  <c r="O344" i="16"/>
  <c r="A362" i="16"/>
  <c r="A370" i="16"/>
  <c r="O374" i="16"/>
  <c r="A389" i="16"/>
  <c r="A397" i="16"/>
  <c r="A420" i="16"/>
  <c r="A428" i="16"/>
  <c r="A431" i="16"/>
  <c r="A432" i="16"/>
  <c r="Y432" i="16"/>
  <c r="A446" i="16"/>
  <c r="A450" i="16"/>
  <c r="A458" i="16"/>
  <c r="A461" i="16"/>
  <c r="A462" i="16"/>
  <c r="Y462" i="16"/>
  <c r="A476" i="16"/>
  <c r="A480" i="16"/>
  <c r="A488" i="16"/>
  <c r="A491" i="16"/>
  <c r="A492" i="16"/>
  <c r="Y492" i="16"/>
  <c r="A506" i="16"/>
  <c r="A510" i="16"/>
  <c r="A518" i="16"/>
  <c r="A521" i="16"/>
  <c r="A522" i="16"/>
  <c r="Y522" i="16"/>
  <c r="A536" i="16"/>
  <c r="A540" i="16"/>
  <c r="A548" i="16"/>
  <c r="A551" i="16"/>
  <c r="A552" i="16"/>
  <c r="Y552" i="16"/>
  <c r="A566" i="16"/>
  <c r="A570" i="16"/>
  <c r="A578" i="16"/>
  <c r="A581" i="16"/>
  <c r="A582" i="16"/>
  <c r="Y582" i="16"/>
  <c r="A596" i="16"/>
  <c r="A600" i="16"/>
  <c r="A608" i="16"/>
  <c r="A611" i="16"/>
  <c r="A612" i="16"/>
  <c r="Y612" i="16"/>
  <c r="A626" i="16"/>
  <c r="A630" i="16"/>
  <c r="A638" i="16"/>
  <c r="A641" i="16"/>
  <c r="A642" i="16"/>
  <c r="Y642" i="16"/>
  <c r="A656" i="16"/>
  <c r="A660" i="16"/>
  <c r="A668" i="16"/>
  <c r="A671" i="16"/>
  <c r="A672" i="16"/>
  <c r="Y672" i="16"/>
  <c r="A686" i="16"/>
  <c r="A690" i="16"/>
  <c r="A698" i="16"/>
  <c r="A701" i="16"/>
  <c r="A702" i="16"/>
  <c r="Y702" i="16"/>
  <c r="A716" i="16"/>
  <c r="A720" i="16"/>
  <c r="A728" i="16"/>
  <c r="A731" i="16"/>
  <c r="A732" i="16"/>
  <c r="Y732" i="16"/>
  <c r="A746" i="16"/>
  <c r="A750" i="16"/>
  <c r="A758" i="16"/>
  <c r="A761" i="16"/>
  <c r="A762" i="16"/>
  <c r="Y762" i="16"/>
  <c r="A776" i="16"/>
  <c r="A780" i="16"/>
  <c r="A788" i="16"/>
  <c r="A791" i="16"/>
  <c r="A792" i="16"/>
  <c r="Y792" i="16"/>
  <c r="A806" i="16"/>
  <c r="A810" i="16"/>
  <c r="A818" i="16"/>
  <c r="A821" i="16"/>
  <c r="A822" i="16"/>
  <c r="Y822" i="16"/>
  <c r="A836" i="16"/>
  <c r="A840" i="16"/>
  <c r="A848" i="16"/>
  <c r="A851" i="16"/>
  <c r="A852" i="16"/>
  <c r="Y852" i="16"/>
  <c r="A866" i="16"/>
  <c r="A870" i="16"/>
  <c r="A878" i="16"/>
  <c r="A881" i="16"/>
  <c r="A882" i="16"/>
  <c r="Y882" i="16"/>
  <c r="A896" i="16"/>
  <c r="A900" i="16"/>
  <c r="A908" i="16"/>
  <c r="A911" i="16"/>
  <c r="A912" i="16"/>
  <c r="Y912" i="16"/>
  <c r="A926" i="16"/>
  <c r="A930" i="16"/>
  <c r="A938" i="16"/>
  <c r="A941" i="16"/>
  <c r="A942" i="16"/>
  <c r="Y942" i="16"/>
  <c r="A956" i="16"/>
  <c r="A960" i="16"/>
  <c r="A968" i="16"/>
  <c r="A971" i="16"/>
  <c r="A972" i="16"/>
  <c r="Y972" i="16"/>
  <c r="A986" i="16"/>
  <c r="A990" i="16"/>
  <c r="A998" i="16"/>
  <c r="A1001" i="16"/>
  <c r="A1002" i="16"/>
  <c r="Y1002" i="16"/>
  <c r="A1016" i="16"/>
  <c r="A1020" i="16"/>
  <c r="A1028" i="16"/>
  <c r="A1031" i="16"/>
  <c r="A1032" i="16"/>
  <c r="Y1032" i="16"/>
  <c r="F1034" i="16"/>
  <c r="A1046" i="16"/>
  <c r="A1050" i="16"/>
  <c r="A1058" i="16"/>
  <c r="A1061" i="16"/>
  <c r="A1062" i="16"/>
  <c r="Y1062" i="16"/>
  <c r="A1076" i="16"/>
  <c r="A1080" i="16"/>
  <c r="A1088" i="16"/>
  <c r="A1091" i="16"/>
  <c r="A1092" i="16"/>
  <c r="Y1092" i="16"/>
  <c r="A1106" i="16"/>
  <c r="A1110" i="16"/>
  <c r="A1118" i="16"/>
  <c r="A1121" i="16"/>
  <c r="A1122" i="16"/>
  <c r="Y1122" i="16"/>
  <c r="A1136" i="16"/>
  <c r="A1141" i="16"/>
  <c r="A1147" i="16"/>
  <c r="AA1151" i="16"/>
  <c r="AA1152" i="16"/>
  <c r="A1154" i="16"/>
  <c r="A1167" i="16"/>
  <c r="A1169" i="16"/>
  <c r="A1170" i="16"/>
  <c r="A1179" i="16"/>
  <c r="Y1182" i="16"/>
  <c r="A1193" i="16"/>
  <c r="A1195" i="16"/>
  <c r="A1196" i="16"/>
  <c r="F1208" i="16"/>
  <c r="A1212" i="16"/>
  <c r="A1213" i="16"/>
  <c r="A1238" i="16"/>
  <c r="A1241" i="16"/>
  <c r="A1246" i="16"/>
  <c r="A1275" i="16"/>
  <c r="A1270" i="16"/>
  <c r="A1262" i="16"/>
  <c r="A1258" i="16"/>
  <c r="A1254" i="16"/>
  <c r="A1261" i="16"/>
  <c r="A1267" i="16"/>
  <c r="A1274" i="16"/>
  <c r="A1287" i="16"/>
  <c r="A1289" i="16"/>
  <c r="A1290" i="16"/>
  <c r="A1299" i="16"/>
  <c r="Y1302" i="16"/>
  <c r="A1313" i="16"/>
  <c r="A1315" i="16"/>
  <c r="A1316" i="16"/>
  <c r="F1328" i="16"/>
  <c r="A1332" i="16"/>
  <c r="A1333" i="16"/>
  <c r="A1358" i="16"/>
  <c r="A1361" i="16"/>
  <c r="AA1364" i="16"/>
  <c r="A1395" i="16"/>
  <c r="A1390" i="16"/>
  <c r="A1382" i="16"/>
  <c r="A1378" i="16"/>
  <c r="A1374" i="16"/>
  <c r="A1396" i="16"/>
  <c r="A1394" i="16"/>
  <c r="F1388" i="16"/>
  <c r="A1381" i="16"/>
  <c r="A1377" i="16"/>
  <c r="A1373" i="16"/>
  <c r="Q1389" i="16"/>
  <c r="Q1373" i="16"/>
  <c r="A1389" i="16"/>
  <c r="Y1392" i="16"/>
  <c r="A1405" i="16"/>
  <c r="A1406" i="16"/>
  <c r="A1417" i="16"/>
  <c r="A1418" i="16"/>
  <c r="A1421" i="16"/>
  <c r="A1453" i="16"/>
  <c r="A1469" i="16"/>
  <c r="A1470" i="16"/>
  <c r="A1482" i="16"/>
  <c r="A1515" i="16"/>
  <c r="A1510" i="16"/>
  <c r="A1502" i="16"/>
  <c r="A1498" i="16"/>
  <c r="A1494" i="16"/>
  <c r="A1516" i="16"/>
  <c r="A1514" i="16"/>
  <c r="F1508" i="16"/>
  <c r="A1501" i="16"/>
  <c r="A1497" i="16"/>
  <c r="A1493" i="16"/>
  <c r="Q1509" i="16"/>
  <c r="Q1493" i="16"/>
  <c r="A1509" i="16"/>
  <c r="Y1512" i="16"/>
  <c r="A1525" i="16"/>
  <c r="A1526" i="16"/>
  <c r="A1537" i="16"/>
  <c r="A1538" i="16"/>
  <c r="A1541" i="16"/>
  <c r="A1569" i="16"/>
  <c r="A1605" i="16"/>
  <c r="A1600" i="16"/>
  <c r="A1592" i="16"/>
  <c r="A1588" i="16"/>
  <c r="A1584" i="16"/>
  <c r="A1606" i="16"/>
  <c r="A1604" i="16"/>
  <c r="F1598" i="16"/>
  <c r="A1591" i="16"/>
  <c r="A1587" i="16"/>
  <c r="A1583" i="16"/>
  <c r="A1603" i="16"/>
  <c r="A1602" i="16"/>
  <c r="A1601" i="16"/>
  <c r="A1598" i="16"/>
  <c r="A1590" i="16"/>
  <c r="A1586" i="16"/>
  <c r="Q1599" i="16"/>
  <c r="A1629" i="16"/>
  <c r="A1665" i="16"/>
  <c r="A1660" i="16"/>
  <c r="A1652" i="16"/>
  <c r="A1648" i="16"/>
  <c r="A1644" i="16"/>
  <c r="A1666" i="16"/>
  <c r="A1664" i="16"/>
  <c r="F1658" i="16"/>
  <c r="A1651" i="16"/>
  <c r="A1647" i="16"/>
  <c r="A1643" i="16"/>
  <c r="A1663" i="16"/>
  <c r="A1662" i="16"/>
  <c r="A1661" i="16"/>
  <c r="A1658" i="16"/>
  <c r="A1650" i="16"/>
  <c r="A1646" i="16"/>
  <c r="Q1659" i="16"/>
  <c r="A1689" i="16"/>
  <c r="A1725" i="16"/>
  <c r="A1720" i="16"/>
  <c r="A1712" i="16"/>
  <c r="A1708" i="16"/>
  <c r="A1704" i="16"/>
  <c r="A1726" i="16"/>
  <c r="A1724" i="16"/>
  <c r="F1718" i="16"/>
  <c r="A1711" i="16"/>
  <c r="A1707" i="16"/>
  <c r="A1703" i="16"/>
  <c r="A1723" i="16"/>
  <c r="A1722" i="16"/>
  <c r="A1721" i="16"/>
  <c r="A1718" i="16"/>
  <c r="A1710" i="16"/>
  <c r="A1706" i="16"/>
  <c r="Q1719" i="16"/>
  <c r="A1749" i="16"/>
  <c r="A1785" i="16"/>
  <c r="A1780" i="16"/>
  <c r="A1772" i="16"/>
  <c r="A1768" i="16"/>
  <c r="A1764" i="16"/>
  <c r="A1786" i="16"/>
  <c r="A1784" i="16"/>
  <c r="F1778" i="16"/>
  <c r="A1771" i="16"/>
  <c r="A1767" i="16"/>
  <c r="A1763" i="16"/>
  <c r="A1783" i="16"/>
  <c r="A1782" i="16"/>
  <c r="A1781" i="16"/>
  <c r="A1778" i="16"/>
  <c r="A1770" i="16"/>
  <c r="A1766" i="16"/>
  <c r="Q1779" i="16"/>
  <c r="A1809" i="16"/>
  <c r="A1845" i="16"/>
  <c r="A1840" i="16"/>
  <c r="A1832" i="16"/>
  <c r="A1828" i="16"/>
  <c r="A1824" i="16"/>
  <c r="A1846" i="16"/>
  <c r="A1844" i="16"/>
  <c r="F1838" i="16"/>
  <c r="A1831" i="16"/>
  <c r="A1827" i="16"/>
  <c r="A1823" i="16"/>
  <c r="A1843" i="16"/>
  <c r="A1842" i="16"/>
  <c r="A1841" i="16"/>
  <c r="A1838" i="16"/>
  <c r="A1830" i="16"/>
  <c r="A1826" i="16"/>
  <c r="Q1839" i="16"/>
  <c r="Q1944" i="16"/>
  <c r="Q1959" i="16"/>
  <c r="O1965" i="16"/>
  <c r="Q2064" i="16"/>
  <c r="Q2079" i="16"/>
  <c r="O2085" i="16"/>
  <c r="O2295" i="16"/>
  <c r="Q2394" i="16"/>
  <c r="Q2409" i="16"/>
  <c r="A1855" i="16"/>
  <c r="A1859" i="16"/>
  <c r="A1867" i="16"/>
  <c r="A1869" i="16"/>
  <c r="A1885" i="16"/>
  <c r="A1889" i="16"/>
  <c r="A1897" i="16"/>
  <c r="A1899" i="16"/>
  <c r="A1915" i="16"/>
  <c r="A1919" i="16"/>
  <c r="A1927" i="16"/>
  <c r="A1929" i="16"/>
  <c r="A1945" i="16"/>
  <c r="A1949" i="16"/>
  <c r="A1957" i="16"/>
  <c r="A1959" i="16"/>
  <c r="A1975" i="16"/>
  <c r="A1979" i="16"/>
  <c r="A1987" i="16"/>
  <c r="A1989" i="16"/>
  <c r="A2005" i="16"/>
  <c r="A2009" i="16"/>
  <c r="A2017" i="16"/>
  <c r="A2019" i="16"/>
  <c r="A2035" i="16"/>
  <c r="A2039" i="16"/>
  <c r="A2047" i="16"/>
  <c r="A2049" i="16"/>
  <c r="A2065" i="16"/>
  <c r="A2069" i="16"/>
  <c r="A2077" i="16"/>
  <c r="A2079" i="16"/>
  <c r="A2095" i="16"/>
  <c r="A2099" i="16"/>
  <c r="A2107" i="16"/>
  <c r="A2109" i="16"/>
  <c r="A2125" i="16"/>
  <c r="A2129" i="16"/>
  <c r="A2137" i="16"/>
  <c r="A2139" i="16"/>
  <c r="A2155" i="16"/>
  <c r="A2159" i="16"/>
  <c r="A2167" i="16"/>
  <c r="A2169" i="16"/>
  <c r="A2185" i="16"/>
  <c r="A2189" i="16"/>
  <c r="A2197" i="16"/>
  <c r="A2199" i="16"/>
  <c r="A2215" i="16"/>
  <c r="A2219" i="16"/>
  <c r="A2227" i="16"/>
  <c r="A2229" i="16"/>
  <c r="A2245" i="16"/>
  <c r="A2249" i="16"/>
  <c r="A2257" i="16"/>
  <c r="A2259" i="16"/>
  <c r="A2275" i="16"/>
  <c r="A2279" i="16"/>
  <c r="A2287" i="16"/>
  <c r="A2289" i="16"/>
  <c r="A2305" i="16"/>
  <c r="A2309" i="16"/>
  <c r="A2317" i="16"/>
  <c r="A2319" i="16"/>
  <c r="A2335" i="16"/>
  <c r="A2339" i="16"/>
  <c r="A2347" i="16"/>
  <c r="A2349" i="16"/>
  <c r="A2365" i="16"/>
  <c r="A2369" i="16"/>
  <c r="A2377" i="16"/>
  <c r="A2379" i="16"/>
  <c r="A2395" i="16"/>
  <c r="A2399" i="16"/>
  <c r="A2407" i="16"/>
  <c r="A2409" i="16"/>
  <c r="Q2529" i="16"/>
  <c r="Q2513" i="16"/>
  <c r="Q2589" i="16"/>
  <c r="Q2573" i="16"/>
  <c r="Q2649" i="16"/>
  <c r="Q2633" i="16"/>
  <c r="H2743" i="16"/>
  <c r="AB2744" i="16"/>
  <c r="K2743" i="16"/>
  <c r="G2743" i="16"/>
  <c r="J2743" i="16"/>
  <c r="F2743" i="16"/>
  <c r="A3616" i="16"/>
  <c r="A3614" i="16"/>
  <c r="F3608" i="16"/>
  <c r="A3601" i="16"/>
  <c r="A3597" i="16"/>
  <c r="A3593" i="16"/>
  <c r="A3613" i="16"/>
  <c r="A3612" i="16"/>
  <c r="A3611" i="16"/>
  <c r="A3608" i="16"/>
  <c r="A3600" i="16"/>
  <c r="A3596" i="16"/>
  <c r="A3615" i="16"/>
  <c r="A3610" i="16"/>
  <c r="A3599" i="16"/>
  <c r="A3598" i="16"/>
  <c r="A3594" i="16"/>
  <c r="A3595" i="16"/>
  <c r="A3602" i="16"/>
  <c r="A3607" i="16"/>
  <c r="O3615" i="16"/>
  <c r="Q3639" i="16"/>
  <c r="Q3623" i="16"/>
  <c r="Q3863" i="16"/>
  <c r="Q3879" i="16"/>
  <c r="D3945" i="16"/>
  <c r="AA3944" i="16"/>
  <c r="D3940" i="16"/>
  <c r="AA3945" i="16"/>
  <c r="D3944" i="16"/>
  <c r="AA3943" i="16"/>
  <c r="I3938" i="16"/>
  <c r="D3943" i="16"/>
  <c r="D3942" i="16"/>
  <c r="AA3946" i="16"/>
  <c r="AA3942" i="16"/>
  <c r="D3941" i="16"/>
  <c r="D4185" i="16"/>
  <c r="AA4184" i="16"/>
  <c r="D4180" i="16"/>
  <c r="AA4185" i="16"/>
  <c r="D4184" i="16"/>
  <c r="AA4183" i="16"/>
  <c r="I4178" i="16"/>
  <c r="D4183" i="16"/>
  <c r="D4182" i="16"/>
  <c r="AA4186" i="16"/>
  <c r="AA4182" i="16"/>
  <c r="D4181" i="16"/>
  <c r="AA4426" i="16"/>
  <c r="A5533" i="16"/>
  <c r="A5532" i="16"/>
  <c r="A5531" i="16"/>
  <c r="A5528" i="16"/>
  <c r="A5520" i="16"/>
  <c r="A5516" i="16"/>
  <c r="A5529" i="16"/>
  <c r="A5518" i="16"/>
  <c r="A5517" i="16"/>
  <c r="A5515" i="16"/>
  <c r="A5535" i="16"/>
  <c r="A5530" i="16"/>
  <c r="A5514" i="16"/>
  <c r="A5513" i="16"/>
  <c r="A5534" i="16"/>
  <c r="A5527" i="16"/>
  <c r="A5522" i="16"/>
  <c r="A5536" i="16"/>
  <c r="F5528" i="16"/>
  <c r="A5519" i="16"/>
  <c r="A5521" i="16"/>
  <c r="M83" i="16"/>
  <c r="P83" i="16" s="1"/>
  <c r="A1856" i="16"/>
  <c r="A1860" i="16"/>
  <c r="A1868" i="16"/>
  <c r="A1871" i="16"/>
  <c r="A1872" i="16"/>
  <c r="A1873" i="16"/>
  <c r="A1886" i="16"/>
  <c r="A1890" i="16"/>
  <c r="A1898" i="16"/>
  <c r="A1901" i="16"/>
  <c r="A1902" i="16"/>
  <c r="A1903" i="16"/>
  <c r="A1916" i="16"/>
  <c r="A1920" i="16"/>
  <c r="A1928" i="16"/>
  <c r="A1931" i="16"/>
  <c r="A1932" i="16"/>
  <c r="A1933" i="16"/>
  <c r="A1946" i="16"/>
  <c r="A1950" i="16"/>
  <c r="A1958" i="16"/>
  <c r="A1961" i="16"/>
  <c r="A1962" i="16"/>
  <c r="A1963" i="16"/>
  <c r="A1976" i="16"/>
  <c r="A1980" i="16"/>
  <c r="A1988" i="16"/>
  <c r="A1991" i="16"/>
  <c r="A1992" i="16"/>
  <c r="A1993" i="16"/>
  <c r="A2006" i="16"/>
  <c r="A2010" i="16"/>
  <c r="A2018" i="16"/>
  <c r="A2021" i="16"/>
  <c r="A2022" i="16"/>
  <c r="A2023" i="16"/>
  <c r="A2036" i="16"/>
  <c r="A2040" i="16"/>
  <c r="A2048" i="16"/>
  <c r="A2051" i="16"/>
  <c r="A2052" i="16"/>
  <c r="A2053" i="16"/>
  <c r="A2066" i="16"/>
  <c r="A2070" i="16"/>
  <c r="A2078" i="16"/>
  <c r="A2081" i="16"/>
  <c r="A2082" i="16"/>
  <c r="A2083" i="16"/>
  <c r="A2096" i="16"/>
  <c r="A2100" i="16"/>
  <c r="A2108" i="16"/>
  <c r="A2111" i="16"/>
  <c r="A2112" i="16"/>
  <c r="A2113" i="16"/>
  <c r="A2126" i="16"/>
  <c r="A2130" i="16"/>
  <c r="A2138" i="16"/>
  <c r="A2141" i="16"/>
  <c r="A2142" i="16"/>
  <c r="A2143" i="16"/>
  <c r="A2156" i="16"/>
  <c r="A2160" i="16"/>
  <c r="A2168" i="16"/>
  <c r="A2171" i="16"/>
  <c r="A2172" i="16"/>
  <c r="A2173" i="16"/>
  <c r="A2186" i="16"/>
  <c r="A2190" i="16"/>
  <c r="A2198" i="16"/>
  <c r="A2201" i="16"/>
  <c r="A2202" i="16"/>
  <c r="A2203" i="16"/>
  <c r="A2216" i="16"/>
  <c r="A2220" i="16"/>
  <c r="A2228" i="16"/>
  <c r="A2231" i="16"/>
  <c r="A2232" i="16"/>
  <c r="A2233" i="16"/>
  <c r="A2246" i="16"/>
  <c r="A2250" i="16"/>
  <c r="A2258" i="16"/>
  <c r="A2261" i="16"/>
  <c r="A2262" i="16"/>
  <c r="A2263" i="16"/>
  <c r="A2276" i="16"/>
  <c r="A2280" i="16"/>
  <c r="A2288" i="16"/>
  <c r="A2291" i="16"/>
  <c r="A2292" i="16"/>
  <c r="A2293" i="16"/>
  <c r="A2306" i="16"/>
  <c r="A2310" i="16"/>
  <c r="A2318" i="16"/>
  <c r="A2321" i="16"/>
  <c r="A2322" i="16"/>
  <c r="A2323" i="16"/>
  <c r="A2336" i="16"/>
  <c r="A2340" i="16"/>
  <c r="A2348" i="16"/>
  <c r="A2351" i="16"/>
  <c r="A2352" i="16"/>
  <c r="A2353" i="16"/>
  <c r="A2366" i="16"/>
  <c r="A2370" i="16"/>
  <c r="A2378" i="16"/>
  <c r="A2381" i="16"/>
  <c r="A2382" i="16"/>
  <c r="A2383" i="16"/>
  <c r="A2396" i="16"/>
  <c r="A2400" i="16"/>
  <c r="A2408" i="16"/>
  <c r="A2414" i="16"/>
  <c r="Q2499" i="16"/>
  <c r="Q2739" i="16"/>
  <c r="Q2723" i="16"/>
  <c r="E2743" i="16"/>
  <c r="K2744" i="16"/>
  <c r="G2744" i="16"/>
  <c r="J2744" i="16"/>
  <c r="F2744" i="16"/>
  <c r="AB2745" i="16"/>
  <c r="AD2745" i="16" s="1"/>
  <c r="I2744" i="16"/>
  <c r="E2744" i="16"/>
  <c r="Q2799" i="16"/>
  <c r="Q2783" i="16"/>
  <c r="Q2859" i="16"/>
  <c r="Q2843" i="16"/>
  <c r="K2864" i="16"/>
  <c r="G2864" i="16"/>
  <c r="J2864" i="16"/>
  <c r="F2864" i="16"/>
  <c r="AB2865" i="16"/>
  <c r="AD2865" i="16" s="1"/>
  <c r="I2864" i="16"/>
  <c r="E2864" i="16"/>
  <c r="Q2919" i="16"/>
  <c r="Q2903" i="16"/>
  <c r="Q2979" i="16"/>
  <c r="Q2963" i="16"/>
  <c r="Q3039" i="16"/>
  <c r="Q3023" i="16"/>
  <c r="Q3099" i="16"/>
  <c r="Q3083" i="16"/>
  <c r="Q3159" i="16"/>
  <c r="Q3143" i="16"/>
  <c r="Q3219" i="16"/>
  <c r="Q3203" i="16"/>
  <c r="Q3279" i="16"/>
  <c r="Q3263" i="16"/>
  <c r="G3314" i="16"/>
  <c r="A3676" i="16"/>
  <c r="A3674" i="16"/>
  <c r="F3668" i="16"/>
  <c r="A3661" i="16"/>
  <c r="A3657" i="16"/>
  <c r="A3653" i="16"/>
  <c r="A3673" i="16"/>
  <c r="A3672" i="16"/>
  <c r="A3671" i="16"/>
  <c r="A3668" i="16"/>
  <c r="A3660" i="16"/>
  <c r="A3656" i="16"/>
  <c r="A3675" i="16"/>
  <c r="A3670" i="16"/>
  <c r="A3659" i="16"/>
  <c r="A3658" i="16"/>
  <c r="A3654" i="16"/>
  <c r="A3655" i="16"/>
  <c r="A3662" i="16"/>
  <c r="A3667" i="16"/>
  <c r="O3675" i="16"/>
  <c r="Q3699" i="16"/>
  <c r="Q3683" i="16"/>
  <c r="Q3909" i="16"/>
  <c r="AA3941" i="16"/>
  <c r="Q4149" i="16"/>
  <c r="AA4181" i="16"/>
  <c r="Q4389" i="16"/>
  <c r="Q1583" i="16"/>
  <c r="Q1613" i="16"/>
  <c r="Q1643" i="16"/>
  <c r="Q1673" i="16"/>
  <c r="Q1703" i="16"/>
  <c r="Q1733" i="16"/>
  <c r="Q1763" i="16"/>
  <c r="Q1793" i="16"/>
  <c r="Q1823" i="16"/>
  <c r="A1853" i="16"/>
  <c r="Q1853" i="16"/>
  <c r="A1857" i="16"/>
  <c r="A1861" i="16"/>
  <c r="F1868" i="16"/>
  <c r="A1874" i="16"/>
  <c r="A1876" i="16"/>
  <c r="A1883" i="16"/>
  <c r="Q1883" i="16"/>
  <c r="A1887" i="16"/>
  <c r="A1891" i="16"/>
  <c r="F1898" i="16"/>
  <c r="A1904" i="16"/>
  <c r="A1906" i="16"/>
  <c r="A1913" i="16"/>
  <c r="A1917" i="16"/>
  <c r="A1921" i="16"/>
  <c r="F1928" i="16"/>
  <c r="A1934" i="16"/>
  <c r="A1936" i="16"/>
  <c r="A1943" i="16"/>
  <c r="A1947" i="16"/>
  <c r="A1951" i="16"/>
  <c r="F1958" i="16"/>
  <c r="A1964" i="16"/>
  <c r="A1966" i="16"/>
  <c r="A1973" i="16"/>
  <c r="A1977" i="16"/>
  <c r="A1981" i="16"/>
  <c r="F1988" i="16"/>
  <c r="A1994" i="16"/>
  <c r="A1996" i="16"/>
  <c r="A2003" i="16"/>
  <c r="A2007" i="16"/>
  <c r="A2011" i="16"/>
  <c r="F2018" i="16"/>
  <c r="A2024" i="16"/>
  <c r="A2026" i="16"/>
  <c r="A2033" i="16"/>
  <c r="A2037" i="16"/>
  <c r="A2041" i="16"/>
  <c r="F2048" i="16"/>
  <c r="A2054" i="16"/>
  <c r="A2056" i="16"/>
  <c r="A2063" i="16"/>
  <c r="A2067" i="16"/>
  <c r="A2071" i="16"/>
  <c r="F2078" i="16"/>
  <c r="A2084" i="16"/>
  <c r="A2086" i="16"/>
  <c r="A2093" i="16"/>
  <c r="A2097" i="16"/>
  <c r="A2101" i="16"/>
  <c r="F2108" i="16"/>
  <c r="A2114" i="16"/>
  <c r="A2116" i="16"/>
  <c r="A2123" i="16"/>
  <c r="A2127" i="16"/>
  <c r="A2131" i="16"/>
  <c r="F2138" i="16"/>
  <c r="A2144" i="16"/>
  <c r="A2146" i="16"/>
  <c r="A2153" i="16"/>
  <c r="A2157" i="16"/>
  <c r="A2161" i="16"/>
  <c r="F2168" i="16"/>
  <c r="A2174" i="16"/>
  <c r="A2176" i="16"/>
  <c r="A2183" i="16"/>
  <c r="Q2183" i="16"/>
  <c r="A2187" i="16"/>
  <c r="A2191" i="16"/>
  <c r="F2198" i="16"/>
  <c r="A2204" i="16"/>
  <c r="A2206" i="16"/>
  <c r="A2213" i="16"/>
  <c r="Q2213" i="16"/>
  <c r="A2217" i="16"/>
  <c r="A2221" i="16"/>
  <c r="F2228" i="16"/>
  <c r="A2234" i="16"/>
  <c r="A2236" i="16"/>
  <c r="A2243" i="16"/>
  <c r="Q2243" i="16"/>
  <c r="A2247" i="16"/>
  <c r="A2251" i="16"/>
  <c r="F2258" i="16"/>
  <c r="A2264" i="16"/>
  <c r="A2266" i="16"/>
  <c r="A2273" i="16"/>
  <c r="A2277" i="16"/>
  <c r="A2281" i="16"/>
  <c r="F2288" i="16"/>
  <c r="A2294" i="16"/>
  <c r="A2296" i="16"/>
  <c r="A2303" i="16"/>
  <c r="A2307" i="16"/>
  <c r="A2311" i="16"/>
  <c r="F2318" i="16"/>
  <c r="A2324" i="16"/>
  <c r="A2326" i="16"/>
  <c r="A2333" i="16"/>
  <c r="A2337" i="16"/>
  <c r="A2341" i="16"/>
  <c r="F2348" i="16"/>
  <c r="A2354" i="16"/>
  <c r="A2356" i="16"/>
  <c r="A2363" i="16"/>
  <c r="A2367" i="16"/>
  <c r="A2371" i="16"/>
  <c r="F2378" i="16"/>
  <c r="A2384" i="16"/>
  <c r="A2386" i="16"/>
  <c r="A2393" i="16"/>
  <c r="A2397" i="16"/>
  <c r="A2401" i="16"/>
  <c r="F2408" i="16"/>
  <c r="A2411" i="16"/>
  <c r="Q2439" i="16"/>
  <c r="Q2469" i="16"/>
  <c r="K2534" i="16"/>
  <c r="G2534" i="16"/>
  <c r="AB2535" i="16"/>
  <c r="AD2535" i="16" s="1"/>
  <c r="I2534" i="16"/>
  <c r="E2534" i="16"/>
  <c r="G2713" i="16"/>
  <c r="I2743" i="16"/>
  <c r="H2744" i="16"/>
  <c r="H2864" i="16"/>
  <c r="A3736" i="16"/>
  <c r="A3734" i="16"/>
  <c r="F3728" i="16"/>
  <c r="A3721" i="16"/>
  <c r="A3717" i="16"/>
  <c r="A3713" i="16"/>
  <c r="A3733" i="16"/>
  <c r="A3732" i="16"/>
  <c r="A3731" i="16"/>
  <c r="A3728" i="16"/>
  <c r="A3720" i="16"/>
  <c r="A3716" i="16"/>
  <c r="A3735" i="16"/>
  <c r="A3730" i="16"/>
  <c r="A3719" i="16"/>
  <c r="A3718" i="16"/>
  <c r="A3714" i="16"/>
  <c r="A3715" i="16"/>
  <c r="A3722" i="16"/>
  <c r="A3727" i="16"/>
  <c r="O3735" i="16"/>
  <c r="Q3759" i="16"/>
  <c r="Q3743" i="16"/>
  <c r="D4065" i="16"/>
  <c r="D4064" i="16"/>
  <c r="D4062" i="16"/>
  <c r="D4305" i="16"/>
  <c r="AA4304" i="16"/>
  <c r="D4300" i="16"/>
  <c r="AA4305" i="16"/>
  <c r="D4304" i="16"/>
  <c r="AA4303" i="16"/>
  <c r="I4298" i="16"/>
  <c r="D4303" i="16"/>
  <c r="D4302" i="16"/>
  <c r="AA4306" i="16"/>
  <c r="AA4302" i="16"/>
  <c r="D4301" i="16"/>
  <c r="D4545" i="16"/>
  <c r="AA4544" i="16"/>
  <c r="D4540" i="16"/>
  <c r="AA4545" i="16"/>
  <c r="D4544" i="16"/>
  <c r="AA4543" i="16"/>
  <c r="I4538" i="16"/>
  <c r="D4543" i="16"/>
  <c r="D4542" i="16"/>
  <c r="AA4546" i="16"/>
  <c r="AA4542" i="16"/>
  <c r="D4541" i="16"/>
  <c r="Q5034" i="16"/>
  <c r="Q5049" i="16"/>
  <c r="AA5056" i="16"/>
  <c r="AA5054" i="16"/>
  <c r="AA5052" i="16"/>
  <c r="AA5051" i="16"/>
  <c r="AA5055" i="16"/>
  <c r="D5055" i="16"/>
  <c r="D5053" i="16"/>
  <c r="D5052" i="16"/>
  <c r="D5050" i="16"/>
  <c r="AA5053" i="16"/>
  <c r="D5051" i="16"/>
  <c r="I5048" i="16"/>
  <c r="Y5047" i="16"/>
  <c r="Y5050" i="16" s="1"/>
  <c r="Y5056" i="16" s="1"/>
  <c r="D5054" i="16"/>
  <c r="Q5109" i="16"/>
  <c r="I5140" i="16"/>
  <c r="E5140" i="16"/>
  <c r="K5140" i="16"/>
  <c r="F5140" i="16"/>
  <c r="J5140" i="16"/>
  <c r="AB5141" i="16"/>
  <c r="H5140" i="16"/>
  <c r="G5140" i="16"/>
  <c r="I5228" i="16"/>
  <c r="A1854" i="16"/>
  <c r="A1858" i="16"/>
  <c r="A1862" i="16"/>
  <c r="A1870" i="16"/>
  <c r="A1884" i="16"/>
  <c r="A1888" i="16"/>
  <c r="A1892" i="16"/>
  <c r="A1900" i="16"/>
  <c r="A1914" i="16"/>
  <c r="A1918" i="16"/>
  <c r="A1922" i="16"/>
  <c r="A1930" i="16"/>
  <c r="A1944" i="16"/>
  <c r="A1948" i="16"/>
  <c r="A1952" i="16"/>
  <c r="A1960" i="16"/>
  <c r="A1974" i="16"/>
  <c r="A1978" i="16"/>
  <c r="A1982" i="16"/>
  <c r="A1990" i="16"/>
  <c r="A2004" i="16"/>
  <c r="A2008" i="16"/>
  <c r="A2012" i="16"/>
  <c r="A2020" i="16"/>
  <c r="A2034" i="16"/>
  <c r="A2038" i="16"/>
  <c r="A2042" i="16"/>
  <c r="A2050" i="16"/>
  <c r="A2064" i="16"/>
  <c r="A2068" i="16"/>
  <c r="A2072" i="16"/>
  <c r="A2080" i="16"/>
  <c r="A2094" i="16"/>
  <c r="A2098" i="16"/>
  <c r="A2102" i="16"/>
  <c r="A2110" i="16"/>
  <c r="A2124" i="16"/>
  <c r="A2128" i="16"/>
  <c r="A2132" i="16"/>
  <c r="A2140" i="16"/>
  <c r="A2154" i="16"/>
  <c r="A2158" i="16"/>
  <c r="A2162" i="16"/>
  <c r="A2170" i="16"/>
  <c r="A2184" i="16"/>
  <c r="A2188" i="16"/>
  <c r="A2192" i="16"/>
  <c r="A2200" i="16"/>
  <c r="A2214" i="16"/>
  <c r="A2218" i="16"/>
  <c r="A2222" i="16"/>
  <c r="A2230" i="16"/>
  <c r="A2244" i="16"/>
  <c r="A2248" i="16"/>
  <c r="A2252" i="16"/>
  <c r="A2260" i="16"/>
  <c r="A2274" i="16"/>
  <c r="A2278" i="16"/>
  <c r="A2282" i="16"/>
  <c r="A2290" i="16"/>
  <c r="A2304" i="16"/>
  <c r="A2308" i="16"/>
  <c r="A2312" i="16"/>
  <c r="A2320" i="16"/>
  <c r="A2334" i="16"/>
  <c r="A2338" i="16"/>
  <c r="A2342" i="16"/>
  <c r="A2350" i="16"/>
  <c r="A2364" i="16"/>
  <c r="A2368" i="16"/>
  <c r="A2372" i="16"/>
  <c r="A2380" i="16"/>
  <c r="A2394" i="16"/>
  <c r="A2398" i="16"/>
  <c r="A2402" i="16"/>
  <c r="A2410" i="16"/>
  <c r="A2412" i="16"/>
  <c r="A2413" i="16"/>
  <c r="A2415" i="16"/>
  <c r="D2445" i="16"/>
  <c r="AA2444" i="16"/>
  <c r="D2440" i="16"/>
  <c r="D2441" i="16"/>
  <c r="AA2443" i="16"/>
  <c r="D2475" i="16"/>
  <c r="AA2474" i="16"/>
  <c r="D2470" i="16"/>
  <c r="D2471" i="16"/>
  <c r="AA2473" i="16"/>
  <c r="F2534" i="16"/>
  <c r="Q2709" i="16"/>
  <c r="Q2693" i="16"/>
  <c r="Q2769" i="16"/>
  <c r="Q2753" i="16"/>
  <c r="Q2829" i="16"/>
  <c r="Q2813" i="16"/>
  <c r="E2833" i="16"/>
  <c r="Q2889" i="16"/>
  <c r="Q2873" i="16"/>
  <c r="Q2949" i="16"/>
  <c r="Q2933" i="16"/>
  <c r="Q3009" i="16"/>
  <c r="Q2993" i="16"/>
  <c r="Q3069" i="16"/>
  <c r="Q3053" i="16"/>
  <c r="Q3129" i="16"/>
  <c r="Q3113" i="16"/>
  <c r="Q3189" i="16"/>
  <c r="Q3173" i="16"/>
  <c r="Q3249" i="16"/>
  <c r="Q3233" i="16"/>
  <c r="Q3309" i="16"/>
  <c r="Q3293" i="16"/>
  <c r="G3313" i="16"/>
  <c r="O3315" i="16"/>
  <c r="Q3339" i="16"/>
  <c r="Q3323" i="16"/>
  <c r="Q3369" i="16"/>
  <c r="Q3353" i="16"/>
  <c r="O3375" i="16"/>
  <c r="Q3399" i="16"/>
  <c r="Q3383" i="16"/>
  <c r="O3405" i="16"/>
  <c r="Q3429" i="16"/>
  <c r="Q3413" i="16"/>
  <c r="O3435" i="16"/>
  <c r="Q3459" i="16"/>
  <c r="Q3443" i="16"/>
  <c r="O3465" i="16"/>
  <c r="Q3489" i="16"/>
  <c r="Q3473" i="16"/>
  <c r="O3495" i="16"/>
  <c r="Q3519" i="16"/>
  <c r="Q3503" i="16"/>
  <c r="O3525" i="16"/>
  <c r="Q3549" i="16"/>
  <c r="Q3533" i="16"/>
  <c r="O3555" i="16"/>
  <c r="Q3579" i="16"/>
  <c r="Q3563" i="16"/>
  <c r="A3609" i="16"/>
  <c r="A3796" i="16"/>
  <c r="A3794" i="16"/>
  <c r="F3788" i="16"/>
  <c r="A3781" i="16"/>
  <c r="A3777" i="16"/>
  <c r="A3773" i="16"/>
  <c r="A3793" i="16"/>
  <c r="A3792" i="16"/>
  <c r="A3791" i="16"/>
  <c r="A3788" i="16"/>
  <c r="A3780" i="16"/>
  <c r="A3776" i="16"/>
  <c r="A3795" i="16"/>
  <c r="A3790" i="16"/>
  <c r="A3779" i="16"/>
  <c r="A3778" i="16"/>
  <c r="A3774" i="16"/>
  <c r="A3775" i="16"/>
  <c r="A3782" i="16"/>
  <c r="A3787" i="16"/>
  <c r="O3795" i="16"/>
  <c r="Q3819" i="16"/>
  <c r="Q3803" i="16"/>
  <c r="A3854" i="16"/>
  <c r="F3848" i="16"/>
  <c r="A3841" i="16"/>
  <c r="A3837" i="16"/>
  <c r="A3833" i="16"/>
  <c r="A3852" i="16"/>
  <c r="A3851" i="16"/>
  <c r="A3848" i="16"/>
  <c r="A3840" i="16"/>
  <c r="A3836" i="16"/>
  <c r="A3856" i="16"/>
  <c r="A3853" i="16"/>
  <c r="A3850" i="16"/>
  <c r="A3839" i="16"/>
  <c r="A3838" i="16"/>
  <c r="A3834" i="16"/>
  <c r="A3835" i="16"/>
  <c r="A3842" i="16"/>
  <c r="A3847" i="16"/>
  <c r="Q4029" i="16"/>
  <c r="Q4269" i="16"/>
  <c r="AA4301" i="16"/>
  <c r="Q4509" i="16"/>
  <c r="AA4541" i="16"/>
  <c r="Q4689" i="16"/>
  <c r="Q4673" i="16"/>
  <c r="Q4719" i="16"/>
  <c r="Q4703" i="16"/>
  <c r="Q4974" i="16"/>
  <c r="Q4989" i="16"/>
  <c r="AA4996" i="16"/>
  <c r="AA4994" i="16"/>
  <c r="AA4992" i="16"/>
  <c r="AA4991" i="16"/>
  <c r="AA4995" i="16"/>
  <c r="D4995" i="16"/>
  <c r="D4993" i="16"/>
  <c r="D4992" i="16"/>
  <c r="D4990" i="16"/>
  <c r="AA4993" i="16"/>
  <c r="D4991" i="16"/>
  <c r="I4988" i="16"/>
  <c r="Y4987" i="16"/>
  <c r="Y4990" i="16" s="1"/>
  <c r="Y4996" i="16" s="1"/>
  <c r="D4994" i="16"/>
  <c r="M88" i="16"/>
  <c r="P88" i="16" s="1"/>
  <c r="Q88" i="16" s="1"/>
  <c r="M264" i="16"/>
  <c r="P264" i="16" s="1"/>
  <c r="Q264" i="16" s="1"/>
  <c r="M266" i="16"/>
  <c r="P266" i="16" s="1"/>
  <c r="Q266" i="16" s="1"/>
  <c r="A2425" i="16"/>
  <c r="A2429" i="16"/>
  <c r="A2437" i="16"/>
  <c r="A2455" i="16"/>
  <c r="A2459" i="16"/>
  <c r="A2467" i="16"/>
  <c r="A2485" i="16"/>
  <c r="A2489" i="16"/>
  <c r="A2497" i="16"/>
  <c r="D2500" i="16"/>
  <c r="AA2504" i="16"/>
  <c r="D2505" i="16"/>
  <c r="A2515" i="16"/>
  <c r="A2519" i="16"/>
  <c r="A2527" i="16"/>
  <c r="D2530" i="16"/>
  <c r="AA2534" i="16"/>
  <c r="D2535" i="16"/>
  <c r="A2545" i="16"/>
  <c r="A2549" i="16"/>
  <c r="A2557" i="16"/>
  <c r="D2560" i="16"/>
  <c r="AA2564" i="16"/>
  <c r="D2565" i="16"/>
  <c r="A2575" i="16"/>
  <c r="A2579" i="16"/>
  <c r="A2587" i="16"/>
  <c r="D2590" i="16"/>
  <c r="AA2594" i="16"/>
  <c r="D2595" i="16"/>
  <c r="A2605" i="16"/>
  <c r="A2609" i="16"/>
  <c r="A2617" i="16"/>
  <c r="D2625" i="16"/>
  <c r="A2635" i="16"/>
  <c r="A2639" i="16"/>
  <c r="A2647" i="16"/>
  <c r="D2650" i="16"/>
  <c r="A2665" i="16"/>
  <c r="A2669" i="16"/>
  <c r="A2677" i="16"/>
  <c r="A2679" i="16"/>
  <c r="D2680" i="16"/>
  <c r="AA2684" i="16"/>
  <c r="D2685" i="16"/>
  <c r="A2695" i="16"/>
  <c r="A2699" i="16"/>
  <c r="A2707" i="16"/>
  <c r="D2710" i="16"/>
  <c r="AA2714" i="16"/>
  <c r="D2715" i="16"/>
  <c r="A2725" i="16"/>
  <c r="A2729" i="16"/>
  <c r="A2737" i="16"/>
  <c r="D2740" i="16"/>
  <c r="AA2744" i="16"/>
  <c r="AD2744" i="16" s="1"/>
  <c r="D2745" i="16"/>
  <c r="A2755" i="16"/>
  <c r="A2759" i="16"/>
  <c r="A2767" i="16"/>
  <c r="D2770" i="16"/>
  <c r="AA2774" i="16"/>
  <c r="D2775" i="16"/>
  <c r="A2785" i="16"/>
  <c r="A2789" i="16"/>
  <c r="A2797" i="16"/>
  <c r="AA2804" i="16"/>
  <c r="A2815" i="16"/>
  <c r="A2819" i="16"/>
  <c r="A2827" i="16"/>
  <c r="D2830" i="16"/>
  <c r="AA2834" i="16"/>
  <c r="D2835" i="16"/>
  <c r="A2845" i="16"/>
  <c r="A2849" i="16"/>
  <c r="A2857" i="16"/>
  <c r="D2860" i="16"/>
  <c r="AA2864" i="16"/>
  <c r="D2865" i="16"/>
  <c r="A2875" i="16"/>
  <c r="A2879" i="16"/>
  <c r="A2887" i="16"/>
  <c r="A2905" i="16"/>
  <c r="A2909" i="16"/>
  <c r="A2917" i="16"/>
  <c r="D2920" i="16"/>
  <c r="AA2924" i="16"/>
  <c r="D2925" i="16"/>
  <c r="A2935" i="16"/>
  <c r="A2939" i="16"/>
  <c r="A2947" i="16"/>
  <c r="D2950" i="16"/>
  <c r="AA2954" i="16"/>
  <c r="D2955" i="16"/>
  <c r="A2965" i="16"/>
  <c r="A2969" i="16"/>
  <c r="A2977" i="16"/>
  <c r="AA2984" i="16"/>
  <c r="A2995" i="16"/>
  <c r="A2999" i="16"/>
  <c r="A3007" i="16"/>
  <c r="D3010" i="16"/>
  <c r="AA3014" i="16"/>
  <c r="D3015" i="16"/>
  <c r="A3025" i="16"/>
  <c r="A3029" i="16"/>
  <c r="A3037" i="16"/>
  <c r="D3040" i="16"/>
  <c r="AA3044" i="16"/>
  <c r="D3045" i="16"/>
  <c r="A3055" i="16"/>
  <c r="A3059" i="16"/>
  <c r="A3067" i="16"/>
  <c r="A3085" i="16"/>
  <c r="A3089" i="16"/>
  <c r="A3097" i="16"/>
  <c r="D3100" i="16"/>
  <c r="AA3104" i="16"/>
  <c r="D3105" i="16"/>
  <c r="A3115" i="16"/>
  <c r="A3119" i="16"/>
  <c r="A3127" i="16"/>
  <c r="A3145" i="16"/>
  <c r="A3149" i="16"/>
  <c r="A3157" i="16"/>
  <c r="AA3164" i="16"/>
  <c r="A3175" i="16"/>
  <c r="A3179" i="16"/>
  <c r="A3187" i="16"/>
  <c r="D3190" i="16"/>
  <c r="AA3194" i="16"/>
  <c r="D3195" i="16"/>
  <c r="A3205" i="16"/>
  <c r="A3209" i="16"/>
  <c r="A3217" i="16"/>
  <c r="D3220" i="16"/>
  <c r="AA3224" i="16"/>
  <c r="D3225" i="16"/>
  <c r="A3235" i="16"/>
  <c r="A3239" i="16"/>
  <c r="A3247" i="16"/>
  <c r="D3250" i="16"/>
  <c r="AA3254" i="16"/>
  <c r="D3255" i="16"/>
  <c r="A3265" i="16"/>
  <c r="A3269" i="16"/>
  <c r="A3277" i="16"/>
  <c r="A3279" i="16"/>
  <c r="D3280" i="16"/>
  <c r="AA3284" i="16"/>
  <c r="D3285" i="16"/>
  <c r="A3295" i="16"/>
  <c r="A3299" i="16"/>
  <c r="A3307" i="16"/>
  <c r="A3309" i="16"/>
  <c r="D3310" i="16"/>
  <c r="AA3314" i="16"/>
  <c r="D3315" i="16"/>
  <c r="A3325" i="16"/>
  <c r="A3329" i="16"/>
  <c r="A3337" i="16"/>
  <c r="A3339" i="16"/>
  <c r="D3340" i="16"/>
  <c r="AA3344" i="16"/>
  <c r="D3345" i="16"/>
  <c r="A3355" i="16"/>
  <c r="A3359" i="16"/>
  <c r="A3367" i="16"/>
  <c r="A3369" i="16"/>
  <c r="D3370" i="16"/>
  <c r="AA3374" i="16"/>
  <c r="D3375" i="16"/>
  <c r="A3385" i="16"/>
  <c r="A3389" i="16"/>
  <c r="A3397" i="16"/>
  <c r="A3399" i="16"/>
  <c r="D3400" i="16"/>
  <c r="A3415" i="16"/>
  <c r="A3419" i="16"/>
  <c r="A3427" i="16"/>
  <c r="A3429" i="16"/>
  <c r="AA3434" i="16"/>
  <c r="A3445" i="16"/>
  <c r="A3449" i="16"/>
  <c r="A3457" i="16"/>
  <c r="A3459" i="16"/>
  <c r="D3460" i="16"/>
  <c r="AA3464" i="16"/>
  <c r="D3465" i="16"/>
  <c r="A3475" i="16"/>
  <c r="A3479" i="16"/>
  <c r="A3487" i="16"/>
  <c r="A3489" i="16"/>
  <c r="A3505" i="16"/>
  <c r="A3509" i="16"/>
  <c r="A3517" i="16"/>
  <c r="A3519" i="16"/>
  <c r="D3520" i="16"/>
  <c r="AA3524" i="16"/>
  <c r="D3525" i="16"/>
  <c r="A3535" i="16"/>
  <c r="A3539" i="16"/>
  <c r="A3547" i="16"/>
  <c r="A3549" i="16"/>
  <c r="D3550" i="16"/>
  <c r="AA3554" i="16"/>
  <c r="D3555" i="16"/>
  <c r="A3586" i="16"/>
  <c r="A3584" i="16"/>
  <c r="A3583" i="16"/>
  <c r="A3582" i="16"/>
  <c r="A3565" i="16"/>
  <c r="A3569" i="16"/>
  <c r="A3577" i="16"/>
  <c r="A3579" i="16"/>
  <c r="D3580" i="16"/>
  <c r="AA3583" i="16"/>
  <c r="A3585" i="16"/>
  <c r="Q3939" i="16"/>
  <c r="Q4059" i="16"/>
  <c r="Q4179" i="16"/>
  <c r="Q4299" i="16"/>
  <c r="Q4419" i="16"/>
  <c r="Q4539" i="16"/>
  <c r="Q4569" i="16"/>
  <c r="Q4553" i="16"/>
  <c r="Q4599" i="16"/>
  <c r="Q4583" i="16"/>
  <c r="F4665" i="16"/>
  <c r="G4695" i="16"/>
  <c r="H4785" i="16"/>
  <c r="K4785" i="16"/>
  <c r="G4785" i="16"/>
  <c r="AB4786" i="16"/>
  <c r="J4785" i="16"/>
  <c r="F4785" i="16"/>
  <c r="I4785" i="16"/>
  <c r="E4785" i="16"/>
  <c r="Q4929" i="16"/>
  <c r="Q4913" i="16"/>
  <c r="Q5019" i="16"/>
  <c r="Q5003" i="16"/>
  <c r="O5055" i="16"/>
  <c r="Q5079" i="16"/>
  <c r="Q5063" i="16"/>
  <c r="Q5559" i="16"/>
  <c r="Q5543" i="16"/>
  <c r="I5863" i="16"/>
  <c r="AB5864" i="16"/>
  <c r="F5863" i="16"/>
  <c r="K5863" i="16"/>
  <c r="AA2686" i="16"/>
  <c r="AA2716" i="16"/>
  <c r="AA2746" i="16"/>
  <c r="AA2776" i="16"/>
  <c r="AA2836" i="16"/>
  <c r="AA2866" i="16"/>
  <c r="AA2896" i="16"/>
  <c r="AA2926" i="16"/>
  <c r="AA2956" i="16"/>
  <c r="AA3016" i="16"/>
  <c r="AA3046" i="16"/>
  <c r="AA3106" i="16"/>
  <c r="AA3136" i="16"/>
  <c r="AA3196" i="16"/>
  <c r="AA3226" i="16"/>
  <c r="AA3256" i="16"/>
  <c r="A3278" i="16"/>
  <c r="A3281" i="16"/>
  <c r="A3282" i="16"/>
  <c r="AA3286" i="16"/>
  <c r="A3296" i="16"/>
  <c r="A3300" i="16"/>
  <c r="A3308" i="16"/>
  <c r="A3311" i="16"/>
  <c r="A3312" i="16"/>
  <c r="AA3316" i="16"/>
  <c r="A3326" i="16"/>
  <c r="A3330" i="16"/>
  <c r="A3338" i="16"/>
  <c r="A3341" i="16"/>
  <c r="A3342" i="16"/>
  <c r="AA3346" i="16"/>
  <c r="A3356" i="16"/>
  <c r="A3360" i="16"/>
  <c r="A3368" i="16"/>
  <c r="A3371" i="16"/>
  <c r="A3372" i="16"/>
  <c r="AA3376" i="16"/>
  <c r="A3386" i="16"/>
  <c r="A3390" i="16"/>
  <c r="A3398" i="16"/>
  <c r="A3401" i="16"/>
  <c r="A3402" i="16"/>
  <c r="AA3406" i="16"/>
  <c r="A3416" i="16"/>
  <c r="A3420" i="16"/>
  <c r="A3428" i="16"/>
  <c r="A3431" i="16"/>
  <c r="A3432" i="16"/>
  <c r="A3446" i="16"/>
  <c r="A3450" i="16"/>
  <c r="A3458" i="16"/>
  <c r="A3461" i="16"/>
  <c r="A3462" i="16"/>
  <c r="AA3466" i="16"/>
  <c r="A3476" i="16"/>
  <c r="A3480" i="16"/>
  <c r="A3488" i="16"/>
  <c r="A3491" i="16"/>
  <c r="A3492" i="16"/>
  <c r="A3506" i="16"/>
  <c r="A3510" i="16"/>
  <c r="A3518" i="16"/>
  <c r="A3521" i="16"/>
  <c r="A3522" i="16"/>
  <c r="AA3526" i="16"/>
  <c r="A3536" i="16"/>
  <c r="A3540" i="16"/>
  <c r="A3548" i="16"/>
  <c r="A3551" i="16"/>
  <c r="A3552" i="16"/>
  <c r="AA3556" i="16"/>
  <c r="A3566" i="16"/>
  <c r="A3570" i="16"/>
  <c r="A3578" i="16"/>
  <c r="O3585" i="16"/>
  <c r="Q3609" i="16"/>
  <c r="Q3593" i="16"/>
  <c r="A3646" i="16"/>
  <c r="A3644" i="16"/>
  <c r="F3638" i="16"/>
  <c r="A3631" i="16"/>
  <c r="A3627" i="16"/>
  <c r="A3623" i="16"/>
  <c r="A3643" i="16"/>
  <c r="A3642" i="16"/>
  <c r="A3641" i="16"/>
  <c r="A3638" i="16"/>
  <c r="A3630" i="16"/>
  <c r="A3626" i="16"/>
  <c r="A3624" i="16"/>
  <c r="A3625" i="16"/>
  <c r="A3632" i="16"/>
  <c r="A3637" i="16"/>
  <c r="A3639" i="16"/>
  <c r="O3645" i="16"/>
  <c r="Q3669" i="16"/>
  <c r="Q3653" i="16"/>
  <c r="A3706" i="16"/>
  <c r="A3704" i="16"/>
  <c r="F3698" i="16"/>
  <c r="A3691" i="16"/>
  <c r="A3687" i="16"/>
  <c r="A3683" i="16"/>
  <c r="A3703" i="16"/>
  <c r="A3702" i="16"/>
  <c r="A3701" i="16"/>
  <c r="A3698" i="16"/>
  <c r="A3690" i="16"/>
  <c r="A3686" i="16"/>
  <c r="A3684" i="16"/>
  <c r="A3685" i="16"/>
  <c r="A3692" i="16"/>
  <c r="A3697" i="16"/>
  <c r="A3699" i="16"/>
  <c r="O3705" i="16"/>
  <c r="Q3729" i="16"/>
  <c r="Q3713" i="16"/>
  <c r="A3766" i="16"/>
  <c r="A3764" i="16"/>
  <c r="F3758" i="16"/>
  <c r="A3751" i="16"/>
  <c r="A3747" i="16"/>
  <c r="A3743" i="16"/>
  <c r="A3763" i="16"/>
  <c r="A3762" i="16"/>
  <c r="A3761" i="16"/>
  <c r="A3758" i="16"/>
  <c r="A3750" i="16"/>
  <c r="A3746" i="16"/>
  <c r="A3744" i="16"/>
  <c r="A3745" i="16"/>
  <c r="A3752" i="16"/>
  <c r="A3757" i="16"/>
  <c r="A3759" i="16"/>
  <c r="O3765" i="16"/>
  <c r="Q3789" i="16"/>
  <c r="Q3773" i="16"/>
  <c r="A3826" i="16"/>
  <c r="A3824" i="16"/>
  <c r="F3818" i="16"/>
  <c r="A3811" i="16"/>
  <c r="A3807" i="16"/>
  <c r="A3803" i="16"/>
  <c r="A3823" i="16"/>
  <c r="A3822" i="16"/>
  <c r="A3821" i="16"/>
  <c r="A3818" i="16"/>
  <c r="A3810" i="16"/>
  <c r="A3806" i="16"/>
  <c r="A3804" i="16"/>
  <c r="A3805" i="16"/>
  <c r="A3812" i="16"/>
  <c r="A3817" i="16"/>
  <c r="A3819" i="16"/>
  <c r="O3825" i="16"/>
  <c r="Q3849" i="16"/>
  <c r="Q3833" i="16"/>
  <c r="Q3969" i="16"/>
  <c r="D4000" i="16"/>
  <c r="I3998" i="16"/>
  <c r="AA4001" i="16"/>
  <c r="Q4089" i="16"/>
  <c r="D4125" i="16"/>
  <c r="AA4124" i="16"/>
  <c r="D4120" i="16"/>
  <c r="AA4125" i="16"/>
  <c r="D4124" i="16"/>
  <c r="AA4123" i="16"/>
  <c r="I4118" i="16"/>
  <c r="D4123" i="16"/>
  <c r="D4122" i="16"/>
  <c r="AA4126" i="16"/>
  <c r="AA4121" i="16"/>
  <c r="Q4209" i="16"/>
  <c r="D4245" i="16"/>
  <c r="AA4244" i="16"/>
  <c r="D4240" i="16"/>
  <c r="AA4245" i="16"/>
  <c r="D4244" i="16"/>
  <c r="AA4243" i="16"/>
  <c r="I4238" i="16"/>
  <c r="D4243" i="16"/>
  <c r="D4242" i="16"/>
  <c r="AA4246" i="16"/>
  <c r="AA4241" i="16"/>
  <c r="Q4329" i="16"/>
  <c r="D4365" i="16"/>
  <c r="AA4364" i="16"/>
  <c r="D4360" i="16"/>
  <c r="AA4365" i="16"/>
  <c r="D4364" i="16"/>
  <c r="AA4363" i="16"/>
  <c r="I4358" i="16"/>
  <c r="D4363" i="16"/>
  <c r="D4362" i="16"/>
  <c r="AA4366" i="16"/>
  <c r="AA4361" i="16"/>
  <c r="Q4449" i="16"/>
  <c r="D4485" i="16"/>
  <c r="AA4484" i="16"/>
  <c r="D4480" i="16"/>
  <c r="AA4485" i="16"/>
  <c r="D4484" i="16"/>
  <c r="AA4483" i="16"/>
  <c r="I4478" i="16"/>
  <c r="D4483" i="16"/>
  <c r="D4482" i="16"/>
  <c r="AA4486" i="16"/>
  <c r="AA4481" i="16"/>
  <c r="I5145" i="16"/>
  <c r="E5145" i="16"/>
  <c r="AB5146" i="16"/>
  <c r="K5145" i="16"/>
  <c r="F5145" i="16"/>
  <c r="J5145" i="16"/>
  <c r="H5145" i="16"/>
  <c r="G5145" i="16"/>
  <c r="Q5169" i="16"/>
  <c r="Q5183" i="16"/>
  <c r="Q5199" i="16"/>
  <c r="Q5454" i="16"/>
  <c r="Q5469" i="16"/>
  <c r="Q5635" i="16"/>
  <c r="Q5649" i="16"/>
  <c r="AA5805" i="16"/>
  <c r="D5804" i="16"/>
  <c r="AA5803" i="16"/>
  <c r="I5798" i="16"/>
  <c r="AA5806" i="16"/>
  <c r="AA5804" i="16"/>
  <c r="D5803" i="16"/>
  <c r="D5802" i="16"/>
  <c r="AA5801" i="16"/>
  <c r="D5801" i="16"/>
  <c r="D5800" i="16"/>
  <c r="D5805" i="16"/>
  <c r="AA5802" i="16"/>
  <c r="Y5797" i="16"/>
  <c r="Y5800" i="16" s="1"/>
  <c r="Y5806" i="16" s="1"/>
  <c r="O5835" i="16"/>
  <c r="D2501" i="16"/>
  <c r="AA2501" i="16"/>
  <c r="D2502" i="16"/>
  <c r="AA2502" i="16"/>
  <c r="D2531" i="16"/>
  <c r="AA2531" i="16"/>
  <c r="D2532" i="16"/>
  <c r="AA2532" i="16"/>
  <c r="D2561" i="16"/>
  <c r="AA2561" i="16"/>
  <c r="D2562" i="16"/>
  <c r="AA2562" i="16"/>
  <c r="D2591" i="16"/>
  <c r="AA2591" i="16"/>
  <c r="D2592" i="16"/>
  <c r="AA2592" i="16"/>
  <c r="AA2621" i="16"/>
  <c r="AA2651" i="16"/>
  <c r="D2681" i="16"/>
  <c r="AA2681" i="16"/>
  <c r="D2682" i="16"/>
  <c r="AA2682" i="16"/>
  <c r="D2711" i="16"/>
  <c r="AA2711" i="16"/>
  <c r="D2712" i="16"/>
  <c r="AA2712" i="16"/>
  <c r="D2741" i="16"/>
  <c r="AA2741" i="16"/>
  <c r="D2742" i="16"/>
  <c r="AA2742" i="16"/>
  <c r="D2771" i="16"/>
  <c r="AA2771" i="16"/>
  <c r="D2772" i="16"/>
  <c r="AA2772" i="16"/>
  <c r="AA2801" i="16"/>
  <c r="D2831" i="16"/>
  <c r="AA2831" i="16"/>
  <c r="D2832" i="16"/>
  <c r="AA2832" i="16"/>
  <c r="D2861" i="16"/>
  <c r="AA2861" i="16"/>
  <c r="D2862" i="16"/>
  <c r="AA2862" i="16"/>
  <c r="D2921" i="16"/>
  <c r="AA2921" i="16"/>
  <c r="D2922" i="16"/>
  <c r="AA2922" i="16"/>
  <c r="D2951" i="16"/>
  <c r="AA2951" i="16"/>
  <c r="D2952" i="16"/>
  <c r="AA2952" i="16"/>
  <c r="D3011" i="16"/>
  <c r="AA3011" i="16"/>
  <c r="D3012" i="16"/>
  <c r="AA3012" i="16"/>
  <c r="D3041" i="16"/>
  <c r="AA3041" i="16"/>
  <c r="D3042" i="16"/>
  <c r="AA3042" i="16"/>
  <c r="AA3071" i="16"/>
  <c r="D3101" i="16"/>
  <c r="AA3101" i="16"/>
  <c r="D3102" i="16"/>
  <c r="AA3102" i="16"/>
  <c r="AA3131" i="16"/>
  <c r="AA3161" i="16"/>
  <c r="D3191" i="16"/>
  <c r="AA3191" i="16"/>
  <c r="D3192" i="16"/>
  <c r="AA3192" i="16"/>
  <c r="D3221" i="16"/>
  <c r="AA3221" i="16"/>
  <c r="D3222" i="16"/>
  <c r="AA3222" i="16"/>
  <c r="D3251" i="16"/>
  <c r="AA3251" i="16"/>
  <c r="D3252" i="16"/>
  <c r="AA3252" i="16"/>
  <c r="D3281" i="16"/>
  <c r="AA3281" i="16"/>
  <c r="D3282" i="16"/>
  <c r="AA3282" i="16"/>
  <c r="D3311" i="16"/>
  <c r="AA3311" i="16"/>
  <c r="D3312" i="16"/>
  <c r="AA3312" i="16"/>
  <c r="D3341" i="16"/>
  <c r="AA3341" i="16"/>
  <c r="D3342" i="16"/>
  <c r="AA3342" i="16"/>
  <c r="D3371" i="16"/>
  <c r="AA3371" i="16"/>
  <c r="D3372" i="16"/>
  <c r="AA3372" i="16"/>
  <c r="AA3401" i="16"/>
  <c r="AA3431" i="16"/>
  <c r="D3461" i="16"/>
  <c r="AA3461" i="16"/>
  <c r="D3462" i="16"/>
  <c r="AA3462" i="16"/>
  <c r="AA3491" i="16"/>
  <c r="D3521" i="16"/>
  <c r="AA3521" i="16"/>
  <c r="D3522" i="16"/>
  <c r="AA3522" i="16"/>
  <c r="D3551" i="16"/>
  <c r="AA3551" i="16"/>
  <c r="D3552" i="16"/>
  <c r="AA3552" i="16"/>
  <c r="D3583" i="16"/>
  <c r="AA3582" i="16"/>
  <c r="D3582" i="16"/>
  <c r="AA3581" i="16"/>
  <c r="D3581" i="16"/>
  <c r="AA3586" i="16"/>
  <c r="D3584" i="16"/>
  <c r="AA3585" i="16"/>
  <c r="T3637" i="16"/>
  <c r="T3697" i="16"/>
  <c r="T3757" i="16"/>
  <c r="T3817" i="16"/>
  <c r="Q3999" i="16"/>
  <c r="Q4119" i="16"/>
  <c r="Q4239" i="16"/>
  <c r="Q4359" i="16"/>
  <c r="Q4479" i="16"/>
  <c r="K5142" i="16"/>
  <c r="G5142" i="16"/>
  <c r="J5142" i="16"/>
  <c r="E5142" i="16"/>
  <c r="AB5143" i="16"/>
  <c r="I5142" i="16"/>
  <c r="H5142" i="16"/>
  <c r="F5142" i="16"/>
  <c r="O5295" i="16"/>
  <c r="Q5394" i="16"/>
  <c r="Q5409" i="16"/>
  <c r="AA5416" i="16"/>
  <c r="AA5415" i="16"/>
  <c r="D5415" i="16"/>
  <c r="D5413" i="16"/>
  <c r="D5412" i="16"/>
  <c r="D5410" i="16"/>
  <c r="AA5413" i="16"/>
  <c r="D5411" i="16"/>
  <c r="I5408" i="16"/>
  <c r="Y5407" i="16"/>
  <c r="Y5410" i="16" s="1"/>
  <c r="Y5416" i="16" s="1"/>
  <c r="AA5412" i="16"/>
  <c r="D5414" i="16"/>
  <c r="AA5414" i="16"/>
  <c r="AA5411" i="16"/>
  <c r="Q5788" i="16"/>
  <c r="Q5799" i="16"/>
  <c r="D3885" i="16"/>
  <c r="AA3884" i="16"/>
  <c r="D3880" i="16"/>
  <c r="AA3885" i="16"/>
  <c r="D3884" i="16"/>
  <c r="AA3883" i="16"/>
  <c r="I3878" i="16"/>
  <c r="D3881" i="16"/>
  <c r="AA3881" i="16"/>
  <c r="AA3882" i="16"/>
  <c r="AA3886" i="16"/>
  <c r="D3915" i="16"/>
  <c r="AA3914" i="16"/>
  <c r="D3910" i="16"/>
  <c r="AA3915" i="16"/>
  <c r="D3914" i="16"/>
  <c r="AA3913" i="16"/>
  <c r="I3908" i="16"/>
  <c r="D3975" i="16"/>
  <c r="AA3974" i="16"/>
  <c r="D3970" i="16"/>
  <c r="AA3975" i="16"/>
  <c r="D3974" i="16"/>
  <c r="AA3973" i="16"/>
  <c r="I3968" i="16"/>
  <c r="D4035" i="16"/>
  <c r="AA4034" i="16"/>
  <c r="D4030" i="16"/>
  <c r="AA4035" i="16"/>
  <c r="D4034" i="16"/>
  <c r="AA4033" i="16"/>
  <c r="I4028" i="16"/>
  <c r="AA4094" i="16"/>
  <c r="AA4093" i="16"/>
  <c r="D4150" i="16"/>
  <c r="I4148" i="16"/>
  <c r="AA4215" i="16"/>
  <c r="D4275" i="16"/>
  <c r="D4274" i="16"/>
  <c r="AA4334" i="16"/>
  <c r="D4395" i="16"/>
  <c r="AA4394" i="16"/>
  <c r="D4390" i="16"/>
  <c r="AA4395" i="16"/>
  <c r="D4394" i="16"/>
  <c r="AA4393" i="16"/>
  <c r="I4388" i="16"/>
  <c r="D4455" i="16"/>
  <c r="AA4454" i="16"/>
  <c r="D4450" i="16"/>
  <c r="AA4455" i="16"/>
  <c r="D4454" i="16"/>
  <c r="AA4453" i="16"/>
  <c r="I4448" i="16"/>
  <c r="D4515" i="16"/>
  <c r="AA4514" i="16"/>
  <c r="D4510" i="16"/>
  <c r="AA4515" i="16"/>
  <c r="D4514" i="16"/>
  <c r="AA4513" i="16"/>
  <c r="I4508" i="16"/>
  <c r="Q4659" i="16"/>
  <c r="Q4643" i="16"/>
  <c r="Q4779" i="16"/>
  <c r="Q4763" i="16"/>
  <c r="Q4809" i="16"/>
  <c r="Q4793" i="16"/>
  <c r="Q4839" i="16"/>
  <c r="Q4823" i="16"/>
  <c r="Q4869" i="16"/>
  <c r="Q4853" i="16"/>
  <c r="Q4899" i="16"/>
  <c r="Q4883" i="16"/>
  <c r="O4935" i="16"/>
  <c r="AA5116" i="16"/>
  <c r="AA5113" i="16"/>
  <c r="D5114" i="16"/>
  <c r="D5113" i="16"/>
  <c r="AA5111" i="16"/>
  <c r="D5115" i="16"/>
  <c r="D5112" i="16"/>
  <c r="D5110" i="16"/>
  <c r="AA5112" i="16"/>
  <c r="D5111" i="16"/>
  <c r="I5108" i="16"/>
  <c r="Y5107" i="16"/>
  <c r="Y5110" i="16" s="1"/>
  <c r="Y5116" i="16" s="1"/>
  <c r="AA5114" i="16"/>
  <c r="O5145" i="16"/>
  <c r="Q4629" i="16"/>
  <c r="Q4613" i="16"/>
  <c r="Q4749" i="16"/>
  <c r="Q4733" i="16"/>
  <c r="Q4959" i="16"/>
  <c r="Q4943" i="16"/>
  <c r="O4995" i="16"/>
  <c r="Q5229" i="16"/>
  <c r="Q5213" i="16"/>
  <c r="J5294" i="16"/>
  <c r="F5294" i="16"/>
  <c r="G5294" i="16"/>
  <c r="K5294" i="16"/>
  <c r="E5294" i="16"/>
  <c r="I5294" i="16"/>
  <c r="AB5295" i="16"/>
  <c r="H5294" i="16"/>
  <c r="Q5319" i="16"/>
  <c r="Q5303" i="16"/>
  <c r="O5535" i="16"/>
  <c r="AA5865" i="16"/>
  <c r="D5864" i="16"/>
  <c r="AA5863" i="16"/>
  <c r="I5858" i="16"/>
  <c r="D5860" i="16"/>
  <c r="AA5866" i="16"/>
  <c r="D5865" i="16"/>
  <c r="AA5862" i="16"/>
  <c r="AA5864" i="16"/>
  <c r="Y5857" i="16"/>
  <c r="Y5860" i="16" s="1"/>
  <c r="Y5866" i="16" s="1"/>
  <c r="AA5861" i="16"/>
  <c r="D5861" i="16"/>
  <c r="D5862" i="16"/>
  <c r="Q5873" i="16"/>
  <c r="Q5889" i="16"/>
  <c r="D4571" i="16"/>
  <c r="AA4571" i="16"/>
  <c r="D4572" i="16"/>
  <c r="AA4572" i="16"/>
  <c r="D4573" i="16"/>
  <c r="D4601" i="16"/>
  <c r="AA4601" i="16"/>
  <c r="D4602" i="16"/>
  <c r="AA4602" i="16"/>
  <c r="D4603" i="16"/>
  <c r="D4631" i="16"/>
  <c r="AA4631" i="16"/>
  <c r="D4632" i="16"/>
  <c r="AA4632" i="16"/>
  <c r="D4633" i="16"/>
  <c r="D4661" i="16"/>
  <c r="AA4661" i="16"/>
  <c r="D4662" i="16"/>
  <c r="AA4662" i="16"/>
  <c r="D4663" i="16"/>
  <c r="D4691" i="16"/>
  <c r="AA4691" i="16"/>
  <c r="D4692" i="16"/>
  <c r="AA4692" i="16"/>
  <c r="D4693" i="16"/>
  <c r="D4721" i="16"/>
  <c r="AA4721" i="16"/>
  <c r="D4722" i="16"/>
  <c r="AA4722" i="16"/>
  <c r="D4723" i="16"/>
  <c r="D4751" i="16"/>
  <c r="AA4751" i="16"/>
  <c r="D4752" i="16"/>
  <c r="AA4752" i="16"/>
  <c r="D4753" i="16"/>
  <c r="D4781" i="16"/>
  <c r="AA4781" i="16"/>
  <c r="D4782" i="16"/>
  <c r="AA4782" i="16"/>
  <c r="D4783" i="16"/>
  <c r="D4811" i="16"/>
  <c r="AA4811" i="16"/>
  <c r="D4812" i="16"/>
  <c r="AA4812" i="16"/>
  <c r="D4813" i="16"/>
  <c r="D4841" i="16"/>
  <c r="AA4841" i="16"/>
  <c r="D4842" i="16"/>
  <c r="AA4842" i="16"/>
  <c r="D4843" i="16"/>
  <c r="D4871" i="16"/>
  <c r="AA4871" i="16"/>
  <c r="D4872" i="16"/>
  <c r="AA4872" i="16"/>
  <c r="D4873" i="16"/>
  <c r="D4901" i="16"/>
  <c r="AA4901" i="16"/>
  <c r="D4902" i="16"/>
  <c r="AA4902" i="16"/>
  <c r="D4903" i="16"/>
  <c r="D4931" i="16"/>
  <c r="AA4933" i="16"/>
  <c r="A4963" i="16"/>
  <c r="A4962" i="16"/>
  <c r="A4961" i="16"/>
  <c r="A4958" i="16"/>
  <c r="A4950" i="16"/>
  <c r="A4946" i="16"/>
  <c r="A4949" i="16"/>
  <c r="A4951" i="16"/>
  <c r="A4952" i="16"/>
  <c r="A4964" i="16"/>
  <c r="A5023" i="16"/>
  <c r="A5022" i="16"/>
  <c r="A5021" i="16"/>
  <c r="A5018" i="16"/>
  <c r="A5010" i="16"/>
  <c r="A5006" i="16"/>
  <c r="A5009" i="16"/>
  <c r="A5011" i="16"/>
  <c r="A5012" i="16"/>
  <c r="A5024" i="16"/>
  <c r="A5083" i="16"/>
  <c r="A5082" i="16"/>
  <c r="A5081" i="16"/>
  <c r="A5078" i="16"/>
  <c r="A5070" i="16"/>
  <c r="A5066" i="16"/>
  <c r="A5069" i="16"/>
  <c r="A5071" i="16"/>
  <c r="A5072" i="16"/>
  <c r="A5084" i="16"/>
  <c r="AA5176" i="16"/>
  <c r="AA5173" i="16"/>
  <c r="D5171" i="16"/>
  <c r="I5168" i="16"/>
  <c r="Y5167" i="16"/>
  <c r="Y5170" i="16" s="1"/>
  <c r="Y5176" i="16" s="1"/>
  <c r="D5170" i="16"/>
  <c r="D5172" i="16"/>
  <c r="D5175" i="16"/>
  <c r="AA5206" i="16"/>
  <c r="AA5204" i="16"/>
  <c r="AA5202" i="16"/>
  <c r="AA5201" i="16"/>
  <c r="AA5203" i="16"/>
  <c r="AA5205" i="16"/>
  <c r="O5235" i="16"/>
  <c r="AA5356" i="16"/>
  <c r="AA5355" i="16"/>
  <c r="D5355" i="16"/>
  <c r="D5353" i="16"/>
  <c r="D5352" i="16"/>
  <c r="D5350" i="16"/>
  <c r="AA5353" i="16"/>
  <c r="D5351" i="16"/>
  <c r="I5348" i="16"/>
  <c r="Y5347" i="16"/>
  <c r="Y5350" i="16" s="1"/>
  <c r="Y5356" i="16" s="1"/>
  <c r="A5413" i="16"/>
  <c r="A5412" i="16"/>
  <c r="A5411" i="16"/>
  <c r="A5408" i="16"/>
  <c r="A5400" i="16"/>
  <c r="A5396" i="16"/>
  <c r="A5409" i="16"/>
  <c r="A5398" i="16"/>
  <c r="A5397" i="16"/>
  <c r="A5395" i="16"/>
  <c r="A5415" i="16"/>
  <c r="A5410" i="16"/>
  <c r="A5394" i="16"/>
  <c r="A5393" i="16"/>
  <c r="A5402" i="16"/>
  <c r="A5407" i="16"/>
  <c r="A5414" i="16"/>
  <c r="A5473" i="16"/>
  <c r="A5472" i="16"/>
  <c r="A5471" i="16"/>
  <c r="A5468" i="16"/>
  <c r="A5460" i="16"/>
  <c r="A5456" i="16"/>
  <c r="A5469" i="16"/>
  <c r="A5458" i="16"/>
  <c r="A5457" i="16"/>
  <c r="A5455" i="16"/>
  <c r="A5475" i="16"/>
  <c r="A5470" i="16"/>
  <c r="A5454" i="16"/>
  <c r="A5453" i="16"/>
  <c r="A5461" i="16"/>
  <c r="O5475" i="16"/>
  <c r="Q5499" i="16"/>
  <c r="Q5483" i="16"/>
  <c r="O5805" i="16"/>
  <c r="O5925" i="16"/>
  <c r="AA6015" i="16"/>
  <c r="D6014" i="16"/>
  <c r="AA6013" i="16"/>
  <c r="I6008" i="16"/>
  <c r="AA6012" i="16"/>
  <c r="AA6011" i="16"/>
  <c r="AA6016" i="16"/>
  <c r="D6015" i="16"/>
  <c r="AA6014" i="16"/>
  <c r="D6012" i="16"/>
  <c r="D6013" i="16"/>
  <c r="A3880" i="16"/>
  <c r="A3885" i="16"/>
  <c r="A4562" i="16"/>
  <c r="I4568" i="16"/>
  <c r="A4570" i="16"/>
  <c r="AA4573" i="16"/>
  <c r="D4574" i="16"/>
  <c r="A4575" i="16"/>
  <c r="AA4575" i="16"/>
  <c r="A4584" i="16"/>
  <c r="A4588" i="16"/>
  <c r="A4592" i="16"/>
  <c r="I4598" i="16"/>
  <c r="A4600" i="16"/>
  <c r="AA4603" i="16"/>
  <c r="D4604" i="16"/>
  <c r="A4605" i="16"/>
  <c r="AA4605" i="16"/>
  <c r="A4614" i="16"/>
  <c r="A4618" i="16"/>
  <c r="A4622" i="16"/>
  <c r="I4628" i="16"/>
  <c r="A4630" i="16"/>
  <c r="AA4633" i="16"/>
  <c r="D4634" i="16"/>
  <c r="A4635" i="16"/>
  <c r="AA4635" i="16"/>
  <c r="A4644" i="16"/>
  <c r="A4648" i="16"/>
  <c r="A4652" i="16"/>
  <c r="I4658" i="16"/>
  <c r="A4660" i="16"/>
  <c r="AA4663" i="16"/>
  <c r="D4664" i="16"/>
  <c r="A4665" i="16"/>
  <c r="AA4665" i="16"/>
  <c r="A4674" i="16"/>
  <c r="A4678" i="16"/>
  <c r="A4682" i="16"/>
  <c r="I4688" i="16"/>
  <c r="A4690" i="16"/>
  <c r="AA4693" i="16"/>
  <c r="D4694" i="16"/>
  <c r="A4695" i="16"/>
  <c r="AA4695" i="16"/>
  <c r="A4704" i="16"/>
  <c r="A4708" i="16"/>
  <c r="A4712" i="16"/>
  <c r="I4718" i="16"/>
  <c r="A4720" i="16"/>
  <c r="AA4723" i="16"/>
  <c r="D4724" i="16"/>
  <c r="A4725" i="16"/>
  <c r="AA4725" i="16"/>
  <c r="I4748" i="16"/>
  <c r="AA4753" i="16"/>
  <c r="D4754" i="16"/>
  <c r="A4755" i="16"/>
  <c r="AA4755" i="16"/>
  <c r="I4778" i="16"/>
  <c r="AA4783" i="16"/>
  <c r="D4784" i="16"/>
  <c r="AA4785" i="16"/>
  <c r="I4808" i="16"/>
  <c r="AA4813" i="16"/>
  <c r="D4814" i="16"/>
  <c r="AA4815" i="16"/>
  <c r="I4838" i="16"/>
  <c r="AA4843" i="16"/>
  <c r="D4844" i="16"/>
  <c r="AA4845" i="16"/>
  <c r="I4868" i="16"/>
  <c r="AA4873" i="16"/>
  <c r="D4874" i="16"/>
  <c r="AA4875" i="16"/>
  <c r="I4898" i="16"/>
  <c r="AA4903" i="16"/>
  <c r="D4904" i="16"/>
  <c r="A4905" i="16"/>
  <c r="AA4905" i="16"/>
  <c r="A4918" i="16"/>
  <c r="A4922" i="16"/>
  <c r="I4928" i="16"/>
  <c r="D4932" i="16"/>
  <c r="D4933" i="16"/>
  <c r="D4935" i="16"/>
  <c r="AA4935" i="16"/>
  <c r="A4957" i="16"/>
  <c r="F4958" i="16"/>
  <c r="O4965" i="16"/>
  <c r="A4966" i="16"/>
  <c r="A5017" i="16"/>
  <c r="F5018" i="16"/>
  <c r="O5025" i="16"/>
  <c r="A5026" i="16"/>
  <c r="A5077" i="16"/>
  <c r="F5078" i="16"/>
  <c r="O5085" i="16"/>
  <c r="A5086" i="16"/>
  <c r="AA5146" i="16"/>
  <c r="AD5146" i="16" s="1"/>
  <c r="AA5144" i="16"/>
  <c r="AA5142" i="16"/>
  <c r="AA5141" i="16"/>
  <c r="AD5141" i="16" s="1"/>
  <c r="Q5139" i="16"/>
  <c r="AA5143" i="16"/>
  <c r="AA5145" i="16"/>
  <c r="D5173" i="16"/>
  <c r="D5174" i="16"/>
  <c r="O5175" i="16"/>
  <c r="Y5197" i="16"/>
  <c r="Y5200" i="16" s="1"/>
  <c r="Y5206" i="16" s="1"/>
  <c r="I5198" i="16"/>
  <c r="A5233" i="16"/>
  <c r="A5232" i="16"/>
  <c r="A5231" i="16"/>
  <c r="A5228" i="16"/>
  <c r="A5220" i="16"/>
  <c r="A5216" i="16"/>
  <c r="A5235" i="16"/>
  <c r="A5230" i="16"/>
  <c r="A5214" i="16"/>
  <c r="A5213" i="16"/>
  <c r="A5215" i="16"/>
  <c r="AA5296" i="16"/>
  <c r="AA5295" i="16"/>
  <c r="D5295" i="16"/>
  <c r="D5293" i="16"/>
  <c r="D5292" i="16"/>
  <c r="D5290" i="16"/>
  <c r="AA5293" i="16"/>
  <c r="D5291" i="16"/>
  <c r="I5288" i="16"/>
  <c r="Y5287" i="16"/>
  <c r="Y5290" i="16" s="1"/>
  <c r="Y5296" i="16" s="1"/>
  <c r="A5353" i="16"/>
  <c r="A5352" i="16"/>
  <c r="A5351" i="16"/>
  <c r="A5348" i="16"/>
  <c r="A5340" i="16"/>
  <c r="A5336" i="16"/>
  <c r="A5349" i="16"/>
  <c r="A5338" i="16"/>
  <c r="A5337" i="16"/>
  <c r="A5335" i="16"/>
  <c r="A5355" i="16"/>
  <c r="A5350" i="16"/>
  <c r="A5334" i="16"/>
  <c r="A5333" i="16"/>
  <c r="A5342" i="16"/>
  <c r="A5347" i="16"/>
  <c r="AA5351" i="16"/>
  <c r="A5354" i="16"/>
  <c r="AA5354" i="16"/>
  <c r="A5401" i="16"/>
  <c r="O5415" i="16"/>
  <c r="Q5439" i="16"/>
  <c r="Q5423" i="16"/>
  <c r="A5459" i="16"/>
  <c r="Q5694" i="16"/>
  <c r="Q5709" i="16"/>
  <c r="A5745" i="16"/>
  <c r="A5740" i="16"/>
  <c r="A5732" i="16"/>
  <c r="A5728" i="16"/>
  <c r="A5724" i="16"/>
  <c r="A5746" i="16"/>
  <c r="A5741" i="16"/>
  <c r="A5738" i="16"/>
  <c r="F5738" i="16"/>
  <c r="A5737" i="16"/>
  <c r="A5731" i="16"/>
  <c r="A5725" i="16"/>
  <c r="A5743" i="16"/>
  <c r="A5730" i="16"/>
  <c r="A5729" i="16"/>
  <c r="A5727" i="16"/>
  <c r="A5726" i="16"/>
  <c r="A5723" i="16"/>
  <c r="A5744" i="16"/>
  <c r="Q5979" i="16"/>
  <c r="Q6009" i="16"/>
  <c r="Q5993" i="16"/>
  <c r="A3865" i="16"/>
  <c r="A3869" i="16"/>
  <c r="A3877" i="16"/>
  <c r="A3895" i="16"/>
  <c r="A3899" i="16"/>
  <c r="A3907" i="16"/>
  <c r="A3925" i="16"/>
  <c r="A3929" i="16"/>
  <c r="A3937" i="16"/>
  <c r="A3955" i="16"/>
  <c r="A3959" i="16"/>
  <c r="A3967" i="16"/>
  <c r="A3985" i="16"/>
  <c r="A3989" i="16"/>
  <c r="A3997" i="16"/>
  <c r="A4015" i="16"/>
  <c r="A4019" i="16"/>
  <c r="A4027" i="16"/>
  <c r="A4045" i="16"/>
  <c r="A4049" i="16"/>
  <c r="A4057" i="16"/>
  <c r="A4075" i="16"/>
  <c r="A4079" i="16"/>
  <c r="A4087" i="16"/>
  <c r="A4105" i="16"/>
  <c r="A4109" i="16"/>
  <c r="A4117" i="16"/>
  <c r="A4135" i="16"/>
  <c r="A4139" i="16"/>
  <c r="A4147" i="16"/>
  <c r="A4165" i="16"/>
  <c r="A4169" i="16"/>
  <c r="A4177" i="16"/>
  <c r="A4195" i="16"/>
  <c r="A4199" i="16"/>
  <c r="A4207" i="16"/>
  <c r="A4225" i="16"/>
  <c r="A4229" i="16"/>
  <c r="A4237" i="16"/>
  <c r="A4255" i="16"/>
  <c r="A4259" i="16"/>
  <c r="A4267" i="16"/>
  <c r="A4285" i="16"/>
  <c r="A4289" i="16"/>
  <c r="A4297" i="16"/>
  <c r="A4315" i="16"/>
  <c r="A4319" i="16"/>
  <c r="A4327" i="16"/>
  <c r="A4345" i="16"/>
  <c r="A4349" i="16"/>
  <c r="A4357" i="16"/>
  <c r="A4375" i="16"/>
  <c r="A4379" i="16"/>
  <c r="A4387" i="16"/>
  <c r="A4405" i="16"/>
  <c r="A4409" i="16"/>
  <c r="A4417" i="16"/>
  <c r="A4435" i="16"/>
  <c r="A4439" i="16"/>
  <c r="A4447" i="16"/>
  <c r="A4465" i="16"/>
  <c r="A4469" i="16"/>
  <c r="A4477" i="16"/>
  <c r="A4495" i="16"/>
  <c r="A4499" i="16"/>
  <c r="A4507" i="16"/>
  <c r="A4525" i="16"/>
  <c r="A4529" i="16"/>
  <c r="A4537" i="16"/>
  <c r="A4555" i="16"/>
  <c r="A4559" i="16"/>
  <c r="A4567" i="16"/>
  <c r="D4570" i="16"/>
  <c r="AA4574" i="16"/>
  <c r="A4585" i="16"/>
  <c r="A4589" i="16"/>
  <c r="A4597" i="16"/>
  <c r="D4600" i="16"/>
  <c r="AA4604" i="16"/>
  <c r="A4615" i="16"/>
  <c r="A4619" i="16"/>
  <c r="A4627" i="16"/>
  <c r="D4630" i="16"/>
  <c r="AA4634" i="16"/>
  <c r="A4645" i="16"/>
  <c r="A4649" i="16"/>
  <c r="A4657" i="16"/>
  <c r="D4660" i="16"/>
  <c r="AA4664" i="16"/>
  <c r="A4675" i="16"/>
  <c r="A4679" i="16"/>
  <c r="A4687" i="16"/>
  <c r="D4690" i="16"/>
  <c r="AA4694" i="16"/>
  <c r="A4705" i="16"/>
  <c r="A4709" i="16"/>
  <c r="A4717" i="16"/>
  <c r="D4720" i="16"/>
  <c r="AA4724" i="16"/>
  <c r="A4735" i="16"/>
  <c r="A4739" i="16"/>
  <c r="A4747" i="16"/>
  <c r="D4750" i="16"/>
  <c r="AA4754" i="16"/>
  <c r="A4765" i="16"/>
  <c r="A4769" i="16"/>
  <c r="A4777" i="16"/>
  <c r="D4780" i="16"/>
  <c r="AA4784" i="16"/>
  <c r="A4795" i="16"/>
  <c r="A4799" i="16"/>
  <c r="A4807" i="16"/>
  <c r="D4810" i="16"/>
  <c r="AA4814" i="16"/>
  <c r="A4825" i="16"/>
  <c r="A4829" i="16"/>
  <c r="A4837" i="16"/>
  <c r="D4840" i="16"/>
  <c r="AA4844" i="16"/>
  <c r="A4855" i="16"/>
  <c r="A4859" i="16"/>
  <c r="A4867" i="16"/>
  <c r="D4870" i="16"/>
  <c r="AA4874" i="16"/>
  <c r="A4885" i="16"/>
  <c r="A4889" i="16"/>
  <c r="A4897" i="16"/>
  <c r="D4900" i="16"/>
  <c r="AA4904" i="16"/>
  <c r="A4933" i="16"/>
  <c r="A4932" i="16"/>
  <c r="A4915" i="16"/>
  <c r="A4919" i="16"/>
  <c r="A4927" i="16"/>
  <c r="A4929" i="16"/>
  <c r="D4930" i="16"/>
  <c r="AA4931" i="16"/>
  <c r="AA4932" i="16"/>
  <c r="A4934" i="16"/>
  <c r="AA4934" i="16"/>
  <c r="A4943" i="16"/>
  <c r="A4944" i="16"/>
  <c r="A4960" i="16"/>
  <c r="A4965" i="16"/>
  <c r="A4993" i="16"/>
  <c r="A4992" i="16"/>
  <c r="A4991" i="16"/>
  <c r="A4988" i="16"/>
  <c r="A4980" i="16"/>
  <c r="A4976" i="16"/>
  <c r="A4979" i="16"/>
  <c r="A4981" i="16"/>
  <c r="A4982" i="16"/>
  <c r="A4994" i="16"/>
  <c r="A5003" i="16"/>
  <c r="A5004" i="16"/>
  <c r="A5020" i="16"/>
  <c r="A5025" i="16"/>
  <c r="A5053" i="16"/>
  <c r="A5052" i="16"/>
  <c r="A5051" i="16"/>
  <c r="A5048" i="16"/>
  <c r="A5040" i="16"/>
  <c r="A5036" i="16"/>
  <c r="A5039" i="16"/>
  <c r="A5041" i="16"/>
  <c r="A5042" i="16"/>
  <c r="A5054" i="16"/>
  <c r="A5063" i="16"/>
  <c r="A5064" i="16"/>
  <c r="A5080" i="16"/>
  <c r="A5085" i="16"/>
  <c r="A5113" i="16"/>
  <c r="A5115" i="16"/>
  <c r="A5112" i="16"/>
  <c r="A5111" i="16"/>
  <c r="A5108" i="16"/>
  <c r="A5100" i="16"/>
  <c r="A5096" i="16"/>
  <c r="A5099" i="16"/>
  <c r="A5101" i="16"/>
  <c r="A5102" i="16"/>
  <c r="O5115" i="16"/>
  <c r="Y5137" i="16"/>
  <c r="Y5140" i="16" s="1"/>
  <c r="Y5146" i="16" s="1"/>
  <c r="I5138" i="16"/>
  <c r="A5173" i="16"/>
  <c r="A5172" i="16"/>
  <c r="A5171" i="16"/>
  <c r="A5168" i="16"/>
  <c r="A5160" i="16"/>
  <c r="A5156" i="16"/>
  <c r="A5175" i="16"/>
  <c r="A5170" i="16"/>
  <c r="A5154" i="16"/>
  <c r="A5153" i="16"/>
  <c r="A5155" i="16"/>
  <c r="T5167" i="16"/>
  <c r="AA5171" i="16"/>
  <c r="AA5174" i="16"/>
  <c r="AA5175" i="16"/>
  <c r="D5200" i="16"/>
  <c r="D5202" i="16"/>
  <c r="D5204" i="16"/>
  <c r="D5205" i="16"/>
  <c r="O5205" i="16"/>
  <c r="Q5259" i="16"/>
  <c r="A5293" i="16"/>
  <c r="A5292" i="16"/>
  <c r="A5291" i="16"/>
  <c r="A5288" i="16"/>
  <c r="A5280" i="16"/>
  <c r="A5276" i="16"/>
  <c r="A5289" i="16"/>
  <c r="A5278" i="16"/>
  <c r="A5277" i="16"/>
  <c r="A5275" i="16"/>
  <c r="A5295" i="16"/>
  <c r="A5290" i="16"/>
  <c r="A5274" i="16"/>
  <c r="A5273" i="16"/>
  <c r="A5282" i="16"/>
  <c r="A5287" i="16"/>
  <c r="AA5291" i="16"/>
  <c r="A5294" i="16"/>
  <c r="AA5294" i="16"/>
  <c r="A5341" i="16"/>
  <c r="Q5349" i="16"/>
  <c r="D5354" i="16"/>
  <c r="O5355" i="16"/>
  <c r="Q5379" i="16"/>
  <c r="Q5363" i="16"/>
  <c r="A5399" i="16"/>
  <c r="F5468" i="16"/>
  <c r="A5476" i="16"/>
  <c r="AA5625" i="16"/>
  <c r="D5624" i="16"/>
  <c r="AA5623" i="16"/>
  <c r="I5618" i="16"/>
  <c r="D5621" i="16"/>
  <c r="Y5617" i="16"/>
  <c r="Y5620" i="16" s="1"/>
  <c r="Y5626" i="16" s="1"/>
  <c r="AA5624" i="16"/>
  <c r="D5623" i="16"/>
  <c r="D5622" i="16"/>
  <c r="AA5622" i="16"/>
  <c r="A5742" i="16"/>
  <c r="Q5769" i="16"/>
  <c r="Q5753" i="16"/>
  <c r="A5805" i="16"/>
  <c r="A5800" i="16"/>
  <c r="A5792" i="16"/>
  <c r="A5788" i="16"/>
  <c r="A5784" i="16"/>
  <c r="A5799" i="16"/>
  <c r="A5790" i="16"/>
  <c r="A5789" i="16"/>
  <c r="A5787" i="16"/>
  <c r="A5803" i="16"/>
  <c r="A5801" i="16"/>
  <c r="A5798" i="16"/>
  <c r="A5791" i="16"/>
  <c r="A5797" i="16"/>
  <c r="A5786" i="16"/>
  <c r="A5785" i="16"/>
  <c r="A5783" i="16"/>
  <c r="Q5919" i="16"/>
  <c r="Q5934" i="16"/>
  <c r="Q5949" i="16"/>
  <c r="AA5985" i="16"/>
  <c r="D5984" i="16"/>
  <c r="AA5983" i="16"/>
  <c r="I5978" i="16"/>
  <c r="AA5986" i="16"/>
  <c r="AA5984" i="16"/>
  <c r="D5983" i="16"/>
  <c r="AA5981" i="16"/>
  <c r="D5985" i="16"/>
  <c r="AA5982" i="16"/>
  <c r="D5980" i="16"/>
  <c r="D5982" i="16"/>
  <c r="D6011" i="16"/>
  <c r="A5143" i="16"/>
  <c r="A5142" i="16"/>
  <c r="A5141" i="16"/>
  <c r="A5138" i="16"/>
  <c r="A5130" i="16"/>
  <c r="A5126" i="16"/>
  <c r="A5129" i="16"/>
  <c r="A5131" i="16"/>
  <c r="A5132" i="16"/>
  <c r="A5144" i="16"/>
  <c r="A5203" i="16"/>
  <c r="A5202" i="16"/>
  <c r="A5201" i="16"/>
  <c r="A5198" i="16"/>
  <c r="A5190" i="16"/>
  <c r="A5186" i="16"/>
  <c r="A5189" i="16"/>
  <c r="A5191" i="16"/>
  <c r="A5192" i="16"/>
  <c r="A5204" i="16"/>
  <c r="A5263" i="16"/>
  <c r="A5262" i="16"/>
  <c r="A5261" i="16"/>
  <c r="A5258" i="16"/>
  <c r="A5250" i="16"/>
  <c r="A5246" i="16"/>
  <c r="A5249" i="16"/>
  <c r="A5251" i="16"/>
  <c r="A5252" i="16"/>
  <c r="AA5261" i="16"/>
  <c r="AA5262" i="16"/>
  <c r="A5264" i="16"/>
  <c r="AA5264" i="16"/>
  <c r="A5323" i="16"/>
  <c r="A5322" i="16"/>
  <c r="A5321" i="16"/>
  <c r="A5318" i="16"/>
  <c r="A5310" i="16"/>
  <c r="A5306" i="16"/>
  <c r="A5309" i="16"/>
  <c r="A5311" i="16"/>
  <c r="A5312" i="16"/>
  <c r="AA5321" i="16"/>
  <c r="AA5322" i="16"/>
  <c r="A5324" i="16"/>
  <c r="AA5324" i="16"/>
  <c r="A5383" i="16"/>
  <c r="A5382" i="16"/>
  <c r="A5381" i="16"/>
  <c r="A5378" i="16"/>
  <c r="A5370" i="16"/>
  <c r="A5366" i="16"/>
  <c r="A5369" i="16"/>
  <c r="A5371" i="16"/>
  <c r="A5372" i="16"/>
  <c r="AA5381" i="16"/>
  <c r="AA5382" i="16"/>
  <c r="A5384" i="16"/>
  <c r="AA5384" i="16"/>
  <c r="A5443" i="16"/>
  <c r="A5442" i="16"/>
  <c r="A5441" i="16"/>
  <c r="A5438" i="16"/>
  <c r="A5430" i="16"/>
  <c r="A5426" i="16"/>
  <c r="A5429" i="16"/>
  <c r="A5431" i="16"/>
  <c r="A5432" i="16"/>
  <c r="A5444" i="16"/>
  <c r="A5503" i="16"/>
  <c r="A5502" i="16"/>
  <c r="A5501" i="16"/>
  <c r="A5498" i="16"/>
  <c r="A5490" i="16"/>
  <c r="A5486" i="16"/>
  <c r="A5489" i="16"/>
  <c r="A5491" i="16"/>
  <c r="A5492" i="16"/>
  <c r="A5504" i="16"/>
  <c r="A5565" i="16"/>
  <c r="A5563" i="16"/>
  <c r="A5562" i="16"/>
  <c r="A5566" i="16"/>
  <c r="A5564" i="16"/>
  <c r="A5561" i="16"/>
  <c r="A5558" i="16"/>
  <c r="A5550" i="16"/>
  <c r="A5546" i="16"/>
  <c r="A5549" i="16"/>
  <c r="A5551" i="16"/>
  <c r="A5552" i="16"/>
  <c r="Q5589" i="16"/>
  <c r="O5595" i="16"/>
  <c r="AA5653" i="16"/>
  <c r="I5648" i="16"/>
  <c r="A5685" i="16"/>
  <c r="A5680" i="16"/>
  <c r="A5672" i="16"/>
  <c r="A5668" i="16"/>
  <c r="A5664" i="16"/>
  <c r="A5679" i="16"/>
  <c r="A5670" i="16"/>
  <c r="A5669" i="16"/>
  <c r="A5667" i="16"/>
  <c r="A5677" i="16"/>
  <c r="A5666" i="16"/>
  <c r="A5665" i="16"/>
  <c r="A5663" i="16"/>
  <c r="Q5679" i="16"/>
  <c r="Q5663" i="16"/>
  <c r="A5678" i="16"/>
  <c r="A5682" i="16"/>
  <c r="A5684" i="16"/>
  <c r="A5686" i="16"/>
  <c r="O5745" i="16"/>
  <c r="A5835" i="16"/>
  <c r="A5830" i="16"/>
  <c r="A5822" i="16"/>
  <c r="A5818" i="16"/>
  <c r="A5814" i="16"/>
  <c r="A5833" i="16"/>
  <c r="A5832" i="16"/>
  <c r="F5828" i="16"/>
  <c r="A5816" i="16"/>
  <c r="A5815" i="16"/>
  <c r="A5813" i="16"/>
  <c r="Q5813" i="16"/>
  <c r="Q5829" i="16"/>
  <c r="A5819" i="16"/>
  <c r="A5831" i="16"/>
  <c r="A5955" i="16"/>
  <c r="A5950" i="16"/>
  <c r="A5942" i="16"/>
  <c r="A5938" i="16"/>
  <c r="A5934" i="16"/>
  <c r="A5953" i="16"/>
  <c r="A5952" i="16"/>
  <c r="F5948" i="16"/>
  <c r="A5936" i="16"/>
  <c r="A5935" i="16"/>
  <c r="A5933" i="16"/>
  <c r="A5937" i="16"/>
  <c r="A5967" i="16"/>
  <c r="D5264" i="16"/>
  <c r="O5265" i="16"/>
  <c r="T5287" i="16"/>
  <c r="P5292" i="16" s="1"/>
  <c r="D5324" i="16"/>
  <c r="O5325" i="16"/>
  <c r="T5347" i="16"/>
  <c r="D5384" i="16"/>
  <c r="O5385" i="16"/>
  <c r="T5407" i="16"/>
  <c r="A5437" i="16"/>
  <c r="F5438" i="16"/>
  <c r="O5445" i="16"/>
  <c r="A5446" i="16"/>
  <c r="T5467" i="16"/>
  <c r="A5497" i="16"/>
  <c r="F5498" i="16"/>
  <c r="O5505" i="16"/>
  <c r="A5506" i="16"/>
  <c r="T5527" i="16"/>
  <c r="A5557" i="16"/>
  <c r="F5558" i="16"/>
  <c r="A5595" i="16"/>
  <c r="A5590" i="16"/>
  <c r="A5582" i="16"/>
  <c r="A5578" i="16"/>
  <c r="A5574" i="16"/>
  <c r="A5593" i="16"/>
  <c r="A5592" i="16"/>
  <c r="F5588" i="16"/>
  <c r="A5576" i="16"/>
  <c r="A5575" i="16"/>
  <c r="A5573" i="16"/>
  <c r="A5591" i="16"/>
  <c r="A5589" i="16"/>
  <c r="A5579" i="16"/>
  <c r="A5625" i="16"/>
  <c r="A5620" i="16"/>
  <c r="A5612" i="16"/>
  <c r="A5608" i="16"/>
  <c r="A5604" i="16"/>
  <c r="A5626" i="16"/>
  <c r="A5621" i="16"/>
  <c r="A5618" i="16"/>
  <c r="A5624" i="16"/>
  <c r="A5623" i="16"/>
  <c r="A5619" i="16"/>
  <c r="A5603" i="16"/>
  <c r="Q5619" i="16"/>
  <c r="A5605" i="16"/>
  <c r="A5611" i="16"/>
  <c r="A5617" i="16"/>
  <c r="A5671" i="16"/>
  <c r="F5678" i="16"/>
  <c r="AA5775" i="16"/>
  <c r="D5774" i="16"/>
  <c r="AA5773" i="16"/>
  <c r="I5768" i="16"/>
  <c r="AA5772" i="16"/>
  <c r="AA5771" i="16"/>
  <c r="D5772" i="16"/>
  <c r="D5770" i="16"/>
  <c r="AA5774" i="16"/>
  <c r="AA5776" i="16"/>
  <c r="Q5859" i="16"/>
  <c r="O5865" i="16"/>
  <c r="A5985" i="16"/>
  <c r="A5980" i="16"/>
  <c r="A5972" i="16"/>
  <c r="A5968" i="16"/>
  <c r="A5964" i="16"/>
  <c r="A5986" i="16"/>
  <c r="A5981" i="16"/>
  <c r="A5978" i="16"/>
  <c r="A5966" i="16"/>
  <c r="O5985" i="16"/>
  <c r="O5625" i="16"/>
  <c r="A5715" i="16"/>
  <c r="A5710" i="16"/>
  <c r="A5702" i="16"/>
  <c r="A5698" i="16"/>
  <c r="A5694" i="16"/>
  <c r="A5713" i="16"/>
  <c r="A5712" i="16"/>
  <c r="F5708" i="16"/>
  <c r="A5696" i="16"/>
  <c r="A5695" i="16"/>
  <c r="A5693" i="16"/>
  <c r="A5700" i="16"/>
  <c r="A5701" i="16"/>
  <c r="A5707" i="16"/>
  <c r="A5708" i="16"/>
  <c r="A5714" i="16"/>
  <c r="A5716" i="16"/>
  <c r="Q5739" i="16"/>
  <c r="A5865" i="16"/>
  <c r="A5860" i="16"/>
  <c r="A5852" i="16"/>
  <c r="A5848" i="16"/>
  <c r="A5844" i="16"/>
  <c r="A5866" i="16"/>
  <c r="A5861" i="16"/>
  <c r="A5858" i="16"/>
  <c r="A5846" i="16"/>
  <c r="A5847" i="16"/>
  <c r="A5849" i="16"/>
  <c r="A5850" i="16"/>
  <c r="A5862" i="16"/>
  <c r="AA5895" i="16"/>
  <c r="D5894" i="16"/>
  <c r="A5925" i="16"/>
  <c r="A5920" i="16"/>
  <c r="A5912" i="16"/>
  <c r="A5908" i="16"/>
  <c r="A5904" i="16"/>
  <c r="A5919" i="16"/>
  <c r="A5910" i="16"/>
  <c r="A5909" i="16"/>
  <c r="A5907" i="16"/>
  <c r="F5918" i="16"/>
  <c r="A5921" i="16"/>
  <c r="A5923" i="16"/>
  <c r="M57" i="16"/>
  <c r="P57" i="16" s="1"/>
  <c r="A5655" i="16"/>
  <c r="A5650" i="16"/>
  <c r="A5642" i="16"/>
  <c r="A5638" i="16"/>
  <c r="A5634" i="16"/>
  <c r="A5641" i="16"/>
  <c r="A5647" i="16"/>
  <c r="A5654" i="16"/>
  <c r="A5775" i="16"/>
  <c r="A5770" i="16"/>
  <c r="A5762" i="16"/>
  <c r="A5758" i="16"/>
  <c r="A5754" i="16"/>
  <c r="A5761" i="16"/>
  <c r="A5767" i="16"/>
  <c r="A5774" i="16"/>
  <c r="A5895" i="16"/>
  <c r="A5890" i="16"/>
  <c r="A5882" i="16"/>
  <c r="A5878" i="16"/>
  <c r="A5874" i="16"/>
  <c r="A5881" i="16"/>
  <c r="A5887" i="16"/>
  <c r="A5894" i="16"/>
  <c r="A6015" i="16"/>
  <c r="A6010" i="16"/>
  <c r="A6002" i="16"/>
  <c r="A5998" i="16"/>
  <c r="A5994" i="16"/>
  <c r="A6001" i="16"/>
  <c r="A6007" i="16"/>
  <c r="A6014" i="16"/>
  <c r="M87" i="16"/>
  <c r="P87" i="16" s="1"/>
  <c r="Q87" i="16" s="1"/>
  <c r="G41" i="30"/>
  <c r="M41" i="30" s="1"/>
  <c r="K41" i="30"/>
  <c r="I42" i="30"/>
  <c r="G43" i="30"/>
  <c r="M43" i="30" s="1"/>
  <c r="K43" i="30"/>
  <c r="I44" i="30"/>
  <c r="G45" i="30"/>
  <c r="M45" i="30" s="1"/>
  <c r="K45" i="30"/>
  <c r="I46" i="30"/>
  <c r="G47" i="30"/>
  <c r="M47" i="30" s="1"/>
  <c r="K47" i="30"/>
  <c r="I48" i="30"/>
  <c r="G49" i="30"/>
  <c r="M49" i="30" s="1"/>
  <c r="K49" i="30"/>
  <c r="I50" i="30"/>
  <c r="G51" i="30"/>
  <c r="M51" i="30" s="1"/>
  <c r="K51" i="30"/>
  <c r="I52" i="30"/>
  <c r="G53" i="30"/>
  <c r="M53" i="30" s="1"/>
  <c r="K53" i="30"/>
  <c r="I54" i="30"/>
  <c r="G55" i="30"/>
  <c r="M55" i="30" s="1"/>
  <c r="K55" i="30"/>
  <c r="I56" i="30"/>
  <c r="G57" i="30"/>
  <c r="M57" i="30" s="1"/>
  <c r="K57" i="30"/>
  <c r="I58" i="30"/>
  <c r="G59" i="30"/>
  <c r="M59" i="30" s="1"/>
  <c r="K59" i="30"/>
  <c r="I60" i="30"/>
  <c r="G61" i="30"/>
  <c r="M61" i="30" s="1"/>
  <c r="K61" i="30"/>
  <c r="I62" i="30"/>
  <c r="G63" i="30"/>
  <c r="M63" i="30" s="1"/>
  <c r="K63" i="30"/>
  <c r="I64" i="30"/>
  <c r="G65" i="30"/>
  <c r="M65" i="30" s="1"/>
  <c r="K65" i="30"/>
  <c r="I66" i="30"/>
  <c r="G67" i="30"/>
  <c r="M67" i="30" s="1"/>
  <c r="K67" i="30"/>
  <c r="I68" i="30"/>
  <c r="G69" i="30"/>
  <c r="M69" i="30" s="1"/>
  <c r="K69" i="30"/>
  <c r="I70" i="30"/>
  <c r="G71" i="30"/>
  <c r="M71" i="30" s="1"/>
  <c r="K71" i="30"/>
  <c r="I72" i="30"/>
  <c r="G73" i="30"/>
  <c r="M73" i="30" s="1"/>
  <c r="K73" i="30"/>
  <c r="I74" i="30"/>
  <c r="G75" i="30"/>
  <c r="M75" i="30" s="1"/>
  <c r="K75" i="30"/>
  <c r="I76" i="30"/>
  <c r="G77" i="30"/>
  <c r="M77" i="30" s="1"/>
  <c r="K77" i="30"/>
  <c r="I78" i="30"/>
  <c r="G79" i="30"/>
  <c r="M79" i="30" s="1"/>
  <c r="K79" i="30"/>
  <c r="I80" i="30"/>
  <c r="G81" i="30"/>
  <c r="M81" i="30" s="1"/>
  <c r="K81" i="30"/>
  <c r="I82" i="30"/>
  <c r="G83" i="30"/>
  <c r="M83" i="30" s="1"/>
  <c r="K83" i="30"/>
  <c r="I84" i="30"/>
  <c r="G85" i="30"/>
  <c r="M85" i="30" s="1"/>
  <c r="K85" i="30"/>
  <c r="I86" i="30"/>
  <c r="G87" i="30"/>
  <c r="M87" i="30" s="1"/>
  <c r="K87" i="30"/>
  <c r="I88" i="30"/>
  <c r="G89" i="30"/>
  <c r="M89" i="30" s="1"/>
  <c r="K89" i="30"/>
  <c r="I90" i="30"/>
  <c r="G91" i="30"/>
  <c r="M91" i="30" s="1"/>
  <c r="K91" i="30"/>
  <c r="G93" i="30"/>
  <c r="M93" i="30" s="1"/>
  <c r="K93" i="30"/>
  <c r="G95" i="30"/>
  <c r="M95" i="30" s="1"/>
  <c r="K95" i="30"/>
  <c r="G97" i="30"/>
  <c r="M97" i="30" s="1"/>
  <c r="K97" i="30"/>
  <c r="G99" i="30"/>
  <c r="M99" i="30" s="1"/>
  <c r="K99" i="30"/>
  <c r="G101" i="30"/>
  <c r="M101" i="30" s="1"/>
  <c r="K101" i="30"/>
  <c r="G103" i="30"/>
  <c r="M103" i="30" s="1"/>
  <c r="K103" i="30"/>
  <c r="G105" i="30"/>
  <c r="M105" i="30" s="1"/>
  <c r="K105" i="30"/>
  <c r="G107" i="30"/>
  <c r="M107" i="30" s="1"/>
  <c r="K107" i="30"/>
  <c r="G109" i="30"/>
  <c r="M109" i="30" s="1"/>
  <c r="K109" i="30"/>
  <c r="G111" i="30"/>
  <c r="M111" i="30" s="1"/>
  <c r="K111" i="30"/>
  <c r="G113" i="30"/>
  <c r="M113" i="30" s="1"/>
  <c r="K113" i="30"/>
  <c r="G115" i="30"/>
  <c r="M115" i="30" s="1"/>
  <c r="K115" i="30"/>
  <c r="G117" i="30"/>
  <c r="M117" i="30" s="1"/>
  <c r="K117" i="30"/>
  <c r="G119" i="30"/>
  <c r="M119" i="30" s="1"/>
  <c r="K119" i="30"/>
  <c r="G121" i="30"/>
  <c r="M121" i="30" s="1"/>
  <c r="K121" i="30"/>
  <c r="G123" i="30"/>
  <c r="M123" i="30" s="1"/>
  <c r="K123" i="30"/>
  <c r="G125" i="30"/>
  <c r="M125" i="30" s="1"/>
  <c r="K125" i="30"/>
  <c r="G127" i="30"/>
  <c r="M127" i="30" s="1"/>
  <c r="K127" i="30"/>
  <c r="G129" i="30"/>
  <c r="M129" i="30" s="1"/>
  <c r="K129" i="30"/>
  <c r="G131" i="30"/>
  <c r="M131" i="30" s="1"/>
  <c r="K131" i="30"/>
  <c r="G133" i="30"/>
  <c r="M133" i="30" s="1"/>
  <c r="K133" i="30"/>
  <c r="G135" i="30"/>
  <c r="M135" i="30" s="1"/>
  <c r="K135" i="30"/>
  <c r="G137" i="30"/>
  <c r="M137" i="30" s="1"/>
  <c r="K137" i="30"/>
  <c r="G139" i="30"/>
  <c r="M139" i="30" s="1"/>
  <c r="K139" i="30"/>
  <c r="G141" i="30"/>
  <c r="M141" i="30" s="1"/>
  <c r="K141" i="30"/>
  <c r="G143" i="30"/>
  <c r="M143" i="30" s="1"/>
  <c r="K143" i="30"/>
  <c r="G145" i="30"/>
  <c r="M145" i="30" s="1"/>
  <c r="K145" i="30"/>
  <c r="G147" i="30"/>
  <c r="M147" i="30" s="1"/>
  <c r="K147" i="30"/>
  <c r="G149" i="30"/>
  <c r="M149" i="30" s="1"/>
  <c r="K149" i="30"/>
  <c r="G151" i="30"/>
  <c r="M151" i="30" s="1"/>
  <c r="K151" i="30"/>
  <c r="G153" i="30"/>
  <c r="M153" i="30" s="1"/>
  <c r="K153" i="30"/>
  <c r="G155" i="30"/>
  <c r="M155" i="30" s="1"/>
  <c r="K155" i="30"/>
  <c r="G157" i="30"/>
  <c r="M157" i="30" s="1"/>
  <c r="K157" i="30"/>
  <c r="G159" i="30"/>
  <c r="M159" i="30" s="1"/>
  <c r="K159" i="30"/>
  <c r="G161" i="30"/>
  <c r="M161" i="30" s="1"/>
  <c r="K161" i="30"/>
  <c r="G163" i="30"/>
  <c r="M163" i="30" s="1"/>
  <c r="K163" i="30"/>
  <c r="G165" i="30"/>
  <c r="M165" i="30" s="1"/>
  <c r="K165" i="30"/>
  <c r="G167" i="30"/>
  <c r="M167" i="30" s="1"/>
  <c r="K167" i="30"/>
  <c r="G169" i="30"/>
  <c r="M169" i="30" s="1"/>
  <c r="K169" i="30"/>
  <c r="G171" i="30"/>
  <c r="M171" i="30" s="1"/>
  <c r="K171" i="30"/>
  <c r="G173" i="30"/>
  <c r="M173" i="30" s="1"/>
  <c r="K173" i="30"/>
  <c r="G175" i="30"/>
  <c r="M175" i="30" s="1"/>
  <c r="K175" i="30"/>
  <c r="G177" i="30"/>
  <c r="M177" i="30" s="1"/>
  <c r="K177" i="30"/>
  <c r="G179" i="30"/>
  <c r="M179" i="30" s="1"/>
  <c r="K179" i="30"/>
  <c r="G181" i="30"/>
  <c r="M181" i="30" s="1"/>
  <c r="K181" i="30"/>
  <c r="G183" i="30"/>
  <c r="M183" i="30" s="1"/>
  <c r="K183" i="30"/>
  <c r="G185" i="30"/>
  <c r="M185" i="30" s="1"/>
  <c r="K185" i="30"/>
  <c r="G187" i="30"/>
  <c r="M187" i="30" s="1"/>
  <c r="K187" i="30"/>
  <c r="G189" i="30"/>
  <c r="M189" i="30" s="1"/>
  <c r="K189" i="30"/>
  <c r="G191" i="30"/>
  <c r="M191" i="30" s="1"/>
  <c r="K191" i="30"/>
  <c r="G193" i="30"/>
  <c r="M193" i="30" s="1"/>
  <c r="K193" i="30"/>
  <c r="G195" i="30"/>
  <c r="M195" i="30" s="1"/>
  <c r="K195" i="30"/>
  <c r="G197" i="30"/>
  <c r="M197" i="30" s="1"/>
  <c r="K197" i="30"/>
  <c r="G199" i="30"/>
  <c r="M199" i="30" s="1"/>
  <c r="K199" i="30"/>
  <c r="G201" i="30"/>
  <c r="M201" i="30" s="1"/>
  <c r="N201" i="30" s="1"/>
  <c r="K201" i="30"/>
  <c r="K210" i="30"/>
  <c r="J212" i="30"/>
  <c r="F212" i="30"/>
  <c r="I212" i="30"/>
  <c r="H212" i="30"/>
  <c r="K218" i="30"/>
  <c r="J220" i="30"/>
  <c r="F220" i="30"/>
  <c r="I220" i="30"/>
  <c r="H220" i="30"/>
  <c r="K226" i="30"/>
  <c r="I126" i="23"/>
  <c r="E126" i="23"/>
  <c r="G126" i="23"/>
  <c r="F126" i="23"/>
  <c r="J126" i="23"/>
  <c r="I134" i="23"/>
  <c r="E134" i="23"/>
  <c r="G134" i="23"/>
  <c r="F134" i="23"/>
  <c r="J134" i="23"/>
  <c r="I142" i="23"/>
  <c r="E142" i="23"/>
  <c r="G142" i="23"/>
  <c r="F142" i="23"/>
  <c r="J142" i="23"/>
  <c r="I150" i="23"/>
  <c r="E150" i="23"/>
  <c r="G150" i="23"/>
  <c r="F150" i="23"/>
  <c r="J150" i="23"/>
  <c r="I158" i="23"/>
  <c r="E158" i="23"/>
  <c r="G158" i="23"/>
  <c r="F158" i="23"/>
  <c r="J158" i="23"/>
  <c r="I166" i="23"/>
  <c r="E166" i="23"/>
  <c r="G166" i="23"/>
  <c r="F166" i="23"/>
  <c r="J166" i="23"/>
  <c r="I174" i="23"/>
  <c r="E174" i="23"/>
  <c r="G174" i="23"/>
  <c r="F174" i="23"/>
  <c r="J174" i="23"/>
  <c r="I182" i="23"/>
  <c r="E182" i="23"/>
  <c r="G182" i="23"/>
  <c r="F182" i="23"/>
  <c r="J182" i="23"/>
  <c r="I190" i="23"/>
  <c r="E190" i="23"/>
  <c r="G190" i="23"/>
  <c r="F190" i="23"/>
  <c r="J190" i="23"/>
  <c r="M263" i="16"/>
  <c r="P263" i="16" s="1"/>
  <c r="Q263" i="16" s="1"/>
  <c r="F29" i="30"/>
  <c r="H41" i="30"/>
  <c r="L41" i="30"/>
  <c r="F42" i="30"/>
  <c r="J42" i="30"/>
  <c r="H43" i="30"/>
  <c r="L43" i="30"/>
  <c r="F44" i="30"/>
  <c r="J44" i="30"/>
  <c r="H45" i="30"/>
  <c r="L45" i="30"/>
  <c r="N45" i="30" s="1"/>
  <c r="F46" i="30"/>
  <c r="J46" i="30"/>
  <c r="H47" i="30"/>
  <c r="L47" i="30"/>
  <c r="F48" i="30"/>
  <c r="J48" i="30"/>
  <c r="H49" i="30"/>
  <c r="L49" i="30"/>
  <c r="F50" i="30"/>
  <c r="J50" i="30"/>
  <c r="H51" i="30"/>
  <c r="L51" i="30"/>
  <c r="F52" i="30"/>
  <c r="J52" i="30"/>
  <c r="H53" i="30"/>
  <c r="L53" i="30"/>
  <c r="N53" i="30" s="1"/>
  <c r="F54" i="30"/>
  <c r="J54" i="30"/>
  <c r="H55" i="30"/>
  <c r="L55" i="30"/>
  <c r="F56" i="30"/>
  <c r="J56" i="30"/>
  <c r="H57" i="30"/>
  <c r="L57" i="30"/>
  <c r="F58" i="30"/>
  <c r="J58" i="30"/>
  <c r="H59" i="30"/>
  <c r="L59" i="30"/>
  <c r="F60" i="30"/>
  <c r="J60" i="30"/>
  <c r="H61" i="30"/>
  <c r="L61" i="30"/>
  <c r="N61" i="30" s="1"/>
  <c r="F62" i="30"/>
  <c r="J62" i="30"/>
  <c r="H63" i="30"/>
  <c r="L63" i="30"/>
  <c r="F64" i="30"/>
  <c r="J64" i="30"/>
  <c r="H65" i="30"/>
  <c r="L65" i="30"/>
  <c r="F66" i="30"/>
  <c r="J66" i="30"/>
  <c r="H67" i="30"/>
  <c r="L67" i="30"/>
  <c r="F68" i="30"/>
  <c r="J68" i="30"/>
  <c r="H69" i="30"/>
  <c r="L69" i="30"/>
  <c r="N69" i="30" s="1"/>
  <c r="F70" i="30"/>
  <c r="J70" i="30"/>
  <c r="H71" i="30"/>
  <c r="L71" i="30"/>
  <c r="F72" i="30"/>
  <c r="J72" i="30"/>
  <c r="H73" i="30"/>
  <c r="L73" i="30"/>
  <c r="F74" i="30"/>
  <c r="J74" i="30"/>
  <c r="H75" i="30"/>
  <c r="L75" i="30"/>
  <c r="F76" i="30"/>
  <c r="J76" i="30"/>
  <c r="H77" i="30"/>
  <c r="L77" i="30"/>
  <c r="N77" i="30" s="1"/>
  <c r="F78" i="30"/>
  <c r="J78" i="30"/>
  <c r="H79" i="30"/>
  <c r="L79" i="30"/>
  <c r="F80" i="30"/>
  <c r="J80" i="30"/>
  <c r="H81" i="30"/>
  <c r="L81" i="30"/>
  <c r="F82" i="30"/>
  <c r="J82" i="30"/>
  <c r="H83" i="30"/>
  <c r="L83" i="30"/>
  <c r="F84" i="30"/>
  <c r="J84" i="30"/>
  <c r="H85" i="30"/>
  <c r="L85" i="30"/>
  <c r="N85" i="30" s="1"/>
  <c r="F86" i="30"/>
  <c r="J86" i="30"/>
  <c r="H87" i="30"/>
  <c r="L87" i="30"/>
  <c r="F88" i="30"/>
  <c r="J88" i="30"/>
  <c r="H89" i="30"/>
  <c r="L89" i="30"/>
  <c r="F90" i="30"/>
  <c r="J90" i="30"/>
  <c r="H91" i="30"/>
  <c r="L91" i="30"/>
  <c r="F92" i="30"/>
  <c r="J92" i="30"/>
  <c r="H93" i="30"/>
  <c r="L93" i="30"/>
  <c r="F94" i="30"/>
  <c r="J94" i="30"/>
  <c r="H95" i="30"/>
  <c r="L95" i="30"/>
  <c r="F96" i="30"/>
  <c r="J96" i="30"/>
  <c r="H97" i="30"/>
  <c r="L97" i="30"/>
  <c r="F98" i="30"/>
  <c r="J98" i="30"/>
  <c r="H99" i="30"/>
  <c r="L99" i="30"/>
  <c r="F100" i="30"/>
  <c r="J100" i="30"/>
  <c r="H101" i="30"/>
  <c r="L101" i="30"/>
  <c r="F102" i="30"/>
  <c r="J102" i="30"/>
  <c r="H103" i="30"/>
  <c r="L103" i="30"/>
  <c r="F104" i="30"/>
  <c r="J104" i="30"/>
  <c r="H105" i="30"/>
  <c r="L105" i="30"/>
  <c r="F106" i="30"/>
  <c r="J106" i="30"/>
  <c r="H107" i="30"/>
  <c r="L107" i="30"/>
  <c r="F108" i="30"/>
  <c r="J108" i="30"/>
  <c r="H109" i="30"/>
  <c r="L109" i="30"/>
  <c r="F110" i="30"/>
  <c r="J110" i="30"/>
  <c r="H111" i="30"/>
  <c r="L111" i="30"/>
  <c r="F112" i="30"/>
  <c r="J112" i="30"/>
  <c r="H113" i="30"/>
  <c r="L113" i="30"/>
  <c r="F114" i="30"/>
  <c r="J114" i="30"/>
  <c r="H115" i="30"/>
  <c r="L115" i="30"/>
  <c r="F116" i="30"/>
  <c r="J116" i="30"/>
  <c r="H117" i="30"/>
  <c r="L117" i="30"/>
  <c r="F118" i="30"/>
  <c r="J118" i="30"/>
  <c r="H119" i="30"/>
  <c r="L119" i="30"/>
  <c r="F120" i="30"/>
  <c r="J120" i="30"/>
  <c r="H121" i="30"/>
  <c r="L121" i="30"/>
  <c r="F122" i="30"/>
  <c r="J122" i="30"/>
  <c r="H123" i="30"/>
  <c r="L123" i="30"/>
  <c r="F124" i="30"/>
  <c r="J124" i="30"/>
  <c r="H125" i="30"/>
  <c r="L125" i="30"/>
  <c r="F126" i="30"/>
  <c r="J126" i="30"/>
  <c r="H127" i="30"/>
  <c r="L127" i="30"/>
  <c r="F128" i="30"/>
  <c r="J128" i="30"/>
  <c r="H129" i="30"/>
  <c r="L129" i="30"/>
  <c r="F130" i="30"/>
  <c r="J130" i="30"/>
  <c r="H131" i="30"/>
  <c r="L131" i="30"/>
  <c r="F132" i="30"/>
  <c r="J132" i="30"/>
  <c r="H133" i="30"/>
  <c r="L133" i="30"/>
  <c r="F134" i="30"/>
  <c r="J134" i="30"/>
  <c r="H135" i="30"/>
  <c r="L135" i="30"/>
  <c r="F136" i="30"/>
  <c r="J136" i="30"/>
  <c r="H137" i="30"/>
  <c r="L137" i="30"/>
  <c r="F138" i="30"/>
  <c r="J138" i="30"/>
  <c r="H139" i="30"/>
  <c r="L139" i="30"/>
  <c r="F140" i="30"/>
  <c r="J140" i="30"/>
  <c r="H141" i="30"/>
  <c r="L141" i="30"/>
  <c r="F142" i="30"/>
  <c r="J142" i="30"/>
  <c r="H143" i="30"/>
  <c r="L143" i="30"/>
  <c r="F144" i="30"/>
  <c r="J144" i="30"/>
  <c r="H145" i="30"/>
  <c r="L145" i="30"/>
  <c r="F146" i="30"/>
  <c r="J146" i="30"/>
  <c r="H147" i="30"/>
  <c r="L147" i="30"/>
  <c r="F148" i="30"/>
  <c r="J148" i="30"/>
  <c r="H149" i="30"/>
  <c r="L149" i="30"/>
  <c r="F150" i="30"/>
  <c r="J150" i="30"/>
  <c r="H151" i="30"/>
  <c r="L151" i="30"/>
  <c r="F152" i="30"/>
  <c r="J152" i="30"/>
  <c r="H153" i="30"/>
  <c r="L153" i="30"/>
  <c r="F154" i="30"/>
  <c r="J154" i="30"/>
  <c r="H155" i="30"/>
  <c r="L155" i="30"/>
  <c r="F156" i="30"/>
  <c r="J156" i="30"/>
  <c r="H157" i="30"/>
  <c r="L157" i="30"/>
  <c r="F158" i="30"/>
  <c r="J158" i="30"/>
  <c r="H159" i="30"/>
  <c r="L159" i="30"/>
  <c r="F160" i="30"/>
  <c r="J160" i="30"/>
  <c r="H161" i="30"/>
  <c r="L161" i="30"/>
  <c r="F162" i="30"/>
  <c r="J162" i="30"/>
  <c r="H163" i="30"/>
  <c r="L163" i="30"/>
  <c r="F164" i="30"/>
  <c r="J164" i="30"/>
  <c r="H165" i="30"/>
  <c r="L165" i="30"/>
  <c r="F166" i="30"/>
  <c r="J166" i="30"/>
  <c r="H167" i="30"/>
  <c r="L167" i="30"/>
  <c r="F168" i="30"/>
  <c r="J168" i="30"/>
  <c r="H169" i="30"/>
  <c r="L169" i="30"/>
  <c r="F170" i="30"/>
  <c r="J170" i="30"/>
  <c r="H171" i="30"/>
  <c r="L171" i="30"/>
  <c r="F172" i="30"/>
  <c r="J172" i="30"/>
  <c r="H173" i="30"/>
  <c r="L173" i="30"/>
  <c r="F174" i="30"/>
  <c r="J174" i="30"/>
  <c r="H175" i="30"/>
  <c r="L175" i="30"/>
  <c r="F176" i="30"/>
  <c r="J176" i="30"/>
  <c r="H177" i="30"/>
  <c r="L177" i="30"/>
  <c r="F178" i="30"/>
  <c r="J178" i="30"/>
  <c r="H179" i="30"/>
  <c r="L179" i="30"/>
  <c r="F180" i="30"/>
  <c r="J180" i="30"/>
  <c r="H181" i="30"/>
  <c r="L181" i="30"/>
  <c r="F182" i="30"/>
  <c r="J182" i="30"/>
  <c r="H183" i="30"/>
  <c r="L183" i="30"/>
  <c r="F184" i="30"/>
  <c r="J184" i="30"/>
  <c r="H185" i="30"/>
  <c r="L185" i="30"/>
  <c r="F186" i="30"/>
  <c r="J186" i="30"/>
  <c r="H187" i="30"/>
  <c r="L187" i="30"/>
  <c r="F188" i="30"/>
  <c r="J188" i="30"/>
  <c r="H189" i="30"/>
  <c r="L189" i="30"/>
  <c r="F190" i="30"/>
  <c r="J190" i="30"/>
  <c r="H191" i="30"/>
  <c r="L191" i="30"/>
  <c r="F192" i="30"/>
  <c r="J192" i="30"/>
  <c r="H193" i="30"/>
  <c r="L193" i="30"/>
  <c r="F194" i="30"/>
  <c r="J194" i="30"/>
  <c r="H195" i="30"/>
  <c r="L195" i="30"/>
  <c r="F196" i="30"/>
  <c r="J196" i="30"/>
  <c r="H197" i="30"/>
  <c r="L197" i="30"/>
  <c r="F198" i="30"/>
  <c r="J198" i="30"/>
  <c r="H199" i="30"/>
  <c r="L199" i="30"/>
  <c r="F200" i="30"/>
  <c r="J200" i="30"/>
  <c r="H201" i="30"/>
  <c r="J202" i="30"/>
  <c r="F202" i="30"/>
  <c r="H202" i="30"/>
  <c r="L203" i="30"/>
  <c r="H203" i="30"/>
  <c r="G203" i="30"/>
  <c r="M203" i="30" s="1"/>
  <c r="J204" i="30"/>
  <c r="F204" i="30"/>
  <c r="H204" i="30"/>
  <c r="L205" i="30"/>
  <c r="H205" i="30"/>
  <c r="G205" i="30"/>
  <c r="M205" i="30" s="1"/>
  <c r="J206" i="30"/>
  <c r="F206" i="30"/>
  <c r="H206" i="30"/>
  <c r="L207" i="30"/>
  <c r="H207" i="30"/>
  <c r="G207" i="30"/>
  <c r="M207" i="30" s="1"/>
  <c r="J208" i="30"/>
  <c r="F208" i="30"/>
  <c r="H208" i="30"/>
  <c r="L210" i="30"/>
  <c r="N210" i="30" s="1"/>
  <c r="K212" i="30"/>
  <c r="J214" i="30"/>
  <c r="F214" i="30"/>
  <c r="I214" i="30"/>
  <c r="H214" i="30"/>
  <c r="L218" i="30"/>
  <c r="N218" i="30" s="1"/>
  <c r="K220" i="30"/>
  <c r="J222" i="30"/>
  <c r="F222" i="30"/>
  <c r="I222" i="30"/>
  <c r="H222" i="30"/>
  <c r="L226" i="30"/>
  <c r="N226" i="30" s="1"/>
  <c r="G44" i="23"/>
  <c r="G45" i="23"/>
  <c r="G46" i="23"/>
  <c r="G47" i="23"/>
  <c r="G48" i="23"/>
  <c r="G49" i="23"/>
  <c r="G50" i="23"/>
  <c r="G51" i="23"/>
  <c r="G52" i="23"/>
  <c r="G53" i="23"/>
  <c r="G54" i="23"/>
  <c r="G55" i="23"/>
  <c r="G56" i="23"/>
  <c r="G57" i="23"/>
  <c r="G58" i="23"/>
  <c r="G59" i="23"/>
  <c r="G60" i="23"/>
  <c r="G61" i="23"/>
  <c r="G62" i="23"/>
  <c r="G63" i="23"/>
  <c r="G64" i="23"/>
  <c r="G65" i="23"/>
  <c r="G66" i="23"/>
  <c r="G67" i="23"/>
  <c r="G68" i="23"/>
  <c r="G69" i="23"/>
  <c r="G70" i="23"/>
  <c r="G71" i="23"/>
  <c r="G72" i="23"/>
  <c r="G73" i="23"/>
  <c r="G74" i="23"/>
  <c r="G75" i="23"/>
  <c r="G76" i="23"/>
  <c r="G77" i="23"/>
  <c r="G78" i="23"/>
  <c r="I124" i="23"/>
  <c r="E124" i="23"/>
  <c r="G124" i="23"/>
  <c r="F124" i="23"/>
  <c r="J124" i="23"/>
  <c r="I132" i="23"/>
  <c r="E132" i="23"/>
  <c r="G132" i="23"/>
  <c r="F132" i="23"/>
  <c r="J132" i="23"/>
  <c r="I140" i="23"/>
  <c r="E140" i="23"/>
  <c r="G140" i="23"/>
  <c r="F140" i="23"/>
  <c r="J140" i="23"/>
  <c r="I148" i="23"/>
  <c r="E148" i="23"/>
  <c r="G148" i="23"/>
  <c r="F148" i="23"/>
  <c r="J148" i="23"/>
  <c r="I156" i="23"/>
  <c r="E156" i="23"/>
  <c r="G156" i="23"/>
  <c r="F156" i="23"/>
  <c r="J156" i="23"/>
  <c r="I164" i="23"/>
  <c r="E164" i="23"/>
  <c r="G164" i="23"/>
  <c r="F164" i="23"/>
  <c r="J164" i="23"/>
  <c r="I172" i="23"/>
  <c r="E172" i="23"/>
  <c r="G172" i="23"/>
  <c r="F172" i="23"/>
  <c r="J172" i="23"/>
  <c r="I180" i="23"/>
  <c r="E180" i="23"/>
  <c r="G180" i="23"/>
  <c r="F180" i="23"/>
  <c r="J180" i="23"/>
  <c r="I188" i="23"/>
  <c r="E188" i="23"/>
  <c r="G188" i="23"/>
  <c r="F188" i="23"/>
  <c r="J188" i="23"/>
  <c r="N29" i="37"/>
  <c r="K86" i="16" s="1"/>
  <c r="M86" i="16" s="1"/>
  <c r="P86" i="16" s="1"/>
  <c r="Q86" i="16" s="1"/>
  <c r="E216" i="27"/>
  <c r="E212" i="27"/>
  <c r="E208" i="27"/>
  <c r="E204" i="27"/>
  <c r="E200" i="27"/>
  <c r="E196" i="27"/>
  <c r="E192" i="27"/>
  <c r="E213" i="27"/>
  <c r="E205" i="27"/>
  <c r="E197" i="27"/>
  <c r="E140" i="27"/>
  <c r="E132" i="27"/>
  <c r="E124" i="27"/>
  <c r="E116" i="27"/>
  <c r="E108" i="27"/>
  <c r="E100" i="27"/>
  <c r="E92" i="27"/>
  <c r="E84" i="27"/>
  <c r="E76" i="27"/>
  <c r="E68" i="27"/>
  <c r="E60" i="27"/>
  <c r="E209" i="27"/>
  <c r="E148" i="27"/>
  <c r="E147" i="27"/>
  <c r="E139" i="27"/>
  <c r="E131" i="27"/>
  <c r="E123" i="27"/>
  <c r="E115" i="27"/>
  <c r="E107" i="27"/>
  <c r="E99" i="27"/>
  <c r="E91" i="27"/>
  <c r="E83" i="27"/>
  <c r="E75" i="27"/>
  <c r="E67" i="27"/>
  <c r="E217" i="27"/>
  <c r="E189" i="27"/>
  <c r="E184" i="27"/>
  <c r="E181" i="27"/>
  <c r="E176" i="27"/>
  <c r="E173" i="27"/>
  <c r="E168" i="27"/>
  <c r="E165" i="27"/>
  <c r="E160" i="27"/>
  <c r="E157" i="27"/>
  <c r="E152" i="27"/>
  <c r="E149" i="27"/>
  <c r="E145" i="27"/>
  <c r="E144" i="27"/>
  <c r="E137" i="27"/>
  <c r="E136" i="27"/>
  <c r="E129" i="27"/>
  <c r="E128" i="27"/>
  <c r="E121" i="27"/>
  <c r="E120" i="27"/>
  <c r="E113" i="27"/>
  <c r="E112" i="27"/>
  <c r="E105" i="27"/>
  <c r="E104" i="27"/>
  <c r="E97" i="27"/>
  <c r="E96" i="27"/>
  <c r="E89" i="27"/>
  <c r="E88" i="27"/>
  <c r="E81" i="27"/>
  <c r="E80" i="27"/>
  <c r="E73" i="27"/>
  <c r="E72" i="27"/>
  <c r="E193" i="27"/>
  <c r="E53" i="27"/>
  <c r="E45" i="27"/>
  <c r="E37" i="27"/>
  <c r="E201" i="27"/>
  <c r="E188" i="27"/>
  <c r="E185" i="27"/>
  <c r="E180" i="27"/>
  <c r="E177" i="27"/>
  <c r="E172" i="27"/>
  <c r="E169" i="27"/>
  <c r="E164" i="27"/>
  <c r="E161" i="27"/>
  <c r="E156" i="27"/>
  <c r="E153" i="27"/>
  <c r="E141" i="27"/>
  <c r="E133" i="27"/>
  <c r="E125" i="27"/>
  <c r="E117" i="27"/>
  <c r="E109" i="27"/>
  <c r="E101" i="27"/>
  <c r="E93" i="27"/>
  <c r="E85" i="27"/>
  <c r="E77" i="27"/>
  <c r="E69" i="27"/>
  <c r="E61" i="27"/>
  <c r="E52" i="27"/>
  <c r="E44" i="27"/>
  <c r="E36" i="27"/>
  <c r="E64" i="27"/>
  <c r="E65" i="27"/>
  <c r="E59" i="27"/>
  <c r="E56" i="27"/>
  <c r="E51" i="27"/>
  <c r="E48" i="27"/>
  <c r="E43" i="27"/>
  <c r="E40" i="27"/>
  <c r="E35" i="27"/>
  <c r="G42" i="30"/>
  <c r="M42" i="30" s="1"/>
  <c r="N42" i="30" s="1"/>
  <c r="K42" i="30"/>
  <c r="G44" i="30"/>
  <c r="M44" i="30" s="1"/>
  <c r="N44" i="30" s="1"/>
  <c r="K44" i="30"/>
  <c r="G46" i="30"/>
  <c r="M46" i="30" s="1"/>
  <c r="N46" i="30" s="1"/>
  <c r="K46" i="30"/>
  <c r="G48" i="30"/>
  <c r="M48" i="30" s="1"/>
  <c r="N48" i="30" s="1"/>
  <c r="K48" i="30"/>
  <c r="G50" i="30"/>
  <c r="M50" i="30" s="1"/>
  <c r="N50" i="30" s="1"/>
  <c r="K50" i="30"/>
  <c r="G52" i="30"/>
  <c r="M52" i="30" s="1"/>
  <c r="N52" i="30" s="1"/>
  <c r="K52" i="30"/>
  <c r="G54" i="30"/>
  <c r="M54" i="30" s="1"/>
  <c r="N54" i="30" s="1"/>
  <c r="K54" i="30"/>
  <c r="G56" i="30"/>
  <c r="M56" i="30" s="1"/>
  <c r="N56" i="30" s="1"/>
  <c r="K56" i="30"/>
  <c r="G58" i="30"/>
  <c r="M58" i="30" s="1"/>
  <c r="N58" i="30" s="1"/>
  <c r="K58" i="30"/>
  <c r="G60" i="30"/>
  <c r="M60" i="30" s="1"/>
  <c r="N60" i="30" s="1"/>
  <c r="K60" i="30"/>
  <c r="G62" i="30"/>
  <c r="M62" i="30" s="1"/>
  <c r="N62" i="30" s="1"/>
  <c r="K62" i="30"/>
  <c r="G64" i="30"/>
  <c r="M64" i="30" s="1"/>
  <c r="N64" i="30" s="1"/>
  <c r="K64" i="30"/>
  <c r="G66" i="30"/>
  <c r="M66" i="30" s="1"/>
  <c r="N66" i="30" s="1"/>
  <c r="K66" i="30"/>
  <c r="G68" i="30"/>
  <c r="M68" i="30" s="1"/>
  <c r="N68" i="30" s="1"/>
  <c r="K68" i="30"/>
  <c r="G70" i="30"/>
  <c r="M70" i="30" s="1"/>
  <c r="N70" i="30" s="1"/>
  <c r="K70" i="30"/>
  <c r="G72" i="30"/>
  <c r="M72" i="30" s="1"/>
  <c r="N72" i="30" s="1"/>
  <c r="K72" i="30"/>
  <c r="G74" i="30"/>
  <c r="M74" i="30" s="1"/>
  <c r="N74" i="30" s="1"/>
  <c r="K74" i="30"/>
  <c r="G76" i="30"/>
  <c r="M76" i="30" s="1"/>
  <c r="N76" i="30" s="1"/>
  <c r="K76" i="30"/>
  <c r="G78" i="30"/>
  <c r="M78" i="30" s="1"/>
  <c r="N78" i="30" s="1"/>
  <c r="K78" i="30"/>
  <c r="G80" i="30"/>
  <c r="M80" i="30" s="1"/>
  <c r="N80" i="30" s="1"/>
  <c r="K80" i="30"/>
  <c r="G82" i="30"/>
  <c r="M82" i="30" s="1"/>
  <c r="N82" i="30" s="1"/>
  <c r="K82" i="30"/>
  <c r="G84" i="30"/>
  <c r="M84" i="30" s="1"/>
  <c r="N84" i="30" s="1"/>
  <c r="K84" i="30"/>
  <c r="G86" i="30"/>
  <c r="M86" i="30" s="1"/>
  <c r="N86" i="30" s="1"/>
  <c r="K86" i="30"/>
  <c r="G88" i="30"/>
  <c r="M88" i="30" s="1"/>
  <c r="N88" i="30" s="1"/>
  <c r="K88" i="30"/>
  <c r="G90" i="30"/>
  <c r="M90" i="30" s="1"/>
  <c r="N90" i="30" s="1"/>
  <c r="K90" i="30"/>
  <c r="I91" i="30"/>
  <c r="G92" i="30"/>
  <c r="M92" i="30" s="1"/>
  <c r="K92" i="30"/>
  <c r="I93" i="30"/>
  <c r="G94" i="30"/>
  <c r="M94" i="30" s="1"/>
  <c r="N94" i="30" s="1"/>
  <c r="K94" i="30"/>
  <c r="I95" i="30"/>
  <c r="G96" i="30"/>
  <c r="M96" i="30" s="1"/>
  <c r="N96" i="30" s="1"/>
  <c r="K96" i="30"/>
  <c r="I97" i="30"/>
  <c r="G98" i="30"/>
  <c r="M98" i="30" s="1"/>
  <c r="N98" i="30" s="1"/>
  <c r="K98" i="30"/>
  <c r="I99" i="30"/>
  <c r="G100" i="30"/>
  <c r="M100" i="30" s="1"/>
  <c r="K100" i="30"/>
  <c r="I101" i="30"/>
  <c r="G102" i="30"/>
  <c r="M102" i="30" s="1"/>
  <c r="N102" i="30" s="1"/>
  <c r="K102" i="30"/>
  <c r="I103" i="30"/>
  <c r="G104" i="30"/>
  <c r="M104" i="30" s="1"/>
  <c r="N104" i="30" s="1"/>
  <c r="K104" i="30"/>
  <c r="I105" i="30"/>
  <c r="G106" i="30"/>
  <c r="M106" i="30" s="1"/>
  <c r="N106" i="30" s="1"/>
  <c r="K106" i="30"/>
  <c r="I107" i="30"/>
  <c r="G108" i="30"/>
  <c r="M108" i="30" s="1"/>
  <c r="K108" i="30"/>
  <c r="I109" i="30"/>
  <c r="G110" i="30"/>
  <c r="M110" i="30" s="1"/>
  <c r="N110" i="30" s="1"/>
  <c r="K110" i="30"/>
  <c r="I111" i="30"/>
  <c r="G112" i="30"/>
  <c r="M112" i="30" s="1"/>
  <c r="N112" i="30" s="1"/>
  <c r="K112" i="30"/>
  <c r="I113" i="30"/>
  <c r="G114" i="30"/>
  <c r="M114" i="30" s="1"/>
  <c r="N114" i="30" s="1"/>
  <c r="K114" i="30"/>
  <c r="I115" i="30"/>
  <c r="G116" i="30"/>
  <c r="M116" i="30" s="1"/>
  <c r="K116" i="30"/>
  <c r="I117" i="30"/>
  <c r="G118" i="30"/>
  <c r="M118" i="30" s="1"/>
  <c r="N118" i="30" s="1"/>
  <c r="K118" i="30"/>
  <c r="I119" i="30"/>
  <c r="G120" i="30"/>
  <c r="M120" i="30" s="1"/>
  <c r="N120" i="30" s="1"/>
  <c r="K120" i="30"/>
  <c r="I121" i="30"/>
  <c r="G122" i="30"/>
  <c r="M122" i="30" s="1"/>
  <c r="N122" i="30" s="1"/>
  <c r="I123" i="30"/>
  <c r="G124" i="30"/>
  <c r="M124" i="30" s="1"/>
  <c r="I125" i="30"/>
  <c r="G126" i="30"/>
  <c r="M126" i="30" s="1"/>
  <c r="N126" i="30" s="1"/>
  <c r="I127" i="30"/>
  <c r="G128" i="30"/>
  <c r="M128" i="30" s="1"/>
  <c r="I129" i="30"/>
  <c r="G130" i="30"/>
  <c r="M130" i="30" s="1"/>
  <c r="N130" i="30" s="1"/>
  <c r="I131" i="30"/>
  <c r="G132" i="30"/>
  <c r="M132" i="30" s="1"/>
  <c r="I133" i="30"/>
  <c r="G134" i="30"/>
  <c r="M134" i="30" s="1"/>
  <c r="N134" i="30" s="1"/>
  <c r="I135" i="30"/>
  <c r="G136" i="30"/>
  <c r="M136" i="30" s="1"/>
  <c r="I137" i="30"/>
  <c r="G138" i="30"/>
  <c r="M138" i="30" s="1"/>
  <c r="N138" i="30" s="1"/>
  <c r="I139" i="30"/>
  <c r="G140" i="30"/>
  <c r="M140" i="30" s="1"/>
  <c r="I141" i="30"/>
  <c r="G142" i="30"/>
  <c r="M142" i="30" s="1"/>
  <c r="N142" i="30" s="1"/>
  <c r="I143" i="30"/>
  <c r="G144" i="30"/>
  <c r="M144" i="30" s="1"/>
  <c r="I145" i="30"/>
  <c r="G146" i="30"/>
  <c r="M146" i="30" s="1"/>
  <c r="I147" i="30"/>
  <c r="G148" i="30"/>
  <c r="M148" i="30" s="1"/>
  <c r="I149" i="30"/>
  <c r="G150" i="30"/>
  <c r="M150" i="30" s="1"/>
  <c r="N150" i="30" s="1"/>
  <c r="I151" i="30"/>
  <c r="G152" i="30"/>
  <c r="M152" i="30" s="1"/>
  <c r="I153" i="30"/>
  <c r="G154" i="30"/>
  <c r="M154" i="30" s="1"/>
  <c r="N154" i="30" s="1"/>
  <c r="I155" i="30"/>
  <c r="G156" i="30"/>
  <c r="M156" i="30" s="1"/>
  <c r="I157" i="30"/>
  <c r="G158" i="30"/>
  <c r="M158" i="30" s="1"/>
  <c r="N158" i="30" s="1"/>
  <c r="I159" i="30"/>
  <c r="G160" i="30"/>
  <c r="M160" i="30" s="1"/>
  <c r="I161" i="30"/>
  <c r="G162" i="30"/>
  <c r="M162" i="30" s="1"/>
  <c r="N162" i="30" s="1"/>
  <c r="I163" i="30"/>
  <c r="G164" i="30"/>
  <c r="M164" i="30" s="1"/>
  <c r="I165" i="30"/>
  <c r="G166" i="30"/>
  <c r="M166" i="30" s="1"/>
  <c r="N166" i="30" s="1"/>
  <c r="I167" i="30"/>
  <c r="G168" i="30"/>
  <c r="M168" i="30" s="1"/>
  <c r="I169" i="30"/>
  <c r="G170" i="30"/>
  <c r="M170" i="30" s="1"/>
  <c r="N170" i="30" s="1"/>
  <c r="I171" i="30"/>
  <c r="G172" i="30"/>
  <c r="M172" i="30" s="1"/>
  <c r="I173" i="30"/>
  <c r="G174" i="30"/>
  <c r="M174" i="30" s="1"/>
  <c r="N174" i="30" s="1"/>
  <c r="I175" i="30"/>
  <c r="G176" i="30"/>
  <c r="M176" i="30" s="1"/>
  <c r="I177" i="30"/>
  <c r="G178" i="30"/>
  <c r="M178" i="30" s="1"/>
  <c r="N178" i="30" s="1"/>
  <c r="I179" i="30"/>
  <c r="G180" i="30"/>
  <c r="M180" i="30" s="1"/>
  <c r="G182" i="30"/>
  <c r="M182" i="30" s="1"/>
  <c r="G184" i="30"/>
  <c r="M184" i="30" s="1"/>
  <c r="G186" i="30"/>
  <c r="M186" i="30" s="1"/>
  <c r="N186" i="30" s="1"/>
  <c r="G188" i="30"/>
  <c r="M188" i="30" s="1"/>
  <c r="G190" i="30"/>
  <c r="M190" i="30" s="1"/>
  <c r="N190" i="30" s="1"/>
  <c r="G192" i="30"/>
  <c r="M192" i="30" s="1"/>
  <c r="G194" i="30"/>
  <c r="M194" i="30" s="1"/>
  <c r="N194" i="30" s="1"/>
  <c r="G196" i="30"/>
  <c r="M196" i="30" s="1"/>
  <c r="G198" i="30"/>
  <c r="M198" i="30" s="1"/>
  <c r="G200" i="30"/>
  <c r="M200" i="30" s="1"/>
  <c r="I201" i="30"/>
  <c r="L212" i="30"/>
  <c r="N212" i="30" s="1"/>
  <c r="J216" i="30"/>
  <c r="F216" i="30"/>
  <c r="I216" i="30"/>
  <c r="H216" i="30"/>
  <c r="L220" i="30"/>
  <c r="N220" i="30" s="1"/>
  <c r="J224" i="30"/>
  <c r="F224" i="30"/>
  <c r="I224" i="30"/>
  <c r="H224" i="30"/>
  <c r="I130" i="23"/>
  <c r="E130" i="23"/>
  <c r="G130" i="23"/>
  <c r="F130" i="23"/>
  <c r="J130" i="23"/>
  <c r="I138" i="23"/>
  <c r="E138" i="23"/>
  <c r="G138" i="23"/>
  <c r="F138" i="23"/>
  <c r="J138" i="23"/>
  <c r="I146" i="23"/>
  <c r="E146" i="23"/>
  <c r="G146" i="23"/>
  <c r="F146" i="23"/>
  <c r="J146" i="23"/>
  <c r="I154" i="23"/>
  <c r="E154" i="23"/>
  <c r="G154" i="23"/>
  <c r="F154" i="23"/>
  <c r="J154" i="23"/>
  <c r="I162" i="23"/>
  <c r="E162" i="23"/>
  <c r="G162" i="23"/>
  <c r="F162" i="23"/>
  <c r="J162" i="23"/>
  <c r="I170" i="23"/>
  <c r="E170" i="23"/>
  <c r="G170" i="23"/>
  <c r="F170" i="23"/>
  <c r="J170" i="23"/>
  <c r="I178" i="23"/>
  <c r="E178" i="23"/>
  <c r="G178" i="23"/>
  <c r="F178" i="23"/>
  <c r="J178" i="23"/>
  <c r="I186" i="23"/>
  <c r="E186" i="23"/>
  <c r="G186" i="23"/>
  <c r="F186" i="23"/>
  <c r="J186" i="23"/>
  <c r="H190" i="23"/>
  <c r="F41" i="30"/>
  <c r="H42" i="30"/>
  <c r="F43" i="30"/>
  <c r="H44" i="30"/>
  <c r="F45" i="30"/>
  <c r="H46" i="30"/>
  <c r="F47" i="30"/>
  <c r="H48" i="30"/>
  <c r="F49" i="30"/>
  <c r="H50" i="30"/>
  <c r="F51" i="30"/>
  <c r="H52" i="30"/>
  <c r="F53" i="30"/>
  <c r="H54" i="30"/>
  <c r="F55" i="30"/>
  <c r="H56" i="30"/>
  <c r="F57" i="30"/>
  <c r="H58" i="30"/>
  <c r="F59" i="30"/>
  <c r="H60" i="30"/>
  <c r="F61" i="30"/>
  <c r="H62" i="30"/>
  <c r="F63" i="30"/>
  <c r="H64" i="30"/>
  <c r="F65" i="30"/>
  <c r="H66" i="30"/>
  <c r="F67" i="30"/>
  <c r="H68" i="30"/>
  <c r="F69" i="30"/>
  <c r="H70" i="30"/>
  <c r="F71" i="30"/>
  <c r="H72" i="30"/>
  <c r="F73" i="30"/>
  <c r="H74" i="30"/>
  <c r="F75" i="30"/>
  <c r="H76" i="30"/>
  <c r="F77" i="30"/>
  <c r="H78" i="30"/>
  <c r="F79" i="30"/>
  <c r="H80" i="30"/>
  <c r="F81" i="30"/>
  <c r="H82" i="30"/>
  <c r="F83" i="30"/>
  <c r="H84" i="30"/>
  <c r="F85" i="30"/>
  <c r="H86" i="30"/>
  <c r="F87" i="30"/>
  <c r="H88" i="30"/>
  <c r="F89" i="30"/>
  <c r="H90" i="30"/>
  <c r="F91" i="30"/>
  <c r="H92" i="30"/>
  <c r="F93" i="30"/>
  <c r="H94" i="30"/>
  <c r="F95" i="30"/>
  <c r="H96" i="30"/>
  <c r="F97" i="30"/>
  <c r="H98" i="30"/>
  <c r="F99" i="30"/>
  <c r="H100" i="30"/>
  <c r="F101" i="30"/>
  <c r="H102" i="30"/>
  <c r="F103" i="30"/>
  <c r="H104" i="30"/>
  <c r="F105" i="30"/>
  <c r="H106" i="30"/>
  <c r="F107" i="30"/>
  <c r="H108" i="30"/>
  <c r="F109" i="30"/>
  <c r="H110" i="30"/>
  <c r="F111" i="30"/>
  <c r="H112" i="30"/>
  <c r="F113" i="30"/>
  <c r="H114" i="30"/>
  <c r="F115" i="30"/>
  <c r="H116" i="30"/>
  <c r="F117" i="30"/>
  <c r="H118" i="30"/>
  <c r="F119" i="30"/>
  <c r="H120" i="30"/>
  <c r="F121" i="30"/>
  <c r="F123" i="30"/>
  <c r="F125" i="30"/>
  <c r="F127" i="30"/>
  <c r="F129" i="30"/>
  <c r="F131" i="30"/>
  <c r="F133" i="30"/>
  <c r="F135" i="30"/>
  <c r="F137" i="30"/>
  <c r="F139" i="30"/>
  <c r="F141" i="30"/>
  <c r="F143" i="30"/>
  <c r="F145" i="30"/>
  <c r="F147" i="30"/>
  <c r="F149" i="30"/>
  <c r="F151" i="30"/>
  <c r="F153" i="30"/>
  <c r="F155" i="30"/>
  <c r="F157" i="30"/>
  <c r="F159" i="30"/>
  <c r="F161" i="30"/>
  <c r="F163" i="30"/>
  <c r="F165" i="30"/>
  <c r="F167" i="30"/>
  <c r="F169" i="30"/>
  <c r="F171" i="30"/>
  <c r="F173" i="30"/>
  <c r="F175" i="30"/>
  <c r="F177" i="30"/>
  <c r="F179" i="30"/>
  <c r="J210" i="30"/>
  <c r="F210" i="30"/>
  <c r="I210" i="30"/>
  <c r="H210" i="30"/>
  <c r="J218" i="30"/>
  <c r="F218" i="30"/>
  <c r="I218" i="30"/>
  <c r="H218" i="30"/>
  <c r="J226" i="30"/>
  <c r="F226" i="30"/>
  <c r="I226" i="30"/>
  <c r="H226" i="30"/>
  <c r="F219" i="39"/>
  <c r="F218" i="39"/>
  <c r="F217" i="39"/>
  <c r="G216" i="39"/>
  <c r="F196" i="39"/>
  <c r="F192" i="39"/>
  <c r="F195" i="39"/>
  <c r="F191" i="39"/>
  <c r="F216" i="39"/>
  <c r="F194" i="39"/>
  <c r="F190" i="39"/>
  <c r="F188" i="39"/>
  <c r="F186" i="39"/>
  <c r="F184" i="39"/>
  <c r="F182" i="39"/>
  <c r="F180" i="39"/>
  <c r="F178" i="39"/>
  <c r="F176" i="39"/>
  <c r="F174" i="39"/>
  <c r="F211" i="39"/>
  <c r="F203" i="39"/>
  <c r="F193" i="39"/>
  <c r="G183" i="39"/>
  <c r="G175" i="39"/>
  <c r="F172" i="39"/>
  <c r="F168" i="39"/>
  <c r="F164" i="39"/>
  <c r="F160" i="39"/>
  <c r="F156" i="39"/>
  <c r="G189" i="39"/>
  <c r="G181" i="39"/>
  <c r="G173" i="39"/>
  <c r="F169" i="39"/>
  <c r="F165" i="39"/>
  <c r="F161" i="39"/>
  <c r="F157" i="39"/>
  <c r="F207" i="39"/>
  <c r="F199" i="39"/>
  <c r="G187" i="39"/>
  <c r="G179" i="39"/>
  <c r="F170" i="39"/>
  <c r="F166" i="39"/>
  <c r="F162" i="39"/>
  <c r="F158" i="39"/>
  <c r="G154" i="39"/>
  <c r="G153" i="39"/>
  <c r="G152" i="39"/>
  <c r="G151" i="39"/>
  <c r="G150" i="39"/>
  <c r="G149" i="39"/>
  <c r="G148" i="39"/>
  <c r="G147" i="39"/>
  <c r="G146" i="39"/>
  <c r="G145" i="39"/>
  <c r="G144" i="39"/>
  <c r="G143" i="39"/>
  <c r="G142" i="39"/>
  <c r="G141" i="39"/>
  <c r="G140" i="39"/>
  <c r="G139" i="39"/>
  <c r="G138" i="39"/>
  <c r="G137" i="39"/>
  <c r="G136" i="39"/>
  <c r="G135" i="39"/>
  <c r="G134" i="39"/>
  <c r="G133" i="39"/>
  <c r="G132" i="39"/>
  <c r="G131" i="39"/>
  <c r="G130" i="39"/>
  <c r="G129" i="39"/>
  <c r="G128" i="39"/>
  <c r="G127" i="39"/>
  <c r="G126" i="39"/>
  <c r="G125" i="39"/>
  <c r="G124" i="39"/>
  <c r="G123" i="39"/>
  <c r="G122" i="39"/>
  <c r="G121" i="39"/>
  <c r="G120" i="39"/>
  <c r="G119" i="39"/>
  <c r="G118" i="39"/>
  <c r="G117" i="39"/>
  <c r="G116" i="39"/>
  <c r="G115" i="39"/>
  <c r="G114" i="39"/>
  <c r="G113" i="39"/>
  <c r="G112" i="39"/>
  <c r="G111" i="39"/>
  <c r="G110" i="39"/>
  <c r="G109" i="39"/>
  <c r="G108" i="39"/>
  <c r="G185" i="39"/>
  <c r="G177" i="39"/>
  <c r="F171" i="39"/>
  <c r="F167" i="39"/>
  <c r="F163" i="39"/>
  <c r="F159" i="39"/>
  <c r="F155" i="39"/>
  <c r="F154" i="39"/>
  <c r="F153" i="39"/>
  <c r="F152" i="39"/>
  <c r="F151" i="39"/>
  <c r="F150" i="39"/>
  <c r="F149" i="39"/>
  <c r="F148" i="39"/>
  <c r="F147" i="39"/>
  <c r="F146" i="39"/>
  <c r="F145" i="39"/>
  <c r="F144" i="39"/>
  <c r="F143" i="39"/>
  <c r="F142" i="39"/>
  <c r="F141" i="39"/>
  <c r="F140" i="39"/>
  <c r="F139" i="39"/>
  <c r="F138" i="39"/>
  <c r="F137" i="39"/>
  <c r="F136" i="39"/>
  <c r="F135" i="39"/>
  <c r="F134" i="39"/>
  <c r="F133" i="39"/>
  <c r="F132" i="39"/>
  <c r="F131" i="39"/>
  <c r="F130" i="39"/>
  <c r="F129" i="39"/>
  <c r="F128" i="39"/>
  <c r="F127" i="39"/>
  <c r="F126" i="39"/>
  <c r="F125" i="39"/>
  <c r="F124" i="39"/>
  <c r="F123" i="39"/>
  <c r="F122" i="39"/>
  <c r="F121" i="39"/>
  <c r="F120" i="39"/>
  <c r="F119" i="39"/>
  <c r="F118" i="39"/>
  <c r="F117" i="39"/>
  <c r="F116" i="39"/>
  <c r="F115" i="39"/>
  <c r="F114" i="39"/>
  <c r="F113" i="39"/>
  <c r="F112" i="39"/>
  <c r="F111" i="39"/>
  <c r="F110" i="39"/>
  <c r="F109" i="39"/>
  <c r="F108" i="39"/>
  <c r="F86" i="39"/>
  <c r="F82" i="39"/>
  <c r="F78" i="39"/>
  <c r="F217" i="27"/>
  <c r="J217" i="27" s="1"/>
  <c r="F213" i="27"/>
  <c r="J213" i="27" s="1"/>
  <c r="F209" i="27"/>
  <c r="J209" i="27" s="1"/>
  <c r="F205" i="27"/>
  <c r="J205" i="27" s="1"/>
  <c r="F201" i="27"/>
  <c r="J201" i="27" s="1"/>
  <c r="F197" i="27"/>
  <c r="J197" i="27" s="1"/>
  <c r="F193" i="27"/>
  <c r="J193" i="27" s="1"/>
  <c r="F85" i="39"/>
  <c r="F81" i="39"/>
  <c r="F77" i="39"/>
  <c r="F74" i="39"/>
  <c r="F72" i="39"/>
  <c r="F70" i="39"/>
  <c r="F68" i="39"/>
  <c r="F66" i="39"/>
  <c r="F64" i="39"/>
  <c r="F62" i="39"/>
  <c r="F60" i="39"/>
  <c r="F58" i="39"/>
  <c r="F56" i="39"/>
  <c r="F54" i="39"/>
  <c r="F52" i="39"/>
  <c r="F50" i="39"/>
  <c r="F48" i="39"/>
  <c r="F46" i="39"/>
  <c r="F44" i="39"/>
  <c r="F42" i="39"/>
  <c r="F40" i="39"/>
  <c r="F38" i="39"/>
  <c r="F36" i="39"/>
  <c r="F34" i="39"/>
  <c r="F107" i="39"/>
  <c r="F106" i="39"/>
  <c r="F105" i="39"/>
  <c r="F104" i="39"/>
  <c r="F103" i="39"/>
  <c r="F102" i="39"/>
  <c r="F101" i="39"/>
  <c r="F100" i="39"/>
  <c r="F99" i="39"/>
  <c r="F98" i="39"/>
  <c r="F97" i="39"/>
  <c r="F96" i="39"/>
  <c r="F95" i="39"/>
  <c r="F94" i="39"/>
  <c r="F93" i="39"/>
  <c r="F92" i="39"/>
  <c r="F91" i="39"/>
  <c r="F90" i="39"/>
  <c r="F89" i="39"/>
  <c r="F88" i="39"/>
  <c r="F84" i="39"/>
  <c r="F80" i="39"/>
  <c r="F76" i="39"/>
  <c r="F87" i="39"/>
  <c r="F83" i="39"/>
  <c r="F79" i="39"/>
  <c r="F216" i="27"/>
  <c r="J216" i="27" s="1"/>
  <c r="F212" i="27"/>
  <c r="J212" i="27" s="1"/>
  <c r="F208" i="27"/>
  <c r="J208" i="27" s="1"/>
  <c r="F204" i="27"/>
  <c r="J204" i="27" s="1"/>
  <c r="F200" i="27"/>
  <c r="J200" i="27" s="1"/>
  <c r="F196" i="27"/>
  <c r="J196" i="27" s="1"/>
  <c r="F192" i="27"/>
  <c r="J192" i="27" s="1"/>
  <c r="F188" i="27"/>
  <c r="J188" i="27" s="1"/>
  <c r="F184" i="27"/>
  <c r="J184" i="27" s="1"/>
  <c r="F180" i="27"/>
  <c r="J180" i="27" s="1"/>
  <c r="F176" i="27"/>
  <c r="J176" i="27" s="1"/>
  <c r="F172" i="27"/>
  <c r="J172" i="27" s="1"/>
  <c r="F168" i="27"/>
  <c r="J168" i="27" s="1"/>
  <c r="F164" i="27"/>
  <c r="J164" i="27" s="1"/>
  <c r="F160" i="27"/>
  <c r="J160" i="27" s="1"/>
  <c r="F156" i="27"/>
  <c r="J156" i="27" s="1"/>
  <c r="F152" i="27"/>
  <c r="J152" i="27" s="1"/>
  <c r="F148" i="27"/>
  <c r="J148" i="27" s="1"/>
  <c r="F189" i="27"/>
  <c r="J189" i="27" s="1"/>
  <c r="F185" i="27"/>
  <c r="J185" i="27" s="1"/>
  <c r="F181" i="27"/>
  <c r="J181" i="27" s="1"/>
  <c r="F177" i="27"/>
  <c r="J177" i="27" s="1"/>
  <c r="F173" i="27"/>
  <c r="J173" i="27" s="1"/>
  <c r="F169" i="27"/>
  <c r="J169" i="27" s="1"/>
  <c r="F165" i="27"/>
  <c r="J165" i="27" s="1"/>
  <c r="F161" i="27"/>
  <c r="J161" i="27" s="1"/>
  <c r="F157" i="27"/>
  <c r="J157" i="27" s="1"/>
  <c r="F153" i="27"/>
  <c r="J153" i="27" s="1"/>
  <c r="F149" i="27"/>
  <c r="J149" i="27" s="1"/>
  <c r="F218" i="27"/>
  <c r="J218" i="27" s="1"/>
  <c r="G215" i="27"/>
  <c r="F210" i="27"/>
  <c r="J210" i="27" s="1"/>
  <c r="G207" i="27"/>
  <c r="F202" i="27"/>
  <c r="J202" i="27" s="1"/>
  <c r="G199" i="27"/>
  <c r="F194" i="27"/>
  <c r="J194" i="27" s="1"/>
  <c r="G191" i="27"/>
  <c r="F198" i="27"/>
  <c r="J198" i="27" s="1"/>
  <c r="G183" i="27"/>
  <c r="G175" i="27"/>
  <c r="G167" i="27"/>
  <c r="G159" i="27"/>
  <c r="G151" i="27"/>
  <c r="F144" i="27"/>
  <c r="J144" i="27" s="1"/>
  <c r="F136" i="27"/>
  <c r="J136" i="27" s="1"/>
  <c r="F128" i="27"/>
  <c r="J128" i="27" s="1"/>
  <c r="F120" i="27"/>
  <c r="J120" i="27" s="1"/>
  <c r="F112" i="27"/>
  <c r="J112" i="27" s="1"/>
  <c r="F104" i="27"/>
  <c r="J104" i="27" s="1"/>
  <c r="F96" i="27"/>
  <c r="J96" i="27" s="1"/>
  <c r="F88" i="27"/>
  <c r="J88" i="27" s="1"/>
  <c r="F80" i="27"/>
  <c r="J80" i="27" s="1"/>
  <c r="F72" i="27"/>
  <c r="J72" i="27" s="1"/>
  <c r="F64" i="27"/>
  <c r="J64" i="27" s="1"/>
  <c r="F56" i="27"/>
  <c r="J56" i="27" s="1"/>
  <c r="F48" i="27"/>
  <c r="J48" i="27" s="1"/>
  <c r="F40" i="27"/>
  <c r="J40" i="27" s="1"/>
  <c r="G219" i="27"/>
  <c r="F206" i="27"/>
  <c r="J206" i="27" s="1"/>
  <c r="F186" i="27"/>
  <c r="J186" i="27" s="1"/>
  <c r="F178" i="27"/>
  <c r="J178" i="27" s="1"/>
  <c r="F170" i="27"/>
  <c r="J170" i="27" s="1"/>
  <c r="F162" i="27"/>
  <c r="J162" i="27" s="1"/>
  <c r="F154" i="27"/>
  <c r="J154" i="27" s="1"/>
  <c r="F146" i="27"/>
  <c r="J146" i="27" s="1"/>
  <c r="G141" i="27"/>
  <c r="F138" i="27"/>
  <c r="J138" i="27" s="1"/>
  <c r="G133" i="27"/>
  <c r="F130" i="27"/>
  <c r="J130" i="27" s="1"/>
  <c r="G125" i="27"/>
  <c r="F122" i="27"/>
  <c r="J122" i="27" s="1"/>
  <c r="G117" i="27"/>
  <c r="F114" i="27"/>
  <c r="J114" i="27" s="1"/>
  <c r="G109" i="27"/>
  <c r="F106" i="27"/>
  <c r="J106" i="27" s="1"/>
  <c r="G101" i="27"/>
  <c r="F98" i="27"/>
  <c r="J98" i="27" s="1"/>
  <c r="G93" i="27"/>
  <c r="F90" i="27"/>
  <c r="J90" i="27" s="1"/>
  <c r="G85" i="27"/>
  <c r="F82" i="27"/>
  <c r="J82" i="27" s="1"/>
  <c r="G77" i="27"/>
  <c r="F74" i="27"/>
  <c r="J74" i="27" s="1"/>
  <c r="G69" i="27"/>
  <c r="F214" i="27"/>
  <c r="J214" i="27" s="1"/>
  <c r="G195" i="27"/>
  <c r="G187" i="27"/>
  <c r="G179" i="27"/>
  <c r="G171" i="27"/>
  <c r="G163" i="27"/>
  <c r="G155" i="27"/>
  <c r="G143" i="27"/>
  <c r="F142" i="27"/>
  <c r="J142" i="27" s="1"/>
  <c r="F141" i="27"/>
  <c r="J141" i="27" s="1"/>
  <c r="G135" i="27"/>
  <c r="F134" i="27"/>
  <c r="J134" i="27" s="1"/>
  <c r="F133" i="27"/>
  <c r="J133" i="27" s="1"/>
  <c r="G127" i="27"/>
  <c r="F126" i="27"/>
  <c r="J126" i="27" s="1"/>
  <c r="F125" i="27"/>
  <c r="J125" i="27" s="1"/>
  <c r="G119" i="27"/>
  <c r="F118" i="27"/>
  <c r="J118" i="27" s="1"/>
  <c r="F117" i="27"/>
  <c r="J117" i="27" s="1"/>
  <c r="G111" i="27"/>
  <c r="F110" i="27"/>
  <c r="J110" i="27" s="1"/>
  <c r="F109" i="27"/>
  <c r="J109" i="27" s="1"/>
  <c r="G103" i="27"/>
  <c r="F102" i="27"/>
  <c r="J102" i="27" s="1"/>
  <c r="F101" i="27"/>
  <c r="J101" i="27" s="1"/>
  <c r="G95" i="27"/>
  <c r="F94" i="27"/>
  <c r="J94" i="27" s="1"/>
  <c r="F93" i="27"/>
  <c r="J93" i="27" s="1"/>
  <c r="G87" i="27"/>
  <c r="F86" i="27"/>
  <c r="J86" i="27" s="1"/>
  <c r="F85" i="27"/>
  <c r="J85" i="27" s="1"/>
  <c r="G79" i="27"/>
  <c r="F78" i="27"/>
  <c r="J78" i="27" s="1"/>
  <c r="F77" i="27"/>
  <c r="J77" i="27" s="1"/>
  <c r="G71" i="27"/>
  <c r="F70" i="27"/>
  <c r="J70" i="27" s="1"/>
  <c r="F69" i="27"/>
  <c r="J69" i="27" s="1"/>
  <c r="G63" i="27"/>
  <c r="F62" i="27"/>
  <c r="J62" i="27" s="1"/>
  <c r="F61" i="27"/>
  <c r="J61" i="27" s="1"/>
  <c r="F58" i="27"/>
  <c r="J58" i="27" s="1"/>
  <c r="F52" i="27"/>
  <c r="J52" i="27" s="1"/>
  <c r="F50" i="27"/>
  <c r="J50" i="27" s="1"/>
  <c r="F44" i="27"/>
  <c r="J44" i="27" s="1"/>
  <c r="F42" i="27"/>
  <c r="J42" i="27" s="1"/>
  <c r="F36" i="27"/>
  <c r="J36" i="27" s="1"/>
  <c r="F34" i="27"/>
  <c r="J34" i="27" s="1"/>
  <c r="G203" i="27"/>
  <c r="F190" i="27"/>
  <c r="J190" i="27" s="1"/>
  <c r="F182" i="27"/>
  <c r="J182" i="27" s="1"/>
  <c r="F174" i="27"/>
  <c r="J174" i="27" s="1"/>
  <c r="F166" i="27"/>
  <c r="J166" i="27" s="1"/>
  <c r="F158" i="27"/>
  <c r="J158" i="27" s="1"/>
  <c r="F150" i="27"/>
  <c r="J150" i="27" s="1"/>
  <c r="G147" i="27"/>
  <c r="F140" i="27"/>
  <c r="J140" i="27" s="1"/>
  <c r="G139" i="27"/>
  <c r="F132" i="27"/>
  <c r="J132" i="27" s="1"/>
  <c r="G131" i="27"/>
  <c r="F124" i="27"/>
  <c r="J124" i="27" s="1"/>
  <c r="G123" i="27"/>
  <c r="F116" i="27"/>
  <c r="J116" i="27" s="1"/>
  <c r="G115" i="27"/>
  <c r="F108" i="27"/>
  <c r="J108" i="27" s="1"/>
  <c r="G107" i="27"/>
  <c r="F100" i="27"/>
  <c r="J100" i="27" s="1"/>
  <c r="G99" i="27"/>
  <c r="F92" i="27"/>
  <c r="J92" i="27" s="1"/>
  <c r="G91" i="27"/>
  <c r="F84" i="27"/>
  <c r="J84" i="27" s="1"/>
  <c r="G83" i="27"/>
  <c r="F76" i="27"/>
  <c r="J76" i="27" s="1"/>
  <c r="G75" i="27"/>
  <c r="F68" i="27"/>
  <c r="J68" i="27" s="1"/>
  <c r="G67" i="27"/>
  <c r="F60" i="27"/>
  <c r="J60" i="27" s="1"/>
  <c r="F66" i="27"/>
  <c r="J66" i="27" s="1"/>
  <c r="G61" i="27"/>
  <c r="G58" i="27"/>
  <c r="F53" i="27"/>
  <c r="J53" i="27" s="1"/>
  <c r="G50" i="27"/>
  <c r="F45" i="27"/>
  <c r="J45" i="27" s="1"/>
  <c r="G42" i="27"/>
  <c r="F37" i="27"/>
  <c r="J37" i="27" s="1"/>
  <c r="G34" i="27"/>
  <c r="J44" i="23"/>
  <c r="F44" i="23"/>
  <c r="I44" i="23"/>
  <c r="E44" i="23"/>
  <c r="J45" i="23"/>
  <c r="F45" i="23"/>
  <c r="I45" i="23"/>
  <c r="E45" i="23"/>
  <c r="J46" i="23"/>
  <c r="F46" i="23"/>
  <c r="I46" i="23"/>
  <c r="E46" i="23"/>
  <c r="J47" i="23"/>
  <c r="F47" i="23"/>
  <c r="I47" i="23"/>
  <c r="E47" i="23"/>
  <c r="J48" i="23"/>
  <c r="F48" i="23"/>
  <c r="I48" i="23"/>
  <c r="E48" i="23"/>
  <c r="J49" i="23"/>
  <c r="F49" i="23"/>
  <c r="I49" i="23"/>
  <c r="E49" i="23"/>
  <c r="J50" i="23"/>
  <c r="F50" i="23"/>
  <c r="I50" i="23"/>
  <c r="E50" i="23"/>
  <c r="J51" i="23"/>
  <c r="F51" i="23"/>
  <c r="I51" i="23"/>
  <c r="E51" i="23"/>
  <c r="J52" i="23"/>
  <c r="F52" i="23"/>
  <c r="I52" i="23"/>
  <c r="E52" i="23"/>
  <c r="J53" i="23"/>
  <c r="F53" i="23"/>
  <c r="I53" i="23"/>
  <c r="E53" i="23"/>
  <c r="J54" i="23"/>
  <c r="F54" i="23"/>
  <c r="I54" i="23"/>
  <c r="E54" i="23"/>
  <c r="J55" i="23"/>
  <c r="F55" i="23"/>
  <c r="I55" i="23"/>
  <c r="E55" i="23"/>
  <c r="J56" i="23"/>
  <c r="F56" i="23"/>
  <c r="I56" i="23"/>
  <c r="E56" i="23"/>
  <c r="J57" i="23"/>
  <c r="F57" i="23"/>
  <c r="I57" i="23"/>
  <c r="E57" i="23"/>
  <c r="J58" i="23"/>
  <c r="F58" i="23"/>
  <c r="I58" i="23"/>
  <c r="E58" i="23"/>
  <c r="J59" i="23"/>
  <c r="F59" i="23"/>
  <c r="I59" i="23"/>
  <c r="E59" i="23"/>
  <c r="J60" i="23"/>
  <c r="F60" i="23"/>
  <c r="I60" i="23"/>
  <c r="E60" i="23"/>
  <c r="J61" i="23"/>
  <c r="F61" i="23"/>
  <c r="I61" i="23"/>
  <c r="E61" i="23"/>
  <c r="J62" i="23"/>
  <c r="F62" i="23"/>
  <c r="I62" i="23"/>
  <c r="E62" i="23"/>
  <c r="J63" i="23"/>
  <c r="F63" i="23"/>
  <c r="I63" i="23"/>
  <c r="E63" i="23"/>
  <c r="J64" i="23"/>
  <c r="F64" i="23"/>
  <c r="I64" i="23"/>
  <c r="E64" i="23"/>
  <c r="J65" i="23"/>
  <c r="F65" i="23"/>
  <c r="I65" i="23"/>
  <c r="E65" i="23"/>
  <c r="J66" i="23"/>
  <c r="F66" i="23"/>
  <c r="I66" i="23"/>
  <c r="E66" i="23"/>
  <c r="J67" i="23"/>
  <c r="F67" i="23"/>
  <c r="I67" i="23"/>
  <c r="E67" i="23"/>
  <c r="J68" i="23"/>
  <c r="F68" i="23"/>
  <c r="I68" i="23"/>
  <c r="E68" i="23"/>
  <c r="J69" i="23"/>
  <c r="F69" i="23"/>
  <c r="I69" i="23"/>
  <c r="E69" i="23"/>
  <c r="J70" i="23"/>
  <c r="F70" i="23"/>
  <c r="I70" i="23"/>
  <c r="E70" i="23"/>
  <c r="J71" i="23"/>
  <c r="F71" i="23"/>
  <c r="I71" i="23"/>
  <c r="E71" i="23"/>
  <c r="J72" i="23"/>
  <c r="F72" i="23"/>
  <c r="I72" i="23"/>
  <c r="E72" i="23"/>
  <c r="J73" i="23"/>
  <c r="F73" i="23"/>
  <c r="I73" i="23"/>
  <c r="E73" i="23"/>
  <c r="J74" i="23"/>
  <c r="F74" i="23"/>
  <c r="I74" i="23"/>
  <c r="E74" i="23"/>
  <c r="J75" i="23"/>
  <c r="F75" i="23"/>
  <c r="I75" i="23"/>
  <c r="E75" i="23"/>
  <c r="J76" i="23"/>
  <c r="F76" i="23"/>
  <c r="I76" i="23"/>
  <c r="E76" i="23"/>
  <c r="J77" i="23"/>
  <c r="F77" i="23"/>
  <c r="I77" i="23"/>
  <c r="E77" i="23"/>
  <c r="J78" i="23"/>
  <c r="F78" i="23"/>
  <c r="I78" i="23"/>
  <c r="E78" i="23"/>
  <c r="G79" i="23"/>
  <c r="J79" i="23"/>
  <c r="F79" i="23"/>
  <c r="I79" i="23"/>
  <c r="E79" i="23"/>
  <c r="I128" i="23"/>
  <c r="E128" i="23"/>
  <c r="G128" i="23"/>
  <c r="F128" i="23"/>
  <c r="J128" i="23"/>
  <c r="I136" i="23"/>
  <c r="E136" i="23"/>
  <c r="G136" i="23"/>
  <c r="F136" i="23"/>
  <c r="J136" i="23"/>
  <c r="I144" i="23"/>
  <c r="E144" i="23"/>
  <c r="G144" i="23"/>
  <c r="F144" i="23"/>
  <c r="J144" i="23"/>
  <c r="I152" i="23"/>
  <c r="E152" i="23"/>
  <c r="G152" i="23"/>
  <c r="F152" i="23"/>
  <c r="J152" i="23"/>
  <c r="I160" i="23"/>
  <c r="E160" i="23"/>
  <c r="G160" i="23"/>
  <c r="F160" i="23"/>
  <c r="J160" i="23"/>
  <c r="I168" i="23"/>
  <c r="E168" i="23"/>
  <c r="G168" i="23"/>
  <c r="F168" i="23"/>
  <c r="J168" i="23"/>
  <c r="I176" i="23"/>
  <c r="E176" i="23"/>
  <c r="G176" i="23"/>
  <c r="F176" i="23"/>
  <c r="J176" i="23"/>
  <c r="I184" i="23"/>
  <c r="E184" i="23"/>
  <c r="G184" i="23"/>
  <c r="F184" i="23"/>
  <c r="J184" i="23"/>
  <c r="H188" i="23"/>
  <c r="I192" i="23"/>
  <c r="E192" i="23"/>
  <c r="H192" i="23"/>
  <c r="I194" i="23"/>
  <c r="E194" i="23"/>
  <c r="H194" i="23"/>
  <c r="I196" i="23"/>
  <c r="E196" i="23"/>
  <c r="H196" i="23"/>
  <c r="I198" i="23"/>
  <c r="E198" i="23"/>
  <c r="H198" i="23"/>
  <c r="I200" i="23"/>
  <c r="E200" i="23"/>
  <c r="H200" i="23"/>
  <c r="I202" i="23"/>
  <c r="E202" i="23"/>
  <c r="H202" i="23"/>
  <c r="H204" i="23"/>
  <c r="I204" i="23"/>
  <c r="E204" i="23"/>
  <c r="J204" i="23"/>
  <c r="H208" i="23"/>
  <c r="I208" i="23"/>
  <c r="E208" i="23"/>
  <c r="J208" i="23"/>
  <c r="H212" i="23"/>
  <c r="I212" i="23"/>
  <c r="E212" i="23"/>
  <c r="J212" i="23"/>
  <c r="H216" i="23"/>
  <c r="I216" i="23"/>
  <c r="E216" i="23"/>
  <c r="J216" i="23"/>
  <c r="H220" i="23"/>
  <c r="I220" i="23"/>
  <c r="E220" i="23"/>
  <c r="J220" i="23"/>
  <c r="H224" i="23"/>
  <c r="I224" i="23"/>
  <c r="E224" i="23"/>
  <c r="J224" i="23"/>
  <c r="H228" i="23"/>
  <c r="I228" i="23"/>
  <c r="E228" i="23"/>
  <c r="J228" i="23"/>
  <c r="F39" i="27"/>
  <c r="J39" i="27" s="1"/>
  <c r="I39" i="27"/>
  <c r="D39" i="27"/>
  <c r="G39" i="27"/>
  <c r="E39" i="27"/>
  <c r="F47" i="27"/>
  <c r="J47" i="27" s="1"/>
  <c r="I47" i="27"/>
  <c r="D47" i="27"/>
  <c r="G47" i="27"/>
  <c r="E47" i="27"/>
  <c r="F55" i="27"/>
  <c r="J55" i="27" s="1"/>
  <c r="I55" i="27"/>
  <c r="D55" i="27"/>
  <c r="G55" i="27"/>
  <c r="E55" i="27"/>
  <c r="H74" i="27"/>
  <c r="I81" i="27"/>
  <c r="H106" i="27"/>
  <c r="I113" i="27"/>
  <c r="H138" i="27"/>
  <c r="I145" i="27"/>
  <c r="G209" i="30"/>
  <c r="M209" i="30" s="1"/>
  <c r="K209" i="30"/>
  <c r="G211" i="30"/>
  <c r="M211" i="30" s="1"/>
  <c r="N211" i="30" s="1"/>
  <c r="K211" i="30"/>
  <c r="G213" i="30"/>
  <c r="M213" i="30" s="1"/>
  <c r="N213" i="30" s="1"/>
  <c r="K213" i="30"/>
  <c r="G215" i="30"/>
  <c r="M215" i="30" s="1"/>
  <c r="N215" i="30" s="1"/>
  <c r="K215" i="30"/>
  <c r="G217" i="30"/>
  <c r="M217" i="30" s="1"/>
  <c r="K217" i="30"/>
  <c r="G219" i="30"/>
  <c r="M219" i="30" s="1"/>
  <c r="N219" i="30" s="1"/>
  <c r="K219" i="30"/>
  <c r="G221" i="30"/>
  <c r="M221" i="30" s="1"/>
  <c r="N221" i="30" s="1"/>
  <c r="K221" i="30"/>
  <c r="G223" i="30"/>
  <c r="M223" i="30" s="1"/>
  <c r="N223" i="30" s="1"/>
  <c r="K223" i="30"/>
  <c r="G225" i="30"/>
  <c r="M225" i="30" s="1"/>
  <c r="K225" i="30"/>
  <c r="E80" i="23"/>
  <c r="I80" i="23"/>
  <c r="E81" i="23"/>
  <c r="I81" i="23"/>
  <c r="E82" i="23"/>
  <c r="I82" i="23"/>
  <c r="E83" i="23"/>
  <c r="I83" i="23"/>
  <c r="E84" i="23"/>
  <c r="I84" i="23"/>
  <c r="E85" i="23"/>
  <c r="I85" i="23"/>
  <c r="E86" i="23"/>
  <c r="I86" i="23"/>
  <c r="E87" i="23"/>
  <c r="I87" i="23"/>
  <c r="E88" i="23"/>
  <c r="I88" i="23"/>
  <c r="E89" i="23"/>
  <c r="I89" i="23"/>
  <c r="E90" i="23"/>
  <c r="I90" i="23"/>
  <c r="E91" i="23"/>
  <c r="I91" i="23"/>
  <c r="E92" i="23"/>
  <c r="I92" i="23"/>
  <c r="E93" i="23"/>
  <c r="I93" i="23"/>
  <c r="E94" i="23"/>
  <c r="I94" i="23"/>
  <c r="E95" i="23"/>
  <c r="I95" i="23"/>
  <c r="E96" i="23"/>
  <c r="I96" i="23"/>
  <c r="E97" i="23"/>
  <c r="I97" i="23"/>
  <c r="E98" i="23"/>
  <c r="I98" i="23"/>
  <c r="E99" i="23"/>
  <c r="I99" i="23"/>
  <c r="E100" i="23"/>
  <c r="I100" i="23"/>
  <c r="E101" i="23"/>
  <c r="I101" i="23"/>
  <c r="E102" i="23"/>
  <c r="I102" i="23"/>
  <c r="E103" i="23"/>
  <c r="I103" i="23"/>
  <c r="E104" i="23"/>
  <c r="I104" i="23"/>
  <c r="E105" i="23"/>
  <c r="I105" i="23"/>
  <c r="E106" i="23"/>
  <c r="I106" i="23"/>
  <c r="E107" i="23"/>
  <c r="I107" i="23"/>
  <c r="E108" i="23"/>
  <c r="I108" i="23"/>
  <c r="E109" i="23"/>
  <c r="I109" i="23"/>
  <c r="E110" i="23"/>
  <c r="I110" i="23"/>
  <c r="E111" i="23"/>
  <c r="I111" i="23"/>
  <c r="E112" i="23"/>
  <c r="I112" i="23"/>
  <c r="E113" i="23"/>
  <c r="I113" i="23"/>
  <c r="E114" i="23"/>
  <c r="I114" i="23"/>
  <c r="E115" i="23"/>
  <c r="I115" i="23"/>
  <c r="E116" i="23"/>
  <c r="I116" i="23"/>
  <c r="E117" i="23"/>
  <c r="I117" i="23"/>
  <c r="E118" i="23"/>
  <c r="I118" i="23"/>
  <c r="E119" i="23"/>
  <c r="I119" i="23"/>
  <c r="E120" i="23"/>
  <c r="I120" i="23"/>
  <c r="E121" i="23"/>
  <c r="I121" i="23"/>
  <c r="J192" i="23"/>
  <c r="J194" i="23"/>
  <c r="J196" i="23"/>
  <c r="J198" i="23"/>
  <c r="J200" i="23"/>
  <c r="J202" i="23"/>
  <c r="H205" i="23"/>
  <c r="I205" i="23"/>
  <c r="E205" i="23"/>
  <c r="J205" i="23"/>
  <c r="F207" i="23"/>
  <c r="H209" i="23"/>
  <c r="I209" i="23"/>
  <c r="E209" i="23"/>
  <c r="J209" i="23"/>
  <c r="F211" i="23"/>
  <c r="H213" i="23"/>
  <c r="I213" i="23"/>
  <c r="E213" i="23"/>
  <c r="J213" i="23"/>
  <c r="F215" i="23"/>
  <c r="H217" i="23"/>
  <c r="I217" i="23"/>
  <c r="E217" i="23"/>
  <c r="J217" i="23"/>
  <c r="F219" i="23"/>
  <c r="H221" i="23"/>
  <c r="I221" i="23"/>
  <c r="E221" i="23"/>
  <c r="J221" i="23"/>
  <c r="F223" i="23"/>
  <c r="H225" i="23"/>
  <c r="I225" i="23"/>
  <c r="E225" i="23"/>
  <c r="J225" i="23"/>
  <c r="F227" i="23"/>
  <c r="H229" i="23"/>
  <c r="I229" i="23"/>
  <c r="E229" i="23"/>
  <c r="J229" i="23"/>
  <c r="H21" i="27"/>
  <c r="D21" i="27"/>
  <c r="I21" i="27"/>
  <c r="G36" i="27"/>
  <c r="H39" i="27"/>
  <c r="H41" i="27"/>
  <c r="D41" i="27"/>
  <c r="E41" i="27"/>
  <c r="G41" i="27"/>
  <c r="F41" i="27"/>
  <c r="J41" i="27" s="1"/>
  <c r="G44" i="27"/>
  <c r="H47" i="27"/>
  <c r="H49" i="27"/>
  <c r="D49" i="27"/>
  <c r="E49" i="27"/>
  <c r="G49" i="27"/>
  <c r="F49" i="27"/>
  <c r="J49" i="27" s="1"/>
  <c r="G52" i="27"/>
  <c r="H55" i="27"/>
  <c r="H57" i="27"/>
  <c r="D57" i="27"/>
  <c r="E57" i="27"/>
  <c r="G57" i="27"/>
  <c r="F57" i="27"/>
  <c r="J57" i="27" s="1"/>
  <c r="G60" i="27"/>
  <c r="H66" i="27"/>
  <c r="G68" i="27"/>
  <c r="H82" i="27"/>
  <c r="I89" i="27"/>
  <c r="H114" i="27"/>
  <c r="I121" i="27"/>
  <c r="H146" i="27"/>
  <c r="H209" i="30"/>
  <c r="H211" i="30"/>
  <c r="H213" i="30"/>
  <c r="H215" i="30"/>
  <c r="H217" i="30"/>
  <c r="H219" i="30"/>
  <c r="H221" i="30"/>
  <c r="H223" i="30"/>
  <c r="H225" i="30"/>
  <c r="F80" i="23"/>
  <c r="J80" i="23"/>
  <c r="F81" i="23"/>
  <c r="J81" i="23"/>
  <c r="F82" i="23"/>
  <c r="J82" i="23"/>
  <c r="F83" i="23"/>
  <c r="J83" i="23"/>
  <c r="F84" i="23"/>
  <c r="J84" i="23"/>
  <c r="F85" i="23"/>
  <c r="J85" i="23"/>
  <c r="F86" i="23"/>
  <c r="J86" i="23"/>
  <c r="F87" i="23"/>
  <c r="J87" i="23"/>
  <c r="F88" i="23"/>
  <c r="J88" i="23"/>
  <c r="F89" i="23"/>
  <c r="J89" i="23"/>
  <c r="F90" i="23"/>
  <c r="J90" i="23"/>
  <c r="F91" i="23"/>
  <c r="J91" i="23"/>
  <c r="F92" i="23"/>
  <c r="J92" i="23"/>
  <c r="F93" i="23"/>
  <c r="J93" i="23"/>
  <c r="F94" i="23"/>
  <c r="J94" i="23"/>
  <c r="F95" i="23"/>
  <c r="J95" i="23"/>
  <c r="F96" i="23"/>
  <c r="J96" i="23"/>
  <c r="F97" i="23"/>
  <c r="J97" i="23"/>
  <c r="F98" i="23"/>
  <c r="J98" i="23"/>
  <c r="F99" i="23"/>
  <c r="J99" i="23"/>
  <c r="F100" i="23"/>
  <c r="J100" i="23"/>
  <c r="F101" i="23"/>
  <c r="J101" i="23"/>
  <c r="F102" i="23"/>
  <c r="J102" i="23"/>
  <c r="F103" i="23"/>
  <c r="J103" i="23"/>
  <c r="F104" i="23"/>
  <c r="J104" i="23"/>
  <c r="F105" i="23"/>
  <c r="J105" i="23"/>
  <c r="F106" i="23"/>
  <c r="J106" i="23"/>
  <c r="F107" i="23"/>
  <c r="J107" i="23"/>
  <c r="F108" i="23"/>
  <c r="J108" i="23"/>
  <c r="F109" i="23"/>
  <c r="J109" i="23"/>
  <c r="F110" i="23"/>
  <c r="J110" i="23"/>
  <c r="F111" i="23"/>
  <c r="J111" i="23"/>
  <c r="F112" i="23"/>
  <c r="J112" i="23"/>
  <c r="F113" i="23"/>
  <c r="J113" i="23"/>
  <c r="F114" i="23"/>
  <c r="J114" i="23"/>
  <c r="F115" i="23"/>
  <c r="J115" i="23"/>
  <c r="F116" i="23"/>
  <c r="J116" i="23"/>
  <c r="F117" i="23"/>
  <c r="J117" i="23"/>
  <c r="F118" i="23"/>
  <c r="J118" i="23"/>
  <c r="F119" i="23"/>
  <c r="J119" i="23"/>
  <c r="F120" i="23"/>
  <c r="J120" i="23"/>
  <c r="F121" i="23"/>
  <c r="J121" i="23"/>
  <c r="F122" i="23"/>
  <c r="I123" i="23"/>
  <c r="E123" i="23"/>
  <c r="H123" i="23"/>
  <c r="I125" i="23"/>
  <c r="E125" i="23"/>
  <c r="H125" i="23"/>
  <c r="I127" i="23"/>
  <c r="E127" i="23"/>
  <c r="H127" i="23"/>
  <c r="I129" i="23"/>
  <c r="E129" i="23"/>
  <c r="H129" i="23"/>
  <c r="I131" i="23"/>
  <c r="E131" i="23"/>
  <c r="H131" i="23"/>
  <c r="I133" i="23"/>
  <c r="E133" i="23"/>
  <c r="H133" i="23"/>
  <c r="I135" i="23"/>
  <c r="E135" i="23"/>
  <c r="H135" i="23"/>
  <c r="I137" i="23"/>
  <c r="E137" i="23"/>
  <c r="H137" i="23"/>
  <c r="I139" i="23"/>
  <c r="E139" i="23"/>
  <c r="H139" i="23"/>
  <c r="I141" i="23"/>
  <c r="E141" i="23"/>
  <c r="H141" i="23"/>
  <c r="I143" i="23"/>
  <c r="E143" i="23"/>
  <c r="H143" i="23"/>
  <c r="I145" i="23"/>
  <c r="E145" i="23"/>
  <c r="H145" i="23"/>
  <c r="I147" i="23"/>
  <c r="E147" i="23"/>
  <c r="H147" i="23"/>
  <c r="I149" i="23"/>
  <c r="E149" i="23"/>
  <c r="H149" i="23"/>
  <c r="I151" i="23"/>
  <c r="E151" i="23"/>
  <c r="H151" i="23"/>
  <c r="I153" i="23"/>
  <c r="E153" i="23"/>
  <c r="H153" i="23"/>
  <c r="I155" i="23"/>
  <c r="E155" i="23"/>
  <c r="H155" i="23"/>
  <c r="I157" i="23"/>
  <c r="E157" i="23"/>
  <c r="H157" i="23"/>
  <c r="I159" i="23"/>
  <c r="E159" i="23"/>
  <c r="H159" i="23"/>
  <c r="I161" i="23"/>
  <c r="E161" i="23"/>
  <c r="H161" i="23"/>
  <c r="I163" i="23"/>
  <c r="E163" i="23"/>
  <c r="H163" i="23"/>
  <c r="I165" i="23"/>
  <c r="E165" i="23"/>
  <c r="H165" i="23"/>
  <c r="I167" i="23"/>
  <c r="E167" i="23"/>
  <c r="H167" i="23"/>
  <c r="I169" i="23"/>
  <c r="E169" i="23"/>
  <c r="H169" i="23"/>
  <c r="I171" i="23"/>
  <c r="E171" i="23"/>
  <c r="H171" i="23"/>
  <c r="I173" i="23"/>
  <c r="E173" i="23"/>
  <c r="H173" i="23"/>
  <c r="I175" i="23"/>
  <c r="E175" i="23"/>
  <c r="H175" i="23"/>
  <c r="I177" i="23"/>
  <c r="E177" i="23"/>
  <c r="H177" i="23"/>
  <c r="I179" i="23"/>
  <c r="E179" i="23"/>
  <c r="H179" i="23"/>
  <c r="I181" i="23"/>
  <c r="E181" i="23"/>
  <c r="H181" i="23"/>
  <c r="I183" i="23"/>
  <c r="E183" i="23"/>
  <c r="H183" i="23"/>
  <c r="I185" i="23"/>
  <c r="E185" i="23"/>
  <c r="H185" i="23"/>
  <c r="I187" i="23"/>
  <c r="E187" i="23"/>
  <c r="H187" i="23"/>
  <c r="I189" i="23"/>
  <c r="E189" i="23"/>
  <c r="H189" i="23"/>
  <c r="I191" i="23"/>
  <c r="E191" i="23"/>
  <c r="H191" i="23"/>
  <c r="F192" i="23"/>
  <c r="I193" i="23"/>
  <c r="E193" i="23"/>
  <c r="H193" i="23"/>
  <c r="F194" i="23"/>
  <c r="I195" i="23"/>
  <c r="E195" i="23"/>
  <c r="H195" i="23"/>
  <c r="F196" i="23"/>
  <c r="I197" i="23"/>
  <c r="E197" i="23"/>
  <c r="H197" i="23"/>
  <c r="F198" i="23"/>
  <c r="I199" i="23"/>
  <c r="E199" i="23"/>
  <c r="H199" i="23"/>
  <c r="F200" i="23"/>
  <c r="I201" i="23"/>
  <c r="E201" i="23"/>
  <c r="H201" i="23"/>
  <c r="F202" i="23"/>
  <c r="I203" i="23"/>
  <c r="E203" i="23"/>
  <c r="H203" i="23"/>
  <c r="F204" i="23"/>
  <c r="H206" i="23"/>
  <c r="I206" i="23"/>
  <c r="E206" i="23"/>
  <c r="J206" i="23"/>
  <c r="F208" i="23"/>
  <c r="H210" i="23"/>
  <c r="I210" i="23"/>
  <c r="E210" i="23"/>
  <c r="J210" i="23"/>
  <c r="F212" i="23"/>
  <c r="H214" i="23"/>
  <c r="I214" i="23"/>
  <c r="E214" i="23"/>
  <c r="J214" i="23"/>
  <c r="F216" i="23"/>
  <c r="H218" i="23"/>
  <c r="I218" i="23"/>
  <c r="E218" i="23"/>
  <c r="J218" i="23"/>
  <c r="F220" i="23"/>
  <c r="H222" i="23"/>
  <c r="I222" i="23"/>
  <c r="E222" i="23"/>
  <c r="J222" i="23"/>
  <c r="F224" i="23"/>
  <c r="H226" i="23"/>
  <c r="I226" i="23"/>
  <c r="E226" i="23"/>
  <c r="J226" i="23"/>
  <c r="F228" i="23"/>
  <c r="I107" i="39"/>
  <c r="I106" i="39"/>
  <c r="I105" i="39"/>
  <c r="I104" i="39"/>
  <c r="I103" i="39"/>
  <c r="I102" i="39"/>
  <c r="I101" i="39"/>
  <c r="I100" i="39"/>
  <c r="I99" i="39"/>
  <c r="I98" i="39"/>
  <c r="I97" i="39"/>
  <c r="I96" i="39"/>
  <c r="I216" i="27"/>
  <c r="I212" i="27"/>
  <c r="I208" i="27"/>
  <c r="I204" i="27"/>
  <c r="I200" i="27"/>
  <c r="I196" i="27"/>
  <c r="I192" i="27"/>
  <c r="I20" i="39"/>
  <c r="I213" i="27"/>
  <c r="I205" i="27"/>
  <c r="I197" i="27"/>
  <c r="I189" i="27"/>
  <c r="I188" i="27"/>
  <c r="I185" i="27"/>
  <c r="I184" i="27"/>
  <c r="I181" i="27"/>
  <c r="I180" i="27"/>
  <c r="I177" i="27"/>
  <c r="I176" i="27"/>
  <c r="I173" i="27"/>
  <c r="I172" i="27"/>
  <c r="I169" i="27"/>
  <c r="I168" i="27"/>
  <c r="I165" i="27"/>
  <c r="I164" i="27"/>
  <c r="I161" i="27"/>
  <c r="I160" i="27"/>
  <c r="I157" i="27"/>
  <c r="I156" i="27"/>
  <c r="I153" i="27"/>
  <c r="I152" i="27"/>
  <c r="I149" i="27"/>
  <c r="I217" i="27"/>
  <c r="I52" i="27"/>
  <c r="I44" i="27"/>
  <c r="I36" i="27"/>
  <c r="C19" i="25"/>
  <c r="I193" i="27"/>
  <c r="I140" i="27"/>
  <c r="I132" i="27"/>
  <c r="I124" i="27"/>
  <c r="I116" i="27"/>
  <c r="I108" i="27"/>
  <c r="I100" i="27"/>
  <c r="I92" i="27"/>
  <c r="I84" i="27"/>
  <c r="I76" i="27"/>
  <c r="I201" i="27"/>
  <c r="I139" i="27"/>
  <c r="I131" i="27"/>
  <c r="I123" i="27"/>
  <c r="I115" i="27"/>
  <c r="I107" i="27"/>
  <c r="I99" i="27"/>
  <c r="I91" i="27"/>
  <c r="I83" i="27"/>
  <c r="I75" i="27"/>
  <c r="I67" i="27"/>
  <c r="I59" i="27"/>
  <c r="I56" i="27"/>
  <c r="I51" i="27"/>
  <c r="I48" i="27"/>
  <c r="I43" i="27"/>
  <c r="I40" i="27"/>
  <c r="I35" i="27"/>
  <c r="I20" i="27"/>
  <c r="I209" i="27"/>
  <c r="I148" i="27"/>
  <c r="I144" i="27"/>
  <c r="I136" i="27"/>
  <c r="I128" i="27"/>
  <c r="I120" i="27"/>
  <c r="I112" i="27"/>
  <c r="I104" i="27"/>
  <c r="I96" i="27"/>
  <c r="I88" i="27"/>
  <c r="I80" i="27"/>
  <c r="I72" i="27"/>
  <c r="I64" i="27"/>
  <c r="I23" i="27"/>
  <c r="G38" i="27"/>
  <c r="I41" i="27"/>
  <c r="G46" i="27"/>
  <c r="I49" i="27"/>
  <c r="G54" i="27"/>
  <c r="I57" i="27"/>
  <c r="H90" i="27"/>
  <c r="I97" i="27"/>
  <c r="H122" i="27"/>
  <c r="I129" i="27"/>
  <c r="G122" i="23"/>
  <c r="J123" i="23"/>
  <c r="J125" i="23"/>
  <c r="J127" i="23"/>
  <c r="J129" i="23"/>
  <c r="J131" i="23"/>
  <c r="J133" i="23"/>
  <c r="J135" i="23"/>
  <c r="J137" i="23"/>
  <c r="J139" i="23"/>
  <c r="J141" i="23"/>
  <c r="J143" i="23"/>
  <c r="J145" i="23"/>
  <c r="J147" i="23"/>
  <c r="J149" i="23"/>
  <c r="J151" i="23"/>
  <c r="J153" i="23"/>
  <c r="J155" i="23"/>
  <c r="J157" i="23"/>
  <c r="J159" i="23"/>
  <c r="J161" i="23"/>
  <c r="J163" i="23"/>
  <c r="J165" i="23"/>
  <c r="J167" i="23"/>
  <c r="J169" i="23"/>
  <c r="J171" i="23"/>
  <c r="J173" i="23"/>
  <c r="J175" i="23"/>
  <c r="J177" i="23"/>
  <c r="J179" i="23"/>
  <c r="J181" i="23"/>
  <c r="J183" i="23"/>
  <c r="J185" i="23"/>
  <c r="J187" i="23"/>
  <c r="J189" i="23"/>
  <c r="J191" i="23"/>
  <c r="G192" i="23"/>
  <c r="J193" i="23"/>
  <c r="G194" i="23"/>
  <c r="J195" i="23"/>
  <c r="G196" i="23"/>
  <c r="J197" i="23"/>
  <c r="G198" i="23"/>
  <c r="J199" i="23"/>
  <c r="G200" i="23"/>
  <c r="J201" i="23"/>
  <c r="G202" i="23"/>
  <c r="J203" i="23"/>
  <c r="G204" i="23"/>
  <c r="F205" i="23"/>
  <c r="H207" i="23"/>
  <c r="I207" i="23"/>
  <c r="E207" i="23"/>
  <c r="J207" i="23"/>
  <c r="G208" i="23"/>
  <c r="F209" i="23"/>
  <c r="H211" i="23"/>
  <c r="I211" i="23"/>
  <c r="E211" i="23"/>
  <c r="J211" i="23"/>
  <c r="G212" i="23"/>
  <c r="F213" i="23"/>
  <c r="H215" i="23"/>
  <c r="I215" i="23"/>
  <c r="E215" i="23"/>
  <c r="J215" i="23"/>
  <c r="G216" i="23"/>
  <c r="F217" i="23"/>
  <c r="H219" i="23"/>
  <c r="I219" i="23"/>
  <c r="E219" i="23"/>
  <c r="J219" i="23"/>
  <c r="G220" i="23"/>
  <c r="F221" i="23"/>
  <c r="H223" i="23"/>
  <c r="I223" i="23"/>
  <c r="E223" i="23"/>
  <c r="J223" i="23"/>
  <c r="G224" i="23"/>
  <c r="F225" i="23"/>
  <c r="H227" i="23"/>
  <c r="I227" i="23"/>
  <c r="E227" i="23"/>
  <c r="J227" i="23"/>
  <c r="G228" i="23"/>
  <c r="F229" i="23"/>
  <c r="C20" i="43"/>
  <c r="H143" i="27"/>
  <c r="H142" i="27"/>
  <c r="H135" i="27"/>
  <c r="H134" i="27"/>
  <c r="H127" i="27"/>
  <c r="H126" i="27"/>
  <c r="H119" i="27"/>
  <c r="H118" i="27"/>
  <c r="H111" i="27"/>
  <c r="H110" i="27"/>
  <c r="H103" i="27"/>
  <c r="H102" i="27"/>
  <c r="H95" i="27"/>
  <c r="H94" i="27"/>
  <c r="H87" i="27"/>
  <c r="H86" i="27"/>
  <c r="H79" i="27"/>
  <c r="H78" i="27"/>
  <c r="H71" i="27"/>
  <c r="H70" i="27"/>
  <c r="H36" i="27"/>
  <c r="H44" i="27"/>
  <c r="H52" i="27"/>
  <c r="I60" i="27"/>
  <c r="H63" i="27"/>
  <c r="I65" i="27"/>
  <c r="I68" i="27"/>
  <c r="I73" i="27"/>
  <c r="H98" i="27"/>
  <c r="I105" i="27"/>
  <c r="H130" i="27"/>
  <c r="I137" i="27"/>
  <c r="H218" i="39"/>
  <c r="H217" i="39"/>
  <c r="H219" i="39"/>
  <c r="H195" i="39"/>
  <c r="H191" i="39"/>
  <c r="H194" i="39"/>
  <c r="H190" i="39"/>
  <c r="H211" i="39"/>
  <c r="H207" i="39"/>
  <c r="H203" i="39"/>
  <c r="H199" i="39"/>
  <c r="H193" i="39"/>
  <c r="H208" i="39"/>
  <c r="H200" i="39"/>
  <c r="H192" i="39"/>
  <c r="H212" i="39"/>
  <c r="H204" i="39"/>
  <c r="H196" i="39"/>
  <c r="H107" i="39"/>
  <c r="H106" i="39"/>
  <c r="H105" i="39"/>
  <c r="H104" i="39"/>
  <c r="H103" i="39"/>
  <c r="H102" i="39"/>
  <c r="H101" i="39"/>
  <c r="H100" i="39"/>
  <c r="H99" i="39"/>
  <c r="H98" i="39"/>
  <c r="H97" i="39"/>
  <c r="H96" i="39"/>
  <c r="H95" i="39"/>
  <c r="H94" i="39"/>
  <c r="H93" i="39"/>
  <c r="H92" i="39"/>
  <c r="H91" i="39"/>
  <c r="H90" i="39"/>
  <c r="H89" i="39"/>
  <c r="H88" i="39"/>
  <c r="H85" i="39"/>
  <c r="H81" i="39"/>
  <c r="H77" i="39"/>
  <c r="H84" i="39"/>
  <c r="H80" i="39"/>
  <c r="H76" i="39"/>
  <c r="H87" i="39"/>
  <c r="H83" i="39"/>
  <c r="H79" i="39"/>
  <c r="H86" i="39"/>
  <c r="H82" i="39"/>
  <c r="H78" i="39"/>
  <c r="H20" i="39"/>
  <c r="H216" i="27"/>
  <c r="H208" i="27"/>
  <c r="H200" i="27"/>
  <c r="H192" i="27"/>
  <c r="H188" i="27"/>
  <c r="H184" i="27"/>
  <c r="H180" i="27"/>
  <c r="H176" i="27"/>
  <c r="H172" i="27"/>
  <c r="H168" i="27"/>
  <c r="H164" i="27"/>
  <c r="H160" i="27"/>
  <c r="H156" i="27"/>
  <c r="H152" i="27"/>
  <c r="H148" i="27"/>
  <c r="H144" i="27"/>
  <c r="H136" i="27"/>
  <c r="H128" i="27"/>
  <c r="H120" i="27"/>
  <c r="H112" i="27"/>
  <c r="H104" i="27"/>
  <c r="H96" i="27"/>
  <c r="H88" i="27"/>
  <c r="H80" i="27"/>
  <c r="H72" i="27"/>
  <c r="H64" i="27"/>
  <c r="H23" i="27"/>
  <c r="F35" i="27"/>
  <c r="J35" i="27" s="1"/>
  <c r="H35" i="27"/>
  <c r="H37" i="27"/>
  <c r="D37" i="27"/>
  <c r="I37" i="27"/>
  <c r="G40" i="27"/>
  <c r="H40" i="27"/>
  <c r="F43" i="27"/>
  <c r="J43" i="27" s="1"/>
  <c r="H43" i="27"/>
  <c r="H45" i="27"/>
  <c r="D45" i="27"/>
  <c r="I45" i="27"/>
  <c r="G48" i="27"/>
  <c r="H48" i="27"/>
  <c r="F51" i="27"/>
  <c r="J51" i="27" s="1"/>
  <c r="H51" i="27"/>
  <c r="H53" i="27"/>
  <c r="D53" i="27"/>
  <c r="I53" i="27"/>
  <c r="G56" i="27"/>
  <c r="H56" i="27"/>
  <c r="F59" i="27"/>
  <c r="J59" i="27" s="1"/>
  <c r="H59" i="27"/>
  <c r="H195" i="27"/>
  <c r="D195" i="27"/>
  <c r="F195" i="27"/>
  <c r="J195" i="27" s="1"/>
  <c r="I195" i="27"/>
  <c r="E195" i="27"/>
  <c r="H196" i="27"/>
  <c r="H205" i="27"/>
  <c r="G208" i="27"/>
  <c r="G214" i="27"/>
  <c r="H22" i="27"/>
  <c r="I38" i="27"/>
  <c r="E38" i="27"/>
  <c r="H38" i="27"/>
  <c r="I46" i="27"/>
  <c r="E46" i="27"/>
  <c r="H46" i="27"/>
  <c r="I54" i="27"/>
  <c r="E54" i="27"/>
  <c r="H54" i="27"/>
  <c r="H60" i="27"/>
  <c r="H65" i="27"/>
  <c r="D65" i="27"/>
  <c r="F65" i="27"/>
  <c r="J65" i="27" s="1"/>
  <c r="I66" i="27"/>
  <c r="E66" i="27"/>
  <c r="D66" i="27"/>
  <c r="H68" i="27"/>
  <c r="H73" i="27"/>
  <c r="D73" i="27"/>
  <c r="F73" i="27"/>
  <c r="J73" i="27" s="1"/>
  <c r="I74" i="27"/>
  <c r="E74" i="27"/>
  <c r="D74" i="27"/>
  <c r="H76" i="27"/>
  <c r="H81" i="27"/>
  <c r="D81" i="27"/>
  <c r="F81" i="27"/>
  <c r="J81" i="27" s="1"/>
  <c r="I82" i="27"/>
  <c r="E82" i="27"/>
  <c r="D82" i="27"/>
  <c r="H84" i="27"/>
  <c r="H89" i="27"/>
  <c r="D89" i="27"/>
  <c r="F89" i="27"/>
  <c r="J89" i="27" s="1"/>
  <c r="I90" i="27"/>
  <c r="E90" i="27"/>
  <c r="D90" i="27"/>
  <c r="H92" i="27"/>
  <c r="H97" i="27"/>
  <c r="D97" i="27"/>
  <c r="F97" i="27"/>
  <c r="J97" i="27" s="1"/>
  <c r="I98" i="27"/>
  <c r="E98" i="27"/>
  <c r="D98" i="27"/>
  <c r="H100" i="27"/>
  <c r="H105" i="27"/>
  <c r="D105" i="27"/>
  <c r="F105" i="27"/>
  <c r="J105" i="27" s="1"/>
  <c r="I106" i="27"/>
  <c r="E106" i="27"/>
  <c r="D106" i="27"/>
  <c r="H108" i="27"/>
  <c r="H113" i="27"/>
  <c r="D113" i="27"/>
  <c r="F113" i="27"/>
  <c r="J113" i="27" s="1"/>
  <c r="I114" i="27"/>
  <c r="E114" i="27"/>
  <c r="D114" i="27"/>
  <c r="H116" i="27"/>
  <c r="H121" i="27"/>
  <c r="D121" i="27"/>
  <c r="F121" i="27"/>
  <c r="J121" i="27" s="1"/>
  <c r="I122" i="27"/>
  <c r="E122" i="27"/>
  <c r="D122" i="27"/>
  <c r="H124" i="27"/>
  <c r="H129" i="27"/>
  <c r="D129" i="27"/>
  <c r="F129" i="27"/>
  <c r="J129" i="27" s="1"/>
  <c r="I130" i="27"/>
  <c r="E130" i="27"/>
  <c r="D130" i="27"/>
  <c r="H132" i="27"/>
  <c r="H137" i="27"/>
  <c r="D137" i="27"/>
  <c r="F137" i="27"/>
  <c r="J137" i="27" s="1"/>
  <c r="I138" i="27"/>
  <c r="E138" i="27"/>
  <c r="D138" i="27"/>
  <c r="H140" i="27"/>
  <c r="H145" i="27"/>
  <c r="D145" i="27"/>
  <c r="F145" i="27"/>
  <c r="J145" i="27" s="1"/>
  <c r="I146" i="27"/>
  <c r="E146" i="27"/>
  <c r="D146" i="27"/>
  <c r="G148" i="27"/>
  <c r="H149" i="27"/>
  <c r="I154" i="27"/>
  <c r="E154" i="27"/>
  <c r="H154" i="27"/>
  <c r="D154" i="27"/>
  <c r="G154" i="27"/>
  <c r="H157" i="27"/>
  <c r="I162" i="27"/>
  <c r="E162" i="27"/>
  <c r="H162" i="27"/>
  <c r="D162" i="27"/>
  <c r="G162" i="27"/>
  <c r="H165" i="27"/>
  <c r="I170" i="27"/>
  <c r="E170" i="27"/>
  <c r="H170" i="27"/>
  <c r="D170" i="27"/>
  <c r="G170" i="27"/>
  <c r="H173" i="27"/>
  <c r="I178" i="27"/>
  <c r="E178" i="27"/>
  <c r="H178" i="27"/>
  <c r="D178" i="27"/>
  <c r="G178" i="27"/>
  <c r="H181" i="27"/>
  <c r="I186" i="27"/>
  <c r="E186" i="27"/>
  <c r="H186" i="27"/>
  <c r="D186" i="27"/>
  <c r="G186" i="27"/>
  <c r="H189" i="27"/>
  <c r="H197" i="27"/>
  <c r="G200" i="27"/>
  <c r="G206" i="27"/>
  <c r="H219" i="27"/>
  <c r="D219" i="27"/>
  <c r="F219" i="27"/>
  <c r="J219" i="27" s="1"/>
  <c r="I219" i="27"/>
  <c r="E219" i="27"/>
  <c r="G76" i="27"/>
  <c r="G84" i="27"/>
  <c r="G92" i="27"/>
  <c r="G100" i="27"/>
  <c r="G108" i="27"/>
  <c r="G116" i="27"/>
  <c r="G124" i="27"/>
  <c r="G132" i="27"/>
  <c r="G140" i="27"/>
  <c r="G192" i="27"/>
  <c r="G198" i="27"/>
  <c r="H211" i="27"/>
  <c r="D211" i="27"/>
  <c r="F211" i="27"/>
  <c r="J211" i="27" s="1"/>
  <c r="I211" i="27"/>
  <c r="E211" i="27"/>
  <c r="H212" i="27"/>
  <c r="H20" i="27"/>
  <c r="I22" i="27"/>
  <c r="I34" i="27"/>
  <c r="E34" i="27"/>
  <c r="H34" i="27"/>
  <c r="G35" i="27"/>
  <c r="G37" i="27"/>
  <c r="F38" i="27"/>
  <c r="J38" i="27" s="1"/>
  <c r="I42" i="27"/>
  <c r="E42" i="27"/>
  <c r="H42" i="27"/>
  <c r="G43" i="27"/>
  <c r="G45" i="27"/>
  <c r="F46" i="27"/>
  <c r="J46" i="27" s="1"/>
  <c r="I50" i="27"/>
  <c r="E50" i="27"/>
  <c r="H50" i="27"/>
  <c r="G51" i="27"/>
  <c r="G53" i="27"/>
  <c r="F54" i="27"/>
  <c r="J54" i="27" s="1"/>
  <c r="I58" i="27"/>
  <c r="E58" i="27"/>
  <c r="H58" i="27"/>
  <c r="G59" i="27"/>
  <c r="I62" i="27"/>
  <c r="E62" i="27"/>
  <c r="G62" i="27"/>
  <c r="F63" i="27"/>
  <c r="J63" i="27" s="1"/>
  <c r="E63" i="27"/>
  <c r="I63" i="27"/>
  <c r="G65" i="27"/>
  <c r="G66" i="27"/>
  <c r="I70" i="27"/>
  <c r="E70" i="27"/>
  <c r="G70" i="27"/>
  <c r="F71" i="27"/>
  <c r="J71" i="27" s="1"/>
  <c r="E71" i="27"/>
  <c r="I71" i="27"/>
  <c r="G73" i="27"/>
  <c r="G74" i="27"/>
  <c r="I78" i="27"/>
  <c r="E78" i="27"/>
  <c r="G78" i="27"/>
  <c r="F79" i="27"/>
  <c r="J79" i="27" s="1"/>
  <c r="E79" i="27"/>
  <c r="I79" i="27"/>
  <c r="G81" i="27"/>
  <c r="G82" i="27"/>
  <c r="I86" i="27"/>
  <c r="E86" i="27"/>
  <c r="G86" i="27"/>
  <c r="F87" i="27"/>
  <c r="J87" i="27" s="1"/>
  <c r="E87" i="27"/>
  <c r="I87" i="27"/>
  <c r="G89" i="27"/>
  <c r="G90" i="27"/>
  <c r="I94" i="27"/>
  <c r="E94" i="27"/>
  <c r="G94" i="27"/>
  <c r="F95" i="27"/>
  <c r="J95" i="27" s="1"/>
  <c r="E95" i="27"/>
  <c r="I95" i="27"/>
  <c r="G97" i="27"/>
  <c r="G98" i="27"/>
  <c r="I102" i="27"/>
  <c r="E102" i="27"/>
  <c r="G102" i="27"/>
  <c r="F103" i="27"/>
  <c r="J103" i="27" s="1"/>
  <c r="E103" i="27"/>
  <c r="I103" i="27"/>
  <c r="G105" i="27"/>
  <c r="G106" i="27"/>
  <c r="I110" i="27"/>
  <c r="E110" i="27"/>
  <c r="G110" i="27"/>
  <c r="F111" i="27"/>
  <c r="J111" i="27" s="1"/>
  <c r="E111" i="27"/>
  <c r="I111" i="27"/>
  <c r="G113" i="27"/>
  <c r="G114" i="27"/>
  <c r="I118" i="27"/>
  <c r="E118" i="27"/>
  <c r="G118" i="27"/>
  <c r="F119" i="27"/>
  <c r="J119" i="27" s="1"/>
  <c r="E119" i="27"/>
  <c r="I119" i="27"/>
  <c r="G121" i="27"/>
  <c r="G122" i="27"/>
  <c r="I126" i="27"/>
  <c r="E126" i="27"/>
  <c r="G126" i="27"/>
  <c r="F127" i="27"/>
  <c r="J127" i="27" s="1"/>
  <c r="E127" i="27"/>
  <c r="I127" i="27"/>
  <c r="G129" i="27"/>
  <c r="G130" i="27"/>
  <c r="I134" i="27"/>
  <c r="E134" i="27"/>
  <c r="G134" i="27"/>
  <c r="F135" i="27"/>
  <c r="J135" i="27" s="1"/>
  <c r="E135" i="27"/>
  <c r="I135" i="27"/>
  <c r="G137" i="27"/>
  <c r="G138" i="27"/>
  <c r="I142" i="27"/>
  <c r="E142" i="27"/>
  <c r="G142" i="27"/>
  <c r="F143" i="27"/>
  <c r="J143" i="27" s="1"/>
  <c r="E143" i="27"/>
  <c r="I143" i="27"/>
  <c r="G145" i="27"/>
  <c r="G146" i="27"/>
  <c r="I150" i="27"/>
  <c r="E150" i="27"/>
  <c r="H150" i="27"/>
  <c r="D150" i="27"/>
  <c r="G150" i="27"/>
  <c r="H153" i="27"/>
  <c r="I158" i="27"/>
  <c r="E158" i="27"/>
  <c r="H158" i="27"/>
  <c r="D158" i="27"/>
  <c r="G158" i="27"/>
  <c r="H161" i="27"/>
  <c r="I166" i="27"/>
  <c r="E166" i="27"/>
  <c r="H166" i="27"/>
  <c r="D166" i="27"/>
  <c r="G166" i="27"/>
  <c r="H169" i="27"/>
  <c r="I174" i="27"/>
  <c r="E174" i="27"/>
  <c r="H174" i="27"/>
  <c r="D174" i="27"/>
  <c r="G174" i="27"/>
  <c r="H177" i="27"/>
  <c r="I182" i="27"/>
  <c r="E182" i="27"/>
  <c r="H182" i="27"/>
  <c r="D182" i="27"/>
  <c r="G182" i="27"/>
  <c r="H185" i="27"/>
  <c r="G190" i="27"/>
  <c r="H203" i="27"/>
  <c r="D203" i="27"/>
  <c r="F203" i="27"/>
  <c r="J203" i="27" s="1"/>
  <c r="I203" i="27"/>
  <c r="E203" i="27"/>
  <c r="H204" i="27"/>
  <c r="G211" i="27"/>
  <c r="H213" i="27"/>
  <c r="G216" i="27"/>
  <c r="F151" i="27"/>
  <c r="J151" i="27" s="1"/>
  <c r="I151" i="27"/>
  <c r="E151" i="27"/>
  <c r="G152" i="27"/>
  <c r="F155" i="27"/>
  <c r="J155" i="27" s="1"/>
  <c r="I155" i="27"/>
  <c r="E155" i="27"/>
  <c r="G156" i="27"/>
  <c r="F159" i="27"/>
  <c r="J159" i="27" s="1"/>
  <c r="I159" i="27"/>
  <c r="E159" i="27"/>
  <c r="G160" i="27"/>
  <c r="F163" i="27"/>
  <c r="J163" i="27" s="1"/>
  <c r="I163" i="27"/>
  <c r="E163" i="27"/>
  <c r="G164" i="27"/>
  <c r="F167" i="27"/>
  <c r="J167" i="27" s="1"/>
  <c r="I167" i="27"/>
  <c r="E167" i="27"/>
  <c r="G168" i="27"/>
  <c r="F171" i="27"/>
  <c r="J171" i="27" s="1"/>
  <c r="I171" i="27"/>
  <c r="E171" i="27"/>
  <c r="G172" i="27"/>
  <c r="F175" i="27"/>
  <c r="J175" i="27" s="1"/>
  <c r="I175" i="27"/>
  <c r="E175" i="27"/>
  <c r="G176" i="27"/>
  <c r="F179" i="27"/>
  <c r="J179" i="27" s="1"/>
  <c r="I179" i="27"/>
  <c r="E179" i="27"/>
  <c r="G180" i="27"/>
  <c r="F183" i="27"/>
  <c r="J183" i="27" s="1"/>
  <c r="I183" i="27"/>
  <c r="E183" i="27"/>
  <c r="G184" i="27"/>
  <c r="F187" i="27"/>
  <c r="J187" i="27" s="1"/>
  <c r="I187" i="27"/>
  <c r="E187" i="27"/>
  <c r="G188" i="27"/>
  <c r="H193" i="27"/>
  <c r="H201" i="27"/>
  <c r="H209" i="27"/>
  <c r="H217" i="27"/>
  <c r="G37" i="39"/>
  <c r="G41" i="39"/>
  <c r="G45" i="39"/>
  <c r="G49" i="39"/>
  <c r="G53" i="39"/>
  <c r="G57" i="39"/>
  <c r="G61" i="39"/>
  <c r="G65" i="39"/>
  <c r="G69" i="39"/>
  <c r="G73" i="39"/>
  <c r="G35" i="39"/>
  <c r="G39" i="39"/>
  <c r="G43" i="39"/>
  <c r="G47" i="39"/>
  <c r="G51" i="39"/>
  <c r="G55" i="39"/>
  <c r="G59" i="39"/>
  <c r="G63" i="39"/>
  <c r="G67" i="39"/>
  <c r="G71" i="39"/>
  <c r="H75" i="39"/>
  <c r="H61" i="27"/>
  <c r="D61" i="27"/>
  <c r="I61" i="27"/>
  <c r="G64" i="27"/>
  <c r="F67" i="27"/>
  <c r="J67" i="27" s="1"/>
  <c r="H67" i="27"/>
  <c r="H69" i="27"/>
  <c r="D69" i="27"/>
  <c r="I69" i="27"/>
  <c r="G72" i="27"/>
  <c r="F75" i="27"/>
  <c r="J75" i="27" s="1"/>
  <c r="H75" i="27"/>
  <c r="H77" i="27"/>
  <c r="D77" i="27"/>
  <c r="I77" i="27"/>
  <c r="G80" i="27"/>
  <c r="F83" i="27"/>
  <c r="J83" i="27" s="1"/>
  <c r="H83" i="27"/>
  <c r="H85" i="27"/>
  <c r="D85" i="27"/>
  <c r="I85" i="27"/>
  <c r="G88" i="27"/>
  <c r="F91" i="27"/>
  <c r="J91" i="27" s="1"/>
  <c r="H91" i="27"/>
  <c r="H93" i="27"/>
  <c r="D93" i="27"/>
  <c r="I93" i="27"/>
  <c r="G96" i="27"/>
  <c r="F99" i="27"/>
  <c r="J99" i="27" s="1"/>
  <c r="H99" i="27"/>
  <c r="H101" i="27"/>
  <c r="D101" i="27"/>
  <c r="I101" i="27"/>
  <c r="G104" i="27"/>
  <c r="F107" i="27"/>
  <c r="J107" i="27" s="1"/>
  <c r="H107" i="27"/>
  <c r="H109" i="27"/>
  <c r="D109" i="27"/>
  <c r="I109" i="27"/>
  <c r="G112" i="27"/>
  <c r="F115" i="27"/>
  <c r="J115" i="27" s="1"/>
  <c r="H115" i="27"/>
  <c r="H117" i="27"/>
  <c r="D117" i="27"/>
  <c r="I117" i="27"/>
  <c r="G120" i="27"/>
  <c r="F123" i="27"/>
  <c r="J123" i="27" s="1"/>
  <c r="H123" i="27"/>
  <c r="H125" i="27"/>
  <c r="D125" i="27"/>
  <c r="I125" i="27"/>
  <c r="G128" i="27"/>
  <c r="F131" i="27"/>
  <c r="J131" i="27" s="1"/>
  <c r="H131" i="27"/>
  <c r="H133" i="27"/>
  <c r="D133" i="27"/>
  <c r="I133" i="27"/>
  <c r="G136" i="27"/>
  <c r="F139" i="27"/>
  <c r="J139" i="27" s="1"/>
  <c r="H139" i="27"/>
  <c r="H141" i="27"/>
  <c r="D141" i="27"/>
  <c r="I141" i="27"/>
  <c r="G144" i="27"/>
  <c r="F147" i="27"/>
  <c r="J147" i="27" s="1"/>
  <c r="I147" i="27"/>
  <c r="H147" i="27"/>
  <c r="H151" i="27"/>
  <c r="H155" i="27"/>
  <c r="H159" i="27"/>
  <c r="H163" i="27"/>
  <c r="H167" i="27"/>
  <c r="H171" i="27"/>
  <c r="H175" i="27"/>
  <c r="H179" i="27"/>
  <c r="H183" i="27"/>
  <c r="H187" i="27"/>
  <c r="H191" i="27"/>
  <c r="D191" i="27"/>
  <c r="F191" i="27"/>
  <c r="J191" i="27" s="1"/>
  <c r="I191" i="27"/>
  <c r="E191" i="27"/>
  <c r="G194" i="27"/>
  <c r="G196" i="27"/>
  <c r="H199" i="27"/>
  <c r="D199" i="27"/>
  <c r="F199" i="27"/>
  <c r="J199" i="27" s="1"/>
  <c r="I199" i="27"/>
  <c r="E199" i="27"/>
  <c r="G202" i="27"/>
  <c r="G204" i="27"/>
  <c r="H207" i="27"/>
  <c r="D207" i="27"/>
  <c r="F207" i="27"/>
  <c r="J207" i="27" s="1"/>
  <c r="I207" i="27"/>
  <c r="E207" i="27"/>
  <c r="G210" i="27"/>
  <c r="G212" i="27"/>
  <c r="H215" i="27"/>
  <c r="D215" i="27"/>
  <c r="F215" i="27"/>
  <c r="J215" i="27" s="1"/>
  <c r="I215" i="27"/>
  <c r="E215" i="27"/>
  <c r="G218" i="27"/>
  <c r="G149" i="27"/>
  <c r="G153" i="27"/>
  <c r="G157" i="27"/>
  <c r="G161" i="27"/>
  <c r="G165" i="27"/>
  <c r="G169" i="27"/>
  <c r="G173" i="27"/>
  <c r="G177" i="27"/>
  <c r="G181" i="27"/>
  <c r="G185" i="27"/>
  <c r="G189" i="27"/>
  <c r="D190" i="27"/>
  <c r="H190" i="27"/>
  <c r="G193" i="27"/>
  <c r="D194" i="27"/>
  <c r="H194" i="27"/>
  <c r="G197" i="27"/>
  <c r="D198" i="27"/>
  <c r="H198" i="27"/>
  <c r="G201" i="27"/>
  <c r="D202" i="27"/>
  <c r="H202" i="27"/>
  <c r="G205" i="27"/>
  <c r="D206" i="27"/>
  <c r="H206" i="27"/>
  <c r="G209" i="27"/>
  <c r="D210" i="27"/>
  <c r="H210" i="27"/>
  <c r="G213" i="27"/>
  <c r="D214" i="27"/>
  <c r="H214" i="27"/>
  <c r="G217" i="27"/>
  <c r="D218" i="27"/>
  <c r="H218" i="27"/>
  <c r="H21" i="39"/>
  <c r="I22" i="39"/>
  <c r="I23" i="39"/>
  <c r="C19" i="42"/>
  <c r="M19" i="42" s="1"/>
  <c r="I34" i="39"/>
  <c r="E34" i="39"/>
  <c r="H34" i="39"/>
  <c r="F35" i="39"/>
  <c r="C21" i="42"/>
  <c r="K21" i="42" s="1"/>
  <c r="I36" i="39"/>
  <c r="E36" i="39"/>
  <c r="J36" i="39" s="1"/>
  <c r="H36" i="39"/>
  <c r="F37" i="39"/>
  <c r="C23" i="42"/>
  <c r="I23" i="42" s="1"/>
  <c r="I38" i="39"/>
  <c r="E38" i="39"/>
  <c r="J38" i="39" s="1"/>
  <c r="H38" i="39"/>
  <c r="F39" i="39"/>
  <c r="C25" i="42"/>
  <c r="I40" i="39"/>
  <c r="E40" i="39"/>
  <c r="J40" i="39" s="1"/>
  <c r="H40" i="39"/>
  <c r="F41" i="39"/>
  <c r="C27" i="42"/>
  <c r="P27" i="42" s="1"/>
  <c r="I42" i="39"/>
  <c r="E42" i="39"/>
  <c r="J42" i="39" s="1"/>
  <c r="H42" i="39"/>
  <c r="F43" i="39"/>
  <c r="C29" i="42"/>
  <c r="I44" i="39"/>
  <c r="E44" i="39"/>
  <c r="J44" i="39" s="1"/>
  <c r="H44" i="39"/>
  <c r="F45" i="39"/>
  <c r="C31" i="42"/>
  <c r="L31" i="42" s="1"/>
  <c r="I46" i="39"/>
  <c r="E46" i="39"/>
  <c r="J46" i="39" s="1"/>
  <c r="H46" i="39"/>
  <c r="F47" i="39"/>
  <c r="C33" i="42"/>
  <c r="I48" i="39"/>
  <c r="E48" i="39"/>
  <c r="J48" i="39" s="1"/>
  <c r="H48" i="39"/>
  <c r="F49" i="39"/>
  <c r="C35" i="42"/>
  <c r="N35" i="42" s="1"/>
  <c r="I50" i="39"/>
  <c r="E50" i="39"/>
  <c r="J50" i="39" s="1"/>
  <c r="H50" i="39"/>
  <c r="F51" i="39"/>
  <c r="C37" i="42"/>
  <c r="P37" i="42" s="1"/>
  <c r="I52" i="39"/>
  <c r="E52" i="39"/>
  <c r="J52" i="39" s="1"/>
  <c r="H52" i="39"/>
  <c r="F53" i="39"/>
  <c r="C39" i="42"/>
  <c r="N39" i="42" s="1"/>
  <c r="I54" i="39"/>
  <c r="E54" i="39"/>
  <c r="J54" i="39" s="1"/>
  <c r="H54" i="39"/>
  <c r="F55" i="39"/>
  <c r="C41" i="42"/>
  <c r="I56" i="39"/>
  <c r="E56" i="39"/>
  <c r="J56" i="39" s="1"/>
  <c r="H56" i="39"/>
  <c r="F57" i="39"/>
  <c r="C43" i="42"/>
  <c r="N43" i="42" s="1"/>
  <c r="I58" i="39"/>
  <c r="E58" i="39"/>
  <c r="J58" i="39" s="1"/>
  <c r="H58" i="39"/>
  <c r="F59" i="39"/>
  <c r="C45" i="42"/>
  <c r="M45" i="42" s="1"/>
  <c r="I60" i="39"/>
  <c r="E60" i="39"/>
  <c r="J60" i="39" s="1"/>
  <c r="H60" i="39"/>
  <c r="F61" i="39"/>
  <c r="C47" i="42"/>
  <c r="O47" i="42" s="1"/>
  <c r="I62" i="39"/>
  <c r="E62" i="39"/>
  <c r="J62" i="39" s="1"/>
  <c r="H62" i="39"/>
  <c r="F63" i="39"/>
  <c r="C49" i="42"/>
  <c r="I64" i="39"/>
  <c r="E64" i="39"/>
  <c r="J64" i="39" s="1"/>
  <c r="H64" i="39"/>
  <c r="F65" i="39"/>
  <c r="C51" i="42"/>
  <c r="K51" i="42" s="1"/>
  <c r="I66" i="39"/>
  <c r="E66" i="39"/>
  <c r="J66" i="39" s="1"/>
  <c r="H66" i="39"/>
  <c r="F67" i="39"/>
  <c r="C53" i="42"/>
  <c r="K53" i="42" s="1"/>
  <c r="I68" i="39"/>
  <c r="E68" i="39"/>
  <c r="J68" i="39" s="1"/>
  <c r="H68" i="39"/>
  <c r="F69" i="39"/>
  <c r="C55" i="42"/>
  <c r="L55" i="42" s="1"/>
  <c r="I70" i="39"/>
  <c r="E70" i="39"/>
  <c r="J70" i="39" s="1"/>
  <c r="H70" i="39"/>
  <c r="F71" i="39"/>
  <c r="C57" i="42"/>
  <c r="I72" i="39"/>
  <c r="E72" i="39"/>
  <c r="J72" i="39" s="1"/>
  <c r="H72" i="39"/>
  <c r="F73" i="39"/>
  <c r="C59" i="42"/>
  <c r="P59" i="42" s="1"/>
  <c r="I74" i="39"/>
  <c r="E74" i="39"/>
  <c r="J74" i="39" s="1"/>
  <c r="H74" i="39"/>
  <c r="F75" i="39"/>
  <c r="D149" i="27"/>
  <c r="D153" i="27"/>
  <c r="D157" i="27"/>
  <c r="D161" i="27"/>
  <c r="D165" i="27"/>
  <c r="D169" i="27"/>
  <c r="D173" i="27"/>
  <c r="D177" i="27"/>
  <c r="D181" i="27"/>
  <c r="D185" i="27"/>
  <c r="D189" i="27"/>
  <c r="E190" i="27"/>
  <c r="I190" i="27"/>
  <c r="D193" i="27"/>
  <c r="E194" i="27"/>
  <c r="I194" i="27"/>
  <c r="D197" i="27"/>
  <c r="E198" i="27"/>
  <c r="I198" i="27"/>
  <c r="D201" i="27"/>
  <c r="E202" i="27"/>
  <c r="I202" i="27"/>
  <c r="D205" i="27"/>
  <c r="E206" i="27"/>
  <c r="I206" i="27"/>
  <c r="D209" i="27"/>
  <c r="E210" i="27"/>
  <c r="I210" i="27"/>
  <c r="D213" i="27"/>
  <c r="E214" i="27"/>
  <c r="I214" i="27"/>
  <c r="D217" i="27"/>
  <c r="E218" i="27"/>
  <c r="I218" i="27"/>
  <c r="G204" i="42"/>
  <c r="D203" i="42"/>
  <c r="E202" i="42"/>
  <c r="F201" i="42"/>
  <c r="G200" i="42"/>
  <c r="D199" i="42"/>
  <c r="E198" i="42"/>
  <c r="F197" i="42"/>
  <c r="G196" i="42"/>
  <c r="D195" i="42"/>
  <c r="E194" i="42"/>
  <c r="F193" i="42"/>
  <c r="G192" i="42"/>
  <c r="D191" i="42"/>
  <c r="E190" i="42"/>
  <c r="F189" i="42"/>
  <c r="G188" i="42"/>
  <c r="D187" i="42"/>
  <c r="E186" i="42"/>
  <c r="F185" i="42"/>
  <c r="G184" i="42"/>
  <c r="D183" i="42"/>
  <c r="E182" i="42"/>
  <c r="F181" i="42"/>
  <c r="G180" i="42"/>
  <c r="D179" i="42"/>
  <c r="E178" i="42"/>
  <c r="F177" i="42"/>
  <c r="G176" i="42"/>
  <c r="D175" i="42"/>
  <c r="E174" i="42"/>
  <c r="F173" i="42"/>
  <c r="G172" i="42"/>
  <c r="D171" i="42"/>
  <c r="E170" i="42"/>
  <c r="F169" i="42"/>
  <c r="G168" i="42"/>
  <c r="D167" i="42"/>
  <c r="E166" i="42"/>
  <c r="F165" i="42"/>
  <c r="G164" i="42"/>
  <c r="D163" i="42"/>
  <c r="E162" i="42"/>
  <c r="F161" i="42"/>
  <c r="G160" i="42"/>
  <c r="D159" i="42"/>
  <c r="E158" i="42"/>
  <c r="F157" i="42"/>
  <c r="G156" i="42"/>
  <c r="D155" i="42"/>
  <c r="E154" i="42"/>
  <c r="F153" i="42"/>
  <c r="G152" i="42"/>
  <c r="D151" i="42"/>
  <c r="E150" i="42"/>
  <c r="F149" i="42"/>
  <c r="G148" i="42"/>
  <c r="D147" i="42"/>
  <c r="E146" i="42"/>
  <c r="F145" i="42"/>
  <c r="G144" i="42"/>
  <c r="D143" i="42"/>
  <c r="E142" i="42"/>
  <c r="F141" i="42"/>
  <c r="G140" i="42"/>
  <c r="F204" i="42"/>
  <c r="G203" i="42"/>
  <c r="D202" i="42"/>
  <c r="E201" i="42"/>
  <c r="F200" i="42"/>
  <c r="G199" i="42"/>
  <c r="D198" i="42"/>
  <c r="E197" i="42"/>
  <c r="F196" i="42"/>
  <c r="G195" i="42"/>
  <c r="D194" i="42"/>
  <c r="E193" i="42"/>
  <c r="F192" i="42"/>
  <c r="G191" i="42"/>
  <c r="D190" i="42"/>
  <c r="E189" i="42"/>
  <c r="F188" i="42"/>
  <c r="G187" i="42"/>
  <c r="D186" i="42"/>
  <c r="E185" i="42"/>
  <c r="F184" i="42"/>
  <c r="G183" i="42"/>
  <c r="D182" i="42"/>
  <c r="E181" i="42"/>
  <c r="F180" i="42"/>
  <c r="G179" i="42"/>
  <c r="D178" i="42"/>
  <c r="E177" i="42"/>
  <c r="F176" i="42"/>
  <c r="G175" i="42"/>
  <c r="D174" i="42"/>
  <c r="E173" i="42"/>
  <c r="F172" i="42"/>
  <c r="E204" i="42"/>
  <c r="F203" i="42"/>
  <c r="G202" i="42"/>
  <c r="D201" i="42"/>
  <c r="E200" i="42"/>
  <c r="F199" i="42"/>
  <c r="G198" i="42"/>
  <c r="D197" i="42"/>
  <c r="E196" i="42"/>
  <c r="F195" i="42"/>
  <c r="G194" i="42"/>
  <c r="D193" i="42"/>
  <c r="E192" i="42"/>
  <c r="F191" i="42"/>
  <c r="G190" i="42"/>
  <c r="D189" i="42"/>
  <c r="E188" i="42"/>
  <c r="F187" i="42"/>
  <c r="G186" i="42"/>
  <c r="D185" i="42"/>
  <c r="E184" i="42"/>
  <c r="F183" i="42"/>
  <c r="G182" i="42"/>
  <c r="D181" i="42"/>
  <c r="E180" i="42"/>
  <c r="F179" i="42"/>
  <c r="G178" i="42"/>
  <c r="D177" i="42"/>
  <c r="E176" i="42"/>
  <c r="F175" i="42"/>
  <c r="G174" i="42"/>
  <c r="D173" i="42"/>
  <c r="E172" i="42"/>
  <c r="F171" i="42"/>
  <c r="G170" i="42"/>
  <c r="D169" i="42"/>
  <c r="E168" i="42"/>
  <c r="F167" i="42"/>
  <c r="G166" i="42"/>
  <c r="D165" i="42"/>
  <c r="E164" i="42"/>
  <c r="F163" i="42"/>
  <c r="G162" i="42"/>
  <c r="D161" i="42"/>
  <c r="E160" i="42"/>
  <c r="F159" i="42"/>
  <c r="G158" i="42"/>
  <c r="D157" i="42"/>
  <c r="E156" i="42"/>
  <c r="F155" i="42"/>
  <c r="G154" i="42"/>
  <c r="D153" i="42"/>
  <c r="E152" i="42"/>
  <c r="F151" i="42"/>
  <c r="G150" i="42"/>
  <c r="D149" i="42"/>
  <c r="E148" i="42"/>
  <c r="F147" i="42"/>
  <c r="G146" i="42"/>
  <c r="D145" i="42"/>
  <c r="E144" i="42"/>
  <c r="F143" i="42"/>
  <c r="G142" i="42"/>
  <c r="D141" i="42"/>
  <c r="E140" i="42"/>
  <c r="F139" i="42"/>
  <c r="E203" i="42"/>
  <c r="D200" i="42"/>
  <c r="G193" i="42"/>
  <c r="F190" i="42"/>
  <c r="E187" i="42"/>
  <c r="D184" i="42"/>
  <c r="G177" i="42"/>
  <c r="F174" i="42"/>
  <c r="G171" i="42"/>
  <c r="D170" i="42"/>
  <c r="F168" i="42"/>
  <c r="E165" i="42"/>
  <c r="G163" i="42"/>
  <c r="D162" i="42"/>
  <c r="F160" i="42"/>
  <c r="E157" i="42"/>
  <c r="G155" i="42"/>
  <c r="D154" i="42"/>
  <c r="F152" i="42"/>
  <c r="E149" i="42"/>
  <c r="G147" i="42"/>
  <c r="D146" i="42"/>
  <c r="F144" i="42"/>
  <c r="E141" i="42"/>
  <c r="G139" i="42"/>
  <c r="G138" i="42"/>
  <c r="D137" i="42"/>
  <c r="E136" i="42"/>
  <c r="F135" i="42"/>
  <c r="G134" i="42"/>
  <c r="D133" i="42"/>
  <c r="E132" i="42"/>
  <c r="F131" i="42"/>
  <c r="G130" i="42"/>
  <c r="D129" i="42"/>
  <c r="E128" i="42"/>
  <c r="F127" i="42"/>
  <c r="G126" i="42"/>
  <c r="D125" i="42"/>
  <c r="E124" i="42"/>
  <c r="F123" i="42"/>
  <c r="G122" i="42"/>
  <c r="D121" i="42"/>
  <c r="E120" i="42"/>
  <c r="F119" i="42"/>
  <c r="G118" i="42"/>
  <c r="D117" i="42"/>
  <c r="E116" i="42"/>
  <c r="F115" i="42"/>
  <c r="G114" i="42"/>
  <c r="D113" i="42"/>
  <c r="E112" i="42"/>
  <c r="F111" i="42"/>
  <c r="G110" i="42"/>
  <c r="D109" i="42"/>
  <c r="E108" i="42"/>
  <c r="F107" i="42"/>
  <c r="G106" i="42"/>
  <c r="D105" i="42"/>
  <c r="E104" i="42"/>
  <c r="F103" i="42"/>
  <c r="G102" i="42"/>
  <c r="D101" i="42"/>
  <c r="E100" i="42"/>
  <c r="F99" i="42"/>
  <c r="G98" i="42"/>
  <c r="D97" i="42"/>
  <c r="F202" i="42"/>
  <c r="E199" i="42"/>
  <c r="D196" i="42"/>
  <c r="G189" i="42"/>
  <c r="F186" i="42"/>
  <c r="E183" i="42"/>
  <c r="D180" i="42"/>
  <c r="G173" i="42"/>
  <c r="E171" i="42"/>
  <c r="G169" i="42"/>
  <c r="D168" i="42"/>
  <c r="F166" i="42"/>
  <c r="E163" i="42"/>
  <c r="G161" i="42"/>
  <c r="D160" i="42"/>
  <c r="F158" i="42"/>
  <c r="E155" i="42"/>
  <c r="G153" i="42"/>
  <c r="D152" i="42"/>
  <c r="F150" i="42"/>
  <c r="E147" i="42"/>
  <c r="G145" i="42"/>
  <c r="D144" i="42"/>
  <c r="F142" i="42"/>
  <c r="E139" i="42"/>
  <c r="F138" i="42"/>
  <c r="G137" i="42"/>
  <c r="D136" i="42"/>
  <c r="E135" i="42"/>
  <c r="F134" i="42"/>
  <c r="G133" i="42"/>
  <c r="D132" i="42"/>
  <c r="E131" i="42"/>
  <c r="F130" i="42"/>
  <c r="G129" i="42"/>
  <c r="D128" i="42"/>
  <c r="E127" i="42"/>
  <c r="F126" i="42"/>
  <c r="G125" i="42"/>
  <c r="D124" i="42"/>
  <c r="E123" i="42"/>
  <c r="F122" i="42"/>
  <c r="G121" i="42"/>
  <c r="D120" i="42"/>
  <c r="E119" i="42"/>
  <c r="F118" i="42"/>
  <c r="G117" i="42"/>
  <c r="D116" i="42"/>
  <c r="E115" i="42"/>
  <c r="F114" i="42"/>
  <c r="G113" i="42"/>
  <c r="G201" i="42"/>
  <c r="F198" i="42"/>
  <c r="E195" i="42"/>
  <c r="D192" i="42"/>
  <c r="G185" i="42"/>
  <c r="F182" i="42"/>
  <c r="E179" i="42"/>
  <c r="D176" i="42"/>
  <c r="E169" i="42"/>
  <c r="G167" i="42"/>
  <c r="D166" i="42"/>
  <c r="F164" i="42"/>
  <c r="E161" i="42"/>
  <c r="G159" i="42"/>
  <c r="D158" i="42"/>
  <c r="F156" i="42"/>
  <c r="E153" i="42"/>
  <c r="G151" i="42"/>
  <c r="D150" i="42"/>
  <c r="F148" i="42"/>
  <c r="E145" i="42"/>
  <c r="G143" i="42"/>
  <c r="D142" i="42"/>
  <c r="F140" i="42"/>
  <c r="D139" i="42"/>
  <c r="E138" i="42"/>
  <c r="F137" i="42"/>
  <c r="G136" i="42"/>
  <c r="D135" i="42"/>
  <c r="E134" i="42"/>
  <c r="F133" i="42"/>
  <c r="G132" i="42"/>
  <c r="D131" i="42"/>
  <c r="E130" i="42"/>
  <c r="F129" i="42"/>
  <c r="G128" i="42"/>
  <c r="D127" i="42"/>
  <c r="E126" i="42"/>
  <c r="F125" i="42"/>
  <c r="G124" i="42"/>
  <c r="D123" i="42"/>
  <c r="E122" i="42"/>
  <c r="F121" i="42"/>
  <c r="G120" i="42"/>
  <c r="D119" i="42"/>
  <c r="E118" i="42"/>
  <c r="F117" i="42"/>
  <c r="G116" i="42"/>
  <c r="D115" i="42"/>
  <c r="E114" i="42"/>
  <c r="F113" i="42"/>
  <c r="G112" i="42"/>
  <c r="D111" i="42"/>
  <c r="E110" i="42"/>
  <c r="F109" i="42"/>
  <c r="G108" i="42"/>
  <c r="D107" i="42"/>
  <c r="E106" i="42"/>
  <c r="F105" i="42"/>
  <c r="G104" i="42"/>
  <c r="D103" i="42"/>
  <c r="E102" i="42"/>
  <c r="F101" i="42"/>
  <c r="G100" i="42"/>
  <c r="D99" i="42"/>
  <c r="E98" i="42"/>
  <c r="F97" i="42"/>
  <c r="D204" i="42"/>
  <c r="G197" i="42"/>
  <c r="F194" i="42"/>
  <c r="E191" i="42"/>
  <c r="D188" i="42"/>
  <c r="G181" i="42"/>
  <c r="F178" i="42"/>
  <c r="E175" i="42"/>
  <c r="D172" i="42"/>
  <c r="F170" i="42"/>
  <c r="E167" i="42"/>
  <c r="G165" i="42"/>
  <c r="D164" i="42"/>
  <c r="F162" i="42"/>
  <c r="E159" i="42"/>
  <c r="G157" i="42"/>
  <c r="D156" i="42"/>
  <c r="F154" i="42"/>
  <c r="E151" i="42"/>
  <c r="G149" i="42"/>
  <c r="D148" i="42"/>
  <c r="F146" i="42"/>
  <c r="E143" i="42"/>
  <c r="G141" i="42"/>
  <c r="D140" i="42"/>
  <c r="D138" i="42"/>
  <c r="E137" i="42"/>
  <c r="F136" i="42"/>
  <c r="G135" i="42"/>
  <c r="D134" i="42"/>
  <c r="E133" i="42"/>
  <c r="F132" i="42"/>
  <c r="G131" i="42"/>
  <c r="D130" i="42"/>
  <c r="E129" i="42"/>
  <c r="F128" i="42"/>
  <c r="G127" i="42"/>
  <c r="D126" i="42"/>
  <c r="E125" i="42"/>
  <c r="F124" i="42"/>
  <c r="G123" i="42"/>
  <c r="D122" i="42"/>
  <c r="E121" i="42"/>
  <c r="F120" i="42"/>
  <c r="G119" i="42"/>
  <c r="D118" i="42"/>
  <c r="E117" i="42"/>
  <c r="F116" i="42"/>
  <c r="G115" i="42"/>
  <c r="D114" i="42"/>
  <c r="E113" i="42"/>
  <c r="F112" i="42"/>
  <c r="G111" i="42"/>
  <c r="D110" i="42"/>
  <c r="E109" i="42"/>
  <c r="F108" i="42"/>
  <c r="G107" i="42"/>
  <c r="D106" i="42"/>
  <c r="E105" i="42"/>
  <c r="F104" i="42"/>
  <c r="G103" i="42"/>
  <c r="D102" i="42"/>
  <c r="E101" i="42"/>
  <c r="F100" i="42"/>
  <c r="G99" i="42"/>
  <c r="D98" i="42"/>
  <c r="E97" i="42"/>
  <c r="F110" i="42"/>
  <c r="E107" i="42"/>
  <c r="D104" i="42"/>
  <c r="G97" i="42"/>
  <c r="E96" i="42"/>
  <c r="F95" i="42"/>
  <c r="G94" i="42"/>
  <c r="D93" i="42"/>
  <c r="E92" i="42"/>
  <c r="F91" i="42"/>
  <c r="G90" i="42"/>
  <c r="D89" i="42"/>
  <c r="E88" i="42"/>
  <c r="F87" i="42"/>
  <c r="G86" i="42"/>
  <c r="D85" i="42"/>
  <c r="E84" i="42"/>
  <c r="F83" i="42"/>
  <c r="G82" i="42"/>
  <c r="D81" i="42"/>
  <c r="E80" i="42"/>
  <c r="F79" i="42"/>
  <c r="G78" i="42"/>
  <c r="D77" i="42"/>
  <c r="E76" i="42"/>
  <c r="F75" i="42"/>
  <c r="G74" i="42"/>
  <c r="D73" i="42"/>
  <c r="E72" i="42"/>
  <c r="F71" i="42"/>
  <c r="G70" i="42"/>
  <c r="D69" i="42"/>
  <c r="E68" i="42"/>
  <c r="F67" i="42"/>
  <c r="G66" i="42"/>
  <c r="D65" i="42"/>
  <c r="E64" i="42"/>
  <c r="F63" i="42"/>
  <c r="G62" i="42"/>
  <c r="D61" i="42"/>
  <c r="E60" i="42"/>
  <c r="F59" i="42"/>
  <c r="G58" i="42"/>
  <c r="D57" i="42"/>
  <c r="E56" i="42"/>
  <c r="F55" i="42"/>
  <c r="G54" i="42"/>
  <c r="D53" i="42"/>
  <c r="E52" i="42"/>
  <c r="F51" i="42"/>
  <c r="G50" i="42"/>
  <c r="D49" i="42"/>
  <c r="E48" i="42"/>
  <c r="F47" i="42"/>
  <c r="G46" i="42"/>
  <c r="D45" i="42"/>
  <c r="E44" i="42"/>
  <c r="F43" i="42"/>
  <c r="G42" i="42"/>
  <c r="D41" i="42"/>
  <c r="E40" i="42"/>
  <c r="F39" i="42"/>
  <c r="G38" i="42"/>
  <c r="D37" i="42"/>
  <c r="E36" i="42"/>
  <c r="F35" i="42"/>
  <c r="G34" i="42"/>
  <c r="D33" i="42"/>
  <c r="G109" i="42"/>
  <c r="F106" i="42"/>
  <c r="E103" i="42"/>
  <c r="D100" i="42"/>
  <c r="D96" i="42"/>
  <c r="E95" i="42"/>
  <c r="F94" i="42"/>
  <c r="G93" i="42"/>
  <c r="D92" i="42"/>
  <c r="E91" i="42"/>
  <c r="F90" i="42"/>
  <c r="G89" i="42"/>
  <c r="D88" i="42"/>
  <c r="E87" i="42"/>
  <c r="F86" i="42"/>
  <c r="G85" i="42"/>
  <c r="D84" i="42"/>
  <c r="E83" i="42"/>
  <c r="F82" i="42"/>
  <c r="G81" i="42"/>
  <c r="D80" i="42"/>
  <c r="E79" i="42"/>
  <c r="F78" i="42"/>
  <c r="G77" i="42"/>
  <c r="D76" i="42"/>
  <c r="E75" i="42"/>
  <c r="F74" i="42"/>
  <c r="G73" i="42"/>
  <c r="D72" i="42"/>
  <c r="E71" i="42"/>
  <c r="F70" i="42"/>
  <c r="G69" i="42"/>
  <c r="D68" i="42"/>
  <c r="E67" i="42"/>
  <c r="F66" i="42"/>
  <c r="G65" i="42"/>
  <c r="D64" i="42"/>
  <c r="E63" i="42"/>
  <c r="F62" i="42"/>
  <c r="G61" i="42"/>
  <c r="D60" i="42"/>
  <c r="E59" i="42"/>
  <c r="F58" i="42"/>
  <c r="G57" i="42"/>
  <c r="D56" i="42"/>
  <c r="E55" i="42"/>
  <c r="F54" i="42"/>
  <c r="G53" i="42"/>
  <c r="D52" i="42"/>
  <c r="E51" i="42"/>
  <c r="F50" i="42"/>
  <c r="G49" i="42"/>
  <c r="D48" i="42"/>
  <c r="E47" i="42"/>
  <c r="F46" i="42"/>
  <c r="G45" i="42"/>
  <c r="D44" i="42"/>
  <c r="E43" i="42"/>
  <c r="F42" i="42"/>
  <c r="G41" i="42"/>
  <c r="D40" i="42"/>
  <c r="E39" i="42"/>
  <c r="F38" i="42"/>
  <c r="G37" i="42"/>
  <c r="D36" i="42"/>
  <c r="E35" i="42"/>
  <c r="F34" i="42"/>
  <c r="G33" i="42"/>
  <c r="D112" i="42"/>
  <c r="G105" i="42"/>
  <c r="F102" i="42"/>
  <c r="E99" i="42"/>
  <c r="G96" i="42"/>
  <c r="D95" i="42"/>
  <c r="E94" i="42"/>
  <c r="F93" i="42"/>
  <c r="G92" i="42"/>
  <c r="D91" i="42"/>
  <c r="E90" i="42"/>
  <c r="F89" i="42"/>
  <c r="G88" i="42"/>
  <c r="D87" i="42"/>
  <c r="E86" i="42"/>
  <c r="F85" i="42"/>
  <c r="G84" i="42"/>
  <c r="D83" i="42"/>
  <c r="E82" i="42"/>
  <c r="F81" i="42"/>
  <c r="G80" i="42"/>
  <c r="D79" i="42"/>
  <c r="E78" i="42"/>
  <c r="F77" i="42"/>
  <c r="G76" i="42"/>
  <c r="D75" i="42"/>
  <c r="E74" i="42"/>
  <c r="F73" i="42"/>
  <c r="G72" i="42"/>
  <c r="D71" i="42"/>
  <c r="E70" i="42"/>
  <c r="F69" i="42"/>
  <c r="G68" i="42"/>
  <c r="D67" i="42"/>
  <c r="E66" i="42"/>
  <c r="F65" i="42"/>
  <c r="G64" i="42"/>
  <c r="D63" i="42"/>
  <c r="E62" i="42"/>
  <c r="F61" i="42"/>
  <c r="G60" i="42"/>
  <c r="D59" i="42"/>
  <c r="E58" i="42"/>
  <c r="F57" i="42"/>
  <c r="G56" i="42"/>
  <c r="D55" i="42"/>
  <c r="E54" i="42"/>
  <c r="F53" i="42"/>
  <c r="G52" i="42"/>
  <c r="D51" i="42"/>
  <c r="E50" i="42"/>
  <c r="F49" i="42"/>
  <c r="G48" i="42"/>
  <c r="D47" i="42"/>
  <c r="E46" i="42"/>
  <c r="F45" i="42"/>
  <c r="G44" i="42"/>
  <c r="D43" i="42"/>
  <c r="E42" i="42"/>
  <c r="F41" i="42"/>
  <c r="G40" i="42"/>
  <c r="D39" i="42"/>
  <c r="E38" i="42"/>
  <c r="F37" i="42"/>
  <c r="G36" i="42"/>
  <c r="D35" i="42"/>
  <c r="E34" i="42"/>
  <c r="F33" i="42"/>
  <c r="E111" i="42"/>
  <c r="D108" i="42"/>
  <c r="G101" i="42"/>
  <c r="F98" i="42"/>
  <c r="F96" i="42"/>
  <c r="G95" i="42"/>
  <c r="D94" i="42"/>
  <c r="H94" i="42" s="1"/>
  <c r="E93" i="42"/>
  <c r="F92" i="42"/>
  <c r="G91" i="42"/>
  <c r="D90" i="42"/>
  <c r="H90" i="42" s="1"/>
  <c r="E89" i="42"/>
  <c r="F88" i="42"/>
  <c r="G87" i="42"/>
  <c r="D86" i="42"/>
  <c r="H86" i="42" s="1"/>
  <c r="E85" i="42"/>
  <c r="F84" i="42"/>
  <c r="G83" i="42"/>
  <c r="H83" i="42" s="1"/>
  <c r="D82" i="42"/>
  <c r="H82" i="42" s="1"/>
  <c r="E81" i="42"/>
  <c r="F80" i="42"/>
  <c r="G79" i="42"/>
  <c r="D78" i="42"/>
  <c r="H78" i="42" s="1"/>
  <c r="E77" i="42"/>
  <c r="F76" i="42"/>
  <c r="G75" i="42"/>
  <c r="D74" i="42"/>
  <c r="H74" i="42" s="1"/>
  <c r="E73" i="42"/>
  <c r="F72" i="42"/>
  <c r="G71" i="42"/>
  <c r="D70" i="42"/>
  <c r="H70" i="42" s="1"/>
  <c r="E69" i="42"/>
  <c r="F68" i="42"/>
  <c r="G67" i="42"/>
  <c r="D66" i="42"/>
  <c r="H66" i="42" s="1"/>
  <c r="E65" i="42"/>
  <c r="F64" i="42"/>
  <c r="G63" i="42"/>
  <c r="D62" i="42"/>
  <c r="H62" i="42" s="1"/>
  <c r="E61" i="42"/>
  <c r="F60" i="42"/>
  <c r="G59" i="42"/>
  <c r="D58" i="42"/>
  <c r="H58" i="42" s="1"/>
  <c r="E57" i="42"/>
  <c r="F56" i="42"/>
  <c r="G55" i="42"/>
  <c r="D54" i="42"/>
  <c r="H54" i="42" s="1"/>
  <c r="E53" i="42"/>
  <c r="F52" i="42"/>
  <c r="G51" i="42"/>
  <c r="H51" i="42" s="1"/>
  <c r="D50" i="42"/>
  <c r="H50" i="42" s="1"/>
  <c r="E49" i="42"/>
  <c r="F48" i="42"/>
  <c r="G47" i="42"/>
  <c r="D46" i="42"/>
  <c r="H46" i="42" s="1"/>
  <c r="E45" i="42"/>
  <c r="F44" i="42"/>
  <c r="G43" i="42"/>
  <c r="D42" i="42"/>
  <c r="H42" i="42" s="1"/>
  <c r="E41" i="42"/>
  <c r="F40" i="42"/>
  <c r="G39" i="42"/>
  <c r="D38" i="42"/>
  <c r="H38" i="42" s="1"/>
  <c r="E37" i="42"/>
  <c r="H37" i="42" s="1"/>
  <c r="F36" i="42"/>
  <c r="G35" i="42"/>
  <c r="D34" i="42"/>
  <c r="H34" i="42" s="1"/>
  <c r="E33" i="42"/>
  <c r="H33" i="42" s="1"/>
  <c r="E32" i="42"/>
  <c r="F31" i="42"/>
  <c r="G30" i="42"/>
  <c r="D29" i="42"/>
  <c r="E28" i="42"/>
  <c r="F27" i="42"/>
  <c r="G26" i="42"/>
  <c r="D25" i="42"/>
  <c r="E24" i="42"/>
  <c r="F23" i="42"/>
  <c r="G22" i="42"/>
  <c r="D21" i="42"/>
  <c r="E20" i="42"/>
  <c r="F19" i="42"/>
  <c r="F8" i="42"/>
  <c r="F7" i="42"/>
  <c r="F6" i="42"/>
  <c r="F5" i="42"/>
  <c r="D32" i="42"/>
  <c r="E31" i="42"/>
  <c r="F30" i="42"/>
  <c r="G29" i="42"/>
  <c r="D28" i="42"/>
  <c r="E27" i="42"/>
  <c r="F26" i="42"/>
  <c r="G25" i="42"/>
  <c r="D24" i="42"/>
  <c r="E23" i="42"/>
  <c r="F22" i="42"/>
  <c r="G21" i="42"/>
  <c r="D20" i="42"/>
  <c r="E19" i="42"/>
  <c r="E8" i="42"/>
  <c r="E7" i="42"/>
  <c r="E6" i="42"/>
  <c r="E5" i="42"/>
  <c r="G32" i="42"/>
  <c r="D31" i="42"/>
  <c r="E30" i="42"/>
  <c r="F29" i="42"/>
  <c r="G28" i="42"/>
  <c r="D27" i="42"/>
  <c r="E26" i="42"/>
  <c r="F25" i="42"/>
  <c r="G24" i="42"/>
  <c r="D23" i="42"/>
  <c r="E22" i="42"/>
  <c r="F21" i="42"/>
  <c r="G20" i="42"/>
  <c r="D19" i="42"/>
  <c r="D8" i="42"/>
  <c r="D7" i="42"/>
  <c r="D6" i="42"/>
  <c r="D5" i="42"/>
  <c r="F32" i="42"/>
  <c r="G31" i="42"/>
  <c r="D30" i="42"/>
  <c r="E29" i="42"/>
  <c r="F28" i="42"/>
  <c r="G27" i="42"/>
  <c r="D26" i="42"/>
  <c r="E25" i="42"/>
  <c r="F24" i="42"/>
  <c r="G23" i="42"/>
  <c r="D22" i="42"/>
  <c r="E21" i="42"/>
  <c r="F20" i="42"/>
  <c r="G19" i="42"/>
  <c r="E107" i="39"/>
  <c r="J107" i="39" s="1"/>
  <c r="E106" i="39"/>
  <c r="J106" i="39" s="1"/>
  <c r="E105" i="39"/>
  <c r="J105" i="39" s="1"/>
  <c r="E104" i="39"/>
  <c r="J104" i="39" s="1"/>
  <c r="E103" i="39"/>
  <c r="J103" i="39" s="1"/>
  <c r="E102" i="39"/>
  <c r="J102" i="39" s="1"/>
  <c r="E101" i="39"/>
  <c r="J101" i="39" s="1"/>
  <c r="E100" i="39"/>
  <c r="J100" i="39" s="1"/>
  <c r="E99" i="39"/>
  <c r="J99" i="39" s="1"/>
  <c r="E98" i="39"/>
  <c r="J98" i="39" s="1"/>
  <c r="E97" i="39"/>
  <c r="J97" i="39" s="1"/>
  <c r="E96" i="39"/>
  <c r="J96" i="39" s="1"/>
  <c r="D34" i="39"/>
  <c r="L34" i="39"/>
  <c r="C33" i="33" s="1"/>
  <c r="D36" i="39"/>
  <c r="L36" i="39"/>
  <c r="C35" i="33" s="1"/>
  <c r="E35" i="33" s="1"/>
  <c r="F35" i="33" s="1"/>
  <c r="D38" i="39"/>
  <c r="L38" i="39"/>
  <c r="C37" i="33" s="1"/>
  <c r="D40" i="39"/>
  <c r="L40" i="39"/>
  <c r="C39" i="33" s="1"/>
  <c r="E39" i="33" s="1"/>
  <c r="F39" i="33" s="1"/>
  <c r="D42" i="39"/>
  <c r="L42" i="39"/>
  <c r="C41" i="33" s="1"/>
  <c r="D44" i="39"/>
  <c r="L44" i="39"/>
  <c r="C43" i="33" s="1"/>
  <c r="E43" i="33" s="1"/>
  <c r="F43" i="33" s="1"/>
  <c r="D46" i="39"/>
  <c r="L46" i="39"/>
  <c r="C45" i="33" s="1"/>
  <c r="D48" i="39"/>
  <c r="L48" i="39"/>
  <c r="C47" i="33" s="1"/>
  <c r="E47" i="33" s="1"/>
  <c r="F47" i="33" s="1"/>
  <c r="D50" i="39"/>
  <c r="L50" i="39"/>
  <c r="C49" i="33" s="1"/>
  <c r="D52" i="39"/>
  <c r="L52" i="39"/>
  <c r="C51" i="33" s="1"/>
  <c r="E51" i="33" s="1"/>
  <c r="F51" i="33" s="1"/>
  <c r="D54" i="39"/>
  <c r="L54" i="39"/>
  <c r="C53" i="33" s="1"/>
  <c r="D56" i="39"/>
  <c r="L56" i="39"/>
  <c r="C55" i="33" s="1"/>
  <c r="E55" i="33" s="1"/>
  <c r="F55" i="33" s="1"/>
  <c r="D58" i="39"/>
  <c r="L58" i="39"/>
  <c r="C57" i="33" s="1"/>
  <c r="D60" i="39"/>
  <c r="L60" i="39"/>
  <c r="C59" i="33" s="1"/>
  <c r="E59" i="33" s="1"/>
  <c r="F59" i="33" s="1"/>
  <c r="D62" i="39"/>
  <c r="L62" i="39"/>
  <c r="C61" i="33" s="1"/>
  <c r="D64" i="39"/>
  <c r="L64" i="39"/>
  <c r="C63" i="33" s="1"/>
  <c r="E63" i="33" s="1"/>
  <c r="F63" i="33" s="1"/>
  <c r="D66" i="39"/>
  <c r="L66" i="39"/>
  <c r="C65" i="33" s="1"/>
  <c r="D68" i="39"/>
  <c r="L68" i="39"/>
  <c r="C67" i="33" s="1"/>
  <c r="E67" i="33" s="1"/>
  <c r="F67" i="33" s="1"/>
  <c r="D70" i="39"/>
  <c r="L70" i="39"/>
  <c r="C69" i="33" s="1"/>
  <c r="D72" i="39"/>
  <c r="L72" i="39"/>
  <c r="C71" i="33" s="1"/>
  <c r="E71" i="33" s="1"/>
  <c r="F71" i="33" s="1"/>
  <c r="D74" i="39"/>
  <c r="L74" i="39"/>
  <c r="C73" i="33" s="1"/>
  <c r="I21" i="39"/>
  <c r="H22" i="39"/>
  <c r="D23" i="39"/>
  <c r="C8" i="42" s="1"/>
  <c r="C20" i="42"/>
  <c r="P20" i="42" s="1"/>
  <c r="I35" i="39"/>
  <c r="E35" i="39"/>
  <c r="J35" i="39" s="1"/>
  <c r="H35" i="39"/>
  <c r="C22" i="42"/>
  <c r="K22" i="42" s="1"/>
  <c r="I37" i="39"/>
  <c r="E37" i="39"/>
  <c r="J37" i="39" s="1"/>
  <c r="H37" i="39"/>
  <c r="C24" i="42"/>
  <c r="P24" i="42" s="1"/>
  <c r="I39" i="39"/>
  <c r="E39" i="39"/>
  <c r="J39" i="39" s="1"/>
  <c r="H39" i="39"/>
  <c r="C26" i="42"/>
  <c r="O26" i="42" s="1"/>
  <c r="I41" i="39"/>
  <c r="E41" i="39"/>
  <c r="J41" i="39" s="1"/>
  <c r="H41" i="39"/>
  <c r="C28" i="42"/>
  <c r="K28" i="42" s="1"/>
  <c r="I43" i="39"/>
  <c r="E43" i="39"/>
  <c r="J43" i="39" s="1"/>
  <c r="H43" i="39"/>
  <c r="C30" i="42"/>
  <c r="O30" i="42" s="1"/>
  <c r="I45" i="39"/>
  <c r="E45" i="39"/>
  <c r="J45" i="39" s="1"/>
  <c r="H45" i="39"/>
  <c r="C32" i="42"/>
  <c r="I32" i="42" s="1"/>
  <c r="I47" i="39"/>
  <c r="E47" i="39"/>
  <c r="J47" i="39" s="1"/>
  <c r="H47" i="39"/>
  <c r="C34" i="42"/>
  <c r="P34" i="42" s="1"/>
  <c r="I49" i="39"/>
  <c r="E49" i="39"/>
  <c r="J49" i="39" s="1"/>
  <c r="H49" i="39"/>
  <c r="C36" i="42"/>
  <c r="P36" i="42" s="1"/>
  <c r="I51" i="39"/>
  <c r="E51" i="39"/>
  <c r="J51" i="39" s="1"/>
  <c r="H51" i="39"/>
  <c r="C38" i="42"/>
  <c r="O38" i="42" s="1"/>
  <c r="I53" i="39"/>
  <c r="E53" i="39"/>
  <c r="J53" i="39" s="1"/>
  <c r="H53" i="39"/>
  <c r="C40" i="42"/>
  <c r="O40" i="42" s="1"/>
  <c r="I55" i="39"/>
  <c r="E55" i="39"/>
  <c r="J55" i="39" s="1"/>
  <c r="H55" i="39"/>
  <c r="C42" i="42"/>
  <c r="M42" i="42" s="1"/>
  <c r="I57" i="39"/>
  <c r="E57" i="39"/>
  <c r="J57" i="39" s="1"/>
  <c r="H57" i="39"/>
  <c r="C44" i="42"/>
  <c r="M44" i="42" s="1"/>
  <c r="I59" i="39"/>
  <c r="E59" i="39"/>
  <c r="J59" i="39" s="1"/>
  <c r="H59" i="39"/>
  <c r="C46" i="42"/>
  <c r="P46" i="42" s="1"/>
  <c r="I61" i="39"/>
  <c r="E61" i="39"/>
  <c r="J61" i="39" s="1"/>
  <c r="H61" i="39"/>
  <c r="C48" i="42"/>
  <c r="P48" i="42" s="1"/>
  <c r="I63" i="39"/>
  <c r="E63" i="39"/>
  <c r="J63" i="39" s="1"/>
  <c r="H63" i="39"/>
  <c r="C50" i="42"/>
  <c r="J50" i="42" s="1"/>
  <c r="I65" i="39"/>
  <c r="E65" i="39"/>
  <c r="J65" i="39" s="1"/>
  <c r="H65" i="39"/>
  <c r="C52" i="42"/>
  <c r="M52" i="42" s="1"/>
  <c r="I67" i="39"/>
  <c r="E67" i="39"/>
  <c r="J67" i="39" s="1"/>
  <c r="H67" i="39"/>
  <c r="C54" i="42"/>
  <c r="M54" i="42" s="1"/>
  <c r="I69" i="39"/>
  <c r="E69" i="39"/>
  <c r="J69" i="39" s="1"/>
  <c r="H69" i="39"/>
  <c r="C56" i="42"/>
  <c r="K56" i="42" s="1"/>
  <c r="I71" i="39"/>
  <c r="E71" i="39"/>
  <c r="J71" i="39" s="1"/>
  <c r="H71" i="39"/>
  <c r="C58" i="42"/>
  <c r="M58" i="42" s="1"/>
  <c r="I73" i="39"/>
  <c r="E73" i="39"/>
  <c r="J73" i="39" s="1"/>
  <c r="H73" i="39"/>
  <c r="C60" i="42"/>
  <c r="K60" i="42" s="1"/>
  <c r="G75" i="39"/>
  <c r="I75" i="39"/>
  <c r="E75" i="39"/>
  <c r="J75" i="39" s="1"/>
  <c r="L75" i="39"/>
  <c r="C74" i="33" s="1"/>
  <c r="D21" i="39"/>
  <c r="C6" i="42" s="1"/>
  <c r="D22" i="39"/>
  <c r="C7" i="42" s="1"/>
  <c r="H23" i="39"/>
  <c r="G34" i="39"/>
  <c r="D35" i="39"/>
  <c r="L35" i="39"/>
  <c r="C34" i="33" s="1"/>
  <c r="E34" i="33" s="1"/>
  <c r="F34" i="33" s="1"/>
  <c r="G36" i="39"/>
  <c r="D37" i="39"/>
  <c r="L37" i="39"/>
  <c r="C36" i="33" s="1"/>
  <c r="G38" i="39"/>
  <c r="D39" i="39"/>
  <c r="L39" i="39"/>
  <c r="C38" i="33" s="1"/>
  <c r="G40" i="39"/>
  <c r="D41" i="39"/>
  <c r="L41" i="39"/>
  <c r="C40" i="33" s="1"/>
  <c r="G42" i="39"/>
  <c r="D43" i="39"/>
  <c r="L43" i="39"/>
  <c r="C42" i="33" s="1"/>
  <c r="E42" i="33" s="1"/>
  <c r="F42" i="33" s="1"/>
  <c r="G44" i="39"/>
  <c r="D45" i="39"/>
  <c r="L45" i="39"/>
  <c r="C44" i="33" s="1"/>
  <c r="G46" i="39"/>
  <c r="D47" i="39"/>
  <c r="L47" i="39"/>
  <c r="C46" i="33" s="1"/>
  <c r="G48" i="39"/>
  <c r="D49" i="39"/>
  <c r="L49" i="39"/>
  <c r="C48" i="33" s="1"/>
  <c r="G50" i="39"/>
  <c r="D51" i="39"/>
  <c r="L51" i="39"/>
  <c r="C50" i="33" s="1"/>
  <c r="E50" i="33" s="1"/>
  <c r="F50" i="33" s="1"/>
  <c r="G52" i="39"/>
  <c r="D53" i="39"/>
  <c r="L53" i="39"/>
  <c r="C52" i="33" s="1"/>
  <c r="G54" i="39"/>
  <c r="D55" i="39"/>
  <c r="L55" i="39"/>
  <c r="C54" i="33" s="1"/>
  <c r="G56" i="39"/>
  <c r="D57" i="39"/>
  <c r="L57" i="39"/>
  <c r="C56" i="33" s="1"/>
  <c r="G58" i="39"/>
  <c r="D59" i="39"/>
  <c r="L59" i="39"/>
  <c r="C58" i="33" s="1"/>
  <c r="E58" i="33" s="1"/>
  <c r="F58" i="33" s="1"/>
  <c r="G60" i="39"/>
  <c r="D61" i="39"/>
  <c r="L61" i="39"/>
  <c r="C60" i="33" s="1"/>
  <c r="G62" i="39"/>
  <c r="D63" i="39"/>
  <c r="L63" i="39"/>
  <c r="C62" i="33" s="1"/>
  <c r="G64" i="39"/>
  <c r="D65" i="39"/>
  <c r="L65" i="39"/>
  <c r="C64" i="33" s="1"/>
  <c r="G66" i="39"/>
  <c r="D67" i="39"/>
  <c r="L67" i="39"/>
  <c r="C66" i="33" s="1"/>
  <c r="E66" i="33" s="1"/>
  <c r="F66" i="33" s="1"/>
  <c r="G68" i="39"/>
  <c r="D69" i="39"/>
  <c r="L69" i="39"/>
  <c r="C68" i="33" s="1"/>
  <c r="G70" i="39"/>
  <c r="D71" i="39"/>
  <c r="L71" i="39"/>
  <c r="C70" i="33" s="1"/>
  <c r="G72" i="39"/>
  <c r="D73" i="39"/>
  <c r="L73" i="39"/>
  <c r="C72" i="33" s="1"/>
  <c r="G74" i="39"/>
  <c r="D75" i="39"/>
  <c r="G176" i="39"/>
  <c r="G184" i="39"/>
  <c r="C5" i="42"/>
  <c r="O5" i="42" s="1"/>
  <c r="L20" i="39"/>
  <c r="C19" i="33" s="1"/>
  <c r="E76" i="39"/>
  <c r="J76" i="39" s="1"/>
  <c r="I76" i="39"/>
  <c r="E77" i="39"/>
  <c r="J77" i="39" s="1"/>
  <c r="I77" i="39"/>
  <c r="E78" i="39"/>
  <c r="J78" i="39" s="1"/>
  <c r="I78" i="39"/>
  <c r="E79" i="39"/>
  <c r="J79" i="39" s="1"/>
  <c r="I79" i="39"/>
  <c r="E80" i="39"/>
  <c r="J80" i="39" s="1"/>
  <c r="I80" i="39"/>
  <c r="E81" i="39"/>
  <c r="J81" i="39" s="1"/>
  <c r="I81" i="39"/>
  <c r="E82" i="39"/>
  <c r="J82" i="39" s="1"/>
  <c r="I82" i="39"/>
  <c r="E83" i="39"/>
  <c r="J83" i="39" s="1"/>
  <c r="I83" i="39"/>
  <c r="E84" i="39"/>
  <c r="J84" i="39" s="1"/>
  <c r="I84" i="39"/>
  <c r="E85" i="39"/>
  <c r="J85" i="39" s="1"/>
  <c r="I85" i="39"/>
  <c r="E86" i="39"/>
  <c r="J86" i="39" s="1"/>
  <c r="I86" i="39"/>
  <c r="E87" i="39"/>
  <c r="J87" i="39" s="1"/>
  <c r="I87" i="39"/>
  <c r="E88" i="39"/>
  <c r="J88" i="39" s="1"/>
  <c r="I88" i="39"/>
  <c r="E89" i="39"/>
  <c r="J89" i="39" s="1"/>
  <c r="I89" i="39"/>
  <c r="E90" i="39"/>
  <c r="J90" i="39" s="1"/>
  <c r="I90" i="39"/>
  <c r="E91" i="39"/>
  <c r="J91" i="39" s="1"/>
  <c r="I91" i="39"/>
  <c r="E92" i="39"/>
  <c r="J92" i="39" s="1"/>
  <c r="I92" i="39"/>
  <c r="E93" i="39"/>
  <c r="J93" i="39" s="1"/>
  <c r="I93" i="39"/>
  <c r="E94" i="39"/>
  <c r="J94" i="39" s="1"/>
  <c r="I94" i="39"/>
  <c r="E95" i="39"/>
  <c r="J95" i="39" s="1"/>
  <c r="I95" i="39"/>
  <c r="G178" i="39"/>
  <c r="G186" i="39"/>
  <c r="C187" i="42"/>
  <c r="P187" i="42" s="1"/>
  <c r="I202" i="39"/>
  <c r="E202" i="39"/>
  <c r="J202" i="39" s="1"/>
  <c r="L202" i="39"/>
  <c r="C201" i="33" s="1"/>
  <c r="D202" i="39"/>
  <c r="G202" i="39"/>
  <c r="H202" i="39"/>
  <c r="F202" i="39"/>
  <c r="C195" i="42"/>
  <c r="L195" i="42" s="1"/>
  <c r="I210" i="39"/>
  <c r="E210" i="39"/>
  <c r="J210" i="39" s="1"/>
  <c r="L210" i="39"/>
  <c r="C209" i="33" s="1"/>
  <c r="D210" i="39"/>
  <c r="G210" i="39"/>
  <c r="H210" i="39"/>
  <c r="F210" i="39"/>
  <c r="G180" i="39"/>
  <c r="G188" i="39"/>
  <c r="G76" i="39"/>
  <c r="G77" i="39"/>
  <c r="G78" i="39"/>
  <c r="G79" i="39"/>
  <c r="G80" i="39"/>
  <c r="G81" i="39"/>
  <c r="G82" i="39"/>
  <c r="G83" i="39"/>
  <c r="G84" i="39"/>
  <c r="G85" i="39"/>
  <c r="G86" i="39"/>
  <c r="G87" i="39"/>
  <c r="G88" i="39"/>
  <c r="G89" i="39"/>
  <c r="G90" i="39"/>
  <c r="G91" i="39"/>
  <c r="G92" i="39"/>
  <c r="G93" i="39"/>
  <c r="G94" i="39"/>
  <c r="G95" i="39"/>
  <c r="G96" i="39"/>
  <c r="G97" i="39"/>
  <c r="G98" i="39"/>
  <c r="G99" i="39"/>
  <c r="G100" i="39"/>
  <c r="G101" i="39"/>
  <c r="G102" i="39"/>
  <c r="G103" i="39"/>
  <c r="G104" i="39"/>
  <c r="G105" i="39"/>
  <c r="G106" i="39"/>
  <c r="G107" i="39"/>
  <c r="C93" i="42"/>
  <c r="I108" i="39"/>
  <c r="E108" i="39"/>
  <c r="J108" i="39" s="1"/>
  <c r="H108" i="39"/>
  <c r="D108" i="39"/>
  <c r="C94" i="42"/>
  <c r="I109" i="39"/>
  <c r="E109" i="39"/>
  <c r="J109" i="39" s="1"/>
  <c r="H109" i="39"/>
  <c r="D109" i="39"/>
  <c r="C95" i="42"/>
  <c r="M95" i="42" s="1"/>
  <c r="I110" i="39"/>
  <c r="E110" i="39"/>
  <c r="J110" i="39" s="1"/>
  <c r="H110" i="39"/>
  <c r="D110" i="39"/>
  <c r="C96" i="42"/>
  <c r="I111" i="39"/>
  <c r="E111" i="39"/>
  <c r="J111" i="39" s="1"/>
  <c r="H111" i="39"/>
  <c r="D111" i="39"/>
  <c r="C97" i="42"/>
  <c r="I112" i="39"/>
  <c r="E112" i="39"/>
  <c r="J112" i="39" s="1"/>
  <c r="H112" i="39"/>
  <c r="D112" i="39"/>
  <c r="C98" i="42"/>
  <c r="J98" i="42" s="1"/>
  <c r="I113" i="39"/>
  <c r="E113" i="39"/>
  <c r="J113" i="39" s="1"/>
  <c r="H113" i="39"/>
  <c r="D113" i="39"/>
  <c r="C99" i="42"/>
  <c r="K99" i="42" s="1"/>
  <c r="I114" i="39"/>
  <c r="E114" i="39"/>
  <c r="J114" i="39" s="1"/>
  <c r="H114" i="39"/>
  <c r="D114" i="39"/>
  <c r="C100" i="42"/>
  <c r="J100" i="42" s="1"/>
  <c r="I115" i="39"/>
  <c r="E115" i="39"/>
  <c r="J115" i="39" s="1"/>
  <c r="H115" i="39"/>
  <c r="D115" i="39"/>
  <c r="C101" i="42"/>
  <c r="J101" i="42" s="1"/>
  <c r="I116" i="39"/>
  <c r="E116" i="39"/>
  <c r="J116" i="39" s="1"/>
  <c r="H116" i="39"/>
  <c r="D116" i="39"/>
  <c r="C102" i="42"/>
  <c r="K102" i="42" s="1"/>
  <c r="I117" i="39"/>
  <c r="E117" i="39"/>
  <c r="J117" i="39" s="1"/>
  <c r="H117" i="39"/>
  <c r="D117" i="39"/>
  <c r="C103" i="42"/>
  <c r="M103" i="42" s="1"/>
  <c r="I118" i="39"/>
  <c r="E118" i="39"/>
  <c r="J118" i="39" s="1"/>
  <c r="H118" i="39"/>
  <c r="D118" i="39"/>
  <c r="C104" i="42"/>
  <c r="L104" i="42" s="1"/>
  <c r="I119" i="39"/>
  <c r="E119" i="39"/>
  <c r="J119" i="39" s="1"/>
  <c r="H119" i="39"/>
  <c r="D119" i="39"/>
  <c r="C105" i="42"/>
  <c r="L105" i="42" s="1"/>
  <c r="I120" i="39"/>
  <c r="E120" i="39"/>
  <c r="J120" i="39" s="1"/>
  <c r="H120" i="39"/>
  <c r="D120" i="39"/>
  <c r="C106" i="42"/>
  <c r="O106" i="42" s="1"/>
  <c r="I121" i="39"/>
  <c r="E121" i="39"/>
  <c r="J121" i="39" s="1"/>
  <c r="H121" i="39"/>
  <c r="D121" i="39"/>
  <c r="C107" i="42"/>
  <c r="O107" i="42" s="1"/>
  <c r="I122" i="39"/>
  <c r="E122" i="39"/>
  <c r="J122" i="39" s="1"/>
  <c r="H122" i="39"/>
  <c r="D122" i="39"/>
  <c r="C108" i="42"/>
  <c r="I123" i="39"/>
  <c r="E123" i="39"/>
  <c r="J123" i="39" s="1"/>
  <c r="H123" i="39"/>
  <c r="D123" i="39"/>
  <c r="C109" i="42"/>
  <c r="L109" i="42" s="1"/>
  <c r="I124" i="39"/>
  <c r="E124" i="39"/>
  <c r="J124" i="39" s="1"/>
  <c r="H124" i="39"/>
  <c r="D124" i="39"/>
  <c r="C110" i="42"/>
  <c r="P110" i="42" s="1"/>
  <c r="I125" i="39"/>
  <c r="E125" i="39"/>
  <c r="J125" i="39" s="1"/>
  <c r="H125" i="39"/>
  <c r="D125" i="39"/>
  <c r="C111" i="42"/>
  <c r="P111" i="42" s="1"/>
  <c r="I126" i="39"/>
  <c r="E126" i="39"/>
  <c r="J126" i="39" s="1"/>
  <c r="H126" i="39"/>
  <c r="D126" i="39"/>
  <c r="C112" i="42"/>
  <c r="O112" i="42" s="1"/>
  <c r="I127" i="39"/>
  <c r="E127" i="39"/>
  <c r="J127" i="39" s="1"/>
  <c r="H127" i="39"/>
  <c r="D127" i="39"/>
  <c r="C113" i="42"/>
  <c r="P113" i="42" s="1"/>
  <c r="I128" i="39"/>
  <c r="E128" i="39"/>
  <c r="J128" i="39" s="1"/>
  <c r="H128" i="39"/>
  <c r="D128" i="39"/>
  <c r="C114" i="42"/>
  <c r="O114" i="42" s="1"/>
  <c r="I129" i="39"/>
  <c r="E129" i="39"/>
  <c r="J129" i="39" s="1"/>
  <c r="H129" i="39"/>
  <c r="D129" i="39"/>
  <c r="C115" i="42"/>
  <c r="I130" i="39"/>
  <c r="E130" i="39"/>
  <c r="J130" i="39" s="1"/>
  <c r="H130" i="39"/>
  <c r="D130" i="39"/>
  <c r="C116" i="42"/>
  <c r="I116" i="42" s="1"/>
  <c r="I131" i="39"/>
  <c r="E131" i="39"/>
  <c r="J131" i="39" s="1"/>
  <c r="H131" i="39"/>
  <c r="D131" i="39"/>
  <c r="C117" i="42"/>
  <c r="I117" i="42" s="1"/>
  <c r="I132" i="39"/>
  <c r="E132" i="39"/>
  <c r="J132" i="39" s="1"/>
  <c r="H132" i="39"/>
  <c r="D132" i="39"/>
  <c r="C118" i="42"/>
  <c r="L118" i="42" s="1"/>
  <c r="I133" i="39"/>
  <c r="E133" i="39"/>
  <c r="J133" i="39" s="1"/>
  <c r="H133" i="39"/>
  <c r="D133" i="39"/>
  <c r="C119" i="42"/>
  <c r="N119" i="42" s="1"/>
  <c r="I134" i="39"/>
  <c r="E134" i="39"/>
  <c r="J134" i="39" s="1"/>
  <c r="H134" i="39"/>
  <c r="D134" i="39"/>
  <c r="C120" i="42"/>
  <c r="P120" i="42" s="1"/>
  <c r="I135" i="39"/>
  <c r="E135" i="39"/>
  <c r="J135" i="39" s="1"/>
  <c r="H135" i="39"/>
  <c r="D135" i="39"/>
  <c r="C121" i="42"/>
  <c r="K121" i="42" s="1"/>
  <c r="I136" i="39"/>
  <c r="E136" i="39"/>
  <c r="J136" i="39" s="1"/>
  <c r="H136" i="39"/>
  <c r="D136" i="39"/>
  <c r="C122" i="42"/>
  <c r="I137" i="39"/>
  <c r="E137" i="39"/>
  <c r="J137" i="39" s="1"/>
  <c r="H137" i="39"/>
  <c r="D137" i="39"/>
  <c r="C123" i="42"/>
  <c r="K123" i="42" s="1"/>
  <c r="I138" i="39"/>
  <c r="E138" i="39"/>
  <c r="J138" i="39" s="1"/>
  <c r="H138" i="39"/>
  <c r="D138" i="39"/>
  <c r="C124" i="42"/>
  <c r="P124" i="42" s="1"/>
  <c r="I139" i="39"/>
  <c r="E139" i="39"/>
  <c r="J139" i="39" s="1"/>
  <c r="H139" i="39"/>
  <c r="D139" i="39"/>
  <c r="C125" i="42"/>
  <c r="N125" i="42" s="1"/>
  <c r="I140" i="39"/>
  <c r="E140" i="39"/>
  <c r="J140" i="39" s="1"/>
  <c r="H140" i="39"/>
  <c r="D140" i="39"/>
  <c r="C126" i="42"/>
  <c r="O126" i="42" s="1"/>
  <c r="I141" i="39"/>
  <c r="E141" i="39"/>
  <c r="J141" i="39" s="1"/>
  <c r="H141" i="39"/>
  <c r="D141" i="39"/>
  <c r="C127" i="42"/>
  <c r="L127" i="42" s="1"/>
  <c r="I142" i="39"/>
  <c r="E142" i="39"/>
  <c r="J142" i="39" s="1"/>
  <c r="H142" i="39"/>
  <c r="D142" i="39"/>
  <c r="C128" i="42"/>
  <c r="I128" i="42" s="1"/>
  <c r="I143" i="39"/>
  <c r="E143" i="39"/>
  <c r="J143" i="39" s="1"/>
  <c r="H143" i="39"/>
  <c r="D143" i="39"/>
  <c r="C129" i="42"/>
  <c r="K129" i="42" s="1"/>
  <c r="I144" i="39"/>
  <c r="E144" i="39"/>
  <c r="J144" i="39" s="1"/>
  <c r="H144" i="39"/>
  <c r="D144" i="39"/>
  <c r="C130" i="42"/>
  <c r="I130" i="42" s="1"/>
  <c r="I145" i="39"/>
  <c r="E145" i="39"/>
  <c r="J145" i="39" s="1"/>
  <c r="H145" i="39"/>
  <c r="D145" i="39"/>
  <c r="C131" i="42"/>
  <c r="O131" i="42" s="1"/>
  <c r="I146" i="39"/>
  <c r="E146" i="39"/>
  <c r="J146" i="39" s="1"/>
  <c r="H146" i="39"/>
  <c r="D146" i="39"/>
  <c r="C132" i="42"/>
  <c r="J132" i="42" s="1"/>
  <c r="I147" i="39"/>
  <c r="E147" i="39"/>
  <c r="J147" i="39" s="1"/>
  <c r="H147" i="39"/>
  <c r="D147" i="39"/>
  <c r="C133" i="42"/>
  <c r="K133" i="42" s="1"/>
  <c r="I148" i="39"/>
  <c r="E148" i="39"/>
  <c r="J148" i="39" s="1"/>
  <c r="H148" i="39"/>
  <c r="D148" i="39"/>
  <c r="C134" i="42"/>
  <c r="I149" i="39"/>
  <c r="E149" i="39"/>
  <c r="J149" i="39" s="1"/>
  <c r="H149" i="39"/>
  <c r="D149" i="39"/>
  <c r="C135" i="42"/>
  <c r="I150" i="39"/>
  <c r="E150" i="39"/>
  <c r="J150" i="39" s="1"/>
  <c r="H150" i="39"/>
  <c r="D150" i="39"/>
  <c r="C136" i="42"/>
  <c r="I151" i="39"/>
  <c r="E151" i="39"/>
  <c r="J151" i="39" s="1"/>
  <c r="H151" i="39"/>
  <c r="D151" i="39"/>
  <c r="C137" i="42"/>
  <c r="O137" i="42" s="1"/>
  <c r="I152" i="39"/>
  <c r="E152" i="39"/>
  <c r="J152" i="39" s="1"/>
  <c r="H152" i="39"/>
  <c r="D152" i="39"/>
  <c r="C138" i="42"/>
  <c r="I153" i="39"/>
  <c r="E153" i="39"/>
  <c r="J153" i="39" s="1"/>
  <c r="H153" i="39"/>
  <c r="D153" i="39"/>
  <c r="C139" i="42"/>
  <c r="P139" i="42" s="1"/>
  <c r="I154" i="39"/>
  <c r="E154" i="39"/>
  <c r="J154" i="39" s="1"/>
  <c r="H154" i="39"/>
  <c r="D154" i="39"/>
  <c r="G174" i="39"/>
  <c r="G182" i="39"/>
  <c r="C183" i="42"/>
  <c r="I183" i="42" s="1"/>
  <c r="I198" i="39"/>
  <c r="E198" i="39"/>
  <c r="J198" i="39" s="1"/>
  <c r="L198" i="39"/>
  <c r="C197" i="33" s="1"/>
  <c r="E197" i="33" s="1"/>
  <c r="F197" i="33" s="1"/>
  <c r="D198" i="39"/>
  <c r="G198" i="39"/>
  <c r="H198" i="39"/>
  <c r="F198" i="39"/>
  <c r="C191" i="42"/>
  <c r="P191" i="42" s="1"/>
  <c r="I206" i="39"/>
  <c r="E206" i="39"/>
  <c r="J206" i="39" s="1"/>
  <c r="L206" i="39"/>
  <c r="C205" i="33" s="1"/>
  <c r="E205" i="33" s="1"/>
  <c r="F205" i="33" s="1"/>
  <c r="D206" i="39"/>
  <c r="G206" i="39"/>
  <c r="H206" i="39"/>
  <c r="F206" i="39"/>
  <c r="C199" i="42"/>
  <c r="J199" i="42" s="1"/>
  <c r="I214" i="39"/>
  <c r="E214" i="39"/>
  <c r="J214" i="39" s="1"/>
  <c r="L214" i="39"/>
  <c r="C213" i="33" s="1"/>
  <c r="E213" i="33" s="1"/>
  <c r="F213" i="33" s="1"/>
  <c r="D214" i="39"/>
  <c r="H214" i="39"/>
  <c r="G214" i="39"/>
  <c r="F214" i="39"/>
  <c r="C140" i="42"/>
  <c r="G155" i="39"/>
  <c r="C141" i="42"/>
  <c r="K141" i="42" s="1"/>
  <c r="G156" i="39"/>
  <c r="C142" i="42"/>
  <c r="G157" i="39"/>
  <c r="C143" i="42"/>
  <c r="M143" i="42" s="1"/>
  <c r="G158" i="39"/>
  <c r="C144" i="42"/>
  <c r="O144" i="42" s="1"/>
  <c r="G159" i="39"/>
  <c r="C145" i="42"/>
  <c r="I145" i="42" s="1"/>
  <c r="G160" i="39"/>
  <c r="C146" i="42"/>
  <c r="G161" i="39"/>
  <c r="C147" i="42"/>
  <c r="G162" i="39"/>
  <c r="C148" i="42"/>
  <c r="K148" i="42" s="1"/>
  <c r="G163" i="39"/>
  <c r="C149" i="42"/>
  <c r="O149" i="42" s="1"/>
  <c r="G164" i="39"/>
  <c r="C150" i="42"/>
  <c r="L150" i="42" s="1"/>
  <c r="G165" i="39"/>
  <c r="C151" i="42"/>
  <c r="O151" i="42" s="1"/>
  <c r="G166" i="39"/>
  <c r="C152" i="42"/>
  <c r="G167" i="39"/>
  <c r="C153" i="42"/>
  <c r="J153" i="42" s="1"/>
  <c r="G168" i="39"/>
  <c r="C154" i="42"/>
  <c r="N154" i="42" s="1"/>
  <c r="G169" i="39"/>
  <c r="C155" i="42"/>
  <c r="L155" i="42" s="1"/>
  <c r="G170" i="39"/>
  <c r="C156" i="42"/>
  <c r="J156" i="42" s="1"/>
  <c r="G171" i="39"/>
  <c r="C157" i="42"/>
  <c r="G172" i="39"/>
  <c r="C158" i="42"/>
  <c r="N158" i="42" s="1"/>
  <c r="I173" i="39"/>
  <c r="E173" i="39"/>
  <c r="J173" i="39" s="1"/>
  <c r="H173" i="39"/>
  <c r="C160" i="42"/>
  <c r="I175" i="39"/>
  <c r="E175" i="39"/>
  <c r="J175" i="39" s="1"/>
  <c r="H175" i="39"/>
  <c r="C162" i="42"/>
  <c r="O162" i="42" s="1"/>
  <c r="I177" i="39"/>
  <c r="E177" i="39"/>
  <c r="J177" i="39" s="1"/>
  <c r="H177" i="39"/>
  <c r="C164" i="42"/>
  <c r="P164" i="42" s="1"/>
  <c r="I179" i="39"/>
  <c r="E179" i="39"/>
  <c r="J179" i="39" s="1"/>
  <c r="H179" i="39"/>
  <c r="C166" i="42"/>
  <c r="L166" i="42" s="1"/>
  <c r="I181" i="39"/>
  <c r="E181" i="39"/>
  <c r="J181" i="39" s="1"/>
  <c r="H181" i="39"/>
  <c r="C168" i="42"/>
  <c r="I183" i="39"/>
  <c r="E183" i="39"/>
  <c r="J183" i="39" s="1"/>
  <c r="H183" i="39"/>
  <c r="C170" i="42"/>
  <c r="L170" i="42" s="1"/>
  <c r="I185" i="39"/>
  <c r="E185" i="39"/>
  <c r="J185" i="39" s="1"/>
  <c r="H185" i="39"/>
  <c r="C172" i="42"/>
  <c r="I187" i="39"/>
  <c r="E187" i="39"/>
  <c r="J187" i="39" s="1"/>
  <c r="H187" i="39"/>
  <c r="C174" i="42"/>
  <c r="I189" i="39"/>
  <c r="E189" i="39"/>
  <c r="J189" i="39" s="1"/>
  <c r="H189" i="39"/>
  <c r="C182" i="42"/>
  <c r="O182" i="42" s="1"/>
  <c r="I197" i="39"/>
  <c r="E197" i="39"/>
  <c r="J197" i="39" s="1"/>
  <c r="G197" i="39"/>
  <c r="L197" i="39"/>
  <c r="C196" i="33" s="1"/>
  <c r="D197" i="39"/>
  <c r="C186" i="42"/>
  <c r="J186" i="42" s="1"/>
  <c r="I201" i="39"/>
  <c r="E201" i="39"/>
  <c r="J201" i="39" s="1"/>
  <c r="G201" i="39"/>
  <c r="L201" i="39"/>
  <c r="C200" i="33" s="1"/>
  <c r="D201" i="39"/>
  <c r="C190" i="42"/>
  <c r="N190" i="42" s="1"/>
  <c r="I205" i="39"/>
  <c r="E205" i="39"/>
  <c r="J205" i="39" s="1"/>
  <c r="G205" i="39"/>
  <c r="L205" i="39"/>
  <c r="C204" i="33" s="1"/>
  <c r="D205" i="39"/>
  <c r="C194" i="42"/>
  <c r="N194" i="42" s="1"/>
  <c r="I209" i="39"/>
  <c r="E209" i="39"/>
  <c r="J209" i="39" s="1"/>
  <c r="G209" i="39"/>
  <c r="L209" i="39"/>
  <c r="C208" i="33" s="1"/>
  <c r="D209" i="39"/>
  <c r="C198" i="42"/>
  <c r="I213" i="39"/>
  <c r="E213" i="39"/>
  <c r="J213" i="39" s="1"/>
  <c r="G213" i="39"/>
  <c r="L213" i="39"/>
  <c r="C212" i="33" s="1"/>
  <c r="D213" i="39"/>
  <c r="D155" i="39"/>
  <c r="H155" i="39"/>
  <c r="D156" i="39"/>
  <c r="H156" i="39"/>
  <c r="D157" i="39"/>
  <c r="H157" i="39"/>
  <c r="D158" i="39"/>
  <c r="H158" i="39"/>
  <c r="D159" i="39"/>
  <c r="H159" i="39"/>
  <c r="D160" i="39"/>
  <c r="H160" i="39"/>
  <c r="D161" i="39"/>
  <c r="H161" i="39"/>
  <c r="D162" i="39"/>
  <c r="H162" i="39"/>
  <c r="D163" i="39"/>
  <c r="H163" i="39"/>
  <c r="D164" i="39"/>
  <c r="H164" i="39"/>
  <c r="D165" i="39"/>
  <c r="H165" i="39"/>
  <c r="D166" i="39"/>
  <c r="H166" i="39"/>
  <c r="D167" i="39"/>
  <c r="H167" i="39"/>
  <c r="D168" i="39"/>
  <c r="H168" i="39"/>
  <c r="D169" i="39"/>
  <c r="H169" i="39"/>
  <c r="D170" i="39"/>
  <c r="H170" i="39"/>
  <c r="D171" i="39"/>
  <c r="H171" i="39"/>
  <c r="D172" i="39"/>
  <c r="H172" i="39"/>
  <c r="D173" i="39"/>
  <c r="L173" i="39"/>
  <c r="C172" i="33" s="1"/>
  <c r="E172" i="33" s="1"/>
  <c r="F172" i="33" s="1"/>
  <c r="D175" i="39"/>
  <c r="L175" i="39"/>
  <c r="C174" i="33" s="1"/>
  <c r="D177" i="39"/>
  <c r="L177" i="39"/>
  <c r="C176" i="33" s="1"/>
  <c r="E176" i="33" s="1"/>
  <c r="F176" i="33" s="1"/>
  <c r="D179" i="39"/>
  <c r="L179" i="39"/>
  <c r="C178" i="33" s="1"/>
  <c r="D181" i="39"/>
  <c r="L181" i="39"/>
  <c r="C180" i="33" s="1"/>
  <c r="E180" i="33" s="1"/>
  <c r="F180" i="33" s="1"/>
  <c r="D183" i="39"/>
  <c r="L183" i="39"/>
  <c r="C182" i="33" s="1"/>
  <c r="D185" i="39"/>
  <c r="L185" i="39"/>
  <c r="C184" i="33" s="1"/>
  <c r="E184" i="33" s="1"/>
  <c r="F184" i="33" s="1"/>
  <c r="D187" i="39"/>
  <c r="L187" i="39"/>
  <c r="C186" i="33" s="1"/>
  <c r="D189" i="39"/>
  <c r="L189" i="39"/>
  <c r="C188" i="33" s="1"/>
  <c r="E188" i="33" s="1"/>
  <c r="F188" i="33" s="1"/>
  <c r="F197" i="39"/>
  <c r="C185" i="42"/>
  <c r="O185" i="42" s="1"/>
  <c r="I200" i="39"/>
  <c r="E200" i="39"/>
  <c r="J200" i="39" s="1"/>
  <c r="L200" i="39"/>
  <c r="C199" i="33" s="1"/>
  <c r="D200" i="39"/>
  <c r="G200" i="39"/>
  <c r="F201" i="39"/>
  <c r="C189" i="42"/>
  <c r="I204" i="39"/>
  <c r="E204" i="39"/>
  <c r="J204" i="39" s="1"/>
  <c r="L204" i="39"/>
  <c r="C203" i="33" s="1"/>
  <c r="E203" i="33" s="1"/>
  <c r="F203" i="33" s="1"/>
  <c r="D204" i="39"/>
  <c r="G204" i="39"/>
  <c r="F205" i="39"/>
  <c r="C193" i="42"/>
  <c r="J193" i="42" s="1"/>
  <c r="I208" i="39"/>
  <c r="E208" i="39"/>
  <c r="J208" i="39" s="1"/>
  <c r="L208" i="39"/>
  <c r="C207" i="33" s="1"/>
  <c r="D208" i="39"/>
  <c r="G208" i="39"/>
  <c r="F209" i="39"/>
  <c r="C197" i="42"/>
  <c r="K197" i="42" s="1"/>
  <c r="I212" i="39"/>
  <c r="E212" i="39"/>
  <c r="J212" i="39" s="1"/>
  <c r="L212" i="39"/>
  <c r="C211" i="33" s="1"/>
  <c r="D212" i="39"/>
  <c r="G212" i="39"/>
  <c r="F213" i="39"/>
  <c r="C200" i="42"/>
  <c r="N200" i="42" s="1"/>
  <c r="I215" i="39"/>
  <c r="E215" i="39"/>
  <c r="J215" i="39" s="1"/>
  <c r="G215" i="39"/>
  <c r="F215" i="39"/>
  <c r="L215" i="39"/>
  <c r="C214" i="33" s="1"/>
  <c r="D215" i="39"/>
  <c r="E155" i="39"/>
  <c r="J155" i="39" s="1"/>
  <c r="I155" i="39"/>
  <c r="E156" i="39"/>
  <c r="J156" i="39" s="1"/>
  <c r="I156" i="39"/>
  <c r="E157" i="39"/>
  <c r="J157" i="39" s="1"/>
  <c r="I157" i="39"/>
  <c r="E158" i="39"/>
  <c r="J158" i="39" s="1"/>
  <c r="I158" i="39"/>
  <c r="E159" i="39"/>
  <c r="J159" i="39" s="1"/>
  <c r="I159" i="39"/>
  <c r="E160" i="39"/>
  <c r="J160" i="39" s="1"/>
  <c r="I160" i="39"/>
  <c r="E161" i="39"/>
  <c r="J161" i="39" s="1"/>
  <c r="I161" i="39"/>
  <c r="E162" i="39"/>
  <c r="J162" i="39" s="1"/>
  <c r="I162" i="39"/>
  <c r="E163" i="39"/>
  <c r="J163" i="39" s="1"/>
  <c r="I163" i="39"/>
  <c r="E164" i="39"/>
  <c r="J164" i="39" s="1"/>
  <c r="I164" i="39"/>
  <c r="E165" i="39"/>
  <c r="J165" i="39" s="1"/>
  <c r="I165" i="39"/>
  <c r="E166" i="39"/>
  <c r="J166" i="39" s="1"/>
  <c r="I166" i="39"/>
  <c r="E167" i="39"/>
  <c r="J167" i="39" s="1"/>
  <c r="I167" i="39"/>
  <c r="E168" i="39"/>
  <c r="J168" i="39" s="1"/>
  <c r="I168" i="39"/>
  <c r="E169" i="39"/>
  <c r="J169" i="39" s="1"/>
  <c r="I169" i="39"/>
  <c r="E170" i="39"/>
  <c r="J170" i="39" s="1"/>
  <c r="I170" i="39"/>
  <c r="E171" i="39"/>
  <c r="J171" i="39" s="1"/>
  <c r="I171" i="39"/>
  <c r="E172" i="39"/>
  <c r="J172" i="39" s="1"/>
  <c r="I172" i="39"/>
  <c r="F173" i="39"/>
  <c r="C159" i="42"/>
  <c r="N159" i="42" s="1"/>
  <c r="I174" i="39"/>
  <c r="E174" i="39"/>
  <c r="J174" i="39" s="1"/>
  <c r="H174" i="39"/>
  <c r="F175" i="39"/>
  <c r="C161" i="42"/>
  <c r="K161" i="42" s="1"/>
  <c r="I176" i="39"/>
  <c r="E176" i="39"/>
  <c r="J176" i="39" s="1"/>
  <c r="H176" i="39"/>
  <c r="F177" i="39"/>
  <c r="C163" i="42"/>
  <c r="K163" i="42" s="1"/>
  <c r="I178" i="39"/>
  <c r="E178" i="39"/>
  <c r="J178" i="39" s="1"/>
  <c r="H178" i="39"/>
  <c r="F179" i="39"/>
  <c r="C165" i="42"/>
  <c r="L165" i="42" s="1"/>
  <c r="I180" i="39"/>
  <c r="E180" i="39"/>
  <c r="J180" i="39" s="1"/>
  <c r="H180" i="39"/>
  <c r="F181" i="39"/>
  <c r="C167" i="42"/>
  <c r="I167" i="42" s="1"/>
  <c r="I182" i="39"/>
  <c r="E182" i="39"/>
  <c r="J182" i="39" s="1"/>
  <c r="H182" i="39"/>
  <c r="F183" i="39"/>
  <c r="C169" i="42"/>
  <c r="L169" i="42" s="1"/>
  <c r="I184" i="39"/>
  <c r="E184" i="39"/>
  <c r="J184" i="39" s="1"/>
  <c r="H184" i="39"/>
  <c r="F185" i="39"/>
  <c r="C171" i="42"/>
  <c r="P171" i="42" s="1"/>
  <c r="I186" i="39"/>
  <c r="E186" i="39"/>
  <c r="J186" i="39" s="1"/>
  <c r="H186" i="39"/>
  <c r="F187" i="39"/>
  <c r="C173" i="42"/>
  <c r="I188" i="39"/>
  <c r="E188" i="39"/>
  <c r="J188" i="39" s="1"/>
  <c r="H188" i="39"/>
  <c r="F189" i="39"/>
  <c r="H197" i="39"/>
  <c r="C184" i="42"/>
  <c r="J184" i="42" s="1"/>
  <c r="I199" i="39"/>
  <c r="E199" i="39"/>
  <c r="J199" i="39" s="1"/>
  <c r="G199" i="39"/>
  <c r="L199" i="39"/>
  <c r="C198" i="33" s="1"/>
  <c r="D199" i="39"/>
  <c r="F200" i="39"/>
  <c r="H201" i="39"/>
  <c r="C188" i="42"/>
  <c r="I188" i="42" s="1"/>
  <c r="I203" i="39"/>
  <c r="E203" i="39"/>
  <c r="J203" i="39" s="1"/>
  <c r="G203" i="39"/>
  <c r="L203" i="39"/>
  <c r="C202" i="33" s="1"/>
  <c r="D203" i="39"/>
  <c r="F204" i="39"/>
  <c r="H205" i="39"/>
  <c r="C192" i="42"/>
  <c r="P192" i="42" s="1"/>
  <c r="I207" i="39"/>
  <c r="E207" i="39"/>
  <c r="J207" i="39" s="1"/>
  <c r="G207" i="39"/>
  <c r="L207" i="39"/>
  <c r="C206" i="33" s="1"/>
  <c r="D207" i="39"/>
  <c r="F208" i="39"/>
  <c r="H209" i="39"/>
  <c r="C196" i="42"/>
  <c r="N196" i="42" s="1"/>
  <c r="I211" i="39"/>
  <c r="E211" i="39"/>
  <c r="J211" i="39" s="1"/>
  <c r="G211" i="39"/>
  <c r="L211" i="39"/>
  <c r="C210" i="33" s="1"/>
  <c r="D211" i="39"/>
  <c r="F212" i="39"/>
  <c r="H213" i="39"/>
  <c r="H215" i="39"/>
  <c r="C175" i="42"/>
  <c r="O175" i="42" s="1"/>
  <c r="G190" i="39"/>
  <c r="C176" i="42"/>
  <c r="N176" i="42" s="1"/>
  <c r="G191" i="39"/>
  <c r="C177" i="42"/>
  <c r="J177" i="42" s="1"/>
  <c r="G192" i="39"/>
  <c r="C178" i="42"/>
  <c r="J178" i="42" s="1"/>
  <c r="G193" i="39"/>
  <c r="C179" i="42"/>
  <c r="M179" i="42" s="1"/>
  <c r="G194" i="39"/>
  <c r="C180" i="42"/>
  <c r="P180" i="42" s="1"/>
  <c r="G195" i="39"/>
  <c r="C181" i="42"/>
  <c r="J181" i="42" s="1"/>
  <c r="I196" i="39"/>
  <c r="G196" i="39"/>
  <c r="C201" i="42"/>
  <c r="O201" i="42" s="1"/>
  <c r="I216" i="39"/>
  <c r="E216" i="39"/>
  <c r="J216" i="39" s="1"/>
  <c r="H216" i="39"/>
  <c r="E190" i="39"/>
  <c r="J190" i="39" s="1"/>
  <c r="I190" i="39"/>
  <c r="E191" i="39"/>
  <c r="J191" i="39" s="1"/>
  <c r="I191" i="39"/>
  <c r="E192" i="39"/>
  <c r="J192" i="39" s="1"/>
  <c r="I192" i="39"/>
  <c r="E193" i="39"/>
  <c r="J193" i="39" s="1"/>
  <c r="I193" i="39"/>
  <c r="E194" i="39"/>
  <c r="J194" i="39" s="1"/>
  <c r="I194" i="39"/>
  <c r="E195" i="39"/>
  <c r="J195" i="39" s="1"/>
  <c r="I195" i="39"/>
  <c r="E196" i="39"/>
  <c r="J196" i="39" s="1"/>
  <c r="L196" i="39"/>
  <c r="C195" i="33" s="1"/>
  <c r="E195" i="33" s="1"/>
  <c r="F195" i="33" s="1"/>
  <c r="D216" i="39"/>
  <c r="L216" i="39"/>
  <c r="C215" i="33" s="1"/>
  <c r="E217" i="39"/>
  <c r="J217" i="39" s="1"/>
  <c r="I217" i="39"/>
  <c r="E218" i="39"/>
  <c r="J218" i="39" s="1"/>
  <c r="I218" i="39"/>
  <c r="E219" i="39"/>
  <c r="J219" i="39" s="1"/>
  <c r="I219" i="39"/>
  <c r="G217" i="39"/>
  <c r="G218" i="39"/>
  <c r="G219" i="39"/>
  <c r="L12" i="31"/>
  <c r="F4" i="31"/>
  <c r="Q28" i="16"/>
  <c r="N89" i="42"/>
  <c r="N202" i="30"/>
  <c r="N206" i="30"/>
  <c r="E23" i="33"/>
  <c r="F23" i="33" s="1"/>
  <c r="I23" i="33"/>
  <c r="G23" i="33" s="1"/>
  <c r="N214" i="30"/>
  <c r="E27" i="33"/>
  <c r="F27" i="33" s="1"/>
  <c r="I27" i="33"/>
  <c r="H27" i="33" s="1"/>
  <c r="I31" i="33"/>
  <c r="J31" i="33" s="1"/>
  <c r="N222" i="30"/>
  <c r="P162" i="16"/>
  <c r="I29" i="33"/>
  <c r="J29" i="33" s="1"/>
  <c r="E29" i="33"/>
  <c r="F29" i="33" s="1"/>
  <c r="I32" i="33"/>
  <c r="E32" i="33"/>
  <c r="F32" i="33" s="1"/>
  <c r="P92" i="42"/>
  <c r="M92" i="42"/>
  <c r="K92" i="42"/>
  <c r="J62" i="42"/>
  <c r="I79" i="42"/>
  <c r="E25" i="33"/>
  <c r="F25" i="33" s="1"/>
  <c r="I89" i="42"/>
  <c r="M89" i="42"/>
  <c r="O91" i="42"/>
  <c r="E30" i="33"/>
  <c r="F30" i="33" s="1"/>
  <c r="J30" i="33"/>
  <c r="H30" i="33"/>
  <c r="E24" i="33"/>
  <c r="F24" i="33" s="1"/>
  <c r="I24" i="33"/>
  <c r="E26" i="33"/>
  <c r="F26" i="33" s="1"/>
  <c r="I28" i="33"/>
  <c r="J25" i="33"/>
  <c r="H25" i="33"/>
  <c r="G30" i="33"/>
  <c r="I73" i="42"/>
  <c r="L73" i="42"/>
  <c r="N73" i="42"/>
  <c r="I71" i="42"/>
  <c r="N71" i="42"/>
  <c r="M71" i="42"/>
  <c r="J202" i="42"/>
  <c r="K202" i="42"/>
  <c r="M202" i="42"/>
  <c r="P62" i="42"/>
  <c r="N62" i="42"/>
  <c r="K78" i="42"/>
  <c r="K79" i="42"/>
  <c r="P78" i="42"/>
  <c r="P79" i="42"/>
  <c r="P91" i="42"/>
  <c r="M204" i="42"/>
  <c r="I204" i="42"/>
  <c r="P204" i="42"/>
  <c r="G26" i="33"/>
  <c r="G25" i="33"/>
  <c r="H26" i="33"/>
  <c r="M6" i="41"/>
  <c r="I84" i="42" l="1"/>
  <c r="N84" i="42"/>
  <c r="O204" i="42"/>
  <c r="I92" i="42"/>
  <c r="L92" i="42"/>
  <c r="M62" i="42"/>
  <c r="P202" i="42"/>
  <c r="J71" i="42"/>
  <c r="P73" i="42"/>
  <c r="K204" i="42"/>
  <c r="K62" i="42"/>
  <c r="N108" i="30"/>
  <c r="N92" i="30"/>
  <c r="N74" i="42"/>
  <c r="K69" i="42"/>
  <c r="N225" i="30"/>
  <c r="N164" i="30"/>
  <c r="N140" i="30"/>
  <c r="N124" i="30"/>
  <c r="K85" i="42"/>
  <c r="O63" i="42"/>
  <c r="K75" i="42"/>
  <c r="K203" i="42"/>
  <c r="N168" i="30"/>
  <c r="N144" i="30"/>
  <c r="N128" i="30"/>
  <c r="O85" i="42"/>
  <c r="E94" i="33"/>
  <c r="F94" i="33" s="1"/>
  <c r="AA5655" i="16"/>
  <c r="AA5652" i="16"/>
  <c r="D5651" i="16"/>
  <c r="D5654" i="16"/>
  <c r="AA5651" i="16"/>
  <c r="D5650" i="16"/>
  <c r="AA5233" i="16"/>
  <c r="AA5232" i="16"/>
  <c r="D5234" i="16"/>
  <c r="D5230" i="16"/>
  <c r="D5231" i="16"/>
  <c r="AA5235" i="16"/>
  <c r="D5233" i="16"/>
  <c r="AA5236" i="16"/>
  <c r="Y5227" i="16"/>
  <c r="Y5230" i="16" s="1"/>
  <c r="Y5236" i="16" s="1"/>
  <c r="AA5231" i="16"/>
  <c r="D5235" i="16"/>
  <c r="I5141" i="16"/>
  <c r="G5141" i="16"/>
  <c r="E5141" i="16"/>
  <c r="F5141" i="16"/>
  <c r="K5141" i="16"/>
  <c r="K5144" i="16"/>
  <c r="F5144" i="16"/>
  <c r="G5144" i="16"/>
  <c r="AB5145" i="16"/>
  <c r="E5144" i="16"/>
  <c r="J5144" i="16"/>
  <c r="I5144" i="16"/>
  <c r="AA4335" i="16"/>
  <c r="D4335" i="16"/>
  <c r="D4334" i="16"/>
  <c r="D4330" i="16"/>
  <c r="I4328" i="16"/>
  <c r="AB4666" i="16"/>
  <c r="AD4666" i="16" s="1"/>
  <c r="E4665" i="16"/>
  <c r="H4665" i="16"/>
  <c r="J4665" i="16"/>
  <c r="G4665" i="16"/>
  <c r="I4665" i="16"/>
  <c r="D4270" i="16"/>
  <c r="I4268" i="16"/>
  <c r="AA4275" i="16"/>
  <c r="AA4274" i="16"/>
  <c r="AA4273" i="16"/>
  <c r="AA4214" i="16"/>
  <c r="AA4213" i="16"/>
  <c r="D4210" i="16"/>
  <c r="I4208" i="16"/>
  <c r="D4215" i="16"/>
  <c r="D4214" i="16"/>
  <c r="D4155" i="16"/>
  <c r="D4154" i="16"/>
  <c r="AA4154" i="16"/>
  <c r="AA4153" i="16"/>
  <c r="AA4155" i="16"/>
  <c r="AA4095" i="16"/>
  <c r="D4095" i="16"/>
  <c r="D4094" i="16"/>
  <c r="D4090" i="16"/>
  <c r="I4088" i="16"/>
  <c r="D3405" i="16"/>
  <c r="AA3402" i="16"/>
  <c r="D3401" i="16"/>
  <c r="AA3404" i="16"/>
  <c r="D3402" i="16"/>
  <c r="D4005" i="16"/>
  <c r="D4004" i="16"/>
  <c r="D4002" i="16"/>
  <c r="AA4004" i="16"/>
  <c r="AA4003" i="16"/>
  <c r="AA4006" i="16"/>
  <c r="AA4005" i="16"/>
  <c r="D4003" i="16"/>
  <c r="AA3436" i="16"/>
  <c r="AA3432" i="16"/>
  <c r="D3430" i="16"/>
  <c r="D3431" i="16"/>
  <c r="D3435" i="16"/>
  <c r="D3432" i="16"/>
  <c r="Y4057" i="16"/>
  <c r="Y4060" i="16" s="1"/>
  <c r="Y4066" i="16" s="1"/>
  <c r="D4060" i="16"/>
  <c r="I4058" i="16"/>
  <c r="AA4062" i="16"/>
  <c r="AA4065" i="16"/>
  <c r="D4063" i="16"/>
  <c r="D4061" i="16"/>
  <c r="AA4064" i="16"/>
  <c r="AA4063" i="16"/>
  <c r="AA4066" i="16"/>
  <c r="AA4061" i="16"/>
  <c r="AA3494" i="16"/>
  <c r="AA3496" i="16"/>
  <c r="AA3492" i="16"/>
  <c r="D3495" i="16"/>
  <c r="D3491" i="16"/>
  <c r="D3490" i="16"/>
  <c r="D3492" i="16"/>
  <c r="AA2985" i="16"/>
  <c r="D2655" i="16"/>
  <c r="AA2652" i="16"/>
  <c r="D2651" i="16"/>
  <c r="AA2654" i="16"/>
  <c r="D2652" i="16"/>
  <c r="H3314" i="16"/>
  <c r="F3314" i="16"/>
  <c r="K3314" i="16"/>
  <c r="AB3315" i="16"/>
  <c r="J3314" i="16"/>
  <c r="E3314" i="16"/>
  <c r="I2833" i="16"/>
  <c r="AB2834" i="16"/>
  <c r="F2833" i="16"/>
  <c r="K2833" i="16"/>
  <c r="H2833" i="16"/>
  <c r="J2833" i="16"/>
  <c r="AA2802" i="16"/>
  <c r="D2800" i="16"/>
  <c r="D2801" i="16"/>
  <c r="D2805" i="16"/>
  <c r="AA2806" i="16"/>
  <c r="D2802" i="16"/>
  <c r="AA2894" i="16"/>
  <c r="AA2892" i="16"/>
  <c r="D2895" i="16"/>
  <c r="D2891" i="16"/>
  <c r="D2890" i="16"/>
  <c r="D2892" i="16"/>
  <c r="Y4417" i="16"/>
  <c r="Y4420" i="16" s="1"/>
  <c r="Y4426" i="16" s="1"/>
  <c r="AA4425" i="16"/>
  <c r="D4423" i="16"/>
  <c r="D4421" i="16"/>
  <c r="AA4421" i="16"/>
  <c r="D4425" i="16"/>
  <c r="D4424" i="16"/>
  <c r="D4422" i="16"/>
  <c r="D4420" i="16"/>
  <c r="I4418" i="16"/>
  <c r="AA4422" i="16"/>
  <c r="AA5893" i="16"/>
  <c r="D5890" i="16"/>
  <c r="D5892" i="16"/>
  <c r="I5892" i="16" s="1"/>
  <c r="I5888" i="16"/>
  <c r="D5895" i="16"/>
  <c r="Y5887" i="16"/>
  <c r="Y5890" i="16" s="1"/>
  <c r="Y5896" i="16" s="1"/>
  <c r="Q279" i="16"/>
  <c r="AA5891" i="16"/>
  <c r="D5653" i="16"/>
  <c r="AB5142" i="16"/>
  <c r="J5141" i="16"/>
  <c r="K4665" i="16"/>
  <c r="D5232" i="16"/>
  <c r="G2833" i="16"/>
  <c r="AA4423" i="16"/>
  <c r="D281" i="16"/>
  <c r="AB3314" i="16"/>
  <c r="F3313" i="16"/>
  <c r="K3313" i="16"/>
  <c r="H3313" i="16"/>
  <c r="J3313" i="16"/>
  <c r="I2713" i="16"/>
  <c r="AB2714" i="16"/>
  <c r="F2713" i="16"/>
  <c r="K2713" i="16"/>
  <c r="E2713" i="16"/>
  <c r="H2713" i="16"/>
  <c r="J2713" i="16"/>
  <c r="D284" i="16"/>
  <c r="I278" i="16"/>
  <c r="AA284" i="16"/>
  <c r="D280" i="16"/>
  <c r="D282" i="16"/>
  <c r="D283" i="16"/>
  <c r="AA283" i="16"/>
  <c r="AA286" i="16"/>
  <c r="P435" i="16"/>
  <c r="P432" i="16"/>
  <c r="D821" i="16"/>
  <c r="D823" i="16"/>
  <c r="AA824" i="16"/>
  <c r="AA821" i="16"/>
  <c r="D825" i="16"/>
  <c r="AA822" i="16"/>
  <c r="D820" i="16"/>
  <c r="D2983" i="16"/>
  <c r="Y2977" i="16"/>
  <c r="Y2980" i="16" s="1"/>
  <c r="Y2986" i="16" s="1"/>
  <c r="AA2982" i="16"/>
  <c r="I2978" i="16"/>
  <c r="D2984" i="16"/>
  <c r="I2984" i="16" s="1"/>
  <c r="D2980" i="16"/>
  <c r="AA2986" i="16"/>
  <c r="D2981" i="16"/>
  <c r="AA2983" i="16"/>
  <c r="D2985" i="16"/>
  <c r="D2982" i="16"/>
  <c r="AA5892" i="16"/>
  <c r="AA5654" i="16"/>
  <c r="H5141" i="16"/>
  <c r="H5144" i="16"/>
  <c r="AA4333" i="16"/>
  <c r="AA2891" i="16"/>
  <c r="AA5234" i="16"/>
  <c r="Q99" i="16"/>
  <c r="AA4424" i="16"/>
  <c r="AA282" i="16"/>
  <c r="D822" i="16"/>
  <c r="P372" i="16"/>
  <c r="D2620" i="16"/>
  <c r="AA2622" i="16"/>
  <c r="AA2624" i="16"/>
  <c r="D2621" i="16"/>
  <c r="D2622" i="16"/>
  <c r="AA3074" i="16"/>
  <c r="AA3076" i="16"/>
  <c r="AA3072" i="16"/>
  <c r="D3075" i="16"/>
  <c r="D3071" i="16"/>
  <c r="D3070" i="16"/>
  <c r="D3072" i="16"/>
  <c r="AA3162" i="16"/>
  <c r="D3160" i="16"/>
  <c r="D3161" i="16"/>
  <c r="D3165" i="16"/>
  <c r="AA3166" i="16"/>
  <c r="D3162" i="16"/>
  <c r="AA3134" i="16"/>
  <c r="AA3132" i="16"/>
  <c r="D3135" i="16"/>
  <c r="D3131" i="16"/>
  <c r="D3130" i="16"/>
  <c r="D3132" i="16"/>
  <c r="AD5143" i="16"/>
  <c r="H5863" i="16"/>
  <c r="G5863" i="16"/>
  <c r="P54" i="16"/>
  <c r="D252" i="16"/>
  <c r="AA225" i="16"/>
  <c r="AD225" i="16" s="1"/>
  <c r="I1238" i="16"/>
  <c r="D1123" i="16"/>
  <c r="D1121" i="16"/>
  <c r="AA1091" i="16"/>
  <c r="D1062" i="16"/>
  <c r="D943" i="16"/>
  <c r="D941" i="16"/>
  <c r="AA911" i="16"/>
  <c r="D882" i="16"/>
  <c r="AA852" i="16"/>
  <c r="P5532" i="16"/>
  <c r="AD5864" i="16"/>
  <c r="J5863" i="16"/>
  <c r="D1245" i="16"/>
  <c r="D1093" i="16"/>
  <c r="D913" i="16"/>
  <c r="Q24" i="16"/>
  <c r="Q40" i="16"/>
  <c r="O84" i="42"/>
  <c r="J83" i="42"/>
  <c r="J204" i="42"/>
  <c r="P89" i="42"/>
  <c r="K89" i="42"/>
  <c r="L202" i="42"/>
  <c r="I202" i="42"/>
  <c r="L71" i="42"/>
  <c r="P71" i="42"/>
  <c r="K73" i="42"/>
  <c r="I91" i="42"/>
  <c r="N78" i="42"/>
  <c r="O79" i="42"/>
  <c r="O62" i="42"/>
  <c r="R62" i="42" s="1"/>
  <c r="S62" i="42" s="1"/>
  <c r="J92" i="42"/>
  <c r="J79" i="42"/>
  <c r="I78" i="42"/>
  <c r="J91" i="42"/>
  <c r="L78" i="42"/>
  <c r="K83" i="42"/>
  <c r="L90" i="42"/>
  <c r="O203" i="42"/>
  <c r="K63" i="42"/>
  <c r="P75" i="42"/>
  <c r="L85" i="42"/>
  <c r="L83" i="42"/>
  <c r="J203" i="42"/>
  <c r="P90" i="42"/>
  <c r="O69" i="42"/>
  <c r="N90" i="42"/>
  <c r="J74" i="42"/>
  <c r="I85" i="42"/>
  <c r="J85" i="42"/>
  <c r="L203" i="42"/>
  <c r="P84" i="42"/>
  <c r="P74" i="42"/>
  <c r="J69" i="42"/>
  <c r="P63" i="42"/>
  <c r="M75" i="42"/>
  <c r="I75" i="42"/>
  <c r="N203" i="42"/>
  <c r="O74" i="42"/>
  <c r="L63" i="42"/>
  <c r="I83" i="42"/>
  <c r="M90" i="42"/>
  <c r="O75" i="42"/>
  <c r="O90" i="42"/>
  <c r="P203" i="42"/>
  <c r="P83" i="42"/>
  <c r="I74" i="42"/>
  <c r="I69" i="42"/>
  <c r="I63" i="42"/>
  <c r="L75" i="42"/>
  <c r="J90" i="42"/>
  <c r="M84" i="42"/>
  <c r="N63" i="42"/>
  <c r="O83" i="42"/>
  <c r="L69" i="42"/>
  <c r="I106" i="42"/>
  <c r="N65" i="42"/>
  <c r="K81" i="42"/>
  <c r="N72" i="42"/>
  <c r="M66" i="42"/>
  <c r="O72" i="42"/>
  <c r="J68" i="42"/>
  <c r="P82" i="42"/>
  <c r="O61" i="42"/>
  <c r="P68" i="42"/>
  <c r="K67" i="42"/>
  <c r="J87" i="42"/>
  <c r="K88" i="42"/>
  <c r="M67" i="42"/>
  <c r="N76" i="42"/>
  <c r="P76" i="42"/>
  <c r="I68" i="42"/>
  <c r="M65" i="42"/>
  <c r="L86" i="42"/>
  <c r="P86" i="42"/>
  <c r="I76" i="42"/>
  <c r="M70" i="42"/>
  <c r="P65" i="42"/>
  <c r="I67" i="42"/>
  <c r="O81" i="42"/>
  <c r="N88" i="42"/>
  <c r="M86" i="42"/>
  <c r="L68" i="42"/>
  <c r="N146" i="30"/>
  <c r="I203" i="42"/>
  <c r="P85" i="42"/>
  <c r="P81" i="42"/>
  <c r="K90" i="42"/>
  <c r="K84" i="42"/>
  <c r="N68" i="42"/>
  <c r="M74" i="42"/>
  <c r="P70" i="42"/>
  <c r="P77" i="42"/>
  <c r="P69" i="42"/>
  <c r="J63" i="42"/>
  <c r="I65" i="42"/>
  <c r="P61" i="42"/>
  <c r="J75" i="42"/>
  <c r="O82" i="42"/>
  <c r="J76" i="42"/>
  <c r="M82" i="42"/>
  <c r="L74" i="42"/>
  <c r="J84" i="42"/>
  <c r="M85" i="42"/>
  <c r="N83" i="42"/>
  <c r="L77" i="42"/>
  <c r="K68" i="42"/>
  <c r="L70" i="42"/>
  <c r="N69" i="42"/>
  <c r="N209" i="30"/>
  <c r="N180" i="30"/>
  <c r="N176" i="30"/>
  <c r="N172" i="30"/>
  <c r="N160" i="30"/>
  <c r="N136" i="30"/>
  <c r="N132" i="30"/>
  <c r="N61" i="42"/>
  <c r="L87" i="42"/>
  <c r="K66" i="42"/>
  <c r="K80" i="42"/>
  <c r="N64" i="42"/>
  <c r="P72" i="42"/>
  <c r="P64" i="42"/>
  <c r="J77" i="42"/>
  <c r="J61" i="42"/>
  <c r="J72" i="42"/>
  <c r="O64" i="42"/>
  <c r="J80" i="42"/>
  <c r="M87" i="42"/>
  <c r="O87" i="42"/>
  <c r="L82" i="42"/>
  <c r="N224" i="30"/>
  <c r="I66" i="42"/>
  <c r="I61" i="42"/>
  <c r="I82" i="42"/>
  <c r="N80" i="42"/>
  <c r="J64" i="42"/>
  <c r="L66" i="42"/>
  <c r="L204" i="42"/>
  <c r="P80" i="42"/>
  <c r="K91" i="42"/>
  <c r="K87" i="42"/>
  <c r="N66" i="42"/>
  <c r="M72" i="42"/>
  <c r="M64" i="42"/>
  <c r="I62" i="42"/>
  <c r="O202" i="42"/>
  <c r="R202" i="42" s="1"/>
  <c r="S202" i="42" s="1"/>
  <c r="K77" i="42"/>
  <c r="K71" i="42"/>
  <c r="R71" i="42" s="1"/>
  <c r="L61" i="42"/>
  <c r="M73" i="42"/>
  <c r="R73" i="42" s="1"/>
  <c r="S73" i="42" s="1"/>
  <c r="J73" i="42"/>
  <c r="L91" i="42"/>
  <c r="O89" i="42"/>
  <c r="R89" i="42" s="1"/>
  <c r="J78" i="42"/>
  <c r="M91" i="42"/>
  <c r="O80" i="42"/>
  <c r="L79" i="42"/>
  <c r="N92" i="42"/>
  <c r="R92" i="42" s="1"/>
  <c r="S92" i="42" s="1"/>
  <c r="L64" i="42"/>
  <c r="N79" i="42"/>
  <c r="M78" i="42"/>
  <c r="O66" i="42"/>
  <c r="J89" i="42"/>
  <c r="M80" i="42"/>
  <c r="N217" i="30"/>
  <c r="N196" i="30"/>
  <c r="N188" i="30"/>
  <c r="N152" i="30"/>
  <c r="L198" i="42"/>
  <c r="J198" i="42"/>
  <c r="L160" i="42"/>
  <c r="O160" i="42"/>
  <c r="I142" i="42"/>
  <c r="L142" i="42"/>
  <c r="I140" i="42"/>
  <c r="M140" i="42"/>
  <c r="H44" i="42"/>
  <c r="H64" i="42"/>
  <c r="H84" i="42"/>
  <c r="H92" i="42"/>
  <c r="K57" i="42"/>
  <c r="J57" i="42"/>
  <c r="L57" i="42"/>
  <c r="O49" i="42"/>
  <c r="L49" i="42"/>
  <c r="I49" i="42"/>
  <c r="P49" i="42"/>
  <c r="K41" i="42"/>
  <c r="J41" i="42"/>
  <c r="O41" i="42"/>
  <c r="M33" i="42"/>
  <c r="I33" i="42"/>
  <c r="N33" i="42"/>
  <c r="K25" i="42"/>
  <c r="N25" i="42"/>
  <c r="M25" i="42"/>
  <c r="I57" i="42"/>
  <c r="N156" i="30"/>
  <c r="M170" i="42"/>
  <c r="K162" i="42"/>
  <c r="P41" i="42"/>
  <c r="N148" i="30"/>
  <c r="J166" i="42"/>
  <c r="P88" i="42"/>
  <c r="I70" i="42"/>
  <c r="K65" i="42"/>
  <c r="J67" i="42"/>
  <c r="N86" i="42"/>
  <c r="M81" i="42"/>
  <c r="O88" i="42"/>
  <c r="J70" i="42"/>
  <c r="J81" i="42"/>
  <c r="L67" i="42"/>
  <c r="L76" i="42"/>
  <c r="N200" i="30"/>
  <c r="N192" i="30"/>
  <c r="N184" i="30"/>
  <c r="P87" i="42"/>
  <c r="K86" i="42"/>
  <c r="K82" i="42"/>
  <c r="N70" i="42"/>
  <c r="M76" i="42"/>
  <c r="I72" i="42"/>
  <c r="M68" i="42"/>
  <c r="P66" i="42"/>
  <c r="I64" i="42"/>
  <c r="O77" i="42"/>
  <c r="I77" i="42"/>
  <c r="L65" i="42"/>
  <c r="J65" i="42"/>
  <c r="P67" i="42"/>
  <c r="K61" i="42"/>
  <c r="J86" i="42"/>
  <c r="J82" i="42"/>
  <c r="I81" i="42"/>
  <c r="I88" i="42"/>
  <c r="I80" i="42"/>
  <c r="I87" i="42"/>
  <c r="K72" i="42"/>
  <c r="M77" i="42"/>
  <c r="K70" i="42"/>
  <c r="N67" i="42"/>
  <c r="K76" i="42"/>
  <c r="J88" i="42"/>
  <c r="N81" i="42"/>
  <c r="O86" i="42"/>
  <c r="M88" i="42"/>
  <c r="N198" i="30"/>
  <c r="N182" i="30"/>
  <c r="N116" i="30"/>
  <c r="N100" i="30"/>
  <c r="D5893" i="16"/>
  <c r="AA5894" i="16"/>
  <c r="D5891" i="16"/>
  <c r="AA5896" i="16"/>
  <c r="AA2955" i="16"/>
  <c r="Y2947" i="16"/>
  <c r="Y2950" i="16" s="1"/>
  <c r="Y2956" i="16" s="1"/>
  <c r="D2954" i="16"/>
  <c r="D2714" i="16"/>
  <c r="AA2715" i="16"/>
  <c r="D5773" i="16"/>
  <c r="Y5767" i="16"/>
  <c r="Y5770" i="16" s="1"/>
  <c r="Y5776" i="16" s="1"/>
  <c r="D5771" i="16"/>
  <c r="D5775" i="16"/>
  <c r="N195" i="30"/>
  <c r="N191" i="30"/>
  <c r="N187" i="30"/>
  <c r="N179" i="30"/>
  <c r="N175" i="30"/>
  <c r="N167" i="30"/>
  <c r="N159" i="30"/>
  <c r="N139" i="30"/>
  <c r="N135" i="30"/>
  <c r="N123" i="30"/>
  <c r="N115" i="30"/>
  <c r="N99" i="30"/>
  <c r="N95" i="30"/>
  <c r="N75" i="30"/>
  <c r="N59" i="30"/>
  <c r="N51" i="30"/>
  <c r="AD4786" i="16"/>
  <c r="D4575" i="16"/>
  <c r="Y4567" i="16"/>
  <c r="Y4570" i="16" s="1"/>
  <c r="Y4576" i="16" s="1"/>
  <c r="D2533" i="16"/>
  <c r="Y2527" i="16"/>
  <c r="Y2530" i="16" s="1"/>
  <c r="Y2536" i="16" s="1"/>
  <c r="AA1006" i="16"/>
  <c r="AA1005" i="16"/>
  <c r="D2834" i="16"/>
  <c r="AA2835" i="16"/>
  <c r="Q57" i="16"/>
  <c r="E96" i="33"/>
  <c r="F96" i="33" s="1"/>
  <c r="N102" i="42"/>
  <c r="K98" i="42"/>
  <c r="E143" i="33"/>
  <c r="F143" i="33" s="1"/>
  <c r="K55" i="42"/>
  <c r="E112" i="33"/>
  <c r="F112" i="33" s="1"/>
  <c r="E128" i="33"/>
  <c r="F128" i="33" s="1"/>
  <c r="E126" i="33"/>
  <c r="F126" i="33" s="1"/>
  <c r="E163" i="33"/>
  <c r="F163" i="33" s="1"/>
  <c r="E148" i="33"/>
  <c r="F148" i="33" s="1"/>
  <c r="P23" i="42"/>
  <c r="E104" i="33"/>
  <c r="F104" i="33" s="1"/>
  <c r="E171" i="33"/>
  <c r="F171" i="33" s="1"/>
  <c r="E130" i="33"/>
  <c r="F130" i="33" s="1"/>
  <c r="E40" i="33"/>
  <c r="F40" i="33" s="1"/>
  <c r="H36" i="42"/>
  <c r="H40" i="42"/>
  <c r="H52" i="42"/>
  <c r="H60" i="42"/>
  <c r="H76" i="42"/>
  <c r="H88" i="42"/>
  <c r="H96" i="42"/>
  <c r="N199" i="30"/>
  <c r="N155" i="30"/>
  <c r="N147" i="30"/>
  <c r="N143" i="30"/>
  <c r="N131" i="30"/>
  <c r="N127" i="30"/>
  <c r="N111" i="30"/>
  <c r="N107" i="30"/>
  <c r="N103" i="30"/>
  <c r="N91" i="30"/>
  <c r="N83" i="30"/>
  <c r="N67" i="30"/>
  <c r="N43" i="30"/>
  <c r="O189" i="42"/>
  <c r="M189" i="42"/>
  <c r="L174" i="42"/>
  <c r="I174" i="42"/>
  <c r="P168" i="42"/>
  <c r="M168" i="42"/>
  <c r="L164" i="42"/>
  <c r="J164" i="42"/>
  <c r="K152" i="42"/>
  <c r="L152" i="42"/>
  <c r="I146" i="42"/>
  <c r="K146" i="42"/>
  <c r="P183" i="42"/>
  <c r="J183" i="42"/>
  <c r="N183" i="42"/>
  <c r="N134" i="42"/>
  <c r="O134" i="42"/>
  <c r="P94" i="42"/>
  <c r="J94" i="42"/>
  <c r="H80" i="42"/>
  <c r="O199" i="42"/>
  <c r="M190" i="42"/>
  <c r="L94" i="42"/>
  <c r="P170" i="42"/>
  <c r="L140" i="42"/>
  <c r="I150" i="42"/>
  <c r="L148" i="42"/>
  <c r="K114" i="42"/>
  <c r="H41" i="42"/>
  <c r="H69" i="42"/>
  <c r="E5892" i="16"/>
  <c r="K5892" i="16"/>
  <c r="F5892" i="16"/>
  <c r="I4695" i="16"/>
  <c r="AB4696" i="16"/>
  <c r="AD4696" i="16" s="1"/>
  <c r="H4695" i="16"/>
  <c r="J4695" i="16"/>
  <c r="K4695" i="16"/>
  <c r="F4695" i="16"/>
  <c r="H2984" i="16"/>
  <c r="J2984" i="16"/>
  <c r="E2984" i="16"/>
  <c r="F2984" i="16"/>
  <c r="K2984" i="16"/>
  <c r="AB2985" i="16"/>
  <c r="AD2985" i="16" s="1"/>
  <c r="AB2864" i="16"/>
  <c r="F2863" i="16"/>
  <c r="K2863" i="16"/>
  <c r="E2863" i="16"/>
  <c r="G2863" i="16"/>
  <c r="J1004" i="16"/>
  <c r="I1004" i="16"/>
  <c r="H1004" i="16"/>
  <c r="G1004" i="16"/>
  <c r="N114" i="42"/>
  <c r="O33" i="42"/>
  <c r="I25" i="42"/>
  <c r="M57" i="42"/>
  <c r="L41" i="42"/>
  <c r="M160" i="42"/>
  <c r="N118" i="42"/>
  <c r="K140" i="42"/>
  <c r="O57" i="42"/>
  <c r="K94" i="42"/>
  <c r="I2863" i="16"/>
  <c r="AD3315" i="16"/>
  <c r="G2984" i="16"/>
  <c r="K1004" i="16"/>
  <c r="M173" i="42"/>
  <c r="I173" i="42"/>
  <c r="O156" i="42"/>
  <c r="I156" i="42"/>
  <c r="N150" i="42"/>
  <c r="O150" i="42"/>
  <c r="J191" i="42"/>
  <c r="L191" i="42"/>
  <c r="N191" i="42"/>
  <c r="J138" i="42"/>
  <c r="L138" i="42"/>
  <c r="O102" i="42"/>
  <c r="P102" i="42"/>
  <c r="M98" i="42"/>
  <c r="P98" i="42"/>
  <c r="H56" i="42"/>
  <c r="I170" i="42"/>
  <c r="P189" i="42"/>
  <c r="O94" i="42"/>
  <c r="N98" i="42"/>
  <c r="N142" i="42"/>
  <c r="H53" i="42"/>
  <c r="I5143" i="16"/>
  <c r="K5143" i="16"/>
  <c r="K5146" i="16" s="1"/>
  <c r="G5143" i="16"/>
  <c r="F5143" i="16"/>
  <c r="H5143" i="16"/>
  <c r="J5143" i="16"/>
  <c r="H4845" i="16"/>
  <c r="J4845" i="16"/>
  <c r="K4845" i="16"/>
  <c r="F4845" i="16"/>
  <c r="G4845" i="16"/>
  <c r="I4845" i="16"/>
  <c r="I2953" i="16"/>
  <c r="G2953" i="16"/>
  <c r="H2953" i="16"/>
  <c r="J2953" i="16"/>
  <c r="AB2954" i="16"/>
  <c r="F2953" i="16"/>
  <c r="O191" i="42"/>
  <c r="J168" i="42"/>
  <c r="N199" i="42"/>
  <c r="K182" i="42"/>
  <c r="O165" i="42"/>
  <c r="M114" i="42"/>
  <c r="L106" i="42"/>
  <c r="M183" i="42"/>
  <c r="M94" i="42"/>
  <c r="M49" i="42"/>
  <c r="J174" i="42"/>
  <c r="I166" i="42"/>
  <c r="K164" i="42"/>
  <c r="I198" i="42"/>
  <c r="N106" i="42"/>
  <c r="M102" i="42"/>
  <c r="L102" i="42"/>
  <c r="O183" i="42"/>
  <c r="N94" i="42"/>
  <c r="P25" i="42"/>
  <c r="K49" i="42"/>
  <c r="O98" i="42"/>
  <c r="L158" i="42"/>
  <c r="K138" i="42"/>
  <c r="P146" i="42"/>
  <c r="M162" i="42"/>
  <c r="E5143" i="16"/>
  <c r="AB4846" i="16"/>
  <c r="AD4846" i="16" s="1"/>
  <c r="E2953" i="16"/>
  <c r="J2863" i="16"/>
  <c r="E1004" i="16"/>
  <c r="N172" i="42"/>
  <c r="K172" i="42"/>
  <c r="K154" i="42"/>
  <c r="P154" i="42"/>
  <c r="O148" i="42"/>
  <c r="I148" i="42"/>
  <c r="N144" i="42"/>
  <c r="I144" i="42"/>
  <c r="K199" i="42"/>
  <c r="M199" i="42"/>
  <c r="O130" i="42"/>
  <c r="K130" i="42"/>
  <c r="O122" i="42"/>
  <c r="K122" i="42"/>
  <c r="L122" i="42"/>
  <c r="K110" i="42"/>
  <c r="L110" i="42"/>
  <c r="M110" i="42"/>
  <c r="H72" i="42"/>
  <c r="N57" i="42"/>
  <c r="P57" i="42"/>
  <c r="N49" i="42"/>
  <c r="J49" i="42"/>
  <c r="N41" i="42"/>
  <c r="I41" i="42"/>
  <c r="M41" i="42"/>
  <c r="P33" i="42"/>
  <c r="J33" i="42"/>
  <c r="K33" i="42"/>
  <c r="L33" i="42"/>
  <c r="L25" i="42"/>
  <c r="O25" i="42"/>
  <c r="J25" i="42"/>
  <c r="J5892" i="16"/>
  <c r="AB5144" i="16"/>
  <c r="AD5144" i="16" s="1"/>
  <c r="E4695" i="16"/>
  <c r="K2953" i="16"/>
  <c r="H2863" i="16"/>
  <c r="F1004" i="16"/>
  <c r="AB1005" i="16"/>
  <c r="AD1005" i="16" s="1"/>
  <c r="AD2864" i="16"/>
  <c r="AD2954" i="16"/>
  <c r="AD2834" i="16"/>
  <c r="AD2714" i="16"/>
  <c r="I182" i="42"/>
  <c r="L189" i="42"/>
  <c r="O198" i="42"/>
  <c r="I190" i="42"/>
  <c r="I47" i="42"/>
  <c r="O31" i="42"/>
  <c r="E185" i="33"/>
  <c r="F185" i="33" s="1"/>
  <c r="E89" i="33"/>
  <c r="F89" i="33" s="1"/>
  <c r="E123" i="33"/>
  <c r="F123" i="33" s="1"/>
  <c r="E125" i="33"/>
  <c r="F125" i="33" s="1"/>
  <c r="I122" i="42"/>
  <c r="P122" i="42"/>
  <c r="N164" i="42"/>
  <c r="J126" i="42"/>
  <c r="P182" i="42"/>
  <c r="P142" i="42"/>
  <c r="L134" i="42"/>
  <c r="M118" i="42"/>
  <c r="O140" i="42"/>
  <c r="M191" i="42"/>
  <c r="I138" i="42"/>
  <c r="O110" i="42"/>
  <c r="E150" i="33"/>
  <c r="F150" i="33" s="1"/>
  <c r="J150" i="42"/>
  <c r="P166" i="42"/>
  <c r="P148" i="42"/>
  <c r="L146" i="42"/>
  <c r="N156" i="42"/>
  <c r="I114" i="42"/>
  <c r="J102" i="42"/>
  <c r="O154" i="42"/>
  <c r="E142" i="33"/>
  <c r="F142" i="33" s="1"/>
  <c r="E169" i="33"/>
  <c r="F169" i="33" s="1"/>
  <c r="L130" i="42"/>
  <c r="L168" i="42"/>
  <c r="K126" i="42"/>
  <c r="O55" i="42"/>
  <c r="E168" i="33"/>
  <c r="F168" i="33" s="1"/>
  <c r="E106" i="33"/>
  <c r="F106" i="33" s="1"/>
  <c r="E138" i="33"/>
  <c r="F138" i="33" s="1"/>
  <c r="E187" i="33"/>
  <c r="F187" i="33" s="1"/>
  <c r="E56" i="33"/>
  <c r="F56" i="33" s="1"/>
  <c r="M47" i="42"/>
  <c r="M172" i="42"/>
  <c r="K168" i="42"/>
  <c r="L190" i="42"/>
  <c r="P165" i="42"/>
  <c r="P190" i="42"/>
  <c r="J189" i="42"/>
  <c r="P47" i="42"/>
  <c r="N31" i="42"/>
  <c r="E167" i="33"/>
  <c r="F167" i="33" s="1"/>
  <c r="E132" i="33"/>
  <c r="F132" i="33" s="1"/>
  <c r="I126" i="42"/>
  <c r="P130" i="42"/>
  <c r="M122" i="42"/>
  <c r="J130" i="42"/>
  <c r="I134" i="42"/>
  <c r="P118" i="42"/>
  <c r="E131" i="33"/>
  <c r="F131" i="33" s="1"/>
  <c r="I110" i="42"/>
  <c r="E90" i="33"/>
  <c r="F90" i="33" s="1"/>
  <c r="K150" i="42"/>
  <c r="O166" i="42"/>
  <c r="N148" i="42"/>
  <c r="J146" i="42"/>
  <c r="K156" i="42"/>
  <c r="I102" i="42"/>
  <c r="I154" i="42"/>
  <c r="E177" i="33"/>
  <c r="F177" i="33" s="1"/>
  <c r="M134" i="42"/>
  <c r="L126" i="42"/>
  <c r="E210" i="33"/>
  <c r="F210" i="33" s="1"/>
  <c r="E206" i="33"/>
  <c r="F206" i="33" s="1"/>
  <c r="E202" i="33"/>
  <c r="F202" i="33" s="1"/>
  <c r="E198" i="33"/>
  <c r="F198" i="33" s="1"/>
  <c r="E214" i="33"/>
  <c r="F214" i="33" s="1"/>
  <c r="E207" i="33"/>
  <c r="F207" i="33" s="1"/>
  <c r="E208" i="33"/>
  <c r="F208" i="33" s="1"/>
  <c r="E200" i="33"/>
  <c r="F200" i="33" s="1"/>
  <c r="E68" i="33"/>
  <c r="F68" i="33" s="1"/>
  <c r="E60" i="33"/>
  <c r="F60" i="33" s="1"/>
  <c r="E52" i="33"/>
  <c r="F52" i="33" s="1"/>
  <c r="E44" i="33"/>
  <c r="F44" i="33" s="1"/>
  <c r="E36" i="33"/>
  <c r="F36" i="33" s="1"/>
  <c r="J182" i="42"/>
  <c r="J172" i="42"/>
  <c r="I168" i="42"/>
  <c r="M164" i="42"/>
  <c r="I199" i="42"/>
  <c r="I191" i="42"/>
  <c r="K170" i="42"/>
  <c r="K160" i="42"/>
  <c r="O173" i="42"/>
  <c r="K198" i="42"/>
  <c r="O190" i="42"/>
  <c r="K189" i="42"/>
  <c r="N110" i="42"/>
  <c r="K183" i="42"/>
  <c r="I98" i="42"/>
  <c r="N162" i="42"/>
  <c r="J162" i="42"/>
  <c r="P126" i="42"/>
  <c r="M126" i="42"/>
  <c r="O158" i="42"/>
  <c r="L182" i="42"/>
  <c r="K191" i="42"/>
  <c r="K142" i="42"/>
  <c r="O118" i="42"/>
  <c r="K118" i="42"/>
  <c r="P140" i="42"/>
  <c r="J106" i="42"/>
  <c r="N138" i="42"/>
  <c r="P150" i="42"/>
  <c r="N166" i="42"/>
  <c r="M148" i="42"/>
  <c r="N146" i="42"/>
  <c r="O146" i="42"/>
  <c r="M156" i="42"/>
  <c r="L156" i="42"/>
  <c r="J114" i="42"/>
  <c r="J154" i="42"/>
  <c r="L154" i="42"/>
  <c r="O174" i="42"/>
  <c r="I94" i="42"/>
  <c r="J134" i="42"/>
  <c r="N126" i="42"/>
  <c r="J142" i="42"/>
  <c r="K173" i="42"/>
  <c r="N165" i="42"/>
  <c r="M165" i="42"/>
  <c r="L172" i="42"/>
  <c r="M138" i="42"/>
  <c r="N173" i="42"/>
  <c r="J173" i="42"/>
  <c r="I165" i="42"/>
  <c r="K144" i="42"/>
  <c r="N57" i="30"/>
  <c r="K158" i="42"/>
  <c r="N183" i="30"/>
  <c r="N171" i="30"/>
  <c r="N163" i="30"/>
  <c r="N151" i="30"/>
  <c r="N119" i="30"/>
  <c r="L173" i="42"/>
  <c r="M152" i="42"/>
  <c r="N113" i="42"/>
  <c r="H155" i="42"/>
  <c r="N49" i="30"/>
  <c r="K177" i="42"/>
  <c r="J109" i="42"/>
  <c r="L129" i="42"/>
  <c r="H45" i="42"/>
  <c r="H77" i="42"/>
  <c r="O171" i="42"/>
  <c r="I35" i="42"/>
  <c r="I44" i="42"/>
  <c r="J36" i="42"/>
  <c r="L19" i="42"/>
  <c r="O43" i="42"/>
  <c r="N34" i="42"/>
  <c r="P195" i="42"/>
  <c r="P51" i="42"/>
  <c r="L24" i="42"/>
  <c r="J27" i="42"/>
  <c r="I19" i="42"/>
  <c r="L117" i="42"/>
  <c r="P179" i="42"/>
  <c r="J163" i="42"/>
  <c r="M175" i="42"/>
  <c r="N133" i="42"/>
  <c r="L181" i="42"/>
  <c r="L177" i="42"/>
  <c r="O133" i="42"/>
  <c r="L171" i="42"/>
  <c r="N181" i="42"/>
  <c r="L113" i="42"/>
  <c r="K101" i="42"/>
  <c r="L133" i="42"/>
  <c r="I133" i="42"/>
  <c r="H43" i="42"/>
  <c r="H87" i="42"/>
  <c r="H167" i="42"/>
  <c r="N89" i="30"/>
  <c r="N81" i="30"/>
  <c r="N73" i="30"/>
  <c r="N65" i="30"/>
  <c r="N41" i="30"/>
  <c r="J195" i="42"/>
  <c r="M200" i="42"/>
  <c r="M60" i="42"/>
  <c r="I51" i="42"/>
  <c r="K43" i="42"/>
  <c r="I26" i="42"/>
  <c r="I27" i="42"/>
  <c r="I119" i="42"/>
  <c r="I180" i="42"/>
  <c r="O187" i="42"/>
  <c r="P103" i="42"/>
  <c r="P60" i="42"/>
  <c r="J95" i="42"/>
  <c r="J59" i="42"/>
  <c r="O51" i="42"/>
  <c r="J43" i="42"/>
  <c r="J56" i="42"/>
  <c r="P56" i="42"/>
  <c r="O35" i="42"/>
  <c r="P99" i="42"/>
  <c r="L51" i="42"/>
  <c r="H143" i="42"/>
  <c r="K176" i="42"/>
  <c r="J103" i="42"/>
  <c r="I43" i="42"/>
  <c r="K19" i="42"/>
  <c r="N27" i="42"/>
  <c r="P38" i="42"/>
  <c r="L27" i="42"/>
  <c r="L58" i="42"/>
  <c r="D5652" i="16"/>
  <c r="Y5647" i="16"/>
  <c r="Y5650" i="16" s="1"/>
  <c r="Y5656" i="16" s="1"/>
  <c r="AA5656" i="16"/>
  <c r="D5655" i="16"/>
  <c r="D4331" i="16"/>
  <c r="Y4327" i="16"/>
  <c r="Y4330" i="16" s="1"/>
  <c r="Y4336" i="16" s="1"/>
  <c r="AA4336" i="16"/>
  <c r="AA4332" i="16"/>
  <c r="AA4331" i="16"/>
  <c r="D4333" i="16"/>
  <c r="D4332" i="16"/>
  <c r="AA4276" i="16"/>
  <c r="AA4271" i="16"/>
  <c r="D4273" i="16"/>
  <c r="D4272" i="16"/>
  <c r="AA4272" i="16"/>
  <c r="D4271" i="16"/>
  <c r="Y4267" i="16"/>
  <c r="Y4270" i="16" s="1"/>
  <c r="Y4276" i="16" s="1"/>
  <c r="AA4216" i="16"/>
  <c r="AA4212" i="16"/>
  <c r="AA4211" i="16"/>
  <c r="D4213" i="16"/>
  <c r="D4212" i="16"/>
  <c r="D4211" i="16"/>
  <c r="Y4207" i="16"/>
  <c r="Y4210" i="16" s="1"/>
  <c r="Y4216" i="16" s="1"/>
  <c r="AA4151" i="16"/>
  <c r="D4153" i="16"/>
  <c r="D4152" i="16"/>
  <c r="AA4156" i="16"/>
  <c r="AA4152" i="16"/>
  <c r="D4151" i="16"/>
  <c r="Y4147" i="16"/>
  <c r="Y4150" i="16" s="1"/>
  <c r="Y4156" i="16" s="1"/>
  <c r="AA4096" i="16"/>
  <c r="AA4092" i="16"/>
  <c r="AA4091" i="16"/>
  <c r="D4091" i="16"/>
  <c r="Y4087" i="16"/>
  <c r="Y4090" i="16" s="1"/>
  <c r="Y4096" i="16" s="1"/>
  <c r="D4092" i="16"/>
  <c r="D4093" i="16"/>
  <c r="D3403" i="16"/>
  <c r="AA3403" i="16"/>
  <c r="AA3405" i="16"/>
  <c r="D3404" i="16"/>
  <c r="I3398" i="16"/>
  <c r="Y3397" i="16"/>
  <c r="Y3400" i="16" s="1"/>
  <c r="Y3406" i="16" s="1"/>
  <c r="D4001" i="16"/>
  <c r="Y3997" i="16"/>
  <c r="Y4000" i="16" s="1"/>
  <c r="Y4006" i="16" s="1"/>
  <c r="AA4002" i="16"/>
  <c r="D3433" i="16"/>
  <c r="I3428" i="16"/>
  <c r="Y3427" i="16"/>
  <c r="Y3430" i="16" s="1"/>
  <c r="Y3436" i="16" s="1"/>
  <c r="AA3433" i="16"/>
  <c r="AA3435" i="16"/>
  <c r="D3434" i="16"/>
  <c r="D3493" i="16"/>
  <c r="AA3495" i="16"/>
  <c r="D3494" i="16"/>
  <c r="I3488" i="16"/>
  <c r="Y3487" i="16"/>
  <c r="Y3490" i="16" s="1"/>
  <c r="Y3496" i="16" s="1"/>
  <c r="AA3493" i="16"/>
  <c r="D2623" i="16"/>
  <c r="AA2625" i="16"/>
  <c r="Y2617" i="16"/>
  <c r="Y2620" i="16" s="1"/>
  <c r="Y2626" i="16" s="1"/>
  <c r="AA2623" i="16"/>
  <c r="AA2626" i="16"/>
  <c r="D2624" i="16"/>
  <c r="I2618" i="16"/>
  <c r="D3073" i="16"/>
  <c r="I3068" i="16"/>
  <c r="AA3075" i="16"/>
  <c r="D3074" i="16"/>
  <c r="Y3067" i="16"/>
  <c r="Y3070" i="16" s="1"/>
  <c r="Y3076" i="16" s="1"/>
  <c r="AA3073" i="16"/>
  <c r="D3163" i="16"/>
  <c r="AA3163" i="16"/>
  <c r="I3158" i="16"/>
  <c r="Y3157" i="16"/>
  <c r="Y3160" i="16" s="1"/>
  <c r="Y3166" i="16" s="1"/>
  <c r="AA3165" i="16"/>
  <c r="D3164" i="16"/>
  <c r="D3133" i="16"/>
  <c r="AA3133" i="16"/>
  <c r="I3128" i="16"/>
  <c r="AA3135" i="16"/>
  <c r="D3134" i="16"/>
  <c r="Y3127" i="16"/>
  <c r="Y3130" i="16" s="1"/>
  <c r="Y3136" i="16" s="1"/>
  <c r="D2653" i="16"/>
  <c r="AA2655" i="16"/>
  <c r="D2654" i="16"/>
  <c r="I2648" i="16"/>
  <c r="AA2656" i="16"/>
  <c r="AA2653" i="16"/>
  <c r="Y2647" i="16"/>
  <c r="Y2650" i="16" s="1"/>
  <c r="Y2656" i="16" s="1"/>
  <c r="I3313" i="16"/>
  <c r="E3313" i="16"/>
  <c r="D2803" i="16"/>
  <c r="AA2803" i="16"/>
  <c r="I2798" i="16"/>
  <c r="Y2797" i="16"/>
  <c r="Y2800" i="16" s="1"/>
  <c r="Y2806" i="16" s="1"/>
  <c r="D2804" i="16"/>
  <c r="AA2805" i="16"/>
  <c r="D2773" i="16"/>
  <c r="I2768" i="16"/>
  <c r="AA2775" i="16"/>
  <c r="D2774" i="16"/>
  <c r="Y2767" i="16"/>
  <c r="Y2770" i="16" s="1"/>
  <c r="Y2776" i="16" s="1"/>
  <c r="AA2773" i="16"/>
  <c r="D2503" i="16"/>
  <c r="AA2503" i="16"/>
  <c r="AA2506" i="16"/>
  <c r="D2504" i="16"/>
  <c r="I2498" i="16"/>
  <c r="AA2505" i="16"/>
  <c r="Y2497" i="16"/>
  <c r="Y2500" i="16" s="1"/>
  <c r="Y2506" i="16" s="1"/>
  <c r="Y6007" i="16"/>
  <c r="Y6010" i="16" s="1"/>
  <c r="Y6016" i="16" s="1"/>
  <c r="D6010" i="16"/>
  <c r="AB5893" i="16"/>
  <c r="AD5893" i="16" s="1"/>
  <c r="G5892" i="16"/>
  <c r="H5892" i="16"/>
  <c r="AA5386" i="16"/>
  <c r="D5383" i="16"/>
  <c r="D5381" i="16"/>
  <c r="D5382" i="16"/>
  <c r="I5378" i="16"/>
  <c r="D5385" i="16"/>
  <c r="D5380" i="16"/>
  <c r="AA5385" i="16"/>
  <c r="AA5383" i="16"/>
  <c r="Y5377" i="16"/>
  <c r="Y5380" i="16" s="1"/>
  <c r="Y5386" i="16" s="1"/>
  <c r="AA5326" i="16"/>
  <c r="AA5325" i="16"/>
  <c r="AA5323" i="16"/>
  <c r="D5325" i="16"/>
  <c r="D5323" i="16"/>
  <c r="Y5317" i="16"/>
  <c r="Y5320" i="16" s="1"/>
  <c r="Y5326" i="16" s="1"/>
  <c r="D5321" i="16"/>
  <c r="I5318" i="16"/>
  <c r="D5322" i="16"/>
  <c r="D5320" i="16"/>
  <c r="AA4936" i="16"/>
  <c r="D4934" i="16"/>
  <c r="Y4927" i="16"/>
  <c r="Y4930" i="16" s="1"/>
  <c r="Y4936" i="16" s="1"/>
  <c r="D4905" i="16"/>
  <c r="AA4906" i="16"/>
  <c r="Y4897" i="16"/>
  <c r="Y4900" i="16" s="1"/>
  <c r="Y4906" i="16" s="1"/>
  <c r="D4481" i="16"/>
  <c r="Y4477" i="16"/>
  <c r="Y4480" i="16" s="1"/>
  <c r="Y4486" i="16" s="1"/>
  <c r="AA4482" i="16"/>
  <c r="AA4516" i="16"/>
  <c r="AA4512" i="16"/>
  <c r="D4511" i="16"/>
  <c r="Y4507" i="16"/>
  <c r="Y4510" i="16" s="1"/>
  <c r="Y4516" i="16" s="1"/>
  <c r="AA4511" i="16"/>
  <c r="D4513" i="16"/>
  <c r="D4512" i="16"/>
  <c r="D4815" i="16"/>
  <c r="Y4807" i="16"/>
  <c r="Y4810" i="16" s="1"/>
  <c r="Y4816" i="16" s="1"/>
  <c r="AA4816" i="16"/>
  <c r="D4875" i="16"/>
  <c r="Y4867" i="16"/>
  <c r="Y4870" i="16" s="1"/>
  <c r="Y4876" i="16" s="1"/>
  <c r="AA4876" i="16"/>
  <c r="D4605" i="16"/>
  <c r="Y4597" i="16"/>
  <c r="Y4600" i="16" s="1"/>
  <c r="Y4606" i="16" s="1"/>
  <c r="AA4606" i="16"/>
  <c r="D3523" i="16"/>
  <c r="AA3523" i="16"/>
  <c r="AA3525" i="16"/>
  <c r="D3524" i="16"/>
  <c r="I3518" i="16"/>
  <c r="Y3517" i="16"/>
  <c r="Y3520" i="16" s="1"/>
  <c r="Y3526" i="16" s="1"/>
  <c r="D4032" i="16"/>
  <c r="AA4036" i="16"/>
  <c r="AA4032" i="16"/>
  <c r="D4031" i="16"/>
  <c r="Y4027" i="16"/>
  <c r="Y4030" i="16" s="1"/>
  <c r="Y4036" i="16" s="1"/>
  <c r="AA4031" i="16"/>
  <c r="D4033" i="16"/>
  <c r="D3973" i="16"/>
  <c r="D3972" i="16"/>
  <c r="D3971" i="16"/>
  <c r="Y3967" i="16"/>
  <c r="Y3970" i="16" s="1"/>
  <c r="Y3976" i="16" s="1"/>
  <c r="AA3976" i="16"/>
  <c r="AA3972" i="16"/>
  <c r="AA3971" i="16"/>
  <c r="D3912" i="16"/>
  <c r="AA3916" i="16"/>
  <c r="AA3912" i="16"/>
  <c r="D3911" i="16"/>
  <c r="Y3907" i="16"/>
  <c r="Y3910" i="16" s="1"/>
  <c r="Y3916" i="16" s="1"/>
  <c r="AA3911" i="16"/>
  <c r="D3913" i="16"/>
  <c r="D3223" i="16"/>
  <c r="Y3217" i="16"/>
  <c r="Y3220" i="16" s="1"/>
  <c r="Y3226" i="16" s="1"/>
  <c r="AA3225" i="16"/>
  <c r="D3224" i="16"/>
  <c r="AA3223" i="16"/>
  <c r="I3218" i="16"/>
  <c r="D3883" i="16"/>
  <c r="D3882" i="16"/>
  <c r="Y3877" i="16"/>
  <c r="Y3880" i="16" s="1"/>
  <c r="Y3886" i="16" s="1"/>
  <c r="D3043" i="16"/>
  <c r="Y3037" i="16"/>
  <c r="Y3040" i="16" s="1"/>
  <c r="Y3046" i="16" s="1"/>
  <c r="AA3045" i="16"/>
  <c r="D3044" i="16"/>
  <c r="AA3043" i="16"/>
  <c r="I3038" i="16"/>
  <c r="D3013" i="16"/>
  <c r="AA3015" i="16"/>
  <c r="D3014" i="16"/>
  <c r="Y3007" i="16"/>
  <c r="Y3010" i="16" s="1"/>
  <c r="Y3016" i="16" s="1"/>
  <c r="AA3013" i="16"/>
  <c r="I3008" i="16"/>
  <c r="D3343" i="16"/>
  <c r="AA3345" i="16"/>
  <c r="D3344" i="16"/>
  <c r="AA3343" i="16"/>
  <c r="Y3337" i="16"/>
  <c r="Y3340" i="16" s="1"/>
  <c r="Y3346" i="16" s="1"/>
  <c r="I3338" i="16"/>
  <c r="AA2475" i="16"/>
  <c r="D2474" i="16"/>
  <c r="AA2472" i="16"/>
  <c r="AA2471" i="16"/>
  <c r="I2468" i="16"/>
  <c r="Y2467" i="16"/>
  <c r="Y2470" i="16" s="1"/>
  <c r="Y2476" i="16" s="1"/>
  <c r="AA2476" i="16"/>
  <c r="D2473" i="16"/>
  <c r="D2472" i="16"/>
  <c r="D2893" i="16"/>
  <c r="I2888" i="16"/>
  <c r="AA2895" i="16"/>
  <c r="D2894" i="16"/>
  <c r="Y2887" i="16"/>
  <c r="Y2890" i="16" s="1"/>
  <c r="Y2896" i="16" s="1"/>
  <c r="AA2893" i="16"/>
  <c r="AA946" i="16"/>
  <c r="D944" i="16"/>
  <c r="AA945" i="16"/>
  <c r="AA943" i="16"/>
  <c r="I938" i="16"/>
  <c r="Y937" i="16"/>
  <c r="Y940" i="16" s="1"/>
  <c r="Y946" i="16" s="1"/>
  <c r="AA916" i="16"/>
  <c r="D914" i="16"/>
  <c r="AA915" i="16"/>
  <c r="AA913" i="16"/>
  <c r="I908" i="16"/>
  <c r="Y907" i="16"/>
  <c r="Y910" i="16" s="1"/>
  <c r="Y916" i="16" s="1"/>
  <c r="AA886" i="16"/>
  <c r="D884" i="16"/>
  <c r="AA885" i="16"/>
  <c r="AA883" i="16"/>
  <c r="I878" i="16"/>
  <c r="Y877" i="16"/>
  <c r="Y880" i="16" s="1"/>
  <c r="Y886" i="16" s="1"/>
  <c r="AA856" i="16"/>
  <c r="D854" i="16"/>
  <c r="AA855" i="16"/>
  <c r="AA853" i="16"/>
  <c r="I848" i="16"/>
  <c r="Y847" i="16"/>
  <c r="Y850" i="16" s="1"/>
  <c r="Y856" i="16" s="1"/>
  <c r="D255" i="16"/>
  <c r="Y247" i="16"/>
  <c r="Y250" i="16" s="1"/>
  <c r="Y256" i="16" s="1"/>
  <c r="AA256" i="16"/>
  <c r="AA226" i="16"/>
  <c r="AD226" i="16" s="1"/>
  <c r="Y217" i="16"/>
  <c r="Y220" i="16" s="1"/>
  <c r="Y226" i="16" s="1"/>
  <c r="AA1244" i="16"/>
  <c r="D1242" i="16"/>
  <c r="AA1246" i="16"/>
  <c r="Y1237" i="16"/>
  <c r="Y1240" i="16" s="1"/>
  <c r="Y1246" i="16" s="1"/>
  <c r="D1243" i="16"/>
  <c r="AA1066" i="16"/>
  <c r="D1064" i="16"/>
  <c r="AA1063" i="16"/>
  <c r="Y1057" i="16"/>
  <c r="Y1060" i="16" s="1"/>
  <c r="Y1066" i="16" s="1"/>
  <c r="AA1065" i="16"/>
  <c r="I1058" i="16"/>
  <c r="D5981" i="16"/>
  <c r="Y5977" i="16"/>
  <c r="Y5980" i="16" s="1"/>
  <c r="Y5986" i="16" s="1"/>
  <c r="D5625" i="16"/>
  <c r="D5620" i="16"/>
  <c r="AA5626" i="16"/>
  <c r="AA5621" i="16"/>
  <c r="D5203" i="16"/>
  <c r="D5201" i="16"/>
  <c r="D4451" i="16"/>
  <c r="Y4447" i="16"/>
  <c r="Y4450" i="16" s="1"/>
  <c r="Y4456" i="16" s="1"/>
  <c r="AA4456" i="16"/>
  <c r="AA4452" i="16"/>
  <c r="AA4451" i="16"/>
  <c r="D4452" i="16"/>
  <c r="D4453" i="16"/>
  <c r="AA5266" i="16"/>
  <c r="AA5263" i="16"/>
  <c r="D5262" i="16"/>
  <c r="D5265" i="16"/>
  <c r="AA5265" i="16"/>
  <c r="D5261" i="16"/>
  <c r="I5258" i="16"/>
  <c r="D5260" i="16"/>
  <c r="D5263" i="16"/>
  <c r="Y5257" i="16"/>
  <c r="Y5260" i="16" s="1"/>
  <c r="Y5266" i="16" s="1"/>
  <c r="D4725" i="16"/>
  <c r="Y4717" i="16"/>
  <c r="Y4720" i="16" s="1"/>
  <c r="Y4726" i="16" s="1"/>
  <c r="AA4726" i="16"/>
  <c r="D4635" i="16"/>
  <c r="Y4627" i="16"/>
  <c r="Y4630" i="16" s="1"/>
  <c r="Y4636" i="16" s="1"/>
  <c r="AA4636" i="16"/>
  <c r="AA4396" i="16"/>
  <c r="AA4392" i="16"/>
  <c r="D4391" i="16"/>
  <c r="Y4387" i="16"/>
  <c r="Y4390" i="16" s="1"/>
  <c r="Y4396" i="16" s="1"/>
  <c r="AA4391" i="16"/>
  <c r="D4393" i="16"/>
  <c r="D4392" i="16"/>
  <c r="D3553" i="16"/>
  <c r="I3548" i="16"/>
  <c r="Y3547" i="16"/>
  <c r="Y3550" i="16" s="1"/>
  <c r="Y3556" i="16" s="1"/>
  <c r="AA3553" i="16"/>
  <c r="AA3555" i="16"/>
  <c r="D3554" i="16"/>
  <c r="D3463" i="16"/>
  <c r="AA3465" i="16"/>
  <c r="D3464" i="16"/>
  <c r="I3458" i="16"/>
  <c r="Y3457" i="16"/>
  <c r="Y3460" i="16" s="1"/>
  <c r="Y3466" i="16" s="1"/>
  <c r="AA3463" i="16"/>
  <c r="D2683" i="16"/>
  <c r="AA2683" i="16"/>
  <c r="Y2677" i="16"/>
  <c r="Y2680" i="16" s="1"/>
  <c r="Y2686" i="16" s="1"/>
  <c r="D2684" i="16"/>
  <c r="I2678" i="16"/>
  <c r="AA2685" i="16"/>
  <c r="D3283" i="16"/>
  <c r="AA3283" i="16"/>
  <c r="AA3285" i="16"/>
  <c r="D3284" i="16"/>
  <c r="I3278" i="16"/>
  <c r="Y3277" i="16"/>
  <c r="Y3280" i="16" s="1"/>
  <c r="Y3286" i="16" s="1"/>
  <c r="D3253" i="16"/>
  <c r="I3248" i="16"/>
  <c r="AA3255" i="16"/>
  <c r="D3254" i="16"/>
  <c r="Y3247" i="16"/>
  <c r="Y3250" i="16" s="1"/>
  <c r="Y3256" i="16" s="1"/>
  <c r="AA3253" i="16"/>
  <c r="D2563" i="16"/>
  <c r="AA2565" i="16"/>
  <c r="Y2557" i="16"/>
  <c r="Y2560" i="16" s="1"/>
  <c r="Y2566" i="16" s="1"/>
  <c r="AA2563" i="16"/>
  <c r="AA2566" i="16"/>
  <c r="D2564" i="16"/>
  <c r="I2558" i="16"/>
  <c r="AA2445" i="16"/>
  <c r="D2444" i="16"/>
  <c r="AA2442" i="16"/>
  <c r="AA2441" i="16"/>
  <c r="I2438" i="16"/>
  <c r="Y2437" i="16"/>
  <c r="Y2440" i="16" s="1"/>
  <c r="Y2446" i="16" s="1"/>
  <c r="AA2446" i="16"/>
  <c r="D2443" i="16"/>
  <c r="D2442" i="16"/>
  <c r="AA281" i="16"/>
  <c r="Y277" i="16"/>
  <c r="Y280" i="16" s="1"/>
  <c r="Y286" i="16" s="1"/>
  <c r="AA826" i="16"/>
  <c r="AA825" i="16"/>
  <c r="AA823" i="16"/>
  <c r="I818" i="16"/>
  <c r="Y817" i="16"/>
  <c r="Y820" i="16" s="1"/>
  <c r="Y826" i="16" s="1"/>
  <c r="D824" i="16"/>
  <c r="AD3314" i="16"/>
  <c r="D4755" i="16"/>
  <c r="Y4747" i="16"/>
  <c r="Y4750" i="16" s="1"/>
  <c r="Y4756" i="16" s="1"/>
  <c r="AA4756" i="16"/>
  <c r="D4361" i="16"/>
  <c r="Y4357" i="16"/>
  <c r="Y4360" i="16" s="1"/>
  <c r="Y4366" i="16" s="1"/>
  <c r="AA4362" i="16"/>
  <c r="AA4242" i="16"/>
  <c r="D4241" i="16"/>
  <c r="Y4237" i="16"/>
  <c r="Y4240" i="16" s="1"/>
  <c r="Y4246" i="16" s="1"/>
  <c r="AA4122" i="16"/>
  <c r="D4121" i="16"/>
  <c r="Y4117" i="16"/>
  <c r="Y4120" i="16" s="1"/>
  <c r="Y4126" i="16" s="1"/>
  <c r="D3585" i="16"/>
  <c r="I3578" i="16"/>
  <c r="Y3577" i="16"/>
  <c r="Y3580" i="16" s="1"/>
  <c r="Y3586" i="16" s="1"/>
  <c r="AA3584" i="16"/>
  <c r="D3373" i="16"/>
  <c r="AA3375" i="16"/>
  <c r="D3374" i="16"/>
  <c r="I3368" i="16"/>
  <c r="Y3367" i="16"/>
  <c r="Y3370" i="16" s="1"/>
  <c r="Y3376" i="16" s="1"/>
  <c r="AA3373" i="16"/>
  <c r="D3193" i="16"/>
  <c r="AA3193" i="16"/>
  <c r="AA3195" i="16"/>
  <c r="D3194" i="16"/>
  <c r="Y3187" i="16"/>
  <c r="Y3190" i="16" s="1"/>
  <c r="Y3196" i="16" s="1"/>
  <c r="I3188" i="16"/>
  <c r="D3103" i="16"/>
  <c r="AA3103" i="16"/>
  <c r="I3098" i="16"/>
  <c r="Y3097" i="16"/>
  <c r="Y3100" i="16" s="1"/>
  <c r="Y3106" i="16" s="1"/>
  <c r="AA3105" i="16"/>
  <c r="D3104" i="16"/>
  <c r="D2593" i="16"/>
  <c r="AA2595" i="16"/>
  <c r="D2594" i="16"/>
  <c r="I2588" i="16"/>
  <c r="AA2596" i="16"/>
  <c r="AA2593" i="16"/>
  <c r="Y2587" i="16"/>
  <c r="Y2590" i="16" s="1"/>
  <c r="Y2596" i="16" s="1"/>
  <c r="AA1126" i="16"/>
  <c r="D1124" i="16"/>
  <c r="AA1123" i="16"/>
  <c r="I1118" i="16"/>
  <c r="Y1117" i="16"/>
  <c r="Y1120" i="16" s="1"/>
  <c r="Y1126" i="16" s="1"/>
  <c r="AA1125" i="16"/>
  <c r="AA1096" i="16"/>
  <c r="D1094" i="16"/>
  <c r="AA1093" i="16"/>
  <c r="I1088" i="16"/>
  <c r="Y1087" i="16"/>
  <c r="Y1090" i="16" s="1"/>
  <c r="Y1096" i="16" s="1"/>
  <c r="AA1095" i="16"/>
  <c r="D2923" i="16"/>
  <c r="AA2923" i="16"/>
  <c r="I2918" i="16"/>
  <c r="Y2917" i="16"/>
  <c r="Y2920" i="16" s="1"/>
  <c r="Y2926" i="16" s="1"/>
  <c r="D2924" i="16"/>
  <c r="AA2925" i="16"/>
  <c r="J2534" i="16"/>
  <c r="H2534" i="16"/>
  <c r="AA976" i="16"/>
  <c r="D974" i="16"/>
  <c r="AA975" i="16"/>
  <c r="AA973" i="16"/>
  <c r="I968" i="16"/>
  <c r="Y967" i="16"/>
  <c r="Y970" i="16" s="1"/>
  <c r="Y976" i="16" s="1"/>
  <c r="H61" i="42"/>
  <c r="H89" i="42"/>
  <c r="H108" i="42"/>
  <c r="H149" i="42"/>
  <c r="K193" i="42"/>
  <c r="P181" i="42"/>
  <c r="N193" i="42"/>
  <c r="K179" i="42"/>
  <c r="P177" i="42"/>
  <c r="K175" i="42"/>
  <c r="I55" i="42"/>
  <c r="J39" i="42"/>
  <c r="O23" i="42"/>
  <c r="E114" i="33"/>
  <c r="F114" i="33" s="1"/>
  <c r="N23" i="42"/>
  <c r="E77" i="33"/>
  <c r="F77" i="33" s="1"/>
  <c r="E183" i="33"/>
  <c r="F183" i="33" s="1"/>
  <c r="E113" i="33"/>
  <c r="F113" i="33" s="1"/>
  <c r="M23" i="42"/>
  <c r="E159" i="33"/>
  <c r="F159" i="33" s="1"/>
  <c r="E165" i="33"/>
  <c r="F165" i="33" s="1"/>
  <c r="P117" i="42"/>
  <c r="E98" i="33"/>
  <c r="F98" i="33" s="1"/>
  <c r="E93" i="33"/>
  <c r="F93" i="33" s="1"/>
  <c r="N47" i="42"/>
  <c r="E166" i="33"/>
  <c r="F166" i="33" s="1"/>
  <c r="E124" i="33"/>
  <c r="F124" i="33" s="1"/>
  <c r="E119" i="33"/>
  <c r="F119" i="33" s="1"/>
  <c r="E140" i="33"/>
  <c r="F140" i="33" s="1"/>
  <c r="M39" i="42"/>
  <c r="E115" i="33"/>
  <c r="F115" i="33" s="1"/>
  <c r="N117" i="42"/>
  <c r="E216" i="33"/>
  <c r="F216" i="33" s="1"/>
  <c r="E99" i="33"/>
  <c r="F99" i="33" s="1"/>
  <c r="O179" i="42"/>
  <c r="L101" i="42"/>
  <c r="N101" i="42"/>
  <c r="P39" i="42"/>
  <c r="E217" i="33"/>
  <c r="F217" i="33" s="1"/>
  <c r="E87" i="33"/>
  <c r="F87" i="33" s="1"/>
  <c r="E116" i="33"/>
  <c r="F116" i="33" s="1"/>
  <c r="L23" i="42"/>
  <c r="E155" i="33"/>
  <c r="F155" i="33" s="1"/>
  <c r="E152" i="33"/>
  <c r="F152" i="33" s="1"/>
  <c r="E91" i="33"/>
  <c r="F91" i="33" s="1"/>
  <c r="E212" i="33"/>
  <c r="F212" i="33" s="1"/>
  <c r="E133" i="33"/>
  <c r="F133" i="33" s="1"/>
  <c r="E192" i="33"/>
  <c r="F192" i="33" s="1"/>
  <c r="E48" i="33"/>
  <c r="F48" i="33" s="1"/>
  <c r="E85" i="33"/>
  <c r="F85" i="33" s="1"/>
  <c r="E136" i="33"/>
  <c r="F136" i="33" s="1"/>
  <c r="E179" i="33"/>
  <c r="F179" i="33" s="1"/>
  <c r="E76" i="33"/>
  <c r="F76" i="33" s="1"/>
  <c r="E83" i="33"/>
  <c r="F83" i="33" s="1"/>
  <c r="I181" i="42"/>
  <c r="K181" i="42"/>
  <c r="I177" i="42"/>
  <c r="M177" i="42"/>
  <c r="I175" i="42"/>
  <c r="J175" i="42"/>
  <c r="N171" i="42"/>
  <c r="I171" i="42"/>
  <c r="M163" i="42"/>
  <c r="P163" i="42"/>
  <c r="O193" i="42"/>
  <c r="I193" i="42"/>
  <c r="I137" i="42"/>
  <c r="P137" i="42"/>
  <c r="I129" i="42"/>
  <c r="P129" i="42"/>
  <c r="J125" i="42"/>
  <c r="O125" i="42"/>
  <c r="J121" i="42"/>
  <c r="M121" i="42"/>
  <c r="N121" i="42"/>
  <c r="K109" i="42"/>
  <c r="N109" i="42"/>
  <c r="O105" i="42"/>
  <c r="M105" i="42"/>
  <c r="K105" i="42"/>
  <c r="N105" i="42"/>
  <c r="P97" i="42"/>
  <c r="J97" i="42"/>
  <c r="O93" i="42"/>
  <c r="K93" i="42"/>
  <c r="L93" i="42"/>
  <c r="N93" i="42"/>
  <c r="H49" i="42"/>
  <c r="H57" i="42"/>
  <c r="H65" i="42"/>
  <c r="H73" i="42"/>
  <c r="H81" i="42"/>
  <c r="H85" i="42"/>
  <c r="H93" i="42"/>
  <c r="P55" i="42"/>
  <c r="N55" i="42"/>
  <c r="M55" i="42"/>
  <c r="J55" i="42"/>
  <c r="L47" i="42"/>
  <c r="J47" i="42"/>
  <c r="K47" i="42"/>
  <c r="R47" i="42" s="1"/>
  <c r="L39" i="42"/>
  <c r="K39" i="42"/>
  <c r="I39" i="42"/>
  <c r="O39" i="42"/>
  <c r="K31" i="42"/>
  <c r="I31" i="42"/>
  <c r="J31" i="42"/>
  <c r="M31" i="42"/>
  <c r="P31" i="42"/>
  <c r="K23" i="42"/>
  <c r="J23" i="42"/>
  <c r="J34" i="39"/>
  <c r="E102" i="33"/>
  <c r="F102" i="33" s="1"/>
  <c r="E79" i="33"/>
  <c r="F79" i="33" s="1"/>
  <c r="E139" i="33"/>
  <c r="F139" i="33" s="1"/>
  <c r="E147" i="33"/>
  <c r="F147" i="33" s="1"/>
  <c r="E134" i="33"/>
  <c r="F134" i="33" s="1"/>
  <c r="E100" i="33"/>
  <c r="F100" i="33" s="1"/>
  <c r="E201" i="33"/>
  <c r="F201" i="33" s="1"/>
  <c r="E64" i="33"/>
  <c r="F64" i="33" s="1"/>
  <c r="E154" i="33"/>
  <c r="F154" i="33" s="1"/>
  <c r="E107" i="33"/>
  <c r="F107" i="33" s="1"/>
  <c r="E92" i="33"/>
  <c r="F92" i="33" s="1"/>
  <c r="E146" i="33"/>
  <c r="F146" i="33" s="1"/>
  <c r="E101" i="33"/>
  <c r="F101" i="33" s="1"/>
  <c r="E120" i="33"/>
  <c r="F120" i="33" s="1"/>
  <c r="E110" i="33"/>
  <c r="F110" i="33" s="1"/>
  <c r="E144" i="33"/>
  <c r="F144" i="33" s="1"/>
  <c r="E117" i="33"/>
  <c r="F117" i="33" s="1"/>
  <c r="E111" i="33"/>
  <c r="F111" i="33" s="1"/>
  <c r="E78" i="33"/>
  <c r="F78" i="33" s="1"/>
  <c r="E97" i="33"/>
  <c r="F97" i="33" s="1"/>
  <c r="E137" i="33"/>
  <c r="F137" i="33" s="1"/>
  <c r="E156" i="33"/>
  <c r="F156" i="33" s="1"/>
  <c r="E194" i="33"/>
  <c r="F194" i="33" s="1"/>
  <c r="E164" i="33"/>
  <c r="F164" i="33" s="1"/>
  <c r="E84" i="33"/>
  <c r="F84" i="33" s="1"/>
  <c r="E153" i="33"/>
  <c r="F153" i="33" s="1"/>
  <c r="E135" i="33"/>
  <c r="F135" i="33" s="1"/>
  <c r="E122" i="33"/>
  <c r="F122" i="33" s="1"/>
  <c r="E191" i="33"/>
  <c r="F191" i="33" s="1"/>
  <c r="E81" i="33"/>
  <c r="F81" i="33" s="1"/>
  <c r="E193" i="33"/>
  <c r="F193" i="33" s="1"/>
  <c r="E118" i="33"/>
  <c r="F118" i="33" s="1"/>
  <c r="E129" i="33"/>
  <c r="F129" i="33" s="1"/>
  <c r="E181" i="33"/>
  <c r="F181" i="33" s="1"/>
  <c r="E108" i="33"/>
  <c r="F108" i="33" s="1"/>
  <c r="E175" i="33"/>
  <c r="F175" i="33" s="1"/>
  <c r="E80" i="33"/>
  <c r="F80" i="33" s="1"/>
  <c r="E127" i="33"/>
  <c r="F127" i="33" s="1"/>
  <c r="E75" i="33"/>
  <c r="F75" i="33" s="1"/>
  <c r="E103" i="33"/>
  <c r="F103" i="33" s="1"/>
  <c r="E95" i="33"/>
  <c r="F95" i="33" s="1"/>
  <c r="E170" i="33"/>
  <c r="F170" i="33" s="1"/>
  <c r="E209" i="33"/>
  <c r="F209" i="33" s="1"/>
  <c r="E190" i="33"/>
  <c r="F190" i="33" s="1"/>
  <c r="E218" i="33"/>
  <c r="F218" i="33" s="1"/>
  <c r="E141" i="33"/>
  <c r="F141" i="33" s="1"/>
  <c r="E173" i="33"/>
  <c r="F173" i="33" s="1"/>
  <c r="E157" i="33"/>
  <c r="F157" i="33" s="1"/>
  <c r="E199" i="33"/>
  <c r="F199" i="33" s="1"/>
  <c r="E88" i="33"/>
  <c r="F88" i="33" s="1"/>
  <c r="E162" i="33"/>
  <c r="F162" i="33" s="1"/>
  <c r="E121" i="33"/>
  <c r="F121" i="33" s="1"/>
  <c r="E149" i="33"/>
  <c r="F149" i="33" s="1"/>
  <c r="E161" i="33"/>
  <c r="F161" i="33" s="1"/>
  <c r="E82" i="33"/>
  <c r="F82" i="33" s="1"/>
  <c r="E86" i="33"/>
  <c r="F86" i="33" s="1"/>
  <c r="E105" i="33"/>
  <c r="F105" i="33" s="1"/>
  <c r="E145" i="33"/>
  <c r="F145" i="33" s="1"/>
  <c r="E160" i="33"/>
  <c r="F160" i="33" s="1"/>
  <c r="E158" i="33"/>
  <c r="F158" i="33" s="1"/>
  <c r="E109" i="33"/>
  <c r="F109" i="33" s="1"/>
  <c r="E204" i="33"/>
  <c r="F204" i="33" s="1"/>
  <c r="E74" i="33"/>
  <c r="F74" i="33" s="1"/>
  <c r="E189" i="33"/>
  <c r="F189" i="33" s="1"/>
  <c r="E151" i="33"/>
  <c r="F151" i="33" s="1"/>
  <c r="E215" i="33"/>
  <c r="F215" i="33" s="1"/>
  <c r="E211" i="33"/>
  <c r="F211" i="33" s="1"/>
  <c r="E186" i="33"/>
  <c r="F186" i="33" s="1"/>
  <c r="E182" i="33"/>
  <c r="F182" i="33" s="1"/>
  <c r="E178" i="33"/>
  <c r="F178" i="33" s="1"/>
  <c r="E174" i="33"/>
  <c r="F174" i="33" s="1"/>
  <c r="E70" i="33"/>
  <c r="F70" i="33" s="1"/>
  <c r="E62" i="33"/>
  <c r="F62" i="33" s="1"/>
  <c r="E54" i="33"/>
  <c r="F54" i="33" s="1"/>
  <c r="E46" i="33"/>
  <c r="F46" i="33" s="1"/>
  <c r="E38" i="33"/>
  <c r="F38" i="33" s="1"/>
  <c r="E73" i="33"/>
  <c r="F73" i="33" s="1"/>
  <c r="E69" i="33"/>
  <c r="F69" i="33" s="1"/>
  <c r="E65" i="33"/>
  <c r="F65" i="33" s="1"/>
  <c r="E61" i="33"/>
  <c r="F61" i="33" s="1"/>
  <c r="E57" i="33"/>
  <c r="F57" i="33" s="1"/>
  <c r="E53" i="33"/>
  <c r="F53" i="33" s="1"/>
  <c r="E49" i="33"/>
  <c r="F49" i="33" s="1"/>
  <c r="E45" i="33"/>
  <c r="F45" i="33" s="1"/>
  <c r="E41" i="33"/>
  <c r="F41" i="33" s="1"/>
  <c r="E37" i="33"/>
  <c r="F37" i="33" s="1"/>
  <c r="E33" i="33"/>
  <c r="F33" i="33" s="1"/>
  <c r="H21" i="42"/>
  <c r="H25" i="42"/>
  <c r="H29" i="42"/>
  <c r="H19" i="42"/>
  <c r="H23" i="42"/>
  <c r="H27" i="42"/>
  <c r="E196" i="33"/>
  <c r="F196" i="33" s="1"/>
  <c r="E72" i="33"/>
  <c r="F72" i="33" s="1"/>
  <c r="H100" i="42"/>
  <c r="H48" i="42"/>
  <c r="H68" i="42"/>
  <c r="O176" i="42"/>
  <c r="M198" i="42"/>
  <c r="O172" i="42"/>
  <c r="P144" i="42"/>
  <c r="I118" i="42"/>
  <c r="H139" i="42"/>
  <c r="H185" i="42"/>
  <c r="H124" i="42"/>
  <c r="N182" i="42"/>
  <c r="P172" i="42"/>
  <c r="N130" i="42"/>
  <c r="I160" i="42"/>
  <c r="N160" i="42"/>
  <c r="M182" i="42"/>
  <c r="M174" i="42"/>
  <c r="I172" i="42"/>
  <c r="J170" i="42"/>
  <c r="M166" i="42"/>
  <c r="I164" i="42"/>
  <c r="P199" i="42"/>
  <c r="K174" i="42"/>
  <c r="K166" i="42"/>
  <c r="N189" i="42"/>
  <c r="P173" i="42"/>
  <c r="K165" i="42"/>
  <c r="J165" i="42"/>
  <c r="P198" i="42"/>
  <c r="K190" i="42"/>
  <c r="J190" i="42"/>
  <c r="I189" i="42"/>
  <c r="M106" i="42"/>
  <c r="L114" i="42"/>
  <c r="P114" i="42"/>
  <c r="P106" i="42"/>
  <c r="L183" i="42"/>
  <c r="L98" i="42"/>
  <c r="L144" i="42"/>
  <c r="N170" i="42"/>
  <c r="M130" i="42"/>
  <c r="M144" i="42"/>
  <c r="J122" i="42"/>
  <c r="O142" i="42"/>
  <c r="P134" i="42"/>
  <c r="K134" i="42"/>
  <c r="J118" i="42"/>
  <c r="N140" i="42"/>
  <c r="K106" i="42"/>
  <c r="R106" i="42" s="1"/>
  <c r="O138" i="42"/>
  <c r="J110" i="42"/>
  <c r="M150" i="42"/>
  <c r="J148" i="42"/>
  <c r="M146" i="42"/>
  <c r="P156" i="42"/>
  <c r="M154" i="42"/>
  <c r="N152" i="42"/>
  <c r="J158" i="42"/>
  <c r="N122" i="42"/>
  <c r="N168" i="42"/>
  <c r="N198" i="42"/>
  <c r="P138" i="42"/>
  <c r="P158" i="42"/>
  <c r="J144" i="42"/>
  <c r="O168" i="42"/>
  <c r="O164" i="42"/>
  <c r="P152" i="42"/>
  <c r="I131" i="42"/>
  <c r="K58" i="42"/>
  <c r="J48" i="42"/>
  <c r="M50" i="42"/>
  <c r="O48" i="42"/>
  <c r="O195" i="42"/>
  <c r="O200" i="42"/>
  <c r="N50" i="42"/>
  <c r="H31" i="42"/>
  <c r="H194" i="42"/>
  <c r="J123" i="42"/>
  <c r="H59" i="42"/>
  <c r="H112" i="42"/>
  <c r="H141" i="42"/>
  <c r="H145" i="42"/>
  <c r="H157" i="42"/>
  <c r="H165" i="42"/>
  <c r="H147" i="42"/>
  <c r="H151" i="42"/>
  <c r="H159" i="42"/>
  <c r="H163" i="42"/>
  <c r="H171" i="42"/>
  <c r="M185" i="42"/>
  <c r="N185" i="42"/>
  <c r="N139" i="42"/>
  <c r="I139" i="42"/>
  <c r="K135" i="42"/>
  <c r="P135" i="42"/>
  <c r="J135" i="42"/>
  <c r="O135" i="42"/>
  <c r="P131" i="42"/>
  <c r="M131" i="42"/>
  <c r="L131" i="42"/>
  <c r="N131" i="42"/>
  <c r="J127" i="42"/>
  <c r="M127" i="42"/>
  <c r="O127" i="42"/>
  <c r="L103" i="42"/>
  <c r="K103" i="42"/>
  <c r="O103" i="42"/>
  <c r="L187" i="42"/>
  <c r="I187" i="42"/>
  <c r="N187" i="42"/>
  <c r="O58" i="42"/>
  <c r="J58" i="42"/>
  <c r="P58" i="42"/>
  <c r="L52" i="42"/>
  <c r="P52" i="42"/>
  <c r="O52" i="42"/>
  <c r="J52" i="42"/>
  <c r="J46" i="42"/>
  <c r="I46" i="42"/>
  <c r="M46" i="42"/>
  <c r="L46" i="42"/>
  <c r="N46" i="42"/>
  <c r="L40" i="42"/>
  <c r="I40" i="42"/>
  <c r="M40" i="42"/>
  <c r="K40" i="42"/>
  <c r="N40" i="42"/>
  <c r="L34" i="42"/>
  <c r="K34" i="42"/>
  <c r="J34" i="42"/>
  <c r="O34" i="42"/>
  <c r="L28" i="42"/>
  <c r="J28" i="42"/>
  <c r="I28" i="42"/>
  <c r="N28" i="42"/>
  <c r="M28" i="42"/>
  <c r="M24" i="42"/>
  <c r="N24" i="42"/>
  <c r="O24" i="42"/>
  <c r="M20" i="42"/>
  <c r="N20" i="42"/>
  <c r="K20" i="42"/>
  <c r="O20" i="42"/>
  <c r="J20" i="42"/>
  <c r="H35" i="42"/>
  <c r="H67" i="42"/>
  <c r="H75" i="42"/>
  <c r="H91" i="42"/>
  <c r="L59" i="42"/>
  <c r="M59" i="42"/>
  <c r="I59" i="42"/>
  <c r="O59" i="42"/>
  <c r="N51" i="42"/>
  <c r="M51" i="42"/>
  <c r="J51" i="42"/>
  <c r="L43" i="42"/>
  <c r="M43" i="42"/>
  <c r="P43" i="42"/>
  <c r="P35" i="42"/>
  <c r="K35" i="42"/>
  <c r="J35" i="42"/>
  <c r="L35" i="42"/>
  <c r="M35" i="42"/>
  <c r="M27" i="42"/>
  <c r="O27" i="42"/>
  <c r="K27" i="42"/>
  <c r="O19" i="42"/>
  <c r="N19" i="42"/>
  <c r="P19" i="42"/>
  <c r="J19" i="42"/>
  <c r="O180" i="42"/>
  <c r="J180" i="42"/>
  <c r="K159" i="42"/>
  <c r="M159" i="42"/>
  <c r="N123" i="42"/>
  <c r="I123" i="42"/>
  <c r="O123" i="42"/>
  <c r="K119" i="42"/>
  <c r="O119" i="42"/>
  <c r="J119" i="42"/>
  <c r="P115" i="42"/>
  <c r="L115" i="42"/>
  <c r="J115" i="42"/>
  <c r="N115" i="42"/>
  <c r="M111" i="42"/>
  <c r="J111" i="42"/>
  <c r="K111" i="42"/>
  <c r="O111" i="42"/>
  <c r="K107" i="42"/>
  <c r="P107" i="42"/>
  <c r="L95" i="42"/>
  <c r="N95" i="42"/>
  <c r="P95" i="42"/>
  <c r="O60" i="42"/>
  <c r="L60" i="42"/>
  <c r="J60" i="42"/>
  <c r="I60" i="42"/>
  <c r="J54" i="42"/>
  <c r="P54" i="42"/>
  <c r="O54" i="42"/>
  <c r="K48" i="42"/>
  <c r="L48" i="42"/>
  <c r="N48" i="42"/>
  <c r="I48" i="42"/>
  <c r="M48" i="42"/>
  <c r="L42" i="42"/>
  <c r="P42" i="42"/>
  <c r="O42" i="42"/>
  <c r="M36" i="42"/>
  <c r="K36" i="42"/>
  <c r="N36" i="42"/>
  <c r="O36" i="42"/>
  <c r="L36" i="42"/>
  <c r="M32" i="42"/>
  <c r="J32" i="42"/>
  <c r="O32" i="42"/>
  <c r="K32" i="42"/>
  <c r="M26" i="42"/>
  <c r="P26" i="42"/>
  <c r="J26" i="42"/>
  <c r="K26" i="42"/>
  <c r="I22" i="42"/>
  <c r="N22" i="42"/>
  <c r="L22" i="42"/>
  <c r="P22" i="42"/>
  <c r="H39" i="42"/>
  <c r="H47" i="42"/>
  <c r="H55" i="42"/>
  <c r="H63" i="42"/>
  <c r="H71" i="42"/>
  <c r="H79" i="42"/>
  <c r="H95" i="42"/>
  <c r="M193" i="42"/>
  <c r="J187" i="42"/>
  <c r="P200" i="42"/>
  <c r="J179" i="42"/>
  <c r="O163" i="42"/>
  <c r="P185" i="42"/>
  <c r="N60" i="42"/>
  <c r="I103" i="42"/>
  <c r="M107" i="42"/>
  <c r="I95" i="42"/>
  <c r="K59" i="42"/>
  <c r="O28" i="42"/>
  <c r="J40" i="42"/>
  <c r="I115" i="42"/>
  <c r="N58" i="42"/>
  <c r="N54" i="42"/>
  <c r="I50" i="42"/>
  <c r="N42" i="42"/>
  <c r="N52" i="42"/>
  <c r="P40" i="42"/>
  <c r="I34" i="42"/>
  <c r="N32" i="42"/>
  <c r="I36" i="42"/>
  <c r="M133" i="42"/>
  <c r="J133" i="42"/>
  <c r="L121" i="42"/>
  <c r="I159" i="42"/>
  <c r="J139" i="42"/>
  <c r="I127" i="42"/>
  <c r="M97" i="42"/>
  <c r="O22" i="42"/>
  <c r="M187" i="42"/>
  <c r="K46" i="42"/>
  <c r="P133" i="42"/>
  <c r="N59" i="42"/>
  <c r="M123" i="42"/>
  <c r="L26" i="42"/>
  <c r="M22" i="42"/>
  <c r="K178" i="42"/>
  <c r="P178" i="42"/>
  <c r="N178" i="42"/>
  <c r="O167" i="42"/>
  <c r="L167" i="42"/>
  <c r="P167" i="42"/>
  <c r="M99" i="42"/>
  <c r="I99" i="42"/>
  <c r="J99" i="42"/>
  <c r="K195" i="42"/>
  <c r="M195" i="42"/>
  <c r="I195" i="42"/>
  <c r="L56" i="42"/>
  <c r="I56" i="42"/>
  <c r="M56" i="42"/>
  <c r="N56" i="42"/>
  <c r="L50" i="42"/>
  <c r="O50" i="42"/>
  <c r="P50" i="42"/>
  <c r="L44" i="42"/>
  <c r="O44" i="42"/>
  <c r="J44" i="42"/>
  <c r="P44" i="42"/>
  <c r="K44" i="42"/>
  <c r="K38" i="42"/>
  <c r="N38" i="42"/>
  <c r="I38" i="42"/>
  <c r="M38" i="42"/>
  <c r="K30" i="42"/>
  <c r="M30" i="42"/>
  <c r="P30" i="42"/>
  <c r="J30" i="42"/>
  <c r="L30" i="42"/>
  <c r="N30" i="42"/>
  <c r="I30" i="42"/>
  <c r="M176" i="42"/>
  <c r="N195" i="42"/>
  <c r="K187" i="42"/>
  <c r="N103" i="42"/>
  <c r="N107" i="42"/>
  <c r="O95" i="42"/>
  <c r="I111" i="42"/>
  <c r="O115" i="42"/>
  <c r="I58" i="42"/>
  <c r="I54" i="42"/>
  <c r="O46" i="42"/>
  <c r="I42" i="42"/>
  <c r="O56" i="42"/>
  <c r="I52" i="42"/>
  <c r="N44" i="42"/>
  <c r="N26" i="42"/>
  <c r="L32" i="42"/>
  <c r="M167" i="42"/>
  <c r="P123" i="42"/>
  <c r="K42" i="42"/>
  <c r="K115" i="42"/>
  <c r="M34" i="42"/>
  <c r="N5" i="42"/>
  <c r="J24" i="42"/>
  <c r="O178" i="42"/>
  <c r="L20" i="42"/>
  <c r="J42" i="42"/>
  <c r="J22" i="42"/>
  <c r="M181" i="42"/>
  <c r="O181" i="42"/>
  <c r="L179" i="42"/>
  <c r="I179" i="42"/>
  <c r="N179" i="42"/>
  <c r="N177" i="42"/>
  <c r="O177" i="42"/>
  <c r="N175" i="42"/>
  <c r="P175" i="42"/>
  <c r="L175" i="42"/>
  <c r="M171" i="42"/>
  <c r="J171" i="42"/>
  <c r="K171" i="42"/>
  <c r="L163" i="42"/>
  <c r="I163" i="42"/>
  <c r="N163" i="42"/>
  <c r="L193" i="42"/>
  <c r="P193" i="42"/>
  <c r="K137" i="42"/>
  <c r="M137" i="42"/>
  <c r="J137" i="42"/>
  <c r="L137" i="42"/>
  <c r="N137" i="42"/>
  <c r="J129" i="42"/>
  <c r="O129" i="42"/>
  <c r="N129" i="42"/>
  <c r="M129" i="42"/>
  <c r="P125" i="42"/>
  <c r="L125" i="42"/>
  <c r="I125" i="42"/>
  <c r="K125" i="42"/>
  <c r="M125" i="42"/>
  <c r="P121" i="42"/>
  <c r="I121" i="42"/>
  <c r="O121" i="42"/>
  <c r="O117" i="42"/>
  <c r="K117" i="42"/>
  <c r="M117" i="42"/>
  <c r="J117" i="42"/>
  <c r="J113" i="42"/>
  <c r="M113" i="42"/>
  <c r="O113" i="42"/>
  <c r="I113" i="42"/>
  <c r="K113" i="42"/>
  <c r="O109" i="42"/>
  <c r="M109" i="42"/>
  <c r="P109" i="42"/>
  <c r="I109" i="42"/>
  <c r="J105" i="42"/>
  <c r="I105" i="42"/>
  <c r="P105" i="42"/>
  <c r="P101" i="42"/>
  <c r="M101" i="42"/>
  <c r="O101" i="42"/>
  <c r="I101" i="42"/>
  <c r="O97" i="42"/>
  <c r="I97" i="42"/>
  <c r="K97" i="42"/>
  <c r="N97" i="42"/>
  <c r="L97" i="42"/>
  <c r="P93" i="42"/>
  <c r="M93" i="42"/>
  <c r="J93" i="42"/>
  <c r="I93" i="42"/>
  <c r="L162" i="42"/>
  <c r="I162" i="42"/>
  <c r="H22" i="42"/>
  <c r="H26" i="42"/>
  <c r="H30" i="42"/>
  <c r="H104" i="42"/>
  <c r="H98" i="42"/>
  <c r="H106" i="42"/>
  <c r="H110" i="42"/>
  <c r="H114" i="42"/>
  <c r="H118" i="42"/>
  <c r="H122" i="42"/>
  <c r="H126" i="42"/>
  <c r="H130" i="42"/>
  <c r="H134" i="42"/>
  <c r="H138" i="42"/>
  <c r="H181" i="42"/>
  <c r="H197" i="42"/>
  <c r="H99" i="42"/>
  <c r="H107" i="42"/>
  <c r="H111" i="42"/>
  <c r="H115" i="42"/>
  <c r="H119" i="42"/>
  <c r="H123" i="42"/>
  <c r="H127" i="42"/>
  <c r="H131" i="42"/>
  <c r="H135" i="42"/>
  <c r="H153" i="42"/>
  <c r="H161" i="42"/>
  <c r="H169" i="42"/>
  <c r="H201" i="42"/>
  <c r="H116" i="42"/>
  <c r="H120" i="42"/>
  <c r="H128" i="42"/>
  <c r="H132" i="42"/>
  <c r="H136" i="42"/>
  <c r="H173" i="42"/>
  <c r="H189" i="42"/>
  <c r="H97" i="42"/>
  <c r="H105" i="42"/>
  <c r="H109" i="42"/>
  <c r="H113" i="42"/>
  <c r="H117" i="42"/>
  <c r="H121" i="42"/>
  <c r="H125" i="42"/>
  <c r="H129" i="42"/>
  <c r="H133" i="42"/>
  <c r="H137" i="42"/>
  <c r="H177" i="42"/>
  <c r="H193" i="42"/>
  <c r="H140" i="42"/>
  <c r="H148" i="42"/>
  <c r="H156" i="42"/>
  <c r="H164" i="42"/>
  <c r="H172" i="42"/>
  <c r="H176" i="42"/>
  <c r="H180" i="42"/>
  <c r="H184" i="42"/>
  <c r="H188" i="42"/>
  <c r="H192" i="42"/>
  <c r="H196" i="42"/>
  <c r="H200" i="42"/>
  <c r="H179" i="42"/>
  <c r="H183" i="42"/>
  <c r="H187" i="42"/>
  <c r="H195" i="42"/>
  <c r="H199" i="42"/>
  <c r="H203" i="42"/>
  <c r="H174" i="42"/>
  <c r="H190" i="42"/>
  <c r="N207" i="30"/>
  <c r="N205" i="30"/>
  <c r="N203" i="30"/>
  <c r="H204" i="42"/>
  <c r="H175" i="42"/>
  <c r="H191" i="42"/>
  <c r="H178" i="42"/>
  <c r="H182" i="42"/>
  <c r="H186" i="42"/>
  <c r="H198" i="42"/>
  <c r="H202" i="42"/>
  <c r="N197" i="30"/>
  <c r="N193" i="30"/>
  <c r="N189" i="30"/>
  <c r="N185" i="30"/>
  <c r="N181" i="30"/>
  <c r="N177" i="30"/>
  <c r="N173" i="30"/>
  <c r="N169" i="30"/>
  <c r="L201" i="42"/>
  <c r="N165" i="30"/>
  <c r="N161" i="30"/>
  <c r="N157" i="30"/>
  <c r="N153" i="30"/>
  <c r="N149" i="30"/>
  <c r="N145" i="30"/>
  <c r="N141" i="30"/>
  <c r="N137" i="30"/>
  <c r="N133" i="30"/>
  <c r="N129" i="30"/>
  <c r="N125" i="30"/>
  <c r="N121" i="30"/>
  <c r="N117" i="30"/>
  <c r="N113" i="30"/>
  <c r="N109" i="30"/>
  <c r="N105" i="30"/>
  <c r="N101" i="30"/>
  <c r="N97" i="30"/>
  <c r="N93" i="30"/>
  <c r="N87" i="30"/>
  <c r="N79" i="30"/>
  <c r="N71" i="30"/>
  <c r="N63" i="30"/>
  <c r="N55" i="30"/>
  <c r="N47" i="30"/>
  <c r="H20" i="42"/>
  <c r="M178" i="42"/>
  <c r="I176" i="42"/>
  <c r="K180" i="42"/>
  <c r="K200" i="42"/>
  <c r="I200" i="42"/>
  <c r="I100" i="42"/>
  <c r="L185" i="42"/>
  <c r="I185" i="42"/>
  <c r="I107" i="42"/>
  <c r="J107" i="42"/>
  <c r="N111" i="42"/>
  <c r="M115" i="42"/>
  <c r="N99" i="42"/>
  <c r="K167" i="42"/>
  <c r="J167" i="42"/>
  <c r="M135" i="42"/>
  <c r="M139" i="42"/>
  <c r="N135" i="42"/>
  <c r="L107" i="42"/>
  <c r="L123" i="42"/>
  <c r="N180" i="42"/>
  <c r="P176" i="42"/>
  <c r="L180" i="42"/>
  <c r="N127" i="42"/>
  <c r="L111" i="42"/>
  <c r="L119" i="42"/>
  <c r="P119" i="42"/>
  <c r="K24" i="42"/>
  <c r="I24" i="42"/>
  <c r="P159" i="42"/>
  <c r="L139" i="42"/>
  <c r="K131" i="42"/>
  <c r="I20" i="42"/>
  <c r="L135" i="42"/>
  <c r="L54" i="42"/>
  <c r="I135" i="42"/>
  <c r="J38" i="42"/>
  <c r="L178" i="42"/>
  <c r="J159" i="42"/>
  <c r="K52" i="42"/>
  <c r="L38" i="42"/>
  <c r="K95" i="42"/>
  <c r="L99" i="42"/>
  <c r="O139" i="42"/>
  <c r="P32" i="42"/>
  <c r="I194" i="42"/>
  <c r="M197" i="42"/>
  <c r="L128" i="42"/>
  <c r="M180" i="42"/>
  <c r="I178" i="42"/>
  <c r="J176" i="42"/>
  <c r="L200" i="42"/>
  <c r="J200" i="42"/>
  <c r="I192" i="42"/>
  <c r="I201" i="42"/>
  <c r="K185" i="42"/>
  <c r="J185" i="42"/>
  <c r="O99" i="42"/>
  <c r="N167" i="42"/>
  <c r="O159" i="42"/>
  <c r="J131" i="42"/>
  <c r="L159" i="42"/>
  <c r="L176" i="42"/>
  <c r="P127" i="42"/>
  <c r="K127" i="42"/>
  <c r="M119" i="42"/>
  <c r="K139" i="42"/>
  <c r="K50" i="42"/>
  <c r="K54" i="42"/>
  <c r="P28" i="42"/>
  <c r="H32" i="42"/>
  <c r="H101" i="42"/>
  <c r="H152" i="42"/>
  <c r="H150" i="42"/>
  <c r="M188" i="42"/>
  <c r="I141" i="42"/>
  <c r="O116" i="42"/>
  <c r="P151" i="42"/>
  <c r="N112" i="42"/>
  <c r="O53" i="42"/>
  <c r="J197" i="42"/>
  <c r="L100" i="42"/>
  <c r="M186" i="42"/>
  <c r="L196" i="42"/>
  <c r="K169" i="42"/>
  <c r="O153" i="42"/>
  <c r="N188" i="42"/>
  <c r="H28" i="42"/>
  <c r="H144" i="42"/>
  <c r="H154" i="42"/>
  <c r="I184" i="42"/>
  <c r="J196" i="42"/>
  <c r="K192" i="42"/>
  <c r="J169" i="42"/>
  <c r="N201" i="42"/>
  <c r="I53" i="42"/>
  <c r="K104" i="42"/>
  <c r="P157" i="42"/>
  <c r="O157" i="42"/>
  <c r="L157" i="42"/>
  <c r="I157" i="42"/>
  <c r="K157" i="42"/>
  <c r="J157" i="42"/>
  <c r="M157" i="42"/>
  <c r="L147" i="42"/>
  <c r="P147" i="42"/>
  <c r="J147" i="42"/>
  <c r="M147" i="42"/>
  <c r="O147" i="42"/>
  <c r="J96" i="42"/>
  <c r="P96" i="42"/>
  <c r="N96" i="42"/>
  <c r="K96" i="42"/>
  <c r="O96" i="42"/>
  <c r="H24" i="42"/>
  <c r="H103" i="42"/>
  <c r="H160" i="42"/>
  <c r="H168" i="42"/>
  <c r="H146" i="42"/>
  <c r="H162" i="42"/>
  <c r="P188" i="42"/>
  <c r="I186" i="42"/>
  <c r="M196" i="42"/>
  <c r="K194" i="42"/>
  <c r="J194" i="42"/>
  <c r="M194" i="42"/>
  <c r="L192" i="42"/>
  <c r="J192" i="42"/>
  <c r="I104" i="42"/>
  <c r="O169" i="42"/>
  <c r="M201" i="42"/>
  <c r="J201" i="42"/>
  <c r="L37" i="42"/>
  <c r="M53" i="42"/>
  <c r="O186" i="42"/>
  <c r="P184" i="42"/>
  <c r="K184" i="42"/>
  <c r="N184" i="42"/>
  <c r="M161" i="42"/>
  <c r="I161" i="42"/>
  <c r="L161" i="42"/>
  <c r="O161" i="42"/>
  <c r="J161" i="42"/>
  <c r="L197" i="42"/>
  <c r="N197" i="42"/>
  <c r="O197" i="42"/>
  <c r="P153" i="42"/>
  <c r="I153" i="42"/>
  <c r="K153" i="42"/>
  <c r="N153" i="42"/>
  <c r="M153" i="42"/>
  <c r="L153" i="42"/>
  <c r="L149" i="42"/>
  <c r="N149" i="42"/>
  <c r="I149" i="42"/>
  <c r="K149" i="42"/>
  <c r="P149" i="42"/>
  <c r="M149" i="42"/>
  <c r="O143" i="42"/>
  <c r="N143" i="42"/>
  <c r="P143" i="42"/>
  <c r="I143" i="42"/>
  <c r="K143" i="42"/>
  <c r="J143" i="42"/>
  <c r="P136" i="42"/>
  <c r="K136" i="42"/>
  <c r="N136" i="42"/>
  <c r="O136" i="42"/>
  <c r="M136" i="42"/>
  <c r="L136" i="42"/>
  <c r="J136" i="42"/>
  <c r="N124" i="42"/>
  <c r="L124" i="42"/>
  <c r="M124" i="42"/>
  <c r="O124" i="42"/>
  <c r="I124" i="42"/>
  <c r="J124" i="42"/>
  <c r="O120" i="42"/>
  <c r="L120" i="42"/>
  <c r="K120" i="42"/>
  <c r="J120" i="42"/>
  <c r="N120" i="42"/>
  <c r="P116" i="42"/>
  <c r="M116" i="42"/>
  <c r="N116" i="42"/>
  <c r="K116" i="42"/>
  <c r="L116" i="42"/>
  <c r="P112" i="42"/>
  <c r="M112" i="42"/>
  <c r="K112" i="42"/>
  <c r="J112" i="42"/>
  <c r="O108" i="42"/>
  <c r="J108" i="42"/>
  <c r="M108" i="42"/>
  <c r="K108" i="42"/>
  <c r="P108" i="42"/>
  <c r="P104" i="42"/>
  <c r="N104" i="42"/>
  <c r="O104" i="42"/>
  <c r="J104" i="42"/>
  <c r="N100" i="42"/>
  <c r="M100" i="42"/>
  <c r="O100" i="42"/>
  <c r="K100" i="42"/>
  <c r="P100" i="42"/>
  <c r="H158" i="42"/>
  <c r="H170" i="42"/>
  <c r="N45" i="42"/>
  <c r="P45" i="42"/>
  <c r="L45" i="42"/>
  <c r="O45" i="42"/>
  <c r="J45" i="42"/>
  <c r="K45" i="42"/>
  <c r="O196" i="42"/>
  <c r="K201" i="42"/>
  <c r="L108" i="42"/>
  <c r="L96" i="42"/>
  <c r="M37" i="42"/>
  <c r="P21" i="42"/>
  <c r="I45" i="42"/>
  <c r="M155" i="42"/>
  <c r="P155" i="42"/>
  <c r="M120" i="42"/>
  <c r="N108" i="42"/>
  <c r="I136" i="42"/>
  <c r="L194" i="42"/>
  <c r="I120" i="42"/>
  <c r="L188" i="42"/>
  <c r="K188" i="42"/>
  <c r="K186" i="42"/>
  <c r="P186" i="42"/>
  <c r="L186" i="42"/>
  <c r="N186" i="42"/>
  <c r="O155" i="42"/>
  <c r="J155" i="42"/>
  <c r="N155" i="42"/>
  <c r="K151" i="42"/>
  <c r="N151" i="42"/>
  <c r="L151" i="42"/>
  <c r="M151" i="42"/>
  <c r="K145" i="42"/>
  <c r="O145" i="42"/>
  <c r="N145" i="42"/>
  <c r="P145" i="42"/>
  <c r="J145" i="42"/>
  <c r="M145" i="42"/>
  <c r="L145" i="42"/>
  <c r="N141" i="42"/>
  <c r="L141" i="42"/>
  <c r="J141" i="42"/>
  <c r="M141" i="42"/>
  <c r="P141" i="42"/>
  <c r="P132" i="42"/>
  <c r="O132" i="42"/>
  <c r="N132" i="42"/>
  <c r="L132" i="42"/>
  <c r="I132" i="42"/>
  <c r="M132" i="42"/>
  <c r="K128" i="42"/>
  <c r="O128" i="42"/>
  <c r="J128" i="42"/>
  <c r="P128" i="42"/>
  <c r="N128" i="42"/>
  <c r="M128" i="42"/>
  <c r="H102" i="42"/>
  <c r="H142" i="42"/>
  <c r="H166" i="42"/>
  <c r="N53" i="42"/>
  <c r="J53" i="42"/>
  <c r="L53" i="42"/>
  <c r="I37" i="42"/>
  <c r="N37" i="42"/>
  <c r="K37" i="42"/>
  <c r="O37" i="42"/>
  <c r="J37" i="42"/>
  <c r="O29" i="42"/>
  <c r="I29" i="42"/>
  <c r="J29" i="42"/>
  <c r="M29" i="42"/>
  <c r="N29" i="42"/>
  <c r="P29" i="42"/>
  <c r="L29" i="42"/>
  <c r="I21" i="42"/>
  <c r="L21" i="42"/>
  <c r="N21" i="42"/>
  <c r="J21" i="42"/>
  <c r="M21" i="42"/>
  <c r="O21" i="42"/>
  <c r="P196" i="42"/>
  <c r="O194" i="42"/>
  <c r="P197" i="42"/>
  <c r="M192" i="42"/>
  <c r="I108" i="42"/>
  <c r="I96" i="42"/>
  <c r="P169" i="42"/>
  <c r="J188" i="42"/>
  <c r="M184" i="42"/>
  <c r="K196" i="42"/>
  <c r="I196" i="42"/>
  <c r="P194" i="42"/>
  <c r="N192" i="42"/>
  <c r="J116" i="42"/>
  <c r="I197" i="42"/>
  <c r="O192" i="42"/>
  <c r="I112" i="42"/>
  <c r="M169" i="42"/>
  <c r="I169" i="42"/>
  <c r="P201" i="42"/>
  <c r="L112" i="42"/>
  <c r="P53" i="42"/>
  <c r="K29" i="42"/>
  <c r="M96" i="42"/>
  <c r="I151" i="42"/>
  <c r="P161" i="42"/>
  <c r="K132" i="42"/>
  <c r="L184" i="42"/>
  <c r="N157" i="42"/>
  <c r="K124" i="42"/>
  <c r="K147" i="42"/>
  <c r="L143" i="42"/>
  <c r="N6" i="42"/>
  <c r="O6" i="42"/>
  <c r="N8" i="42"/>
  <c r="O8" i="42"/>
  <c r="O7" i="42"/>
  <c r="N7" i="42"/>
  <c r="K5895" i="16"/>
  <c r="G5895" i="16"/>
  <c r="AB5896" i="16"/>
  <c r="AD5896" i="16" s="1"/>
  <c r="F5895" i="16"/>
  <c r="J5895" i="16"/>
  <c r="I5895" i="16"/>
  <c r="H5895" i="16"/>
  <c r="E5895" i="16"/>
  <c r="P5862" i="16"/>
  <c r="P5865" i="16"/>
  <c r="I5772" i="16"/>
  <c r="E5772" i="16"/>
  <c r="K5772" i="16"/>
  <c r="F5772" i="16"/>
  <c r="H5772" i="16"/>
  <c r="AB5773" i="16"/>
  <c r="AD5773" i="16" s="1"/>
  <c r="G5772" i="16"/>
  <c r="J5772" i="16"/>
  <c r="P5622" i="16"/>
  <c r="P5625" i="16"/>
  <c r="AA5506" i="16"/>
  <c r="D5504" i="16"/>
  <c r="AA5504" i="16"/>
  <c r="AA5502" i="16"/>
  <c r="AA5501" i="16"/>
  <c r="D5502" i="16"/>
  <c r="D5500" i="16"/>
  <c r="I5498" i="16"/>
  <c r="D5503" i="16"/>
  <c r="D5501" i="16"/>
  <c r="AA5505" i="16"/>
  <c r="AA5503" i="16"/>
  <c r="Y5497" i="16"/>
  <c r="Y5500" i="16" s="1"/>
  <c r="Y5506" i="16" s="1"/>
  <c r="D5505" i="16"/>
  <c r="J5324" i="16"/>
  <c r="F5324" i="16"/>
  <c r="I5324" i="16"/>
  <c r="AB5325" i="16"/>
  <c r="AD5325" i="16" s="1"/>
  <c r="H5324" i="16"/>
  <c r="K5324" i="16"/>
  <c r="G5324" i="16"/>
  <c r="E5324" i="16"/>
  <c r="P5682" i="16"/>
  <c r="P5685" i="16"/>
  <c r="I5653" i="16"/>
  <c r="E5653" i="16"/>
  <c r="AB5654" i="16"/>
  <c r="K5653" i="16"/>
  <c r="F5653" i="16"/>
  <c r="G5653" i="16"/>
  <c r="J5653" i="16"/>
  <c r="H5653" i="16"/>
  <c r="H5984" i="16"/>
  <c r="J5984" i="16"/>
  <c r="E5984" i="16"/>
  <c r="F5984" i="16"/>
  <c r="G5984" i="16"/>
  <c r="AB5985" i="16"/>
  <c r="K5984" i="16"/>
  <c r="I5984" i="16"/>
  <c r="P5925" i="16"/>
  <c r="P5922" i="16"/>
  <c r="P5775" i="16"/>
  <c r="P5772" i="16"/>
  <c r="I5623" i="16"/>
  <c r="E5623" i="16"/>
  <c r="G5623" i="16"/>
  <c r="J5623" i="16"/>
  <c r="F5623" i="16"/>
  <c r="K5623" i="16"/>
  <c r="AB5624" i="16"/>
  <c r="H5623" i="16"/>
  <c r="P5352" i="16"/>
  <c r="P5355" i="16"/>
  <c r="I5200" i="16"/>
  <c r="E5200" i="16"/>
  <c r="K5200" i="16"/>
  <c r="F5200" i="16"/>
  <c r="J5200" i="16"/>
  <c r="AB5201" i="16"/>
  <c r="AD5201" i="16" s="1"/>
  <c r="H5200" i="16"/>
  <c r="G5200" i="16"/>
  <c r="H4930" i="16"/>
  <c r="K4930" i="16"/>
  <c r="G4930" i="16"/>
  <c r="J4930" i="16"/>
  <c r="F4930" i="16"/>
  <c r="AB4931" i="16"/>
  <c r="E4930" i="16"/>
  <c r="I4930" i="16"/>
  <c r="H4900" i="16"/>
  <c r="AB4901" i="16"/>
  <c r="AD4901" i="16" s="1"/>
  <c r="K4900" i="16"/>
  <c r="G4900" i="16"/>
  <c r="J4900" i="16"/>
  <c r="F4900" i="16"/>
  <c r="E4900" i="16"/>
  <c r="I4900" i="16"/>
  <c r="H4780" i="16"/>
  <c r="AB4781" i="16"/>
  <c r="K4780" i="16"/>
  <c r="G4780" i="16"/>
  <c r="J4780" i="16"/>
  <c r="F4780" i="16"/>
  <c r="E4780" i="16"/>
  <c r="I4780" i="16"/>
  <c r="H4660" i="16"/>
  <c r="AB4661" i="16"/>
  <c r="AD4661" i="16" s="1"/>
  <c r="K4660" i="16"/>
  <c r="G4660" i="16"/>
  <c r="J4660" i="16"/>
  <c r="F4660" i="16"/>
  <c r="E4660" i="16"/>
  <c r="I4660" i="16"/>
  <c r="P5445" i="16"/>
  <c r="P5442" i="16"/>
  <c r="I5295" i="16"/>
  <c r="E5295" i="16"/>
  <c r="J5295" i="16"/>
  <c r="H5295" i="16"/>
  <c r="AB5296" i="16"/>
  <c r="K5295" i="16"/>
  <c r="G5295" i="16"/>
  <c r="F5295" i="16"/>
  <c r="AB4695" i="16"/>
  <c r="I4694" i="16"/>
  <c r="E4694" i="16"/>
  <c r="H4694" i="16"/>
  <c r="K4694" i="16"/>
  <c r="G4694" i="16"/>
  <c r="J4694" i="16"/>
  <c r="F4694" i="16"/>
  <c r="AB4575" i="16"/>
  <c r="I4574" i="16"/>
  <c r="E4574" i="16"/>
  <c r="H4574" i="16"/>
  <c r="K4574" i="16"/>
  <c r="G4574" i="16"/>
  <c r="J4574" i="16"/>
  <c r="F4574" i="16"/>
  <c r="I6012" i="16"/>
  <c r="E6012" i="16"/>
  <c r="K6012" i="16"/>
  <c r="F6012" i="16"/>
  <c r="AB6013" i="16"/>
  <c r="H6012" i="16"/>
  <c r="G6012" i="16"/>
  <c r="J6012" i="16"/>
  <c r="H6014" i="16"/>
  <c r="I6014" i="16"/>
  <c r="G6014" i="16"/>
  <c r="F6014" i="16"/>
  <c r="E6014" i="16"/>
  <c r="AB6015" i="16"/>
  <c r="K6014" i="16"/>
  <c r="J6014" i="16"/>
  <c r="P5502" i="16"/>
  <c r="P5505" i="16"/>
  <c r="K5352" i="16"/>
  <c r="G5352" i="16"/>
  <c r="AB5353" i="16"/>
  <c r="I5352" i="16"/>
  <c r="H5352" i="16"/>
  <c r="J5352" i="16"/>
  <c r="F5352" i="16"/>
  <c r="E5352" i="16"/>
  <c r="I5170" i="16"/>
  <c r="E5170" i="16"/>
  <c r="H5170" i="16"/>
  <c r="G5170" i="16"/>
  <c r="F5170" i="16"/>
  <c r="K5170" i="16"/>
  <c r="J5170" i="16"/>
  <c r="AB5171" i="16"/>
  <c r="J4873" i="16"/>
  <c r="F4873" i="16"/>
  <c r="I4873" i="16"/>
  <c r="E4873" i="16"/>
  <c r="H4873" i="16"/>
  <c r="K4873" i="16"/>
  <c r="G4873" i="16"/>
  <c r="AB4874" i="16"/>
  <c r="AD4874" i="16" s="1"/>
  <c r="J4871" i="16"/>
  <c r="F4871" i="16"/>
  <c r="AB4872" i="16"/>
  <c r="I4871" i="16"/>
  <c r="E4871" i="16"/>
  <c r="H4871" i="16"/>
  <c r="K4871" i="16"/>
  <c r="G4871" i="16"/>
  <c r="AB4813" i="16"/>
  <c r="J4812" i="16"/>
  <c r="F4812" i="16"/>
  <c r="I4812" i="16"/>
  <c r="E4812" i="16"/>
  <c r="H4812" i="16"/>
  <c r="K4812" i="16"/>
  <c r="G4812" i="16"/>
  <c r="J4753" i="16"/>
  <c r="F4753" i="16"/>
  <c r="I4753" i="16"/>
  <c r="E4753" i="16"/>
  <c r="H4753" i="16"/>
  <c r="G4753" i="16"/>
  <c r="AB4754" i="16"/>
  <c r="AD4754" i="16" s="1"/>
  <c r="K4753" i="16"/>
  <c r="J4751" i="16"/>
  <c r="F4751" i="16"/>
  <c r="AB4752" i="16"/>
  <c r="I4751" i="16"/>
  <c r="E4751" i="16"/>
  <c r="H4751" i="16"/>
  <c r="G4751" i="16"/>
  <c r="K4751" i="16"/>
  <c r="AB4693" i="16"/>
  <c r="J4692" i="16"/>
  <c r="F4692" i="16"/>
  <c r="I4692" i="16"/>
  <c r="E4692" i="16"/>
  <c r="H4692" i="16"/>
  <c r="K4692" i="16"/>
  <c r="G4692" i="16"/>
  <c r="J4633" i="16"/>
  <c r="F4633" i="16"/>
  <c r="I4633" i="16"/>
  <c r="E4633" i="16"/>
  <c r="H4633" i="16"/>
  <c r="G4633" i="16"/>
  <c r="K4633" i="16"/>
  <c r="AB4634" i="16"/>
  <c r="AD4634" i="16" s="1"/>
  <c r="J4631" i="16"/>
  <c r="F4631" i="16"/>
  <c r="AB4632" i="16"/>
  <c r="I4631" i="16"/>
  <c r="E4631" i="16"/>
  <c r="H4631" i="16"/>
  <c r="G4631" i="16"/>
  <c r="K4631" i="16"/>
  <c r="AB4573" i="16"/>
  <c r="J4572" i="16"/>
  <c r="F4572" i="16"/>
  <c r="I4572" i="16"/>
  <c r="E4572" i="16"/>
  <c r="H4572" i="16"/>
  <c r="G4572" i="16"/>
  <c r="K4572" i="16"/>
  <c r="H5864" i="16"/>
  <c r="J5864" i="16"/>
  <c r="E5864" i="16"/>
  <c r="AB5865" i="16"/>
  <c r="G5864" i="16"/>
  <c r="F5864" i="16"/>
  <c r="K5864" i="16"/>
  <c r="I5864" i="16"/>
  <c r="P5325" i="16"/>
  <c r="P5322" i="16"/>
  <c r="K5111" i="16"/>
  <c r="G5111" i="16"/>
  <c r="F5111" i="16"/>
  <c r="AB5112" i="16"/>
  <c r="J5111" i="16"/>
  <c r="E5111" i="16"/>
  <c r="I5111" i="16"/>
  <c r="H5111" i="16"/>
  <c r="I5115" i="16"/>
  <c r="E5115" i="16"/>
  <c r="H5115" i="16"/>
  <c r="F5115" i="16"/>
  <c r="K5115" i="16"/>
  <c r="J5115" i="16"/>
  <c r="AB5116" i="16"/>
  <c r="G5115" i="16"/>
  <c r="P4902" i="16"/>
  <c r="P4905" i="16"/>
  <c r="P4842" i="16"/>
  <c r="P4845" i="16"/>
  <c r="P4782" i="16"/>
  <c r="P4785" i="16"/>
  <c r="H4510" i="16"/>
  <c r="AB4511" i="16"/>
  <c r="AD4511" i="16" s="1"/>
  <c r="K4510" i="16"/>
  <c r="G4510" i="16"/>
  <c r="F4510" i="16"/>
  <c r="E4510" i="16"/>
  <c r="J4510" i="16"/>
  <c r="I4510" i="16"/>
  <c r="AB4395" i="16"/>
  <c r="I4394" i="16"/>
  <c r="E4394" i="16"/>
  <c r="H4394" i="16"/>
  <c r="K4394" i="16"/>
  <c r="J4394" i="16"/>
  <c r="F4394" i="16"/>
  <c r="G4394" i="16"/>
  <c r="H4395" i="16"/>
  <c r="K4395" i="16"/>
  <c r="G4395" i="16"/>
  <c r="E4395" i="16"/>
  <c r="J4395" i="16"/>
  <c r="AB4396" i="16"/>
  <c r="AD4396" i="16" s="1"/>
  <c r="I4395" i="16"/>
  <c r="F4395" i="16"/>
  <c r="H4270" i="16"/>
  <c r="AB4271" i="16"/>
  <c r="AD4271" i="16" s="1"/>
  <c r="K4270" i="16"/>
  <c r="G4270" i="16"/>
  <c r="F4270" i="16"/>
  <c r="E4270" i="16"/>
  <c r="J4270" i="16"/>
  <c r="I4270" i="16"/>
  <c r="AB4155" i="16"/>
  <c r="I4154" i="16"/>
  <c r="E4154" i="16"/>
  <c r="H4154" i="16"/>
  <c r="K4154" i="16"/>
  <c r="J4154" i="16"/>
  <c r="F4154" i="16"/>
  <c r="G4154" i="16"/>
  <c r="H4155" i="16"/>
  <c r="K4155" i="16"/>
  <c r="G4155" i="16"/>
  <c r="E4155" i="16"/>
  <c r="J4155" i="16"/>
  <c r="AB4156" i="16"/>
  <c r="AD4156" i="16" s="1"/>
  <c r="I4155" i="16"/>
  <c r="F4155" i="16"/>
  <c r="H4030" i="16"/>
  <c r="AB4031" i="16"/>
  <c r="AD4031" i="16" s="1"/>
  <c r="K4030" i="16"/>
  <c r="G4030" i="16"/>
  <c r="F4030" i="16"/>
  <c r="E4030" i="16"/>
  <c r="J4030" i="16"/>
  <c r="I4030" i="16"/>
  <c r="AB3915" i="16"/>
  <c r="I3914" i="16"/>
  <c r="E3914" i="16"/>
  <c r="H3914" i="16"/>
  <c r="K3914" i="16"/>
  <c r="J3914" i="16"/>
  <c r="F3914" i="16"/>
  <c r="G3914" i="16"/>
  <c r="H3915" i="16"/>
  <c r="K3915" i="16"/>
  <c r="G3915" i="16"/>
  <c r="E3915" i="16"/>
  <c r="J3915" i="16"/>
  <c r="AB3916" i="16"/>
  <c r="AD3916" i="16" s="1"/>
  <c r="I3915" i="16"/>
  <c r="F3915" i="16"/>
  <c r="J3881" i="16"/>
  <c r="F3881" i="16"/>
  <c r="AB3882" i="16"/>
  <c r="I3881" i="16"/>
  <c r="E3881" i="16"/>
  <c r="G3881" i="16"/>
  <c r="K3881" i="16"/>
  <c r="H3881" i="16"/>
  <c r="P5805" i="16"/>
  <c r="P5802" i="16"/>
  <c r="I5410" i="16"/>
  <c r="E5410" i="16"/>
  <c r="J5410" i="16"/>
  <c r="H5410" i="16"/>
  <c r="F5410" i="16"/>
  <c r="AB5411" i="16"/>
  <c r="AD5411" i="16" s="1"/>
  <c r="K5410" i="16"/>
  <c r="G5410" i="16"/>
  <c r="P4122" i="16"/>
  <c r="P4125" i="16"/>
  <c r="H4360" i="16"/>
  <c r="AB4361" i="16"/>
  <c r="AD4361" i="16" s="1"/>
  <c r="K4360" i="16"/>
  <c r="G4360" i="16"/>
  <c r="J4360" i="16"/>
  <c r="I4360" i="16"/>
  <c r="F4360" i="16"/>
  <c r="E4360" i="16"/>
  <c r="P4332" i="16"/>
  <c r="P4335" i="16"/>
  <c r="J4243" i="16"/>
  <c r="F4243" i="16"/>
  <c r="I4243" i="16"/>
  <c r="E4243" i="16"/>
  <c r="AB4244" i="16"/>
  <c r="K4243" i="16"/>
  <c r="H4243" i="16"/>
  <c r="G4243" i="16"/>
  <c r="AB4123" i="16"/>
  <c r="J4122" i="16"/>
  <c r="F4122" i="16"/>
  <c r="I4122" i="16"/>
  <c r="E4122" i="16"/>
  <c r="K4122" i="16"/>
  <c r="H4122" i="16"/>
  <c r="G4122" i="16"/>
  <c r="AB4125" i="16"/>
  <c r="I4124" i="16"/>
  <c r="E4124" i="16"/>
  <c r="H4124" i="16"/>
  <c r="G4124" i="16"/>
  <c r="F4124" i="16"/>
  <c r="K4124" i="16"/>
  <c r="J4124" i="16"/>
  <c r="H4125" i="16"/>
  <c r="K4125" i="16"/>
  <c r="G4125" i="16"/>
  <c r="AB4126" i="16"/>
  <c r="AD4126" i="16" s="1"/>
  <c r="I4125" i="16"/>
  <c r="F4125" i="16"/>
  <c r="J4125" i="16"/>
  <c r="E4125" i="16"/>
  <c r="P5025" i="16"/>
  <c r="P5022" i="16"/>
  <c r="P4602" i="16"/>
  <c r="P4605" i="16"/>
  <c r="P4182" i="16"/>
  <c r="P4185" i="16"/>
  <c r="J3580" i="16"/>
  <c r="F3580" i="16"/>
  <c r="G3580" i="16"/>
  <c r="AB3581" i="16"/>
  <c r="K3580" i="16"/>
  <c r="E3580" i="16"/>
  <c r="I3580" i="16"/>
  <c r="H3580" i="16"/>
  <c r="AB3526" i="16"/>
  <c r="J3525" i="16"/>
  <c r="F3525" i="16"/>
  <c r="I3525" i="16"/>
  <c r="E3525" i="16"/>
  <c r="H3525" i="16"/>
  <c r="K3525" i="16"/>
  <c r="G3525" i="16"/>
  <c r="J3460" i="16"/>
  <c r="F3460" i="16"/>
  <c r="I3460" i="16"/>
  <c r="E3460" i="16"/>
  <c r="H3460" i="16"/>
  <c r="AB3461" i="16"/>
  <c r="AD3461" i="16" s="1"/>
  <c r="G3460" i="16"/>
  <c r="K3460" i="16"/>
  <c r="AB3406" i="16"/>
  <c r="J3405" i="16"/>
  <c r="F3405" i="16"/>
  <c r="I3405" i="16"/>
  <c r="E3405" i="16"/>
  <c r="H3405" i="16"/>
  <c r="K3405" i="16"/>
  <c r="G3405" i="16"/>
  <c r="J3340" i="16"/>
  <c r="F3340" i="16"/>
  <c r="I3340" i="16"/>
  <c r="E3340" i="16"/>
  <c r="H3340" i="16"/>
  <c r="AB3341" i="16"/>
  <c r="AD3341" i="16" s="1"/>
  <c r="G3340" i="16"/>
  <c r="K3340" i="16"/>
  <c r="AB3286" i="16"/>
  <c r="J3285" i="16"/>
  <c r="F3285" i="16"/>
  <c r="I3285" i="16"/>
  <c r="E3285" i="16"/>
  <c r="H3285" i="16"/>
  <c r="K3285" i="16"/>
  <c r="G3285" i="16"/>
  <c r="AB2656" i="16"/>
  <c r="AD2656" i="16" s="1"/>
  <c r="J2655" i="16"/>
  <c r="F2655" i="16"/>
  <c r="H2655" i="16"/>
  <c r="I2655" i="16"/>
  <c r="G2655" i="16"/>
  <c r="E2655" i="16"/>
  <c r="K2655" i="16"/>
  <c r="J2620" i="16"/>
  <c r="F2620" i="16"/>
  <c r="H2620" i="16"/>
  <c r="I2620" i="16"/>
  <c r="AB2621" i="16"/>
  <c r="AD2621" i="16" s="1"/>
  <c r="G2620" i="16"/>
  <c r="E2620" i="16"/>
  <c r="K2620" i="16"/>
  <c r="AB2596" i="16"/>
  <c r="J2595" i="16"/>
  <c r="F2595" i="16"/>
  <c r="H2595" i="16"/>
  <c r="I2595" i="16"/>
  <c r="G2595" i="16"/>
  <c r="E2595" i="16"/>
  <c r="K2595" i="16"/>
  <c r="J2560" i="16"/>
  <c r="F2560" i="16"/>
  <c r="H2560" i="16"/>
  <c r="I2560" i="16"/>
  <c r="AB2561" i="16"/>
  <c r="AD2561" i="16" s="1"/>
  <c r="G2560" i="16"/>
  <c r="E2560" i="16"/>
  <c r="K2560" i="16"/>
  <c r="AB2536" i="16"/>
  <c r="AD2536" i="16" s="1"/>
  <c r="J2535" i="16"/>
  <c r="F2535" i="16"/>
  <c r="H2535" i="16"/>
  <c r="I2535" i="16"/>
  <c r="G2535" i="16"/>
  <c r="E2535" i="16"/>
  <c r="K2535" i="16"/>
  <c r="J2500" i="16"/>
  <c r="F2500" i="16"/>
  <c r="H2500" i="16"/>
  <c r="I2500" i="16"/>
  <c r="AB2501" i="16"/>
  <c r="AD2501" i="16" s="1"/>
  <c r="G2500" i="16"/>
  <c r="E2500" i="16"/>
  <c r="K2500" i="16"/>
  <c r="K4991" i="16"/>
  <c r="G4991" i="16"/>
  <c r="F4991" i="16"/>
  <c r="J4991" i="16"/>
  <c r="E4991" i="16"/>
  <c r="I4991" i="16"/>
  <c r="AB4992" i="16"/>
  <c r="AD4992" i="16" s="1"/>
  <c r="H4991" i="16"/>
  <c r="AB4994" i="16"/>
  <c r="K4993" i="16"/>
  <c r="G4993" i="16"/>
  <c r="J4993" i="16"/>
  <c r="E4993" i="16"/>
  <c r="I4993" i="16"/>
  <c r="H4993" i="16"/>
  <c r="F4993" i="16"/>
  <c r="P4692" i="16"/>
  <c r="P4695" i="16"/>
  <c r="P4032" i="16"/>
  <c r="P4035" i="16"/>
  <c r="D3793" i="16"/>
  <c r="AA3792" i="16"/>
  <c r="D3792" i="16"/>
  <c r="AA3791" i="16"/>
  <c r="D3791" i="16"/>
  <c r="Y3787" i="16"/>
  <c r="Y3790" i="16" s="1"/>
  <c r="Y3796" i="16" s="1"/>
  <c r="AA3796" i="16"/>
  <c r="AA3793" i="16"/>
  <c r="D3790" i="16"/>
  <c r="I3788" i="16"/>
  <c r="AA3794" i="16"/>
  <c r="AA3795" i="16"/>
  <c r="D3794" i="16"/>
  <c r="D3795" i="16"/>
  <c r="P3585" i="16"/>
  <c r="P3582" i="16"/>
  <c r="P3525" i="16"/>
  <c r="P3522" i="16"/>
  <c r="P3465" i="16"/>
  <c r="P3462" i="16"/>
  <c r="P3405" i="16"/>
  <c r="P3402" i="16"/>
  <c r="P3135" i="16"/>
  <c r="P3132" i="16"/>
  <c r="P2895" i="16"/>
  <c r="P2892" i="16"/>
  <c r="J2471" i="16"/>
  <c r="F2471" i="16"/>
  <c r="I2471" i="16"/>
  <c r="AB2472" i="16"/>
  <c r="AD2472" i="16" s="1"/>
  <c r="H2471" i="16"/>
  <c r="G2471" i="16"/>
  <c r="K2471" i="16"/>
  <c r="E2471" i="16"/>
  <c r="H2445" i="16"/>
  <c r="I2445" i="16"/>
  <c r="AB2446" i="16"/>
  <c r="AD2446" i="16" s="1"/>
  <c r="G2445" i="16"/>
  <c r="K2445" i="16"/>
  <c r="F2445" i="16"/>
  <c r="J2445" i="16"/>
  <c r="E2445" i="16"/>
  <c r="I5230" i="16"/>
  <c r="E5230" i="16"/>
  <c r="H5230" i="16"/>
  <c r="AB5231" i="16"/>
  <c r="AD5231" i="16" s="1"/>
  <c r="J5230" i="16"/>
  <c r="G5230" i="16"/>
  <c r="F5230" i="16"/>
  <c r="K5230" i="16"/>
  <c r="J5234" i="16"/>
  <c r="F5234" i="16"/>
  <c r="K5234" i="16"/>
  <c r="E5234" i="16"/>
  <c r="AB5235" i="16"/>
  <c r="H5234" i="16"/>
  <c r="G5234" i="16"/>
  <c r="I5234" i="16"/>
  <c r="I5050" i="16"/>
  <c r="E5050" i="16"/>
  <c r="K5050" i="16"/>
  <c r="F5050" i="16"/>
  <c r="J5050" i="16"/>
  <c r="H5050" i="16"/>
  <c r="G5050" i="16"/>
  <c r="AB5051" i="16"/>
  <c r="J4541" i="16"/>
  <c r="F4541" i="16"/>
  <c r="AB4542" i="16"/>
  <c r="I4541" i="16"/>
  <c r="E4541" i="16"/>
  <c r="H4541" i="16"/>
  <c r="G4541" i="16"/>
  <c r="K4541" i="16"/>
  <c r="J4543" i="16"/>
  <c r="F4543" i="16"/>
  <c r="I4543" i="16"/>
  <c r="E4543" i="16"/>
  <c r="AB4544" i="16"/>
  <c r="K4543" i="16"/>
  <c r="H4543" i="16"/>
  <c r="G4543" i="16"/>
  <c r="AB4303" i="16"/>
  <c r="J4302" i="16"/>
  <c r="F4302" i="16"/>
  <c r="I4302" i="16"/>
  <c r="E4302" i="16"/>
  <c r="K4302" i="16"/>
  <c r="H4302" i="16"/>
  <c r="G4302" i="16"/>
  <c r="AB4305" i="16"/>
  <c r="I4304" i="16"/>
  <c r="E4304" i="16"/>
  <c r="H4304" i="16"/>
  <c r="G4304" i="16"/>
  <c r="F4304" i="16"/>
  <c r="K4304" i="16"/>
  <c r="J4304" i="16"/>
  <c r="H4305" i="16"/>
  <c r="K4305" i="16"/>
  <c r="G4305" i="16"/>
  <c r="AB4306" i="16"/>
  <c r="I4305" i="16"/>
  <c r="F4305" i="16"/>
  <c r="E4305" i="16"/>
  <c r="J4305" i="16"/>
  <c r="P3765" i="16"/>
  <c r="P3762" i="16"/>
  <c r="D2415" i="16"/>
  <c r="AA2414" i="16"/>
  <c r="D2410" i="16"/>
  <c r="AA2413" i="16"/>
  <c r="D2411" i="16"/>
  <c r="I2408" i="16"/>
  <c r="D2414" i="16"/>
  <c r="Y2407" i="16"/>
  <c r="Y2410" i="16" s="1"/>
  <c r="Y2416" i="16" s="1"/>
  <c r="AA2416" i="16"/>
  <c r="AA2415" i="16"/>
  <c r="AA2412" i="16"/>
  <c r="AA2411" i="16"/>
  <c r="D2413" i="16"/>
  <c r="D2412" i="16"/>
  <c r="AA2355" i="16"/>
  <c r="D2354" i="16"/>
  <c r="AA2353" i="16"/>
  <c r="I2348" i="16"/>
  <c r="D2353" i="16"/>
  <c r="AA2352" i="16"/>
  <c r="D2352" i="16"/>
  <c r="AA2351" i="16"/>
  <c r="D2351" i="16"/>
  <c r="Y2347" i="16"/>
  <c r="Y2350" i="16" s="1"/>
  <c r="Y2356" i="16" s="1"/>
  <c r="AA2356" i="16"/>
  <c r="D2355" i="16"/>
  <c r="AA2354" i="16"/>
  <c r="D2350" i="16"/>
  <c r="AA2295" i="16"/>
  <c r="D2294" i="16"/>
  <c r="AA2293" i="16"/>
  <c r="I2288" i="16"/>
  <c r="D2293" i="16"/>
  <c r="AA2292" i="16"/>
  <c r="D2292" i="16"/>
  <c r="AA2291" i="16"/>
  <c r="D2291" i="16"/>
  <c r="Y2287" i="16"/>
  <c r="Y2290" i="16" s="1"/>
  <c r="Y2296" i="16" s="1"/>
  <c r="AA2296" i="16"/>
  <c r="D2295" i="16"/>
  <c r="AA2294" i="16"/>
  <c r="D2290" i="16"/>
  <c r="AA2205" i="16"/>
  <c r="D2204" i="16"/>
  <c r="AA2203" i="16"/>
  <c r="I2198" i="16"/>
  <c r="D2203" i="16"/>
  <c r="AA2202" i="16"/>
  <c r="D2202" i="16"/>
  <c r="AA2201" i="16"/>
  <c r="D2201" i="16"/>
  <c r="Y2197" i="16"/>
  <c r="Y2200" i="16" s="1"/>
  <c r="Y2206" i="16" s="1"/>
  <c r="AA2206" i="16"/>
  <c r="D2205" i="16"/>
  <c r="AA2204" i="16"/>
  <c r="D2200" i="16"/>
  <c r="AA1875" i="16"/>
  <c r="D1874" i="16"/>
  <c r="AA1873" i="16"/>
  <c r="I1868" i="16"/>
  <c r="D1873" i="16"/>
  <c r="AA1872" i="16"/>
  <c r="D1872" i="16"/>
  <c r="AA1871" i="16"/>
  <c r="D1871" i="16"/>
  <c r="Y1867" i="16"/>
  <c r="Y1870" i="16" s="1"/>
  <c r="Y1876" i="16" s="1"/>
  <c r="AA1876" i="16"/>
  <c r="D1875" i="16"/>
  <c r="AA1874" i="16"/>
  <c r="D1870" i="16"/>
  <c r="P4392" i="16"/>
  <c r="P4395" i="16"/>
  <c r="P3705" i="16"/>
  <c r="P3702" i="16"/>
  <c r="P3225" i="16"/>
  <c r="P3222" i="16"/>
  <c r="P2985" i="16"/>
  <c r="P2982" i="16"/>
  <c r="P2745" i="16"/>
  <c r="P2742" i="16"/>
  <c r="AA5536" i="16"/>
  <c r="AA5535" i="16"/>
  <c r="D5535" i="16"/>
  <c r="D5533" i="16"/>
  <c r="D5532" i="16"/>
  <c r="D5530" i="16"/>
  <c r="AA5533" i="16"/>
  <c r="D5531" i="16"/>
  <c r="I5528" i="16"/>
  <c r="Y5527" i="16"/>
  <c r="Y5530" i="16" s="1"/>
  <c r="Y5536" i="16" s="1"/>
  <c r="AA5534" i="16"/>
  <c r="AA5531" i="16"/>
  <c r="AA5532" i="16"/>
  <c r="D5534" i="16"/>
  <c r="H4420" i="16"/>
  <c r="AB4421" i="16"/>
  <c r="K4420" i="16"/>
  <c r="G4420" i="16"/>
  <c r="J4420" i="16"/>
  <c r="I4420" i="16"/>
  <c r="E4420" i="16"/>
  <c r="F4420" i="16"/>
  <c r="J4181" i="16"/>
  <c r="F4181" i="16"/>
  <c r="AB4182" i="16"/>
  <c r="I4181" i="16"/>
  <c r="E4181" i="16"/>
  <c r="H4181" i="16"/>
  <c r="G4181" i="16"/>
  <c r="K4181" i="16"/>
  <c r="J4183" i="16"/>
  <c r="F4183" i="16"/>
  <c r="I4183" i="16"/>
  <c r="E4183" i="16"/>
  <c r="AB4184" i="16"/>
  <c r="K4183" i="16"/>
  <c r="H4183" i="16"/>
  <c r="G4183" i="16"/>
  <c r="AB3943" i="16"/>
  <c r="J3942" i="16"/>
  <c r="F3942" i="16"/>
  <c r="I3942" i="16"/>
  <c r="E3942" i="16"/>
  <c r="K3942" i="16"/>
  <c r="H3942" i="16"/>
  <c r="G3942" i="16"/>
  <c r="AB3945" i="16"/>
  <c r="I3944" i="16"/>
  <c r="E3944" i="16"/>
  <c r="H3944" i="16"/>
  <c r="G3944" i="16"/>
  <c r="F3944" i="16"/>
  <c r="K3944" i="16"/>
  <c r="J3944" i="16"/>
  <c r="H3945" i="16"/>
  <c r="K3945" i="16"/>
  <c r="G3945" i="16"/>
  <c r="AB3946" i="16"/>
  <c r="I3945" i="16"/>
  <c r="F3945" i="16"/>
  <c r="E3945" i="16"/>
  <c r="J3945" i="16"/>
  <c r="P3645" i="16"/>
  <c r="P3642" i="16"/>
  <c r="P2535" i="16"/>
  <c r="P2532" i="16"/>
  <c r="AA1785" i="16"/>
  <c r="D1784" i="16"/>
  <c r="AA1783" i="16"/>
  <c r="I1778" i="16"/>
  <c r="D1783" i="16"/>
  <c r="AA1782" i="16"/>
  <c r="D1782" i="16"/>
  <c r="AA1781" i="16"/>
  <c r="D1781" i="16"/>
  <c r="Y1777" i="16"/>
  <c r="Y1780" i="16" s="1"/>
  <c r="Y1786" i="16" s="1"/>
  <c r="AA1786" i="16"/>
  <c r="AA1784" i="16"/>
  <c r="D1780" i="16"/>
  <c r="D1785" i="16"/>
  <c r="P1665" i="16"/>
  <c r="P1662" i="16"/>
  <c r="AB103" i="16"/>
  <c r="AD103" i="16" s="1"/>
  <c r="H102" i="16"/>
  <c r="K102" i="16"/>
  <c r="G102" i="16"/>
  <c r="J102" i="16"/>
  <c r="F102" i="16"/>
  <c r="I102" i="16"/>
  <c r="E102" i="16"/>
  <c r="P1485" i="16"/>
  <c r="P1482" i="16"/>
  <c r="AA1485" i="16"/>
  <c r="D1484" i="16"/>
  <c r="AA1483" i="16"/>
  <c r="I1478" i="16"/>
  <c r="D1483" i="16"/>
  <c r="AA1482" i="16"/>
  <c r="D1482" i="16"/>
  <c r="AA1481" i="16"/>
  <c r="D1481" i="16"/>
  <c r="Y1477" i="16"/>
  <c r="Y1480" i="16" s="1"/>
  <c r="Y1486" i="16" s="1"/>
  <c r="AA1484" i="16"/>
  <c r="AA1486" i="16"/>
  <c r="D1485" i="16"/>
  <c r="D1480" i="16"/>
  <c r="AA1305" i="16"/>
  <c r="D1304" i="16"/>
  <c r="AA1303" i="16"/>
  <c r="I1298" i="16"/>
  <c r="AA1306" i="16"/>
  <c r="AA1304" i="16"/>
  <c r="D1303" i="16"/>
  <c r="D1302" i="16"/>
  <c r="D1305" i="16"/>
  <c r="D1301" i="16"/>
  <c r="D1300" i="16"/>
  <c r="Y1297" i="16"/>
  <c r="Y1300" i="16" s="1"/>
  <c r="Y1306" i="16" s="1"/>
  <c r="AA1302" i="16"/>
  <c r="AA1301" i="16"/>
  <c r="I1153" i="16"/>
  <c r="E1153" i="16"/>
  <c r="AB1154" i="16"/>
  <c r="K1153" i="16"/>
  <c r="F1153" i="16"/>
  <c r="J1153" i="16"/>
  <c r="H1153" i="16"/>
  <c r="G1153" i="16"/>
  <c r="D135" i="16"/>
  <c r="D134" i="16"/>
  <c r="D133" i="16"/>
  <c r="I128" i="16"/>
  <c r="AA131" i="16"/>
  <c r="D131" i="16"/>
  <c r="Y127" i="16"/>
  <c r="Y130" i="16" s="1"/>
  <c r="Y136" i="16" s="1"/>
  <c r="AA136" i="16"/>
  <c r="AA135" i="16"/>
  <c r="D132" i="16"/>
  <c r="AA134" i="16"/>
  <c r="AA133" i="16"/>
  <c r="AA132" i="16"/>
  <c r="D130" i="16"/>
  <c r="P2355" i="16"/>
  <c r="P2352" i="16"/>
  <c r="P2235" i="16"/>
  <c r="P2232" i="16"/>
  <c r="P1575" i="16"/>
  <c r="P1572" i="16"/>
  <c r="AB1152" i="16"/>
  <c r="AD1152" i="16" s="1"/>
  <c r="I1151" i="16"/>
  <c r="E1151" i="16"/>
  <c r="G1151" i="16"/>
  <c r="K1151" i="16"/>
  <c r="F1151" i="16"/>
  <c r="J1151" i="16"/>
  <c r="H1151" i="16"/>
  <c r="H1154" i="16"/>
  <c r="I1154" i="16"/>
  <c r="AB1155" i="16"/>
  <c r="G1154" i="16"/>
  <c r="K1154" i="16"/>
  <c r="F1154" i="16"/>
  <c r="J1154" i="16"/>
  <c r="E1154" i="16"/>
  <c r="J280" i="16"/>
  <c r="F280" i="16"/>
  <c r="I280" i="16"/>
  <c r="E280" i="16"/>
  <c r="H280" i="16"/>
  <c r="AB281" i="16"/>
  <c r="AD281" i="16" s="1"/>
  <c r="K280" i="16"/>
  <c r="G280" i="16"/>
  <c r="AB253" i="16"/>
  <c r="AD253" i="16" s="1"/>
  <c r="J252" i="16"/>
  <c r="F252" i="16"/>
  <c r="I252" i="16"/>
  <c r="E252" i="16"/>
  <c r="H252" i="16"/>
  <c r="K252" i="16"/>
  <c r="G252" i="16"/>
  <c r="J104" i="16"/>
  <c r="F104" i="16"/>
  <c r="I104" i="16"/>
  <c r="E104" i="16"/>
  <c r="H104" i="16"/>
  <c r="AB105" i="16"/>
  <c r="AD105" i="16" s="1"/>
  <c r="K104" i="16"/>
  <c r="G104" i="16"/>
  <c r="Q113" i="16"/>
  <c r="Q129" i="16"/>
  <c r="P2055" i="16"/>
  <c r="P2052" i="16"/>
  <c r="AB1241" i="16"/>
  <c r="AD1241" i="16" s="1"/>
  <c r="K1240" i="16"/>
  <c r="G1240" i="16"/>
  <c r="H1240" i="16"/>
  <c r="F1240" i="16"/>
  <c r="J1240" i="16"/>
  <c r="E1240" i="16"/>
  <c r="I1240" i="16"/>
  <c r="K1092" i="16"/>
  <c r="G1092" i="16"/>
  <c r="AB1093" i="16"/>
  <c r="AD1093" i="16" s="1"/>
  <c r="J1092" i="16"/>
  <c r="F1092" i="16"/>
  <c r="I1092" i="16"/>
  <c r="E1092" i="16"/>
  <c r="H1092" i="16"/>
  <c r="AB1034" i="16"/>
  <c r="AD1034" i="16" s="1"/>
  <c r="K1033" i="16"/>
  <c r="G1033" i="16"/>
  <c r="J1033" i="16"/>
  <c r="F1033" i="16"/>
  <c r="I1033" i="16"/>
  <c r="E1033" i="16"/>
  <c r="H1033" i="16"/>
  <c r="K1031" i="16"/>
  <c r="G1031" i="16"/>
  <c r="J1031" i="16"/>
  <c r="F1031" i="16"/>
  <c r="AB1032" i="16"/>
  <c r="AD1032" i="16" s="1"/>
  <c r="I1031" i="16"/>
  <c r="E1031" i="16"/>
  <c r="H1031" i="16"/>
  <c r="K972" i="16"/>
  <c r="G972" i="16"/>
  <c r="AB973" i="16"/>
  <c r="AD973" i="16" s="1"/>
  <c r="J972" i="16"/>
  <c r="F972" i="16"/>
  <c r="I972" i="16"/>
  <c r="E972" i="16"/>
  <c r="H972" i="16"/>
  <c r="AB914" i="16"/>
  <c r="AD914" i="16" s="1"/>
  <c r="K913" i="16"/>
  <c r="G913" i="16"/>
  <c r="J913" i="16"/>
  <c r="F913" i="16"/>
  <c r="I913" i="16"/>
  <c r="E913" i="16"/>
  <c r="H913" i="16"/>
  <c r="K911" i="16"/>
  <c r="G911" i="16"/>
  <c r="J911" i="16"/>
  <c r="F911" i="16"/>
  <c r="AB912" i="16"/>
  <c r="AD912" i="16" s="1"/>
  <c r="I911" i="16"/>
  <c r="E911" i="16"/>
  <c r="H911" i="16"/>
  <c r="K852" i="16"/>
  <c r="G852" i="16"/>
  <c r="AB853" i="16"/>
  <c r="AD853" i="16" s="1"/>
  <c r="J852" i="16"/>
  <c r="F852" i="16"/>
  <c r="I852" i="16"/>
  <c r="E852" i="16"/>
  <c r="H852" i="16"/>
  <c r="K822" i="16"/>
  <c r="G822" i="16"/>
  <c r="AB823" i="16"/>
  <c r="AD823" i="16" s="1"/>
  <c r="J822" i="16"/>
  <c r="F822" i="16"/>
  <c r="I822" i="16"/>
  <c r="E822" i="16"/>
  <c r="H822" i="16"/>
  <c r="AA766" i="16"/>
  <c r="D765" i="16"/>
  <c r="AA764" i="16"/>
  <c r="D760" i="16"/>
  <c r="AA765" i="16"/>
  <c r="D764" i="16"/>
  <c r="AA763" i="16"/>
  <c r="I758" i="16"/>
  <c r="D763" i="16"/>
  <c r="AA762" i="16"/>
  <c r="D762" i="16"/>
  <c r="AA761" i="16"/>
  <c r="D761" i="16"/>
  <c r="Y757" i="16"/>
  <c r="Y760" i="16" s="1"/>
  <c r="Y766" i="16" s="1"/>
  <c r="AB286" i="16"/>
  <c r="AD286" i="16" s="1"/>
  <c r="K285" i="16"/>
  <c r="G285" i="16"/>
  <c r="J285" i="16"/>
  <c r="F285" i="16"/>
  <c r="I285" i="16"/>
  <c r="E285" i="16"/>
  <c r="H285" i="16"/>
  <c r="P222" i="16"/>
  <c r="P225" i="16"/>
  <c r="P1122" i="16"/>
  <c r="P1125" i="16"/>
  <c r="P1002" i="16"/>
  <c r="P1005" i="16"/>
  <c r="P882" i="16"/>
  <c r="P885" i="16"/>
  <c r="O184" i="42"/>
  <c r="O188" i="42"/>
  <c r="O170" i="42"/>
  <c r="I158" i="42"/>
  <c r="M142" i="42"/>
  <c r="M158" i="42"/>
  <c r="L199" i="42"/>
  <c r="O141" i="42"/>
  <c r="I155" i="42"/>
  <c r="J149" i="42"/>
  <c r="N161" i="42"/>
  <c r="M104" i="42"/>
  <c r="P162" i="42"/>
  <c r="J152" i="42"/>
  <c r="J160" i="42"/>
  <c r="P174" i="42"/>
  <c r="N174" i="42"/>
  <c r="J140" i="42"/>
  <c r="I18" i="31"/>
  <c r="I2" i="31"/>
  <c r="I12" i="31" s="1"/>
  <c r="I14" i="31" s="1"/>
  <c r="I20" i="31" s="1"/>
  <c r="AB5891" i="16"/>
  <c r="K5890" i="16"/>
  <c r="G5890" i="16"/>
  <c r="F5890" i="16"/>
  <c r="J5890" i="16"/>
  <c r="I5890" i="16"/>
  <c r="H5890" i="16"/>
  <c r="E5890" i="16"/>
  <c r="P5745" i="16"/>
  <c r="P5742" i="16"/>
  <c r="H5774" i="16"/>
  <c r="I5774" i="16"/>
  <c r="K5774" i="16"/>
  <c r="E5774" i="16"/>
  <c r="J5774" i="16"/>
  <c r="F5774" i="16"/>
  <c r="AB5775" i="16"/>
  <c r="G5774" i="16"/>
  <c r="AA5446" i="16"/>
  <c r="D5444" i="16"/>
  <c r="AA5444" i="16"/>
  <c r="AA5442" i="16"/>
  <c r="AA5441" i="16"/>
  <c r="D5443" i="16"/>
  <c r="D5441" i="16"/>
  <c r="AA5445" i="16"/>
  <c r="AA5443" i="16"/>
  <c r="D5445" i="16"/>
  <c r="Y5437" i="16"/>
  <c r="Y5440" i="16" s="1"/>
  <c r="Y5446" i="16" s="1"/>
  <c r="D5442" i="16"/>
  <c r="D5440" i="16"/>
  <c r="I5438" i="16"/>
  <c r="J5384" i="16"/>
  <c r="F5384" i="16"/>
  <c r="I5384" i="16"/>
  <c r="AB5385" i="16"/>
  <c r="AD5385" i="16" s="1"/>
  <c r="H5384" i="16"/>
  <c r="E5384" i="16"/>
  <c r="K5384" i="16"/>
  <c r="G5384" i="16"/>
  <c r="AA5955" i="16"/>
  <c r="D5954" i="16"/>
  <c r="AA5953" i="16"/>
  <c r="I5948" i="16"/>
  <c r="D5955" i="16"/>
  <c r="D5951" i="16"/>
  <c r="D5950" i="16"/>
  <c r="Y5947" i="16"/>
  <c r="Y5950" i="16" s="1"/>
  <c r="Y5956" i="16" s="1"/>
  <c r="AA5951" i="16"/>
  <c r="AA5956" i="16"/>
  <c r="AA5952" i="16"/>
  <c r="AA5954" i="16"/>
  <c r="D5952" i="16"/>
  <c r="D5953" i="16"/>
  <c r="P5835" i="16"/>
  <c r="P5832" i="16"/>
  <c r="AD5654" i="16"/>
  <c r="P5595" i="16"/>
  <c r="P5592" i="16"/>
  <c r="AB6012" i="16"/>
  <c r="I6011" i="16"/>
  <c r="E6011" i="16"/>
  <c r="G6011" i="16"/>
  <c r="F6011" i="16"/>
  <c r="J6011" i="16"/>
  <c r="H6011" i="16"/>
  <c r="K6011" i="16"/>
  <c r="K5985" i="16"/>
  <c r="G5985" i="16"/>
  <c r="H5985" i="16"/>
  <c r="F5985" i="16"/>
  <c r="AB5986" i="16"/>
  <c r="J5985" i="16"/>
  <c r="I5985" i="16"/>
  <c r="E5985" i="16"/>
  <c r="AD5986" i="16"/>
  <c r="AD5985" i="16"/>
  <c r="AD5624" i="16"/>
  <c r="AA5476" i="16"/>
  <c r="AA5475" i="16"/>
  <c r="D5475" i="16"/>
  <c r="D5473" i="16"/>
  <c r="D5472" i="16"/>
  <c r="D5470" i="16"/>
  <c r="AA5473" i="16"/>
  <c r="D5471" i="16"/>
  <c r="I5468" i="16"/>
  <c r="Y5467" i="16"/>
  <c r="Y5470" i="16" s="1"/>
  <c r="Y5476" i="16" s="1"/>
  <c r="AA5472" i="16"/>
  <c r="D5474" i="16"/>
  <c r="AA5471" i="16"/>
  <c r="AA5474" i="16"/>
  <c r="P5385" i="16"/>
  <c r="P5382" i="16"/>
  <c r="I5205" i="16"/>
  <c r="E5205" i="16"/>
  <c r="AB5206" i="16"/>
  <c r="AD5206" i="16" s="1"/>
  <c r="K5205" i="16"/>
  <c r="F5205" i="16"/>
  <c r="J5205" i="16"/>
  <c r="H5205" i="16"/>
  <c r="G5205" i="16"/>
  <c r="H4870" i="16"/>
  <c r="AB4871" i="16"/>
  <c r="K4870" i="16"/>
  <c r="G4870" i="16"/>
  <c r="J4870" i="16"/>
  <c r="F4870" i="16"/>
  <c r="E4870" i="16"/>
  <c r="I4870" i="16"/>
  <c r="H4750" i="16"/>
  <c r="AB4751" i="16"/>
  <c r="K4750" i="16"/>
  <c r="G4750" i="16"/>
  <c r="J4750" i="16"/>
  <c r="F4750" i="16"/>
  <c r="I4750" i="16"/>
  <c r="E4750" i="16"/>
  <c r="H4630" i="16"/>
  <c r="AB4631" i="16"/>
  <c r="K4630" i="16"/>
  <c r="G4630" i="16"/>
  <c r="J4630" i="16"/>
  <c r="F4630" i="16"/>
  <c r="I4630" i="16"/>
  <c r="E4630" i="16"/>
  <c r="P6015" i="16"/>
  <c r="P6012" i="16"/>
  <c r="AA5745" i="16"/>
  <c r="D5744" i="16"/>
  <c r="AA5743" i="16"/>
  <c r="I5738" i="16"/>
  <c r="D5745" i="16"/>
  <c r="AA5742" i="16"/>
  <c r="D5742" i="16"/>
  <c r="AA5741" i="16"/>
  <c r="D5741" i="16"/>
  <c r="D5740" i="16"/>
  <c r="AA5746" i="16"/>
  <c r="Y5737" i="16"/>
  <c r="Y5740" i="16" s="1"/>
  <c r="Y5746" i="16" s="1"/>
  <c r="D5743" i="16"/>
  <c r="AA5744" i="16"/>
  <c r="I5290" i="16"/>
  <c r="E5290" i="16"/>
  <c r="J5290" i="16"/>
  <c r="H5290" i="16"/>
  <c r="K5290" i="16"/>
  <c r="G5290" i="16"/>
  <c r="F5290" i="16"/>
  <c r="AB5291" i="16"/>
  <c r="AD5291" i="16" s="1"/>
  <c r="AD5295" i="16"/>
  <c r="J5174" i="16"/>
  <c r="F5174" i="16"/>
  <c r="K5174" i="16"/>
  <c r="E5174" i="16"/>
  <c r="G5174" i="16"/>
  <c r="I5174" i="16"/>
  <c r="AB5175" i="16"/>
  <c r="AD5175" i="16" s="1"/>
  <c r="H5174" i="16"/>
  <c r="AD5142" i="16"/>
  <c r="I4935" i="16"/>
  <c r="E4935" i="16"/>
  <c r="AB4936" i="16"/>
  <c r="AD4936" i="16" s="1"/>
  <c r="K4935" i="16"/>
  <c r="F4935" i="16"/>
  <c r="J4935" i="16"/>
  <c r="H4935" i="16"/>
  <c r="G4935" i="16"/>
  <c r="AB4905" i="16"/>
  <c r="I4904" i="16"/>
  <c r="E4904" i="16"/>
  <c r="H4904" i="16"/>
  <c r="K4904" i="16"/>
  <c r="G4904" i="16"/>
  <c r="J4904" i="16"/>
  <c r="F4904" i="16"/>
  <c r="AB4875" i="16"/>
  <c r="AD4875" i="16" s="1"/>
  <c r="I4874" i="16"/>
  <c r="E4874" i="16"/>
  <c r="H4874" i="16"/>
  <c r="K4874" i="16"/>
  <c r="G4874" i="16"/>
  <c r="J4874" i="16"/>
  <c r="F4874" i="16"/>
  <c r="AB4845" i="16"/>
  <c r="AD4845" i="16" s="1"/>
  <c r="I4844" i="16"/>
  <c r="E4844" i="16"/>
  <c r="H4844" i="16"/>
  <c r="K4844" i="16"/>
  <c r="G4844" i="16"/>
  <c r="J4844" i="16"/>
  <c r="F4844" i="16"/>
  <c r="AB4815" i="16"/>
  <c r="AD4815" i="16" s="1"/>
  <c r="I4814" i="16"/>
  <c r="E4814" i="16"/>
  <c r="H4814" i="16"/>
  <c r="K4814" i="16"/>
  <c r="G4814" i="16"/>
  <c r="J4814" i="16"/>
  <c r="F4814" i="16"/>
  <c r="AB4785" i="16"/>
  <c r="AD4785" i="16" s="1"/>
  <c r="I4784" i="16"/>
  <c r="E4784" i="16"/>
  <c r="H4784" i="16"/>
  <c r="K4784" i="16"/>
  <c r="G4784" i="16"/>
  <c r="J4784" i="16"/>
  <c r="F4784" i="16"/>
  <c r="AD4693" i="16"/>
  <c r="AB4665" i="16"/>
  <c r="I4664" i="16"/>
  <c r="E4664" i="16"/>
  <c r="H4664" i="16"/>
  <c r="K4664" i="16"/>
  <c r="G4664" i="16"/>
  <c r="J4664" i="16"/>
  <c r="F4664" i="16"/>
  <c r="AD4573" i="16"/>
  <c r="AD6012" i="16"/>
  <c r="AD6015" i="16"/>
  <c r="K5351" i="16"/>
  <c r="G5351" i="16"/>
  <c r="J5351" i="16"/>
  <c r="E5351" i="16"/>
  <c r="I5351" i="16"/>
  <c r="AB5352" i="16"/>
  <c r="AD5352" i="16" s="1"/>
  <c r="H5351" i="16"/>
  <c r="F5351" i="16"/>
  <c r="AB5354" i="16"/>
  <c r="K5353" i="16"/>
  <c r="G5353" i="16"/>
  <c r="I5353" i="16"/>
  <c r="H5353" i="16"/>
  <c r="F5353" i="16"/>
  <c r="E5353" i="16"/>
  <c r="J5353" i="16"/>
  <c r="AB4903" i="16"/>
  <c r="J4902" i="16"/>
  <c r="F4902" i="16"/>
  <c r="I4902" i="16"/>
  <c r="E4902" i="16"/>
  <c r="H4902" i="16"/>
  <c r="K4902" i="16"/>
  <c r="G4902" i="16"/>
  <c r="AD4872" i="16"/>
  <c r="J4843" i="16"/>
  <c r="F4843" i="16"/>
  <c r="I4843" i="16"/>
  <c r="E4843" i="16"/>
  <c r="H4843" i="16"/>
  <c r="K4843" i="16"/>
  <c r="G4843" i="16"/>
  <c r="AB4844" i="16"/>
  <c r="AD4844" i="16" s="1"/>
  <c r="J4841" i="16"/>
  <c r="F4841" i="16"/>
  <c r="AB4842" i="16"/>
  <c r="I4841" i="16"/>
  <c r="E4841" i="16"/>
  <c r="H4841" i="16"/>
  <c r="K4841" i="16"/>
  <c r="G4841" i="16"/>
  <c r="AB4783" i="16"/>
  <c r="J4782" i="16"/>
  <c r="F4782" i="16"/>
  <c r="I4782" i="16"/>
  <c r="E4782" i="16"/>
  <c r="H4782" i="16"/>
  <c r="K4782" i="16"/>
  <c r="G4782" i="16"/>
  <c r="AD4752" i="16"/>
  <c r="J4723" i="16"/>
  <c r="F4723" i="16"/>
  <c r="I4723" i="16"/>
  <c r="E4723" i="16"/>
  <c r="H4723" i="16"/>
  <c r="AB4724" i="16"/>
  <c r="AD4724" i="16" s="1"/>
  <c r="K4723" i="16"/>
  <c r="G4723" i="16"/>
  <c r="J4721" i="16"/>
  <c r="F4721" i="16"/>
  <c r="AB4722" i="16"/>
  <c r="I4721" i="16"/>
  <c r="E4721" i="16"/>
  <c r="H4721" i="16"/>
  <c r="K4721" i="16"/>
  <c r="G4721" i="16"/>
  <c r="AB4663" i="16"/>
  <c r="AD4663" i="16" s="1"/>
  <c r="J4662" i="16"/>
  <c r="F4662" i="16"/>
  <c r="I4662" i="16"/>
  <c r="E4662" i="16"/>
  <c r="H4662" i="16"/>
  <c r="K4662" i="16"/>
  <c r="G4662" i="16"/>
  <c r="AD4632" i="16"/>
  <c r="J4603" i="16"/>
  <c r="F4603" i="16"/>
  <c r="I4603" i="16"/>
  <c r="E4603" i="16"/>
  <c r="H4603" i="16"/>
  <c r="AB4604" i="16"/>
  <c r="AD4604" i="16" s="1"/>
  <c r="K4603" i="16"/>
  <c r="G4603" i="16"/>
  <c r="J4601" i="16"/>
  <c r="F4601" i="16"/>
  <c r="AB4602" i="16"/>
  <c r="I4601" i="16"/>
  <c r="E4601" i="16"/>
  <c r="H4601" i="16"/>
  <c r="G4601" i="16"/>
  <c r="K4601" i="16"/>
  <c r="I5862" i="16"/>
  <c r="E5862" i="16"/>
  <c r="G5862" i="16"/>
  <c r="AB5863" i="16"/>
  <c r="J5862" i="16"/>
  <c r="H5862" i="16"/>
  <c r="F5862" i="16"/>
  <c r="K5862" i="16"/>
  <c r="AB5861" i="16"/>
  <c r="K5860" i="16"/>
  <c r="G5860" i="16"/>
  <c r="H5860" i="16"/>
  <c r="J5860" i="16"/>
  <c r="I5860" i="16"/>
  <c r="E5860" i="16"/>
  <c r="F5860" i="16"/>
  <c r="AD5865" i="16"/>
  <c r="P4752" i="16"/>
  <c r="P4755" i="16"/>
  <c r="AD5112" i="16"/>
  <c r="AD5116" i="16"/>
  <c r="AB4455" i="16"/>
  <c r="I4454" i="16"/>
  <c r="E4454" i="16"/>
  <c r="H4454" i="16"/>
  <c r="K4454" i="16"/>
  <c r="J4454" i="16"/>
  <c r="G4454" i="16"/>
  <c r="F4454" i="16"/>
  <c r="H4455" i="16"/>
  <c r="K4455" i="16"/>
  <c r="G4455" i="16"/>
  <c r="E4455" i="16"/>
  <c r="J4455" i="16"/>
  <c r="I4455" i="16"/>
  <c r="F4455" i="16"/>
  <c r="AB4456" i="16"/>
  <c r="AD4456" i="16" s="1"/>
  <c r="AD4395" i="16"/>
  <c r="H4330" i="16"/>
  <c r="AB4331" i="16"/>
  <c r="AD4331" i="16" s="1"/>
  <c r="K4330" i="16"/>
  <c r="G4330" i="16"/>
  <c r="F4330" i="16"/>
  <c r="E4330" i="16"/>
  <c r="J4330" i="16"/>
  <c r="I4330" i="16"/>
  <c r="AB4215" i="16"/>
  <c r="I4214" i="16"/>
  <c r="E4214" i="16"/>
  <c r="H4214" i="16"/>
  <c r="K4214" i="16"/>
  <c r="J4214" i="16"/>
  <c r="G4214" i="16"/>
  <c r="F4214" i="16"/>
  <c r="H4215" i="16"/>
  <c r="K4215" i="16"/>
  <c r="G4215" i="16"/>
  <c r="E4215" i="16"/>
  <c r="J4215" i="16"/>
  <c r="I4215" i="16"/>
  <c r="F4215" i="16"/>
  <c r="AB4216" i="16"/>
  <c r="AD4216" i="16" s="1"/>
  <c r="AD4155" i="16"/>
  <c r="H4090" i="16"/>
  <c r="AB4091" i="16"/>
  <c r="AD4091" i="16" s="1"/>
  <c r="K4090" i="16"/>
  <c r="G4090" i="16"/>
  <c r="F4090" i="16"/>
  <c r="E4090" i="16"/>
  <c r="J4090" i="16"/>
  <c r="I4090" i="16"/>
  <c r="AB3975" i="16"/>
  <c r="AD3975" i="16" s="1"/>
  <c r="I3974" i="16"/>
  <c r="E3974" i="16"/>
  <c r="H3974" i="16"/>
  <c r="K3974" i="16"/>
  <c r="J3974" i="16"/>
  <c r="G3974" i="16"/>
  <c r="F3974" i="16"/>
  <c r="H3975" i="16"/>
  <c r="K3975" i="16"/>
  <c r="G3975" i="16"/>
  <c r="E3975" i="16"/>
  <c r="J3975" i="16"/>
  <c r="I3975" i="16"/>
  <c r="F3975" i="16"/>
  <c r="AB3976" i="16"/>
  <c r="AD3976" i="16" s="1"/>
  <c r="AD3915" i="16"/>
  <c r="H3880" i="16"/>
  <c r="AB3881" i="16"/>
  <c r="K3880" i="16"/>
  <c r="G3880" i="16"/>
  <c r="I3880" i="16"/>
  <c r="F3880" i="16"/>
  <c r="J3880" i="16"/>
  <c r="E3880" i="16"/>
  <c r="K5412" i="16"/>
  <c r="G5412" i="16"/>
  <c r="AB5413" i="16"/>
  <c r="I5412" i="16"/>
  <c r="H5412" i="16"/>
  <c r="E5412" i="16"/>
  <c r="J5412" i="16"/>
  <c r="F5412" i="16"/>
  <c r="P4242" i="16"/>
  <c r="P4245" i="16"/>
  <c r="H3581" i="16"/>
  <c r="K3581" i="16"/>
  <c r="AB3582" i="16"/>
  <c r="AD3582" i="16" s="1"/>
  <c r="G3581" i="16"/>
  <c r="F3581" i="16"/>
  <c r="J3581" i="16"/>
  <c r="E3581" i="16"/>
  <c r="I3581" i="16"/>
  <c r="H3583" i="16"/>
  <c r="AB3584" i="16"/>
  <c r="AD3584" i="16" s="1"/>
  <c r="K3583" i="16"/>
  <c r="G3583" i="16"/>
  <c r="I3583" i="16"/>
  <c r="F3583" i="16"/>
  <c r="E3583" i="16"/>
  <c r="J3583" i="16"/>
  <c r="H3551" i="16"/>
  <c r="K3551" i="16"/>
  <c r="G3551" i="16"/>
  <c r="J3551" i="16"/>
  <c r="F3551" i="16"/>
  <c r="I3551" i="16"/>
  <c r="E3551" i="16"/>
  <c r="AB3552" i="16"/>
  <c r="H3521" i="16"/>
  <c r="K3521" i="16"/>
  <c r="G3521" i="16"/>
  <c r="J3521" i="16"/>
  <c r="F3521" i="16"/>
  <c r="I3521" i="16"/>
  <c r="E3521" i="16"/>
  <c r="AB3522" i="16"/>
  <c r="H3491" i="16"/>
  <c r="K3491" i="16"/>
  <c r="G3491" i="16"/>
  <c r="J3491" i="16"/>
  <c r="F3491" i="16"/>
  <c r="I3491" i="16"/>
  <c r="E3491" i="16"/>
  <c r="AB3492" i="16"/>
  <c r="H3461" i="16"/>
  <c r="K3461" i="16"/>
  <c r="G3461" i="16"/>
  <c r="J3461" i="16"/>
  <c r="F3461" i="16"/>
  <c r="I3461" i="16"/>
  <c r="E3461" i="16"/>
  <c r="AB3462" i="16"/>
  <c r="H3431" i="16"/>
  <c r="K3431" i="16"/>
  <c r="G3431" i="16"/>
  <c r="J3431" i="16"/>
  <c r="F3431" i="16"/>
  <c r="I3431" i="16"/>
  <c r="E3431" i="16"/>
  <c r="AB3432" i="16"/>
  <c r="H3401" i="16"/>
  <c r="K3401" i="16"/>
  <c r="G3401" i="16"/>
  <c r="J3401" i="16"/>
  <c r="F3401" i="16"/>
  <c r="I3401" i="16"/>
  <c r="E3401" i="16"/>
  <c r="AB3402" i="16"/>
  <c r="H3371" i="16"/>
  <c r="K3371" i="16"/>
  <c r="G3371" i="16"/>
  <c r="J3371" i="16"/>
  <c r="F3371" i="16"/>
  <c r="I3371" i="16"/>
  <c r="E3371" i="16"/>
  <c r="AB3372" i="16"/>
  <c r="H3341" i="16"/>
  <c r="K3341" i="16"/>
  <c r="G3341" i="16"/>
  <c r="J3341" i="16"/>
  <c r="F3341" i="16"/>
  <c r="I3341" i="16"/>
  <c r="E3341" i="16"/>
  <c r="AB3342" i="16"/>
  <c r="H3311" i="16"/>
  <c r="K3311" i="16"/>
  <c r="G3311" i="16"/>
  <c r="J3311" i="16"/>
  <c r="F3311" i="16"/>
  <c r="I3311" i="16"/>
  <c r="E3311" i="16"/>
  <c r="AB3312" i="16"/>
  <c r="H3281" i="16"/>
  <c r="K3281" i="16"/>
  <c r="G3281" i="16"/>
  <c r="J3281" i="16"/>
  <c r="F3281" i="16"/>
  <c r="I3281" i="16"/>
  <c r="E3281" i="16"/>
  <c r="AB3282" i="16"/>
  <c r="H3251" i="16"/>
  <c r="K3251" i="16"/>
  <c r="G3251" i="16"/>
  <c r="J3251" i="16"/>
  <c r="F3251" i="16"/>
  <c r="I3251" i="16"/>
  <c r="AB3252" i="16"/>
  <c r="E3251" i="16"/>
  <c r="H3221" i="16"/>
  <c r="K3221" i="16"/>
  <c r="G3221" i="16"/>
  <c r="J3221" i="16"/>
  <c r="F3221" i="16"/>
  <c r="AB3222" i="16"/>
  <c r="AD3222" i="16" s="1"/>
  <c r="E3221" i="16"/>
  <c r="I3221" i="16"/>
  <c r="H3191" i="16"/>
  <c r="K3191" i="16"/>
  <c r="G3191" i="16"/>
  <c r="J3191" i="16"/>
  <c r="F3191" i="16"/>
  <c r="I3191" i="16"/>
  <c r="AB3192" i="16"/>
  <c r="E3191" i="16"/>
  <c r="H3161" i="16"/>
  <c r="K3161" i="16"/>
  <c r="G3161" i="16"/>
  <c r="J3161" i="16"/>
  <c r="F3161" i="16"/>
  <c r="AB3162" i="16"/>
  <c r="E3161" i="16"/>
  <c r="I3161" i="16"/>
  <c r="H3131" i="16"/>
  <c r="K3131" i="16"/>
  <c r="G3131" i="16"/>
  <c r="J3131" i="16"/>
  <c r="F3131" i="16"/>
  <c r="I3131" i="16"/>
  <c r="AB3132" i="16"/>
  <c r="E3131" i="16"/>
  <c r="H3101" i="16"/>
  <c r="K3101" i="16"/>
  <c r="G3101" i="16"/>
  <c r="J3101" i="16"/>
  <c r="F3101" i="16"/>
  <c r="AB3102" i="16"/>
  <c r="AD3102" i="16" s="1"/>
  <c r="E3101" i="16"/>
  <c r="I3101" i="16"/>
  <c r="H3071" i="16"/>
  <c r="K3071" i="16"/>
  <c r="G3071" i="16"/>
  <c r="J3071" i="16"/>
  <c r="F3071" i="16"/>
  <c r="I3071" i="16"/>
  <c r="AB3072" i="16"/>
  <c r="E3071" i="16"/>
  <c r="H3041" i="16"/>
  <c r="K3041" i="16"/>
  <c r="G3041" i="16"/>
  <c r="J3041" i="16"/>
  <c r="F3041" i="16"/>
  <c r="AB3042" i="16"/>
  <c r="E3041" i="16"/>
  <c r="I3041" i="16"/>
  <c r="H3011" i="16"/>
  <c r="K3011" i="16"/>
  <c r="G3011" i="16"/>
  <c r="J3011" i="16"/>
  <c r="F3011" i="16"/>
  <c r="I3011" i="16"/>
  <c r="AB3012" i="16"/>
  <c r="E3011" i="16"/>
  <c r="H2981" i="16"/>
  <c r="K2981" i="16"/>
  <c r="G2981" i="16"/>
  <c r="J2981" i="16"/>
  <c r="F2981" i="16"/>
  <c r="AB2982" i="16"/>
  <c r="AD2982" i="16" s="1"/>
  <c r="E2981" i="16"/>
  <c r="I2981" i="16"/>
  <c r="H2951" i="16"/>
  <c r="K2951" i="16"/>
  <c r="G2951" i="16"/>
  <c r="J2951" i="16"/>
  <c r="F2951" i="16"/>
  <c r="I2951" i="16"/>
  <c r="AB2952" i="16"/>
  <c r="E2951" i="16"/>
  <c r="H2921" i="16"/>
  <c r="K2921" i="16"/>
  <c r="G2921" i="16"/>
  <c r="J2921" i="16"/>
  <c r="F2921" i="16"/>
  <c r="AB2922" i="16"/>
  <c r="E2921" i="16"/>
  <c r="I2921" i="16"/>
  <c r="H2891" i="16"/>
  <c r="K2891" i="16"/>
  <c r="G2891" i="16"/>
  <c r="J2891" i="16"/>
  <c r="F2891" i="16"/>
  <c r="I2891" i="16"/>
  <c r="AB2892" i="16"/>
  <c r="E2891" i="16"/>
  <c r="H2861" i="16"/>
  <c r="K2861" i="16"/>
  <c r="G2861" i="16"/>
  <c r="J2861" i="16"/>
  <c r="F2861" i="16"/>
  <c r="AB2862" i="16"/>
  <c r="AD2862" i="16" s="1"/>
  <c r="E2861" i="16"/>
  <c r="I2861" i="16"/>
  <c r="H2831" i="16"/>
  <c r="K2831" i="16"/>
  <c r="G2831" i="16"/>
  <c r="J2831" i="16"/>
  <c r="F2831" i="16"/>
  <c r="I2831" i="16"/>
  <c r="AB2832" i="16"/>
  <c r="E2831" i="16"/>
  <c r="H2801" i="16"/>
  <c r="K2801" i="16"/>
  <c r="G2801" i="16"/>
  <c r="J2801" i="16"/>
  <c r="F2801" i="16"/>
  <c r="AB2802" i="16"/>
  <c r="E2801" i="16"/>
  <c r="I2801" i="16"/>
  <c r="H2771" i="16"/>
  <c r="K2771" i="16"/>
  <c r="G2771" i="16"/>
  <c r="J2771" i="16"/>
  <c r="F2771" i="16"/>
  <c r="I2771" i="16"/>
  <c r="AB2772" i="16"/>
  <c r="E2771" i="16"/>
  <c r="H2741" i="16"/>
  <c r="K2741" i="16"/>
  <c r="G2741" i="16"/>
  <c r="J2741" i="16"/>
  <c r="F2741" i="16"/>
  <c r="AB2742" i="16"/>
  <c r="AD2742" i="16" s="1"/>
  <c r="E2741" i="16"/>
  <c r="I2741" i="16"/>
  <c r="H2711" i="16"/>
  <c r="K2711" i="16"/>
  <c r="G2711" i="16"/>
  <c r="J2711" i="16"/>
  <c r="F2711" i="16"/>
  <c r="I2711" i="16"/>
  <c r="AB2712" i="16"/>
  <c r="E2711" i="16"/>
  <c r="H2681" i="16"/>
  <c r="J2681" i="16"/>
  <c r="F2681" i="16"/>
  <c r="G2681" i="16"/>
  <c r="E2681" i="16"/>
  <c r="K2681" i="16"/>
  <c r="AB2682" i="16"/>
  <c r="I2681" i="16"/>
  <c r="H2651" i="16"/>
  <c r="J2651" i="16"/>
  <c r="F2651" i="16"/>
  <c r="K2651" i="16"/>
  <c r="I2651" i="16"/>
  <c r="AB2652" i="16"/>
  <c r="AD2652" i="16" s="1"/>
  <c r="G2651" i="16"/>
  <c r="E2651" i="16"/>
  <c r="H2621" i="16"/>
  <c r="J2621" i="16"/>
  <c r="F2621" i="16"/>
  <c r="AB2622" i="16"/>
  <c r="G2621" i="16"/>
  <c r="E2621" i="16"/>
  <c r="K2621" i="16"/>
  <c r="I2621" i="16"/>
  <c r="H2591" i="16"/>
  <c r="J2591" i="16"/>
  <c r="F2591" i="16"/>
  <c r="K2591" i="16"/>
  <c r="I2591" i="16"/>
  <c r="AB2592" i="16"/>
  <c r="AD2592" i="16" s="1"/>
  <c r="G2591" i="16"/>
  <c r="E2591" i="16"/>
  <c r="H2561" i="16"/>
  <c r="J2561" i="16"/>
  <c r="F2561" i="16"/>
  <c r="AB2562" i="16"/>
  <c r="G2561" i="16"/>
  <c r="E2561" i="16"/>
  <c r="K2561" i="16"/>
  <c r="I2561" i="16"/>
  <c r="H2531" i="16"/>
  <c r="J2531" i="16"/>
  <c r="F2531" i="16"/>
  <c r="K2531" i="16"/>
  <c r="I2531" i="16"/>
  <c r="AB2532" i="16"/>
  <c r="AD2532" i="16" s="1"/>
  <c r="G2531" i="16"/>
  <c r="E2531" i="16"/>
  <c r="H2501" i="16"/>
  <c r="J2501" i="16"/>
  <c r="F2501" i="16"/>
  <c r="AB2502" i="16"/>
  <c r="G2501" i="16"/>
  <c r="E2501" i="16"/>
  <c r="K2501" i="16"/>
  <c r="I2501" i="16"/>
  <c r="K5805" i="16"/>
  <c r="G5805" i="16"/>
  <c r="J5805" i="16"/>
  <c r="E5805" i="16"/>
  <c r="AB5806" i="16"/>
  <c r="AD5806" i="16" s="1"/>
  <c r="H5805" i="16"/>
  <c r="F5805" i="16"/>
  <c r="I5805" i="16"/>
  <c r="I5802" i="16"/>
  <c r="E5802" i="16"/>
  <c r="J5802" i="16"/>
  <c r="G5802" i="16"/>
  <c r="AB5803" i="16"/>
  <c r="K5802" i="16"/>
  <c r="H5802" i="16"/>
  <c r="F5802" i="16"/>
  <c r="P5652" i="16"/>
  <c r="P5655" i="16"/>
  <c r="P5295" i="16"/>
  <c r="P5175" i="16"/>
  <c r="P5172" i="16"/>
  <c r="AB4483" i="16"/>
  <c r="AD4483" i="16" s="1"/>
  <c r="J4482" i="16"/>
  <c r="F4482" i="16"/>
  <c r="I4482" i="16"/>
  <c r="E4482" i="16"/>
  <c r="K4482" i="16"/>
  <c r="H4482" i="16"/>
  <c r="G4482" i="16"/>
  <c r="AB4485" i="16"/>
  <c r="I4484" i="16"/>
  <c r="E4484" i="16"/>
  <c r="H4484" i="16"/>
  <c r="G4484" i="16"/>
  <c r="F4484" i="16"/>
  <c r="K4484" i="16"/>
  <c r="J4484" i="16"/>
  <c r="H4485" i="16"/>
  <c r="K4485" i="16"/>
  <c r="G4485" i="16"/>
  <c r="AB4486" i="16"/>
  <c r="AD4486" i="16" s="1"/>
  <c r="I4485" i="16"/>
  <c r="F4485" i="16"/>
  <c r="J4485" i="16"/>
  <c r="E4485" i="16"/>
  <c r="H4240" i="16"/>
  <c r="AB4241" i="16"/>
  <c r="AD4241" i="16" s="1"/>
  <c r="K4240" i="16"/>
  <c r="G4240" i="16"/>
  <c r="J4240" i="16"/>
  <c r="I4240" i="16"/>
  <c r="F4240" i="16"/>
  <c r="E4240" i="16"/>
  <c r="P4212" i="16"/>
  <c r="P4215" i="16"/>
  <c r="J4123" i="16"/>
  <c r="F4123" i="16"/>
  <c r="I4123" i="16"/>
  <c r="E4123" i="16"/>
  <c r="AB4124" i="16"/>
  <c r="K4123" i="16"/>
  <c r="H4123" i="16"/>
  <c r="G4123" i="16"/>
  <c r="AD4125" i="16"/>
  <c r="AB4003" i="16"/>
  <c r="AD4003" i="16" s="1"/>
  <c r="J4002" i="16"/>
  <c r="F4002" i="16"/>
  <c r="I4002" i="16"/>
  <c r="E4002" i="16"/>
  <c r="K4002" i="16"/>
  <c r="H4002" i="16"/>
  <c r="G4002" i="16"/>
  <c r="AB4005" i="16"/>
  <c r="I4004" i="16"/>
  <c r="E4004" i="16"/>
  <c r="H4004" i="16"/>
  <c r="G4004" i="16"/>
  <c r="F4004" i="16"/>
  <c r="K4004" i="16"/>
  <c r="J4004" i="16"/>
  <c r="H4005" i="16"/>
  <c r="K4005" i="16"/>
  <c r="G4005" i="16"/>
  <c r="AB4006" i="16"/>
  <c r="AD4006" i="16" s="1"/>
  <c r="I4005" i="16"/>
  <c r="F4005" i="16"/>
  <c r="J4005" i="16"/>
  <c r="E4005" i="16"/>
  <c r="AD3526" i="16"/>
  <c r="AD3406" i="16"/>
  <c r="AD3286" i="16"/>
  <c r="P5085" i="16"/>
  <c r="P5082" i="16"/>
  <c r="P4302" i="16"/>
  <c r="P4305" i="16"/>
  <c r="AB3556" i="16"/>
  <c r="J3555" i="16"/>
  <c r="F3555" i="16"/>
  <c r="I3555" i="16"/>
  <c r="E3555" i="16"/>
  <c r="H3555" i="16"/>
  <c r="K3555" i="16"/>
  <c r="G3555" i="16"/>
  <c r="J3490" i="16"/>
  <c r="F3490" i="16"/>
  <c r="I3490" i="16"/>
  <c r="E3490" i="16"/>
  <c r="H3490" i="16"/>
  <c r="AB3491" i="16"/>
  <c r="AD3491" i="16" s="1"/>
  <c r="G3490" i="16"/>
  <c r="K3490" i="16"/>
  <c r="AB3436" i="16"/>
  <c r="J3435" i="16"/>
  <c r="F3435" i="16"/>
  <c r="I3435" i="16"/>
  <c r="E3435" i="16"/>
  <c r="H3435" i="16"/>
  <c r="K3435" i="16"/>
  <c r="G3435" i="16"/>
  <c r="J3370" i="16"/>
  <c r="F3370" i="16"/>
  <c r="I3370" i="16"/>
  <c r="E3370" i="16"/>
  <c r="H3370" i="16"/>
  <c r="AB3371" i="16"/>
  <c r="AD3371" i="16" s="1"/>
  <c r="G3370" i="16"/>
  <c r="K3370" i="16"/>
  <c r="AB3316" i="16"/>
  <c r="J3315" i="16"/>
  <c r="F3315" i="16"/>
  <c r="I3315" i="16"/>
  <c r="E3315" i="16"/>
  <c r="H3315" i="16"/>
  <c r="K3315" i="16"/>
  <c r="G3315" i="16"/>
  <c r="J3250" i="16"/>
  <c r="F3250" i="16"/>
  <c r="I3250" i="16"/>
  <c r="E3250" i="16"/>
  <c r="H3250" i="16"/>
  <c r="AB3251" i="16"/>
  <c r="AD3251" i="16" s="1"/>
  <c r="K3250" i="16"/>
  <c r="G3250" i="16"/>
  <c r="AB3226" i="16"/>
  <c r="J3225" i="16"/>
  <c r="F3225" i="16"/>
  <c r="I3225" i="16"/>
  <c r="E3225" i="16"/>
  <c r="H3225" i="16"/>
  <c r="K3225" i="16"/>
  <c r="G3225" i="16"/>
  <c r="J3190" i="16"/>
  <c r="F3190" i="16"/>
  <c r="I3190" i="16"/>
  <c r="E3190" i="16"/>
  <c r="H3190" i="16"/>
  <c r="AB3191" i="16"/>
  <c r="AD3191" i="16" s="1"/>
  <c r="K3190" i="16"/>
  <c r="G3190" i="16"/>
  <c r="AB3166" i="16"/>
  <c r="AD3166" i="16" s="1"/>
  <c r="J3165" i="16"/>
  <c r="F3165" i="16"/>
  <c r="I3165" i="16"/>
  <c r="E3165" i="16"/>
  <c r="H3165" i="16"/>
  <c r="K3165" i="16"/>
  <c r="G3165" i="16"/>
  <c r="J3130" i="16"/>
  <c r="F3130" i="16"/>
  <c r="I3130" i="16"/>
  <c r="E3130" i="16"/>
  <c r="H3130" i="16"/>
  <c r="AB3131" i="16"/>
  <c r="AD3131" i="16" s="1"/>
  <c r="K3130" i="16"/>
  <c r="G3130" i="16"/>
  <c r="AB3106" i="16"/>
  <c r="J3105" i="16"/>
  <c r="F3105" i="16"/>
  <c r="I3105" i="16"/>
  <c r="E3105" i="16"/>
  <c r="H3105" i="16"/>
  <c r="K3105" i="16"/>
  <c r="G3105" i="16"/>
  <c r="J3070" i="16"/>
  <c r="F3070" i="16"/>
  <c r="I3070" i="16"/>
  <c r="E3070" i="16"/>
  <c r="H3070" i="16"/>
  <c r="AB3071" i="16"/>
  <c r="AD3071" i="16" s="1"/>
  <c r="K3070" i="16"/>
  <c r="G3070" i="16"/>
  <c r="AB3046" i="16"/>
  <c r="AD3046" i="16" s="1"/>
  <c r="J3045" i="16"/>
  <c r="F3045" i="16"/>
  <c r="I3045" i="16"/>
  <c r="E3045" i="16"/>
  <c r="H3045" i="16"/>
  <c r="K3045" i="16"/>
  <c r="G3045" i="16"/>
  <c r="J3010" i="16"/>
  <c r="F3010" i="16"/>
  <c r="I3010" i="16"/>
  <c r="E3010" i="16"/>
  <c r="H3010" i="16"/>
  <c r="AB3011" i="16"/>
  <c r="AD3011" i="16" s="1"/>
  <c r="K3010" i="16"/>
  <c r="G3010" i="16"/>
  <c r="AB2986" i="16"/>
  <c r="J2985" i="16"/>
  <c r="F2985" i="16"/>
  <c r="I2985" i="16"/>
  <c r="E2985" i="16"/>
  <c r="H2985" i="16"/>
  <c r="K2985" i="16"/>
  <c r="G2985" i="16"/>
  <c r="J2950" i="16"/>
  <c r="F2950" i="16"/>
  <c r="I2950" i="16"/>
  <c r="E2950" i="16"/>
  <c r="H2950" i="16"/>
  <c r="AB2951" i="16"/>
  <c r="AD2951" i="16" s="1"/>
  <c r="K2950" i="16"/>
  <c r="G2950" i="16"/>
  <c r="AB2926" i="16"/>
  <c r="AD2926" i="16" s="1"/>
  <c r="J2925" i="16"/>
  <c r="F2925" i="16"/>
  <c r="I2925" i="16"/>
  <c r="E2925" i="16"/>
  <c r="H2925" i="16"/>
  <c r="K2925" i="16"/>
  <c r="G2925" i="16"/>
  <c r="J2890" i="16"/>
  <c r="F2890" i="16"/>
  <c r="I2890" i="16"/>
  <c r="E2890" i="16"/>
  <c r="H2890" i="16"/>
  <c r="AB2891" i="16"/>
  <c r="AD2891" i="16" s="1"/>
  <c r="K2890" i="16"/>
  <c r="G2890" i="16"/>
  <c r="AB2866" i="16"/>
  <c r="J2865" i="16"/>
  <c r="F2865" i="16"/>
  <c r="I2865" i="16"/>
  <c r="E2865" i="16"/>
  <c r="H2865" i="16"/>
  <c r="K2865" i="16"/>
  <c r="G2865" i="16"/>
  <c r="J2830" i="16"/>
  <c r="F2830" i="16"/>
  <c r="I2830" i="16"/>
  <c r="E2830" i="16"/>
  <c r="H2830" i="16"/>
  <c r="AB2831" i="16"/>
  <c r="AD2831" i="16" s="1"/>
  <c r="K2830" i="16"/>
  <c r="G2830" i="16"/>
  <c r="AB2806" i="16"/>
  <c r="AD2806" i="16" s="1"/>
  <c r="J2805" i="16"/>
  <c r="F2805" i="16"/>
  <c r="I2805" i="16"/>
  <c r="E2805" i="16"/>
  <c r="H2805" i="16"/>
  <c r="K2805" i="16"/>
  <c r="G2805" i="16"/>
  <c r="J2770" i="16"/>
  <c r="F2770" i="16"/>
  <c r="I2770" i="16"/>
  <c r="E2770" i="16"/>
  <c r="H2770" i="16"/>
  <c r="AB2771" i="16"/>
  <c r="AD2771" i="16" s="1"/>
  <c r="K2770" i="16"/>
  <c r="G2770" i="16"/>
  <c r="AB2746" i="16"/>
  <c r="J2745" i="16"/>
  <c r="F2745" i="16"/>
  <c r="I2745" i="16"/>
  <c r="E2745" i="16"/>
  <c r="H2745" i="16"/>
  <c r="K2745" i="16"/>
  <c r="G2745" i="16"/>
  <c r="J2710" i="16"/>
  <c r="F2710" i="16"/>
  <c r="I2710" i="16"/>
  <c r="E2710" i="16"/>
  <c r="H2710" i="16"/>
  <c r="AB2711" i="16"/>
  <c r="AD2711" i="16" s="1"/>
  <c r="K2710" i="16"/>
  <c r="G2710" i="16"/>
  <c r="AB2686" i="16"/>
  <c r="AD2686" i="16" s="1"/>
  <c r="J2685" i="16"/>
  <c r="F2685" i="16"/>
  <c r="I2685" i="16"/>
  <c r="E2685" i="16"/>
  <c r="H2685" i="16"/>
  <c r="K2685" i="16"/>
  <c r="G2685" i="16"/>
  <c r="J4994" i="16"/>
  <c r="F4994" i="16"/>
  <c r="AB4995" i="16"/>
  <c r="AD4995" i="16" s="1"/>
  <c r="H4994" i="16"/>
  <c r="G4994" i="16"/>
  <c r="K4994" i="16"/>
  <c r="E4994" i="16"/>
  <c r="I4994" i="16"/>
  <c r="I4995" i="16"/>
  <c r="E4995" i="16"/>
  <c r="AB4996" i="16"/>
  <c r="K4995" i="16"/>
  <c r="F4995" i="16"/>
  <c r="J4995" i="16"/>
  <c r="H4995" i="16"/>
  <c r="G4995" i="16"/>
  <c r="AD4994" i="16"/>
  <c r="P4272" i="16"/>
  <c r="P4275" i="16"/>
  <c r="P3825" i="16"/>
  <c r="P3822" i="16"/>
  <c r="P3315" i="16"/>
  <c r="P3312" i="16"/>
  <c r="P3195" i="16"/>
  <c r="P3192" i="16"/>
  <c r="P2955" i="16"/>
  <c r="P2952" i="16"/>
  <c r="P2715" i="16"/>
  <c r="P2712" i="16"/>
  <c r="H2470" i="16"/>
  <c r="I2470" i="16"/>
  <c r="AB2471" i="16"/>
  <c r="AD2471" i="16" s="1"/>
  <c r="G2470" i="16"/>
  <c r="K2470" i="16"/>
  <c r="F2470" i="16"/>
  <c r="J2470" i="16"/>
  <c r="E2470" i="16"/>
  <c r="J2441" i="16"/>
  <c r="F2441" i="16"/>
  <c r="I2441" i="16"/>
  <c r="AB2442" i="16"/>
  <c r="AD2442" i="16" s="1"/>
  <c r="H2441" i="16"/>
  <c r="G2441" i="16"/>
  <c r="K2441" i="16"/>
  <c r="E2441" i="16"/>
  <c r="I5235" i="16"/>
  <c r="E5235" i="16"/>
  <c r="H5235" i="16"/>
  <c r="J5235" i="16"/>
  <c r="AB5236" i="16"/>
  <c r="AD5236" i="16" s="1"/>
  <c r="G5235" i="16"/>
  <c r="F5235" i="16"/>
  <c r="K5235" i="16"/>
  <c r="K5052" i="16"/>
  <c r="G5052" i="16"/>
  <c r="J5052" i="16"/>
  <c r="E5052" i="16"/>
  <c r="AB5053" i="16"/>
  <c r="AD5053" i="16" s="1"/>
  <c r="I5052" i="16"/>
  <c r="H5052" i="16"/>
  <c r="F5052" i="16"/>
  <c r="AD5051" i="16"/>
  <c r="P5052" i="16"/>
  <c r="P5055" i="16"/>
  <c r="AD4542" i="16"/>
  <c r="H4540" i="16"/>
  <c r="AB4541" i="16"/>
  <c r="AD4541" i="16" s="1"/>
  <c r="K4540" i="16"/>
  <c r="G4540" i="16"/>
  <c r="J4540" i="16"/>
  <c r="I4540" i="16"/>
  <c r="E4540" i="16"/>
  <c r="F4540" i="16"/>
  <c r="J4301" i="16"/>
  <c r="F4301" i="16"/>
  <c r="AB4302" i="16"/>
  <c r="I4301" i="16"/>
  <c r="E4301" i="16"/>
  <c r="H4301" i="16"/>
  <c r="G4301" i="16"/>
  <c r="K4301" i="16"/>
  <c r="J4303" i="16"/>
  <c r="F4303" i="16"/>
  <c r="I4303" i="16"/>
  <c r="E4303" i="16"/>
  <c r="AB4304" i="16"/>
  <c r="AD4304" i="16" s="1"/>
  <c r="K4303" i="16"/>
  <c r="H4303" i="16"/>
  <c r="G4303" i="16"/>
  <c r="AD4305" i="16"/>
  <c r="AB4063" i="16"/>
  <c r="AD4063" i="16" s="1"/>
  <c r="J4062" i="16"/>
  <c r="F4062" i="16"/>
  <c r="I4062" i="16"/>
  <c r="E4062" i="16"/>
  <c r="K4062" i="16"/>
  <c r="H4062" i="16"/>
  <c r="G4062" i="16"/>
  <c r="AB4065" i="16"/>
  <c r="I4064" i="16"/>
  <c r="E4064" i="16"/>
  <c r="H4064" i="16"/>
  <c r="G4064" i="16"/>
  <c r="F4064" i="16"/>
  <c r="K4064" i="16"/>
  <c r="J4064" i="16"/>
  <c r="H4065" i="16"/>
  <c r="K4065" i="16"/>
  <c r="G4065" i="16"/>
  <c r="AB4066" i="16"/>
  <c r="AD4066" i="16" s="1"/>
  <c r="I4065" i="16"/>
  <c r="F4065" i="16"/>
  <c r="E4065" i="16"/>
  <c r="J4065" i="16"/>
  <c r="AA2235" i="16"/>
  <c r="D2234" i="16"/>
  <c r="AA2233" i="16"/>
  <c r="I2228" i="16"/>
  <c r="D2233" i="16"/>
  <c r="AA2232" i="16"/>
  <c r="D2232" i="16"/>
  <c r="AA2231" i="16"/>
  <c r="D2231" i="16"/>
  <c r="Y2227" i="16"/>
  <c r="Y2230" i="16" s="1"/>
  <c r="Y2236" i="16" s="1"/>
  <c r="AA2236" i="16"/>
  <c r="D2235" i="16"/>
  <c r="AA2234" i="16"/>
  <c r="D2230" i="16"/>
  <c r="AA2145" i="16"/>
  <c r="D2144" i="16"/>
  <c r="AA2143" i="16"/>
  <c r="I2138" i="16"/>
  <c r="D2143" i="16"/>
  <c r="AA2142" i="16"/>
  <c r="D2142" i="16"/>
  <c r="AA2141" i="16"/>
  <c r="D2141" i="16"/>
  <c r="Y2137" i="16"/>
  <c r="Y2140" i="16" s="1"/>
  <c r="Y2146" i="16" s="1"/>
  <c r="AA2146" i="16"/>
  <c r="D2145" i="16"/>
  <c r="AA2144" i="16"/>
  <c r="D2140" i="16"/>
  <c r="AA2085" i="16"/>
  <c r="D2084" i="16"/>
  <c r="AA2083" i="16"/>
  <c r="I2078" i="16"/>
  <c r="D2083" i="16"/>
  <c r="AA2082" i="16"/>
  <c r="D2082" i="16"/>
  <c r="AA2081" i="16"/>
  <c r="D2081" i="16"/>
  <c r="Y2077" i="16"/>
  <c r="Y2080" i="16" s="1"/>
  <c r="Y2086" i="16" s="1"/>
  <c r="AA2086" i="16"/>
  <c r="D2085" i="16"/>
  <c r="AA2084" i="16"/>
  <c r="D2080" i="16"/>
  <c r="AA2025" i="16"/>
  <c r="D2024" i="16"/>
  <c r="AA2023" i="16"/>
  <c r="I2018" i="16"/>
  <c r="D2023" i="16"/>
  <c r="AA2022" i="16"/>
  <c r="D2022" i="16"/>
  <c r="AA2021" i="16"/>
  <c r="D2021" i="16"/>
  <c r="Y2017" i="16"/>
  <c r="Y2020" i="16" s="1"/>
  <c r="Y2026" i="16" s="1"/>
  <c r="AA2026" i="16"/>
  <c r="D2025" i="16"/>
  <c r="AA2024" i="16"/>
  <c r="D2020" i="16"/>
  <c r="AA1965" i="16"/>
  <c r="D1964" i="16"/>
  <c r="AA1963" i="16"/>
  <c r="I1958" i="16"/>
  <c r="D1963" i="16"/>
  <c r="AA1962" i="16"/>
  <c r="D1962" i="16"/>
  <c r="AA1961" i="16"/>
  <c r="D1961" i="16"/>
  <c r="Y1957" i="16"/>
  <c r="Y1960" i="16" s="1"/>
  <c r="Y1966" i="16" s="1"/>
  <c r="AA1966" i="16"/>
  <c r="D1965" i="16"/>
  <c r="AA1964" i="16"/>
  <c r="D1960" i="16"/>
  <c r="AA1905" i="16"/>
  <c r="D1904" i="16"/>
  <c r="AA1903" i="16"/>
  <c r="I1898" i="16"/>
  <c r="D1903" i="16"/>
  <c r="AA1902" i="16"/>
  <c r="D1902" i="16"/>
  <c r="AA1901" i="16"/>
  <c r="D1901" i="16"/>
  <c r="Y1897" i="16"/>
  <c r="Y1900" i="16" s="1"/>
  <c r="Y1906" i="16" s="1"/>
  <c r="AA1906" i="16"/>
  <c r="D1905" i="16"/>
  <c r="AA1904" i="16"/>
  <c r="D1900" i="16"/>
  <c r="P3285" i="16"/>
  <c r="P3282" i="16"/>
  <c r="P3045" i="16"/>
  <c r="P3042" i="16"/>
  <c r="P2805" i="16"/>
  <c r="P2802" i="16"/>
  <c r="Q83" i="16"/>
  <c r="AD4182" i="16"/>
  <c r="H4180" i="16"/>
  <c r="AB4181" i="16"/>
  <c r="K4180" i="16"/>
  <c r="G4180" i="16"/>
  <c r="J4180" i="16"/>
  <c r="I4180" i="16"/>
  <c r="E4180" i="16"/>
  <c r="F4180" i="16"/>
  <c r="J3941" i="16"/>
  <c r="F3941" i="16"/>
  <c r="AB3942" i="16"/>
  <c r="I3941" i="16"/>
  <c r="E3941" i="16"/>
  <c r="H3941" i="16"/>
  <c r="G3941" i="16"/>
  <c r="K3941" i="16"/>
  <c r="J3943" i="16"/>
  <c r="F3943" i="16"/>
  <c r="I3943" i="16"/>
  <c r="E3943" i="16"/>
  <c r="AB3944" i="16"/>
  <c r="K3943" i="16"/>
  <c r="H3943" i="16"/>
  <c r="G3943" i="16"/>
  <c r="AD3945" i="16"/>
  <c r="P3882" i="16"/>
  <c r="P3885" i="16"/>
  <c r="P2595" i="16"/>
  <c r="P2592" i="16"/>
  <c r="P1965" i="16"/>
  <c r="P1962" i="16"/>
  <c r="AA1845" i="16"/>
  <c r="D1844" i="16"/>
  <c r="AA1843" i="16"/>
  <c r="I1838" i="16"/>
  <c r="D1843" i="16"/>
  <c r="AA1842" i="16"/>
  <c r="D1842" i="16"/>
  <c r="AA1841" i="16"/>
  <c r="D1841" i="16"/>
  <c r="Y1837" i="16"/>
  <c r="Y1840" i="16" s="1"/>
  <c r="Y1846" i="16" s="1"/>
  <c r="AA1846" i="16"/>
  <c r="AA1844" i="16"/>
  <c r="D1840" i="16"/>
  <c r="D1845" i="16"/>
  <c r="P1725" i="16"/>
  <c r="P1722" i="16"/>
  <c r="AA1605" i="16"/>
  <c r="D1604" i="16"/>
  <c r="AA1603" i="16"/>
  <c r="I1598" i="16"/>
  <c r="D1603" i="16"/>
  <c r="AA1602" i="16"/>
  <c r="D1602" i="16"/>
  <c r="AA1601" i="16"/>
  <c r="D1601" i="16"/>
  <c r="Y1597" i="16"/>
  <c r="Y1600" i="16" s="1"/>
  <c r="Y1606" i="16" s="1"/>
  <c r="AA1606" i="16"/>
  <c r="AA1604" i="16"/>
  <c r="D1600" i="16"/>
  <c r="D1605" i="16"/>
  <c r="H281" i="16"/>
  <c r="AB282" i="16"/>
  <c r="AD282" i="16" s="1"/>
  <c r="K281" i="16"/>
  <c r="G281" i="16"/>
  <c r="J281" i="16"/>
  <c r="F281" i="16"/>
  <c r="I281" i="16"/>
  <c r="E281" i="16"/>
  <c r="P1995" i="16"/>
  <c r="P1992" i="16"/>
  <c r="P1335" i="16"/>
  <c r="P1332" i="16"/>
  <c r="I1095" i="16"/>
  <c r="E1095" i="16"/>
  <c r="H1095" i="16"/>
  <c r="K1095" i="16"/>
  <c r="G1095" i="16"/>
  <c r="AB1096" i="16"/>
  <c r="AD1096" i="16" s="1"/>
  <c r="J1095" i="16"/>
  <c r="F1095" i="16"/>
  <c r="I1090" i="16"/>
  <c r="E1090" i="16"/>
  <c r="H1090" i="16"/>
  <c r="AB1091" i="16"/>
  <c r="K1090" i="16"/>
  <c r="G1090" i="16"/>
  <c r="J1090" i="16"/>
  <c r="F1090" i="16"/>
  <c r="I1035" i="16"/>
  <c r="E1035" i="16"/>
  <c r="H1035" i="16"/>
  <c r="K1035" i="16"/>
  <c r="G1035" i="16"/>
  <c r="AB1036" i="16"/>
  <c r="AD1036" i="16" s="1"/>
  <c r="J1035" i="16"/>
  <c r="F1035" i="16"/>
  <c r="I1030" i="16"/>
  <c r="E1030" i="16"/>
  <c r="H1030" i="16"/>
  <c r="AB1031" i="16"/>
  <c r="K1030" i="16"/>
  <c r="G1030" i="16"/>
  <c r="J1030" i="16"/>
  <c r="F1030" i="16"/>
  <c r="I975" i="16"/>
  <c r="E975" i="16"/>
  <c r="H975" i="16"/>
  <c r="K975" i="16"/>
  <c r="G975" i="16"/>
  <c r="AB976" i="16"/>
  <c r="AD976" i="16" s="1"/>
  <c r="J975" i="16"/>
  <c r="F975" i="16"/>
  <c r="I970" i="16"/>
  <c r="E970" i="16"/>
  <c r="H970" i="16"/>
  <c r="AB971" i="16"/>
  <c r="K970" i="16"/>
  <c r="G970" i="16"/>
  <c r="J970" i="16"/>
  <c r="F970" i="16"/>
  <c r="I915" i="16"/>
  <c r="E915" i="16"/>
  <c r="H915" i="16"/>
  <c r="K915" i="16"/>
  <c r="G915" i="16"/>
  <c r="AB916" i="16"/>
  <c r="AD916" i="16" s="1"/>
  <c r="J915" i="16"/>
  <c r="F915" i="16"/>
  <c r="I910" i="16"/>
  <c r="E910" i="16"/>
  <c r="H910" i="16"/>
  <c r="AB911" i="16"/>
  <c r="K910" i="16"/>
  <c r="G910" i="16"/>
  <c r="J910" i="16"/>
  <c r="F910" i="16"/>
  <c r="I855" i="16"/>
  <c r="E855" i="16"/>
  <c r="H855" i="16"/>
  <c r="K855" i="16"/>
  <c r="G855" i="16"/>
  <c r="AB856" i="16"/>
  <c r="AD856" i="16" s="1"/>
  <c r="J855" i="16"/>
  <c r="F855" i="16"/>
  <c r="I850" i="16"/>
  <c r="E850" i="16"/>
  <c r="H850" i="16"/>
  <c r="AB851" i="16"/>
  <c r="K850" i="16"/>
  <c r="G850" i="16"/>
  <c r="J850" i="16"/>
  <c r="F850" i="16"/>
  <c r="I282" i="16"/>
  <c r="E282" i="16"/>
  <c r="AB283" i="16"/>
  <c r="AD283" i="16" s="1"/>
  <c r="H282" i="16"/>
  <c r="K282" i="16"/>
  <c r="G282" i="16"/>
  <c r="J282" i="16"/>
  <c r="F282" i="16"/>
  <c r="P2205" i="16"/>
  <c r="P2202" i="16"/>
  <c r="AA1815" i="16"/>
  <c r="D1814" i="16"/>
  <c r="AA1813" i="16"/>
  <c r="I1808" i="16"/>
  <c r="D1813" i="16"/>
  <c r="AA1812" i="16"/>
  <c r="D1812" i="16"/>
  <c r="AA1811" i="16"/>
  <c r="D1811" i="16"/>
  <c r="Y1807" i="16"/>
  <c r="Y1810" i="16" s="1"/>
  <c r="Y1816" i="16" s="1"/>
  <c r="AA1816" i="16"/>
  <c r="D1815" i="16"/>
  <c r="AA1814" i="16"/>
  <c r="D1810" i="16"/>
  <c r="P1755" i="16"/>
  <c r="P1752" i="16"/>
  <c r="AA1695" i="16"/>
  <c r="D1694" i="16"/>
  <c r="AA1693" i="16"/>
  <c r="I1688" i="16"/>
  <c r="D1693" i="16"/>
  <c r="AA1692" i="16"/>
  <c r="D1692" i="16"/>
  <c r="AA1691" i="16"/>
  <c r="D1691" i="16"/>
  <c r="Y1687" i="16"/>
  <c r="Y1690" i="16" s="1"/>
  <c r="Y1696" i="16" s="1"/>
  <c r="AA1696" i="16"/>
  <c r="D1695" i="16"/>
  <c r="AA1694" i="16"/>
  <c r="D1690" i="16"/>
  <c r="P1635" i="16"/>
  <c r="P1632" i="16"/>
  <c r="I1362" i="16"/>
  <c r="E1362" i="16"/>
  <c r="G1362" i="16"/>
  <c r="K1362" i="16"/>
  <c r="F1362" i="16"/>
  <c r="J1362" i="16"/>
  <c r="AB1363" i="16"/>
  <c r="AD1363" i="16" s="1"/>
  <c r="H1362" i="16"/>
  <c r="AA1275" i="16"/>
  <c r="D1274" i="16"/>
  <c r="AA1273" i="16"/>
  <c r="I1268" i="16"/>
  <c r="AA1272" i="16"/>
  <c r="AA1271" i="16"/>
  <c r="AA1276" i="16"/>
  <c r="AA1274" i="16"/>
  <c r="D1273" i="16"/>
  <c r="D1272" i="16"/>
  <c r="D1275" i="16"/>
  <c r="D1271" i="16"/>
  <c r="D1270" i="16"/>
  <c r="Y1267" i="16"/>
  <c r="Y1270" i="16" s="1"/>
  <c r="Y1276" i="16" s="1"/>
  <c r="AB1151" i="16"/>
  <c r="AD1151" i="16" s="1"/>
  <c r="K1150" i="16"/>
  <c r="G1150" i="16"/>
  <c r="F1150" i="16"/>
  <c r="J1150" i="16"/>
  <c r="E1150" i="16"/>
  <c r="I1150" i="16"/>
  <c r="H1150" i="16"/>
  <c r="AD1155" i="16"/>
  <c r="AB104" i="16"/>
  <c r="AD104" i="16" s="1"/>
  <c r="J103" i="16"/>
  <c r="F103" i="16"/>
  <c r="I103" i="16"/>
  <c r="E103" i="16"/>
  <c r="H103" i="16"/>
  <c r="K103" i="16"/>
  <c r="G103" i="16"/>
  <c r="P2685" i="16"/>
  <c r="P2682" i="16"/>
  <c r="P2565" i="16"/>
  <c r="P2562" i="16"/>
  <c r="P2175" i="16"/>
  <c r="P2172" i="16"/>
  <c r="K1245" i="16"/>
  <c r="G1245" i="16"/>
  <c r="H1245" i="16"/>
  <c r="AB1246" i="16"/>
  <c r="F1245" i="16"/>
  <c r="J1245" i="16"/>
  <c r="E1245" i="16"/>
  <c r="I1245" i="16"/>
  <c r="K1122" i="16"/>
  <c r="G1122" i="16"/>
  <c r="AB1123" i="16"/>
  <c r="AD1123" i="16" s="1"/>
  <c r="J1122" i="16"/>
  <c r="F1122" i="16"/>
  <c r="I1122" i="16"/>
  <c r="E1122" i="16"/>
  <c r="H1122" i="16"/>
  <c r="AD1091" i="16"/>
  <c r="AB1064" i="16"/>
  <c r="AD1064" i="16" s="1"/>
  <c r="K1063" i="16"/>
  <c r="G1063" i="16"/>
  <c r="J1063" i="16"/>
  <c r="F1063" i="16"/>
  <c r="I1063" i="16"/>
  <c r="E1063" i="16"/>
  <c r="H1063" i="16"/>
  <c r="K1061" i="16"/>
  <c r="G1061" i="16"/>
  <c r="J1061" i="16"/>
  <c r="F1061" i="16"/>
  <c r="AB1062" i="16"/>
  <c r="I1061" i="16"/>
  <c r="E1061" i="16"/>
  <c r="H1061" i="16"/>
  <c r="K1002" i="16"/>
  <c r="G1002" i="16"/>
  <c r="AB1003" i="16"/>
  <c r="AD1003" i="16" s="1"/>
  <c r="J1002" i="16"/>
  <c r="F1002" i="16"/>
  <c r="I1002" i="16"/>
  <c r="E1002" i="16"/>
  <c r="H1002" i="16"/>
  <c r="AD971" i="16"/>
  <c r="AB944" i="16"/>
  <c r="AD944" i="16" s="1"/>
  <c r="K943" i="16"/>
  <c r="G943" i="16"/>
  <c r="J943" i="16"/>
  <c r="F943" i="16"/>
  <c r="I943" i="16"/>
  <c r="E943" i="16"/>
  <c r="H943" i="16"/>
  <c r="K941" i="16"/>
  <c r="G941" i="16"/>
  <c r="J941" i="16"/>
  <c r="F941" i="16"/>
  <c r="AB942" i="16"/>
  <c r="I941" i="16"/>
  <c r="E941" i="16"/>
  <c r="H941" i="16"/>
  <c r="K882" i="16"/>
  <c r="G882" i="16"/>
  <c r="AB883" i="16"/>
  <c r="J882" i="16"/>
  <c r="F882" i="16"/>
  <c r="I882" i="16"/>
  <c r="E882" i="16"/>
  <c r="H882" i="16"/>
  <c r="AD851" i="16"/>
  <c r="AA796" i="16"/>
  <c r="D795" i="16"/>
  <c r="AA794" i="16"/>
  <c r="D790" i="16"/>
  <c r="AA795" i="16"/>
  <c r="D794" i="16"/>
  <c r="AA793" i="16"/>
  <c r="I788" i="16"/>
  <c r="D793" i="16"/>
  <c r="AA792" i="16"/>
  <c r="D792" i="16"/>
  <c r="AA791" i="16"/>
  <c r="D791" i="16"/>
  <c r="Y787" i="16"/>
  <c r="Y790" i="16" s="1"/>
  <c r="Y796" i="16" s="1"/>
  <c r="AA736" i="16"/>
  <c r="D735" i="16"/>
  <c r="AA734" i="16"/>
  <c r="D730" i="16"/>
  <c r="AA735" i="16"/>
  <c r="D734" i="16"/>
  <c r="AA733" i="16"/>
  <c r="I728" i="16"/>
  <c r="D733" i="16"/>
  <c r="AA732" i="16"/>
  <c r="D732" i="16"/>
  <c r="AA731" i="16"/>
  <c r="D731" i="16"/>
  <c r="Y727" i="16"/>
  <c r="Y730" i="16" s="1"/>
  <c r="Y736" i="16" s="1"/>
  <c r="AA676" i="16"/>
  <c r="D675" i="16"/>
  <c r="AA674" i="16"/>
  <c r="D670" i="16"/>
  <c r="AA675" i="16"/>
  <c r="D674" i="16"/>
  <c r="AA673" i="16"/>
  <c r="I668" i="16"/>
  <c r="D673" i="16"/>
  <c r="AA672" i="16"/>
  <c r="D672" i="16"/>
  <c r="AA671" i="16"/>
  <c r="D671" i="16"/>
  <c r="Y667" i="16"/>
  <c r="Y670" i="16" s="1"/>
  <c r="Y676" i="16" s="1"/>
  <c r="AA616" i="16"/>
  <c r="D615" i="16"/>
  <c r="AA614" i="16"/>
  <c r="D610" i="16"/>
  <c r="AA615" i="16"/>
  <c r="D614" i="16"/>
  <c r="AA613" i="16"/>
  <c r="I608" i="16"/>
  <c r="D613" i="16"/>
  <c r="AA612" i="16"/>
  <c r="D612" i="16"/>
  <c r="AA611" i="16"/>
  <c r="D611" i="16"/>
  <c r="Y607" i="16"/>
  <c r="Y610" i="16" s="1"/>
  <c r="Y616" i="16" s="1"/>
  <c r="AA556" i="16"/>
  <c r="D555" i="16"/>
  <c r="AA554" i="16"/>
  <c r="D550" i="16"/>
  <c r="AA555" i="16"/>
  <c r="D554" i="16"/>
  <c r="AA553" i="16"/>
  <c r="I548" i="16"/>
  <c r="D553" i="16"/>
  <c r="AA552" i="16"/>
  <c r="D552" i="16"/>
  <c r="AA551" i="16"/>
  <c r="D551" i="16"/>
  <c r="Y547" i="16"/>
  <c r="Y550" i="16" s="1"/>
  <c r="Y556" i="16" s="1"/>
  <c r="AA496" i="16"/>
  <c r="D495" i="16"/>
  <c r="AA494" i="16"/>
  <c r="D490" i="16"/>
  <c r="AA495" i="16"/>
  <c r="D494" i="16"/>
  <c r="AA493" i="16"/>
  <c r="I488" i="16"/>
  <c r="D493" i="16"/>
  <c r="AA492" i="16"/>
  <c r="D492" i="16"/>
  <c r="AA491" i="16"/>
  <c r="D491" i="16"/>
  <c r="Y487" i="16"/>
  <c r="Y490" i="16" s="1"/>
  <c r="Y496" i="16" s="1"/>
  <c r="AA436" i="16"/>
  <c r="D435" i="16"/>
  <c r="AA434" i="16"/>
  <c r="D430" i="16"/>
  <c r="AA435" i="16"/>
  <c r="D434" i="16"/>
  <c r="AA433" i="16"/>
  <c r="I428" i="16"/>
  <c r="D433" i="16"/>
  <c r="AA432" i="16"/>
  <c r="D432" i="16"/>
  <c r="AA431" i="16"/>
  <c r="D431" i="16"/>
  <c r="Y427" i="16"/>
  <c r="Y430" i="16" s="1"/>
  <c r="Y436" i="16" s="1"/>
  <c r="P612" i="16"/>
  <c r="P615" i="16"/>
  <c r="P1305" i="16"/>
  <c r="P1302" i="16"/>
  <c r="P822" i="16"/>
  <c r="P825" i="16"/>
  <c r="P1275" i="16"/>
  <c r="P1272" i="16"/>
  <c r="P1155" i="16"/>
  <c r="P1152" i="16"/>
  <c r="P1032" i="16"/>
  <c r="P1035" i="16"/>
  <c r="P912" i="16"/>
  <c r="P915" i="16"/>
  <c r="P672" i="16"/>
  <c r="P675" i="16"/>
  <c r="P315" i="16"/>
  <c r="P312" i="16"/>
  <c r="P762" i="16"/>
  <c r="P765" i="16"/>
  <c r="P582" i="16"/>
  <c r="P585" i="16"/>
  <c r="AA5925" i="16"/>
  <c r="D5924" i="16"/>
  <c r="AA5923" i="16"/>
  <c r="I5918" i="16"/>
  <c r="AA5926" i="16"/>
  <c r="AA5924" i="16"/>
  <c r="D5923" i="16"/>
  <c r="D5922" i="16"/>
  <c r="Y5917" i="16"/>
  <c r="Y5920" i="16" s="1"/>
  <c r="Y5926" i="16" s="1"/>
  <c r="D5925" i="16"/>
  <c r="D5921" i="16"/>
  <c r="D5920" i="16"/>
  <c r="AA5921" i="16"/>
  <c r="AA5922" i="16"/>
  <c r="AD5891" i="16"/>
  <c r="H5894" i="16"/>
  <c r="I5894" i="16"/>
  <c r="AB5895" i="16"/>
  <c r="J5894" i="16"/>
  <c r="E5894" i="16"/>
  <c r="K5894" i="16"/>
  <c r="G5894" i="16"/>
  <c r="F5894" i="16"/>
  <c r="AD5775" i="16"/>
  <c r="AA5835" i="16"/>
  <c r="D5834" i="16"/>
  <c r="AA5833" i="16"/>
  <c r="I5828" i="16"/>
  <c r="D5835" i="16"/>
  <c r="D5831" i="16"/>
  <c r="D5830" i="16"/>
  <c r="Y5827" i="16"/>
  <c r="Y5830" i="16" s="1"/>
  <c r="Y5836" i="16" s="1"/>
  <c r="AA5832" i="16"/>
  <c r="AA5834" i="16"/>
  <c r="D5832" i="16"/>
  <c r="D5833" i="16"/>
  <c r="AA5831" i="16"/>
  <c r="AA5836" i="16"/>
  <c r="AB5651" i="16"/>
  <c r="K5650" i="16"/>
  <c r="G5650" i="16"/>
  <c r="F5650" i="16"/>
  <c r="H5650" i="16"/>
  <c r="E5650" i="16"/>
  <c r="J5650" i="16"/>
  <c r="I5650" i="16"/>
  <c r="AD5651" i="16"/>
  <c r="H5654" i="16"/>
  <c r="I5654" i="16"/>
  <c r="F5654" i="16"/>
  <c r="AB5655" i="16"/>
  <c r="K5654" i="16"/>
  <c r="J5654" i="16"/>
  <c r="G5654" i="16"/>
  <c r="E5654" i="16"/>
  <c r="I5982" i="16"/>
  <c r="E5982" i="16"/>
  <c r="G5982" i="16"/>
  <c r="H5982" i="16"/>
  <c r="J5982" i="16"/>
  <c r="F5982" i="16"/>
  <c r="K5982" i="16"/>
  <c r="AB5983" i="16"/>
  <c r="P5955" i="16"/>
  <c r="P5952" i="16"/>
  <c r="H5624" i="16"/>
  <c r="J5624" i="16"/>
  <c r="E5624" i="16"/>
  <c r="K5624" i="16"/>
  <c r="AB5625" i="16"/>
  <c r="I5624" i="16"/>
  <c r="G5624" i="16"/>
  <c r="F5624" i="16"/>
  <c r="J5204" i="16"/>
  <c r="F5204" i="16"/>
  <c r="AB5205" i="16"/>
  <c r="AD5205" i="16" s="1"/>
  <c r="H5204" i="16"/>
  <c r="K5204" i="16"/>
  <c r="I5204" i="16"/>
  <c r="G5204" i="16"/>
  <c r="E5204" i="16"/>
  <c r="H4840" i="16"/>
  <c r="AB4841" i="16"/>
  <c r="AD4841" i="16" s="1"/>
  <c r="K4840" i="16"/>
  <c r="G4840" i="16"/>
  <c r="J4840" i="16"/>
  <c r="F4840" i="16"/>
  <c r="E4840" i="16"/>
  <c r="I4840" i="16"/>
  <c r="H4720" i="16"/>
  <c r="AB4721" i="16"/>
  <c r="AD4721" i="16" s="1"/>
  <c r="K4720" i="16"/>
  <c r="G4720" i="16"/>
  <c r="J4720" i="16"/>
  <c r="F4720" i="16"/>
  <c r="I4720" i="16"/>
  <c r="E4720" i="16"/>
  <c r="H4600" i="16"/>
  <c r="AB4601" i="16"/>
  <c r="AD4601" i="16" s="1"/>
  <c r="K4600" i="16"/>
  <c r="G4600" i="16"/>
  <c r="J4600" i="16"/>
  <c r="F4600" i="16"/>
  <c r="I4600" i="16"/>
  <c r="E4600" i="16"/>
  <c r="P5985" i="16"/>
  <c r="P5982" i="16"/>
  <c r="P5715" i="16"/>
  <c r="P5712" i="16"/>
  <c r="K5292" i="16"/>
  <c r="G5292" i="16"/>
  <c r="AB5293" i="16"/>
  <c r="AD5293" i="16" s="1"/>
  <c r="I5292" i="16"/>
  <c r="H5292" i="16"/>
  <c r="J5292" i="16"/>
  <c r="F5292" i="16"/>
  <c r="E5292" i="16"/>
  <c r="AD5296" i="16"/>
  <c r="AB5174" i="16"/>
  <c r="AD5174" i="16" s="1"/>
  <c r="K5173" i="16"/>
  <c r="G5173" i="16"/>
  <c r="H5173" i="16"/>
  <c r="E5173" i="16"/>
  <c r="J5173" i="16"/>
  <c r="I5173" i="16"/>
  <c r="F5173" i="16"/>
  <c r="AA5086" i="16"/>
  <c r="AA5083" i="16"/>
  <c r="D5081" i="16"/>
  <c r="I5078" i="16"/>
  <c r="Y5077" i="16"/>
  <c r="Y5080" i="16" s="1"/>
  <c r="Y5086" i="16" s="1"/>
  <c r="D5084" i="16"/>
  <c r="AA5084" i="16"/>
  <c r="AA5082" i="16"/>
  <c r="AA5081" i="16"/>
  <c r="AA5085" i="16"/>
  <c r="D5083" i="16"/>
  <c r="D5082" i="16"/>
  <c r="D5080" i="16"/>
  <c r="D5085" i="16"/>
  <c r="AA5026" i="16"/>
  <c r="AA5023" i="16"/>
  <c r="D5021" i="16"/>
  <c r="I5018" i="16"/>
  <c r="Y5017" i="16"/>
  <c r="Y5020" i="16" s="1"/>
  <c r="Y5026" i="16" s="1"/>
  <c r="D5024" i="16"/>
  <c r="AA5024" i="16"/>
  <c r="AA5022" i="16"/>
  <c r="AA5021" i="16"/>
  <c r="D5025" i="16"/>
  <c r="AA5025" i="16"/>
  <c r="D5023" i="16"/>
  <c r="D5022" i="16"/>
  <c r="D5020" i="16"/>
  <c r="AA4966" i="16"/>
  <c r="AA4963" i="16"/>
  <c r="D4961" i="16"/>
  <c r="I4958" i="16"/>
  <c r="Y4957" i="16"/>
  <c r="Y4960" i="16" s="1"/>
  <c r="Y4966" i="16" s="1"/>
  <c r="D4964" i="16"/>
  <c r="AA4964" i="16"/>
  <c r="AA4962" i="16"/>
  <c r="AA4961" i="16"/>
  <c r="D4965" i="16"/>
  <c r="D4962" i="16"/>
  <c r="AA4965" i="16"/>
  <c r="D4963" i="16"/>
  <c r="D4960" i="16"/>
  <c r="AB4934" i="16"/>
  <c r="AD4934" i="16" s="1"/>
  <c r="K4933" i="16"/>
  <c r="G4933" i="16"/>
  <c r="J4933" i="16"/>
  <c r="E4933" i="16"/>
  <c r="I4933" i="16"/>
  <c r="H4933" i="16"/>
  <c r="F4933" i="16"/>
  <c r="AD4903" i="16"/>
  <c r="AD4813" i="16"/>
  <c r="AD4783" i="16"/>
  <c r="AB4755" i="16"/>
  <c r="AD4755" i="16" s="1"/>
  <c r="I4754" i="16"/>
  <c r="E4754" i="16"/>
  <c r="H4754" i="16"/>
  <c r="K4754" i="16"/>
  <c r="G4754" i="16"/>
  <c r="F4754" i="16"/>
  <c r="J4754" i="16"/>
  <c r="AD4695" i="16"/>
  <c r="AB4635" i="16"/>
  <c r="AD4635" i="16" s="1"/>
  <c r="I4634" i="16"/>
  <c r="E4634" i="16"/>
  <c r="H4634" i="16"/>
  <c r="K4634" i="16"/>
  <c r="G4634" i="16"/>
  <c r="F4634" i="16"/>
  <c r="J4634" i="16"/>
  <c r="AD4575" i="16"/>
  <c r="K6015" i="16"/>
  <c r="G6015" i="16"/>
  <c r="AB6016" i="16"/>
  <c r="F6015" i="16"/>
  <c r="I6015" i="16"/>
  <c r="J6015" i="16"/>
  <c r="H6015" i="16"/>
  <c r="E6015" i="16"/>
  <c r="AD5353" i="16"/>
  <c r="I5355" i="16"/>
  <c r="E5355" i="16"/>
  <c r="J5355" i="16"/>
  <c r="H5355" i="16"/>
  <c r="AB5356" i="16"/>
  <c r="AD5356" i="16" s="1"/>
  <c r="K5355" i="16"/>
  <c r="G5355" i="16"/>
  <c r="F5355" i="16"/>
  <c r="I5175" i="16"/>
  <c r="E5175" i="16"/>
  <c r="H5175" i="16"/>
  <c r="AB5176" i="16"/>
  <c r="AD5176" i="16" s="1"/>
  <c r="G5175" i="16"/>
  <c r="F5175" i="16"/>
  <c r="K5175" i="16"/>
  <c r="J5175" i="16"/>
  <c r="K4931" i="16"/>
  <c r="G4931" i="16"/>
  <c r="F4931" i="16"/>
  <c r="J4931" i="16"/>
  <c r="E4931" i="16"/>
  <c r="I4931" i="16"/>
  <c r="AB4932" i="16"/>
  <c r="AD4932" i="16" s="1"/>
  <c r="H4931" i="16"/>
  <c r="AB4873" i="16"/>
  <c r="AD4873" i="16" s="1"/>
  <c r="J4872" i="16"/>
  <c r="F4872" i="16"/>
  <c r="I4872" i="16"/>
  <c r="E4872" i="16"/>
  <c r="H4872" i="16"/>
  <c r="K4872" i="16"/>
  <c r="G4872" i="16"/>
  <c r="AD4842" i="16"/>
  <c r="J4813" i="16"/>
  <c r="F4813" i="16"/>
  <c r="I4813" i="16"/>
  <c r="E4813" i="16"/>
  <c r="H4813" i="16"/>
  <c r="K4813" i="16"/>
  <c r="G4813" i="16"/>
  <c r="AB4814" i="16"/>
  <c r="AD4814" i="16" s="1"/>
  <c r="J4811" i="16"/>
  <c r="F4811" i="16"/>
  <c r="AB4812" i="16"/>
  <c r="I4811" i="16"/>
  <c r="E4811" i="16"/>
  <c r="H4811" i="16"/>
  <c r="K4811" i="16"/>
  <c r="G4811" i="16"/>
  <c r="AD4781" i="16"/>
  <c r="AB4753" i="16"/>
  <c r="J4752" i="16"/>
  <c r="F4752" i="16"/>
  <c r="I4752" i="16"/>
  <c r="E4752" i="16"/>
  <c r="H4752" i="16"/>
  <c r="K4752" i="16"/>
  <c r="G4752" i="16"/>
  <c r="AD4722" i="16"/>
  <c r="J4693" i="16"/>
  <c r="F4693" i="16"/>
  <c r="I4693" i="16"/>
  <c r="E4693" i="16"/>
  <c r="H4693" i="16"/>
  <c r="AB4694" i="16"/>
  <c r="AD4694" i="16" s="1"/>
  <c r="K4693" i="16"/>
  <c r="G4693" i="16"/>
  <c r="J4691" i="16"/>
  <c r="F4691" i="16"/>
  <c r="AB4692" i="16"/>
  <c r="AD4692" i="16" s="1"/>
  <c r="I4691" i="16"/>
  <c r="E4691" i="16"/>
  <c r="H4691" i="16"/>
  <c r="K4691" i="16"/>
  <c r="G4691" i="16"/>
  <c r="AB4633" i="16"/>
  <c r="J4632" i="16"/>
  <c r="F4632" i="16"/>
  <c r="I4632" i="16"/>
  <c r="E4632" i="16"/>
  <c r="H4632" i="16"/>
  <c r="K4632" i="16"/>
  <c r="G4632" i="16"/>
  <c r="AD4602" i="16"/>
  <c r="J4573" i="16"/>
  <c r="F4573" i="16"/>
  <c r="I4573" i="16"/>
  <c r="E4573" i="16"/>
  <c r="H4573" i="16"/>
  <c r="AB4574" i="16"/>
  <c r="AD4574" i="16" s="1"/>
  <c r="K4573" i="16"/>
  <c r="G4573" i="16"/>
  <c r="J4571" i="16"/>
  <c r="F4571" i="16"/>
  <c r="AB4572" i="16"/>
  <c r="I4571" i="16"/>
  <c r="E4571" i="16"/>
  <c r="H4571" i="16"/>
  <c r="K4571" i="16"/>
  <c r="G4571" i="16"/>
  <c r="AB5862" i="16"/>
  <c r="I5861" i="16"/>
  <c r="E5861" i="16"/>
  <c r="H5861" i="16"/>
  <c r="G5861" i="16"/>
  <c r="K5861" i="16"/>
  <c r="J5861" i="16"/>
  <c r="F5861" i="16"/>
  <c r="AD5862" i="16"/>
  <c r="P5235" i="16"/>
  <c r="P5232" i="16"/>
  <c r="P4965" i="16"/>
  <c r="P4962" i="16"/>
  <c r="I5110" i="16"/>
  <c r="E5110" i="16"/>
  <c r="K5110" i="16"/>
  <c r="F5110" i="16"/>
  <c r="J5110" i="16"/>
  <c r="H5110" i="16"/>
  <c r="G5110" i="16"/>
  <c r="AB5111" i="16"/>
  <c r="AD5111" i="16" s="1"/>
  <c r="AB5114" i="16"/>
  <c r="AD5114" i="16" s="1"/>
  <c r="K5113" i="16"/>
  <c r="G5113" i="16"/>
  <c r="H5113" i="16"/>
  <c r="J5113" i="16"/>
  <c r="I5113" i="16"/>
  <c r="F5113" i="16"/>
  <c r="E5113" i="16"/>
  <c r="P4872" i="16"/>
  <c r="P4875" i="16"/>
  <c r="P4812" i="16"/>
  <c r="P4815" i="16"/>
  <c r="AB4515" i="16"/>
  <c r="I4514" i="16"/>
  <c r="E4514" i="16"/>
  <c r="H4514" i="16"/>
  <c r="K4514" i="16"/>
  <c r="J4514" i="16"/>
  <c r="F4514" i="16"/>
  <c r="G4514" i="16"/>
  <c r="H4515" i="16"/>
  <c r="K4515" i="16"/>
  <c r="G4515" i="16"/>
  <c r="E4515" i="16"/>
  <c r="J4515" i="16"/>
  <c r="AB4516" i="16"/>
  <c r="I4515" i="16"/>
  <c r="F4515" i="16"/>
  <c r="AD4455" i="16"/>
  <c r="H4390" i="16"/>
  <c r="AB4391" i="16"/>
  <c r="K4390" i="16"/>
  <c r="G4390" i="16"/>
  <c r="F4390" i="16"/>
  <c r="E4390" i="16"/>
  <c r="J4390" i="16"/>
  <c r="I4390" i="16"/>
  <c r="AB4275" i="16"/>
  <c r="I4274" i="16"/>
  <c r="E4274" i="16"/>
  <c r="H4274" i="16"/>
  <c r="K4274" i="16"/>
  <c r="J4274" i="16"/>
  <c r="F4274" i="16"/>
  <c r="G4274" i="16"/>
  <c r="H4275" i="16"/>
  <c r="K4275" i="16"/>
  <c r="G4275" i="16"/>
  <c r="E4275" i="16"/>
  <c r="J4275" i="16"/>
  <c r="AB4276" i="16"/>
  <c r="I4275" i="16"/>
  <c r="F4275" i="16"/>
  <c r="AD4215" i="16"/>
  <c r="H4150" i="16"/>
  <c r="AB4151" i="16"/>
  <c r="AD4151" i="16" s="1"/>
  <c r="K4150" i="16"/>
  <c r="G4150" i="16"/>
  <c r="F4150" i="16"/>
  <c r="E4150" i="16"/>
  <c r="J4150" i="16"/>
  <c r="I4150" i="16"/>
  <c r="AB4035" i="16"/>
  <c r="I4034" i="16"/>
  <c r="E4034" i="16"/>
  <c r="H4034" i="16"/>
  <c r="K4034" i="16"/>
  <c r="J4034" i="16"/>
  <c r="F4034" i="16"/>
  <c r="G4034" i="16"/>
  <c r="H4035" i="16"/>
  <c r="K4035" i="16"/>
  <c r="G4035" i="16"/>
  <c r="E4035" i="16"/>
  <c r="J4035" i="16"/>
  <c r="AB4036" i="16"/>
  <c r="AD4036" i="16" s="1"/>
  <c r="I4035" i="16"/>
  <c r="F4035" i="16"/>
  <c r="H3910" i="16"/>
  <c r="AB3911" i="16"/>
  <c r="AD3911" i="16" s="1"/>
  <c r="K3910" i="16"/>
  <c r="G3910" i="16"/>
  <c r="F3910" i="16"/>
  <c r="E3910" i="16"/>
  <c r="J3910" i="16"/>
  <c r="I3910" i="16"/>
  <c r="AD3882" i="16"/>
  <c r="P5535" i="16"/>
  <c r="J5414" i="16"/>
  <c r="F5414" i="16"/>
  <c r="G5414" i="16"/>
  <c r="K5414" i="16"/>
  <c r="E5414" i="16"/>
  <c r="AB5415" i="16"/>
  <c r="AD5415" i="16" s="1"/>
  <c r="H5414" i="16"/>
  <c r="I5414" i="16"/>
  <c r="K5411" i="16"/>
  <c r="G5411" i="16"/>
  <c r="J5411" i="16"/>
  <c r="E5411" i="16"/>
  <c r="I5411" i="16"/>
  <c r="F5411" i="16"/>
  <c r="AB5412" i="16"/>
  <c r="AD5412" i="16" s="1"/>
  <c r="H5411" i="16"/>
  <c r="AB5414" i="16"/>
  <c r="AD5414" i="16" s="1"/>
  <c r="K5413" i="16"/>
  <c r="G5413" i="16"/>
  <c r="I5413" i="16"/>
  <c r="H5413" i="16"/>
  <c r="J5413" i="16"/>
  <c r="F5413" i="16"/>
  <c r="E5413" i="16"/>
  <c r="P5412" i="16"/>
  <c r="P5415" i="16"/>
  <c r="P4362" i="16"/>
  <c r="P4365" i="16"/>
  <c r="AD3581" i="16"/>
  <c r="AD3552" i="16"/>
  <c r="AD3522" i="16"/>
  <c r="AD3492" i="16"/>
  <c r="AD3462" i="16"/>
  <c r="AD3432" i="16"/>
  <c r="AD3402" i="16"/>
  <c r="AD3372" i="16"/>
  <c r="AD3342" i="16"/>
  <c r="AD3312" i="16"/>
  <c r="AD3282" i="16"/>
  <c r="AD3252" i="16"/>
  <c r="AD3192" i="16"/>
  <c r="AD3162" i="16"/>
  <c r="AD3132" i="16"/>
  <c r="AD3072" i="16"/>
  <c r="AD3042" i="16"/>
  <c r="AD3012" i="16"/>
  <c r="AD2952" i="16"/>
  <c r="AD2922" i="16"/>
  <c r="AD2892" i="16"/>
  <c r="AD2832" i="16"/>
  <c r="AD2802" i="16"/>
  <c r="AD2772" i="16"/>
  <c r="AD2712" i="16"/>
  <c r="AD2682" i="16"/>
  <c r="AD2622" i="16"/>
  <c r="AD2562" i="16"/>
  <c r="AD2502" i="16"/>
  <c r="AB5801" i="16"/>
  <c r="AD5801" i="16" s="1"/>
  <c r="K5800" i="16"/>
  <c r="G5800" i="16"/>
  <c r="J5800" i="16"/>
  <c r="E5800" i="16"/>
  <c r="H5800" i="16"/>
  <c r="I5800" i="16"/>
  <c r="F5800" i="16"/>
  <c r="I5803" i="16"/>
  <c r="E5803" i="16"/>
  <c r="J5803" i="16"/>
  <c r="AB5804" i="16"/>
  <c r="F5803" i="16"/>
  <c r="K5803" i="16"/>
  <c r="H5803" i="16"/>
  <c r="G5803" i="16"/>
  <c r="AD5803" i="16"/>
  <c r="J4483" i="16"/>
  <c r="F4483" i="16"/>
  <c r="I4483" i="16"/>
  <c r="E4483" i="16"/>
  <c r="AB4484" i="16"/>
  <c r="AD4484" i="16" s="1"/>
  <c r="K4483" i="16"/>
  <c r="H4483" i="16"/>
  <c r="G4483" i="16"/>
  <c r="AD4485" i="16"/>
  <c r="AB4363" i="16"/>
  <c r="AD4363" i="16" s="1"/>
  <c r="J4362" i="16"/>
  <c r="F4362" i="16"/>
  <c r="I4362" i="16"/>
  <c r="E4362" i="16"/>
  <c r="K4362" i="16"/>
  <c r="H4362" i="16"/>
  <c r="G4362" i="16"/>
  <c r="AB4365" i="16"/>
  <c r="I4364" i="16"/>
  <c r="E4364" i="16"/>
  <c r="H4364" i="16"/>
  <c r="G4364" i="16"/>
  <c r="F4364" i="16"/>
  <c r="K4364" i="16"/>
  <c r="J4364" i="16"/>
  <c r="H4365" i="16"/>
  <c r="K4365" i="16"/>
  <c r="G4365" i="16"/>
  <c r="AB4366" i="16"/>
  <c r="AD4366" i="16" s="1"/>
  <c r="I4365" i="16"/>
  <c r="F4365" i="16"/>
  <c r="J4365" i="16"/>
  <c r="E4365" i="16"/>
  <c r="AD4244" i="16"/>
  <c r="H4120" i="16"/>
  <c r="AB4121" i="16"/>
  <c r="AD4121" i="16" s="1"/>
  <c r="K4120" i="16"/>
  <c r="G4120" i="16"/>
  <c r="J4120" i="16"/>
  <c r="I4120" i="16"/>
  <c r="F4120" i="16"/>
  <c r="E4120" i="16"/>
  <c r="P4092" i="16"/>
  <c r="P4095" i="16"/>
  <c r="J4003" i="16"/>
  <c r="F4003" i="16"/>
  <c r="I4003" i="16"/>
  <c r="E4003" i="16"/>
  <c r="AB4004" i="16"/>
  <c r="AD4004" i="16" s="1"/>
  <c r="K4003" i="16"/>
  <c r="H4003" i="16"/>
  <c r="G4003" i="16"/>
  <c r="AD4005" i="16"/>
  <c r="P3855" i="16"/>
  <c r="P3852" i="16"/>
  <c r="D3823" i="16"/>
  <c r="AA3822" i="16"/>
  <c r="D3822" i="16"/>
  <c r="AA3821" i="16"/>
  <c r="D3821" i="16"/>
  <c r="Y3817" i="16"/>
  <c r="Y3820" i="16" s="1"/>
  <c r="Y3826" i="16" s="1"/>
  <c r="AA3826" i="16"/>
  <c r="AA3825" i="16"/>
  <c r="D3824" i="16"/>
  <c r="D3825" i="16"/>
  <c r="AA3823" i="16"/>
  <c r="D3820" i="16"/>
  <c r="I3818" i="16"/>
  <c r="AA3824" i="16"/>
  <c r="P3795" i="16"/>
  <c r="P3792" i="16"/>
  <c r="D3763" i="16"/>
  <c r="AA3762" i="16"/>
  <c r="D3762" i="16"/>
  <c r="AA3761" i="16"/>
  <c r="D3761" i="16"/>
  <c r="Y3757" i="16"/>
  <c r="Y3760" i="16" s="1"/>
  <c r="Y3766" i="16" s="1"/>
  <c r="AA3766" i="16"/>
  <c r="AA3765" i="16"/>
  <c r="D3764" i="16"/>
  <c r="D3765" i="16"/>
  <c r="AA3763" i="16"/>
  <c r="D3760" i="16"/>
  <c r="I3758" i="16"/>
  <c r="AA3764" i="16"/>
  <c r="P3735" i="16"/>
  <c r="P3732" i="16"/>
  <c r="D3703" i="16"/>
  <c r="AA3702" i="16"/>
  <c r="D3702" i="16"/>
  <c r="AA3701" i="16"/>
  <c r="D3701" i="16"/>
  <c r="Y3697" i="16"/>
  <c r="Y3700" i="16" s="1"/>
  <c r="Y3706" i="16" s="1"/>
  <c r="AA3706" i="16"/>
  <c r="AA3705" i="16"/>
  <c r="D3704" i="16"/>
  <c r="D3705" i="16"/>
  <c r="AA3703" i="16"/>
  <c r="D3700" i="16"/>
  <c r="I3698" i="16"/>
  <c r="AA3704" i="16"/>
  <c r="P3675" i="16"/>
  <c r="P3672" i="16"/>
  <c r="D3643" i="16"/>
  <c r="AA3642" i="16"/>
  <c r="D3642" i="16"/>
  <c r="AA3641" i="16"/>
  <c r="D3641" i="16"/>
  <c r="Y3637" i="16"/>
  <c r="Y3640" i="16" s="1"/>
  <c r="Y3646" i="16" s="1"/>
  <c r="AA3646" i="16"/>
  <c r="AA3645" i="16"/>
  <c r="D3644" i="16"/>
  <c r="D3645" i="16"/>
  <c r="AA3643" i="16"/>
  <c r="D3640" i="16"/>
  <c r="I3638" i="16"/>
  <c r="AA3644" i="16"/>
  <c r="P3615" i="16"/>
  <c r="P3612" i="16"/>
  <c r="AD3226" i="16"/>
  <c r="AD3106" i="16"/>
  <c r="AD2986" i="16"/>
  <c r="AD2866" i="16"/>
  <c r="AD2746" i="16"/>
  <c r="P5565" i="16"/>
  <c r="P5562" i="16"/>
  <c r="P4932" i="16"/>
  <c r="P4935" i="16"/>
  <c r="P4572" i="16"/>
  <c r="P4575" i="16"/>
  <c r="P4422" i="16"/>
  <c r="P4425" i="16"/>
  <c r="P3942" i="16"/>
  <c r="P3945" i="16"/>
  <c r="J3520" i="16"/>
  <c r="F3520" i="16"/>
  <c r="I3520" i="16"/>
  <c r="E3520" i="16"/>
  <c r="H3520" i="16"/>
  <c r="AB3521" i="16"/>
  <c r="AD3521" i="16" s="1"/>
  <c r="G3520" i="16"/>
  <c r="K3520" i="16"/>
  <c r="AB3466" i="16"/>
  <c r="AD3466" i="16" s="1"/>
  <c r="J3465" i="16"/>
  <c r="F3465" i="16"/>
  <c r="I3465" i="16"/>
  <c r="E3465" i="16"/>
  <c r="H3465" i="16"/>
  <c r="K3465" i="16"/>
  <c r="G3465" i="16"/>
  <c r="J3400" i="16"/>
  <c r="F3400" i="16"/>
  <c r="I3400" i="16"/>
  <c r="E3400" i="16"/>
  <c r="H3400" i="16"/>
  <c r="AB3401" i="16"/>
  <c r="AD3401" i="16" s="1"/>
  <c r="G3400" i="16"/>
  <c r="K3400" i="16"/>
  <c r="AB3346" i="16"/>
  <c r="AD3346" i="16" s="1"/>
  <c r="J3345" i="16"/>
  <c r="F3345" i="16"/>
  <c r="I3345" i="16"/>
  <c r="E3345" i="16"/>
  <c r="H3345" i="16"/>
  <c r="K3345" i="16"/>
  <c r="G3345" i="16"/>
  <c r="J3280" i="16"/>
  <c r="F3280" i="16"/>
  <c r="I3280" i="16"/>
  <c r="E3280" i="16"/>
  <c r="H3280" i="16"/>
  <c r="AB3281" i="16"/>
  <c r="AD3281" i="16" s="1"/>
  <c r="G3280" i="16"/>
  <c r="K3280" i="16"/>
  <c r="J2650" i="16"/>
  <c r="F2650" i="16"/>
  <c r="H2650" i="16"/>
  <c r="E2650" i="16"/>
  <c r="K2650" i="16"/>
  <c r="I2650" i="16"/>
  <c r="AB2651" i="16"/>
  <c r="AD2651" i="16" s="1"/>
  <c r="G2650" i="16"/>
  <c r="AB2626" i="16"/>
  <c r="AD2626" i="16" s="1"/>
  <c r="J2625" i="16"/>
  <c r="F2625" i="16"/>
  <c r="H2625" i="16"/>
  <c r="E2625" i="16"/>
  <c r="K2625" i="16"/>
  <c r="I2625" i="16"/>
  <c r="G2625" i="16"/>
  <c r="J2590" i="16"/>
  <c r="F2590" i="16"/>
  <c r="H2590" i="16"/>
  <c r="E2590" i="16"/>
  <c r="K2590" i="16"/>
  <c r="I2590" i="16"/>
  <c r="AB2591" i="16"/>
  <c r="AD2591" i="16" s="1"/>
  <c r="G2590" i="16"/>
  <c r="AB2566" i="16"/>
  <c r="AD2566" i="16" s="1"/>
  <c r="J2565" i="16"/>
  <c r="F2565" i="16"/>
  <c r="H2565" i="16"/>
  <c r="E2565" i="16"/>
  <c r="K2565" i="16"/>
  <c r="I2565" i="16"/>
  <c r="G2565" i="16"/>
  <c r="J2530" i="16"/>
  <c r="F2530" i="16"/>
  <c r="H2530" i="16"/>
  <c r="E2530" i="16"/>
  <c r="K2530" i="16"/>
  <c r="I2530" i="16"/>
  <c r="AB2531" i="16"/>
  <c r="AD2531" i="16" s="1"/>
  <c r="G2530" i="16"/>
  <c r="AB2506" i="16"/>
  <c r="AD2506" i="16" s="1"/>
  <c r="J2505" i="16"/>
  <c r="F2505" i="16"/>
  <c r="H2505" i="16"/>
  <c r="E2505" i="16"/>
  <c r="K2505" i="16"/>
  <c r="I2505" i="16"/>
  <c r="G2505" i="16"/>
  <c r="I4990" i="16"/>
  <c r="E4990" i="16"/>
  <c r="K4990" i="16"/>
  <c r="F4990" i="16"/>
  <c r="J4990" i="16"/>
  <c r="H4990" i="16"/>
  <c r="AB4991" i="16"/>
  <c r="G4990" i="16"/>
  <c r="AD4996" i="16"/>
  <c r="P4722" i="16"/>
  <c r="P4725" i="16"/>
  <c r="P4512" i="16"/>
  <c r="P4515" i="16"/>
  <c r="D3855" i="16"/>
  <c r="AA3854" i="16"/>
  <c r="AA3856" i="16"/>
  <c r="AA3855" i="16"/>
  <c r="AA3852" i="16"/>
  <c r="D3852" i="16"/>
  <c r="AA3851" i="16"/>
  <c r="D3851" i="16"/>
  <c r="Y3847" i="16"/>
  <c r="Y3850" i="16" s="1"/>
  <c r="Y3856" i="16" s="1"/>
  <c r="D3853" i="16"/>
  <c r="D3854" i="16"/>
  <c r="D3850" i="16"/>
  <c r="I3848" i="16"/>
  <c r="AA3853" i="16"/>
  <c r="P3555" i="16"/>
  <c r="P3552" i="16"/>
  <c r="P3495" i="16"/>
  <c r="P3492" i="16"/>
  <c r="P3435" i="16"/>
  <c r="P3432" i="16"/>
  <c r="P3375" i="16"/>
  <c r="P3372" i="16"/>
  <c r="P3255" i="16"/>
  <c r="P3252" i="16"/>
  <c r="P3015" i="16"/>
  <c r="P3012" i="16"/>
  <c r="P2775" i="16"/>
  <c r="P2772" i="16"/>
  <c r="H2440" i="16"/>
  <c r="I2440" i="16"/>
  <c r="AB2441" i="16"/>
  <c r="AD2441" i="16" s="1"/>
  <c r="G2440" i="16"/>
  <c r="K2440" i="16"/>
  <c r="F2440" i="16"/>
  <c r="J2440" i="16"/>
  <c r="E2440" i="16"/>
  <c r="K5232" i="16"/>
  <c r="G5232" i="16"/>
  <c r="H5232" i="16"/>
  <c r="AB5233" i="16"/>
  <c r="AD5233" i="16" s="1"/>
  <c r="I5232" i="16"/>
  <c r="F5232" i="16"/>
  <c r="E5232" i="16"/>
  <c r="J5232" i="16"/>
  <c r="P5115" i="16"/>
  <c r="P5112" i="16"/>
  <c r="K5051" i="16"/>
  <c r="G5051" i="16"/>
  <c r="F5051" i="16"/>
  <c r="J5051" i="16"/>
  <c r="E5051" i="16"/>
  <c r="I5051" i="16"/>
  <c r="H5051" i="16"/>
  <c r="AB5052" i="16"/>
  <c r="AD5052" i="16" s="1"/>
  <c r="AB5054" i="16"/>
  <c r="K5053" i="16"/>
  <c r="G5053" i="16"/>
  <c r="J5053" i="16"/>
  <c r="E5053" i="16"/>
  <c r="I5053" i="16"/>
  <c r="H5053" i="16"/>
  <c r="F5053" i="16"/>
  <c r="AD4544" i="16"/>
  <c r="AD4302" i="16"/>
  <c r="H4300" i="16"/>
  <c r="AB4301" i="16"/>
  <c r="AD4301" i="16" s="1"/>
  <c r="K4300" i="16"/>
  <c r="K4306" i="16" s="1"/>
  <c r="G4300" i="16"/>
  <c r="J4300" i="16"/>
  <c r="I4300" i="16"/>
  <c r="E4300" i="16"/>
  <c r="F4300" i="16"/>
  <c r="J4061" i="16"/>
  <c r="F4061" i="16"/>
  <c r="AB4062" i="16"/>
  <c r="I4061" i="16"/>
  <c r="E4061" i="16"/>
  <c r="H4061" i="16"/>
  <c r="G4061" i="16"/>
  <c r="K4061" i="16"/>
  <c r="J4063" i="16"/>
  <c r="F4063" i="16"/>
  <c r="I4063" i="16"/>
  <c r="E4063" i="16"/>
  <c r="AB4064" i="16"/>
  <c r="AD4064" i="16" s="1"/>
  <c r="K4063" i="16"/>
  <c r="H4063" i="16"/>
  <c r="G4063" i="16"/>
  <c r="AD4065" i="16"/>
  <c r="P2442" i="16"/>
  <c r="P2445" i="16"/>
  <c r="AA2385" i="16"/>
  <c r="D2384" i="16"/>
  <c r="AA2383" i="16"/>
  <c r="I2378" i="16"/>
  <c r="D2383" i="16"/>
  <c r="AA2382" i="16"/>
  <c r="D2382" i="16"/>
  <c r="AA2381" i="16"/>
  <c r="D2381" i="16"/>
  <c r="Y2377" i="16"/>
  <c r="Y2380" i="16" s="1"/>
  <c r="Y2386" i="16" s="1"/>
  <c r="AA2386" i="16"/>
  <c r="D2385" i="16"/>
  <c r="AA2384" i="16"/>
  <c r="D2380" i="16"/>
  <c r="AA2325" i="16"/>
  <c r="D2324" i="16"/>
  <c r="AA2323" i="16"/>
  <c r="I2318" i="16"/>
  <c r="D2323" i="16"/>
  <c r="AA2322" i="16"/>
  <c r="D2322" i="16"/>
  <c r="AA2321" i="16"/>
  <c r="D2321" i="16"/>
  <c r="Y2317" i="16"/>
  <c r="Y2320" i="16" s="1"/>
  <c r="Y2326" i="16" s="1"/>
  <c r="AA2326" i="16"/>
  <c r="D2325" i="16"/>
  <c r="AA2324" i="16"/>
  <c r="D2320" i="16"/>
  <c r="AA2265" i="16"/>
  <c r="D2264" i="16"/>
  <c r="AA2263" i="16"/>
  <c r="I2258" i="16"/>
  <c r="D2263" i="16"/>
  <c r="AA2262" i="16"/>
  <c r="D2262" i="16"/>
  <c r="AA2261" i="16"/>
  <c r="D2261" i="16"/>
  <c r="Y2257" i="16"/>
  <c r="Y2260" i="16" s="1"/>
  <c r="Y2266" i="16" s="1"/>
  <c r="AA2266" i="16"/>
  <c r="D2265" i="16"/>
  <c r="AA2264" i="16"/>
  <c r="D2260" i="16"/>
  <c r="AD4181" i="16"/>
  <c r="P3912" i="16"/>
  <c r="P3915" i="16"/>
  <c r="P3105" i="16"/>
  <c r="P3102" i="16"/>
  <c r="P2865" i="16"/>
  <c r="P2862" i="16"/>
  <c r="P2505" i="16"/>
  <c r="P2502" i="16"/>
  <c r="AB4423" i="16"/>
  <c r="AD4423" i="16" s="1"/>
  <c r="J4422" i="16"/>
  <c r="F4422" i="16"/>
  <c r="I4422" i="16"/>
  <c r="E4422" i="16"/>
  <c r="K4422" i="16"/>
  <c r="H4422" i="16"/>
  <c r="G4422" i="16"/>
  <c r="AB4425" i="16"/>
  <c r="I4424" i="16"/>
  <c r="E4424" i="16"/>
  <c r="H4424" i="16"/>
  <c r="G4424" i="16"/>
  <c r="F4424" i="16"/>
  <c r="K4424" i="16"/>
  <c r="J4424" i="16"/>
  <c r="H4425" i="16"/>
  <c r="K4425" i="16"/>
  <c r="G4425" i="16"/>
  <c r="AB4426" i="16"/>
  <c r="AD4426" i="16" s="1"/>
  <c r="I4425" i="16"/>
  <c r="F4425" i="16"/>
  <c r="E4425" i="16"/>
  <c r="J4425" i="16"/>
  <c r="AD4184" i="16"/>
  <c r="AD3942" i="16"/>
  <c r="H3940" i="16"/>
  <c r="AB3941" i="16"/>
  <c r="AD3941" i="16" s="1"/>
  <c r="K3940" i="16"/>
  <c r="K3946" i="16" s="1"/>
  <c r="G3940" i="16"/>
  <c r="J3940" i="16"/>
  <c r="I3940" i="16"/>
  <c r="E3940" i="16"/>
  <c r="F3940" i="16"/>
  <c r="P2655" i="16"/>
  <c r="P2652" i="16"/>
  <c r="P2412" i="16"/>
  <c r="P2415" i="16"/>
  <c r="P2085" i="16"/>
  <c r="P2082" i="16"/>
  <c r="P1785" i="16"/>
  <c r="P1782" i="16"/>
  <c r="AA1665" i="16"/>
  <c r="D1664" i="16"/>
  <c r="AA1663" i="16"/>
  <c r="I1658" i="16"/>
  <c r="D1663" i="16"/>
  <c r="AA1662" i="16"/>
  <c r="D1662" i="16"/>
  <c r="AA1661" i="16"/>
  <c r="D1661" i="16"/>
  <c r="Y1657" i="16"/>
  <c r="Y1660" i="16" s="1"/>
  <c r="Y1666" i="16" s="1"/>
  <c r="AA1666" i="16"/>
  <c r="AA1664" i="16"/>
  <c r="D1660" i="16"/>
  <c r="D1665" i="16"/>
  <c r="P1515" i="16"/>
  <c r="P1512" i="16"/>
  <c r="AA1515" i="16"/>
  <c r="D1514" i="16"/>
  <c r="AA1513" i="16"/>
  <c r="I1508" i="16"/>
  <c r="D1513" i="16"/>
  <c r="AA1512" i="16"/>
  <c r="D1512" i="16"/>
  <c r="AA1511" i="16"/>
  <c r="D1511" i="16"/>
  <c r="Y1507" i="16"/>
  <c r="Y1510" i="16" s="1"/>
  <c r="Y1516" i="16" s="1"/>
  <c r="AA1516" i="16"/>
  <c r="D1515" i="16"/>
  <c r="D1510" i="16"/>
  <c r="AA1514" i="16"/>
  <c r="P1395" i="16"/>
  <c r="P1392" i="16"/>
  <c r="AA1395" i="16"/>
  <c r="D1394" i="16"/>
  <c r="AA1393" i="16"/>
  <c r="I1388" i="16"/>
  <c r="D1393" i="16"/>
  <c r="AA1392" i="16"/>
  <c r="D1392" i="16"/>
  <c r="AA1391" i="16"/>
  <c r="D1391" i="16"/>
  <c r="Y1387" i="16"/>
  <c r="Y1390" i="16" s="1"/>
  <c r="Y1396" i="16" s="1"/>
  <c r="AA1396" i="16"/>
  <c r="D1395" i="16"/>
  <c r="D1390" i="16"/>
  <c r="AA1394" i="16"/>
  <c r="H250" i="16"/>
  <c r="AB251" i="16"/>
  <c r="AD251" i="16" s="1"/>
  <c r="K250" i="16"/>
  <c r="G250" i="16"/>
  <c r="J250" i="16"/>
  <c r="F250" i="16"/>
  <c r="I250" i="16"/>
  <c r="E250" i="16"/>
  <c r="AA196" i="16"/>
  <c r="AD196" i="16" s="1"/>
  <c r="AA194" i="16"/>
  <c r="AD194" i="16" s="1"/>
  <c r="AA193" i="16"/>
  <c r="AD193" i="16" s="1"/>
  <c r="AA192" i="16"/>
  <c r="AD192" i="16" s="1"/>
  <c r="Y187" i="16"/>
  <c r="Y190" i="16" s="1"/>
  <c r="Y196" i="16" s="1"/>
  <c r="AA195" i="16"/>
  <c r="AD195" i="16" s="1"/>
  <c r="AA191" i="16"/>
  <c r="AD191" i="16" s="1"/>
  <c r="I188" i="16"/>
  <c r="AA164" i="16"/>
  <c r="AD164" i="16" s="1"/>
  <c r="AA163" i="16"/>
  <c r="AD163" i="16" s="1"/>
  <c r="AA162" i="16"/>
  <c r="AD162" i="16" s="1"/>
  <c r="Y157" i="16"/>
  <c r="Y160" i="16" s="1"/>
  <c r="Y166" i="16" s="1"/>
  <c r="AA166" i="16"/>
  <c r="AD166" i="16" s="1"/>
  <c r="AA161" i="16"/>
  <c r="AD161" i="16" s="1"/>
  <c r="AA165" i="16"/>
  <c r="AD165" i="16" s="1"/>
  <c r="I158" i="16"/>
  <c r="P2115" i="16"/>
  <c r="P2112" i="16"/>
  <c r="P1215" i="16"/>
  <c r="P1212" i="16"/>
  <c r="AA1185" i="16"/>
  <c r="D1184" i="16"/>
  <c r="AA1183" i="16"/>
  <c r="I1178" i="16"/>
  <c r="AA1186" i="16"/>
  <c r="AA1184" i="16"/>
  <c r="D1183" i="16"/>
  <c r="D1182" i="16"/>
  <c r="D1185" i="16"/>
  <c r="D1181" i="16"/>
  <c r="D1180" i="16"/>
  <c r="Y1177" i="16"/>
  <c r="Y1180" i="16" s="1"/>
  <c r="Y1186" i="16" s="1"/>
  <c r="AA1182" i="16"/>
  <c r="AA1181" i="16"/>
  <c r="I1152" i="16"/>
  <c r="E1152" i="16"/>
  <c r="K1152" i="16"/>
  <c r="F1152" i="16"/>
  <c r="J1152" i="16"/>
  <c r="AB1153" i="16"/>
  <c r="H1152" i="16"/>
  <c r="G1152" i="16"/>
  <c r="AA315" i="16"/>
  <c r="D314" i="16"/>
  <c r="AA313" i="16"/>
  <c r="I308" i="16"/>
  <c r="D313" i="16"/>
  <c r="AA312" i="16"/>
  <c r="D312" i="16"/>
  <c r="AA311" i="16"/>
  <c r="D311" i="16"/>
  <c r="Y307" i="16"/>
  <c r="Y310" i="16" s="1"/>
  <c r="Y316" i="16" s="1"/>
  <c r="AA316" i="16"/>
  <c r="D315" i="16"/>
  <c r="AA314" i="16"/>
  <c r="D310" i="16"/>
  <c r="P2295" i="16"/>
  <c r="P2292" i="16"/>
  <c r="P2025" i="16"/>
  <c r="P2022" i="16"/>
  <c r="AA1575" i="16"/>
  <c r="D1574" i="16"/>
  <c r="AA1573" i="16"/>
  <c r="I1568" i="16"/>
  <c r="D1573" i="16"/>
  <c r="AA1572" i="16"/>
  <c r="D1572" i="16"/>
  <c r="AA1571" i="16"/>
  <c r="D1571" i="16"/>
  <c r="Y1567" i="16"/>
  <c r="Y1570" i="16" s="1"/>
  <c r="Y1576" i="16" s="1"/>
  <c r="AA1576" i="16"/>
  <c r="D1575" i="16"/>
  <c r="AA1574" i="16"/>
  <c r="D1570" i="16"/>
  <c r="K1365" i="16"/>
  <c r="G1365" i="16"/>
  <c r="AB1366" i="16"/>
  <c r="AD1366" i="16" s="1"/>
  <c r="J1365" i="16"/>
  <c r="F1365" i="16"/>
  <c r="H1365" i="16"/>
  <c r="E1365" i="16"/>
  <c r="I1365" i="16"/>
  <c r="P1185" i="16"/>
  <c r="P1182" i="16"/>
  <c r="D405" i="16"/>
  <c r="AA404" i="16"/>
  <c r="D400" i="16"/>
  <c r="AA405" i="16"/>
  <c r="D404" i="16"/>
  <c r="AA403" i="16"/>
  <c r="I398" i="16"/>
  <c r="D403" i="16"/>
  <c r="AA402" i="16"/>
  <c r="D402" i="16"/>
  <c r="AA401" i="16"/>
  <c r="D401" i="16"/>
  <c r="Y397" i="16"/>
  <c r="Y400" i="16" s="1"/>
  <c r="Y406" i="16" s="1"/>
  <c r="AA406" i="16"/>
  <c r="J253" i="16"/>
  <c r="F253" i="16"/>
  <c r="I253" i="16"/>
  <c r="E253" i="16"/>
  <c r="H253" i="16"/>
  <c r="AB254" i="16"/>
  <c r="AD254" i="16" s="1"/>
  <c r="K253" i="16"/>
  <c r="G253" i="16"/>
  <c r="J251" i="16"/>
  <c r="F251" i="16"/>
  <c r="AB252" i="16"/>
  <c r="I251" i="16"/>
  <c r="E251" i="16"/>
  <c r="H251" i="16"/>
  <c r="K251" i="16"/>
  <c r="G251" i="16"/>
  <c r="J105" i="16"/>
  <c r="F105" i="16"/>
  <c r="I105" i="16"/>
  <c r="E105" i="16"/>
  <c r="H105" i="16"/>
  <c r="AB106" i="16"/>
  <c r="AD106" i="16" s="1"/>
  <c r="K105" i="16"/>
  <c r="G105" i="16"/>
  <c r="P1425" i="16"/>
  <c r="P1422" i="16"/>
  <c r="AA1425" i="16"/>
  <c r="D1424" i="16"/>
  <c r="AA1423" i="16"/>
  <c r="I1418" i="16"/>
  <c r="D1423" i="16"/>
  <c r="AA1422" i="16"/>
  <c r="D1422" i="16"/>
  <c r="AA1421" i="16"/>
  <c r="D1421" i="16"/>
  <c r="Y1417" i="16"/>
  <c r="Y1420" i="16" s="1"/>
  <c r="Y1426" i="16" s="1"/>
  <c r="D1425" i="16"/>
  <c r="D1420" i="16"/>
  <c r="AA1424" i="16"/>
  <c r="AA1426" i="16"/>
  <c r="AB1362" i="16"/>
  <c r="AD1362" i="16" s="1"/>
  <c r="I1361" i="16"/>
  <c r="E1361" i="16"/>
  <c r="H1361" i="16"/>
  <c r="G1361" i="16"/>
  <c r="K1361" i="16"/>
  <c r="F1361" i="16"/>
  <c r="J1361" i="16"/>
  <c r="H1364" i="16"/>
  <c r="K1364" i="16"/>
  <c r="G1364" i="16"/>
  <c r="AB1365" i="16"/>
  <c r="E1364" i="16"/>
  <c r="J1364" i="16"/>
  <c r="I1364" i="16"/>
  <c r="F1364" i="16"/>
  <c r="AB1094" i="16"/>
  <c r="AD1094" i="16" s="1"/>
  <c r="K1093" i="16"/>
  <c r="G1093" i="16"/>
  <c r="J1093" i="16"/>
  <c r="F1093" i="16"/>
  <c r="I1093" i="16"/>
  <c r="E1093" i="16"/>
  <c r="H1093" i="16"/>
  <c r="K1091" i="16"/>
  <c r="G1091" i="16"/>
  <c r="J1091" i="16"/>
  <c r="F1091" i="16"/>
  <c r="AB1092" i="16"/>
  <c r="AD1092" i="16" s="1"/>
  <c r="I1091" i="16"/>
  <c r="E1091" i="16"/>
  <c r="H1091" i="16"/>
  <c r="AD1062" i="16"/>
  <c r="K1032" i="16"/>
  <c r="G1032" i="16"/>
  <c r="AB1033" i="16"/>
  <c r="AD1033" i="16" s="1"/>
  <c r="J1032" i="16"/>
  <c r="F1032" i="16"/>
  <c r="I1032" i="16"/>
  <c r="E1032" i="16"/>
  <c r="H1032" i="16"/>
  <c r="AB974" i="16"/>
  <c r="AD974" i="16" s="1"/>
  <c r="K973" i="16"/>
  <c r="G973" i="16"/>
  <c r="J973" i="16"/>
  <c r="F973" i="16"/>
  <c r="I973" i="16"/>
  <c r="E973" i="16"/>
  <c r="H973" i="16"/>
  <c r="K971" i="16"/>
  <c r="G971" i="16"/>
  <c r="J971" i="16"/>
  <c r="F971" i="16"/>
  <c r="AB972" i="16"/>
  <c r="I971" i="16"/>
  <c r="E971" i="16"/>
  <c r="H971" i="16"/>
  <c r="AD942" i="16"/>
  <c r="K912" i="16"/>
  <c r="G912" i="16"/>
  <c r="AB913" i="16"/>
  <c r="AD913" i="16" s="1"/>
  <c r="J912" i="16"/>
  <c r="F912" i="16"/>
  <c r="I912" i="16"/>
  <c r="E912" i="16"/>
  <c r="H912" i="16"/>
  <c r="AB854" i="16"/>
  <c r="AD854" i="16" s="1"/>
  <c r="K853" i="16"/>
  <c r="G853" i="16"/>
  <c r="J853" i="16"/>
  <c r="F853" i="16"/>
  <c r="I853" i="16"/>
  <c r="E853" i="16"/>
  <c r="H853" i="16"/>
  <c r="K851" i="16"/>
  <c r="G851" i="16"/>
  <c r="J851" i="16"/>
  <c r="F851" i="16"/>
  <c r="AB852" i="16"/>
  <c r="I851" i="16"/>
  <c r="E851" i="16"/>
  <c r="H851" i="16"/>
  <c r="AB824" i="16"/>
  <c r="AD824" i="16" s="1"/>
  <c r="K823" i="16"/>
  <c r="G823" i="16"/>
  <c r="J823" i="16"/>
  <c r="F823" i="16"/>
  <c r="I823" i="16"/>
  <c r="E823" i="16"/>
  <c r="H823" i="16"/>
  <c r="K821" i="16"/>
  <c r="G821" i="16"/>
  <c r="J821" i="16"/>
  <c r="F821" i="16"/>
  <c r="AB822" i="16"/>
  <c r="I821" i="16"/>
  <c r="E821" i="16"/>
  <c r="H821" i="16"/>
  <c r="AB285" i="16"/>
  <c r="AD285" i="16" s="1"/>
  <c r="K284" i="16"/>
  <c r="G284" i="16"/>
  <c r="J284" i="16"/>
  <c r="F284" i="16"/>
  <c r="I284" i="16"/>
  <c r="E284" i="16"/>
  <c r="H284" i="16"/>
  <c r="AB102" i="16"/>
  <c r="AD102" i="16" s="1"/>
  <c r="K101" i="16"/>
  <c r="G101" i="16"/>
  <c r="J101" i="16"/>
  <c r="F101" i="16"/>
  <c r="I101" i="16"/>
  <c r="E101" i="16"/>
  <c r="H101" i="16"/>
  <c r="P192" i="16"/>
  <c r="P195" i="16"/>
  <c r="P642" i="16"/>
  <c r="P645" i="16"/>
  <c r="P1062" i="16"/>
  <c r="P1065" i="16"/>
  <c r="P942" i="16"/>
  <c r="P945" i="16"/>
  <c r="P732" i="16"/>
  <c r="P735" i="16"/>
  <c r="N169" i="42"/>
  <c r="O152" i="42"/>
  <c r="J151" i="42"/>
  <c r="P160" i="42"/>
  <c r="K155" i="42"/>
  <c r="I152" i="42"/>
  <c r="I147" i="42"/>
  <c r="N147" i="42"/>
  <c r="AD5895" i="16"/>
  <c r="AA5715" i="16"/>
  <c r="D5714" i="16"/>
  <c r="AA5713" i="16"/>
  <c r="I5708" i="16"/>
  <c r="D5715" i="16"/>
  <c r="D5711" i="16"/>
  <c r="D5710" i="16"/>
  <c r="Y5707" i="16"/>
  <c r="Y5710" i="16" s="1"/>
  <c r="Y5716" i="16" s="1"/>
  <c r="D5712" i="16"/>
  <c r="D5713" i="16"/>
  <c r="AA5711" i="16"/>
  <c r="AA5716" i="16"/>
  <c r="AA5712" i="16"/>
  <c r="AA5714" i="16"/>
  <c r="AB5771" i="16"/>
  <c r="AD5771" i="16" s="1"/>
  <c r="K5770" i="16"/>
  <c r="G5770" i="16"/>
  <c r="F5770" i="16"/>
  <c r="E5770" i="16"/>
  <c r="J5770" i="16"/>
  <c r="I5770" i="16"/>
  <c r="H5770" i="16"/>
  <c r="AA5685" i="16"/>
  <c r="D5684" i="16"/>
  <c r="AA5683" i="16"/>
  <c r="I5678" i="16"/>
  <c r="AA5686" i="16"/>
  <c r="AA5684" i="16"/>
  <c r="D5683" i="16"/>
  <c r="D5682" i="16"/>
  <c r="AA5682" i="16"/>
  <c r="Y5677" i="16"/>
  <c r="Y5680" i="16" s="1"/>
  <c r="Y5686" i="16" s="1"/>
  <c r="D5681" i="16"/>
  <c r="AA5681" i="16"/>
  <c r="D5680" i="16"/>
  <c r="D5685" i="16"/>
  <c r="AA5595" i="16"/>
  <c r="D5594" i="16"/>
  <c r="AA5593" i="16"/>
  <c r="I5588" i="16"/>
  <c r="D5595" i="16"/>
  <c r="D5591" i="16"/>
  <c r="D5590" i="16"/>
  <c r="Y5587" i="16"/>
  <c r="Y5590" i="16" s="1"/>
  <c r="Y5596" i="16" s="1"/>
  <c r="AA5596" i="16"/>
  <c r="AA5594" i="16"/>
  <c r="D5593" i="16"/>
  <c r="AA5592" i="16"/>
  <c r="AA5591" i="16"/>
  <c r="D5592" i="16"/>
  <c r="AA5565" i="16"/>
  <c r="D5564" i="16"/>
  <c r="AA5566" i="16"/>
  <c r="AA5564" i="16"/>
  <c r="D5565" i="16"/>
  <c r="AA5562" i="16"/>
  <c r="AA5561" i="16"/>
  <c r="AA5563" i="16"/>
  <c r="Y5557" i="16"/>
  <c r="Y5560" i="16" s="1"/>
  <c r="Y5566" i="16" s="1"/>
  <c r="D5563" i="16"/>
  <c r="D5560" i="16"/>
  <c r="I5558" i="16"/>
  <c r="D5562" i="16"/>
  <c r="D5561" i="16"/>
  <c r="J5264" i="16"/>
  <c r="F5264" i="16"/>
  <c r="I5264" i="16"/>
  <c r="AB5265" i="16"/>
  <c r="AD5265" i="16" s="1"/>
  <c r="H5264" i="16"/>
  <c r="K5264" i="16"/>
  <c r="G5264" i="16"/>
  <c r="E5264" i="16"/>
  <c r="AB5652" i="16"/>
  <c r="I5651" i="16"/>
  <c r="E5651" i="16"/>
  <c r="G5651" i="16"/>
  <c r="K5651" i="16"/>
  <c r="F5651" i="16"/>
  <c r="J5651" i="16"/>
  <c r="H5651" i="16"/>
  <c r="AD5652" i="16"/>
  <c r="AD5655" i="16"/>
  <c r="AB5981" i="16"/>
  <c r="AD5981" i="16" s="1"/>
  <c r="K5980" i="16"/>
  <c r="G5980" i="16"/>
  <c r="H5980" i="16"/>
  <c r="I5980" i="16"/>
  <c r="J5980" i="16"/>
  <c r="F5980" i="16"/>
  <c r="E5980" i="16"/>
  <c r="I5983" i="16"/>
  <c r="E5983" i="16"/>
  <c r="G5983" i="16"/>
  <c r="K5983" i="16"/>
  <c r="J5983" i="16"/>
  <c r="AB5984" i="16"/>
  <c r="AD5984" i="16" s="1"/>
  <c r="H5983" i="16"/>
  <c r="F5983" i="16"/>
  <c r="AD5983" i="16"/>
  <c r="I5622" i="16"/>
  <c r="E5622" i="16"/>
  <c r="G5622" i="16"/>
  <c r="F5622" i="16"/>
  <c r="H5622" i="16"/>
  <c r="AB5623" i="16"/>
  <c r="AD5623" i="16" s="1"/>
  <c r="J5622" i="16"/>
  <c r="K5622" i="16"/>
  <c r="AB5622" i="16"/>
  <c r="AD5622" i="16" s="1"/>
  <c r="I5621" i="16"/>
  <c r="E5621" i="16"/>
  <c r="H5621" i="16"/>
  <c r="K5621" i="16"/>
  <c r="J5621" i="16"/>
  <c r="G5621" i="16"/>
  <c r="F5621" i="16"/>
  <c r="AD5625" i="16"/>
  <c r="J5354" i="16"/>
  <c r="F5354" i="16"/>
  <c r="G5354" i="16"/>
  <c r="K5354" i="16"/>
  <c r="E5354" i="16"/>
  <c r="I5354" i="16"/>
  <c r="AB5355" i="16"/>
  <c r="AD5355" i="16" s="1"/>
  <c r="H5354" i="16"/>
  <c r="P5265" i="16"/>
  <c r="P5262" i="16"/>
  <c r="K5202" i="16"/>
  <c r="G5202" i="16"/>
  <c r="J5202" i="16"/>
  <c r="E5202" i="16"/>
  <c r="AB5203" i="16"/>
  <c r="AD5203" i="16" s="1"/>
  <c r="I5202" i="16"/>
  <c r="H5202" i="16"/>
  <c r="F5202" i="16"/>
  <c r="AD5171" i="16"/>
  <c r="AD4931" i="16"/>
  <c r="H4810" i="16"/>
  <c r="AB4811" i="16"/>
  <c r="AD4811" i="16" s="1"/>
  <c r="K4810" i="16"/>
  <c r="G4810" i="16"/>
  <c r="J4810" i="16"/>
  <c r="F4810" i="16"/>
  <c r="E4810" i="16"/>
  <c r="I4810" i="16"/>
  <c r="H4690" i="16"/>
  <c r="AB4691" i="16"/>
  <c r="AD4691" i="16" s="1"/>
  <c r="K4690" i="16"/>
  <c r="G4690" i="16"/>
  <c r="J4690" i="16"/>
  <c r="F4690" i="16"/>
  <c r="I4690" i="16"/>
  <c r="E4690" i="16"/>
  <c r="H4570" i="16"/>
  <c r="AB4571" i="16"/>
  <c r="AD4571" i="16" s="1"/>
  <c r="K4570" i="16"/>
  <c r="G4570" i="16"/>
  <c r="J4570" i="16"/>
  <c r="F4570" i="16"/>
  <c r="I4570" i="16"/>
  <c r="E4570" i="16"/>
  <c r="AD5354" i="16"/>
  <c r="K5291" i="16"/>
  <c r="G5291" i="16"/>
  <c r="J5291" i="16"/>
  <c r="E5291" i="16"/>
  <c r="I5291" i="16"/>
  <c r="AB5292" i="16"/>
  <c r="AD5292" i="16" s="1"/>
  <c r="H5291" i="16"/>
  <c r="F5291" i="16"/>
  <c r="AB5294" i="16"/>
  <c r="AD5294" i="16" s="1"/>
  <c r="K5293" i="16"/>
  <c r="G5293" i="16"/>
  <c r="I5293" i="16"/>
  <c r="H5293" i="16"/>
  <c r="E5293" i="16"/>
  <c r="J5293" i="16"/>
  <c r="F5293" i="16"/>
  <c r="AD5145" i="16"/>
  <c r="P5142" i="16"/>
  <c r="P5145" i="16"/>
  <c r="K4932" i="16"/>
  <c r="G4932" i="16"/>
  <c r="J4932" i="16"/>
  <c r="E4932" i="16"/>
  <c r="AB4933" i="16"/>
  <c r="AD4933" i="16" s="1"/>
  <c r="I4932" i="16"/>
  <c r="H4932" i="16"/>
  <c r="F4932" i="16"/>
  <c r="AD4905" i="16"/>
  <c r="AD4753" i="16"/>
  <c r="AB4725" i="16"/>
  <c r="AD4725" i="16" s="1"/>
  <c r="I4724" i="16"/>
  <c r="E4724" i="16"/>
  <c r="H4724" i="16"/>
  <c r="K4724" i="16"/>
  <c r="G4724" i="16"/>
  <c r="F4724" i="16"/>
  <c r="J4724" i="16"/>
  <c r="AD4665" i="16"/>
  <c r="AD4633" i="16"/>
  <c r="AB4605" i="16"/>
  <c r="AD4605" i="16" s="1"/>
  <c r="I4604" i="16"/>
  <c r="E4604" i="16"/>
  <c r="H4604" i="16"/>
  <c r="K4604" i="16"/>
  <c r="G4604" i="16"/>
  <c r="J4604" i="16"/>
  <c r="F4604" i="16"/>
  <c r="I6013" i="16"/>
  <c r="E6013" i="16"/>
  <c r="AB6014" i="16"/>
  <c r="AD6014" i="16" s="1"/>
  <c r="K6013" i="16"/>
  <c r="F6013" i="16"/>
  <c r="G6013" i="16"/>
  <c r="J6013" i="16"/>
  <c r="H6013" i="16"/>
  <c r="AD6016" i="16"/>
  <c r="AD6013" i="16"/>
  <c r="I5350" i="16"/>
  <c r="E5350" i="16"/>
  <c r="J5350" i="16"/>
  <c r="H5350" i="16"/>
  <c r="AB5351" i="16"/>
  <c r="AD5351" i="16" s="1"/>
  <c r="K5350" i="16"/>
  <c r="G5350" i="16"/>
  <c r="F5350" i="16"/>
  <c r="K5172" i="16"/>
  <c r="G5172" i="16"/>
  <c r="H5172" i="16"/>
  <c r="F5172" i="16"/>
  <c r="E5172" i="16"/>
  <c r="J5172" i="16"/>
  <c r="I5172" i="16"/>
  <c r="AB5173" i="16"/>
  <c r="AD5173" i="16" s="1"/>
  <c r="K5171" i="16"/>
  <c r="G5171" i="16"/>
  <c r="I5171" i="16"/>
  <c r="E5171" i="16"/>
  <c r="J5171" i="16"/>
  <c r="AB5172" i="16"/>
  <c r="AD5172" i="16" s="1"/>
  <c r="H5171" i="16"/>
  <c r="F5171" i="16"/>
  <c r="J4903" i="16"/>
  <c r="F4903" i="16"/>
  <c r="I4903" i="16"/>
  <c r="E4903" i="16"/>
  <c r="H4903" i="16"/>
  <c r="K4903" i="16"/>
  <c r="G4903" i="16"/>
  <c r="AB4904" i="16"/>
  <c r="AD4904" i="16" s="1"/>
  <c r="J4901" i="16"/>
  <c r="F4901" i="16"/>
  <c r="AB4902" i="16"/>
  <c r="AD4902" i="16" s="1"/>
  <c r="I4901" i="16"/>
  <c r="E4901" i="16"/>
  <c r="H4901" i="16"/>
  <c r="K4901" i="16"/>
  <c r="G4901" i="16"/>
  <c r="AD4871" i="16"/>
  <c r="AB4843" i="16"/>
  <c r="AD4843" i="16" s="1"/>
  <c r="J4842" i="16"/>
  <c r="F4842" i="16"/>
  <c r="I4842" i="16"/>
  <c r="E4842" i="16"/>
  <c r="H4842" i="16"/>
  <c r="K4842" i="16"/>
  <c r="G4842" i="16"/>
  <c r="AD4812" i="16"/>
  <c r="J4783" i="16"/>
  <c r="F4783" i="16"/>
  <c r="I4783" i="16"/>
  <c r="E4783" i="16"/>
  <c r="H4783" i="16"/>
  <c r="K4783" i="16"/>
  <c r="G4783" i="16"/>
  <c r="AB4784" i="16"/>
  <c r="AD4784" i="16" s="1"/>
  <c r="J4781" i="16"/>
  <c r="F4781" i="16"/>
  <c r="AB4782" i="16"/>
  <c r="AD4782" i="16" s="1"/>
  <c r="I4781" i="16"/>
  <c r="E4781" i="16"/>
  <c r="H4781" i="16"/>
  <c r="K4781" i="16"/>
  <c r="G4781" i="16"/>
  <c r="AD4751" i="16"/>
  <c r="AB4723" i="16"/>
  <c r="AD4723" i="16" s="1"/>
  <c r="J4722" i="16"/>
  <c r="F4722" i="16"/>
  <c r="I4722" i="16"/>
  <c r="E4722" i="16"/>
  <c r="H4722" i="16"/>
  <c r="G4722" i="16"/>
  <c r="K4722" i="16"/>
  <c r="J4663" i="16"/>
  <c r="F4663" i="16"/>
  <c r="I4663" i="16"/>
  <c r="E4663" i="16"/>
  <c r="H4663" i="16"/>
  <c r="K4663" i="16"/>
  <c r="G4663" i="16"/>
  <c r="AB4664" i="16"/>
  <c r="AD4664" i="16" s="1"/>
  <c r="J4661" i="16"/>
  <c r="F4661" i="16"/>
  <c r="AB4662" i="16"/>
  <c r="AD4662" i="16" s="1"/>
  <c r="I4661" i="16"/>
  <c r="E4661" i="16"/>
  <c r="H4661" i="16"/>
  <c r="K4661" i="16"/>
  <c r="G4661" i="16"/>
  <c r="AD4631" i="16"/>
  <c r="AB4603" i="16"/>
  <c r="AD4603" i="16" s="1"/>
  <c r="J4602" i="16"/>
  <c r="F4602" i="16"/>
  <c r="I4602" i="16"/>
  <c r="E4602" i="16"/>
  <c r="H4602" i="16"/>
  <c r="G4602" i="16"/>
  <c r="K4602" i="16"/>
  <c r="AD4572" i="16"/>
  <c r="P5892" i="16"/>
  <c r="P5895" i="16"/>
  <c r="AD5861" i="16"/>
  <c r="K5865" i="16"/>
  <c r="G5865" i="16"/>
  <c r="H5865" i="16"/>
  <c r="AB5866" i="16"/>
  <c r="AD5866" i="16" s="1"/>
  <c r="I5865" i="16"/>
  <c r="J5865" i="16"/>
  <c r="F5865" i="16"/>
  <c r="E5865" i="16"/>
  <c r="AD5863" i="16"/>
  <c r="P4632" i="16"/>
  <c r="P4635" i="16"/>
  <c r="K5112" i="16"/>
  <c r="G5112" i="16"/>
  <c r="H5112" i="16"/>
  <c r="E5112" i="16"/>
  <c r="J5112" i="16"/>
  <c r="AB5113" i="16"/>
  <c r="AD5113" i="16" s="1"/>
  <c r="I5112" i="16"/>
  <c r="F5112" i="16"/>
  <c r="J5114" i="16"/>
  <c r="F5114" i="16"/>
  <c r="K5114" i="16"/>
  <c r="E5114" i="16"/>
  <c r="I5114" i="16"/>
  <c r="AB5115" i="16"/>
  <c r="AD5115" i="16" s="1"/>
  <c r="H5114" i="16"/>
  <c r="G5114" i="16"/>
  <c r="P4662" i="16"/>
  <c r="P4665" i="16"/>
  <c r="AD4515" i="16"/>
  <c r="H4450" i="16"/>
  <c r="AB4451" i="16"/>
  <c r="AD4451" i="16" s="1"/>
  <c r="K4450" i="16"/>
  <c r="G4450" i="16"/>
  <c r="F4450" i="16"/>
  <c r="E4450" i="16"/>
  <c r="J4450" i="16"/>
  <c r="I4450" i="16"/>
  <c r="AB4335" i="16"/>
  <c r="AD4335" i="16" s="1"/>
  <c r="I4334" i="16"/>
  <c r="E4334" i="16"/>
  <c r="H4334" i="16"/>
  <c r="K4334" i="16"/>
  <c r="J4334" i="16"/>
  <c r="G4334" i="16"/>
  <c r="F4334" i="16"/>
  <c r="H4335" i="16"/>
  <c r="K4335" i="16"/>
  <c r="G4335" i="16"/>
  <c r="E4335" i="16"/>
  <c r="J4335" i="16"/>
  <c r="I4335" i="16"/>
  <c r="F4335" i="16"/>
  <c r="AB4336" i="16"/>
  <c r="AD4336" i="16" s="1"/>
  <c r="AD4275" i="16"/>
  <c r="H4210" i="16"/>
  <c r="AB4211" i="16"/>
  <c r="AD4211" i="16" s="1"/>
  <c r="K4210" i="16"/>
  <c r="G4210" i="16"/>
  <c r="F4210" i="16"/>
  <c r="E4210" i="16"/>
  <c r="J4210" i="16"/>
  <c r="I4210" i="16"/>
  <c r="AB4095" i="16"/>
  <c r="AD4095" i="16" s="1"/>
  <c r="I4094" i="16"/>
  <c r="E4094" i="16"/>
  <c r="H4094" i="16"/>
  <c r="K4094" i="16"/>
  <c r="J4094" i="16"/>
  <c r="G4094" i="16"/>
  <c r="F4094" i="16"/>
  <c r="H4095" i="16"/>
  <c r="K4095" i="16"/>
  <c r="G4095" i="16"/>
  <c r="E4095" i="16"/>
  <c r="J4095" i="16"/>
  <c r="I4095" i="16"/>
  <c r="F4095" i="16"/>
  <c r="AB4096" i="16"/>
  <c r="AD4096" i="16" s="1"/>
  <c r="AD4035" i="16"/>
  <c r="H3970" i="16"/>
  <c r="AB3971" i="16"/>
  <c r="AD3971" i="16" s="1"/>
  <c r="K3970" i="16"/>
  <c r="G3970" i="16"/>
  <c r="F3970" i="16"/>
  <c r="E3970" i="16"/>
  <c r="J3970" i="16"/>
  <c r="I3970" i="16"/>
  <c r="AD3881" i="16"/>
  <c r="AB3885" i="16"/>
  <c r="AD3885" i="16" s="1"/>
  <c r="I3884" i="16"/>
  <c r="E3884" i="16"/>
  <c r="H3884" i="16"/>
  <c r="F3884" i="16"/>
  <c r="K3884" i="16"/>
  <c r="J3884" i="16"/>
  <c r="G3884" i="16"/>
  <c r="H3885" i="16"/>
  <c r="K3885" i="16"/>
  <c r="G3885" i="16"/>
  <c r="AB3886" i="16"/>
  <c r="AD3886" i="16" s="1"/>
  <c r="I3885" i="16"/>
  <c r="F3885" i="16"/>
  <c r="J3885" i="16"/>
  <c r="E3885" i="16"/>
  <c r="AD5413" i="16"/>
  <c r="I5415" i="16"/>
  <c r="E5415" i="16"/>
  <c r="J5415" i="16"/>
  <c r="H5415" i="16"/>
  <c r="F5415" i="16"/>
  <c r="AB5416" i="16"/>
  <c r="AD5416" i="16" s="1"/>
  <c r="K5415" i="16"/>
  <c r="G5415" i="16"/>
  <c r="P4482" i="16"/>
  <c r="P4485" i="16"/>
  <c r="P4002" i="16"/>
  <c r="P4005" i="16"/>
  <c r="K3584" i="16"/>
  <c r="G3584" i="16"/>
  <c r="J3584" i="16"/>
  <c r="F3584" i="16"/>
  <c r="I3584" i="16"/>
  <c r="H3584" i="16"/>
  <c r="AB3585" i="16"/>
  <c r="AD3585" i="16" s="1"/>
  <c r="E3584" i="16"/>
  <c r="H3582" i="16"/>
  <c r="K3582" i="16"/>
  <c r="G3582" i="16"/>
  <c r="J3582" i="16"/>
  <c r="AB3583" i="16"/>
  <c r="AD3583" i="16" s="1"/>
  <c r="I3582" i="16"/>
  <c r="F3582" i="16"/>
  <c r="E3582" i="16"/>
  <c r="H3552" i="16"/>
  <c r="K3552" i="16"/>
  <c r="G3552" i="16"/>
  <c r="AB3553" i="16"/>
  <c r="AD3553" i="16" s="1"/>
  <c r="J3552" i="16"/>
  <c r="F3552" i="16"/>
  <c r="I3552" i="16"/>
  <c r="E3552" i="16"/>
  <c r="H3522" i="16"/>
  <c r="K3522" i="16"/>
  <c r="G3522" i="16"/>
  <c r="AB3523" i="16"/>
  <c r="AD3523" i="16" s="1"/>
  <c r="J3522" i="16"/>
  <c r="F3522" i="16"/>
  <c r="I3522" i="16"/>
  <c r="E3522" i="16"/>
  <c r="H3492" i="16"/>
  <c r="K3492" i="16"/>
  <c r="G3492" i="16"/>
  <c r="AB3493" i="16"/>
  <c r="J3492" i="16"/>
  <c r="F3492" i="16"/>
  <c r="I3492" i="16"/>
  <c r="E3492" i="16"/>
  <c r="H3462" i="16"/>
  <c r="K3462" i="16"/>
  <c r="G3462" i="16"/>
  <c r="AB3463" i="16"/>
  <c r="AD3463" i="16" s="1"/>
  <c r="J3462" i="16"/>
  <c r="F3462" i="16"/>
  <c r="I3462" i="16"/>
  <c r="E3462" i="16"/>
  <c r="H3432" i="16"/>
  <c r="K3432" i="16"/>
  <c r="G3432" i="16"/>
  <c r="AB3433" i="16"/>
  <c r="J3432" i="16"/>
  <c r="F3432" i="16"/>
  <c r="I3432" i="16"/>
  <c r="E3432" i="16"/>
  <c r="H3402" i="16"/>
  <c r="K3402" i="16"/>
  <c r="G3402" i="16"/>
  <c r="AB3403" i="16"/>
  <c r="AD3403" i="16" s="1"/>
  <c r="J3402" i="16"/>
  <c r="F3402" i="16"/>
  <c r="I3402" i="16"/>
  <c r="E3402" i="16"/>
  <c r="H3372" i="16"/>
  <c r="K3372" i="16"/>
  <c r="G3372" i="16"/>
  <c r="AB3373" i="16"/>
  <c r="AD3373" i="16" s="1"/>
  <c r="J3372" i="16"/>
  <c r="F3372" i="16"/>
  <c r="I3372" i="16"/>
  <c r="E3372" i="16"/>
  <c r="H3342" i="16"/>
  <c r="K3342" i="16"/>
  <c r="G3342" i="16"/>
  <c r="AB3343" i="16"/>
  <c r="AD3343" i="16" s="1"/>
  <c r="J3342" i="16"/>
  <c r="F3342" i="16"/>
  <c r="I3342" i="16"/>
  <c r="E3342" i="16"/>
  <c r="H3312" i="16"/>
  <c r="K3312" i="16"/>
  <c r="G3312" i="16"/>
  <c r="AB3313" i="16"/>
  <c r="AD3313" i="16" s="1"/>
  <c r="J3312" i="16"/>
  <c r="F3312" i="16"/>
  <c r="I3312" i="16"/>
  <c r="E3312" i="16"/>
  <c r="H3282" i="16"/>
  <c r="K3282" i="16"/>
  <c r="G3282" i="16"/>
  <c r="AB3283" i="16"/>
  <c r="AD3283" i="16" s="1"/>
  <c r="J3282" i="16"/>
  <c r="F3282" i="16"/>
  <c r="I3282" i="16"/>
  <c r="E3282" i="16"/>
  <c r="H3252" i="16"/>
  <c r="K3252" i="16"/>
  <c r="G3252" i="16"/>
  <c r="AB3253" i="16"/>
  <c r="J3252" i="16"/>
  <c r="F3252" i="16"/>
  <c r="I3252" i="16"/>
  <c r="E3252" i="16"/>
  <c r="H3222" i="16"/>
  <c r="K3222" i="16"/>
  <c r="G3222" i="16"/>
  <c r="AB3223" i="16"/>
  <c r="AD3223" i="16" s="1"/>
  <c r="J3222" i="16"/>
  <c r="F3222" i="16"/>
  <c r="E3222" i="16"/>
  <c r="I3222" i="16"/>
  <c r="H3192" i="16"/>
  <c r="K3192" i="16"/>
  <c r="G3192" i="16"/>
  <c r="AB3193" i="16"/>
  <c r="AD3193" i="16" s="1"/>
  <c r="J3192" i="16"/>
  <c r="F3192" i="16"/>
  <c r="I3192" i="16"/>
  <c r="E3192" i="16"/>
  <c r="H3162" i="16"/>
  <c r="K3162" i="16"/>
  <c r="G3162" i="16"/>
  <c r="AB3163" i="16"/>
  <c r="AD3163" i="16" s="1"/>
  <c r="J3162" i="16"/>
  <c r="F3162" i="16"/>
  <c r="E3162" i="16"/>
  <c r="I3162" i="16"/>
  <c r="H3132" i="16"/>
  <c r="K3132" i="16"/>
  <c r="G3132" i="16"/>
  <c r="AB3133" i="16"/>
  <c r="AD3133" i="16" s="1"/>
  <c r="J3132" i="16"/>
  <c r="F3132" i="16"/>
  <c r="I3132" i="16"/>
  <c r="E3132" i="16"/>
  <c r="H3102" i="16"/>
  <c r="K3102" i="16"/>
  <c r="G3102" i="16"/>
  <c r="AB3103" i="16"/>
  <c r="AD3103" i="16" s="1"/>
  <c r="J3102" i="16"/>
  <c r="F3102" i="16"/>
  <c r="E3102" i="16"/>
  <c r="I3102" i="16"/>
  <c r="H3072" i="16"/>
  <c r="K3072" i="16"/>
  <c r="G3072" i="16"/>
  <c r="AB3073" i="16"/>
  <c r="AD3073" i="16" s="1"/>
  <c r="J3072" i="16"/>
  <c r="F3072" i="16"/>
  <c r="I3072" i="16"/>
  <c r="E3072" i="16"/>
  <c r="H3042" i="16"/>
  <c r="K3042" i="16"/>
  <c r="G3042" i="16"/>
  <c r="AB3043" i="16"/>
  <c r="J3042" i="16"/>
  <c r="F3042" i="16"/>
  <c r="E3042" i="16"/>
  <c r="I3042" i="16"/>
  <c r="H3012" i="16"/>
  <c r="K3012" i="16"/>
  <c r="G3012" i="16"/>
  <c r="AB3013" i="16"/>
  <c r="AD3013" i="16" s="1"/>
  <c r="J3012" i="16"/>
  <c r="F3012" i="16"/>
  <c r="I3012" i="16"/>
  <c r="E3012" i="16"/>
  <c r="H2982" i="16"/>
  <c r="K2982" i="16"/>
  <c r="G2982" i="16"/>
  <c r="AB2983" i="16"/>
  <c r="AD2983" i="16" s="1"/>
  <c r="J2982" i="16"/>
  <c r="F2982" i="16"/>
  <c r="E2982" i="16"/>
  <c r="I2982" i="16"/>
  <c r="H2952" i="16"/>
  <c r="K2952" i="16"/>
  <c r="G2952" i="16"/>
  <c r="AB2953" i="16"/>
  <c r="AD2953" i="16" s="1"/>
  <c r="J2952" i="16"/>
  <c r="F2952" i="16"/>
  <c r="I2952" i="16"/>
  <c r="E2952" i="16"/>
  <c r="H2922" i="16"/>
  <c r="K2922" i="16"/>
  <c r="G2922" i="16"/>
  <c r="AB2923" i="16"/>
  <c r="J2922" i="16"/>
  <c r="F2922" i="16"/>
  <c r="E2922" i="16"/>
  <c r="I2922" i="16"/>
  <c r="H2892" i="16"/>
  <c r="K2892" i="16"/>
  <c r="G2892" i="16"/>
  <c r="AB2893" i="16"/>
  <c r="J2892" i="16"/>
  <c r="F2892" i="16"/>
  <c r="I2892" i="16"/>
  <c r="E2892" i="16"/>
  <c r="H2862" i="16"/>
  <c r="K2862" i="16"/>
  <c r="G2862" i="16"/>
  <c r="AB2863" i="16"/>
  <c r="AD2863" i="16" s="1"/>
  <c r="J2862" i="16"/>
  <c r="F2862" i="16"/>
  <c r="E2862" i="16"/>
  <c r="I2862" i="16"/>
  <c r="H2832" i="16"/>
  <c r="K2832" i="16"/>
  <c r="G2832" i="16"/>
  <c r="AB2833" i="16"/>
  <c r="AD2833" i="16" s="1"/>
  <c r="J2832" i="16"/>
  <c r="F2832" i="16"/>
  <c r="I2832" i="16"/>
  <c r="E2832" i="16"/>
  <c r="H2802" i="16"/>
  <c r="K2802" i="16"/>
  <c r="G2802" i="16"/>
  <c r="AB2803" i="16"/>
  <c r="J2802" i="16"/>
  <c r="F2802" i="16"/>
  <c r="E2802" i="16"/>
  <c r="I2802" i="16"/>
  <c r="H2772" i="16"/>
  <c r="K2772" i="16"/>
  <c r="G2772" i="16"/>
  <c r="AB2773" i="16"/>
  <c r="AD2773" i="16" s="1"/>
  <c r="J2772" i="16"/>
  <c r="F2772" i="16"/>
  <c r="I2772" i="16"/>
  <c r="E2772" i="16"/>
  <c r="H2742" i="16"/>
  <c r="K2742" i="16"/>
  <c r="G2742" i="16"/>
  <c r="AB2743" i="16"/>
  <c r="AD2743" i="16" s="1"/>
  <c r="J2742" i="16"/>
  <c r="F2742" i="16"/>
  <c r="E2742" i="16"/>
  <c r="I2742" i="16"/>
  <c r="H2712" i="16"/>
  <c r="K2712" i="16"/>
  <c r="G2712" i="16"/>
  <c r="AB2713" i="16"/>
  <c r="AD2713" i="16" s="1"/>
  <c r="J2712" i="16"/>
  <c r="F2712" i="16"/>
  <c r="I2712" i="16"/>
  <c r="E2712" i="16"/>
  <c r="H2682" i="16"/>
  <c r="K2682" i="16"/>
  <c r="G2682" i="16"/>
  <c r="AB2683" i="16"/>
  <c r="J2682" i="16"/>
  <c r="F2682" i="16"/>
  <c r="I2682" i="16"/>
  <c r="E2682" i="16"/>
  <c r="H2652" i="16"/>
  <c r="AB2653" i="16"/>
  <c r="AD2653" i="16" s="1"/>
  <c r="J2652" i="16"/>
  <c r="F2652" i="16"/>
  <c r="G2652" i="16"/>
  <c r="E2652" i="16"/>
  <c r="K2652" i="16"/>
  <c r="I2652" i="16"/>
  <c r="H2622" i="16"/>
  <c r="AB2623" i="16"/>
  <c r="AD2623" i="16" s="1"/>
  <c r="J2622" i="16"/>
  <c r="F2622" i="16"/>
  <c r="K2622" i="16"/>
  <c r="I2622" i="16"/>
  <c r="G2622" i="16"/>
  <c r="E2622" i="16"/>
  <c r="H2592" i="16"/>
  <c r="AB2593" i="16"/>
  <c r="AD2593" i="16" s="1"/>
  <c r="J2592" i="16"/>
  <c r="F2592" i="16"/>
  <c r="G2592" i="16"/>
  <c r="E2592" i="16"/>
  <c r="K2592" i="16"/>
  <c r="I2592" i="16"/>
  <c r="H2562" i="16"/>
  <c r="AB2563" i="16"/>
  <c r="AD2563" i="16" s="1"/>
  <c r="J2562" i="16"/>
  <c r="F2562" i="16"/>
  <c r="K2562" i="16"/>
  <c r="I2562" i="16"/>
  <c r="G2562" i="16"/>
  <c r="E2562" i="16"/>
  <c r="H2532" i="16"/>
  <c r="AB2533" i="16"/>
  <c r="AD2533" i="16" s="1"/>
  <c r="J2532" i="16"/>
  <c r="F2532" i="16"/>
  <c r="G2532" i="16"/>
  <c r="E2532" i="16"/>
  <c r="K2532" i="16"/>
  <c r="I2532" i="16"/>
  <c r="H2502" i="16"/>
  <c r="AB2503" i="16"/>
  <c r="AD2503" i="16" s="1"/>
  <c r="J2502" i="16"/>
  <c r="F2502" i="16"/>
  <c r="K2502" i="16"/>
  <c r="I2502" i="16"/>
  <c r="G2502" i="16"/>
  <c r="E2502" i="16"/>
  <c r="AB5802" i="16"/>
  <c r="AD5802" i="16" s="1"/>
  <c r="I5801" i="16"/>
  <c r="E5801" i="16"/>
  <c r="K5801" i="16"/>
  <c r="F5801" i="16"/>
  <c r="J5801" i="16"/>
  <c r="H5801" i="16"/>
  <c r="G5801" i="16"/>
  <c r="AD5804" i="16"/>
  <c r="H5804" i="16"/>
  <c r="AB5805" i="16"/>
  <c r="AD5805" i="16" s="1"/>
  <c r="G5804" i="16"/>
  <c r="F5804" i="16"/>
  <c r="J5804" i="16"/>
  <c r="I5804" i="16"/>
  <c r="K5804" i="16"/>
  <c r="E5804" i="16"/>
  <c r="P5472" i="16"/>
  <c r="P5475" i="16"/>
  <c r="P5202" i="16"/>
  <c r="P5205" i="16"/>
  <c r="H4480" i="16"/>
  <c r="AB4481" i="16"/>
  <c r="AD4481" i="16" s="1"/>
  <c r="K4480" i="16"/>
  <c r="G4480" i="16"/>
  <c r="J4480" i="16"/>
  <c r="I4480" i="16"/>
  <c r="F4480" i="16"/>
  <c r="E4480" i="16"/>
  <c r="P4452" i="16"/>
  <c r="P4455" i="16"/>
  <c r="J4363" i="16"/>
  <c r="F4363" i="16"/>
  <c r="I4363" i="16"/>
  <c r="E4363" i="16"/>
  <c r="AB4364" i="16"/>
  <c r="AD4364" i="16" s="1"/>
  <c r="K4363" i="16"/>
  <c r="H4363" i="16"/>
  <c r="G4363" i="16"/>
  <c r="AD4365" i="16"/>
  <c r="AB4243" i="16"/>
  <c r="AD4243" i="16" s="1"/>
  <c r="J4242" i="16"/>
  <c r="F4242" i="16"/>
  <c r="I4242" i="16"/>
  <c r="E4242" i="16"/>
  <c r="K4242" i="16"/>
  <c r="H4242" i="16"/>
  <c r="G4242" i="16"/>
  <c r="AB4245" i="16"/>
  <c r="AD4245" i="16" s="1"/>
  <c r="I4244" i="16"/>
  <c r="E4244" i="16"/>
  <c r="H4244" i="16"/>
  <c r="G4244" i="16"/>
  <c r="F4244" i="16"/>
  <c r="K4244" i="16"/>
  <c r="J4244" i="16"/>
  <c r="H4245" i="16"/>
  <c r="K4245" i="16"/>
  <c r="G4245" i="16"/>
  <c r="AB4246" i="16"/>
  <c r="AD4246" i="16" s="1"/>
  <c r="I4245" i="16"/>
  <c r="F4245" i="16"/>
  <c r="J4245" i="16"/>
  <c r="E4245" i="16"/>
  <c r="AD4123" i="16"/>
  <c r="AD4124" i="16"/>
  <c r="H4000" i="16"/>
  <c r="AB4001" i="16"/>
  <c r="AD4001" i="16" s="1"/>
  <c r="K4000" i="16"/>
  <c r="G4000" i="16"/>
  <c r="J4000" i="16"/>
  <c r="I4000" i="16"/>
  <c r="F4000" i="16"/>
  <c r="E4000" i="16"/>
  <c r="P3972" i="16"/>
  <c r="P3975" i="16"/>
  <c r="AD3556" i="16"/>
  <c r="AD3436" i="16"/>
  <c r="AD3316" i="16"/>
  <c r="P4542" i="16"/>
  <c r="P4545" i="16"/>
  <c r="P4062" i="16"/>
  <c r="P4065" i="16"/>
  <c r="J3550" i="16"/>
  <c r="F3550" i="16"/>
  <c r="I3550" i="16"/>
  <c r="E3550" i="16"/>
  <c r="H3550" i="16"/>
  <c r="AB3551" i="16"/>
  <c r="AD3551" i="16" s="1"/>
  <c r="G3550" i="16"/>
  <c r="K3550" i="16"/>
  <c r="AB3496" i="16"/>
  <c r="AD3496" i="16" s="1"/>
  <c r="J3495" i="16"/>
  <c r="F3495" i="16"/>
  <c r="I3495" i="16"/>
  <c r="E3495" i="16"/>
  <c r="H3495" i="16"/>
  <c r="K3495" i="16"/>
  <c r="G3495" i="16"/>
  <c r="J3430" i="16"/>
  <c r="F3430" i="16"/>
  <c r="I3430" i="16"/>
  <c r="E3430" i="16"/>
  <c r="H3430" i="16"/>
  <c r="AB3431" i="16"/>
  <c r="AD3431" i="16" s="1"/>
  <c r="G3430" i="16"/>
  <c r="K3430" i="16"/>
  <c r="AB3376" i="16"/>
  <c r="AD3376" i="16" s="1"/>
  <c r="J3375" i="16"/>
  <c r="F3375" i="16"/>
  <c r="I3375" i="16"/>
  <c r="E3375" i="16"/>
  <c r="H3375" i="16"/>
  <c r="K3375" i="16"/>
  <c r="G3375" i="16"/>
  <c r="J3310" i="16"/>
  <c r="F3310" i="16"/>
  <c r="I3310" i="16"/>
  <c r="E3310" i="16"/>
  <c r="H3310" i="16"/>
  <c r="AB3311" i="16"/>
  <c r="AD3311" i="16" s="1"/>
  <c r="G3310" i="16"/>
  <c r="K3310" i="16"/>
  <c r="AB3256" i="16"/>
  <c r="AD3256" i="16" s="1"/>
  <c r="J3255" i="16"/>
  <c r="F3255" i="16"/>
  <c r="I3255" i="16"/>
  <c r="E3255" i="16"/>
  <c r="H3255" i="16"/>
  <c r="G3255" i="16"/>
  <c r="K3255" i="16"/>
  <c r="J3220" i="16"/>
  <c r="F3220" i="16"/>
  <c r="I3220" i="16"/>
  <c r="E3220" i="16"/>
  <c r="H3220" i="16"/>
  <c r="AB3221" i="16"/>
  <c r="AD3221" i="16" s="1"/>
  <c r="K3220" i="16"/>
  <c r="G3220" i="16"/>
  <c r="AB3196" i="16"/>
  <c r="AD3196" i="16" s="1"/>
  <c r="J3195" i="16"/>
  <c r="F3195" i="16"/>
  <c r="I3195" i="16"/>
  <c r="E3195" i="16"/>
  <c r="H3195" i="16"/>
  <c r="G3195" i="16"/>
  <c r="K3195" i="16"/>
  <c r="J3160" i="16"/>
  <c r="F3160" i="16"/>
  <c r="I3160" i="16"/>
  <c r="E3160" i="16"/>
  <c r="H3160" i="16"/>
  <c r="AB3161" i="16"/>
  <c r="AD3161" i="16" s="1"/>
  <c r="K3160" i="16"/>
  <c r="G3160" i="16"/>
  <c r="AB3136" i="16"/>
  <c r="AD3136" i="16" s="1"/>
  <c r="J3135" i="16"/>
  <c r="F3135" i="16"/>
  <c r="I3135" i="16"/>
  <c r="E3135" i="16"/>
  <c r="H3135" i="16"/>
  <c r="G3135" i="16"/>
  <c r="K3135" i="16"/>
  <c r="J3100" i="16"/>
  <c r="F3100" i="16"/>
  <c r="I3100" i="16"/>
  <c r="E3100" i="16"/>
  <c r="H3100" i="16"/>
  <c r="AB3101" i="16"/>
  <c r="AD3101" i="16" s="1"/>
  <c r="K3100" i="16"/>
  <c r="G3100" i="16"/>
  <c r="AB3076" i="16"/>
  <c r="AD3076" i="16" s="1"/>
  <c r="J3075" i="16"/>
  <c r="F3075" i="16"/>
  <c r="I3075" i="16"/>
  <c r="E3075" i="16"/>
  <c r="H3075" i="16"/>
  <c r="G3075" i="16"/>
  <c r="K3075" i="16"/>
  <c r="J3040" i="16"/>
  <c r="F3040" i="16"/>
  <c r="I3040" i="16"/>
  <c r="E3040" i="16"/>
  <c r="H3040" i="16"/>
  <c r="AB3041" i="16"/>
  <c r="AD3041" i="16" s="1"/>
  <c r="K3040" i="16"/>
  <c r="G3040" i="16"/>
  <c r="AB3016" i="16"/>
  <c r="AD3016" i="16" s="1"/>
  <c r="J3015" i="16"/>
  <c r="F3015" i="16"/>
  <c r="I3015" i="16"/>
  <c r="E3015" i="16"/>
  <c r="H3015" i="16"/>
  <c r="G3015" i="16"/>
  <c r="K3015" i="16"/>
  <c r="J2980" i="16"/>
  <c r="F2980" i="16"/>
  <c r="I2980" i="16"/>
  <c r="E2980" i="16"/>
  <c r="H2980" i="16"/>
  <c r="AB2981" i="16"/>
  <c r="AD2981" i="16" s="1"/>
  <c r="K2980" i="16"/>
  <c r="G2980" i="16"/>
  <c r="AB2956" i="16"/>
  <c r="AD2956" i="16" s="1"/>
  <c r="J2955" i="16"/>
  <c r="F2955" i="16"/>
  <c r="I2955" i="16"/>
  <c r="E2955" i="16"/>
  <c r="H2955" i="16"/>
  <c r="G2955" i="16"/>
  <c r="K2955" i="16"/>
  <c r="J2920" i="16"/>
  <c r="F2920" i="16"/>
  <c r="I2920" i="16"/>
  <c r="E2920" i="16"/>
  <c r="H2920" i="16"/>
  <c r="AB2921" i="16"/>
  <c r="AD2921" i="16" s="1"/>
  <c r="K2920" i="16"/>
  <c r="G2920" i="16"/>
  <c r="AB2896" i="16"/>
  <c r="AD2896" i="16" s="1"/>
  <c r="J2895" i="16"/>
  <c r="F2895" i="16"/>
  <c r="I2895" i="16"/>
  <c r="E2895" i="16"/>
  <c r="H2895" i="16"/>
  <c r="G2895" i="16"/>
  <c r="K2895" i="16"/>
  <c r="J2860" i="16"/>
  <c r="F2860" i="16"/>
  <c r="I2860" i="16"/>
  <c r="E2860" i="16"/>
  <c r="H2860" i="16"/>
  <c r="AB2861" i="16"/>
  <c r="AD2861" i="16" s="1"/>
  <c r="K2860" i="16"/>
  <c r="G2860" i="16"/>
  <c r="AB2836" i="16"/>
  <c r="AD2836" i="16" s="1"/>
  <c r="J2835" i="16"/>
  <c r="F2835" i="16"/>
  <c r="I2835" i="16"/>
  <c r="E2835" i="16"/>
  <c r="H2835" i="16"/>
  <c r="G2835" i="16"/>
  <c r="K2835" i="16"/>
  <c r="J2800" i="16"/>
  <c r="F2800" i="16"/>
  <c r="I2800" i="16"/>
  <c r="E2800" i="16"/>
  <c r="H2800" i="16"/>
  <c r="AB2801" i="16"/>
  <c r="AD2801" i="16" s="1"/>
  <c r="K2800" i="16"/>
  <c r="G2800" i="16"/>
  <c r="AB2776" i="16"/>
  <c r="AD2776" i="16" s="1"/>
  <c r="J2775" i="16"/>
  <c r="F2775" i="16"/>
  <c r="I2775" i="16"/>
  <c r="E2775" i="16"/>
  <c r="H2775" i="16"/>
  <c r="G2775" i="16"/>
  <c r="K2775" i="16"/>
  <c r="J2740" i="16"/>
  <c r="F2740" i="16"/>
  <c r="I2740" i="16"/>
  <c r="E2740" i="16"/>
  <c r="H2740" i="16"/>
  <c r="AB2741" i="16"/>
  <c r="AD2741" i="16" s="1"/>
  <c r="K2740" i="16"/>
  <c r="G2740" i="16"/>
  <c r="AB2716" i="16"/>
  <c r="AD2716" i="16" s="1"/>
  <c r="J2715" i="16"/>
  <c r="F2715" i="16"/>
  <c r="I2715" i="16"/>
  <c r="E2715" i="16"/>
  <c r="H2715" i="16"/>
  <c r="G2715" i="16"/>
  <c r="K2715" i="16"/>
  <c r="J2680" i="16"/>
  <c r="F2680" i="16"/>
  <c r="H2680" i="16"/>
  <c r="I2680" i="16"/>
  <c r="AB2681" i="16"/>
  <c r="AD2681" i="16" s="1"/>
  <c r="G2680" i="16"/>
  <c r="E2680" i="16"/>
  <c r="K2680" i="16"/>
  <c r="K4992" i="16"/>
  <c r="G4992" i="16"/>
  <c r="J4992" i="16"/>
  <c r="E4992" i="16"/>
  <c r="AB4993" i="16"/>
  <c r="AD4993" i="16" s="1"/>
  <c r="I4992" i="16"/>
  <c r="H4992" i="16"/>
  <c r="F4992" i="16"/>
  <c r="AD4991" i="16"/>
  <c r="P4992" i="16"/>
  <c r="P4995" i="16"/>
  <c r="P3345" i="16"/>
  <c r="P3342" i="16"/>
  <c r="P3075" i="16"/>
  <c r="P3072" i="16"/>
  <c r="P2835" i="16"/>
  <c r="P2832" i="16"/>
  <c r="H2475" i="16"/>
  <c r="I2475" i="16"/>
  <c r="AB2476" i="16"/>
  <c r="G2475" i="16"/>
  <c r="K2475" i="16"/>
  <c r="F2475" i="16"/>
  <c r="J2475" i="16"/>
  <c r="E2475" i="16"/>
  <c r="AB5234" i="16"/>
  <c r="AD5234" i="16" s="1"/>
  <c r="K5233" i="16"/>
  <c r="G5233" i="16"/>
  <c r="H5233" i="16"/>
  <c r="F5233" i="16"/>
  <c r="E5233" i="16"/>
  <c r="J5233" i="16"/>
  <c r="I5233" i="16"/>
  <c r="AD5235" i="16"/>
  <c r="K5231" i="16"/>
  <c r="G5231" i="16"/>
  <c r="I5231" i="16"/>
  <c r="F5231" i="16"/>
  <c r="E5231" i="16"/>
  <c r="J5231" i="16"/>
  <c r="AB5232" i="16"/>
  <c r="AD5232" i="16" s="1"/>
  <c r="H5231" i="16"/>
  <c r="J5054" i="16"/>
  <c r="F5054" i="16"/>
  <c r="AB5055" i="16"/>
  <c r="AD5055" i="16" s="1"/>
  <c r="H5054" i="16"/>
  <c r="G5054" i="16"/>
  <c r="K5054" i="16"/>
  <c r="E5054" i="16"/>
  <c r="I5054" i="16"/>
  <c r="I5055" i="16"/>
  <c r="E5055" i="16"/>
  <c r="AB5056" i="16"/>
  <c r="AD5056" i="16" s="1"/>
  <c r="K5055" i="16"/>
  <c r="F5055" i="16"/>
  <c r="J5055" i="16"/>
  <c r="H5055" i="16"/>
  <c r="G5055" i="16"/>
  <c r="AD5054" i="16"/>
  <c r="AB4543" i="16"/>
  <c r="AD4543" i="16" s="1"/>
  <c r="J4542" i="16"/>
  <c r="F4542" i="16"/>
  <c r="I4542" i="16"/>
  <c r="E4542" i="16"/>
  <c r="K4542" i="16"/>
  <c r="H4542" i="16"/>
  <c r="G4542" i="16"/>
  <c r="AB4545" i="16"/>
  <c r="AD4545" i="16" s="1"/>
  <c r="I4544" i="16"/>
  <c r="E4544" i="16"/>
  <c r="H4544" i="16"/>
  <c r="G4544" i="16"/>
  <c r="F4544" i="16"/>
  <c r="K4544" i="16"/>
  <c r="J4544" i="16"/>
  <c r="H4545" i="16"/>
  <c r="K4545" i="16"/>
  <c r="G4545" i="16"/>
  <c r="AB4546" i="16"/>
  <c r="AD4546" i="16" s="1"/>
  <c r="I4545" i="16"/>
  <c r="F4545" i="16"/>
  <c r="E4545" i="16"/>
  <c r="J4545" i="16"/>
  <c r="AD4306" i="16"/>
  <c r="AD4303" i="16"/>
  <c r="AD4062" i="16"/>
  <c r="H4060" i="16"/>
  <c r="AB4061" i="16"/>
  <c r="AD4061" i="16" s="1"/>
  <c r="K4060" i="16"/>
  <c r="G4060" i="16"/>
  <c r="J4060" i="16"/>
  <c r="I4060" i="16"/>
  <c r="E4060" i="16"/>
  <c r="F4060" i="16"/>
  <c r="D3733" i="16"/>
  <c r="AA3732" i="16"/>
  <c r="D3732" i="16"/>
  <c r="AA3731" i="16"/>
  <c r="D3731" i="16"/>
  <c r="Y3727" i="16"/>
  <c r="Y3730" i="16" s="1"/>
  <c r="Y3736" i="16" s="1"/>
  <c r="AA3736" i="16"/>
  <c r="AA3733" i="16"/>
  <c r="D3730" i="16"/>
  <c r="I3728" i="16"/>
  <c r="AA3734" i="16"/>
  <c r="AA3735" i="16"/>
  <c r="D3734" i="16"/>
  <c r="D3735" i="16"/>
  <c r="P2472" i="16"/>
  <c r="P2475" i="16"/>
  <c r="AA2175" i="16"/>
  <c r="D2174" i="16"/>
  <c r="AA2173" i="16"/>
  <c r="I2168" i="16"/>
  <c r="D2173" i="16"/>
  <c r="AA2172" i="16"/>
  <c r="D2172" i="16"/>
  <c r="AA2171" i="16"/>
  <c r="D2171" i="16"/>
  <c r="Y2167" i="16"/>
  <c r="Y2170" i="16" s="1"/>
  <c r="Y2176" i="16" s="1"/>
  <c r="AA2176" i="16"/>
  <c r="D2175" i="16"/>
  <c r="AA2174" i="16"/>
  <c r="D2170" i="16"/>
  <c r="AA2115" i="16"/>
  <c r="D2114" i="16"/>
  <c r="AA2113" i="16"/>
  <c r="I2108" i="16"/>
  <c r="D2113" i="16"/>
  <c r="AA2112" i="16"/>
  <c r="D2112" i="16"/>
  <c r="AA2111" i="16"/>
  <c r="D2111" i="16"/>
  <c r="Y2107" i="16"/>
  <c r="Y2110" i="16" s="1"/>
  <c r="Y2116" i="16" s="1"/>
  <c r="AA2116" i="16"/>
  <c r="D2115" i="16"/>
  <c r="AA2114" i="16"/>
  <c r="D2110" i="16"/>
  <c r="AA2055" i="16"/>
  <c r="D2054" i="16"/>
  <c r="AA2053" i="16"/>
  <c r="I2048" i="16"/>
  <c r="D2053" i="16"/>
  <c r="AA2052" i="16"/>
  <c r="D2052" i="16"/>
  <c r="AA2051" i="16"/>
  <c r="D2051" i="16"/>
  <c r="Y2047" i="16"/>
  <c r="Y2050" i="16" s="1"/>
  <c r="Y2056" i="16" s="1"/>
  <c r="AA2056" i="16"/>
  <c r="D2055" i="16"/>
  <c r="AA2054" i="16"/>
  <c r="D2050" i="16"/>
  <c r="AA1995" i="16"/>
  <c r="D1994" i="16"/>
  <c r="AA1993" i="16"/>
  <c r="I1988" i="16"/>
  <c r="D1993" i="16"/>
  <c r="AA1992" i="16"/>
  <c r="D1992" i="16"/>
  <c r="AA1991" i="16"/>
  <c r="D1991" i="16"/>
  <c r="Y1987" i="16"/>
  <c r="Y1990" i="16" s="1"/>
  <c r="Y1996" i="16" s="1"/>
  <c r="AA1996" i="16"/>
  <c r="D1995" i="16"/>
  <c r="AA1994" i="16"/>
  <c r="D1990" i="16"/>
  <c r="AA1935" i="16"/>
  <c r="D1934" i="16"/>
  <c r="AA1933" i="16"/>
  <c r="I1928" i="16"/>
  <c r="D1933" i="16"/>
  <c r="AA1932" i="16"/>
  <c r="D1932" i="16"/>
  <c r="AA1931" i="16"/>
  <c r="D1931" i="16"/>
  <c r="Y1927" i="16"/>
  <c r="Y1930" i="16" s="1"/>
  <c r="Y1936" i="16" s="1"/>
  <c r="AA1936" i="16"/>
  <c r="D1935" i="16"/>
  <c r="AA1934" i="16"/>
  <c r="D1930" i="16"/>
  <c r="AD4421" i="16"/>
  <c r="P4152" i="16"/>
  <c r="P4155" i="16"/>
  <c r="D3673" i="16"/>
  <c r="AA3672" i="16"/>
  <c r="D3672" i="16"/>
  <c r="AA3671" i="16"/>
  <c r="D3671" i="16"/>
  <c r="Y3667" i="16"/>
  <c r="Y3670" i="16" s="1"/>
  <c r="Y3676" i="16" s="1"/>
  <c r="AA3676" i="16"/>
  <c r="AA3673" i="16"/>
  <c r="D3670" i="16"/>
  <c r="I3668" i="16"/>
  <c r="AA3674" i="16"/>
  <c r="AA3675" i="16"/>
  <c r="D3674" i="16"/>
  <c r="D3675" i="16"/>
  <c r="P3165" i="16"/>
  <c r="P3162" i="16"/>
  <c r="P2925" i="16"/>
  <c r="P2922" i="16"/>
  <c r="J4421" i="16"/>
  <c r="F4421" i="16"/>
  <c r="AB4422" i="16"/>
  <c r="AD4422" i="16" s="1"/>
  <c r="I4421" i="16"/>
  <c r="E4421" i="16"/>
  <c r="H4421" i="16"/>
  <c r="G4421" i="16"/>
  <c r="K4421" i="16"/>
  <c r="J4423" i="16"/>
  <c r="F4423" i="16"/>
  <c r="I4423" i="16"/>
  <c r="E4423" i="16"/>
  <c r="AB4424" i="16"/>
  <c r="AD4424" i="16" s="1"/>
  <c r="K4423" i="16"/>
  <c r="H4423" i="16"/>
  <c r="G4423" i="16"/>
  <c r="AD4425" i="16"/>
  <c r="AB4183" i="16"/>
  <c r="AD4183" i="16" s="1"/>
  <c r="J4182" i="16"/>
  <c r="F4182" i="16"/>
  <c r="I4182" i="16"/>
  <c r="E4182" i="16"/>
  <c r="K4182" i="16"/>
  <c r="H4182" i="16"/>
  <c r="G4182" i="16"/>
  <c r="AB4185" i="16"/>
  <c r="AD4185" i="16" s="1"/>
  <c r="I4184" i="16"/>
  <c r="E4184" i="16"/>
  <c r="H4184" i="16"/>
  <c r="G4184" i="16"/>
  <c r="F4184" i="16"/>
  <c r="K4184" i="16"/>
  <c r="J4184" i="16"/>
  <c r="H4185" i="16"/>
  <c r="K4185" i="16"/>
  <c r="G4185" i="16"/>
  <c r="AB4186" i="16"/>
  <c r="AD4186" i="16" s="1"/>
  <c r="I4185" i="16"/>
  <c r="F4185" i="16"/>
  <c r="E4185" i="16"/>
  <c r="J4185" i="16"/>
  <c r="AD3946" i="16"/>
  <c r="AD3943" i="16"/>
  <c r="AD3944" i="16"/>
  <c r="D3613" i="16"/>
  <c r="AA3612" i="16"/>
  <c r="D3612" i="16"/>
  <c r="AA3611" i="16"/>
  <c r="D3611" i="16"/>
  <c r="Y3607" i="16"/>
  <c r="Y3610" i="16" s="1"/>
  <c r="Y3616" i="16" s="1"/>
  <c r="AA3616" i="16"/>
  <c r="AA3613" i="16"/>
  <c r="D3610" i="16"/>
  <c r="I3608" i="16"/>
  <c r="AA3614" i="16"/>
  <c r="AA3615" i="16"/>
  <c r="D3614" i="16"/>
  <c r="D3615" i="16"/>
  <c r="P1845" i="16"/>
  <c r="P1842" i="16"/>
  <c r="AA1725" i="16"/>
  <c r="D1724" i="16"/>
  <c r="AA1723" i="16"/>
  <c r="I1718" i="16"/>
  <c r="D1723" i="16"/>
  <c r="AA1722" i="16"/>
  <c r="D1722" i="16"/>
  <c r="AA1721" i="16"/>
  <c r="D1721" i="16"/>
  <c r="Y1717" i="16"/>
  <c r="Y1720" i="16" s="1"/>
  <c r="Y1726" i="16" s="1"/>
  <c r="AA1726" i="16"/>
  <c r="AA1724" i="16"/>
  <c r="D1720" i="16"/>
  <c r="D1725" i="16"/>
  <c r="P1605" i="16"/>
  <c r="P1602" i="16"/>
  <c r="AA1335" i="16"/>
  <c r="D1334" i="16"/>
  <c r="AA1333" i="16"/>
  <c r="I1328" i="16"/>
  <c r="D1335" i="16"/>
  <c r="D1331" i="16"/>
  <c r="D1330" i="16"/>
  <c r="Y1327" i="16"/>
  <c r="Y1330" i="16" s="1"/>
  <c r="Y1336" i="16" s="1"/>
  <c r="AA1332" i="16"/>
  <c r="AA1331" i="16"/>
  <c r="AA1336" i="16"/>
  <c r="AA1334" i="16"/>
  <c r="D1333" i="16"/>
  <c r="D1332" i="16"/>
  <c r="AA1215" i="16"/>
  <c r="D1214" i="16"/>
  <c r="AA1213" i="16"/>
  <c r="I1208" i="16"/>
  <c r="D1215" i="16"/>
  <c r="D1211" i="16"/>
  <c r="D1210" i="16"/>
  <c r="Y1207" i="16"/>
  <c r="Y1210" i="16" s="1"/>
  <c r="Y1216" i="16" s="1"/>
  <c r="AA1212" i="16"/>
  <c r="AA1211" i="16"/>
  <c r="AA1216" i="16"/>
  <c r="AA1214" i="16"/>
  <c r="D1213" i="16"/>
  <c r="D1212" i="16"/>
  <c r="P2325" i="16"/>
  <c r="P2322" i="16"/>
  <c r="P1935" i="16"/>
  <c r="P1932" i="16"/>
  <c r="AD1154" i="16"/>
  <c r="I1125" i="16"/>
  <c r="E1125" i="16"/>
  <c r="H1125" i="16"/>
  <c r="K1125" i="16"/>
  <c r="G1125" i="16"/>
  <c r="AB1126" i="16"/>
  <c r="AD1126" i="16" s="1"/>
  <c r="J1125" i="16"/>
  <c r="F1125" i="16"/>
  <c r="I1120" i="16"/>
  <c r="E1120" i="16"/>
  <c r="H1120" i="16"/>
  <c r="AB1121" i="16"/>
  <c r="AD1121" i="16" s="1"/>
  <c r="K1120" i="16"/>
  <c r="G1120" i="16"/>
  <c r="J1120" i="16"/>
  <c r="F1120" i="16"/>
  <c r="I1065" i="16"/>
  <c r="E1065" i="16"/>
  <c r="H1065" i="16"/>
  <c r="K1065" i="16"/>
  <c r="G1065" i="16"/>
  <c r="AB1066" i="16"/>
  <c r="AD1066" i="16" s="1"/>
  <c r="J1065" i="16"/>
  <c r="F1065" i="16"/>
  <c r="I1060" i="16"/>
  <c r="E1060" i="16"/>
  <c r="H1060" i="16"/>
  <c r="AB1061" i="16"/>
  <c r="AD1061" i="16" s="1"/>
  <c r="K1060" i="16"/>
  <c r="G1060" i="16"/>
  <c r="J1060" i="16"/>
  <c r="F1060" i="16"/>
  <c r="I1005" i="16"/>
  <c r="E1005" i="16"/>
  <c r="H1005" i="16"/>
  <c r="K1005" i="16"/>
  <c r="G1005" i="16"/>
  <c r="AB1006" i="16"/>
  <c r="AD1006" i="16" s="1"/>
  <c r="J1005" i="16"/>
  <c r="F1005" i="16"/>
  <c r="I1000" i="16"/>
  <c r="E1000" i="16"/>
  <c r="H1000" i="16"/>
  <c r="AB1001" i="16"/>
  <c r="AD1001" i="16" s="1"/>
  <c r="K1000" i="16"/>
  <c r="G1000" i="16"/>
  <c r="J1000" i="16"/>
  <c r="F1000" i="16"/>
  <c r="I945" i="16"/>
  <c r="E945" i="16"/>
  <c r="H945" i="16"/>
  <c r="K945" i="16"/>
  <c r="G945" i="16"/>
  <c r="AB946" i="16"/>
  <c r="AD946" i="16" s="1"/>
  <c r="J945" i="16"/>
  <c r="F945" i="16"/>
  <c r="I940" i="16"/>
  <c r="E940" i="16"/>
  <c r="H940" i="16"/>
  <c r="AB941" i="16"/>
  <c r="AD941" i="16" s="1"/>
  <c r="K940" i="16"/>
  <c r="G940" i="16"/>
  <c r="J940" i="16"/>
  <c r="F940" i="16"/>
  <c r="I885" i="16"/>
  <c r="E885" i="16"/>
  <c r="H885" i="16"/>
  <c r="K885" i="16"/>
  <c r="G885" i="16"/>
  <c r="AB886" i="16"/>
  <c r="AD886" i="16" s="1"/>
  <c r="J885" i="16"/>
  <c r="F885" i="16"/>
  <c r="I880" i="16"/>
  <c r="E880" i="16"/>
  <c r="H880" i="16"/>
  <c r="AB881" i="16"/>
  <c r="AD881" i="16" s="1"/>
  <c r="K880" i="16"/>
  <c r="G880" i="16"/>
  <c r="J880" i="16"/>
  <c r="F880" i="16"/>
  <c r="I825" i="16"/>
  <c r="E825" i="16"/>
  <c r="H825" i="16"/>
  <c r="K825" i="16"/>
  <c r="G825" i="16"/>
  <c r="AB826" i="16"/>
  <c r="AD826" i="16" s="1"/>
  <c r="J825" i="16"/>
  <c r="F825" i="16"/>
  <c r="I820" i="16"/>
  <c r="E820" i="16"/>
  <c r="H820" i="16"/>
  <c r="AB821" i="16"/>
  <c r="AD821" i="16" s="1"/>
  <c r="K820" i="16"/>
  <c r="G820" i="16"/>
  <c r="J820" i="16"/>
  <c r="F820" i="16"/>
  <c r="AA375" i="16"/>
  <c r="D374" i="16"/>
  <c r="AA373" i="16"/>
  <c r="I368" i="16"/>
  <c r="D373" i="16"/>
  <c r="AA372" i="16"/>
  <c r="D372" i="16"/>
  <c r="AA371" i="16"/>
  <c r="D371" i="16"/>
  <c r="Y367" i="16"/>
  <c r="Y370" i="16" s="1"/>
  <c r="Y376" i="16" s="1"/>
  <c r="AA376" i="16"/>
  <c r="D375" i="16"/>
  <c r="AA374" i="16"/>
  <c r="D370" i="16"/>
  <c r="AA345" i="16"/>
  <c r="D344" i="16"/>
  <c r="AA343" i="16"/>
  <c r="I338" i="16"/>
  <c r="D343" i="16"/>
  <c r="AA342" i="16"/>
  <c r="D342" i="16"/>
  <c r="AA341" i="16"/>
  <c r="D341" i="16"/>
  <c r="Y337" i="16"/>
  <c r="Y340" i="16" s="1"/>
  <c r="Y346" i="16" s="1"/>
  <c r="AA346" i="16"/>
  <c r="D345" i="16"/>
  <c r="AA344" i="16"/>
  <c r="D340" i="16"/>
  <c r="AB255" i="16"/>
  <c r="AD255" i="16" s="1"/>
  <c r="I254" i="16"/>
  <c r="E254" i="16"/>
  <c r="H254" i="16"/>
  <c r="K254" i="16"/>
  <c r="G254" i="16"/>
  <c r="J254" i="16"/>
  <c r="F254" i="16"/>
  <c r="I100" i="16"/>
  <c r="E100" i="16"/>
  <c r="H100" i="16"/>
  <c r="AB101" i="16"/>
  <c r="AD101" i="16" s="1"/>
  <c r="K100" i="16"/>
  <c r="K106" i="16" s="1"/>
  <c r="G100" i="16"/>
  <c r="J100" i="16"/>
  <c r="F100" i="16"/>
  <c r="AA42" i="16"/>
  <c r="D41" i="16"/>
  <c r="I39" i="16"/>
  <c r="D42" i="16"/>
  <c r="Y38" i="16"/>
  <c r="Y41" i="16" s="1"/>
  <c r="AA44" i="16"/>
  <c r="AA43" i="16"/>
  <c r="D43" i="16"/>
  <c r="P2265" i="16"/>
  <c r="P2262" i="16"/>
  <c r="P2145" i="16"/>
  <c r="P2142" i="16"/>
  <c r="P1815" i="16"/>
  <c r="P1812" i="16"/>
  <c r="AA1755" i="16"/>
  <c r="D1754" i="16"/>
  <c r="AA1753" i="16"/>
  <c r="I1748" i="16"/>
  <c r="D1753" i="16"/>
  <c r="AA1752" i="16"/>
  <c r="D1752" i="16"/>
  <c r="AA1751" i="16"/>
  <c r="D1751" i="16"/>
  <c r="Y1747" i="16"/>
  <c r="Y1750" i="16" s="1"/>
  <c r="Y1756" i="16" s="1"/>
  <c r="AA1756" i="16"/>
  <c r="D1755" i="16"/>
  <c r="AA1754" i="16"/>
  <c r="D1750" i="16"/>
  <c r="P1695" i="16"/>
  <c r="P1692" i="16"/>
  <c r="AA1635" i="16"/>
  <c r="D1634" i="16"/>
  <c r="AA1633" i="16"/>
  <c r="I1628" i="16"/>
  <c r="D1633" i="16"/>
  <c r="AA1632" i="16"/>
  <c r="D1632" i="16"/>
  <c r="AA1631" i="16"/>
  <c r="D1631" i="16"/>
  <c r="Y1627" i="16"/>
  <c r="Y1630" i="16" s="1"/>
  <c r="Y1636" i="16" s="1"/>
  <c r="AA1636" i="16"/>
  <c r="D1635" i="16"/>
  <c r="AA1634" i="16"/>
  <c r="D1630" i="16"/>
  <c r="P1455" i="16"/>
  <c r="P1452" i="16"/>
  <c r="AA1455" i="16"/>
  <c r="D1454" i="16"/>
  <c r="AA1453" i="16"/>
  <c r="I1448" i="16"/>
  <c r="D1453" i="16"/>
  <c r="AA1452" i="16"/>
  <c r="D1452" i="16"/>
  <c r="AA1451" i="16"/>
  <c r="D1451" i="16"/>
  <c r="Y1447" i="16"/>
  <c r="Y1450" i="16" s="1"/>
  <c r="Y1456" i="16" s="1"/>
  <c r="D1450" i="16"/>
  <c r="AA1454" i="16"/>
  <c r="AA1456" i="16"/>
  <c r="D1455" i="16"/>
  <c r="I1363" i="16"/>
  <c r="E1363" i="16"/>
  <c r="G1363" i="16"/>
  <c r="K1363" i="16"/>
  <c r="F1363" i="16"/>
  <c r="J1363" i="16"/>
  <c r="AB1364" i="16"/>
  <c r="AD1364" i="16" s="1"/>
  <c r="H1363" i="16"/>
  <c r="K1155" i="16"/>
  <c r="G1155" i="16"/>
  <c r="AB1156" i="16"/>
  <c r="AD1156" i="16" s="1"/>
  <c r="F1155" i="16"/>
  <c r="J1155" i="16"/>
  <c r="E1155" i="16"/>
  <c r="I1155" i="16"/>
  <c r="H1155" i="16"/>
  <c r="AD1153" i="16"/>
  <c r="AD252" i="16"/>
  <c r="P252" i="16"/>
  <c r="P255" i="16"/>
  <c r="AA76" i="16"/>
  <c r="AD76" i="16" s="1"/>
  <c r="AA75" i="16"/>
  <c r="AD75" i="16" s="1"/>
  <c r="AA71" i="16"/>
  <c r="F70" i="16"/>
  <c r="I68" i="16"/>
  <c r="D71" i="16"/>
  <c r="F71" i="16" s="1"/>
  <c r="Y67" i="16"/>
  <c r="Y70" i="16" s="1"/>
  <c r="AA74" i="16"/>
  <c r="AD74" i="16" s="1"/>
  <c r="AA73" i="16"/>
  <c r="AA72" i="16"/>
  <c r="D72" i="16"/>
  <c r="P2625" i="16"/>
  <c r="P2622" i="16"/>
  <c r="P2385" i="16"/>
  <c r="P2382" i="16"/>
  <c r="P1545" i="16"/>
  <c r="P1542" i="16"/>
  <c r="AA1545" i="16"/>
  <c r="D1544" i="16"/>
  <c r="AA1543" i="16"/>
  <c r="I1538" i="16"/>
  <c r="D1543" i="16"/>
  <c r="AA1542" i="16"/>
  <c r="D1542" i="16"/>
  <c r="AA1541" i="16"/>
  <c r="D1541" i="16"/>
  <c r="Y1537" i="16"/>
  <c r="Y1540" i="16" s="1"/>
  <c r="Y1546" i="16" s="1"/>
  <c r="D1545" i="16"/>
  <c r="D1540" i="16"/>
  <c r="AA1544" i="16"/>
  <c r="AA1546" i="16"/>
  <c r="AB1361" i="16"/>
  <c r="AD1361" i="16" s="1"/>
  <c r="K1360" i="16"/>
  <c r="G1360" i="16"/>
  <c r="H1360" i="16"/>
  <c r="F1360" i="16"/>
  <c r="J1360" i="16"/>
  <c r="E1360" i="16"/>
  <c r="I1360" i="16"/>
  <c r="AD1365" i="16"/>
  <c r="AB1242" i="16"/>
  <c r="AD1242" i="16" s="1"/>
  <c r="I1241" i="16"/>
  <c r="E1241" i="16"/>
  <c r="H1241" i="16"/>
  <c r="G1241" i="16"/>
  <c r="K1241" i="16"/>
  <c r="F1241" i="16"/>
  <c r="J1241" i="16"/>
  <c r="H1244" i="16"/>
  <c r="J1244" i="16"/>
  <c r="E1244" i="16"/>
  <c r="I1244" i="16"/>
  <c r="AB1245" i="16"/>
  <c r="AD1245" i="16" s="1"/>
  <c r="G1244" i="16"/>
  <c r="K1244" i="16"/>
  <c r="F1244" i="16"/>
  <c r="AB1124" i="16"/>
  <c r="AD1124" i="16" s="1"/>
  <c r="K1123" i="16"/>
  <c r="G1123" i="16"/>
  <c r="J1123" i="16"/>
  <c r="F1123" i="16"/>
  <c r="I1123" i="16"/>
  <c r="E1123" i="16"/>
  <c r="H1123" i="16"/>
  <c r="K1121" i="16"/>
  <c r="G1121" i="16"/>
  <c r="J1121" i="16"/>
  <c r="F1121" i="16"/>
  <c r="AB1122" i="16"/>
  <c r="AD1122" i="16" s="1"/>
  <c r="I1121" i="16"/>
  <c r="E1121" i="16"/>
  <c r="H1121" i="16"/>
  <c r="K1062" i="16"/>
  <c r="G1062" i="16"/>
  <c r="AB1063" i="16"/>
  <c r="AD1063" i="16" s="1"/>
  <c r="J1062" i="16"/>
  <c r="F1062" i="16"/>
  <c r="I1062" i="16"/>
  <c r="E1062" i="16"/>
  <c r="H1062" i="16"/>
  <c r="AD1031" i="16"/>
  <c r="AB1004" i="16"/>
  <c r="AD1004" i="16" s="1"/>
  <c r="K1003" i="16"/>
  <c r="G1003" i="16"/>
  <c r="J1003" i="16"/>
  <c r="F1003" i="16"/>
  <c r="I1003" i="16"/>
  <c r="E1003" i="16"/>
  <c r="H1003" i="16"/>
  <c r="K1001" i="16"/>
  <c r="G1001" i="16"/>
  <c r="J1001" i="16"/>
  <c r="F1001" i="16"/>
  <c r="AB1002" i="16"/>
  <c r="AD1002" i="16" s="1"/>
  <c r="I1001" i="16"/>
  <c r="E1001" i="16"/>
  <c r="H1001" i="16"/>
  <c r="AD972" i="16"/>
  <c r="K942" i="16"/>
  <c r="G942" i="16"/>
  <c r="AB943" i="16"/>
  <c r="J942" i="16"/>
  <c r="F942" i="16"/>
  <c r="I942" i="16"/>
  <c r="E942" i="16"/>
  <c r="H942" i="16"/>
  <c r="AD911" i="16"/>
  <c r="AB884" i="16"/>
  <c r="AD884" i="16" s="1"/>
  <c r="K883" i="16"/>
  <c r="G883" i="16"/>
  <c r="J883" i="16"/>
  <c r="F883" i="16"/>
  <c r="I883" i="16"/>
  <c r="E883" i="16"/>
  <c r="H883" i="16"/>
  <c r="K881" i="16"/>
  <c r="G881" i="16"/>
  <c r="J881" i="16"/>
  <c r="F881" i="16"/>
  <c r="AB882" i="16"/>
  <c r="AD882" i="16" s="1"/>
  <c r="I881" i="16"/>
  <c r="E881" i="16"/>
  <c r="H881" i="16"/>
  <c r="AD852" i="16"/>
  <c r="AD822" i="16"/>
  <c r="AA706" i="16"/>
  <c r="D705" i="16"/>
  <c r="AA704" i="16"/>
  <c r="D700" i="16"/>
  <c r="AA705" i="16"/>
  <c r="D704" i="16"/>
  <c r="AA703" i="16"/>
  <c r="I698" i="16"/>
  <c r="D703" i="16"/>
  <c r="AA702" i="16"/>
  <c r="D702" i="16"/>
  <c r="AA701" i="16"/>
  <c r="D701" i="16"/>
  <c r="Y697" i="16"/>
  <c r="Y700" i="16" s="1"/>
  <c r="Y706" i="16" s="1"/>
  <c r="AA646" i="16"/>
  <c r="D645" i="16"/>
  <c r="AA644" i="16"/>
  <c r="D640" i="16"/>
  <c r="AA645" i="16"/>
  <c r="D644" i="16"/>
  <c r="AA643" i="16"/>
  <c r="I638" i="16"/>
  <c r="D643" i="16"/>
  <c r="AA642" i="16"/>
  <c r="D642" i="16"/>
  <c r="AA641" i="16"/>
  <c r="D641" i="16"/>
  <c r="Y637" i="16"/>
  <c r="Y640" i="16" s="1"/>
  <c r="Y646" i="16" s="1"/>
  <c r="AA586" i="16"/>
  <c r="D585" i="16"/>
  <c r="AA584" i="16"/>
  <c r="D580" i="16"/>
  <c r="AA585" i="16"/>
  <c r="D584" i="16"/>
  <c r="AA583" i="16"/>
  <c r="I578" i="16"/>
  <c r="D583" i="16"/>
  <c r="AA582" i="16"/>
  <c r="D582" i="16"/>
  <c r="AA581" i="16"/>
  <c r="D581" i="16"/>
  <c r="Y577" i="16"/>
  <c r="Y580" i="16" s="1"/>
  <c r="Y586" i="16" s="1"/>
  <c r="AA526" i="16"/>
  <c r="D525" i="16"/>
  <c r="AA524" i="16"/>
  <c r="D520" i="16"/>
  <c r="AA525" i="16"/>
  <c r="D524" i="16"/>
  <c r="AA523" i="16"/>
  <c r="I518" i="16"/>
  <c r="D523" i="16"/>
  <c r="AA522" i="16"/>
  <c r="D522" i="16"/>
  <c r="AA521" i="16"/>
  <c r="D521" i="16"/>
  <c r="Y517" i="16"/>
  <c r="Y520" i="16" s="1"/>
  <c r="Y526" i="16" s="1"/>
  <c r="AA466" i="16"/>
  <c r="D465" i="16"/>
  <c r="AA464" i="16"/>
  <c r="D460" i="16"/>
  <c r="AA465" i="16"/>
  <c r="D464" i="16"/>
  <c r="AA463" i="16"/>
  <c r="I458" i="16"/>
  <c r="D463" i="16"/>
  <c r="AA462" i="16"/>
  <c r="D462" i="16"/>
  <c r="AA461" i="16"/>
  <c r="D461" i="16"/>
  <c r="Y457" i="16"/>
  <c r="Y460" i="16" s="1"/>
  <c r="Y466" i="16" s="1"/>
  <c r="K283" i="16"/>
  <c r="G283" i="16"/>
  <c r="AB284" i="16"/>
  <c r="AD284" i="16" s="1"/>
  <c r="J283" i="16"/>
  <c r="F283" i="16"/>
  <c r="I283" i="16"/>
  <c r="E283" i="16"/>
  <c r="H283" i="16"/>
  <c r="P492" i="16"/>
  <c r="P495" i="16"/>
  <c r="P792" i="16"/>
  <c r="P795" i="16"/>
  <c r="P1245" i="16"/>
  <c r="P1242" i="16"/>
  <c r="P1092" i="16"/>
  <c r="P1095" i="16"/>
  <c r="P972" i="16"/>
  <c r="P975" i="16"/>
  <c r="P852" i="16"/>
  <c r="P855" i="16"/>
  <c r="P552" i="16"/>
  <c r="P555" i="16"/>
  <c r="P522" i="16"/>
  <c r="P525" i="16"/>
  <c r="P702" i="16"/>
  <c r="P705" i="16"/>
  <c r="P462" i="16"/>
  <c r="P465" i="16"/>
  <c r="G27" i="30"/>
  <c r="F30" i="23"/>
  <c r="I5" i="42" s="1"/>
  <c r="P43" i="16"/>
  <c r="P46" i="16"/>
  <c r="P285" i="16"/>
  <c r="P282" i="16"/>
  <c r="H23" i="33"/>
  <c r="G27" i="33"/>
  <c r="J27" i="33"/>
  <c r="J23" i="33"/>
  <c r="H31" i="33"/>
  <c r="G31" i="33"/>
  <c r="G29" i="33"/>
  <c r="H29" i="33"/>
  <c r="J32" i="33"/>
  <c r="G32" i="33"/>
  <c r="H32" i="33"/>
  <c r="R204" i="42"/>
  <c r="S204" i="42" s="1"/>
  <c r="J28" i="33"/>
  <c r="G28" i="33"/>
  <c r="H28" i="33"/>
  <c r="J24" i="33"/>
  <c r="G24" i="33"/>
  <c r="H24" i="33"/>
  <c r="R201" i="42" l="1"/>
  <c r="R74" i="42"/>
  <c r="S74" i="42" s="1"/>
  <c r="R85" i="42"/>
  <c r="S85" i="42" s="1"/>
  <c r="Q54" i="16"/>
  <c r="K2983" i="16"/>
  <c r="G2983" i="16"/>
  <c r="E2983" i="16"/>
  <c r="AB2984" i="16"/>
  <c r="AD2984" i="16" s="1"/>
  <c r="F2983" i="16"/>
  <c r="H2983" i="16"/>
  <c r="J2983" i="16"/>
  <c r="I2983" i="16"/>
  <c r="R84" i="42"/>
  <c r="S84" i="42" s="1"/>
  <c r="R63" i="42"/>
  <c r="S63" i="42" s="1"/>
  <c r="R78" i="42"/>
  <c r="S78" i="42" s="1"/>
  <c r="S89" i="42"/>
  <c r="R75" i="42"/>
  <c r="S75" i="42" s="1"/>
  <c r="R79" i="42"/>
  <c r="S79" i="42" s="1"/>
  <c r="S71" i="42"/>
  <c r="R69" i="42"/>
  <c r="S69" i="42" s="1"/>
  <c r="R203" i="42"/>
  <c r="S203" i="42" s="1"/>
  <c r="R83" i="42"/>
  <c r="S83" i="42" s="1"/>
  <c r="R90" i="42"/>
  <c r="S90" i="42" s="1"/>
  <c r="R72" i="42"/>
  <c r="S72" i="42" s="1"/>
  <c r="R91" i="42"/>
  <c r="S91" i="42" s="1"/>
  <c r="R61" i="42"/>
  <c r="S61" i="42" s="1"/>
  <c r="R86" i="42"/>
  <c r="S86" i="42" s="1"/>
  <c r="R65" i="42"/>
  <c r="S65" i="42" s="1"/>
  <c r="R67" i="42"/>
  <c r="S67" i="42" s="1"/>
  <c r="R66" i="42"/>
  <c r="S66" i="42" s="1"/>
  <c r="R68" i="42"/>
  <c r="S68" i="42" s="1"/>
  <c r="R77" i="42"/>
  <c r="S77" i="42" s="1"/>
  <c r="R82" i="42"/>
  <c r="S82" i="42" s="1"/>
  <c r="R25" i="42"/>
  <c r="S25" i="42" s="1"/>
  <c r="R80" i="42"/>
  <c r="S80" i="42" s="1"/>
  <c r="R64" i="42"/>
  <c r="S64" i="42" s="1"/>
  <c r="R70" i="42"/>
  <c r="S70" i="42" s="1"/>
  <c r="R81" i="42"/>
  <c r="S81" i="42" s="1"/>
  <c r="R87" i="42"/>
  <c r="S87" i="42" s="1"/>
  <c r="R88" i="42"/>
  <c r="S88" i="42" s="1"/>
  <c r="R76" i="42"/>
  <c r="S76" i="42" s="1"/>
  <c r="R33" i="42"/>
  <c r="S33" i="42" s="1"/>
  <c r="R102" i="42"/>
  <c r="S102" i="42" s="1"/>
  <c r="H2834" i="16"/>
  <c r="G2834" i="16"/>
  <c r="I2834" i="16"/>
  <c r="J2834" i="16"/>
  <c r="E2834" i="16"/>
  <c r="F2834" i="16"/>
  <c r="K2834" i="16"/>
  <c r="AB2835" i="16"/>
  <c r="AD2835" i="16" s="1"/>
  <c r="G2533" i="16"/>
  <c r="F2533" i="16"/>
  <c r="E2533" i="16"/>
  <c r="I2533" i="16"/>
  <c r="H2533" i="16"/>
  <c r="K2533" i="16"/>
  <c r="J2533" i="16"/>
  <c r="AB2534" i="16"/>
  <c r="AD2534" i="16" s="1"/>
  <c r="H5773" i="16"/>
  <c r="E5773" i="16"/>
  <c r="J5773" i="16"/>
  <c r="AB5774" i="16"/>
  <c r="AD5774" i="16" s="1"/>
  <c r="G5773" i="16"/>
  <c r="K5773" i="16"/>
  <c r="I5773" i="16"/>
  <c r="F5773" i="16"/>
  <c r="K5775" i="16"/>
  <c r="E5775" i="16"/>
  <c r="G5775" i="16"/>
  <c r="I5775" i="16"/>
  <c r="AB5776" i="16"/>
  <c r="AD5776" i="16" s="1"/>
  <c r="H5775" i="16"/>
  <c r="J5775" i="16"/>
  <c r="F5775" i="16"/>
  <c r="G5891" i="16"/>
  <c r="K5891" i="16"/>
  <c r="AB5892" i="16"/>
  <c r="AD5892" i="16" s="1"/>
  <c r="H5891" i="16"/>
  <c r="I5891" i="16"/>
  <c r="J5891" i="16"/>
  <c r="E5891" i="16"/>
  <c r="F5891" i="16"/>
  <c r="K4576" i="16"/>
  <c r="I4575" i="16"/>
  <c r="AB4576" i="16"/>
  <c r="AD4576" i="16" s="1"/>
  <c r="H4575" i="16"/>
  <c r="J4575" i="16"/>
  <c r="K4575" i="16"/>
  <c r="F4575" i="16"/>
  <c r="G4575" i="16"/>
  <c r="E4575" i="16"/>
  <c r="G5771" i="16"/>
  <c r="AB5772" i="16"/>
  <c r="AD5772" i="16" s="1"/>
  <c r="J5771" i="16"/>
  <c r="I5771" i="16"/>
  <c r="K5771" i="16"/>
  <c r="E5771" i="16"/>
  <c r="H5771" i="16"/>
  <c r="F5771" i="16"/>
  <c r="H2714" i="16"/>
  <c r="G2714" i="16"/>
  <c r="I2714" i="16"/>
  <c r="J2714" i="16"/>
  <c r="E2714" i="16"/>
  <c r="F2714" i="16"/>
  <c r="K2714" i="16"/>
  <c r="AB2715" i="16"/>
  <c r="AD2715" i="16" s="1"/>
  <c r="H2954" i="16"/>
  <c r="J2954" i="16"/>
  <c r="E2954" i="16"/>
  <c r="F2954" i="16"/>
  <c r="K2954" i="16"/>
  <c r="AB2955" i="16"/>
  <c r="AD2955" i="16" s="1"/>
  <c r="G2954" i="16"/>
  <c r="I2954" i="16"/>
  <c r="G5893" i="16"/>
  <c r="AB5894" i="16"/>
  <c r="AD5894" i="16" s="1"/>
  <c r="K5893" i="16"/>
  <c r="J5893" i="16"/>
  <c r="I5893" i="16"/>
  <c r="F5893" i="16"/>
  <c r="E5893" i="16"/>
  <c r="H5893" i="16"/>
  <c r="R191" i="42"/>
  <c r="S191" i="42" s="1"/>
  <c r="R156" i="42"/>
  <c r="S156" i="42" s="1"/>
  <c r="R164" i="42"/>
  <c r="S164" i="42" s="1"/>
  <c r="R190" i="42"/>
  <c r="S190" i="42" s="1"/>
  <c r="R49" i="42"/>
  <c r="S49" i="42" s="1"/>
  <c r="R150" i="42"/>
  <c r="S150" i="42" s="1"/>
  <c r="R57" i="42"/>
  <c r="S57" i="42" s="1"/>
  <c r="R126" i="42"/>
  <c r="S126" i="42" s="1"/>
  <c r="R41" i="42"/>
  <c r="S41" i="42" s="1"/>
  <c r="R110" i="42"/>
  <c r="S110" i="42" s="1"/>
  <c r="R130" i="42"/>
  <c r="S130" i="42" s="1"/>
  <c r="R154" i="42"/>
  <c r="S154" i="42" s="1"/>
  <c r="R140" i="42"/>
  <c r="S140" i="42" s="1"/>
  <c r="R166" i="42"/>
  <c r="S166" i="42" s="1"/>
  <c r="R199" i="42"/>
  <c r="S199" i="42" s="1"/>
  <c r="R148" i="42"/>
  <c r="S148" i="42" s="1"/>
  <c r="R183" i="42"/>
  <c r="S183" i="42" s="1"/>
  <c r="R98" i="42"/>
  <c r="S98" i="42" s="1"/>
  <c r="R94" i="42"/>
  <c r="S94" i="42" s="1"/>
  <c r="R114" i="42"/>
  <c r="S114" i="42" s="1"/>
  <c r="R134" i="42"/>
  <c r="S134" i="42" s="1"/>
  <c r="R122" i="42"/>
  <c r="S122" i="42" s="1"/>
  <c r="K4696" i="16"/>
  <c r="AD4276" i="16"/>
  <c r="AD4391" i="16"/>
  <c r="AD1246" i="16"/>
  <c r="AD2596" i="16"/>
  <c r="R146" i="42"/>
  <c r="S146" i="42" s="1"/>
  <c r="R173" i="42"/>
  <c r="S173" i="42" s="1"/>
  <c r="R118" i="42"/>
  <c r="S118" i="42" s="1"/>
  <c r="R162" i="42"/>
  <c r="S162" i="42" s="1"/>
  <c r="AD943" i="16"/>
  <c r="K4066" i="16"/>
  <c r="AD2476" i="16"/>
  <c r="AD2683" i="16"/>
  <c r="AD2803" i="16"/>
  <c r="AD2893" i="16"/>
  <c r="AD2923" i="16"/>
  <c r="AD3043" i="16"/>
  <c r="AD3253" i="16"/>
  <c r="AD3433" i="16"/>
  <c r="AD3493" i="16"/>
  <c r="AD4516" i="16"/>
  <c r="AD883" i="16"/>
  <c r="R172" i="42"/>
  <c r="S172" i="42" s="1"/>
  <c r="S47" i="42"/>
  <c r="R138" i="42"/>
  <c r="S138" i="42" s="1"/>
  <c r="R144" i="42"/>
  <c r="S144" i="42" s="1"/>
  <c r="R189" i="42"/>
  <c r="S189" i="42" s="1"/>
  <c r="R160" i="42"/>
  <c r="S160" i="42" s="1"/>
  <c r="R170" i="42"/>
  <c r="S170" i="42" s="1"/>
  <c r="R142" i="42"/>
  <c r="S142" i="42" s="1"/>
  <c r="R165" i="42"/>
  <c r="S165" i="42" s="1"/>
  <c r="R158" i="42"/>
  <c r="S158" i="42" s="1"/>
  <c r="S106" i="42"/>
  <c r="R23" i="42"/>
  <c r="S23" i="42" s="1"/>
  <c r="R163" i="42"/>
  <c r="S163" i="42" s="1"/>
  <c r="R193" i="42"/>
  <c r="S193" i="42" s="1"/>
  <c r="R43" i="42"/>
  <c r="S43" i="42" s="1"/>
  <c r="R55" i="42"/>
  <c r="S55" i="42" s="1"/>
  <c r="R200" i="42"/>
  <c r="S200" i="42" s="1"/>
  <c r="R175" i="42"/>
  <c r="S175" i="42" s="1"/>
  <c r="R133" i="42"/>
  <c r="S133" i="42" s="1"/>
  <c r="R174" i="42"/>
  <c r="S174" i="42" s="1"/>
  <c r="R31" i="42"/>
  <c r="S31" i="42" s="1"/>
  <c r="R152" i="42"/>
  <c r="S152" i="42" s="1"/>
  <c r="R121" i="42"/>
  <c r="S121" i="42" s="1"/>
  <c r="K2746" i="16"/>
  <c r="K2866" i="16"/>
  <c r="K2986" i="16"/>
  <c r="K5356" i="16"/>
  <c r="R192" i="42"/>
  <c r="S192" i="42" s="1"/>
  <c r="J1094" i="16"/>
  <c r="E1094" i="16"/>
  <c r="AB1095" i="16"/>
  <c r="AD1095" i="16" s="1"/>
  <c r="I1094" i="16"/>
  <c r="G1094" i="16"/>
  <c r="K1094" i="16"/>
  <c r="H1094" i="16"/>
  <c r="F1094" i="16"/>
  <c r="J2594" i="16"/>
  <c r="H2594" i="16"/>
  <c r="K2594" i="16"/>
  <c r="E2594" i="16"/>
  <c r="F2594" i="16"/>
  <c r="G2594" i="16"/>
  <c r="AB2595" i="16"/>
  <c r="AD2595" i="16" s="1"/>
  <c r="I2594" i="16"/>
  <c r="K3103" i="16"/>
  <c r="G3103" i="16"/>
  <c r="H3103" i="16"/>
  <c r="J3103" i="16"/>
  <c r="AB3104" i="16"/>
  <c r="AD3104" i="16" s="1"/>
  <c r="F3103" i="16"/>
  <c r="E3103" i="16"/>
  <c r="I3103" i="16"/>
  <c r="I3373" i="16"/>
  <c r="E3373" i="16"/>
  <c r="AB3374" i="16"/>
  <c r="AD3374" i="16" s="1"/>
  <c r="F3373" i="16"/>
  <c r="K3373" i="16"/>
  <c r="G3373" i="16"/>
  <c r="H3373" i="16"/>
  <c r="J3373" i="16"/>
  <c r="H3585" i="16"/>
  <c r="F3585" i="16"/>
  <c r="K3585" i="16"/>
  <c r="I3585" i="16"/>
  <c r="AB3586" i="16"/>
  <c r="AD3586" i="16" s="1"/>
  <c r="E3585" i="16"/>
  <c r="J3585" i="16"/>
  <c r="G3585" i="16"/>
  <c r="K4755" i="16"/>
  <c r="F4755" i="16"/>
  <c r="G4755" i="16"/>
  <c r="I4755" i="16"/>
  <c r="AB4756" i="16"/>
  <c r="AD4756" i="16" s="1"/>
  <c r="E4755" i="16"/>
  <c r="H4755" i="16"/>
  <c r="J4755" i="16"/>
  <c r="K2564" i="16"/>
  <c r="E2564" i="16"/>
  <c r="G2564" i="16"/>
  <c r="AB2565" i="16"/>
  <c r="AD2565" i="16" s="1"/>
  <c r="I2564" i="16"/>
  <c r="F2564" i="16"/>
  <c r="H2564" i="16"/>
  <c r="J2564" i="16"/>
  <c r="H3254" i="16"/>
  <c r="G3254" i="16"/>
  <c r="I3254" i="16"/>
  <c r="J3254" i="16"/>
  <c r="E3254" i="16"/>
  <c r="F3254" i="16"/>
  <c r="K3254" i="16"/>
  <c r="AB3255" i="16"/>
  <c r="AD3255" i="16" s="1"/>
  <c r="J2684" i="16"/>
  <c r="E2684" i="16"/>
  <c r="H2684" i="16"/>
  <c r="F2684" i="16"/>
  <c r="K2684" i="16"/>
  <c r="AB2685" i="16"/>
  <c r="AD2685" i="16" s="1"/>
  <c r="G2684" i="16"/>
  <c r="I2684" i="16"/>
  <c r="K4392" i="16"/>
  <c r="AB4393" i="16"/>
  <c r="AD4393" i="16" s="1"/>
  <c r="E4392" i="16"/>
  <c r="J4392" i="16"/>
  <c r="H4392" i="16"/>
  <c r="F4392" i="16"/>
  <c r="G4392" i="16"/>
  <c r="I4392" i="16"/>
  <c r="K4391" i="16"/>
  <c r="H4391" i="16"/>
  <c r="G4391" i="16"/>
  <c r="J4391" i="16"/>
  <c r="E4391" i="16"/>
  <c r="F4391" i="16"/>
  <c r="AB4392" i="16"/>
  <c r="I4391" i="16"/>
  <c r="I4725" i="16"/>
  <c r="H4725" i="16"/>
  <c r="J4725" i="16"/>
  <c r="K4725" i="16"/>
  <c r="F4725" i="16"/>
  <c r="G4725" i="16"/>
  <c r="E4725" i="16"/>
  <c r="AB4726" i="16"/>
  <c r="AD4726" i="16" s="1"/>
  <c r="AB5263" i="16"/>
  <c r="G5262" i="16"/>
  <c r="F5262" i="16"/>
  <c r="I5262" i="16"/>
  <c r="J5262" i="16"/>
  <c r="H5262" i="16"/>
  <c r="K5262" i="16"/>
  <c r="E5262" i="16"/>
  <c r="F4452" i="16"/>
  <c r="G4452" i="16"/>
  <c r="I4452" i="16"/>
  <c r="K4452" i="16"/>
  <c r="AB4453" i="16"/>
  <c r="AD4453" i="16" s="1"/>
  <c r="E4452" i="16"/>
  <c r="J4452" i="16"/>
  <c r="H4452" i="16"/>
  <c r="H1243" i="16"/>
  <c r="J1243" i="16"/>
  <c r="F1243" i="16"/>
  <c r="K1243" i="16"/>
  <c r="I1243" i="16"/>
  <c r="E1243" i="16"/>
  <c r="AB1244" i="16"/>
  <c r="AD1244" i="16" s="1"/>
  <c r="G1243" i="16"/>
  <c r="J884" i="16"/>
  <c r="G884" i="16"/>
  <c r="H884" i="16"/>
  <c r="K884" i="16"/>
  <c r="E884" i="16"/>
  <c r="AB885" i="16"/>
  <c r="AD885" i="16" s="1"/>
  <c r="F884" i="16"/>
  <c r="I884" i="16"/>
  <c r="J944" i="16"/>
  <c r="K944" i="16"/>
  <c r="F944" i="16"/>
  <c r="H944" i="16"/>
  <c r="E944" i="16"/>
  <c r="AB945" i="16"/>
  <c r="AD945" i="16" s="1"/>
  <c r="G944" i="16"/>
  <c r="I944" i="16"/>
  <c r="H2894" i="16"/>
  <c r="G2894" i="16"/>
  <c r="I2894" i="16"/>
  <c r="J2894" i="16"/>
  <c r="E2894" i="16"/>
  <c r="F2894" i="16"/>
  <c r="K2894" i="16"/>
  <c r="AB2895" i="16"/>
  <c r="AD2895" i="16" s="1"/>
  <c r="F2472" i="16"/>
  <c r="K2472" i="16"/>
  <c r="I2472" i="16"/>
  <c r="H2472" i="16"/>
  <c r="AB2473" i="16"/>
  <c r="AD2473" i="16" s="1"/>
  <c r="J2472" i="16"/>
  <c r="E2472" i="16"/>
  <c r="G2472" i="16"/>
  <c r="H3344" i="16"/>
  <c r="G3344" i="16"/>
  <c r="I3344" i="16"/>
  <c r="J3344" i="16"/>
  <c r="E3344" i="16"/>
  <c r="F3344" i="16"/>
  <c r="K3344" i="16"/>
  <c r="AB3345" i="16"/>
  <c r="I3013" i="16"/>
  <c r="H3013" i="16"/>
  <c r="J3013" i="16"/>
  <c r="AB3014" i="16"/>
  <c r="AD3014" i="16" s="1"/>
  <c r="F3013" i="16"/>
  <c r="K3013" i="16"/>
  <c r="E3013" i="16"/>
  <c r="G3013" i="16"/>
  <c r="I3882" i="16"/>
  <c r="G3882" i="16"/>
  <c r="AB3883" i="16"/>
  <c r="AD3883" i="16" s="1"/>
  <c r="E3882" i="16"/>
  <c r="J3882" i="16"/>
  <c r="K3882" i="16"/>
  <c r="F3882" i="16"/>
  <c r="H3882" i="16"/>
  <c r="H3224" i="16"/>
  <c r="K3224" i="16"/>
  <c r="AB3225" i="16"/>
  <c r="AD3225" i="16" s="1"/>
  <c r="G3224" i="16"/>
  <c r="I3224" i="16"/>
  <c r="J3224" i="16"/>
  <c r="E3224" i="16"/>
  <c r="F3224" i="16"/>
  <c r="AB3914" i="16"/>
  <c r="AD3914" i="16" s="1"/>
  <c r="K3913" i="16"/>
  <c r="I3913" i="16"/>
  <c r="E3913" i="16"/>
  <c r="J3913" i="16"/>
  <c r="H3913" i="16"/>
  <c r="F3913" i="16"/>
  <c r="G3913" i="16"/>
  <c r="I3972" i="16"/>
  <c r="K3972" i="16"/>
  <c r="AB3973" i="16"/>
  <c r="AD3973" i="16" s="1"/>
  <c r="E3972" i="16"/>
  <c r="J3972" i="16"/>
  <c r="H3972" i="16"/>
  <c r="F3972" i="16"/>
  <c r="G3972" i="16"/>
  <c r="K4032" i="16"/>
  <c r="AB4033" i="16"/>
  <c r="AD4033" i="16" s="1"/>
  <c r="E4032" i="16"/>
  <c r="J4032" i="16"/>
  <c r="H4032" i="16"/>
  <c r="F4032" i="16"/>
  <c r="G4032" i="16"/>
  <c r="I4032" i="16"/>
  <c r="K4875" i="16"/>
  <c r="F4875" i="16"/>
  <c r="G4875" i="16"/>
  <c r="I4875" i="16"/>
  <c r="AB4876" i="16"/>
  <c r="AD4876" i="16" s="1"/>
  <c r="E4875" i="16"/>
  <c r="H4875" i="16"/>
  <c r="J4875" i="16"/>
  <c r="K4512" i="16"/>
  <c r="AB4513" i="16"/>
  <c r="AD4513" i="16" s="1"/>
  <c r="E4512" i="16"/>
  <c r="J4512" i="16"/>
  <c r="H4512" i="16"/>
  <c r="F4512" i="16"/>
  <c r="G4512" i="16"/>
  <c r="I4512" i="16"/>
  <c r="K4511" i="16"/>
  <c r="H4511" i="16"/>
  <c r="G4511" i="16"/>
  <c r="J4511" i="16"/>
  <c r="E4511" i="16"/>
  <c r="F4511" i="16"/>
  <c r="AB4512" i="16"/>
  <c r="AD4512" i="16" s="1"/>
  <c r="I4511" i="16"/>
  <c r="K4905" i="16"/>
  <c r="F4905" i="16"/>
  <c r="G4905" i="16"/>
  <c r="I4905" i="16"/>
  <c r="AB4906" i="16"/>
  <c r="H4905" i="16"/>
  <c r="J4905" i="16"/>
  <c r="E4905" i="16"/>
  <c r="E5320" i="16"/>
  <c r="F5320" i="16"/>
  <c r="AB5321" i="16"/>
  <c r="AD5321" i="16" s="1"/>
  <c r="J5320" i="16"/>
  <c r="G5320" i="16"/>
  <c r="H5320" i="16"/>
  <c r="I5320" i="16"/>
  <c r="K5320" i="16"/>
  <c r="H5382" i="16"/>
  <c r="AB5383" i="16"/>
  <c r="I5382" i="16"/>
  <c r="J5382" i="16"/>
  <c r="K5382" i="16"/>
  <c r="E5382" i="16"/>
  <c r="G5382" i="16"/>
  <c r="F5382" i="16"/>
  <c r="I2773" i="16"/>
  <c r="G2773" i="16"/>
  <c r="H2773" i="16"/>
  <c r="J2773" i="16"/>
  <c r="AB2774" i="16"/>
  <c r="AD2774" i="16" s="1"/>
  <c r="F2773" i="16"/>
  <c r="E2773" i="16"/>
  <c r="K2773" i="16"/>
  <c r="K2623" i="16"/>
  <c r="G2623" i="16"/>
  <c r="E2623" i="16"/>
  <c r="H2623" i="16"/>
  <c r="J2623" i="16"/>
  <c r="AB2624" i="16"/>
  <c r="AD2624" i="16" s="1"/>
  <c r="I2623" i="16"/>
  <c r="F2623" i="16"/>
  <c r="H3494" i="16"/>
  <c r="J3494" i="16"/>
  <c r="E3494" i="16"/>
  <c r="F3494" i="16"/>
  <c r="K3494" i="16"/>
  <c r="AB3495" i="16"/>
  <c r="AD3495" i="16" s="1"/>
  <c r="G3494" i="16"/>
  <c r="I3494" i="16"/>
  <c r="I3433" i="16"/>
  <c r="E3433" i="16"/>
  <c r="G3433" i="16"/>
  <c r="H3433" i="16"/>
  <c r="J3433" i="16"/>
  <c r="AB3434" i="16"/>
  <c r="AD3434" i="16" s="1"/>
  <c r="F3433" i="16"/>
  <c r="K3433" i="16"/>
  <c r="K4271" i="16"/>
  <c r="H4271" i="16"/>
  <c r="G4271" i="16"/>
  <c r="J4271" i="16"/>
  <c r="E4271" i="16"/>
  <c r="F4271" i="16"/>
  <c r="AB4272" i="16"/>
  <c r="AD4272" i="16" s="1"/>
  <c r="I4271" i="16"/>
  <c r="K4331" i="16"/>
  <c r="H4331" i="16"/>
  <c r="G4331" i="16"/>
  <c r="AB4332" i="16"/>
  <c r="I4331" i="16"/>
  <c r="J4331" i="16"/>
  <c r="E4331" i="16"/>
  <c r="F4331" i="16"/>
  <c r="K5652" i="16"/>
  <c r="J5652" i="16"/>
  <c r="F5652" i="16"/>
  <c r="H5652" i="16"/>
  <c r="I5652" i="16"/>
  <c r="G5652" i="16"/>
  <c r="E5652" i="16"/>
  <c r="AB5653" i="16"/>
  <c r="AD5653" i="16" s="1"/>
  <c r="R168" i="42"/>
  <c r="S168" i="42" s="1"/>
  <c r="AB4242" i="16"/>
  <c r="AD4242" i="16" s="1"/>
  <c r="G4241" i="16"/>
  <c r="I4241" i="16"/>
  <c r="K4241" i="16"/>
  <c r="J4241" i="16"/>
  <c r="E4241" i="16"/>
  <c r="F4241" i="16"/>
  <c r="H4241" i="16"/>
  <c r="F4361" i="16"/>
  <c r="H4361" i="16"/>
  <c r="AB4362" i="16"/>
  <c r="G4361" i="16"/>
  <c r="I4361" i="16"/>
  <c r="K4361" i="16"/>
  <c r="K4366" i="16" s="1"/>
  <c r="J4361" i="16"/>
  <c r="E4361" i="16"/>
  <c r="H2444" i="16"/>
  <c r="G2444" i="16"/>
  <c r="E2444" i="16"/>
  <c r="K2444" i="16"/>
  <c r="J2444" i="16"/>
  <c r="AB2445" i="16"/>
  <c r="AD2445" i="16" s="1"/>
  <c r="I2444" i="16"/>
  <c r="F2444" i="16"/>
  <c r="K2563" i="16"/>
  <c r="G2563" i="16"/>
  <c r="J2563" i="16"/>
  <c r="AB2564" i="16"/>
  <c r="AD2564" i="16" s="1"/>
  <c r="F2563" i="16"/>
  <c r="E2563" i="16"/>
  <c r="I2563" i="16"/>
  <c r="H2563" i="16"/>
  <c r="E3283" i="16"/>
  <c r="I3283" i="16"/>
  <c r="K3283" i="16"/>
  <c r="G3283" i="16"/>
  <c r="H3283" i="16"/>
  <c r="J3283" i="16"/>
  <c r="AB3284" i="16"/>
  <c r="AD3284" i="16" s="1"/>
  <c r="F3283" i="16"/>
  <c r="E3463" i="16"/>
  <c r="I3463" i="16"/>
  <c r="K3463" i="16"/>
  <c r="G3463" i="16"/>
  <c r="H3463" i="16"/>
  <c r="J3463" i="16"/>
  <c r="AB3464" i="16"/>
  <c r="AD3464" i="16" s="1"/>
  <c r="F3463" i="16"/>
  <c r="AB4394" i="16"/>
  <c r="AD4394" i="16" s="1"/>
  <c r="K4393" i="16"/>
  <c r="I4393" i="16"/>
  <c r="E4393" i="16"/>
  <c r="J4393" i="16"/>
  <c r="H4393" i="16"/>
  <c r="F4393" i="16"/>
  <c r="G4393" i="16"/>
  <c r="AD4392" i="16"/>
  <c r="I4635" i="16"/>
  <c r="K4635" i="16"/>
  <c r="F4635" i="16"/>
  <c r="G4635" i="16"/>
  <c r="E4635" i="16"/>
  <c r="AB4636" i="16"/>
  <c r="AD4636" i="16" s="1"/>
  <c r="H4635" i="16"/>
  <c r="J4635" i="16"/>
  <c r="H5261" i="16"/>
  <c r="E5261" i="16"/>
  <c r="K5261" i="16"/>
  <c r="F5261" i="16"/>
  <c r="G5261" i="16"/>
  <c r="J5261" i="16"/>
  <c r="AB5262" i="16"/>
  <c r="AD5262" i="16" s="1"/>
  <c r="I5261" i="16"/>
  <c r="AD5263" i="16"/>
  <c r="K4451" i="16"/>
  <c r="H4451" i="16"/>
  <c r="G4451" i="16"/>
  <c r="AB4452" i="16"/>
  <c r="I4451" i="16"/>
  <c r="J4451" i="16"/>
  <c r="E4451" i="16"/>
  <c r="F4451" i="16"/>
  <c r="E5981" i="16"/>
  <c r="J5981" i="16"/>
  <c r="H5981" i="16"/>
  <c r="G5981" i="16"/>
  <c r="AB5982" i="16"/>
  <c r="AD5982" i="16" s="1"/>
  <c r="F5981" i="16"/>
  <c r="I5981" i="16"/>
  <c r="K5981" i="16"/>
  <c r="G255" i="16"/>
  <c r="I255" i="16"/>
  <c r="AB256" i="16"/>
  <c r="AD256" i="16" s="1"/>
  <c r="E255" i="16"/>
  <c r="H255" i="16"/>
  <c r="J255" i="16"/>
  <c r="K255" i="16"/>
  <c r="F255" i="16"/>
  <c r="I2473" i="16"/>
  <c r="G2473" i="16"/>
  <c r="E2473" i="16"/>
  <c r="J2473" i="16"/>
  <c r="K2473" i="16"/>
  <c r="H2473" i="16"/>
  <c r="F2473" i="16"/>
  <c r="AB2474" i="16"/>
  <c r="AD2474" i="16" s="1"/>
  <c r="AD3345" i="16"/>
  <c r="E3883" i="16"/>
  <c r="J3883" i="16"/>
  <c r="AB3884" i="16"/>
  <c r="AD3884" i="16" s="1"/>
  <c r="F3883" i="16"/>
  <c r="K3883" i="16"/>
  <c r="I3883" i="16"/>
  <c r="H3883" i="16"/>
  <c r="G3883" i="16"/>
  <c r="AB3974" i="16"/>
  <c r="AD3974" i="16" s="1"/>
  <c r="E3973" i="16"/>
  <c r="K3973" i="16"/>
  <c r="J3973" i="16"/>
  <c r="H3973" i="16"/>
  <c r="F3973" i="16"/>
  <c r="G3973" i="16"/>
  <c r="I3973" i="16"/>
  <c r="K4031" i="16"/>
  <c r="G4031" i="16"/>
  <c r="H4031" i="16"/>
  <c r="J4031" i="16"/>
  <c r="E4031" i="16"/>
  <c r="F4031" i="16"/>
  <c r="AB4032" i="16"/>
  <c r="I4031" i="16"/>
  <c r="I4605" i="16"/>
  <c r="G4605" i="16"/>
  <c r="E4605" i="16"/>
  <c r="AB4606" i="16"/>
  <c r="AD4606" i="16" s="1"/>
  <c r="H4605" i="16"/>
  <c r="J4605" i="16"/>
  <c r="K4605" i="16"/>
  <c r="F4605" i="16"/>
  <c r="AB4514" i="16"/>
  <c r="AD4514" i="16" s="1"/>
  <c r="K4513" i="16"/>
  <c r="E4513" i="16"/>
  <c r="J4513" i="16"/>
  <c r="H4513" i="16"/>
  <c r="F4513" i="16"/>
  <c r="G4513" i="16"/>
  <c r="I4513" i="16"/>
  <c r="AB4482" i="16"/>
  <c r="AD4482" i="16" s="1"/>
  <c r="G4481" i="16"/>
  <c r="I4481" i="16"/>
  <c r="K4481" i="16"/>
  <c r="K4486" i="16" s="1"/>
  <c r="J4481" i="16"/>
  <c r="E4481" i="16"/>
  <c r="F4481" i="16"/>
  <c r="H4481" i="16"/>
  <c r="K5322" i="16"/>
  <c r="E5322" i="16"/>
  <c r="G5322" i="16"/>
  <c r="AB5323" i="16"/>
  <c r="F5322" i="16"/>
  <c r="I5322" i="16"/>
  <c r="J5322" i="16"/>
  <c r="H5322" i="16"/>
  <c r="I5323" i="16"/>
  <c r="H5323" i="16"/>
  <c r="F5323" i="16"/>
  <c r="AB5324" i="16"/>
  <c r="AD5324" i="16" s="1"/>
  <c r="J5323" i="16"/>
  <c r="K5323" i="16"/>
  <c r="E5323" i="16"/>
  <c r="G5323" i="16"/>
  <c r="H5380" i="16"/>
  <c r="J5380" i="16"/>
  <c r="AB5381" i="16"/>
  <c r="AD5381" i="16" s="1"/>
  <c r="G5380" i="16"/>
  <c r="I5380" i="16"/>
  <c r="K5380" i="16"/>
  <c r="E5380" i="16"/>
  <c r="F5380" i="16"/>
  <c r="J5381" i="16"/>
  <c r="I5381" i="16"/>
  <c r="H5381" i="16"/>
  <c r="E5381" i="16"/>
  <c r="K5381" i="16"/>
  <c r="F5381" i="16"/>
  <c r="G5381" i="16"/>
  <c r="AB5382" i="16"/>
  <c r="AD5382" i="16" s="1"/>
  <c r="H2774" i="16"/>
  <c r="G2774" i="16"/>
  <c r="I2774" i="16"/>
  <c r="J2774" i="16"/>
  <c r="E2774" i="16"/>
  <c r="F2774" i="16"/>
  <c r="K2774" i="16"/>
  <c r="AB2775" i="16"/>
  <c r="AD2775" i="16" s="1"/>
  <c r="J2654" i="16"/>
  <c r="H2654" i="16"/>
  <c r="AB2655" i="16"/>
  <c r="AD2655" i="16" s="1"/>
  <c r="F2654" i="16"/>
  <c r="I2654" i="16"/>
  <c r="K2654" i="16"/>
  <c r="E2654" i="16"/>
  <c r="G2654" i="16"/>
  <c r="H3134" i="16"/>
  <c r="G3134" i="16"/>
  <c r="I3134" i="16"/>
  <c r="J3134" i="16"/>
  <c r="E3134" i="16"/>
  <c r="F3134" i="16"/>
  <c r="K3134" i="16"/>
  <c r="AB3135" i="16"/>
  <c r="I3133" i="16"/>
  <c r="H3133" i="16"/>
  <c r="J3133" i="16"/>
  <c r="AB3134" i="16"/>
  <c r="AD3134" i="16" s="1"/>
  <c r="F3133" i="16"/>
  <c r="K3133" i="16"/>
  <c r="E3133" i="16"/>
  <c r="G3133" i="16"/>
  <c r="I3073" i="16"/>
  <c r="H3073" i="16"/>
  <c r="J3073" i="16"/>
  <c r="E3073" i="16"/>
  <c r="AB3074" i="16"/>
  <c r="AD3074" i="16" s="1"/>
  <c r="F3073" i="16"/>
  <c r="K3073" i="16"/>
  <c r="G3073" i="16"/>
  <c r="I3403" i="16"/>
  <c r="E3403" i="16"/>
  <c r="H3403" i="16"/>
  <c r="J3403" i="16"/>
  <c r="AB3404" i="16"/>
  <c r="AD3404" i="16" s="1"/>
  <c r="F3403" i="16"/>
  <c r="K3403" i="16"/>
  <c r="G3403" i="16"/>
  <c r="K4091" i="16"/>
  <c r="H4091" i="16"/>
  <c r="G4091" i="16"/>
  <c r="AB4092" i="16"/>
  <c r="I4091" i="16"/>
  <c r="J4091" i="16"/>
  <c r="E4091" i="16"/>
  <c r="F4091" i="16"/>
  <c r="K4152" i="16"/>
  <c r="AB4153" i="16"/>
  <c r="AD4153" i="16" s="1"/>
  <c r="E4152" i="16"/>
  <c r="J4152" i="16"/>
  <c r="H4152" i="16"/>
  <c r="F4152" i="16"/>
  <c r="G4152" i="16"/>
  <c r="I4152" i="16"/>
  <c r="K4211" i="16"/>
  <c r="H4211" i="16"/>
  <c r="G4211" i="16"/>
  <c r="AB4212" i="16"/>
  <c r="AD4212" i="16" s="1"/>
  <c r="I4211" i="16"/>
  <c r="J4211" i="16"/>
  <c r="E4211" i="16"/>
  <c r="F4211" i="16"/>
  <c r="AD4332" i="16"/>
  <c r="J5655" i="16"/>
  <c r="K5655" i="16"/>
  <c r="H5655" i="16"/>
  <c r="G5655" i="16"/>
  <c r="I5655" i="16"/>
  <c r="AB5656" i="16"/>
  <c r="AD5656" i="16" s="1"/>
  <c r="E5655" i="16"/>
  <c r="F5655" i="16"/>
  <c r="J974" i="16"/>
  <c r="E974" i="16"/>
  <c r="AB975" i="16"/>
  <c r="AD975" i="16" s="1"/>
  <c r="I974" i="16"/>
  <c r="G974" i="16"/>
  <c r="K974" i="16"/>
  <c r="K976" i="16" s="1"/>
  <c r="H974" i="16"/>
  <c r="F974" i="16"/>
  <c r="J1124" i="16"/>
  <c r="G1124" i="16"/>
  <c r="H1124" i="16"/>
  <c r="K1124" i="16"/>
  <c r="E1124" i="16"/>
  <c r="AB1125" i="16"/>
  <c r="AD1125" i="16" s="1"/>
  <c r="F1124" i="16"/>
  <c r="I1124" i="16"/>
  <c r="I2593" i="16"/>
  <c r="G2593" i="16"/>
  <c r="K2593" i="16"/>
  <c r="H2593" i="16"/>
  <c r="J2593" i="16"/>
  <c r="AB2594" i="16"/>
  <c r="AD2594" i="16" s="1"/>
  <c r="F2593" i="16"/>
  <c r="E2593" i="16"/>
  <c r="I3193" i="16"/>
  <c r="H3193" i="16"/>
  <c r="J3193" i="16"/>
  <c r="E3193" i="16"/>
  <c r="AB3194" i="16"/>
  <c r="AD3194" i="16" s="1"/>
  <c r="F3193" i="16"/>
  <c r="K3193" i="16"/>
  <c r="G3193" i="16"/>
  <c r="H3374" i="16"/>
  <c r="J3374" i="16"/>
  <c r="E3374" i="16"/>
  <c r="F3374" i="16"/>
  <c r="K3374" i="16"/>
  <c r="AB3375" i="16"/>
  <c r="AD3375" i="16" s="1"/>
  <c r="G3374" i="16"/>
  <c r="I3374" i="16"/>
  <c r="F4121" i="16"/>
  <c r="H4121" i="16"/>
  <c r="AB4122" i="16"/>
  <c r="AD4122" i="16" s="1"/>
  <c r="G4121" i="16"/>
  <c r="I4121" i="16"/>
  <c r="K4121" i="16"/>
  <c r="K4126" i="16" s="1"/>
  <c r="J4121" i="16"/>
  <c r="E4121" i="16"/>
  <c r="J824" i="16"/>
  <c r="F824" i="16"/>
  <c r="H824" i="16"/>
  <c r="G824" i="16"/>
  <c r="E824" i="16"/>
  <c r="AB825" i="16"/>
  <c r="AD825" i="16" s="1"/>
  <c r="K824" i="16"/>
  <c r="I824" i="16"/>
  <c r="J2442" i="16"/>
  <c r="G2442" i="16"/>
  <c r="H2442" i="16"/>
  <c r="F2442" i="16"/>
  <c r="I2442" i="16"/>
  <c r="E2442" i="16"/>
  <c r="AB2443" i="16"/>
  <c r="AD2443" i="16" s="1"/>
  <c r="K2442" i="16"/>
  <c r="H3284" i="16"/>
  <c r="F3284" i="16"/>
  <c r="K3284" i="16"/>
  <c r="AB3285" i="16"/>
  <c r="AD3285" i="16" s="1"/>
  <c r="G3284" i="16"/>
  <c r="I3284" i="16"/>
  <c r="J3284" i="16"/>
  <c r="E3284" i="16"/>
  <c r="H3554" i="16"/>
  <c r="K3554" i="16"/>
  <c r="AB3555" i="16"/>
  <c r="AD3555" i="16" s="1"/>
  <c r="G3554" i="16"/>
  <c r="I3554" i="16"/>
  <c r="J3554" i="16"/>
  <c r="E3554" i="16"/>
  <c r="F3554" i="16"/>
  <c r="K5263" i="16"/>
  <c r="E5263" i="16"/>
  <c r="G5263" i="16"/>
  <c r="I5263" i="16"/>
  <c r="F5263" i="16"/>
  <c r="H5263" i="16"/>
  <c r="AB5264" i="16"/>
  <c r="AD5264" i="16" s="1"/>
  <c r="J5263" i="16"/>
  <c r="AD4452" i="16"/>
  <c r="J5201" i="16"/>
  <c r="I5201" i="16"/>
  <c r="K5201" i="16"/>
  <c r="AB5202" i="16"/>
  <c r="AD5202" i="16" s="1"/>
  <c r="G5201" i="16"/>
  <c r="H5201" i="16"/>
  <c r="F5201" i="16"/>
  <c r="E5201" i="16"/>
  <c r="K5620" i="16"/>
  <c r="J5620" i="16"/>
  <c r="G5620" i="16"/>
  <c r="I5620" i="16"/>
  <c r="E5620" i="16"/>
  <c r="H5620" i="16"/>
  <c r="AB5621" i="16"/>
  <c r="AD5621" i="16" s="1"/>
  <c r="F5620" i="16"/>
  <c r="J1064" i="16"/>
  <c r="K1064" i="16"/>
  <c r="F1064" i="16"/>
  <c r="H1064" i="16"/>
  <c r="E1064" i="16"/>
  <c r="AB1065" i="16"/>
  <c r="AD1065" i="16" s="1"/>
  <c r="G1064" i="16"/>
  <c r="I1064" i="16"/>
  <c r="J854" i="16"/>
  <c r="E854" i="16"/>
  <c r="AB855" i="16"/>
  <c r="AD855" i="16" s="1"/>
  <c r="I854" i="16"/>
  <c r="G854" i="16"/>
  <c r="K854" i="16"/>
  <c r="H854" i="16"/>
  <c r="F854" i="16"/>
  <c r="J914" i="16"/>
  <c r="G914" i="16"/>
  <c r="E914" i="16"/>
  <c r="AB915" i="16"/>
  <c r="AD915" i="16" s="1"/>
  <c r="K914" i="16"/>
  <c r="I914" i="16"/>
  <c r="F914" i="16"/>
  <c r="H914" i="16"/>
  <c r="E3343" i="16"/>
  <c r="I3343" i="16"/>
  <c r="AB3344" i="16"/>
  <c r="AD3344" i="16" s="1"/>
  <c r="F3343" i="16"/>
  <c r="K3343" i="16"/>
  <c r="G3343" i="16"/>
  <c r="H3343" i="16"/>
  <c r="J3343" i="16"/>
  <c r="H3014" i="16"/>
  <c r="G3014" i="16"/>
  <c r="I3014" i="16"/>
  <c r="J3014" i="16"/>
  <c r="E3014" i="16"/>
  <c r="F3014" i="16"/>
  <c r="K3014" i="16"/>
  <c r="AB3015" i="16"/>
  <c r="H3043" i="16"/>
  <c r="J3043" i="16"/>
  <c r="AB3044" i="16"/>
  <c r="AD3044" i="16" s="1"/>
  <c r="F3043" i="16"/>
  <c r="E3043" i="16"/>
  <c r="K3043" i="16"/>
  <c r="G3043" i="16"/>
  <c r="I3043" i="16"/>
  <c r="K3912" i="16"/>
  <c r="AB3913" i="16"/>
  <c r="AD3913" i="16" s="1"/>
  <c r="E3912" i="16"/>
  <c r="J3912" i="16"/>
  <c r="H3912" i="16"/>
  <c r="F3912" i="16"/>
  <c r="G3912" i="16"/>
  <c r="I3912" i="16"/>
  <c r="AB4034" i="16"/>
  <c r="AD4034" i="16" s="1"/>
  <c r="K4033" i="16"/>
  <c r="E4033" i="16"/>
  <c r="J4033" i="16"/>
  <c r="H4033" i="16"/>
  <c r="F4033" i="16"/>
  <c r="G4033" i="16"/>
  <c r="I4033" i="16"/>
  <c r="AD4032" i="16"/>
  <c r="I3523" i="16"/>
  <c r="E3523" i="16"/>
  <c r="H3523" i="16"/>
  <c r="J3523" i="16"/>
  <c r="AB3524" i="16"/>
  <c r="AD3524" i="16" s="1"/>
  <c r="F3523" i="16"/>
  <c r="K3523" i="16"/>
  <c r="G3523" i="16"/>
  <c r="F4934" i="16"/>
  <c r="K4934" i="16"/>
  <c r="AB4935" i="16"/>
  <c r="AD4935" i="16" s="1"/>
  <c r="E4934" i="16"/>
  <c r="H4934" i="16"/>
  <c r="I4934" i="16"/>
  <c r="J4934" i="16"/>
  <c r="G4934" i="16"/>
  <c r="I5325" i="16"/>
  <c r="K5325" i="16"/>
  <c r="H5325" i="16"/>
  <c r="E5325" i="16"/>
  <c r="F5325" i="16"/>
  <c r="G5325" i="16"/>
  <c r="AB5326" i="16"/>
  <c r="AD5326" i="16" s="1"/>
  <c r="J5325" i="16"/>
  <c r="I5385" i="16"/>
  <c r="K5385" i="16"/>
  <c r="E5385" i="16"/>
  <c r="F5385" i="16"/>
  <c r="G5385" i="16"/>
  <c r="J5385" i="16"/>
  <c r="AB5386" i="16"/>
  <c r="H5385" i="16"/>
  <c r="I5383" i="16"/>
  <c r="G5383" i="16"/>
  <c r="F5383" i="16"/>
  <c r="AB5384" i="16"/>
  <c r="AD5384" i="16" s="1"/>
  <c r="J5383" i="16"/>
  <c r="H5383" i="16"/>
  <c r="K5383" i="16"/>
  <c r="E5383" i="16"/>
  <c r="K2503" i="16"/>
  <c r="G2503" i="16"/>
  <c r="E2503" i="16"/>
  <c r="H2503" i="16"/>
  <c r="J2503" i="16"/>
  <c r="AB2504" i="16"/>
  <c r="AD2504" i="16" s="1"/>
  <c r="I2503" i="16"/>
  <c r="F2503" i="16"/>
  <c r="J2804" i="16"/>
  <c r="E2804" i="16"/>
  <c r="H2804" i="16"/>
  <c r="F2804" i="16"/>
  <c r="K2804" i="16"/>
  <c r="AB2805" i="16"/>
  <c r="AD2805" i="16" s="1"/>
  <c r="G2804" i="16"/>
  <c r="I2804" i="16"/>
  <c r="H2803" i="16"/>
  <c r="J2803" i="16"/>
  <c r="AB2804" i="16"/>
  <c r="AD2804" i="16" s="1"/>
  <c r="F2803" i="16"/>
  <c r="E2803" i="16"/>
  <c r="K2803" i="16"/>
  <c r="G2803" i="16"/>
  <c r="I2803" i="16"/>
  <c r="AD3135" i="16"/>
  <c r="H3164" i="16"/>
  <c r="J3164" i="16"/>
  <c r="E3164" i="16"/>
  <c r="F3164" i="16"/>
  <c r="K3164" i="16"/>
  <c r="AB3165" i="16"/>
  <c r="AD3165" i="16" s="1"/>
  <c r="G3164" i="16"/>
  <c r="I3164" i="16"/>
  <c r="H3074" i="16"/>
  <c r="F3074" i="16"/>
  <c r="K3074" i="16"/>
  <c r="K3076" i="16" s="1"/>
  <c r="AB3075" i="16"/>
  <c r="G3074" i="16"/>
  <c r="I3074" i="16"/>
  <c r="J3074" i="16"/>
  <c r="E3074" i="16"/>
  <c r="I3493" i="16"/>
  <c r="E3493" i="16"/>
  <c r="AB3494" i="16"/>
  <c r="AD3494" i="16" s="1"/>
  <c r="F3493" i="16"/>
  <c r="K3493" i="16"/>
  <c r="G3493" i="16"/>
  <c r="H3493" i="16"/>
  <c r="J3493" i="16"/>
  <c r="H3404" i="16"/>
  <c r="F3404" i="16"/>
  <c r="K3404" i="16"/>
  <c r="K3406" i="16" s="1"/>
  <c r="AB3405" i="16"/>
  <c r="AD3405" i="16" s="1"/>
  <c r="G3404" i="16"/>
  <c r="I3404" i="16"/>
  <c r="J3404" i="16"/>
  <c r="E3404" i="16"/>
  <c r="AB4094" i="16"/>
  <c r="AD4094" i="16" s="1"/>
  <c r="J4093" i="16"/>
  <c r="H4093" i="16"/>
  <c r="K4093" i="16"/>
  <c r="F4093" i="16"/>
  <c r="G4093" i="16"/>
  <c r="I4093" i="16"/>
  <c r="E4093" i="16"/>
  <c r="K4151" i="16"/>
  <c r="H4151" i="16"/>
  <c r="G4151" i="16"/>
  <c r="J4151" i="16"/>
  <c r="E4151" i="16"/>
  <c r="F4151" i="16"/>
  <c r="AB4152" i="16"/>
  <c r="AD4152" i="16" s="1"/>
  <c r="I4151" i="16"/>
  <c r="AB4154" i="16"/>
  <c r="AD4154" i="16" s="1"/>
  <c r="K4153" i="16"/>
  <c r="J4153" i="16"/>
  <c r="H4153" i="16"/>
  <c r="F4153" i="16"/>
  <c r="G4153" i="16"/>
  <c r="I4153" i="16"/>
  <c r="E4153" i="16"/>
  <c r="F4212" i="16"/>
  <c r="G4212" i="16"/>
  <c r="I4212" i="16"/>
  <c r="K4212" i="16"/>
  <c r="AB4213" i="16"/>
  <c r="AD4213" i="16" s="1"/>
  <c r="E4212" i="16"/>
  <c r="J4212" i="16"/>
  <c r="H4212" i="16"/>
  <c r="K4272" i="16"/>
  <c r="AB4273" i="16"/>
  <c r="AD4273" i="16" s="1"/>
  <c r="E4272" i="16"/>
  <c r="J4272" i="16"/>
  <c r="H4272" i="16"/>
  <c r="F4272" i="16"/>
  <c r="G4272" i="16"/>
  <c r="I4272" i="16"/>
  <c r="J4332" i="16"/>
  <c r="H4332" i="16"/>
  <c r="F4332" i="16"/>
  <c r="G4332" i="16"/>
  <c r="I4332" i="16"/>
  <c r="K4332" i="16"/>
  <c r="AB4333" i="16"/>
  <c r="AD4333" i="16" s="1"/>
  <c r="E4332" i="16"/>
  <c r="K3316" i="16"/>
  <c r="K4396" i="16"/>
  <c r="J2924" i="16"/>
  <c r="E2924" i="16"/>
  <c r="H2924" i="16"/>
  <c r="F2924" i="16"/>
  <c r="K2924" i="16"/>
  <c r="AB2925" i="16"/>
  <c r="AD2925" i="16" s="1"/>
  <c r="G2924" i="16"/>
  <c r="I2924" i="16"/>
  <c r="H2923" i="16"/>
  <c r="J2923" i="16"/>
  <c r="AB2924" i="16"/>
  <c r="AD2924" i="16" s="1"/>
  <c r="F2923" i="16"/>
  <c r="E2923" i="16"/>
  <c r="K2923" i="16"/>
  <c r="G2923" i="16"/>
  <c r="I2923" i="16"/>
  <c r="H3104" i="16"/>
  <c r="K3104" i="16"/>
  <c r="K3106" i="16" s="1"/>
  <c r="AB3105" i="16"/>
  <c r="AD3105" i="16" s="1"/>
  <c r="G3104" i="16"/>
  <c r="I3104" i="16"/>
  <c r="J3104" i="16"/>
  <c r="E3104" i="16"/>
  <c r="F3104" i="16"/>
  <c r="H3194" i="16"/>
  <c r="F3194" i="16"/>
  <c r="K3194" i="16"/>
  <c r="AB3195" i="16"/>
  <c r="AD3195" i="16" s="1"/>
  <c r="G3194" i="16"/>
  <c r="I3194" i="16"/>
  <c r="J3194" i="16"/>
  <c r="E3194" i="16"/>
  <c r="AD4362" i="16"/>
  <c r="F2443" i="16"/>
  <c r="E2443" i="16"/>
  <c r="I2443" i="16"/>
  <c r="K2443" i="16"/>
  <c r="G2443" i="16"/>
  <c r="H2443" i="16"/>
  <c r="AB2444" i="16"/>
  <c r="AD2444" i="16" s="1"/>
  <c r="J2443" i="16"/>
  <c r="I3253" i="16"/>
  <c r="AB3254" i="16"/>
  <c r="AD3254" i="16" s="1"/>
  <c r="F3253" i="16"/>
  <c r="K3253" i="16"/>
  <c r="G3253" i="16"/>
  <c r="E3253" i="16"/>
  <c r="H3253" i="16"/>
  <c r="J3253" i="16"/>
  <c r="AB2684" i="16"/>
  <c r="AD2684" i="16" s="1"/>
  <c r="F2683" i="16"/>
  <c r="K2683" i="16"/>
  <c r="K2686" i="16" s="1"/>
  <c r="E2683" i="16"/>
  <c r="G2683" i="16"/>
  <c r="H2683" i="16"/>
  <c r="J2683" i="16"/>
  <c r="I2683" i="16"/>
  <c r="H3464" i="16"/>
  <c r="G3464" i="16"/>
  <c r="I3464" i="16"/>
  <c r="J3464" i="16"/>
  <c r="E3464" i="16"/>
  <c r="F3464" i="16"/>
  <c r="K3464" i="16"/>
  <c r="K3466" i="16" s="1"/>
  <c r="AB3465" i="16"/>
  <c r="AD3465" i="16" s="1"/>
  <c r="I3553" i="16"/>
  <c r="E3553" i="16"/>
  <c r="G3553" i="16"/>
  <c r="H3553" i="16"/>
  <c r="J3553" i="16"/>
  <c r="AB3554" i="16"/>
  <c r="AD3554" i="16" s="1"/>
  <c r="F3553" i="16"/>
  <c r="K3553" i="16"/>
  <c r="G5260" i="16"/>
  <c r="J5260" i="16"/>
  <c r="I5260" i="16"/>
  <c r="K5260" i="16"/>
  <c r="H5260" i="16"/>
  <c r="E5260" i="16"/>
  <c r="F5260" i="16"/>
  <c r="AB5261" i="16"/>
  <c r="AD5261" i="16" s="1"/>
  <c r="J5265" i="16"/>
  <c r="E5265" i="16"/>
  <c r="F5265" i="16"/>
  <c r="G5265" i="16"/>
  <c r="AB5266" i="16"/>
  <c r="AD5266" i="16" s="1"/>
  <c r="I5265" i="16"/>
  <c r="K5265" i="16"/>
  <c r="H5265" i="16"/>
  <c r="AB4454" i="16"/>
  <c r="AD4454" i="16" s="1"/>
  <c r="E4453" i="16"/>
  <c r="K4453" i="16"/>
  <c r="K4456" i="16" s="1"/>
  <c r="J4453" i="16"/>
  <c r="H4453" i="16"/>
  <c r="F4453" i="16"/>
  <c r="G4453" i="16"/>
  <c r="I4453" i="16"/>
  <c r="J5203" i="16"/>
  <c r="F5203" i="16"/>
  <c r="AB5204" i="16"/>
  <c r="AD5204" i="16" s="1"/>
  <c r="E5203" i="16"/>
  <c r="K5203" i="16"/>
  <c r="I5203" i="16"/>
  <c r="G5203" i="16"/>
  <c r="H5203" i="16"/>
  <c r="H5625" i="16"/>
  <c r="F5625" i="16"/>
  <c r="E5625" i="16"/>
  <c r="K5625" i="16"/>
  <c r="I5625" i="16"/>
  <c r="J5625" i="16"/>
  <c r="G5625" i="16"/>
  <c r="AB5626" i="16"/>
  <c r="AD5626" i="16" s="1"/>
  <c r="AB1243" i="16"/>
  <c r="AD1243" i="16" s="1"/>
  <c r="J1242" i="16"/>
  <c r="H1242" i="16"/>
  <c r="F1242" i="16"/>
  <c r="I1242" i="16"/>
  <c r="K1242" i="16"/>
  <c r="G1242" i="16"/>
  <c r="E1242" i="16"/>
  <c r="I2893" i="16"/>
  <c r="G2893" i="16"/>
  <c r="H2893" i="16"/>
  <c r="J2893" i="16"/>
  <c r="AB2894" i="16"/>
  <c r="AD2894" i="16" s="1"/>
  <c r="F2893" i="16"/>
  <c r="E2893" i="16"/>
  <c r="K2893" i="16"/>
  <c r="H2474" i="16"/>
  <c r="G2474" i="16"/>
  <c r="J2474" i="16"/>
  <c r="F2474" i="16"/>
  <c r="AB2475" i="16"/>
  <c r="AD2475" i="16" s="1"/>
  <c r="K2474" i="16"/>
  <c r="I2474" i="16"/>
  <c r="E2474" i="16"/>
  <c r="AD3015" i="16"/>
  <c r="H3044" i="16"/>
  <c r="J3044" i="16"/>
  <c r="E3044" i="16"/>
  <c r="F3044" i="16"/>
  <c r="K3044" i="16"/>
  <c r="AB3045" i="16"/>
  <c r="AD3045" i="16" s="1"/>
  <c r="G3044" i="16"/>
  <c r="I3044" i="16"/>
  <c r="K3223" i="16"/>
  <c r="K3226" i="16" s="1"/>
  <c r="G3223" i="16"/>
  <c r="H3223" i="16"/>
  <c r="J3223" i="16"/>
  <c r="I3223" i="16"/>
  <c r="AB3224" i="16"/>
  <c r="AD3224" i="16" s="1"/>
  <c r="F3223" i="16"/>
  <c r="E3223" i="16"/>
  <c r="K3911" i="16"/>
  <c r="G3911" i="16"/>
  <c r="H3911" i="16"/>
  <c r="J3911" i="16"/>
  <c r="E3911" i="16"/>
  <c r="F3911" i="16"/>
  <c r="AB3912" i="16"/>
  <c r="AD3912" i="16" s="1"/>
  <c r="I3911" i="16"/>
  <c r="K3971" i="16"/>
  <c r="K3976" i="16" s="1"/>
  <c r="G3971" i="16"/>
  <c r="H3971" i="16"/>
  <c r="AB3972" i="16"/>
  <c r="AD3972" i="16" s="1"/>
  <c r="I3971" i="16"/>
  <c r="J3971" i="16"/>
  <c r="E3971" i="16"/>
  <c r="F3971" i="16"/>
  <c r="H3524" i="16"/>
  <c r="F3524" i="16"/>
  <c r="K3524" i="16"/>
  <c r="AB3525" i="16"/>
  <c r="AD3525" i="16" s="1"/>
  <c r="G3524" i="16"/>
  <c r="I3524" i="16"/>
  <c r="J3524" i="16"/>
  <c r="E3524" i="16"/>
  <c r="K4815" i="16"/>
  <c r="K4816" i="16" s="1"/>
  <c r="F4815" i="16"/>
  <c r="G4815" i="16"/>
  <c r="I4815" i="16"/>
  <c r="AB4816" i="16"/>
  <c r="AD4816" i="16" s="1"/>
  <c r="E4815" i="16"/>
  <c r="H4815" i="16"/>
  <c r="J4815" i="16"/>
  <c r="AD4906" i="16"/>
  <c r="I5321" i="16"/>
  <c r="E5321" i="16"/>
  <c r="J5321" i="16"/>
  <c r="K5321" i="16"/>
  <c r="F5321" i="16"/>
  <c r="G5321" i="16"/>
  <c r="AB5322" i="16"/>
  <c r="AD5322" i="16" s="1"/>
  <c r="H5321" i="16"/>
  <c r="AD5323" i="16"/>
  <c r="AD5383" i="16"/>
  <c r="AD5386" i="16"/>
  <c r="K6010" i="16"/>
  <c r="K6016" i="16" s="1"/>
  <c r="J6010" i="16"/>
  <c r="G6010" i="16"/>
  <c r="H6010" i="16"/>
  <c r="F6010" i="16"/>
  <c r="E6010" i="16"/>
  <c r="AB6011" i="16"/>
  <c r="AD6011" i="16" s="1"/>
  <c r="I6010" i="16"/>
  <c r="I2504" i="16"/>
  <c r="K2504" i="16"/>
  <c r="K2506" i="16" s="1"/>
  <c r="E2504" i="16"/>
  <c r="F2504" i="16"/>
  <c r="H2504" i="16"/>
  <c r="G2504" i="16"/>
  <c r="AB2505" i="16"/>
  <c r="AD2505" i="16" s="1"/>
  <c r="J2504" i="16"/>
  <c r="I2653" i="16"/>
  <c r="G2653" i="16"/>
  <c r="K2653" i="16"/>
  <c r="H2653" i="16"/>
  <c r="J2653" i="16"/>
  <c r="AB2654" i="16"/>
  <c r="AD2654" i="16" s="1"/>
  <c r="F2653" i="16"/>
  <c r="E2653" i="16"/>
  <c r="H3163" i="16"/>
  <c r="J3163" i="16"/>
  <c r="AB3164" i="16"/>
  <c r="AD3164" i="16" s="1"/>
  <c r="F3163" i="16"/>
  <c r="E3163" i="16"/>
  <c r="K3163" i="16"/>
  <c r="K3166" i="16" s="1"/>
  <c r="G3163" i="16"/>
  <c r="I3163" i="16"/>
  <c r="AD3075" i="16"/>
  <c r="G2624" i="16"/>
  <c r="AB2625" i="16"/>
  <c r="AD2625" i="16" s="1"/>
  <c r="F2624" i="16"/>
  <c r="H2624" i="16"/>
  <c r="I2624" i="16"/>
  <c r="K2624" i="16"/>
  <c r="E2624" i="16"/>
  <c r="J2624" i="16"/>
  <c r="H3434" i="16"/>
  <c r="K3434" i="16"/>
  <c r="K3436" i="16" s="1"/>
  <c r="AB3435" i="16"/>
  <c r="AD3435" i="16" s="1"/>
  <c r="G3434" i="16"/>
  <c r="I3434" i="16"/>
  <c r="J3434" i="16"/>
  <c r="E3434" i="16"/>
  <c r="F3434" i="16"/>
  <c r="I4001" i="16"/>
  <c r="K4001" i="16"/>
  <c r="K4006" i="16" s="1"/>
  <c r="J4001" i="16"/>
  <c r="E4001" i="16"/>
  <c r="F4001" i="16"/>
  <c r="H4001" i="16"/>
  <c r="AB4002" i="16"/>
  <c r="AD4002" i="16" s="1"/>
  <c r="G4001" i="16"/>
  <c r="J4092" i="16"/>
  <c r="H4092" i="16"/>
  <c r="F4092" i="16"/>
  <c r="G4092" i="16"/>
  <c r="I4092" i="16"/>
  <c r="K4092" i="16"/>
  <c r="AB4093" i="16"/>
  <c r="AD4093" i="16" s="1"/>
  <c r="E4092" i="16"/>
  <c r="AD4092" i="16"/>
  <c r="AB4214" i="16"/>
  <c r="AD4214" i="16" s="1"/>
  <c r="F4213" i="16"/>
  <c r="G4213" i="16"/>
  <c r="K4213" i="16"/>
  <c r="I4213" i="16"/>
  <c r="E4213" i="16"/>
  <c r="J4213" i="16"/>
  <c r="H4213" i="16"/>
  <c r="AB4274" i="16"/>
  <c r="AD4274" i="16" s="1"/>
  <c r="K4273" i="16"/>
  <c r="F4273" i="16"/>
  <c r="G4273" i="16"/>
  <c r="I4273" i="16"/>
  <c r="E4273" i="16"/>
  <c r="J4273" i="16"/>
  <c r="H4273" i="16"/>
  <c r="AB4334" i="16"/>
  <c r="AD4334" i="16" s="1"/>
  <c r="I4333" i="16"/>
  <c r="K4333" i="16"/>
  <c r="K4336" i="16" s="1"/>
  <c r="E4333" i="16"/>
  <c r="J4333" i="16"/>
  <c r="H4333" i="16"/>
  <c r="F4333" i="16"/>
  <c r="G4333" i="16"/>
  <c r="R39" i="42"/>
  <c r="S39" i="42" s="1"/>
  <c r="R198" i="42"/>
  <c r="S198" i="42" s="1"/>
  <c r="R196" i="42"/>
  <c r="S196" i="42" s="1"/>
  <c r="R149" i="42"/>
  <c r="S149" i="42" s="1"/>
  <c r="R93" i="42"/>
  <c r="S93" i="42" s="1"/>
  <c r="R30" i="42"/>
  <c r="S30" i="42" s="1"/>
  <c r="R58" i="42"/>
  <c r="S58" i="42" s="1"/>
  <c r="R182" i="42"/>
  <c r="S182" i="42" s="1"/>
  <c r="R105" i="42"/>
  <c r="S105" i="42" s="1"/>
  <c r="R179" i="42"/>
  <c r="S179" i="42" s="1"/>
  <c r="R176" i="42"/>
  <c r="S176" i="42" s="1"/>
  <c r="R145" i="42"/>
  <c r="S145" i="42" s="1"/>
  <c r="R181" i="42"/>
  <c r="S181" i="42" s="1"/>
  <c r="R132" i="42"/>
  <c r="S132" i="42" s="1"/>
  <c r="R111" i="42"/>
  <c r="S111" i="42" s="1"/>
  <c r="R50" i="42"/>
  <c r="S50" i="42" s="1"/>
  <c r="R131" i="42"/>
  <c r="S131" i="42" s="1"/>
  <c r="R104" i="42"/>
  <c r="S104" i="42" s="1"/>
  <c r="R157" i="42"/>
  <c r="S157" i="42" s="1"/>
  <c r="R167" i="42"/>
  <c r="S167" i="42" s="1"/>
  <c r="R171" i="42"/>
  <c r="S171" i="42" s="1"/>
  <c r="R177" i="42"/>
  <c r="S177" i="42" s="1"/>
  <c r="R54" i="42"/>
  <c r="S54" i="42" s="1"/>
  <c r="R95" i="42"/>
  <c r="S95" i="42" s="1"/>
  <c r="R19" i="42"/>
  <c r="S19" i="42" s="1"/>
  <c r="R35" i="42"/>
  <c r="S35" i="42" s="1"/>
  <c r="R28" i="42"/>
  <c r="S28" i="42" s="1"/>
  <c r="R52" i="42"/>
  <c r="S52" i="42" s="1"/>
  <c r="R161" i="42"/>
  <c r="S161" i="42" s="1"/>
  <c r="R100" i="42"/>
  <c r="S100" i="42" s="1"/>
  <c r="R180" i="42"/>
  <c r="S180" i="42" s="1"/>
  <c r="R101" i="42"/>
  <c r="S101" i="42" s="1"/>
  <c r="R109" i="42"/>
  <c r="S109" i="42" s="1"/>
  <c r="R113" i="42"/>
  <c r="S113" i="42" s="1"/>
  <c r="R129" i="42"/>
  <c r="S129" i="42" s="1"/>
  <c r="R38" i="42"/>
  <c r="S38" i="42" s="1"/>
  <c r="R44" i="42"/>
  <c r="S44" i="42" s="1"/>
  <c r="R22" i="42"/>
  <c r="S22" i="42" s="1"/>
  <c r="R42" i="42"/>
  <c r="S42" i="42" s="1"/>
  <c r="R60" i="42"/>
  <c r="S60" i="42" s="1"/>
  <c r="R119" i="42"/>
  <c r="S119" i="42" s="1"/>
  <c r="R59" i="42"/>
  <c r="S59" i="42" s="1"/>
  <c r="R187" i="42"/>
  <c r="S187" i="42" s="1"/>
  <c r="R185" i="42"/>
  <c r="S185" i="42" s="1"/>
  <c r="R169" i="42"/>
  <c r="S169" i="42" s="1"/>
  <c r="R29" i="42"/>
  <c r="S29" i="42" s="1"/>
  <c r="R53" i="42"/>
  <c r="S53" i="42" s="1"/>
  <c r="R128" i="42"/>
  <c r="S128" i="42" s="1"/>
  <c r="R141" i="42"/>
  <c r="S141" i="42" s="1"/>
  <c r="R108" i="42"/>
  <c r="S108" i="42" s="1"/>
  <c r="R120" i="42"/>
  <c r="S120" i="42" s="1"/>
  <c r="R124" i="42"/>
  <c r="S124" i="42" s="1"/>
  <c r="R143" i="42"/>
  <c r="S143" i="42" s="1"/>
  <c r="R194" i="42"/>
  <c r="S194" i="42" s="1"/>
  <c r="R139" i="42"/>
  <c r="S139" i="42" s="1"/>
  <c r="R24" i="42"/>
  <c r="S24" i="42" s="1"/>
  <c r="R127" i="42"/>
  <c r="S127" i="42" s="1"/>
  <c r="R135" i="42"/>
  <c r="S135" i="42" s="1"/>
  <c r="R115" i="42"/>
  <c r="S115" i="42" s="1"/>
  <c r="R97" i="42"/>
  <c r="S97" i="42" s="1"/>
  <c r="R117" i="42"/>
  <c r="S117" i="42" s="1"/>
  <c r="R125" i="42"/>
  <c r="S125" i="42" s="1"/>
  <c r="R137" i="42"/>
  <c r="S137" i="42" s="1"/>
  <c r="R103" i="42"/>
  <c r="S103" i="42" s="1"/>
  <c r="R56" i="42"/>
  <c r="S56" i="42" s="1"/>
  <c r="R195" i="42"/>
  <c r="S195" i="42" s="1"/>
  <c r="R99" i="42"/>
  <c r="S99" i="42" s="1"/>
  <c r="R178" i="42"/>
  <c r="S178" i="42" s="1"/>
  <c r="R46" i="42"/>
  <c r="S46" i="42" s="1"/>
  <c r="R26" i="42"/>
  <c r="S26" i="42" s="1"/>
  <c r="R32" i="42"/>
  <c r="S32" i="42" s="1"/>
  <c r="R36" i="42"/>
  <c r="S36" i="42" s="1"/>
  <c r="R48" i="42"/>
  <c r="S48" i="42" s="1"/>
  <c r="R107" i="42"/>
  <c r="S107" i="42" s="1"/>
  <c r="R123" i="42"/>
  <c r="S123" i="42" s="1"/>
  <c r="R159" i="42"/>
  <c r="S159" i="42" s="1"/>
  <c r="R27" i="42"/>
  <c r="S27" i="42" s="1"/>
  <c r="R51" i="42"/>
  <c r="S51" i="42" s="1"/>
  <c r="R20" i="42"/>
  <c r="S20" i="42" s="1"/>
  <c r="R34" i="42"/>
  <c r="S34" i="42" s="1"/>
  <c r="R40" i="42"/>
  <c r="S40" i="42" s="1"/>
  <c r="S201" i="42"/>
  <c r="R21" i="42"/>
  <c r="S21" i="42" s="1"/>
  <c r="R37" i="42"/>
  <c r="S37" i="42" s="1"/>
  <c r="R151" i="42"/>
  <c r="S151" i="42" s="1"/>
  <c r="R186" i="42"/>
  <c r="S186" i="42" s="1"/>
  <c r="R188" i="42"/>
  <c r="S188" i="42" s="1"/>
  <c r="R155" i="42"/>
  <c r="S155" i="42" s="1"/>
  <c r="R45" i="42"/>
  <c r="S45" i="42" s="1"/>
  <c r="R112" i="42"/>
  <c r="S112" i="42" s="1"/>
  <c r="R116" i="42"/>
  <c r="S116" i="42" s="1"/>
  <c r="R136" i="42"/>
  <c r="S136" i="42" s="1"/>
  <c r="R153" i="42"/>
  <c r="S153" i="42" s="1"/>
  <c r="R197" i="42"/>
  <c r="S197" i="42" s="1"/>
  <c r="R184" i="42"/>
  <c r="S184" i="42" s="1"/>
  <c r="R96" i="42"/>
  <c r="S96" i="42" s="1"/>
  <c r="R147" i="42"/>
  <c r="S147" i="42" s="1"/>
  <c r="I520" i="16"/>
  <c r="E520" i="16"/>
  <c r="H520" i="16"/>
  <c r="AB521" i="16"/>
  <c r="AD521" i="16" s="1"/>
  <c r="K520" i="16"/>
  <c r="G520" i="16"/>
  <c r="J520" i="16"/>
  <c r="F520" i="16"/>
  <c r="I585" i="16"/>
  <c r="E585" i="16"/>
  <c r="H585" i="16"/>
  <c r="K585" i="16"/>
  <c r="G585" i="16"/>
  <c r="AB586" i="16"/>
  <c r="J585" i="16"/>
  <c r="F585" i="16"/>
  <c r="J704" i="16"/>
  <c r="F704" i="16"/>
  <c r="AB705" i="16"/>
  <c r="I704" i="16"/>
  <c r="E704" i="16"/>
  <c r="H704" i="16"/>
  <c r="K704" i="16"/>
  <c r="G704" i="16"/>
  <c r="K1545" i="16"/>
  <c r="G1545" i="16"/>
  <c r="AB1546" i="16"/>
  <c r="J1545" i="16"/>
  <c r="F1545" i="16"/>
  <c r="I1545" i="16"/>
  <c r="H1545" i="16"/>
  <c r="E1545" i="16"/>
  <c r="I1542" i="16"/>
  <c r="E1542" i="16"/>
  <c r="H1542" i="16"/>
  <c r="AB1543" i="16"/>
  <c r="AD1543" i="16" s="1"/>
  <c r="G1542" i="16"/>
  <c r="F1542" i="16"/>
  <c r="K1542" i="16"/>
  <c r="J1542" i="16"/>
  <c r="K1455" i="16"/>
  <c r="G1455" i="16"/>
  <c r="AB1456" i="16"/>
  <c r="J1455" i="16"/>
  <c r="F1455" i="16"/>
  <c r="I1455" i="16"/>
  <c r="H1455" i="16"/>
  <c r="E1455" i="16"/>
  <c r="H1454" i="16"/>
  <c r="K1454" i="16"/>
  <c r="G1454" i="16"/>
  <c r="F1454" i="16"/>
  <c r="AB1455" i="16"/>
  <c r="AD1455" i="16" s="1"/>
  <c r="E1454" i="16"/>
  <c r="J1454" i="16"/>
  <c r="I1454" i="16"/>
  <c r="AB1631" i="16"/>
  <c r="AD1631" i="16" s="1"/>
  <c r="K1630" i="16"/>
  <c r="G1630" i="16"/>
  <c r="J1630" i="16"/>
  <c r="F1630" i="16"/>
  <c r="I1630" i="16"/>
  <c r="E1630" i="16"/>
  <c r="H1630" i="16"/>
  <c r="H1634" i="16"/>
  <c r="K1634" i="16"/>
  <c r="G1634" i="16"/>
  <c r="J1634" i="16"/>
  <c r="F1634" i="16"/>
  <c r="E1634" i="16"/>
  <c r="AB1635" i="16"/>
  <c r="I1634" i="16"/>
  <c r="AB1751" i="16"/>
  <c r="K1750" i="16"/>
  <c r="G1750" i="16"/>
  <c r="J1750" i="16"/>
  <c r="F1750" i="16"/>
  <c r="I1750" i="16"/>
  <c r="E1750" i="16"/>
  <c r="H1750" i="16"/>
  <c r="H1754" i="16"/>
  <c r="K1754" i="16"/>
  <c r="G1754" i="16"/>
  <c r="J1754" i="16"/>
  <c r="F1754" i="16"/>
  <c r="E1754" i="16"/>
  <c r="AB1755" i="16"/>
  <c r="I1754" i="16"/>
  <c r="F43" i="16"/>
  <c r="E43" i="16"/>
  <c r="J43" i="16" s="1"/>
  <c r="G43" i="16"/>
  <c r="E42" i="16"/>
  <c r="J42" i="16" s="1"/>
  <c r="G42" i="16"/>
  <c r="F42" i="16"/>
  <c r="AB341" i="16"/>
  <c r="K340" i="16"/>
  <c r="G340" i="16"/>
  <c r="J340" i="16"/>
  <c r="F340" i="16"/>
  <c r="I340" i="16"/>
  <c r="E340" i="16"/>
  <c r="H340" i="16"/>
  <c r="H344" i="16"/>
  <c r="K344" i="16"/>
  <c r="G344" i="16"/>
  <c r="J344" i="16"/>
  <c r="F344" i="16"/>
  <c r="AB345" i="16"/>
  <c r="AD345" i="16" s="1"/>
  <c r="I344" i="16"/>
  <c r="E344" i="16"/>
  <c r="K375" i="16"/>
  <c r="G375" i="16"/>
  <c r="AB376" i="16"/>
  <c r="J375" i="16"/>
  <c r="F375" i="16"/>
  <c r="I375" i="16"/>
  <c r="E375" i="16"/>
  <c r="H375" i="16"/>
  <c r="I1332" i="16"/>
  <c r="E1332" i="16"/>
  <c r="AB1333" i="16"/>
  <c r="H1332" i="16"/>
  <c r="G1332" i="16"/>
  <c r="K1332" i="16"/>
  <c r="F1332" i="16"/>
  <c r="J1332" i="16"/>
  <c r="AB1332" i="16"/>
  <c r="I1331" i="16"/>
  <c r="E1331" i="16"/>
  <c r="J1331" i="16"/>
  <c r="H1331" i="16"/>
  <c r="G1331" i="16"/>
  <c r="K1331" i="16"/>
  <c r="F1331" i="16"/>
  <c r="H1334" i="16"/>
  <c r="K1334" i="16"/>
  <c r="F1334" i="16"/>
  <c r="J1334" i="16"/>
  <c r="E1334" i="16"/>
  <c r="I1334" i="16"/>
  <c r="AB1335" i="16"/>
  <c r="G1334" i="16"/>
  <c r="K1725" i="16"/>
  <c r="G1725" i="16"/>
  <c r="AB1726" i="16"/>
  <c r="J1725" i="16"/>
  <c r="F1725" i="16"/>
  <c r="I1725" i="16"/>
  <c r="E1725" i="16"/>
  <c r="H1725" i="16"/>
  <c r="H1724" i="16"/>
  <c r="K1724" i="16"/>
  <c r="G1724" i="16"/>
  <c r="J1724" i="16"/>
  <c r="F1724" i="16"/>
  <c r="AB1725" i="16"/>
  <c r="AD1725" i="16" s="1"/>
  <c r="I1724" i="16"/>
  <c r="E1724" i="16"/>
  <c r="AB3616" i="16"/>
  <c r="J3615" i="16"/>
  <c r="F3615" i="16"/>
  <c r="I3615" i="16"/>
  <c r="E3615" i="16"/>
  <c r="K3615" i="16"/>
  <c r="H3615" i="16"/>
  <c r="G3615" i="16"/>
  <c r="AB1932" i="16"/>
  <c r="I1931" i="16"/>
  <c r="E1931" i="16"/>
  <c r="H1931" i="16"/>
  <c r="K1931" i="16"/>
  <c r="G1931" i="16"/>
  <c r="J1931" i="16"/>
  <c r="F1931" i="16"/>
  <c r="I1933" i="16"/>
  <c r="E1933" i="16"/>
  <c r="H1933" i="16"/>
  <c r="AB1934" i="16"/>
  <c r="AD1934" i="16" s="1"/>
  <c r="K1933" i="16"/>
  <c r="G1933" i="16"/>
  <c r="J1933" i="16"/>
  <c r="F1933" i="16"/>
  <c r="I1992" i="16"/>
  <c r="E1992" i="16"/>
  <c r="H1992" i="16"/>
  <c r="K1992" i="16"/>
  <c r="G1992" i="16"/>
  <c r="AB1993" i="16"/>
  <c r="AD1993" i="16" s="1"/>
  <c r="J1992" i="16"/>
  <c r="F1992" i="16"/>
  <c r="AB2052" i="16"/>
  <c r="I2051" i="16"/>
  <c r="E2051" i="16"/>
  <c r="H2051" i="16"/>
  <c r="K2051" i="16"/>
  <c r="G2051" i="16"/>
  <c r="J2051" i="16"/>
  <c r="F2051" i="16"/>
  <c r="I2053" i="16"/>
  <c r="E2053" i="16"/>
  <c r="H2053" i="16"/>
  <c r="AB2054" i="16"/>
  <c r="AD2054" i="16" s="1"/>
  <c r="K2053" i="16"/>
  <c r="G2053" i="16"/>
  <c r="J2053" i="16"/>
  <c r="F2053" i="16"/>
  <c r="I2112" i="16"/>
  <c r="E2112" i="16"/>
  <c r="H2112" i="16"/>
  <c r="K2112" i="16"/>
  <c r="G2112" i="16"/>
  <c r="AB2113" i="16"/>
  <c r="AD2113" i="16" s="1"/>
  <c r="J2112" i="16"/>
  <c r="F2112" i="16"/>
  <c r="AB2172" i="16"/>
  <c r="I2171" i="16"/>
  <c r="E2171" i="16"/>
  <c r="H2171" i="16"/>
  <c r="K2171" i="16"/>
  <c r="G2171" i="16"/>
  <c r="J2171" i="16"/>
  <c r="F2171" i="16"/>
  <c r="I2173" i="16"/>
  <c r="E2173" i="16"/>
  <c r="H2173" i="16"/>
  <c r="AB2174" i="16"/>
  <c r="AD2174" i="16" s="1"/>
  <c r="K2173" i="16"/>
  <c r="G2173" i="16"/>
  <c r="J2173" i="16"/>
  <c r="F2173" i="16"/>
  <c r="K3734" i="16"/>
  <c r="G3734" i="16"/>
  <c r="J3734" i="16"/>
  <c r="F3734" i="16"/>
  <c r="H3734" i="16"/>
  <c r="AB3735" i="16"/>
  <c r="E3734" i="16"/>
  <c r="I3734" i="16"/>
  <c r="J3730" i="16"/>
  <c r="F3730" i="16"/>
  <c r="I3730" i="16"/>
  <c r="E3730" i="16"/>
  <c r="K3730" i="16"/>
  <c r="H3730" i="16"/>
  <c r="G3730" i="16"/>
  <c r="AB3731" i="16"/>
  <c r="H3731" i="16"/>
  <c r="K3731" i="16"/>
  <c r="G3731" i="16"/>
  <c r="J3731" i="16"/>
  <c r="I3731" i="16"/>
  <c r="AB3732" i="16"/>
  <c r="F3731" i="16"/>
  <c r="E3731" i="16"/>
  <c r="H3733" i="16"/>
  <c r="AB3734" i="16"/>
  <c r="AD3734" i="16" s="1"/>
  <c r="K3733" i="16"/>
  <c r="G3733" i="16"/>
  <c r="E3733" i="16"/>
  <c r="J3733" i="16"/>
  <c r="I3733" i="16"/>
  <c r="F3733" i="16"/>
  <c r="K5986" i="16"/>
  <c r="I5592" i="16"/>
  <c r="E5592" i="16"/>
  <c r="AB5593" i="16"/>
  <c r="H5592" i="16"/>
  <c r="F5592" i="16"/>
  <c r="K5592" i="16"/>
  <c r="J5592" i="16"/>
  <c r="G5592" i="16"/>
  <c r="AB5592" i="16"/>
  <c r="AD5592" i="16" s="1"/>
  <c r="I5591" i="16"/>
  <c r="E5591" i="16"/>
  <c r="J5591" i="16"/>
  <c r="K5591" i="16"/>
  <c r="F5591" i="16"/>
  <c r="H5591" i="16"/>
  <c r="G5591" i="16"/>
  <c r="H5594" i="16"/>
  <c r="K5594" i="16"/>
  <c r="F5594" i="16"/>
  <c r="E5594" i="16"/>
  <c r="AB5595" i="16"/>
  <c r="AD5595" i="16" s="1"/>
  <c r="I5594" i="16"/>
  <c r="G5594" i="16"/>
  <c r="J5594" i="16"/>
  <c r="I5682" i="16"/>
  <c r="E5682" i="16"/>
  <c r="J5682" i="16"/>
  <c r="AB5683" i="16"/>
  <c r="H5682" i="16"/>
  <c r="F5682" i="16"/>
  <c r="K5682" i="16"/>
  <c r="G5682" i="16"/>
  <c r="I5713" i="16"/>
  <c r="E5713" i="16"/>
  <c r="H5713" i="16"/>
  <c r="J5713" i="16"/>
  <c r="K5713" i="16"/>
  <c r="F5713" i="16"/>
  <c r="AB5714" i="16"/>
  <c r="AD5714" i="16" s="1"/>
  <c r="G5713" i="16"/>
  <c r="AB5712" i="16"/>
  <c r="I5711" i="16"/>
  <c r="E5711" i="16"/>
  <c r="J5711" i="16"/>
  <c r="H5711" i="16"/>
  <c r="K5711" i="16"/>
  <c r="G5711" i="16"/>
  <c r="F5711" i="16"/>
  <c r="H5714" i="16"/>
  <c r="K5714" i="16"/>
  <c r="F5714" i="16"/>
  <c r="J5714" i="16"/>
  <c r="I5714" i="16"/>
  <c r="G5714" i="16"/>
  <c r="E5714" i="16"/>
  <c r="AB5715" i="16"/>
  <c r="AB1421" i="16"/>
  <c r="K1420" i="16"/>
  <c r="G1420" i="16"/>
  <c r="J1420" i="16"/>
  <c r="F1420" i="16"/>
  <c r="E1420" i="16"/>
  <c r="I1420" i="16"/>
  <c r="H1420" i="16"/>
  <c r="AD1421" i="16"/>
  <c r="J401" i="16"/>
  <c r="F401" i="16"/>
  <c r="AB402" i="16"/>
  <c r="I401" i="16"/>
  <c r="E401" i="16"/>
  <c r="H401" i="16"/>
  <c r="K401" i="16"/>
  <c r="G401" i="16"/>
  <c r="J403" i="16"/>
  <c r="F403" i="16"/>
  <c r="I403" i="16"/>
  <c r="E403" i="16"/>
  <c r="H403" i="16"/>
  <c r="AB404" i="16"/>
  <c r="K403" i="16"/>
  <c r="G403" i="16"/>
  <c r="K1575" i="16"/>
  <c r="G1575" i="16"/>
  <c r="AB1576" i="16"/>
  <c r="J1575" i="16"/>
  <c r="F1575" i="16"/>
  <c r="I1575" i="16"/>
  <c r="E1575" i="16"/>
  <c r="H1575" i="16"/>
  <c r="AB311" i="16"/>
  <c r="K310" i="16"/>
  <c r="G310" i="16"/>
  <c r="J310" i="16"/>
  <c r="F310" i="16"/>
  <c r="I310" i="16"/>
  <c r="E310" i="16"/>
  <c r="H310" i="16"/>
  <c r="H314" i="16"/>
  <c r="K314" i="16"/>
  <c r="G314" i="16"/>
  <c r="J314" i="16"/>
  <c r="F314" i="16"/>
  <c r="AB315" i="16"/>
  <c r="I314" i="16"/>
  <c r="E314" i="16"/>
  <c r="AB1182" i="16"/>
  <c r="I1181" i="16"/>
  <c r="E1181" i="16"/>
  <c r="K1181" i="16"/>
  <c r="F1181" i="16"/>
  <c r="J1181" i="16"/>
  <c r="H1181" i="16"/>
  <c r="G1181" i="16"/>
  <c r="H1184" i="16"/>
  <c r="AB1185" i="16"/>
  <c r="G1184" i="16"/>
  <c r="K1184" i="16"/>
  <c r="F1184" i="16"/>
  <c r="J1184" i="16"/>
  <c r="E1184" i="16"/>
  <c r="I1184" i="16"/>
  <c r="H1394" i="16"/>
  <c r="K1394" i="16"/>
  <c r="G1394" i="16"/>
  <c r="J1394" i="16"/>
  <c r="I1394" i="16"/>
  <c r="F1394" i="16"/>
  <c r="AB1395" i="16"/>
  <c r="E1394" i="16"/>
  <c r="H1514" i="16"/>
  <c r="K1514" i="16"/>
  <c r="G1514" i="16"/>
  <c r="J1514" i="16"/>
  <c r="I1514" i="16"/>
  <c r="F1514" i="16"/>
  <c r="AB1515" i="16"/>
  <c r="E1514" i="16"/>
  <c r="K1665" i="16"/>
  <c r="G1665" i="16"/>
  <c r="AB1666" i="16"/>
  <c r="J1665" i="16"/>
  <c r="F1665" i="16"/>
  <c r="I1665" i="16"/>
  <c r="E1665" i="16"/>
  <c r="H1665" i="16"/>
  <c r="H1664" i="16"/>
  <c r="K1664" i="16"/>
  <c r="G1664" i="16"/>
  <c r="J1664" i="16"/>
  <c r="F1664" i="16"/>
  <c r="AB1665" i="16"/>
  <c r="I1664" i="16"/>
  <c r="E1664" i="16"/>
  <c r="AB2262" i="16"/>
  <c r="I2261" i="16"/>
  <c r="E2261" i="16"/>
  <c r="H2261" i="16"/>
  <c r="K2261" i="16"/>
  <c r="G2261" i="16"/>
  <c r="J2261" i="16"/>
  <c r="F2261" i="16"/>
  <c r="I2263" i="16"/>
  <c r="E2263" i="16"/>
  <c r="H2263" i="16"/>
  <c r="AB2264" i="16"/>
  <c r="AD2264" i="16" s="1"/>
  <c r="K2263" i="16"/>
  <c r="G2263" i="16"/>
  <c r="J2263" i="16"/>
  <c r="F2263" i="16"/>
  <c r="I2322" i="16"/>
  <c r="E2322" i="16"/>
  <c r="H2322" i="16"/>
  <c r="K2322" i="16"/>
  <c r="G2322" i="16"/>
  <c r="AB2323" i="16"/>
  <c r="AD2323" i="16" s="1"/>
  <c r="J2322" i="16"/>
  <c r="F2322" i="16"/>
  <c r="AB2382" i="16"/>
  <c r="I2381" i="16"/>
  <c r="E2381" i="16"/>
  <c r="H2381" i="16"/>
  <c r="K2381" i="16"/>
  <c r="G2381" i="16"/>
  <c r="J2381" i="16"/>
  <c r="F2381" i="16"/>
  <c r="I2383" i="16"/>
  <c r="E2383" i="16"/>
  <c r="H2383" i="16"/>
  <c r="AB2384" i="16"/>
  <c r="AD2384" i="16" s="1"/>
  <c r="K2383" i="16"/>
  <c r="G2383" i="16"/>
  <c r="J2383" i="16"/>
  <c r="F2383" i="16"/>
  <c r="J3850" i="16"/>
  <c r="F3850" i="16"/>
  <c r="I3850" i="16"/>
  <c r="E3850" i="16"/>
  <c r="K3850" i="16"/>
  <c r="H3850" i="16"/>
  <c r="AB3851" i="16"/>
  <c r="G3850" i="16"/>
  <c r="H3851" i="16"/>
  <c r="K3851" i="16"/>
  <c r="G3851" i="16"/>
  <c r="J3851" i="16"/>
  <c r="I3851" i="16"/>
  <c r="AB3852" i="16"/>
  <c r="F3851" i="16"/>
  <c r="E3851" i="16"/>
  <c r="K3644" i="16"/>
  <c r="G3644" i="16"/>
  <c r="J3644" i="16"/>
  <c r="F3644" i="16"/>
  <c r="I3644" i="16"/>
  <c r="H3644" i="16"/>
  <c r="E3644" i="16"/>
  <c r="AB3645" i="16"/>
  <c r="AD3645" i="16" s="1"/>
  <c r="H3641" i="16"/>
  <c r="K3641" i="16"/>
  <c r="G3641" i="16"/>
  <c r="AB3642" i="16"/>
  <c r="AD3642" i="16" s="1"/>
  <c r="F3641" i="16"/>
  <c r="E3641" i="16"/>
  <c r="J3641" i="16"/>
  <c r="I3641" i="16"/>
  <c r="H3643" i="16"/>
  <c r="AB3644" i="16"/>
  <c r="K3643" i="16"/>
  <c r="G3643" i="16"/>
  <c r="I3643" i="16"/>
  <c r="F3643" i="16"/>
  <c r="E3643" i="16"/>
  <c r="J3643" i="16"/>
  <c r="K3704" i="16"/>
  <c r="G3704" i="16"/>
  <c r="J3704" i="16"/>
  <c r="F3704" i="16"/>
  <c r="I3704" i="16"/>
  <c r="H3704" i="16"/>
  <c r="AB3705" i="16"/>
  <c r="E3704" i="16"/>
  <c r="H3701" i="16"/>
  <c r="K3701" i="16"/>
  <c r="G3701" i="16"/>
  <c r="AB3702" i="16"/>
  <c r="AD3702" i="16" s="1"/>
  <c r="F3701" i="16"/>
  <c r="E3701" i="16"/>
  <c r="J3701" i="16"/>
  <c r="I3701" i="16"/>
  <c r="H3703" i="16"/>
  <c r="AB3704" i="16"/>
  <c r="K3703" i="16"/>
  <c r="G3703" i="16"/>
  <c r="I3703" i="16"/>
  <c r="F3703" i="16"/>
  <c r="E3703" i="16"/>
  <c r="J3703" i="16"/>
  <c r="K3764" i="16"/>
  <c r="G3764" i="16"/>
  <c r="J3764" i="16"/>
  <c r="F3764" i="16"/>
  <c r="I3764" i="16"/>
  <c r="H3764" i="16"/>
  <c r="AB3765" i="16"/>
  <c r="E3764" i="16"/>
  <c r="H3761" i="16"/>
  <c r="K3761" i="16"/>
  <c r="G3761" i="16"/>
  <c r="AB3762" i="16"/>
  <c r="AD3762" i="16" s="1"/>
  <c r="F3761" i="16"/>
  <c r="E3761" i="16"/>
  <c r="J3761" i="16"/>
  <c r="I3761" i="16"/>
  <c r="H3763" i="16"/>
  <c r="AB3764" i="16"/>
  <c r="K3763" i="16"/>
  <c r="G3763" i="16"/>
  <c r="I3763" i="16"/>
  <c r="F3763" i="16"/>
  <c r="E3763" i="16"/>
  <c r="J3763" i="16"/>
  <c r="K3824" i="16"/>
  <c r="G3824" i="16"/>
  <c r="J3824" i="16"/>
  <c r="F3824" i="16"/>
  <c r="I3824" i="16"/>
  <c r="H3824" i="16"/>
  <c r="AB3825" i="16"/>
  <c r="E3824" i="16"/>
  <c r="H3821" i="16"/>
  <c r="K3821" i="16"/>
  <c r="G3821" i="16"/>
  <c r="AB3822" i="16"/>
  <c r="AD3822" i="16" s="1"/>
  <c r="F3821" i="16"/>
  <c r="E3821" i="16"/>
  <c r="J3821" i="16"/>
  <c r="I3821" i="16"/>
  <c r="H3823" i="16"/>
  <c r="AB3824" i="16"/>
  <c r="K3823" i="16"/>
  <c r="G3823" i="16"/>
  <c r="I3823" i="16"/>
  <c r="F3823" i="16"/>
  <c r="E3823" i="16"/>
  <c r="J3823" i="16"/>
  <c r="K5116" i="16"/>
  <c r="K4962" i="16"/>
  <c r="G4962" i="16"/>
  <c r="H4962" i="16"/>
  <c r="F4962" i="16"/>
  <c r="J4962" i="16"/>
  <c r="E4962" i="16"/>
  <c r="AB4963" i="16"/>
  <c r="AD4963" i="16" s="1"/>
  <c r="I4962" i="16"/>
  <c r="K4961" i="16"/>
  <c r="G4961" i="16"/>
  <c r="I4961" i="16"/>
  <c r="AB4962" i="16"/>
  <c r="H4961" i="16"/>
  <c r="F4961" i="16"/>
  <c r="E4961" i="16"/>
  <c r="J4961" i="16"/>
  <c r="K5022" i="16"/>
  <c r="G5022" i="16"/>
  <c r="H5022" i="16"/>
  <c r="F5022" i="16"/>
  <c r="J5022" i="16"/>
  <c r="E5022" i="16"/>
  <c r="I5022" i="16"/>
  <c r="AB5023" i="16"/>
  <c r="AB5084" i="16"/>
  <c r="K5083" i="16"/>
  <c r="G5083" i="16"/>
  <c r="H5083" i="16"/>
  <c r="F5083" i="16"/>
  <c r="J5083" i="16"/>
  <c r="E5083" i="16"/>
  <c r="I5083" i="16"/>
  <c r="AD5084" i="16"/>
  <c r="K5081" i="16"/>
  <c r="G5081" i="16"/>
  <c r="I5081" i="16"/>
  <c r="AB5082" i="16"/>
  <c r="H5081" i="16"/>
  <c r="F5081" i="16"/>
  <c r="J5081" i="16"/>
  <c r="E5081" i="16"/>
  <c r="K4846" i="16"/>
  <c r="K5656" i="16"/>
  <c r="I5833" i="16"/>
  <c r="E5833" i="16"/>
  <c r="H5833" i="16"/>
  <c r="G5833" i="16"/>
  <c r="F5833" i="16"/>
  <c r="J5833" i="16"/>
  <c r="AB5834" i="16"/>
  <c r="K5833" i="16"/>
  <c r="AB5921" i="16"/>
  <c r="K5920" i="16"/>
  <c r="G5920" i="16"/>
  <c r="J5920" i="16"/>
  <c r="E5920" i="16"/>
  <c r="F5920" i="16"/>
  <c r="H5920" i="16"/>
  <c r="I5920" i="16"/>
  <c r="I5922" i="16"/>
  <c r="E5922" i="16"/>
  <c r="J5922" i="16"/>
  <c r="F5922" i="16"/>
  <c r="AB5923" i="16"/>
  <c r="K5922" i="16"/>
  <c r="H5922" i="16"/>
  <c r="G5922" i="16"/>
  <c r="I430" i="16"/>
  <c r="E430" i="16"/>
  <c r="H430" i="16"/>
  <c r="AB431" i="16"/>
  <c r="AD431" i="16" s="1"/>
  <c r="K430" i="16"/>
  <c r="G430" i="16"/>
  <c r="J430" i="16"/>
  <c r="F430" i="16"/>
  <c r="J494" i="16"/>
  <c r="F494" i="16"/>
  <c r="AB495" i="16"/>
  <c r="I494" i="16"/>
  <c r="E494" i="16"/>
  <c r="H494" i="16"/>
  <c r="K494" i="16"/>
  <c r="G494" i="16"/>
  <c r="I495" i="16"/>
  <c r="E495" i="16"/>
  <c r="H495" i="16"/>
  <c r="K495" i="16"/>
  <c r="G495" i="16"/>
  <c r="AB496" i="16"/>
  <c r="J495" i="16"/>
  <c r="F495" i="16"/>
  <c r="I550" i="16"/>
  <c r="E550" i="16"/>
  <c r="H550" i="16"/>
  <c r="AB551" i="16"/>
  <c r="AD551" i="16" s="1"/>
  <c r="K550" i="16"/>
  <c r="G550" i="16"/>
  <c r="J550" i="16"/>
  <c r="F550" i="16"/>
  <c r="J614" i="16"/>
  <c r="F614" i="16"/>
  <c r="AB615" i="16"/>
  <c r="I614" i="16"/>
  <c r="E614" i="16"/>
  <c r="H614" i="16"/>
  <c r="K614" i="16"/>
  <c r="G614" i="16"/>
  <c r="I615" i="16"/>
  <c r="E615" i="16"/>
  <c r="H615" i="16"/>
  <c r="K615" i="16"/>
  <c r="G615" i="16"/>
  <c r="AB616" i="16"/>
  <c r="J615" i="16"/>
  <c r="F615" i="16"/>
  <c r="I670" i="16"/>
  <c r="E670" i="16"/>
  <c r="H670" i="16"/>
  <c r="AB671" i="16"/>
  <c r="AD671" i="16" s="1"/>
  <c r="K670" i="16"/>
  <c r="G670" i="16"/>
  <c r="J670" i="16"/>
  <c r="F670" i="16"/>
  <c r="J734" i="16"/>
  <c r="F734" i="16"/>
  <c r="AB735" i="16"/>
  <c r="I734" i="16"/>
  <c r="E734" i="16"/>
  <c r="H734" i="16"/>
  <c r="K734" i="16"/>
  <c r="G734" i="16"/>
  <c r="I735" i="16"/>
  <c r="E735" i="16"/>
  <c r="H735" i="16"/>
  <c r="K735" i="16"/>
  <c r="G735" i="16"/>
  <c r="AB736" i="16"/>
  <c r="J735" i="16"/>
  <c r="F735" i="16"/>
  <c r="I790" i="16"/>
  <c r="E790" i="16"/>
  <c r="H790" i="16"/>
  <c r="AB791" i="16"/>
  <c r="AD791" i="16" s="1"/>
  <c r="K790" i="16"/>
  <c r="G790" i="16"/>
  <c r="J790" i="16"/>
  <c r="F790" i="16"/>
  <c r="AB1271" i="16"/>
  <c r="K1270" i="16"/>
  <c r="G1270" i="16"/>
  <c r="F1270" i="16"/>
  <c r="J1270" i="16"/>
  <c r="E1270" i="16"/>
  <c r="I1270" i="16"/>
  <c r="H1270" i="16"/>
  <c r="I1273" i="16"/>
  <c r="E1273" i="16"/>
  <c r="AB1274" i="16"/>
  <c r="K1273" i="16"/>
  <c r="F1273" i="16"/>
  <c r="J1273" i="16"/>
  <c r="H1273" i="16"/>
  <c r="G1273" i="16"/>
  <c r="AB1692" i="16"/>
  <c r="I1691" i="16"/>
  <c r="E1691" i="16"/>
  <c r="H1691" i="16"/>
  <c r="K1691" i="16"/>
  <c r="G1691" i="16"/>
  <c r="J1691" i="16"/>
  <c r="F1691" i="16"/>
  <c r="I1693" i="16"/>
  <c r="E1693" i="16"/>
  <c r="H1693" i="16"/>
  <c r="AB1694" i="16"/>
  <c r="AD1694" i="16" s="1"/>
  <c r="K1693" i="16"/>
  <c r="G1693" i="16"/>
  <c r="J1693" i="16"/>
  <c r="F1693" i="16"/>
  <c r="AB1812" i="16"/>
  <c r="I1811" i="16"/>
  <c r="E1811" i="16"/>
  <c r="H1811" i="16"/>
  <c r="K1811" i="16"/>
  <c r="G1811" i="16"/>
  <c r="J1811" i="16"/>
  <c r="F1811" i="16"/>
  <c r="I1813" i="16"/>
  <c r="E1813" i="16"/>
  <c r="H1813" i="16"/>
  <c r="AB1814" i="16"/>
  <c r="AD1814" i="16" s="1"/>
  <c r="K1813" i="16"/>
  <c r="G1813" i="16"/>
  <c r="J1813" i="16"/>
  <c r="F1813" i="16"/>
  <c r="AB1601" i="16"/>
  <c r="K1600" i="16"/>
  <c r="G1600" i="16"/>
  <c r="J1600" i="16"/>
  <c r="F1600" i="16"/>
  <c r="I1600" i="16"/>
  <c r="E1600" i="16"/>
  <c r="H1600" i="16"/>
  <c r="AB1602" i="16"/>
  <c r="I1601" i="16"/>
  <c r="E1601" i="16"/>
  <c r="H1601" i="16"/>
  <c r="K1601" i="16"/>
  <c r="G1601" i="16"/>
  <c r="J1601" i="16"/>
  <c r="F1601" i="16"/>
  <c r="I1603" i="16"/>
  <c r="E1603" i="16"/>
  <c r="H1603" i="16"/>
  <c r="AB1604" i="16"/>
  <c r="AD1604" i="16" s="1"/>
  <c r="K1603" i="16"/>
  <c r="G1603" i="16"/>
  <c r="J1603" i="16"/>
  <c r="F1603" i="16"/>
  <c r="AB1841" i="16"/>
  <c r="K1840" i="16"/>
  <c r="G1840" i="16"/>
  <c r="J1840" i="16"/>
  <c r="F1840" i="16"/>
  <c r="I1840" i="16"/>
  <c r="E1840" i="16"/>
  <c r="H1840" i="16"/>
  <c r="AB1842" i="16"/>
  <c r="I1841" i="16"/>
  <c r="E1841" i="16"/>
  <c r="H1841" i="16"/>
  <c r="K1841" i="16"/>
  <c r="G1841" i="16"/>
  <c r="J1841" i="16"/>
  <c r="F1841" i="16"/>
  <c r="I1843" i="16"/>
  <c r="E1843" i="16"/>
  <c r="H1843" i="16"/>
  <c r="AB1844" i="16"/>
  <c r="AD1844" i="16" s="1"/>
  <c r="K1843" i="16"/>
  <c r="G1843" i="16"/>
  <c r="J1843" i="16"/>
  <c r="F1843" i="16"/>
  <c r="F32" i="23"/>
  <c r="I7" i="42" s="1"/>
  <c r="P105" i="16"/>
  <c r="G29" i="30"/>
  <c r="P102" i="16"/>
  <c r="I1902" i="16"/>
  <c r="E1902" i="16"/>
  <c r="H1902" i="16"/>
  <c r="K1902" i="16"/>
  <c r="G1902" i="16"/>
  <c r="AB1903" i="16"/>
  <c r="AD1903" i="16" s="1"/>
  <c r="J1902" i="16"/>
  <c r="F1902" i="16"/>
  <c r="AB1962" i="16"/>
  <c r="I1961" i="16"/>
  <c r="E1961" i="16"/>
  <c r="H1961" i="16"/>
  <c r="K1961" i="16"/>
  <c r="G1961" i="16"/>
  <c r="J1961" i="16"/>
  <c r="F1961" i="16"/>
  <c r="I1963" i="16"/>
  <c r="E1963" i="16"/>
  <c r="H1963" i="16"/>
  <c r="AB1964" i="16"/>
  <c r="AD1964" i="16" s="1"/>
  <c r="K1963" i="16"/>
  <c r="G1963" i="16"/>
  <c r="J1963" i="16"/>
  <c r="F1963" i="16"/>
  <c r="I2022" i="16"/>
  <c r="E2022" i="16"/>
  <c r="H2022" i="16"/>
  <c r="K2022" i="16"/>
  <c r="G2022" i="16"/>
  <c r="AB2023" i="16"/>
  <c r="AD2023" i="16" s="1"/>
  <c r="J2022" i="16"/>
  <c r="F2022" i="16"/>
  <c r="AB2082" i="16"/>
  <c r="I2081" i="16"/>
  <c r="E2081" i="16"/>
  <c r="H2081" i="16"/>
  <c r="K2081" i="16"/>
  <c r="G2081" i="16"/>
  <c r="J2081" i="16"/>
  <c r="F2081" i="16"/>
  <c r="I2083" i="16"/>
  <c r="E2083" i="16"/>
  <c r="H2083" i="16"/>
  <c r="AB2084" i="16"/>
  <c r="AD2084" i="16" s="1"/>
  <c r="K2083" i="16"/>
  <c r="G2083" i="16"/>
  <c r="J2083" i="16"/>
  <c r="F2083" i="16"/>
  <c r="I2142" i="16"/>
  <c r="E2142" i="16"/>
  <c r="H2142" i="16"/>
  <c r="K2142" i="16"/>
  <c r="G2142" i="16"/>
  <c r="AB2143" i="16"/>
  <c r="AD2143" i="16" s="1"/>
  <c r="J2142" i="16"/>
  <c r="F2142" i="16"/>
  <c r="AB2232" i="16"/>
  <c r="I2231" i="16"/>
  <c r="E2231" i="16"/>
  <c r="H2231" i="16"/>
  <c r="K2231" i="16"/>
  <c r="G2231" i="16"/>
  <c r="J2231" i="16"/>
  <c r="F2231" i="16"/>
  <c r="I2233" i="16"/>
  <c r="E2233" i="16"/>
  <c r="H2233" i="16"/>
  <c r="AB2234" i="16"/>
  <c r="AD2234" i="16" s="1"/>
  <c r="K2233" i="16"/>
  <c r="G2233" i="16"/>
  <c r="J2233" i="16"/>
  <c r="F2233" i="16"/>
  <c r="K2716" i="16"/>
  <c r="K2776" i="16"/>
  <c r="K2836" i="16"/>
  <c r="K2896" i="16"/>
  <c r="K2956" i="16"/>
  <c r="K3016" i="16"/>
  <c r="K3136" i="16"/>
  <c r="K3196" i="16"/>
  <c r="K5866" i="16"/>
  <c r="I5743" i="16"/>
  <c r="E5743" i="16"/>
  <c r="G5743" i="16"/>
  <c r="H5743" i="16"/>
  <c r="K5743" i="16"/>
  <c r="AB5744" i="16"/>
  <c r="J5743" i="16"/>
  <c r="F5743" i="16"/>
  <c r="AB5742" i="16"/>
  <c r="AD5742" i="16" s="1"/>
  <c r="I5741" i="16"/>
  <c r="E5741" i="16"/>
  <c r="H5741" i="16"/>
  <c r="J5741" i="16"/>
  <c r="K5741" i="16"/>
  <c r="G5741" i="16"/>
  <c r="F5741" i="16"/>
  <c r="K5745" i="16"/>
  <c r="G5745" i="16"/>
  <c r="H5745" i="16"/>
  <c r="J5745" i="16"/>
  <c r="AB5746" i="16"/>
  <c r="E5745" i="16"/>
  <c r="I5745" i="16"/>
  <c r="F5745" i="16"/>
  <c r="J5474" i="16"/>
  <c r="F5474" i="16"/>
  <c r="G5474" i="16"/>
  <c r="K5474" i="16"/>
  <c r="E5474" i="16"/>
  <c r="I5474" i="16"/>
  <c r="AB5475" i="16"/>
  <c r="H5474" i="16"/>
  <c r="K5471" i="16"/>
  <c r="G5471" i="16"/>
  <c r="J5471" i="16"/>
  <c r="E5471" i="16"/>
  <c r="I5471" i="16"/>
  <c r="AB5472" i="16"/>
  <c r="H5471" i="16"/>
  <c r="F5471" i="16"/>
  <c r="AB5474" i="16"/>
  <c r="AD5474" i="16" s="1"/>
  <c r="K5473" i="16"/>
  <c r="G5473" i="16"/>
  <c r="I5473" i="16"/>
  <c r="H5473" i="16"/>
  <c r="J5473" i="16"/>
  <c r="F5473" i="16"/>
  <c r="E5473" i="16"/>
  <c r="AB5951" i="16"/>
  <c r="K5950" i="16"/>
  <c r="G5950" i="16"/>
  <c r="I5950" i="16"/>
  <c r="H5950" i="16"/>
  <c r="J5950" i="16"/>
  <c r="F5950" i="16"/>
  <c r="E5950" i="16"/>
  <c r="I5440" i="16"/>
  <c r="E5440" i="16"/>
  <c r="AB5441" i="16"/>
  <c r="AD5441" i="16" s="1"/>
  <c r="G5440" i="16"/>
  <c r="K5440" i="16"/>
  <c r="F5440" i="16"/>
  <c r="J5440" i="16"/>
  <c r="H5440" i="16"/>
  <c r="J764" i="16"/>
  <c r="F764" i="16"/>
  <c r="AB765" i="16"/>
  <c r="I764" i="16"/>
  <c r="E764" i="16"/>
  <c r="H764" i="16"/>
  <c r="K764" i="16"/>
  <c r="G764" i="16"/>
  <c r="I765" i="16"/>
  <c r="E765" i="16"/>
  <c r="H765" i="16"/>
  <c r="K765" i="16"/>
  <c r="G765" i="16"/>
  <c r="AB766" i="16"/>
  <c r="J765" i="16"/>
  <c r="F765" i="16"/>
  <c r="AB1301" i="16"/>
  <c r="K1300" i="16"/>
  <c r="G1300" i="16"/>
  <c r="J1300" i="16"/>
  <c r="E1300" i="16"/>
  <c r="I1300" i="16"/>
  <c r="H1300" i="16"/>
  <c r="F1300" i="16"/>
  <c r="I1303" i="16"/>
  <c r="E1303" i="16"/>
  <c r="J1303" i="16"/>
  <c r="H1303" i="16"/>
  <c r="G1303" i="16"/>
  <c r="AB1304" i="16"/>
  <c r="K1303" i="16"/>
  <c r="F1303" i="16"/>
  <c r="AB1481" i="16"/>
  <c r="AD1481" i="16" s="1"/>
  <c r="K1480" i="16"/>
  <c r="G1480" i="16"/>
  <c r="J1480" i="16"/>
  <c r="F1480" i="16"/>
  <c r="I1480" i="16"/>
  <c r="H1480" i="16"/>
  <c r="E1480" i="16"/>
  <c r="H1484" i="16"/>
  <c r="K1484" i="16"/>
  <c r="G1484" i="16"/>
  <c r="AB1485" i="16"/>
  <c r="E1484" i="16"/>
  <c r="J1484" i="16"/>
  <c r="I1484" i="16"/>
  <c r="F1484" i="16"/>
  <c r="K5531" i="16"/>
  <c r="G5531" i="16"/>
  <c r="J5531" i="16"/>
  <c r="E5531" i="16"/>
  <c r="I5531" i="16"/>
  <c r="AB5532" i="16"/>
  <c r="H5531" i="16"/>
  <c r="F5531" i="16"/>
  <c r="AB5534" i="16"/>
  <c r="AD5534" i="16" s="1"/>
  <c r="K5533" i="16"/>
  <c r="G5533" i="16"/>
  <c r="I5533" i="16"/>
  <c r="H5533" i="16"/>
  <c r="E5533" i="16"/>
  <c r="J5533" i="16"/>
  <c r="F5533" i="16"/>
  <c r="K1875" i="16"/>
  <c r="G1875" i="16"/>
  <c r="AB1876" i="16"/>
  <c r="J1875" i="16"/>
  <c r="F1875" i="16"/>
  <c r="I1875" i="16"/>
  <c r="E1875" i="16"/>
  <c r="H1875" i="16"/>
  <c r="AB2201" i="16"/>
  <c r="AD2201" i="16" s="1"/>
  <c r="K2200" i="16"/>
  <c r="G2200" i="16"/>
  <c r="J2200" i="16"/>
  <c r="F2200" i="16"/>
  <c r="I2200" i="16"/>
  <c r="E2200" i="16"/>
  <c r="H2200" i="16"/>
  <c r="H2204" i="16"/>
  <c r="K2204" i="16"/>
  <c r="G2204" i="16"/>
  <c r="J2204" i="16"/>
  <c r="F2204" i="16"/>
  <c r="AB2205" i="16"/>
  <c r="I2204" i="16"/>
  <c r="E2204" i="16"/>
  <c r="K2295" i="16"/>
  <c r="G2295" i="16"/>
  <c r="AB2296" i="16"/>
  <c r="J2295" i="16"/>
  <c r="F2295" i="16"/>
  <c r="I2295" i="16"/>
  <c r="E2295" i="16"/>
  <c r="H2295" i="16"/>
  <c r="AB2351" i="16"/>
  <c r="AD2351" i="16" s="1"/>
  <c r="K2350" i="16"/>
  <c r="G2350" i="16"/>
  <c r="J2350" i="16"/>
  <c r="F2350" i="16"/>
  <c r="I2350" i="16"/>
  <c r="E2350" i="16"/>
  <c r="H2350" i="16"/>
  <c r="H2354" i="16"/>
  <c r="K2354" i="16"/>
  <c r="G2354" i="16"/>
  <c r="J2354" i="16"/>
  <c r="F2354" i="16"/>
  <c r="AB2355" i="16"/>
  <c r="I2354" i="16"/>
  <c r="E2354" i="16"/>
  <c r="K4516" i="16"/>
  <c r="K4906" i="16"/>
  <c r="I5500" i="16"/>
  <c r="E5500" i="16"/>
  <c r="AB5501" i="16"/>
  <c r="AD5501" i="16" s="1"/>
  <c r="G5500" i="16"/>
  <c r="K5500" i="16"/>
  <c r="F5500" i="16"/>
  <c r="J5500" i="16"/>
  <c r="H5500" i="16"/>
  <c r="J464" i="16"/>
  <c r="F464" i="16"/>
  <c r="AB465" i="16"/>
  <c r="AD465" i="16" s="1"/>
  <c r="I464" i="16"/>
  <c r="E464" i="16"/>
  <c r="H464" i="16"/>
  <c r="K464" i="16"/>
  <c r="G464" i="16"/>
  <c r="I465" i="16"/>
  <c r="E465" i="16"/>
  <c r="H465" i="16"/>
  <c r="K465" i="16"/>
  <c r="G465" i="16"/>
  <c r="AB466" i="16"/>
  <c r="AD466" i="16" s="1"/>
  <c r="J465" i="16"/>
  <c r="F465" i="16"/>
  <c r="J584" i="16"/>
  <c r="F584" i="16"/>
  <c r="AB585" i="16"/>
  <c r="AD585" i="16" s="1"/>
  <c r="I584" i="16"/>
  <c r="E584" i="16"/>
  <c r="H584" i="16"/>
  <c r="K584" i="16"/>
  <c r="G584" i="16"/>
  <c r="I640" i="16"/>
  <c r="E640" i="16"/>
  <c r="H640" i="16"/>
  <c r="AB641" i="16"/>
  <c r="AD641" i="16" s="1"/>
  <c r="K640" i="16"/>
  <c r="G640" i="16"/>
  <c r="J640" i="16"/>
  <c r="F640" i="16"/>
  <c r="I705" i="16"/>
  <c r="E705" i="16"/>
  <c r="H705" i="16"/>
  <c r="K705" i="16"/>
  <c r="G705" i="16"/>
  <c r="AB706" i="16"/>
  <c r="AD706" i="16" s="1"/>
  <c r="J705" i="16"/>
  <c r="F705" i="16"/>
  <c r="E70" i="16"/>
  <c r="J70" i="16" s="1"/>
  <c r="G70" i="16"/>
  <c r="H70" i="16" s="1"/>
  <c r="K461" i="16"/>
  <c r="G461" i="16"/>
  <c r="J461" i="16"/>
  <c r="F461" i="16"/>
  <c r="AB462" i="16"/>
  <c r="AD462" i="16" s="1"/>
  <c r="I461" i="16"/>
  <c r="E461" i="16"/>
  <c r="H461" i="16"/>
  <c r="AB464" i="16"/>
  <c r="K463" i="16"/>
  <c r="G463" i="16"/>
  <c r="J463" i="16"/>
  <c r="F463" i="16"/>
  <c r="I463" i="16"/>
  <c r="E463" i="16"/>
  <c r="H463" i="16"/>
  <c r="K522" i="16"/>
  <c r="G522" i="16"/>
  <c r="AB523" i="16"/>
  <c r="AD523" i="16" s="1"/>
  <c r="J522" i="16"/>
  <c r="F522" i="16"/>
  <c r="I522" i="16"/>
  <c r="E522" i="16"/>
  <c r="H522" i="16"/>
  <c r="K581" i="16"/>
  <c r="G581" i="16"/>
  <c r="J581" i="16"/>
  <c r="F581" i="16"/>
  <c r="AB582" i="16"/>
  <c r="AD582" i="16" s="1"/>
  <c r="I581" i="16"/>
  <c r="E581" i="16"/>
  <c r="H581" i="16"/>
  <c r="AB584" i="16"/>
  <c r="K583" i="16"/>
  <c r="G583" i="16"/>
  <c r="J583" i="16"/>
  <c r="F583" i="16"/>
  <c r="I583" i="16"/>
  <c r="E583" i="16"/>
  <c r="H583" i="16"/>
  <c r="AD586" i="16"/>
  <c r="K642" i="16"/>
  <c r="G642" i="16"/>
  <c r="AB643" i="16"/>
  <c r="AD643" i="16" s="1"/>
  <c r="J642" i="16"/>
  <c r="F642" i="16"/>
  <c r="I642" i="16"/>
  <c r="E642" i="16"/>
  <c r="H642" i="16"/>
  <c r="K701" i="16"/>
  <c r="G701" i="16"/>
  <c r="J701" i="16"/>
  <c r="F701" i="16"/>
  <c r="AB702" i="16"/>
  <c r="AD702" i="16" s="1"/>
  <c r="I701" i="16"/>
  <c r="E701" i="16"/>
  <c r="H701" i="16"/>
  <c r="AB704" i="16"/>
  <c r="K703" i="16"/>
  <c r="G703" i="16"/>
  <c r="J703" i="16"/>
  <c r="F703" i="16"/>
  <c r="I703" i="16"/>
  <c r="E703" i="16"/>
  <c r="H703" i="16"/>
  <c r="AD705" i="16"/>
  <c r="AD1546" i="16"/>
  <c r="H1544" i="16"/>
  <c r="K1544" i="16"/>
  <c r="G1544" i="16"/>
  <c r="I1544" i="16"/>
  <c r="F1544" i="16"/>
  <c r="AB1545" i="16"/>
  <c r="E1544" i="16"/>
  <c r="J1544" i="16"/>
  <c r="G72" i="16"/>
  <c r="F72" i="16"/>
  <c r="E72" i="16"/>
  <c r="J72" i="16" s="1"/>
  <c r="AD1456" i="16"/>
  <c r="AB1452" i="16"/>
  <c r="AD1452" i="16" s="1"/>
  <c r="I1451" i="16"/>
  <c r="E1451" i="16"/>
  <c r="H1451" i="16"/>
  <c r="J1451" i="16"/>
  <c r="G1451" i="16"/>
  <c r="F1451" i="16"/>
  <c r="K1451" i="16"/>
  <c r="I1453" i="16"/>
  <c r="E1453" i="16"/>
  <c r="H1453" i="16"/>
  <c r="AB1454" i="16"/>
  <c r="AD1454" i="16" s="1"/>
  <c r="K1453" i="16"/>
  <c r="J1453" i="16"/>
  <c r="G1453" i="16"/>
  <c r="F1453" i="16"/>
  <c r="AB1632" i="16"/>
  <c r="AD1632" i="16" s="1"/>
  <c r="I1631" i="16"/>
  <c r="E1631" i="16"/>
  <c r="H1631" i="16"/>
  <c r="K1631" i="16"/>
  <c r="G1631" i="16"/>
  <c r="J1631" i="16"/>
  <c r="F1631" i="16"/>
  <c r="I1633" i="16"/>
  <c r="E1633" i="16"/>
  <c r="H1633" i="16"/>
  <c r="AB1634" i="16"/>
  <c r="AD1634" i="16" s="1"/>
  <c r="K1633" i="16"/>
  <c r="G1633" i="16"/>
  <c r="J1633" i="16"/>
  <c r="F1633" i="16"/>
  <c r="AD1635" i="16"/>
  <c r="AB1752" i="16"/>
  <c r="AD1752" i="16" s="1"/>
  <c r="I1751" i="16"/>
  <c r="E1751" i="16"/>
  <c r="H1751" i="16"/>
  <c r="K1751" i="16"/>
  <c r="G1751" i="16"/>
  <c r="J1751" i="16"/>
  <c r="F1751" i="16"/>
  <c r="I1753" i="16"/>
  <c r="E1753" i="16"/>
  <c r="H1753" i="16"/>
  <c r="AB1754" i="16"/>
  <c r="AD1754" i="16" s="1"/>
  <c r="K1753" i="16"/>
  <c r="G1753" i="16"/>
  <c r="J1753" i="16"/>
  <c r="F1753" i="16"/>
  <c r="AD1755" i="16"/>
  <c r="AB342" i="16"/>
  <c r="AD342" i="16" s="1"/>
  <c r="I341" i="16"/>
  <c r="E341" i="16"/>
  <c r="H341" i="16"/>
  <c r="K341" i="16"/>
  <c r="G341" i="16"/>
  <c r="J341" i="16"/>
  <c r="F341" i="16"/>
  <c r="I343" i="16"/>
  <c r="E343" i="16"/>
  <c r="H343" i="16"/>
  <c r="AB344" i="16"/>
  <c r="AD344" i="16" s="1"/>
  <c r="K343" i="16"/>
  <c r="G343" i="16"/>
  <c r="J343" i="16"/>
  <c r="F343" i="16"/>
  <c r="AD376" i="16"/>
  <c r="I372" i="16"/>
  <c r="E372" i="16"/>
  <c r="H372" i="16"/>
  <c r="K372" i="16"/>
  <c r="G372" i="16"/>
  <c r="AB373" i="16"/>
  <c r="AD373" i="16" s="1"/>
  <c r="J372" i="16"/>
  <c r="F372" i="16"/>
  <c r="AB1211" i="16"/>
  <c r="K1210" i="16"/>
  <c r="G1210" i="16"/>
  <c r="I1210" i="16"/>
  <c r="H1210" i="16"/>
  <c r="F1210" i="16"/>
  <c r="J1210" i="16"/>
  <c r="E1210" i="16"/>
  <c r="I1333" i="16"/>
  <c r="E1333" i="16"/>
  <c r="H1333" i="16"/>
  <c r="G1333" i="16"/>
  <c r="AB1334" i="16"/>
  <c r="AD1334" i="16" s="1"/>
  <c r="K1333" i="16"/>
  <c r="F1333" i="16"/>
  <c r="J1333" i="16"/>
  <c r="AD1332" i="16"/>
  <c r="K1335" i="16"/>
  <c r="G1335" i="16"/>
  <c r="I1335" i="16"/>
  <c r="H1335" i="16"/>
  <c r="AB1336" i="16"/>
  <c r="F1335" i="16"/>
  <c r="J1335" i="16"/>
  <c r="E1335" i="16"/>
  <c r="AD1335" i="16"/>
  <c r="AB1721" i="16"/>
  <c r="K1720" i="16"/>
  <c r="G1720" i="16"/>
  <c r="J1720" i="16"/>
  <c r="F1720" i="16"/>
  <c r="I1720" i="16"/>
  <c r="E1720" i="16"/>
  <c r="H1720" i="16"/>
  <c r="AB1722" i="16"/>
  <c r="AD1722" i="16" s="1"/>
  <c r="I1721" i="16"/>
  <c r="E1721" i="16"/>
  <c r="H1721" i="16"/>
  <c r="K1721" i="16"/>
  <c r="G1721" i="16"/>
  <c r="J1721" i="16"/>
  <c r="F1721" i="16"/>
  <c r="I1723" i="16"/>
  <c r="E1723" i="16"/>
  <c r="H1723" i="16"/>
  <c r="AB1724" i="16"/>
  <c r="K1723" i="16"/>
  <c r="G1723" i="16"/>
  <c r="J1723" i="16"/>
  <c r="F1723" i="16"/>
  <c r="K3614" i="16"/>
  <c r="G3614" i="16"/>
  <c r="J3614" i="16"/>
  <c r="F3614" i="16"/>
  <c r="H3614" i="16"/>
  <c r="AB3615" i="16"/>
  <c r="AD3615" i="16" s="1"/>
  <c r="E3614" i="16"/>
  <c r="I3614" i="16"/>
  <c r="J3610" i="16"/>
  <c r="F3610" i="16"/>
  <c r="I3610" i="16"/>
  <c r="E3610" i="16"/>
  <c r="K3610" i="16"/>
  <c r="H3610" i="16"/>
  <c r="AB3611" i="16"/>
  <c r="G3610" i="16"/>
  <c r="H3611" i="16"/>
  <c r="K3611" i="16"/>
  <c r="G3611" i="16"/>
  <c r="J3611" i="16"/>
  <c r="I3611" i="16"/>
  <c r="AB3612" i="16"/>
  <c r="AD3612" i="16" s="1"/>
  <c r="F3611" i="16"/>
  <c r="E3611" i="16"/>
  <c r="H3613" i="16"/>
  <c r="AB3614" i="16"/>
  <c r="K3613" i="16"/>
  <c r="G3613" i="16"/>
  <c r="E3613" i="16"/>
  <c r="J3613" i="16"/>
  <c r="I3613" i="16"/>
  <c r="F3613" i="16"/>
  <c r="H3672" i="16"/>
  <c r="K3672" i="16"/>
  <c r="G3672" i="16"/>
  <c r="F3672" i="16"/>
  <c r="E3672" i="16"/>
  <c r="J3672" i="16"/>
  <c r="AB3673" i="16"/>
  <c r="AD3673" i="16" s="1"/>
  <c r="I3672" i="16"/>
  <c r="K1935" i="16"/>
  <c r="G1935" i="16"/>
  <c r="AB1936" i="16"/>
  <c r="J1935" i="16"/>
  <c r="F1935" i="16"/>
  <c r="I1935" i="16"/>
  <c r="E1935" i="16"/>
  <c r="H1935" i="16"/>
  <c r="AB1991" i="16"/>
  <c r="K1990" i="16"/>
  <c r="G1990" i="16"/>
  <c r="J1990" i="16"/>
  <c r="F1990" i="16"/>
  <c r="I1990" i="16"/>
  <c r="E1990" i="16"/>
  <c r="H1990" i="16"/>
  <c r="H1994" i="16"/>
  <c r="K1994" i="16"/>
  <c r="G1994" i="16"/>
  <c r="J1994" i="16"/>
  <c r="F1994" i="16"/>
  <c r="AB1995" i="16"/>
  <c r="I1994" i="16"/>
  <c r="E1994" i="16"/>
  <c r="K2055" i="16"/>
  <c r="G2055" i="16"/>
  <c r="AB2056" i="16"/>
  <c r="J2055" i="16"/>
  <c r="F2055" i="16"/>
  <c r="I2055" i="16"/>
  <c r="E2055" i="16"/>
  <c r="H2055" i="16"/>
  <c r="AB2111" i="16"/>
  <c r="AD2111" i="16" s="1"/>
  <c r="K2110" i="16"/>
  <c r="G2110" i="16"/>
  <c r="J2110" i="16"/>
  <c r="F2110" i="16"/>
  <c r="I2110" i="16"/>
  <c r="E2110" i="16"/>
  <c r="H2110" i="16"/>
  <c r="H2114" i="16"/>
  <c r="K2114" i="16"/>
  <c r="G2114" i="16"/>
  <c r="J2114" i="16"/>
  <c r="F2114" i="16"/>
  <c r="AB2115" i="16"/>
  <c r="I2114" i="16"/>
  <c r="E2114" i="16"/>
  <c r="K2175" i="16"/>
  <c r="G2175" i="16"/>
  <c r="AB2176" i="16"/>
  <c r="J2175" i="16"/>
  <c r="F2175" i="16"/>
  <c r="I2175" i="16"/>
  <c r="E2175" i="16"/>
  <c r="H2175" i="16"/>
  <c r="AD3735" i="16"/>
  <c r="AD3731" i="16"/>
  <c r="I5560" i="16"/>
  <c r="E5560" i="16"/>
  <c r="G5560" i="16"/>
  <c r="AB5561" i="16"/>
  <c r="AD5561" i="16" s="1"/>
  <c r="K5560" i="16"/>
  <c r="F5560" i="16"/>
  <c r="H5560" i="16"/>
  <c r="J5560" i="16"/>
  <c r="K5595" i="16"/>
  <c r="G5595" i="16"/>
  <c r="I5595" i="16"/>
  <c r="F5595" i="16"/>
  <c r="E5595" i="16"/>
  <c r="AB5596" i="16"/>
  <c r="AD5596" i="16" s="1"/>
  <c r="J5595" i="16"/>
  <c r="H5595" i="16"/>
  <c r="AB5682" i="16"/>
  <c r="I5681" i="16"/>
  <c r="E5681" i="16"/>
  <c r="K5681" i="16"/>
  <c r="F5681" i="16"/>
  <c r="G5681" i="16"/>
  <c r="H5681" i="16"/>
  <c r="J5681" i="16"/>
  <c r="I5683" i="16"/>
  <c r="E5683" i="16"/>
  <c r="J5683" i="16"/>
  <c r="G5683" i="16"/>
  <c r="AB5684" i="16"/>
  <c r="H5683" i="16"/>
  <c r="F5683" i="16"/>
  <c r="K5683" i="16"/>
  <c r="AD5683" i="16"/>
  <c r="AD5712" i="16"/>
  <c r="I5712" i="16"/>
  <c r="E5712" i="16"/>
  <c r="AB5713" i="16"/>
  <c r="H5712" i="16"/>
  <c r="K5712" i="16"/>
  <c r="J5712" i="16"/>
  <c r="G5712" i="16"/>
  <c r="F5712" i="16"/>
  <c r="K5715" i="16"/>
  <c r="G5715" i="16"/>
  <c r="I5715" i="16"/>
  <c r="E5715" i="16"/>
  <c r="AB5716" i="16"/>
  <c r="F5715" i="16"/>
  <c r="J5715" i="16"/>
  <c r="H5715" i="16"/>
  <c r="AD5715" i="16"/>
  <c r="K1425" i="16"/>
  <c r="G1425" i="16"/>
  <c r="AB1426" i="16"/>
  <c r="AD1426" i="16" s="1"/>
  <c r="J1425" i="16"/>
  <c r="F1425" i="16"/>
  <c r="I1425" i="16"/>
  <c r="H1425" i="16"/>
  <c r="E1425" i="16"/>
  <c r="I1422" i="16"/>
  <c r="E1422" i="16"/>
  <c r="H1422" i="16"/>
  <c r="AB1423" i="16"/>
  <c r="AD1423" i="16" s="1"/>
  <c r="G1422" i="16"/>
  <c r="F1422" i="16"/>
  <c r="K1422" i="16"/>
  <c r="J1422" i="16"/>
  <c r="H400" i="16"/>
  <c r="AB401" i="16"/>
  <c r="AD401" i="16" s="1"/>
  <c r="K400" i="16"/>
  <c r="G400" i="16"/>
  <c r="J400" i="16"/>
  <c r="F400" i="16"/>
  <c r="I400" i="16"/>
  <c r="E400" i="16"/>
  <c r="AD1576" i="16"/>
  <c r="I1572" i="16"/>
  <c r="E1572" i="16"/>
  <c r="H1572" i="16"/>
  <c r="K1572" i="16"/>
  <c r="G1572" i="16"/>
  <c r="F1572" i="16"/>
  <c r="AB1573" i="16"/>
  <c r="AD1573" i="16" s="1"/>
  <c r="J1572" i="16"/>
  <c r="AB312" i="16"/>
  <c r="AD312" i="16" s="1"/>
  <c r="I311" i="16"/>
  <c r="E311" i="16"/>
  <c r="H311" i="16"/>
  <c r="K311" i="16"/>
  <c r="G311" i="16"/>
  <c r="J311" i="16"/>
  <c r="F311" i="16"/>
  <c r="I313" i="16"/>
  <c r="E313" i="16"/>
  <c r="H313" i="16"/>
  <c r="AB314" i="16"/>
  <c r="AD314" i="16" s="1"/>
  <c r="K313" i="16"/>
  <c r="G313" i="16"/>
  <c r="J313" i="16"/>
  <c r="F313" i="16"/>
  <c r="AD315" i="16"/>
  <c r="AD1182" i="16"/>
  <c r="K1185" i="16"/>
  <c r="G1185" i="16"/>
  <c r="J1185" i="16"/>
  <c r="E1185" i="16"/>
  <c r="I1185" i="16"/>
  <c r="H1185" i="16"/>
  <c r="AB1186" i="16"/>
  <c r="AD1186" i="16" s="1"/>
  <c r="F1185" i="16"/>
  <c r="AD1185" i="16"/>
  <c r="AB1391" i="16"/>
  <c r="K1390" i="16"/>
  <c r="G1390" i="16"/>
  <c r="J1390" i="16"/>
  <c r="F1390" i="16"/>
  <c r="H1390" i="16"/>
  <c r="E1390" i="16"/>
  <c r="I1390" i="16"/>
  <c r="AB1392" i="16"/>
  <c r="AD1392" i="16" s="1"/>
  <c r="I1391" i="16"/>
  <c r="E1391" i="16"/>
  <c r="H1391" i="16"/>
  <c r="F1391" i="16"/>
  <c r="K1391" i="16"/>
  <c r="J1391" i="16"/>
  <c r="G1391" i="16"/>
  <c r="I1393" i="16"/>
  <c r="E1393" i="16"/>
  <c r="H1393" i="16"/>
  <c r="G1393" i="16"/>
  <c r="F1393" i="16"/>
  <c r="AB1394" i="16"/>
  <c r="AD1394" i="16" s="1"/>
  <c r="K1393" i="16"/>
  <c r="J1393" i="16"/>
  <c r="AD1395" i="16"/>
  <c r="AB1511" i="16"/>
  <c r="AD1511" i="16" s="1"/>
  <c r="K1510" i="16"/>
  <c r="G1510" i="16"/>
  <c r="J1510" i="16"/>
  <c r="F1510" i="16"/>
  <c r="H1510" i="16"/>
  <c r="E1510" i="16"/>
  <c r="I1510" i="16"/>
  <c r="AB1512" i="16"/>
  <c r="AD1512" i="16" s="1"/>
  <c r="I1511" i="16"/>
  <c r="E1511" i="16"/>
  <c r="H1511" i="16"/>
  <c r="F1511" i="16"/>
  <c r="K1511" i="16"/>
  <c r="J1511" i="16"/>
  <c r="G1511" i="16"/>
  <c r="I1513" i="16"/>
  <c r="E1513" i="16"/>
  <c r="H1513" i="16"/>
  <c r="G1513" i="16"/>
  <c r="F1513" i="16"/>
  <c r="AB1514" i="16"/>
  <c r="AD1514" i="16" s="1"/>
  <c r="K1513" i="16"/>
  <c r="J1513" i="16"/>
  <c r="AD1515" i="16"/>
  <c r="AB1661" i="16"/>
  <c r="AD1661" i="16" s="1"/>
  <c r="K1660" i="16"/>
  <c r="G1660" i="16"/>
  <c r="J1660" i="16"/>
  <c r="F1660" i="16"/>
  <c r="I1660" i="16"/>
  <c r="E1660" i="16"/>
  <c r="H1660" i="16"/>
  <c r="AB1662" i="16"/>
  <c r="AD1662" i="16" s="1"/>
  <c r="I1661" i="16"/>
  <c r="E1661" i="16"/>
  <c r="H1661" i="16"/>
  <c r="K1661" i="16"/>
  <c r="G1661" i="16"/>
  <c r="J1661" i="16"/>
  <c r="F1661" i="16"/>
  <c r="I1663" i="16"/>
  <c r="E1663" i="16"/>
  <c r="H1663" i="16"/>
  <c r="AB1664" i="16"/>
  <c r="K1663" i="16"/>
  <c r="G1663" i="16"/>
  <c r="J1663" i="16"/>
  <c r="F1663" i="16"/>
  <c r="AD1665" i="16"/>
  <c r="K2265" i="16"/>
  <c r="G2265" i="16"/>
  <c r="AB2266" i="16"/>
  <c r="AD2266" i="16" s="1"/>
  <c r="J2265" i="16"/>
  <c r="F2265" i="16"/>
  <c r="I2265" i="16"/>
  <c r="E2265" i="16"/>
  <c r="H2265" i="16"/>
  <c r="AB2321" i="16"/>
  <c r="K2320" i="16"/>
  <c r="G2320" i="16"/>
  <c r="J2320" i="16"/>
  <c r="F2320" i="16"/>
  <c r="I2320" i="16"/>
  <c r="E2320" i="16"/>
  <c r="H2320" i="16"/>
  <c r="H2324" i="16"/>
  <c r="K2324" i="16"/>
  <c r="G2324" i="16"/>
  <c r="J2324" i="16"/>
  <c r="F2324" i="16"/>
  <c r="AB2325" i="16"/>
  <c r="AD2325" i="16" s="1"/>
  <c r="I2324" i="16"/>
  <c r="E2324" i="16"/>
  <c r="K2385" i="16"/>
  <c r="G2385" i="16"/>
  <c r="AB2386" i="16"/>
  <c r="AD2386" i="16" s="1"/>
  <c r="J2385" i="16"/>
  <c r="F2385" i="16"/>
  <c r="I2385" i="16"/>
  <c r="E2385" i="16"/>
  <c r="H2385" i="16"/>
  <c r="AB3855" i="16"/>
  <c r="AD3855" i="16" s="1"/>
  <c r="I3854" i="16"/>
  <c r="E3854" i="16"/>
  <c r="H3854" i="16"/>
  <c r="G3854" i="16"/>
  <c r="K3854" i="16"/>
  <c r="J3854" i="16"/>
  <c r="F3854" i="16"/>
  <c r="AD3851" i="16"/>
  <c r="K2536" i="16"/>
  <c r="K2596" i="16"/>
  <c r="K2656" i="16"/>
  <c r="J3640" i="16"/>
  <c r="F3640" i="16"/>
  <c r="I3640" i="16"/>
  <c r="E3640" i="16"/>
  <c r="H3640" i="16"/>
  <c r="AB3641" i="16"/>
  <c r="AD3641" i="16" s="1"/>
  <c r="G3640" i="16"/>
  <c r="K3640" i="16"/>
  <c r="J3700" i="16"/>
  <c r="F3700" i="16"/>
  <c r="I3700" i="16"/>
  <c r="E3700" i="16"/>
  <c r="H3700" i="16"/>
  <c r="AB3701" i="16"/>
  <c r="G3700" i="16"/>
  <c r="K3700" i="16"/>
  <c r="AD3705" i="16"/>
  <c r="AD3701" i="16"/>
  <c r="J3760" i="16"/>
  <c r="F3760" i="16"/>
  <c r="I3760" i="16"/>
  <c r="E3760" i="16"/>
  <c r="H3760" i="16"/>
  <c r="AB3761" i="16"/>
  <c r="G3760" i="16"/>
  <c r="K3760" i="16"/>
  <c r="AD3765" i="16"/>
  <c r="AD3761" i="16"/>
  <c r="J3820" i="16"/>
  <c r="F3820" i="16"/>
  <c r="I3820" i="16"/>
  <c r="E3820" i="16"/>
  <c r="H3820" i="16"/>
  <c r="AB3821" i="16"/>
  <c r="G3820" i="16"/>
  <c r="K3820" i="16"/>
  <c r="AD3825" i="16"/>
  <c r="AD3821" i="16"/>
  <c r="I4960" i="16"/>
  <c r="E4960" i="16"/>
  <c r="H4960" i="16"/>
  <c r="AB4961" i="16"/>
  <c r="G4960" i="16"/>
  <c r="K4960" i="16"/>
  <c r="F4960" i="16"/>
  <c r="J4960" i="16"/>
  <c r="I4965" i="16"/>
  <c r="E4965" i="16"/>
  <c r="H4965" i="16"/>
  <c r="G4965" i="16"/>
  <c r="AB4966" i="16"/>
  <c r="K4965" i="16"/>
  <c r="F4965" i="16"/>
  <c r="J4965" i="16"/>
  <c r="J4964" i="16"/>
  <c r="F4964" i="16"/>
  <c r="K4964" i="16"/>
  <c r="E4964" i="16"/>
  <c r="I4964" i="16"/>
  <c r="AB4965" i="16"/>
  <c r="H4964" i="16"/>
  <c r="G4964" i="16"/>
  <c r="AB5024" i="16"/>
  <c r="K5023" i="16"/>
  <c r="G5023" i="16"/>
  <c r="H5023" i="16"/>
  <c r="F5023" i="16"/>
  <c r="J5023" i="16"/>
  <c r="E5023" i="16"/>
  <c r="I5023" i="16"/>
  <c r="I5085" i="16"/>
  <c r="E5085" i="16"/>
  <c r="H5085" i="16"/>
  <c r="G5085" i="16"/>
  <c r="AB5086" i="16"/>
  <c r="K5085" i="16"/>
  <c r="F5085" i="16"/>
  <c r="J5085" i="16"/>
  <c r="J5084" i="16"/>
  <c r="F5084" i="16"/>
  <c r="K5084" i="16"/>
  <c r="E5084" i="16"/>
  <c r="I5084" i="16"/>
  <c r="AB5085" i="16"/>
  <c r="AD5085" i="16" s="1"/>
  <c r="H5084" i="16"/>
  <c r="G5084" i="16"/>
  <c r="I5832" i="16"/>
  <c r="E5832" i="16"/>
  <c r="AB5833" i="16"/>
  <c r="AD5833" i="16" s="1"/>
  <c r="H5832" i="16"/>
  <c r="J5832" i="16"/>
  <c r="K5832" i="16"/>
  <c r="G5832" i="16"/>
  <c r="F5832" i="16"/>
  <c r="AB5831" i="16"/>
  <c r="AD5831" i="16" s="1"/>
  <c r="K5830" i="16"/>
  <c r="G5830" i="16"/>
  <c r="I5830" i="16"/>
  <c r="J5830" i="16"/>
  <c r="F5830" i="16"/>
  <c r="E5830" i="16"/>
  <c r="H5830" i="16"/>
  <c r="AB5922" i="16"/>
  <c r="I5921" i="16"/>
  <c r="E5921" i="16"/>
  <c r="K5921" i="16"/>
  <c r="F5921" i="16"/>
  <c r="J5921" i="16"/>
  <c r="G5921" i="16"/>
  <c r="H5921" i="16"/>
  <c r="I5923" i="16"/>
  <c r="E5923" i="16"/>
  <c r="J5923" i="16"/>
  <c r="K5923" i="16"/>
  <c r="F5923" i="16"/>
  <c r="H5923" i="16"/>
  <c r="AB5924" i="16"/>
  <c r="AD5924" i="16" s="1"/>
  <c r="G5923" i="16"/>
  <c r="AD5923" i="16"/>
  <c r="K432" i="16"/>
  <c r="G432" i="16"/>
  <c r="AB433" i="16"/>
  <c r="AD433" i="16" s="1"/>
  <c r="J432" i="16"/>
  <c r="F432" i="16"/>
  <c r="I432" i="16"/>
  <c r="E432" i="16"/>
  <c r="H432" i="16"/>
  <c r="K491" i="16"/>
  <c r="G491" i="16"/>
  <c r="J491" i="16"/>
  <c r="F491" i="16"/>
  <c r="AB492" i="16"/>
  <c r="AD492" i="16" s="1"/>
  <c r="I491" i="16"/>
  <c r="E491" i="16"/>
  <c r="H491" i="16"/>
  <c r="AB494" i="16"/>
  <c r="K493" i="16"/>
  <c r="G493" i="16"/>
  <c r="J493" i="16"/>
  <c r="F493" i="16"/>
  <c r="I493" i="16"/>
  <c r="E493" i="16"/>
  <c r="H493" i="16"/>
  <c r="AD495" i="16"/>
  <c r="AD496" i="16"/>
  <c r="K552" i="16"/>
  <c r="G552" i="16"/>
  <c r="AB553" i="16"/>
  <c r="AD553" i="16" s="1"/>
  <c r="J552" i="16"/>
  <c r="F552" i="16"/>
  <c r="I552" i="16"/>
  <c r="E552" i="16"/>
  <c r="H552" i="16"/>
  <c r="K611" i="16"/>
  <c r="G611" i="16"/>
  <c r="J611" i="16"/>
  <c r="F611" i="16"/>
  <c r="AB612" i="16"/>
  <c r="AD612" i="16" s="1"/>
  <c r="I611" i="16"/>
  <c r="E611" i="16"/>
  <c r="H611" i="16"/>
  <c r="AB614" i="16"/>
  <c r="K613" i="16"/>
  <c r="G613" i="16"/>
  <c r="J613" i="16"/>
  <c r="F613" i="16"/>
  <c r="I613" i="16"/>
  <c r="E613" i="16"/>
  <c r="H613" i="16"/>
  <c r="AD615" i="16"/>
  <c r="AD616" i="16"/>
  <c r="K672" i="16"/>
  <c r="G672" i="16"/>
  <c r="AB673" i="16"/>
  <c r="AD673" i="16" s="1"/>
  <c r="J672" i="16"/>
  <c r="F672" i="16"/>
  <c r="I672" i="16"/>
  <c r="E672" i="16"/>
  <c r="H672" i="16"/>
  <c r="K731" i="16"/>
  <c r="G731" i="16"/>
  <c r="J731" i="16"/>
  <c r="F731" i="16"/>
  <c r="AB732" i="16"/>
  <c r="AD732" i="16" s="1"/>
  <c r="I731" i="16"/>
  <c r="E731" i="16"/>
  <c r="H731" i="16"/>
  <c r="AB734" i="16"/>
  <c r="K733" i="16"/>
  <c r="G733" i="16"/>
  <c r="J733" i="16"/>
  <c r="F733" i="16"/>
  <c r="I733" i="16"/>
  <c r="E733" i="16"/>
  <c r="H733" i="16"/>
  <c r="AD735" i="16"/>
  <c r="AD736" i="16"/>
  <c r="K792" i="16"/>
  <c r="G792" i="16"/>
  <c r="AB793" i="16"/>
  <c r="AD793" i="16" s="1"/>
  <c r="J792" i="16"/>
  <c r="F792" i="16"/>
  <c r="I792" i="16"/>
  <c r="E792" i="16"/>
  <c r="H792" i="16"/>
  <c r="K1156" i="16"/>
  <c r="AB1272" i="16"/>
  <c r="AD1272" i="16" s="1"/>
  <c r="I1271" i="16"/>
  <c r="E1271" i="16"/>
  <c r="G1271" i="16"/>
  <c r="K1271" i="16"/>
  <c r="F1271" i="16"/>
  <c r="J1271" i="16"/>
  <c r="H1271" i="16"/>
  <c r="AD1274" i="16"/>
  <c r="K1695" i="16"/>
  <c r="G1695" i="16"/>
  <c r="AB1696" i="16"/>
  <c r="J1695" i="16"/>
  <c r="F1695" i="16"/>
  <c r="I1695" i="16"/>
  <c r="E1695" i="16"/>
  <c r="H1695" i="16"/>
  <c r="K1815" i="16"/>
  <c r="G1815" i="16"/>
  <c r="AB1816" i="16"/>
  <c r="J1815" i="16"/>
  <c r="F1815" i="16"/>
  <c r="I1815" i="16"/>
  <c r="E1815" i="16"/>
  <c r="H1815" i="16"/>
  <c r="AD1601" i="16"/>
  <c r="AD1841" i="16"/>
  <c r="K4186" i="16"/>
  <c r="AB1901" i="16"/>
  <c r="K1900" i="16"/>
  <c r="G1900" i="16"/>
  <c r="J1900" i="16"/>
  <c r="F1900" i="16"/>
  <c r="I1900" i="16"/>
  <c r="E1900" i="16"/>
  <c r="H1900" i="16"/>
  <c r="H1904" i="16"/>
  <c r="K1904" i="16"/>
  <c r="G1904" i="16"/>
  <c r="J1904" i="16"/>
  <c r="F1904" i="16"/>
  <c r="AB1905" i="16"/>
  <c r="AD1905" i="16" s="1"/>
  <c r="I1904" i="16"/>
  <c r="E1904" i="16"/>
  <c r="K1965" i="16"/>
  <c r="G1965" i="16"/>
  <c r="AB1966" i="16"/>
  <c r="J1965" i="16"/>
  <c r="F1965" i="16"/>
  <c r="I1965" i="16"/>
  <c r="E1965" i="16"/>
  <c r="H1965" i="16"/>
  <c r="AB2021" i="16"/>
  <c r="AD2021" i="16" s="1"/>
  <c r="K2020" i="16"/>
  <c r="G2020" i="16"/>
  <c r="J2020" i="16"/>
  <c r="F2020" i="16"/>
  <c r="I2020" i="16"/>
  <c r="E2020" i="16"/>
  <c r="H2020" i="16"/>
  <c r="H2024" i="16"/>
  <c r="K2024" i="16"/>
  <c r="G2024" i="16"/>
  <c r="J2024" i="16"/>
  <c r="F2024" i="16"/>
  <c r="AB2025" i="16"/>
  <c r="I2024" i="16"/>
  <c r="E2024" i="16"/>
  <c r="K2085" i="16"/>
  <c r="G2085" i="16"/>
  <c r="AB2086" i="16"/>
  <c r="J2085" i="16"/>
  <c r="F2085" i="16"/>
  <c r="I2085" i="16"/>
  <c r="E2085" i="16"/>
  <c r="H2085" i="16"/>
  <c r="AB2141" i="16"/>
  <c r="K2140" i="16"/>
  <c r="G2140" i="16"/>
  <c r="J2140" i="16"/>
  <c r="F2140" i="16"/>
  <c r="I2140" i="16"/>
  <c r="E2140" i="16"/>
  <c r="H2140" i="16"/>
  <c r="H2144" i="16"/>
  <c r="K2144" i="16"/>
  <c r="G2144" i="16"/>
  <c r="J2144" i="16"/>
  <c r="F2144" i="16"/>
  <c r="AB2145" i="16"/>
  <c r="AD2145" i="16" s="1"/>
  <c r="I2144" i="16"/>
  <c r="E2144" i="16"/>
  <c r="K2235" i="16"/>
  <c r="G2235" i="16"/>
  <c r="AB2236" i="16"/>
  <c r="J2235" i="16"/>
  <c r="F2235" i="16"/>
  <c r="I2235" i="16"/>
  <c r="E2235" i="16"/>
  <c r="H2235" i="16"/>
  <c r="K4246" i="16"/>
  <c r="K5296" i="16"/>
  <c r="K4636" i="16"/>
  <c r="AD5472" i="16"/>
  <c r="I5475" i="16"/>
  <c r="E5475" i="16"/>
  <c r="J5475" i="16"/>
  <c r="H5475" i="16"/>
  <c r="G5475" i="16"/>
  <c r="F5475" i="16"/>
  <c r="AB5476" i="16"/>
  <c r="K5475" i="16"/>
  <c r="I5953" i="16"/>
  <c r="E5953" i="16"/>
  <c r="H5953" i="16"/>
  <c r="AB5954" i="16"/>
  <c r="AD5954" i="16" s="1"/>
  <c r="F5953" i="16"/>
  <c r="K5953" i="16"/>
  <c r="J5953" i="16"/>
  <c r="G5953" i="16"/>
  <c r="AB5952" i="16"/>
  <c r="AD5952" i="16" s="1"/>
  <c r="I5951" i="16"/>
  <c r="E5951" i="16"/>
  <c r="J5951" i="16"/>
  <c r="F5951" i="16"/>
  <c r="K5951" i="16"/>
  <c r="H5951" i="16"/>
  <c r="G5951" i="16"/>
  <c r="H5954" i="16"/>
  <c r="K5954" i="16"/>
  <c r="F5954" i="16"/>
  <c r="AB5955" i="16"/>
  <c r="AD5955" i="16" s="1"/>
  <c r="G5954" i="16"/>
  <c r="I5954" i="16"/>
  <c r="E5954" i="16"/>
  <c r="J5954" i="16"/>
  <c r="K5442" i="16"/>
  <c r="G5442" i="16"/>
  <c r="F5442" i="16"/>
  <c r="J5442" i="16"/>
  <c r="E5442" i="16"/>
  <c r="AB5443" i="16"/>
  <c r="AD5443" i="16" s="1"/>
  <c r="I5442" i="16"/>
  <c r="H5442" i="16"/>
  <c r="K761" i="16"/>
  <c r="G761" i="16"/>
  <c r="J761" i="16"/>
  <c r="F761" i="16"/>
  <c r="AB762" i="16"/>
  <c r="AD762" i="16" s="1"/>
  <c r="I761" i="16"/>
  <c r="E761" i="16"/>
  <c r="H761" i="16"/>
  <c r="AB764" i="16"/>
  <c r="K763" i="16"/>
  <c r="G763" i="16"/>
  <c r="J763" i="16"/>
  <c r="F763" i="16"/>
  <c r="I763" i="16"/>
  <c r="E763" i="16"/>
  <c r="H763" i="16"/>
  <c r="AD765" i="16"/>
  <c r="AD766" i="16"/>
  <c r="K286" i="16"/>
  <c r="H133" i="16"/>
  <c r="K133" i="16"/>
  <c r="G133" i="16"/>
  <c r="AB134" i="16"/>
  <c r="AD134" i="16" s="1"/>
  <c r="J133" i="16"/>
  <c r="F133" i="16"/>
  <c r="I133" i="16"/>
  <c r="E133" i="16"/>
  <c r="AD1301" i="16"/>
  <c r="AB1302" i="16"/>
  <c r="I1301" i="16"/>
  <c r="E1301" i="16"/>
  <c r="K1301" i="16"/>
  <c r="F1301" i="16"/>
  <c r="J1301" i="16"/>
  <c r="H1301" i="16"/>
  <c r="G1301" i="16"/>
  <c r="AD1304" i="16"/>
  <c r="H1304" i="16"/>
  <c r="AB1305" i="16"/>
  <c r="G1304" i="16"/>
  <c r="K1304" i="16"/>
  <c r="F1304" i="16"/>
  <c r="J1304" i="16"/>
  <c r="E1304" i="16"/>
  <c r="I1304" i="16"/>
  <c r="K1485" i="16"/>
  <c r="G1485" i="16"/>
  <c r="AB1486" i="16"/>
  <c r="AD1486" i="16" s="1"/>
  <c r="J1485" i="16"/>
  <c r="F1485" i="16"/>
  <c r="H1485" i="16"/>
  <c r="E1485" i="16"/>
  <c r="I1485" i="16"/>
  <c r="AB1482" i="16"/>
  <c r="AD1482" i="16" s="1"/>
  <c r="I1481" i="16"/>
  <c r="E1481" i="16"/>
  <c r="H1481" i="16"/>
  <c r="G1481" i="16"/>
  <c r="F1481" i="16"/>
  <c r="K1481" i="16"/>
  <c r="J1481" i="16"/>
  <c r="I1483" i="16"/>
  <c r="E1483" i="16"/>
  <c r="H1483" i="16"/>
  <c r="J1483" i="16"/>
  <c r="G1483" i="16"/>
  <c r="F1483" i="16"/>
  <c r="AB1484" i="16"/>
  <c r="AD1484" i="16" s="1"/>
  <c r="K1483" i="16"/>
  <c r="AD1485" i="16"/>
  <c r="I1782" i="16"/>
  <c r="E1782" i="16"/>
  <c r="H1782" i="16"/>
  <c r="K1782" i="16"/>
  <c r="G1782" i="16"/>
  <c r="J1782" i="16"/>
  <c r="F1782" i="16"/>
  <c r="AB1783" i="16"/>
  <c r="AD1783" i="16" s="1"/>
  <c r="I5535" i="16"/>
  <c r="E5535" i="16"/>
  <c r="J5535" i="16"/>
  <c r="H5535" i="16"/>
  <c r="AB5536" i="16"/>
  <c r="K5535" i="16"/>
  <c r="G5535" i="16"/>
  <c r="F5535" i="16"/>
  <c r="AD1876" i="16"/>
  <c r="I1872" i="16"/>
  <c r="E1872" i="16"/>
  <c r="H1872" i="16"/>
  <c r="K1872" i="16"/>
  <c r="G1872" i="16"/>
  <c r="AB1873" i="16"/>
  <c r="AD1873" i="16" s="1"/>
  <c r="J1872" i="16"/>
  <c r="F1872" i="16"/>
  <c r="AB2202" i="16"/>
  <c r="AD2202" i="16" s="1"/>
  <c r="I2201" i="16"/>
  <c r="E2201" i="16"/>
  <c r="H2201" i="16"/>
  <c r="K2201" i="16"/>
  <c r="G2201" i="16"/>
  <c r="J2201" i="16"/>
  <c r="F2201" i="16"/>
  <c r="I2203" i="16"/>
  <c r="E2203" i="16"/>
  <c r="H2203" i="16"/>
  <c r="AB2204" i="16"/>
  <c r="AD2204" i="16" s="1"/>
  <c r="K2203" i="16"/>
  <c r="G2203" i="16"/>
  <c r="J2203" i="16"/>
  <c r="F2203" i="16"/>
  <c r="AD2205" i="16"/>
  <c r="AD2296" i="16"/>
  <c r="I2292" i="16"/>
  <c r="E2292" i="16"/>
  <c r="H2292" i="16"/>
  <c r="K2292" i="16"/>
  <c r="G2292" i="16"/>
  <c r="AB2293" i="16"/>
  <c r="AD2293" i="16" s="1"/>
  <c r="J2292" i="16"/>
  <c r="F2292" i="16"/>
  <c r="AB2352" i="16"/>
  <c r="AD2352" i="16" s="1"/>
  <c r="I2351" i="16"/>
  <c r="E2351" i="16"/>
  <c r="H2351" i="16"/>
  <c r="K2351" i="16"/>
  <c r="G2351" i="16"/>
  <c r="J2351" i="16"/>
  <c r="F2351" i="16"/>
  <c r="I2353" i="16"/>
  <c r="E2353" i="16"/>
  <c r="H2353" i="16"/>
  <c r="AB2354" i="16"/>
  <c r="AD2354" i="16" s="1"/>
  <c r="K2353" i="16"/>
  <c r="G2353" i="16"/>
  <c r="J2353" i="16"/>
  <c r="F2353" i="16"/>
  <c r="AD2355" i="16"/>
  <c r="AB2415" i="16"/>
  <c r="AD2415" i="16" s="1"/>
  <c r="I2414" i="16"/>
  <c r="E2414" i="16"/>
  <c r="K2414" i="16"/>
  <c r="F2414" i="16"/>
  <c r="J2414" i="16"/>
  <c r="H2414" i="16"/>
  <c r="G2414" i="16"/>
  <c r="H2410" i="16"/>
  <c r="I2410" i="16"/>
  <c r="AB2411" i="16"/>
  <c r="AD2411" i="16" s="1"/>
  <c r="G2410" i="16"/>
  <c r="K2410" i="16"/>
  <c r="F2410" i="16"/>
  <c r="J2410" i="16"/>
  <c r="E2410" i="16"/>
  <c r="K5056" i="16"/>
  <c r="H3792" i="16"/>
  <c r="K3792" i="16"/>
  <c r="G3792" i="16"/>
  <c r="F3792" i="16"/>
  <c r="E3792" i="16"/>
  <c r="J3792" i="16"/>
  <c r="I3792" i="16"/>
  <c r="AB3793" i="16"/>
  <c r="AD3793" i="16" s="1"/>
  <c r="K4936" i="16"/>
  <c r="K5206" i="16"/>
  <c r="I5505" i="16"/>
  <c r="E5505" i="16"/>
  <c r="G5505" i="16"/>
  <c r="AB5506" i="16"/>
  <c r="K5505" i="16"/>
  <c r="F5505" i="16"/>
  <c r="J5505" i="16"/>
  <c r="H5505" i="16"/>
  <c r="K5501" i="16"/>
  <c r="G5501" i="16"/>
  <c r="AB5502" i="16"/>
  <c r="H5501" i="16"/>
  <c r="F5501" i="16"/>
  <c r="E5501" i="16"/>
  <c r="J5501" i="16"/>
  <c r="I5501" i="16"/>
  <c r="K5502" i="16"/>
  <c r="G5502" i="16"/>
  <c r="F5502" i="16"/>
  <c r="J5502" i="16"/>
  <c r="E5502" i="16"/>
  <c r="AB5503" i="16"/>
  <c r="I5502" i="16"/>
  <c r="H5502" i="16"/>
  <c r="J5504" i="16"/>
  <c r="F5504" i="16"/>
  <c r="I5504" i="16"/>
  <c r="AB5505" i="16"/>
  <c r="AD5505" i="16" s="1"/>
  <c r="H5504" i="16"/>
  <c r="E5504" i="16"/>
  <c r="K5504" i="16"/>
  <c r="G5504" i="16"/>
  <c r="I460" i="16"/>
  <c r="E460" i="16"/>
  <c r="H460" i="16"/>
  <c r="AB461" i="16"/>
  <c r="AD461" i="16" s="1"/>
  <c r="K460" i="16"/>
  <c r="G460" i="16"/>
  <c r="J460" i="16"/>
  <c r="F460" i="16"/>
  <c r="J524" i="16"/>
  <c r="F524" i="16"/>
  <c r="AB525" i="16"/>
  <c r="I524" i="16"/>
  <c r="E524" i="16"/>
  <c r="H524" i="16"/>
  <c r="K524" i="16"/>
  <c r="G524" i="16"/>
  <c r="I525" i="16"/>
  <c r="E525" i="16"/>
  <c r="H525" i="16"/>
  <c r="K525" i="16"/>
  <c r="G525" i="16"/>
  <c r="AB526" i="16"/>
  <c r="J525" i="16"/>
  <c r="F525" i="16"/>
  <c r="I580" i="16"/>
  <c r="E580" i="16"/>
  <c r="H580" i="16"/>
  <c r="AB581" i="16"/>
  <c r="AD581" i="16" s="1"/>
  <c r="K580" i="16"/>
  <c r="G580" i="16"/>
  <c r="J580" i="16"/>
  <c r="F580" i="16"/>
  <c r="J644" i="16"/>
  <c r="F644" i="16"/>
  <c r="AB645" i="16"/>
  <c r="I644" i="16"/>
  <c r="E644" i="16"/>
  <c r="H644" i="16"/>
  <c r="K644" i="16"/>
  <c r="G644" i="16"/>
  <c r="I645" i="16"/>
  <c r="E645" i="16"/>
  <c r="H645" i="16"/>
  <c r="K645" i="16"/>
  <c r="G645" i="16"/>
  <c r="AB646" i="16"/>
  <c r="AD646" i="16" s="1"/>
  <c r="J645" i="16"/>
  <c r="F645" i="16"/>
  <c r="I700" i="16"/>
  <c r="E700" i="16"/>
  <c r="H700" i="16"/>
  <c r="AB701" i="16"/>
  <c r="AD701" i="16" s="1"/>
  <c r="K700" i="16"/>
  <c r="G700" i="16"/>
  <c r="J700" i="16"/>
  <c r="F700" i="16"/>
  <c r="AB1542" i="16"/>
  <c r="AD1542" i="16" s="1"/>
  <c r="I1541" i="16"/>
  <c r="E1541" i="16"/>
  <c r="H1541" i="16"/>
  <c r="K1541" i="16"/>
  <c r="J1541" i="16"/>
  <c r="G1541" i="16"/>
  <c r="F1541" i="16"/>
  <c r="I1543" i="16"/>
  <c r="E1543" i="16"/>
  <c r="H1543" i="16"/>
  <c r="F1543" i="16"/>
  <c r="AB1544" i="16"/>
  <c r="AD1544" i="16" s="1"/>
  <c r="K1543" i="16"/>
  <c r="J1543" i="16"/>
  <c r="G1543" i="16"/>
  <c r="AD1545" i="16"/>
  <c r="E71" i="16"/>
  <c r="J71" i="16" s="1"/>
  <c r="G71" i="16"/>
  <c r="H71" i="16" s="1"/>
  <c r="K1635" i="16"/>
  <c r="G1635" i="16"/>
  <c r="AB1636" i="16"/>
  <c r="J1635" i="16"/>
  <c r="F1635" i="16"/>
  <c r="I1635" i="16"/>
  <c r="E1635" i="16"/>
  <c r="H1635" i="16"/>
  <c r="K1755" i="16"/>
  <c r="G1755" i="16"/>
  <c r="AB1756" i="16"/>
  <c r="J1755" i="16"/>
  <c r="F1755" i="16"/>
  <c r="I1755" i="16"/>
  <c r="E1755" i="16"/>
  <c r="H1755" i="16"/>
  <c r="AD1751" i="16"/>
  <c r="G41" i="16"/>
  <c r="F41" i="16"/>
  <c r="E41" i="16"/>
  <c r="J41" i="16" s="1"/>
  <c r="K345" i="16"/>
  <c r="G345" i="16"/>
  <c r="AB346" i="16"/>
  <c r="J345" i="16"/>
  <c r="F345" i="16"/>
  <c r="I345" i="16"/>
  <c r="E345" i="16"/>
  <c r="H345" i="16"/>
  <c r="AD341" i="16"/>
  <c r="AB371" i="16"/>
  <c r="AD371" i="16" s="1"/>
  <c r="K370" i="16"/>
  <c r="G370" i="16"/>
  <c r="J370" i="16"/>
  <c r="F370" i="16"/>
  <c r="I370" i="16"/>
  <c r="E370" i="16"/>
  <c r="H370" i="16"/>
  <c r="H374" i="16"/>
  <c r="K374" i="16"/>
  <c r="G374" i="16"/>
  <c r="J374" i="16"/>
  <c r="F374" i="16"/>
  <c r="AB375" i="16"/>
  <c r="I374" i="16"/>
  <c r="E374" i="16"/>
  <c r="I1212" i="16"/>
  <c r="E1212" i="16"/>
  <c r="AB1213" i="16"/>
  <c r="AD1213" i="16" s="1"/>
  <c r="H1212" i="16"/>
  <c r="G1212" i="16"/>
  <c r="K1212" i="16"/>
  <c r="F1212" i="16"/>
  <c r="J1212" i="16"/>
  <c r="AD1211" i="16"/>
  <c r="AB1212" i="16"/>
  <c r="I1211" i="16"/>
  <c r="E1211" i="16"/>
  <c r="J1211" i="16"/>
  <c r="H1211" i="16"/>
  <c r="G1211" i="16"/>
  <c r="K1211" i="16"/>
  <c r="F1211" i="16"/>
  <c r="H1214" i="16"/>
  <c r="K1214" i="16"/>
  <c r="F1214" i="16"/>
  <c r="J1214" i="16"/>
  <c r="E1214" i="16"/>
  <c r="I1214" i="16"/>
  <c r="AB1215" i="16"/>
  <c r="G1214" i="16"/>
  <c r="AD1724" i="16"/>
  <c r="AD1721" i="16"/>
  <c r="AD3611" i="16"/>
  <c r="AB3676" i="16"/>
  <c r="AD3676" i="16" s="1"/>
  <c r="J3675" i="16"/>
  <c r="F3675" i="16"/>
  <c r="I3675" i="16"/>
  <c r="E3675" i="16"/>
  <c r="K3675" i="16"/>
  <c r="H3675" i="16"/>
  <c r="G3675" i="16"/>
  <c r="AD1936" i="16"/>
  <c r="I1932" i="16"/>
  <c r="E1932" i="16"/>
  <c r="H1932" i="16"/>
  <c r="K1932" i="16"/>
  <c r="G1932" i="16"/>
  <c r="AB1933" i="16"/>
  <c r="AD1933" i="16" s="1"/>
  <c r="J1932" i="16"/>
  <c r="F1932" i="16"/>
  <c r="AB1992" i="16"/>
  <c r="AD1992" i="16" s="1"/>
  <c r="I1991" i="16"/>
  <c r="E1991" i="16"/>
  <c r="H1991" i="16"/>
  <c r="K1991" i="16"/>
  <c r="G1991" i="16"/>
  <c r="J1991" i="16"/>
  <c r="F1991" i="16"/>
  <c r="I1993" i="16"/>
  <c r="E1993" i="16"/>
  <c r="H1993" i="16"/>
  <c r="AB1994" i="16"/>
  <c r="AD1994" i="16" s="1"/>
  <c r="K1993" i="16"/>
  <c r="G1993" i="16"/>
  <c r="J1993" i="16"/>
  <c r="F1993" i="16"/>
  <c r="AD1995" i="16"/>
  <c r="AD2056" i="16"/>
  <c r="I2052" i="16"/>
  <c r="E2052" i="16"/>
  <c r="H2052" i="16"/>
  <c r="K2052" i="16"/>
  <c r="G2052" i="16"/>
  <c r="AB2053" i="16"/>
  <c r="AD2053" i="16" s="1"/>
  <c r="J2052" i="16"/>
  <c r="F2052" i="16"/>
  <c r="AB2112" i="16"/>
  <c r="AD2112" i="16" s="1"/>
  <c r="I2111" i="16"/>
  <c r="E2111" i="16"/>
  <c r="H2111" i="16"/>
  <c r="K2111" i="16"/>
  <c r="G2111" i="16"/>
  <c r="J2111" i="16"/>
  <c r="F2111" i="16"/>
  <c r="I2113" i="16"/>
  <c r="E2113" i="16"/>
  <c r="H2113" i="16"/>
  <c r="AB2114" i="16"/>
  <c r="AD2114" i="16" s="1"/>
  <c r="K2113" i="16"/>
  <c r="G2113" i="16"/>
  <c r="J2113" i="16"/>
  <c r="F2113" i="16"/>
  <c r="AD2115" i="16"/>
  <c r="AD2176" i="16"/>
  <c r="I2172" i="16"/>
  <c r="E2172" i="16"/>
  <c r="H2172" i="16"/>
  <c r="K2172" i="16"/>
  <c r="G2172" i="16"/>
  <c r="AB2173" i="16"/>
  <c r="AD2173" i="16" s="1"/>
  <c r="J2172" i="16"/>
  <c r="F2172" i="16"/>
  <c r="H3732" i="16"/>
  <c r="K3732" i="16"/>
  <c r="G3732" i="16"/>
  <c r="F3732" i="16"/>
  <c r="E3732" i="16"/>
  <c r="J3732" i="16"/>
  <c r="AB3733" i="16"/>
  <c r="AD3733" i="16" s="1"/>
  <c r="I3732" i="16"/>
  <c r="K5561" i="16"/>
  <c r="G5561" i="16"/>
  <c r="AB5562" i="16"/>
  <c r="AD5562" i="16" s="1"/>
  <c r="H5561" i="16"/>
  <c r="F5561" i="16"/>
  <c r="I5561" i="16"/>
  <c r="E5561" i="16"/>
  <c r="J5561" i="16"/>
  <c r="K5563" i="16"/>
  <c r="G5563" i="16"/>
  <c r="J5563" i="16"/>
  <c r="E5563" i="16"/>
  <c r="H5563" i="16"/>
  <c r="F5563" i="16"/>
  <c r="AB5564" i="16"/>
  <c r="AD5564" i="16" s="1"/>
  <c r="I5563" i="16"/>
  <c r="H5564" i="16"/>
  <c r="AB5565" i="16"/>
  <c r="AD5565" i="16" s="1"/>
  <c r="G5564" i="16"/>
  <c r="J5564" i="16"/>
  <c r="K5564" i="16"/>
  <c r="I5564" i="16"/>
  <c r="F5564" i="16"/>
  <c r="E5564" i="16"/>
  <c r="K5685" i="16"/>
  <c r="G5685" i="16"/>
  <c r="J5685" i="16"/>
  <c r="E5685" i="16"/>
  <c r="I5685" i="16"/>
  <c r="H5685" i="16"/>
  <c r="AB5686" i="16"/>
  <c r="F5685" i="16"/>
  <c r="AD5684" i="16"/>
  <c r="H5684" i="16"/>
  <c r="AB5685" i="16"/>
  <c r="G5684" i="16"/>
  <c r="I5684" i="16"/>
  <c r="E5684" i="16"/>
  <c r="K5684" i="16"/>
  <c r="F5684" i="16"/>
  <c r="J5684" i="16"/>
  <c r="AD5716" i="16"/>
  <c r="H1424" i="16"/>
  <c r="K1424" i="16"/>
  <c r="G1424" i="16"/>
  <c r="I1424" i="16"/>
  <c r="F1424" i="16"/>
  <c r="AB1425" i="16"/>
  <c r="AD1425" i="16" s="1"/>
  <c r="E1424" i="16"/>
  <c r="J1424" i="16"/>
  <c r="AB403" i="16"/>
  <c r="J402" i="16"/>
  <c r="F402" i="16"/>
  <c r="I402" i="16"/>
  <c r="E402" i="16"/>
  <c r="H402" i="16"/>
  <c r="K402" i="16"/>
  <c r="G402" i="16"/>
  <c r="AD403" i="16"/>
  <c r="AD404" i="16"/>
  <c r="AB1571" i="16"/>
  <c r="AD1571" i="16" s="1"/>
  <c r="K1570" i="16"/>
  <c r="G1570" i="16"/>
  <c r="J1570" i="16"/>
  <c r="F1570" i="16"/>
  <c r="I1570" i="16"/>
  <c r="E1570" i="16"/>
  <c r="H1570" i="16"/>
  <c r="H1574" i="16"/>
  <c r="K1574" i="16"/>
  <c r="G1574" i="16"/>
  <c r="J1574" i="16"/>
  <c r="F1574" i="16"/>
  <c r="E1574" i="16"/>
  <c r="AB1575" i="16"/>
  <c r="I1574" i="16"/>
  <c r="K315" i="16"/>
  <c r="G315" i="16"/>
  <c r="AB316" i="16"/>
  <c r="J315" i="16"/>
  <c r="F315" i="16"/>
  <c r="I315" i="16"/>
  <c r="E315" i="16"/>
  <c r="H315" i="16"/>
  <c r="AD311" i="16"/>
  <c r="I1182" i="16"/>
  <c r="E1182" i="16"/>
  <c r="J1182" i="16"/>
  <c r="AB1183" i="16"/>
  <c r="H1182" i="16"/>
  <c r="G1182" i="16"/>
  <c r="K1182" i="16"/>
  <c r="F1182" i="16"/>
  <c r="K1395" i="16"/>
  <c r="G1395" i="16"/>
  <c r="AB1396" i="16"/>
  <c r="AD1396" i="16" s="1"/>
  <c r="J1395" i="16"/>
  <c r="F1395" i="16"/>
  <c r="E1395" i="16"/>
  <c r="I1395" i="16"/>
  <c r="H1395" i="16"/>
  <c r="AD1391" i="16"/>
  <c r="K1515" i="16"/>
  <c r="G1515" i="16"/>
  <c r="AB1516" i="16"/>
  <c r="J1515" i="16"/>
  <c r="F1515" i="16"/>
  <c r="E1515" i="16"/>
  <c r="I1515" i="16"/>
  <c r="H1515" i="16"/>
  <c r="AD1664" i="16"/>
  <c r="I2262" i="16"/>
  <c r="E2262" i="16"/>
  <c r="H2262" i="16"/>
  <c r="K2262" i="16"/>
  <c r="G2262" i="16"/>
  <c r="AB2263" i="16"/>
  <c r="AD2263" i="16" s="1"/>
  <c r="J2262" i="16"/>
  <c r="F2262" i="16"/>
  <c r="AB2322" i="16"/>
  <c r="AD2322" i="16" s="1"/>
  <c r="I2321" i="16"/>
  <c r="E2321" i="16"/>
  <c r="H2321" i="16"/>
  <c r="K2321" i="16"/>
  <c r="G2321" i="16"/>
  <c r="J2321" i="16"/>
  <c r="F2321" i="16"/>
  <c r="I2323" i="16"/>
  <c r="E2323" i="16"/>
  <c r="H2323" i="16"/>
  <c r="AB2324" i="16"/>
  <c r="AD2324" i="16" s="1"/>
  <c r="K2323" i="16"/>
  <c r="G2323" i="16"/>
  <c r="J2323" i="16"/>
  <c r="F2323" i="16"/>
  <c r="I2382" i="16"/>
  <c r="E2382" i="16"/>
  <c r="H2382" i="16"/>
  <c r="K2382" i="16"/>
  <c r="G2382" i="16"/>
  <c r="AB2383" i="16"/>
  <c r="AD2383" i="16" s="1"/>
  <c r="J2382" i="16"/>
  <c r="F2382" i="16"/>
  <c r="J3853" i="16"/>
  <c r="F3853" i="16"/>
  <c r="AB3854" i="16"/>
  <c r="AD3854" i="16" s="1"/>
  <c r="K3853" i="16"/>
  <c r="E3853" i="16"/>
  <c r="I3853" i="16"/>
  <c r="G3853" i="16"/>
  <c r="H3853" i="16"/>
  <c r="AB3853" i="16"/>
  <c r="AD3853" i="16" s="1"/>
  <c r="H3852" i="16"/>
  <c r="K3852" i="16"/>
  <c r="G3852" i="16"/>
  <c r="F3852" i="16"/>
  <c r="E3852" i="16"/>
  <c r="J3852" i="16"/>
  <c r="I3852" i="16"/>
  <c r="K3286" i="16"/>
  <c r="K3526" i="16"/>
  <c r="H3642" i="16"/>
  <c r="K3642" i="16"/>
  <c r="G3642" i="16"/>
  <c r="J3642" i="16"/>
  <c r="AB3643" i="16"/>
  <c r="AD3643" i="16" s="1"/>
  <c r="I3642" i="16"/>
  <c r="F3642" i="16"/>
  <c r="E3642" i="16"/>
  <c r="H3702" i="16"/>
  <c r="K3702" i="16"/>
  <c r="G3702" i="16"/>
  <c r="J3702" i="16"/>
  <c r="AB3703" i="16"/>
  <c r="AD3703" i="16" s="1"/>
  <c r="I3702" i="16"/>
  <c r="F3702" i="16"/>
  <c r="E3702" i="16"/>
  <c r="H3762" i="16"/>
  <c r="K3762" i="16"/>
  <c r="G3762" i="16"/>
  <c r="J3762" i="16"/>
  <c r="AB3763" i="16"/>
  <c r="AD3763" i="16" s="1"/>
  <c r="I3762" i="16"/>
  <c r="F3762" i="16"/>
  <c r="E3762" i="16"/>
  <c r="H3822" i="16"/>
  <c r="K3822" i="16"/>
  <c r="G3822" i="16"/>
  <c r="J3822" i="16"/>
  <c r="AB3823" i="16"/>
  <c r="AD3823" i="16" s="1"/>
  <c r="I3822" i="16"/>
  <c r="F3822" i="16"/>
  <c r="E3822" i="16"/>
  <c r="K5806" i="16"/>
  <c r="AB4964" i="16"/>
  <c r="AD4964" i="16" s="1"/>
  <c r="K4963" i="16"/>
  <c r="G4963" i="16"/>
  <c r="H4963" i="16"/>
  <c r="F4963" i="16"/>
  <c r="J4963" i="16"/>
  <c r="E4963" i="16"/>
  <c r="I4963" i="16"/>
  <c r="AD4961" i="16"/>
  <c r="AD4966" i="16"/>
  <c r="AD5024" i="16"/>
  <c r="K5021" i="16"/>
  <c r="G5021" i="16"/>
  <c r="I5021" i="16"/>
  <c r="AB5022" i="16"/>
  <c r="AD5022" i="16" s="1"/>
  <c r="H5021" i="16"/>
  <c r="F5021" i="16"/>
  <c r="E5021" i="16"/>
  <c r="J5021" i="16"/>
  <c r="I5080" i="16"/>
  <c r="E5080" i="16"/>
  <c r="H5080" i="16"/>
  <c r="AB5081" i="16"/>
  <c r="AD5081" i="16" s="1"/>
  <c r="G5080" i="16"/>
  <c r="K5080" i="16"/>
  <c r="F5080" i="16"/>
  <c r="J5080" i="16"/>
  <c r="AD5086" i="16"/>
  <c r="K4606" i="16"/>
  <c r="AD5834" i="16"/>
  <c r="AB5832" i="16"/>
  <c r="AD5832" i="16" s="1"/>
  <c r="I5831" i="16"/>
  <c r="E5831" i="16"/>
  <c r="J5831" i="16"/>
  <c r="G5831" i="16"/>
  <c r="F5831" i="16"/>
  <c r="K5831" i="16"/>
  <c r="H5831" i="16"/>
  <c r="H5834" i="16"/>
  <c r="K5834" i="16"/>
  <c r="F5834" i="16"/>
  <c r="I5834" i="16"/>
  <c r="AB5835" i="16"/>
  <c r="AD5835" i="16" s="1"/>
  <c r="J5834" i="16"/>
  <c r="G5834" i="16"/>
  <c r="E5834" i="16"/>
  <c r="AD5922" i="16"/>
  <c r="K5925" i="16"/>
  <c r="G5925" i="16"/>
  <c r="J5925" i="16"/>
  <c r="E5925" i="16"/>
  <c r="F5925" i="16"/>
  <c r="H5925" i="16"/>
  <c r="AB5926" i="16"/>
  <c r="AD5926" i="16" s="1"/>
  <c r="I5925" i="16"/>
  <c r="H5924" i="16"/>
  <c r="AB5925" i="16"/>
  <c r="G5924" i="16"/>
  <c r="K5924" i="16"/>
  <c r="E5924" i="16"/>
  <c r="J5924" i="16"/>
  <c r="I5924" i="16"/>
  <c r="F5924" i="16"/>
  <c r="J434" i="16"/>
  <c r="F434" i="16"/>
  <c r="AB435" i="16"/>
  <c r="I434" i="16"/>
  <c r="E434" i="16"/>
  <c r="H434" i="16"/>
  <c r="K434" i="16"/>
  <c r="G434" i="16"/>
  <c r="I435" i="16"/>
  <c r="E435" i="16"/>
  <c r="H435" i="16"/>
  <c r="K435" i="16"/>
  <c r="G435" i="16"/>
  <c r="AB436" i="16"/>
  <c r="J435" i="16"/>
  <c r="F435" i="16"/>
  <c r="I490" i="16"/>
  <c r="E490" i="16"/>
  <c r="H490" i="16"/>
  <c r="AB491" i="16"/>
  <c r="AD491" i="16" s="1"/>
  <c r="K490" i="16"/>
  <c r="G490" i="16"/>
  <c r="J490" i="16"/>
  <c r="F490" i="16"/>
  <c r="J554" i="16"/>
  <c r="F554" i="16"/>
  <c r="AB555" i="16"/>
  <c r="AD555" i="16" s="1"/>
  <c r="I554" i="16"/>
  <c r="E554" i="16"/>
  <c r="H554" i="16"/>
  <c r="K554" i="16"/>
  <c r="G554" i="16"/>
  <c r="I555" i="16"/>
  <c r="E555" i="16"/>
  <c r="H555" i="16"/>
  <c r="K555" i="16"/>
  <c r="G555" i="16"/>
  <c r="AB556" i="16"/>
  <c r="J555" i="16"/>
  <c r="F555" i="16"/>
  <c r="I610" i="16"/>
  <c r="E610" i="16"/>
  <c r="H610" i="16"/>
  <c r="AB611" i="16"/>
  <c r="AD611" i="16" s="1"/>
  <c r="K610" i="16"/>
  <c r="G610" i="16"/>
  <c r="J610" i="16"/>
  <c r="F610" i="16"/>
  <c r="J674" i="16"/>
  <c r="F674" i="16"/>
  <c r="AB675" i="16"/>
  <c r="I674" i="16"/>
  <c r="E674" i="16"/>
  <c r="H674" i="16"/>
  <c r="K674" i="16"/>
  <c r="G674" i="16"/>
  <c r="I675" i="16"/>
  <c r="E675" i="16"/>
  <c r="H675" i="16"/>
  <c r="K675" i="16"/>
  <c r="G675" i="16"/>
  <c r="AB676" i="16"/>
  <c r="J675" i="16"/>
  <c r="F675" i="16"/>
  <c r="I730" i="16"/>
  <c r="E730" i="16"/>
  <c r="H730" i="16"/>
  <c r="AB731" i="16"/>
  <c r="AD731" i="16" s="1"/>
  <c r="K730" i="16"/>
  <c r="G730" i="16"/>
  <c r="J730" i="16"/>
  <c r="F730" i="16"/>
  <c r="J794" i="16"/>
  <c r="F794" i="16"/>
  <c r="AB795" i="16"/>
  <c r="AD795" i="16" s="1"/>
  <c r="I794" i="16"/>
  <c r="E794" i="16"/>
  <c r="H794" i="16"/>
  <c r="K794" i="16"/>
  <c r="G794" i="16"/>
  <c r="I795" i="16"/>
  <c r="E795" i="16"/>
  <c r="H795" i="16"/>
  <c r="K795" i="16"/>
  <c r="G795" i="16"/>
  <c r="AB796" i="16"/>
  <c r="J795" i="16"/>
  <c r="F795" i="16"/>
  <c r="K1275" i="16"/>
  <c r="G1275" i="16"/>
  <c r="AB1276" i="16"/>
  <c r="AD1276" i="16" s="1"/>
  <c r="F1275" i="16"/>
  <c r="J1275" i="16"/>
  <c r="E1275" i="16"/>
  <c r="I1275" i="16"/>
  <c r="H1275" i="16"/>
  <c r="AD1696" i="16"/>
  <c r="I1692" i="16"/>
  <c r="E1692" i="16"/>
  <c r="H1692" i="16"/>
  <c r="K1692" i="16"/>
  <c r="G1692" i="16"/>
  <c r="F1692" i="16"/>
  <c r="AB1693" i="16"/>
  <c r="AD1693" i="16" s="1"/>
  <c r="J1692" i="16"/>
  <c r="AD1816" i="16"/>
  <c r="I1812" i="16"/>
  <c r="E1812" i="16"/>
  <c r="H1812" i="16"/>
  <c r="K1812" i="16"/>
  <c r="G1812" i="16"/>
  <c r="F1812" i="16"/>
  <c r="AB1813" i="16"/>
  <c r="AD1813" i="16" s="1"/>
  <c r="J1812" i="16"/>
  <c r="K856" i="16"/>
  <c r="K916" i="16"/>
  <c r="K1036" i="16"/>
  <c r="K1096" i="16"/>
  <c r="I1602" i="16"/>
  <c r="E1602" i="16"/>
  <c r="H1602" i="16"/>
  <c r="K1602" i="16"/>
  <c r="G1602" i="16"/>
  <c r="J1602" i="16"/>
  <c r="F1602" i="16"/>
  <c r="AB1603" i="16"/>
  <c r="AD1603" i="16" s="1"/>
  <c r="I1842" i="16"/>
  <c r="E1842" i="16"/>
  <c r="H1842" i="16"/>
  <c r="K1842" i="16"/>
  <c r="G1842" i="16"/>
  <c r="J1842" i="16"/>
  <c r="F1842" i="16"/>
  <c r="AB1843" i="16"/>
  <c r="AD1843" i="16" s="1"/>
  <c r="AB1902" i="16"/>
  <c r="AD1902" i="16" s="1"/>
  <c r="I1901" i="16"/>
  <c r="E1901" i="16"/>
  <c r="H1901" i="16"/>
  <c r="K1901" i="16"/>
  <c r="G1901" i="16"/>
  <c r="J1901" i="16"/>
  <c r="F1901" i="16"/>
  <c r="I1903" i="16"/>
  <c r="E1903" i="16"/>
  <c r="H1903" i="16"/>
  <c r="AB1904" i="16"/>
  <c r="AD1904" i="16" s="1"/>
  <c r="K1903" i="16"/>
  <c r="G1903" i="16"/>
  <c r="J1903" i="16"/>
  <c r="F1903" i="16"/>
  <c r="AD1966" i="16"/>
  <c r="I1962" i="16"/>
  <c r="E1962" i="16"/>
  <c r="H1962" i="16"/>
  <c r="K1962" i="16"/>
  <c r="G1962" i="16"/>
  <c r="AB1963" i="16"/>
  <c r="J1962" i="16"/>
  <c r="F1962" i="16"/>
  <c r="AD1963" i="16"/>
  <c r="AB2022" i="16"/>
  <c r="AD2022" i="16" s="1"/>
  <c r="I2021" i="16"/>
  <c r="E2021" i="16"/>
  <c r="H2021" i="16"/>
  <c r="K2021" i="16"/>
  <c r="G2021" i="16"/>
  <c r="J2021" i="16"/>
  <c r="F2021" i="16"/>
  <c r="I2023" i="16"/>
  <c r="E2023" i="16"/>
  <c r="H2023" i="16"/>
  <c r="AB2024" i="16"/>
  <c r="AD2024" i="16" s="1"/>
  <c r="K2023" i="16"/>
  <c r="G2023" i="16"/>
  <c r="J2023" i="16"/>
  <c r="F2023" i="16"/>
  <c r="AD2025" i="16"/>
  <c r="AD2086" i="16"/>
  <c r="I2082" i="16"/>
  <c r="E2082" i="16"/>
  <c r="H2082" i="16"/>
  <c r="K2082" i="16"/>
  <c r="G2082" i="16"/>
  <c r="AB2083" i="16"/>
  <c r="AD2083" i="16" s="1"/>
  <c r="J2082" i="16"/>
  <c r="F2082" i="16"/>
  <c r="AB2142" i="16"/>
  <c r="AD2142" i="16" s="1"/>
  <c r="I2141" i="16"/>
  <c r="E2141" i="16"/>
  <c r="H2141" i="16"/>
  <c r="K2141" i="16"/>
  <c r="G2141" i="16"/>
  <c r="J2141" i="16"/>
  <c r="F2141" i="16"/>
  <c r="I2143" i="16"/>
  <c r="E2143" i="16"/>
  <c r="H2143" i="16"/>
  <c r="AB2144" i="16"/>
  <c r="AD2144" i="16" s="1"/>
  <c r="K2143" i="16"/>
  <c r="G2143" i="16"/>
  <c r="J2143" i="16"/>
  <c r="F2143" i="16"/>
  <c r="AD2236" i="16"/>
  <c r="I2232" i="16"/>
  <c r="E2232" i="16"/>
  <c r="H2232" i="16"/>
  <c r="K2232" i="16"/>
  <c r="G2232" i="16"/>
  <c r="AB2233" i="16"/>
  <c r="AD2233" i="16" s="1"/>
  <c r="J2232" i="16"/>
  <c r="F2232" i="16"/>
  <c r="K3886" i="16"/>
  <c r="AD5746" i="16"/>
  <c r="I5742" i="16"/>
  <c r="E5742" i="16"/>
  <c r="G5742" i="16"/>
  <c r="K5742" i="16"/>
  <c r="J5742" i="16"/>
  <c r="H5742" i="16"/>
  <c r="AB5743" i="16"/>
  <c r="AD5743" i="16" s="1"/>
  <c r="F5742" i="16"/>
  <c r="K4756" i="16"/>
  <c r="I5470" i="16"/>
  <c r="E5470" i="16"/>
  <c r="J5470" i="16"/>
  <c r="H5470" i="16"/>
  <c r="G5470" i="16"/>
  <c r="F5470" i="16"/>
  <c r="AB5471" i="16"/>
  <c r="K5470" i="16"/>
  <c r="AD5475" i="16"/>
  <c r="I5952" i="16"/>
  <c r="E5952" i="16"/>
  <c r="AB5953" i="16"/>
  <c r="AD5953" i="16" s="1"/>
  <c r="H5952" i="16"/>
  <c r="G5952" i="16"/>
  <c r="J5952" i="16"/>
  <c r="F5952" i="16"/>
  <c r="K5952" i="16"/>
  <c r="AD5951" i="16"/>
  <c r="K5955" i="16"/>
  <c r="G5955" i="16"/>
  <c r="I5955" i="16"/>
  <c r="AB5956" i="16"/>
  <c r="AD5956" i="16" s="1"/>
  <c r="H5955" i="16"/>
  <c r="E5955" i="16"/>
  <c r="J5955" i="16"/>
  <c r="F5955" i="16"/>
  <c r="K5441" i="16"/>
  <c r="G5441" i="16"/>
  <c r="AB5442" i="16"/>
  <c r="AD5442" i="16" s="1"/>
  <c r="H5441" i="16"/>
  <c r="F5441" i="16"/>
  <c r="J5441" i="16"/>
  <c r="I5441" i="16"/>
  <c r="E5441" i="16"/>
  <c r="K5896" i="16"/>
  <c r="I760" i="16"/>
  <c r="E760" i="16"/>
  <c r="H760" i="16"/>
  <c r="AB761" i="16"/>
  <c r="AD761" i="16" s="1"/>
  <c r="K760" i="16"/>
  <c r="G760" i="16"/>
  <c r="J760" i="16"/>
  <c r="F760" i="16"/>
  <c r="K1246" i="16"/>
  <c r="F33" i="23"/>
  <c r="I8" i="42" s="1"/>
  <c r="P135" i="16"/>
  <c r="G30" i="30"/>
  <c r="P132" i="16"/>
  <c r="AB131" i="16"/>
  <c r="AD131" i="16" s="1"/>
  <c r="K130" i="16"/>
  <c r="G130" i="16"/>
  <c r="J130" i="16"/>
  <c r="F130" i="16"/>
  <c r="I130" i="16"/>
  <c r="E130" i="16"/>
  <c r="H130" i="16"/>
  <c r="J132" i="16"/>
  <c r="F132" i="16"/>
  <c r="I132" i="16"/>
  <c r="E132" i="16"/>
  <c r="AB133" i="16"/>
  <c r="AD133" i="16" s="1"/>
  <c r="H132" i="16"/>
  <c r="K132" i="16"/>
  <c r="G132" i="16"/>
  <c r="I131" i="16"/>
  <c r="E131" i="16"/>
  <c r="H131" i="16"/>
  <c r="AB132" i="16"/>
  <c r="AD132" i="16" s="1"/>
  <c r="K131" i="16"/>
  <c r="G131" i="16"/>
  <c r="J131" i="16"/>
  <c r="F131" i="16"/>
  <c r="H134" i="16"/>
  <c r="AB135" i="16"/>
  <c r="AD135" i="16" s="1"/>
  <c r="K134" i="16"/>
  <c r="G134" i="16"/>
  <c r="J134" i="16"/>
  <c r="F134" i="16"/>
  <c r="I134" i="16"/>
  <c r="E134" i="16"/>
  <c r="AD1302" i="16"/>
  <c r="K1305" i="16"/>
  <c r="G1305" i="16"/>
  <c r="J1305" i="16"/>
  <c r="E1305" i="16"/>
  <c r="I1305" i="16"/>
  <c r="H1305" i="16"/>
  <c r="AB1306" i="16"/>
  <c r="AD1306" i="16" s="1"/>
  <c r="F1305" i="16"/>
  <c r="AD1305" i="16"/>
  <c r="K1785" i="16"/>
  <c r="G1785" i="16"/>
  <c r="AB1786" i="16"/>
  <c r="AD1786" i="16" s="1"/>
  <c r="J1785" i="16"/>
  <c r="F1785" i="16"/>
  <c r="I1785" i="16"/>
  <c r="E1785" i="16"/>
  <c r="H1785" i="16"/>
  <c r="H1784" i="16"/>
  <c r="K1784" i="16"/>
  <c r="G1784" i="16"/>
  <c r="J1784" i="16"/>
  <c r="F1784" i="16"/>
  <c r="AB1785" i="16"/>
  <c r="I1784" i="16"/>
  <c r="E1784" i="16"/>
  <c r="K4426" i="16"/>
  <c r="J5534" i="16"/>
  <c r="F5534" i="16"/>
  <c r="G5534" i="16"/>
  <c r="K5534" i="16"/>
  <c r="E5534" i="16"/>
  <c r="I5534" i="16"/>
  <c r="AB5535" i="16"/>
  <c r="AD5535" i="16" s="1"/>
  <c r="H5534" i="16"/>
  <c r="I5530" i="16"/>
  <c r="E5530" i="16"/>
  <c r="J5530" i="16"/>
  <c r="H5530" i="16"/>
  <c r="K5530" i="16"/>
  <c r="G5530" i="16"/>
  <c r="F5530" i="16"/>
  <c r="AB5531" i="16"/>
  <c r="AD5531" i="16" s="1"/>
  <c r="AB1871" i="16"/>
  <c r="AD1871" i="16" s="1"/>
  <c r="K1870" i="16"/>
  <c r="G1870" i="16"/>
  <c r="J1870" i="16"/>
  <c r="F1870" i="16"/>
  <c r="I1870" i="16"/>
  <c r="E1870" i="16"/>
  <c r="H1870" i="16"/>
  <c r="H1874" i="16"/>
  <c r="K1874" i="16"/>
  <c r="G1874" i="16"/>
  <c r="J1874" i="16"/>
  <c r="F1874" i="16"/>
  <c r="AB1875" i="16"/>
  <c r="AD1875" i="16" s="1"/>
  <c r="I1874" i="16"/>
  <c r="E1874" i="16"/>
  <c r="K2205" i="16"/>
  <c r="G2205" i="16"/>
  <c r="AB2206" i="16"/>
  <c r="J2205" i="16"/>
  <c r="F2205" i="16"/>
  <c r="I2205" i="16"/>
  <c r="E2205" i="16"/>
  <c r="H2205" i="16"/>
  <c r="AB2291" i="16"/>
  <c r="AD2291" i="16" s="1"/>
  <c r="K2290" i="16"/>
  <c r="G2290" i="16"/>
  <c r="J2290" i="16"/>
  <c r="F2290" i="16"/>
  <c r="I2290" i="16"/>
  <c r="E2290" i="16"/>
  <c r="H2290" i="16"/>
  <c r="H2294" i="16"/>
  <c r="K2294" i="16"/>
  <c r="G2294" i="16"/>
  <c r="J2294" i="16"/>
  <c r="F2294" i="16"/>
  <c r="AB2295" i="16"/>
  <c r="I2294" i="16"/>
  <c r="E2294" i="16"/>
  <c r="K2355" i="16"/>
  <c r="G2355" i="16"/>
  <c r="AB2356" i="16"/>
  <c r="AD2356" i="16" s="1"/>
  <c r="J2355" i="16"/>
  <c r="F2355" i="16"/>
  <c r="I2355" i="16"/>
  <c r="E2355" i="16"/>
  <c r="H2355" i="16"/>
  <c r="AB2413" i="16"/>
  <c r="AD2413" i="16" s="1"/>
  <c r="J2412" i="16"/>
  <c r="F2412" i="16"/>
  <c r="H2412" i="16"/>
  <c r="G2412" i="16"/>
  <c r="K2412" i="16"/>
  <c r="E2412" i="16"/>
  <c r="I2412" i="16"/>
  <c r="K5236" i="16"/>
  <c r="AB3796" i="16"/>
  <c r="AD3796" i="16" s="1"/>
  <c r="J3795" i="16"/>
  <c r="F3795" i="16"/>
  <c r="I3795" i="16"/>
  <c r="E3795" i="16"/>
  <c r="K3795" i="16"/>
  <c r="H3795" i="16"/>
  <c r="G3795" i="16"/>
  <c r="K2566" i="16"/>
  <c r="K2626" i="16"/>
  <c r="K3586" i="16"/>
  <c r="K5416" i="16"/>
  <c r="K4036" i="16"/>
  <c r="K5176" i="16"/>
  <c r="K4666" i="16"/>
  <c r="AB5504" i="16"/>
  <c r="AD5504" i="16" s="1"/>
  <c r="K5503" i="16"/>
  <c r="G5503" i="16"/>
  <c r="F5503" i="16"/>
  <c r="J5503" i="16"/>
  <c r="E5503" i="16"/>
  <c r="H5503" i="16"/>
  <c r="I5503" i="16"/>
  <c r="AD5506" i="16"/>
  <c r="K462" i="16"/>
  <c r="G462" i="16"/>
  <c r="AB463" i="16"/>
  <c r="AD463" i="16" s="1"/>
  <c r="J462" i="16"/>
  <c r="F462" i="16"/>
  <c r="I462" i="16"/>
  <c r="E462" i="16"/>
  <c r="H462" i="16"/>
  <c r="AD464" i="16"/>
  <c r="K521" i="16"/>
  <c r="G521" i="16"/>
  <c r="J521" i="16"/>
  <c r="F521" i="16"/>
  <c r="AB522" i="16"/>
  <c r="AD522" i="16" s="1"/>
  <c r="I521" i="16"/>
  <c r="E521" i="16"/>
  <c r="H521" i="16"/>
  <c r="AB524" i="16"/>
  <c r="AD524" i="16" s="1"/>
  <c r="K523" i="16"/>
  <c r="G523" i="16"/>
  <c r="J523" i="16"/>
  <c r="F523" i="16"/>
  <c r="I523" i="16"/>
  <c r="E523" i="16"/>
  <c r="H523" i="16"/>
  <c r="AD525" i="16"/>
  <c r="AD526" i="16"/>
  <c r="K582" i="16"/>
  <c r="G582" i="16"/>
  <c r="AB583" i="16"/>
  <c r="AD583" i="16" s="1"/>
  <c r="J582" i="16"/>
  <c r="F582" i="16"/>
  <c r="I582" i="16"/>
  <c r="E582" i="16"/>
  <c r="H582" i="16"/>
  <c r="AD584" i="16"/>
  <c r="K641" i="16"/>
  <c r="G641" i="16"/>
  <c r="J641" i="16"/>
  <c r="F641" i="16"/>
  <c r="AB642" i="16"/>
  <c r="AD642" i="16" s="1"/>
  <c r="I641" i="16"/>
  <c r="E641" i="16"/>
  <c r="H641" i="16"/>
  <c r="AB644" i="16"/>
  <c r="AD644" i="16" s="1"/>
  <c r="K643" i="16"/>
  <c r="G643" i="16"/>
  <c r="J643" i="16"/>
  <c r="F643" i="16"/>
  <c r="I643" i="16"/>
  <c r="E643" i="16"/>
  <c r="H643" i="16"/>
  <c r="AD645" i="16"/>
  <c r="K702" i="16"/>
  <c r="G702" i="16"/>
  <c r="AB703" i="16"/>
  <c r="AD703" i="16" s="1"/>
  <c r="J702" i="16"/>
  <c r="F702" i="16"/>
  <c r="I702" i="16"/>
  <c r="E702" i="16"/>
  <c r="H702" i="16"/>
  <c r="AD704" i="16"/>
  <c r="K1366" i="16"/>
  <c r="AB1541" i="16"/>
  <c r="K1540" i="16"/>
  <c r="G1540" i="16"/>
  <c r="J1540" i="16"/>
  <c r="F1540" i="16"/>
  <c r="E1540" i="16"/>
  <c r="I1540" i="16"/>
  <c r="H1540" i="16"/>
  <c r="AD1541" i="16"/>
  <c r="AB1451" i="16"/>
  <c r="AD1451" i="16" s="1"/>
  <c r="K1450" i="16"/>
  <c r="G1450" i="16"/>
  <c r="J1450" i="16"/>
  <c r="F1450" i="16"/>
  <c r="I1450" i="16"/>
  <c r="H1450" i="16"/>
  <c r="E1450" i="16"/>
  <c r="I1452" i="16"/>
  <c r="E1452" i="16"/>
  <c r="H1452" i="16"/>
  <c r="F1452" i="16"/>
  <c r="K1452" i="16"/>
  <c r="J1452" i="16"/>
  <c r="AB1453" i="16"/>
  <c r="AD1453" i="16" s="1"/>
  <c r="G1452" i="16"/>
  <c r="AD1636" i="16"/>
  <c r="I1632" i="16"/>
  <c r="E1632" i="16"/>
  <c r="H1632" i="16"/>
  <c r="K1632" i="16"/>
  <c r="G1632" i="16"/>
  <c r="F1632" i="16"/>
  <c r="AB1633" i="16"/>
  <c r="AD1633" i="16" s="1"/>
  <c r="J1632" i="16"/>
  <c r="AD1756" i="16"/>
  <c r="I1752" i="16"/>
  <c r="E1752" i="16"/>
  <c r="H1752" i="16"/>
  <c r="K1752" i="16"/>
  <c r="G1752" i="16"/>
  <c r="F1752" i="16"/>
  <c r="AB1753" i="16"/>
  <c r="AD1753" i="16" s="1"/>
  <c r="J1752" i="16"/>
  <c r="AD346" i="16"/>
  <c r="I342" i="16"/>
  <c r="E342" i="16"/>
  <c r="H342" i="16"/>
  <c r="K342" i="16"/>
  <c r="G342" i="16"/>
  <c r="AB343" i="16"/>
  <c r="AD343" i="16" s="1"/>
  <c r="J342" i="16"/>
  <c r="F342" i="16"/>
  <c r="AB372" i="16"/>
  <c r="AD372" i="16" s="1"/>
  <c r="I371" i="16"/>
  <c r="E371" i="16"/>
  <c r="H371" i="16"/>
  <c r="K371" i="16"/>
  <c r="G371" i="16"/>
  <c r="J371" i="16"/>
  <c r="F371" i="16"/>
  <c r="I373" i="16"/>
  <c r="E373" i="16"/>
  <c r="H373" i="16"/>
  <c r="AB374" i="16"/>
  <c r="AD374" i="16" s="1"/>
  <c r="K373" i="16"/>
  <c r="G373" i="16"/>
  <c r="J373" i="16"/>
  <c r="F373" i="16"/>
  <c r="AD375" i="16"/>
  <c r="K826" i="16"/>
  <c r="K886" i="16"/>
  <c r="K946" i="16"/>
  <c r="K1006" i="16"/>
  <c r="K1066" i="16"/>
  <c r="K1126" i="16"/>
  <c r="I1213" i="16"/>
  <c r="E1213" i="16"/>
  <c r="H1213" i="16"/>
  <c r="G1213" i="16"/>
  <c r="AB1214" i="16"/>
  <c r="AD1214" i="16" s="1"/>
  <c r="K1213" i="16"/>
  <c r="F1213" i="16"/>
  <c r="J1213" i="16"/>
  <c r="AD1212" i="16"/>
  <c r="K1215" i="16"/>
  <c r="G1215" i="16"/>
  <c r="I1215" i="16"/>
  <c r="H1215" i="16"/>
  <c r="AB1216" i="16"/>
  <c r="AD1216" i="16" s="1"/>
  <c r="F1215" i="16"/>
  <c r="J1215" i="16"/>
  <c r="E1215" i="16"/>
  <c r="AD1215" i="16"/>
  <c r="AD1336" i="16"/>
  <c r="AB1331" i="16"/>
  <c r="AD1331" i="16" s="1"/>
  <c r="K1330" i="16"/>
  <c r="G1330" i="16"/>
  <c r="I1330" i="16"/>
  <c r="H1330" i="16"/>
  <c r="F1330" i="16"/>
  <c r="J1330" i="16"/>
  <c r="E1330" i="16"/>
  <c r="AD1333" i="16"/>
  <c r="AD1726" i="16"/>
  <c r="I1722" i="16"/>
  <c r="E1722" i="16"/>
  <c r="H1722" i="16"/>
  <c r="K1722" i="16"/>
  <c r="G1722" i="16"/>
  <c r="J1722" i="16"/>
  <c r="F1722" i="16"/>
  <c r="AB1723" i="16"/>
  <c r="AD1723" i="16" s="1"/>
  <c r="AD3614" i="16"/>
  <c r="AD3616" i="16"/>
  <c r="H3612" i="16"/>
  <c r="K3612" i="16"/>
  <c r="G3612" i="16"/>
  <c r="F3612" i="16"/>
  <c r="E3612" i="16"/>
  <c r="J3612" i="16"/>
  <c r="AB3613" i="16"/>
  <c r="AD3613" i="16" s="1"/>
  <c r="I3612" i="16"/>
  <c r="K3674" i="16"/>
  <c r="G3674" i="16"/>
  <c r="J3674" i="16"/>
  <c r="F3674" i="16"/>
  <c r="H3674" i="16"/>
  <c r="AB3675" i="16"/>
  <c r="AD3675" i="16" s="1"/>
  <c r="E3674" i="16"/>
  <c r="I3674" i="16"/>
  <c r="J3670" i="16"/>
  <c r="F3670" i="16"/>
  <c r="I3670" i="16"/>
  <c r="E3670" i="16"/>
  <c r="K3670" i="16"/>
  <c r="H3670" i="16"/>
  <c r="G3670" i="16"/>
  <c r="AB3671" i="16"/>
  <c r="AD3671" i="16" s="1"/>
  <c r="H3671" i="16"/>
  <c r="K3671" i="16"/>
  <c r="G3671" i="16"/>
  <c r="J3671" i="16"/>
  <c r="I3671" i="16"/>
  <c r="AB3672" i="16"/>
  <c r="AD3672" i="16" s="1"/>
  <c r="F3671" i="16"/>
  <c r="E3671" i="16"/>
  <c r="H3673" i="16"/>
  <c r="AB3674" i="16"/>
  <c r="AD3674" i="16" s="1"/>
  <c r="K3673" i="16"/>
  <c r="G3673" i="16"/>
  <c r="E3673" i="16"/>
  <c r="J3673" i="16"/>
  <c r="I3673" i="16"/>
  <c r="F3673" i="16"/>
  <c r="AB1931" i="16"/>
  <c r="AD1931" i="16" s="1"/>
  <c r="K1930" i="16"/>
  <c r="G1930" i="16"/>
  <c r="J1930" i="16"/>
  <c r="F1930" i="16"/>
  <c r="I1930" i="16"/>
  <c r="E1930" i="16"/>
  <c r="H1930" i="16"/>
  <c r="AD1932" i="16"/>
  <c r="H1934" i="16"/>
  <c r="K1934" i="16"/>
  <c r="G1934" i="16"/>
  <c r="J1934" i="16"/>
  <c r="F1934" i="16"/>
  <c r="AB1935" i="16"/>
  <c r="AD1935" i="16" s="1"/>
  <c r="I1934" i="16"/>
  <c r="E1934" i="16"/>
  <c r="K1995" i="16"/>
  <c r="G1995" i="16"/>
  <c r="AB1996" i="16"/>
  <c r="AD1996" i="16" s="1"/>
  <c r="J1995" i="16"/>
  <c r="F1995" i="16"/>
  <c r="I1995" i="16"/>
  <c r="E1995" i="16"/>
  <c r="H1995" i="16"/>
  <c r="AD1991" i="16"/>
  <c r="AB2051" i="16"/>
  <c r="AD2051" i="16" s="1"/>
  <c r="K2050" i="16"/>
  <c r="G2050" i="16"/>
  <c r="J2050" i="16"/>
  <c r="F2050" i="16"/>
  <c r="I2050" i="16"/>
  <c r="E2050" i="16"/>
  <c r="H2050" i="16"/>
  <c r="AD2052" i="16"/>
  <c r="H2054" i="16"/>
  <c r="K2054" i="16"/>
  <c r="G2054" i="16"/>
  <c r="J2054" i="16"/>
  <c r="F2054" i="16"/>
  <c r="AB2055" i="16"/>
  <c r="AD2055" i="16" s="1"/>
  <c r="I2054" i="16"/>
  <c r="E2054" i="16"/>
  <c r="K2115" i="16"/>
  <c r="G2115" i="16"/>
  <c r="AB2116" i="16"/>
  <c r="AD2116" i="16" s="1"/>
  <c r="J2115" i="16"/>
  <c r="F2115" i="16"/>
  <c r="I2115" i="16"/>
  <c r="E2115" i="16"/>
  <c r="H2115" i="16"/>
  <c r="AB2171" i="16"/>
  <c r="AD2171" i="16" s="1"/>
  <c r="K2170" i="16"/>
  <c r="G2170" i="16"/>
  <c r="J2170" i="16"/>
  <c r="F2170" i="16"/>
  <c r="I2170" i="16"/>
  <c r="E2170" i="16"/>
  <c r="H2170" i="16"/>
  <c r="AD2172" i="16"/>
  <c r="H2174" i="16"/>
  <c r="K2174" i="16"/>
  <c r="G2174" i="16"/>
  <c r="J2174" i="16"/>
  <c r="F2174" i="16"/>
  <c r="AB2175" i="16"/>
  <c r="AD2175" i="16" s="1"/>
  <c r="I2174" i="16"/>
  <c r="E2174" i="16"/>
  <c r="AB3736" i="16"/>
  <c r="AD3736" i="16" s="1"/>
  <c r="J3735" i="16"/>
  <c r="F3735" i="16"/>
  <c r="I3735" i="16"/>
  <c r="E3735" i="16"/>
  <c r="K3735" i="16"/>
  <c r="H3735" i="16"/>
  <c r="G3735" i="16"/>
  <c r="AD3732" i="16"/>
  <c r="K5562" i="16"/>
  <c r="G5562" i="16"/>
  <c r="J5562" i="16"/>
  <c r="E5562" i="16"/>
  <c r="AB5563" i="16"/>
  <c r="AD5563" i="16" s="1"/>
  <c r="I5562" i="16"/>
  <c r="H5562" i="16"/>
  <c r="F5562" i="16"/>
  <c r="K5565" i="16"/>
  <c r="G5565" i="16"/>
  <c r="J5565" i="16"/>
  <c r="E5565" i="16"/>
  <c r="H5565" i="16"/>
  <c r="AB5566" i="16"/>
  <c r="AD5566" i="16" s="1"/>
  <c r="F5565" i="16"/>
  <c r="I5565" i="16"/>
  <c r="I5593" i="16"/>
  <c r="E5593" i="16"/>
  <c r="H5593" i="16"/>
  <c r="K5593" i="16"/>
  <c r="J5593" i="16"/>
  <c r="AB5594" i="16"/>
  <c r="AD5594" i="16" s="1"/>
  <c r="G5593" i="16"/>
  <c r="F5593" i="16"/>
  <c r="AB5591" i="16"/>
  <c r="AD5591" i="16" s="1"/>
  <c r="K5590" i="16"/>
  <c r="G5590" i="16"/>
  <c r="I5590" i="16"/>
  <c r="F5590" i="16"/>
  <c r="E5590" i="16"/>
  <c r="J5590" i="16"/>
  <c r="H5590" i="16"/>
  <c r="AD5593" i="16"/>
  <c r="AB5681" i="16"/>
  <c r="AD5681" i="16" s="1"/>
  <c r="K5680" i="16"/>
  <c r="K5686" i="16" s="1"/>
  <c r="G5680" i="16"/>
  <c r="J5680" i="16"/>
  <c r="E5680" i="16"/>
  <c r="I5680" i="16"/>
  <c r="H5680" i="16"/>
  <c r="F5680" i="16"/>
  <c r="AD5682" i="16"/>
  <c r="AD5686" i="16"/>
  <c r="AD5685" i="16"/>
  <c r="AB5711" i="16"/>
  <c r="AD5711" i="16" s="1"/>
  <c r="K5710" i="16"/>
  <c r="K5716" i="16" s="1"/>
  <c r="G5710" i="16"/>
  <c r="I5710" i="16"/>
  <c r="E5710" i="16"/>
  <c r="J5710" i="16"/>
  <c r="H5710" i="16"/>
  <c r="F5710" i="16"/>
  <c r="AD5713" i="16"/>
  <c r="AB1422" i="16"/>
  <c r="AD1422" i="16" s="1"/>
  <c r="I1421" i="16"/>
  <c r="E1421" i="16"/>
  <c r="H1421" i="16"/>
  <c r="K1421" i="16"/>
  <c r="J1421" i="16"/>
  <c r="G1421" i="16"/>
  <c r="F1421" i="16"/>
  <c r="I1423" i="16"/>
  <c r="E1423" i="16"/>
  <c r="H1423" i="16"/>
  <c r="F1423" i="16"/>
  <c r="AB1424" i="16"/>
  <c r="AD1424" i="16" s="1"/>
  <c r="K1423" i="16"/>
  <c r="J1423" i="16"/>
  <c r="G1423" i="16"/>
  <c r="AD402" i="16"/>
  <c r="AB405" i="16"/>
  <c r="AD405" i="16" s="1"/>
  <c r="I404" i="16"/>
  <c r="E404" i="16"/>
  <c r="H404" i="16"/>
  <c r="K404" i="16"/>
  <c r="G404" i="16"/>
  <c r="J404" i="16"/>
  <c r="F404" i="16"/>
  <c r="H405" i="16"/>
  <c r="K405" i="16"/>
  <c r="G405" i="16"/>
  <c r="AB406" i="16"/>
  <c r="AD406" i="16" s="1"/>
  <c r="J405" i="16"/>
  <c r="F405" i="16"/>
  <c r="I405" i="16"/>
  <c r="E405" i="16"/>
  <c r="AB1572" i="16"/>
  <c r="AD1572" i="16" s="1"/>
  <c r="I1571" i="16"/>
  <c r="E1571" i="16"/>
  <c r="H1571" i="16"/>
  <c r="K1571" i="16"/>
  <c r="G1571" i="16"/>
  <c r="J1571" i="16"/>
  <c r="F1571" i="16"/>
  <c r="I1573" i="16"/>
  <c r="E1573" i="16"/>
  <c r="H1573" i="16"/>
  <c r="AB1574" i="16"/>
  <c r="AD1574" i="16" s="1"/>
  <c r="K1573" i="16"/>
  <c r="G1573" i="16"/>
  <c r="J1573" i="16"/>
  <c r="F1573" i="16"/>
  <c r="AD1575" i="16"/>
  <c r="AD316" i="16"/>
  <c r="I312" i="16"/>
  <c r="E312" i="16"/>
  <c r="H312" i="16"/>
  <c r="K312" i="16"/>
  <c r="G312" i="16"/>
  <c r="AB313" i="16"/>
  <c r="AD313" i="16" s="1"/>
  <c r="J312" i="16"/>
  <c r="F312" i="16"/>
  <c r="AB1181" i="16"/>
  <c r="AD1181" i="16" s="1"/>
  <c r="K1180" i="16"/>
  <c r="K1186" i="16" s="1"/>
  <c r="G1180" i="16"/>
  <c r="J1180" i="16"/>
  <c r="E1180" i="16"/>
  <c r="I1180" i="16"/>
  <c r="H1180" i="16"/>
  <c r="F1180" i="16"/>
  <c r="I1183" i="16"/>
  <c r="E1183" i="16"/>
  <c r="J1183" i="16"/>
  <c r="H1183" i="16"/>
  <c r="G1183" i="16"/>
  <c r="AB1184" i="16"/>
  <c r="AD1184" i="16" s="1"/>
  <c r="K1183" i="16"/>
  <c r="F1183" i="16"/>
  <c r="AD1183" i="16"/>
  <c r="K256" i="16"/>
  <c r="I1392" i="16"/>
  <c r="E1392" i="16"/>
  <c r="H1392" i="16"/>
  <c r="J1392" i="16"/>
  <c r="AB1393" i="16"/>
  <c r="G1392" i="16"/>
  <c r="F1392" i="16"/>
  <c r="K1392" i="16"/>
  <c r="AD1393" i="16"/>
  <c r="AD1516" i="16"/>
  <c r="I1512" i="16"/>
  <c r="E1512" i="16"/>
  <c r="H1512" i="16"/>
  <c r="J1512" i="16"/>
  <c r="AB1513" i="16"/>
  <c r="AD1513" i="16" s="1"/>
  <c r="G1512" i="16"/>
  <c r="F1512" i="16"/>
  <c r="K1512" i="16"/>
  <c r="AD1666" i="16"/>
  <c r="I1662" i="16"/>
  <c r="E1662" i="16"/>
  <c r="H1662" i="16"/>
  <c r="K1662" i="16"/>
  <c r="G1662" i="16"/>
  <c r="J1662" i="16"/>
  <c r="F1662" i="16"/>
  <c r="AB1663" i="16"/>
  <c r="AD1663" i="16"/>
  <c r="AB2261" i="16"/>
  <c r="AD2261" i="16" s="1"/>
  <c r="K2260" i="16"/>
  <c r="G2260" i="16"/>
  <c r="J2260" i="16"/>
  <c r="F2260" i="16"/>
  <c r="I2260" i="16"/>
  <c r="E2260" i="16"/>
  <c r="H2260" i="16"/>
  <c r="AD2262" i="16"/>
  <c r="H2264" i="16"/>
  <c r="K2264" i="16"/>
  <c r="G2264" i="16"/>
  <c r="J2264" i="16"/>
  <c r="F2264" i="16"/>
  <c r="AB2265" i="16"/>
  <c r="AD2265" i="16" s="1"/>
  <c r="I2264" i="16"/>
  <c r="E2264" i="16"/>
  <c r="K2325" i="16"/>
  <c r="G2325" i="16"/>
  <c r="AB2326" i="16"/>
  <c r="AD2326" i="16" s="1"/>
  <c r="J2325" i="16"/>
  <c r="F2325" i="16"/>
  <c r="I2325" i="16"/>
  <c r="E2325" i="16"/>
  <c r="H2325" i="16"/>
  <c r="AD2321" i="16"/>
  <c r="AB2381" i="16"/>
  <c r="AD2381" i="16" s="1"/>
  <c r="K2380" i="16"/>
  <c r="G2380" i="16"/>
  <c r="J2380" i="16"/>
  <c r="F2380" i="16"/>
  <c r="I2380" i="16"/>
  <c r="E2380" i="16"/>
  <c r="H2380" i="16"/>
  <c r="AD2382" i="16"/>
  <c r="H2384" i="16"/>
  <c r="K2384" i="16"/>
  <c r="G2384" i="16"/>
  <c r="J2384" i="16"/>
  <c r="F2384" i="16"/>
  <c r="AB2385" i="16"/>
  <c r="AD2385" i="16" s="1"/>
  <c r="I2384" i="16"/>
  <c r="E2384" i="16"/>
  <c r="AD3852" i="16"/>
  <c r="H3855" i="16"/>
  <c r="K3855" i="16"/>
  <c r="F3855" i="16"/>
  <c r="J3855" i="16"/>
  <c r="E3855" i="16"/>
  <c r="AB3856" i="16"/>
  <c r="AD3856" i="16" s="1"/>
  <c r="I3855" i="16"/>
  <c r="G3855" i="16"/>
  <c r="K4996" i="16"/>
  <c r="AD3644" i="16"/>
  <c r="AB3646" i="16"/>
  <c r="AD3646" i="16" s="1"/>
  <c r="J3645" i="16"/>
  <c r="F3645" i="16"/>
  <c r="I3645" i="16"/>
  <c r="E3645" i="16"/>
  <c r="G3645" i="16"/>
  <c r="K3645" i="16"/>
  <c r="H3645" i="16"/>
  <c r="AD3704" i="16"/>
  <c r="AB3706" i="16"/>
  <c r="AD3706" i="16" s="1"/>
  <c r="J3705" i="16"/>
  <c r="F3705" i="16"/>
  <c r="I3705" i="16"/>
  <c r="E3705" i="16"/>
  <c r="G3705" i="16"/>
  <c r="K3705" i="16"/>
  <c r="H3705" i="16"/>
  <c r="AD3764" i="16"/>
  <c r="AB3766" i="16"/>
  <c r="AD3766" i="16" s="1"/>
  <c r="J3765" i="16"/>
  <c r="F3765" i="16"/>
  <c r="I3765" i="16"/>
  <c r="E3765" i="16"/>
  <c r="G3765" i="16"/>
  <c r="K3765" i="16"/>
  <c r="H3765" i="16"/>
  <c r="AD3824" i="16"/>
  <c r="AB3826" i="16"/>
  <c r="AD3826" i="16" s="1"/>
  <c r="J3825" i="16"/>
  <c r="F3825" i="16"/>
  <c r="I3825" i="16"/>
  <c r="E3825" i="16"/>
  <c r="G3825" i="16"/>
  <c r="K3825" i="16"/>
  <c r="H3825" i="16"/>
  <c r="AD4965" i="16"/>
  <c r="AD4962" i="16"/>
  <c r="I5020" i="16"/>
  <c r="E5020" i="16"/>
  <c r="H5020" i="16"/>
  <c r="AB5021" i="16"/>
  <c r="AD5021" i="16" s="1"/>
  <c r="G5020" i="16"/>
  <c r="K5020" i="16"/>
  <c r="F5020" i="16"/>
  <c r="J5020" i="16"/>
  <c r="I5025" i="16"/>
  <c r="E5025" i="16"/>
  <c r="H5025" i="16"/>
  <c r="G5025" i="16"/>
  <c r="AB5026" i="16"/>
  <c r="AD5026" i="16" s="1"/>
  <c r="K5025" i="16"/>
  <c r="F5025" i="16"/>
  <c r="J5025" i="16"/>
  <c r="J5024" i="16"/>
  <c r="F5024" i="16"/>
  <c r="K5024" i="16"/>
  <c r="E5024" i="16"/>
  <c r="I5024" i="16"/>
  <c r="AB5025" i="16"/>
  <c r="AD5025" i="16" s="1"/>
  <c r="H5024" i="16"/>
  <c r="G5024" i="16"/>
  <c r="AD5023" i="16"/>
  <c r="K5082" i="16"/>
  <c r="G5082" i="16"/>
  <c r="H5082" i="16"/>
  <c r="F5082" i="16"/>
  <c r="J5082" i="16"/>
  <c r="E5082" i="16"/>
  <c r="AB5083" i="16"/>
  <c r="AD5083" i="16" s="1"/>
  <c r="I5082" i="16"/>
  <c r="AD5082" i="16"/>
  <c r="K4726" i="16"/>
  <c r="K5835" i="16"/>
  <c r="G5835" i="16"/>
  <c r="I5835" i="16"/>
  <c r="J5835" i="16"/>
  <c r="H5835" i="16"/>
  <c r="F5835" i="16"/>
  <c r="AB5836" i="16"/>
  <c r="AD5836" i="16" s="1"/>
  <c r="E5835" i="16"/>
  <c r="AD5921" i="16"/>
  <c r="AD5925" i="16"/>
  <c r="K431" i="16"/>
  <c r="G431" i="16"/>
  <c r="J431" i="16"/>
  <c r="F431" i="16"/>
  <c r="AB432" i="16"/>
  <c r="AD432" i="16" s="1"/>
  <c r="I431" i="16"/>
  <c r="E431" i="16"/>
  <c r="H431" i="16"/>
  <c r="AB434" i="16"/>
  <c r="AD434" i="16" s="1"/>
  <c r="K433" i="16"/>
  <c r="G433" i="16"/>
  <c r="J433" i="16"/>
  <c r="F433" i="16"/>
  <c r="I433" i="16"/>
  <c r="E433" i="16"/>
  <c r="H433" i="16"/>
  <c r="AD435" i="16"/>
  <c r="AD436" i="16"/>
  <c r="K492" i="16"/>
  <c r="G492" i="16"/>
  <c r="AB493" i="16"/>
  <c r="AD493" i="16" s="1"/>
  <c r="J492" i="16"/>
  <c r="F492" i="16"/>
  <c r="I492" i="16"/>
  <c r="E492" i="16"/>
  <c r="H492" i="16"/>
  <c r="AD494" i="16"/>
  <c r="K551" i="16"/>
  <c r="G551" i="16"/>
  <c r="J551" i="16"/>
  <c r="F551" i="16"/>
  <c r="AB552" i="16"/>
  <c r="AD552" i="16" s="1"/>
  <c r="I551" i="16"/>
  <c r="E551" i="16"/>
  <c r="H551" i="16"/>
  <c r="AB554" i="16"/>
  <c r="AD554" i="16" s="1"/>
  <c r="K553" i="16"/>
  <c r="G553" i="16"/>
  <c r="J553" i="16"/>
  <c r="F553" i="16"/>
  <c r="I553" i="16"/>
  <c r="E553" i="16"/>
  <c r="H553" i="16"/>
  <c r="AD556" i="16"/>
  <c r="K612" i="16"/>
  <c r="G612" i="16"/>
  <c r="AB613" i="16"/>
  <c r="AD613" i="16" s="1"/>
  <c r="J612" i="16"/>
  <c r="F612" i="16"/>
  <c r="I612" i="16"/>
  <c r="E612" i="16"/>
  <c r="H612" i="16"/>
  <c r="AD614" i="16"/>
  <c r="K671" i="16"/>
  <c r="G671" i="16"/>
  <c r="J671" i="16"/>
  <c r="F671" i="16"/>
  <c r="AB672" i="16"/>
  <c r="AD672" i="16" s="1"/>
  <c r="I671" i="16"/>
  <c r="E671" i="16"/>
  <c r="H671" i="16"/>
  <c r="AB674" i="16"/>
  <c r="AD674" i="16" s="1"/>
  <c r="K673" i="16"/>
  <c r="G673" i="16"/>
  <c r="J673" i="16"/>
  <c r="F673" i="16"/>
  <c r="I673" i="16"/>
  <c r="E673" i="16"/>
  <c r="H673" i="16"/>
  <c r="AD675" i="16"/>
  <c r="AD676" i="16"/>
  <c r="K732" i="16"/>
  <c r="G732" i="16"/>
  <c r="AB733" i="16"/>
  <c r="AD733" i="16" s="1"/>
  <c r="J732" i="16"/>
  <c r="F732" i="16"/>
  <c r="I732" i="16"/>
  <c r="E732" i="16"/>
  <c r="H732" i="16"/>
  <c r="AD734" i="16"/>
  <c r="K791" i="16"/>
  <c r="G791" i="16"/>
  <c r="J791" i="16"/>
  <c r="F791" i="16"/>
  <c r="AB792" i="16"/>
  <c r="AD792" i="16" s="1"/>
  <c r="I791" i="16"/>
  <c r="E791" i="16"/>
  <c r="H791" i="16"/>
  <c r="AB794" i="16"/>
  <c r="AD794" i="16" s="1"/>
  <c r="K793" i="16"/>
  <c r="G793" i="16"/>
  <c r="J793" i="16"/>
  <c r="F793" i="16"/>
  <c r="I793" i="16"/>
  <c r="E793" i="16"/>
  <c r="H793" i="16"/>
  <c r="AD796" i="16"/>
  <c r="I1272" i="16"/>
  <c r="E1272" i="16"/>
  <c r="K1272" i="16"/>
  <c r="F1272" i="16"/>
  <c r="J1272" i="16"/>
  <c r="AB1273" i="16"/>
  <c r="AD1273" i="16" s="1"/>
  <c r="H1272" i="16"/>
  <c r="G1272" i="16"/>
  <c r="AD1271" i="16"/>
  <c r="H1274" i="16"/>
  <c r="I1274" i="16"/>
  <c r="AB1275" i="16"/>
  <c r="AD1275" i="16" s="1"/>
  <c r="G1274" i="16"/>
  <c r="K1274" i="16"/>
  <c r="F1274" i="16"/>
  <c r="J1274" i="16"/>
  <c r="E1274" i="16"/>
  <c r="AB1691" i="16"/>
  <c r="AD1691" i="16" s="1"/>
  <c r="K1690" i="16"/>
  <c r="G1690" i="16"/>
  <c r="J1690" i="16"/>
  <c r="F1690" i="16"/>
  <c r="I1690" i="16"/>
  <c r="E1690" i="16"/>
  <c r="H1690" i="16"/>
  <c r="AD1692" i="16"/>
  <c r="H1694" i="16"/>
  <c r="K1694" i="16"/>
  <c r="G1694" i="16"/>
  <c r="J1694" i="16"/>
  <c r="F1694" i="16"/>
  <c r="E1694" i="16"/>
  <c r="AB1695" i="16"/>
  <c r="AD1695" i="16" s="1"/>
  <c r="I1694" i="16"/>
  <c r="AB1811" i="16"/>
  <c r="AD1811" i="16" s="1"/>
  <c r="K1810" i="16"/>
  <c r="G1810" i="16"/>
  <c r="J1810" i="16"/>
  <c r="F1810" i="16"/>
  <c r="I1810" i="16"/>
  <c r="E1810" i="16"/>
  <c r="H1810" i="16"/>
  <c r="AD1812" i="16"/>
  <c r="H1814" i="16"/>
  <c r="K1814" i="16"/>
  <c r="G1814" i="16"/>
  <c r="J1814" i="16"/>
  <c r="F1814" i="16"/>
  <c r="E1814" i="16"/>
  <c r="AB1815" i="16"/>
  <c r="AD1815" i="16" s="1"/>
  <c r="I1814" i="16"/>
  <c r="K1605" i="16"/>
  <c r="G1605" i="16"/>
  <c r="AB1606" i="16"/>
  <c r="AD1606" i="16" s="1"/>
  <c r="J1605" i="16"/>
  <c r="F1605" i="16"/>
  <c r="I1605" i="16"/>
  <c r="E1605" i="16"/>
  <c r="H1605" i="16"/>
  <c r="AD1602" i="16"/>
  <c r="H1604" i="16"/>
  <c r="K1604" i="16"/>
  <c r="G1604" i="16"/>
  <c r="J1604" i="16"/>
  <c r="F1604" i="16"/>
  <c r="AB1605" i="16"/>
  <c r="AD1605" i="16" s="1"/>
  <c r="I1604" i="16"/>
  <c r="E1604" i="16"/>
  <c r="K1845" i="16"/>
  <c r="G1845" i="16"/>
  <c r="AB1846" i="16"/>
  <c r="AD1846" i="16" s="1"/>
  <c r="J1845" i="16"/>
  <c r="F1845" i="16"/>
  <c r="I1845" i="16"/>
  <c r="E1845" i="16"/>
  <c r="H1845" i="16"/>
  <c r="AD1842" i="16"/>
  <c r="H1844" i="16"/>
  <c r="K1844" i="16"/>
  <c r="G1844" i="16"/>
  <c r="J1844" i="16"/>
  <c r="F1844" i="16"/>
  <c r="AB1845" i="16"/>
  <c r="AD1845" i="16" s="1"/>
  <c r="I1844" i="16"/>
  <c r="E1844" i="16"/>
  <c r="K1905" i="16"/>
  <c r="G1905" i="16"/>
  <c r="AB1906" i="16"/>
  <c r="AD1906" i="16" s="1"/>
  <c r="J1905" i="16"/>
  <c r="F1905" i="16"/>
  <c r="I1905" i="16"/>
  <c r="E1905" i="16"/>
  <c r="H1905" i="16"/>
  <c r="AD1901" i="16"/>
  <c r="AB1961" i="16"/>
  <c r="AD1961" i="16" s="1"/>
  <c r="K1960" i="16"/>
  <c r="G1960" i="16"/>
  <c r="J1960" i="16"/>
  <c r="F1960" i="16"/>
  <c r="I1960" i="16"/>
  <c r="E1960" i="16"/>
  <c r="H1960" i="16"/>
  <c r="AD1962" i="16"/>
  <c r="H1964" i="16"/>
  <c r="K1964" i="16"/>
  <c r="G1964" i="16"/>
  <c r="J1964" i="16"/>
  <c r="F1964" i="16"/>
  <c r="AB1965" i="16"/>
  <c r="AD1965" i="16" s="1"/>
  <c r="I1964" i="16"/>
  <c r="E1964" i="16"/>
  <c r="K2025" i="16"/>
  <c r="G2025" i="16"/>
  <c r="AB2026" i="16"/>
  <c r="AD2026" i="16" s="1"/>
  <c r="J2025" i="16"/>
  <c r="F2025" i="16"/>
  <c r="I2025" i="16"/>
  <c r="E2025" i="16"/>
  <c r="H2025" i="16"/>
  <c r="AB2081" i="16"/>
  <c r="AD2081" i="16" s="1"/>
  <c r="K2080" i="16"/>
  <c r="G2080" i="16"/>
  <c r="J2080" i="16"/>
  <c r="F2080" i="16"/>
  <c r="I2080" i="16"/>
  <c r="E2080" i="16"/>
  <c r="H2080" i="16"/>
  <c r="AD2082" i="16"/>
  <c r="H2084" i="16"/>
  <c r="K2084" i="16"/>
  <c r="G2084" i="16"/>
  <c r="J2084" i="16"/>
  <c r="F2084" i="16"/>
  <c r="AB2085" i="16"/>
  <c r="AD2085" i="16" s="1"/>
  <c r="I2084" i="16"/>
  <c r="E2084" i="16"/>
  <c r="K2145" i="16"/>
  <c r="G2145" i="16"/>
  <c r="AB2146" i="16"/>
  <c r="AD2146" i="16" s="1"/>
  <c r="J2145" i="16"/>
  <c r="F2145" i="16"/>
  <c r="I2145" i="16"/>
  <c r="E2145" i="16"/>
  <c r="H2145" i="16"/>
  <c r="AD2141" i="16"/>
  <c r="AB2231" i="16"/>
  <c r="AD2231" i="16" s="1"/>
  <c r="K2230" i="16"/>
  <c r="G2230" i="16"/>
  <c r="J2230" i="16"/>
  <c r="F2230" i="16"/>
  <c r="I2230" i="16"/>
  <c r="E2230" i="16"/>
  <c r="H2230" i="16"/>
  <c r="AD2232" i="16"/>
  <c r="H2234" i="16"/>
  <c r="K2234" i="16"/>
  <c r="G2234" i="16"/>
  <c r="J2234" i="16"/>
  <c r="F2234" i="16"/>
  <c r="AB2235" i="16"/>
  <c r="AD2235" i="16" s="1"/>
  <c r="I2234" i="16"/>
  <c r="E2234" i="16"/>
  <c r="K4546" i="16"/>
  <c r="K2476" i="16"/>
  <c r="K3376" i="16"/>
  <c r="K3496" i="16"/>
  <c r="AD5744" i="16"/>
  <c r="AB5741" i="16"/>
  <c r="AD5741" i="16" s="1"/>
  <c r="K5740" i="16"/>
  <c r="G5740" i="16"/>
  <c r="H5740" i="16"/>
  <c r="E5740" i="16"/>
  <c r="J5740" i="16"/>
  <c r="F5740" i="16"/>
  <c r="I5740" i="16"/>
  <c r="H5744" i="16"/>
  <c r="J5744" i="16"/>
  <c r="E5744" i="16"/>
  <c r="I5744" i="16"/>
  <c r="G5744" i="16"/>
  <c r="F5744" i="16"/>
  <c r="K5744" i="16"/>
  <c r="AB5745" i="16"/>
  <c r="AD5745" i="16" s="1"/>
  <c r="K4876" i="16"/>
  <c r="AD5471" i="16"/>
  <c r="K5472" i="16"/>
  <c r="G5472" i="16"/>
  <c r="AB5473" i="16"/>
  <c r="AD5473" i="16" s="1"/>
  <c r="I5472" i="16"/>
  <c r="H5472" i="16"/>
  <c r="F5472" i="16"/>
  <c r="E5472" i="16"/>
  <c r="J5472" i="16"/>
  <c r="AD5476" i="16"/>
  <c r="I5445" i="16"/>
  <c r="E5445" i="16"/>
  <c r="G5445" i="16"/>
  <c r="AB5446" i="16"/>
  <c r="AD5446" i="16" s="1"/>
  <c r="K5445" i="16"/>
  <c r="F5445" i="16"/>
  <c r="J5445" i="16"/>
  <c r="H5445" i="16"/>
  <c r="AB5444" i="16"/>
  <c r="AD5444" i="16" s="1"/>
  <c r="K5443" i="16"/>
  <c r="G5443" i="16"/>
  <c r="F5443" i="16"/>
  <c r="J5443" i="16"/>
  <c r="E5443" i="16"/>
  <c r="I5443" i="16"/>
  <c r="H5443" i="16"/>
  <c r="J5444" i="16"/>
  <c r="F5444" i="16"/>
  <c r="I5444" i="16"/>
  <c r="AB5445" i="16"/>
  <c r="AD5445" i="16" s="1"/>
  <c r="H5444" i="16"/>
  <c r="K5444" i="16"/>
  <c r="G5444" i="16"/>
  <c r="E5444" i="16"/>
  <c r="K762" i="16"/>
  <c r="G762" i="16"/>
  <c r="AB763" i="16"/>
  <c r="AD763" i="16" s="1"/>
  <c r="J762" i="16"/>
  <c r="F762" i="16"/>
  <c r="I762" i="16"/>
  <c r="E762" i="16"/>
  <c r="H762" i="16"/>
  <c r="AD764" i="16"/>
  <c r="H135" i="16"/>
  <c r="AB136" i="16"/>
  <c r="AD136" i="16" s="1"/>
  <c r="K135" i="16"/>
  <c r="G135" i="16"/>
  <c r="J135" i="16"/>
  <c r="F135" i="16"/>
  <c r="I135" i="16"/>
  <c r="E135" i="16"/>
  <c r="I1302" i="16"/>
  <c r="E1302" i="16"/>
  <c r="J1302" i="16"/>
  <c r="AB1303" i="16"/>
  <c r="AD1303" i="16" s="1"/>
  <c r="H1302" i="16"/>
  <c r="G1302" i="16"/>
  <c r="K1302" i="16"/>
  <c r="F1302" i="16"/>
  <c r="I1482" i="16"/>
  <c r="E1482" i="16"/>
  <c r="H1482" i="16"/>
  <c r="K1482" i="16"/>
  <c r="J1482" i="16"/>
  <c r="AB1483" i="16"/>
  <c r="AD1483" i="16" s="1"/>
  <c r="G1482" i="16"/>
  <c r="F1482" i="16"/>
  <c r="AB1781" i="16"/>
  <c r="AD1781" i="16" s="1"/>
  <c r="K1780" i="16"/>
  <c r="G1780" i="16"/>
  <c r="J1780" i="16"/>
  <c r="F1780" i="16"/>
  <c r="I1780" i="16"/>
  <c r="E1780" i="16"/>
  <c r="H1780" i="16"/>
  <c r="AB1782" i="16"/>
  <c r="AD1782" i="16" s="1"/>
  <c r="I1781" i="16"/>
  <c r="E1781" i="16"/>
  <c r="H1781" i="16"/>
  <c r="K1781" i="16"/>
  <c r="G1781" i="16"/>
  <c r="J1781" i="16"/>
  <c r="F1781" i="16"/>
  <c r="I1783" i="16"/>
  <c r="E1783" i="16"/>
  <c r="H1783" i="16"/>
  <c r="AB1784" i="16"/>
  <c r="AD1784" i="16" s="1"/>
  <c r="K1783" i="16"/>
  <c r="G1783" i="16"/>
  <c r="J1783" i="16"/>
  <c r="F1783" i="16"/>
  <c r="AD1785" i="16"/>
  <c r="AD5532" i="16"/>
  <c r="K5532" i="16"/>
  <c r="G5532" i="16"/>
  <c r="AB5533" i="16"/>
  <c r="AD5533" i="16" s="1"/>
  <c r="I5532" i="16"/>
  <c r="H5532" i="16"/>
  <c r="J5532" i="16"/>
  <c r="F5532" i="16"/>
  <c r="E5532" i="16"/>
  <c r="AD5536" i="16"/>
  <c r="AB1872" i="16"/>
  <c r="AD1872" i="16" s="1"/>
  <c r="I1871" i="16"/>
  <c r="E1871" i="16"/>
  <c r="H1871" i="16"/>
  <c r="K1871" i="16"/>
  <c r="G1871" i="16"/>
  <c r="J1871" i="16"/>
  <c r="F1871" i="16"/>
  <c r="I1873" i="16"/>
  <c r="E1873" i="16"/>
  <c r="H1873" i="16"/>
  <c r="AB1874" i="16"/>
  <c r="AD1874" i="16" s="1"/>
  <c r="K1873" i="16"/>
  <c r="G1873" i="16"/>
  <c r="J1873" i="16"/>
  <c r="F1873" i="16"/>
  <c r="AD2206" i="16"/>
  <c r="I2202" i="16"/>
  <c r="E2202" i="16"/>
  <c r="H2202" i="16"/>
  <c r="K2202" i="16"/>
  <c r="G2202" i="16"/>
  <c r="AB2203" i="16"/>
  <c r="AD2203" i="16" s="1"/>
  <c r="J2202" i="16"/>
  <c r="F2202" i="16"/>
  <c r="AB2292" i="16"/>
  <c r="AD2292" i="16" s="1"/>
  <c r="I2291" i="16"/>
  <c r="E2291" i="16"/>
  <c r="H2291" i="16"/>
  <c r="K2291" i="16"/>
  <c r="G2291" i="16"/>
  <c r="J2291" i="16"/>
  <c r="F2291" i="16"/>
  <c r="I2293" i="16"/>
  <c r="E2293" i="16"/>
  <c r="H2293" i="16"/>
  <c r="AB2294" i="16"/>
  <c r="AD2294" i="16" s="1"/>
  <c r="K2293" i="16"/>
  <c r="G2293" i="16"/>
  <c r="J2293" i="16"/>
  <c r="F2293" i="16"/>
  <c r="AD2295" i="16"/>
  <c r="I2352" i="16"/>
  <c r="E2352" i="16"/>
  <c r="H2352" i="16"/>
  <c r="K2352" i="16"/>
  <c r="G2352" i="16"/>
  <c r="AB2353" i="16"/>
  <c r="AD2353" i="16" s="1"/>
  <c r="J2352" i="16"/>
  <c r="F2352" i="16"/>
  <c r="J2413" i="16"/>
  <c r="F2413" i="16"/>
  <c r="H2413" i="16"/>
  <c r="G2413" i="16"/>
  <c r="AB2414" i="16"/>
  <c r="AD2414" i="16" s="1"/>
  <c r="K2413" i="16"/>
  <c r="E2413" i="16"/>
  <c r="I2413" i="16"/>
  <c r="J2411" i="16"/>
  <c r="F2411" i="16"/>
  <c r="I2411" i="16"/>
  <c r="AB2412" i="16"/>
  <c r="AD2412" i="16" s="1"/>
  <c r="H2411" i="16"/>
  <c r="G2411" i="16"/>
  <c r="K2411" i="16"/>
  <c r="E2411" i="16"/>
  <c r="H2415" i="16"/>
  <c r="I2415" i="16"/>
  <c r="AB2416" i="16"/>
  <c r="AD2416" i="16" s="1"/>
  <c r="G2415" i="16"/>
  <c r="K2415" i="16"/>
  <c r="F2415" i="16"/>
  <c r="J2415" i="16"/>
  <c r="E2415" i="16"/>
  <c r="K3794" i="16"/>
  <c r="G3794" i="16"/>
  <c r="J3794" i="16"/>
  <c r="F3794" i="16"/>
  <c r="H3794" i="16"/>
  <c r="AB3795" i="16"/>
  <c r="AD3795" i="16" s="1"/>
  <c r="E3794" i="16"/>
  <c r="I3794" i="16"/>
  <c r="J3790" i="16"/>
  <c r="F3790" i="16"/>
  <c r="I3790" i="16"/>
  <c r="E3790" i="16"/>
  <c r="K3790" i="16"/>
  <c r="H3790" i="16"/>
  <c r="AB3791" i="16"/>
  <c r="AD3791" i="16" s="1"/>
  <c r="G3790" i="16"/>
  <c r="H3791" i="16"/>
  <c r="K3791" i="16"/>
  <c r="G3791" i="16"/>
  <c r="J3791" i="16"/>
  <c r="I3791" i="16"/>
  <c r="AB3792" i="16"/>
  <c r="AD3792" i="16" s="1"/>
  <c r="F3791" i="16"/>
  <c r="E3791" i="16"/>
  <c r="H3793" i="16"/>
  <c r="AB3794" i="16"/>
  <c r="AD3794" i="16" s="1"/>
  <c r="K3793" i="16"/>
  <c r="G3793" i="16"/>
  <c r="E3793" i="16"/>
  <c r="J3793" i="16"/>
  <c r="I3793" i="16"/>
  <c r="F3793" i="16"/>
  <c r="K3346" i="16"/>
  <c r="K4276" i="16"/>
  <c r="K4786" i="16"/>
  <c r="AD5503" i="16"/>
  <c r="AD5502" i="16"/>
  <c r="J27" i="30"/>
  <c r="K27" i="30" s="1"/>
  <c r="I30" i="23"/>
  <c r="L5" i="42" s="1"/>
  <c r="M27" i="30"/>
  <c r="G30" i="23"/>
  <c r="J5" i="42" s="1"/>
  <c r="H27" i="30"/>
  <c r="K5776" i="16" l="1"/>
  <c r="G28" i="30"/>
  <c r="F31" i="23"/>
  <c r="I6" i="42" s="1"/>
  <c r="P75" i="16"/>
  <c r="K2086" i="16"/>
  <c r="K2266" i="16"/>
  <c r="K2806" i="16"/>
  <c r="AB44" i="16"/>
  <c r="AD44" i="16" s="1"/>
  <c r="K2926" i="16"/>
  <c r="K4216" i="16"/>
  <c r="K4096" i="16"/>
  <c r="K5626" i="16"/>
  <c r="H42" i="16"/>
  <c r="I42" i="16" s="1"/>
  <c r="K3256" i="16"/>
  <c r="K1336" i="16"/>
  <c r="K1546" i="16"/>
  <c r="K3916" i="16"/>
  <c r="K2056" i="16"/>
  <c r="K42" i="16"/>
  <c r="K4156" i="16"/>
  <c r="K2446" i="16"/>
  <c r="K5266" i="16"/>
  <c r="K3556" i="16"/>
  <c r="K3046" i="16"/>
  <c r="AB71" i="16"/>
  <c r="AD71" i="16" s="1"/>
  <c r="AB72" i="16"/>
  <c r="AD72" i="16" s="1"/>
  <c r="H72" i="16"/>
  <c r="I71" i="16" s="1"/>
  <c r="K71" i="16" s="1"/>
  <c r="K5326" i="16"/>
  <c r="K2236" i="16"/>
  <c r="K1966" i="16"/>
  <c r="K1816" i="16"/>
  <c r="K2386" i="16"/>
  <c r="K2176" i="16"/>
  <c r="K1936" i="16"/>
  <c r="H41" i="16"/>
  <c r="I41" i="16" s="1"/>
  <c r="H43" i="16"/>
  <c r="I43" i="16" s="1"/>
  <c r="K43" i="16" s="1"/>
  <c r="K5596" i="16"/>
  <c r="K5386" i="16"/>
  <c r="AB73" i="16"/>
  <c r="AD73" i="16" s="1"/>
  <c r="K41" i="16"/>
  <c r="K5746" i="16"/>
  <c r="K5476" i="16"/>
  <c r="AB42" i="16"/>
  <c r="AD42" i="16" s="1"/>
  <c r="K586" i="16"/>
  <c r="K5836" i="16"/>
  <c r="K4966" i="16"/>
  <c r="K3826" i="16"/>
  <c r="K3706" i="16"/>
  <c r="K5506" i="16"/>
  <c r="K2356" i="16"/>
  <c r="K1306" i="16"/>
  <c r="G32" i="23"/>
  <c r="J7" i="42" s="1"/>
  <c r="H29" i="30"/>
  <c r="I29" i="30" s="1"/>
  <c r="K1606" i="16"/>
  <c r="K1756" i="16"/>
  <c r="K3796" i="16"/>
  <c r="K1456" i="16"/>
  <c r="K2296" i="16"/>
  <c r="K5536" i="16"/>
  <c r="G33" i="23"/>
  <c r="J8" i="42" s="1"/>
  <c r="H30" i="30"/>
  <c r="I30" i="30" s="1"/>
  <c r="K766" i="16"/>
  <c r="K736" i="16"/>
  <c r="K496" i="16"/>
  <c r="K5086" i="16"/>
  <c r="K376" i="16"/>
  <c r="K2416" i="16"/>
  <c r="K2026" i="16"/>
  <c r="K1666" i="16"/>
  <c r="K406" i="16"/>
  <c r="K5566" i="16"/>
  <c r="K2116" i="16"/>
  <c r="K5446" i="16"/>
  <c r="K5956" i="16"/>
  <c r="K676" i="16"/>
  <c r="K436" i="16"/>
  <c r="K5926" i="16"/>
  <c r="K3736" i="16"/>
  <c r="AB43" i="16"/>
  <c r="AD43" i="16" s="1"/>
  <c r="K1636" i="16"/>
  <c r="K526" i="16"/>
  <c r="K706" i="16"/>
  <c r="K466" i="16"/>
  <c r="K3766" i="16"/>
  <c r="K3646" i="16"/>
  <c r="K1516" i="16"/>
  <c r="K1216" i="16"/>
  <c r="K646" i="16"/>
  <c r="K2206" i="16"/>
  <c r="J29" i="30"/>
  <c r="K29" i="30" s="1"/>
  <c r="I32" i="23"/>
  <c r="L7" i="42" s="1"/>
  <c r="K1276" i="16"/>
  <c r="K3856" i="16"/>
  <c r="K1426" i="16"/>
  <c r="K1786" i="16"/>
  <c r="K1696" i="16"/>
  <c r="K5026" i="16"/>
  <c r="K3676" i="16"/>
  <c r="K1876" i="16"/>
  <c r="K136" i="16"/>
  <c r="J30" i="30"/>
  <c r="K30" i="30" s="1"/>
  <c r="I33" i="23"/>
  <c r="L8" i="42" s="1"/>
  <c r="K616" i="16"/>
  <c r="K1576" i="16"/>
  <c r="K2146" i="16"/>
  <c r="K1906" i="16"/>
  <c r="K2326" i="16"/>
  <c r="K1396" i="16"/>
  <c r="K1996" i="16"/>
  <c r="K3616" i="16"/>
  <c r="K1726" i="16"/>
  <c r="K1486" i="16"/>
  <c r="K1846" i="16"/>
  <c r="K796" i="16"/>
  <c r="K556" i="16"/>
  <c r="K316" i="16"/>
  <c r="K346" i="16"/>
  <c r="I27" i="30"/>
  <c r="H19" i="40"/>
  <c r="N27" i="30"/>
  <c r="H28" i="30" l="1"/>
  <c r="I28" i="30" s="1"/>
  <c r="G31" i="23"/>
  <c r="J6" i="42" s="1"/>
  <c r="I31" i="23"/>
  <c r="L6" i="42" s="1"/>
  <c r="J28" i="30"/>
  <c r="K28" i="30" s="1"/>
  <c r="I72" i="16"/>
  <c r="K72" i="16" s="1"/>
  <c r="I70" i="16"/>
  <c r="K70" i="16" s="1"/>
  <c r="Y76" i="16"/>
  <c r="M29" i="30"/>
  <c r="H21" i="40" s="1"/>
  <c r="K47" i="16"/>
  <c r="F27" i="30" s="1"/>
  <c r="Y47" i="16"/>
  <c r="M30" i="30"/>
  <c r="E20" i="27"/>
  <c r="E30" i="23"/>
  <c r="G5" i="42"/>
  <c r="H5" i="42" s="1"/>
  <c r="I19" i="40"/>
  <c r="E20" i="39" s="1"/>
  <c r="K20" i="30" l="1"/>
  <c r="K19" i="30"/>
  <c r="F18" i="30"/>
  <c r="F19" i="30" s="1"/>
  <c r="I22" i="23"/>
  <c r="I23" i="23"/>
  <c r="K76" i="16"/>
  <c r="F28" i="30" s="1"/>
  <c r="M28" i="30" s="1"/>
  <c r="N29" i="30"/>
  <c r="E22" i="27" s="1"/>
  <c r="N30" i="30"/>
  <c r="H22" i="40"/>
  <c r="J20" i="39"/>
  <c r="P5" i="42" s="1"/>
  <c r="E19" i="33"/>
  <c r="H30" i="23"/>
  <c r="J30" i="23"/>
  <c r="G7" i="42"/>
  <c r="H7" i="42" s="1"/>
  <c r="I21" i="40"/>
  <c r="E22" i="39" s="1"/>
  <c r="E32" i="23" l="1"/>
  <c r="J32" i="23" s="1"/>
  <c r="G8" i="42"/>
  <c r="H8" i="42" s="1"/>
  <c r="I22" i="40"/>
  <c r="E23" i="39" s="1"/>
  <c r="E33" i="23"/>
  <c r="J33" i="23" s="1"/>
  <c r="E23" i="27"/>
  <c r="H20" i="40"/>
  <c r="N28" i="30"/>
  <c r="G20" i="39"/>
  <c r="M5" i="42"/>
  <c r="G20" i="27"/>
  <c r="F20" i="39"/>
  <c r="F20" i="27"/>
  <c r="K5" i="42"/>
  <c r="E31" i="23" l="1"/>
  <c r="E21" i="27"/>
  <c r="I20" i="40"/>
  <c r="E21" i="39" s="1"/>
  <c r="G6" i="42"/>
  <c r="H6" i="42" s="1"/>
  <c r="M8" i="42"/>
  <c r="G23" i="39"/>
  <c r="G23" i="27"/>
  <c r="R5" i="42"/>
  <c r="S5" i="42" s="1"/>
  <c r="J20" i="27"/>
  <c r="H33" i="23"/>
  <c r="G22" i="27"/>
  <c r="M7" i="42"/>
  <c r="G22" i="39"/>
  <c r="E20" i="23" l="1"/>
  <c r="E21" i="23" s="1"/>
  <c r="E22" i="23" s="1"/>
  <c r="J31" i="23"/>
  <c r="K8" i="42"/>
  <c r="R8" i="42" s="1"/>
  <c r="F23" i="39"/>
  <c r="J23" i="39" s="1"/>
  <c r="F23" i="27"/>
  <c r="J23" i="27" s="1"/>
  <c r="H32" i="23" l="1"/>
  <c r="K7" i="42" s="1"/>
  <c r="R7" i="42" s="1"/>
  <c r="H31" i="23"/>
  <c r="G21" i="27"/>
  <c r="M6" i="42"/>
  <c r="G21" i="39"/>
  <c r="E23" i="23"/>
  <c r="P8" i="42"/>
  <c r="S8" i="42" s="1"/>
  <c r="E22" i="33"/>
  <c r="F22" i="27" l="1"/>
  <c r="J22" i="27" s="1"/>
  <c r="F22" i="39"/>
  <c r="J22" i="39" s="1"/>
  <c r="E21" i="33" s="1"/>
  <c r="K6" i="42"/>
  <c r="R6" i="42" s="1"/>
  <c r="F21" i="27"/>
  <c r="J21" i="27" s="1"/>
  <c r="F21" i="39"/>
  <c r="J21" i="39" s="1"/>
  <c r="P7" i="42" l="1"/>
  <c r="S7" i="42" s="1"/>
  <c r="P6" i="42"/>
  <c r="S6" i="42" s="1"/>
  <c r="E20" i="33"/>
  <c r="F21" i="33" s="1"/>
  <c r="F20" i="33" l="1"/>
  <c r="F19" i="33"/>
  <c r="F22" i="33"/>
  <c r="I94" i="33" l="1"/>
  <c r="I148" i="33"/>
  <c r="I212" i="33"/>
  <c r="I129" i="33"/>
  <c r="I210" i="33"/>
  <c r="I183" i="33"/>
  <c r="I106" i="33"/>
  <c r="I44" i="33"/>
  <c r="I60" i="33"/>
  <c r="I33" i="33"/>
  <c r="I121" i="33"/>
  <c r="I200" i="33"/>
  <c r="I20" i="33"/>
  <c r="I153" i="33"/>
  <c r="I52" i="33"/>
  <c r="I91" i="33"/>
  <c r="I139" i="33"/>
  <c r="I38" i="33"/>
  <c r="I114" i="33"/>
  <c r="I34" i="33"/>
  <c r="I143" i="33"/>
  <c r="I57" i="33"/>
  <c r="I180" i="33"/>
  <c r="I40" i="33"/>
  <c r="I70" i="33"/>
  <c r="I93" i="33"/>
  <c r="I187" i="33"/>
  <c r="I151" i="33"/>
  <c r="I99" i="33"/>
  <c r="I184" i="33"/>
  <c r="I137" i="33"/>
  <c r="I147" i="33"/>
  <c r="I51" i="33"/>
  <c r="I127" i="33"/>
  <c r="I36" i="33"/>
  <c r="I96" i="33"/>
  <c r="I113" i="33"/>
  <c r="I149" i="33"/>
  <c r="I89" i="33"/>
  <c r="I112" i="33"/>
  <c r="I173" i="33"/>
  <c r="I78" i="33"/>
  <c r="I217" i="33"/>
  <c r="I77" i="33"/>
  <c r="I67" i="33"/>
  <c r="I135" i="33"/>
  <c r="I85" i="33"/>
  <c r="I87" i="33"/>
  <c r="I161" i="33"/>
  <c r="I117" i="33"/>
  <c r="I194" i="33"/>
  <c r="I79" i="33"/>
  <c r="I43" i="33"/>
  <c r="I101" i="33"/>
  <c r="I174" i="33"/>
  <c r="I22" i="33"/>
  <c r="I83" i="33"/>
  <c r="I167" i="33"/>
  <c r="I185" i="33"/>
  <c r="I66" i="33"/>
  <c r="I164" i="33"/>
  <c r="I205" i="33"/>
  <c r="I166" i="33"/>
  <c r="I211" i="33"/>
  <c r="I21" i="33"/>
  <c r="I111" i="33"/>
  <c r="I171" i="33"/>
  <c r="I92" i="33"/>
  <c r="I37" i="33"/>
  <c r="I218" i="33"/>
  <c r="I178" i="33"/>
  <c r="I95" i="33"/>
  <c r="I189" i="33"/>
  <c r="I110" i="33"/>
  <c r="I168" i="33"/>
  <c r="I204" i="33"/>
  <c r="I181" i="33"/>
  <c r="I105" i="33"/>
  <c r="I128" i="33"/>
  <c r="I145" i="33"/>
  <c r="I154" i="33"/>
  <c r="I214" i="33"/>
  <c r="I155" i="33"/>
  <c r="I197" i="33"/>
  <c r="I68" i="33"/>
  <c r="I116" i="33"/>
  <c r="I19" i="33"/>
  <c r="I134" i="33"/>
  <c r="I199" i="33"/>
  <c r="I146" i="33"/>
  <c r="I215" i="33"/>
  <c r="I97" i="33"/>
  <c r="I177" i="33"/>
  <c r="I160" i="33"/>
  <c r="I102" i="33"/>
  <c r="I165" i="33"/>
  <c r="I100" i="33"/>
  <c r="I62" i="33"/>
  <c r="I124" i="33"/>
  <c r="I175" i="33"/>
  <c r="I119" i="33"/>
  <c r="I142" i="33"/>
  <c r="I49" i="33"/>
  <c r="I47" i="33"/>
  <c r="I144" i="33"/>
  <c r="I80" i="33"/>
  <c r="I170" i="33"/>
  <c r="I122" i="33"/>
  <c r="I202" i="33"/>
  <c r="I131" i="33"/>
  <c r="I73" i="33"/>
  <c r="I65" i="33"/>
  <c r="I195" i="33"/>
  <c r="I130" i="33"/>
  <c r="I107" i="33"/>
  <c r="I141" i="33"/>
  <c r="I179" i="33"/>
  <c r="I64" i="33"/>
  <c r="I86" i="33"/>
  <c r="I53" i="33"/>
  <c r="I206" i="33"/>
  <c r="I98" i="33"/>
  <c r="I186" i="33"/>
  <c r="I120" i="33"/>
  <c r="I56" i="33"/>
  <c r="I74" i="33"/>
  <c r="I72" i="33"/>
  <c r="I71" i="33"/>
  <c r="I59" i="33"/>
  <c r="I182" i="33"/>
  <c r="I109" i="33"/>
  <c r="I140" i="33"/>
  <c r="I41" i="33"/>
  <c r="I157" i="33"/>
  <c r="I108" i="33"/>
  <c r="I176" i="33"/>
  <c r="I162" i="33"/>
  <c r="I103" i="33"/>
  <c r="I133" i="33"/>
  <c r="I159" i="33"/>
  <c r="I188" i="33"/>
  <c r="I158" i="33"/>
  <c r="I48" i="33"/>
  <c r="I118" i="33"/>
  <c r="I75" i="33"/>
  <c r="I191" i="33"/>
  <c r="I90" i="33"/>
  <c r="I209" i="33"/>
  <c r="I196" i="33"/>
  <c r="I198" i="33"/>
  <c r="I35" i="33"/>
  <c r="I54" i="33"/>
  <c r="I81" i="33"/>
  <c r="I193" i="33"/>
  <c r="I207" i="33"/>
  <c r="I169" i="33"/>
  <c r="I76" i="33"/>
  <c r="I172" i="33"/>
  <c r="I163" i="33"/>
  <c r="I61" i="33"/>
  <c r="I45" i="33"/>
  <c r="I152" i="33"/>
  <c r="I136" i="33"/>
  <c r="I39" i="33"/>
  <c r="I190" i="33"/>
  <c r="I46" i="33"/>
  <c r="I69" i="33"/>
  <c r="I216" i="33"/>
  <c r="I123" i="33"/>
  <c r="I126" i="33"/>
  <c r="I63" i="33"/>
  <c r="I115" i="33"/>
  <c r="I84" i="33"/>
  <c r="I138" i="33"/>
  <c r="I125" i="33"/>
  <c r="I88" i="33"/>
  <c r="I50" i="33"/>
  <c r="I203" i="33"/>
  <c r="I213" i="33"/>
  <c r="I82" i="33"/>
  <c r="I150" i="33"/>
  <c r="I201" i="33"/>
  <c r="I192" i="33"/>
  <c r="I42" i="33"/>
  <c r="I156" i="33"/>
  <c r="I58" i="33"/>
  <c r="I132" i="33"/>
  <c r="I55" i="33"/>
  <c r="I104" i="33"/>
  <c r="I208" i="33"/>
  <c r="G82" i="33" l="1"/>
  <c r="H82" i="33"/>
  <c r="J82" i="33"/>
  <c r="G216" i="33"/>
  <c r="J216" i="33"/>
  <c r="H216" i="33"/>
  <c r="H61" i="33"/>
  <c r="J61" i="33"/>
  <c r="G61" i="33"/>
  <c r="G209" i="33"/>
  <c r="H209" i="33"/>
  <c r="J209" i="33"/>
  <c r="G176" i="33"/>
  <c r="J176" i="33"/>
  <c r="H176" i="33"/>
  <c r="H120" i="33"/>
  <c r="J120" i="33"/>
  <c r="G120" i="33"/>
  <c r="J65" i="33"/>
  <c r="H65" i="33"/>
  <c r="G65" i="33"/>
  <c r="G175" i="33"/>
  <c r="H175" i="33"/>
  <c r="J175" i="33"/>
  <c r="J134" i="33"/>
  <c r="G134" i="33"/>
  <c r="H134" i="33"/>
  <c r="J204" i="33"/>
  <c r="G204" i="33"/>
  <c r="H204" i="33"/>
  <c r="J211" i="33"/>
  <c r="H211" i="33"/>
  <c r="G211" i="33"/>
  <c r="H79" i="33"/>
  <c r="J79" i="33"/>
  <c r="G79" i="33"/>
  <c r="G112" i="33"/>
  <c r="J112" i="33"/>
  <c r="H112" i="33"/>
  <c r="J151" i="33"/>
  <c r="H151" i="33"/>
  <c r="G151" i="33"/>
  <c r="G91" i="33"/>
  <c r="J91" i="33"/>
  <c r="H91" i="33"/>
  <c r="J129" i="33"/>
  <c r="H129" i="33"/>
  <c r="G129" i="33"/>
  <c r="J132" i="33"/>
  <c r="H132" i="33"/>
  <c r="G132" i="33"/>
  <c r="G192" i="33"/>
  <c r="J192" i="33"/>
  <c r="H192" i="33"/>
  <c r="H213" i="33"/>
  <c r="J213" i="33"/>
  <c r="G213" i="33"/>
  <c r="H125" i="33"/>
  <c r="G125" i="33"/>
  <c r="J125" i="33"/>
  <c r="J63" i="33"/>
  <c r="G63" i="33"/>
  <c r="H63" i="33"/>
  <c r="J69" i="33"/>
  <c r="H69" i="33"/>
  <c r="G69" i="33"/>
  <c r="G136" i="33"/>
  <c r="J136" i="33"/>
  <c r="H136" i="33"/>
  <c r="H163" i="33"/>
  <c r="J163" i="33"/>
  <c r="G163" i="33"/>
  <c r="J207" i="33"/>
  <c r="G207" i="33"/>
  <c r="H207" i="33"/>
  <c r="J35" i="33"/>
  <c r="H35" i="33"/>
  <c r="G35" i="33"/>
  <c r="J90" i="33"/>
  <c r="G90" i="33"/>
  <c r="H90" i="33"/>
  <c r="H48" i="33"/>
  <c r="J48" i="33"/>
  <c r="G48" i="33"/>
  <c r="J133" i="33"/>
  <c r="G133" i="33"/>
  <c r="H133" i="33"/>
  <c r="J108" i="33"/>
  <c r="H108" i="33"/>
  <c r="G108" i="33"/>
  <c r="H109" i="33"/>
  <c r="G109" i="33"/>
  <c r="J109" i="33"/>
  <c r="G72" i="33"/>
  <c r="J72" i="33"/>
  <c r="H72" i="33"/>
  <c r="J186" i="33"/>
  <c r="G186" i="33"/>
  <c r="H186" i="33"/>
  <c r="H86" i="33"/>
  <c r="J86" i="33"/>
  <c r="G86" i="33"/>
  <c r="G107" i="33"/>
  <c r="J107" i="33"/>
  <c r="H107" i="33"/>
  <c r="J73" i="33"/>
  <c r="G73" i="33"/>
  <c r="H73" i="33"/>
  <c r="H170" i="33"/>
  <c r="G170" i="33"/>
  <c r="J170" i="33"/>
  <c r="H49" i="33"/>
  <c r="J49" i="33"/>
  <c r="G49" i="33"/>
  <c r="H124" i="33"/>
  <c r="G124" i="33"/>
  <c r="J124" i="33"/>
  <c r="J102" i="33"/>
  <c r="H102" i="33"/>
  <c r="G102" i="33"/>
  <c r="J215" i="33"/>
  <c r="H215" i="33"/>
  <c r="G215" i="33"/>
  <c r="H19" i="33"/>
  <c r="J19" i="33"/>
  <c r="G19" i="33"/>
  <c r="H155" i="33"/>
  <c r="J155" i="33"/>
  <c r="G155" i="33"/>
  <c r="J128" i="33"/>
  <c r="G128" i="33"/>
  <c r="H128" i="33"/>
  <c r="J168" i="33"/>
  <c r="G168" i="33"/>
  <c r="H168" i="33"/>
  <c r="H178" i="33"/>
  <c r="J178" i="33"/>
  <c r="G178" i="33"/>
  <c r="J171" i="33"/>
  <c r="G171" i="33"/>
  <c r="H171" i="33"/>
  <c r="G166" i="33"/>
  <c r="J166" i="33"/>
  <c r="H166" i="33"/>
  <c r="G185" i="33"/>
  <c r="H185" i="33"/>
  <c r="J185" i="33"/>
  <c r="G174" i="33"/>
  <c r="J174" i="33"/>
  <c r="H174" i="33"/>
  <c r="J194" i="33"/>
  <c r="H194" i="33"/>
  <c r="G194" i="33"/>
  <c r="J85" i="33"/>
  <c r="G85" i="33"/>
  <c r="H85" i="33"/>
  <c r="J217" i="33"/>
  <c r="H217" i="33"/>
  <c r="G217" i="33"/>
  <c r="J89" i="33"/>
  <c r="H89" i="33"/>
  <c r="G89" i="33"/>
  <c r="J36" i="33"/>
  <c r="H36" i="33"/>
  <c r="G36" i="33"/>
  <c r="G137" i="33"/>
  <c r="H137" i="33"/>
  <c r="J137" i="33"/>
  <c r="J187" i="33"/>
  <c r="H187" i="33"/>
  <c r="G187" i="33"/>
  <c r="H180" i="33"/>
  <c r="G180" i="33"/>
  <c r="J180" i="33"/>
  <c r="J114" i="33"/>
  <c r="G114" i="33"/>
  <c r="H114" i="33"/>
  <c r="H52" i="33"/>
  <c r="G52" i="33"/>
  <c r="J52" i="33"/>
  <c r="H121" i="33"/>
  <c r="G121" i="33"/>
  <c r="J121" i="33"/>
  <c r="J106" i="33"/>
  <c r="G106" i="33"/>
  <c r="H106" i="33"/>
  <c r="G212" i="33"/>
  <c r="J212" i="33"/>
  <c r="H212" i="33"/>
  <c r="J55" i="33"/>
  <c r="G55" i="33"/>
  <c r="H55" i="33"/>
  <c r="G88" i="33"/>
  <c r="H88" i="33"/>
  <c r="J88" i="33"/>
  <c r="G39" i="33"/>
  <c r="J39" i="33"/>
  <c r="H39" i="33"/>
  <c r="J54" i="33"/>
  <c r="G54" i="33"/>
  <c r="H54" i="33"/>
  <c r="J159" i="33"/>
  <c r="H159" i="33"/>
  <c r="G159" i="33"/>
  <c r="G71" i="33"/>
  <c r="H71" i="33"/>
  <c r="J71" i="33"/>
  <c r="G141" i="33"/>
  <c r="H141" i="33"/>
  <c r="J141" i="33"/>
  <c r="H47" i="33"/>
  <c r="G47" i="33"/>
  <c r="J47" i="33"/>
  <c r="H97" i="33"/>
  <c r="J97" i="33"/>
  <c r="G97" i="33"/>
  <c r="H145" i="33"/>
  <c r="G145" i="33"/>
  <c r="J145" i="33"/>
  <c r="G92" i="33"/>
  <c r="H92" i="33"/>
  <c r="J92" i="33"/>
  <c r="J22" i="33"/>
  <c r="H22" i="33"/>
  <c r="G22" i="33"/>
  <c r="H77" i="33"/>
  <c r="G77" i="33"/>
  <c r="J77" i="33"/>
  <c r="H147" i="33"/>
  <c r="J147" i="33"/>
  <c r="G147" i="33"/>
  <c r="J34" i="33"/>
  <c r="H34" i="33"/>
  <c r="G34" i="33"/>
  <c r="G44" i="33"/>
  <c r="H44" i="33"/>
  <c r="J44" i="33"/>
  <c r="G58" i="33"/>
  <c r="J58" i="33"/>
  <c r="H58" i="33"/>
  <c r="H201" i="33"/>
  <c r="J201" i="33"/>
  <c r="G201" i="33"/>
  <c r="G203" i="33"/>
  <c r="J203" i="33"/>
  <c r="H203" i="33"/>
  <c r="H138" i="33"/>
  <c r="J138" i="33"/>
  <c r="G138" i="33"/>
  <c r="H126" i="33"/>
  <c r="J126" i="33"/>
  <c r="G126" i="33"/>
  <c r="G46" i="33"/>
  <c r="H46" i="33"/>
  <c r="J46" i="33"/>
  <c r="H152" i="33"/>
  <c r="G152" i="33"/>
  <c r="J152" i="33"/>
  <c r="J172" i="33"/>
  <c r="H172" i="33"/>
  <c r="G172" i="33"/>
  <c r="J193" i="33"/>
  <c r="G193" i="33"/>
  <c r="H193" i="33"/>
  <c r="H198" i="33"/>
  <c r="G198" i="33"/>
  <c r="J198" i="33"/>
  <c r="G191" i="33"/>
  <c r="J191" i="33"/>
  <c r="H191" i="33"/>
  <c r="H158" i="33"/>
  <c r="J158" i="33"/>
  <c r="G158" i="33"/>
  <c r="G103" i="33"/>
  <c r="H103" i="33"/>
  <c r="J103" i="33"/>
  <c r="H157" i="33"/>
  <c r="G157" i="33"/>
  <c r="J157" i="33"/>
  <c r="J182" i="33"/>
  <c r="G182" i="33"/>
  <c r="H182" i="33"/>
  <c r="G74" i="33"/>
  <c r="J74" i="33"/>
  <c r="H74" i="33"/>
  <c r="J98" i="33"/>
  <c r="H98" i="33"/>
  <c r="G98" i="33"/>
  <c r="J64" i="33"/>
  <c r="G64" i="33"/>
  <c r="H64" i="33"/>
  <c r="J130" i="33"/>
  <c r="G130" i="33"/>
  <c r="H130" i="33"/>
  <c r="G131" i="33"/>
  <c r="J131" i="33"/>
  <c r="H131" i="33"/>
  <c r="J80" i="33"/>
  <c r="H80" i="33"/>
  <c r="G80" i="33"/>
  <c r="J142" i="33"/>
  <c r="G142" i="33"/>
  <c r="H142" i="33"/>
  <c r="H62" i="33"/>
  <c r="J62" i="33"/>
  <c r="G62" i="33"/>
  <c r="J160" i="33"/>
  <c r="G160" i="33"/>
  <c r="H160" i="33"/>
  <c r="H146" i="33"/>
  <c r="G146" i="33"/>
  <c r="J146" i="33"/>
  <c r="J116" i="33"/>
  <c r="G116" i="33"/>
  <c r="H116" i="33"/>
  <c r="J214" i="33"/>
  <c r="G214" i="33"/>
  <c r="H214" i="33"/>
  <c r="H105" i="33"/>
  <c r="G105" i="33"/>
  <c r="J105" i="33"/>
  <c r="H110" i="33"/>
  <c r="G110" i="33"/>
  <c r="J110" i="33"/>
  <c r="J218" i="33"/>
  <c r="G218" i="33"/>
  <c r="H218" i="33"/>
  <c r="G111" i="33"/>
  <c r="J111" i="33"/>
  <c r="H111" i="33"/>
  <c r="H205" i="33"/>
  <c r="G205" i="33"/>
  <c r="J205" i="33"/>
  <c r="H167" i="33"/>
  <c r="J167" i="33"/>
  <c r="G167" i="33"/>
  <c r="H101" i="33"/>
  <c r="G101" i="33"/>
  <c r="J101" i="33"/>
  <c r="J117" i="33"/>
  <c r="H117" i="33"/>
  <c r="G117" i="33"/>
  <c r="H135" i="33"/>
  <c r="G135" i="33"/>
  <c r="J135" i="33"/>
  <c r="J78" i="33"/>
  <c r="H78" i="33"/>
  <c r="G78" i="33"/>
  <c r="H149" i="33"/>
  <c r="G149" i="33"/>
  <c r="J149" i="33"/>
  <c r="G127" i="33"/>
  <c r="J127" i="33"/>
  <c r="H127" i="33"/>
  <c r="H184" i="33"/>
  <c r="G184" i="33"/>
  <c r="J184" i="33"/>
  <c r="G93" i="33"/>
  <c r="J93" i="33"/>
  <c r="H93" i="33"/>
  <c r="H57" i="33"/>
  <c r="G57" i="33"/>
  <c r="J57" i="33"/>
  <c r="J38" i="33"/>
  <c r="G38" i="33"/>
  <c r="H38" i="33"/>
  <c r="H153" i="33"/>
  <c r="G153" i="33"/>
  <c r="J153" i="33"/>
  <c r="H33" i="33"/>
  <c r="J33" i="33"/>
  <c r="G33" i="33"/>
  <c r="G183" i="33"/>
  <c r="H183" i="33"/>
  <c r="J183" i="33"/>
  <c r="J148" i="33"/>
  <c r="G148" i="33"/>
  <c r="H148" i="33"/>
  <c r="G42" i="33"/>
  <c r="H42" i="33"/>
  <c r="J42" i="33"/>
  <c r="H115" i="33"/>
  <c r="G115" i="33"/>
  <c r="J115" i="33"/>
  <c r="J169" i="33"/>
  <c r="H169" i="33"/>
  <c r="G169" i="33"/>
  <c r="G118" i="33"/>
  <c r="H118" i="33"/>
  <c r="J118" i="33"/>
  <c r="J140" i="33"/>
  <c r="H140" i="33"/>
  <c r="G140" i="33"/>
  <c r="H53" i="33"/>
  <c r="J53" i="33"/>
  <c r="G53" i="33"/>
  <c r="H122" i="33"/>
  <c r="G122" i="33"/>
  <c r="J122" i="33"/>
  <c r="G165" i="33"/>
  <c r="J165" i="33"/>
  <c r="H165" i="33"/>
  <c r="J197" i="33"/>
  <c r="H197" i="33"/>
  <c r="G197" i="33"/>
  <c r="J95" i="33"/>
  <c r="H95" i="33"/>
  <c r="G95" i="33"/>
  <c r="H66" i="33"/>
  <c r="J66" i="33"/>
  <c r="G66" i="33"/>
  <c r="G87" i="33"/>
  <c r="H87" i="33"/>
  <c r="J87" i="33"/>
  <c r="H96" i="33"/>
  <c r="G96" i="33"/>
  <c r="J96" i="33"/>
  <c r="J40" i="33"/>
  <c r="H40" i="33"/>
  <c r="G40" i="33"/>
  <c r="G200" i="33"/>
  <c r="H200" i="33"/>
  <c r="J200" i="33"/>
  <c r="J208" i="33"/>
  <c r="H208" i="33"/>
  <c r="G208" i="33"/>
  <c r="H104" i="33"/>
  <c r="J104" i="33"/>
  <c r="G104" i="33"/>
  <c r="J156" i="33"/>
  <c r="H156" i="33"/>
  <c r="G156" i="33"/>
  <c r="H150" i="33"/>
  <c r="J150" i="33"/>
  <c r="G150" i="33"/>
  <c r="H50" i="33"/>
  <c r="G50" i="33"/>
  <c r="J50" i="33"/>
  <c r="J84" i="33"/>
  <c r="G84" i="33"/>
  <c r="H84" i="33"/>
  <c r="G123" i="33"/>
  <c r="H123" i="33"/>
  <c r="J123" i="33"/>
  <c r="G190" i="33"/>
  <c r="J190" i="33"/>
  <c r="H190" i="33"/>
  <c r="H45" i="33"/>
  <c r="J45" i="33"/>
  <c r="G45" i="33"/>
  <c r="J76" i="33"/>
  <c r="H76" i="33"/>
  <c r="G76" i="33"/>
  <c r="J81" i="33"/>
  <c r="H81" i="33"/>
  <c r="G81" i="33"/>
  <c r="H196" i="33"/>
  <c r="G196" i="33"/>
  <c r="J196" i="33"/>
  <c r="G75" i="33"/>
  <c r="H75" i="33"/>
  <c r="J75" i="33"/>
  <c r="G188" i="33"/>
  <c r="J188" i="33"/>
  <c r="H188" i="33"/>
  <c r="H162" i="33"/>
  <c r="G162" i="33"/>
  <c r="J162" i="33"/>
  <c r="H41" i="33"/>
  <c r="G41" i="33"/>
  <c r="J41" i="33"/>
  <c r="G59" i="33"/>
  <c r="J59" i="33"/>
  <c r="H59" i="33"/>
  <c r="H56" i="33"/>
  <c r="G56" i="33"/>
  <c r="J56" i="33"/>
  <c r="G206" i="33"/>
  <c r="H206" i="33"/>
  <c r="J206" i="33"/>
  <c r="G179" i="33"/>
  <c r="J179" i="33"/>
  <c r="H179" i="33"/>
  <c r="J195" i="33"/>
  <c r="G195" i="33"/>
  <c r="H195" i="33"/>
  <c r="G202" i="33"/>
  <c r="H202" i="33"/>
  <c r="J202" i="33"/>
  <c r="H144" i="33"/>
  <c r="G144" i="33"/>
  <c r="J144" i="33"/>
  <c r="G119" i="33"/>
  <c r="H119" i="33"/>
  <c r="J119" i="33"/>
  <c r="G100" i="33"/>
  <c r="J100" i="33"/>
  <c r="H100" i="33"/>
  <c r="G177" i="33"/>
  <c r="J177" i="33"/>
  <c r="H177" i="33"/>
  <c r="H199" i="33"/>
  <c r="G199" i="33"/>
  <c r="J199" i="33"/>
  <c r="J68" i="33"/>
  <c r="G68" i="33"/>
  <c r="H68" i="33"/>
  <c r="G154" i="33"/>
  <c r="H154" i="33"/>
  <c r="J154" i="33"/>
  <c r="G181" i="33"/>
  <c r="J181" i="33"/>
  <c r="H181" i="33"/>
  <c r="H189" i="33"/>
  <c r="J189" i="33"/>
  <c r="G189" i="33"/>
  <c r="G37" i="33"/>
  <c r="J37" i="33"/>
  <c r="H37" i="33"/>
  <c r="G21" i="33"/>
  <c r="H21" i="33"/>
  <c r="J21" i="33"/>
  <c r="H164" i="33"/>
  <c r="J164" i="33"/>
  <c r="G164" i="33"/>
  <c r="G83" i="33"/>
  <c r="J83" i="33"/>
  <c r="H83" i="33"/>
  <c r="J43" i="33"/>
  <c r="G43" i="33"/>
  <c r="H43" i="33"/>
  <c r="J161" i="33"/>
  <c r="G161" i="33"/>
  <c r="H161" i="33"/>
  <c r="J67" i="33"/>
  <c r="G67" i="33"/>
  <c r="H67" i="33"/>
  <c r="J173" i="33"/>
  <c r="G173" i="33"/>
  <c r="H173" i="33"/>
  <c r="G113" i="33"/>
  <c r="J113" i="33"/>
  <c r="H113" i="33"/>
  <c r="H51" i="33"/>
  <c r="J51" i="33"/>
  <c r="G51" i="33"/>
  <c r="H99" i="33"/>
  <c r="G99" i="33"/>
  <c r="J99" i="33"/>
  <c r="G70" i="33"/>
  <c r="H70" i="33"/>
  <c r="J70" i="33"/>
  <c r="J143" i="33"/>
  <c r="G143" i="33"/>
  <c r="H143" i="33"/>
  <c r="J139" i="33"/>
  <c r="H139" i="33"/>
  <c r="G139" i="33"/>
  <c r="H20" i="33"/>
  <c r="J20" i="33"/>
  <c r="G20" i="33"/>
  <c r="H60" i="33"/>
  <c r="J60" i="33"/>
  <c r="G60" i="33"/>
  <c r="J210" i="33"/>
  <c r="H210" i="33"/>
  <c r="G210" i="33"/>
  <c r="H94" i="33"/>
  <c r="J94" i="33"/>
  <c r="G94" i="33"/>
</calcChain>
</file>

<file path=xl/comments1.xml><?xml version="1.0" encoding="utf-8"?>
<comments xmlns="http://schemas.openxmlformats.org/spreadsheetml/2006/main">
  <authors>
    <author>Diego Alexander Ramirez Cruz</author>
  </authors>
  <commentList>
    <comment ref="AI22" authorId="0" shapeId="0">
      <text>
        <r>
          <rPr>
            <b/>
            <sz val="9"/>
            <color indexed="81"/>
            <rFont val="Tahoma"/>
            <family val="2"/>
          </rPr>
          <t>SE DEBE DEJAR 1 POR DEFECTO, INDICANDO UN SÍ EN LA COLUMNA AJ PARA CUALQUIER CONTRATO QUE CUMPLA LA CONDICIÓN DE EXPERIENCIA DEL PLIEGO.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Diego Alexander Ramirez Cruz</author>
  </authors>
  <commentList>
    <comment ref="B4" authorId="0" shapeId="0">
      <text>
        <r>
          <rPr>
            <sz val="9"/>
            <color indexed="81"/>
            <rFont val="Tahoma"/>
            <family val="2"/>
          </rPr>
          <t>Digitar aquí el número del Proponente</t>
        </r>
      </text>
    </comment>
    <comment ref="C4" authorId="0" shapeId="0">
      <text>
        <r>
          <rPr>
            <sz val="9"/>
            <color indexed="81"/>
            <rFont val="Tahoma"/>
            <family val="2"/>
          </rPr>
          <t>Digitar aquí el número del contrato</t>
        </r>
      </text>
    </comment>
    <comment ref="D4" authorId="0" shapeId="0">
      <text>
        <r>
          <rPr>
            <sz val="9"/>
            <color indexed="81"/>
            <rFont val="Tahoma"/>
            <family val="2"/>
          </rPr>
          <t>Digitar el valor del contrato en pesos, una vez realizada la conversión, tal y como lo establece el Pliego</t>
        </r>
      </text>
    </comment>
    <comment ref="E4" authorId="0" shapeId="0">
      <text>
        <r>
          <rPr>
            <sz val="9"/>
            <color indexed="81"/>
            <rFont val="Tahoma"/>
            <family val="2"/>
          </rPr>
          <t>Digitar la fecha de terminación del Contrato</t>
        </r>
      </text>
    </comment>
    <comment ref="F4" authorId="0" shapeId="0">
      <text>
        <r>
          <rPr>
            <sz val="9"/>
            <color indexed="81"/>
            <rFont val="Tahoma"/>
            <family val="2"/>
          </rPr>
          <t>Por favor, en caso que deseen eliminar valores, no eliminar ningún valor de ésta columna</t>
        </r>
      </text>
    </comment>
  </commentList>
</comments>
</file>

<file path=xl/comments3.xml><?xml version="1.0" encoding="utf-8"?>
<comments xmlns="http://schemas.openxmlformats.org/spreadsheetml/2006/main">
  <authors>
    <author>Diego Alexander Ramirez Cruz</author>
  </authors>
  <commentList>
    <comment ref="B4" authorId="0" shapeId="0">
      <text>
        <r>
          <rPr>
            <sz val="9"/>
            <color indexed="81"/>
            <rFont val="Tahoma"/>
            <family val="2"/>
          </rPr>
          <t>Digitar aquí el número del Proponente</t>
        </r>
      </text>
    </comment>
    <comment ref="C4" authorId="0" shapeId="0">
      <text>
        <r>
          <rPr>
            <sz val="9"/>
            <color indexed="81"/>
            <rFont val="Tahoma"/>
            <family val="2"/>
          </rPr>
          <t>Digitar aquí el número del contrato</t>
        </r>
      </text>
    </comment>
    <comment ref="F4" authorId="0" shapeId="0">
      <text>
        <r>
          <rPr>
            <sz val="9"/>
            <color indexed="81"/>
            <rFont val="Tahoma"/>
            <family val="2"/>
          </rPr>
          <t xml:space="preserve">Digitar aquí la fecha de reiniciación de la suspensión, sólo si aplica, de lo contrario dejar este espacio en blanco.
</t>
        </r>
      </text>
    </comment>
    <comment ref="G4" authorId="0" shapeId="0">
      <text>
        <r>
          <rPr>
            <sz val="9"/>
            <color indexed="81"/>
            <rFont val="Tahoma"/>
            <family val="2"/>
          </rPr>
          <t>Por favor, en caso que deseen eliminar valores, no eliminar ningún valor de ésta columna.</t>
        </r>
      </text>
    </comment>
  </commentList>
</comments>
</file>

<file path=xl/comments4.xml><?xml version="1.0" encoding="utf-8"?>
<comments xmlns="http://schemas.openxmlformats.org/spreadsheetml/2006/main">
  <authors>
    <author>Diego Alexander Ramirez Cruz</author>
  </authors>
  <commentList>
    <comment ref="F8" authorId="0" shapeId="0">
      <text>
        <r>
          <rPr>
            <b/>
            <sz val="9"/>
            <color indexed="81"/>
            <rFont val="Tahoma"/>
            <family val="2"/>
          </rPr>
          <t>Indicar número de contratos válidos.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Indicar manualmente el número de propuestas hábiles.</t>
        </r>
      </text>
    </comment>
    <comment ref="F10" authorId="0" shapeId="0">
      <text>
        <r>
          <rPr>
            <b/>
            <sz val="9"/>
            <color indexed="81"/>
            <rFont val="Tahoma"/>
            <family val="2"/>
          </rPr>
          <t>Indicar valor promedio de los plazos acreditados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" authorId="0" shapeId="0">
      <text>
        <r>
          <rPr>
            <b/>
            <sz val="9"/>
            <color indexed="81"/>
            <rFont val="Tahoma"/>
            <family val="2"/>
          </rPr>
          <t>Indicar valor de PFMT de los contratos acreditados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Indicar manualmente la suma de promedios de propuestas hábiles.</t>
        </r>
      </text>
    </comment>
  </commentList>
</comments>
</file>

<file path=xl/sharedStrings.xml><?xml version="1.0" encoding="utf-8"?>
<sst xmlns="http://schemas.openxmlformats.org/spreadsheetml/2006/main" count="15554" uniqueCount="474">
  <si>
    <t>INSTITUTO NACIONAL DE VÍAS</t>
  </si>
  <si>
    <t>DIRECCIÓN GENERAL</t>
  </si>
  <si>
    <t>SECRETARIA GENERAL ADMINISTRATIVA - SUBDIRECCION ADMINISTRATIVA</t>
  </si>
  <si>
    <t>No.</t>
  </si>
  <si>
    <t>SECRETARIA GENERAL TECNICA - SUBDIRECCION RED NACIONAL DE CARRETERAS</t>
  </si>
  <si>
    <t>SECRETARIA GENERAL TECNICA - SUBDIRECCION RED TERCIARIA Y FERREA</t>
  </si>
  <si>
    <t>CUMPLE</t>
  </si>
  <si>
    <t>DIRECCION GENERAL - OFICINA DE PREVENCION Y ATENCION DE EMERGENCIAS</t>
  </si>
  <si>
    <t>SECRETARIA GENERAL TECNICA - SUBDIRECCION DE APOYO TECNICO</t>
  </si>
  <si>
    <t>SECRETARIA GENERAL TECNICA - SUBDIRECCION DE MEDIO AMBIENTE Y GESTION SOCIAL</t>
  </si>
  <si>
    <t>SECRETARIA GENERAL TECNICA - SUBDIRECCION MARITIMA Y FLUVIAL</t>
  </si>
  <si>
    <t>SECRETARIA GENERAL TECNICA - DIRECCIONES TERRITORIALES</t>
  </si>
  <si>
    <t>SECRETARIA GENERAL ADMINISTRATIVA - SUBDIRECCION FINANCIERA</t>
  </si>
  <si>
    <t>ID</t>
  </si>
  <si>
    <t>DEPENDENCIAS</t>
  </si>
  <si>
    <t>PLAZO</t>
  </si>
  <si>
    <t>PROPONENTE</t>
  </si>
  <si>
    <t>Contrato o Resolución</t>
  </si>
  <si>
    <t>Integrante que aporta experiencia</t>
  </si>
  <si>
    <t>Objeto</t>
  </si>
  <si>
    <t>PERIODO</t>
  </si>
  <si>
    <t>SMLM</t>
  </si>
  <si>
    <t>OBSERVACIONES A LOS CONTRATOS</t>
  </si>
  <si>
    <t>PUNTAJE</t>
  </si>
  <si>
    <t>NO</t>
  </si>
  <si>
    <t>SI</t>
  </si>
  <si>
    <t>VALIDEZ</t>
  </si>
  <si>
    <t>MODULO</t>
  </si>
  <si>
    <t>CUADRO No. 1</t>
  </si>
  <si>
    <t>FECHA ACTUAL</t>
  </si>
  <si>
    <t>SALARIO ACTUAL</t>
  </si>
  <si>
    <t>CUMPLIMIENTO</t>
  </si>
  <si>
    <t>NO CUMPLE</t>
  </si>
  <si>
    <t>APOYONAL</t>
  </si>
  <si>
    <t>100% NACIONALES</t>
  </si>
  <si>
    <t>NACIONAL Y EXTRANJERO</t>
  </si>
  <si>
    <t>100% EXTRANJEROS</t>
  </si>
  <si>
    <t>NO PONDERABLE</t>
  </si>
  <si>
    <t>PROPUESTA No.</t>
  </si>
  <si>
    <t>CUENTA</t>
  </si>
  <si>
    <t>FECHA DE CIERRE DEL PROCESO</t>
  </si>
  <si>
    <t>PRESUPUESTO OFICIAL</t>
  </si>
  <si>
    <t>REQUISITOS PONDERABLES</t>
  </si>
  <si>
    <t>CRITERIOS DE EXPERIENCIA ESPECIFICA</t>
  </si>
  <si>
    <t>EXPGEN</t>
  </si>
  <si>
    <t>HÁBIL</t>
  </si>
  <si>
    <t>NO HÁBIL</t>
  </si>
  <si>
    <t>OBJETO</t>
  </si>
  <si>
    <t>RECIPROCIDAD Y APOYO A LA INDUSTRIA NACIONAL</t>
  </si>
  <si>
    <t>CASO</t>
  </si>
  <si>
    <t>CUADRO No. 2</t>
  </si>
  <si>
    <t>PROPONENTE:</t>
  </si>
  <si>
    <t>FECHA MÍNIMA PARA ACREDITACIÓN DE EXPERIENCIA ESPECÍFICA</t>
  </si>
  <si>
    <t>PUNTAJE POR PONDERACIÓN DEL TIEMPO DE EXPERIENCIA ESPECÍFICA DE LOS CONTRATOS ACREDITADOS</t>
  </si>
  <si>
    <t>PUNTAJE POR PONDERACIÓN DEL PROMEDIO DE FACTURACIÓN MENSUAL TOTAL DE LOS CONTRATOS ACREDITADOS</t>
  </si>
  <si>
    <t>TOTAL PUNTAJE POR EXPERIENCIA ESPECÍFICA</t>
  </si>
  <si>
    <t>NÚMERO MÁXIMO DE CONTRATOS</t>
  </si>
  <si>
    <t>NÚMERO DE INTEGRANTES</t>
  </si>
  <si>
    <t>EVALUACIÓN DE LA EXPERIENCIA ESPECÍFICA</t>
  </si>
  <si>
    <t>No. De orden</t>
  </si>
  <si>
    <t>Entidad</t>
  </si>
  <si>
    <t>Formas de Ejecución</t>
  </si>
  <si>
    <t>Aceptación Experiencia General (SI/NO)</t>
  </si>
  <si>
    <t>Fecha de Iniciacion
(DD-MM-AA)</t>
  </si>
  <si>
    <t>Tiempo de Suspensión
(Meses)</t>
  </si>
  <si>
    <t>Fecha de Terminacion
(DD-MM-AA)</t>
  </si>
  <si>
    <t>Tiempo Total Empleado
(Meses)</t>
  </si>
  <si>
    <t>VFA</t>
  </si>
  <si>
    <t>Contratante</t>
  </si>
  <si>
    <t>I,C,UT</t>
  </si>
  <si>
    <t>Participacion
(%)</t>
  </si>
  <si>
    <t>A1</t>
  </si>
  <si>
    <t>Fecha Cierre</t>
  </si>
  <si>
    <t>Fecha Mínima</t>
  </si>
  <si>
    <t>EVALUACIÓN CRITERIOS DE EXPERIENCIA ESPECÍFICA</t>
  </si>
  <si>
    <t>PFM</t>
  </si>
  <si>
    <t>(VFA/n)</t>
  </si>
  <si>
    <t>MÓDULO</t>
  </si>
  <si>
    <t>OBJETO DEL MÓDULO</t>
  </si>
  <si>
    <t xml:space="preserve"> </t>
  </si>
  <si>
    <t>OBSERVACIONES GENERALES</t>
  </si>
  <si>
    <t>ESPECIALISTA EN AMBIENTAL</t>
  </si>
  <si>
    <t>Porcentaje de participación para este proceso(%)</t>
  </si>
  <si>
    <t>NUMERO</t>
  </si>
  <si>
    <t>CUADRO No. 3</t>
  </si>
  <si>
    <t>PFMT APORTADO POR INTEGRANTE</t>
  </si>
  <si>
    <t>PLAZO TOTAL APORTADO</t>
  </si>
  <si>
    <t>VFA TOTAL APORTADO</t>
  </si>
  <si>
    <t>(SMMLV)</t>
  </si>
  <si>
    <t>PFMO</t>
  </si>
  <si>
    <t>Puntaje por Plazo</t>
  </si>
  <si>
    <t>COL pesos $</t>
  </si>
  <si>
    <t>SMMLV</t>
  </si>
  <si>
    <t>Meses</t>
  </si>
  <si>
    <t>smmlv / mes</t>
  </si>
  <si>
    <t>LISTADO DE PROPONENTES</t>
  </si>
  <si>
    <t>PROPUESTA</t>
  </si>
  <si>
    <t>PROPONENTES</t>
  </si>
  <si>
    <t>NOMBRE O RAZÓN SOCIAL</t>
  </si>
  <si>
    <t>CONFORMACIÓN DE LOS PROPONENTES</t>
  </si>
  <si>
    <t>A2</t>
  </si>
  <si>
    <t>INTEGRANTE</t>
  </si>
  <si>
    <t>PROMEDIO DE FACTURACIÓN PARA CONSORCIO O UNIÓN TEMPORAL</t>
  </si>
  <si>
    <t>NÚMERO DE INTEGRANTES DEL CONSORCIO O UNIÓN TEMPORAL</t>
  </si>
  <si>
    <t>TIPO DE ASOCIACIÓN</t>
  </si>
  <si>
    <t>PORCENTAJE DE PARTICIPACIÓN</t>
  </si>
  <si>
    <t>NÚMERO MÍNIMO DE CONTRATOS</t>
  </si>
  <si>
    <t>CONDICIÓN CUMPLIMIENTO</t>
  </si>
  <si>
    <t>A3</t>
  </si>
  <si>
    <t>A4</t>
  </si>
  <si>
    <t>CONDICIÓN PARA EL CONSORCIO O UNIÓN TEMPORAL</t>
  </si>
  <si>
    <t>¿CORRESPONDE A UN CONSORCIO O UNIÓN TEMPORAL?</t>
  </si>
  <si>
    <t>¿CUMPLE CON EL REQUISITO ESTABLECIDO PARA LA ESTRUCTURA PLURAL?</t>
  </si>
  <si>
    <t>PLAZO DEL MÓDULO</t>
  </si>
  <si>
    <t>NUMERO DE CONTRATOS ACREDITADOS VÁLIDOS</t>
  </si>
  <si>
    <t>Número de Contratos =</t>
  </si>
  <si>
    <t>MÓDULO EVALUADO</t>
  </si>
  <si>
    <t>PLAZO APORTADO POR EL PROPONENTE</t>
  </si>
  <si>
    <t>PFMT APORTADO POR EL PROPONENTE</t>
  </si>
  <si>
    <t>RELACIÓN DEL PLAZO APORTADO POR EL PROPONENTE</t>
  </si>
  <si>
    <t>RELACIÓN DEL PFMT APORTADO POR EL PROPONENTE</t>
  </si>
  <si>
    <t>Ponderación por PFMT</t>
  </si>
  <si>
    <t>Puntaje máximo</t>
  </si>
  <si>
    <t>Puntaje mínimo</t>
  </si>
  <si>
    <t>No. DE PROPUESTA</t>
  </si>
  <si>
    <t>Ponderación por Plazo Acreditado</t>
  </si>
  <si>
    <t>Plazo del Módulo (Meses)</t>
  </si>
  <si>
    <t>PMFO del Módulo (SMMLV / Mes)</t>
  </si>
  <si>
    <t>PONDERACIÓN DE LA EXPERIENCIA ESPECÍFICA</t>
  </si>
  <si>
    <t>NÚMERO DE CONTRATOS ACREDITADOS VÁLIDOS</t>
  </si>
  <si>
    <t>Ponderación por Plazos</t>
  </si>
  <si>
    <t>Plazo Acreditado</t>
  </si>
  <si>
    <t>(n)</t>
  </si>
  <si>
    <t>(Meses)</t>
  </si>
  <si>
    <t>PUNTAJE OBTENIDO</t>
  </si>
  <si>
    <t>(Puntos)</t>
  </si>
  <si>
    <t>PFMT Acreditado</t>
  </si>
  <si>
    <t>(SMMLV / Mes)</t>
  </si>
  <si>
    <t xml:space="preserve"> PONDERACIÓN APOYO A LA INDUSTRIA NACIONAL</t>
  </si>
  <si>
    <t>Propuesta No.</t>
  </si>
  <si>
    <t>PRESUPUESTO DEL MÓDULO</t>
  </si>
  <si>
    <t>PROFESIONALES REQUERIDOS</t>
  </si>
  <si>
    <t>TIPO D_K</t>
  </si>
  <si>
    <t>Estado</t>
  </si>
  <si>
    <t>CONSORCIO O UNION TEMPORAL CON APORTE DE TODOS LOS INTEGRANTES</t>
  </si>
  <si>
    <t>DIRECTOR DE INTERVENTORÍA</t>
  </si>
  <si>
    <t>COMO CONSTRUCTOR</t>
  </si>
  <si>
    <t>PENDIENTE</t>
  </si>
  <si>
    <t>CONSORCIO O UNION TEMPORAL CON APORTE DE INTEGRANTE LIDER</t>
  </si>
  <si>
    <t>INGENIERO RESIDENTE</t>
  </si>
  <si>
    <t>COMO CONSULTOR</t>
  </si>
  <si>
    <t>INTERESADO PERSONA NATURAL O JURIDICA</t>
  </si>
  <si>
    <t>ESPECIALISTA EN GEOTÉCNIA Y/O PAVIMENTOS</t>
  </si>
  <si>
    <t>COMO PROVEDOR</t>
  </si>
  <si>
    <t>ESPECIALISTA EN HIDROLOGÍA</t>
  </si>
  <si>
    <t xml:space="preserve">ESPECIALISTA EN VIAS </t>
  </si>
  <si>
    <t>INGENIERO AUXILIAR</t>
  </si>
  <si>
    <t>PROFESIONAL DE ASEGURAMIENTO O GESTIÓN DE LA CALIDAD</t>
  </si>
  <si>
    <t>AUDITOR INTERNO DE CALIDAD</t>
  </si>
  <si>
    <t>Cuenta</t>
  </si>
  <si>
    <t>PUNTAJES</t>
  </si>
  <si>
    <t>PUNTAJE TOTAL</t>
  </si>
  <si>
    <t>OBSERVACIONES</t>
  </si>
  <si>
    <t>EXPERIENCIA ESPECIFICA</t>
  </si>
  <si>
    <t>APOYO A LA INDUSTRIA NACIONAL</t>
  </si>
  <si>
    <t>Ponderacion por PFMT</t>
  </si>
  <si>
    <t>Ponderacion por Plazos</t>
  </si>
  <si>
    <t>Cálculo de Suspensiones</t>
  </si>
  <si>
    <t>Cálculo del tiempo de Suspensión</t>
  </si>
  <si>
    <t>Valor del Módulo</t>
  </si>
  <si>
    <t>Plazo del Módulo</t>
  </si>
  <si>
    <t>No. del Proponente</t>
  </si>
  <si>
    <t>No. del Contrato</t>
  </si>
  <si>
    <t>Cálculo de Suspensiones por Proponente</t>
  </si>
  <si>
    <t>No. Proponente</t>
  </si>
  <si>
    <t>No. Contrato</t>
  </si>
  <si>
    <t>Tiempo de Suspensión por Contrato</t>
  </si>
  <si>
    <t>Fecha de Inicio Suspensión</t>
  </si>
  <si>
    <t>TAMAÑOEMP</t>
  </si>
  <si>
    <t>PEQUEÑA EMPRESA</t>
  </si>
  <si>
    <t>MEDIANA EMPRESA</t>
  </si>
  <si>
    <t>MICRO EMPRESA</t>
  </si>
  <si>
    <t>% REQUERIDO PFMO</t>
  </si>
  <si>
    <t>PARAMETROS PARA LA HABILIDAD</t>
  </si>
  <si>
    <t>PARAMETROS PARA LA PONDERACIÓN</t>
  </si>
  <si>
    <t>Habilidad por Plazo Acreditado</t>
  </si>
  <si>
    <t>Habilidad por PFMT</t>
  </si>
  <si>
    <t>Vprop mod</t>
  </si>
  <si>
    <t>Relación PO</t>
  </si>
  <si>
    <t>3 * Plazo del Módulo (Meses)</t>
  </si>
  <si>
    <t>HABILIDAD POR PROPONENTE EN LA EXPERIENCIA ESPECÍFICA</t>
  </si>
  <si>
    <t>Habilidad por Plazos</t>
  </si>
  <si>
    <t>Propuestas Presentadas al Módulo</t>
  </si>
  <si>
    <t>Número de Propuestas Presentadas al Módulo</t>
  </si>
  <si>
    <t>(Hábil / No Hábil)</t>
  </si>
  <si>
    <t>Relación PFMT / PMFO</t>
  </si>
  <si>
    <t>Plazo Promedio Acreditado</t>
  </si>
  <si>
    <t>CALIFICACIÓN DEFINITIVA</t>
  </si>
  <si>
    <t>Calificación</t>
  </si>
  <si>
    <t>Propuestas a ponderar con un Promedio de Plazo Acreditado ≥ Pph</t>
  </si>
  <si>
    <t>Propuestas a ponderar con un Promedio de Plazo Acreditado &lt; Pph</t>
  </si>
  <si>
    <t>Valor Máximo PMFT donde la curva se hace 0</t>
  </si>
  <si>
    <t>% Solicitado</t>
  </si>
  <si>
    <t>Vprop</t>
  </si>
  <si>
    <t>Presupuesto en SMMLV</t>
  </si>
  <si>
    <t>PMFO del Módulo</t>
  </si>
  <si>
    <t>% Requerido de PMFO</t>
  </si>
  <si>
    <t>Número de Propuestas Hábiles</t>
  </si>
  <si>
    <t>Suma Promedios Propuestas Hábiles</t>
  </si>
  <si>
    <t>3 * Plazo Oficial</t>
  </si>
  <si>
    <t>Contratos Válidos del Proponente</t>
  </si>
  <si>
    <t>HABILIDAD POR PLAZOS</t>
  </si>
  <si>
    <t>Plazo promedio acreditado por el proponente</t>
  </si>
  <si>
    <t>¿Plazo acreditado es mayor a 3 veces el Plazo Oficial del Módulo?</t>
  </si>
  <si>
    <t>¿El proponente es Hábil?</t>
  </si>
  <si>
    <t>HABILIDAD POR PMFT</t>
  </si>
  <si>
    <t>PFMT promedio acreditado por el proponente</t>
  </si>
  <si>
    <t>¿La relación PFMT/PMFO es mayor a la Relación PO del Módulo?</t>
  </si>
  <si>
    <t>PONDERACIÓN POR PLAZOS</t>
  </si>
  <si>
    <t>PONDERACIÓN POR PMFT</t>
  </si>
  <si>
    <t>Valor Pph</t>
  </si>
  <si>
    <t>Puntaje Máx Plazo</t>
  </si>
  <si>
    <t>Puntaje Max PFM</t>
  </si>
  <si>
    <t>¿Plazo acreditado es igual, mayor o menor a pph?</t>
  </si>
  <si>
    <t>¿PFMT acreditado es igual, mayor o menor a % Requerido de PMFO?</t>
  </si>
  <si>
    <t>Puntaje por PFMT</t>
  </si>
  <si>
    <t>Proponente</t>
  </si>
  <si>
    <t>Orden</t>
  </si>
  <si>
    <t>Cifra de Ajuste</t>
  </si>
  <si>
    <t>Puntaje Ajustado con Desempate</t>
  </si>
  <si>
    <t>Jerarquía</t>
  </si>
  <si>
    <t>Puntaje obtenido</t>
  </si>
  <si>
    <t>No. Propuesta</t>
  </si>
  <si>
    <t>(Razon social/nombre)</t>
  </si>
  <si>
    <t>ELEGIBILIDAD DEL MÓDULO</t>
  </si>
  <si>
    <t>Suma Suspensión</t>
  </si>
  <si>
    <t>Fecha Inicio</t>
  </si>
  <si>
    <t>Fecha Terminación</t>
  </si>
  <si>
    <t>Resultado sin FR</t>
  </si>
  <si>
    <t>Fecha de Reiniciación (FR) (Si aplica)</t>
  </si>
  <si>
    <t>Resultado con FR</t>
  </si>
  <si>
    <t>Ejemplo de Cálculo si FR diferente a FTS</t>
  </si>
  <si>
    <t>Fecha de Terminación Suspensión (FTS)</t>
  </si>
  <si>
    <t>Ejemplo de Cálculo si FR igual a FTS</t>
  </si>
  <si>
    <t>Fecha Reinicio</t>
  </si>
  <si>
    <t>RESULTADO DE SUSPENSIONES APLICANDO EL REDONDEO</t>
  </si>
  <si>
    <t>CALIFICACIÓN TÉCNICA</t>
  </si>
  <si>
    <t>Ganador?</t>
  </si>
  <si>
    <t>HABILIDAD</t>
  </si>
  <si>
    <t>RECHAZO</t>
  </si>
  <si>
    <t>RESUMEN DE HABILIDAD Y PONDERACIÓN DEFINITIVA A LOS CRITERIOS DE EVALUACIÓN</t>
  </si>
  <si>
    <t>MÓDULOS</t>
  </si>
  <si>
    <t>¿EL INTEGRANTE ACREDITA LA MAYORÍA DE LA EXPERIENCIA DEL PROPONENTE? (PFM)</t>
  </si>
  <si>
    <t>SECRETARIA GENERAL - SUBDIRECCIÓN ADMINISTRATIVA</t>
  </si>
  <si>
    <t>SECRETARIA GENERAL - SUBDIRECCIÓN FINANCIERA</t>
  </si>
  <si>
    <t>DIRECCIÓN OPERATIVA - DIRECCIONES TERRITORIALES</t>
  </si>
  <si>
    <t>DIRECCIÓN OPERATIVA - GERENCIA DE GRANDES PROYECTOS</t>
  </si>
  <si>
    <t>DIRECCIÓN OPERATIVA - GRUPO PLAN 2500</t>
  </si>
  <si>
    <t>DIRECCIÓN TÉCNICA - SUBDIRECCIÓN DE ESTUDIOS DE INNOVACIÓN</t>
  </si>
  <si>
    <t>DIRECCIÓN TÉCNICA - SUBDIRECCIÓN DE MEDIO AMBIENTE Y GESTIÓN SOCIAL</t>
  </si>
  <si>
    <t>DIRECCIÓN TÉCNICA - SUBDIRECCIÓN DE PREVENCIÓN Y ATENCIÓN DE EMERGENCIAS</t>
  </si>
  <si>
    <t>DIRECCIÓN OPERATIVA - SUBDIRECCIÓN MARÍTIMA Y FLUVIAL</t>
  </si>
  <si>
    <t>DIRECCIÓN OPERATIVA - SUBDIRECCIÓN RED NACIONAL DE CARRETERAS</t>
  </si>
  <si>
    <t>DIRECCIÓN OPERATIVA - SUBDIRECCIÓN RED TERCIARIA Y FERREA</t>
  </si>
  <si>
    <t>DIRECCIÓN TÉCNICA</t>
  </si>
  <si>
    <t>DIRECCIÓN OPERATIVA</t>
  </si>
  <si>
    <t>DIRECCIÓN OPERATIVA - GRUPO TÚNEL DE LA LÍNEA</t>
  </si>
  <si>
    <t>CONCURSO DE MÉRITOS ABIERTO</t>
  </si>
  <si>
    <t>VERIFICACIÓN RUP</t>
  </si>
  <si>
    <t>¿EL CONTRATO SE ENCUENTRA INSCRITO EN EL RUP? (SI/NO)</t>
  </si>
  <si>
    <t>Cálculo de Valores de Contratos Ejecutados en el Extranjero</t>
  </si>
  <si>
    <t>Fecha de Terminación del Contrato</t>
  </si>
  <si>
    <t>Valor del Cto en SMMLV</t>
  </si>
  <si>
    <t>RESULTADO DE VALORES DE CONTRATOS EN EL EXTRANJERO, APLICANDO EL REDONDEO</t>
  </si>
  <si>
    <t>Cálculo de Valores de Contratos por Proponente</t>
  </si>
  <si>
    <t>Valor en SMMLV por Contrato</t>
  </si>
  <si>
    <t>Valor del Contrato en SMMLV del Año de Terminación del Contrato</t>
  </si>
  <si>
    <t>Valor del Contrato en Pesos</t>
  </si>
  <si>
    <t>NÚMERO DE CONSECUTIVO EN EL RUP</t>
  </si>
  <si>
    <t>Valor Total Ejecutado del Contrato Afectado por el % de Participación</t>
  </si>
  <si>
    <t>¿LOS CONTRATOS ACREDITADOS CUMPLEN CON LA TOTALIDAD DE LAS CONDICIONES ESTABLECIDAS EN EL PLIEGO PARA LA VALIDEZ DE LA EXPERIENCIA?</t>
  </si>
  <si>
    <t>VERIFICAR</t>
  </si>
  <si>
    <t>Valor Total Ejecutado del Contrato que se encuentra Registrado en el RUP
(SMMLV)</t>
  </si>
  <si>
    <t>CUADRO No. 8</t>
  </si>
  <si>
    <t>CUADRO No. 11</t>
  </si>
  <si>
    <t>EXP.ESPEC.PROF</t>
  </si>
  <si>
    <t>3 AÑOS</t>
  </si>
  <si>
    <t>MAYOR A TRES AÑOS Y MENOR O IGUAL A CUATRO AÑOS</t>
  </si>
  <si>
    <t>MAYOR A CUATRO AÑOS</t>
  </si>
  <si>
    <t>COLOMBIA</t>
  </si>
  <si>
    <t>EXTRANJERO</t>
  </si>
  <si>
    <t>LUGAR DE EJECUCIÓN</t>
  </si>
  <si>
    <t>LUGAR DE EJECUCIÓN DEL CONTRATO</t>
  </si>
  <si>
    <t>CONDICION 20%</t>
  </si>
  <si>
    <t>N/A</t>
  </si>
  <si>
    <t>CONDICIÓN AC</t>
  </si>
  <si>
    <t>CONDICIÓN 50% PO</t>
  </si>
  <si>
    <t>VERIFICACIÓN POR PARTE DEL EVALUADOR</t>
  </si>
  <si>
    <t>OBSERVACIONES DEL EVALUADOR A LOS CONTRATOS</t>
  </si>
  <si>
    <t>% REQUERIDO PARA EL INTEGRANTE QUE APORTA LA MAYOR EXPERIENCIA</t>
  </si>
  <si>
    <t>¿LA PARTICIPACIÓN DEL PROPONENTE ES DEL 20% (SI ACREDITA UN CONTRATO VÁLIDO EJECUTADO EN TERRITORIO NACIONAL)? (SI/NO)</t>
  </si>
  <si>
    <t>¿EL CONTRATO CUMPLE CON LOS REQUERIMIENTOS DE EXPERIENCIA SOLICITADOS EN EL PLIEGO? (SI/NO)</t>
  </si>
  <si>
    <t>CONSOLIDADO CUMPLIMIENTO EXPERIENCIA</t>
  </si>
  <si>
    <t>RESULTADO</t>
  </si>
  <si>
    <t>CAPACIDAD JURÍDICA</t>
  </si>
  <si>
    <t>CAPACIDAD FINANCIERA</t>
  </si>
  <si>
    <t>CAPACIDAD ORGANIZACIONAL</t>
  </si>
  <si>
    <t>SUMA MANUAL</t>
  </si>
  <si>
    <t>ES IGUAL?</t>
  </si>
  <si>
    <t>0 - 100</t>
  </si>
  <si>
    <t>NIT</t>
  </si>
  <si>
    <t>No. DE CONTRATOS A ACREDITAR EXPERIENCIA ESPECÍFICA (VER PLIEGO)</t>
  </si>
  <si>
    <t>AÑO</t>
  </si>
  <si>
    <t>VALOR SMMLV</t>
  </si>
  <si>
    <t>CENTÉSIMAS TRM</t>
  </si>
  <si>
    <t>TIPO DE VÍA DEL CONTRATO ACREDITADO</t>
  </si>
  <si>
    <t>TIPO DE VÍA</t>
  </si>
  <si>
    <t>PRIMARIA</t>
  </si>
  <si>
    <t>SECUNDARIA</t>
  </si>
  <si>
    <t>TERCIARIA</t>
  </si>
  <si>
    <t>URBANA</t>
  </si>
  <si>
    <t>NO APLICA</t>
  </si>
  <si>
    <t>¿SI EL TIPO DE VÍA ACREDITADA ES URBANA, EL ANCHO DE CALZADA ES MAYOR O IGUAL A 7 MTS O VÍA DE MÁS DE TRES CARRILES? (SI/NO)</t>
  </si>
  <si>
    <t>PISTA DE AEROPUERTO</t>
  </si>
  <si>
    <t>¿EL CONTRATO SE ENCUENTRA DENTRO DE LAS CLASIFICACIONES UNSPSC XX XX XX Y/O YY YY YY Y/O ZZ ZZ ZZ, ESTABLECIDAS EN EL PLIEGO? (SI/NO)</t>
  </si>
  <si>
    <t>0,5 * Plazo del Módulo (Meses)</t>
  </si>
  <si>
    <t>Porcentaje Requerido</t>
  </si>
  <si>
    <t>Propuestas a ponderar con un Promedio de Plazo Acreditado ≥ 3 * Plazo del Módulo Y con un Promedio de Plazo Acreditado &lt;= 0,5 * Plazo del Módulo</t>
  </si>
  <si>
    <t>Propuestas a ponderar con un Promedio de Plazo Acreditado &lt; 3 * Plazo del Módulo Y con un Promedio de Plazo Acreditado &gt; 0,5 * Plazo del Módulo</t>
  </si>
  <si>
    <t>CALIFICACIÓN JURÍDICA Y FINANCIERA</t>
  </si>
  <si>
    <t>CALIFICACIÓN DEL PROPONTENTE</t>
  </si>
  <si>
    <t>CALIFICACIÓN DEFINITIVA DEL PROPONENTE</t>
  </si>
  <si>
    <t>Promedio Plazos Acreditados proponentes con Habilidad General (Pph)</t>
  </si>
  <si>
    <t>HABILIDAD DEL PROPONENTE</t>
  </si>
  <si>
    <t>RESUMEN DE LA PONDERACIÓN A LOS CRITERIOS DE EVALUACIÓN</t>
  </si>
  <si>
    <t>NÚMERO DE PROPUESTAS PRESENTADAS AL PROCESO</t>
  </si>
  <si>
    <t>TRM DEL DÍA DE PUBLICACIÓN DEL INFORME FINAL DE EVALUACIÓN</t>
  </si>
  <si>
    <t>VERIFICACIÓN NOMBRES</t>
  </si>
  <si>
    <t>VINCULACIÓN TRABAJADORES CON DISCAPACIDAD PLANTA DE PERSONAL</t>
  </si>
  <si>
    <t>0 - 10</t>
  </si>
  <si>
    <t>VINCULACIÓN TRABAJADORES CON DISCAPACIDAD PLANTA DE PERSONAL Y APOYO A LA INDUSTRIA NACIONAL</t>
  </si>
  <si>
    <t>¿Individual o EP?</t>
  </si>
  <si>
    <t>¿Aplica Verificación Experiencia?</t>
  </si>
  <si>
    <t>¿En caso de EP, cumple?</t>
  </si>
  <si>
    <t>Integrante</t>
  </si>
  <si>
    <t>PFMT aportado por el Integrante</t>
  </si>
  <si>
    <t>¿Cumple Numeral 5.2? (Verificar con el Abogado(a), y en caso que se acredite señalar con "X" el integrante que cumple el requerimiento)</t>
  </si>
  <si>
    <t>¿Cumple con el 40% de la Experiencia Requerida dentro del Proceso?</t>
  </si>
  <si>
    <t>CUADRO No. 6</t>
  </si>
  <si>
    <t>CUADRO No. 7</t>
  </si>
  <si>
    <t>CUADRO No. 10</t>
  </si>
  <si>
    <t>DIRECCIÓN TERRITORIAL HUILA</t>
  </si>
  <si>
    <t>JAIME ANDRES AREVALO ROJAS</t>
  </si>
  <si>
    <t>PEDRO JOSE CORREDOR BECERRA</t>
  </si>
  <si>
    <t>UCING LTDA</t>
  </si>
  <si>
    <t>ENRIQUE HERNANDO PRIETO ACEVEDO</t>
  </si>
  <si>
    <t>BRAIN INGENIERÍA VIAL</t>
  </si>
  <si>
    <t>900,779,202-1</t>
  </si>
  <si>
    <t>6,769,200</t>
  </si>
  <si>
    <t>TOP SUELOS INGENIERÍA S.A.S</t>
  </si>
  <si>
    <t>CONSULVIAS S.A.S</t>
  </si>
  <si>
    <t>844,002,765-7</t>
  </si>
  <si>
    <t>800,113,559-2</t>
  </si>
  <si>
    <t>INVIAS</t>
  </si>
  <si>
    <t>I</t>
  </si>
  <si>
    <t>¿EL CONTRATO SE ENCUENTRA DENTRO DE LAS CLASIFICACIONES UNSPSC 811015 Y/O 811022, ESTABLECIDAS EN EL PLIEGO? (SI/NO)</t>
  </si>
  <si>
    <t>UT</t>
  </si>
  <si>
    <t>VERIFICAR LOS NÚMEROS CONSECUTIVOS EN EL RUP</t>
  </si>
  <si>
    <t>NO PRESENTA FORMULARIO DE EXPERIENCIA REQUERIDA</t>
  </si>
  <si>
    <t>881 - 2011</t>
  </si>
  <si>
    <t>EL RUP NO CONTIENE LA INFORMACIÓN RELACIONADA EN EL FORMULARIO DE EXPERIENCIA</t>
  </si>
  <si>
    <t>LA FECHA DE EXPEDICIÓN DEL RUP ES MAYOR  A 30 DÍAS .</t>
  </si>
  <si>
    <t>3 - LINO</t>
  </si>
  <si>
    <t>14 - LINO</t>
  </si>
  <si>
    <t>28 - LINO</t>
  </si>
  <si>
    <t>23 - ABRAHAM</t>
  </si>
  <si>
    <t>54 - ABRAHAM</t>
  </si>
  <si>
    <t>95 - ABRAHAM</t>
  </si>
  <si>
    <t>EL CONTRATO NO SE ENCUENTRA DENTRO DE LAS CLASIFICACIONES UNSPSC 811015 Y/O 811022, ESTABLECIDAS EN EL PLIEGO</t>
  </si>
  <si>
    <t>12 - UCING</t>
  </si>
  <si>
    <t>26 - UCING</t>
  </si>
  <si>
    <t>6 - UCING</t>
  </si>
  <si>
    <t>38 - INESAS</t>
  </si>
  <si>
    <t xml:space="preserve">21 - INESAS </t>
  </si>
  <si>
    <t>7 - JULIA</t>
  </si>
  <si>
    <t>3 - INTERVENTORIAS</t>
  </si>
  <si>
    <t xml:space="preserve">20 - JULIA </t>
  </si>
  <si>
    <t>064  INTERVENTORIAS Y 062  JULIA</t>
  </si>
  <si>
    <t>9 - INTERVENTORIAS</t>
  </si>
  <si>
    <t>EL OBJETO DEL CONTRATO REGISTRADO EN EL FORMULARIO DE EXPERIENCIA  NO CORREPONDE CON  EL CERTIFICADO DE CONTRATO DE INTERVENTORÍA No. 1148 - 20005.</t>
  </si>
  <si>
    <t>17 - BRIAN</t>
  </si>
  <si>
    <t>31 - BRIAN</t>
  </si>
  <si>
    <t>37 - ENRIQUE</t>
  </si>
  <si>
    <t>19 - ENRIQUE</t>
  </si>
  <si>
    <t>15 - CONSULVIAS</t>
  </si>
  <si>
    <t>49 - TOP SUELOS</t>
  </si>
  <si>
    <t>50 - TOP SUELOS</t>
  </si>
  <si>
    <t>114 - TOP SUELOS</t>
  </si>
  <si>
    <t>113 - TOP SUELOS</t>
  </si>
  <si>
    <t>SE  RECALCULA EL  TIEMPO DE  SUSPENSIÓN  DEL CONTRATO 012-2012 DE ACUERDO CON EL CERTIFICADO DE EXPERIENCIA APORTADO POR EL PROPONENTE.</t>
  </si>
  <si>
    <t>SE  RECALCULA EL  TIEMPO DE  SUSPENSIÓN  DEL CONTRATO 063-2015 DE ACUERDO CON EL CERTIFICADO DE EXPERIENCIA APORTADO POR EL PROPONENTE.</t>
  </si>
  <si>
    <t>SE  RECALCULA EL  TIEMPO DE  SUSPENSIÓN  DEL CONTRATO 342 - 2006 DE ACUERDO CON EL CERTIFICADO DE EXPERIENCIA APORTADO POR EL PROPONENTE.</t>
  </si>
  <si>
    <t>X</t>
  </si>
  <si>
    <t>SE AJUSTA EL VALOR TOTAL EJECUTADO DEL CONTRATO EN SMMLV DE ACUERDO CON  LA INFORMACIÓN REGISTRDA EN EL RUP</t>
  </si>
  <si>
    <t>CMA-DT-HUI-002-2019</t>
  </si>
  <si>
    <t>OBJETO: "INTERVENTORIA TECNICA, ADMINISTRATIVA, FINANCIERA, AMBIENTAL , ATENCIÓN SITIOS CRITICOS CONSTRUCCIÓN PUENTE QUEBRADA PÌEDRAS NEGRAS MUNICIPIO DE SALADOBLANCO CARRETERA LA CABAÑA-MORELIA, CÓDIGO 19787 (PRODUCTO SITIO CRÍTICO DE RED TERCIARIA ESTABILIZADA).”</t>
  </si>
  <si>
    <t>“INTERVENTORIA TECNICA, ADMINISTRATIVA, FINANCIERA, AMBIENTAL ATENCIÓN SITIOS CRITICOS CONSTRUCCIÓN PUENTE QUEBRADA PÌEDRAS NEGRAS MUNICIPIO DE SALADOBLANCO CARRETERA LA CABAÑA-MORELIA, CÓDIGO 19787 (PRODUCTO SITIO CRÍTICO DE RED TERCIARIA ESTABILIZADA).”</t>
  </si>
  <si>
    <t>CONSORCIO JC 2019</t>
  </si>
  <si>
    <t>CLARA HELENA MORENO ESPAÑA</t>
  </si>
  <si>
    <t>JAIME HERNANDO MORENO ESPAÑA</t>
  </si>
  <si>
    <t>JAHIR HERIBERTO PAZ BURBANO</t>
  </si>
  <si>
    <t>OS-024-2002</t>
  </si>
  <si>
    <t>1421 DE 2008 Y 1421-1-2008  DE 2008</t>
  </si>
  <si>
    <t xml:space="preserve">INTERVENTORIA PARA EL MANTENIMIENTO DE LA CARRETERA TUMACO PEDREGAL </t>
  </si>
  <si>
    <t xml:space="preserve">INTERVENTORIA PARA LA REHABILITACION Y CONSERVACION  DE LOS PUENTES DE LA CARRETERA TUMACO JUNIN  Y JUNIN PEDREGAL </t>
  </si>
  <si>
    <t>INTERVENTORIA A LAS OBRAS DE CONTENCION  Y RECTIFICACION DEL TALUD DE CARRETERA  RUMICHACA PASTO- SECTOR PR 19 + 0320 PR 24+04000</t>
  </si>
  <si>
    <t>INTERVENTORIA DEL MEJORAMIENTO Y MANTENIMIENTO DE LA CARRETERA JUNIN- PEDREGAL SECTOR JUNIN-TUQUERRES RUTA 1002, PR 0 - PR 95</t>
  </si>
  <si>
    <t>INTERVENTORIA TECNICA , ADMINISTRATIVA, FINANCIERA Y AMBIENTAL PARA EL MEJORAMIENTO DE LA VIA CUMBAL - GUAM, MUNICIPIO DE CUMBAL, DEPARTAMENTO DE NARIÑO.</t>
  </si>
  <si>
    <t>CONSORCIO MORELIA JPD</t>
  </si>
  <si>
    <t>DONAL BOGOTA BAUTISTA</t>
  </si>
  <si>
    <t>891.101.100-5</t>
  </si>
  <si>
    <t>830.092.902-3</t>
  </si>
  <si>
    <t xml:space="preserve">JAIME HERNANDO MORENO ESPAÑA </t>
  </si>
  <si>
    <t>CLARA ELENA MORENO ESPAÑA</t>
  </si>
  <si>
    <t>17-001-1999</t>
  </si>
  <si>
    <t>MUNICIPIO DE LA CAPILLA</t>
  </si>
  <si>
    <t>004 DE 2006</t>
  </si>
  <si>
    <t>006 DE 2007</t>
  </si>
  <si>
    <t>940-2015</t>
  </si>
  <si>
    <t>1350 DE 2014</t>
  </si>
  <si>
    <t>INTERVENTORÍA TÉCNICA, ADMINITRATIVA Y FINANCIERA AL CONTRATO DE OBRA No 003 DE 2007, CUYO OBJETO ES LA  CONSTRUCCIÓN DEL PUENTE VEHICULAR SOBRE LA QUEBRADA  LOS PUENTES, VEREDA SUNTAFITA , MUNICIPIO DE LA CAPILLA DEPARTAMENTO DE BOYACÁ</t>
  </si>
  <si>
    <t xml:space="preserve">INTERVENTORIA TECNICA, ADMINISTRATIVA, FINANCIERA Y AMBIENTAL PARA EL MEJORAMIENTO, MANTENIMIENTO A TRAVES DE LA CONSTRUCCION DEL PUENTE EN EL K0+500 DE LA VIA MARIPI - CHIPICHIPI, CORDIGO 51462, MUNICIPIO DE MARIPI, DEPARTAMENTO DE BOYACA, MODULO 2. </t>
  </si>
  <si>
    <t>NTERVENTORIA PARA LA REHABILITACION Y CONSERVACION DEL PUENTE GUADALAJARA EN AL CARRETERA BARBOSA TUNJA RUTA 62 TRAMO 6209</t>
  </si>
  <si>
    <t>11-JORGE CORZO</t>
  </si>
  <si>
    <t>48-PEDRO JOSE CORREDOR</t>
  </si>
  <si>
    <t>67-PEDRO JOSE CORREDOR</t>
  </si>
  <si>
    <t>162-PEDRO JOSE CORREDOR</t>
  </si>
  <si>
    <t>14-DONAL BOGOTA</t>
  </si>
  <si>
    <t>GOBERNACION DEL HUILA</t>
  </si>
  <si>
    <t>1692- 2006</t>
  </si>
  <si>
    <t>3521 - 2005</t>
  </si>
  <si>
    <t>3659 - 2008</t>
  </si>
  <si>
    <t xml:space="preserve">INTERVENTORIA TECNICA, ADMINISTRATIVA YAMBIENTAL PARA EL MEJORAMIENTO DE LA VIA QUIBDO - PACURITA, MEDIANTE LA COSNTRUCCI{ON DE ACCESOS Y SUPERESTRUCTURA DEL PUENTE DEL K6+080 SOBRE EL RIO CABI, CODIGO 44295, MUNICIPIO DE QUIBDO, DEPARTAMENTO DEL CHOCÓ </t>
  </si>
  <si>
    <t>INTERVENTORÍA PARA LA REHABILITACIÓN Y CONSERVACION DEL PUENTO DE PUERO VALDIVIA DE LA CARRETERA LLANOS DE TARAZÁ, RUTA 2511</t>
  </si>
  <si>
    <t>INTERVENTORIA TECNICA A LA CONSTRUCCIÓN DE UN PUENTE EN CONCRETO SOBRE EL RIO SAN FRANCISCO, MUNICIPIO DE IQUIRA-DEPARTAMENTO DEL HUILA.</t>
  </si>
  <si>
    <t>INTERVENTORIA PARA LA URGENCIA MANIFIESTA EN LA VIA PUERTO NOLASCO - NATAGA, MEDIANTE LA CONSTRUCCIÓN DEL PUENTE NOLASCO-UBICADO EN EL DEPARTAMENTO DEL HUILA</t>
  </si>
  <si>
    <t>SOCIEDAD TECNICA SOTA LTDA</t>
  </si>
  <si>
    <t>1695-2005</t>
  </si>
  <si>
    <t>1022-2012</t>
  </si>
  <si>
    <t>1619-2013</t>
  </si>
  <si>
    <t>863-2015</t>
  </si>
  <si>
    <t>614-2017</t>
  </si>
  <si>
    <t>1307-2018</t>
  </si>
  <si>
    <t>INTERVENTORIA PARA LA REHABILITACIÓN Y CONSERVACIÓN DEL PUENTE JOSÉ ANTONIO PÁEZ, DE LA CARRETERA COROCORO-ARAUCA, RUTA 6606</t>
  </si>
  <si>
    <t>INTERVENTORÍA REHABILITACIÓN Y CONSERVACIÓN DEL PUENTE CARAÑO SOBRE EL RIO HACHA EN LA CARRETERA CRUCE RAMAL 20CQ01, DEPARTAMENTO DE CAQUETÁ.</t>
  </si>
  <si>
    <t>INTERVENTORÍA PARA REHABILITACIÓN Y CONSERVACIÓN DEL PUENTE LUIS IGNACIO ANDRADE EN LA CARRETERA HONDA-BOGOTÁ, TERRITORIAL TOLIMA.</t>
  </si>
  <si>
    <t>INTERVENTORIA PARA LA REHABILITACIÓN Y CONSERVACIÓN DEL PUENTE  INTERNACIONAL JOSÉ ANTONIO PÁEZ EN LA CARRETERA COROCORO-ARAUCA</t>
  </si>
  <si>
    <t>INTERVENTORÍA PARA REHABILITACIÓN  DEL PUENTE CAMINITO, EN LA CARRETERA SANTUARIO-CRUCE RUTA 45 (CAÑO ALEGRE) RUTA 6005, DIRECCION TERRITORIAL ANTIOQUIA.</t>
  </si>
  <si>
    <t xml:space="preserve"> 17-019-00</t>
  </si>
  <si>
    <t xml:space="preserve"> 3190-2009 </t>
  </si>
  <si>
    <t>INTERVENTORÍA TÉCNICA, ADMINISTRATIVA Y FINANCIERA AL CONTRATO DE OBRA No 002 DE 2006 PARA LA CONSTRUCCIÓN PUENTE VEHICULAR SOBRE LA QUEBRADA MADREJUANA ACCESO AL SECTOR HIERBABUENA, MUNICIPIO DE LA CAPILLA DEPARTAMENTO DE BOYACÁ</t>
  </si>
  <si>
    <t>148 -PEDRO JOSE CORREDOR</t>
  </si>
  <si>
    <t>SOTA</t>
  </si>
  <si>
    <t>IINTERVENTORIA PARA  LAS OBRAS DE REHABILITACIÓN Y CONSERVACIÓN DEL PUENTE LAS CAÑAS EN LA CARRETERA YOPAL-PAZ DE ARIPORO, RUTA 6513 DEPARTAMENTO DEL CASANARE.</t>
  </si>
  <si>
    <t>C</t>
  </si>
  <si>
    <t xml:space="preserve">INTERVENTORIA TECNICA, ADMINISTRATIVA YAMBIENTAL PARA EL MEJORAMIENTO DE LA VIA QUIBDO - PACURITA, MEDIANTE LA COSNTRUCCIÓN DE ACCESOS Y SUPERESTRUCTURA DEL PUENTE DEL K6+080 SOBRE EL RIO CABI, CODIGO 44295, MUNICIPIO DE QUIBDO, DEPARTAMENTO DEL CHOCÓ </t>
  </si>
  <si>
    <t>3714 - 2018</t>
  </si>
  <si>
    <t>No aportó acta de recibo. Se buscó en SICO Y se diligenció matriz</t>
  </si>
  <si>
    <t xml:space="preserve">No aportó acta de recibo. No aparece en SICO </t>
  </si>
  <si>
    <t>No aportó acta de recibo. Entidad contratante GoberHuila. Solicitar al Proponente.</t>
  </si>
  <si>
    <t>No aportó el acta de recibo. Se buscó en SICO y se deiligenció Matriz.</t>
  </si>
  <si>
    <t>Se buscó acta de Recibo en SICO. Actividades desarrolladas no corresponden a la experiencia requerida.</t>
  </si>
  <si>
    <t>JORGE WILLIAM CORZO GARCÍA</t>
  </si>
  <si>
    <t>OCTUBRE 24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</si>
</sst>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164" formatCode="_(* #,##0_);_(* \(#,##0\);_(* &quot;-&quot;_);_(@_)"/>
    <numFmt numFmtId="165" formatCode="_(* #,##0.00_);_(* \(#,##0.00\);_(* &quot;-&quot;??_);_(@_)"/>
    <numFmt numFmtId="166" formatCode="_ * #,##0.00_ ;_ * \-#,##0.00_ ;_ * &quot;-&quot;??_ ;_ @_ "/>
    <numFmt numFmtId="167" formatCode="&quot;NN&quot;\ 0"/>
    <numFmt numFmtId="168" formatCode="#,##0.0"/>
    <numFmt numFmtId="169" formatCode="&quot;No. &quot;#,##0"/>
    <numFmt numFmtId="170" formatCode="mmmm\ d\,\ yyyy"/>
    <numFmt numFmtId="171" formatCode="&quot;MODULO &quot;#,##0"/>
    <numFmt numFmtId="172" formatCode="dd\-mmm\-yyyy"/>
    <numFmt numFmtId="173" formatCode="dd\-mm\-yy;@"/>
    <numFmt numFmtId="174" formatCode="0.000"/>
    <numFmt numFmtId="175" formatCode="0.0000"/>
    <numFmt numFmtId="176" formatCode="#,##0.000"/>
    <numFmt numFmtId="177" formatCode="_ [$€-2]\ * #,##0.00_ ;_ [$€-2]\ * \-#,##0.00_ ;_ [$€-2]\ * &quot;-&quot;??_ "/>
    <numFmt numFmtId="178" formatCode="&quot;VTE = &quot;#,##0.00"/>
    <numFmt numFmtId="179" formatCode="&quot;PFMT = &quot;#,##0.00"/>
    <numFmt numFmtId="180" formatCode="&quot;RESUMEN EVALUACIÓN MODULO  &quot;#"/>
    <numFmt numFmtId="181" formatCode="0.00000000"/>
    <numFmt numFmtId="182" formatCode="0.000000000"/>
    <numFmt numFmtId="183" formatCode="&quot;RESUMEN HABILIDAD EVALUACIÓN MODULO  &quot;#"/>
    <numFmt numFmtId="184" formatCode="&quot;RESUMEN PUNTAJE EVALUACIÓN MODULO  &quot;#"/>
    <numFmt numFmtId="185" formatCode="#,##0&quot;°&quot;"/>
    <numFmt numFmtId="186" formatCode="_([$$-240A]\ * #,##0.00_);_([$$-240A]\ * \(#,##0.00\);_([$$-240A]\ * &quot;-&quot;??_);_(@_)"/>
    <numFmt numFmtId="187" formatCode="0.0"/>
    <numFmt numFmtId="188" formatCode="_ &quot;$&quot;\ * #,##0.00_ ;_ &quot;$&quot;\ * \-#,##0.00_ ;_ &quot;$&quot;\ * &quot;-&quot;??_ ;_ @_ "/>
  </numFmts>
  <fonts count="9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8"/>
      <name val="Sans Serif 10cpi"/>
      <family val="3"/>
    </font>
    <font>
      <sz val="8"/>
      <color indexed="8"/>
      <name val="Arial"/>
      <family val="2"/>
    </font>
    <font>
      <sz val="8"/>
      <color indexed="33"/>
      <name val="Arial"/>
      <family val="2"/>
    </font>
    <font>
      <sz val="12"/>
      <color indexed="8"/>
      <name val="Calibri"/>
      <family val="2"/>
    </font>
    <font>
      <sz val="8"/>
      <color indexed="20"/>
      <name val="Arial"/>
      <family val="2"/>
    </font>
    <font>
      <sz val="8"/>
      <color indexed="10"/>
      <name val="Arial"/>
      <family val="2"/>
    </font>
    <font>
      <b/>
      <sz val="20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b/>
      <sz val="10"/>
      <color indexed="8"/>
      <name val="Calibri"/>
      <family val="2"/>
    </font>
    <font>
      <u/>
      <sz val="11"/>
      <color indexed="8"/>
      <name val="Calibri"/>
      <family val="2"/>
    </font>
    <font>
      <sz val="8"/>
      <name val="Calibri"/>
      <family val="2"/>
    </font>
    <font>
      <sz val="4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4"/>
      <color indexed="9"/>
      <name val="Arial Narrow"/>
      <family val="2"/>
    </font>
    <font>
      <b/>
      <sz val="16"/>
      <name val="Arial Narrow"/>
      <family val="2"/>
    </font>
    <font>
      <sz val="10"/>
      <color indexed="9"/>
      <name val="Arial Narrow"/>
      <family val="2"/>
    </font>
    <font>
      <b/>
      <sz val="18"/>
      <name val="Arial Narrow"/>
      <family val="2"/>
    </font>
    <font>
      <b/>
      <sz val="8"/>
      <name val="Arial Narrow"/>
      <family val="2"/>
    </font>
    <font>
      <b/>
      <sz val="11"/>
      <color indexed="8"/>
      <name val="Arial"/>
      <family val="2"/>
    </font>
    <font>
      <sz val="5"/>
      <name val="Arial"/>
      <family val="2"/>
    </font>
    <font>
      <b/>
      <sz val="9"/>
      <name val="Arial"/>
      <family val="2"/>
    </font>
    <font>
      <b/>
      <sz val="18"/>
      <name val="Arial"/>
      <family val="2"/>
    </font>
    <font>
      <sz val="9"/>
      <name val="Arial Narrow"/>
      <family val="2"/>
    </font>
    <font>
      <b/>
      <sz val="9"/>
      <color indexed="8"/>
      <name val="Arial"/>
      <family val="2"/>
    </font>
    <font>
      <sz val="6"/>
      <color indexed="10"/>
      <name val="Arial Narrow"/>
      <family val="2"/>
    </font>
    <font>
      <sz val="10"/>
      <color indexed="10"/>
      <name val="Arial Narrow"/>
      <family val="2"/>
    </font>
    <font>
      <sz val="8"/>
      <color indexed="18"/>
      <name val="Arial Narrow"/>
      <family val="2"/>
    </font>
    <font>
      <sz val="14"/>
      <name val="Arial Narrow"/>
      <family val="2"/>
    </font>
    <font>
      <b/>
      <sz val="14"/>
      <color indexed="56"/>
      <name val="Arial Narrow"/>
      <family val="2"/>
    </font>
    <font>
      <sz val="12"/>
      <name val="Arial"/>
      <family val="2"/>
    </font>
    <font>
      <sz val="4"/>
      <color indexed="10"/>
      <name val="Arial"/>
      <family val="2"/>
    </font>
    <font>
      <sz val="4"/>
      <name val="Arial"/>
      <family val="2"/>
    </font>
    <font>
      <b/>
      <i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Arial"/>
      <family val="2"/>
    </font>
    <font>
      <sz val="8"/>
      <name val="Sans Serif 10cpi"/>
      <family val="3"/>
    </font>
    <font>
      <sz val="9"/>
      <name val="Calibri"/>
      <family val="2"/>
    </font>
    <font>
      <b/>
      <sz val="9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4"/>
      <color theme="1"/>
      <name val="Arial Narrow"/>
      <family val="2"/>
    </font>
    <font>
      <b/>
      <sz val="12"/>
      <color theme="1"/>
      <name val="Arial Narrow"/>
      <family val="2"/>
    </font>
    <font>
      <sz val="14"/>
      <color theme="1"/>
      <name val="Arial Narrow"/>
      <family val="2"/>
    </font>
    <font>
      <sz val="10"/>
      <color theme="0"/>
      <name val="Arial Narrow"/>
      <family val="2"/>
    </font>
    <font>
      <sz val="12"/>
      <color theme="0"/>
      <name val="Arial Narrow"/>
      <family val="2"/>
    </font>
    <font>
      <sz val="10"/>
      <color theme="1"/>
      <name val="Arial"/>
      <family val="2"/>
    </font>
    <font>
      <sz val="4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8"/>
      <color rgb="FFFF0000"/>
      <name val="Arial Narrow"/>
      <family val="2"/>
    </font>
    <font>
      <sz val="10"/>
      <color rgb="FFFF0000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"/>
      <family val="2"/>
    </font>
    <font>
      <sz val="8"/>
      <color rgb="FF800080"/>
      <name val="Arial"/>
      <family val="2"/>
    </font>
    <font>
      <b/>
      <sz val="14"/>
      <color theme="1"/>
      <name val="Arial Narrow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1"/>
      <color indexed="8"/>
      <name val="Calibri"/>
      <family val="2"/>
      <scheme val="minor"/>
    </font>
    <font>
      <b/>
      <sz val="8"/>
      <color rgb="FFFF0000"/>
      <name val="Arial"/>
      <family val="2"/>
    </font>
    <font>
      <b/>
      <sz val="10"/>
      <color rgb="FFFF0000"/>
      <name val="Arial"/>
      <family val="2"/>
    </font>
    <font>
      <b/>
      <sz val="7.5"/>
      <name val="Arial Narrow"/>
      <family val="2"/>
    </font>
    <font>
      <sz val="10"/>
      <color theme="0"/>
      <name val="Arial"/>
      <family val="2"/>
    </font>
    <font>
      <sz val="8"/>
      <color rgb="FFFF0000"/>
      <name val="Arial"/>
      <family val="2"/>
    </font>
    <font>
      <b/>
      <sz val="8"/>
      <name val="Calibri"/>
      <family val="2"/>
      <scheme val="minor"/>
    </font>
    <font>
      <sz val="10"/>
      <color rgb="FFFF0000"/>
      <name val="Arial"/>
      <family val="2"/>
    </font>
    <font>
      <sz val="11"/>
      <color rgb="FF00000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9FFB3"/>
        <bgColor indexed="64"/>
      </patternFill>
    </fill>
    <fill>
      <patternFill patternType="solid">
        <fgColor rgb="FFBD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6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92">
    <xf numFmtId="0" fontId="0" fillId="0" borderId="0"/>
    <xf numFmtId="177" fontId="1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57" fillId="0" borderId="0"/>
    <xf numFmtId="0" fontId="2" fillId="0" borderId="0"/>
    <xf numFmtId="0" fontId="2" fillId="0" borderId="0"/>
    <xf numFmtId="0" fontId="57" fillId="0" borderId="0"/>
    <xf numFmtId="0" fontId="2" fillId="0" borderId="0"/>
    <xf numFmtId="0" fontId="2" fillId="0" borderId="0"/>
    <xf numFmtId="0" fontId="2" fillId="0" borderId="0"/>
    <xf numFmtId="0" fontId="57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" fillId="0" borderId="0"/>
    <xf numFmtId="0" fontId="13" fillId="6" borderId="147" applyNumberFormat="0" applyFont="0" applyAlignment="0" applyProtection="0"/>
    <xf numFmtId="9" fontId="1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8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911">
    <xf numFmtId="0" fontId="0" fillId="0" borderId="0" xfId="0"/>
    <xf numFmtId="0" fontId="2" fillId="0" borderId="0" xfId="37" applyFont="1" applyAlignment="1">
      <alignment horizontal="centerContinuous" vertical="center" wrapText="1"/>
    </xf>
    <xf numFmtId="0" fontId="2" fillId="0" borderId="0" xfId="37" applyFont="1"/>
    <xf numFmtId="0" fontId="5" fillId="0" borderId="0" xfId="37" applyFont="1" applyAlignment="1">
      <alignment horizontal="centerContinuous" vertical="center" wrapText="1"/>
    </xf>
    <xf numFmtId="0" fontId="6" fillId="0" borderId="0" xfId="37" applyFont="1"/>
    <xf numFmtId="0" fontId="2" fillId="0" borderId="0" xfId="37" applyAlignment="1">
      <alignment horizontal="centerContinuous" vertical="center" wrapText="1"/>
    </xf>
    <xf numFmtId="0" fontId="2" fillId="0" borderId="0" xfId="37"/>
    <xf numFmtId="0" fontId="10" fillId="0" borderId="0" xfId="37" applyFont="1"/>
    <xf numFmtId="0" fontId="2" fillId="0" borderId="0" xfId="37" applyFont="1" applyFill="1"/>
    <xf numFmtId="0" fontId="14" fillId="0" borderId="0" xfId="38" applyFont="1" applyAlignment="1">
      <alignment horizontal="center"/>
    </xf>
    <xf numFmtId="0" fontId="2" fillId="0" borderId="1" xfId="37" applyFont="1" applyBorder="1"/>
    <xf numFmtId="0" fontId="2" fillId="0" borderId="2" xfId="37" applyFont="1" applyBorder="1"/>
    <xf numFmtId="0" fontId="2" fillId="0" borderId="2" xfId="37" applyFont="1" applyFill="1" applyBorder="1"/>
    <xf numFmtId="0" fontId="19" fillId="2" borderId="3" xfId="43" applyFont="1" applyFill="1" applyBorder="1" applyAlignment="1">
      <alignment horizontal="center" vertical="center"/>
    </xf>
    <xf numFmtId="0" fontId="9" fillId="3" borderId="4" xfId="38" applyFont="1" applyFill="1" applyBorder="1" applyAlignment="1">
      <alignment horizontal="centerContinuous" vertical="center"/>
    </xf>
    <xf numFmtId="0" fontId="9" fillId="3" borderId="5" xfId="38" applyFont="1" applyFill="1" applyBorder="1" applyAlignment="1">
      <alignment horizontal="centerContinuous" vertical="center"/>
    </xf>
    <xf numFmtId="14" fontId="5" fillId="0" borderId="6" xfId="38" applyNumberFormat="1" applyFont="1" applyBorder="1" applyAlignment="1">
      <alignment horizontal="center"/>
    </xf>
    <xf numFmtId="3" fontId="5" fillId="0" borderId="7" xfId="38" applyNumberFormat="1" applyFont="1" applyBorder="1" applyAlignment="1">
      <alignment horizontal="center"/>
    </xf>
    <xf numFmtId="0" fontId="9" fillId="3" borderId="8" xfId="37" applyFont="1" applyFill="1" applyBorder="1" applyAlignment="1">
      <alignment horizontal="center" vertical="center"/>
    </xf>
    <xf numFmtId="0" fontId="9" fillId="0" borderId="9" xfId="37" applyFont="1" applyFill="1" applyBorder="1" applyAlignment="1">
      <alignment vertical="center"/>
    </xf>
    <xf numFmtId="1" fontId="11" fillId="0" borderId="10" xfId="37" applyNumberFormat="1" applyFont="1" applyBorder="1" applyAlignment="1">
      <alignment horizontal="center" vertical="center"/>
    </xf>
    <xf numFmtId="0" fontId="12" fillId="0" borderId="10" xfId="37" applyFont="1" applyBorder="1" applyAlignment="1">
      <alignment horizontal="center"/>
    </xf>
    <xf numFmtId="0" fontId="4" fillId="0" borderId="11" xfId="37" applyFont="1" applyFill="1" applyBorder="1" applyAlignment="1">
      <alignment horizontal="center" vertical="center" wrapText="1"/>
    </xf>
    <xf numFmtId="0" fontId="4" fillId="0" borderId="11" xfId="37" applyFont="1" applyFill="1" applyBorder="1" applyAlignment="1">
      <alignment horizontal="left" vertical="center" wrapText="1"/>
    </xf>
    <xf numFmtId="172" fontId="4" fillId="0" borderId="12" xfId="41" applyNumberFormat="1" applyFont="1" applyBorder="1" applyAlignment="1">
      <alignment horizontal="centerContinuous" vertical="center"/>
    </xf>
    <xf numFmtId="0" fontId="9" fillId="0" borderId="12" xfId="41" applyFont="1" applyFill="1" applyBorder="1" applyAlignment="1">
      <alignment horizontal="right" vertical="center" wrapText="1"/>
    </xf>
    <xf numFmtId="0" fontId="9" fillId="3" borderId="8" xfId="41" applyFont="1" applyFill="1" applyBorder="1" applyAlignment="1">
      <alignment horizontal="center" vertical="center" wrapText="1"/>
    </xf>
    <xf numFmtId="168" fontId="9" fillId="3" borderId="13" xfId="41" applyNumberFormat="1" applyFont="1" applyFill="1" applyBorder="1" applyAlignment="1">
      <alignment horizontal="center" vertical="center" wrapText="1"/>
    </xf>
    <xf numFmtId="0" fontId="9" fillId="3" borderId="14" xfId="37" applyFont="1" applyFill="1" applyBorder="1" applyAlignment="1">
      <alignment horizontal="center" vertical="center"/>
    </xf>
    <xf numFmtId="0" fontId="9" fillId="0" borderId="15" xfId="41" applyFont="1" applyFill="1" applyBorder="1" applyAlignment="1">
      <alignment horizontal="center" vertical="center" wrapText="1"/>
    </xf>
    <xf numFmtId="0" fontId="9" fillId="0" borderId="16" xfId="41" applyFont="1" applyFill="1" applyBorder="1" applyAlignment="1">
      <alignment horizontal="center" vertical="center" wrapText="1"/>
    </xf>
    <xf numFmtId="0" fontId="9" fillId="0" borderId="17" xfId="37" applyFont="1" applyFill="1" applyBorder="1" applyAlignment="1">
      <alignment vertical="center"/>
    </xf>
    <xf numFmtId="0" fontId="9" fillId="0" borderId="18" xfId="37" applyFont="1" applyFill="1" applyBorder="1" applyAlignment="1">
      <alignment vertical="center"/>
    </xf>
    <xf numFmtId="0" fontId="4" fillId="0" borderId="19" xfId="37" applyFont="1" applyFill="1" applyBorder="1" applyAlignment="1">
      <alignment horizontal="center" vertical="center" wrapText="1"/>
    </xf>
    <xf numFmtId="1" fontId="4" fillId="0" borderId="20" xfId="37" applyNumberFormat="1" applyFont="1" applyFill="1" applyBorder="1" applyAlignment="1">
      <alignment horizontal="center" vertical="center" wrapText="1"/>
    </xf>
    <xf numFmtId="0" fontId="21" fillId="0" borderId="0" xfId="0" applyFont="1"/>
    <xf numFmtId="0" fontId="20" fillId="3" borderId="14" xfId="0" applyFont="1" applyFill="1" applyBorder="1" applyAlignment="1">
      <alignment horizontal="center" vertical="center"/>
    </xf>
    <xf numFmtId="0" fontId="20" fillId="3" borderId="13" xfId="0" applyFont="1" applyFill="1" applyBorder="1" applyAlignment="1">
      <alignment horizontal="center" vertical="center" wrapText="1"/>
    </xf>
    <xf numFmtId="0" fontId="16" fillId="3" borderId="21" xfId="41" applyFont="1" applyFill="1" applyBorder="1" applyAlignment="1">
      <alignment horizontal="center" vertical="center" wrapText="1"/>
    </xf>
    <xf numFmtId="0" fontId="9" fillId="0" borderId="22" xfId="37" applyFont="1" applyFill="1" applyBorder="1" applyAlignment="1">
      <alignment vertical="center"/>
    </xf>
    <xf numFmtId="1" fontId="11" fillId="0" borderId="23" xfId="37" applyNumberFormat="1" applyFont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0" borderId="0" xfId="37" applyAlignment="1">
      <alignment wrapText="1"/>
    </xf>
    <xf numFmtId="0" fontId="23" fillId="0" borderId="0" xfId="37" applyFont="1" applyFill="1" applyAlignment="1">
      <alignment horizontal="center" vertical="center"/>
    </xf>
    <xf numFmtId="0" fontId="25" fillId="0" borderId="0" xfId="37" applyFont="1" applyAlignment="1">
      <alignment horizontal="centerContinuous" vertical="center" wrapText="1"/>
    </xf>
    <xf numFmtId="0" fontId="26" fillId="0" borderId="0" xfId="37" applyFont="1" applyAlignment="1">
      <alignment horizontal="centerContinuous" vertical="center" wrapText="1"/>
    </xf>
    <xf numFmtId="0" fontId="26" fillId="0" borderId="0" xfId="37" applyFont="1" applyAlignment="1">
      <alignment horizontal="centerContinuous"/>
    </xf>
    <xf numFmtId="0" fontId="26" fillId="0" borderId="0" xfId="37" applyFont="1" applyAlignment="1">
      <alignment horizontal="centerContinuous" vertical="center"/>
    </xf>
    <xf numFmtId="0" fontId="26" fillId="0" borderId="0" xfId="37" applyFont="1"/>
    <xf numFmtId="0" fontId="60" fillId="0" borderId="0" xfId="36" applyFont="1"/>
    <xf numFmtId="0" fontId="24" fillId="0" borderId="0" xfId="37" applyFont="1" applyAlignment="1">
      <alignment horizontal="centerContinuous" vertical="center" wrapText="1"/>
    </xf>
    <xf numFmtId="0" fontId="26" fillId="0" borderId="0" xfId="37" applyFont="1" applyAlignment="1">
      <alignment wrapText="1"/>
    </xf>
    <xf numFmtId="0" fontId="26" fillId="0" borderId="0" xfId="37" applyFont="1" applyAlignment="1">
      <alignment horizontal="center" vertical="center"/>
    </xf>
    <xf numFmtId="0" fontId="26" fillId="0" borderId="0" xfId="37" applyFont="1" applyAlignment="1"/>
    <xf numFmtId="170" fontId="29" fillId="0" borderId="0" xfId="37" applyNumberFormat="1" applyFont="1" applyFill="1" applyAlignment="1">
      <alignment horizontal="center"/>
    </xf>
    <xf numFmtId="170" fontId="29" fillId="0" borderId="0" xfId="37" applyNumberFormat="1" applyFont="1" applyFill="1" applyAlignment="1">
      <alignment horizontal="center" wrapText="1"/>
    </xf>
    <xf numFmtId="170" fontId="29" fillId="0" borderId="0" xfId="37" applyNumberFormat="1" applyFont="1" applyFill="1" applyBorder="1" applyAlignment="1">
      <alignment horizontal="center"/>
    </xf>
    <xf numFmtId="0" fontId="26" fillId="0" borderId="0" xfId="37" applyFont="1" applyFill="1"/>
    <xf numFmtId="0" fontId="26" fillId="0" borderId="0" xfId="37" applyFont="1" applyFill="1" applyAlignment="1">
      <alignment wrapText="1"/>
    </xf>
    <xf numFmtId="0" fontId="26" fillId="0" borderId="0" xfId="37" applyFont="1" applyFill="1" applyAlignment="1">
      <alignment horizontal="center" vertical="center"/>
    </xf>
    <xf numFmtId="169" fontId="30" fillId="0" borderId="0" xfId="37" applyNumberFormat="1" applyFont="1" applyFill="1" applyAlignment="1">
      <alignment horizontal="center" vertical="center"/>
    </xf>
    <xf numFmtId="169" fontId="31" fillId="0" borderId="0" xfId="37" applyNumberFormat="1" applyFont="1" applyFill="1" applyAlignment="1">
      <alignment horizontal="center" vertical="center"/>
    </xf>
    <xf numFmtId="0" fontId="31" fillId="0" borderId="0" xfId="37" applyFont="1" applyFill="1" applyAlignment="1">
      <alignment horizontal="left" vertical="center"/>
    </xf>
    <xf numFmtId="0" fontId="32" fillId="0" borderId="0" xfId="37" applyFont="1" applyFill="1" applyAlignment="1">
      <alignment horizontal="center" vertical="center"/>
    </xf>
    <xf numFmtId="169" fontId="33" fillId="0" borderId="0" xfId="37" applyNumberFormat="1" applyFont="1" applyFill="1" applyAlignment="1">
      <alignment horizontal="center" vertical="center"/>
    </xf>
    <xf numFmtId="0" fontId="32" fillId="0" borderId="0" xfId="37" applyFont="1" applyFill="1" applyAlignment="1">
      <alignment horizontal="centerContinuous" vertical="center"/>
    </xf>
    <xf numFmtId="0" fontId="32" fillId="0" borderId="0" xfId="37" applyFont="1" applyFill="1" applyAlignment="1">
      <alignment vertical="center"/>
    </xf>
    <xf numFmtId="0" fontId="32" fillId="0" borderId="0" xfId="37" applyFont="1"/>
    <xf numFmtId="0" fontId="28" fillId="7" borderId="24" xfId="37" applyFont="1" applyFill="1" applyBorder="1" applyAlignment="1">
      <alignment horizontal="center" vertical="center" wrapText="1"/>
    </xf>
    <xf numFmtId="0" fontId="28" fillId="7" borderId="24" xfId="37" applyFont="1" applyFill="1" applyBorder="1" applyAlignment="1">
      <alignment horizontal="centerContinuous" vertical="center"/>
    </xf>
    <xf numFmtId="9" fontId="28" fillId="7" borderId="24" xfId="85" applyFont="1" applyFill="1" applyBorder="1" applyAlignment="1">
      <alignment horizontal="centerContinuous" vertical="center" wrapText="1"/>
    </xf>
    <xf numFmtId="0" fontId="28" fillId="7" borderId="25" xfId="37" applyFont="1" applyFill="1" applyBorder="1" applyAlignment="1">
      <alignment horizontal="center" vertical="center" wrapText="1"/>
    </xf>
    <xf numFmtId="0" fontId="28" fillId="7" borderId="25" xfId="37" applyFont="1" applyFill="1" applyBorder="1" applyAlignment="1">
      <alignment horizontal="center" vertical="center"/>
    </xf>
    <xf numFmtId="9" fontId="28" fillId="7" borderId="25" xfId="85" applyFont="1" applyFill="1" applyBorder="1" applyAlignment="1">
      <alignment horizontal="center" vertical="center" wrapText="1"/>
    </xf>
    <xf numFmtId="0" fontId="28" fillId="7" borderId="26" xfId="37" applyFont="1" applyFill="1" applyBorder="1" applyAlignment="1">
      <alignment horizontal="center" vertical="center"/>
    </xf>
    <xf numFmtId="0" fontId="29" fillId="0" borderId="27" xfId="37" applyFont="1" applyBorder="1" applyAlignment="1">
      <alignment vertical="center"/>
    </xf>
    <xf numFmtId="0" fontId="29" fillId="0" borderId="28" xfId="37" applyFont="1" applyBorder="1" applyAlignment="1">
      <alignment vertical="center"/>
    </xf>
    <xf numFmtId="0" fontId="26" fillId="0" borderId="0" xfId="37" applyFont="1" applyBorder="1" applyAlignment="1">
      <alignment vertical="center"/>
    </xf>
    <xf numFmtId="0" fontId="26" fillId="0" borderId="29" xfId="37" applyFont="1" applyBorder="1"/>
    <xf numFmtId="0" fontId="23" fillId="0" borderId="0" xfId="37" applyFont="1" applyFill="1" applyAlignment="1">
      <alignment horizontal="center" vertical="center" wrapText="1"/>
    </xf>
    <xf numFmtId="0" fontId="29" fillId="4" borderId="30" xfId="37" applyFont="1" applyFill="1" applyBorder="1" applyAlignment="1">
      <alignment horizontal="center" vertical="center" wrapText="1"/>
    </xf>
    <xf numFmtId="0" fontId="29" fillId="4" borderId="31" xfId="37" applyFont="1" applyFill="1" applyBorder="1" applyAlignment="1">
      <alignment horizontal="center" vertical="center" wrapText="1"/>
    </xf>
    <xf numFmtId="9" fontId="29" fillId="4" borderId="31" xfId="85" applyFont="1" applyFill="1" applyBorder="1" applyAlignment="1">
      <alignment horizontal="center" vertical="center" wrapText="1"/>
    </xf>
    <xf numFmtId="173" fontId="29" fillId="4" borderId="31" xfId="85" applyNumberFormat="1" applyFont="1" applyFill="1" applyBorder="1" applyAlignment="1">
      <alignment horizontal="center" vertical="center" wrapText="1"/>
    </xf>
    <xf numFmtId="15" fontId="29" fillId="4" borderId="31" xfId="37" applyNumberFormat="1" applyFont="1" applyFill="1" applyBorder="1" applyAlignment="1">
      <alignment horizontal="center" vertical="center" wrapText="1"/>
    </xf>
    <xf numFmtId="4" fontId="29" fillId="8" borderId="31" xfId="37" applyNumberFormat="1" applyFont="1" applyFill="1" applyBorder="1" applyAlignment="1">
      <alignment horizontal="center" vertical="center" wrapText="1"/>
    </xf>
    <xf numFmtId="0" fontId="26" fillId="0" borderId="0" xfId="37" applyFont="1" applyAlignment="1">
      <alignment vertical="center" wrapText="1"/>
    </xf>
    <xf numFmtId="0" fontId="29" fillId="4" borderId="32" xfId="37" applyFont="1" applyFill="1" applyBorder="1" applyAlignment="1">
      <alignment horizontal="center" vertical="center" wrapText="1"/>
    </xf>
    <xf numFmtId="0" fontId="29" fillId="0" borderId="33" xfId="37" applyFont="1" applyBorder="1" applyAlignment="1">
      <alignment vertical="center"/>
    </xf>
    <xf numFmtId="0" fontId="29" fillId="0" borderId="34" xfId="37" applyFont="1" applyBorder="1" applyAlignment="1">
      <alignment vertical="center"/>
    </xf>
    <xf numFmtId="0" fontId="26" fillId="0" borderId="34" xfId="37" applyFont="1" applyBorder="1" applyAlignment="1">
      <alignment vertical="center"/>
    </xf>
    <xf numFmtId="0" fontId="26" fillId="0" borderId="35" xfId="37" applyFont="1" applyBorder="1"/>
    <xf numFmtId="169" fontId="23" fillId="0" borderId="0" xfId="37" applyNumberFormat="1" applyFont="1" applyFill="1" applyAlignment="1">
      <alignment horizontal="center" vertical="center"/>
    </xf>
    <xf numFmtId="0" fontId="26" fillId="7" borderId="15" xfId="37" applyFont="1" applyFill="1" applyBorder="1" applyAlignment="1">
      <alignment vertical="center"/>
    </xf>
    <xf numFmtId="0" fontId="26" fillId="7" borderId="36" xfId="37" applyFont="1" applyFill="1" applyBorder="1" applyAlignment="1">
      <alignment vertical="center"/>
    </xf>
    <xf numFmtId="0" fontId="24" fillId="7" borderId="36" xfId="37" applyFont="1" applyFill="1" applyBorder="1" applyAlignment="1">
      <alignment vertical="center"/>
    </xf>
    <xf numFmtId="178" fontId="24" fillId="7" borderId="36" xfId="37" applyNumberFormat="1" applyFont="1" applyFill="1" applyBorder="1" applyAlignment="1">
      <alignment horizontal="center" vertical="center"/>
    </xf>
    <xf numFmtId="179" fontId="24" fillId="7" borderId="36" xfId="37" applyNumberFormat="1" applyFont="1" applyFill="1" applyBorder="1" applyAlignment="1">
      <alignment horizontal="center" vertical="center"/>
    </xf>
    <xf numFmtId="0" fontId="26" fillId="7" borderId="20" xfId="37" applyFont="1" applyFill="1" applyBorder="1" applyAlignment="1">
      <alignment vertical="center"/>
    </xf>
    <xf numFmtId="0" fontId="61" fillId="0" borderId="0" xfId="36" applyFont="1"/>
    <xf numFmtId="0" fontId="60" fillId="0" borderId="0" xfId="36" applyFont="1" applyAlignment="1">
      <alignment vertical="center"/>
    </xf>
    <xf numFmtId="0" fontId="28" fillId="7" borderId="24" xfId="37" applyFont="1" applyFill="1" applyBorder="1" applyAlignment="1">
      <alignment horizontal="center" vertical="center"/>
    </xf>
    <xf numFmtId="0" fontId="61" fillId="0" borderId="0" xfId="36" applyFont="1" applyAlignment="1">
      <alignment horizontal="center" vertical="center"/>
    </xf>
    <xf numFmtId="0" fontId="60" fillId="0" borderId="0" xfId="36" applyFont="1" applyAlignment="1">
      <alignment horizontal="center" vertical="center"/>
    </xf>
    <xf numFmtId="0" fontId="29" fillId="4" borderId="37" xfId="37" applyFont="1" applyFill="1" applyBorder="1" applyAlignment="1">
      <alignment horizontal="center" vertical="center" wrapText="1"/>
    </xf>
    <xf numFmtId="0" fontId="29" fillId="4" borderId="38" xfId="37" applyFont="1" applyFill="1" applyBorder="1" applyAlignment="1">
      <alignment horizontal="center" vertical="center" wrapText="1"/>
    </xf>
    <xf numFmtId="0" fontId="29" fillId="4" borderId="39" xfId="37" applyFont="1" applyFill="1" applyBorder="1" applyAlignment="1">
      <alignment horizontal="center" vertical="center" wrapText="1"/>
    </xf>
    <xf numFmtId="0" fontId="60" fillId="9" borderId="0" xfId="36" applyFont="1" applyFill="1"/>
    <xf numFmtId="0" fontId="26" fillId="0" borderId="0" xfId="37" applyFont="1" applyBorder="1"/>
    <xf numFmtId="9" fontId="28" fillId="9" borderId="35" xfId="82" applyNumberFormat="1" applyFont="1" applyFill="1" applyBorder="1" applyAlignment="1">
      <alignment horizontal="center" vertical="center" wrapText="1"/>
    </xf>
    <xf numFmtId="9" fontId="28" fillId="9" borderId="35" xfId="82" applyNumberFormat="1" applyFont="1" applyFill="1" applyBorder="1" applyAlignment="1">
      <alignment horizontal="center" vertical="center"/>
    </xf>
    <xf numFmtId="172" fontId="4" fillId="0" borderId="40" xfId="41" applyNumberFormat="1" applyFont="1" applyBorder="1" applyAlignment="1">
      <alignment horizontal="centerContinuous" vertical="center"/>
    </xf>
    <xf numFmtId="0" fontId="60" fillId="0" borderId="41" xfId="36" applyFont="1" applyBorder="1" applyAlignment="1">
      <alignment horizontal="center" vertical="center"/>
    </xf>
    <xf numFmtId="1" fontId="26" fillId="0" borderId="42" xfId="37" applyNumberFormat="1" applyFont="1" applyBorder="1" applyAlignment="1">
      <alignment horizontal="center" vertical="center" wrapText="1"/>
    </xf>
    <xf numFmtId="0" fontId="36" fillId="0" borderId="0" xfId="37" applyFont="1" applyAlignment="1" applyProtection="1">
      <alignment horizontal="center" vertical="center"/>
    </xf>
    <xf numFmtId="1" fontId="8" fillId="0" borderId="0" xfId="37" applyNumberFormat="1" applyFont="1" applyAlignment="1" applyProtection="1">
      <alignment horizontal="centerContinuous" vertical="center" wrapText="1"/>
    </xf>
    <xf numFmtId="0" fontId="2" fillId="0" borderId="0" xfId="37" applyAlignment="1" applyProtection="1">
      <alignment horizontal="centerContinuous"/>
    </xf>
    <xf numFmtId="0" fontId="2" fillId="0" borderId="0" xfId="37" applyProtection="1"/>
    <xf numFmtId="0" fontId="5" fillId="0" borderId="0" xfId="37" applyFont="1" applyAlignment="1" applyProtection="1">
      <alignment horizontal="centerContinuous" vertical="center" wrapText="1"/>
    </xf>
    <xf numFmtId="0" fontId="2" fillId="0" borderId="0" xfId="37" applyProtection="1">
      <protection hidden="1"/>
    </xf>
    <xf numFmtId="0" fontId="2" fillId="0" borderId="0" xfId="37" applyAlignment="1" applyProtection="1">
      <alignment horizontal="centerContinuous" vertical="center" wrapText="1"/>
      <protection hidden="1"/>
    </xf>
    <xf numFmtId="0" fontId="4" fillId="0" borderId="0" xfId="37" applyFont="1" applyAlignment="1" applyProtection="1">
      <alignment horizontal="centerContinuous" vertical="center" wrapText="1"/>
      <protection hidden="1"/>
    </xf>
    <xf numFmtId="180" fontId="3" fillId="0" borderId="0" xfId="37" applyNumberFormat="1" applyFont="1" applyAlignment="1" applyProtection="1">
      <alignment horizontal="centerContinuous" vertical="center" wrapText="1"/>
      <protection hidden="1"/>
    </xf>
    <xf numFmtId="0" fontId="3" fillId="0" borderId="0" xfId="37" applyFont="1" applyAlignment="1" applyProtection="1">
      <alignment horizontal="centerContinuous" vertical="center" wrapText="1"/>
      <protection hidden="1"/>
    </xf>
    <xf numFmtId="0" fontId="38" fillId="0" borderId="36" xfId="37" applyFont="1" applyBorder="1" applyAlignment="1" applyProtection="1">
      <alignment horizontal="left" vertical="center"/>
      <protection hidden="1"/>
    </xf>
    <xf numFmtId="0" fontId="2" fillId="0" borderId="36" xfId="37" applyBorder="1" applyAlignment="1" applyProtection="1">
      <alignment vertical="center"/>
      <protection hidden="1"/>
    </xf>
    <xf numFmtId="0" fontId="9" fillId="0" borderId="43" xfId="37" applyFont="1" applyBorder="1" applyAlignment="1" applyProtection="1">
      <alignment horizontal="centerContinuous"/>
      <protection hidden="1"/>
    </xf>
    <xf numFmtId="0" fontId="9" fillId="0" borderId="39" xfId="37" applyFont="1" applyBorder="1" applyAlignment="1" applyProtection="1">
      <alignment horizontal="center" vertical="center"/>
      <protection hidden="1"/>
    </xf>
    <xf numFmtId="1" fontId="37" fillId="0" borderId="44" xfId="37" applyNumberFormat="1" applyFont="1" applyFill="1" applyBorder="1" applyAlignment="1" applyProtection="1">
      <alignment horizontal="center" vertical="center"/>
      <protection hidden="1"/>
    </xf>
    <xf numFmtId="0" fontId="37" fillId="0" borderId="31" xfId="37" applyFont="1" applyFill="1" applyBorder="1" applyAlignment="1" applyProtection="1">
      <alignment horizontal="center" vertical="center" wrapText="1"/>
      <protection hidden="1"/>
    </xf>
    <xf numFmtId="0" fontId="4" fillId="0" borderId="0" xfId="37" quotePrefix="1" applyFont="1" applyBorder="1" applyAlignment="1" applyProtection="1">
      <alignment horizontal="left"/>
      <protection hidden="1"/>
    </xf>
    <xf numFmtId="0" fontId="2" fillId="0" borderId="0" xfId="37" applyBorder="1" applyAlignment="1" applyProtection="1">
      <alignment horizontal="centerContinuous" vertical="center" wrapText="1"/>
      <protection hidden="1"/>
    </xf>
    <xf numFmtId="0" fontId="2" fillId="0" borderId="0" xfId="37" applyBorder="1" applyProtection="1">
      <protection hidden="1"/>
    </xf>
    <xf numFmtId="0" fontId="2" fillId="0" borderId="0" xfId="37" applyFont="1" applyProtection="1">
      <protection hidden="1"/>
    </xf>
    <xf numFmtId="3" fontId="39" fillId="0" borderId="31" xfId="37" applyNumberFormat="1" applyFont="1" applyFill="1" applyBorder="1" applyAlignment="1" applyProtection="1">
      <alignment horizontal="center" vertical="center"/>
      <protection hidden="1"/>
    </xf>
    <xf numFmtId="168" fontId="24" fillId="7" borderId="36" xfId="37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41" fillId="9" borderId="0" xfId="81" applyFont="1" applyFill="1" applyAlignment="1" applyProtection="1">
      <alignment horizontal="justify" vertical="center"/>
      <protection locked="0"/>
    </xf>
    <xf numFmtId="0" fontId="26" fillId="9" borderId="0" xfId="81" applyFont="1" applyFill="1" applyProtection="1">
      <protection hidden="1"/>
    </xf>
    <xf numFmtId="0" fontId="26" fillId="0" borderId="0" xfId="81" applyFont="1" applyProtection="1">
      <protection hidden="1"/>
    </xf>
    <xf numFmtId="0" fontId="42" fillId="9" borderId="0" xfId="81" applyFont="1" applyFill="1" applyProtection="1">
      <protection hidden="1"/>
    </xf>
    <xf numFmtId="0" fontId="42" fillId="0" borderId="0" xfId="81" applyFont="1" applyProtection="1">
      <protection hidden="1"/>
    </xf>
    <xf numFmtId="0" fontId="25" fillId="9" borderId="0" xfId="81" applyFont="1" applyFill="1" applyAlignment="1" applyProtection="1">
      <alignment horizontal="centerContinuous"/>
      <protection hidden="1"/>
    </xf>
    <xf numFmtId="0" fontId="25" fillId="9" borderId="0" xfId="81" applyFont="1" applyFill="1" applyAlignment="1" applyProtection="1">
      <alignment horizontal="centerContinuous" vertical="center"/>
      <protection hidden="1"/>
    </xf>
    <xf numFmtId="4" fontId="25" fillId="9" borderId="0" xfId="81" applyNumberFormat="1" applyFont="1" applyFill="1" applyAlignment="1" applyProtection="1">
      <alignment horizontal="centerContinuous" vertical="center"/>
      <protection hidden="1"/>
    </xf>
    <xf numFmtId="0" fontId="29" fillId="9" borderId="0" xfId="36" applyFont="1" applyFill="1"/>
    <xf numFmtId="4" fontId="26" fillId="9" borderId="0" xfId="81" applyNumberFormat="1" applyFont="1" applyFill="1" applyProtection="1">
      <protection hidden="1"/>
    </xf>
    <xf numFmtId="1" fontId="62" fillId="9" borderId="0" xfId="36" applyNumberFormat="1" applyFont="1" applyFill="1" applyAlignment="1"/>
    <xf numFmtId="1" fontId="25" fillId="9" borderId="0" xfId="81" applyNumberFormat="1" applyFont="1" applyFill="1" applyAlignment="1" applyProtection="1">
      <alignment vertical="center" wrapText="1"/>
      <protection hidden="1"/>
    </xf>
    <xf numFmtId="1" fontId="62" fillId="9" borderId="0" xfId="36" applyNumberFormat="1" applyFont="1" applyFill="1" applyAlignment="1">
      <alignment horizontal="centerContinuous"/>
    </xf>
    <xf numFmtId="1" fontId="27" fillId="0" borderId="0" xfId="37" applyNumberFormat="1" applyFont="1" applyAlignment="1" applyProtection="1">
      <alignment horizontal="centerContinuous" vertical="center" wrapText="1"/>
    </xf>
    <xf numFmtId="180" fontId="25" fillId="0" borderId="0" xfId="37" applyNumberFormat="1" applyFont="1" applyAlignment="1" applyProtection="1">
      <alignment horizontal="centerContinuous" vertical="center" wrapText="1"/>
      <protection hidden="1"/>
    </xf>
    <xf numFmtId="1" fontId="27" fillId="9" borderId="0" xfId="37" applyNumberFormat="1" applyFont="1" applyFill="1" applyAlignment="1">
      <alignment horizontal="centerContinuous" vertical="center" wrapText="1"/>
    </xf>
    <xf numFmtId="1" fontId="25" fillId="9" borderId="0" xfId="81" applyNumberFormat="1" applyFont="1" applyFill="1" applyAlignment="1" applyProtection="1">
      <alignment horizontal="centerContinuous" vertical="center" wrapText="1"/>
      <protection hidden="1"/>
    </xf>
    <xf numFmtId="1" fontId="25" fillId="9" borderId="0" xfId="37" applyNumberFormat="1" applyFont="1" applyFill="1" applyAlignment="1">
      <alignment horizontal="centerContinuous" vertical="center" wrapText="1"/>
    </xf>
    <xf numFmtId="0" fontId="44" fillId="0" borderId="0" xfId="37" applyFont="1" applyFill="1" applyAlignment="1">
      <alignment horizontal="center" vertical="center"/>
    </xf>
    <xf numFmtId="1" fontId="25" fillId="0" borderId="0" xfId="37" applyNumberFormat="1" applyFont="1" applyAlignment="1">
      <alignment horizontal="centerContinuous" vertical="center" wrapText="1"/>
    </xf>
    <xf numFmtId="0" fontId="44" fillId="0" borderId="0" xfId="37" applyFont="1" applyAlignment="1">
      <alignment horizontal="centerContinuous" vertical="center" wrapText="1"/>
    </xf>
    <xf numFmtId="0" fontId="44" fillId="0" borderId="0" xfId="37" applyFont="1" applyAlignment="1">
      <alignment horizontal="centerContinuous"/>
    </xf>
    <xf numFmtId="0" fontId="44" fillId="0" borderId="0" xfId="37" applyFont="1" applyAlignment="1">
      <alignment horizontal="centerContinuous" vertical="center"/>
    </xf>
    <xf numFmtId="0" fontId="44" fillId="0" borderId="0" xfId="37" applyFont="1"/>
    <xf numFmtId="0" fontId="63" fillId="9" borderId="0" xfId="36" applyFont="1" applyFill="1"/>
    <xf numFmtId="0" fontId="63" fillId="0" borderId="0" xfId="36" applyFont="1"/>
    <xf numFmtId="0" fontId="45" fillId="0" borderId="0" xfId="37" applyFont="1" applyAlignment="1">
      <alignment horizontal="centerContinuous" vertical="center" wrapText="1"/>
    </xf>
    <xf numFmtId="1" fontId="64" fillId="0" borderId="0" xfId="37" applyNumberFormat="1" applyFont="1" applyAlignment="1">
      <alignment horizontal="center" vertical="center" wrapText="1"/>
    </xf>
    <xf numFmtId="1" fontId="65" fillId="9" borderId="0" xfId="36" applyNumberFormat="1" applyFont="1" applyFill="1" applyAlignment="1">
      <alignment horizontal="center"/>
    </xf>
    <xf numFmtId="1" fontId="65" fillId="9" borderId="0" xfId="36" applyNumberFormat="1" applyFont="1" applyFill="1" applyAlignment="1">
      <alignment horizontal="center" wrapText="1"/>
    </xf>
    <xf numFmtId="0" fontId="4" fillId="0" borderId="45" xfId="37" applyFont="1" applyFill="1" applyBorder="1" applyAlignment="1">
      <alignment horizontal="center" vertical="center" wrapText="1"/>
    </xf>
    <xf numFmtId="0" fontId="9" fillId="3" borderId="46" xfId="37" applyFont="1" applyFill="1" applyBorder="1" applyAlignment="1">
      <alignment horizontal="center" vertical="center" wrapText="1"/>
    </xf>
    <xf numFmtId="0" fontId="9" fillId="3" borderId="47" xfId="37" applyFont="1" applyFill="1" applyBorder="1" applyAlignment="1">
      <alignment horizontal="center" vertical="center" wrapText="1"/>
    </xf>
    <xf numFmtId="0" fontId="9" fillId="3" borderId="48" xfId="37" applyFont="1" applyFill="1" applyBorder="1" applyAlignment="1">
      <alignment horizontal="center" vertical="center" wrapText="1"/>
    </xf>
    <xf numFmtId="0" fontId="9" fillId="3" borderId="49" xfId="37" applyFont="1" applyFill="1" applyBorder="1" applyAlignment="1">
      <alignment horizontal="center" vertical="center" wrapText="1"/>
    </xf>
    <xf numFmtId="0" fontId="9" fillId="3" borderId="16" xfId="37" applyFont="1" applyFill="1" applyBorder="1" applyAlignment="1">
      <alignment horizontal="center" vertical="center" wrapText="1"/>
    </xf>
    <xf numFmtId="0" fontId="9" fillId="3" borderId="50" xfId="41" applyFont="1" applyFill="1" applyBorder="1" applyAlignment="1">
      <alignment horizontal="center" vertical="center" wrapText="1"/>
    </xf>
    <xf numFmtId="0" fontId="9" fillId="3" borderId="51" xfId="37" applyFont="1" applyFill="1" applyBorder="1" applyAlignment="1">
      <alignment horizontal="center" vertical="center" wrapText="1"/>
    </xf>
    <xf numFmtId="4" fontId="4" fillId="10" borderId="25" xfId="42" applyNumberFormat="1" applyFont="1" applyFill="1" applyBorder="1" applyAlignment="1">
      <alignment horizontal="center" vertical="center"/>
    </xf>
    <xf numFmtId="0" fontId="9" fillId="0" borderId="50" xfId="41" applyFont="1" applyFill="1" applyBorder="1" applyAlignment="1">
      <alignment horizontal="center" vertical="center" wrapText="1"/>
    </xf>
    <xf numFmtId="0" fontId="2" fillId="0" borderId="52" xfId="37" applyBorder="1" applyAlignment="1">
      <alignment wrapText="1"/>
    </xf>
    <xf numFmtId="9" fontId="11" fillId="0" borderId="10" xfId="85" applyNumberFormat="1" applyFont="1" applyFill="1" applyBorder="1" applyAlignment="1">
      <alignment horizontal="center" vertical="center"/>
    </xf>
    <xf numFmtId="0" fontId="34" fillId="3" borderId="53" xfId="37" applyFont="1" applyFill="1" applyBorder="1" applyAlignment="1">
      <alignment horizontal="center" vertical="center"/>
    </xf>
    <xf numFmtId="0" fontId="34" fillId="3" borderId="16" xfId="37" applyFont="1" applyFill="1" applyBorder="1" applyAlignment="1">
      <alignment horizontal="center" vertical="center"/>
    </xf>
    <xf numFmtId="0" fontId="34" fillId="3" borderId="54" xfId="37" applyFont="1" applyFill="1" applyBorder="1" applyAlignment="1">
      <alignment horizontal="center" vertical="center" wrapText="1"/>
    </xf>
    <xf numFmtId="1" fontId="4" fillId="0" borderId="55" xfId="37" applyNumberFormat="1" applyFont="1" applyFill="1" applyBorder="1" applyAlignment="1">
      <alignment horizontal="center" vertical="center" wrapText="1"/>
    </xf>
    <xf numFmtId="0" fontId="4" fillId="0" borderId="44" xfId="37" applyFont="1" applyFill="1" applyBorder="1" applyAlignment="1">
      <alignment horizontal="center" vertical="center" wrapText="1"/>
    </xf>
    <xf numFmtId="0" fontId="4" fillId="0" borderId="56" xfId="37" applyFont="1" applyFill="1" applyBorder="1" applyAlignment="1">
      <alignment horizontal="center" vertical="center" wrapText="1"/>
    </xf>
    <xf numFmtId="0" fontId="9" fillId="0" borderId="31" xfId="37" applyFont="1" applyFill="1" applyBorder="1" applyAlignment="1">
      <alignment horizontal="left" vertical="center" wrapText="1"/>
    </xf>
    <xf numFmtId="10" fontId="9" fillId="0" borderId="57" xfId="37" applyNumberFormat="1" applyFont="1" applyFill="1" applyBorder="1" applyAlignment="1">
      <alignment horizontal="center" vertical="center" wrapText="1"/>
    </xf>
    <xf numFmtId="49" fontId="43" fillId="9" borderId="58" xfId="81" applyNumberFormat="1" applyFont="1" applyFill="1" applyBorder="1" applyAlignment="1" applyProtection="1">
      <alignment vertical="center"/>
      <protection hidden="1"/>
    </xf>
    <xf numFmtId="0" fontId="60" fillId="9" borderId="59" xfId="36" applyFont="1" applyFill="1" applyBorder="1"/>
    <xf numFmtId="1" fontId="9" fillId="9" borderId="60" xfId="37" applyNumberFormat="1" applyFont="1" applyFill="1" applyBorder="1" applyAlignment="1">
      <alignment horizontal="center" vertical="center" wrapText="1"/>
    </xf>
    <xf numFmtId="0" fontId="60" fillId="9" borderId="61" xfId="36" applyFont="1" applyFill="1" applyBorder="1"/>
    <xf numFmtId="49" fontId="43" fillId="9" borderId="62" xfId="81" applyNumberFormat="1" applyFont="1" applyFill="1" applyBorder="1" applyAlignment="1" applyProtection="1">
      <alignment vertical="center"/>
      <protection hidden="1"/>
    </xf>
    <xf numFmtId="0" fontId="28" fillId="7" borderId="63" xfId="37" applyFont="1" applyFill="1" applyBorder="1" applyAlignment="1">
      <alignment horizontal="center" vertical="center" wrapText="1"/>
    </xf>
    <xf numFmtId="2" fontId="26" fillId="0" borderId="63" xfId="37" applyNumberFormat="1" applyFont="1" applyBorder="1" applyAlignment="1">
      <alignment horizontal="center" vertical="center" wrapText="1"/>
    </xf>
    <xf numFmtId="0" fontId="28" fillId="7" borderId="25" xfId="37" applyFont="1" applyFill="1" applyBorder="1" applyAlignment="1">
      <alignment horizontal="center" vertical="center" wrapText="1"/>
    </xf>
    <xf numFmtId="0" fontId="34" fillId="9" borderId="22" xfId="81" applyFont="1" applyFill="1" applyBorder="1" applyAlignment="1" applyProtection="1">
      <alignment horizontal="center"/>
      <protection hidden="1"/>
    </xf>
    <xf numFmtId="0" fontId="34" fillId="9" borderId="9" xfId="81" applyFont="1" applyFill="1" applyBorder="1" applyAlignment="1" applyProtection="1">
      <alignment horizontal="center" vertical="center"/>
      <protection hidden="1"/>
    </xf>
    <xf numFmtId="4" fontId="34" fillId="9" borderId="64" xfId="81" applyNumberFormat="1" applyFont="1" applyFill="1" applyBorder="1" applyAlignment="1" applyProtection="1">
      <alignment horizontal="center" vertical="center"/>
      <protection hidden="1"/>
    </xf>
    <xf numFmtId="1" fontId="27" fillId="9" borderId="0" xfId="81" applyNumberFormat="1" applyFont="1" applyFill="1" applyAlignment="1" applyProtection="1">
      <alignment vertical="center" wrapText="1"/>
      <protection hidden="1"/>
    </xf>
    <xf numFmtId="0" fontId="9" fillId="0" borderId="65" xfId="37" quotePrefix="1" applyFont="1" applyFill="1" applyBorder="1" applyAlignment="1">
      <alignment horizontal="center" vertical="center" wrapText="1"/>
    </xf>
    <xf numFmtId="0" fontId="9" fillId="0" borderId="66" xfId="37" quotePrefix="1" applyFont="1" applyFill="1" applyBorder="1" applyAlignment="1">
      <alignment horizontal="center" vertical="center" wrapText="1"/>
    </xf>
    <xf numFmtId="9" fontId="28" fillId="7" borderId="67" xfId="82" applyNumberFormat="1" applyFont="1" applyFill="1" applyBorder="1" applyAlignment="1">
      <alignment horizontal="center" vertical="center" wrapText="1"/>
    </xf>
    <xf numFmtId="9" fontId="28" fillId="7" borderId="68" xfId="82" applyNumberFormat="1" applyFont="1" applyFill="1" applyBorder="1" applyAlignment="1">
      <alignment horizontal="center" vertical="center" wrapText="1"/>
    </xf>
    <xf numFmtId="15" fontId="28" fillId="7" borderId="69" xfId="82" applyNumberFormat="1" applyFont="1" applyFill="1" applyBorder="1" applyAlignment="1">
      <alignment horizontal="center" vertical="center"/>
    </xf>
    <xf numFmtId="15" fontId="28" fillId="7" borderId="66" xfId="82" applyNumberFormat="1" applyFont="1" applyFill="1" applyBorder="1" applyAlignment="1">
      <alignment horizontal="center" vertical="center"/>
    </xf>
    <xf numFmtId="0" fontId="60" fillId="0" borderId="0" xfId="36" applyFont="1" applyBorder="1" applyAlignment="1">
      <alignment horizontal="center" vertical="center"/>
    </xf>
    <xf numFmtId="0" fontId="28" fillId="7" borderId="70" xfId="37" applyFont="1" applyFill="1" applyBorder="1" applyAlignment="1">
      <alignment horizontal="center" vertical="center" wrapText="1"/>
    </xf>
    <xf numFmtId="0" fontId="28" fillId="7" borderId="26" xfId="37" applyFont="1" applyFill="1" applyBorder="1" applyAlignment="1">
      <alignment horizontal="center" vertical="center" wrapText="1"/>
    </xf>
    <xf numFmtId="0" fontId="28" fillId="7" borderId="34" xfId="37" applyFont="1" applyFill="1" applyBorder="1" applyAlignment="1">
      <alignment horizontal="center" vertical="center" wrapText="1"/>
    </xf>
    <xf numFmtId="0" fontId="2" fillId="0" borderId="52" xfId="37" applyBorder="1"/>
    <xf numFmtId="10" fontId="26" fillId="0" borderId="25" xfId="37" applyNumberFormat="1" applyFont="1" applyBorder="1" applyAlignment="1">
      <alignment horizontal="center" vertical="center" wrapText="1"/>
    </xf>
    <xf numFmtId="0" fontId="26" fillId="0" borderId="25" xfId="37" applyFont="1" applyFill="1" applyBorder="1" applyAlignment="1">
      <alignment horizontal="center" vertical="center"/>
    </xf>
    <xf numFmtId="0" fontId="26" fillId="0" borderId="42" xfId="37" applyFont="1" applyFill="1" applyBorder="1" applyAlignment="1">
      <alignment horizontal="center" vertical="center"/>
    </xf>
    <xf numFmtId="0" fontId="26" fillId="0" borderId="71" xfId="37" applyFont="1" applyFill="1" applyBorder="1" applyAlignment="1">
      <alignment horizontal="center" vertical="center"/>
    </xf>
    <xf numFmtId="1" fontId="26" fillId="0" borderId="72" xfId="37" applyNumberFormat="1" applyFont="1" applyBorder="1" applyAlignment="1">
      <alignment horizontal="center" vertical="center" wrapText="1"/>
    </xf>
    <xf numFmtId="2" fontId="26" fillId="0" borderId="73" xfId="37" applyNumberFormat="1" applyFont="1" applyBorder="1" applyAlignment="1">
      <alignment horizontal="center" vertical="center" wrapText="1"/>
    </xf>
    <xf numFmtId="10" fontId="26" fillId="0" borderId="71" xfId="37" applyNumberFormat="1" applyFont="1" applyBorder="1" applyAlignment="1">
      <alignment horizontal="center" vertical="center" wrapText="1"/>
    </xf>
    <xf numFmtId="0" fontId="23" fillId="9" borderId="0" xfId="37" applyFont="1" applyFill="1" applyAlignment="1">
      <alignment horizontal="center" vertical="center" wrapText="1"/>
    </xf>
    <xf numFmtId="0" fontId="60" fillId="9" borderId="52" xfId="36" applyFont="1" applyFill="1" applyBorder="1"/>
    <xf numFmtId="2" fontId="60" fillId="0" borderId="0" xfId="36" applyNumberFormat="1" applyFont="1"/>
    <xf numFmtId="0" fontId="28" fillId="7" borderId="0" xfId="37" applyFont="1" applyFill="1" applyBorder="1" applyAlignment="1">
      <alignment horizontal="center" vertical="center" wrapText="1"/>
    </xf>
    <xf numFmtId="4" fontId="60" fillId="0" borderId="41" xfId="36" applyNumberFormat="1" applyFont="1" applyBorder="1" applyAlignment="1">
      <alignment horizontal="center" vertical="center"/>
    </xf>
    <xf numFmtId="0" fontId="46" fillId="0" borderId="66" xfId="37" applyFont="1" applyFill="1" applyBorder="1" applyAlignment="1">
      <alignment horizontal="center" vertical="center" wrapText="1"/>
    </xf>
    <xf numFmtId="0" fontId="66" fillId="0" borderId="74" xfId="36" applyFont="1" applyBorder="1" applyAlignment="1">
      <alignment horizontal="center" vertical="center"/>
    </xf>
    <xf numFmtId="3" fontId="5" fillId="0" borderId="75" xfId="37" applyNumberFormat="1" applyFont="1" applyFill="1" applyBorder="1" applyAlignment="1">
      <alignment horizontal="center" vertical="center"/>
    </xf>
    <xf numFmtId="3" fontId="5" fillId="0" borderId="65" xfId="37" applyNumberFormat="1" applyFont="1" applyFill="1" applyBorder="1" applyAlignment="1">
      <alignment horizontal="center" vertical="center"/>
    </xf>
    <xf numFmtId="3" fontId="5" fillId="0" borderId="46" xfId="37" applyNumberFormat="1" applyFont="1" applyFill="1" applyBorder="1" applyAlignment="1">
      <alignment horizontal="center" vertical="center"/>
    </xf>
    <xf numFmtId="0" fontId="2" fillId="0" borderId="36" xfId="37" applyFont="1" applyBorder="1" applyAlignment="1" applyProtection="1">
      <alignment horizontal="centerContinuous"/>
      <protection hidden="1"/>
    </xf>
    <xf numFmtId="0" fontId="2" fillId="0" borderId="76" xfId="37" applyFont="1" applyBorder="1" applyAlignment="1" applyProtection="1">
      <alignment horizontal="centerContinuous"/>
      <protection hidden="1"/>
    </xf>
    <xf numFmtId="1" fontId="37" fillId="0" borderId="32" xfId="37" applyNumberFormat="1" applyFont="1" applyFill="1" applyBorder="1" applyAlignment="1" applyProtection="1">
      <alignment horizontal="center" vertical="center"/>
      <protection hidden="1"/>
    </xf>
    <xf numFmtId="1" fontId="37" fillId="0" borderId="32" xfId="37" applyNumberFormat="1" applyFont="1" applyFill="1" applyBorder="1" applyAlignment="1" applyProtection="1">
      <alignment horizontal="center" vertical="center" wrapText="1"/>
      <protection hidden="1"/>
    </xf>
    <xf numFmtId="1" fontId="4" fillId="0" borderId="19" xfId="37" applyNumberFormat="1" applyFont="1" applyBorder="1" applyAlignment="1" applyProtection="1">
      <alignment horizontal="center" vertical="center"/>
      <protection hidden="1"/>
    </xf>
    <xf numFmtId="1" fontId="4" fillId="0" borderId="11" xfId="37" applyNumberFormat="1" applyFont="1" applyBorder="1" applyAlignment="1" applyProtection="1">
      <alignment horizontal="center" vertical="center"/>
      <protection hidden="1"/>
    </xf>
    <xf numFmtId="0" fontId="4" fillId="0" borderId="11" xfId="37" applyFont="1" applyBorder="1" applyAlignment="1" applyProtection="1">
      <alignment horizontal="centerContinuous" vertical="center" wrapText="1"/>
      <protection hidden="1"/>
    </xf>
    <xf numFmtId="3" fontId="4" fillId="5" borderId="11" xfId="37" applyNumberFormat="1" applyFont="1" applyFill="1" applyBorder="1" applyProtection="1">
      <protection hidden="1"/>
    </xf>
    <xf numFmtId="3" fontId="4" fillId="0" borderId="20" xfId="37" applyNumberFormat="1" applyFont="1" applyBorder="1" applyAlignment="1" applyProtection="1">
      <alignment horizontal="center"/>
      <protection hidden="1"/>
    </xf>
    <xf numFmtId="0" fontId="2" fillId="0" borderId="52" xfId="37" applyBorder="1" applyProtection="1">
      <protection hidden="1"/>
    </xf>
    <xf numFmtId="0" fontId="9" fillId="0" borderId="77" xfId="37" applyFont="1" applyBorder="1" applyAlignment="1" applyProtection="1">
      <alignment horizontal="center" vertical="center"/>
      <protection hidden="1"/>
    </xf>
    <xf numFmtId="0" fontId="9" fillId="0" borderId="78" xfId="37" applyFont="1" applyBorder="1" applyAlignment="1" applyProtection="1">
      <alignment horizontal="center" vertical="center"/>
      <protection hidden="1"/>
    </xf>
    <xf numFmtId="0" fontId="9" fillId="0" borderId="79" xfId="37" applyFont="1" applyBorder="1" applyAlignment="1" applyProtection="1">
      <alignment horizontal="centerContinuous"/>
      <protection hidden="1"/>
    </xf>
    <xf numFmtId="0" fontId="40" fillId="3" borderId="48" xfId="0" applyFont="1" applyFill="1" applyBorder="1" applyAlignment="1">
      <alignment horizontal="center" vertical="center" wrapText="1"/>
    </xf>
    <xf numFmtId="0" fontId="40" fillId="3" borderId="16" xfId="0" applyFont="1" applyFill="1" applyBorder="1" applyAlignment="1">
      <alignment horizontal="center" vertical="center" wrapText="1"/>
    </xf>
    <xf numFmtId="0" fontId="40" fillId="3" borderId="71" xfId="0" applyFont="1" applyFill="1" applyBorder="1" applyAlignment="1">
      <alignment horizontal="center" vertical="center" wrapText="1"/>
    </xf>
    <xf numFmtId="0" fontId="9" fillId="0" borderId="80" xfId="37" applyFont="1" applyBorder="1" applyAlignment="1" applyProtection="1">
      <alignment horizontal="center" vertical="center"/>
      <protection hidden="1"/>
    </xf>
    <xf numFmtId="3" fontId="37" fillId="0" borderId="31" xfId="37" quotePrefix="1" applyNumberFormat="1" applyFont="1" applyFill="1" applyBorder="1" applyAlignment="1" applyProtection="1">
      <alignment horizontal="center" vertical="center"/>
      <protection hidden="1"/>
    </xf>
    <xf numFmtId="0" fontId="40" fillId="3" borderId="28" xfId="0" applyFont="1" applyFill="1" applyBorder="1" applyAlignment="1">
      <alignment horizontal="center" vertical="center" wrapText="1"/>
    </xf>
    <xf numFmtId="0" fontId="40" fillId="3" borderId="81" xfId="0" applyFont="1" applyFill="1" applyBorder="1" applyAlignment="1">
      <alignment horizontal="center" vertical="center" wrapText="1"/>
    </xf>
    <xf numFmtId="0" fontId="47" fillId="0" borderId="0" xfId="37" applyFont="1"/>
    <xf numFmtId="1" fontId="5" fillId="0" borderId="0" xfId="37" applyNumberFormat="1" applyFont="1" applyAlignment="1">
      <alignment horizontal="centerContinuous" vertical="center" wrapText="1"/>
    </xf>
    <xf numFmtId="0" fontId="6" fillId="0" borderId="0" xfId="37" applyFont="1" applyAlignment="1">
      <alignment horizontal="centerContinuous"/>
    </xf>
    <xf numFmtId="0" fontId="48" fillId="0" borderId="0" xfId="37" applyFont="1"/>
    <xf numFmtId="0" fontId="2" fillId="0" borderId="0" xfId="37" applyFont="1" applyAlignment="1">
      <alignment horizontal="centerContinuous"/>
    </xf>
    <xf numFmtId="0" fontId="2" fillId="0" borderId="0" xfId="37" applyAlignment="1">
      <alignment horizontal="centerContinuous"/>
    </xf>
    <xf numFmtId="0" fontId="5" fillId="0" borderId="0" xfId="41" applyFont="1" applyAlignment="1">
      <alignment horizontal="centerContinuous" vertical="center" wrapText="1"/>
    </xf>
    <xf numFmtId="171" fontId="8" fillId="0" borderId="0" xfId="37" applyNumberFormat="1" applyFont="1" applyAlignment="1">
      <alignment horizontal="centerContinuous" vertical="center"/>
    </xf>
    <xf numFmtId="0" fontId="67" fillId="0" borderId="0" xfId="44" applyFont="1" applyAlignment="1">
      <alignment horizontal="center" vertical="center"/>
    </xf>
    <xf numFmtId="0" fontId="56" fillId="0" borderId="0" xfId="44" applyAlignment="1">
      <alignment horizontal="centerContinuous"/>
    </xf>
    <xf numFmtId="0" fontId="56" fillId="0" borderId="0" xfId="44"/>
    <xf numFmtId="0" fontId="9" fillId="0" borderId="82" xfId="37" applyFont="1" applyBorder="1" applyAlignment="1">
      <alignment horizontal="centerContinuous"/>
    </xf>
    <xf numFmtId="0" fontId="9" fillId="0" borderId="34" xfId="37" applyFont="1" applyBorder="1" applyAlignment="1">
      <alignment horizontal="center" vertical="center"/>
    </xf>
    <xf numFmtId="0" fontId="9" fillId="0" borderId="83" xfId="37" applyFont="1" applyBorder="1" applyAlignment="1">
      <alignment horizontal="center" vertical="center"/>
    </xf>
    <xf numFmtId="1" fontId="9" fillId="0" borderId="84" xfId="37" applyNumberFormat="1" applyFont="1" applyFill="1" applyBorder="1" applyAlignment="1">
      <alignment horizontal="center" vertical="center"/>
    </xf>
    <xf numFmtId="1" fontId="9" fillId="0" borderId="85" xfId="37" applyNumberFormat="1" applyFont="1" applyFill="1" applyBorder="1" applyAlignment="1">
      <alignment horizontal="left" vertical="center"/>
    </xf>
    <xf numFmtId="0" fontId="59" fillId="0" borderId="86" xfId="44" applyFont="1" applyFill="1" applyBorder="1" applyAlignment="1" applyProtection="1">
      <alignment horizontal="center" vertical="center"/>
      <protection hidden="1"/>
    </xf>
    <xf numFmtId="1" fontId="4" fillId="0" borderId="23" xfId="37" applyNumberFormat="1" applyFont="1" applyBorder="1" applyAlignment="1">
      <alignment horizontal="center" vertical="center"/>
    </xf>
    <xf numFmtId="0" fontId="4" fillId="0" borderId="10" xfId="37" applyFont="1" applyBorder="1" applyAlignment="1">
      <alignment horizontal="centerContinuous" vertical="center" wrapText="1"/>
    </xf>
    <xf numFmtId="3" fontId="4" fillId="0" borderId="87" xfId="37" applyNumberFormat="1" applyFont="1" applyBorder="1" applyAlignment="1">
      <alignment horizontal="center"/>
    </xf>
    <xf numFmtId="0" fontId="59" fillId="7" borderId="4" xfId="44" applyFont="1" applyFill="1" applyBorder="1" applyAlignment="1">
      <alignment horizontal="center" vertical="center"/>
    </xf>
    <xf numFmtId="0" fontId="56" fillId="7" borderId="88" xfId="44" applyFill="1" applyBorder="1"/>
    <xf numFmtId="0" fontId="59" fillId="7" borderId="88" xfId="44" applyFont="1" applyFill="1" applyBorder="1" applyAlignment="1">
      <alignment horizontal="center" vertical="center"/>
    </xf>
    <xf numFmtId="0" fontId="59" fillId="7" borderId="5" xfId="44" applyFont="1" applyFill="1" applyBorder="1" applyAlignment="1">
      <alignment horizontal="center" vertical="center"/>
    </xf>
    <xf numFmtId="0" fontId="49" fillId="11" borderId="89" xfId="37" applyFont="1" applyFill="1" applyBorder="1"/>
    <xf numFmtId="0" fontId="2" fillId="0" borderId="1" xfId="37" applyFont="1" applyFill="1" applyBorder="1"/>
    <xf numFmtId="0" fontId="56" fillId="12" borderId="1" xfId="44" applyFill="1" applyBorder="1"/>
    <xf numFmtId="0" fontId="56" fillId="13" borderId="90" xfId="44" applyFill="1" applyBorder="1"/>
    <xf numFmtId="0" fontId="49" fillId="11" borderId="91" xfId="37" applyFont="1" applyFill="1" applyBorder="1"/>
    <xf numFmtId="0" fontId="2" fillId="0" borderId="2" xfId="37" applyBorder="1"/>
    <xf numFmtId="0" fontId="56" fillId="12" borderId="2" xfId="44" applyFill="1" applyBorder="1"/>
    <xf numFmtId="0" fontId="56" fillId="13" borderId="92" xfId="44" applyFill="1" applyBorder="1"/>
    <xf numFmtId="0" fontId="56" fillId="0" borderId="2" xfId="44" applyBorder="1"/>
    <xf numFmtId="0" fontId="56" fillId="0" borderId="0" xfId="44" quotePrefix="1"/>
    <xf numFmtId="0" fontId="68" fillId="11" borderId="93" xfId="44" applyFont="1" applyFill="1" applyBorder="1"/>
    <xf numFmtId="0" fontId="56" fillId="0" borderId="94" xfId="44" applyBorder="1"/>
    <xf numFmtId="0" fontId="56" fillId="12" borderId="94" xfId="44" applyFill="1" applyBorder="1"/>
    <xf numFmtId="0" fontId="2" fillId="0" borderId="95" xfId="37" applyBorder="1"/>
    <xf numFmtId="0" fontId="10" fillId="0" borderId="95" xfId="37" applyFont="1" applyBorder="1"/>
    <xf numFmtId="167" fontId="4" fillId="0" borderId="44" xfId="37" applyNumberFormat="1" applyFont="1" applyFill="1" applyBorder="1" applyAlignment="1">
      <alignment horizontal="left" vertical="center" wrapText="1"/>
    </xf>
    <xf numFmtId="0" fontId="38" fillId="0" borderId="76" xfId="37" applyFont="1" applyBorder="1" applyAlignment="1" applyProtection="1">
      <alignment horizontal="left" vertical="center"/>
      <protection hidden="1"/>
    </xf>
    <xf numFmtId="3" fontId="5" fillId="0" borderId="68" xfId="37" applyNumberFormat="1" applyFont="1" applyFill="1" applyBorder="1" applyAlignment="1">
      <alignment horizontal="center" vertical="center"/>
    </xf>
    <xf numFmtId="0" fontId="59" fillId="0" borderId="0" xfId="44" applyFont="1" applyAlignment="1">
      <alignment wrapText="1"/>
    </xf>
    <xf numFmtId="0" fontId="69" fillId="7" borderId="54" xfId="37" applyFont="1" applyFill="1" applyBorder="1" applyAlignment="1">
      <alignment horizontal="center" vertical="center" wrapText="1"/>
    </xf>
    <xf numFmtId="0" fontId="70" fillId="0" borderId="0" xfId="44" applyFont="1"/>
    <xf numFmtId="0" fontId="70" fillId="0" borderId="82" xfId="44" applyFont="1" applyBorder="1"/>
    <xf numFmtId="0" fontId="71" fillId="0" borderId="34" xfId="37" applyFont="1" applyBorder="1" applyAlignment="1">
      <alignment horizontal="centerContinuous"/>
    </xf>
    <xf numFmtId="0" fontId="71" fillId="0" borderId="34" xfId="37" applyFont="1" applyBorder="1" applyAlignment="1">
      <alignment horizontal="center" vertical="center"/>
    </xf>
    <xf numFmtId="0" fontId="70" fillId="0" borderId="34" xfId="44" applyFont="1" applyBorder="1"/>
    <xf numFmtId="0" fontId="70" fillId="0" borderId="83" xfId="44" applyFont="1" applyBorder="1"/>
    <xf numFmtId="1" fontId="71" fillId="0" borderId="56" xfId="37" applyNumberFormat="1" applyFont="1" applyFill="1" applyBorder="1" applyAlignment="1">
      <alignment horizontal="center" vertical="center" wrapText="1"/>
    </xf>
    <xf numFmtId="1" fontId="71" fillId="0" borderId="31" xfId="37" applyNumberFormat="1" applyFont="1" applyFill="1" applyBorder="1" applyAlignment="1">
      <alignment horizontal="center" vertical="center" wrapText="1"/>
    </xf>
    <xf numFmtId="1" fontId="71" fillId="0" borderId="31" xfId="37" applyNumberFormat="1" applyFont="1" applyFill="1" applyBorder="1" applyAlignment="1">
      <alignment horizontal="left" vertical="center" wrapText="1"/>
    </xf>
    <xf numFmtId="0" fontId="72" fillId="0" borderId="57" xfId="44" applyFont="1" applyFill="1" applyBorder="1" applyAlignment="1">
      <alignment wrapText="1"/>
    </xf>
    <xf numFmtId="0" fontId="56" fillId="0" borderId="62" xfId="44" applyBorder="1"/>
    <xf numFmtId="0" fontId="56" fillId="0" borderId="58" xfId="44" applyBorder="1"/>
    <xf numFmtId="0" fontId="56" fillId="0" borderId="96" xfId="44" applyBorder="1"/>
    <xf numFmtId="0" fontId="57" fillId="9" borderId="0" xfId="36" applyFill="1" applyAlignment="1">
      <alignment horizontal="center" vertical="center"/>
    </xf>
    <xf numFmtId="0" fontId="57" fillId="9" borderId="0" xfId="36" applyFill="1"/>
    <xf numFmtId="170" fontId="15" fillId="9" borderId="0" xfId="38" applyNumberFormat="1" applyFont="1" applyFill="1" applyAlignment="1">
      <alignment horizontal="center"/>
    </xf>
    <xf numFmtId="170" fontId="14" fillId="9" borderId="0" xfId="38" applyNumberFormat="1" applyFont="1" applyFill="1" applyAlignment="1">
      <alignment horizontal="center"/>
    </xf>
    <xf numFmtId="4" fontId="14" fillId="9" borderId="0" xfId="38" applyNumberFormat="1" applyFont="1" applyFill="1"/>
    <xf numFmtId="175" fontId="2" fillId="9" borderId="0" xfId="38" applyNumberFormat="1" applyFill="1"/>
    <xf numFmtId="170" fontId="14" fillId="9" borderId="0" xfId="37" applyNumberFormat="1" applyFont="1" applyFill="1" applyAlignment="1">
      <alignment horizontal="center"/>
    </xf>
    <xf numFmtId="0" fontId="2" fillId="9" borderId="0" xfId="37" applyFill="1"/>
    <xf numFmtId="4" fontId="14" fillId="9" borderId="0" xfId="37" applyNumberFormat="1" applyFont="1" applyFill="1"/>
    <xf numFmtId="0" fontId="9" fillId="9" borderId="56" xfId="37" applyNumberFormat="1" applyFont="1" applyFill="1" applyBorder="1" applyAlignment="1">
      <alignment horizontal="center" vertical="center" wrapText="1"/>
    </xf>
    <xf numFmtId="0" fontId="59" fillId="14" borderId="25" xfId="0" applyFont="1" applyFill="1" applyBorder="1" applyAlignment="1">
      <alignment horizontal="center" vertical="center"/>
    </xf>
    <xf numFmtId="0" fontId="0" fillId="9" borderId="0" xfId="0" applyFill="1"/>
    <xf numFmtId="0" fontId="0" fillId="9" borderId="0" xfId="0" applyFill="1" applyAlignment="1">
      <alignment horizontal="center" vertical="center"/>
    </xf>
    <xf numFmtId="0" fontId="0" fillId="9" borderId="34" xfId="0" applyFill="1" applyBorder="1" applyAlignment="1">
      <alignment horizontal="center" vertical="center"/>
    </xf>
    <xf numFmtId="1" fontId="0" fillId="9" borderId="0" xfId="0" applyNumberFormat="1" applyFill="1" applyAlignment="1">
      <alignment horizontal="center" vertical="center"/>
    </xf>
    <xf numFmtId="14" fontId="0" fillId="9" borderId="0" xfId="0" applyNumberFormat="1" applyFill="1" applyBorder="1" applyAlignment="1">
      <alignment horizontal="center" vertical="center"/>
    </xf>
    <xf numFmtId="14" fontId="0" fillId="9" borderId="0" xfId="0" applyNumberFormat="1" applyFill="1" applyAlignment="1">
      <alignment horizontal="center" vertical="center"/>
    </xf>
    <xf numFmtId="14" fontId="0" fillId="9" borderId="0" xfId="0" applyNumberFormat="1" applyFill="1"/>
    <xf numFmtId="181" fontId="0" fillId="9" borderId="0" xfId="0" applyNumberFormat="1" applyFill="1"/>
    <xf numFmtId="14" fontId="0" fillId="9" borderId="28" xfId="0" applyNumberFormat="1" applyFill="1" applyBorder="1" applyAlignment="1">
      <alignment horizontal="center" vertical="center"/>
    </xf>
    <xf numFmtId="1" fontId="0" fillId="9" borderId="0" xfId="0" applyNumberFormat="1" applyFill="1" applyBorder="1" applyAlignment="1">
      <alignment horizontal="center" vertical="center"/>
    </xf>
    <xf numFmtId="182" fontId="0" fillId="9" borderId="0" xfId="0" applyNumberFormat="1" applyFill="1"/>
    <xf numFmtId="0" fontId="9" fillId="0" borderId="97" xfId="37" applyFont="1" applyFill="1" applyBorder="1" applyAlignment="1">
      <alignment vertical="center"/>
    </xf>
    <xf numFmtId="9" fontId="9" fillId="15" borderId="98" xfId="83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6" fontId="4" fillId="10" borderId="25" xfId="42" applyNumberFormat="1" applyFont="1" applyFill="1" applyBorder="1" applyAlignment="1">
      <alignment horizontal="center" vertical="center"/>
    </xf>
    <xf numFmtId="176" fontId="9" fillId="15" borderId="63" xfId="42" applyNumberFormat="1" applyFont="1" applyFill="1" applyBorder="1" applyAlignment="1">
      <alignment horizontal="center" vertical="center"/>
    </xf>
    <xf numFmtId="176" fontId="29" fillId="10" borderId="31" xfId="37" applyNumberFormat="1" applyFont="1" applyFill="1" applyBorder="1" applyAlignment="1">
      <alignment horizontal="center" vertical="center" wrapText="1"/>
    </xf>
    <xf numFmtId="174" fontId="26" fillId="0" borderId="42" xfId="37" applyNumberFormat="1" applyFont="1" applyBorder="1" applyAlignment="1">
      <alignment horizontal="center" vertical="center" wrapText="1"/>
    </xf>
    <xf numFmtId="174" fontId="26" fillId="0" borderId="71" xfId="37" applyNumberFormat="1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176" fontId="5" fillId="0" borderId="65" xfId="37" applyNumberFormat="1" applyFont="1" applyFill="1" applyBorder="1" applyAlignment="1">
      <alignment horizontal="center" vertical="center"/>
    </xf>
    <xf numFmtId="176" fontId="5" fillId="0" borderId="75" xfId="37" applyNumberFormat="1" applyFont="1" applyFill="1" applyBorder="1" applyAlignment="1">
      <alignment horizontal="center" vertical="center"/>
    </xf>
    <xf numFmtId="0" fontId="5" fillId="0" borderId="15" xfId="37" applyFont="1" applyFill="1" applyBorder="1" applyAlignment="1">
      <alignment vertical="center"/>
    </xf>
    <xf numFmtId="0" fontId="5" fillId="0" borderId="36" xfId="37" applyFont="1" applyFill="1" applyBorder="1" applyAlignment="1">
      <alignment vertical="center"/>
    </xf>
    <xf numFmtId="0" fontId="5" fillId="0" borderId="46" xfId="37" applyFont="1" applyFill="1" applyBorder="1" applyAlignment="1">
      <alignment vertical="center"/>
    </xf>
    <xf numFmtId="0" fontId="5" fillId="0" borderId="11" xfId="37" applyFont="1" applyFill="1" applyBorder="1" applyAlignment="1">
      <alignment vertical="center"/>
    </xf>
    <xf numFmtId="176" fontId="37" fillId="0" borderId="31" xfId="37" quotePrefix="1" applyNumberFormat="1" applyFont="1" applyFill="1" applyBorder="1" applyAlignment="1" applyProtection="1">
      <alignment horizontal="center" vertical="center"/>
      <protection hidden="1"/>
    </xf>
    <xf numFmtId="0" fontId="2" fillId="0" borderId="0" xfId="37" applyFont="1" applyBorder="1" applyAlignment="1" applyProtection="1">
      <alignment horizontal="centerContinuous"/>
      <protection hidden="1"/>
    </xf>
    <xf numFmtId="0" fontId="2" fillId="0" borderId="41" xfId="37" applyFont="1" applyBorder="1" applyAlignment="1" applyProtection="1">
      <alignment horizontal="centerContinuous"/>
      <protection hidden="1"/>
    </xf>
    <xf numFmtId="0" fontId="38" fillId="0" borderId="0" xfId="37" applyFont="1" applyBorder="1" applyAlignment="1" applyProtection="1">
      <alignment horizontal="left" vertical="center"/>
      <protection hidden="1"/>
    </xf>
    <xf numFmtId="0" fontId="38" fillId="0" borderId="41" xfId="37" applyFont="1" applyBorder="1" applyAlignment="1" applyProtection="1">
      <alignment horizontal="left" vertical="center"/>
      <protection hidden="1"/>
    </xf>
    <xf numFmtId="0" fontId="2" fillId="0" borderId="0" xfId="37" applyBorder="1" applyAlignment="1" applyProtection="1">
      <alignment vertical="center"/>
      <protection hidden="1"/>
    </xf>
    <xf numFmtId="3" fontId="4" fillId="0" borderId="11" xfId="37" applyNumberFormat="1" applyFont="1" applyBorder="1" applyAlignment="1" applyProtection="1">
      <alignment horizontal="center"/>
      <protection hidden="1"/>
    </xf>
    <xf numFmtId="0" fontId="2" fillId="0" borderId="46" xfId="37" applyBorder="1" applyProtection="1">
      <protection hidden="1"/>
    </xf>
    <xf numFmtId="0" fontId="2" fillId="0" borderId="100" xfId="37" applyBorder="1" applyProtection="1">
      <protection hidden="1"/>
    </xf>
    <xf numFmtId="3" fontId="39" fillId="0" borderId="101" xfId="37" applyNumberFormat="1" applyFont="1" applyFill="1" applyBorder="1" applyAlignment="1" applyProtection="1">
      <alignment horizontal="center" vertical="center"/>
      <protection hidden="1"/>
    </xf>
    <xf numFmtId="176" fontId="37" fillId="0" borderId="99" xfId="37" quotePrefix="1" applyNumberFormat="1" applyFont="1" applyFill="1" applyBorder="1" applyAlignment="1" applyProtection="1">
      <alignment horizontal="center" vertical="center"/>
      <protection hidden="1"/>
    </xf>
    <xf numFmtId="3" fontId="5" fillId="0" borderId="81" xfId="37" applyNumberFormat="1" applyFont="1" applyFill="1" applyBorder="1" applyAlignment="1">
      <alignment horizontal="center" vertical="center"/>
    </xf>
    <xf numFmtId="3" fontId="5" fillId="0" borderId="102" xfId="37" applyNumberFormat="1" applyFont="1" applyFill="1" applyBorder="1" applyAlignment="1">
      <alignment horizontal="center" vertical="center"/>
    </xf>
    <xf numFmtId="0" fontId="3" fillId="0" borderId="0" xfId="37" applyFont="1" applyBorder="1" applyAlignment="1" applyProtection="1">
      <alignment horizontal="centerContinuous" vertical="center" wrapText="1"/>
      <protection hidden="1"/>
    </xf>
    <xf numFmtId="3" fontId="5" fillId="0" borderId="66" xfId="37" applyNumberFormat="1" applyFont="1" applyFill="1" applyBorder="1" applyAlignment="1">
      <alignment horizontal="center" vertical="center"/>
    </xf>
    <xf numFmtId="4" fontId="2" fillId="0" borderId="0" xfId="37" applyNumberFormat="1" applyProtection="1">
      <protection hidden="1"/>
    </xf>
    <xf numFmtId="176" fontId="40" fillId="0" borderId="101" xfId="37" applyNumberFormat="1" applyFont="1" applyFill="1" applyBorder="1" applyAlignment="1" applyProtection="1">
      <alignment horizontal="center" vertical="center"/>
      <protection hidden="1"/>
    </xf>
    <xf numFmtId="3" fontId="3" fillId="0" borderId="0" xfId="37" applyNumberFormat="1" applyFont="1" applyAlignment="1" applyProtection="1">
      <alignment horizontal="centerContinuous" vertical="center" wrapText="1"/>
      <protection hidden="1"/>
    </xf>
    <xf numFmtId="0" fontId="59" fillId="14" borderId="25" xfId="0" applyFont="1" applyFill="1" applyBorder="1" applyAlignment="1">
      <alignment horizontal="center" vertical="center" wrapText="1"/>
    </xf>
    <xf numFmtId="174" fontId="56" fillId="0" borderId="25" xfId="2" applyNumberFormat="1" applyFont="1" applyBorder="1" applyAlignment="1">
      <alignment horizontal="center" vertical="center"/>
    </xf>
    <xf numFmtId="174" fontId="0" fillId="0" borderId="25" xfId="0" applyNumberFormat="1" applyBorder="1" applyAlignment="1">
      <alignment horizontal="center" vertical="center"/>
    </xf>
    <xf numFmtId="0" fontId="59" fillId="0" borderId="25" xfId="0" applyFont="1" applyBorder="1" applyAlignment="1">
      <alignment horizontal="center" vertical="center"/>
    </xf>
    <xf numFmtId="0" fontId="58" fillId="0" borderId="25" xfId="0" applyFont="1" applyBorder="1" applyAlignment="1">
      <alignment horizontal="center" vertical="center"/>
    </xf>
    <xf numFmtId="0" fontId="8" fillId="7" borderId="53" xfId="0" applyFont="1" applyFill="1" applyBorder="1" applyAlignment="1" applyProtection="1">
      <alignment horizontal="center" vertical="center" wrapText="1"/>
      <protection hidden="1"/>
    </xf>
    <xf numFmtId="0" fontId="8" fillId="7" borderId="103" xfId="0" applyFont="1" applyFill="1" applyBorder="1" applyAlignment="1" applyProtection="1">
      <alignment horizontal="center" vertical="center" wrapText="1"/>
      <protection hidden="1"/>
    </xf>
    <xf numFmtId="0" fontId="9" fillId="0" borderId="104" xfId="0" applyFont="1" applyBorder="1" applyAlignment="1" applyProtection="1">
      <alignment horizontal="center" vertical="center"/>
      <protection hidden="1"/>
    </xf>
    <xf numFmtId="0" fontId="9" fillId="0" borderId="105" xfId="0" applyFont="1" applyBorder="1" applyAlignment="1" applyProtection="1">
      <alignment horizontal="centerContinuous"/>
      <protection hidden="1"/>
    </xf>
    <xf numFmtId="0" fontId="9" fillId="0" borderId="104" xfId="0" applyFont="1" applyBorder="1" applyAlignment="1" applyProtection="1">
      <alignment horizontal="centerContinuous"/>
      <protection hidden="1"/>
    </xf>
    <xf numFmtId="0" fontId="9" fillId="0" borderId="106" xfId="0" applyFont="1" applyBorder="1" applyAlignment="1" applyProtection="1">
      <alignment horizontal="center" vertical="center"/>
      <protection hidden="1"/>
    </xf>
    <xf numFmtId="185" fontId="35" fillId="0" borderId="56" xfId="0" applyNumberFormat="1" applyFont="1" applyBorder="1" applyAlignment="1">
      <alignment horizontal="center" vertical="center"/>
    </xf>
    <xf numFmtId="11" fontId="35" fillId="0" borderId="31" xfId="0" applyNumberFormat="1" applyFont="1" applyBorder="1" applyAlignment="1">
      <alignment horizontal="center" vertical="center"/>
    </xf>
    <xf numFmtId="1" fontId="35" fillId="0" borderId="31" xfId="0" applyNumberFormat="1" applyFont="1" applyBorder="1" applyAlignment="1">
      <alignment horizontal="center" vertical="center"/>
    </xf>
    <xf numFmtId="0" fontId="35" fillId="0" borderId="99" xfId="0" applyNumberFormat="1" applyFont="1" applyBorder="1" applyAlignment="1">
      <alignment horizontal="center" vertical="center"/>
    </xf>
    <xf numFmtId="3" fontId="52" fillId="0" borderId="57" xfId="0" applyNumberFormat="1" applyFont="1" applyBorder="1" applyAlignment="1">
      <alignment horizontal="center" vertical="center"/>
    </xf>
    <xf numFmtId="3" fontId="35" fillId="0" borderId="44" xfId="0" applyNumberFormat="1" applyFont="1" applyBorder="1" applyAlignment="1">
      <alignment horizontal="center" vertical="center"/>
    </xf>
    <xf numFmtId="174" fontId="35" fillId="0" borderId="31" xfId="0" applyNumberFormat="1" applyFont="1" applyBorder="1" applyAlignment="1">
      <alignment horizontal="center" vertical="center"/>
    </xf>
    <xf numFmtId="0" fontId="56" fillId="0" borderId="0" xfId="44" applyBorder="1"/>
    <xf numFmtId="0" fontId="56" fillId="0" borderId="95" xfId="44" applyBorder="1"/>
    <xf numFmtId="0" fontId="0" fillId="0" borderId="25" xfId="0" applyBorder="1" applyAlignment="1">
      <alignment horizontal="center" vertical="center"/>
    </xf>
    <xf numFmtId="0" fontId="59" fillId="10" borderId="25" xfId="0" applyFont="1" applyFill="1" applyBorder="1" applyAlignment="1">
      <alignment horizontal="center" vertical="center"/>
    </xf>
    <xf numFmtId="174" fontId="29" fillId="4" borderId="31" xfId="37" applyNumberFormat="1" applyFont="1" applyFill="1" applyBorder="1" applyAlignment="1">
      <alignment horizontal="center" vertical="center" wrapText="1"/>
    </xf>
    <xf numFmtId="176" fontId="73" fillId="0" borderId="31" xfId="44" applyNumberFormat="1" applyFont="1" applyFill="1" applyBorder="1" applyAlignment="1" applyProtection="1">
      <alignment horizontal="center" vertical="center" wrapText="1"/>
      <protection hidden="1"/>
    </xf>
    <xf numFmtId="176" fontId="73" fillId="0" borderId="31" xfId="44" applyNumberFormat="1" applyFont="1" applyFill="1" applyBorder="1" applyAlignment="1">
      <alignment horizontal="center" vertical="center" wrapText="1"/>
    </xf>
    <xf numFmtId="176" fontId="73" fillId="0" borderId="44" xfId="44" applyNumberFormat="1" applyFont="1" applyFill="1" applyBorder="1" applyAlignment="1" applyProtection="1">
      <alignment horizontal="center" vertical="center" wrapText="1"/>
      <protection hidden="1"/>
    </xf>
    <xf numFmtId="0" fontId="0" fillId="9" borderId="0" xfId="0" applyFill="1" applyBorder="1" applyAlignment="1">
      <alignment horizontal="center" vertical="center"/>
    </xf>
    <xf numFmtId="182" fontId="59" fillId="16" borderId="107" xfId="0" applyNumberFormat="1" applyFont="1" applyFill="1" applyBorder="1" applyAlignment="1">
      <alignment horizontal="left" vertical="center"/>
    </xf>
    <xf numFmtId="14" fontId="0" fillId="9" borderId="65" xfId="0" applyNumberFormat="1" applyFill="1" applyBorder="1" applyAlignment="1">
      <alignment horizontal="center" vertical="center" wrapText="1"/>
    </xf>
    <xf numFmtId="182" fontId="59" fillId="16" borderId="69" xfId="0" applyNumberFormat="1" applyFont="1" applyFill="1" applyBorder="1" applyAlignment="1">
      <alignment horizontal="left" vertical="center"/>
    </xf>
    <xf numFmtId="182" fontId="59" fillId="16" borderId="108" xfId="0" applyNumberFormat="1" applyFont="1" applyFill="1" applyBorder="1" applyAlignment="1">
      <alignment horizontal="left" vertical="center"/>
    </xf>
    <xf numFmtId="14" fontId="0" fillId="9" borderId="75" xfId="0" applyNumberFormat="1" applyFill="1" applyBorder="1" applyAlignment="1">
      <alignment horizontal="center" vertical="center" wrapText="1"/>
    </xf>
    <xf numFmtId="0" fontId="0" fillId="9" borderId="109" xfId="0" applyFill="1" applyBorder="1" applyAlignment="1">
      <alignment horizontal="center" vertical="center" wrapText="1"/>
    </xf>
    <xf numFmtId="0" fontId="59" fillId="14" borderId="0" xfId="0" applyFont="1" applyFill="1" applyBorder="1" applyAlignment="1">
      <alignment horizontal="center" vertical="center" wrapText="1"/>
    </xf>
    <xf numFmtId="0" fontId="0" fillId="9" borderId="110" xfId="0" applyFill="1" applyBorder="1" applyAlignment="1">
      <alignment horizontal="center" vertical="center" wrapText="1"/>
    </xf>
    <xf numFmtId="0" fontId="0" fillId="9" borderId="0" xfId="0" applyFill="1" applyBorder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59" fillId="9" borderId="66" xfId="0" applyFont="1" applyFill="1" applyBorder="1" applyAlignment="1">
      <alignment horizontal="center" vertical="center" wrapText="1"/>
    </xf>
    <xf numFmtId="0" fontId="0" fillId="9" borderId="75" xfId="0" applyFill="1" applyBorder="1" applyAlignment="1">
      <alignment horizontal="center" vertical="center" wrapText="1"/>
    </xf>
    <xf numFmtId="0" fontId="59" fillId="16" borderId="107" xfId="0" applyFont="1" applyFill="1" applyBorder="1" applyAlignment="1">
      <alignment horizontal="left" vertical="center"/>
    </xf>
    <xf numFmtId="0" fontId="0" fillId="9" borderId="65" xfId="0" applyFill="1" applyBorder="1" applyAlignment="1">
      <alignment horizontal="center" vertical="center" wrapText="1"/>
    </xf>
    <xf numFmtId="174" fontId="59" fillId="9" borderId="66" xfId="0" applyNumberFormat="1" applyFont="1" applyFill="1" applyBorder="1" applyAlignment="1">
      <alignment horizontal="center" vertical="center"/>
    </xf>
    <xf numFmtId="0" fontId="59" fillId="16" borderId="108" xfId="0" applyFont="1" applyFill="1" applyBorder="1" applyAlignment="1">
      <alignment horizontal="left" vertical="center" wrapText="1"/>
    </xf>
    <xf numFmtId="165" fontId="58" fillId="0" borderId="25" xfId="2" applyFont="1" applyBorder="1" applyAlignment="1">
      <alignment horizontal="center" vertical="center"/>
    </xf>
    <xf numFmtId="9" fontId="58" fillId="0" borderId="25" xfId="83" applyFont="1" applyBorder="1" applyAlignment="1">
      <alignment horizontal="center" vertical="center"/>
    </xf>
    <xf numFmtId="174" fontId="58" fillId="0" borderId="25" xfId="0" applyNumberFormat="1" applyFont="1" applyBorder="1" applyAlignment="1">
      <alignment horizontal="center" vertical="center"/>
    </xf>
    <xf numFmtId="174" fontId="58" fillId="0" borderId="25" xfId="2" applyNumberFormat="1" applyFont="1" applyBorder="1" applyAlignment="1">
      <alignment horizontal="center" vertical="center"/>
    </xf>
    <xf numFmtId="0" fontId="38" fillId="0" borderId="0" xfId="37" applyFont="1" applyBorder="1" applyAlignment="1" applyProtection="1">
      <alignment horizontal="right" vertical="center"/>
      <protection hidden="1"/>
    </xf>
    <xf numFmtId="0" fontId="69" fillId="7" borderId="54" xfId="37" applyFont="1" applyFill="1" applyBorder="1" applyAlignment="1">
      <alignment horizontal="center" vertical="center" wrapText="1"/>
    </xf>
    <xf numFmtId="0" fontId="2" fillId="0" borderId="0" xfId="37" applyAlignment="1" applyProtection="1">
      <alignment horizontal="center" vertical="center"/>
    </xf>
    <xf numFmtId="0" fontId="2" fillId="0" borderId="0" xfId="37" applyAlignment="1" applyProtection="1">
      <alignment horizontal="center" vertical="center"/>
      <protection hidden="1"/>
    </xf>
    <xf numFmtId="1" fontId="74" fillId="0" borderId="0" xfId="44" applyNumberFormat="1" applyFont="1" applyAlignment="1">
      <alignment horizontal="center" vertical="center"/>
    </xf>
    <xf numFmtId="0" fontId="6" fillId="0" borderId="0" xfId="37" applyFont="1" applyAlignment="1">
      <alignment horizontal="center" vertical="center"/>
    </xf>
    <xf numFmtId="0" fontId="2" fillId="0" borderId="0" xfId="37" applyFont="1" applyAlignment="1">
      <alignment horizontal="center" vertical="center"/>
    </xf>
    <xf numFmtId="0" fontId="2" fillId="0" borderId="0" xfId="37" applyAlignment="1">
      <alignment horizontal="center" vertical="center"/>
    </xf>
    <xf numFmtId="0" fontId="2" fillId="0" borderId="25" xfId="37" applyFont="1" applyBorder="1" applyAlignment="1">
      <alignment horizontal="center" vertical="center"/>
    </xf>
    <xf numFmtId="0" fontId="53" fillId="0" borderId="52" xfId="37" applyFont="1" applyBorder="1" applyAlignment="1">
      <alignment horizontal="center" vertical="center"/>
    </xf>
    <xf numFmtId="0" fontId="53" fillId="0" borderId="0" xfId="37" applyFont="1" applyBorder="1" applyAlignment="1">
      <alignment horizontal="center" vertical="center"/>
    </xf>
    <xf numFmtId="0" fontId="53" fillId="0" borderId="35" xfId="37" applyFont="1" applyBorder="1" applyAlignment="1">
      <alignment horizontal="center" vertical="center"/>
    </xf>
    <xf numFmtId="0" fontId="2" fillId="0" borderId="107" xfId="37" applyFont="1" applyBorder="1" applyAlignment="1">
      <alignment horizontal="center" vertical="center"/>
    </xf>
    <xf numFmtId="0" fontId="2" fillId="0" borderId="65" xfId="37" applyFont="1" applyBorder="1" applyAlignment="1">
      <alignment horizontal="center" vertical="center"/>
    </xf>
    <xf numFmtId="0" fontId="2" fillId="0" borderId="19" xfId="37" applyFont="1" applyBorder="1" applyAlignment="1">
      <alignment horizontal="center" vertical="center"/>
    </xf>
    <xf numFmtId="0" fontId="2" fillId="0" borderId="11" xfId="37" applyFont="1" applyBorder="1" applyAlignment="1">
      <alignment horizontal="center" vertical="center"/>
    </xf>
    <xf numFmtId="0" fontId="2" fillId="0" borderId="20" xfId="37" applyFont="1" applyBorder="1" applyAlignment="1">
      <alignment horizontal="center" vertical="center"/>
    </xf>
    <xf numFmtId="0" fontId="5" fillId="17" borderId="69" xfId="37" applyFont="1" applyFill="1" applyBorder="1" applyAlignment="1">
      <alignment horizontal="center" vertical="center"/>
    </xf>
    <xf numFmtId="0" fontId="5" fillId="17" borderId="54" xfId="37" applyFont="1" applyFill="1" applyBorder="1" applyAlignment="1">
      <alignment horizontal="center" vertical="center"/>
    </xf>
    <xf numFmtId="0" fontId="5" fillId="17" borderId="66" xfId="37" applyFont="1" applyFill="1" applyBorder="1" applyAlignment="1">
      <alignment horizontal="center" vertical="center"/>
    </xf>
    <xf numFmtId="0" fontId="2" fillId="0" borderId="25" xfId="37" applyBorder="1" applyAlignment="1" applyProtection="1">
      <alignment horizontal="center" vertical="center"/>
      <protection hidden="1"/>
    </xf>
    <xf numFmtId="0" fontId="75" fillId="0" borderId="0" xfId="37" applyFont="1"/>
    <xf numFmtId="0" fontId="76" fillId="7" borderId="108" xfId="37" applyFont="1" applyFill="1" applyBorder="1" applyAlignment="1">
      <alignment horizontal="center" vertical="center" wrapText="1"/>
    </xf>
    <xf numFmtId="0" fontId="76" fillId="7" borderId="75" xfId="37" applyFont="1" applyFill="1" applyBorder="1" applyAlignment="1">
      <alignment horizontal="center" vertical="center" wrapText="1"/>
    </xf>
    <xf numFmtId="0" fontId="76" fillId="7" borderId="111" xfId="37" applyFont="1" applyFill="1" applyBorder="1" applyAlignment="1">
      <alignment horizontal="center" vertical="center" wrapText="1"/>
    </xf>
    <xf numFmtId="0" fontId="2" fillId="0" borderId="52" xfId="37" applyBorder="1" applyAlignment="1">
      <alignment horizontal="center" vertical="center"/>
    </xf>
    <xf numFmtId="0" fontId="2" fillId="0" borderId="35" xfId="37" applyBorder="1" applyAlignment="1">
      <alignment horizontal="center" vertical="center"/>
    </xf>
    <xf numFmtId="0" fontId="2" fillId="0" borderId="0" xfId="37" applyBorder="1"/>
    <xf numFmtId="0" fontId="2" fillId="0" borderId="35" xfId="37" applyBorder="1"/>
    <xf numFmtId="0" fontId="4" fillId="0" borderId="65" xfId="37" applyFont="1" applyBorder="1" applyAlignment="1">
      <alignment horizontal="center" vertical="center" wrapText="1"/>
    </xf>
    <xf numFmtId="0" fontId="2" fillId="0" borderId="0" xfId="37" applyAlignment="1">
      <alignment vertical="center" wrapText="1"/>
    </xf>
    <xf numFmtId="0" fontId="2" fillId="0" borderId="15" xfId="37" applyBorder="1" applyAlignment="1">
      <alignment horizontal="center" vertical="center" wrapText="1"/>
    </xf>
    <xf numFmtId="0" fontId="2" fillId="0" borderId="46" xfId="37" applyBorder="1" applyAlignment="1">
      <alignment horizontal="center" vertical="center" wrapText="1"/>
    </xf>
    <xf numFmtId="0" fontId="2" fillId="0" borderId="15" xfId="37" applyBorder="1" applyAlignment="1">
      <alignment vertical="center" wrapText="1"/>
    </xf>
    <xf numFmtId="0" fontId="2" fillId="0" borderId="36" xfId="37" applyBorder="1" applyAlignment="1">
      <alignment vertical="center" wrapText="1"/>
    </xf>
    <xf numFmtId="0" fontId="2" fillId="0" borderId="46" xfId="37" applyBorder="1" applyAlignment="1">
      <alignment vertical="center" wrapText="1"/>
    </xf>
    <xf numFmtId="0" fontId="66" fillId="0" borderId="74" xfId="36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59" fillId="10" borderId="25" xfId="0" applyFont="1" applyFill="1" applyBorder="1" applyAlignment="1">
      <alignment horizontal="center" vertical="center"/>
    </xf>
    <xf numFmtId="0" fontId="4" fillId="0" borderId="45" xfId="37" applyFont="1" applyBorder="1" applyAlignment="1">
      <alignment horizontal="center" vertical="center" wrapText="1"/>
    </xf>
    <xf numFmtId="186" fontId="0" fillId="9" borderId="28" xfId="0" applyNumberFormat="1" applyFill="1" applyBorder="1" applyAlignment="1">
      <alignment horizontal="center" vertical="center"/>
    </xf>
    <xf numFmtId="186" fontId="0" fillId="9" borderId="0" xfId="0" applyNumberFormat="1" applyFill="1" applyBorder="1" applyAlignment="1">
      <alignment horizontal="center" vertical="center"/>
    </xf>
    <xf numFmtId="186" fontId="0" fillId="9" borderId="0" xfId="0" applyNumberFormat="1" applyFill="1" applyAlignment="1">
      <alignment horizontal="center" vertical="center"/>
    </xf>
    <xf numFmtId="174" fontId="59" fillId="9" borderId="0" xfId="0" applyNumberFormat="1" applyFont="1" applyFill="1" applyAlignment="1">
      <alignment horizontal="center" vertical="center"/>
    </xf>
    <xf numFmtId="0" fontId="59" fillId="9" borderId="75" xfId="0" applyFont="1" applyFill="1" applyBorder="1" applyAlignment="1">
      <alignment horizontal="center" vertical="center" wrapText="1"/>
    </xf>
    <xf numFmtId="0" fontId="59" fillId="9" borderId="65" xfId="0" applyFont="1" applyFill="1" applyBorder="1" applyAlignment="1">
      <alignment horizontal="center" vertical="center" wrapText="1"/>
    </xf>
    <xf numFmtId="176" fontId="29" fillId="8" borderId="31" xfId="37" applyNumberFormat="1" applyFont="1" applyFill="1" applyBorder="1" applyAlignment="1">
      <alignment horizontal="center" vertical="center" wrapText="1"/>
    </xf>
    <xf numFmtId="0" fontId="2" fillId="0" borderId="0" xfId="37" applyBorder="1" applyAlignment="1">
      <alignment horizontal="center" vertical="center"/>
    </xf>
    <xf numFmtId="0" fontId="2" fillId="0" borderId="36" xfId="37" applyBorder="1" applyAlignment="1">
      <alignment horizontal="center" vertical="center" wrapText="1"/>
    </xf>
    <xf numFmtId="0" fontId="9" fillId="0" borderId="25" xfId="37" applyFont="1" applyBorder="1" applyAlignment="1">
      <alignment horizontal="center" vertical="center" wrapText="1"/>
    </xf>
    <xf numFmtId="0" fontId="76" fillId="7" borderId="25" xfId="37" applyFont="1" applyFill="1" applyBorder="1" applyAlignment="1">
      <alignment horizontal="center" vertical="center" wrapText="1"/>
    </xf>
    <xf numFmtId="0" fontId="60" fillId="0" borderId="52" xfId="36" applyFont="1" applyBorder="1" applyAlignment="1"/>
    <xf numFmtId="0" fontId="60" fillId="0" borderId="0" xfId="36" applyFont="1" applyBorder="1" applyAlignment="1"/>
    <xf numFmtId="0" fontId="60" fillId="0" borderId="35" xfId="36" applyFont="1" applyBorder="1" applyAlignment="1"/>
    <xf numFmtId="0" fontId="60" fillId="0" borderId="15" xfId="36" applyFont="1" applyBorder="1" applyAlignment="1"/>
    <xf numFmtId="0" fontId="60" fillId="0" borderId="36" xfId="36" applyFont="1" applyBorder="1" applyAlignment="1"/>
    <xf numFmtId="0" fontId="60" fillId="0" borderId="46" xfId="36" applyFont="1" applyBorder="1" applyAlignment="1"/>
    <xf numFmtId="0" fontId="60" fillId="9" borderId="0" xfId="36" applyFont="1" applyFill="1" applyBorder="1"/>
    <xf numFmtId="174" fontId="59" fillId="9" borderId="0" xfId="0" applyNumberFormat="1" applyFont="1" applyFill="1" applyBorder="1" applyAlignment="1">
      <alignment horizontal="center" vertical="center"/>
    </xf>
    <xf numFmtId="0" fontId="9" fillId="0" borderId="107" xfId="37" applyFont="1" applyBorder="1" applyAlignment="1">
      <alignment horizontal="center" vertical="center" wrapText="1"/>
    </xf>
    <xf numFmtId="0" fontId="4" fillId="0" borderId="112" xfId="37" applyFont="1" applyBorder="1" applyAlignment="1">
      <alignment horizontal="center" vertical="center" wrapText="1"/>
    </xf>
    <xf numFmtId="0" fontId="76" fillId="7" borderId="29" xfId="37" applyFont="1" applyFill="1" applyBorder="1" applyAlignment="1">
      <alignment horizontal="center" vertical="center" wrapText="1"/>
    </xf>
    <xf numFmtId="0" fontId="26" fillId="7" borderId="0" xfId="37" applyFont="1" applyFill="1" applyBorder="1" applyAlignment="1">
      <alignment vertical="center"/>
    </xf>
    <xf numFmtId="4" fontId="77" fillId="9" borderId="107" xfId="37" applyNumberFormat="1" applyFont="1" applyFill="1" applyBorder="1" applyAlignment="1">
      <alignment horizontal="center" vertical="center" wrapText="1"/>
    </xf>
    <xf numFmtId="4" fontId="77" fillId="0" borderId="107" xfId="37" applyNumberFormat="1" applyFont="1" applyFill="1" applyBorder="1" applyAlignment="1">
      <alignment horizontal="center" vertical="center" wrapText="1"/>
    </xf>
    <xf numFmtId="4" fontId="77" fillId="0" borderId="107" xfId="37" applyNumberFormat="1" applyFont="1" applyFill="1" applyBorder="1" applyAlignment="1">
      <alignment horizontal="justify" vertical="center" wrapText="1"/>
    </xf>
    <xf numFmtId="0" fontId="78" fillId="0" borderId="107" xfId="37" applyFont="1" applyBorder="1"/>
    <xf numFmtId="0" fontId="60" fillId="9" borderId="0" xfId="36" applyFont="1" applyFill="1" applyBorder="1" applyAlignment="1">
      <alignment horizontal="center" vertical="center"/>
    </xf>
    <xf numFmtId="0" fontId="55" fillId="9" borderId="3" xfId="37" applyFont="1" applyFill="1" applyBorder="1" applyAlignment="1">
      <alignment horizontal="center" vertical="center" wrapText="1"/>
    </xf>
    <xf numFmtId="0" fontId="54" fillId="9" borderId="113" xfId="37" applyFont="1" applyFill="1" applyBorder="1" applyAlignment="1">
      <alignment horizontal="center" vertical="center" wrapText="1"/>
    </xf>
    <xf numFmtId="0" fontId="54" fillId="9" borderId="13" xfId="37" applyFont="1" applyFill="1" applyBorder="1" applyAlignment="1">
      <alignment horizontal="center" vertical="center" wrapText="1"/>
    </xf>
    <xf numFmtId="0" fontId="79" fillId="9" borderId="0" xfId="0" applyFont="1" applyFill="1"/>
    <xf numFmtId="0" fontId="80" fillId="9" borderId="25" xfId="0" applyFont="1" applyFill="1" applyBorder="1" applyAlignment="1">
      <alignment horizontal="center" vertical="center" wrapText="1"/>
    </xf>
    <xf numFmtId="0" fontId="79" fillId="9" borderId="25" xfId="0" applyFont="1" applyFill="1" applyBorder="1" applyAlignment="1">
      <alignment horizontal="center" vertical="center" wrapText="1"/>
    </xf>
    <xf numFmtId="174" fontId="79" fillId="9" borderId="25" xfId="0" applyNumberFormat="1" applyFont="1" applyFill="1" applyBorder="1" applyAlignment="1">
      <alignment horizontal="center" vertical="center" wrapText="1"/>
    </xf>
    <xf numFmtId="174" fontId="80" fillId="9" borderId="25" xfId="0" applyNumberFormat="1" applyFont="1" applyFill="1" applyBorder="1" applyAlignment="1">
      <alignment horizontal="center" vertical="center" wrapText="1"/>
    </xf>
    <xf numFmtId="174" fontId="79" fillId="9" borderId="25" xfId="0" applyNumberFormat="1" applyFont="1" applyFill="1" applyBorder="1" applyAlignment="1">
      <alignment horizontal="center" vertical="center"/>
    </xf>
    <xf numFmtId="174" fontId="80" fillId="9" borderId="25" xfId="0" applyNumberFormat="1" applyFont="1" applyFill="1" applyBorder="1" applyAlignment="1">
      <alignment horizontal="center" vertical="center"/>
    </xf>
    <xf numFmtId="0" fontId="80" fillId="9" borderId="25" xfId="0" applyFont="1" applyFill="1" applyBorder="1" applyAlignment="1">
      <alignment horizontal="center" vertical="center"/>
    </xf>
    <xf numFmtId="4" fontId="34" fillId="9" borderId="9" xfId="81" applyNumberFormat="1" applyFont="1" applyFill="1" applyBorder="1" applyAlignment="1" applyProtection="1">
      <alignment horizontal="center" vertical="center"/>
      <protection hidden="1"/>
    </xf>
    <xf numFmtId="10" fontId="9" fillId="0" borderId="99" xfId="37" applyNumberFormat="1" applyFont="1" applyFill="1" applyBorder="1" applyAlignment="1">
      <alignment horizontal="center" vertical="center" wrapText="1"/>
    </xf>
    <xf numFmtId="49" fontId="43" fillId="9" borderId="87" xfId="81" applyNumberFormat="1" applyFont="1" applyFill="1" applyBorder="1" applyAlignment="1" applyProtection="1">
      <alignment vertical="center"/>
      <protection hidden="1"/>
    </xf>
    <xf numFmtId="0" fontId="76" fillId="7" borderId="14" xfId="37" applyFont="1" applyFill="1" applyBorder="1" applyAlignment="1">
      <alignment horizontal="center" vertical="center" wrapText="1"/>
    </xf>
    <xf numFmtId="0" fontId="76" fillId="0" borderId="13" xfId="37" applyFont="1" applyBorder="1" applyAlignment="1">
      <alignment horizontal="center" vertical="center"/>
    </xf>
    <xf numFmtId="0" fontId="80" fillId="9" borderId="25" xfId="0" applyFont="1" applyFill="1" applyBorder="1" applyAlignment="1">
      <alignment horizontal="center" vertical="center" wrapText="1"/>
    </xf>
    <xf numFmtId="0" fontId="80" fillId="9" borderId="25" xfId="0" applyFont="1" applyFill="1" applyBorder="1" applyAlignment="1">
      <alignment horizontal="center" vertical="center"/>
    </xf>
    <xf numFmtId="165" fontId="81" fillId="9" borderId="0" xfId="2" applyFont="1" applyFill="1" applyAlignment="1">
      <alignment horizontal="center" vertical="center"/>
    </xf>
    <xf numFmtId="0" fontId="14" fillId="0" borderId="0" xfId="38" applyFont="1" applyAlignment="1">
      <alignment horizontal="center" vertical="center"/>
    </xf>
    <xf numFmtId="1" fontId="82" fillId="9" borderId="0" xfId="2" applyNumberFormat="1" applyFont="1" applyFill="1" applyAlignment="1">
      <alignment horizontal="center" vertical="center"/>
    </xf>
    <xf numFmtId="165" fontId="82" fillId="9" borderId="0" xfId="2" applyFont="1" applyFill="1" applyAlignment="1">
      <alignment horizontal="center" vertical="center"/>
    </xf>
    <xf numFmtId="3" fontId="9" fillId="15" borderId="98" xfId="3" applyNumberFormat="1" applyFont="1" applyFill="1" applyBorder="1" applyAlignment="1">
      <alignment horizontal="center" vertical="center" wrapText="1"/>
    </xf>
    <xf numFmtId="1" fontId="87" fillId="15" borderId="19" xfId="83" applyNumberFormat="1" applyFont="1" applyFill="1" applyBorder="1" applyAlignment="1">
      <alignment horizontal="center" vertical="center"/>
    </xf>
    <xf numFmtId="4" fontId="87" fillId="15" borderId="98" xfId="3" applyNumberFormat="1" applyFont="1" applyFill="1" applyBorder="1" applyAlignment="1">
      <alignment horizontal="center" vertical="center" wrapText="1"/>
    </xf>
    <xf numFmtId="0" fontId="2" fillId="0" borderId="45" xfId="37" applyBorder="1"/>
    <xf numFmtId="0" fontId="56" fillId="13" borderId="90" xfId="44" applyFill="1" applyBorder="1" applyAlignment="1">
      <alignment horizontal="center" vertical="center"/>
    </xf>
    <xf numFmtId="0" fontId="56" fillId="13" borderId="90" xfId="44" applyFont="1" applyFill="1" applyBorder="1" applyAlignment="1">
      <alignment horizontal="center" vertical="center"/>
    </xf>
    <xf numFmtId="0" fontId="56" fillId="0" borderId="0" xfId="44" applyAlignment="1">
      <alignment horizontal="center" vertical="center"/>
    </xf>
    <xf numFmtId="0" fontId="56" fillId="13" borderId="92" xfId="44" applyFill="1" applyBorder="1" applyAlignment="1">
      <alignment horizontal="center" vertical="center"/>
    </xf>
    <xf numFmtId="0" fontId="56" fillId="13" borderId="92" xfId="44" applyFont="1" applyFill="1" applyBorder="1" applyAlignment="1">
      <alignment horizontal="center" vertical="center"/>
    </xf>
    <xf numFmtId="0" fontId="56" fillId="13" borderId="148" xfId="44" applyFill="1" applyBorder="1" applyAlignment="1">
      <alignment horizontal="center" vertical="center"/>
    </xf>
    <xf numFmtId="0" fontId="56" fillId="13" borderId="149" xfId="44" applyFill="1" applyBorder="1" applyAlignment="1">
      <alignment horizontal="center" vertical="center"/>
    </xf>
    <xf numFmtId="0" fontId="0" fillId="13" borderId="149" xfId="44" applyFont="1" applyFill="1" applyBorder="1" applyAlignment="1">
      <alignment horizontal="center" vertical="center"/>
    </xf>
    <xf numFmtId="10" fontId="5" fillId="0" borderId="75" xfId="83" applyNumberFormat="1" applyFont="1" applyFill="1" applyBorder="1" applyAlignment="1">
      <alignment horizontal="center" vertical="center"/>
    </xf>
    <xf numFmtId="176" fontId="5" fillId="0" borderId="0" xfId="37" applyNumberFormat="1" applyFont="1" applyFill="1" applyBorder="1" applyAlignment="1">
      <alignment horizontal="center" vertical="center"/>
    </xf>
    <xf numFmtId="10" fontId="5" fillId="0" borderId="0" xfId="83" applyNumberFormat="1" applyFont="1" applyFill="1" applyBorder="1" applyAlignment="1">
      <alignment horizontal="center" vertical="center"/>
    </xf>
    <xf numFmtId="3" fontId="5" fillId="0" borderId="0" xfId="37" applyNumberFormat="1" applyFont="1" applyFill="1" applyBorder="1" applyAlignment="1">
      <alignment horizontal="center" vertical="center"/>
    </xf>
    <xf numFmtId="0" fontId="9" fillId="0" borderId="41" xfId="37" applyFont="1" applyBorder="1" applyAlignment="1" applyProtection="1">
      <alignment horizontal="center" vertical="center"/>
      <protection hidden="1"/>
    </xf>
    <xf numFmtId="3" fontId="39" fillId="0" borderId="99" xfId="37" applyNumberFormat="1" applyFont="1" applyFill="1" applyBorder="1" applyAlignment="1" applyProtection="1">
      <alignment horizontal="center" vertical="center"/>
      <protection hidden="1"/>
    </xf>
    <xf numFmtId="3" fontId="4" fillId="0" borderId="36" xfId="37" applyNumberFormat="1" applyFont="1" applyBorder="1" applyAlignment="1" applyProtection="1">
      <alignment horizontal="center"/>
      <protection hidden="1"/>
    </xf>
    <xf numFmtId="0" fontId="90" fillId="0" borderId="0" xfId="37" applyFont="1" applyAlignment="1" applyProtection="1">
      <alignment horizontal="center" vertical="center"/>
      <protection hidden="1"/>
    </xf>
    <xf numFmtId="0" fontId="90" fillId="0" borderId="0" xfId="37" applyFont="1" applyAlignment="1" applyProtection="1">
      <alignment horizontal="center" vertical="center"/>
    </xf>
    <xf numFmtId="0" fontId="90" fillId="0" borderId="0" xfId="37" applyFont="1" applyBorder="1" applyAlignment="1" applyProtection="1">
      <alignment horizontal="center" vertical="center"/>
      <protection hidden="1"/>
    </xf>
    <xf numFmtId="39" fontId="91" fillId="0" borderId="25" xfId="2" applyNumberFormat="1" applyFont="1" applyFill="1" applyBorder="1" applyAlignment="1">
      <alignment horizontal="center" vertical="center" wrapText="1"/>
    </xf>
    <xf numFmtId="174" fontId="91" fillId="0" borderId="25" xfId="2" applyNumberFormat="1" applyFont="1" applyFill="1" applyBorder="1" applyAlignment="1">
      <alignment horizontal="center" vertical="center" wrapText="1"/>
    </xf>
    <xf numFmtId="172" fontId="91" fillId="0" borderId="40" xfId="41" applyNumberFormat="1" applyFont="1" applyBorder="1" applyAlignment="1">
      <alignment horizontal="centerContinuous" vertical="center"/>
    </xf>
    <xf numFmtId="0" fontId="10" fillId="0" borderId="63" xfId="37" applyFont="1" applyBorder="1" applyAlignment="1">
      <alignment horizontal="center" vertical="center"/>
    </xf>
    <xf numFmtId="0" fontId="10" fillId="0" borderId="42" xfId="37" applyFont="1" applyBorder="1" applyAlignment="1">
      <alignment horizontal="center" vertical="center"/>
    </xf>
    <xf numFmtId="0" fontId="2" fillId="0" borderId="25" xfId="37" applyBorder="1" applyAlignment="1">
      <alignment horizontal="center" vertical="center"/>
    </xf>
    <xf numFmtId="0" fontId="0" fillId="0" borderId="132" xfId="0" applyBorder="1" applyAlignment="1">
      <alignment horizontal="center"/>
    </xf>
    <xf numFmtId="0" fontId="0" fillId="0" borderId="102" xfId="0" applyBorder="1" applyAlignment="1">
      <alignment horizontal="center" vertical="center"/>
    </xf>
    <xf numFmtId="0" fontId="0" fillId="0" borderId="69" xfId="0" applyBorder="1" applyAlignment="1">
      <alignment horizontal="center"/>
    </xf>
    <xf numFmtId="0" fontId="0" fillId="0" borderId="66" xfId="0" applyBorder="1" applyAlignment="1">
      <alignment horizontal="center" vertical="center"/>
    </xf>
    <xf numFmtId="3" fontId="29" fillId="8" borderId="25" xfId="37" applyNumberFormat="1" applyFont="1" applyFill="1" applyBorder="1" applyAlignment="1">
      <alignment horizontal="center" vertical="center" wrapText="1"/>
    </xf>
    <xf numFmtId="0" fontId="2" fillId="0" borderId="19" xfId="37" applyBorder="1"/>
    <xf numFmtId="0" fontId="35" fillId="0" borderId="31" xfId="0" applyFont="1" applyBorder="1" applyAlignment="1">
      <alignment horizontal="left" vertical="center" wrapText="1"/>
    </xf>
    <xf numFmtId="0" fontId="76" fillId="7" borderId="3" xfId="37" applyFont="1" applyFill="1" applyBorder="1" applyAlignment="1">
      <alignment horizontal="center" vertical="center" wrapText="1"/>
    </xf>
    <xf numFmtId="0" fontId="2" fillId="0" borderId="3" xfId="37" applyBorder="1" applyAlignment="1">
      <alignment horizontal="center" vertical="center"/>
    </xf>
    <xf numFmtId="0" fontId="2" fillId="0" borderId="0" xfId="37" applyAlignment="1">
      <alignment horizontal="center" vertical="center" wrapText="1"/>
    </xf>
    <xf numFmtId="176" fontId="26" fillId="0" borderId="42" xfId="37" applyNumberFormat="1" applyFont="1" applyBorder="1" applyAlignment="1">
      <alignment horizontal="center" vertical="center" wrapText="1"/>
    </xf>
    <xf numFmtId="176" fontId="26" fillId="0" borderId="71" xfId="37" applyNumberFormat="1" applyFont="1" applyBorder="1" applyAlignment="1">
      <alignment horizontal="center" vertical="center" wrapText="1"/>
    </xf>
    <xf numFmtId="176" fontId="2" fillId="0" borderId="3" xfId="37" applyNumberFormat="1" applyBorder="1" applyAlignment="1">
      <alignment horizontal="center" vertical="center"/>
    </xf>
    <xf numFmtId="176" fontId="29" fillId="0" borderId="31" xfId="37" quotePrefix="1" applyNumberFormat="1" applyFont="1" applyFill="1" applyBorder="1" applyAlignment="1">
      <alignment horizontal="center" vertical="center" wrapText="1"/>
    </xf>
    <xf numFmtId="176" fontId="29" fillId="0" borderId="99" xfId="37" quotePrefix="1" applyNumberFormat="1" applyFont="1" applyFill="1" applyBorder="1" applyAlignment="1">
      <alignment horizontal="center" vertical="center" wrapText="1"/>
    </xf>
    <xf numFmtId="0" fontId="2" fillId="0" borderId="107" xfId="37" applyBorder="1" applyAlignment="1">
      <alignment horizontal="center" vertical="center"/>
    </xf>
    <xf numFmtId="0" fontId="2" fillId="0" borderId="69" xfId="37" applyBorder="1" applyAlignment="1">
      <alignment horizontal="center" vertical="center"/>
    </xf>
    <xf numFmtId="0" fontId="2" fillId="0" borderId="108" xfId="37" applyBorder="1" applyAlignment="1">
      <alignment horizontal="center" vertical="center"/>
    </xf>
    <xf numFmtId="3" fontId="29" fillId="8" borderId="54" xfId="37" applyNumberFormat="1" applyFont="1" applyFill="1" applyBorder="1" applyAlignment="1">
      <alignment horizontal="center" vertical="center" wrapText="1"/>
    </xf>
    <xf numFmtId="176" fontId="2" fillId="0" borderId="111" xfId="37" applyNumberFormat="1" applyBorder="1" applyAlignment="1">
      <alignment horizontal="center" vertical="center"/>
    </xf>
    <xf numFmtId="176" fontId="2" fillId="0" borderId="25" xfId="37" applyNumberFormat="1" applyBorder="1" applyAlignment="1">
      <alignment horizontal="center" vertical="center"/>
    </xf>
    <xf numFmtId="176" fontId="2" fillId="0" borderId="54" xfId="37" applyNumberFormat="1" applyBorder="1" applyAlignment="1">
      <alignment horizontal="center" vertical="center"/>
    </xf>
    <xf numFmtId="176" fontId="26" fillId="0" borderId="25" xfId="37" applyNumberFormat="1" applyFont="1" applyFill="1" applyBorder="1" applyAlignment="1">
      <alignment horizontal="center" vertical="center" wrapText="1"/>
    </xf>
    <xf numFmtId="176" fontId="26" fillId="0" borderId="71" xfId="37" applyNumberFormat="1" applyFont="1" applyFill="1" applyBorder="1" applyAlignment="1">
      <alignment horizontal="center" vertical="center" wrapText="1"/>
    </xf>
    <xf numFmtId="0" fontId="9" fillId="0" borderId="3" xfId="37" quotePrefix="1" applyFont="1" applyFill="1" applyBorder="1" applyAlignment="1">
      <alignment horizontal="center" vertical="center" wrapText="1"/>
    </xf>
    <xf numFmtId="0" fontId="92" fillId="7" borderId="123" xfId="37" applyFont="1" applyFill="1" applyBorder="1" applyAlignment="1">
      <alignment horizontal="center" vertical="center" wrapText="1"/>
    </xf>
    <xf numFmtId="0" fontId="92" fillId="7" borderId="108" xfId="37" applyFont="1" applyFill="1" applyBorder="1" applyAlignment="1">
      <alignment horizontal="center" vertical="center" wrapText="1"/>
    </xf>
    <xf numFmtId="0" fontId="28" fillId="7" borderId="24" xfId="37" applyFont="1" applyFill="1" applyBorder="1" applyAlignment="1">
      <alignment horizontal="center" vertical="center" wrapText="1"/>
    </xf>
    <xf numFmtId="0" fontId="28" fillId="7" borderId="25" xfId="37" applyFont="1" applyFill="1" applyBorder="1" applyAlignment="1">
      <alignment horizontal="center" vertical="center" wrapText="1"/>
    </xf>
    <xf numFmtId="0" fontId="28" fillId="7" borderId="63" xfId="37" applyFont="1" applyFill="1" applyBorder="1" applyAlignment="1">
      <alignment horizontal="center" vertical="center" wrapText="1"/>
    </xf>
    <xf numFmtId="0" fontId="28" fillId="7" borderId="26" xfId="37" applyFont="1" applyFill="1" applyBorder="1" applyAlignment="1">
      <alignment horizontal="center" vertical="center"/>
    </xf>
    <xf numFmtId="0" fontId="28" fillId="7" borderId="0" xfId="37" applyFont="1" applyFill="1" applyBorder="1" applyAlignment="1">
      <alignment horizontal="center" vertical="center" wrapText="1"/>
    </xf>
    <xf numFmtId="0" fontId="28" fillId="7" borderId="34" xfId="37" applyFont="1" applyFill="1" applyBorder="1" applyAlignment="1">
      <alignment horizontal="center" vertical="center" wrapText="1"/>
    </xf>
    <xf numFmtId="0" fontId="28" fillId="7" borderId="70" xfId="37" applyFont="1" applyFill="1" applyBorder="1" applyAlignment="1">
      <alignment horizontal="center" vertical="center" wrapText="1"/>
    </xf>
    <xf numFmtId="0" fontId="28" fillId="7" borderId="26" xfId="37" applyFont="1" applyFill="1" applyBorder="1" applyAlignment="1">
      <alignment horizontal="center" vertical="center" wrapText="1"/>
    </xf>
    <xf numFmtId="0" fontId="9" fillId="0" borderId="45" xfId="37" applyFont="1" applyBorder="1" applyAlignment="1">
      <alignment horizontal="center" vertical="center" wrapText="1"/>
    </xf>
    <xf numFmtId="0" fontId="9" fillId="0" borderId="65" xfId="37" applyFont="1" applyBorder="1" applyAlignment="1">
      <alignment horizontal="center" vertical="center" wrapText="1"/>
    </xf>
    <xf numFmtId="0" fontId="2" fillId="0" borderId="112" xfId="37" applyBorder="1"/>
    <xf numFmtId="0" fontId="2" fillId="0" borderId="20" xfId="37" applyBorder="1"/>
    <xf numFmtId="0" fontId="4" fillId="0" borderId="25" xfId="37" applyFont="1" applyFill="1" applyBorder="1" applyAlignment="1">
      <alignment vertical="center" wrapText="1"/>
    </xf>
    <xf numFmtId="0" fontId="9" fillId="0" borderId="8" xfId="41" applyFont="1" applyFill="1" applyBorder="1" applyAlignment="1">
      <alignment vertical="center" wrapText="1"/>
    </xf>
    <xf numFmtId="0" fontId="4" fillId="0" borderId="31" xfId="37" applyFont="1" applyFill="1" applyBorder="1" applyAlignment="1">
      <alignment horizontal="left" vertical="center" wrapText="1"/>
    </xf>
    <xf numFmtId="0" fontId="29" fillId="4" borderId="31" xfId="37" applyFont="1" applyFill="1" applyBorder="1" applyAlignment="1">
      <alignment vertical="center" wrapText="1"/>
    </xf>
    <xf numFmtId="0" fontId="29" fillId="4" borderId="38" xfId="37" applyFont="1" applyFill="1" applyBorder="1" applyAlignment="1">
      <alignment vertical="center" wrapText="1"/>
    </xf>
    <xf numFmtId="0" fontId="29" fillId="4" borderId="39" xfId="37" applyFont="1" applyFill="1" applyBorder="1" applyAlignment="1">
      <alignment vertical="center" wrapText="1"/>
    </xf>
    <xf numFmtId="0" fontId="29" fillId="4" borderId="39" xfId="37" applyFont="1" applyFill="1" applyBorder="1" applyAlignment="1">
      <alignment horizontal="center" vertical="center" wrapText="1"/>
    </xf>
    <xf numFmtId="0" fontId="29" fillId="4" borderId="38" xfId="37" applyFont="1" applyFill="1" applyBorder="1" applyAlignment="1">
      <alignment horizontal="center" vertical="center" wrapText="1"/>
    </xf>
    <xf numFmtId="0" fontId="29" fillId="4" borderId="38" xfId="37" applyFont="1" applyFill="1" applyBorder="1" applyAlignment="1">
      <alignment vertical="center" wrapText="1"/>
    </xf>
    <xf numFmtId="0" fontId="29" fillId="4" borderId="39" xfId="37" applyFont="1" applyFill="1" applyBorder="1" applyAlignment="1">
      <alignment vertical="center" wrapText="1"/>
    </xf>
    <xf numFmtId="0" fontId="2" fillId="0" borderId="108" xfId="37" applyBorder="1" applyAlignment="1">
      <alignment horizontal="center" vertical="center" wrapText="1"/>
    </xf>
    <xf numFmtId="2" fontId="26" fillId="0" borderId="63" xfId="37" applyNumberFormat="1" applyFont="1" applyBorder="1" applyAlignment="1">
      <alignment vertical="center" wrapText="1"/>
    </xf>
    <xf numFmtId="0" fontId="77" fillId="4" borderId="39" xfId="37" applyFont="1" applyFill="1" applyBorder="1" applyAlignment="1">
      <alignment vertical="center" wrapText="1"/>
    </xf>
    <xf numFmtId="0" fontId="34" fillId="0" borderId="151" xfId="38" applyFont="1" applyFill="1" applyBorder="1" applyAlignment="1">
      <alignment horizontal="center" vertical="center" wrapText="1"/>
    </xf>
    <xf numFmtId="0" fontId="34" fillId="0" borderId="151" xfId="38" applyFont="1" applyFill="1" applyBorder="1" applyAlignment="1">
      <alignment horizontal="justify" vertical="center" wrapText="1"/>
    </xf>
    <xf numFmtId="9" fontId="34" fillId="0" borderId="151" xfId="85" applyFont="1" applyFill="1" applyBorder="1" applyAlignment="1">
      <alignment horizontal="center" vertical="center" wrapText="1"/>
    </xf>
    <xf numFmtId="0" fontId="34" fillId="0" borderId="151" xfId="38" applyFont="1" applyFill="1" applyBorder="1" applyAlignment="1">
      <alignment horizontal="justify" vertical="top" wrapText="1"/>
    </xf>
    <xf numFmtId="0" fontId="34" fillId="0" borderId="151" xfId="38" applyFont="1" applyFill="1" applyBorder="1" applyAlignment="1">
      <alignment horizontal="center" vertical="top" wrapText="1"/>
    </xf>
    <xf numFmtId="4" fontId="29" fillId="0" borderId="99" xfId="37" applyNumberFormat="1" applyFont="1" applyFill="1" applyBorder="1" applyAlignment="1">
      <alignment horizontal="justify" vertical="center" wrapText="1"/>
    </xf>
    <xf numFmtId="4" fontId="29" fillId="0" borderId="55" xfId="37" applyNumberFormat="1" applyFont="1" applyFill="1" applyBorder="1" applyAlignment="1">
      <alignment horizontal="justify" vertical="center" wrapText="1"/>
    </xf>
    <xf numFmtId="4" fontId="29" fillId="0" borderId="112" xfId="37" applyNumberFormat="1" applyFont="1" applyFill="1" applyBorder="1" applyAlignment="1">
      <alignment horizontal="justify" vertical="center" wrapText="1"/>
    </xf>
    <xf numFmtId="0" fontId="29" fillId="4" borderId="39" xfId="37" applyFont="1" applyFill="1" applyBorder="1" applyAlignment="1">
      <alignment horizontal="center" vertical="center" wrapText="1"/>
    </xf>
    <xf numFmtId="0" fontId="29" fillId="4" borderId="39" xfId="37" applyFont="1" applyFill="1" applyBorder="1" applyAlignment="1">
      <alignment vertical="center" wrapText="1"/>
    </xf>
    <xf numFmtId="4" fontId="77" fillId="9" borderId="107" xfId="37" applyNumberFormat="1" applyFont="1" applyFill="1" applyBorder="1" applyAlignment="1">
      <alignment vertical="center" wrapText="1"/>
    </xf>
    <xf numFmtId="4" fontId="77" fillId="0" borderId="107" xfId="37" applyNumberFormat="1" applyFont="1" applyFill="1" applyBorder="1" applyAlignment="1">
      <alignment vertical="center" wrapText="1"/>
    </xf>
    <xf numFmtId="0" fontId="29" fillId="4" borderId="38" xfId="37" applyFont="1" applyFill="1" applyBorder="1" applyAlignment="1">
      <alignment vertical="center" wrapText="1"/>
    </xf>
    <xf numFmtId="0" fontId="29" fillId="4" borderId="39" xfId="37" applyFont="1" applyFill="1" applyBorder="1" applyAlignment="1">
      <alignment vertical="center" wrapText="1"/>
    </xf>
    <xf numFmtId="0" fontId="29" fillId="4" borderId="30" xfId="37" applyFont="1" applyFill="1" applyBorder="1" applyAlignment="1">
      <alignment horizontal="center" vertical="center" wrapText="1"/>
    </xf>
    <xf numFmtId="0" fontId="29" fillId="4" borderId="39" xfId="37" applyFont="1" applyFill="1" applyBorder="1" applyAlignment="1">
      <alignment horizontal="center" vertical="center" wrapText="1"/>
    </xf>
    <xf numFmtId="0" fontId="9" fillId="10" borderId="56" xfId="37" applyNumberFormat="1" applyFont="1" applyFill="1" applyBorder="1" applyAlignment="1">
      <alignment horizontal="center" vertical="center" wrapText="1"/>
    </xf>
    <xf numFmtId="0" fontId="4" fillId="10" borderId="31" xfId="37" applyFont="1" applyFill="1" applyBorder="1" applyAlignment="1">
      <alignment horizontal="left" vertical="center" wrapText="1"/>
    </xf>
    <xf numFmtId="10" fontId="9" fillId="10" borderId="99" xfId="37" applyNumberFormat="1" applyFont="1" applyFill="1" applyBorder="1" applyAlignment="1">
      <alignment horizontal="center" vertical="center" wrapText="1"/>
    </xf>
    <xf numFmtId="10" fontId="9" fillId="10" borderId="57" xfId="37" applyNumberFormat="1" applyFont="1" applyFill="1" applyBorder="1" applyAlignment="1">
      <alignment horizontal="center" vertical="center" wrapText="1"/>
    </xf>
    <xf numFmtId="3" fontId="9" fillId="0" borderId="57" xfId="37" applyNumberFormat="1" applyFont="1" applyFill="1" applyBorder="1" applyAlignment="1">
      <alignment horizontal="center" vertical="center" wrapText="1"/>
    </xf>
    <xf numFmtId="0" fontId="93" fillId="19" borderId="0" xfId="37" applyFont="1" applyFill="1"/>
    <xf numFmtId="0" fontId="9" fillId="10" borderId="31" xfId="37" applyFont="1" applyFill="1" applyBorder="1" applyAlignment="1">
      <alignment horizontal="left" vertical="center" wrapText="1"/>
    </xf>
    <xf numFmtId="0" fontId="34" fillId="9" borderId="151" xfId="88" applyFont="1" applyFill="1" applyBorder="1" applyAlignment="1">
      <alignment horizontal="center" vertical="center" wrapText="1"/>
    </xf>
    <xf numFmtId="15" fontId="34" fillId="9" borderId="2" xfId="88" applyNumberFormat="1" applyFont="1" applyFill="1" applyBorder="1" applyAlignment="1">
      <alignment horizontal="center" vertical="center" wrapText="1"/>
    </xf>
    <xf numFmtId="0" fontId="34" fillId="0" borderId="158" xfId="38" applyFont="1" applyFill="1" applyBorder="1" applyAlignment="1">
      <alignment horizontal="center" vertical="center" wrapText="1"/>
    </xf>
    <xf numFmtId="0" fontId="34" fillId="0" borderId="159" xfId="38" applyFont="1" applyFill="1" applyBorder="1" applyAlignment="1">
      <alignment horizontal="center" vertical="center" wrapText="1"/>
    </xf>
    <xf numFmtId="176" fontId="29" fillId="8" borderId="44" xfId="37" applyNumberFormat="1" applyFont="1" applyFill="1" applyBorder="1" applyAlignment="1">
      <alignment horizontal="center" vertical="center" wrapText="1"/>
    </xf>
    <xf numFmtId="0" fontId="34" fillId="0" borderId="155" xfId="38" applyFont="1" applyFill="1" applyBorder="1" applyAlignment="1">
      <alignment horizontal="center" vertical="center" wrapText="1"/>
    </xf>
    <xf numFmtId="0" fontId="34" fillId="0" borderId="155" xfId="38" applyFont="1" applyFill="1" applyBorder="1" applyAlignment="1">
      <alignment horizontal="justify" vertical="top" wrapText="1"/>
    </xf>
    <xf numFmtId="0" fontId="29" fillId="4" borderId="155" xfId="37" applyFont="1" applyFill="1" applyBorder="1" applyAlignment="1">
      <alignment horizontal="center" vertical="center" wrapText="1"/>
    </xf>
    <xf numFmtId="9" fontId="29" fillId="4" borderId="155" xfId="85" applyFont="1" applyFill="1" applyBorder="1" applyAlignment="1">
      <alignment horizontal="center" vertical="center" wrapText="1"/>
    </xf>
    <xf numFmtId="9" fontId="29" fillId="0" borderId="155" xfId="90" applyFont="1" applyFill="1" applyBorder="1" applyAlignment="1">
      <alignment horizontal="center" vertical="center" wrapText="1"/>
    </xf>
    <xf numFmtId="15" fontId="29" fillId="0" borderId="155" xfId="38" applyNumberFormat="1" applyFont="1" applyFill="1" applyBorder="1" applyAlignment="1">
      <alignment horizontal="center" vertical="center" wrapText="1"/>
    </xf>
    <xf numFmtId="174" fontId="29" fillId="4" borderId="155" xfId="37" applyNumberFormat="1" applyFont="1" applyFill="1" applyBorder="1" applyAlignment="1">
      <alignment horizontal="center" vertical="center" wrapText="1"/>
    </xf>
    <xf numFmtId="176" fontId="29" fillId="10" borderId="155" xfId="37" applyNumberFormat="1" applyFont="1" applyFill="1" applyBorder="1" applyAlignment="1">
      <alignment horizontal="center" vertical="center" wrapText="1"/>
    </xf>
    <xf numFmtId="15" fontId="34" fillId="0" borderId="155" xfId="38" applyNumberFormat="1" applyFont="1" applyFill="1" applyBorder="1" applyAlignment="1">
      <alignment horizontal="center" vertical="center" wrapText="1"/>
    </xf>
    <xf numFmtId="173" fontId="29" fillId="4" borderId="155" xfId="85" applyNumberFormat="1" applyFont="1" applyFill="1" applyBorder="1" applyAlignment="1">
      <alignment horizontal="center" vertical="center" wrapText="1"/>
    </xf>
    <xf numFmtId="0" fontId="77" fillId="4" borderId="31" xfId="37" applyFont="1" applyFill="1" applyBorder="1" applyAlignment="1">
      <alignment vertical="center" wrapText="1"/>
    </xf>
    <xf numFmtId="187" fontId="29" fillId="4" borderId="31" xfId="37" applyNumberFormat="1" applyFont="1" applyFill="1" applyBorder="1" applyAlignment="1">
      <alignment horizontal="center" vertical="center" wrapText="1"/>
    </xf>
    <xf numFmtId="0" fontId="29" fillId="4" borderId="160" xfId="37" applyFont="1" applyFill="1" applyBorder="1" applyAlignment="1">
      <alignment horizontal="center" vertical="center" wrapText="1"/>
    </xf>
    <xf numFmtId="0" fontId="29" fillId="4" borderId="39" xfId="37" applyFont="1" applyFill="1" applyBorder="1" applyAlignment="1">
      <alignment horizontal="left" vertical="center" wrapText="1"/>
    </xf>
    <xf numFmtId="4" fontId="29" fillId="0" borderId="155" xfId="38" applyNumberFormat="1" applyFont="1" applyFill="1" applyBorder="1" applyAlignment="1">
      <alignment horizontal="center" vertical="center" wrapText="1"/>
    </xf>
    <xf numFmtId="4" fontId="34" fillId="0" borderId="155" xfId="38" applyNumberFormat="1" applyFont="1" applyFill="1" applyBorder="1" applyAlignment="1">
      <alignment horizontal="center" vertical="center" wrapText="1"/>
    </xf>
    <xf numFmtId="174" fontId="34" fillId="9" borderId="2" xfId="88" applyNumberFormat="1" applyFont="1" applyFill="1" applyBorder="1" applyAlignment="1">
      <alignment horizontal="center" vertical="center" wrapText="1"/>
    </xf>
    <xf numFmtId="174" fontId="0" fillId="9" borderId="0" xfId="0" applyNumberFormat="1" applyFill="1"/>
    <xf numFmtId="0" fontId="29" fillId="4" borderId="63" xfId="37" applyFont="1" applyFill="1" applyBorder="1" applyAlignment="1">
      <alignment horizontal="center" vertical="center"/>
    </xf>
    <xf numFmtId="0" fontId="34" fillId="0" borderId="155" xfId="38" applyFont="1" applyFill="1" applyBorder="1" applyAlignment="1">
      <alignment horizontal="center" vertical="center" wrapText="1"/>
    </xf>
    <xf numFmtId="0" fontId="29" fillId="4" borderId="155" xfId="37" applyFont="1" applyFill="1" applyBorder="1" applyAlignment="1">
      <alignment horizontal="center" vertical="center" wrapText="1"/>
    </xf>
    <xf numFmtId="9" fontId="29" fillId="4" borderId="155" xfId="85" applyFont="1" applyFill="1" applyBorder="1" applyAlignment="1">
      <alignment horizontal="center" vertical="center" wrapText="1"/>
    </xf>
    <xf numFmtId="15" fontId="29" fillId="4" borderId="155" xfId="37" applyNumberFormat="1" applyFont="1" applyFill="1" applyBorder="1" applyAlignment="1">
      <alignment horizontal="center" vertical="center" wrapText="1"/>
    </xf>
    <xf numFmtId="176" fontId="29" fillId="8" borderId="155" xfId="37" applyNumberFormat="1" applyFont="1" applyFill="1" applyBorder="1" applyAlignment="1">
      <alignment horizontal="center" vertical="center" wrapText="1"/>
    </xf>
    <xf numFmtId="4" fontId="29" fillId="8" borderId="155" xfId="37" applyNumberFormat="1" applyFont="1" applyFill="1" applyBorder="1" applyAlignment="1">
      <alignment horizontal="center" vertical="center" wrapText="1"/>
    </xf>
    <xf numFmtId="176" fontId="29" fillId="0" borderId="38" xfId="37" quotePrefix="1" applyNumberFormat="1" applyFont="1" applyFill="1" applyBorder="1" applyAlignment="1">
      <alignment horizontal="center" vertical="center" wrapText="1"/>
    </xf>
    <xf numFmtId="0" fontId="34" fillId="0" borderId="156" xfId="38" applyFont="1" applyFill="1" applyBorder="1" applyAlignment="1">
      <alignment vertical="top" wrapText="1"/>
    </xf>
    <xf numFmtId="0" fontId="34" fillId="0" borderId="154" xfId="38" applyFont="1" applyFill="1" applyBorder="1" applyAlignment="1">
      <alignment vertical="top" wrapText="1"/>
    </xf>
    <xf numFmtId="0" fontId="34" fillId="0" borderId="157" xfId="38" applyFont="1" applyFill="1" applyBorder="1" applyAlignment="1">
      <alignment vertical="top" wrapText="1"/>
    </xf>
    <xf numFmtId="176" fontId="29" fillId="10" borderId="155" xfId="37" applyNumberFormat="1" applyFont="1" applyFill="1" applyBorder="1" applyAlignment="1">
      <alignment vertical="center" wrapText="1"/>
    </xf>
    <xf numFmtId="4" fontId="29" fillId="0" borderId="99" xfId="37" applyNumberFormat="1" applyFont="1" applyFill="1" applyBorder="1" applyAlignment="1">
      <alignment horizontal="justify" vertical="center" wrapText="1"/>
    </xf>
    <xf numFmtId="4" fontId="29" fillId="0" borderId="55" xfId="37" applyNumberFormat="1" applyFont="1" applyFill="1" applyBorder="1" applyAlignment="1">
      <alignment horizontal="justify" vertical="center" wrapText="1"/>
    </xf>
    <xf numFmtId="4" fontId="29" fillId="0" borderId="112" xfId="37" applyNumberFormat="1" applyFont="1" applyFill="1" applyBorder="1" applyAlignment="1">
      <alignment horizontal="justify" vertical="center" wrapText="1"/>
    </xf>
    <xf numFmtId="0" fontId="9" fillId="3" borderId="120" xfId="37" applyFont="1" applyFill="1" applyBorder="1" applyAlignment="1">
      <alignment horizontal="center" vertical="center" wrapText="1"/>
    </xf>
    <xf numFmtId="0" fontId="9" fillId="3" borderId="121" xfId="37" applyFont="1" applyFill="1" applyBorder="1" applyAlignment="1">
      <alignment horizontal="center" vertical="center" wrapText="1"/>
    </xf>
    <xf numFmtId="0" fontId="3" fillId="0" borderId="0" xfId="37" applyFont="1" applyAlignment="1">
      <alignment horizontal="center" vertical="center" wrapText="1"/>
    </xf>
    <xf numFmtId="0" fontId="5" fillId="0" borderId="0" xfId="37" applyFont="1" applyAlignment="1">
      <alignment horizontal="center" vertical="center" wrapText="1"/>
    </xf>
    <xf numFmtId="0" fontId="9" fillId="3" borderId="115" xfId="37" applyFont="1" applyFill="1" applyBorder="1" applyAlignment="1">
      <alignment horizontal="center" vertical="center" wrapText="1"/>
    </xf>
    <xf numFmtId="0" fontId="9" fillId="3" borderId="16" xfId="37" applyFont="1" applyFill="1" applyBorder="1" applyAlignment="1">
      <alignment horizontal="center" vertical="center" wrapText="1"/>
    </xf>
    <xf numFmtId="0" fontId="88" fillId="0" borderId="0" xfId="37" applyFont="1" applyAlignment="1">
      <alignment horizontal="center" vertical="center"/>
    </xf>
    <xf numFmtId="0" fontId="9" fillId="3" borderId="47" xfId="37" applyFont="1" applyFill="1" applyBorder="1" applyAlignment="1">
      <alignment horizontal="center" vertical="center" wrapText="1"/>
    </xf>
    <xf numFmtId="0" fontId="9" fillId="3" borderId="119" xfId="37" applyFont="1" applyFill="1" applyBorder="1" applyAlignment="1">
      <alignment horizontal="center" vertical="center" wrapText="1"/>
    </xf>
    <xf numFmtId="0" fontId="7" fillId="0" borderId="0" xfId="37" applyFont="1" applyAlignment="1">
      <alignment horizontal="center" vertical="center" wrapText="1"/>
    </xf>
    <xf numFmtId="0" fontId="9" fillId="3" borderId="122" xfId="37" applyFont="1" applyFill="1" applyBorder="1" applyAlignment="1">
      <alignment horizontal="center" vertical="center" wrapText="1"/>
    </xf>
    <xf numFmtId="0" fontId="9" fillId="3" borderId="15" xfId="37" applyFont="1" applyFill="1" applyBorder="1" applyAlignment="1">
      <alignment horizontal="center" vertical="center" wrapText="1"/>
    </xf>
    <xf numFmtId="0" fontId="7" fillId="0" borderId="58" xfId="37" applyFont="1" applyBorder="1" applyAlignment="1">
      <alignment horizontal="center" vertical="center" wrapText="1"/>
    </xf>
    <xf numFmtId="0" fontId="9" fillId="3" borderId="123" xfId="37" applyFont="1" applyFill="1" applyBorder="1" applyAlignment="1">
      <alignment horizontal="center" vertical="center" wrapText="1"/>
    </xf>
    <xf numFmtId="0" fontId="9" fillId="3" borderId="114" xfId="37" applyFont="1" applyFill="1" applyBorder="1" applyAlignment="1">
      <alignment horizontal="center" vertical="center" wrapText="1"/>
    </xf>
    <xf numFmtId="0" fontId="9" fillId="0" borderId="116" xfId="41" applyFont="1" applyFill="1" applyBorder="1" applyAlignment="1">
      <alignment horizontal="right" vertical="center" wrapText="1"/>
    </xf>
    <xf numFmtId="0" fontId="9" fillId="0" borderId="117" xfId="41" applyFont="1" applyFill="1" applyBorder="1" applyAlignment="1">
      <alignment horizontal="right" vertical="center" wrapText="1"/>
    </xf>
    <xf numFmtId="0" fontId="0" fillId="0" borderId="54" xfId="0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 wrapText="1"/>
    </xf>
    <xf numFmtId="0" fontId="5" fillId="3" borderId="21" xfId="41" applyFont="1" applyFill="1" applyBorder="1" applyAlignment="1">
      <alignment horizontal="center" vertical="center" wrapText="1"/>
    </xf>
    <xf numFmtId="0" fontId="5" fillId="3" borderId="76" xfId="41" applyFont="1" applyFill="1" applyBorder="1" applyAlignment="1">
      <alignment horizontal="center" vertical="center" wrapText="1"/>
    </xf>
    <xf numFmtId="0" fontId="5" fillId="3" borderId="118" xfId="41" applyFont="1" applyFill="1" applyBorder="1" applyAlignment="1">
      <alignment horizontal="center" vertical="center" wrapText="1"/>
    </xf>
    <xf numFmtId="0" fontId="0" fillId="0" borderId="139" xfId="0" applyBorder="1" applyAlignment="1">
      <alignment horizontal="center" vertical="center"/>
    </xf>
    <xf numFmtId="0" fontId="5" fillId="18" borderId="25" xfId="37" applyFont="1" applyFill="1" applyBorder="1" applyAlignment="1">
      <alignment horizontal="center" vertical="center" wrapText="1"/>
    </xf>
    <xf numFmtId="0" fontId="5" fillId="17" borderId="122" xfId="37" applyFont="1" applyFill="1" applyBorder="1" applyAlignment="1">
      <alignment horizontal="center" vertical="center"/>
    </xf>
    <xf numFmtId="0" fontId="5" fillId="17" borderId="41" xfId="37" applyFont="1" applyFill="1" applyBorder="1" applyAlignment="1">
      <alignment horizontal="center" vertical="center"/>
    </xf>
    <xf numFmtId="0" fontId="5" fillId="17" borderId="100" xfId="37" applyFont="1" applyFill="1" applyBorder="1" applyAlignment="1">
      <alignment horizontal="center" vertical="center"/>
    </xf>
    <xf numFmtId="0" fontId="24" fillId="0" borderId="0" xfId="37" applyFont="1" applyAlignment="1">
      <alignment horizontal="center" vertical="center" wrapText="1"/>
    </xf>
    <xf numFmtId="0" fontId="34" fillId="3" borderId="124" xfId="37" applyFont="1" applyFill="1" applyBorder="1" applyAlignment="1">
      <alignment horizontal="center" vertical="center"/>
    </xf>
    <xf numFmtId="0" fontId="34" fillId="3" borderId="125" xfId="37" applyFont="1" applyFill="1" applyBorder="1" applyAlignment="1">
      <alignment horizontal="center" vertical="center"/>
    </xf>
    <xf numFmtId="0" fontId="34" fillId="3" borderId="126" xfId="37" applyFont="1" applyFill="1" applyBorder="1" applyAlignment="1">
      <alignment horizontal="center" vertical="center"/>
    </xf>
    <xf numFmtId="0" fontId="34" fillId="3" borderId="104" xfId="37" applyFont="1" applyFill="1" applyBorder="1" applyAlignment="1">
      <alignment horizontal="center" vertical="center"/>
    </xf>
    <xf numFmtId="4" fontId="28" fillId="7" borderId="127" xfId="37" applyNumberFormat="1" applyFont="1" applyFill="1" applyBorder="1" applyAlignment="1">
      <alignment horizontal="center" vertical="center" wrapText="1"/>
    </xf>
    <xf numFmtId="4" fontId="28" fillId="7" borderId="128" xfId="37" applyNumberFormat="1" applyFont="1" applyFill="1" applyBorder="1" applyAlignment="1">
      <alignment horizontal="center" vertical="center" wrapText="1"/>
    </xf>
    <xf numFmtId="1" fontId="27" fillId="9" borderId="0" xfId="37" applyNumberFormat="1" applyFont="1" applyFill="1" applyAlignment="1">
      <alignment horizontal="center" vertical="center" wrapText="1"/>
    </xf>
    <xf numFmtId="0" fontId="28" fillId="7" borderId="124" xfId="37" applyFont="1" applyFill="1" applyBorder="1" applyAlignment="1">
      <alignment horizontal="center" vertical="center" wrapText="1"/>
    </xf>
    <xf numFmtId="0" fontId="28" fillId="7" borderId="125" xfId="37" applyFont="1" applyFill="1" applyBorder="1" applyAlignment="1">
      <alignment horizontal="center" vertical="center" wrapText="1"/>
    </xf>
    <xf numFmtId="0" fontId="28" fillId="7" borderId="53" xfId="37" applyFont="1" applyFill="1" applyBorder="1" applyAlignment="1">
      <alignment horizontal="center" vertical="center" wrapText="1"/>
    </xf>
    <xf numFmtId="0" fontId="28" fillId="7" borderId="16" xfId="37" applyFont="1" applyFill="1" applyBorder="1" applyAlignment="1">
      <alignment horizontal="center" vertical="center" wrapText="1"/>
    </xf>
    <xf numFmtId="4" fontId="28" fillId="7" borderId="129" xfId="37" applyNumberFormat="1" applyFont="1" applyFill="1" applyBorder="1" applyAlignment="1">
      <alignment horizontal="center" vertical="center" wrapText="1"/>
    </xf>
    <xf numFmtId="4" fontId="28" fillId="7" borderId="48" xfId="37" applyNumberFormat="1" applyFont="1" applyFill="1" applyBorder="1" applyAlignment="1">
      <alignment horizontal="center" vertical="center" wrapText="1"/>
    </xf>
    <xf numFmtId="0" fontId="37" fillId="7" borderId="130" xfId="37" applyFont="1" applyFill="1" applyBorder="1" applyAlignment="1" applyProtection="1">
      <alignment horizontal="center" vertical="center" wrapText="1"/>
      <protection hidden="1"/>
    </xf>
    <xf numFmtId="0" fontId="37" fillId="7" borderId="131" xfId="37" applyFont="1" applyFill="1" applyBorder="1" applyAlignment="1" applyProtection="1">
      <alignment horizontal="center" vertical="center" wrapText="1"/>
      <protection hidden="1"/>
    </xf>
    <xf numFmtId="1" fontId="62" fillId="9" borderId="0" xfId="36" applyNumberFormat="1" applyFont="1" applyFill="1" applyAlignment="1">
      <alignment horizontal="center" vertical="center" wrapText="1"/>
    </xf>
    <xf numFmtId="1" fontId="83" fillId="9" borderId="0" xfId="36" applyNumberFormat="1" applyFont="1" applyFill="1" applyAlignment="1">
      <alignment horizontal="center"/>
    </xf>
    <xf numFmtId="1" fontId="25" fillId="9" borderId="0" xfId="37" applyNumberFormat="1" applyFont="1" applyFill="1" applyAlignment="1">
      <alignment horizontal="center" vertical="center" wrapText="1"/>
    </xf>
    <xf numFmtId="1" fontId="62" fillId="9" borderId="0" xfId="36" applyNumberFormat="1" applyFont="1" applyFill="1" applyAlignment="1">
      <alignment horizontal="center"/>
    </xf>
    <xf numFmtId="0" fontId="92" fillId="7" borderId="51" xfId="37" applyFont="1" applyFill="1" applyBorder="1" applyAlignment="1">
      <alignment horizontal="center" vertical="center" wrapText="1"/>
    </xf>
    <xf numFmtId="0" fontId="92" fillId="7" borderId="75" xfId="37" applyFont="1" applyFill="1" applyBorder="1" applyAlignment="1">
      <alignment horizontal="center" vertical="center" wrapText="1"/>
    </xf>
    <xf numFmtId="0" fontId="55" fillId="7" borderId="122" xfId="37" applyFont="1" applyFill="1" applyBorder="1" applyAlignment="1">
      <alignment horizontal="center" vertical="center" wrapText="1"/>
    </xf>
    <xf numFmtId="0" fontId="55" fillId="7" borderId="41" xfId="37" applyFont="1" applyFill="1" applyBorder="1" applyAlignment="1">
      <alignment horizontal="center" vertical="center" wrapText="1"/>
    </xf>
    <xf numFmtId="0" fontId="55" fillId="7" borderId="100" xfId="37" applyFont="1" applyFill="1" applyBorder="1" applyAlignment="1">
      <alignment horizontal="center" vertical="center" wrapText="1"/>
    </xf>
    <xf numFmtId="0" fontId="76" fillId="7" borderId="17" xfId="37" applyFont="1" applyFill="1" applyBorder="1" applyAlignment="1">
      <alignment horizontal="center" vertical="center" wrapText="1"/>
    </xf>
    <xf numFmtId="0" fontId="76" fillId="7" borderId="9" xfId="37" applyFont="1" applyFill="1" applyBorder="1" applyAlignment="1">
      <alignment horizontal="center" vertical="center" wrapText="1"/>
    </xf>
    <xf numFmtId="0" fontId="76" fillId="7" borderId="18" xfId="37" applyFont="1" applyFill="1" applyBorder="1" applyAlignment="1">
      <alignment horizontal="center" vertical="center" wrapText="1"/>
    </xf>
    <xf numFmtId="0" fontId="92" fillId="7" borderId="115" xfId="37" applyFont="1" applyFill="1" applyBorder="1" applyAlignment="1">
      <alignment horizontal="center" vertical="center" wrapText="1"/>
    </xf>
    <xf numFmtId="0" fontId="92" fillId="7" borderId="111" xfId="37" applyFont="1" applyFill="1" applyBorder="1" applyAlignment="1">
      <alignment horizontal="center" vertical="center" wrapText="1"/>
    </xf>
    <xf numFmtId="15" fontId="89" fillId="7" borderId="68" xfId="37" applyNumberFormat="1" applyFont="1" applyFill="1" applyBorder="1" applyAlignment="1">
      <alignment horizontal="center" vertical="center" wrapText="1"/>
    </xf>
    <xf numFmtId="15" fontId="89" fillId="7" borderId="138" xfId="37" applyNumberFormat="1" applyFont="1" applyFill="1" applyBorder="1" applyAlignment="1">
      <alignment horizontal="center" vertical="center" wrapText="1"/>
    </xf>
    <xf numFmtId="15" fontId="89" fillId="7" borderId="67" xfId="37" applyNumberFormat="1" applyFont="1" applyFill="1" applyBorder="1" applyAlignment="1">
      <alignment horizontal="center" vertical="center" wrapText="1"/>
    </xf>
    <xf numFmtId="15" fontId="89" fillId="7" borderId="150" xfId="37" applyNumberFormat="1" applyFont="1" applyFill="1" applyBorder="1" applyAlignment="1">
      <alignment horizontal="center" vertical="center" wrapText="1"/>
    </xf>
    <xf numFmtId="0" fontId="28" fillId="7" borderId="24" xfId="37" applyFont="1" applyFill="1" applyBorder="1" applyAlignment="1">
      <alignment horizontal="center" vertical="center" wrapText="1"/>
    </xf>
    <xf numFmtId="0" fontId="28" fillId="7" borderId="25" xfId="37" applyFont="1" applyFill="1" applyBorder="1" applyAlignment="1">
      <alignment horizontal="center" vertical="center" wrapText="1"/>
    </xf>
    <xf numFmtId="0" fontId="34" fillId="0" borderId="123" xfId="37" applyFont="1" applyFill="1" applyBorder="1" applyAlignment="1">
      <alignment horizontal="center" vertical="center" wrapText="1"/>
    </xf>
    <xf numFmtId="0" fontId="34" fillId="0" borderId="132" xfId="37" applyFont="1" applyFill="1" applyBorder="1" applyAlignment="1">
      <alignment horizontal="center" vertical="center" wrapText="1"/>
    </xf>
    <xf numFmtId="0" fontId="34" fillId="0" borderId="114" xfId="37" applyFont="1" applyFill="1" applyBorder="1" applyAlignment="1">
      <alignment horizontal="center" vertical="center" wrapText="1"/>
    </xf>
    <xf numFmtId="0" fontId="31" fillId="0" borderId="0" xfId="37" applyFont="1" applyFill="1" applyBorder="1" applyAlignment="1">
      <alignment horizontal="center" vertical="center"/>
    </xf>
    <xf numFmtId="0" fontId="24" fillId="7" borderId="36" xfId="37" applyFont="1" applyFill="1" applyBorder="1" applyAlignment="1">
      <alignment horizontal="center" vertical="center"/>
    </xf>
    <xf numFmtId="4" fontId="29" fillId="0" borderId="99" xfId="37" applyNumberFormat="1" applyFont="1" applyFill="1" applyBorder="1" applyAlignment="1">
      <alignment horizontal="justify" vertical="center" wrapText="1"/>
    </xf>
    <xf numFmtId="4" fontId="29" fillId="0" borderId="55" xfId="37" applyNumberFormat="1" applyFont="1" applyFill="1" applyBorder="1" applyAlignment="1">
      <alignment horizontal="justify" vertical="center" wrapText="1"/>
    </xf>
    <xf numFmtId="4" fontId="29" fillId="0" borderId="112" xfId="37" applyNumberFormat="1" applyFont="1" applyFill="1" applyBorder="1" applyAlignment="1">
      <alignment horizontal="justify" vertical="center" wrapText="1"/>
    </xf>
    <xf numFmtId="0" fontId="28" fillId="7" borderId="67" xfId="37" applyFont="1" applyFill="1" applyBorder="1" applyAlignment="1">
      <alignment horizontal="center" vertical="center" wrapText="1"/>
    </xf>
    <xf numFmtId="0" fontId="28" fillId="7" borderId="107" xfId="37" applyFont="1" applyFill="1" applyBorder="1" applyAlignment="1">
      <alignment horizontal="center" vertical="center" wrapText="1"/>
    </xf>
    <xf numFmtId="1" fontId="25" fillId="0" borderId="0" xfId="37" applyNumberFormat="1" applyFont="1" applyAlignment="1">
      <alignment horizontal="center" vertical="center" wrapText="1"/>
    </xf>
    <xf numFmtId="0" fontId="28" fillId="7" borderId="52" xfId="37" applyFont="1" applyFill="1" applyBorder="1" applyAlignment="1">
      <alignment horizontal="center" vertical="center" wrapText="1"/>
    </xf>
    <xf numFmtId="176" fontId="66" fillId="0" borderId="74" xfId="36" applyNumberFormat="1" applyFont="1" applyBorder="1" applyAlignment="1">
      <alignment horizontal="center" vertical="center"/>
    </xf>
    <xf numFmtId="176" fontId="66" fillId="0" borderId="20" xfId="36" applyNumberFormat="1" applyFont="1" applyBorder="1" applyAlignment="1">
      <alignment horizontal="center" vertical="center"/>
    </xf>
    <xf numFmtId="0" fontId="28" fillId="7" borderId="63" xfId="37" applyFont="1" applyFill="1" applyBorder="1" applyAlignment="1">
      <alignment horizontal="center" vertical="center" wrapText="1"/>
    </xf>
    <xf numFmtId="0" fontId="28" fillId="7" borderId="42" xfId="37" applyFont="1" applyFill="1" applyBorder="1" applyAlignment="1">
      <alignment horizontal="center" vertical="center" wrapText="1"/>
    </xf>
    <xf numFmtId="0" fontId="84" fillId="0" borderId="74" xfId="36" applyFont="1" applyBorder="1" applyAlignment="1">
      <alignment horizontal="right" vertical="center"/>
    </xf>
    <xf numFmtId="0" fontId="84" fillId="0" borderId="11" xfId="36" applyFont="1" applyBorder="1" applyAlignment="1">
      <alignment horizontal="right" vertical="center"/>
    </xf>
    <xf numFmtId="0" fontId="28" fillId="7" borderId="11" xfId="37" applyFont="1" applyFill="1" applyBorder="1" applyAlignment="1">
      <alignment horizontal="center" vertical="center" wrapText="1"/>
    </xf>
    <xf numFmtId="0" fontId="80" fillId="0" borderId="122" xfId="36" applyFont="1" applyBorder="1" applyAlignment="1">
      <alignment horizontal="center" vertical="center" wrapText="1"/>
    </xf>
    <xf numFmtId="0" fontId="80" fillId="0" borderId="52" xfId="36" applyFont="1" applyBorder="1" applyAlignment="1">
      <alignment horizontal="center" vertical="center" wrapText="1"/>
    </xf>
    <xf numFmtId="0" fontId="80" fillId="0" borderId="123" xfId="36" applyFont="1" applyBorder="1" applyAlignment="1">
      <alignment horizontal="center" vertical="center" wrapText="1"/>
    </xf>
    <xf numFmtId="0" fontId="80" fillId="0" borderId="132" xfId="36" applyFont="1" applyBorder="1" applyAlignment="1">
      <alignment horizontal="center" vertical="center" wrapText="1"/>
    </xf>
    <xf numFmtId="0" fontId="80" fillId="0" borderId="114" xfId="36" applyFont="1" applyBorder="1" applyAlignment="1">
      <alignment horizontal="center" vertical="center" wrapText="1"/>
    </xf>
    <xf numFmtId="0" fontId="28" fillId="7" borderId="55" xfId="37" applyFont="1" applyFill="1" applyBorder="1" applyAlignment="1">
      <alignment horizontal="center" vertical="center" wrapText="1"/>
    </xf>
    <xf numFmtId="0" fontId="28" fillId="7" borderId="9" xfId="37" applyFont="1" applyFill="1" applyBorder="1" applyAlignment="1">
      <alignment horizontal="center" vertical="center" wrapText="1"/>
    </xf>
    <xf numFmtId="0" fontId="28" fillId="7" borderId="18" xfId="37" applyFont="1" applyFill="1" applyBorder="1" applyAlignment="1">
      <alignment horizontal="center" vertical="center" wrapText="1"/>
    </xf>
    <xf numFmtId="0" fontId="28" fillId="7" borderId="112" xfId="37" applyFont="1" applyFill="1" applyBorder="1" applyAlignment="1">
      <alignment horizontal="center" vertical="center" wrapText="1"/>
    </xf>
    <xf numFmtId="0" fontId="85" fillId="0" borderId="74" xfId="36" applyFont="1" applyBorder="1" applyAlignment="1">
      <alignment horizontal="center" vertical="center"/>
    </xf>
    <xf numFmtId="0" fontId="85" fillId="0" borderId="133" xfId="36" applyFont="1" applyBorder="1" applyAlignment="1">
      <alignment horizontal="center" vertical="center"/>
    </xf>
    <xf numFmtId="0" fontId="28" fillId="7" borderId="47" xfId="37" applyFont="1" applyFill="1" applyBorder="1" applyAlignment="1">
      <alignment horizontal="center" vertical="center"/>
    </xf>
    <xf numFmtId="0" fontId="28" fillId="7" borderId="41" xfId="37" applyFont="1" applyFill="1" applyBorder="1" applyAlignment="1">
      <alignment horizontal="center" vertical="center"/>
    </xf>
    <xf numFmtId="0" fontId="28" fillId="7" borderId="100" xfId="37" applyFont="1" applyFill="1" applyBorder="1" applyAlignment="1">
      <alignment horizontal="center" vertical="center"/>
    </xf>
    <xf numFmtId="0" fontId="28" fillId="7" borderId="26" xfId="37" applyFont="1" applyFill="1" applyBorder="1" applyAlignment="1">
      <alignment horizontal="center" vertical="center"/>
    </xf>
    <xf numFmtId="0" fontId="28" fillId="7" borderId="34" xfId="37" applyFont="1" applyFill="1" applyBorder="1" applyAlignment="1">
      <alignment horizontal="center" vertical="center"/>
    </xf>
    <xf numFmtId="0" fontId="28" fillId="7" borderId="29" xfId="37" applyFont="1" applyFill="1" applyBorder="1" applyAlignment="1">
      <alignment horizontal="center" vertical="center"/>
    </xf>
    <xf numFmtId="4" fontId="29" fillId="9" borderId="99" xfId="37" applyNumberFormat="1" applyFont="1" applyFill="1" applyBorder="1" applyAlignment="1">
      <alignment horizontal="center" vertical="center" wrapText="1"/>
    </xf>
    <xf numFmtId="4" fontId="29" fillId="9" borderId="55" xfId="37" applyNumberFormat="1" applyFont="1" applyFill="1" applyBorder="1" applyAlignment="1">
      <alignment horizontal="center" vertical="center" wrapText="1"/>
    </xf>
    <xf numFmtId="4" fontId="29" fillId="9" borderId="112" xfId="37" applyNumberFormat="1" applyFont="1" applyFill="1" applyBorder="1" applyAlignment="1">
      <alignment horizontal="center" vertical="center" wrapText="1"/>
    </xf>
    <xf numFmtId="4" fontId="29" fillId="0" borderId="134" xfId="37" applyNumberFormat="1" applyFont="1" applyFill="1" applyBorder="1" applyAlignment="1">
      <alignment horizontal="center" vertical="center" wrapText="1"/>
    </xf>
    <xf numFmtId="4" fontId="29" fillId="0" borderId="28" xfId="37" applyNumberFormat="1" applyFont="1" applyFill="1" applyBorder="1" applyAlignment="1">
      <alignment horizontal="center" vertical="center" wrapText="1"/>
    </xf>
    <xf numFmtId="4" fontId="29" fillId="0" borderId="135" xfId="37" applyNumberFormat="1" applyFont="1" applyFill="1" applyBorder="1" applyAlignment="1">
      <alignment horizontal="center" vertical="center" wrapText="1"/>
    </xf>
    <xf numFmtId="15" fontId="28" fillId="7" borderId="24" xfId="37" applyNumberFormat="1" applyFont="1" applyFill="1" applyBorder="1" applyAlignment="1">
      <alignment horizontal="center" vertical="center" wrapText="1"/>
    </xf>
    <xf numFmtId="15" fontId="28" fillId="7" borderId="25" xfId="37" applyNumberFormat="1" applyFont="1" applyFill="1" applyBorder="1" applyAlignment="1">
      <alignment horizontal="center" vertical="center" wrapText="1"/>
    </xf>
    <xf numFmtId="0" fontId="28" fillId="7" borderId="136" xfId="37" applyFont="1" applyFill="1" applyBorder="1" applyAlignment="1">
      <alignment horizontal="center" vertical="center"/>
    </xf>
    <xf numFmtId="0" fontId="28" fillId="7" borderId="137" xfId="37" applyFont="1" applyFill="1" applyBorder="1" applyAlignment="1">
      <alignment horizontal="center" vertical="center"/>
    </xf>
    <xf numFmtId="0" fontId="28" fillId="7" borderId="41" xfId="37" applyFont="1" applyFill="1" applyBorder="1" applyAlignment="1">
      <alignment horizontal="center" vertical="center" wrapText="1"/>
    </xf>
    <xf numFmtId="0" fontId="28" fillId="7" borderId="100" xfId="37" applyFont="1" applyFill="1" applyBorder="1" applyAlignment="1">
      <alignment horizontal="center" vertical="center" wrapText="1"/>
    </xf>
    <xf numFmtId="0" fontId="28" fillId="7" borderId="0" xfId="37" applyFont="1" applyFill="1" applyBorder="1" applyAlignment="1">
      <alignment horizontal="center" vertical="center" wrapText="1"/>
    </xf>
    <xf numFmtId="0" fontId="28" fillId="7" borderId="35" xfId="37" applyFont="1" applyFill="1" applyBorder="1" applyAlignment="1">
      <alignment horizontal="center" vertical="center" wrapText="1"/>
    </xf>
    <xf numFmtId="0" fontId="28" fillId="7" borderId="34" xfId="37" applyFont="1" applyFill="1" applyBorder="1" applyAlignment="1">
      <alignment horizontal="center" vertical="center" wrapText="1"/>
    </xf>
    <xf numFmtId="0" fontId="28" fillId="7" borderId="70" xfId="37" applyFont="1" applyFill="1" applyBorder="1" applyAlignment="1">
      <alignment horizontal="center" vertical="center" wrapText="1"/>
    </xf>
    <xf numFmtId="0" fontId="28" fillId="7" borderId="26" xfId="37" applyFont="1" applyFill="1" applyBorder="1" applyAlignment="1">
      <alignment horizontal="center" vertical="center" wrapText="1"/>
    </xf>
    <xf numFmtId="0" fontId="28" fillId="7" borderId="21" xfId="37" applyFont="1" applyFill="1" applyBorder="1" applyAlignment="1">
      <alignment horizontal="center" vertical="center" wrapText="1"/>
    </xf>
    <xf numFmtId="0" fontId="28" fillId="7" borderId="76" xfId="37" applyFont="1" applyFill="1" applyBorder="1" applyAlignment="1">
      <alignment horizontal="center" vertical="center" wrapText="1"/>
    </xf>
    <xf numFmtId="0" fontId="28" fillId="7" borderId="118" xfId="37" applyFont="1" applyFill="1" applyBorder="1" applyAlignment="1">
      <alignment horizontal="center" vertical="center" wrapText="1"/>
    </xf>
    <xf numFmtId="0" fontId="28" fillId="7" borderId="136" xfId="37" applyFont="1" applyFill="1" applyBorder="1" applyAlignment="1">
      <alignment horizontal="center" vertical="center" wrapText="1"/>
    </xf>
    <xf numFmtId="0" fontId="28" fillId="7" borderId="122" xfId="37" applyFont="1" applyFill="1" applyBorder="1" applyAlignment="1">
      <alignment horizontal="center" vertical="center" wrapText="1"/>
    </xf>
    <xf numFmtId="0" fontId="28" fillId="7" borderId="15" xfId="37" applyFont="1" applyFill="1" applyBorder="1" applyAlignment="1">
      <alignment horizontal="center" vertical="center" wrapText="1"/>
    </xf>
    <xf numFmtId="0" fontId="28" fillId="7" borderId="36" xfId="37" applyFont="1" applyFill="1" applyBorder="1" applyAlignment="1">
      <alignment horizontal="center" vertical="center" wrapText="1"/>
    </xf>
    <xf numFmtId="0" fontId="28" fillId="7" borderId="46" xfId="37" applyFont="1" applyFill="1" applyBorder="1" applyAlignment="1">
      <alignment horizontal="center" vertical="center" wrapText="1"/>
    </xf>
    <xf numFmtId="0" fontId="46" fillId="0" borderId="138" xfId="37" applyFont="1" applyFill="1" applyBorder="1" applyAlignment="1">
      <alignment horizontal="center" vertical="center" wrapText="1"/>
    </xf>
    <xf numFmtId="0" fontId="46" fillId="0" borderId="102" xfId="37" applyFont="1" applyFill="1" applyBorder="1" applyAlignment="1">
      <alignment horizontal="center" vertical="center" wrapText="1"/>
    </xf>
    <xf numFmtId="0" fontId="46" fillId="0" borderId="81" xfId="37" applyFont="1" applyFill="1" applyBorder="1" applyAlignment="1">
      <alignment horizontal="center" vertical="center" wrapText="1"/>
    </xf>
    <xf numFmtId="0" fontId="25" fillId="0" borderId="0" xfId="37" applyFont="1" applyAlignment="1">
      <alignment horizontal="center" vertical="center" wrapText="1"/>
    </xf>
    <xf numFmtId="4" fontId="29" fillId="0" borderId="152" xfId="37" applyNumberFormat="1" applyFont="1" applyFill="1" applyBorder="1" applyAlignment="1">
      <alignment horizontal="center" vertical="center" wrapText="1"/>
    </xf>
    <xf numFmtId="4" fontId="29" fillId="0" borderId="0" xfId="37" applyNumberFormat="1" applyFont="1" applyFill="1" applyBorder="1" applyAlignment="1">
      <alignment horizontal="center" vertical="center" wrapText="1"/>
    </xf>
    <xf numFmtId="4" fontId="29" fillId="0" borderId="35" xfId="37" applyNumberFormat="1" applyFont="1" applyFill="1" applyBorder="1" applyAlignment="1">
      <alignment horizontal="center" vertical="center" wrapText="1"/>
    </xf>
    <xf numFmtId="4" fontId="29" fillId="0" borderId="153" xfId="37" applyNumberFormat="1" applyFont="1" applyFill="1" applyBorder="1" applyAlignment="1">
      <alignment horizontal="center" vertical="center" wrapText="1"/>
    </xf>
    <xf numFmtId="4" fontId="29" fillId="0" borderId="34" xfId="37" applyNumberFormat="1" applyFont="1" applyFill="1" applyBorder="1" applyAlignment="1">
      <alignment horizontal="center" vertical="center" wrapText="1"/>
    </xf>
    <xf numFmtId="4" fontId="29" fillId="0" borderId="29" xfId="37" applyNumberFormat="1" applyFont="1" applyFill="1" applyBorder="1" applyAlignment="1">
      <alignment horizontal="center" vertical="center" wrapText="1"/>
    </xf>
    <xf numFmtId="4" fontId="77" fillId="0" borderId="150" xfId="37" applyNumberFormat="1" applyFont="1" applyFill="1" applyBorder="1" applyAlignment="1">
      <alignment horizontal="center" vertical="center" wrapText="1"/>
    </xf>
    <xf numFmtId="4" fontId="77" fillId="0" borderId="132" xfId="37" applyNumberFormat="1" applyFont="1" applyFill="1" applyBorder="1" applyAlignment="1">
      <alignment horizontal="center" vertical="center" wrapText="1"/>
    </xf>
    <xf numFmtId="4" fontId="77" fillId="0" borderId="108" xfId="37" applyNumberFormat="1" applyFont="1" applyFill="1" applyBorder="1" applyAlignment="1">
      <alignment horizontal="center" vertical="center" wrapText="1"/>
    </xf>
    <xf numFmtId="0" fontId="9" fillId="0" borderId="150" xfId="37" applyFont="1" applyBorder="1" applyAlignment="1">
      <alignment horizontal="center" vertical="center" wrapText="1"/>
    </xf>
    <xf numFmtId="0" fontId="9" fillId="0" borderId="132" xfId="37" applyFont="1" applyBorder="1" applyAlignment="1">
      <alignment horizontal="center" vertical="center" wrapText="1"/>
    </xf>
    <xf numFmtId="0" fontId="9" fillId="0" borderId="108" xfId="37" applyFont="1" applyBorder="1" applyAlignment="1">
      <alignment horizontal="center" vertical="center" wrapText="1"/>
    </xf>
    <xf numFmtId="0" fontId="9" fillId="0" borderId="138" xfId="37" applyFont="1" applyBorder="1" applyAlignment="1">
      <alignment horizontal="center" vertical="center" wrapText="1"/>
    </xf>
    <xf numFmtId="0" fontId="9" fillId="0" borderId="102" xfId="37" applyFont="1" applyBorder="1" applyAlignment="1">
      <alignment horizontal="center" vertical="center" wrapText="1"/>
    </xf>
    <xf numFmtId="0" fontId="9" fillId="0" borderId="75" xfId="37" applyFont="1" applyBorder="1" applyAlignment="1">
      <alignment horizontal="center" vertical="center" wrapText="1"/>
    </xf>
    <xf numFmtId="0" fontId="0" fillId="0" borderId="25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63" xfId="0" applyBorder="1" applyAlignment="1">
      <alignment horizontal="center"/>
    </xf>
    <xf numFmtId="0" fontId="0" fillId="0" borderId="42" xfId="0" applyBorder="1" applyAlignment="1">
      <alignment horizontal="center"/>
    </xf>
    <xf numFmtId="0" fontId="59" fillId="17" borderId="21" xfId="0" applyFont="1" applyFill="1" applyBorder="1" applyAlignment="1">
      <alignment horizontal="center"/>
    </xf>
    <xf numFmtId="0" fontId="59" fillId="17" borderId="76" xfId="0" applyFont="1" applyFill="1" applyBorder="1" applyAlignment="1">
      <alignment horizontal="center"/>
    </xf>
    <xf numFmtId="0" fontId="59" fillId="17" borderId="118" xfId="0" applyFont="1" applyFill="1" applyBorder="1" applyAlignment="1">
      <alignment horizontal="center"/>
    </xf>
    <xf numFmtId="0" fontId="59" fillId="9" borderId="21" xfId="0" applyFont="1" applyFill="1" applyBorder="1" applyAlignment="1">
      <alignment horizontal="center" vertical="center" wrapText="1"/>
    </xf>
    <xf numFmtId="0" fontId="59" fillId="9" borderId="118" xfId="0" applyFont="1" applyFill="1" applyBorder="1" applyAlignment="1">
      <alignment horizontal="center" vertical="center" wrapText="1"/>
    </xf>
    <xf numFmtId="0" fontId="59" fillId="10" borderId="25" xfId="0" applyFont="1" applyFill="1" applyBorder="1" applyAlignment="1">
      <alignment horizontal="center" vertical="center" wrapText="1"/>
    </xf>
    <xf numFmtId="0" fontId="59" fillId="10" borderId="25" xfId="0" applyFont="1" applyFill="1" applyBorder="1" applyAlignment="1">
      <alignment horizontal="center" vertical="center"/>
    </xf>
    <xf numFmtId="0" fontId="0" fillId="0" borderId="111" xfId="0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59" fillId="9" borderId="21" xfId="0" applyFont="1" applyFill="1" applyBorder="1" applyAlignment="1">
      <alignment horizontal="center"/>
    </xf>
    <xf numFmtId="0" fontId="59" fillId="9" borderId="118" xfId="0" applyFont="1" applyFill="1" applyBorder="1" applyAlignment="1">
      <alignment horizontal="center"/>
    </xf>
    <xf numFmtId="1" fontId="27" fillId="0" borderId="0" xfId="37" applyNumberFormat="1" applyFont="1" applyAlignment="1" applyProtection="1">
      <alignment horizontal="center" vertical="center" wrapText="1"/>
    </xf>
    <xf numFmtId="0" fontId="27" fillId="0" borderId="0" xfId="37" applyFont="1" applyAlignment="1" applyProtection="1">
      <alignment horizontal="center" vertical="center" wrapText="1"/>
      <protection hidden="1"/>
    </xf>
    <xf numFmtId="183" fontId="25" fillId="0" borderId="0" xfId="37" applyNumberFormat="1" applyFont="1" applyAlignment="1" applyProtection="1">
      <alignment horizontal="center" vertical="center" wrapText="1"/>
      <protection hidden="1"/>
    </xf>
    <xf numFmtId="0" fontId="40" fillId="3" borderId="47" xfId="0" applyFont="1" applyFill="1" applyBorder="1" applyAlignment="1">
      <alignment horizontal="center" vertical="center" wrapText="1"/>
    </xf>
    <xf numFmtId="0" fontId="40" fillId="3" borderId="110" xfId="0" applyFont="1" applyFill="1" applyBorder="1" applyAlignment="1">
      <alignment horizontal="center" vertical="center" wrapText="1"/>
    </xf>
    <xf numFmtId="0" fontId="40" fillId="3" borderId="139" xfId="0" applyFont="1" applyFill="1" applyBorder="1" applyAlignment="1">
      <alignment horizontal="center" vertical="center" wrapText="1"/>
    </xf>
    <xf numFmtId="0" fontId="40" fillId="3" borderId="16" xfId="0" applyFont="1" applyFill="1" applyBorder="1" applyAlignment="1">
      <alignment horizontal="center" vertical="center" wrapText="1"/>
    </xf>
    <xf numFmtId="0" fontId="19" fillId="3" borderId="122" xfId="0" applyFont="1" applyFill="1" applyBorder="1" applyAlignment="1">
      <alignment horizontal="center" vertical="center"/>
    </xf>
    <xf numFmtId="0" fontId="19" fillId="3" borderId="41" xfId="0" applyFont="1" applyFill="1" applyBorder="1" applyAlignment="1">
      <alignment horizontal="center" vertical="center"/>
    </xf>
    <xf numFmtId="0" fontId="19" fillId="3" borderId="100" xfId="0" applyFont="1" applyFill="1" applyBorder="1" applyAlignment="1">
      <alignment horizontal="center" vertical="center"/>
    </xf>
    <xf numFmtId="0" fontId="19" fillId="3" borderId="74" xfId="0" applyFont="1" applyFill="1" applyBorder="1" applyAlignment="1">
      <alignment horizontal="center" vertical="center"/>
    </xf>
    <xf numFmtId="0" fontId="19" fillId="3" borderId="11" xfId="0" applyFont="1" applyFill="1" applyBorder="1" applyAlignment="1">
      <alignment horizontal="center" vertical="center"/>
    </xf>
    <xf numFmtId="0" fontId="19" fillId="3" borderId="20" xfId="0" applyFont="1" applyFill="1" applyBorder="1" applyAlignment="1">
      <alignment horizontal="center" vertical="center"/>
    </xf>
    <xf numFmtId="0" fontId="5" fillId="0" borderId="107" xfId="37" applyFont="1" applyFill="1" applyBorder="1" applyAlignment="1">
      <alignment horizontal="right" vertical="center" wrapText="1"/>
    </xf>
    <xf numFmtId="0" fontId="5" fillId="0" borderId="42" xfId="37" applyFont="1" applyFill="1" applyBorder="1" applyAlignment="1">
      <alignment horizontal="right" vertical="center" wrapText="1"/>
    </xf>
    <xf numFmtId="0" fontId="5" fillId="0" borderId="25" xfId="37" applyFont="1" applyFill="1" applyBorder="1" applyAlignment="1">
      <alignment horizontal="right" vertical="center" wrapText="1"/>
    </xf>
    <xf numFmtId="0" fontId="5" fillId="0" borderId="45" xfId="37" applyFont="1" applyFill="1" applyBorder="1" applyAlignment="1">
      <alignment horizontal="right" vertical="center"/>
    </xf>
    <xf numFmtId="0" fontId="5" fillId="0" borderId="55" xfId="37" applyFont="1" applyFill="1" applyBorder="1" applyAlignment="1">
      <alignment horizontal="right" vertical="center"/>
    </xf>
    <xf numFmtId="0" fontId="40" fillId="3" borderId="48" xfId="0" applyFont="1" applyFill="1" applyBorder="1" applyAlignment="1">
      <alignment horizontal="center" vertical="center" wrapText="1"/>
    </xf>
    <xf numFmtId="0" fontId="40" fillId="3" borderId="0" xfId="0" applyFont="1" applyFill="1" applyBorder="1" applyAlignment="1">
      <alignment horizontal="center" vertical="center" wrapText="1"/>
    </xf>
    <xf numFmtId="0" fontId="40" fillId="3" borderId="36" xfId="0" applyFont="1" applyFill="1" applyBorder="1" applyAlignment="1">
      <alignment horizontal="center" vertical="center" wrapText="1"/>
    </xf>
    <xf numFmtId="0" fontId="19" fillId="3" borderId="19" xfId="0" applyFont="1" applyFill="1" applyBorder="1" applyAlignment="1">
      <alignment horizontal="center" vertical="center"/>
    </xf>
    <xf numFmtId="0" fontId="19" fillId="3" borderId="133" xfId="0" applyFont="1" applyFill="1" applyBorder="1" applyAlignment="1">
      <alignment horizontal="center" vertical="center"/>
    </xf>
    <xf numFmtId="0" fontId="5" fillId="0" borderId="108" xfId="37" applyFont="1" applyFill="1" applyBorder="1" applyAlignment="1">
      <alignment horizontal="right" vertical="center"/>
    </xf>
    <xf numFmtId="0" fontId="5" fillId="0" borderId="70" xfId="37" applyFont="1" applyFill="1" applyBorder="1" applyAlignment="1">
      <alignment horizontal="right" vertical="center"/>
    </xf>
    <xf numFmtId="0" fontId="5" fillId="0" borderId="111" xfId="37" applyFont="1" applyFill="1" applyBorder="1" applyAlignment="1">
      <alignment horizontal="right" vertical="center"/>
    </xf>
    <xf numFmtId="0" fontId="5" fillId="0" borderId="107" xfId="37" applyFont="1" applyFill="1" applyBorder="1" applyAlignment="1">
      <alignment horizontal="right" vertical="center"/>
    </xf>
    <xf numFmtId="0" fontId="5" fillId="0" borderId="42" xfId="37" applyFont="1" applyFill="1" applyBorder="1" applyAlignment="1">
      <alignment horizontal="right" vertical="center"/>
    </xf>
    <xf numFmtId="0" fontId="5" fillId="0" borderId="25" xfId="37" applyFont="1" applyFill="1" applyBorder="1" applyAlignment="1">
      <alignment horizontal="right" vertical="center"/>
    </xf>
    <xf numFmtId="0" fontId="5" fillId="0" borderId="45" xfId="37" applyFont="1" applyFill="1" applyBorder="1" applyAlignment="1">
      <alignment horizontal="right" vertical="center" wrapText="1"/>
    </xf>
    <xf numFmtId="0" fontId="5" fillId="0" borderId="55" xfId="37" applyFont="1" applyFill="1" applyBorder="1" applyAlignment="1">
      <alignment horizontal="right" vertical="center" wrapText="1"/>
    </xf>
    <xf numFmtId="0" fontId="5" fillId="0" borderId="33" xfId="37" applyFont="1" applyFill="1" applyBorder="1" applyAlignment="1">
      <alignment horizontal="right" vertical="center"/>
    </xf>
    <xf numFmtId="0" fontId="5" fillId="0" borderId="34" xfId="37" applyFont="1" applyFill="1" applyBorder="1" applyAlignment="1">
      <alignment horizontal="right" vertical="center"/>
    </xf>
    <xf numFmtId="0" fontId="2" fillId="0" borderId="0" xfId="37" applyBorder="1" applyAlignment="1" applyProtection="1">
      <alignment horizontal="center" vertical="center"/>
      <protection hidden="1"/>
    </xf>
    <xf numFmtId="0" fontId="40" fillId="3" borderId="52" xfId="0" applyFont="1" applyFill="1" applyBorder="1" applyAlignment="1">
      <alignment horizontal="center" vertical="center" wrapText="1"/>
    </xf>
    <xf numFmtId="0" fontId="40" fillId="3" borderId="15" xfId="0" applyFont="1" applyFill="1" applyBorder="1" applyAlignment="1">
      <alignment horizontal="center" vertical="center" wrapText="1"/>
    </xf>
    <xf numFmtId="0" fontId="40" fillId="3" borderId="26" xfId="0" applyFont="1" applyFill="1" applyBorder="1" applyAlignment="1">
      <alignment horizontal="center" vertical="center" wrapText="1"/>
    </xf>
    <xf numFmtId="0" fontId="40" fillId="3" borderId="70" xfId="0" applyFont="1" applyFill="1" applyBorder="1" applyAlignment="1">
      <alignment horizontal="center" vertical="center" wrapText="1"/>
    </xf>
    <xf numFmtId="0" fontId="40" fillId="3" borderId="136" xfId="0" applyFont="1" applyFill="1" applyBorder="1" applyAlignment="1">
      <alignment horizontal="center" vertical="center" wrapText="1"/>
    </xf>
    <xf numFmtId="0" fontId="40" fillId="3" borderId="9" xfId="0" applyFont="1" applyFill="1" applyBorder="1" applyAlignment="1">
      <alignment horizontal="center" vertical="center" wrapText="1"/>
    </xf>
    <xf numFmtId="0" fontId="35" fillId="3" borderId="21" xfId="0" applyFont="1" applyFill="1" applyBorder="1" applyAlignment="1">
      <alignment horizontal="center" vertical="center" wrapText="1"/>
    </xf>
    <xf numFmtId="0" fontId="35" fillId="3" borderId="76" xfId="0" applyFont="1" applyFill="1" applyBorder="1" applyAlignment="1">
      <alignment horizontal="center" vertical="center" wrapText="1"/>
    </xf>
    <xf numFmtId="0" fontId="35" fillId="3" borderId="118" xfId="0" applyFont="1" applyFill="1" applyBorder="1" applyAlignment="1">
      <alignment horizontal="center" vertical="center" wrapText="1"/>
    </xf>
    <xf numFmtId="0" fontId="40" fillId="3" borderId="71" xfId="0" applyFont="1" applyFill="1" applyBorder="1" applyAlignment="1">
      <alignment horizontal="center" vertical="center" wrapText="1"/>
    </xf>
    <xf numFmtId="0" fontId="5" fillId="0" borderId="19" xfId="37" applyFont="1" applyFill="1" applyBorder="1" applyAlignment="1">
      <alignment horizontal="right" vertical="center"/>
    </xf>
    <xf numFmtId="0" fontId="5" fillId="0" borderId="11" xfId="37" applyFont="1" applyFill="1" applyBorder="1" applyAlignment="1">
      <alignment horizontal="right" vertical="center"/>
    </xf>
    <xf numFmtId="0" fontId="40" fillId="3" borderId="51" xfId="0" applyFont="1" applyFill="1" applyBorder="1" applyAlignment="1">
      <alignment horizontal="center" vertical="center" wrapText="1"/>
    </xf>
    <xf numFmtId="0" fontId="40" fillId="3" borderId="102" xfId="0" applyFont="1" applyFill="1" applyBorder="1" applyAlignment="1">
      <alignment horizontal="center" vertical="center" wrapText="1"/>
    </xf>
    <xf numFmtId="0" fontId="38" fillId="0" borderId="0" xfId="37" applyFont="1" applyBorder="1" applyAlignment="1" applyProtection="1">
      <alignment horizontal="right" vertical="center"/>
      <protection hidden="1"/>
    </xf>
    <xf numFmtId="184" fontId="25" fillId="0" borderId="0" xfId="37" applyNumberFormat="1" applyFont="1" applyAlignment="1" applyProtection="1">
      <alignment horizontal="center" vertical="center" wrapText="1"/>
      <protection hidden="1"/>
    </xf>
    <xf numFmtId="0" fontId="38" fillId="0" borderId="36" xfId="37" applyFont="1" applyBorder="1" applyAlignment="1" applyProtection="1">
      <alignment horizontal="right" vertical="center"/>
      <protection hidden="1"/>
    </xf>
    <xf numFmtId="0" fontId="40" fillId="3" borderId="63" xfId="0" applyFont="1" applyFill="1" applyBorder="1" applyAlignment="1">
      <alignment horizontal="center" vertical="center" wrapText="1"/>
    </xf>
    <xf numFmtId="0" fontId="40" fillId="3" borderId="112" xfId="0" applyFont="1" applyFill="1" applyBorder="1" applyAlignment="1">
      <alignment horizontal="center" vertical="center" wrapText="1"/>
    </xf>
    <xf numFmtId="0" fontId="35" fillId="3" borderId="17" xfId="0" applyFont="1" applyFill="1" applyBorder="1" applyAlignment="1">
      <alignment horizontal="center" vertical="center" wrapText="1"/>
    </xf>
    <xf numFmtId="0" fontId="35" fillId="3" borderId="9" xfId="0" applyFont="1" applyFill="1" applyBorder="1" applyAlignment="1">
      <alignment horizontal="center" vertical="center" wrapText="1"/>
    </xf>
    <xf numFmtId="0" fontId="35" fillId="3" borderId="18" xfId="0" applyFont="1" applyFill="1" applyBorder="1" applyAlignment="1">
      <alignment horizontal="center" vertical="center" wrapText="1"/>
    </xf>
    <xf numFmtId="0" fontId="40" fillId="3" borderId="42" xfId="0" applyFont="1" applyFill="1" applyBorder="1" applyAlignment="1">
      <alignment horizontal="center" vertical="center" wrapText="1"/>
    </xf>
    <xf numFmtId="0" fontId="5" fillId="0" borderId="19" xfId="37" applyFont="1" applyFill="1" applyBorder="1" applyAlignment="1">
      <alignment horizontal="right" vertical="center" wrapText="1"/>
    </xf>
    <xf numFmtId="0" fontId="5" fillId="0" borderId="11" xfId="37" applyFont="1" applyFill="1" applyBorder="1" applyAlignment="1">
      <alignment horizontal="right" vertical="center" wrapText="1"/>
    </xf>
    <xf numFmtId="0" fontId="5" fillId="0" borderId="133" xfId="37" applyFont="1" applyFill="1" applyBorder="1" applyAlignment="1">
      <alignment horizontal="right" vertical="center"/>
    </xf>
    <xf numFmtId="0" fontId="2" fillId="0" borderId="0" xfId="37" applyBorder="1" applyAlignment="1" applyProtection="1">
      <alignment horizontal="center"/>
      <protection hidden="1"/>
    </xf>
    <xf numFmtId="0" fontId="40" fillId="3" borderId="27" xfId="0" applyFont="1" applyFill="1" applyBorder="1" applyAlignment="1">
      <alignment horizontal="center" vertical="center" wrapText="1"/>
    </xf>
    <xf numFmtId="0" fontId="40" fillId="3" borderId="73" xfId="0" applyFont="1" applyFill="1" applyBorder="1" applyAlignment="1">
      <alignment horizontal="center" vertical="center" wrapText="1"/>
    </xf>
    <xf numFmtId="0" fontId="19" fillId="3" borderId="17" xfId="0" applyFont="1" applyFill="1" applyBorder="1" applyAlignment="1">
      <alignment horizontal="center" vertical="center"/>
    </xf>
    <xf numFmtId="0" fontId="19" fillId="3" borderId="9" xfId="0" applyFont="1" applyFill="1" applyBorder="1" applyAlignment="1">
      <alignment horizontal="center" vertical="center"/>
    </xf>
    <xf numFmtId="0" fontId="19" fillId="3" borderId="18" xfId="0" applyFont="1" applyFill="1" applyBorder="1" applyAlignment="1">
      <alignment horizontal="center" vertical="center"/>
    </xf>
    <xf numFmtId="0" fontId="5" fillId="0" borderId="17" xfId="37" applyFont="1" applyFill="1" applyBorder="1" applyAlignment="1">
      <alignment horizontal="right" vertical="center"/>
    </xf>
    <xf numFmtId="0" fontId="5" fillId="0" borderId="9" xfId="37" applyFont="1" applyFill="1" applyBorder="1" applyAlignment="1">
      <alignment horizontal="right" vertical="center"/>
    </xf>
    <xf numFmtId="0" fontId="5" fillId="0" borderId="137" xfId="37" applyFont="1" applyFill="1" applyBorder="1" applyAlignment="1">
      <alignment horizontal="right" vertical="center"/>
    </xf>
    <xf numFmtId="0" fontId="19" fillId="3" borderId="15" xfId="0" applyFont="1" applyFill="1" applyBorder="1" applyAlignment="1">
      <alignment horizontal="center" vertical="center"/>
    </xf>
    <xf numFmtId="0" fontId="19" fillId="3" borderId="36" xfId="0" applyFont="1" applyFill="1" applyBorder="1" applyAlignment="1">
      <alignment horizontal="center" vertical="center"/>
    </xf>
    <xf numFmtId="1" fontId="5" fillId="0" borderId="0" xfId="37" applyNumberFormat="1" applyFont="1" applyAlignment="1">
      <alignment horizontal="center" vertical="center" wrapText="1"/>
    </xf>
    <xf numFmtId="0" fontId="5" fillId="0" borderId="0" xfId="41" applyFont="1" applyAlignment="1">
      <alignment horizontal="center" vertical="center" wrapText="1"/>
    </xf>
    <xf numFmtId="0" fontId="9" fillId="7" borderId="4" xfId="37" applyFont="1" applyFill="1" applyBorder="1" applyAlignment="1">
      <alignment horizontal="center" vertical="center" wrapText="1"/>
    </xf>
    <xf numFmtId="0" fontId="9" fillId="7" borderId="140" xfId="37" applyFont="1" applyFill="1" applyBorder="1" applyAlignment="1">
      <alignment horizontal="center" vertical="center" wrapText="1"/>
    </xf>
    <xf numFmtId="0" fontId="9" fillId="7" borderId="88" xfId="37" applyFont="1" applyFill="1" applyBorder="1" applyAlignment="1">
      <alignment horizontal="center" vertical="center"/>
    </xf>
    <xf numFmtId="0" fontId="9" fillId="7" borderId="54" xfId="37" applyFont="1" applyFill="1" applyBorder="1" applyAlignment="1">
      <alignment horizontal="center" vertical="center"/>
    </xf>
    <xf numFmtId="0" fontId="9" fillId="7" borderId="127" xfId="37" applyFont="1" applyFill="1" applyBorder="1" applyAlignment="1">
      <alignment horizontal="center" vertical="center"/>
    </xf>
    <xf numFmtId="0" fontId="9" fillId="7" borderId="128" xfId="37" applyFont="1" applyFill="1" applyBorder="1" applyAlignment="1">
      <alignment horizontal="center" vertical="center"/>
    </xf>
    <xf numFmtId="0" fontId="86" fillId="7" borderId="5" xfId="44" applyFont="1" applyFill="1" applyBorder="1" applyAlignment="1">
      <alignment horizontal="center" vertical="center" wrapText="1"/>
    </xf>
    <xf numFmtId="0" fontId="86" fillId="7" borderId="141" xfId="44" applyFont="1" applyFill="1" applyBorder="1" applyAlignment="1">
      <alignment horizontal="center" vertical="center" wrapText="1"/>
    </xf>
    <xf numFmtId="0" fontId="86" fillId="7" borderId="142" xfId="44" applyFont="1" applyFill="1" applyBorder="1" applyAlignment="1">
      <alignment horizontal="center" vertical="center" wrapText="1"/>
    </xf>
    <xf numFmtId="0" fontId="69" fillId="7" borderId="25" xfId="37" applyFont="1" applyFill="1" applyBorder="1" applyAlignment="1">
      <alignment horizontal="center" vertical="center" wrapText="1"/>
    </xf>
    <xf numFmtId="0" fontId="69" fillId="7" borderId="54" xfId="37" applyFont="1" applyFill="1" applyBorder="1" applyAlignment="1">
      <alignment horizontal="center" vertical="center" wrapText="1"/>
    </xf>
    <xf numFmtId="0" fontId="69" fillId="7" borderId="4" xfId="37" applyFont="1" applyFill="1" applyBorder="1" applyAlignment="1">
      <alignment horizontal="center" vertical="center" wrapText="1"/>
    </xf>
    <xf numFmtId="0" fontId="69" fillId="7" borderId="143" xfId="37" applyFont="1" applyFill="1" applyBorder="1" applyAlignment="1">
      <alignment horizontal="center" vertical="center" wrapText="1"/>
    </xf>
    <xf numFmtId="0" fontId="69" fillId="7" borderId="140" xfId="37" applyFont="1" applyFill="1" applyBorder="1" applyAlignment="1">
      <alignment horizontal="center" vertical="center" wrapText="1"/>
    </xf>
    <xf numFmtId="0" fontId="69" fillId="7" borderId="88" xfId="37" applyFont="1" applyFill="1" applyBorder="1" applyAlignment="1">
      <alignment horizontal="center" vertical="center" wrapText="1"/>
    </xf>
    <xf numFmtId="0" fontId="69" fillId="7" borderId="126" xfId="37" applyFont="1" applyFill="1" applyBorder="1" applyAlignment="1">
      <alignment horizontal="center" vertical="center" wrapText="1"/>
    </xf>
    <xf numFmtId="0" fontId="69" fillId="7" borderId="104" xfId="37" applyFont="1" applyFill="1" applyBorder="1" applyAlignment="1">
      <alignment horizontal="center" vertical="center" wrapText="1"/>
    </xf>
    <xf numFmtId="0" fontId="69" fillId="7" borderId="144" xfId="37" applyFont="1" applyFill="1" applyBorder="1" applyAlignment="1">
      <alignment horizontal="center" vertical="center" wrapText="1"/>
    </xf>
    <xf numFmtId="0" fontId="86" fillId="7" borderId="88" xfId="44" applyFont="1" applyFill="1" applyBorder="1" applyAlignment="1">
      <alignment horizontal="center" vertical="center" wrapText="1"/>
    </xf>
    <xf numFmtId="0" fontId="86" fillId="7" borderId="25" xfId="44" applyFont="1" applyFill="1" applyBorder="1" applyAlignment="1">
      <alignment horizontal="center" vertical="center" wrapText="1"/>
    </xf>
    <xf numFmtId="0" fontId="86" fillId="7" borderId="54" xfId="44" applyFont="1" applyFill="1" applyBorder="1" applyAlignment="1">
      <alignment horizontal="center" vertical="center" wrapText="1"/>
    </xf>
    <xf numFmtId="0" fontId="69" fillId="7" borderId="53" xfId="37" applyFont="1" applyFill="1" applyBorder="1" applyAlignment="1">
      <alignment horizontal="center" vertical="center" wrapText="1"/>
    </xf>
    <xf numFmtId="0" fontId="69" fillId="7" borderId="139" xfId="37" applyFont="1" applyFill="1" applyBorder="1" applyAlignment="1">
      <alignment horizontal="center" vertical="center" wrapText="1"/>
    </xf>
    <xf numFmtId="0" fontId="69" fillId="7" borderId="16" xfId="37" applyFont="1" applyFill="1" applyBorder="1" applyAlignment="1">
      <alignment horizontal="center" vertical="center" wrapText="1"/>
    </xf>
    <xf numFmtId="0" fontId="14" fillId="9" borderId="0" xfId="38" applyFont="1" applyFill="1" applyAlignment="1">
      <alignment horizontal="center"/>
    </xf>
    <xf numFmtId="1" fontId="25" fillId="0" borderId="0" xfId="37" applyNumberFormat="1" applyFont="1" applyAlignment="1" applyProtection="1">
      <alignment horizontal="center" vertical="center" wrapText="1"/>
    </xf>
    <xf numFmtId="0" fontId="40" fillId="3" borderId="115" xfId="0" applyFont="1" applyFill="1" applyBorder="1" applyAlignment="1">
      <alignment horizontal="center" vertical="center" wrapText="1"/>
    </xf>
    <xf numFmtId="0" fontId="8" fillId="7" borderId="127" xfId="0" applyFont="1" applyFill="1" applyBorder="1" applyAlignment="1" applyProtection="1">
      <alignment horizontal="center" vertical="center" wrapText="1"/>
      <protection hidden="1"/>
    </xf>
    <xf numFmtId="0" fontId="8" fillId="7" borderId="146" xfId="0" applyFont="1" applyFill="1" applyBorder="1" applyAlignment="1" applyProtection="1">
      <alignment horizontal="center" vertical="center" wrapText="1"/>
      <protection hidden="1"/>
    </xf>
    <xf numFmtId="0" fontId="8" fillId="7" borderId="53" xfId="0" applyFont="1" applyFill="1" applyBorder="1" applyAlignment="1" applyProtection="1">
      <alignment horizontal="center" vertical="center" wrapText="1"/>
      <protection hidden="1"/>
    </xf>
    <xf numFmtId="0" fontId="8" fillId="7" borderId="103" xfId="0" applyFont="1" applyFill="1" applyBorder="1" applyAlignment="1" applyProtection="1">
      <alignment horizontal="center" vertical="center" wrapText="1"/>
      <protection hidden="1"/>
    </xf>
    <xf numFmtId="0" fontId="8" fillId="7" borderId="124" xfId="0" applyFont="1" applyFill="1" applyBorder="1" applyAlignment="1" applyProtection="1">
      <alignment horizontal="center" vertical="center" wrapText="1"/>
      <protection hidden="1"/>
    </xf>
    <xf numFmtId="0" fontId="8" fillId="7" borderId="145" xfId="0" applyFont="1" applyFill="1" applyBorder="1" applyAlignment="1" applyProtection="1">
      <alignment horizontal="center" vertical="center" wrapText="1"/>
      <protection hidden="1"/>
    </xf>
    <xf numFmtId="0" fontId="80" fillId="9" borderId="25" xfId="0" applyFont="1" applyFill="1" applyBorder="1" applyAlignment="1">
      <alignment horizontal="center" vertical="center"/>
    </xf>
    <xf numFmtId="0" fontId="80" fillId="9" borderId="71" xfId="0" applyFont="1" applyFill="1" applyBorder="1" applyAlignment="1">
      <alignment horizontal="center" vertical="center" wrapText="1"/>
    </xf>
    <xf numFmtId="0" fontId="80" fillId="9" borderId="139" xfId="0" applyFont="1" applyFill="1" applyBorder="1" applyAlignment="1">
      <alignment horizontal="center" vertical="center" wrapText="1"/>
    </xf>
    <xf numFmtId="0" fontId="80" fillId="9" borderId="111" xfId="0" applyFont="1" applyFill="1" applyBorder="1" applyAlignment="1">
      <alignment horizontal="center" vertical="center" wrapText="1"/>
    </xf>
    <xf numFmtId="0" fontId="80" fillId="9" borderId="25" xfId="0" applyFont="1" applyFill="1" applyBorder="1" applyAlignment="1">
      <alignment horizontal="center" vertical="center" wrapText="1"/>
    </xf>
    <xf numFmtId="0" fontId="80" fillId="9" borderId="63" xfId="0" applyFont="1" applyFill="1" applyBorder="1" applyAlignment="1">
      <alignment horizontal="center" vertical="center" wrapText="1"/>
    </xf>
    <xf numFmtId="0" fontId="80" fillId="9" borderId="42" xfId="0" applyFont="1" applyFill="1" applyBorder="1" applyAlignment="1">
      <alignment horizontal="center" vertical="center" wrapText="1"/>
    </xf>
    <xf numFmtId="0" fontId="59" fillId="0" borderId="21" xfId="0" applyFont="1" applyBorder="1" applyAlignment="1">
      <alignment horizontal="center" vertical="center"/>
    </xf>
    <xf numFmtId="0" fontId="59" fillId="0" borderId="118" xfId="0" applyFont="1" applyBorder="1" applyAlignment="1">
      <alignment horizontal="center" vertical="center"/>
    </xf>
  </cellXfs>
  <cellStyles count="92">
    <cellStyle name="Euro" xfId="1"/>
    <cellStyle name="Millares" xfId="2" builtinId="3"/>
    <cellStyle name="Millares [0]" xfId="3" builtinId="6"/>
    <cellStyle name="Millares 10 2" xfId="4"/>
    <cellStyle name="Millares 10 3" xfId="5"/>
    <cellStyle name="Millares 10 4" xfId="6"/>
    <cellStyle name="Millares 10 5" xfId="7"/>
    <cellStyle name="Millares 10 6" xfId="8"/>
    <cellStyle name="Millares 10 7" xfId="9"/>
    <cellStyle name="Millares 11 2" xfId="10"/>
    <cellStyle name="Millares 11 3" xfId="11"/>
    <cellStyle name="Millares 11 4" xfId="12"/>
    <cellStyle name="Millares 14 2" xfId="13"/>
    <cellStyle name="Millares 14 3" xfId="14"/>
    <cellStyle name="Millares 14 4" xfId="15"/>
    <cellStyle name="Millares 14 5" xfId="16"/>
    <cellStyle name="Millares 14 6" xfId="17"/>
    <cellStyle name="Millares 14 7" xfId="18"/>
    <cellStyle name="Millares 2" xfId="19"/>
    <cellStyle name="Millares 3" xfId="20"/>
    <cellStyle name="Millares 4" xfId="21"/>
    <cellStyle name="Millares 6 10" xfId="22"/>
    <cellStyle name="Millares 6 11" xfId="23"/>
    <cellStyle name="Millares 6 2" xfId="24"/>
    <cellStyle name="Millares 6 3" xfId="25"/>
    <cellStyle name="Millares 6 4" xfId="26"/>
    <cellStyle name="Millares 6 5" xfId="27"/>
    <cellStyle name="Millares 6 6" xfId="28"/>
    <cellStyle name="Millares 6 7" xfId="29"/>
    <cellStyle name="Millares 6 8" xfId="30"/>
    <cellStyle name="Millares 6 9" xfId="31"/>
    <cellStyle name="Millares 7 2" xfId="32"/>
    <cellStyle name="Millares 7 3" xfId="33"/>
    <cellStyle name="Millares 7 4" xfId="34"/>
    <cellStyle name="Moneda 2" xfId="35"/>
    <cellStyle name="Moneda 5" xfId="89"/>
    <cellStyle name="Normal" xfId="0" builtinId="0"/>
    <cellStyle name="Normal 10" xfId="36"/>
    <cellStyle name="Normal 2" xfId="37"/>
    <cellStyle name="Normal 2 2" xfId="38"/>
    <cellStyle name="Normal 2 2 2" xfId="88"/>
    <cellStyle name="Normal 2 3" xfId="39"/>
    <cellStyle name="Normal 2_Kresidual" xfId="40"/>
    <cellStyle name="Normal 3" xfId="41"/>
    <cellStyle name="Normal 3 2" xfId="42"/>
    <cellStyle name="Normal 4" xfId="43"/>
    <cellStyle name="Normal 4 10" xfId="44"/>
    <cellStyle name="Normal 4 11" xfId="45"/>
    <cellStyle name="Normal 4 12" xfId="46"/>
    <cellStyle name="Normal 4 13" xfId="47"/>
    <cellStyle name="Normal 4 14" xfId="48"/>
    <cellStyle name="Normal 4 15" xfId="49"/>
    <cellStyle name="Normal 4 16" xfId="50"/>
    <cellStyle name="Normal 4 17" xfId="51"/>
    <cellStyle name="Normal 4 18" xfId="52"/>
    <cellStyle name="Normal 4 19" xfId="53"/>
    <cellStyle name="Normal 4 2" xfId="54"/>
    <cellStyle name="Normal 4 20" xfId="55"/>
    <cellStyle name="Normal 4 21" xfId="56"/>
    <cellStyle name="Normal 4 22" xfId="57"/>
    <cellStyle name="Normal 4 23" xfId="58"/>
    <cellStyle name="Normal 4 24" xfId="59"/>
    <cellStyle name="Normal 4 25" xfId="60"/>
    <cellStyle name="Normal 4 26" xfId="61"/>
    <cellStyle name="Normal 4 27" xfId="62"/>
    <cellStyle name="Normal 4 28" xfId="63"/>
    <cellStyle name="Normal 4 29" xfId="64"/>
    <cellStyle name="Normal 4 3" xfId="65"/>
    <cellStyle name="Normal 4 30" xfId="66"/>
    <cellStyle name="Normal 4 31" xfId="67"/>
    <cellStyle name="Normal 4 32" xfId="68"/>
    <cellStyle name="Normal 4 33" xfId="69"/>
    <cellStyle name="Normal 4 34" xfId="70"/>
    <cellStyle name="Normal 4 35" xfId="71"/>
    <cellStyle name="Normal 4 36" xfId="72"/>
    <cellStyle name="Normal 4 37" xfId="73"/>
    <cellStyle name="Normal 4 38" xfId="74"/>
    <cellStyle name="Normal 4 4" xfId="75"/>
    <cellStyle name="Normal 4 5" xfId="76"/>
    <cellStyle name="Normal 4 6" xfId="77"/>
    <cellStyle name="Normal 4 7" xfId="78"/>
    <cellStyle name="Normal 4 8" xfId="79"/>
    <cellStyle name="Normal 4 9" xfId="80"/>
    <cellStyle name="Normal_Kresidual" xfId="81"/>
    <cellStyle name="Notas 2" xfId="82"/>
    <cellStyle name="Porcentaje" xfId="83" builtinId="5"/>
    <cellStyle name="Porcentaje 2" xfId="84"/>
    <cellStyle name="Porcentual 2" xfId="85"/>
    <cellStyle name="Porcentual 2 10" xfId="90"/>
    <cellStyle name="Porcentual 2 2" xfId="91"/>
    <cellStyle name="Porcentual 3" xfId="86"/>
    <cellStyle name="Porcentual 3 2" xfId="87"/>
  </cellStyles>
  <dxfs count="12730"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rgb="FF99CCFF"/>
        </patternFill>
      </fill>
    </dxf>
    <dxf>
      <font>
        <b/>
        <i val="0"/>
      </font>
      <fill>
        <patternFill>
          <bgColor rgb="FFFFCC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99CC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rgb="FFFF0000"/>
      </font>
    </dxf>
    <dxf>
      <font>
        <b/>
        <i val="0"/>
        <color rgb="FF002060"/>
      </font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971550</xdr:colOff>
          <xdr:row>34</xdr:row>
          <xdr:rowOff>38100</xdr:rowOff>
        </xdr:from>
        <xdr:to>
          <xdr:col>4</xdr:col>
          <xdr:colOff>771525</xdr:colOff>
          <xdr:row>35</xdr:row>
          <xdr:rowOff>133350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Publicar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ramirez\Desktop\Matriz%20CMA\Correcciones%20Matriz%20Nuevas%20Formulas\Matriz%20CMA%20V1-3%20Mayor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USPENSIONES"/>
      <sheetName val="PON.EXP.ESP."/>
      <sheetName val="APOYO A IND. NAL."/>
      <sheetName val="RESUMEN"/>
      <sheetName val="VERIFICACION"/>
      <sheetName val="LISTAS"/>
      <sheetName val="SMMLV"/>
      <sheetName val="DEPENDENCIAS"/>
    </sheetNames>
    <sheetDataSet>
      <sheetData sheetId="0">
        <row r="16">
          <cell r="B16">
            <v>1</v>
          </cell>
          <cell r="F16">
            <v>7</v>
          </cell>
          <cell r="G16">
            <v>193.87</v>
          </cell>
          <cell r="J16">
            <v>0.5</v>
          </cell>
        </row>
        <row r="20">
          <cell r="H20">
            <v>35431</v>
          </cell>
        </row>
        <row r="21">
          <cell r="H21">
            <v>41365</v>
          </cell>
        </row>
        <row r="26">
          <cell r="D26">
            <v>300</v>
          </cell>
          <cell r="E26">
            <v>600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">
          <cell r="H2" t="str">
            <v>100% NACIONALES</v>
          </cell>
        </row>
        <row r="3">
          <cell r="H3" t="str">
            <v>NACIONAL Y EXTRANJERO</v>
          </cell>
        </row>
        <row r="4">
          <cell r="H4" t="str">
            <v>100% EXTRANJEROS</v>
          </cell>
        </row>
        <row r="5">
          <cell r="H5" t="str">
            <v>NO PONDERABLE</v>
          </cell>
        </row>
      </sheetData>
      <sheetData sheetId="10">
        <row r="35">
          <cell r="D35">
            <v>589500</v>
          </cell>
        </row>
      </sheetData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0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5.v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4">
    <tabColor theme="4" tint="0.39997558519241921"/>
    <pageSetUpPr autoPageBreaks="0" fitToPage="1"/>
  </sheetPr>
  <dimension ref="B1:N94"/>
  <sheetViews>
    <sheetView showGridLines="0" tabSelected="1" topLeftCell="A4" zoomScaleNormal="100" zoomScaleSheetLayoutView="80" workbookViewId="0">
      <selection activeCell="M17" sqref="M17"/>
    </sheetView>
  </sheetViews>
  <sheetFormatPr baseColWidth="10" defaultRowHeight="15"/>
  <cols>
    <col min="1" max="1" width="1.85546875" customWidth="1"/>
    <col min="2" max="2" width="8" customWidth="1"/>
    <col min="3" max="3" width="34.85546875" customWidth="1"/>
    <col min="4" max="8" width="16.7109375" customWidth="1"/>
    <col min="9" max="9" width="12.28515625" bestFit="1" customWidth="1"/>
    <col min="10" max="10" width="16.28515625" customWidth="1"/>
    <col min="11" max="11" width="21.85546875" customWidth="1"/>
    <col min="12" max="13" width="29.7109375" customWidth="1"/>
    <col min="14" max="14" width="12.140625" customWidth="1"/>
  </cols>
  <sheetData>
    <row r="1" spans="2:14" s="2" customFormat="1" ht="18">
      <c r="B1" s="640" t="s">
        <v>0</v>
      </c>
      <c r="C1" s="640"/>
      <c r="D1" s="640"/>
      <c r="E1" s="640"/>
      <c r="F1" s="640"/>
      <c r="G1" s="640"/>
      <c r="H1" s="640"/>
    </row>
    <row r="2" spans="2:14" s="2" customFormat="1" ht="18">
      <c r="B2" s="640" t="s">
        <v>351</v>
      </c>
      <c r="C2" s="640"/>
      <c r="D2" s="640"/>
      <c r="E2" s="640"/>
      <c r="F2" s="640"/>
      <c r="G2" s="640"/>
      <c r="H2" s="640"/>
    </row>
    <row r="3" spans="2:14" s="2" customFormat="1" ht="12.75">
      <c r="B3" s="641"/>
      <c r="C3" s="641"/>
      <c r="D3" s="641"/>
      <c r="E3" s="641"/>
      <c r="F3" s="641"/>
      <c r="G3" s="641"/>
      <c r="H3" s="641"/>
    </row>
    <row r="4" spans="2:14" s="4" customFormat="1" ht="18" customHeight="1">
      <c r="B4" s="644"/>
      <c r="C4" s="644"/>
      <c r="D4" s="644"/>
      <c r="E4" s="644"/>
      <c r="F4" s="644"/>
      <c r="G4" s="644"/>
      <c r="H4" s="644"/>
    </row>
    <row r="5" spans="2:14" s="2" customFormat="1" ht="12.75">
      <c r="B5" s="3"/>
      <c r="C5" s="3"/>
      <c r="D5" s="3"/>
      <c r="E5" s="3"/>
      <c r="F5" s="3"/>
      <c r="G5" s="3"/>
      <c r="H5" s="1"/>
    </row>
    <row r="6" spans="2:14" s="2" customFormat="1" ht="12.75">
      <c r="B6" s="641" t="s">
        <v>267</v>
      </c>
      <c r="C6" s="641"/>
      <c r="D6" s="641"/>
      <c r="E6" s="641"/>
      <c r="F6" s="641"/>
      <c r="G6" s="641"/>
      <c r="H6" s="641"/>
    </row>
    <row r="7" spans="2:14" s="2" customFormat="1" ht="12.75">
      <c r="B7" s="641" t="s">
        <v>404</v>
      </c>
      <c r="C7" s="641"/>
      <c r="D7" s="641"/>
      <c r="E7" s="641"/>
      <c r="F7" s="641"/>
      <c r="G7" s="641"/>
      <c r="H7" s="641"/>
    </row>
    <row r="8" spans="2:14" s="2" customFormat="1" ht="12.75">
      <c r="B8" s="3"/>
      <c r="C8" s="3"/>
      <c r="D8" s="3"/>
      <c r="E8" s="3"/>
      <c r="F8" s="3"/>
      <c r="G8" s="3"/>
      <c r="H8" s="1"/>
    </row>
    <row r="9" spans="2:14" s="2" customFormat="1" ht="41.25" customHeight="1">
      <c r="B9" s="641" t="s">
        <v>405</v>
      </c>
      <c r="C9" s="641"/>
      <c r="D9" s="641"/>
      <c r="E9" s="641"/>
      <c r="F9" s="641"/>
      <c r="G9" s="641"/>
      <c r="H9" s="641"/>
    </row>
    <row r="10" spans="2:14" s="6" customFormat="1" ht="12.75">
      <c r="B10" s="3"/>
      <c r="C10" s="3"/>
      <c r="D10" s="3"/>
      <c r="E10" s="3"/>
      <c r="F10" s="3"/>
      <c r="G10" s="3"/>
      <c r="H10" s="5"/>
    </row>
    <row r="11" spans="2:14" s="6" customFormat="1" ht="20.25">
      <c r="B11" s="647" t="s">
        <v>140</v>
      </c>
      <c r="C11" s="647"/>
      <c r="D11" s="647"/>
      <c r="E11" s="647"/>
      <c r="F11" s="647"/>
      <c r="G11" s="647"/>
      <c r="H11" s="647"/>
    </row>
    <row r="12" spans="2:14" ht="15.75" thickBot="1"/>
    <row r="13" spans="2:14" s="43" customFormat="1" ht="19.5" customHeight="1">
      <c r="B13" s="651" t="s">
        <v>77</v>
      </c>
      <c r="C13" s="642" t="s">
        <v>78</v>
      </c>
      <c r="D13" s="645" t="s">
        <v>41</v>
      </c>
      <c r="E13" s="646"/>
      <c r="F13" s="170" t="s">
        <v>15</v>
      </c>
      <c r="G13" s="170" t="s">
        <v>89</v>
      </c>
      <c r="H13" s="175" t="str">
        <f>J16*100&amp;"% PFMO"</f>
        <v>50% PFMO</v>
      </c>
      <c r="J13" s="638" t="s">
        <v>182</v>
      </c>
      <c r="K13" s="648" t="s">
        <v>335</v>
      </c>
      <c r="L13" s="638" t="s">
        <v>299</v>
      </c>
      <c r="M13" s="638" t="s">
        <v>336</v>
      </c>
      <c r="N13" s="638" t="s">
        <v>314</v>
      </c>
    </row>
    <row r="14" spans="2:14" s="43" customFormat="1" ht="19.5" customHeight="1" thickBot="1">
      <c r="B14" s="652"/>
      <c r="C14" s="643"/>
      <c r="D14" s="171" t="s">
        <v>91</v>
      </c>
      <c r="E14" s="172" t="s">
        <v>92</v>
      </c>
      <c r="F14" s="173" t="s">
        <v>93</v>
      </c>
      <c r="G14" s="173" t="s">
        <v>94</v>
      </c>
      <c r="H14" s="169" t="s">
        <v>94</v>
      </c>
      <c r="J14" s="639"/>
      <c r="K14" s="649"/>
      <c r="L14" s="639"/>
      <c r="M14" s="639"/>
      <c r="N14" s="639"/>
    </row>
    <row r="15" spans="2:14" s="7" customFormat="1" ht="2.25" customHeight="1">
      <c r="B15" s="31"/>
      <c r="C15" s="19"/>
      <c r="D15" s="19"/>
      <c r="E15" s="19"/>
      <c r="F15" s="19"/>
      <c r="G15" s="19"/>
      <c r="H15" s="32"/>
      <c r="J15" s="327"/>
      <c r="K15" s="31"/>
      <c r="L15" s="327"/>
      <c r="M15" s="327"/>
      <c r="N15" s="327"/>
    </row>
    <row r="16" spans="2:14" s="43" customFormat="1" ht="90.75" customHeight="1" thickBot="1">
      <c r="B16" s="168">
        <v>1</v>
      </c>
      <c r="C16" s="564" t="s">
        <v>406</v>
      </c>
      <c r="D16" s="519">
        <v>85399150</v>
      </c>
      <c r="E16" s="176">
        <f>IF(D16="","",D16/828116)</f>
        <v>103.12462263740828</v>
      </c>
      <c r="F16" s="520">
        <v>2</v>
      </c>
      <c r="G16" s="330">
        <f>IF(OR(D16="",F16=""),"",ROUND((E16/F16),3))</f>
        <v>51.561999999999998</v>
      </c>
      <c r="H16" s="331">
        <f>IF(G16="","",ROUND((G16*PORCREQUERIDO),3))</f>
        <v>25.780999999999999</v>
      </c>
      <c r="I16" s="178"/>
      <c r="J16" s="328">
        <f>IF(AND($N$16&gt;=0,$N$16&lt;=24),0.45,IF(AND($N$16&gt;=25,$N$16&lt;=49),0.5,IF(AND($N$16&gt;=50,$N$16&lt;=74),0.55,IF(AND($N$16&gt;=75,$N$16&lt;=99),0.6,0))))</f>
        <v>0.5</v>
      </c>
      <c r="K16" s="498">
        <v>4</v>
      </c>
      <c r="L16" s="328">
        <v>0.6</v>
      </c>
      <c r="M16" s="499">
        <v>0.28999999999999998</v>
      </c>
      <c r="N16" s="497">
        <f>100*($M$16-INT($M$16))</f>
        <v>28.999999999999996</v>
      </c>
    </row>
    <row r="17" spans="2:13" s="6" customFormat="1" ht="2.25" customHeight="1" thickBot="1">
      <c r="B17" s="33"/>
      <c r="C17" s="22"/>
      <c r="D17" s="22"/>
      <c r="E17" s="22"/>
      <c r="F17" s="22"/>
      <c r="G17" s="23"/>
      <c r="H17" s="34"/>
    </row>
    <row r="18" spans="2:13" s="6" customFormat="1">
      <c r="B18"/>
      <c r="C18"/>
      <c r="D18"/>
      <c r="E18"/>
      <c r="F18"/>
      <c r="G18"/>
      <c r="H18"/>
    </row>
    <row r="19" spans="2:13" s="6" customFormat="1" ht="21" thickBot="1">
      <c r="B19" s="650" t="s">
        <v>42</v>
      </c>
      <c r="C19" s="650"/>
      <c r="D19" s="650"/>
      <c r="E19" s="650"/>
      <c r="F19" s="650"/>
      <c r="G19" s="650"/>
      <c r="H19" s="650"/>
      <c r="M19" s="598" t="s">
        <v>473</v>
      </c>
    </row>
    <row r="20" spans="2:13" s="6" customFormat="1" ht="15.6" customHeight="1" thickTop="1" thickBot="1">
      <c r="B20" s="653" t="s">
        <v>52</v>
      </c>
      <c r="C20" s="654"/>
      <c r="D20" s="654"/>
      <c r="E20" s="654"/>
      <c r="F20" s="654"/>
      <c r="G20" s="654"/>
      <c r="H20" s="112">
        <v>29221</v>
      </c>
    </row>
    <row r="21" spans="2:13" s="6" customFormat="1" ht="15.6" customHeight="1" thickTop="1" thickBot="1">
      <c r="B21" s="653" t="s">
        <v>40</v>
      </c>
      <c r="C21" s="654"/>
      <c r="D21" s="654"/>
      <c r="E21" s="654"/>
      <c r="F21" s="654"/>
      <c r="G21" s="654"/>
      <c r="H21" s="521">
        <v>43749</v>
      </c>
    </row>
    <row r="22" spans="2:13" s="6" customFormat="1" ht="15.6" customHeight="1" thickTop="1" thickBot="1">
      <c r="B22" s="25"/>
      <c r="C22" s="25"/>
      <c r="D22" s="25"/>
      <c r="E22" s="25"/>
      <c r="F22" s="25"/>
      <c r="G22" s="25"/>
      <c r="H22" s="24"/>
    </row>
    <row r="23" spans="2:13" s="6" customFormat="1" ht="27" thickBot="1">
      <c r="B23" s="38">
        <v>1</v>
      </c>
      <c r="C23" s="657" t="s">
        <v>43</v>
      </c>
      <c r="D23" s="658"/>
      <c r="E23" s="658"/>
      <c r="F23" s="658"/>
      <c r="G23" s="658"/>
      <c r="H23" s="659"/>
    </row>
    <row r="24" spans="2:13" ht="15.75" customHeight="1" thickBot="1"/>
    <row r="25" spans="2:13" s="6" customFormat="1" ht="90.75" customHeight="1" thickBot="1">
      <c r="B25" s="28" t="s">
        <v>27</v>
      </c>
      <c r="C25" s="18" t="s">
        <v>47</v>
      </c>
      <c r="D25" s="26" t="s">
        <v>53</v>
      </c>
      <c r="E25" s="26" t="s">
        <v>54</v>
      </c>
      <c r="F25" s="26" t="s">
        <v>55</v>
      </c>
      <c r="G25" s="174" t="s">
        <v>106</v>
      </c>
      <c r="H25" s="27" t="s">
        <v>56</v>
      </c>
    </row>
    <row r="26" spans="2:13" s="6" customFormat="1" ht="96" customHeight="1" thickBot="1">
      <c r="B26" s="29">
        <f>NUMMOD</f>
        <v>1</v>
      </c>
      <c r="C26" s="565" t="str">
        <f>C16</f>
        <v>“INTERVENTORIA TECNICA, ADMINISTRATIVA, FINANCIERA, AMBIENTAL ATENCIÓN SITIOS CRITICOS CONSTRUCCIÓN PUENTE QUEBRADA PÌEDRAS NEGRAS MUNICIPIO DE SALADOBLANCO CARRETERA LA CABAÑA-MORELIA, CÓDIGO 19787 (PRODUCTO SITIO CRÍTICO DE RED TERCIARIA ESTABILIZADA).”</v>
      </c>
      <c r="D26" s="30">
        <v>295</v>
      </c>
      <c r="E26" s="30">
        <v>595</v>
      </c>
      <c r="F26" s="30">
        <f>+PTJEEXPESP1+PTJEEXPESP2</f>
        <v>890</v>
      </c>
      <c r="G26" s="177">
        <v>4</v>
      </c>
      <c r="H26" s="177">
        <v>6</v>
      </c>
      <c r="I26" s="210"/>
    </row>
    <row r="28" spans="2:13" s="6" customFormat="1" ht="15" customHeight="1" thickBot="1">
      <c r="B28"/>
      <c r="C28"/>
      <c r="D28"/>
      <c r="E28"/>
      <c r="F28"/>
      <c r="G28"/>
      <c r="H28"/>
    </row>
    <row r="29" spans="2:13" s="6" customFormat="1" ht="27" thickBot="1">
      <c r="B29" s="38">
        <v>2</v>
      </c>
      <c r="C29" s="657" t="s">
        <v>340</v>
      </c>
      <c r="D29" s="658"/>
      <c r="E29" s="658"/>
      <c r="F29" s="658"/>
      <c r="G29" s="658"/>
      <c r="H29" s="659"/>
    </row>
    <row r="30" spans="2:13" s="6" customFormat="1" ht="15.75" thickBot="1">
      <c r="B30"/>
      <c r="D30"/>
      <c r="E30"/>
      <c r="F30"/>
      <c r="G30"/>
      <c r="H30"/>
    </row>
    <row r="31" spans="2:13" s="6" customFormat="1" ht="15.6" customHeight="1" thickBot="1">
      <c r="B31" s="36" t="s">
        <v>49</v>
      </c>
      <c r="C31" s="656" t="s">
        <v>48</v>
      </c>
      <c r="D31" s="656"/>
      <c r="E31" s="656"/>
      <c r="F31" s="656"/>
      <c r="G31" s="656"/>
      <c r="H31" s="37" t="s">
        <v>23</v>
      </c>
    </row>
    <row r="32" spans="2:13" s="6" customFormat="1" ht="15.6" customHeight="1">
      <c r="B32" s="525">
        <v>1</v>
      </c>
      <c r="C32" s="660" t="s">
        <v>338</v>
      </c>
      <c r="D32" s="660"/>
      <c r="E32" s="660"/>
      <c r="F32" s="660"/>
      <c r="G32" s="660"/>
      <c r="H32" s="526" t="s">
        <v>339</v>
      </c>
    </row>
    <row r="33" spans="2:8" s="6" customFormat="1" ht="15.75" thickBot="1">
      <c r="B33" s="527">
        <v>2</v>
      </c>
      <c r="C33" s="655" t="s">
        <v>164</v>
      </c>
      <c r="D33" s="655"/>
      <c r="E33" s="655"/>
      <c r="F33" s="655"/>
      <c r="G33" s="655"/>
      <c r="H33" s="528" t="s">
        <v>309</v>
      </c>
    </row>
    <row r="34" spans="2:8" s="6" customFormat="1">
      <c r="B34"/>
      <c r="C34"/>
      <c r="D34"/>
      <c r="E34" s="35"/>
      <c r="F34"/>
      <c r="G34"/>
      <c r="H34"/>
    </row>
    <row r="35" spans="2:8" s="6" customFormat="1">
      <c r="B35"/>
      <c r="C35"/>
      <c r="D35"/>
      <c r="E35"/>
      <c r="F35"/>
      <c r="G35"/>
      <c r="H35"/>
    </row>
    <row r="36" spans="2:8" s="6" customFormat="1">
      <c r="B36"/>
      <c r="C36"/>
      <c r="D36"/>
      <c r="E36"/>
      <c r="F36"/>
      <c r="G36"/>
      <c r="H36"/>
    </row>
    <row r="37" spans="2:8" s="6" customFormat="1">
      <c r="B37"/>
      <c r="C37"/>
      <c r="D37"/>
      <c r="E37"/>
      <c r="F37"/>
      <c r="G37"/>
      <c r="H37"/>
    </row>
    <row r="38" spans="2:8" s="6" customFormat="1">
      <c r="B38"/>
      <c r="C38"/>
      <c r="D38"/>
      <c r="E38"/>
      <c r="F38"/>
      <c r="G38"/>
      <c r="H38"/>
    </row>
    <row r="39" spans="2:8" s="6" customFormat="1">
      <c r="B39"/>
      <c r="C39"/>
      <c r="D39"/>
      <c r="E39"/>
      <c r="F39"/>
      <c r="G39"/>
      <c r="H39"/>
    </row>
    <row r="40" spans="2:8" s="6" customFormat="1">
      <c r="B40"/>
      <c r="C40"/>
      <c r="D40"/>
      <c r="E40"/>
      <c r="F40"/>
      <c r="G40"/>
      <c r="H40"/>
    </row>
    <row r="41" spans="2:8" s="6" customFormat="1">
      <c r="B41"/>
      <c r="C41"/>
      <c r="D41"/>
      <c r="E41"/>
      <c r="F41"/>
      <c r="G41"/>
      <c r="H41"/>
    </row>
    <row r="42" spans="2:8" s="6" customFormat="1">
      <c r="B42"/>
      <c r="C42"/>
      <c r="D42"/>
      <c r="E42"/>
      <c r="F42"/>
      <c r="G42"/>
      <c r="H42"/>
    </row>
    <row r="43" spans="2:8" s="6" customFormat="1">
      <c r="B43"/>
      <c r="C43"/>
      <c r="D43"/>
      <c r="E43"/>
      <c r="F43"/>
      <c r="G43"/>
      <c r="H43"/>
    </row>
    <row r="44" spans="2:8" s="6" customFormat="1">
      <c r="B44"/>
      <c r="C44"/>
      <c r="D44"/>
      <c r="E44"/>
      <c r="F44"/>
      <c r="G44"/>
      <c r="H44"/>
    </row>
    <row r="45" spans="2:8" s="6" customFormat="1">
      <c r="B45"/>
      <c r="C45"/>
      <c r="D45"/>
      <c r="E45"/>
      <c r="F45"/>
      <c r="G45"/>
      <c r="H45"/>
    </row>
    <row r="46" spans="2:8" s="6" customFormat="1">
      <c r="B46"/>
      <c r="C46"/>
      <c r="D46"/>
      <c r="E46"/>
      <c r="F46"/>
      <c r="G46"/>
      <c r="H46"/>
    </row>
    <row r="47" spans="2:8" s="6" customFormat="1">
      <c r="B47"/>
      <c r="C47"/>
      <c r="D47"/>
      <c r="E47"/>
      <c r="F47"/>
      <c r="G47"/>
      <c r="H47"/>
    </row>
    <row r="48" spans="2:8" s="6" customFormat="1">
      <c r="B48"/>
      <c r="C48"/>
      <c r="D48"/>
      <c r="E48"/>
      <c r="F48"/>
      <c r="G48"/>
      <c r="H48"/>
    </row>
    <row r="49" spans="2:8" s="6" customFormat="1">
      <c r="B49"/>
      <c r="C49"/>
      <c r="D49"/>
      <c r="E49"/>
      <c r="F49"/>
      <c r="G49"/>
      <c r="H49"/>
    </row>
    <row r="50" spans="2:8" s="6" customFormat="1">
      <c r="B50"/>
      <c r="C50"/>
      <c r="D50"/>
      <c r="E50"/>
      <c r="F50"/>
      <c r="G50"/>
      <c r="H50"/>
    </row>
    <row r="51" spans="2:8" s="6" customFormat="1">
      <c r="B51"/>
      <c r="C51"/>
      <c r="D51"/>
      <c r="E51"/>
      <c r="F51"/>
      <c r="G51"/>
      <c r="H51"/>
    </row>
    <row r="52" spans="2:8" s="6" customFormat="1">
      <c r="B52"/>
      <c r="C52"/>
      <c r="D52"/>
      <c r="E52"/>
      <c r="F52"/>
      <c r="G52"/>
      <c r="H52"/>
    </row>
    <row r="53" spans="2:8" s="6" customFormat="1">
      <c r="B53"/>
      <c r="C53"/>
      <c r="D53"/>
      <c r="E53"/>
      <c r="F53"/>
      <c r="G53"/>
      <c r="H53"/>
    </row>
    <row r="54" spans="2:8" s="6" customFormat="1">
      <c r="B54"/>
      <c r="C54"/>
      <c r="D54"/>
      <c r="E54"/>
      <c r="F54"/>
      <c r="G54"/>
      <c r="H54"/>
    </row>
    <row r="55" spans="2:8" s="6" customFormat="1">
      <c r="B55"/>
      <c r="C55"/>
      <c r="D55"/>
      <c r="E55"/>
      <c r="F55"/>
      <c r="G55"/>
      <c r="H55"/>
    </row>
    <row r="56" spans="2:8" s="6" customFormat="1">
      <c r="B56"/>
      <c r="C56"/>
      <c r="D56"/>
      <c r="E56"/>
      <c r="F56"/>
      <c r="G56"/>
      <c r="H56"/>
    </row>
    <row r="57" spans="2:8" s="6" customFormat="1">
      <c r="B57"/>
      <c r="C57"/>
      <c r="D57"/>
      <c r="E57"/>
      <c r="F57"/>
      <c r="G57"/>
      <c r="H57"/>
    </row>
    <row r="58" spans="2:8" s="6" customFormat="1">
      <c r="B58"/>
      <c r="C58"/>
      <c r="D58"/>
      <c r="E58"/>
      <c r="F58"/>
      <c r="G58"/>
      <c r="H58"/>
    </row>
    <row r="59" spans="2:8" s="6" customFormat="1">
      <c r="B59"/>
      <c r="C59"/>
      <c r="D59"/>
      <c r="E59"/>
      <c r="F59"/>
      <c r="G59"/>
      <c r="H59"/>
    </row>
    <row r="60" spans="2:8" s="6" customFormat="1">
      <c r="B60"/>
      <c r="C60"/>
      <c r="D60"/>
      <c r="E60"/>
      <c r="F60"/>
      <c r="G60"/>
      <c r="H60"/>
    </row>
    <row r="61" spans="2:8" s="6" customFormat="1">
      <c r="B61"/>
      <c r="C61"/>
      <c r="D61"/>
      <c r="E61"/>
      <c r="F61"/>
      <c r="G61"/>
      <c r="H61"/>
    </row>
    <row r="62" spans="2:8" s="6" customFormat="1">
      <c r="B62"/>
      <c r="C62"/>
      <c r="D62"/>
      <c r="E62"/>
      <c r="F62"/>
      <c r="G62"/>
      <c r="H62"/>
    </row>
    <row r="63" spans="2:8" s="6" customFormat="1">
      <c r="B63"/>
      <c r="C63"/>
      <c r="D63"/>
      <c r="E63"/>
      <c r="F63"/>
      <c r="G63"/>
      <c r="H63"/>
    </row>
    <row r="64" spans="2:8" s="6" customFormat="1">
      <c r="B64"/>
      <c r="C64"/>
      <c r="D64"/>
      <c r="E64"/>
      <c r="F64"/>
      <c r="G64"/>
      <c r="H64"/>
    </row>
    <row r="65" spans="2:8" s="6" customFormat="1">
      <c r="B65"/>
      <c r="C65"/>
      <c r="D65"/>
      <c r="E65"/>
      <c r="F65"/>
      <c r="G65"/>
      <c r="H65"/>
    </row>
    <row r="66" spans="2:8" s="6" customFormat="1">
      <c r="B66"/>
      <c r="C66"/>
      <c r="D66"/>
      <c r="E66"/>
      <c r="F66"/>
      <c r="G66"/>
      <c r="H66"/>
    </row>
    <row r="67" spans="2:8" s="6" customFormat="1">
      <c r="B67"/>
      <c r="C67"/>
      <c r="D67"/>
      <c r="E67"/>
      <c r="F67"/>
      <c r="G67"/>
      <c r="H67"/>
    </row>
    <row r="68" spans="2:8" s="6" customFormat="1">
      <c r="B68"/>
      <c r="C68"/>
      <c r="D68"/>
      <c r="E68"/>
      <c r="F68"/>
      <c r="G68"/>
      <c r="H68"/>
    </row>
    <row r="69" spans="2:8" s="6" customFormat="1">
      <c r="B69"/>
      <c r="C69"/>
      <c r="D69"/>
      <c r="E69"/>
      <c r="F69"/>
      <c r="G69"/>
      <c r="H69"/>
    </row>
    <row r="70" spans="2:8" s="6" customFormat="1">
      <c r="B70"/>
      <c r="C70"/>
      <c r="D70"/>
      <c r="E70"/>
      <c r="F70"/>
      <c r="G70"/>
      <c r="H70"/>
    </row>
    <row r="71" spans="2:8" s="6" customFormat="1">
      <c r="B71"/>
      <c r="C71"/>
      <c r="D71"/>
      <c r="E71"/>
      <c r="F71"/>
      <c r="G71"/>
      <c r="H71"/>
    </row>
    <row r="72" spans="2:8" s="6" customFormat="1">
      <c r="B72"/>
      <c r="C72"/>
      <c r="D72"/>
      <c r="E72"/>
      <c r="F72"/>
      <c r="G72"/>
      <c r="H72"/>
    </row>
    <row r="73" spans="2:8" s="6" customFormat="1">
      <c r="B73"/>
      <c r="C73"/>
      <c r="D73"/>
      <c r="E73"/>
      <c r="F73"/>
      <c r="G73"/>
      <c r="H73"/>
    </row>
    <row r="74" spans="2:8" s="6" customFormat="1">
      <c r="B74"/>
      <c r="C74"/>
      <c r="D74"/>
      <c r="E74"/>
      <c r="F74"/>
      <c r="G74"/>
      <c r="H74"/>
    </row>
    <row r="75" spans="2:8" s="6" customFormat="1">
      <c r="B75"/>
      <c r="C75"/>
      <c r="D75"/>
      <c r="E75"/>
      <c r="F75"/>
      <c r="G75"/>
      <c r="H75"/>
    </row>
    <row r="76" spans="2:8" s="6" customFormat="1">
      <c r="B76"/>
      <c r="C76"/>
      <c r="D76"/>
      <c r="E76"/>
      <c r="F76"/>
      <c r="G76"/>
      <c r="H76"/>
    </row>
    <row r="77" spans="2:8" s="6" customFormat="1">
      <c r="B77"/>
      <c r="C77"/>
      <c r="D77"/>
      <c r="E77"/>
      <c r="F77"/>
      <c r="G77"/>
      <c r="H77"/>
    </row>
    <row r="78" spans="2:8" s="6" customFormat="1">
      <c r="B78"/>
      <c r="C78"/>
      <c r="D78"/>
      <c r="E78"/>
      <c r="F78"/>
      <c r="G78"/>
      <c r="H78"/>
    </row>
    <row r="79" spans="2:8" s="6" customFormat="1">
      <c r="B79"/>
      <c r="C79"/>
      <c r="D79"/>
      <c r="E79"/>
      <c r="F79"/>
      <c r="G79"/>
      <c r="H79"/>
    </row>
    <row r="80" spans="2:8" s="6" customFormat="1">
      <c r="B80"/>
      <c r="C80"/>
      <c r="D80"/>
      <c r="E80"/>
      <c r="F80"/>
      <c r="G80"/>
      <c r="H80"/>
    </row>
    <row r="81" spans="2:8" s="6" customFormat="1">
      <c r="B81"/>
      <c r="C81"/>
      <c r="D81"/>
      <c r="E81"/>
      <c r="F81"/>
      <c r="G81"/>
      <c r="H81"/>
    </row>
    <row r="82" spans="2:8" s="6" customFormat="1">
      <c r="B82"/>
      <c r="C82"/>
      <c r="D82"/>
      <c r="E82"/>
      <c r="F82"/>
      <c r="G82"/>
      <c r="H82"/>
    </row>
    <row r="83" spans="2:8" s="6" customFormat="1">
      <c r="B83"/>
      <c r="C83"/>
      <c r="D83"/>
      <c r="E83"/>
      <c r="F83"/>
      <c r="G83"/>
      <c r="H83"/>
    </row>
    <row r="84" spans="2:8" s="6" customFormat="1">
      <c r="B84"/>
      <c r="C84"/>
      <c r="D84"/>
      <c r="E84"/>
      <c r="F84"/>
      <c r="G84"/>
      <c r="H84"/>
    </row>
    <row r="85" spans="2:8" s="6" customFormat="1">
      <c r="B85"/>
      <c r="C85"/>
      <c r="D85"/>
      <c r="E85"/>
      <c r="F85"/>
      <c r="G85"/>
      <c r="H85"/>
    </row>
    <row r="86" spans="2:8" s="6" customFormat="1">
      <c r="B86"/>
      <c r="C86"/>
      <c r="D86"/>
      <c r="E86"/>
      <c r="F86"/>
      <c r="G86"/>
      <c r="H86"/>
    </row>
    <row r="87" spans="2:8" s="6" customFormat="1">
      <c r="B87"/>
      <c r="C87"/>
      <c r="D87"/>
      <c r="E87"/>
      <c r="F87"/>
      <c r="G87"/>
      <c r="H87"/>
    </row>
    <row r="88" spans="2:8" s="6" customFormat="1">
      <c r="B88"/>
      <c r="C88"/>
      <c r="D88"/>
      <c r="E88"/>
      <c r="F88"/>
      <c r="G88"/>
      <c r="H88"/>
    </row>
    <row r="89" spans="2:8" s="6" customFormat="1">
      <c r="B89"/>
      <c r="C89"/>
      <c r="D89"/>
      <c r="E89"/>
      <c r="F89"/>
      <c r="G89"/>
      <c r="H89"/>
    </row>
    <row r="90" spans="2:8" s="6" customFormat="1">
      <c r="B90"/>
      <c r="C90"/>
      <c r="D90"/>
      <c r="E90"/>
      <c r="F90"/>
      <c r="G90"/>
      <c r="H90"/>
    </row>
    <row r="91" spans="2:8" s="6" customFormat="1">
      <c r="B91"/>
      <c r="C91"/>
      <c r="D91"/>
      <c r="E91"/>
      <c r="F91"/>
      <c r="G91"/>
      <c r="H91"/>
    </row>
    <row r="92" spans="2:8" s="6" customFormat="1">
      <c r="B92"/>
      <c r="C92"/>
      <c r="D92"/>
      <c r="E92"/>
      <c r="F92"/>
      <c r="G92"/>
      <c r="H92"/>
    </row>
    <row r="93" spans="2:8" s="6" customFormat="1">
      <c r="B93"/>
      <c r="C93"/>
      <c r="D93"/>
      <c r="E93"/>
      <c r="F93"/>
      <c r="G93"/>
      <c r="H93"/>
    </row>
    <row r="94" spans="2:8" s="6" customFormat="1" ht="2.25" customHeight="1">
      <c r="B94"/>
      <c r="C94"/>
      <c r="D94"/>
      <c r="E94"/>
      <c r="F94"/>
      <c r="G94"/>
      <c r="H94"/>
    </row>
  </sheetData>
  <dataConsolidate/>
  <customSheetViews>
    <customSheetView guid="{098B2E87-9C52-4BA2-B1C3-E2EE72C3347E}" showGridLines="0" fitToPage="1">
      <colBreaks count="3" manualBreakCount="3">
        <brk id="11" max="1048575" man="1"/>
        <brk id="20" max="1048575" man="1"/>
        <brk id="29" max="1048575" man="1"/>
      </colBreaks>
      <pageMargins left="0.70866141732283472" right="0.70866141732283472" top="0.74803149606299213" bottom="0.74803149606299213" header="0.31496062992125984" footer="0.31496062992125984"/>
      <printOptions horizontalCentered="1"/>
      <pageSetup scale="71" fitToHeight="0" orientation="portrait" r:id="rId1"/>
      <headerFooter alignWithMargins="0">
        <oddFooter>&amp;L&amp;"Arial,Normal"&amp;9&amp;F
&amp;A&amp;C&amp;"Arial,Normal"&amp;10&amp;P de &amp;N&amp;R&amp;"Arial,Normal"&amp;9INSTITUTO NACIONAL DE VIAS
&amp;D</oddFooter>
      </headerFooter>
    </customSheetView>
    <customSheetView guid="{DE67EBC3-31FE-423B-B030-1FFACB67D900}" showGridLines="0" fitToPage="1" topLeftCell="A4">
      <selection activeCell="H19" sqref="H19"/>
      <colBreaks count="3" manualBreakCount="3">
        <brk id="11" max="1048575" man="1"/>
        <brk id="20" max="1048575" man="1"/>
        <brk id="29" max="1048575" man="1"/>
      </colBreaks>
      <pageMargins left="0.70866141732283472" right="0.70866141732283472" top="0.74803149606299213" bottom="0.74803149606299213" header="0.31496062992125984" footer="0.31496062992125984"/>
      <printOptions horizontalCentered="1"/>
      <pageSetup scale="71" fitToHeight="0" orientation="portrait" r:id="rId2"/>
      <headerFooter alignWithMargins="0">
        <oddFooter>&amp;L&amp;"Arial,Normal"&amp;9&amp;F
&amp;A&amp;C&amp;"Arial,Normal"&amp;10&amp;P de &amp;N&amp;R&amp;"Arial,Normal"&amp;9INSTITUTO NACIONAL DE VIAS
&amp;D</oddFooter>
      </headerFooter>
    </customSheetView>
  </customSheetViews>
  <mergeCells count="24">
    <mergeCell ref="B19:H19"/>
    <mergeCell ref="B13:B14"/>
    <mergeCell ref="B20:G20"/>
    <mergeCell ref="C33:G33"/>
    <mergeCell ref="B21:G21"/>
    <mergeCell ref="C31:G31"/>
    <mergeCell ref="C23:H23"/>
    <mergeCell ref="C29:H29"/>
    <mergeCell ref="C32:G32"/>
    <mergeCell ref="M13:M14"/>
    <mergeCell ref="N13:N14"/>
    <mergeCell ref="B1:H1"/>
    <mergeCell ref="B2:H2"/>
    <mergeCell ref="B3:H3"/>
    <mergeCell ref="B6:H6"/>
    <mergeCell ref="B7:H7"/>
    <mergeCell ref="C13:C14"/>
    <mergeCell ref="B4:H4"/>
    <mergeCell ref="D13:E13"/>
    <mergeCell ref="L13:L14"/>
    <mergeCell ref="B9:H9"/>
    <mergeCell ref="B11:H11"/>
    <mergeCell ref="K13:K14"/>
    <mergeCell ref="J13:J14"/>
  </mergeCells>
  <phoneticPr fontId="22" type="noConversion"/>
  <dataValidations count="1">
    <dataValidation type="list" allowBlank="1" showInputMessage="1" showErrorMessage="1" sqref="B4:H4">
      <formula1>DEPENDENCIAS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71" fitToHeight="0" orientation="portrait" r:id="rId3"/>
  <headerFooter alignWithMargins="0">
    <oddFooter>&amp;L&amp;"Arial,Normal"&amp;9&amp;F
&amp;A&amp;C&amp;"Arial,Normal"&amp;10&amp;P de &amp;N&amp;R&amp;"Arial,Normal"&amp;9INSTITUTO NACIONAL DE VIAS
&amp;D</oddFooter>
  </headerFooter>
  <colBreaks count="3" manualBreakCount="3">
    <brk id="11" max="1048575" man="1"/>
    <brk id="20" max="1048575" man="1"/>
    <brk id="29" max="1048575" man="1"/>
  </col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6" name="Button 4">
              <controlPr defaultSize="0" print="0" autoFill="0" autoPict="0" macro="[0]!PublicarV2">
                <anchor moveWithCells="1" sizeWithCells="1">
                  <from>
                    <xdr:col>3</xdr:col>
                    <xdr:colOff>971550</xdr:colOff>
                    <xdr:row>34</xdr:row>
                    <xdr:rowOff>38100</xdr:rowOff>
                  </from>
                  <to>
                    <xdr:col>4</xdr:col>
                    <xdr:colOff>771525</xdr:colOff>
                    <xdr:row>35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theme="6" tint="0.59999389629810485"/>
    <pageSetUpPr autoPageBreaks="0" fitToPage="1"/>
  </sheetPr>
  <dimension ref="B1:S220"/>
  <sheetViews>
    <sheetView showGridLines="0" zoomScale="115" zoomScaleNormal="115" workbookViewId="0">
      <selection activeCell="D23" sqref="D23"/>
    </sheetView>
  </sheetViews>
  <sheetFormatPr baseColWidth="10" defaultRowHeight="15"/>
  <cols>
    <col min="1" max="1" width="1.85546875" customWidth="1"/>
    <col min="2" max="2" width="7.140625" bestFit="1" customWidth="1"/>
    <col min="3" max="3" width="12.85546875" bestFit="1" customWidth="1"/>
    <col min="4" max="4" width="60.28515625" customWidth="1"/>
    <col min="5" max="5" width="11.42578125" bestFit="1" customWidth="1"/>
    <col min="7" max="16" width="2.7109375" style="137" hidden="1" customWidth="1"/>
    <col min="17" max="17" width="0" hidden="1" customWidth="1"/>
    <col min="18" max="18" width="14.7109375" customWidth="1"/>
    <col min="19" max="19" width="23.140625" customWidth="1"/>
  </cols>
  <sheetData>
    <row r="1" spans="2:19" s="4" customFormat="1" ht="15" customHeight="1">
      <c r="B1" s="665" t="s">
        <v>0</v>
      </c>
      <c r="C1" s="665"/>
      <c r="D1" s="665"/>
      <c r="E1" s="665"/>
      <c r="G1" s="412"/>
      <c r="H1" s="412"/>
      <c r="I1" s="412"/>
      <c r="J1" s="412"/>
      <c r="K1" s="412"/>
      <c r="L1" s="412"/>
      <c r="M1" s="412"/>
      <c r="N1" s="412"/>
      <c r="O1" s="412"/>
      <c r="P1" s="412"/>
    </row>
    <row r="2" spans="2:19" s="2" customFormat="1" ht="15" customHeight="1">
      <c r="B2" s="665" t="str">
        <f>+PRESUPUESTOS!B2</f>
        <v>DIRECCIÓN TERRITORIAL HUILA</v>
      </c>
      <c r="C2" s="665"/>
      <c r="D2" s="665"/>
      <c r="E2" s="665"/>
      <c r="G2" s="413"/>
      <c r="H2" s="413"/>
      <c r="I2" s="413"/>
      <c r="J2" s="413"/>
      <c r="K2" s="413"/>
      <c r="L2" s="413"/>
      <c r="M2" s="413"/>
      <c r="N2" s="413"/>
      <c r="O2" s="413"/>
      <c r="P2" s="413"/>
    </row>
    <row r="3" spans="2:19" s="2" customFormat="1" ht="15" customHeight="1">
      <c r="B3" s="665"/>
      <c r="C3" s="665"/>
      <c r="D3" s="665"/>
      <c r="E3" s="665"/>
      <c r="G3" s="413"/>
      <c r="H3" s="413"/>
      <c r="I3" s="413"/>
      <c r="J3" s="413"/>
      <c r="K3" s="413"/>
      <c r="L3" s="413"/>
      <c r="M3" s="413"/>
      <c r="N3" s="413"/>
      <c r="O3" s="413"/>
      <c r="P3" s="413"/>
    </row>
    <row r="4" spans="2:19" s="2" customFormat="1" ht="12.75" customHeight="1">
      <c r="B4" s="665"/>
      <c r="C4" s="665"/>
      <c r="D4" s="665"/>
      <c r="E4" s="665"/>
      <c r="G4" s="413"/>
      <c r="H4" s="413"/>
      <c r="I4" s="413"/>
      <c r="J4" s="413"/>
      <c r="K4" s="413"/>
      <c r="L4" s="413"/>
      <c r="M4" s="413"/>
      <c r="N4" s="413"/>
      <c r="O4" s="413"/>
      <c r="P4" s="413"/>
    </row>
    <row r="5" spans="2:19" s="2" customFormat="1" ht="12.75">
      <c r="B5" s="51"/>
      <c r="C5" s="51"/>
      <c r="D5" s="51"/>
      <c r="E5" s="51"/>
      <c r="G5" s="413"/>
      <c r="H5" s="413"/>
      <c r="I5" s="413"/>
      <c r="J5" s="413"/>
      <c r="K5" s="413"/>
      <c r="L5" s="413"/>
      <c r="M5" s="413"/>
      <c r="N5" s="413"/>
      <c r="O5" s="413"/>
      <c r="P5" s="413"/>
    </row>
    <row r="6" spans="2:19" s="2" customFormat="1" ht="12.75">
      <c r="B6" s="665" t="str">
        <f>+PRESUPUESTOS!B6</f>
        <v>CONCURSO DE MÉRITOS ABIERTO</v>
      </c>
      <c r="C6" s="665"/>
      <c r="D6" s="665"/>
      <c r="E6" s="665"/>
      <c r="G6" s="413"/>
      <c r="H6" s="413"/>
      <c r="I6" s="413"/>
      <c r="J6" s="413"/>
      <c r="K6" s="413"/>
      <c r="L6" s="413"/>
      <c r="M6" s="413"/>
      <c r="N6" s="413"/>
      <c r="O6" s="413"/>
      <c r="P6" s="413"/>
    </row>
    <row r="7" spans="2:19" s="6" customFormat="1" ht="12.75" customHeight="1">
      <c r="B7" s="665" t="str">
        <f>+PRESUPUESTOS!B7</f>
        <v>CMA-DT-HUI-002-2019</v>
      </c>
      <c r="C7" s="665"/>
      <c r="D7" s="665"/>
      <c r="E7" s="665"/>
      <c r="G7" s="414"/>
      <c r="H7" s="414"/>
      <c r="I7" s="414"/>
      <c r="J7" s="414"/>
      <c r="K7" s="414"/>
      <c r="L7" s="414"/>
      <c r="M7" s="414"/>
      <c r="N7" s="414"/>
      <c r="O7" s="414"/>
      <c r="P7" s="414"/>
    </row>
    <row r="8" spans="2:19" s="6" customFormat="1" ht="12.75" customHeight="1">
      <c r="B8" s="51"/>
      <c r="C8" s="51"/>
      <c r="D8" s="51"/>
      <c r="E8" s="51"/>
      <c r="G8" s="414"/>
      <c r="H8" s="414"/>
      <c r="I8" s="414"/>
      <c r="J8" s="414"/>
      <c r="K8" s="414"/>
      <c r="L8" s="414"/>
      <c r="M8" s="414"/>
      <c r="N8" s="414"/>
      <c r="O8" s="414"/>
      <c r="P8" s="414"/>
    </row>
    <row r="9" spans="2:19" s="6" customFormat="1" ht="39" customHeight="1">
      <c r="B9" s="665" t="str">
        <f>PRESUPUESTOS!B9</f>
        <v>OBJETO: "INTERVENTORIA TECNICA, ADMINISTRATIVA, FINANCIERA, AMBIENTAL , ATENCIÓN SITIOS CRITICOS CONSTRUCCIÓN PUENTE QUEBRADA PÌEDRAS NEGRAS MUNICIPIO DE SALADOBLANCO CARRETERA LA CABAÑA-MORELIA, CÓDIGO 19787 (PRODUCTO SITIO CRÍTICO DE RED TERCIARIA ESTABILIZADA).”</v>
      </c>
      <c r="C9" s="665"/>
      <c r="D9" s="665"/>
      <c r="E9" s="665"/>
      <c r="G9" s="414"/>
      <c r="H9" s="414"/>
      <c r="I9" s="414"/>
      <c r="J9" s="414"/>
      <c r="K9" s="414"/>
      <c r="L9" s="414"/>
      <c r="M9" s="414"/>
      <c r="N9" s="414"/>
      <c r="O9" s="414"/>
      <c r="P9" s="414"/>
    </row>
    <row r="10" spans="2:19" s="6" customFormat="1" ht="12.75" customHeight="1">
      <c r="B10" s="51"/>
      <c r="C10" s="51"/>
      <c r="D10" s="51"/>
      <c r="E10" s="51"/>
      <c r="G10" s="414"/>
      <c r="H10" s="414"/>
      <c r="I10" s="414"/>
      <c r="J10" s="414"/>
      <c r="K10" s="414"/>
      <c r="L10" s="414"/>
      <c r="M10" s="414"/>
      <c r="N10" s="414"/>
      <c r="O10" s="414"/>
      <c r="P10" s="414"/>
    </row>
    <row r="11" spans="2:19" s="6" customFormat="1" ht="12.75" customHeight="1">
      <c r="B11" s="665" t="str">
        <f>"MÓDULO No. "&amp;NUMMOD</f>
        <v>MÓDULO No. 1</v>
      </c>
      <c r="C11" s="665"/>
      <c r="D11" s="665"/>
      <c r="E11" s="665"/>
      <c r="G11" s="414"/>
      <c r="H11" s="414"/>
      <c r="I11" s="414"/>
      <c r="J11" s="414"/>
      <c r="K11" s="414"/>
      <c r="L11" s="414"/>
      <c r="M11" s="414"/>
      <c r="N11" s="414"/>
      <c r="O11" s="414"/>
      <c r="P11" s="414"/>
    </row>
    <row r="12" spans="2:19" s="6" customFormat="1" ht="12.75">
      <c r="B12" s="51"/>
      <c r="C12" s="51"/>
      <c r="D12" s="51"/>
      <c r="E12" s="51"/>
      <c r="G12" s="414"/>
      <c r="H12" s="414"/>
      <c r="I12" s="414"/>
      <c r="J12" s="414"/>
      <c r="K12" s="414"/>
      <c r="L12" s="414"/>
      <c r="M12" s="414"/>
      <c r="N12" s="414"/>
      <c r="O12" s="414"/>
      <c r="P12" s="414"/>
    </row>
    <row r="13" spans="2:19" s="6" customFormat="1" ht="12.75" customHeight="1">
      <c r="B13" s="665" t="s">
        <v>28</v>
      </c>
      <c r="C13" s="665"/>
      <c r="D13" s="665"/>
      <c r="E13" s="665"/>
      <c r="G13" s="414"/>
      <c r="H13" s="414"/>
      <c r="I13" s="414"/>
      <c r="J13" s="414"/>
      <c r="K13" s="414"/>
      <c r="L13" s="414"/>
      <c r="M13" s="414"/>
      <c r="N13" s="414"/>
      <c r="O13" s="414"/>
      <c r="P13" s="414"/>
    </row>
    <row r="14" spans="2:19" s="6" customFormat="1" ht="12.75" customHeight="1">
      <c r="B14" s="665" t="s">
        <v>95</v>
      </c>
      <c r="C14" s="665"/>
      <c r="D14" s="665"/>
      <c r="E14" s="665"/>
      <c r="G14" s="414"/>
      <c r="H14" s="414"/>
      <c r="I14" s="414"/>
      <c r="J14" s="414"/>
      <c r="K14" s="414"/>
      <c r="L14" s="414"/>
      <c r="M14" s="414"/>
      <c r="N14" s="414"/>
      <c r="O14" s="414"/>
      <c r="P14" s="414"/>
    </row>
    <row r="15" spans="2:19" s="6" customFormat="1" ht="14.25" customHeight="1" thickBot="1">
      <c r="B15" s="3"/>
      <c r="C15" s="3"/>
      <c r="D15" s="3"/>
      <c r="E15" s="3"/>
      <c r="G15" s="414"/>
      <c r="H15" s="414"/>
      <c r="I15" s="414"/>
      <c r="J15" s="414"/>
      <c r="K15" s="414"/>
      <c r="L15" s="414"/>
      <c r="M15" s="414"/>
      <c r="N15" s="414"/>
      <c r="O15" s="414"/>
      <c r="P15" s="414"/>
    </row>
    <row r="16" spans="2:19" s="6" customFormat="1" ht="18.75" customHeight="1" thickTop="1">
      <c r="B16" s="666" t="s">
        <v>39</v>
      </c>
      <c r="C16" s="180" t="s">
        <v>96</v>
      </c>
      <c r="D16" s="668" t="s">
        <v>97</v>
      </c>
      <c r="E16" s="669"/>
      <c r="F16" s="285"/>
      <c r="G16" s="662" t="s">
        <v>251</v>
      </c>
      <c r="H16" s="663"/>
      <c r="I16" s="663"/>
      <c r="J16" s="663"/>
      <c r="K16" s="663"/>
      <c r="L16" s="663"/>
      <c r="M16" s="663"/>
      <c r="N16" s="663"/>
      <c r="O16" s="663"/>
      <c r="P16" s="664"/>
      <c r="R16" s="661" t="s">
        <v>337</v>
      </c>
      <c r="S16" s="661"/>
    </row>
    <row r="17" spans="2:19" s="6" customFormat="1" ht="26.25" thickBot="1">
      <c r="B17" s="667"/>
      <c r="C17" s="181" t="s">
        <v>3</v>
      </c>
      <c r="D17" s="181" t="s">
        <v>98</v>
      </c>
      <c r="E17" s="182" t="s">
        <v>57</v>
      </c>
      <c r="F17" s="285"/>
      <c r="G17" s="424">
        <v>1</v>
      </c>
      <c r="H17" s="425">
        <v>2</v>
      </c>
      <c r="I17" s="425">
        <v>3</v>
      </c>
      <c r="J17" s="425">
        <v>4</v>
      </c>
      <c r="K17" s="425">
        <v>5</v>
      </c>
      <c r="L17" s="425">
        <v>6</v>
      </c>
      <c r="M17" s="425">
        <v>7</v>
      </c>
      <c r="N17" s="425">
        <v>8</v>
      </c>
      <c r="O17" s="425">
        <v>9</v>
      </c>
      <c r="P17" s="426">
        <v>10</v>
      </c>
      <c r="R17" s="661"/>
      <c r="S17" s="661"/>
    </row>
    <row r="18" spans="2:19" s="7" customFormat="1" ht="2.25" customHeight="1">
      <c r="B18" s="39"/>
      <c r="C18" s="19"/>
      <c r="D18" s="19"/>
      <c r="E18" s="19"/>
      <c r="F18" s="286"/>
      <c r="G18" s="416"/>
      <c r="H18" s="417"/>
      <c r="I18" s="417"/>
      <c r="J18" s="417"/>
      <c r="K18" s="417"/>
      <c r="L18" s="417"/>
      <c r="M18" s="417"/>
      <c r="N18" s="417"/>
      <c r="O18" s="417"/>
      <c r="P18" s="418"/>
      <c r="R18" s="522"/>
      <c r="S18" s="523"/>
    </row>
    <row r="19" spans="2:19" s="6" customFormat="1" ht="15" customHeight="1">
      <c r="B19" s="185">
        <v>1</v>
      </c>
      <c r="C19" s="184">
        <v>1</v>
      </c>
      <c r="D19" s="287" t="s">
        <v>407</v>
      </c>
      <c r="E19" s="183">
        <v>3</v>
      </c>
      <c r="F19" s="285"/>
      <c r="G19" s="419"/>
      <c r="H19" s="415"/>
      <c r="I19" s="415"/>
      <c r="J19" s="415"/>
      <c r="K19" s="415"/>
      <c r="L19" s="415"/>
      <c r="M19" s="415"/>
      <c r="N19" s="415"/>
      <c r="O19" s="415"/>
      <c r="P19" s="420"/>
      <c r="R19" s="524">
        <f t="shared" ref="R19:R50" si="0">COUNTIF($D$19:$D$218,D19)</f>
        <v>1</v>
      </c>
      <c r="S19" s="524" t="str">
        <f>IF(R19=1,"NOMBRE OK","NOMBRE REPETIDO")</f>
        <v>NOMBRE OK</v>
      </c>
    </row>
    <row r="20" spans="2:19" s="6" customFormat="1" ht="15" customHeight="1">
      <c r="B20" s="185">
        <v>2</v>
      </c>
      <c r="C20" s="184">
        <v>2</v>
      </c>
      <c r="D20" s="287" t="s">
        <v>418</v>
      </c>
      <c r="E20" s="183">
        <v>3</v>
      </c>
      <c r="F20" s="285"/>
      <c r="G20" s="419"/>
      <c r="H20" s="415"/>
      <c r="I20" s="415"/>
      <c r="J20" s="415"/>
      <c r="K20" s="415"/>
      <c r="L20" s="415"/>
      <c r="M20" s="415"/>
      <c r="N20" s="415"/>
      <c r="O20" s="415"/>
      <c r="P20" s="420"/>
      <c r="R20" s="524">
        <f t="shared" si="0"/>
        <v>1</v>
      </c>
      <c r="S20" s="524" t="str">
        <f t="shared" ref="S20:S83" si="1">IF(R20=1,"NOMBRE OK","NOMBRE REPETIDO")</f>
        <v>NOMBRE OK</v>
      </c>
    </row>
    <row r="21" spans="2:19" s="6" customFormat="1" ht="15" customHeight="1">
      <c r="B21" s="185">
        <v>3</v>
      </c>
      <c r="C21" s="184">
        <v>3</v>
      </c>
      <c r="D21" s="287" t="s">
        <v>354</v>
      </c>
      <c r="E21" s="183">
        <v>1</v>
      </c>
      <c r="F21" s="285"/>
      <c r="G21" s="419"/>
      <c r="H21" s="415"/>
      <c r="I21" s="415"/>
      <c r="J21" s="415"/>
      <c r="K21" s="415"/>
      <c r="L21" s="415"/>
      <c r="M21" s="415"/>
      <c r="N21" s="415"/>
      <c r="O21" s="415"/>
      <c r="P21" s="420"/>
      <c r="R21" s="524">
        <f t="shared" si="0"/>
        <v>1</v>
      </c>
      <c r="S21" s="524" t="str">
        <f t="shared" si="1"/>
        <v>NOMBRE OK</v>
      </c>
    </row>
    <row r="22" spans="2:19" s="6" customFormat="1" ht="12.75">
      <c r="B22" s="185">
        <v>4</v>
      </c>
      <c r="C22" s="184">
        <v>4</v>
      </c>
      <c r="D22" s="287" t="s">
        <v>462</v>
      </c>
      <c r="E22" s="183">
        <v>1</v>
      </c>
      <c r="F22" s="285"/>
      <c r="G22" s="419"/>
      <c r="H22" s="415"/>
      <c r="I22" s="415"/>
      <c r="J22" s="415"/>
      <c r="K22" s="415"/>
      <c r="L22" s="415"/>
      <c r="M22" s="415"/>
      <c r="N22" s="415"/>
      <c r="O22" s="415"/>
      <c r="P22" s="420"/>
      <c r="R22" s="524">
        <f t="shared" si="0"/>
        <v>1</v>
      </c>
      <c r="S22" s="524" t="str">
        <f t="shared" si="1"/>
        <v>NOMBRE OK</v>
      </c>
    </row>
    <row r="23" spans="2:19" s="6" customFormat="1" ht="12.75">
      <c r="B23" s="185"/>
      <c r="C23" s="184"/>
      <c r="D23" s="287"/>
      <c r="E23" s="183"/>
      <c r="F23" s="285"/>
      <c r="G23" s="419"/>
      <c r="H23" s="415"/>
      <c r="I23" s="415"/>
      <c r="J23" s="415"/>
      <c r="K23" s="415"/>
      <c r="L23" s="415"/>
      <c r="M23" s="415"/>
      <c r="N23" s="415"/>
      <c r="O23" s="415"/>
      <c r="P23" s="420"/>
      <c r="R23" s="524">
        <f t="shared" si="0"/>
        <v>0</v>
      </c>
      <c r="S23" s="524" t="str">
        <f t="shared" si="1"/>
        <v>NOMBRE REPETIDO</v>
      </c>
    </row>
    <row r="24" spans="2:19" s="6" customFormat="1" ht="12.75">
      <c r="B24" s="185"/>
      <c r="C24" s="184"/>
      <c r="D24" s="287"/>
      <c r="E24" s="183"/>
      <c r="F24" s="285"/>
      <c r="G24" s="419"/>
      <c r="H24" s="415"/>
      <c r="I24" s="415"/>
      <c r="J24" s="415"/>
      <c r="K24" s="415"/>
      <c r="L24" s="415"/>
      <c r="M24" s="415"/>
      <c r="N24" s="415"/>
      <c r="O24" s="415"/>
      <c r="P24" s="420"/>
      <c r="R24" s="524">
        <f t="shared" si="0"/>
        <v>0</v>
      </c>
      <c r="S24" s="524" t="str">
        <f t="shared" si="1"/>
        <v>NOMBRE REPETIDO</v>
      </c>
    </row>
    <row r="25" spans="2:19" s="6" customFormat="1" ht="12.75">
      <c r="B25" s="185"/>
      <c r="C25" s="184"/>
      <c r="D25" s="287"/>
      <c r="E25" s="183"/>
      <c r="F25" s="285"/>
      <c r="G25" s="419"/>
      <c r="H25" s="415"/>
      <c r="I25" s="415"/>
      <c r="J25" s="415"/>
      <c r="K25" s="415"/>
      <c r="L25" s="415"/>
      <c r="M25" s="415"/>
      <c r="N25" s="415"/>
      <c r="O25" s="415"/>
      <c r="P25" s="420"/>
      <c r="R25" s="524">
        <f t="shared" si="0"/>
        <v>0</v>
      </c>
      <c r="S25" s="524" t="str">
        <f t="shared" si="1"/>
        <v>NOMBRE REPETIDO</v>
      </c>
    </row>
    <row r="26" spans="2:19" s="6" customFormat="1" ht="12.75">
      <c r="B26" s="185"/>
      <c r="C26" s="184"/>
      <c r="D26" s="287"/>
      <c r="E26" s="183"/>
      <c r="F26" s="285"/>
      <c r="G26" s="419"/>
      <c r="H26" s="415"/>
      <c r="I26" s="415"/>
      <c r="J26" s="415"/>
      <c r="K26" s="415"/>
      <c r="L26" s="415"/>
      <c r="M26" s="415"/>
      <c r="N26" s="415"/>
      <c r="O26" s="415"/>
      <c r="P26" s="420"/>
      <c r="R26" s="524">
        <f t="shared" si="0"/>
        <v>0</v>
      </c>
      <c r="S26" s="524" t="str">
        <f t="shared" si="1"/>
        <v>NOMBRE REPETIDO</v>
      </c>
    </row>
    <row r="27" spans="2:19" s="6" customFormat="1" ht="12.75">
      <c r="B27" s="185"/>
      <c r="C27" s="184"/>
      <c r="D27" s="287"/>
      <c r="E27" s="183"/>
      <c r="F27" s="285"/>
      <c r="G27" s="419"/>
      <c r="H27" s="415"/>
      <c r="I27" s="415"/>
      <c r="J27" s="415"/>
      <c r="K27" s="415"/>
      <c r="L27" s="415"/>
      <c r="M27" s="415"/>
      <c r="N27" s="415"/>
      <c r="O27" s="415"/>
      <c r="P27" s="420"/>
      <c r="R27" s="524">
        <f t="shared" si="0"/>
        <v>0</v>
      </c>
      <c r="S27" s="524" t="str">
        <f t="shared" si="1"/>
        <v>NOMBRE REPETIDO</v>
      </c>
    </row>
    <row r="28" spans="2:19" s="6" customFormat="1" ht="12.75">
      <c r="B28" s="185"/>
      <c r="C28" s="184"/>
      <c r="D28" s="287"/>
      <c r="E28" s="183"/>
      <c r="F28" s="285"/>
      <c r="G28" s="419"/>
      <c r="H28" s="415"/>
      <c r="I28" s="415"/>
      <c r="J28" s="415"/>
      <c r="K28" s="415"/>
      <c r="L28" s="415"/>
      <c r="M28" s="415"/>
      <c r="N28" s="415"/>
      <c r="O28" s="415"/>
      <c r="P28" s="420"/>
      <c r="R28" s="524">
        <f t="shared" si="0"/>
        <v>0</v>
      </c>
      <c r="S28" s="524" t="str">
        <f t="shared" si="1"/>
        <v>NOMBRE REPETIDO</v>
      </c>
    </row>
    <row r="29" spans="2:19" s="6" customFormat="1" ht="12.75">
      <c r="B29" s="185"/>
      <c r="C29" s="184"/>
      <c r="D29" s="287"/>
      <c r="E29" s="183"/>
      <c r="F29" s="285"/>
      <c r="G29" s="419"/>
      <c r="H29" s="415"/>
      <c r="I29" s="415"/>
      <c r="J29" s="415"/>
      <c r="K29" s="415"/>
      <c r="L29" s="415"/>
      <c r="M29" s="415"/>
      <c r="N29" s="415"/>
      <c r="O29" s="415"/>
      <c r="P29" s="420"/>
      <c r="R29" s="524">
        <f t="shared" si="0"/>
        <v>0</v>
      </c>
      <c r="S29" s="524" t="str">
        <f t="shared" si="1"/>
        <v>NOMBRE REPETIDO</v>
      </c>
    </row>
    <row r="30" spans="2:19" s="6" customFormat="1" ht="12.75">
      <c r="B30" s="185"/>
      <c r="C30" s="184"/>
      <c r="D30" s="287"/>
      <c r="E30" s="183"/>
      <c r="F30" s="285"/>
      <c r="G30" s="419"/>
      <c r="H30" s="415"/>
      <c r="I30" s="415"/>
      <c r="J30" s="415"/>
      <c r="K30" s="415"/>
      <c r="L30" s="415"/>
      <c r="M30" s="415"/>
      <c r="N30" s="415"/>
      <c r="O30" s="415"/>
      <c r="P30" s="420"/>
      <c r="R30" s="524">
        <f t="shared" si="0"/>
        <v>0</v>
      </c>
      <c r="S30" s="524" t="str">
        <f t="shared" si="1"/>
        <v>NOMBRE REPETIDO</v>
      </c>
    </row>
    <row r="31" spans="2:19" s="6" customFormat="1" ht="12.75">
      <c r="B31" s="185"/>
      <c r="C31" s="184"/>
      <c r="D31" s="287"/>
      <c r="E31" s="183"/>
      <c r="F31" s="285"/>
      <c r="G31" s="419"/>
      <c r="H31" s="415"/>
      <c r="I31" s="415"/>
      <c r="J31" s="415"/>
      <c r="K31" s="415"/>
      <c r="L31" s="415"/>
      <c r="M31" s="415"/>
      <c r="N31" s="415"/>
      <c r="O31" s="415"/>
      <c r="P31" s="420"/>
      <c r="R31" s="524">
        <f t="shared" si="0"/>
        <v>0</v>
      </c>
      <c r="S31" s="524" t="str">
        <f t="shared" si="1"/>
        <v>NOMBRE REPETIDO</v>
      </c>
    </row>
    <row r="32" spans="2:19" s="6" customFormat="1" ht="12.75">
      <c r="B32" s="185"/>
      <c r="C32" s="184"/>
      <c r="D32" s="287"/>
      <c r="E32" s="183"/>
      <c r="F32" s="285"/>
      <c r="G32" s="419"/>
      <c r="H32" s="415"/>
      <c r="I32" s="415"/>
      <c r="J32" s="415"/>
      <c r="K32" s="415"/>
      <c r="L32" s="415"/>
      <c r="M32" s="415"/>
      <c r="N32" s="415"/>
      <c r="O32" s="415"/>
      <c r="P32" s="420"/>
      <c r="R32" s="524">
        <f t="shared" si="0"/>
        <v>0</v>
      </c>
      <c r="S32" s="524" t="str">
        <f t="shared" si="1"/>
        <v>NOMBRE REPETIDO</v>
      </c>
    </row>
    <row r="33" spans="2:19" s="6" customFormat="1" ht="12.75" hidden="1">
      <c r="B33" s="185"/>
      <c r="C33" s="184"/>
      <c r="D33" s="287"/>
      <c r="E33" s="183"/>
      <c r="F33" s="285"/>
      <c r="G33" s="419"/>
      <c r="H33" s="415"/>
      <c r="I33" s="415"/>
      <c r="J33" s="415"/>
      <c r="K33" s="415"/>
      <c r="L33" s="415"/>
      <c r="M33" s="415"/>
      <c r="N33" s="415"/>
      <c r="O33" s="415"/>
      <c r="P33" s="420"/>
      <c r="R33" s="524">
        <f t="shared" si="0"/>
        <v>0</v>
      </c>
      <c r="S33" s="524" t="str">
        <f t="shared" si="1"/>
        <v>NOMBRE REPETIDO</v>
      </c>
    </row>
    <row r="34" spans="2:19" s="6" customFormat="1" ht="12.75" hidden="1">
      <c r="B34" s="185"/>
      <c r="C34" s="184"/>
      <c r="D34" s="287"/>
      <c r="E34" s="183"/>
      <c r="F34" s="285"/>
      <c r="G34" s="419"/>
      <c r="H34" s="415"/>
      <c r="I34" s="415"/>
      <c r="J34" s="415"/>
      <c r="K34" s="415"/>
      <c r="L34" s="415"/>
      <c r="M34" s="415"/>
      <c r="N34" s="415"/>
      <c r="O34" s="415"/>
      <c r="P34" s="420"/>
      <c r="R34" s="524">
        <f t="shared" si="0"/>
        <v>0</v>
      </c>
      <c r="S34" s="524" t="str">
        <f t="shared" si="1"/>
        <v>NOMBRE REPETIDO</v>
      </c>
    </row>
    <row r="35" spans="2:19" s="6" customFormat="1" ht="12.75" hidden="1">
      <c r="B35" s="185"/>
      <c r="C35" s="184"/>
      <c r="D35" s="287"/>
      <c r="E35" s="183"/>
      <c r="F35" s="285"/>
      <c r="G35" s="419"/>
      <c r="H35" s="415"/>
      <c r="I35" s="415"/>
      <c r="J35" s="415"/>
      <c r="K35" s="415"/>
      <c r="L35" s="415"/>
      <c r="M35" s="415"/>
      <c r="N35" s="415"/>
      <c r="O35" s="415"/>
      <c r="P35" s="420"/>
      <c r="R35" s="524">
        <f t="shared" si="0"/>
        <v>0</v>
      </c>
      <c r="S35" s="524" t="str">
        <f t="shared" si="1"/>
        <v>NOMBRE REPETIDO</v>
      </c>
    </row>
    <row r="36" spans="2:19" s="6" customFormat="1" ht="12.75" hidden="1">
      <c r="B36" s="185"/>
      <c r="C36" s="184"/>
      <c r="D36" s="287"/>
      <c r="E36" s="183"/>
      <c r="F36" s="285"/>
      <c r="G36" s="419"/>
      <c r="H36" s="415"/>
      <c r="I36" s="415"/>
      <c r="J36" s="415"/>
      <c r="K36" s="415"/>
      <c r="L36" s="415"/>
      <c r="M36" s="415"/>
      <c r="N36" s="415"/>
      <c r="O36" s="415"/>
      <c r="P36" s="420"/>
      <c r="R36" s="524">
        <f t="shared" si="0"/>
        <v>0</v>
      </c>
      <c r="S36" s="524" t="str">
        <f t="shared" si="1"/>
        <v>NOMBRE REPETIDO</v>
      </c>
    </row>
    <row r="37" spans="2:19" s="6" customFormat="1" ht="12.75" hidden="1">
      <c r="B37" s="185"/>
      <c r="C37" s="184"/>
      <c r="D37" s="287"/>
      <c r="E37" s="183"/>
      <c r="F37" s="285"/>
      <c r="G37" s="419"/>
      <c r="H37" s="415"/>
      <c r="I37" s="415"/>
      <c r="J37" s="415"/>
      <c r="K37" s="415"/>
      <c r="L37" s="415"/>
      <c r="M37" s="415"/>
      <c r="N37" s="415"/>
      <c r="O37" s="415"/>
      <c r="P37" s="420"/>
      <c r="R37" s="524">
        <f t="shared" si="0"/>
        <v>0</v>
      </c>
      <c r="S37" s="524" t="str">
        <f t="shared" si="1"/>
        <v>NOMBRE REPETIDO</v>
      </c>
    </row>
    <row r="38" spans="2:19" s="6" customFormat="1" ht="12.75" hidden="1">
      <c r="B38" s="185"/>
      <c r="C38" s="184"/>
      <c r="D38" s="287"/>
      <c r="E38" s="183"/>
      <c r="F38" s="285"/>
      <c r="G38" s="419"/>
      <c r="H38" s="415"/>
      <c r="I38" s="415"/>
      <c r="J38" s="415"/>
      <c r="K38" s="415"/>
      <c r="L38" s="415"/>
      <c r="M38" s="415"/>
      <c r="N38" s="415"/>
      <c r="O38" s="415"/>
      <c r="P38" s="420"/>
      <c r="R38" s="524">
        <f t="shared" si="0"/>
        <v>0</v>
      </c>
      <c r="S38" s="524" t="str">
        <f t="shared" si="1"/>
        <v>NOMBRE REPETIDO</v>
      </c>
    </row>
    <row r="39" spans="2:19" s="6" customFormat="1" ht="12.75" hidden="1">
      <c r="B39" s="185"/>
      <c r="C39" s="184"/>
      <c r="D39" s="287"/>
      <c r="E39" s="183"/>
      <c r="F39" s="285"/>
      <c r="G39" s="419"/>
      <c r="H39" s="415"/>
      <c r="I39" s="415"/>
      <c r="J39" s="415"/>
      <c r="K39" s="415"/>
      <c r="L39" s="415"/>
      <c r="M39" s="415"/>
      <c r="N39" s="415"/>
      <c r="O39" s="415"/>
      <c r="P39" s="420"/>
      <c r="R39" s="524">
        <f t="shared" si="0"/>
        <v>0</v>
      </c>
      <c r="S39" s="524" t="str">
        <f t="shared" si="1"/>
        <v>NOMBRE REPETIDO</v>
      </c>
    </row>
    <row r="40" spans="2:19" s="6" customFormat="1" ht="12.75" hidden="1">
      <c r="B40" s="185"/>
      <c r="C40" s="184"/>
      <c r="D40" s="287"/>
      <c r="E40" s="183"/>
      <c r="F40" s="285"/>
      <c r="G40" s="419"/>
      <c r="H40" s="415"/>
      <c r="I40" s="415"/>
      <c r="J40" s="415"/>
      <c r="K40" s="415"/>
      <c r="L40" s="415"/>
      <c r="M40" s="415"/>
      <c r="N40" s="415"/>
      <c r="O40" s="415"/>
      <c r="P40" s="420"/>
      <c r="R40" s="524">
        <f t="shared" si="0"/>
        <v>0</v>
      </c>
      <c r="S40" s="524" t="str">
        <f t="shared" si="1"/>
        <v>NOMBRE REPETIDO</v>
      </c>
    </row>
    <row r="41" spans="2:19" s="6" customFormat="1" ht="12.75" hidden="1">
      <c r="B41" s="185"/>
      <c r="C41" s="184"/>
      <c r="D41" s="287"/>
      <c r="E41" s="183"/>
      <c r="F41" s="285"/>
      <c r="G41" s="419"/>
      <c r="H41" s="415"/>
      <c r="I41" s="415"/>
      <c r="J41" s="415"/>
      <c r="K41" s="415"/>
      <c r="L41" s="415"/>
      <c r="M41" s="415"/>
      <c r="N41" s="415"/>
      <c r="O41" s="415"/>
      <c r="P41" s="420"/>
      <c r="R41" s="524">
        <f t="shared" si="0"/>
        <v>0</v>
      </c>
      <c r="S41" s="524" t="str">
        <f t="shared" si="1"/>
        <v>NOMBRE REPETIDO</v>
      </c>
    </row>
    <row r="42" spans="2:19" s="6" customFormat="1" ht="12.75" hidden="1">
      <c r="B42" s="185"/>
      <c r="C42" s="184"/>
      <c r="D42" s="287"/>
      <c r="E42" s="183"/>
      <c r="F42" s="285"/>
      <c r="G42" s="419"/>
      <c r="H42" s="415"/>
      <c r="I42" s="415"/>
      <c r="J42" s="415"/>
      <c r="K42" s="415"/>
      <c r="L42" s="415"/>
      <c r="M42" s="415"/>
      <c r="N42" s="415"/>
      <c r="O42" s="415"/>
      <c r="P42" s="420"/>
      <c r="R42" s="524">
        <f t="shared" si="0"/>
        <v>0</v>
      </c>
      <c r="S42" s="524" t="str">
        <f t="shared" si="1"/>
        <v>NOMBRE REPETIDO</v>
      </c>
    </row>
    <row r="43" spans="2:19" s="6" customFormat="1" ht="12.75" hidden="1">
      <c r="B43" s="185"/>
      <c r="C43" s="184"/>
      <c r="D43" s="287"/>
      <c r="E43" s="183"/>
      <c r="F43" s="285"/>
      <c r="G43" s="419"/>
      <c r="H43" s="415"/>
      <c r="I43" s="415"/>
      <c r="J43" s="415"/>
      <c r="K43" s="415"/>
      <c r="L43" s="415"/>
      <c r="M43" s="415"/>
      <c r="N43" s="415"/>
      <c r="O43" s="415"/>
      <c r="P43" s="420"/>
      <c r="R43" s="524">
        <f t="shared" si="0"/>
        <v>0</v>
      </c>
      <c r="S43" s="524" t="str">
        <f t="shared" si="1"/>
        <v>NOMBRE REPETIDO</v>
      </c>
    </row>
    <row r="44" spans="2:19" s="6" customFormat="1" ht="12.75" hidden="1">
      <c r="B44" s="185"/>
      <c r="C44" s="184"/>
      <c r="D44" s="287"/>
      <c r="E44" s="183"/>
      <c r="F44" s="285"/>
      <c r="G44" s="419"/>
      <c r="H44" s="415"/>
      <c r="I44" s="415"/>
      <c r="J44" s="415"/>
      <c r="K44" s="415"/>
      <c r="L44" s="415"/>
      <c r="M44" s="415"/>
      <c r="N44" s="415"/>
      <c r="O44" s="415"/>
      <c r="P44" s="420"/>
      <c r="R44" s="524">
        <f t="shared" si="0"/>
        <v>0</v>
      </c>
      <c r="S44" s="524" t="str">
        <f t="shared" si="1"/>
        <v>NOMBRE REPETIDO</v>
      </c>
    </row>
    <row r="45" spans="2:19" s="6" customFormat="1" ht="12.75" hidden="1">
      <c r="B45" s="185"/>
      <c r="C45" s="184"/>
      <c r="D45" s="287"/>
      <c r="E45" s="183"/>
      <c r="F45" s="285"/>
      <c r="G45" s="419"/>
      <c r="H45" s="415"/>
      <c r="I45" s="415"/>
      <c r="J45" s="415"/>
      <c r="K45" s="415"/>
      <c r="L45" s="415"/>
      <c r="M45" s="415"/>
      <c r="N45" s="415"/>
      <c r="O45" s="415"/>
      <c r="P45" s="420"/>
      <c r="R45" s="524">
        <f t="shared" si="0"/>
        <v>0</v>
      </c>
      <c r="S45" s="524" t="str">
        <f t="shared" si="1"/>
        <v>NOMBRE REPETIDO</v>
      </c>
    </row>
    <row r="46" spans="2:19" s="6" customFormat="1" ht="12.75" hidden="1">
      <c r="B46" s="185"/>
      <c r="C46" s="184"/>
      <c r="D46" s="287"/>
      <c r="E46" s="183"/>
      <c r="F46" s="285"/>
      <c r="G46" s="419"/>
      <c r="H46" s="415"/>
      <c r="I46" s="415"/>
      <c r="J46" s="415"/>
      <c r="K46" s="415"/>
      <c r="L46" s="415"/>
      <c r="M46" s="415"/>
      <c r="N46" s="415"/>
      <c r="O46" s="415"/>
      <c r="P46" s="420"/>
      <c r="R46" s="524">
        <f t="shared" si="0"/>
        <v>0</v>
      </c>
      <c r="S46" s="524" t="str">
        <f t="shared" si="1"/>
        <v>NOMBRE REPETIDO</v>
      </c>
    </row>
    <row r="47" spans="2:19" s="6" customFormat="1" ht="12.75" hidden="1">
      <c r="B47" s="185"/>
      <c r="C47" s="184"/>
      <c r="D47" s="287"/>
      <c r="E47" s="183"/>
      <c r="F47" s="285"/>
      <c r="G47" s="419"/>
      <c r="H47" s="415"/>
      <c r="I47" s="415"/>
      <c r="J47" s="415"/>
      <c r="K47" s="415"/>
      <c r="L47" s="415"/>
      <c r="M47" s="415"/>
      <c r="N47" s="415"/>
      <c r="O47" s="415"/>
      <c r="P47" s="420"/>
      <c r="R47" s="524">
        <f t="shared" si="0"/>
        <v>0</v>
      </c>
      <c r="S47" s="524" t="str">
        <f t="shared" si="1"/>
        <v>NOMBRE REPETIDO</v>
      </c>
    </row>
    <row r="48" spans="2:19" s="6" customFormat="1" ht="12.75" hidden="1">
      <c r="B48" s="185"/>
      <c r="C48" s="184"/>
      <c r="D48" s="287"/>
      <c r="E48" s="183"/>
      <c r="F48" s="285"/>
      <c r="G48" s="419"/>
      <c r="H48" s="415"/>
      <c r="I48" s="415"/>
      <c r="J48" s="415"/>
      <c r="K48" s="415"/>
      <c r="L48" s="415"/>
      <c r="M48" s="415"/>
      <c r="N48" s="415"/>
      <c r="O48" s="415"/>
      <c r="P48" s="420"/>
      <c r="R48" s="524">
        <f t="shared" si="0"/>
        <v>0</v>
      </c>
      <c r="S48" s="524" t="str">
        <f t="shared" si="1"/>
        <v>NOMBRE REPETIDO</v>
      </c>
    </row>
    <row r="49" spans="2:19" s="6" customFormat="1" ht="12.75" hidden="1">
      <c r="B49" s="185"/>
      <c r="C49" s="184"/>
      <c r="D49" s="287"/>
      <c r="E49" s="183"/>
      <c r="F49" s="285"/>
      <c r="G49" s="419"/>
      <c r="H49" s="415"/>
      <c r="I49" s="415"/>
      <c r="J49" s="415"/>
      <c r="K49" s="415"/>
      <c r="L49" s="415"/>
      <c r="M49" s="415"/>
      <c r="N49" s="415"/>
      <c r="O49" s="415"/>
      <c r="P49" s="420"/>
      <c r="R49" s="524">
        <f t="shared" si="0"/>
        <v>0</v>
      </c>
      <c r="S49" s="524" t="str">
        <f t="shared" si="1"/>
        <v>NOMBRE REPETIDO</v>
      </c>
    </row>
    <row r="50" spans="2:19" s="6" customFormat="1" ht="12.75" hidden="1">
      <c r="B50" s="185"/>
      <c r="C50" s="184"/>
      <c r="D50" s="287"/>
      <c r="E50" s="183"/>
      <c r="F50" s="285"/>
      <c r="G50" s="419"/>
      <c r="H50" s="415"/>
      <c r="I50" s="415"/>
      <c r="J50" s="415"/>
      <c r="K50" s="415"/>
      <c r="L50" s="415"/>
      <c r="M50" s="415"/>
      <c r="N50" s="415"/>
      <c r="O50" s="415"/>
      <c r="P50" s="420"/>
      <c r="R50" s="524">
        <f t="shared" si="0"/>
        <v>0</v>
      </c>
      <c r="S50" s="524" t="str">
        <f t="shared" si="1"/>
        <v>NOMBRE REPETIDO</v>
      </c>
    </row>
    <row r="51" spans="2:19" s="6" customFormat="1" ht="12.75" hidden="1">
      <c r="B51" s="185"/>
      <c r="C51" s="184"/>
      <c r="D51" s="287"/>
      <c r="E51" s="183"/>
      <c r="F51" s="285"/>
      <c r="G51" s="419"/>
      <c r="H51" s="415"/>
      <c r="I51" s="415"/>
      <c r="J51" s="415"/>
      <c r="K51" s="415"/>
      <c r="L51" s="415"/>
      <c r="M51" s="415"/>
      <c r="N51" s="415"/>
      <c r="O51" s="415"/>
      <c r="P51" s="420"/>
      <c r="R51" s="524">
        <f t="shared" ref="R51:R82" si="2">COUNTIF($D$19:$D$218,D51)</f>
        <v>0</v>
      </c>
      <c r="S51" s="524" t="str">
        <f t="shared" si="1"/>
        <v>NOMBRE REPETIDO</v>
      </c>
    </row>
    <row r="52" spans="2:19" s="6" customFormat="1" ht="12.75" hidden="1">
      <c r="B52" s="185"/>
      <c r="C52" s="184"/>
      <c r="D52" s="287"/>
      <c r="E52" s="183"/>
      <c r="F52" s="285"/>
      <c r="G52" s="419"/>
      <c r="H52" s="415"/>
      <c r="I52" s="415"/>
      <c r="J52" s="415"/>
      <c r="K52" s="415"/>
      <c r="L52" s="415"/>
      <c r="M52" s="415"/>
      <c r="N52" s="415"/>
      <c r="O52" s="415"/>
      <c r="P52" s="420"/>
      <c r="R52" s="524">
        <f t="shared" si="2"/>
        <v>0</v>
      </c>
      <c r="S52" s="524" t="str">
        <f t="shared" si="1"/>
        <v>NOMBRE REPETIDO</v>
      </c>
    </row>
    <row r="53" spans="2:19" s="6" customFormat="1" ht="12.75" hidden="1">
      <c r="B53" s="185"/>
      <c r="C53" s="184"/>
      <c r="D53" s="287"/>
      <c r="E53" s="183"/>
      <c r="F53" s="285"/>
      <c r="G53" s="419"/>
      <c r="H53" s="415"/>
      <c r="I53" s="415"/>
      <c r="J53" s="415"/>
      <c r="K53" s="415"/>
      <c r="L53" s="415"/>
      <c r="M53" s="415"/>
      <c r="N53" s="415"/>
      <c r="O53" s="415"/>
      <c r="P53" s="420"/>
      <c r="R53" s="524">
        <f t="shared" si="2"/>
        <v>0</v>
      </c>
      <c r="S53" s="524" t="str">
        <f t="shared" si="1"/>
        <v>NOMBRE REPETIDO</v>
      </c>
    </row>
    <row r="54" spans="2:19" s="6" customFormat="1" ht="12.75" hidden="1">
      <c r="B54" s="185"/>
      <c r="C54" s="184"/>
      <c r="D54" s="287"/>
      <c r="E54" s="183"/>
      <c r="F54" s="285"/>
      <c r="G54" s="419"/>
      <c r="H54" s="415"/>
      <c r="I54" s="415"/>
      <c r="J54" s="415"/>
      <c r="K54" s="415"/>
      <c r="L54" s="415"/>
      <c r="M54" s="415"/>
      <c r="N54" s="415"/>
      <c r="O54" s="415"/>
      <c r="P54" s="420"/>
      <c r="R54" s="524">
        <f t="shared" si="2"/>
        <v>0</v>
      </c>
      <c r="S54" s="524" t="str">
        <f t="shared" si="1"/>
        <v>NOMBRE REPETIDO</v>
      </c>
    </row>
    <row r="55" spans="2:19" s="6" customFormat="1" ht="12.75" hidden="1">
      <c r="B55" s="185"/>
      <c r="C55" s="184"/>
      <c r="D55" s="287"/>
      <c r="E55" s="183"/>
      <c r="F55" s="285"/>
      <c r="G55" s="419"/>
      <c r="H55" s="415"/>
      <c r="I55" s="415"/>
      <c r="J55" s="415"/>
      <c r="K55" s="415"/>
      <c r="L55" s="415"/>
      <c r="M55" s="415"/>
      <c r="N55" s="415"/>
      <c r="O55" s="415"/>
      <c r="P55" s="420"/>
      <c r="R55" s="524">
        <f t="shared" si="2"/>
        <v>0</v>
      </c>
      <c r="S55" s="524" t="str">
        <f t="shared" si="1"/>
        <v>NOMBRE REPETIDO</v>
      </c>
    </row>
    <row r="56" spans="2:19" s="6" customFormat="1" ht="12.75" hidden="1">
      <c r="B56" s="185"/>
      <c r="C56" s="184"/>
      <c r="D56" s="287"/>
      <c r="E56" s="183"/>
      <c r="F56" s="285"/>
      <c r="G56" s="419"/>
      <c r="H56" s="415"/>
      <c r="I56" s="415"/>
      <c r="J56" s="415"/>
      <c r="K56" s="415"/>
      <c r="L56" s="415"/>
      <c r="M56" s="415"/>
      <c r="N56" s="415"/>
      <c r="O56" s="415"/>
      <c r="P56" s="420"/>
      <c r="R56" s="524">
        <f t="shared" si="2"/>
        <v>0</v>
      </c>
      <c r="S56" s="524" t="str">
        <f t="shared" si="1"/>
        <v>NOMBRE REPETIDO</v>
      </c>
    </row>
    <row r="57" spans="2:19" s="6" customFormat="1" ht="12.75" hidden="1">
      <c r="B57" s="185"/>
      <c r="C57" s="184"/>
      <c r="D57" s="287"/>
      <c r="E57" s="183"/>
      <c r="F57" s="285"/>
      <c r="G57" s="419"/>
      <c r="H57" s="415"/>
      <c r="I57" s="415"/>
      <c r="J57" s="415"/>
      <c r="K57" s="415"/>
      <c r="L57" s="415"/>
      <c r="M57" s="415"/>
      <c r="N57" s="415"/>
      <c r="O57" s="415"/>
      <c r="P57" s="420"/>
      <c r="R57" s="524">
        <f t="shared" si="2"/>
        <v>0</v>
      </c>
      <c r="S57" s="524" t="str">
        <f t="shared" si="1"/>
        <v>NOMBRE REPETIDO</v>
      </c>
    </row>
    <row r="58" spans="2:19" s="6" customFormat="1" ht="12.75" hidden="1">
      <c r="B58" s="185"/>
      <c r="C58" s="184"/>
      <c r="D58" s="287"/>
      <c r="E58" s="183"/>
      <c r="F58" s="285"/>
      <c r="G58" s="419"/>
      <c r="H58" s="415"/>
      <c r="I58" s="415"/>
      <c r="J58" s="415"/>
      <c r="K58" s="415"/>
      <c r="L58" s="415"/>
      <c r="M58" s="415"/>
      <c r="N58" s="415"/>
      <c r="O58" s="415"/>
      <c r="P58" s="420"/>
      <c r="R58" s="524">
        <f t="shared" si="2"/>
        <v>0</v>
      </c>
      <c r="S58" s="524" t="str">
        <f t="shared" si="1"/>
        <v>NOMBRE REPETIDO</v>
      </c>
    </row>
    <row r="59" spans="2:19" s="6" customFormat="1" ht="12.75" hidden="1">
      <c r="B59" s="185"/>
      <c r="C59" s="184"/>
      <c r="D59" s="287"/>
      <c r="E59" s="183"/>
      <c r="F59" s="285"/>
      <c r="G59" s="419"/>
      <c r="H59" s="415"/>
      <c r="I59" s="415"/>
      <c r="J59" s="415"/>
      <c r="K59" s="415"/>
      <c r="L59" s="415"/>
      <c r="M59" s="415"/>
      <c r="N59" s="415"/>
      <c r="O59" s="415"/>
      <c r="P59" s="420"/>
      <c r="R59" s="524">
        <f t="shared" si="2"/>
        <v>0</v>
      </c>
      <c r="S59" s="524" t="str">
        <f t="shared" si="1"/>
        <v>NOMBRE REPETIDO</v>
      </c>
    </row>
    <row r="60" spans="2:19" s="6" customFormat="1" ht="12.75" hidden="1">
      <c r="B60" s="185"/>
      <c r="C60" s="184"/>
      <c r="D60" s="287"/>
      <c r="E60" s="183"/>
      <c r="F60" s="285"/>
      <c r="G60" s="419"/>
      <c r="H60" s="415"/>
      <c r="I60" s="415"/>
      <c r="J60" s="415"/>
      <c r="K60" s="415"/>
      <c r="L60" s="415"/>
      <c r="M60" s="415"/>
      <c r="N60" s="415"/>
      <c r="O60" s="415"/>
      <c r="P60" s="420"/>
      <c r="R60" s="524">
        <f t="shared" si="2"/>
        <v>0</v>
      </c>
      <c r="S60" s="524" t="str">
        <f t="shared" si="1"/>
        <v>NOMBRE REPETIDO</v>
      </c>
    </row>
    <row r="61" spans="2:19" s="6" customFormat="1" ht="12.75" hidden="1">
      <c r="B61" s="185"/>
      <c r="C61" s="184"/>
      <c r="D61" s="287"/>
      <c r="E61" s="183"/>
      <c r="F61" s="285"/>
      <c r="G61" s="419"/>
      <c r="H61" s="415"/>
      <c r="I61" s="415"/>
      <c r="J61" s="415"/>
      <c r="K61" s="415"/>
      <c r="L61" s="415"/>
      <c r="M61" s="415"/>
      <c r="N61" s="415"/>
      <c r="O61" s="415"/>
      <c r="P61" s="420"/>
      <c r="R61" s="524">
        <f t="shared" si="2"/>
        <v>0</v>
      </c>
      <c r="S61" s="524" t="str">
        <f t="shared" si="1"/>
        <v>NOMBRE REPETIDO</v>
      </c>
    </row>
    <row r="62" spans="2:19" s="6" customFormat="1" ht="12.75" hidden="1">
      <c r="B62" s="185"/>
      <c r="C62" s="184"/>
      <c r="D62" s="287"/>
      <c r="E62" s="183"/>
      <c r="F62" s="285"/>
      <c r="G62" s="419"/>
      <c r="H62" s="415"/>
      <c r="I62" s="415"/>
      <c r="J62" s="415"/>
      <c r="K62" s="415"/>
      <c r="L62" s="415"/>
      <c r="M62" s="415"/>
      <c r="N62" s="415"/>
      <c r="O62" s="415"/>
      <c r="P62" s="420"/>
      <c r="R62" s="524">
        <f t="shared" si="2"/>
        <v>0</v>
      </c>
      <c r="S62" s="524" t="str">
        <f t="shared" si="1"/>
        <v>NOMBRE REPETIDO</v>
      </c>
    </row>
    <row r="63" spans="2:19" s="6" customFormat="1" ht="12.75" hidden="1">
      <c r="B63" s="185"/>
      <c r="C63" s="184"/>
      <c r="D63" s="287"/>
      <c r="E63" s="183"/>
      <c r="F63" s="285"/>
      <c r="G63" s="419"/>
      <c r="H63" s="415"/>
      <c r="I63" s="415"/>
      <c r="J63" s="415"/>
      <c r="K63" s="415"/>
      <c r="L63" s="415"/>
      <c r="M63" s="415"/>
      <c r="N63" s="415"/>
      <c r="O63" s="415"/>
      <c r="P63" s="420"/>
      <c r="R63" s="524">
        <f t="shared" si="2"/>
        <v>0</v>
      </c>
      <c r="S63" s="524" t="str">
        <f t="shared" si="1"/>
        <v>NOMBRE REPETIDO</v>
      </c>
    </row>
    <row r="64" spans="2:19" s="6" customFormat="1" ht="12.75" hidden="1">
      <c r="B64" s="185"/>
      <c r="C64" s="184"/>
      <c r="D64" s="287"/>
      <c r="E64" s="183"/>
      <c r="F64" s="285"/>
      <c r="G64" s="419"/>
      <c r="H64" s="415"/>
      <c r="I64" s="415"/>
      <c r="J64" s="415"/>
      <c r="K64" s="415"/>
      <c r="L64" s="415"/>
      <c r="M64" s="415"/>
      <c r="N64" s="415"/>
      <c r="O64" s="415"/>
      <c r="P64" s="420"/>
      <c r="R64" s="524">
        <f t="shared" si="2"/>
        <v>0</v>
      </c>
      <c r="S64" s="524" t="str">
        <f t="shared" si="1"/>
        <v>NOMBRE REPETIDO</v>
      </c>
    </row>
    <row r="65" spans="2:19" s="6" customFormat="1" ht="12.75" hidden="1">
      <c r="B65" s="185"/>
      <c r="C65" s="184"/>
      <c r="D65" s="287"/>
      <c r="E65" s="183"/>
      <c r="F65" s="285"/>
      <c r="G65" s="419"/>
      <c r="H65" s="415"/>
      <c r="I65" s="415"/>
      <c r="J65" s="415"/>
      <c r="K65" s="415"/>
      <c r="L65" s="415"/>
      <c r="M65" s="415"/>
      <c r="N65" s="415"/>
      <c r="O65" s="415"/>
      <c r="P65" s="420"/>
      <c r="R65" s="524">
        <f t="shared" si="2"/>
        <v>0</v>
      </c>
      <c r="S65" s="524" t="str">
        <f t="shared" si="1"/>
        <v>NOMBRE REPETIDO</v>
      </c>
    </row>
    <row r="66" spans="2:19" s="6" customFormat="1" ht="12.75" hidden="1">
      <c r="B66" s="185"/>
      <c r="C66" s="184"/>
      <c r="D66" s="287"/>
      <c r="E66" s="183"/>
      <c r="F66" s="285"/>
      <c r="G66" s="419"/>
      <c r="H66" s="415"/>
      <c r="I66" s="415"/>
      <c r="J66" s="415"/>
      <c r="K66" s="415"/>
      <c r="L66" s="415"/>
      <c r="M66" s="415"/>
      <c r="N66" s="415"/>
      <c r="O66" s="415"/>
      <c r="P66" s="420"/>
      <c r="R66" s="524">
        <f t="shared" si="2"/>
        <v>0</v>
      </c>
      <c r="S66" s="524" t="str">
        <f t="shared" si="1"/>
        <v>NOMBRE REPETIDO</v>
      </c>
    </row>
    <row r="67" spans="2:19" s="6" customFormat="1" ht="12.75" hidden="1">
      <c r="B67" s="185"/>
      <c r="C67" s="184"/>
      <c r="D67" s="287"/>
      <c r="E67" s="183"/>
      <c r="F67" s="285"/>
      <c r="G67" s="419"/>
      <c r="H67" s="415"/>
      <c r="I67" s="415"/>
      <c r="J67" s="415"/>
      <c r="K67" s="415"/>
      <c r="L67" s="415"/>
      <c r="M67" s="415"/>
      <c r="N67" s="415"/>
      <c r="O67" s="415"/>
      <c r="P67" s="420"/>
      <c r="R67" s="524">
        <f t="shared" si="2"/>
        <v>0</v>
      </c>
      <c r="S67" s="524" t="str">
        <f t="shared" si="1"/>
        <v>NOMBRE REPETIDO</v>
      </c>
    </row>
    <row r="68" spans="2:19" s="6" customFormat="1" ht="12.75" hidden="1">
      <c r="B68" s="185"/>
      <c r="C68" s="184"/>
      <c r="D68" s="287"/>
      <c r="E68" s="183"/>
      <c r="F68" s="285"/>
      <c r="G68" s="419"/>
      <c r="H68" s="415"/>
      <c r="I68" s="415"/>
      <c r="J68" s="415"/>
      <c r="K68" s="415"/>
      <c r="L68" s="415"/>
      <c r="M68" s="415"/>
      <c r="N68" s="415"/>
      <c r="O68" s="415"/>
      <c r="P68" s="420"/>
      <c r="R68" s="524">
        <f t="shared" si="2"/>
        <v>0</v>
      </c>
      <c r="S68" s="524" t="str">
        <f t="shared" si="1"/>
        <v>NOMBRE REPETIDO</v>
      </c>
    </row>
    <row r="69" spans="2:19" s="6" customFormat="1" ht="12.75" hidden="1">
      <c r="B69" s="185"/>
      <c r="C69" s="184"/>
      <c r="D69" s="287"/>
      <c r="E69" s="183"/>
      <c r="F69" s="285"/>
      <c r="G69" s="419"/>
      <c r="H69" s="415"/>
      <c r="I69" s="415"/>
      <c r="J69" s="415"/>
      <c r="K69" s="415"/>
      <c r="L69" s="415"/>
      <c r="M69" s="415"/>
      <c r="N69" s="415"/>
      <c r="O69" s="415"/>
      <c r="P69" s="420"/>
      <c r="R69" s="524">
        <f t="shared" si="2"/>
        <v>0</v>
      </c>
      <c r="S69" s="524" t="str">
        <f t="shared" si="1"/>
        <v>NOMBRE REPETIDO</v>
      </c>
    </row>
    <row r="70" spans="2:19" s="6" customFormat="1" ht="12.75" hidden="1">
      <c r="B70" s="185"/>
      <c r="C70" s="184"/>
      <c r="D70" s="287"/>
      <c r="E70" s="183"/>
      <c r="F70" s="285"/>
      <c r="G70" s="419"/>
      <c r="H70" s="415"/>
      <c r="I70" s="415"/>
      <c r="J70" s="415"/>
      <c r="K70" s="415"/>
      <c r="L70" s="415"/>
      <c r="M70" s="415"/>
      <c r="N70" s="415"/>
      <c r="O70" s="415"/>
      <c r="P70" s="420"/>
      <c r="R70" s="524">
        <f t="shared" si="2"/>
        <v>0</v>
      </c>
      <c r="S70" s="524" t="str">
        <f t="shared" si="1"/>
        <v>NOMBRE REPETIDO</v>
      </c>
    </row>
    <row r="71" spans="2:19" s="6" customFormat="1" ht="12.75" hidden="1">
      <c r="B71" s="185"/>
      <c r="C71" s="184"/>
      <c r="D71" s="287"/>
      <c r="E71" s="183"/>
      <c r="F71" s="285"/>
      <c r="G71" s="419"/>
      <c r="H71" s="415"/>
      <c r="I71" s="415"/>
      <c r="J71" s="415"/>
      <c r="K71" s="415"/>
      <c r="L71" s="415"/>
      <c r="M71" s="415"/>
      <c r="N71" s="415"/>
      <c r="O71" s="415"/>
      <c r="P71" s="420"/>
      <c r="R71" s="524">
        <f t="shared" si="2"/>
        <v>0</v>
      </c>
      <c r="S71" s="524" t="str">
        <f t="shared" si="1"/>
        <v>NOMBRE REPETIDO</v>
      </c>
    </row>
    <row r="72" spans="2:19" s="6" customFormat="1" ht="12.75" hidden="1">
      <c r="B72" s="185"/>
      <c r="C72" s="184"/>
      <c r="D72" s="287"/>
      <c r="E72" s="183"/>
      <c r="F72" s="285"/>
      <c r="G72" s="419"/>
      <c r="H72" s="415"/>
      <c r="I72" s="415"/>
      <c r="J72" s="415"/>
      <c r="K72" s="415"/>
      <c r="L72" s="415"/>
      <c r="M72" s="415"/>
      <c r="N72" s="415"/>
      <c r="O72" s="415"/>
      <c r="P72" s="420"/>
      <c r="R72" s="524">
        <f t="shared" si="2"/>
        <v>0</v>
      </c>
      <c r="S72" s="524" t="str">
        <f t="shared" si="1"/>
        <v>NOMBRE REPETIDO</v>
      </c>
    </row>
    <row r="73" spans="2:19" s="6" customFormat="1" ht="12.75" hidden="1">
      <c r="B73" s="185"/>
      <c r="C73" s="184"/>
      <c r="D73" s="287"/>
      <c r="E73" s="183"/>
      <c r="F73" s="285"/>
      <c r="G73" s="419"/>
      <c r="H73" s="415"/>
      <c r="I73" s="415"/>
      <c r="J73" s="415"/>
      <c r="K73" s="415"/>
      <c r="L73" s="415"/>
      <c r="M73" s="415"/>
      <c r="N73" s="415"/>
      <c r="O73" s="415"/>
      <c r="P73" s="420"/>
      <c r="R73" s="524">
        <f t="shared" si="2"/>
        <v>0</v>
      </c>
      <c r="S73" s="524" t="str">
        <f t="shared" si="1"/>
        <v>NOMBRE REPETIDO</v>
      </c>
    </row>
    <row r="74" spans="2:19" s="6" customFormat="1" ht="12.75" hidden="1">
      <c r="B74" s="185"/>
      <c r="C74" s="184"/>
      <c r="D74" s="287"/>
      <c r="E74" s="183"/>
      <c r="F74" s="285"/>
      <c r="G74" s="419"/>
      <c r="H74" s="415"/>
      <c r="I74" s="415"/>
      <c r="J74" s="415"/>
      <c r="K74" s="415"/>
      <c r="L74" s="415"/>
      <c r="M74" s="415"/>
      <c r="N74" s="415"/>
      <c r="O74" s="415"/>
      <c r="P74" s="420"/>
      <c r="R74" s="524">
        <f t="shared" si="2"/>
        <v>0</v>
      </c>
      <c r="S74" s="524" t="str">
        <f t="shared" si="1"/>
        <v>NOMBRE REPETIDO</v>
      </c>
    </row>
    <row r="75" spans="2:19" s="6" customFormat="1" ht="12.75" hidden="1">
      <c r="B75" s="185"/>
      <c r="C75" s="184"/>
      <c r="D75" s="287"/>
      <c r="E75" s="183"/>
      <c r="F75" s="285"/>
      <c r="G75" s="419"/>
      <c r="H75" s="415"/>
      <c r="I75" s="415"/>
      <c r="J75" s="415"/>
      <c r="K75" s="415"/>
      <c r="L75" s="415"/>
      <c r="M75" s="415"/>
      <c r="N75" s="415"/>
      <c r="O75" s="415"/>
      <c r="P75" s="420"/>
      <c r="R75" s="524">
        <f t="shared" si="2"/>
        <v>0</v>
      </c>
      <c r="S75" s="524" t="str">
        <f t="shared" si="1"/>
        <v>NOMBRE REPETIDO</v>
      </c>
    </row>
    <row r="76" spans="2:19" s="6" customFormat="1" ht="12.75" hidden="1">
      <c r="B76" s="185"/>
      <c r="C76" s="184"/>
      <c r="D76" s="287"/>
      <c r="E76" s="183"/>
      <c r="F76" s="285"/>
      <c r="G76" s="419"/>
      <c r="H76" s="415"/>
      <c r="I76" s="415"/>
      <c r="J76" s="415"/>
      <c r="K76" s="415"/>
      <c r="L76" s="415"/>
      <c r="M76" s="415"/>
      <c r="N76" s="415"/>
      <c r="O76" s="415"/>
      <c r="P76" s="420"/>
      <c r="R76" s="524">
        <f t="shared" si="2"/>
        <v>0</v>
      </c>
      <c r="S76" s="524" t="str">
        <f t="shared" si="1"/>
        <v>NOMBRE REPETIDO</v>
      </c>
    </row>
    <row r="77" spans="2:19" s="6" customFormat="1" ht="12.75" hidden="1">
      <c r="B77" s="185"/>
      <c r="C77" s="184"/>
      <c r="D77" s="287"/>
      <c r="E77" s="183"/>
      <c r="F77" s="285"/>
      <c r="G77" s="419"/>
      <c r="H77" s="415"/>
      <c r="I77" s="415"/>
      <c r="J77" s="415"/>
      <c r="K77" s="415"/>
      <c r="L77" s="415"/>
      <c r="M77" s="415"/>
      <c r="N77" s="415"/>
      <c r="O77" s="415"/>
      <c r="P77" s="420"/>
      <c r="R77" s="524">
        <f t="shared" si="2"/>
        <v>0</v>
      </c>
      <c r="S77" s="524" t="str">
        <f t="shared" si="1"/>
        <v>NOMBRE REPETIDO</v>
      </c>
    </row>
    <row r="78" spans="2:19" s="6" customFormat="1" ht="12.75" hidden="1">
      <c r="B78" s="185"/>
      <c r="C78" s="184"/>
      <c r="D78" s="287"/>
      <c r="E78" s="183"/>
      <c r="F78" s="285"/>
      <c r="G78" s="419"/>
      <c r="H78" s="415"/>
      <c r="I78" s="415"/>
      <c r="J78" s="415"/>
      <c r="K78" s="415"/>
      <c r="L78" s="415"/>
      <c r="M78" s="415"/>
      <c r="N78" s="415"/>
      <c r="O78" s="415"/>
      <c r="P78" s="420"/>
      <c r="R78" s="524">
        <f t="shared" si="2"/>
        <v>0</v>
      </c>
      <c r="S78" s="524" t="str">
        <f t="shared" si="1"/>
        <v>NOMBRE REPETIDO</v>
      </c>
    </row>
    <row r="79" spans="2:19" s="6" customFormat="1" ht="12.75" hidden="1">
      <c r="B79" s="185"/>
      <c r="C79" s="184"/>
      <c r="D79" s="287"/>
      <c r="E79" s="183"/>
      <c r="F79" s="285"/>
      <c r="G79" s="419"/>
      <c r="H79" s="415"/>
      <c r="I79" s="415"/>
      <c r="J79" s="415"/>
      <c r="K79" s="415"/>
      <c r="L79" s="415"/>
      <c r="M79" s="415"/>
      <c r="N79" s="415"/>
      <c r="O79" s="415"/>
      <c r="P79" s="420"/>
      <c r="R79" s="524">
        <f t="shared" si="2"/>
        <v>0</v>
      </c>
      <c r="S79" s="524" t="str">
        <f t="shared" si="1"/>
        <v>NOMBRE REPETIDO</v>
      </c>
    </row>
    <row r="80" spans="2:19" s="6" customFormat="1" ht="12.75" hidden="1">
      <c r="B80" s="185"/>
      <c r="C80" s="184"/>
      <c r="D80" s="287"/>
      <c r="E80" s="183"/>
      <c r="F80" s="285"/>
      <c r="G80" s="419"/>
      <c r="H80" s="415"/>
      <c r="I80" s="415"/>
      <c r="J80" s="415"/>
      <c r="K80" s="415"/>
      <c r="L80" s="415"/>
      <c r="M80" s="415"/>
      <c r="N80" s="415"/>
      <c r="O80" s="415"/>
      <c r="P80" s="420"/>
      <c r="R80" s="524">
        <f t="shared" si="2"/>
        <v>0</v>
      </c>
      <c r="S80" s="524" t="str">
        <f t="shared" si="1"/>
        <v>NOMBRE REPETIDO</v>
      </c>
    </row>
    <row r="81" spans="2:19" s="6" customFormat="1" ht="12.75" hidden="1">
      <c r="B81" s="185"/>
      <c r="C81" s="184"/>
      <c r="D81" s="287"/>
      <c r="E81" s="183"/>
      <c r="F81" s="285"/>
      <c r="G81" s="419"/>
      <c r="H81" s="415"/>
      <c r="I81" s="415"/>
      <c r="J81" s="415"/>
      <c r="K81" s="415"/>
      <c r="L81" s="415"/>
      <c r="M81" s="415"/>
      <c r="N81" s="415"/>
      <c r="O81" s="415"/>
      <c r="P81" s="420"/>
      <c r="R81" s="524">
        <f t="shared" si="2"/>
        <v>0</v>
      </c>
      <c r="S81" s="524" t="str">
        <f t="shared" si="1"/>
        <v>NOMBRE REPETIDO</v>
      </c>
    </row>
    <row r="82" spans="2:19" s="6" customFormat="1" ht="12.75" hidden="1">
      <c r="B82" s="185"/>
      <c r="C82" s="184"/>
      <c r="D82" s="287"/>
      <c r="E82" s="183"/>
      <c r="F82" s="285"/>
      <c r="G82" s="419"/>
      <c r="H82" s="415"/>
      <c r="I82" s="415"/>
      <c r="J82" s="415"/>
      <c r="K82" s="415"/>
      <c r="L82" s="415"/>
      <c r="M82" s="415"/>
      <c r="N82" s="415"/>
      <c r="O82" s="415"/>
      <c r="P82" s="420"/>
      <c r="R82" s="524">
        <f t="shared" si="2"/>
        <v>0</v>
      </c>
      <c r="S82" s="524" t="str">
        <f t="shared" si="1"/>
        <v>NOMBRE REPETIDO</v>
      </c>
    </row>
    <row r="83" spans="2:19" s="6" customFormat="1" ht="12.75" hidden="1">
      <c r="B83" s="185"/>
      <c r="C83" s="184"/>
      <c r="D83" s="287"/>
      <c r="E83" s="183"/>
      <c r="F83" s="285"/>
      <c r="G83" s="419"/>
      <c r="H83" s="415"/>
      <c r="I83" s="415"/>
      <c r="J83" s="415"/>
      <c r="K83" s="415"/>
      <c r="L83" s="415"/>
      <c r="M83" s="415"/>
      <c r="N83" s="415"/>
      <c r="O83" s="415"/>
      <c r="P83" s="420"/>
      <c r="R83" s="524">
        <f t="shared" ref="R83:R114" si="3">COUNTIF($D$19:$D$218,D83)</f>
        <v>0</v>
      </c>
      <c r="S83" s="524" t="str">
        <f t="shared" si="1"/>
        <v>NOMBRE REPETIDO</v>
      </c>
    </row>
    <row r="84" spans="2:19" s="6" customFormat="1" ht="12.75" hidden="1">
      <c r="B84" s="185"/>
      <c r="C84" s="184"/>
      <c r="D84" s="287"/>
      <c r="E84" s="183"/>
      <c r="F84" s="285"/>
      <c r="G84" s="419"/>
      <c r="H84" s="415"/>
      <c r="I84" s="415"/>
      <c r="J84" s="415"/>
      <c r="K84" s="415"/>
      <c r="L84" s="415"/>
      <c r="M84" s="415"/>
      <c r="N84" s="415"/>
      <c r="O84" s="415"/>
      <c r="P84" s="420"/>
      <c r="R84" s="524">
        <f t="shared" si="3"/>
        <v>0</v>
      </c>
      <c r="S84" s="524" t="str">
        <f t="shared" ref="S84:S147" si="4">IF(R84=1,"NOMBRE OK","NOMBRE REPETIDO")</f>
        <v>NOMBRE REPETIDO</v>
      </c>
    </row>
    <row r="85" spans="2:19" s="6" customFormat="1" ht="12.75" hidden="1">
      <c r="B85" s="185"/>
      <c r="C85" s="184"/>
      <c r="D85" s="287"/>
      <c r="E85" s="183"/>
      <c r="F85" s="285"/>
      <c r="G85" s="419"/>
      <c r="H85" s="415"/>
      <c r="I85" s="415"/>
      <c r="J85" s="415"/>
      <c r="K85" s="415"/>
      <c r="L85" s="415"/>
      <c r="M85" s="415"/>
      <c r="N85" s="415"/>
      <c r="O85" s="415"/>
      <c r="P85" s="420"/>
      <c r="R85" s="524">
        <f t="shared" si="3"/>
        <v>0</v>
      </c>
      <c r="S85" s="524" t="str">
        <f t="shared" si="4"/>
        <v>NOMBRE REPETIDO</v>
      </c>
    </row>
    <row r="86" spans="2:19" s="6" customFormat="1" ht="12.75" hidden="1">
      <c r="B86" s="185"/>
      <c r="C86" s="184"/>
      <c r="D86" s="287"/>
      <c r="E86" s="183"/>
      <c r="F86" s="285"/>
      <c r="G86" s="419"/>
      <c r="H86" s="415"/>
      <c r="I86" s="415"/>
      <c r="J86" s="415"/>
      <c r="K86" s="415"/>
      <c r="L86" s="415"/>
      <c r="M86" s="415"/>
      <c r="N86" s="415"/>
      <c r="O86" s="415"/>
      <c r="P86" s="420"/>
      <c r="R86" s="524">
        <f t="shared" si="3"/>
        <v>0</v>
      </c>
      <c r="S86" s="524" t="str">
        <f t="shared" si="4"/>
        <v>NOMBRE REPETIDO</v>
      </c>
    </row>
    <row r="87" spans="2:19" s="6" customFormat="1" ht="12.75" hidden="1">
      <c r="B87" s="185"/>
      <c r="C87" s="184"/>
      <c r="D87" s="287"/>
      <c r="E87" s="183"/>
      <c r="F87" s="285"/>
      <c r="G87" s="419"/>
      <c r="H87" s="415"/>
      <c r="I87" s="415"/>
      <c r="J87" s="415"/>
      <c r="K87" s="415"/>
      <c r="L87" s="415"/>
      <c r="M87" s="415"/>
      <c r="N87" s="415"/>
      <c r="O87" s="415"/>
      <c r="P87" s="420"/>
      <c r="R87" s="524">
        <f t="shared" si="3"/>
        <v>0</v>
      </c>
      <c r="S87" s="524" t="str">
        <f t="shared" si="4"/>
        <v>NOMBRE REPETIDO</v>
      </c>
    </row>
    <row r="88" spans="2:19" s="6" customFormat="1" ht="12.75" hidden="1">
      <c r="B88" s="185"/>
      <c r="C88" s="184"/>
      <c r="D88" s="287"/>
      <c r="E88" s="183"/>
      <c r="F88" s="285"/>
      <c r="G88" s="419"/>
      <c r="H88" s="415"/>
      <c r="I88" s="415"/>
      <c r="J88" s="415"/>
      <c r="K88" s="415"/>
      <c r="L88" s="415"/>
      <c r="M88" s="415"/>
      <c r="N88" s="415"/>
      <c r="O88" s="415"/>
      <c r="P88" s="420"/>
      <c r="R88" s="524">
        <f t="shared" si="3"/>
        <v>0</v>
      </c>
      <c r="S88" s="524" t="str">
        <f t="shared" si="4"/>
        <v>NOMBRE REPETIDO</v>
      </c>
    </row>
    <row r="89" spans="2:19" s="6" customFormat="1" ht="12.75" hidden="1">
      <c r="B89" s="185"/>
      <c r="C89" s="184"/>
      <c r="D89" s="287"/>
      <c r="E89" s="183"/>
      <c r="F89" s="285"/>
      <c r="G89" s="419"/>
      <c r="H89" s="415"/>
      <c r="I89" s="415"/>
      <c r="J89" s="415"/>
      <c r="K89" s="415"/>
      <c r="L89" s="415"/>
      <c r="M89" s="415"/>
      <c r="N89" s="415"/>
      <c r="O89" s="415"/>
      <c r="P89" s="420"/>
      <c r="R89" s="524">
        <f t="shared" si="3"/>
        <v>0</v>
      </c>
      <c r="S89" s="524" t="str">
        <f t="shared" si="4"/>
        <v>NOMBRE REPETIDO</v>
      </c>
    </row>
    <row r="90" spans="2:19" s="6" customFormat="1" ht="12.75" hidden="1">
      <c r="B90" s="185"/>
      <c r="C90" s="184"/>
      <c r="D90" s="287"/>
      <c r="E90" s="183"/>
      <c r="F90" s="285"/>
      <c r="G90" s="419"/>
      <c r="H90" s="415"/>
      <c r="I90" s="415"/>
      <c r="J90" s="415"/>
      <c r="K90" s="415"/>
      <c r="L90" s="415"/>
      <c r="M90" s="415"/>
      <c r="N90" s="415"/>
      <c r="O90" s="415"/>
      <c r="P90" s="420"/>
      <c r="R90" s="524">
        <f t="shared" si="3"/>
        <v>0</v>
      </c>
      <c r="S90" s="524" t="str">
        <f t="shared" si="4"/>
        <v>NOMBRE REPETIDO</v>
      </c>
    </row>
    <row r="91" spans="2:19" s="6" customFormat="1" ht="12.75" hidden="1">
      <c r="B91" s="185"/>
      <c r="C91" s="184"/>
      <c r="D91" s="287"/>
      <c r="E91" s="183"/>
      <c r="F91" s="285"/>
      <c r="G91" s="419"/>
      <c r="H91" s="415"/>
      <c r="I91" s="415"/>
      <c r="J91" s="415"/>
      <c r="K91" s="415"/>
      <c r="L91" s="415"/>
      <c r="M91" s="415"/>
      <c r="N91" s="415"/>
      <c r="O91" s="415"/>
      <c r="P91" s="420"/>
      <c r="R91" s="524">
        <f t="shared" si="3"/>
        <v>0</v>
      </c>
      <c r="S91" s="524" t="str">
        <f t="shared" si="4"/>
        <v>NOMBRE REPETIDO</v>
      </c>
    </row>
    <row r="92" spans="2:19" s="6" customFormat="1" ht="12.75" hidden="1">
      <c r="B92" s="185"/>
      <c r="C92" s="184"/>
      <c r="D92" s="287"/>
      <c r="E92" s="183"/>
      <c r="F92" s="285"/>
      <c r="G92" s="419"/>
      <c r="H92" s="415"/>
      <c r="I92" s="415"/>
      <c r="J92" s="415"/>
      <c r="K92" s="415"/>
      <c r="L92" s="415"/>
      <c r="M92" s="415"/>
      <c r="N92" s="415"/>
      <c r="O92" s="415"/>
      <c r="P92" s="420"/>
      <c r="R92" s="524">
        <f t="shared" si="3"/>
        <v>0</v>
      </c>
      <c r="S92" s="524" t="str">
        <f t="shared" si="4"/>
        <v>NOMBRE REPETIDO</v>
      </c>
    </row>
    <row r="93" spans="2:19" s="6" customFormat="1" ht="12.75" hidden="1">
      <c r="B93" s="185"/>
      <c r="C93" s="184"/>
      <c r="D93" s="287"/>
      <c r="E93" s="183"/>
      <c r="F93" s="285"/>
      <c r="G93" s="419"/>
      <c r="H93" s="415"/>
      <c r="I93" s="415"/>
      <c r="J93" s="415"/>
      <c r="K93" s="415"/>
      <c r="L93" s="415"/>
      <c r="M93" s="415"/>
      <c r="N93" s="415"/>
      <c r="O93" s="415"/>
      <c r="P93" s="420"/>
      <c r="R93" s="524">
        <f t="shared" si="3"/>
        <v>0</v>
      </c>
      <c r="S93" s="524" t="str">
        <f t="shared" si="4"/>
        <v>NOMBRE REPETIDO</v>
      </c>
    </row>
    <row r="94" spans="2:19" s="6" customFormat="1" ht="12.75" hidden="1">
      <c r="B94" s="185"/>
      <c r="C94" s="184"/>
      <c r="D94" s="287"/>
      <c r="E94" s="183"/>
      <c r="F94" s="285"/>
      <c r="G94" s="419"/>
      <c r="H94" s="415"/>
      <c r="I94" s="415"/>
      <c r="J94" s="415"/>
      <c r="K94" s="415"/>
      <c r="L94" s="415"/>
      <c r="M94" s="415"/>
      <c r="N94" s="415"/>
      <c r="O94" s="415"/>
      <c r="P94" s="420"/>
      <c r="R94" s="524">
        <f t="shared" si="3"/>
        <v>0</v>
      </c>
      <c r="S94" s="524" t="str">
        <f t="shared" si="4"/>
        <v>NOMBRE REPETIDO</v>
      </c>
    </row>
    <row r="95" spans="2:19" s="6" customFormat="1" ht="12.75" hidden="1">
      <c r="B95" s="185"/>
      <c r="C95" s="184"/>
      <c r="D95" s="287"/>
      <c r="E95" s="183"/>
      <c r="F95" s="285"/>
      <c r="G95" s="419"/>
      <c r="H95" s="415"/>
      <c r="I95" s="415"/>
      <c r="J95" s="415"/>
      <c r="K95" s="415"/>
      <c r="L95" s="415"/>
      <c r="M95" s="415"/>
      <c r="N95" s="415"/>
      <c r="O95" s="415"/>
      <c r="P95" s="420"/>
      <c r="R95" s="524">
        <f t="shared" si="3"/>
        <v>0</v>
      </c>
      <c r="S95" s="524" t="str">
        <f t="shared" si="4"/>
        <v>NOMBRE REPETIDO</v>
      </c>
    </row>
    <row r="96" spans="2:19" s="6" customFormat="1" ht="12.75" hidden="1">
      <c r="B96" s="185"/>
      <c r="C96" s="184"/>
      <c r="D96" s="287"/>
      <c r="E96" s="183"/>
      <c r="F96" s="285"/>
      <c r="G96" s="419"/>
      <c r="H96" s="415"/>
      <c r="I96" s="415"/>
      <c r="J96" s="415"/>
      <c r="K96" s="415"/>
      <c r="L96" s="415"/>
      <c r="M96" s="415"/>
      <c r="N96" s="415"/>
      <c r="O96" s="415"/>
      <c r="P96" s="420"/>
      <c r="R96" s="524">
        <f t="shared" si="3"/>
        <v>0</v>
      </c>
      <c r="S96" s="524" t="str">
        <f t="shared" si="4"/>
        <v>NOMBRE REPETIDO</v>
      </c>
    </row>
    <row r="97" spans="2:19" s="6" customFormat="1" ht="12.75" hidden="1">
      <c r="B97" s="185"/>
      <c r="C97" s="184"/>
      <c r="D97" s="287"/>
      <c r="E97" s="183"/>
      <c r="F97" s="285"/>
      <c r="G97" s="419"/>
      <c r="H97" s="415"/>
      <c r="I97" s="415"/>
      <c r="J97" s="415"/>
      <c r="K97" s="415"/>
      <c r="L97" s="415"/>
      <c r="M97" s="415"/>
      <c r="N97" s="415"/>
      <c r="O97" s="415"/>
      <c r="P97" s="420"/>
      <c r="R97" s="524">
        <f t="shared" si="3"/>
        <v>0</v>
      </c>
      <c r="S97" s="524" t="str">
        <f t="shared" si="4"/>
        <v>NOMBRE REPETIDO</v>
      </c>
    </row>
    <row r="98" spans="2:19" s="6" customFormat="1" ht="12.75" hidden="1">
      <c r="B98" s="185"/>
      <c r="C98" s="184"/>
      <c r="D98" s="287"/>
      <c r="E98" s="183"/>
      <c r="F98" s="285"/>
      <c r="G98" s="419"/>
      <c r="H98" s="415"/>
      <c r="I98" s="415"/>
      <c r="J98" s="415"/>
      <c r="K98" s="415"/>
      <c r="L98" s="415"/>
      <c r="M98" s="415"/>
      <c r="N98" s="415"/>
      <c r="O98" s="415"/>
      <c r="P98" s="420"/>
      <c r="R98" s="524">
        <f t="shared" si="3"/>
        <v>0</v>
      </c>
      <c r="S98" s="524" t="str">
        <f t="shared" si="4"/>
        <v>NOMBRE REPETIDO</v>
      </c>
    </row>
    <row r="99" spans="2:19" s="6" customFormat="1" ht="12.75" hidden="1">
      <c r="B99" s="185"/>
      <c r="C99" s="184"/>
      <c r="D99" s="287"/>
      <c r="E99" s="183"/>
      <c r="F99" s="285"/>
      <c r="G99" s="419"/>
      <c r="H99" s="415"/>
      <c r="I99" s="415"/>
      <c r="J99" s="415"/>
      <c r="K99" s="415"/>
      <c r="L99" s="415"/>
      <c r="M99" s="415"/>
      <c r="N99" s="415"/>
      <c r="O99" s="415"/>
      <c r="P99" s="420"/>
      <c r="R99" s="524">
        <f t="shared" si="3"/>
        <v>0</v>
      </c>
      <c r="S99" s="524" t="str">
        <f t="shared" si="4"/>
        <v>NOMBRE REPETIDO</v>
      </c>
    </row>
    <row r="100" spans="2:19" s="6" customFormat="1" ht="12.75" hidden="1">
      <c r="B100" s="185"/>
      <c r="C100" s="184"/>
      <c r="D100" s="287"/>
      <c r="E100" s="183"/>
      <c r="F100" s="285"/>
      <c r="G100" s="419"/>
      <c r="H100" s="415"/>
      <c r="I100" s="415"/>
      <c r="J100" s="415"/>
      <c r="K100" s="415"/>
      <c r="L100" s="415"/>
      <c r="M100" s="415"/>
      <c r="N100" s="415"/>
      <c r="O100" s="415"/>
      <c r="P100" s="420"/>
      <c r="R100" s="524">
        <f t="shared" si="3"/>
        <v>0</v>
      </c>
      <c r="S100" s="524" t="str">
        <f t="shared" si="4"/>
        <v>NOMBRE REPETIDO</v>
      </c>
    </row>
    <row r="101" spans="2:19" s="6" customFormat="1" ht="12.75" hidden="1">
      <c r="B101" s="185"/>
      <c r="C101" s="184"/>
      <c r="D101" s="287"/>
      <c r="E101" s="183"/>
      <c r="F101" s="285"/>
      <c r="G101" s="419"/>
      <c r="H101" s="415"/>
      <c r="I101" s="415"/>
      <c r="J101" s="415"/>
      <c r="K101" s="415"/>
      <c r="L101" s="415"/>
      <c r="M101" s="415"/>
      <c r="N101" s="415"/>
      <c r="O101" s="415"/>
      <c r="P101" s="420"/>
      <c r="R101" s="524">
        <f t="shared" si="3"/>
        <v>0</v>
      </c>
      <c r="S101" s="524" t="str">
        <f t="shared" si="4"/>
        <v>NOMBRE REPETIDO</v>
      </c>
    </row>
    <row r="102" spans="2:19" s="6" customFormat="1" ht="12.75" hidden="1">
      <c r="B102" s="185"/>
      <c r="C102" s="184"/>
      <c r="D102" s="287"/>
      <c r="E102" s="183"/>
      <c r="F102" s="285"/>
      <c r="G102" s="419"/>
      <c r="H102" s="415"/>
      <c r="I102" s="415"/>
      <c r="J102" s="415"/>
      <c r="K102" s="415"/>
      <c r="L102" s="415"/>
      <c r="M102" s="415"/>
      <c r="N102" s="415"/>
      <c r="O102" s="415"/>
      <c r="P102" s="420"/>
      <c r="R102" s="524">
        <f t="shared" si="3"/>
        <v>0</v>
      </c>
      <c r="S102" s="524" t="str">
        <f t="shared" si="4"/>
        <v>NOMBRE REPETIDO</v>
      </c>
    </row>
    <row r="103" spans="2:19" s="6" customFormat="1" ht="12.75" hidden="1">
      <c r="B103" s="185"/>
      <c r="C103" s="184"/>
      <c r="D103" s="287"/>
      <c r="E103" s="183"/>
      <c r="F103" s="285"/>
      <c r="G103" s="419"/>
      <c r="H103" s="415"/>
      <c r="I103" s="415"/>
      <c r="J103" s="415"/>
      <c r="K103" s="415"/>
      <c r="L103" s="415"/>
      <c r="M103" s="415"/>
      <c r="N103" s="415"/>
      <c r="O103" s="415"/>
      <c r="P103" s="420"/>
      <c r="R103" s="524">
        <f t="shared" si="3"/>
        <v>0</v>
      </c>
      <c r="S103" s="524" t="str">
        <f t="shared" si="4"/>
        <v>NOMBRE REPETIDO</v>
      </c>
    </row>
    <row r="104" spans="2:19" s="6" customFormat="1" ht="12.75" hidden="1">
      <c r="B104" s="185"/>
      <c r="C104" s="184"/>
      <c r="D104" s="287"/>
      <c r="E104" s="183"/>
      <c r="F104" s="285"/>
      <c r="G104" s="419"/>
      <c r="H104" s="415"/>
      <c r="I104" s="415"/>
      <c r="J104" s="415"/>
      <c r="K104" s="415"/>
      <c r="L104" s="415"/>
      <c r="M104" s="415"/>
      <c r="N104" s="415"/>
      <c r="O104" s="415"/>
      <c r="P104" s="420"/>
      <c r="R104" s="524">
        <f t="shared" si="3"/>
        <v>0</v>
      </c>
      <c r="S104" s="524" t="str">
        <f t="shared" si="4"/>
        <v>NOMBRE REPETIDO</v>
      </c>
    </row>
    <row r="105" spans="2:19" s="6" customFormat="1" ht="12.75" hidden="1">
      <c r="B105" s="185"/>
      <c r="C105" s="184"/>
      <c r="D105" s="287"/>
      <c r="E105" s="183"/>
      <c r="F105" s="285"/>
      <c r="G105" s="419"/>
      <c r="H105" s="415"/>
      <c r="I105" s="415"/>
      <c r="J105" s="415"/>
      <c r="K105" s="415"/>
      <c r="L105" s="415"/>
      <c r="M105" s="415"/>
      <c r="N105" s="415"/>
      <c r="O105" s="415"/>
      <c r="P105" s="420"/>
      <c r="R105" s="524">
        <f t="shared" si="3"/>
        <v>0</v>
      </c>
      <c r="S105" s="524" t="str">
        <f t="shared" si="4"/>
        <v>NOMBRE REPETIDO</v>
      </c>
    </row>
    <row r="106" spans="2:19" s="6" customFormat="1" ht="12.75" hidden="1">
      <c r="B106" s="185"/>
      <c r="C106" s="184"/>
      <c r="D106" s="287"/>
      <c r="E106" s="183"/>
      <c r="F106" s="285"/>
      <c r="G106" s="419"/>
      <c r="H106" s="415"/>
      <c r="I106" s="415"/>
      <c r="J106" s="415"/>
      <c r="K106" s="415"/>
      <c r="L106" s="415"/>
      <c r="M106" s="415"/>
      <c r="N106" s="415"/>
      <c r="O106" s="415"/>
      <c r="P106" s="420"/>
      <c r="R106" s="524">
        <f t="shared" si="3"/>
        <v>0</v>
      </c>
      <c r="S106" s="524" t="str">
        <f t="shared" si="4"/>
        <v>NOMBRE REPETIDO</v>
      </c>
    </row>
    <row r="107" spans="2:19" s="6" customFormat="1" ht="12.75" hidden="1">
      <c r="B107" s="185"/>
      <c r="C107" s="184"/>
      <c r="D107" s="287"/>
      <c r="E107" s="183"/>
      <c r="F107" s="285"/>
      <c r="G107" s="419"/>
      <c r="H107" s="415"/>
      <c r="I107" s="415"/>
      <c r="J107" s="415"/>
      <c r="K107" s="415"/>
      <c r="L107" s="415"/>
      <c r="M107" s="415"/>
      <c r="N107" s="415"/>
      <c r="O107" s="415"/>
      <c r="P107" s="420"/>
      <c r="R107" s="524">
        <f t="shared" si="3"/>
        <v>0</v>
      </c>
      <c r="S107" s="524" t="str">
        <f t="shared" si="4"/>
        <v>NOMBRE REPETIDO</v>
      </c>
    </row>
    <row r="108" spans="2:19" s="6" customFormat="1" ht="12.75" hidden="1">
      <c r="B108" s="185"/>
      <c r="C108" s="184"/>
      <c r="D108" s="287"/>
      <c r="E108" s="183"/>
      <c r="F108" s="285"/>
      <c r="G108" s="419"/>
      <c r="H108" s="415"/>
      <c r="I108" s="415"/>
      <c r="J108" s="415"/>
      <c r="K108" s="415"/>
      <c r="L108" s="415"/>
      <c r="M108" s="415"/>
      <c r="N108" s="415"/>
      <c r="O108" s="415"/>
      <c r="P108" s="420"/>
      <c r="R108" s="524">
        <f t="shared" si="3"/>
        <v>0</v>
      </c>
      <c r="S108" s="524" t="str">
        <f t="shared" si="4"/>
        <v>NOMBRE REPETIDO</v>
      </c>
    </row>
    <row r="109" spans="2:19" s="6" customFormat="1" ht="12.75" hidden="1">
      <c r="B109" s="185"/>
      <c r="C109" s="184"/>
      <c r="D109" s="287"/>
      <c r="E109" s="183"/>
      <c r="F109" s="285"/>
      <c r="G109" s="419"/>
      <c r="H109" s="415"/>
      <c r="I109" s="415"/>
      <c r="J109" s="415"/>
      <c r="K109" s="415"/>
      <c r="L109" s="415"/>
      <c r="M109" s="415"/>
      <c r="N109" s="415"/>
      <c r="O109" s="415"/>
      <c r="P109" s="420"/>
      <c r="R109" s="524">
        <f t="shared" si="3"/>
        <v>0</v>
      </c>
      <c r="S109" s="524" t="str">
        <f t="shared" si="4"/>
        <v>NOMBRE REPETIDO</v>
      </c>
    </row>
    <row r="110" spans="2:19" s="6" customFormat="1" ht="12.75" hidden="1">
      <c r="B110" s="185"/>
      <c r="C110" s="184"/>
      <c r="D110" s="287"/>
      <c r="E110" s="183"/>
      <c r="F110" s="285"/>
      <c r="G110" s="419"/>
      <c r="H110" s="415"/>
      <c r="I110" s="415"/>
      <c r="J110" s="415"/>
      <c r="K110" s="415"/>
      <c r="L110" s="415"/>
      <c r="M110" s="415"/>
      <c r="N110" s="415"/>
      <c r="O110" s="415"/>
      <c r="P110" s="420"/>
      <c r="R110" s="524">
        <f t="shared" si="3"/>
        <v>0</v>
      </c>
      <c r="S110" s="524" t="str">
        <f t="shared" si="4"/>
        <v>NOMBRE REPETIDO</v>
      </c>
    </row>
    <row r="111" spans="2:19" s="6" customFormat="1" ht="12.75" hidden="1">
      <c r="B111" s="185"/>
      <c r="C111" s="184"/>
      <c r="D111" s="287"/>
      <c r="E111" s="183"/>
      <c r="F111" s="285"/>
      <c r="G111" s="419"/>
      <c r="H111" s="415"/>
      <c r="I111" s="415"/>
      <c r="J111" s="415"/>
      <c r="K111" s="415"/>
      <c r="L111" s="415"/>
      <c r="M111" s="415"/>
      <c r="N111" s="415"/>
      <c r="O111" s="415"/>
      <c r="P111" s="420"/>
      <c r="R111" s="524">
        <f t="shared" si="3"/>
        <v>0</v>
      </c>
      <c r="S111" s="524" t="str">
        <f t="shared" si="4"/>
        <v>NOMBRE REPETIDO</v>
      </c>
    </row>
    <row r="112" spans="2:19" s="6" customFormat="1" ht="12.75" hidden="1">
      <c r="B112" s="185"/>
      <c r="C112" s="184"/>
      <c r="D112" s="287"/>
      <c r="E112" s="183"/>
      <c r="F112" s="285"/>
      <c r="G112" s="419"/>
      <c r="H112" s="415"/>
      <c r="I112" s="415"/>
      <c r="J112" s="415"/>
      <c r="K112" s="415"/>
      <c r="L112" s="415"/>
      <c r="M112" s="415"/>
      <c r="N112" s="415"/>
      <c r="O112" s="415"/>
      <c r="P112" s="420"/>
      <c r="R112" s="524">
        <f t="shared" si="3"/>
        <v>0</v>
      </c>
      <c r="S112" s="524" t="str">
        <f t="shared" si="4"/>
        <v>NOMBRE REPETIDO</v>
      </c>
    </row>
    <row r="113" spans="2:19" s="6" customFormat="1" ht="12.75" hidden="1">
      <c r="B113" s="185"/>
      <c r="C113" s="184"/>
      <c r="D113" s="287"/>
      <c r="E113" s="183"/>
      <c r="F113" s="285"/>
      <c r="G113" s="419"/>
      <c r="H113" s="415"/>
      <c r="I113" s="415"/>
      <c r="J113" s="415"/>
      <c r="K113" s="415"/>
      <c r="L113" s="415"/>
      <c r="M113" s="415"/>
      <c r="N113" s="415"/>
      <c r="O113" s="415"/>
      <c r="P113" s="420"/>
      <c r="R113" s="524">
        <f t="shared" si="3"/>
        <v>0</v>
      </c>
      <c r="S113" s="524" t="str">
        <f t="shared" si="4"/>
        <v>NOMBRE REPETIDO</v>
      </c>
    </row>
    <row r="114" spans="2:19" s="6" customFormat="1" ht="12.75" hidden="1">
      <c r="B114" s="185"/>
      <c r="C114" s="184"/>
      <c r="D114" s="287"/>
      <c r="E114" s="183"/>
      <c r="F114" s="285"/>
      <c r="G114" s="419"/>
      <c r="H114" s="415"/>
      <c r="I114" s="415"/>
      <c r="J114" s="415"/>
      <c r="K114" s="415"/>
      <c r="L114" s="415"/>
      <c r="M114" s="415"/>
      <c r="N114" s="415"/>
      <c r="O114" s="415"/>
      <c r="P114" s="420"/>
      <c r="R114" s="524">
        <f t="shared" si="3"/>
        <v>0</v>
      </c>
      <c r="S114" s="524" t="str">
        <f t="shared" si="4"/>
        <v>NOMBRE REPETIDO</v>
      </c>
    </row>
    <row r="115" spans="2:19" s="6" customFormat="1" ht="12.75" hidden="1">
      <c r="B115" s="185"/>
      <c r="C115" s="184"/>
      <c r="D115" s="287"/>
      <c r="E115" s="183"/>
      <c r="F115" s="285"/>
      <c r="G115" s="419"/>
      <c r="H115" s="415"/>
      <c r="I115" s="415"/>
      <c r="J115" s="415"/>
      <c r="K115" s="415"/>
      <c r="L115" s="415"/>
      <c r="M115" s="415"/>
      <c r="N115" s="415"/>
      <c r="O115" s="415"/>
      <c r="P115" s="420"/>
      <c r="R115" s="524">
        <f t="shared" ref="R115:R146" si="5">COUNTIF($D$19:$D$218,D115)</f>
        <v>0</v>
      </c>
      <c r="S115" s="524" t="str">
        <f t="shared" si="4"/>
        <v>NOMBRE REPETIDO</v>
      </c>
    </row>
    <row r="116" spans="2:19" s="6" customFormat="1" ht="12.75" hidden="1">
      <c r="B116" s="185"/>
      <c r="C116" s="184"/>
      <c r="D116" s="287"/>
      <c r="E116" s="183"/>
      <c r="F116" s="285"/>
      <c r="G116" s="419"/>
      <c r="H116" s="415"/>
      <c r="I116" s="415"/>
      <c r="J116" s="415"/>
      <c r="K116" s="415"/>
      <c r="L116" s="415"/>
      <c r="M116" s="415"/>
      <c r="N116" s="415"/>
      <c r="O116" s="415"/>
      <c r="P116" s="420"/>
      <c r="R116" s="524">
        <f t="shared" si="5"/>
        <v>0</v>
      </c>
      <c r="S116" s="524" t="str">
        <f t="shared" si="4"/>
        <v>NOMBRE REPETIDO</v>
      </c>
    </row>
    <row r="117" spans="2:19" s="6" customFormat="1" ht="12.75" hidden="1">
      <c r="B117" s="185"/>
      <c r="C117" s="184"/>
      <c r="D117" s="287"/>
      <c r="E117" s="183"/>
      <c r="F117" s="285"/>
      <c r="G117" s="419"/>
      <c r="H117" s="415"/>
      <c r="I117" s="415"/>
      <c r="J117" s="415"/>
      <c r="K117" s="415"/>
      <c r="L117" s="415"/>
      <c r="M117" s="415"/>
      <c r="N117" s="415"/>
      <c r="O117" s="415"/>
      <c r="P117" s="420"/>
      <c r="R117" s="524">
        <f t="shared" si="5"/>
        <v>0</v>
      </c>
      <c r="S117" s="524" t="str">
        <f t="shared" si="4"/>
        <v>NOMBRE REPETIDO</v>
      </c>
    </row>
    <row r="118" spans="2:19" s="6" customFormat="1" ht="12.75" hidden="1">
      <c r="B118" s="185"/>
      <c r="C118" s="184"/>
      <c r="D118" s="287"/>
      <c r="E118" s="183"/>
      <c r="F118" s="285"/>
      <c r="G118" s="419"/>
      <c r="H118" s="415"/>
      <c r="I118" s="415"/>
      <c r="J118" s="415"/>
      <c r="K118" s="415"/>
      <c r="L118" s="415"/>
      <c r="M118" s="415"/>
      <c r="N118" s="415"/>
      <c r="O118" s="415"/>
      <c r="P118" s="420"/>
      <c r="R118" s="524">
        <f t="shared" si="5"/>
        <v>0</v>
      </c>
      <c r="S118" s="524" t="str">
        <f t="shared" si="4"/>
        <v>NOMBRE REPETIDO</v>
      </c>
    </row>
    <row r="119" spans="2:19" s="6" customFormat="1" ht="12.75" hidden="1">
      <c r="B119" s="185"/>
      <c r="C119" s="184"/>
      <c r="D119" s="287"/>
      <c r="E119" s="183"/>
      <c r="F119" s="285"/>
      <c r="G119" s="419"/>
      <c r="H119" s="415"/>
      <c r="I119" s="415"/>
      <c r="J119" s="415"/>
      <c r="K119" s="415"/>
      <c r="L119" s="415"/>
      <c r="M119" s="415"/>
      <c r="N119" s="415"/>
      <c r="O119" s="415"/>
      <c r="P119" s="420"/>
      <c r="R119" s="524">
        <f t="shared" si="5"/>
        <v>0</v>
      </c>
      <c r="S119" s="524" t="str">
        <f t="shared" si="4"/>
        <v>NOMBRE REPETIDO</v>
      </c>
    </row>
    <row r="120" spans="2:19" s="6" customFormat="1" ht="12.75" hidden="1">
      <c r="B120" s="185"/>
      <c r="C120" s="184"/>
      <c r="D120" s="287"/>
      <c r="E120" s="183"/>
      <c r="F120" s="285"/>
      <c r="G120" s="419"/>
      <c r="H120" s="415"/>
      <c r="I120" s="415"/>
      <c r="J120" s="415"/>
      <c r="K120" s="415"/>
      <c r="L120" s="415"/>
      <c r="M120" s="415"/>
      <c r="N120" s="415"/>
      <c r="O120" s="415"/>
      <c r="P120" s="420"/>
      <c r="R120" s="524">
        <f t="shared" si="5"/>
        <v>0</v>
      </c>
      <c r="S120" s="524" t="str">
        <f t="shared" si="4"/>
        <v>NOMBRE REPETIDO</v>
      </c>
    </row>
    <row r="121" spans="2:19" s="6" customFormat="1" ht="12.75" hidden="1">
      <c r="B121" s="185"/>
      <c r="C121" s="184"/>
      <c r="D121" s="287"/>
      <c r="E121" s="183"/>
      <c r="F121" s="285"/>
      <c r="G121" s="419"/>
      <c r="H121" s="415"/>
      <c r="I121" s="415"/>
      <c r="J121" s="415"/>
      <c r="K121" s="415"/>
      <c r="L121" s="415"/>
      <c r="M121" s="415"/>
      <c r="N121" s="415"/>
      <c r="O121" s="415"/>
      <c r="P121" s="420"/>
      <c r="R121" s="524">
        <f t="shared" si="5"/>
        <v>0</v>
      </c>
      <c r="S121" s="524" t="str">
        <f t="shared" si="4"/>
        <v>NOMBRE REPETIDO</v>
      </c>
    </row>
    <row r="122" spans="2:19" s="6" customFormat="1" ht="12.75" hidden="1">
      <c r="B122" s="185"/>
      <c r="C122" s="184"/>
      <c r="D122" s="287"/>
      <c r="E122" s="183"/>
      <c r="F122" s="285"/>
      <c r="G122" s="419"/>
      <c r="H122" s="415"/>
      <c r="I122" s="415"/>
      <c r="J122" s="415"/>
      <c r="K122" s="415"/>
      <c r="L122" s="415"/>
      <c r="M122" s="415"/>
      <c r="N122" s="415"/>
      <c r="O122" s="415"/>
      <c r="P122" s="420"/>
      <c r="R122" s="524">
        <f t="shared" si="5"/>
        <v>0</v>
      </c>
      <c r="S122" s="524" t="str">
        <f t="shared" si="4"/>
        <v>NOMBRE REPETIDO</v>
      </c>
    </row>
    <row r="123" spans="2:19" s="6" customFormat="1" ht="12.75" hidden="1">
      <c r="B123" s="185"/>
      <c r="C123" s="184"/>
      <c r="D123" s="287"/>
      <c r="E123" s="183"/>
      <c r="F123" s="285"/>
      <c r="G123" s="419"/>
      <c r="H123" s="415"/>
      <c r="I123" s="415"/>
      <c r="J123" s="415"/>
      <c r="K123" s="415"/>
      <c r="L123" s="415"/>
      <c r="M123" s="415"/>
      <c r="N123" s="415"/>
      <c r="O123" s="415"/>
      <c r="P123" s="420"/>
      <c r="R123" s="524">
        <f t="shared" si="5"/>
        <v>0</v>
      </c>
      <c r="S123" s="524" t="str">
        <f t="shared" si="4"/>
        <v>NOMBRE REPETIDO</v>
      </c>
    </row>
    <row r="124" spans="2:19" s="6" customFormat="1" ht="12.75" hidden="1">
      <c r="B124" s="185"/>
      <c r="C124" s="184"/>
      <c r="D124" s="287"/>
      <c r="E124" s="183"/>
      <c r="F124" s="285"/>
      <c r="G124" s="419"/>
      <c r="H124" s="415"/>
      <c r="I124" s="415"/>
      <c r="J124" s="415"/>
      <c r="K124" s="415"/>
      <c r="L124" s="415"/>
      <c r="M124" s="415"/>
      <c r="N124" s="415"/>
      <c r="O124" s="415"/>
      <c r="P124" s="420"/>
      <c r="R124" s="524">
        <f t="shared" si="5"/>
        <v>0</v>
      </c>
      <c r="S124" s="524" t="str">
        <f t="shared" si="4"/>
        <v>NOMBRE REPETIDO</v>
      </c>
    </row>
    <row r="125" spans="2:19" s="6" customFormat="1" ht="12.75" hidden="1">
      <c r="B125" s="185"/>
      <c r="C125" s="184"/>
      <c r="D125" s="287"/>
      <c r="E125" s="183"/>
      <c r="F125" s="285"/>
      <c r="G125" s="419"/>
      <c r="H125" s="415"/>
      <c r="I125" s="415"/>
      <c r="J125" s="415"/>
      <c r="K125" s="415"/>
      <c r="L125" s="415"/>
      <c r="M125" s="415"/>
      <c r="N125" s="415"/>
      <c r="O125" s="415"/>
      <c r="P125" s="420"/>
      <c r="R125" s="524">
        <f t="shared" si="5"/>
        <v>0</v>
      </c>
      <c r="S125" s="524" t="str">
        <f t="shared" si="4"/>
        <v>NOMBRE REPETIDO</v>
      </c>
    </row>
    <row r="126" spans="2:19" s="6" customFormat="1" ht="12.75" hidden="1">
      <c r="B126" s="185"/>
      <c r="C126" s="184"/>
      <c r="D126" s="287"/>
      <c r="E126" s="183"/>
      <c r="F126" s="285"/>
      <c r="G126" s="419"/>
      <c r="H126" s="415"/>
      <c r="I126" s="415"/>
      <c r="J126" s="415"/>
      <c r="K126" s="415"/>
      <c r="L126" s="415"/>
      <c r="M126" s="415"/>
      <c r="N126" s="415"/>
      <c r="O126" s="415"/>
      <c r="P126" s="420"/>
      <c r="R126" s="524">
        <f t="shared" si="5"/>
        <v>0</v>
      </c>
      <c r="S126" s="524" t="str">
        <f t="shared" si="4"/>
        <v>NOMBRE REPETIDO</v>
      </c>
    </row>
    <row r="127" spans="2:19" s="6" customFormat="1" ht="12.75" hidden="1">
      <c r="B127" s="185"/>
      <c r="C127" s="184"/>
      <c r="D127" s="287"/>
      <c r="E127" s="183"/>
      <c r="F127" s="285"/>
      <c r="G127" s="419"/>
      <c r="H127" s="415"/>
      <c r="I127" s="415"/>
      <c r="J127" s="415"/>
      <c r="K127" s="415"/>
      <c r="L127" s="415"/>
      <c r="M127" s="415"/>
      <c r="N127" s="415"/>
      <c r="O127" s="415"/>
      <c r="P127" s="420"/>
      <c r="R127" s="524">
        <f t="shared" si="5"/>
        <v>0</v>
      </c>
      <c r="S127" s="524" t="str">
        <f t="shared" si="4"/>
        <v>NOMBRE REPETIDO</v>
      </c>
    </row>
    <row r="128" spans="2:19" s="6" customFormat="1" ht="12.75" hidden="1">
      <c r="B128" s="185"/>
      <c r="C128" s="184"/>
      <c r="D128" s="287"/>
      <c r="E128" s="183"/>
      <c r="F128" s="285"/>
      <c r="G128" s="419"/>
      <c r="H128" s="415"/>
      <c r="I128" s="415"/>
      <c r="J128" s="415"/>
      <c r="K128" s="415"/>
      <c r="L128" s="415"/>
      <c r="M128" s="415"/>
      <c r="N128" s="415"/>
      <c r="O128" s="415"/>
      <c r="P128" s="420"/>
      <c r="R128" s="524">
        <f t="shared" si="5"/>
        <v>0</v>
      </c>
      <c r="S128" s="524" t="str">
        <f t="shared" si="4"/>
        <v>NOMBRE REPETIDO</v>
      </c>
    </row>
    <row r="129" spans="2:19" s="6" customFormat="1" ht="12.75" hidden="1">
      <c r="B129" s="185"/>
      <c r="C129" s="184"/>
      <c r="D129" s="287"/>
      <c r="E129" s="183"/>
      <c r="F129" s="285"/>
      <c r="G129" s="419"/>
      <c r="H129" s="415"/>
      <c r="I129" s="415"/>
      <c r="J129" s="415"/>
      <c r="K129" s="415"/>
      <c r="L129" s="415"/>
      <c r="M129" s="415"/>
      <c r="N129" s="415"/>
      <c r="O129" s="415"/>
      <c r="P129" s="420"/>
      <c r="R129" s="524">
        <f t="shared" si="5"/>
        <v>0</v>
      </c>
      <c r="S129" s="524" t="str">
        <f t="shared" si="4"/>
        <v>NOMBRE REPETIDO</v>
      </c>
    </row>
    <row r="130" spans="2:19" s="6" customFormat="1" ht="12.75" hidden="1">
      <c r="B130" s="185"/>
      <c r="C130" s="184"/>
      <c r="D130" s="287"/>
      <c r="E130" s="183"/>
      <c r="F130" s="285"/>
      <c r="G130" s="419"/>
      <c r="H130" s="415"/>
      <c r="I130" s="415"/>
      <c r="J130" s="415"/>
      <c r="K130" s="415"/>
      <c r="L130" s="415"/>
      <c r="M130" s="415"/>
      <c r="N130" s="415"/>
      <c r="O130" s="415"/>
      <c r="P130" s="420"/>
      <c r="R130" s="524">
        <f t="shared" si="5"/>
        <v>0</v>
      </c>
      <c r="S130" s="524" t="str">
        <f t="shared" si="4"/>
        <v>NOMBRE REPETIDO</v>
      </c>
    </row>
    <row r="131" spans="2:19" s="6" customFormat="1" ht="12.75" hidden="1">
      <c r="B131" s="185"/>
      <c r="C131" s="184"/>
      <c r="D131" s="287"/>
      <c r="E131" s="183"/>
      <c r="F131" s="285"/>
      <c r="G131" s="419"/>
      <c r="H131" s="415"/>
      <c r="I131" s="415"/>
      <c r="J131" s="415"/>
      <c r="K131" s="415"/>
      <c r="L131" s="415"/>
      <c r="M131" s="415"/>
      <c r="N131" s="415"/>
      <c r="O131" s="415"/>
      <c r="P131" s="420"/>
      <c r="R131" s="524">
        <f t="shared" si="5"/>
        <v>0</v>
      </c>
      <c r="S131" s="524" t="str">
        <f t="shared" si="4"/>
        <v>NOMBRE REPETIDO</v>
      </c>
    </row>
    <row r="132" spans="2:19" s="6" customFormat="1" ht="12.75" hidden="1">
      <c r="B132" s="185"/>
      <c r="C132" s="184"/>
      <c r="D132" s="287"/>
      <c r="E132" s="183"/>
      <c r="F132" s="285"/>
      <c r="G132" s="419"/>
      <c r="H132" s="415"/>
      <c r="I132" s="415"/>
      <c r="J132" s="415"/>
      <c r="K132" s="415"/>
      <c r="L132" s="415"/>
      <c r="M132" s="415"/>
      <c r="N132" s="415"/>
      <c r="O132" s="415"/>
      <c r="P132" s="420"/>
      <c r="R132" s="524">
        <f t="shared" si="5"/>
        <v>0</v>
      </c>
      <c r="S132" s="524" t="str">
        <f t="shared" si="4"/>
        <v>NOMBRE REPETIDO</v>
      </c>
    </row>
    <row r="133" spans="2:19" s="6" customFormat="1" ht="12.75" hidden="1">
      <c r="B133" s="185"/>
      <c r="C133" s="184"/>
      <c r="D133" s="287"/>
      <c r="E133" s="183"/>
      <c r="F133" s="285"/>
      <c r="G133" s="419"/>
      <c r="H133" s="415"/>
      <c r="I133" s="415"/>
      <c r="J133" s="415"/>
      <c r="K133" s="415"/>
      <c r="L133" s="415"/>
      <c r="M133" s="415"/>
      <c r="N133" s="415"/>
      <c r="O133" s="415"/>
      <c r="P133" s="420"/>
      <c r="R133" s="524">
        <f t="shared" si="5"/>
        <v>0</v>
      </c>
      <c r="S133" s="524" t="str">
        <f t="shared" si="4"/>
        <v>NOMBRE REPETIDO</v>
      </c>
    </row>
    <row r="134" spans="2:19" s="6" customFormat="1" ht="12.75" hidden="1">
      <c r="B134" s="185"/>
      <c r="C134" s="184"/>
      <c r="D134" s="287"/>
      <c r="E134" s="183"/>
      <c r="F134" s="285"/>
      <c r="G134" s="419"/>
      <c r="H134" s="415"/>
      <c r="I134" s="415"/>
      <c r="J134" s="415"/>
      <c r="K134" s="415"/>
      <c r="L134" s="415"/>
      <c r="M134" s="415"/>
      <c r="N134" s="415"/>
      <c r="O134" s="415"/>
      <c r="P134" s="420"/>
      <c r="R134" s="524">
        <f t="shared" si="5"/>
        <v>0</v>
      </c>
      <c r="S134" s="524" t="str">
        <f t="shared" si="4"/>
        <v>NOMBRE REPETIDO</v>
      </c>
    </row>
    <row r="135" spans="2:19" s="6" customFormat="1" ht="12.75" hidden="1">
      <c r="B135" s="185"/>
      <c r="C135" s="184"/>
      <c r="D135" s="287"/>
      <c r="E135" s="183"/>
      <c r="F135" s="285"/>
      <c r="G135" s="419"/>
      <c r="H135" s="415"/>
      <c r="I135" s="415"/>
      <c r="J135" s="415"/>
      <c r="K135" s="415"/>
      <c r="L135" s="415"/>
      <c r="M135" s="415"/>
      <c r="N135" s="415"/>
      <c r="O135" s="415"/>
      <c r="P135" s="420"/>
      <c r="R135" s="524">
        <f t="shared" si="5"/>
        <v>0</v>
      </c>
      <c r="S135" s="524" t="str">
        <f t="shared" si="4"/>
        <v>NOMBRE REPETIDO</v>
      </c>
    </row>
    <row r="136" spans="2:19" s="6" customFormat="1" ht="12.75" hidden="1">
      <c r="B136" s="185"/>
      <c r="C136" s="184"/>
      <c r="D136" s="287"/>
      <c r="E136" s="183"/>
      <c r="F136" s="285"/>
      <c r="G136" s="419"/>
      <c r="H136" s="415"/>
      <c r="I136" s="415"/>
      <c r="J136" s="415"/>
      <c r="K136" s="415"/>
      <c r="L136" s="415"/>
      <c r="M136" s="415"/>
      <c r="N136" s="415"/>
      <c r="O136" s="415"/>
      <c r="P136" s="420"/>
      <c r="R136" s="524">
        <f t="shared" si="5"/>
        <v>0</v>
      </c>
      <c r="S136" s="524" t="str">
        <f t="shared" si="4"/>
        <v>NOMBRE REPETIDO</v>
      </c>
    </row>
    <row r="137" spans="2:19" s="6" customFormat="1" ht="12.75" hidden="1">
      <c r="B137" s="185"/>
      <c r="C137" s="184"/>
      <c r="D137" s="287"/>
      <c r="E137" s="183"/>
      <c r="F137" s="285"/>
      <c r="G137" s="419"/>
      <c r="H137" s="415"/>
      <c r="I137" s="415"/>
      <c r="J137" s="415"/>
      <c r="K137" s="415"/>
      <c r="L137" s="415"/>
      <c r="M137" s="415"/>
      <c r="N137" s="415"/>
      <c r="O137" s="415"/>
      <c r="P137" s="420"/>
      <c r="R137" s="524">
        <f t="shared" si="5"/>
        <v>0</v>
      </c>
      <c r="S137" s="524" t="str">
        <f t="shared" si="4"/>
        <v>NOMBRE REPETIDO</v>
      </c>
    </row>
    <row r="138" spans="2:19" s="6" customFormat="1" ht="12.75" hidden="1">
      <c r="B138" s="185"/>
      <c r="C138" s="184"/>
      <c r="D138" s="287"/>
      <c r="E138" s="183"/>
      <c r="F138" s="285"/>
      <c r="G138" s="419"/>
      <c r="H138" s="415"/>
      <c r="I138" s="415"/>
      <c r="J138" s="415"/>
      <c r="K138" s="415"/>
      <c r="L138" s="415"/>
      <c r="M138" s="415"/>
      <c r="N138" s="415"/>
      <c r="O138" s="415"/>
      <c r="P138" s="420"/>
      <c r="R138" s="524">
        <f t="shared" si="5"/>
        <v>0</v>
      </c>
      <c r="S138" s="524" t="str">
        <f t="shared" si="4"/>
        <v>NOMBRE REPETIDO</v>
      </c>
    </row>
    <row r="139" spans="2:19" s="6" customFormat="1" ht="12.75" hidden="1">
      <c r="B139" s="185"/>
      <c r="C139" s="184"/>
      <c r="D139" s="287"/>
      <c r="E139" s="183"/>
      <c r="F139" s="285"/>
      <c r="G139" s="419"/>
      <c r="H139" s="415"/>
      <c r="I139" s="415"/>
      <c r="J139" s="415"/>
      <c r="K139" s="415"/>
      <c r="L139" s="415"/>
      <c r="M139" s="415"/>
      <c r="N139" s="415"/>
      <c r="O139" s="415"/>
      <c r="P139" s="420"/>
      <c r="R139" s="524">
        <f t="shared" si="5"/>
        <v>0</v>
      </c>
      <c r="S139" s="524" t="str">
        <f t="shared" si="4"/>
        <v>NOMBRE REPETIDO</v>
      </c>
    </row>
    <row r="140" spans="2:19" s="6" customFormat="1" ht="12.75" hidden="1">
      <c r="B140" s="185"/>
      <c r="C140" s="184"/>
      <c r="D140" s="287"/>
      <c r="E140" s="183"/>
      <c r="F140" s="285"/>
      <c r="G140" s="419"/>
      <c r="H140" s="415"/>
      <c r="I140" s="415"/>
      <c r="J140" s="415"/>
      <c r="K140" s="415"/>
      <c r="L140" s="415"/>
      <c r="M140" s="415"/>
      <c r="N140" s="415"/>
      <c r="O140" s="415"/>
      <c r="P140" s="420"/>
      <c r="R140" s="524">
        <f t="shared" si="5"/>
        <v>0</v>
      </c>
      <c r="S140" s="524" t="str">
        <f t="shared" si="4"/>
        <v>NOMBRE REPETIDO</v>
      </c>
    </row>
    <row r="141" spans="2:19" s="6" customFormat="1" ht="12.75" hidden="1">
      <c r="B141" s="185"/>
      <c r="C141" s="184"/>
      <c r="D141" s="287"/>
      <c r="E141" s="183"/>
      <c r="F141" s="285"/>
      <c r="G141" s="419"/>
      <c r="H141" s="415"/>
      <c r="I141" s="415"/>
      <c r="J141" s="415"/>
      <c r="K141" s="415"/>
      <c r="L141" s="415"/>
      <c r="M141" s="415"/>
      <c r="N141" s="415"/>
      <c r="O141" s="415"/>
      <c r="P141" s="420"/>
      <c r="R141" s="524">
        <f t="shared" si="5"/>
        <v>0</v>
      </c>
      <c r="S141" s="524" t="str">
        <f t="shared" si="4"/>
        <v>NOMBRE REPETIDO</v>
      </c>
    </row>
    <row r="142" spans="2:19" s="6" customFormat="1" ht="12.75" hidden="1">
      <c r="B142" s="185"/>
      <c r="C142" s="184"/>
      <c r="D142" s="287"/>
      <c r="E142" s="183"/>
      <c r="F142" s="285"/>
      <c r="G142" s="419"/>
      <c r="H142" s="415"/>
      <c r="I142" s="415"/>
      <c r="J142" s="415"/>
      <c r="K142" s="415"/>
      <c r="L142" s="415"/>
      <c r="M142" s="415"/>
      <c r="N142" s="415"/>
      <c r="O142" s="415"/>
      <c r="P142" s="420"/>
      <c r="R142" s="524">
        <f t="shared" si="5"/>
        <v>0</v>
      </c>
      <c r="S142" s="524" t="str">
        <f t="shared" si="4"/>
        <v>NOMBRE REPETIDO</v>
      </c>
    </row>
    <row r="143" spans="2:19" s="6" customFormat="1" ht="12.75" hidden="1">
      <c r="B143" s="185"/>
      <c r="C143" s="184"/>
      <c r="D143" s="287"/>
      <c r="E143" s="183"/>
      <c r="F143" s="285"/>
      <c r="G143" s="419"/>
      <c r="H143" s="415"/>
      <c r="I143" s="415"/>
      <c r="J143" s="415"/>
      <c r="K143" s="415"/>
      <c r="L143" s="415"/>
      <c r="M143" s="415"/>
      <c r="N143" s="415"/>
      <c r="O143" s="415"/>
      <c r="P143" s="420"/>
      <c r="R143" s="524">
        <f t="shared" si="5"/>
        <v>0</v>
      </c>
      <c r="S143" s="524" t="str">
        <f t="shared" si="4"/>
        <v>NOMBRE REPETIDO</v>
      </c>
    </row>
    <row r="144" spans="2:19" s="6" customFormat="1" ht="12.75" hidden="1">
      <c r="B144" s="185"/>
      <c r="C144" s="184"/>
      <c r="D144" s="287"/>
      <c r="E144" s="183"/>
      <c r="F144" s="285"/>
      <c r="G144" s="419"/>
      <c r="H144" s="415"/>
      <c r="I144" s="415"/>
      <c r="J144" s="415"/>
      <c r="K144" s="415"/>
      <c r="L144" s="415"/>
      <c r="M144" s="415"/>
      <c r="N144" s="415"/>
      <c r="O144" s="415"/>
      <c r="P144" s="420"/>
      <c r="R144" s="524">
        <f t="shared" si="5"/>
        <v>0</v>
      </c>
      <c r="S144" s="524" t="str">
        <f t="shared" si="4"/>
        <v>NOMBRE REPETIDO</v>
      </c>
    </row>
    <row r="145" spans="2:19" s="6" customFormat="1" ht="12.75" hidden="1">
      <c r="B145" s="185"/>
      <c r="C145" s="184"/>
      <c r="D145" s="287"/>
      <c r="E145" s="183"/>
      <c r="F145" s="285"/>
      <c r="G145" s="419"/>
      <c r="H145" s="415"/>
      <c r="I145" s="415"/>
      <c r="J145" s="415"/>
      <c r="K145" s="415"/>
      <c r="L145" s="415"/>
      <c r="M145" s="415"/>
      <c r="N145" s="415"/>
      <c r="O145" s="415"/>
      <c r="P145" s="420"/>
      <c r="R145" s="524">
        <f t="shared" si="5"/>
        <v>0</v>
      </c>
      <c r="S145" s="524" t="str">
        <f t="shared" si="4"/>
        <v>NOMBRE REPETIDO</v>
      </c>
    </row>
    <row r="146" spans="2:19" s="6" customFormat="1" ht="12.75" hidden="1">
      <c r="B146" s="185"/>
      <c r="C146" s="184"/>
      <c r="D146" s="287"/>
      <c r="E146" s="183"/>
      <c r="F146" s="285"/>
      <c r="G146" s="419"/>
      <c r="H146" s="415"/>
      <c r="I146" s="415"/>
      <c r="J146" s="415"/>
      <c r="K146" s="415"/>
      <c r="L146" s="415"/>
      <c r="M146" s="415"/>
      <c r="N146" s="415"/>
      <c r="O146" s="415"/>
      <c r="P146" s="420"/>
      <c r="R146" s="524">
        <f t="shared" si="5"/>
        <v>0</v>
      </c>
      <c r="S146" s="524" t="str">
        <f t="shared" si="4"/>
        <v>NOMBRE REPETIDO</v>
      </c>
    </row>
    <row r="147" spans="2:19" s="6" customFormat="1" ht="12.75" hidden="1">
      <c r="B147" s="185"/>
      <c r="C147" s="184"/>
      <c r="D147" s="287"/>
      <c r="E147" s="183"/>
      <c r="F147" s="285"/>
      <c r="G147" s="419"/>
      <c r="H147" s="415"/>
      <c r="I147" s="415"/>
      <c r="J147" s="415"/>
      <c r="K147" s="415"/>
      <c r="L147" s="415"/>
      <c r="M147" s="415"/>
      <c r="N147" s="415"/>
      <c r="O147" s="415"/>
      <c r="P147" s="420"/>
      <c r="R147" s="524">
        <f t="shared" ref="R147:R178" si="6">COUNTIF($D$19:$D$218,D147)</f>
        <v>0</v>
      </c>
      <c r="S147" s="524" t="str">
        <f t="shared" si="4"/>
        <v>NOMBRE REPETIDO</v>
      </c>
    </row>
    <row r="148" spans="2:19" s="6" customFormat="1" ht="12.75" hidden="1">
      <c r="B148" s="185"/>
      <c r="C148" s="184"/>
      <c r="D148" s="287"/>
      <c r="E148" s="183"/>
      <c r="F148" s="285"/>
      <c r="G148" s="419"/>
      <c r="H148" s="415"/>
      <c r="I148" s="415"/>
      <c r="J148" s="415"/>
      <c r="K148" s="415"/>
      <c r="L148" s="415"/>
      <c r="M148" s="415"/>
      <c r="N148" s="415"/>
      <c r="O148" s="415"/>
      <c r="P148" s="420"/>
      <c r="R148" s="524">
        <f t="shared" si="6"/>
        <v>0</v>
      </c>
      <c r="S148" s="524" t="str">
        <f t="shared" ref="S148:S211" si="7">IF(R148=1,"NOMBRE OK","NOMBRE REPETIDO")</f>
        <v>NOMBRE REPETIDO</v>
      </c>
    </row>
    <row r="149" spans="2:19" s="6" customFormat="1" ht="12.75" hidden="1">
      <c r="B149" s="185"/>
      <c r="C149" s="184"/>
      <c r="D149" s="287"/>
      <c r="E149" s="183"/>
      <c r="F149" s="285"/>
      <c r="G149" s="419"/>
      <c r="H149" s="415"/>
      <c r="I149" s="415"/>
      <c r="J149" s="415"/>
      <c r="K149" s="415"/>
      <c r="L149" s="415"/>
      <c r="M149" s="415"/>
      <c r="N149" s="415"/>
      <c r="O149" s="415"/>
      <c r="P149" s="420"/>
      <c r="R149" s="524">
        <f t="shared" si="6"/>
        <v>0</v>
      </c>
      <c r="S149" s="524" t="str">
        <f t="shared" si="7"/>
        <v>NOMBRE REPETIDO</v>
      </c>
    </row>
    <row r="150" spans="2:19" s="6" customFormat="1" ht="12.75" hidden="1">
      <c r="B150" s="185"/>
      <c r="C150" s="184"/>
      <c r="D150" s="287"/>
      <c r="E150" s="183"/>
      <c r="F150" s="285"/>
      <c r="G150" s="419"/>
      <c r="H150" s="415"/>
      <c r="I150" s="415"/>
      <c r="J150" s="415"/>
      <c r="K150" s="415"/>
      <c r="L150" s="415"/>
      <c r="M150" s="415"/>
      <c r="N150" s="415"/>
      <c r="O150" s="415"/>
      <c r="P150" s="420"/>
      <c r="R150" s="524">
        <f t="shared" si="6"/>
        <v>0</v>
      </c>
      <c r="S150" s="524" t="str">
        <f t="shared" si="7"/>
        <v>NOMBRE REPETIDO</v>
      </c>
    </row>
    <row r="151" spans="2:19" s="6" customFormat="1" ht="12.75" hidden="1">
      <c r="B151" s="185"/>
      <c r="C151" s="184"/>
      <c r="D151" s="287"/>
      <c r="E151" s="183"/>
      <c r="F151" s="285"/>
      <c r="G151" s="419"/>
      <c r="H151" s="415"/>
      <c r="I151" s="415"/>
      <c r="J151" s="415"/>
      <c r="K151" s="415"/>
      <c r="L151" s="415"/>
      <c r="M151" s="415"/>
      <c r="N151" s="415"/>
      <c r="O151" s="415"/>
      <c r="P151" s="420"/>
      <c r="R151" s="524">
        <f t="shared" si="6"/>
        <v>0</v>
      </c>
      <c r="S151" s="524" t="str">
        <f t="shared" si="7"/>
        <v>NOMBRE REPETIDO</v>
      </c>
    </row>
    <row r="152" spans="2:19" s="6" customFormat="1" ht="12.75" hidden="1">
      <c r="B152" s="185"/>
      <c r="C152" s="184"/>
      <c r="D152" s="287"/>
      <c r="E152" s="183"/>
      <c r="F152" s="285"/>
      <c r="G152" s="419"/>
      <c r="H152" s="415"/>
      <c r="I152" s="415"/>
      <c r="J152" s="415"/>
      <c r="K152" s="415"/>
      <c r="L152" s="415"/>
      <c r="M152" s="415"/>
      <c r="N152" s="415"/>
      <c r="O152" s="415"/>
      <c r="P152" s="420"/>
      <c r="R152" s="524">
        <f t="shared" si="6"/>
        <v>0</v>
      </c>
      <c r="S152" s="524" t="str">
        <f t="shared" si="7"/>
        <v>NOMBRE REPETIDO</v>
      </c>
    </row>
    <row r="153" spans="2:19" s="6" customFormat="1" ht="12.75" hidden="1">
      <c r="B153" s="185"/>
      <c r="C153" s="184"/>
      <c r="D153" s="287"/>
      <c r="E153" s="183"/>
      <c r="F153" s="285"/>
      <c r="G153" s="419"/>
      <c r="H153" s="415"/>
      <c r="I153" s="415"/>
      <c r="J153" s="415"/>
      <c r="K153" s="415"/>
      <c r="L153" s="415"/>
      <c r="M153" s="415"/>
      <c r="N153" s="415"/>
      <c r="O153" s="415"/>
      <c r="P153" s="420"/>
      <c r="R153" s="524">
        <f t="shared" si="6"/>
        <v>0</v>
      </c>
      <c r="S153" s="524" t="str">
        <f t="shared" si="7"/>
        <v>NOMBRE REPETIDO</v>
      </c>
    </row>
    <row r="154" spans="2:19" s="6" customFormat="1" ht="12.75" hidden="1">
      <c r="B154" s="185"/>
      <c r="C154" s="184"/>
      <c r="D154" s="287"/>
      <c r="E154" s="183"/>
      <c r="F154" s="285"/>
      <c r="G154" s="419"/>
      <c r="H154" s="415"/>
      <c r="I154" s="415"/>
      <c r="J154" s="415"/>
      <c r="K154" s="415"/>
      <c r="L154" s="415"/>
      <c r="M154" s="415"/>
      <c r="N154" s="415"/>
      <c r="O154" s="415"/>
      <c r="P154" s="420"/>
      <c r="R154" s="524">
        <f t="shared" si="6"/>
        <v>0</v>
      </c>
      <c r="S154" s="524" t="str">
        <f t="shared" si="7"/>
        <v>NOMBRE REPETIDO</v>
      </c>
    </row>
    <row r="155" spans="2:19" s="6" customFormat="1" ht="12.75" hidden="1">
      <c r="B155" s="185"/>
      <c r="C155" s="184"/>
      <c r="D155" s="287"/>
      <c r="E155" s="183"/>
      <c r="F155" s="285"/>
      <c r="G155" s="419"/>
      <c r="H155" s="415"/>
      <c r="I155" s="415"/>
      <c r="J155" s="415"/>
      <c r="K155" s="415"/>
      <c r="L155" s="415"/>
      <c r="M155" s="415"/>
      <c r="N155" s="415"/>
      <c r="O155" s="415"/>
      <c r="P155" s="420"/>
      <c r="R155" s="524">
        <f t="shared" si="6"/>
        <v>0</v>
      </c>
      <c r="S155" s="524" t="str">
        <f t="shared" si="7"/>
        <v>NOMBRE REPETIDO</v>
      </c>
    </row>
    <row r="156" spans="2:19" s="6" customFormat="1" ht="12.75" hidden="1">
      <c r="B156" s="185"/>
      <c r="C156" s="184"/>
      <c r="D156" s="287"/>
      <c r="E156" s="183"/>
      <c r="F156" s="285"/>
      <c r="G156" s="419"/>
      <c r="H156" s="415"/>
      <c r="I156" s="415"/>
      <c r="J156" s="415"/>
      <c r="K156" s="415"/>
      <c r="L156" s="415"/>
      <c r="M156" s="415"/>
      <c r="N156" s="415"/>
      <c r="O156" s="415"/>
      <c r="P156" s="420"/>
      <c r="R156" s="524">
        <f t="shared" si="6"/>
        <v>0</v>
      </c>
      <c r="S156" s="524" t="str">
        <f t="shared" si="7"/>
        <v>NOMBRE REPETIDO</v>
      </c>
    </row>
    <row r="157" spans="2:19" s="6" customFormat="1" ht="12.75" hidden="1">
      <c r="B157" s="185"/>
      <c r="C157" s="184"/>
      <c r="D157" s="287"/>
      <c r="E157" s="183"/>
      <c r="F157" s="285"/>
      <c r="G157" s="419"/>
      <c r="H157" s="415"/>
      <c r="I157" s="415"/>
      <c r="J157" s="415"/>
      <c r="K157" s="415"/>
      <c r="L157" s="415"/>
      <c r="M157" s="415"/>
      <c r="N157" s="415"/>
      <c r="O157" s="415"/>
      <c r="P157" s="420"/>
      <c r="R157" s="524">
        <f t="shared" si="6"/>
        <v>0</v>
      </c>
      <c r="S157" s="524" t="str">
        <f t="shared" si="7"/>
        <v>NOMBRE REPETIDO</v>
      </c>
    </row>
    <row r="158" spans="2:19" s="6" customFormat="1" ht="12.75" hidden="1">
      <c r="B158" s="185"/>
      <c r="C158" s="184"/>
      <c r="D158" s="287"/>
      <c r="E158" s="183"/>
      <c r="F158" s="285"/>
      <c r="G158" s="419"/>
      <c r="H158" s="415"/>
      <c r="I158" s="415"/>
      <c r="J158" s="415"/>
      <c r="K158" s="415"/>
      <c r="L158" s="415"/>
      <c r="M158" s="415"/>
      <c r="N158" s="415"/>
      <c r="O158" s="415"/>
      <c r="P158" s="420"/>
      <c r="R158" s="524">
        <f t="shared" si="6"/>
        <v>0</v>
      </c>
      <c r="S158" s="524" t="str">
        <f t="shared" si="7"/>
        <v>NOMBRE REPETIDO</v>
      </c>
    </row>
    <row r="159" spans="2:19" s="6" customFormat="1" ht="12.75" hidden="1">
      <c r="B159" s="185"/>
      <c r="C159" s="184"/>
      <c r="D159" s="287"/>
      <c r="E159" s="183"/>
      <c r="F159" s="285"/>
      <c r="G159" s="419"/>
      <c r="H159" s="415"/>
      <c r="I159" s="415"/>
      <c r="J159" s="415"/>
      <c r="K159" s="415"/>
      <c r="L159" s="415"/>
      <c r="M159" s="415"/>
      <c r="N159" s="415"/>
      <c r="O159" s="415"/>
      <c r="P159" s="420"/>
      <c r="R159" s="524">
        <f t="shared" si="6"/>
        <v>0</v>
      </c>
      <c r="S159" s="524" t="str">
        <f t="shared" si="7"/>
        <v>NOMBRE REPETIDO</v>
      </c>
    </row>
    <row r="160" spans="2:19" s="6" customFormat="1" ht="12.75" hidden="1">
      <c r="B160" s="185"/>
      <c r="C160" s="184"/>
      <c r="D160" s="287"/>
      <c r="E160" s="183"/>
      <c r="F160" s="285"/>
      <c r="G160" s="419"/>
      <c r="H160" s="415"/>
      <c r="I160" s="415"/>
      <c r="J160" s="415"/>
      <c r="K160" s="415"/>
      <c r="L160" s="415"/>
      <c r="M160" s="415"/>
      <c r="N160" s="415"/>
      <c r="O160" s="415"/>
      <c r="P160" s="420"/>
      <c r="R160" s="524">
        <f t="shared" si="6"/>
        <v>0</v>
      </c>
      <c r="S160" s="524" t="str">
        <f t="shared" si="7"/>
        <v>NOMBRE REPETIDO</v>
      </c>
    </row>
    <row r="161" spans="2:19" s="6" customFormat="1" ht="12.75" hidden="1">
      <c r="B161" s="185"/>
      <c r="C161" s="184"/>
      <c r="D161" s="287"/>
      <c r="E161" s="183"/>
      <c r="F161" s="285"/>
      <c r="G161" s="419"/>
      <c r="H161" s="415"/>
      <c r="I161" s="415"/>
      <c r="J161" s="415"/>
      <c r="K161" s="415"/>
      <c r="L161" s="415"/>
      <c r="M161" s="415"/>
      <c r="N161" s="415"/>
      <c r="O161" s="415"/>
      <c r="P161" s="420"/>
      <c r="R161" s="524">
        <f t="shared" si="6"/>
        <v>0</v>
      </c>
      <c r="S161" s="524" t="str">
        <f t="shared" si="7"/>
        <v>NOMBRE REPETIDO</v>
      </c>
    </row>
    <row r="162" spans="2:19" s="6" customFormat="1" ht="12.75" hidden="1">
      <c r="B162" s="185"/>
      <c r="C162" s="184"/>
      <c r="D162" s="287"/>
      <c r="E162" s="183"/>
      <c r="F162" s="285"/>
      <c r="G162" s="419"/>
      <c r="H162" s="415"/>
      <c r="I162" s="415"/>
      <c r="J162" s="415"/>
      <c r="K162" s="415"/>
      <c r="L162" s="415"/>
      <c r="M162" s="415"/>
      <c r="N162" s="415"/>
      <c r="O162" s="415"/>
      <c r="P162" s="420"/>
      <c r="R162" s="524">
        <f t="shared" si="6"/>
        <v>0</v>
      </c>
      <c r="S162" s="524" t="str">
        <f t="shared" si="7"/>
        <v>NOMBRE REPETIDO</v>
      </c>
    </row>
    <row r="163" spans="2:19" s="6" customFormat="1" ht="12.75" hidden="1">
      <c r="B163" s="185"/>
      <c r="C163" s="184"/>
      <c r="D163" s="287"/>
      <c r="E163" s="183"/>
      <c r="F163" s="285"/>
      <c r="G163" s="419"/>
      <c r="H163" s="415"/>
      <c r="I163" s="415"/>
      <c r="J163" s="415"/>
      <c r="K163" s="415"/>
      <c r="L163" s="415"/>
      <c r="M163" s="415"/>
      <c r="N163" s="415"/>
      <c r="O163" s="415"/>
      <c r="P163" s="420"/>
      <c r="R163" s="524">
        <f t="shared" si="6"/>
        <v>0</v>
      </c>
      <c r="S163" s="524" t="str">
        <f t="shared" si="7"/>
        <v>NOMBRE REPETIDO</v>
      </c>
    </row>
    <row r="164" spans="2:19" s="6" customFormat="1" ht="12.75" hidden="1">
      <c r="B164" s="185"/>
      <c r="C164" s="184"/>
      <c r="D164" s="287"/>
      <c r="E164" s="183"/>
      <c r="F164" s="285"/>
      <c r="G164" s="419"/>
      <c r="H164" s="415"/>
      <c r="I164" s="415"/>
      <c r="J164" s="415"/>
      <c r="K164" s="415"/>
      <c r="L164" s="415"/>
      <c r="M164" s="415"/>
      <c r="N164" s="415"/>
      <c r="O164" s="415"/>
      <c r="P164" s="420"/>
      <c r="R164" s="524">
        <f t="shared" si="6"/>
        <v>0</v>
      </c>
      <c r="S164" s="524" t="str">
        <f t="shared" si="7"/>
        <v>NOMBRE REPETIDO</v>
      </c>
    </row>
    <row r="165" spans="2:19" s="6" customFormat="1" ht="12.75" hidden="1">
      <c r="B165" s="185"/>
      <c r="C165" s="184"/>
      <c r="D165" s="287"/>
      <c r="E165" s="183"/>
      <c r="F165" s="285"/>
      <c r="G165" s="419"/>
      <c r="H165" s="415"/>
      <c r="I165" s="415"/>
      <c r="J165" s="415"/>
      <c r="K165" s="415"/>
      <c r="L165" s="415"/>
      <c r="M165" s="415"/>
      <c r="N165" s="415"/>
      <c r="O165" s="415"/>
      <c r="P165" s="420"/>
      <c r="R165" s="524">
        <f t="shared" si="6"/>
        <v>0</v>
      </c>
      <c r="S165" s="524" t="str">
        <f t="shared" si="7"/>
        <v>NOMBRE REPETIDO</v>
      </c>
    </row>
    <row r="166" spans="2:19" s="6" customFormat="1" ht="12.75" hidden="1">
      <c r="B166" s="185"/>
      <c r="C166" s="184"/>
      <c r="D166" s="287"/>
      <c r="E166" s="183"/>
      <c r="F166" s="285"/>
      <c r="G166" s="419"/>
      <c r="H166" s="415"/>
      <c r="I166" s="415"/>
      <c r="J166" s="415"/>
      <c r="K166" s="415"/>
      <c r="L166" s="415"/>
      <c r="M166" s="415"/>
      <c r="N166" s="415"/>
      <c r="O166" s="415"/>
      <c r="P166" s="420"/>
      <c r="R166" s="524">
        <f t="shared" si="6"/>
        <v>0</v>
      </c>
      <c r="S166" s="524" t="str">
        <f t="shared" si="7"/>
        <v>NOMBRE REPETIDO</v>
      </c>
    </row>
    <row r="167" spans="2:19" s="6" customFormat="1" ht="12.75" hidden="1">
      <c r="B167" s="185"/>
      <c r="C167" s="184"/>
      <c r="D167" s="287"/>
      <c r="E167" s="183"/>
      <c r="F167" s="285"/>
      <c r="G167" s="419"/>
      <c r="H167" s="415"/>
      <c r="I167" s="415"/>
      <c r="J167" s="415"/>
      <c r="K167" s="415"/>
      <c r="L167" s="415"/>
      <c r="M167" s="415"/>
      <c r="N167" s="415"/>
      <c r="O167" s="415"/>
      <c r="P167" s="420"/>
      <c r="R167" s="524">
        <f t="shared" si="6"/>
        <v>0</v>
      </c>
      <c r="S167" s="524" t="str">
        <f t="shared" si="7"/>
        <v>NOMBRE REPETIDO</v>
      </c>
    </row>
    <row r="168" spans="2:19" s="6" customFormat="1" ht="12.75" hidden="1">
      <c r="B168" s="185"/>
      <c r="C168" s="184"/>
      <c r="D168" s="287"/>
      <c r="E168" s="183"/>
      <c r="F168" s="285"/>
      <c r="G168" s="419"/>
      <c r="H168" s="415"/>
      <c r="I168" s="415"/>
      <c r="J168" s="415"/>
      <c r="K168" s="415"/>
      <c r="L168" s="415"/>
      <c r="M168" s="415"/>
      <c r="N168" s="415"/>
      <c r="O168" s="415"/>
      <c r="P168" s="420"/>
      <c r="R168" s="524">
        <f t="shared" si="6"/>
        <v>0</v>
      </c>
      <c r="S168" s="524" t="str">
        <f t="shared" si="7"/>
        <v>NOMBRE REPETIDO</v>
      </c>
    </row>
    <row r="169" spans="2:19" s="6" customFormat="1" ht="12.75" hidden="1">
      <c r="B169" s="185"/>
      <c r="C169" s="184"/>
      <c r="D169" s="287"/>
      <c r="E169" s="183"/>
      <c r="F169" s="285"/>
      <c r="G169" s="419"/>
      <c r="H169" s="415"/>
      <c r="I169" s="415"/>
      <c r="J169" s="415"/>
      <c r="K169" s="415"/>
      <c r="L169" s="415"/>
      <c r="M169" s="415"/>
      <c r="N169" s="415"/>
      <c r="O169" s="415"/>
      <c r="P169" s="420"/>
      <c r="R169" s="524">
        <f t="shared" si="6"/>
        <v>0</v>
      </c>
      <c r="S169" s="524" t="str">
        <f t="shared" si="7"/>
        <v>NOMBRE REPETIDO</v>
      </c>
    </row>
    <row r="170" spans="2:19" s="6" customFormat="1" ht="12.75" hidden="1">
      <c r="B170" s="185"/>
      <c r="C170" s="184"/>
      <c r="D170" s="287"/>
      <c r="E170" s="183"/>
      <c r="F170" s="285"/>
      <c r="G170" s="419"/>
      <c r="H170" s="415"/>
      <c r="I170" s="415"/>
      <c r="J170" s="415"/>
      <c r="K170" s="415"/>
      <c r="L170" s="415"/>
      <c r="M170" s="415"/>
      <c r="N170" s="415"/>
      <c r="O170" s="415"/>
      <c r="P170" s="420"/>
      <c r="R170" s="524">
        <f t="shared" si="6"/>
        <v>0</v>
      </c>
      <c r="S170" s="524" t="str">
        <f t="shared" si="7"/>
        <v>NOMBRE REPETIDO</v>
      </c>
    </row>
    <row r="171" spans="2:19" s="6" customFormat="1" ht="12.75" hidden="1">
      <c r="B171" s="185"/>
      <c r="C171" s="184"/>
      <c r="D171" s="287"/>
      <c r="E171" s="183"/>
      <c r="F171" s="285"/>
      <c r="G171" s="419"/>
      <c r="H171" s="415"/>
      <c r="I171" s="415"/>
      <c r="J171" s="415"/>
      <c r="K171" s="415"/>
      <c r="L171" s="415"/>
      <c r="M171" s="415"/>
      <c r="N171" s="415"/>
      <c r="O171" s="415"/>
      <c r="P171" s="420"/>
      <c r="R171" s="524">
        <f t="shared" si="6"/>
        <v>0</v>
      </c>
      <c r="S171" s="524" t="str">
        <f t="shared" si="7"/>
        <v>NOMBRE REPETIDO</v>
      </c>
    </row>
    <row r="172" spans="2:19" s="6" customFormat="1" ht="12.75" hidden="1">
      <c r="B172" s="185"/>
      <c r="C172" s="184"/>
      <c r="D172" s="287"/>
      <c r="E172" s="183"/>
      <c r="F172" s="285"/>
      <c r="G172" s="419"/>
      <c r="H172" s="415"/>
      <c r="I172" s="415"/>
      <c r="J172" s="415"/>
      <c r="K172" s="415"/>
      <c r="L172" s="415"/>
      <c r="M172" s="415"/>
      <c r="N172" s="415"/>
      <c r="O172" s="415"/>
      <c r="P172" s="420"/>
      <c r="R172" s="524">
        <f t="shared" si="6"/>
        <v>0</v>
      </c>
      <c r="S172" s="524" t="str">
        <f t="shared" si="7"/>
        <v>NOMBRE REPETIDO</v>
      </c>
    </row>
    <row r="173" spans="2:19" s="6" customFormat="1" ht="12.75" hidden="1">
      <c r="B173" s="185"/>
      <c r="C173" s="184"/>
      <c r="D173" s="287"/>
      <c r="E173" s="183"/>
      <c r="F173" s="285"/>
      <c r="G173" s="419"/>
      <c r="H173" s="415"/>
      <c r="I173" s="415"/>
      <c r="J173" s="415"/>
      <c r="K173" s="415"/>
      <c r="L173" s="415"/>
      <c r="M173" s="415"/>
      <c r="N173" s="415"/>
      <c r="O173" s="415"/>
      <c r="P173" s="420"/>
      <c r="R173" s="524">
        <f t="shared" si="6"/>
        <v>0</v>
      </c>
      <c r="S173" s="524" t="str">
        <f t="shared" si="7"/>
        <v>NOMBRE REPETIDO</v>
      </c>
    </row>
    <row r="174" spans="2:19" s="6" customFormat="1" ht="12.75" hidden="1">
      <c r="B174" s="185"/>
      <c r="C174" s="184"/>
      <c r="D174" s="287"/>
      <c r="E174" s="183"/>
      <c r="F174" s="285"/>
      <c r="G174" s="419"/>
      <c r="H174" s="415"/>
      <c r="I174" s="415"/>
      <c r="J174" s="415"/>
      <c r="K174" s="415"/>
      <c r="L174" s="415"/>
      <c r="M174" s="415"/>
      <c r="N174" s="415"/>
      <c r="O174" s="415"/>
      <c r="P174" s="420"/>
      <c r="R174" s="524">
        <f t="shared" si="6"/>
        <v>0</v>
      </c>
      <c r="S174" s="524" t="str">
        <f t="shared" si="7"/>
        <v>NOMBRE REPETIDO</v>
      </c>
    </row>
    <row r="175" spans="2:19" s="6" customFormat="1" ht="12.75" hidden="1">
      <c r="B175" s="185"/>
      <c r="C175" s="184"/>
      <c r="D175" s="287"/>
      <c r="E175" s="183"/>
      <c r="F175" s="285"/>
      <c r="G175" s="419"/>
      <c r="H175" s="415"/>
      <c r="I175" s="415"/>
      <c r="J175" s="415"/>
      <c r="K175" s="415"/>
      <c r="L175" s="415"/>
      <c r="M175" s="415"/>
      <c r="N175" s="415"/>
      <c r="O175" s="415"/>
      <c r="P175" s="420"/>
      <c r="R175" s="524">
        <f t="shared" si="6"/>
        <v>0</v>
      </c>
      <c r="S175" s="524" t="str">
        <f t="shared" si="7"/>
        <v>NOMBRE REPETIDO</v>
      </c>
    </row>
    <row r="176" spans="2:19" s="6" customFormat="1" ht="12.75" hidden="1">
      <c r="B176" s="185"/>
      <c r="C176" s="184"/>
      <c r="D176" s="287"/>
      <c r="E176" s="183"/>
      <c r="F176" s="285"/>
      <c r="G176" s="419"/>
      <c r="H176" s="415"/>
      <c r="I176" s="415"/>
      <c r="J176" s="415"/>
      <c r="K176" s="415"/>
      <c r="L176" s="415"/>
      <c r="M176" s="415"/>
      <c r="N176" s="415"/>
      <c r="O176" s="415"/>
      <c r="P176" s="420"/>
      <c r="R176" s="524">
        <f t="shared" si="6"/>
        <v>0</v>
      </c>
      <c r="S176" s="524" t="str">
        <f t="shared" si="7"/>
        <v>NOMBRE REPETIDO</v>
      </c>
    </row>
    <row r="177" spans="2:19" s="6" customFormat="1" ht="12.75" hidden="1">
      <c r="B177" s="185"/>
      <c r="C177" s="184"/>
      <c r="D177" s="287"/>
      <c r="E177" s="183"/>
      <c r="F177" s="285"/>
      <c r="G177" s="419"/>
      <c r="H177" s="415"/>
      <c r="I177" s="415"/>
      <c r="J177" s="415"/>
      <c r="K177" s="415"/>
      <c r="L177" s="415"/>
      <c r="M177" s="415"/>
      <c r="N177" s="415"/>
      <c r="O177" s="415"/>
      <c r="P177" s="420"/>
      <c r="R177" s="524">
        <f t="shared" si="6"/>
        <v>0</v>
      </c>
      <c r="S177" s="524" t="str">
        <f t="shared" si="7"/>
        <v>NOMBRE REPETIDO</v>
      </c>
    </row>
    <row r="178" spans="2:19" s="6" customFormat="1" ht="12.75" hidden="1">
      <c r="B178" s="185"/>
      <c r="C178" s="184"/>
      <c r="D178" s="287"/>
      <c r="E178" s="183"/>
      <c r="F178" s="285"/>
      <c r="G178" s="419"/>
      <c r="H178" s="415"/>
      <c r="I178" s="415"/>
      <c r="J178" s="415"/>
      <c r="K178" s="415"/>
      <c r="L178" s="415"/>
      <c r="M178" s="415"/>
      <c r="N178" s="415"/>
      <c r="O178" s="415"/>
      <c r="P178" s="420"/>
      <c r="R178" s="524">
        <f t="shared" si="6"/>
        <v>0</v>
      </c>
      <c r="S178" s="524" t="str">
        <f t="shared" si="7"/>
        <v>NOMBRE REPETIDO</v>
      </c>
    </row>
    <row r="179" spans="2:19" s="6" customFormat="1" ht="12.75" hidden="1">
      <c r="B179" s="185"/>
      <c r="C179" s="184"/>
      <c r="D179" s="287"/>
      <c r="E179" s="183"/>
      <c r="F179" s="285"/>
      <c r="G179" s="419"/>
      <c r="H179" s="415"/>
      <c r="I179" s="415"/>
      <c r="J179" s="415"/>
      <c r="K179" s="415"/>
      <c r="L179" s="415"/>
      <c r="M179" s="415"/>
      <c r="N179" s="415"/>
      <c r="O179" s="415"/>
      <c r="P179" s="420"/>
      <c r="R179" s="524">
        <f t="shared" ref="R179:R210" si="8">COUNTIF($D$19:$D$218,D179)</f>
        <v>0</v>
      </c>
      <c r="S179" s="524" t="str">
        <f t="shared" si="7"/>
        <v>NOMBRE REPETIDO</v>
      </c>
    </row>
    <row r="180" spans="2:19" s="6" customFormat="1" ht="12.75" hidden="1">
      <c r="B180" s="185"/>
      <c r="C180" s="184"/>
      <c r="D180" s="287"/>
      <c r="E180" s="183"/>
      <c r="F180" s="285"/>
      <c r="G180" s="419"/>
      <c r="H180" s="415"/>
      <c r="I180" s="415"/>
      <c r="J180" s="415"/>
      <c r="K180" s="415"/>
      <c r="L180" s="415"/>
      <c r="M180" s="415"/>
      <c r="N180" s="415"/>
      <c r="O180" s="415"/>
      <c r="P180" s="420"/>
      <c r="R180" s="524">
        <f t="shared" si="8"/>
        <v>0</v>
      </c>
      <c r="S180" s="524" t="str">
        <f t="shared" si="7"/>
        <v>NOMBRE REPETIDO</v>
      </c>
    </row>
    <row r="181" spans="2:19" s="6" customFormat="1" ht="12.75" hidden="1">
      <c r="B181" s="185"/>
      <c r="C181" s="184"/>
      <c r="D181" s="287"/>
      <c r="E181" s="183"/>
      <c r="F181" s="285"/>
      <c r="G181" s="419"/>
      <c r="H181" s="415"/>
      <c r="I181" s="415"/>
      <c r="J181" s="415"/>
      <c r="K181" s="415"/>
      <c r="L181" s="415"/>
      <c r="M181" s="415"/>
      <c r="N181" s="415"/>
      <c r="O181" s="415"/>
      <c r="P181" s="420"/>
      <c r="R181" s="524">
        <f t="shared" si="8"/>
        <v>0</v>
      </c>
      <c r="S181" s="524" t="str">
        <f t="shared" si="7"/>
        <v>NOMBRE REPETIDO</v>
      </c>
    </row>
    <row r="182" spans="2:19" s="6" customFormat="1" ht="12.75" hidden="1">
      <c r="B182" s="185"/>
      <c r="C182" s="184"/>
      <c r="D182" s="287"/>
      <c r="E182" s="183"/>
      <c r="F182" s="285"/>
      <c r="G182" s="419"/>
      <c r="H182" s="415"/>
      <c r="I182" s="415"/>
      <c r="J182" s="415"/>
      <c r="K182" s="415"/>
      <c r="L182" s="415"/>
      <c r="M182" s="415"/>
      <c r="N182" s="415"/>
      <c r="O182" s="415"/>
      <c r="P182" s="420"/>
      <c r="R182" s="524">
        <f t="shared" si="8"/>
        <v>0</v>
      </c>
      <c r="S182" s="524" t="str">
        <f t="shared" si="7"/>
        <v>NOMBRE REPETIDO</v>
      </c>
    </row>
    <row r="183" spans="2:19" s="6" customFormat="1" ht="12.75" hidden="1">
      <c r="B183" s="185"/>
      <c r="C183" s="184"/>
      <c r="D183" s="287"/>
      <c r="E183" s="183"/>
      <c r="F183" s="285"/>
      <c r="G183" s="419"/>
      <c r="H183" s="415"/>
      <c r="I183" s="415"/>
      <c r="J183" s="415"/>
      <c r="K183" s="415"/>
      <c r="L183" s="415"/>
      <c r="M183" s="415"/>
      <c r="N183" s="415"/>
      <c r="O183" s="415"/>
      <c r="P183" s="420"/>
      <c r="R183" s="524">
        <f t="shared" si="8"/>
        <v>0</v>
      </c>
      <c r="S183" s="524" t="str">
        <f t="shared" si="7"/>
        <v>NOMBRE REPETIDO</v>
      </c>
    </row>
    <row r="184" spans="2:19" s="6" customFormat="1" ht="12.75" hidden="1">
      <c r="B184" s="185"/>
      <c r="C184" s="184"/>
      <c r="D184" s="287"/>
      <c r="E184" s="183"/>
      <c r="F184" s="285"/>
      <c r="G184" s="419"/>
      <c r="H184" s="415"/>
      <c r="I184" s="415"/>
      <c r="J184" s="415"/>
      <c r="K184" s="415"/>
      <c r="L184" s="415"/>
      <c r="M184" s="415"/>
      <c r="N184" s="415"/>
      <c r="O184" s="415"/>
      <c r="P184" s="420"/>
      <c r="R184" s="524">
        <f t="shared" si="8"/>
        <v>0</v>
      </c>
      <c r="S184" s="524" t="str">
        <f t="shared" si="7"/>
        <v>NOMBRE REPETIDO</v>
      </c>
    </row>
    <row r="185" spans="2:19" s="6" customFormat="1" ht="12.75" hidden="1">
      <c r="B185" s="185"/>
      <c r="C185" s="184"/>
      <c r="D185" s="287"/>
      <c r="E185" s="183"/>
      <c r="F185" s="285"/>
      <c r="G185" s="419"/>
      <c r="H185" s="415"/>
      <c r="I185" s="415"/>
      <c r="J185" s="415"/>
      <c r="K185" s="415"/>
      <c r="L185" s="415"/>
      <c r="M185" s="415"/>
      <c r="N185" s="415"/>
      <c r="O185" s="415"/>
      <c r="P185" s="420"/>
      <c r="R185" s="524">
        <f t="shared" si="8"/>
        <v>0</v>
      </c>
      <c r="S185" s="524" t="str">
        <f t="shared" si="7"/>
        <v>NOMBRE REPETIDO</v>
      </c>
    </row>
    <row r="186" spans="2:19" s="6" customFormat="1" ht="12.75" hidden="1">
      <c r="B186" s="185"/>
      <c r="C186" s="184"/>
      <c r="D186" s="287"/>
      <c r="E186" s="183"/>
      <c r="F186" s="285"/>
      <c r="G186" s="419"/>
      <c r="H186" s="415"/>
      <c r="I186" s="415"/>
      <c r="J186" s="415"/>
      <c r="K186" s="415"/>
      <c r="L186" s="415"/>
      <c r="M186" s="415"/>
      <c r="N186" s="415"/>
      <c r="O186" s="415"/>
      <c r="P186" s="420"/>
      <c r="R186" s="524">
        <f t="shared" si="8"/>
        <v>0</v>
      </c>
      <c r="S186" s="524" t="str">
        <f t="shared" si="7"/>
        <v>NOMBRE REPETIDO</v>
      </c>
    </row>
    <row r="187" spans="2:19" s="6" customFormat="1" ht="12.75" hidden="1">
      <c r="B187" s="185"/>
      <c r="C187" s="184"/>
      <c r="D187" s="287"/>
      <c r="E187" s="183"/>
      <c r="F187" s="285"/>
      <c r="G187" s="419"/>
      <c r="H187" s="415"/>
      <c r="I187" s="415"/>
      <c r="J187" s="415"/>
      <c r="K187" s="415"/>
      <c r="L187" s="415"/>
      <c r="M187" s="415"/>
      <c r="N187" s="415"/>
      <c r="O187" s="415"/>
      <c r="P187" s="420"/>
      <c r="R187" s="524">
        <f t="shared" si="8"/>
        <v>0</v>
      </c>
      <c r="S187" s="524" t="str">
        <f t="shared" si="7"/>
        <v>NOMBRE REPETIDO</v>
      </c>
    </row>
    <row r="188" spans="2:19" s="6" customFormat="1" ht="12.75" hidden="1">
      <c r="B188" s="185"/>
      <c r="C188" s="184"/>
      <c r="D188" s="287"/>
      <c r="E188" s="183"/>
      <c r="F188" s="285"/>
      <c r="G188" s="419"/>
      <c r="H188" s="415"/>
      <c r="I188" s="415"/>
      <c r="J188" s="415"/>
      <c r="K188" s="415"/>
      <c r="L188" s="415"/>
      <c r="M188" s="415"/>
      <c r="N188" s="415"/>
      <c r="O188" s="415"/>
      <c r="P188" s="420"/>
      <c r="R188" s="524">
        <f t="shared" si="8"/>
        <v>0</v>
      </c>
      <c r="S188" s="524" t="str">
        <f t="shared" si="7"/>
        <v>NOMBRE REPETIDO</v>
      </c>
    </row>
    <row r="189" spans="2:19" s="6" customFormat="1" ht="12.75" hidden="1">
      <c r="B189" s="185"/>
      <c r="C189" s="184"/>
      <c r="D189" s="287"/>
      <c r="E189" s="183"/>
      <c r="F189" s="285"/>
      <c r="G189" s="419"/>
      <c r="H189" s="415"/>
      <c r="I189" s="415"/>
      <c r="J189" s="415"/>
      <c r="K189" s="415"/>
      <c r="L189" s="415"/>
      <c r="M189" s="415"/>
      <c r="N189" s="415"/>
      <c r="O189" s="415"/>
      <c r="P189" s="420"/>
      <c r="R189" s="524">
        <f t="shared" si="8"/>
        <v>0</v>
      </c>
      <c r="S189" s="524" t="str">
        <f t="shared" si="7"/>
        <v>NOMBRE REPETIDO</v>
      </c>
    </row>
    <row r="190" spans="2:19" s="6" customFormat="1" ht="12.75" hidden="1">
      <c r="B190" s="185"/>
      <c r="C190" s="184"/>
      <c r="D190" s="287"/>
      <c r="E190" s="183"/>
      <c r="F190" s="285"/>
      <c r="G190" s="419"/>
      <c r="H190" s="415"/>
      <c r="I190" s="415"/>
      <c r="J190" s="415"/>
      <c r="K190" s="415"/>
      <c r="L190" s="415"/>
      <c r="M190" s="415"/>
      <c r="N190" s="415"/>
      <c r="O190" s="415"/>
      <c r="P190" s="420"/>
      <c r="R190" s="524">
        <f t="shared" si="8"/>
        <v>0</v>
      </c>
      <c r="S190" s="524" t="str">
        <f t="shared" si="7"/>
        <v>NOMBRE REPETIDO</v>
      </c>
    </row>
    <row r="191" spans="2:19" s="6" customFormat="1" ht="12.75" hidden="1">
      <c r="B191" s="185"/>
      <c r="C191" s="184"/>
      <c r="D191" s="287"/>
      <c r="E191" s="183"/>
      <c r="F191" s="285"/>
      <c r="G191" s="419"/>
      <c r="H191" s="415"/>
      <c r="I191" s="415"/>
      <c r="J191" s="415"/>
      <c r="K191" s="415"/>
      <c r="L191" s="415"/>
      <c r="M191" s="415"/>
      <c r="N191" s="415"/>
      <c r="O191" s="415"/>
      <c r="P191" s="420"/>
      <c r="R191" s="524">
        <f t="shared" si="8"/>
        <v>0</v>
      </c>
      <c r="S191" s="524" t="str">
        <f t="shared" si="7"/>
        <v>NOMBRE REPETIDO</v>
      </c>
    </row>
    <row r="192" spans="2:19" s="6" customFormat="1" ht="12.75" hidden="1">
      <c r="B192" s="185"/>
      <c r="C192" s="184"/>
      <c r="D192" s="287"/>
      <c r="E192" s="183"/>
      <c r="F192" s="285"/>
      <c r="G192" s="419"/>
      <c r="H192" s="415"/>
      <c r="I192" s="415"/>
      <c r="J192" s="415"/>
      <c r="K192" s="415"/>
      <c r="L192" s="415"/>
      <c r="M192" s="415"/>
      <c r="N192" s="415"/>
      <c r="O192" s="415"/>
      <c r="P192" s="420"/>
      <c r="R192" s="524">
        <f t="shared" si="8"/>
        <v>0</v>
      </c>
      <c r="S192" s="524" t="str">
        <f t="shared" si="7"/>
        <v>NOMBRE REPETIDO</v>
      </c>
    </row>
    <row r="193" spans="2:19" s="6" customFormat="1" ht="12.75" hidden="1">
      <c r="B193" s="185"/>
      <c r="C193" s="184"/>
      <c r="D193" s="287"/>
      <c r="E193" s="183"/>
      <c r="F193" s="285"/>
      <c r="G193" s="419"/>
      <c r="H193" s="415"/>
      <c r="I193" s="415"/>
      <c r="J193" s="415"/>
      <c r="K193" s="415"/>
      <c r="L193" s="415"/>
      <c r="M193" s="415"/>
      <c r="N193" s="415"/>
      <c r="O193" s="415"/>
      <c r="P193" s="420"/>
      <c r="R193" s="524">
        <f t="shared" si="8"/>
        <v>0</v>
      </c>
      <c r="S193" s="524" t="str">
        <f t="shared" si="7"/>
        <v>NOMBRE REPETIDO</v>
      </c>
    </row>
    <row r="194" spans="2:19" s="6" customFormat="1" ht="12.75" hidden="1">
      <c r="B194" s="185"/>
      <c r="C194" s="184"/>
      <c r="D194" s="287"/>
      <c r="E194" s="183"/>
      <c r="F194" s="285"/>
      <c r="G194" s="419"/>
      <c r="H194" s="415"/>
      <c r="I194" s="415"/>
      <c r="J194" s="415"/>
      <c r="K194" s="415"/>
      <c r="L194" s="415"/>
      <c r="M194" s="415"/>
      <c r="N194" s="415"/>
      <c r="O194" s="415"/>
      <c r="P194" s="420"/>
      <c r="R194" s="524">
        <f t="shared" si="8"/>
        <v>0</v>
      </c>
      <c r="S194" s="524" t="str">
        <f t="shared" si="7"/>
        <v>NOMBRE REPETIDO</v>
      </c>
    </row>
    <row r="195" spans="2:19" s="6" customFormat="1" ht="12.75" hidden="1">
      <c r="B195" s="185"/>
      <c r="C195" s="184"/>
      <c r="D195" s="287"/>
      <c r="E195" s="183"/>
      <c r="F195" s="285"/>
      <c r="G195" s="419"/>
      <c r="H195" s="415"/>
      <c r="I195" s="415"/>
      <c r="J195" s="415"/>
      <c r="K195" s="415"/>
      <c r="L195" s="415"/>
      <c r="M195" s="415"/>
      <c r="N195" s="415"/>
      <c r="O195" s="415"/>
      <c r="P195" s="420"/>
      <c r="R195" s="524">
        <f t="shared" si="8"/>
        <v>0</v>
      </c>
      <c r="S195" s="524" t="str">
        <f t="shared" si="7"/>
        <v>NOMBRE REPETIDO</v>
      </c>
    </row>
    <row r="196" spans="2:19" s="6" customFormat="1" ht="12.75" hidden="1">
      <c r="B196" s="185"/>
      <c r="C196" s="184"/>
      <c r="D196" s="287"/>
      <c r="E196" s="183"/>
      <c r="F196" s="285"/>
      <c r="G196" s="419"/>
      <c r="H196" s="415"/>
      <c r="I196" s="415"/>
      <c r="J196" s="415"/>
      <c r="K196" s="415"/>
      <c r="L196" s="415"/>
      <c r="M196" s="415"/>
      <c r="N196" s="415"/>
      <c r="O196" s="415"/>
      <c r="P196" s="420"/>
      <c r="R196" s="524">
        <f t="shared" si="8"/>
        <v>0</v>
      </c>
      <c r="S196" s="524" t="str">
        <f t="shared" si="7"/>
        <v>NOMBRE REPETIDO</v>
      </c>
    </row>
    <row r="197" spans="2:19" s="6" customFormat="1" ht="12.75" hidden="1">
      <c r="B197" s="185"/>
      <c r="C197" s="184"/>
      <c r="D197" s="287"/>
      <c r="E197" s="183"/>
      <c r="F197" s="285"/>
      <c r="G197" s="419"/>
      <c r="H197" s="415"/>
      <c r="I197" s="415"/>
      <c r="J197" s="415"/>
      <c r="K197" s="415"/>
      <c r="L197" s="415"/>
      <c r="M197" s="415"/>
      <c r="N197" s="415"/>
      <c r="O197" s="415"/>
      <c r="P197" s="420"/>
      <c r="R197" s="524">
        <f t="shared" si="8"/>
        <v>0</v>
      </c>
      <c r="S197" s="524" t="str">
        <f t="shared" si="7"/>
        <v>NOMBRE REPETIDO</v>
      </c>
    </row>
    <row r="198" spans="2:19" s="6" customFormat="1" ht="12.75" hidden="1">
      <c r="B198" s="185"/>
      <c r="C198" s="184"/>
      <c r="D198" s="287"/>
      <c r="E198" s="183"/>
      <c r="F198" s="285"/>
      <c r="G198" s="419"/>
      <c r="H198" s="415"/>
      <c r="I198" s="415"/>
      <c r="J198" s="415"/>
      <c r="K198" s="415"/>
      <c r="L198" s="415"/>
      <c r="M198" s="415"/>
      <c r="N198" s="415"/>
      <c r="O198" s="415"/>
      <c r="P198" s="420"/>
      <c r="R198" s="524">
        <f t="shared" si="8"/>
        <v>0</v>
      </c>
      <c r="S198" s="524" t="str">
        <f t="shared" si="7"/>
        <v>NOMBRE REPETIDO</v>
      </c>
    </row>
    <row r="199" spans="2:19" s="6" customFormat="1" ht="12.75" hidden="1">
      <c r="B199" s="185"/>
      <c r="C199" s="184"/>
      <c r="D199" s="287"/>
      <c r="E199" s="183"/>
      <c r="F199" s="285"/>
      <c r="G199" s="419"/>
      <c r="H199" s="415"/>
      <c r="I199" s="415"/>
      <c r="J199" s="415"/>
      <c r="K199" s="415"/>
      <c r="L199" s="415"/>
      <c r="M199" s="415"/>
      <c r="N199" s="415"/>
      <c r="O199" s="415"/>
      <c r="P199" s="420"/>
      <c r="R199" s="524">
        <f t="shared" si="8"/>
        <v>0</v>
      </c>
      <c r="S199" s="524" t="str">
        <f t="shared" si="7"/>
        <v>NOMBRE REPETIDO</v>
      </c>
    </row>
    <row r="200" spans="2:19" s="6" customFormat="1" ht="12.75" hidden="1">
      <c r="B200" s="185"/>
      <c r="C200" s="184"/>
      <c r="D200" s="287"/>
      <c r="E200" s="183"/>
      <c r="F200" s="285"/>
      <c r="G200" s="419"/>
      <c r="H200" s="415"/>
      <c r="I200" s="415"/>
      <c r="J200" s="415"/>
      <c r="K200" s="415"/>
      <c r="L200" s="415"/>
      <c r="M200" s="415"/>
      <c r="N200" s="415"/>
      <c r="O200" s="415"/>
      <c r="P200" s="420"/>
      <c r="R200" s="524">
        <f t="shared" si="8"/>
        <v>0</v>
      </c>
      <c r="S200" s="524" t="str">
        <f t="shared" si="7"/>
        <v>NOMBRE REPETIDO</v>
      </c>
    </row>
    <row r="201" spans="2:19" s="6" customFormat="1" ht="12.75" hidden="1">
      <c r="B201" s="185"/>
      <c r="C201" s="184"/>
      <c r="D201" s="287"/>
      <c r="E201" s="183"/>
      <c r="F201" s="285"/>
      <c r="G201" s="419"/>
      <c r="H201" s="415"/>
      <c r="I201" s="415"/>
      <c r="J201" s="415"/>
      <c r="K201" s="415"/>
      <c r="L201" s="415"/>
      <c r="M201" s="415"/>
      <c r="N201" s="415"/>
      <c r="O201" s="415"/>
      <c r="P201" s="420"/>
      <c r="R201" s="524">
        <f t="shared" si="8"/>
        <v>0</v>
      </c>
      <c r="S201" s="524" t="str">
        <f t="shared" si="7"/>
        <v>NOMBRE REPETIDO</v>
      </c>
    </row>
    <row r="202" spans="2:19" s="6" customFormat="1" ht="12.75" hidden="1">
      <c r="B202" s="185"/>
      <c r="C202" s="184"/>
      <c r="D202" s="287"/>
      <c r="E202" s="183"/>
      <c r="F202" s="285"/>
      <c r="G202" s="419"/>
      <c r="H202" s="415"/>
      <c r="I202" s="415"/>
      <c r="J202" s="415"/>
      <c r="K202" s="415"/>
      <c r="L202" s="415"/>
      <c r="M202" s="415"/>
      <c r="N202" s="415"/>
      <c r="O202" s="415"/>
      <c r="P202" s="420"/>
      <c r="R202" s="524">
        <f t="shared" si="8"/>
        <v>0</v>
      </c>
      <c r="S202" s="524" t="str">
        <f t="shared" si="7"/>
        <v>NOMBRE REPETIDO</v>
      </c>
    </row>
    <row r="203" spans="2:19" s="6" customFormat="1" ht="12.75" hidden="1">
      <c r="B203" s="185"/>
      <c r="C203" s="184"/>
      <c r="D203" s="287"/>
      <c r="E203" s="183"/>
      <c r="F203" s="285"/>
      <c r="G203" s="419"/>
      <c r="H203" s="415"/>
      <c r="I203" s="415"/>
      <c r="J203" s="415"/>
      <c r="K203" s="415"/>
      <c r="L203" s="415"/>
      <c r="M203" s="415"/>
      <c r="N203" s="415"/>
      <c r="O203" s="415"/>
      <c r="P203" s="420"/>
      <c r="R203" s="524">
        <f t="shared" si="8"/>
        <v>0</v>
      </c>
      <c r="S203" s="524" t="str">
        <f t="shared" si="7"/>
        <v>NOMBRE REPETIDO</v>
      </c>
    </row>
    <row r="204" spans="2:19" s="6" customFormat="1" ht="12.75" hidden="1">
      <c r="B204" s="185"/>
      <c r="C204" s="184"/>
      <c r="D204" s="287"/>
      <c r="E204" s="183"/>
      <c r="F204" s="285"/>
      <c r="G204" s="419"/>
      <c r="H204" s="415"/>
      <c r="I204" s="415"/>
      <c r="J204" s="415"/>
      <c r="K204" s="415"/>
      <c r="L204" s="415"/>
      <c r="M204" s="415"/>
      <c r="N204" s="415"/>
      <c r="O204" s="415"/>
      <c r="P204" s="420"/>
      <c r="R204" s="524">
        <f t="shared" si="8"/>
        <v>0</v>
      </c>
      <c r="S204" s="524" t="str">
        <f t="shared" si="7"/>
        <v>NOMBRE REPETIDO</v>
      </c>
    </row>
    <row r="205" spans="2:19" s="6" customFormat="1" ht="12.75" hidden="1">
      <c r="B205" s="185"/>
      <c r="C205" s="184"/>
      <c r="D205" s="287"/>
      <c r="E205" s="183"/>
      <c r="F205" s="285"/>
      <c r="G205" s="419"/>
      <c r="H205" s="415"/>
      <c r="I205" s="415"/>
      <c r="J205" s="415"/>
      <c r="K205" s="415"/>
      <c r="L205" s="415"/>
      <c r="M205" s="415"/>
      <c r="N205" s="415"/>
      <c r="O205" s="415"/>
      <c r="P205" s="420"/>
      <c r="R205" s="524">
        <f t="shared" si="8"/>
        <v>0</v>
      </c>
      <c r="S205" s="524" t="str">
        <f t="shared" si="7"/>
        <v>NOMBRE REPETIDO</v>
      </c>
    </row>
    <row r="206" spans="2:19" s="6" customFormat="1" ht="12.75" hidden="1">
      <c r="B206" s="185"/>
      <c r="C206" s="184"/>
      <c r="D206" s="287"/>
      <c r="E206" s="183"/>
      <c r="F206" s="285"/>
      <c r="G206" s="419"/>
      <c r="H206" s="415"/>
      <c r="I206" s="415"/>
      <c r="J206" s="415"/>
      <c r="K206" s="415"/>
      <c r="L206" s="415"/>
      <c r="M206" s="415"/>
      <c r="N206" s="415"/>
      <c r="O206" s="415"/>
      <c r="P206" s="420"/>
      <c r="R206" s="524">
        <f t="shared" si="8"/>
        <v>0</v>
      </c>
      <c r="S206" s="524" t="str">
        <f t="shared" si="7"/>
        <v>NOMBRE REPETIDO</v>
      </c>
    </row>
    <row r="207" spans="2:19" s="6" customFormat="1" ht="12.75" hidden="1">
      <c r="B207" s="185"/>
      <c r="C207" s="184"/>
      <c r="D207" s="287"/>
      <c r="E207" s="183"/>
      <c r="F207" s="285"/>
      <c r="G207" s="419"/>
      <c r="H207" s="415"/>
      <c r="I207" s="415"/>
      <c r="J207" s="415"/>
      <c r="K207" s="415"/>
      <c r="L207" s="415"/>
      <c r="M207" s="415"/>
      <c r="N207" s="415"/>
      <c r="O207" s="415"/>
      <c r="P207" s="420"/>
      <c r="R207" s="524">
        <f t="shared" si="8"/>
        <v>0</v>
      </c>
      <c r="S207" s="524" t="str">
        <f t="shared" si="7"/>
        <v>NOMBRE REPETIDO</v>
      </c>
    </row>
    <row r="208" spans="2:19" s="6" customFormat="1" ht="12.75" hidden="1">
      <c r="B208" s="185"/>
      <c r="C208" s="184"/>
      <c r="D208" s="287"/>
      <c r="E208" s="183"/>
      <c r="F208" s="285"/>
      <c r="G208" s="419"/>
      <c r="H208" s="415"/>
      <c r="I208" s="415"/>
      <c r="J208" s="415"/>
      <c r="K208" s="415"/>
      <c r="L208" s="415"/>
      <c r="M208" s="415"/>
      <c r="N208" s="415"/>
      <c r="O208" s="415"/>
      <c r="P208" s="420"/>
      <c r="R208" s="524">
        <f t="shared" si="8"/>
        <v>0</v>
      </c>
      <c r="S208" s="524" t="str">
        <f t="shared" si="7"/>
        <v>NOMBRE REPETIDO</v>
      </c>
    </row>
    <row r="209" spans="2:19" s="6" customFormat="1" ht="12.75" hidden="1">
      <c r="B209" s="185"/>
      <c r="C209" s="184"/>
      <c r="D209" s="287"/>
      <c r="E209" s="183"/>
      <c r="F209" s="285"/>
      <c r="G209" s="419"/>
      <c r="H209" s="415"/>
      <c r="I209" s="415"/>
      <c r="J209" s="415"/>
      <c r="K209" s="415"/>
      <c r="L209" s="415"/>
      <c r="M209" s="415"/>
      <c r="N209" s="415"/>
      <c r="O209" s="415"/>
      <c r="P209" s="420"/>
      <c r="R209" s="524">
        <f t="shared" si="8"/>
        <v>0</v>
      </c>
      <c r="S209" s="524" t="str">
        <f t="shared" si="7"/>
        <v>NOMBRE REPETIDO</v>
      </c>
    </row>
    <row r="210" spans="2:19" s="6" customFormat="1" ht="12.75" hidden="1">
      <c r="B210" s="185"/>
      <c r="C210" s="184"/>
      <c r="D210" s="287"/>
      <c r="E210" s="183"/>
      <c r="F210" s="285"/>
      <c r="G210" s="419"/>
      <c r="H210" s="415"/>
      <c r="I210" s="415"/>
      <c r="J210" s="415"/>
      <c r="K210" s="415"/>
      <c r="L210" s="415"/>
      <c r="M210" s="415"/>
      <c r="N210" s="415"/>
      <c r="O210" s="415"/>
      <c r="P210" s="420"/>
      <c r="R210" s="524">
        <f t="shared" si="8"/>
        <v>0</v>
      </c>
      <c r="S210" s="524" t="str">
        <f t="shared" si="7"/>
        <v>NOMBRE REPETIDO</v>
      </c>
    </row>
    <row r="211" spans="2:19" s="6" customFormat="1" ht="12.75" hidden="1">
      <c r="B211" s="185"/>
      <c r="C211" s="184"/>
      <c r="D211" s="287"/>
      <c r="E211" s="183"/>
      <c r="F211" s="285"/>
      <c r="G211" s="419"/>
      <c r="H211" s="415"/>
      <c r="I211" s="415"/>
      <c r="J211" s="415"/>
      <c r="K211" s="415"/>
      <c r="L211" s="415"/>
      <c r="M211" s="415"/>
      <c r="N211" s="415"/>
      <c r="O211" s="415"/>
      <c r="P211" s="420"/>
      <c r="R211" s="524">
        <f t="shared" ref="R211:R218" si="9">COUNTIF($D$19:$D$218,D211)</f>
        <v>0</v>
      </c>
      <c r="S211" s="524" t="str">
        <f t="shared" si="7"/>
        <v>NOMBRE REPETIDO</v>
      </c>
    </row>
    <row r="212" spans="2:19" s="6" customFormat="1" ht="12.75" hidden="1">
      <c r="B212" s="185"/>
      <c r="C212" s="184"/>
      <c r="D212" s="287"/>
      <c r="E212" s="183"/>
      <c r="F212" s="285"/>
      <c r="G212" s="419"/>
      <c r="H212" s="415"/>
      <c r="I212" s="415"/>
      <c r="J212" s="415"/>
      <c r="K212" s="415"/>
      <c r="L212" s="415"/>
      <c r="M212" s="415"/>
      <c r="N212" s="415"/>
      <c r="O212" s="415"/>
      <c r="P212" s="420"/>
      <c r="R212" s="524">
        <f t="shared" si="9"/>
        <v>0</v>
      </c>
      <c r="S212" s="524" t="str">
        <f t="shared" ref="S212:S218" si="10">IF(R212=1,"NOMBRE OK","NOMBRE REPETIDO")</f>
        <v>NOMBRE REPETIDO</v>
      </c>
    </row>
    <row r="213" spans="2:19" s="6" customFormat="1" ht="12.75" hidden="1">
      <c r="B213" s="185"/>
      <c r="C213" s="184"/>
      <c r="D213" s="287"/>
      <c r="E213" s="183"/>
      <c r="F213" s="285"/>
      <c r="G213" s="419"/>
      <c r="H213" s="415"/>
      <c r="I213" s="415"/>
      <c r="J213" s="415"/>
      <c r="K213" s="415"/>
      <c r="L213" s="415"/>
      <c r="M213" s="415"/>
      <c r="N213" s="415"/>
      <c r="O213" s="415"/>
      <c r="P213" s="420"/>
      <c r="R213" s="524">
        <f t="shared" si="9"/>
        <v>0</v>
      </c>
      <c r="S213" s="524" t="str">
        <f t="shared" si="10"/>
        <v>NOMBRE REPETIDO</v>
      </c>
    </row>
    <row r="214" spans="2:19" s="6" customFormat="1" ht="12.75" hidden="1">
      <c r="B214" s="185"/>
      <c r="C214" s="184"/>
      <c r="D214" s="287"/>
      <c r="E214" s="183"/>
      <c r="F214" s="285"/>
      <c r="G214" s="419"/>
      <c r="H214" s="415"/>
      <c r="I214" s="415"/>
      <c r="J214" s="415"/>
      <c r="K214" s="415"/>
      <c r="L214" s="415"/>
      <c r="M214" s="415"/>
      <c r="N214" s="415"/>
      <c r="O214" s="415"/>
      <c r="P214" s="420"/>
      <c r="R214" s="524">
        <f t="shared" si="9"/>
        <v>0</v>
      </c>
      <c r="S214" s="524" t="str">
        <f t="shared" si="10"/>
        <v>NOMBRE REPETIDO</v>
      </c>
    </row>
    <row r="215" spans="2:19" s="6" customFormat="1" ht="12.75" hidden="1">
      <c r="B215" s="185"/>
      <c r="C215" s="184"/>
      <c r="D215" s="287"/>
      <c r="E215" s="183"/>
      <c r="F215" s="285"/>
      <c r="G215" s="419"/>
      <c r="H215" s="415"/>
      <c r="I215" s="415"/>
      <c r="J215" s="415"/>
      <c r="K215" s="415"/>
      <c r="L215" s="415"/>
      <c r="M215" s="415"/>
      <c r="N215" s="415"/>
      <c r="O215" s="415"/>
      <c r="P215" s="420"/>
      <c r="R215" s="524">
        <f t="shared" si="9"/>
        <v>0</v>
      </c>
      <c r="S215" s="524" t="str">
        <f t="shared" si="10"/>
        <v>NOMBRE REPETIDO</v>
      </c>
    </row>
    <row r="216" spans="2:19" s="6" customFormat="1" ht="12.75" hidden="1">
      <c r="B216" s="185"/>
      <c r="C216" s="184"/>
      <c r="D216" s="287"/>
      <c r="E216" s="183"/>
      <c r="F216" s="285"/>
      <c r="G216" s="419"/>
      <c r="H216" s="415"/>
      <c r="I216" s="415"/>
      <c r="J216" s="415"/>
      <c r="K216" s="415"/>
      <c r="L216" s="415"/>
      <c r="M216" s="415"/>
      <c r="N216" s="415"/>
      <c r="O216" s="415"/>
      <c r="P216" s="420"/>
      <c r="R216" s="524">
        <f t="shared" si="9"/>
        <v>0</v>
      </c>
      <c r="S216" s="524" t="str">
        <f t="shared" si="10"/>
        <v>NOMBRE REPETIDO</v>
      </c>
    </row>
    <row r="217" spans="2:19" s="6" customFormat="1" ht="12.75" hidden="1">
      <c r="B217" s="185"/>
      <c r="C217" s="184"/>
      <c r="D217" s="287"/>
      <c r="E217" s="183"/>
      <c r="F217" s="285"/>
      <c r="G217" s="419"/>
      <c r="H217" s="415"/>
      <c r="I217" s="415"/>
      <c r="J217" s="415"/>
      <c r="K217" s="415"/>
      <c r="L217" s="415"/>
      <c r="M217" s="415"/>
      <c r="N217" s="415"/>
      <c r="O217" s="415"/>
      <c r="P217" s="420"/>
      <c r="R217" s="524">
        <f t="shared" si="9"/>
        <v>0</v>
      </c>
      <c r="S217" s="524" t="str">
        <f t="shared" si="10"/>
        <v>NOMBRE REPETIDO</v>
      </c>
    </row>
    <row r="218" spans="2:19" s="6" customFormat="1" ht="12.75" hidden="1">
      <c r="B218" s="185"/>
      <c r="C218" s="184"/>
      <c r="D218" s="287"/>
      <c r="E218" s="183"/>
      <c r="F218" s="285"/>
      <c r="G218" s="419"/>
      <c r="H218" s="415"/>
      <c r="I218" s="415"/>
      <c r="J218" s="415"/>
      <c r="K218" s="415"/>
      <c r="L218" s="415"/>
      <c r="M218" s="415"/>
      <c r="N218" s="415"/>
      <c r="O218" s="415"/>
      <c r="P218" s="420"/>
      <c r="R218" s="524">
        <f t="shared" si="9"/>
        <v>0</v>
      </c>
      <c r="S218" s="524" t="str">
        <f t="shared" si="10"/>
        <v>NOMBRE REPETIDO</v>
      </c>
    </row>
    <row r="219" spans="2:19" s="6" customFormat="1" ht="2.25" customHeight="1" thickBot="1">
      <c r="B219" s="40"/>
      <c r="C219" s="20"/>
      <c r="D219" s="21"/>
      <c r="E219" s="179"/>
      <c r="F219" s="285"/>
      <c r="G219" s="421"/>
      <c r="H219" s="422"/>
      <c r="I219" s="422"/>
      <c r="J219" s="422"/>
      <c r="K219" s="422"/>
      <c r="L219" s="422"/>
      <c r="M219" s="422"/>
      <c r="N219" s="422"/>
      <c r="O219" s="422"/>
      <c r="P219" s="423"/>
    </row>
    <row r="220" spans="2:19" ht="15.75" thickTop="1"/>
  </sheetData>
  <dataConsolidate/>
  <customSheetViews>
    <customSheetView guid="{098B2E87-9C52-4BA2-B1C3-E2EE72C3347E}" scale="110" showGridLines="0" fitToPage="1" hiddenRows="1">
      <selection activeCell="A32" sqref="A32:IV111"/>
      <colBreaks count="5" manualBreakCount="5">
        <brk id="9" max="1048575" man="1"/>
        <brk id="18" max="1048575" man="1"/>
        <brk id="27" max="1048575" man="1"/>
        <brk id="36" max="1048575" man="1"/>
        <brk id="45" max="1048575" man="1"/>
      </colBreaks>
      <pageMargins left="0.70866141732283472" right="0.70866141732283472" top="0.74803149606299213" bottom="0.74803149606299213" header="0.31496062992125984" footer="0.31496062992125984"/>
      <printOptions horizontalCentered="1"/>
      <pageSetup scale="92" fitToHeight="0" orientation="portrait" r:id="rId1"/>
      <headerFooter alignWithMargins="0">
        <oddFooter>&amp;L&amp;"Arial,Normal"&amp;9&amp;F
&amp;A&amp;C&amp;"Arial,Normal"&amp;10&amp;P de &amp;N&amp;R&amp;"Arial,Normal"&amp;9INSTITUTO NACIONAL DE VIAS
&amp;D</oddFooter>
      </headerFooter>
    </customSheetView>
    <customSheetView guid="{DE67EBC3-31FE-423B-B030-1FFACB67D900}" scale="110" showGridLines="0" fitToPage="1" topLeftCell="A10">
      <selection activeCell="E22" sqref="E22"/>
      <colBreaks count="5" manualBreakCount="5">
        <brk id="9" max="1048575" man="1"/>
        <brk id="18" max="1048575" man="1"/>
        <brk id="27" max="1048575" man="1"/>
        <brk id="36" max="1048575" man="1"/>
        <brk id="45" max="1048575" man="1"/>
      </colBreaks>
      <pageMargins left="0.70866141732283472" right="0.70866141732283472" top="0.74803149606299213" bottom="0.74803149606299213" header="0.31496062992125984" footer="0.31496062992125984"/>
      <printOptions horizontalCentered="1"/>
      <pageSetup scale="92" fitToHeight="0" orientation="portrait" r:id="rId2"/>
      <headerFooter alignWithMargins="0">
        <oddFooter>&amp;L&amp;"Arial,Normal"&amp;9&amp;F
&amp;A&amp;C&amp;"Arial,Normal"&amp;10&amp;P de &amp;N&amp;R&amp;"Arial,Normal"&amp;9INSTITUTO NACIONAL DE VIAS
&amp;D</oddFooter>
      </headerFooter>
    </customSheetView>
  </customSheetViews>
  <mergeCells count="14">
    <mergeCell ref="R16:S17"/>
    <mergeCell ref="G16:P16"/>
    <mergeCell ref="B9:E9"/>
    <mergeCell ref="B1:E1"/>
    <mergeCell ref="B2:E2"/>
    <mergeCell ref="B3:E3"/>
    <mergeCell ref="B4:E4"/>
    <mergeCell ref="B6:E6"/>
    <mergeCell ref="B7:E7"/>
    <mergeCell ref="B11:E11"/>
    <mergeCell ref="B13:E13"/>
    <mergeCell ref="B14:E14"/>
    <mergeCell ref="B16:B17"/>
    <mergeCell ref="D16:E16"/>
  </mergeCells>
  <phoneticPr fontId="22" type="noConversion"/>
  <conditionalFormatting sqref="B19:E218">
    <cfRule type="expression" dxfId="12729" priority="128" stopIfTrue="1">
      <formula>MOD(ROW(),2)</formula>
    </cfRule>
  </conditionalFormatting>
  <conditionalFormatting sqref="S19:S218">
    <cfRule type="cellIs" dxfId="12728" priority="2" operator="equal">
      <formula>"NOMBRE REPETIDO"</formula>
    </cfRule>
  </conditionalFormatting>
  <conditionalFormatting sqref="R19:R218">
    <cfRule type="cellIs" dxfId="12727" priority="1" operator="greaterThan">
      <formula>1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92" fitToHeight="0" orientation="portrait" r:id="rId3"/>
  <headerFooter alignWithMargins="0">
    <oddFooter>&amp;L&amp;"Arial,Normal"&amp;9&amp;F
&amp;A&amp;C&amp;"Arial,Normal"&amp;10&amp;P de &amp;N&amp;R&amp;"Arial,Normal"&amp;9INSTITUTO NACIONAL DE VIAS
&amp;D</oddFooter>
  </headerFooter>
  <colBreaks count="4" manualBreakCount="4">
    <brk id="6" max="1048575" man="1"/>
    <brk id="15" max="1048575" man="1"/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0.59999389629810485"/>
  </sheetPr>
  <dimension ref="A1:CS343"/>
  <sheetViews>
    <sheetView view="pageBreakPreview" topLeftCell="D7" zoomScaleNormal="110" zoomScaleSheetLayoutView="100" workbookViewId="0">
      <selection activeCell="F24" sqref="F24"/>
    </sheetView>
  </sheetViews>
  <sheetFormatPr baseColWidth="10" defaultColWidth="10.140625" defaultRowHeight="15.75"/>
  <cols>
    <col min="1" max="1" width="0.85546875" style="138" customWidth="1"/>
    <col min="2" max="2" width="1.7109375" style="138" customWidth="1"/>
    <col min="3" max="3" width="10.140625" style="108" customWidth="1"/>
    <col min="4" max="4" width="18" style="139" customWidth="1"/>
    <col min="5" max="5" width="45.140625" style="139" customWidth="1"/>
    <col min="6" max="6" width="22" style="147" customWidth="1"/>
    <col min="7" max="7" width="23.140625" style="139" customWidth="1"/>
    <col min="8" max="16384" width="10.140625" style="139"/>
  </cols>
  <sheetData>
    <row r="1" spans="1:97" s="140" customFormat="1" ht="18" customHeight="1">
      <c r="A1" s="138"/>
      <c r="B1" s="139"/>
      <c r="C1" s="155"/>
      <c r="D1" s="682" t="str">
        <f>+PROPONENTES!B1</f>
        <v>INSTITUTO NACIONAL DE VÍAS</v>
      </c>
      <c r="E1" s="682"/>
      <c r="F1" s="682"/>
      <c r="G1" s="148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  <c r="BC1" s="139"/>
      <c r="BD1" s="139"/>
      <c r="BE1" s="139"/>
      <c r="BF1" s="139"/>
      <c r="BG1" s="139"/>
      <c r="BH1" s="139"/>
      <c r="BI1" s="139"/>
      <c r="BJ1" s="139"/>
      <c r="BK1" s="139"/>
      <c r="BL1" s="139"/>
      <c r="BM1" s="139"/>
      <c r="BN1" s="139"/>
      <c r="BO1" s="139"/>
      <c r="BP1" s="139"/>
      <c r="BQ1" s="139"/>
      <c r="BR1" s="139"/>
      <c r="BS1" s="139"/>
      <c r="BT1" s="139"/>
      <c r="BU1" s="139"/>
      <c r="BV1" s="139"/>
      <c r="BW1" s="139"/>
      <c r="BX1" s="139"/>
      <c r="BY1" s="139"/>
      <c r="BZ1" s="139"/>
      <c r="CA1" s="139"/>
      <c r="CB1" s="139"/>
      <c r="CC1" s="139"/>
      <c r="CD1" s="139"/>
      <c r="CE1" s="139"/>
      <c r="CF1" s="139"/>
      <c r="CG1" s="139"/>
      <c r="CH1" s="139"/>
      <c r="CI1" s="139"/>
      <c r="CJ1" s="139"/>
      <c r="CK1" s="139"/>
      <c r="CL1" s="139"/>
      <c r="CM1" s="139"/>
      <c r="CN1" s="139"/>
      <c r="CO1" s="139"/>
      <c r="CP1" s="139"/>
      <c r="CQ1" s="139"/>
      <c r="CR1" s="139"/>
      <c r="CS1" s="139"/>
    </row>
    <row r="2" spans="1:97" s="140" customFormat="1" ht="18" customHeight="1">
      <c r="A2" s="138"/>
      <c r="B2" s="139"/>
      <c r="D2" s="683" t="str">
        <f>+PROPONENTES!B2</f>
        <v>DIRECCIÓN TERRITORIAL HUILA</v>
      </c>
      <c r="E2" s="683"/>
      <c r="F2" s="683"/>
      <c r="G2" s="148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39"/>
      <c r="AC2" s="139"/>
      <c r="AD2" s="139"/>
      <c r="AE2" s="139"/>
      <c r="AF2" s="139"/>
      <c r="AG2" s="139"/>
      <c r="AH2" s="139"/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39"/>
      <c r="AZ2" s="139"/>
      <c r="BA2" s="139"/>
      <c r="BB2" s="139"/>
      <c r="BC2" s="139"/>
      <c r="BD2" s="139"/>
      <c r="BE2" s="139"/>
      <c r="BF2" s="139"/>
      <c r="BG2" s="139"/>
      <c r="BH2" s="139"/>
      <c r="BI2" s="139"/>
      <c r="BJ2" s="139"/>
      <c r="BK2" s="139"/>
      <c r="BL2" s="139"/>
      <c r="BM2" s="139"/>
      <c r="BN2" s="139"/>
      <c r="BO2" s="139"/>
      <c r="BP2" s="139"/>
      <c r="BQ2" s="139"/>
      <c r="BR2" s="139"/>
      <c r="BS2" s="139"/>
      <c r="BT2" s="139"/>
      <c r="BU2" s="139"/>
      <c r="BV2" s="139"/>
      <c r="BW2" s="139"/>
      <c r="BX2" s="139"/>
      <c r="BY2" s="139"/>
      <c r="BZ2" s="139"/>
      <c r="CA2" s="139"/>
      <c r="CB2" s="139"/>
      <c r="CC2" s="139"/>
      <c r="CD2" s="139"/>
      <c r="CE2" s="139"/>
      <c r="CF2" s="139"/>
      <c r="CG2" s="139"/>
      <c r="CH2" s="139"/>
      <c r="CI2" s="139"/>
      <c r="CJ2" s="139"/>
      <c r="CK2" s="139"/>
      <c r="CL2" s="139"/>
      <c r="CM2" s="139"/>
      <c r="CN2" s="139"/>
      <c r="CO2" s="139"/>
      <c r="CP2" s="139"/>
      <c r="CQ2" s="139"/>
      <c r="CR2" s="139"/>
      <c r="CS2" s="139"/>
    </row>
    <row r="3" spans="1:97" s="140" customFormat="1" ht="18" customHeight="1">
      <c r="A3" s="138"/>
      <c r="B3" s="139"/>
      <c r="C3" s="155"/>
      <c r="D3" s="684"/>
      <c r="E3" s="684"/>
      <c r="F3" s="684"/>
      <c r="G3" s="148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  <c r="BC3" s="139"/>
      <c r="BD3" s="139"/>
      <c r="BE3" s="139"/>
      <c r="BF3" s="139"/>
      <c r="BG3" s="139"/>
      <c r="BH3" s="139"/>
      <c r="BI3" s="139"/>
      <c r="BJ3" s="139"/>
      <c r="BK3" s="139"/>
      <c r="BL3" s="139"/>
      <c r="BM3" s="139"/>
      <c r="BN3" s="139"/>
      <c r="BO3" s="139"/>
      <c r="BP3" s="139"/>
      <c r="BQ3" s="139"/>
      <c r="BR3" s="139"/>
      <c r="BS3" s="139"/>
      <c r="BT3" s="139"/>
      <c r="BU3" s="139"/>
      <c r="BV3" s="139"/>
      <c r="BW3" s="139"/>
      <c r="BX3" s="139"/>
      <c r="BY3" s="139"/>
      <c r="BZ3" s="139"/>
      <c r="CA3" s="139"/>
      <c r="CB3" s="139"/>
      <c r="CC3" s="139"/>
      <c r="CD3" s="139"/>
      <c r="CE3" s="139"/>
      <c r="CF3" s="139"/>
      <c r="CG3" s="139"/>
      <c r="CH3" s="139"/>
      <c r="CI3" s="139"/>
      <c r="CJ3" s="139"/>
      <c r="CK3" s="139"/>
      <c r="CL3" s="139"/>
      <c r="CM3" s="139"/>
      <c r="CN3" s="139"/>
      <c r="CO3" s="139"/>
      <c r="CP3" s="139"/>
      <c r="CQ3" s="139"/>
      <c r="CR3" s="139"/>
      <c r="CS3" s="139"/>
    </row>
    <row r="4" spans="1:97" s="142" customFormat="1" ht="16.5" customHeight="1">
      <c r="A4" s="138"/>
      <c r="B4" s="141"/>
      <c r="C4" s="155"/>
      <c r="D4" s="148"/>
      <c r="E4" s="148"/>
      <c r="F4" s="148"/>
      <c r="G4" s="148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1"/>
      <c r="AT4" s="141"/>
      <c r="AU4" s="141"/>
      <c r="AV4" s="141"/>
      <c r="AW4" s="141"/>
      <c r="AX4" s="141"/>
      <c r="AY4" s="141"/>
      <c r="AZ4" s="141"/>
      <c r="BA4" s="141"/>
      <c r="BB4" s="141"/>
      <c r="BC4" s="141"/>
      <c r="BD4" s="141"/>
      <c r="BE4" s="141"/>
      <c r="BF4" s="141"/>
      <c r="BG4" s="141"/>
      <c r="BH4" s="141"/>
      <c r="BI4" s="141"/>
      <c r="BJ4" s="141"/>
      <c r="BK4" s="141"/>
      <c r="BL4" s="141"/>
      <c r="BM4" s="141"/>
      <c r="BN4" s="141"/>
      <c r="BO4" s="141"/>
      <c r="BP4" s="141"/>
      <c r="BQ4" s="141"/>
      <c r="BR4" s="141"/>
      <c r="BS4" s="141"/>
      <c r="BT4" s="141"/>
      <c r="BU4" s="141"/>
      <c r="BV4" s="141"/>
      <c r="BW4" s="141"/>
      <c r="BX4" s="141"/>
      <c r="BY4" s="141"/>
      <c r="BZ4" s="141"/>
      <c r="CA4" s="141"/>
      <c r="CB4" s="141"/>
      <c r="CC4" s="141"/>
      <c r="CD4" s="141"/>
      <c r="CE4" s="141"/>
      <c r="CF4" s="141"/>
      <c r="CG4" s="141"/>
      <c r="CH4" s="141"/>
      <c r="CI4" s="141"/>
      <c r="CJ4" s="141"/>
      <c r="CK4" s="141"/>
      <c r="CL4" s="141"/>
      <c r="CM4" s="141"/>
      <c r="CN4" s="141"/>
      <c r="CO4" s="141"/>
      <c r="CP4" s="141"/>
      <c r="CQ4" s="141"/>
      <c r="CR4" s="141"/>
      <c r="CS4" s="141"/>
    </row>
    <row r="5" spans="1:97" s="142" customFormat="1" ht="18">
      <c r="A5" s="138"/>
      <c r="B5" s="141"/>
      <c r="C5" s="155"/>
      <c r="D5" s="684" t="str">
        <f>+PROPONENTES!B6</f>
        <v>CONCURSO DE MÉRITOS ABIERTO</v>
      </c>
      <c r="E5" s="684"/>
      <c r="F5" s="684"/>
      <c r="G5" s="148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K5" s="141"/>
      <c r="AL5" s="141"/>
      <c r="AM5" s="141"/>
      <c r="AN5" s="141"/>
      <c r="AO5" s="141"/>
      <c r="AP5" s="141"/>
      <c r="AQ5" s="141"/>
      <c r="AR5" s="141"/>
      <c r="AS5" s="141"/>
      <c r="AT5" s="141"/>
      <c r="AU5" s="141"/>
      <c r="AV5" s="141"/>
      <c r="AW5" s="141"/>
      <c r="AX5" s="141"/>
      <c r="AY5" s="141"/>
      <c r="AZ5" s="141"/>
      <c r="BA5" s="141"/>
      <c r="BB5" s="141"/>
      <c r="BC5" s="141"/>
      <c r="BD5" s="141"/>
      <c r="BE5" s="141"/>
      <c r="BF5" s="141"/>
      <c r="BG5" s="141"/>
      <c r="BH5" s="141"/>
      <c r="BI5" s="141"/>
      <c r="BJ5" s="141"/>
      <c r="BK5" s="141"/>
      <c r="BL5" s="141"/>
      <c r="BM5" s="141"/>
      <c r="BN5" s="141"/>
      <c r="BO5" s="141"/>
      <c r="BP5" s="141"/>
      <c r="BQ5" s="141"/>
      <c r="BR5" s="141"/>
      <c r="BS5" s="141"/>
      <c r="BT5" s="141"/>
      <c r="BU5" s="141"/>
      <c r="BV5" s="141"/>
      <c r="BW5" s="141"/>
      <c r="BX5" s="141"/>
      <c r="BY5" s="141"/>
      <c r="BZ5" s="141"/>
      <c r="CA5" s="141"/>
      <c r="CB5" s="141"/>
      <c r="CC5" s="141"/>
      <c r="CD5" s="141"/>
      <c r="CE5" s="141"/>
      <c r="CF5" s="141"/>
      <c r="CG5" s="141"/>
      <c r="CH5" s="141"/>
      <c r="CI5" s="141"/>
      <c r="CJ5" s="141"/>
      <c r="CK5" s="141"/>
      <c r="CL5" s="141"/>
      <c r="CM5" s="141"/>
      <c r="CN5" s="141"/>
      <c r="CO5" s="141"/>
      <c r="CP5" s="141"/>
      <c r="CQ5" s="141"/>
      <c r="CR5" s="141"/>
      <c r="CS5" s="141"/>
    </row>
    <row r="6" spans="1:97" s="140" customFormat="1" ht="18">
      <c r="A6" s="138"/>
      <c r="B6" s="139"/>
      <c r="C6" s="155"/>
      <c r="D6" s="684" t="str">
        <f>+PROPONENTES!B7</f>
        <v>CMA-DT-HUI-002-2019</v>
      </c>
      <c r="E6" s="684"/>
      <c r="F6" s="684"/>
      <c r="G6" s="148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39"/>
      <c r="AD6" s="139"/>
      <c r="AE6" s="139"/>
      <c r="AF6" s="139"/>
      <c r="AG6" s="139"/>
      <c r="AH6" s="139"/>
      <c r="AI6" s="139"/>
      <c r="AJ6" s="139"/>
      <c r="AK6" s="139"/>
      <c r="AL6" s="139"/>
      <c r="AM6" s="139"/>
      <c r="AN6" s="139"/>
      <c r="AO6" s="139"/>
      <c r="AP6" s="139"/>
      <c r="AQ6" s="139"/>
      <c r="AR6" s="139"/>
      <c r="AS6" s="139"/>
      <c r="AT6" s="139"/>
      <c r="AU6" s="139"/>
      <c r="AV6" s="139"/>
      <c r="AW6" s="139"/>
      <c r="AX6" s="139"/>
      <c r="AY6" s="139"/>
      <c r="AZ6" s="139"/>
      <c r="BA6" s="139"/>
      <c r="BB6" s="139"/>
      <c r="BC6" s="139"/>
      <c r="BD6" s="139"/>
      <c r="BE6" s="139"/>
      <c r="BF6" s="139"/>
      <c r="BG6" s="139"/>
      <c r="BH6" s="139"/>
      <c r="BI6" s="139"/>
      <c r="BJ6" s="139"/>
      <c r="BK6" s="139"/>
      <c r="BL6" s="139"/>
      <c r="BM6" s="139"/>
      <c r="BN6" s="139"/>
      <c r="BO6" s="139"/>
      <c r="BP6" s="139"/>
      <c r="BQ6" s="139"/>
      <c r="BR6" s="139"/>
      <c r="BS6" s="139"/>
      <c r="BT6" s="139"/>
      <c r="BU6" s="139"/>
      <c r="BV6" s="139"/>
      <c r="BW6" s="139"/>
      <c r="BX6" s="139"/>
      <c r="BY6" s="139"/>
      <c r="BZ6" s="139"/>
      <c r="CA6" s="139"/>
      <c r="CB6" s="139"/>
      <c r="CC6" s="139"/>
      <c r="CD6" s="139"/>
      <c r="CE6" s="139"/>
      <c r="CF6" s="139"/>
      <c r="CG6" s="139"/>
      <c r="CH6" s="139"/>
      <c r="CI6" s="139"/>
      <c r="CJ6" s="139"/>
      <c r="CK6" s="139"/>
      <c r="CL6" s="139"/>
      <c r="CM6" s="139"/>
      <c r="CN6" s="139"/>
      <c r="CO6" s="139"/>
      <c r="CP6" s="139"/>
      <c r="CQ6" s="139"/>
      <c r="CR6" s="139"/>
      <c r="CS6" s="139"/>
    </row>
    <row r="7" spans="1:97" s="140" customFormat="1" ht="18" customHeight="1">
      <c r="A7" s="138"/>
      <c r="B7" s="139"/>
      <c r="C7" s="155"/>
      <c r="D7" s="150"/>
      <c r="E7" s="150"/>
      <c r="F7" s="150"/>
      <c r="G7" s="148"/>
      <c r="H7" s="139"/>
      <c r="I7" s="139"/>
      <c r="J7" s="139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39"/>
      <c r="AD7" s="139"/>
      <c r="AE7" s="139"/>
      <c r="AF7" s="139"/>
      <c r="AG7" s="139"/>
      <c r="AH7" s="139"/>
      <c r="AI7" s="139"/>
      <c r="AJ7" s="139"/>
      <c r="AK7" s="139"/>
      <c r="AL7" s="139"/>
      <c r="AM7" s="139"/>
      <c r="AN7" s="139"/>
      <c r="AO7" s="139"/>
      <c r="AP7" s="139"/>
      <c r="AQ7" s="139"/>
      <c r="AR7" s="139"/>
      <c r="AS7" s="139"/>
      <c r="AT7" s="139"/>
      <c r="AU7" s="139"/>
      <c r="AV7" s="139"/>
      <c r="AW7" s="139"/>
      <c r="AX7" s="139"/>
      <c r="AY7" s="139"/>
      <c r="AZ7" s="139"/>
      <c r="BA7" s="139"/>
      <c r="BB7" s="139"/>
      <c r="BC7" s="139"/>
      <c r="BD7" s="139"/>
      <c r="BE7" s="139"/>
      <c r="BF7" s="139"/>
      <c r="BG7" s="139"/>
      <c r="BH7" s="139"/>
      <c r="BI7" s="139"/>
      <c r="BJ7" s="139"/>
      <c r="BK7" s="139"/>
      <c r="BL7" s="139"/>
      <c r="BM7" s="139"/>
      <c r="BN7" s="139"/>
      <c r="BO7" s="139"/>
      <c r="BP7" s="139"/>
      <c r="BQ7" s="139"/>
      <c r="BR7" s="139"/>
      <c r="BS7" s="139"/>
      <c r="BT7" s="139"/>
      <c r="BU7" s="139"/>
      <c r="BV7" s="139"/>
      <c r="BW7" s="139"/>
      <c r="BX7" s="139"/>
      <c r="BY7" s="139"/>
      <c r="BZ7" s="139"/>
      <c r="CA7" s="139"/>
      <c r="CB7" s="139"/>
      <c r="CC7" s="139"/>
      <c r="CD7" s="139"/>
      <c r="CE7" s="139"/>
      <c r="CF7" s="139"/>
      <c r="CG7" s="139"/>
      <c r="CH7" s="139"/>
      <c r="CI7" s="139"/>
      <c r="CJ7" s="139"/>
      <c r="CK7" s="139"/>
      <c r="CL7" s="139"/>
      <c r="CM7" s="139"/>
      <c r="CN7" s="139"/>
      <c r="CO7" s="139"/>
      <c r="CP7" s="139"/>
      <c r="CQ7" s="139"/>
      <c r="CR7" s="139"/>
      <c r="CS7" s="139"/>
    </row>
    <row r="8" spans="1:97" s="140" customFormat="1" ht="58.5" customHeight="1">
      <c r="A8" s="138"/>
      <c r="B8" s="139"/>
      <c r="C8" s="155"/>
      <c r="D8" s="681" t="str">
        <f>+PROPONENTES!B9</f>
        <v>OBJETO: "INTERVENTORIA TECNICA, ADMINISTRATIVA, FINANCIERA, AMBIENTAL , ATENCIÓN SITIOS CRITICOS CONSTRUCCIÓN PUENTE QUEBRADA PÌEDRAS NEGRAS MUNICIPIO DE SALADOBLANCO CARRETERA LA CABAÑA-MORELIA, CÓDIGO 19787 (PRODUCTO SITIO CRÍTICO DE RED TERCIARIA ESTABILIZADA).”</v>
      </c>
      <c r="E8" s="681"/>
      <c r="F8" s="681"/>
      <c r="G8" s="148"/>
      <c r="H8" s="139"/>
      <c r="I8" s="139"/>
      <c r="J8" s="139"/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39"/>
      <c r="AD8" s="139"/>
      <c r="AE8" s="139"/>
      <c r="AF8" s="139"/>
      <c r="AG8" s="139"/>
      <c r="AH8" s="139"/>
      <c r="AI8" s="139"/>
      <c r="AJ8" s="139"/>
      <c r="AK8" s="139"/>
      <c r="AL8" s="139"/>
      <c r="AM8" s="139"/>
      <c r="AN8" s="139"/>
      <c r="AO8" s="139"/>
      <c r="AP8" s="139"/>
      <c r="AQ8" s="139"/>
      <c r="AR8" s="139"/>
      <c r="AS8" s="139"/>
      <c r="AT8" s="139"/>
      <c r="AU8" s="139"/>
      <c r="AV8" s="139"/>
      <c r="AW8" s="139"/>
      <c r="AX8" s="139"/>
      <c r="AY8" s="139"/>
      <c r="AZ8" s="139"/>
      <c r="BA8" s="139"/>
      <c r="BB8" s="139"/>
      <c r="BC8" s="139"/>
      <c r="BD8" s="139"/>
      <c r="BE8" s="139"/>
      <c r="BF8" s="139"/>
      <c r="BG8" s="139"/>
      <c r="BH8" s="139"/>
      <c r="BI8" s="139"/>
      <c r="BJ8" s="139"/>
      <c r="BK8" s="139"/>
      <c r="BL8" s="139"/>
      <c r="BM8" s="139"/>
      <c r="BN8" s="139"/>
      <c r="BO8" s="139"/>
      <c r="BP8" s="139"/>
      <c r="BQ8" s="139"/>
      <c r="BR8" s="139"/>
      <c r="BS8" s="139"/>
      <c r="BT8" s="139"/>
      <c r="BU8" s="139"/>
      <c r="BV8" s="139"/>
      <c r="BW8" s="139"/>
      <c r="BX8" s="139"/>
      <c r="BY8" s="139"/>
      <c r="BZ8" s="139"/>
      <c r="CA8" s="139"/>
      <c r="CB8" s="139"/>
      <c r="CC8" s="139"/>
      <c r="CD8" s="139"/>
      <c r="CE8" s="139"/>
      <c r="CF8" s="139"/>
      <c r="CG8" s="139"/>
      <c r="CH8" s="139"/>
      <c r="CI8" s="139"/>
      <c r="CJ8" s="139"/>
      <c r="CK8" s="139"/>
      <c r="CL8" s="139"/>
      <c r="CM8" s="139"/>
      <c r="CN8" s="139"/>
      <c r="CO8" s="139"/>
      <c r="CP8" s="139"/>
      <c r="CQ8" s="139"/>
      <c r="CR8" s="139"/>
      <c r="CS8" s="139"/>
    </row>
    <row r="9" spans="1:97" s="140" customFormat="1" ht="18">
      <c r="A9" s="138"/>
      <c r="B9" s="139"/>
      <c r="C9" s="155"/>
      <c r="D9" s="150"/>
      <c r="E9" s="150"/>
      <c r="F9" s="150"/>
      <c r="G9" s="148"/>
      <c r="H9" s="139"/>
      <c r="I9" s="139"/>
      <c r="J9" s="139"/>
      <c r="K9" s="139"/>
      <c r="L9" s="139"/>
      <c r="M9" s="139"/>
      <c r="N9" s="139"/>
      <c r="O9" s="139"/>
      <c r="P9" s="139"/>
      <c r="Q9" s="139"/>
      <c r="R9" s="139"/>
      <c r="S9" s="139"/>
      <c r="T9" s="139"/>
      <c r="U9" s="139"/>
      <c r="V9" s="139"/>
      <c r="W9" s="139"/>
      <c r="X9" s="139"/>
      <c r="Y9" s="139"/>
      <c r="Z9" s="139"/>
      <c r="AA9" s="139"/>
      <c r="AB9" s="139"/>
      <c r="AC9" s="139"/>
      <c r="AD9" s="139"/>
      <c r="AE9" s="139"/>
      <c r="AF9" s="139"/>
      <c r="AG9" s="139"/>
      <c r="AH9" s="139"/>
      <c r="AI9" s="139"/>
      <c r="AJ9" s="139"/>
      <c r="AK9" s="139"/>
      <c r="AL9" s="139"/>
      <c r="AM9" s="139"/>
      <c r="AN9" s="139"/>
      <c r="AO9" s="139"/>
      <c r="AP9" s="139"/>
      <c r="AQ9" s="139"/>
      <c r="AR9" s="139"/>
      <c r="AS9" s="139"/>
      <c r="AT9" s="139"/>
      <c r="AU9" s="139"/>
      <c r="AV9" s="139"/>
      <c r="AW9" s="139"/>
      <c r="AX9" s="139"/>
      <c r="AY9" s="139"/>
      <c r="AZ9" s="139"/>
      <c r="BA9" s="139"/>
      <c r="BB9" s="139"/>
      <c r="BC9" s="139"/>
      <c r="BD9" s="139"/>
      <c r="BE9" s="139"/>
      <c r="BF9" s="139"/>
      <c r="BG9" s="139"/>
      <c r="BH9" s="139"/>
      <c r="BI9" s="139"/>
      <c r="BJ9" s="139"/>
      <c r="BK9" s="139"/>
      <c r="BL9" s="139"/>
      <c r="BM9" s="139"/>
      <c r="BN9" s="139"/>
      <c r="BO9" s="139"/>
      <c r="BP9" s="139"/>
      <c r="BQ9" s="139"/>
      <c r="BR9" s="139"/>
      <c r="BS9" s="139"/>
      <c r="BT9" s="139"/>
      <c r="BU9" s="139"/>
      <c r="BV9" s="139"/>
      <c r="BW9" s="139"/>
      <c r="BX9" s="139"/>
      <c r="BY9" s="139"/>
      <c r="BZ9" s="139"/>
      <c r="CA9" s="139"/>
      <c r="CB9" s="139"/>
      <c r="CC9" s="139"/>
      <c r="CD9" s="139"/>
      <c r="CE9" s="139"/>
      <c r="CF9" s="139"/>
      <c r="CG9" s="139"/>
      <c r="CH9" s="139"/>
      <c r="CI9" s="139"/>
      <c r="CJ9" s="139"/>
      <c r="CK9" s="139"/>
      <c r="CL9" s="139"/>
      <c r="CM9" s="139"/>
      <c r="CN9" s="139"/>
      <c r="CO9" s="139"/>
      <c r="CP9" s="139"/>
      <c r="CQ9" s="139"/>
      <c r="CR9" s="139"/>
      <c r="CS9" s="139"/>
    </row>
    <row r="10" spans="1:97" s="140" customFormat="1" ht="18">
      <c r="A10" s="138"/>
      <c r="B10" s="139"/>
      <c r="C10" s="155"/>
      <c r="D10" s="672" t="str">
        <f>PROPONENTES!B11</f>
        <v>MÓDULO No. 1</v>
      </c>
      <c r="E10" s="672"/>
      <c r="F10" s="672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  <c r="AA10" s="139"/>
      <c r="AB10" s="139"/>
      <c r="AC10" s="139"/>
      <c r="AD10" s="139"/>
      <c r="AE10" s="139"/>
      <c r="AF10" s="139"/>
      <c r="AG10" s="139"/>
      <c r="AH10" s="139"/>
      <c r="AI10" s="139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39"/>
      <c r="BD10" s="139"/>
      <c r="BE10" s="139"/>
      <c r="BF10" s="139"/>
      <c r="BG10" s="139"/>
      <c r="BH10" s="139"/>
      <c r="BI10" s="139"/>
      <c r="BJ10" s="139"/>
      <c r="BK10" s="139"/>
      <c r="BL10" s="139"/>
      <c r="BM10" s="139"/>
      <c r="BN10" s="139"/>
      <c r="BO10" s="139"/>
      <c r="BP10" s="139"/>
      <c r="BQ10" s="139"/>
      <c r="BR10" s="139"/>
      <c r="BS10" s="139"/>
      <c r="BT10" s="139"/>
      <c r="BU10" s="139"/>
      <c r="BV10" s="139"/>
      <c r="BW10" s="139"/>
      <c r="BX10" s="139"/>
      <c r="BY10" s="139"/>
      <c r="BZ10" s="139"/>
      <c r="CA10" s="139"/>
      <c r="CB10" s="139"/>
      <c r="CC10" s="139"/>
      <c r="CD10" s="139"/>
      <c r="CE10" s="139"/>
      <c r="CF10" s="139"/>
      <c r="CG10" s="139"/>
      <c r="CH10" s="139"/>
      <c r="CI10" s="139"/>
      <c r="CJ10" s="139"/>
      <c r="CK10" s="139"/>
      <c r="CL10" s="139"/>
      <c r="CM10" s="139"/>
      <c r="CN10" s="139"/>
      <c r="CO10" s="139"/>
      <c r="CP10" s="139"/>
      <c r="CQ10" s="139"/>
      <c r="CR10" s="139"/>
      <c r="CS10" s="139"/>
    </row>
    <row r="11" spans="1:97" s="140" customFormat="1" ht="18">
      <c r="A11" s="138"/>
      <c r="B11" s="139"/>
      <c r="C11" s="153"/>
      <c r="D11" s="199"/>
      <c r="E11" s="149"/>
      <c r="F11" s="14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  <c r="AG11" s="139"/>
      <c r="AH11" s="139"/>
      <c r="AI11" s="139"/>
      <c r="AJ11" s="139"/>
      <c r="AK11" s="139"/>
      <c r="AL11" s="139"/>
      <c r="AM11" s="139"/>
      <c r="AN11" s="139"/>
      <c r="AO11" s="139"/>
      <c r="AP11" s="139"/>
      <c r="AQ11" s="139"/>
      <c r="AR11" s="139"/>
      <c r="AS11" s="139"/>
      <c r="AT11" s="139"/>
      <c r="AU11" s="139"/>
      <c r="AV11" s="139"/>
      <c r="AW11" s="139"/>
      <c r="AX11" s="139"/>
      <c r="AY11" s="139"/>
      <c r="AZ11" s="139"/>
      <c r="BA11" s="139"/>
      <c r="BB11" s="139"/>
      <c r="BC11" s="139"/>
      <c r="BD11" s="139"/>
      <c r="BE11" s="139"/>
      <c r="BF11" s="139"/>
      <c r="BG11" s="139"/>
      <c r="BH11" s="139"/>
      <c r="BI11" s="139"/>
      <c r="BJ11" s="139"/>
      <c r="BK11" s="139"/>
      <c r="BL11" s="139"/>
      <c r="BM11" s="139"/>
      <c r="BN11" s="139"/>
      <c r="BO11" s="139"/>
      <c r="BP11" s="139"/>
      <c r="BQ11" s="139"/>
      <c r="BR11" s="139"/>
      <c r="BS11" s="139"/>
      <c r="BT11" s="139"/>
      <c r="BU11" s="139"/>
      <c r="BV11" s="139"/>
      <c r="BW11" s="139"/>
      <c r="BX11" s="139"/>
      <c r="BY11" s="139"/>
      <c r="BZ11" s="139"/>
      <c r="CA11" s="139"/>
      <c r="CB11" s="139"/>
      <c r="CC11" s="139"/>
      <c r="CD11" s="139"/>
      <c r="CE11" s="139"/>
      <c r="CF11" s="139"/>
      <c r="CG11" s="139"/>
      <c r="CH11" s="139"/>
      <c r="CI11" s="139"/>
      <c r="CJ11" s="139"/>
      <c r="CK11" s="139"/>
      <c r="CL11" s="139"/>
      <c r="CM11" s="139"/>
      <c r="CN11" s="139"/>
      <c r="CO11" s="139"/>
      <c r="CP11" s="139"/>
      <c r="CQ11" s="139"/>
      <c r="CR11" s="139"/>
      <c r="CS11" s="139"/>
    </row>
    <row r="12" spans="1:97" s="140" customFormat="1" ht="18" customHeight="1">
      <c r="A12" s="138"/>
      <c r="B12" s="138"/>
      <c r="C12" s="154"/>
      <c r="D12" s="672" t="s">
        <v>50</v>
      </c>
      <c r="E12" s="672"/>
      <c r="F12" s="672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  <c r="AG12" s="139"/>
      <c r="AH12" s="139"/>
      <c r="AI12" s="139"/>
      <c r="AJ12" s="139"/>
      <c r="AK12" s="139"/>
      <c r="AL12" s="139"/>
      <c r="AM12" s="139"/>
      <c r="AN12" s="139"/>
      <c r="AO12" s="139"/>
      <c r="AP12" s="139"/>
      <c r="AQ12" s="139"/>
      <c r="AR12" s="139"/>
      <c r="AS12" s="139"/>
      <c r="AT12" s="139"/>
      <c r="AU12" s="139"/>
      <c r="AV12" s="139"/>
      <c r="AW12" s="139"/>
      <c r="AX12" s="139"/>
      <c r="AY12" s="139"/>
      <c r="AZ12" s="139"/>
      <c r="BA12" s="139"/>
      <c r="BB12" s="139"/>
      <c r="BC12" s="139"/>
      <c r="BD12" s="139"/>
      <c r="BE12" s="139"/>
      <c r="BF12" s="139"/>
      <c r="BG12" s="139"/>
      <c r="BH12" s="139"/>
      <c r="BI12" s="139"/>
      <c r="BJ12" s="139"/>
      <c r="BK12" s="139"/>
      <c r="BL12" s="139"/>
      <c r="BM12" s="139"/>
      <c r="BN12" s="139"/>
      <c r="BO12" s="139"/>
      <c r="BP12" s="139"/>
      <c r="BQ12" s="139"/>
      <c r="BR12" s="139"/>
      <c r="BS12" s="139"/>
      <c r="BT12" s="139"/>
      <c r="BU12" s="139"/>
      <c r="BV12" s="139"/>
      <c r="BW12" s="139"/>
      <c r="BX12" s="139"/>
      <c r="BY12" s="139"/>
      <c r="BZ12" s="139"/>
      <c r="CA12" s="139"/>
      <c r="CB12" s="139"/>
      <c r="CC12" s="139"/>
      <c r="CD12" s="139"/>
      <c r="CE12" s="139"/>
      <c r="CF12" s="139"/>
      <c r="CG12" s="139"/>
      <c r="CH12" s="139"/>
      <c r="CI12" s="139"/>
      <c r="CJ12" s="139"/>
      <c r="CK12" s="139"/>
      <c r="CL12" s="139"/>
      <c r="CM12" s="139"/>
      <c r="CN12" s="139"/>
      <c r="CO12" s="139"/>
      <c r="CP12" s="139"/>
      <c r="CQ12" s="139"/>
      <c r="CR12" s="139"/>
      <c r="CS12" s="139"/>
    </row>
    <row r="13" spans="1:97" s="140" customFormat="1" ht="18" customHeight="1">
      <c r="A13" s="138"/>
      <c r="B13" s="138"/>
      <c r="C13" s="154"/>
      <c r="D13" s="672" t="s">
        <v>99</v>
      </c>
      <c r="E13" s="672"/>
      <c r="F13" s="672"/>
      <c r="G13" s="139"/>
      <c r="H13" s="139"/>
      <c r="I13" s="139"/>
      <c r="J13" s="139"/>
      <c r="K13" s="139"/>
      <c r="L13" s="139"/>
      <c r="M13" s="139"/>
      <c r="N13" s="139"/>
      <c r="O13" s="139"/>
      <c r="P13" s="139"/>
      <c r="Q13" s="139"/>
      <c r="R13" s="139"/>
      <c r="S13" s="139"/>
      <c r="T13" s="139"/>
      <c r="U13" s="139"/>
      <c r="V13" s="139"/>
      <c r="W13" s="139"/>
      <c r="X13" s="139"/>
      <c r="Y13" s="139"/>
      <c r="Z13" s="139"/>
      <c r="AA13" s="139"/>
      <c r="AB13" s="139"/>
      <c r="AC13" s="139"/>
      <c r="AD13" s="139"/>
      <c r="AE13" s="139"/>
      <c r="AF13" s="139"/>
      <c r="AG13" s="139"/>
      <c r="AH13" s="139"/>
      <c r="AI13" s="139"/>
      <c r="AJ13" s="139"/>
      <c r="AK13" s="139"/>
      <c r="AL13" s="139"/>
      <c r="AM13" s="139"/>
      <c r="AN13" s="139"/>
      <c r="AO13" s="139"/>
      <c r="AP13" s="139"/>
      <c r="AQ13" s="139"/>
      <c r="AR13" s="139"/>
      <c r="AS13" s="139"/>
      <c r="AT13" s="139"/>
      <c r="AU13" s="139"/>
      <c r="AV13" s="139"/>
      <c r="AW13" s="139"/>
      <c r="AX13" s="139"/>
      <c r="AY13" s="139"/>
      <c r="AZ13" s="139"/>
      <c r="BA13" s="139"/>
      <c r="BB13" s="139"/>
      <c r="BC13" s="139"/>
      <c r="BD13" s="139"/>
      <c r="BE13" s="139"/>
      <c r="BF13" s="139"/>
      <c r="BG13" s="139"/>
      <c r="BH13" s="139"/>
      <c r="BI13" s="139"/>
      <c r="BJ13" s="139"/>
      <c r="BK13" s="139"/>
      <c r="BL13" s="139"/>
      <c r="BM13" s="139"/>
      <c r="BN13" s="139"/>
      <c r="BO13" s="139"/>
      <c r="BP13" s="139"/>
      <c r="BQ13" s="139"/>
      <c r="BR13" s="139"/>
      <c r="BS13" s="139"/>
      <c r="BT13" s="139"/>
      <c r="BU13" s="139"/>
      <c r="BV13" s="139"/>
      <c r="BW13" s="139"/>
      <c r="BX13" s="139"/>
      <c r="BY13" s="139"/>
      <c r="BZ13" s="139"/>
      <c r="CA13" s="139"/>
      <c r="CB13" s="139"/>
      <c r="CC13" s="139"/>
      <c r="CD13" s="139"/>
      <c r="CE13" s="139"/>
      <c r="CF13" s="139"/>
      <c r="CG13" s="139"/>
      <c r="CH13" s="139"/>
      <c r="CI13" s="139"/>
      <c r="CJ13" s="139"/>
      <c r="CK13" s="139"/>
      <c r="CL13" s="139"/>
      <c r="CM13" s="139"/>
      <c r="CN13" s="139"/>
      <c r="CO13" s="139"/>
      <c r="CP13" s="139"/>
      <c r="CQ13" s="139"/>
      <c r="CR13" s="139"/>
      <c r="CS13" s="139"/>
    </row>
    <row r="14" spans="1:97" s="140" customFormat="1" ht="18.75" thickBot="1">
      <c r="A14" s="138"/>
      <c r="B14" s="138"/>
      <c r="C14" s="108"/>
      <c r="D14" s="143"/>
      <c r="E14" s="144"/>
      <c r="F14" s="145"/>
      <c r="G14" s="139"/>
      <c r="H14" s="139"/>
      <c r="I14" s="139"/>
      <c r="J14" s="139"/>
      <c r="K14" s="139"/>
      <c r="L14" s="139"/>
      <c r="M14" s="139"/>
      <c r="N14" s="139"/>
      <c r="O14" s="139"/>
      <c r="P14" s="139"/>
      <c r="Q14" s="139"/>
      <c r="R14" s="139"/>
      <c r="S14" s="139"/>
      <c r="T14" s="139"/>
      <c r="U14" s="139"/>
      <c r="V14" s="139"/>
      <c r="W14" s="139"/>
      <c r="X14" s="139"/>
      <c r="Y14" s="139"/>
      <c r="Z14" s="139"/>
      <c r="AA14" s="139"/>
      <c r="AB14" s="139"/>
      <c r="AC14" s="139"/>
      <c r="AD14" s="139"/>
      <c r="AE14" s="139"/>
      <c r="AF14" s="139"/>
      <c r="AG14" s="139"/>
      <c r="AH14" s="139"/>
      <c r="AI14" s="139"/>
      <c r="AJ14" s="139"/>
      <c r="AK14" s="139"/>
      <c r="AL14" s="139"/>
      <c r="AM14" s="139"/>
      <c r="AN14" s="139"/>
      <c r="AO14" s="139"/>
      <c r="AP14" s="139"/>
      <c r="AQ14" s="139"/>
      <c r="AR14" s="139"/>
      <c r="AS14" s="139"/>
      <c r="AT14" s="139"/>
      <c r="AU14" s="139"/>
      <c r="AV14" s="139"/>
      <c r="AW14" s="139"/>
      <c r="AX14" s="139"/>
      <c r="AY14" s="139"/>
      <c r="AZ14" s="139"/>
      <c r="BA14" s="139"/>
      <c r="BB14" s="139"/>
      <c r="BC14" s="139"/>
      <c r="BD14" s="139"/>
      <c r="BE14" s="139"/>
      <c r="BF14" s="139"/>
      <c r="BG14" s="139"/>
      <c r="BH14" s="139"/>
      <c r="BI14" s="139"/>
      <c r="BJ14" s="139"/>
      <c r="BK14" s="139"/>
      <c r="BL14" s="139"/>
      <c r="BM14" s="139"/>
      <c r="BN14" s="139"/>
      <c r="BO14" s="139"/>
      <c r="BP14" s="139"/>
      <c r="BQ14" s="139"/>
      <c r="BR14" s="139"/>
      <c r="BS14" s="139"/>
      <c r="BT14" s="139"/>
      <c r="BU14" s="139"/>
      <c r="BV14" s="139"/>
      <c r="BW14" s="139"/>
      <c r="BX14" s="139"/>
      <c r="BY14" s="139"/>
      <c r="BZ14" s="139"/>
      <c r="CA14" s="139"/>
      <c r="CB14" s="139"/>
      <c r="CC14" s="139"/>
      <c r="CD14" s="139"/>
      <c r="CE14" s="139"/>
      <c r="CF14" s="139"/>
      <c r="CG14" s="139"/>
      <c r="CH14" s="139"/>
      <c r="CI14" s="139"/>
      <c r="CJ14" s="139"/>
      <c r="CK14" s="139"/>
      <c r="CL14" s="139"/>
      <c r="CM14" s="139"/>
      <c r="CN14" s="139"/>
      <c r="CO14" s="139"/>
      <c r="CP14" s="139"/>
      <c r="CQ14" s="139"/>
      <c r="CR14" s="139"/>
      <c r="CS14" s="139"/>
    </row>
    <row r="15" spans="1:97" s="140" customFormat="1" ht="15.75" customHeight="1" thickTop="1">
      <c r="A15" s="138"/>
      <c r="B15" s="138"/>
      <c r="C15" s="679" t="s">
        <v>39</v>
      </c>
      <c r="D15" s="673" t="s">
        <v>38</v>
      </c>
      <c r="E15" s="675" t="s">
        <v>16</v>
      </c>
      <c r="F15" s="677" t="s">
        <v>82</v>
      </c>
      <c r="G15" s="670" t="s">
        <v>310</v>
      </c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  <c r="AA15" s="139"/>
      <c r="AB15" s="139"/>
      <c r="AC15" s="139"/>
      <c r="AD15" s="139"/>
      <c r="AE15" s="139"/>
      <c r="AF15" s="139"/>
      <c r="AG15" s="139"/>
      <c r="AH15" s="139"/>
      <c r="AI15" s="139"/>
      <c r="AJ15" s="139"/>
      <c r="AK15" s="139"/>
      <c r="AL15" s="139"/>
      <c r="AM15" s="139"/>
      <c r="AN15" s="139"/>
      <c r="AO15" s="139"/>
      <c r="AP15" s="139"/>
      <c r="AQ15" s="139"/>
      <c r="AR15" s="139"/>
      <c r="AS15" s="139"/>
      <c r="AT15" s="139"/>
      <c r="AU15" s="139"/>
      <c r="AV15" s="139"/>
      <c r="AW15" s="139"/>
      <c r="AX15" s="139"/>
      <c r="AY15" s="139"/>
      <c r="AZ15" s="139"/>
      <c r="BA15" s="139"/>
      <c r="BB15" s="139"/>
      <c r="BC15" s="139"/>
      <c r="BD15" s="139"/>
      <c r="BE15" s="139"/>
      <c r="BF15" s="139"/>
      <c r="BG15" s="139"/>
      <c r="BH15" s="139"/>
      <c r="BI15" s="139"/>
      <c r="BJ15" s="139"/>
      <c r="BK15" s="139"/>
      <c r="BL15" s="139"/>
      <c r="BM15" s="139"/>
      <c r="BN15" s="139"/>
      <c r="BO15" s="139"/>
      <c r="BP15" s="139"/>
      <c r="BQ15" s="139"/>
      <c r="BR15" s="139"/>
      <c r="BS15" s="139"/>
      <c r="BT15" s="139"/>
      <c r="BU15" s="139"/>
      <c r="BV15" s="139"/>
      <c r="BW15" s="139"/>
      <c r="BX15" s="139"/>
      <c r="BY15" s="139"/>
      <c r="BZ15" s="139"/>
      <c r="CA15" s="139"/>
      <c r="CB15" s="139"/>
      <c r="CC15" s="139"/>
      <c r="CD15" s="139"/>
      <c r="CE15" s="139"/>
      <c r="CF15" s="139"/>
      <c r="CG15" s="139"/>
      <c r="CH15" s="139"/>
      <c r="CI15" s="139"/>
      <c r="CJ15" s="139"/>
      <c r="CK15" s="139"/>
      <c r="CL15" s="139"/>
      <c r="CM15" s="139"/>
      <c r="CN15" s="139"/>
      <c r="CO15" s="139"/>
      <c r="CP15" s="139"/>
      <c r="CQ15" s="139"/>
      <c r="CR15" s="139"/>
      <c r="CS15" s="139"/>
    </row>
    <row r="16" spans="1:97" s="140" customFormat="1" ht="15.75" customHeight="1" thickBot="1">
      <c r="A16" s="138"/>
      <c r="B16" s="138"/>
      <c r="C16" s="680"/>
      <c r="D16" s="674" t="s">
        <v>83</v>
      </c>
      <c r="E16" s="676"/>
      <c r="F16" s="678"/>
      <c r="G16" s="671"/>
      <c r="H16" s="139"/>
      <c r="I16" s="139"/>
      <c r="J16" s="139"/>
      <c r="K16" s="139"/>
      <c r="L16" s="139"/>
      <c r="M16" s="139"/>
      <c r="N16" s="139"/>
      <c r="O16" s="139"/>
      <c r="P16" s="139"/>
      <c r="Q16" s="139"/>
      <c r="R16" s="139"/>
      <c r="S16" s="139"/>
      <c r="T16" s="139"/>
      <c r="U16" s="139"/>
      <c r="V16" s="139"/>
      <c r="W16" s="139"/>
      <c r="X16" s="139"/>
      <c r="Y16" s="139"/>
      <c r="Z16" s="139"/>
      <c r="AA16" s="139"/>
      <c r="AB16" s="139"/>
      <c r="AC16" s="139"/>
      <c r="AD16" s="139"/>
      <c r="AE16" s="139"/>
      <c r="AF16" s="139"/>
      <c r="AG16" s="139"/>
      <c r="AH16" s="139"/>
      <c r="AI16" s="139"/>
      <c r="AJ16" s="139"/>
      <c r="AK16" s="139"/>
      <c r="AL16" s="139"/>
      <c r="AM16" s="139"/>
      <c r="AN16" s="139"/>
      <c r="AO16" s="139"/>
      <c r="AP16" s="139"/>
      <c r="AQ16" s="139"/>
      <c r="AR16" s="139"/>
      <c r="AS16" s="139"/>
      <c r="AT16" s="139"/>
      <c r="AU16" s="139"/>
      <c r="AV16" s="139"/>
      <c r="AW16" s="139"/>
      <c r="AX16" s="139"/>
      <c r="AY16" s="139"/>
      <c r="AZ16" s="139"/>
      <c r="BA16" s="139"/>
      <c r="BB16" s="139"/>
      <c r="BC16" s="139"/>
      <c r="BD16" s="139"/>
      <c r="BE16" s="139"/>
      <c r="BF16" s="139"/>
      <c r="BG16" s="139"/>
      <c r="BH16" s="139"/>
      <c r="BI16" s="139"/>
      <c r="BJ16" s="139"/>
      <c r="BK16" s="139"/>
      <c r="BL16" s="139"/>
      <c r="BM16" s="139"/>
      <c r="BN16" s="139"/>
      <c r="BO16" s="139"/>
      <c r="BP16" s="139"/>
      <c r="BQ16" s="139"/>
      <c r="BR16" s="139"/>
      <c r="BS16" s="139"/>
      <c r="BT16" s="139"/>
      <c r="BU16" s="139"/>
      <c r="BV16" s="139"/>
      <c r="BW16" s="139"/>
      <c r="BX16" s="139"/>
      <c r="BY16" s="139"/>
      <c r="BZ16" s="139"/>
      <c r="CA16" s="139"/>
      <c r="CB16" s="139"/>
      <c r="CC16" s="139"/>
      <c r="CD16" s="139"/>
      <c r="CE16" s="139"/>
      <c r="CF16" s="139"/>
      <c r="CG16" s="139"/>
      <c r="CH16" s="139"/>
      <c r="CI16" s="139"/>
      <c r="CJ16" s="139"/>
      <c r="CK16" s="139"/>
      <c r="CL16" s="139"/>
      <c r="CM16" s="139"/>
      <c r="CN16" s="139"/>
      <c r="CO16" s="139"/>
      <c r="CP16" s="139"/>
      <c r="CQ16" s="139"/>
      <c r="CR16" s="139"/>
      <c r="CS16" s="139"/>
    </row>
    <row r="17" spans="1:97" s="140" customFormat="1" ht="4.5" customHeight="1">
      <c r="A17" s="138"/>
      <c r="B17" s="138"/>
      <c r="C17" s="189"/>
      <c r="D17" s="196"/>
      <c r="E17" s="197"/>
      <c r="F17" s="486"/>
      <c r="G17" s="198"/>
      <c r="H17" s="139"/>
      <c r="I17" s="139"/>
      <c r="J17" s="139"/>
      <c r="K17" s="139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  <c r="AI17" s="139"/>
      <c r="AJ17" s="139"/>
      <c r="AK17" s="139"/>
      <c r="AL17" s="139"/>
      <c r="AM17" s="139"/>
      <c r="AN17" s="139"/>
      <c r="AO17" s="139"/>
      <c r="AP17" s="139"/>
      <c r="AQ17" s="139"/>
      <c r="AR17" s="139"/>
      <c r="AS17" s="139"/>
      <c r="AT17" s="139"/>
      <c r="AU17" s="139"/>
      <c r="AV17" s="139"/>
      <c r="AW17" s="139"/>
      <c r="AX17" s="139"/>
      <c r="AY17" s="139"/>
      <c r="AZ17" s="139"/>
      <c r="BA17" s="139"/>
      <c r="BB17" s="139"/>
      <c r="BC17" s="139"/>
      <c r="BD17" s="139"/>
      <c r="BE17" s="139"/>
      <c r="BF17" s="139"/>
      <c r="BG17" s="139"/>
      <c r="BH17" s="139"/>
      <c r="BI17" s="139"/>
      <c r="BJ17" s="139"/>
      <c r="BK17" s="139"/>
      <c r="BL17" s="139"/>
      <c r="BM17" s="139"/>
      <c r="BN17" s="139"/>
      <c r="BO17" s="139"/>
      <c r="BP17" s="139"/>
      <c r="BQ17" s="139"/>
      <c r="BR17" s="139"/>
      <c r="BS17" s="139"/>
      <c r="BT17" s="139"/>
      <c r="BU17" s="139"/>
      <c r="BV17" s="139"/>
      <c r="BW17" s="139"/>
      <c r="BX17" s="139"/>
      <c r="BY17" s="139"/>
      <c r="BZ17" s="139"/>
      <c r="CA17" s="139"/>
      <c r="CB17" s="139"/>
      <c r="CC17" s="139"/>
      <c r="CD17" s="139"/>
      <c r="CE17" s="139"/>
      <c r="CF17" s="139"/>
      <c r="CG17" s="139"/>
      <c r="CH17" s="139"/>
      <c r="CI17" s="139"/>
      <c r="CJ17" s="139"/>
      <c r="CK17" s="139"/>
      <c r="CL17" s="139"/>
      <c r="CM17" s="139"/>
      <c r="CN17" s="139"/>
      <c r="CO17" s="139"/>
      <c r="CP17" s="139"/>
      <c r="CQ17" s="139"/>
      <c r="CR17" s="139"/>
      <c r="CS17" s="139"/>
    </row>
    <row r="18" spans="1:97" s="140" customFormat="1" ht="15.75" customHeight="1">
      <c r="A18" s="138"/>
      <c r="B18" s="138"/>
      <c r="C18" s="190">
        <v>1</v>
      </c>
      <c r="D18" s="314">
        <f>IF(VLOOKUP(C18,PROPONENTES!$B$19:$E$218,2,FALSE)="","",VLOOKUP(C18,PROPONENTES!$B$19:$E$218,2,FALSE))</f>
        <v>1</v>
      </c>
      <c r="E18" s="186" t="str">
        <f>IF(D18="","",IF(D18-INT(D18)&gt;1,"",VLOOKUP(D18,PROPONENTES!$C$19:$D$218,2,FALSE)))</f>
        <v>CONSORCIO JC 2019</v>
      </c>
      <c r="F18" s="487">
        <f>+F20+F21+F21</f>
        <v>1</v>
      </c>
      <c r="G18" s="187"/>
      <c r="H18" s="139"/>
      <c r="I18" s="139"/>
      <c r="J18" s="139"/>
      <c r="K18" s="139"/>
      <c r="L18" s="139"/>
      <c r="M18" s="139"/>
      <c r="N18" s="139"/>
      <c r="O18" s="139"/>
      <c r="P18" s="139"/>
      <c r="Q18" s="139"/>
      <c r="R18" s="139"/>
      <c r="S18" s="139"/>
      <c r="T18" s="139"/>
      <c r="U18" s="139"/>
      <c r="V18" s="139"/>
      <c r="W18" s="139"/>
      <c r="X18" s="139"/>
      <c r="Y18" s="139"/>
      <c r="Z18" s="139"/>
      <c r="AA18" s="139"/>
      <c r="AB18" s="139"/>
      <c r="AC18" s="139"/>
      <c r="AD18" s="139"/>
      <c r="AE18" s="139"/>
      <c r="AF18" s="139"/>
      <c r="AG18" s="139"/>
      <c r="AH18" s="139"/>
      <c r="AI18" s="139"/>
      <c r="AJ18" s="139"/>
      <c r="AK18" s="139"/>
      <c r="AL18" s="139"/>
      <c r="AM18" s="139"/>
      <c r="AN18" s="139"/>
      <c r="AO18" s="139"/>
      <c r="AP18" s="139"/>
      <c r="AQ18" s="139"/>
      <c r="AR18" s="139"/>
      <c r="AS18" s="139"/>
      <c r="AT18" s="139"/>
      <c r="AU18" s="139"/>
      <c r="AV18" s="139"/>
      <c r="AW18" s="139"/>
      <c r="AX18" s="139"/>
      <c r="AY18" s="139"/>
      <c r="AZ18" s="139"/>
      <c r="BA18" s="139"/>
      <c r="BB18" s="139"/>
      <c r="BC18" s="139"/>
      <c r="BD18" s="139"/>
      <c r="BE18" s="139"/>
      <c r="BF18" s="139"/>
      <c r="BG18" s="139"/>
      <c r="BH18" s="139"/>
      <c r="BI18" s="139"/>
      <c r="BJ18" s="139"/>
      <c r="BK18" s="139"/>
      <c r="BL18" s="139"/>
      <c r="BM18" s="139"/>
      <c r="BN18" s="139"/>
      <c r="BO18" s="139"/>
      <c r="BP18" s="139"/>
      <c r="BQ18" s="139"/>
      <c r="BR18" s="139"/>
      <c r="BS18" s="139"/>
      <c r="BT18" s="139"/>
      <c r="BU18" s="139"/>
      <c r="BV18" s="139"/>
      <c r="BW18" s="139"/>
      <c r="BX18" s="139"/>
      <c r="BY18" s="139"/>
      <c r="BZ18" s="139"/>
      <c r="CA18" s="139"/>
      <c r="CB18" s="139"/>
      <c r="CC18" s="139"/>
      <c r="CD18" s="139"/>
      <c r="CE18" s="139"/>
      <c r="CF18" s="139"/>
      <c r="CG18" s="139"/>
      <c r="CH18" s="139"/>
      <c r="CI18" s="139"/>
      <c r="CJ18" s="139"/>
      <c r="CK18" s="139"/>
      <c r="CL18" s="139"/>
      <c r="CM18" s="139"/>
      <c r="CN18" s="139"/>
      <c r="CO18" s="139"/>
      <c r="CP18" s="139"/>
      <c r="CQ18" s="139"/>
      <c r="CR18" s="139"/>
      <c r="CS18" s="139"/>
    </row>
    <row r="19" spans="1:97" s="140" customFormat="1" ht="15.75" customHeight="1">
      <c r="A19" s="138"/>
      <c r="B19" s="138"/>
      <c r="C19" s="190"/>
      <c r="D19" s="314">
        <v>1.1000000000000001</v>
      </c>
      <c r="E19" s="566" t="s">
        <v>408</v>
      </c>
      <c r="F19" s="487">
        <v>0.2</v>
      </c>
      <c r="G19" s="597">
        <v>30739773</v>
      </c>
      <c r="H19" s="139"/>
      <c r="I19" s="139"/>
      <c r="J19" s="139"/>
      <c r="K19" s="139"/>
      <c r="L19" s="139"/>
      <c r="M19" s="139"/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39"/>
      <c r="Z19" s="139"/>
      <c r="AA19" s="139"/>
      <c r="AB19" s="139"/>
      <c r="AC19" s="139"/>
      <c r="AD19" s="139"/>
      <c r="AE19" s="139"/>
      <c r="AF19" s="139"/>
      <c r="AG19" s="139"/>
      <c r="AH19" s="139"/>
      <c r="AI19" s="139"/>
      <c r="AJ19" s="139"/>
      <c r="AK19" s="139"/>
      <c r="AL19" s="139"/>
      <c r="AM19" s="139"/>
      <c r="AN19" s="139"/>
      <c r="AO19" s="139"/>
      <c r="AP19" s="139"/>
      <c r="AQ19" s="139"/>
      <c r="AR19" s="139"/>
      <c r="AS19" s="139"/>
      <c r="AT19" s="139"/>
      <c r="AU19" s="139"/>
      <c r="AV19" s="139"/>
      <c r="AW19" s="139"/>
      <c r="AX19" s="139"/>
      <c r="AY19" s="139"/>
      <c r="AZ19" s="139"/>
      <c r="BA19" s="139"/>
      <c r="BB19" s="139"/>
      <c r="BC19" s="139"/>
      <c r="BD19" s="139"/>
      <c r="BE19" s="139"/>
      <c r="BF19" s="139"/>
      <c r="BG19" s="139"/>
      <c r="BH19" s="139"/>
      <c r="BI19" s="139"/>
      <c r="BJ19" s="139"/>
      <c r="BK19" s="139"/>
      <c r="BL19" s="139"/>
      <c r="BM19" s="139"/>
      <c r="BN19" s="139"/>
      <c r="BO19" s="139"/>
      <c r="BP19" s="139"/>
      <c r="BQ19" s="139"/>
      <c r="BR19" s="139"/>
      <c r="BS19" s="139"/>
      <c r="BT19" s="139"/>
      <c r="BU19" s="139"/>
      <c r="BV19" s="139"/>
      <c r="BW19" s="139"/>
      <c r="BX19" s="139"/>
      <c r="BY19" s="139"/>
      <c r="BZ19" s="139"/>
      <c r="CA19" s="139"/>
      <c r="CB19" s="139"/>
      <c r="CC19" s="139"/>
      <c r="CD19" s="139"/>
      <c r="CE19" s="139"/>
      <c r="CF19" s="139"/>
      <c r="CG19" s="139"/>
      <c r="CH19" s="139"/>
      <c r="CI19" s="139"/>
      <c r="CJ19" s="139"/>
      <c r="CK19" s="139"/>
      <c r="CL19" s="139"/>
      <c r="CM19" s="139"/>
      <c r="CN19" s="139"/>
      <c r="CO19" s="139"/>
      <c r="CP19" s="139"/>
      <c r="CQ19" s="139"/>
      <c r="CR19" s="139"/>
      <c r="CS19" s="139"/>
    </row>
    <row r="20" spans="1:97" s="140" customFormat="1" ht="15.75" customHeight="1">
      <c r="A20" s="138"/>
      <c r="B20" s="138"/>
      <c r="C20" s="190"/>
      <c r="D20" s="314">
        <v>1.2</v>
      </c>
      <c r="E20" s="594" t="s">
        <v>409</v>
      </c>
      <c r="F20" s="595">
        <v>0.6</v>
      </c>
      <c r="G20" s="597">
        <v>12976091</v>
      </c>
      <c r="H20" s="139"/>
      <c r="I20" s="139"/>
      <c r="J20" s="139"/>
      <c r="K20" s="139"/>
      <c r="L20" s="139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39"/>
      <c r="Z20" s="139"/>
      <c r="AA20" s="139"/>
      <c r="AB20" s="139"/>
      <c r="AC20" s="139"/>
      <c r="AD20" s="139"/>
      <c r="AE20" s="139"/>
      <c r="AF20" s="139"/>
      <c r="AG20" s="139"/>
      <c r="AH20" s="139"/>
      <c r="AI20" s="139"/>
      <c r="AJ20" s="139"/>
      <c r="AK20" s="139"/>
      <c r="AL20" s="139"/>
      <c r="AM20" s="139"/>
      <c r="AN20" s="139"/>
      <c r="AO20" s="139"/>
      <c r="AP20" s="139"/>
      <c r="AQ20" s="139"/>
      <c r="AR20" s="139"/>
      <c r="AS20" s="139"/>
      <c r="AT20" s="139"/>
      <c r="AU20" s="139"/>
      <c r="AV20" s="139"/>
      <c r="AW20" s="139"/>
      <c r="AX20" s="139"/>
      <c r="AY20" s="139"/>
      <c r="AZ20" s="139"/>
      <c r="BA20" s="139"/>
      <c r="BB20" s="139"/>
      <c r="BC20" s="139"/>
      <c r="BD20" s="139"/>
      <c r="BE20" s="139"/>
      <c r="BF20" s="139"/>
      <c r="BG20" s="139"/>
      <c r="BH20" s="139"/>
      <c r="BI20" s="139"/>
      <c r="BJ20" s="139"/>
      <c r="BK20" s="139"/>
      <c r="BL20" s="139"/>
      <c r="BM20" s="139"/>
      <c r="BN20" s="139"/>
      <c r="BO20" s="139"/>
      <c r="BP20" s="139"/>
      <c r="BQ20" s="139"/>
      <c r="BR20" s="139"/>
      <c r="BS20" s="139"/>
      <c r="BT20" s="139"/>
      <c r="BU20" s="139"/>
      <c r="BV20" s="139"/>
      <c r="BW20" s="139"/>
      <c r="BX20" s="139"/>
      <c r="BY20" s="139"/>
      <c r="BZ20" s="139"/>
      <c r="CA20" s="139"/>
      <c r="CB20" s="139"/>
      <c r="CC20" s="139"/>
      <c r="CD20" s="139"/>
      <c r="CE20" s="139"/>
      <c r="CF20" s="139"/>
      <c r="CG20" s="139"/>
      <c r="CH20" s="139"/>
      <c r="CI20" s="139"/>
      <c r="CJ20" s="139"/>
      <c r="CK20" s="139"/>
      <c r="CL20" s="139"/>
      <c r="CM20" s="139"/>
      <c r="CN20" s="139"/>
      <c r="CO20" s="139"/>
      <c r="CP20" s="139"/>
      <c r="CQ20" s="139"/>
      <c r="CR20" s="139"/>
      <c r="CS20" s="139"/>
    </row>
    <row r="21" spans="1:97" s="140" customFormat="1" ht="15.75" customHeight="1">
      <c r="A21" s="138"/>
      <c r="B21" s="138"/>
      <c r="C21" s="190"/>
      <c r="D21" s="314">
        <v>1.3</v>
      </c>
      <c r="E21" s="566" t="s">
        <v>410</v>
      </c>
      <c r="F21" s="487">
        <v>0.2</v>
      </c>
      <c r="G21" s="597">
        <v>87470491</v>
      </c>
      <c r="H21" s="139"/>
      <c r="I21" s="139"/>
      <c r="J21" s="139"/>
      <c r="K21" s="139"/>
      <c r="L21" s="139"/>
      <c r="M21" s="139"/>
      <c r="N21" s="139"/>
      <c r="O21" s="139"/>
      <c r="P21" s="139"/>
      <c r="Q21" s="139"/>
      <c r="R21" s="139"/>
      <c r="S21" s="139"/>
      <c r="T21" s="139"/>
      <c r="U21" s="139"/>
      <c r="V21" s="139"/>
      <c r="W21" s="139"/>
      <c r="X21" s="139"/>
      <c r="Y21" s="139"/>
      <c r="Z21" s="139"/>
      <c r="AA21" s="139"/>
      <c r="AB21" s="139"/>
      <c r="AC21" s="139"/>
      <c r="AD21" s="139"/>
      <c r="AE21" s="139"/>
      <c r="AF21" s="139"/>
      <c r="AG21" s="139"/>
      <c r="AH21" s="139"/>
      <c r="AI21" s="139"/>
      <c r="AJ21" s="139"/>
      <c r="AK21" s="139"/>
      <c r="AL21" s="139"/>
      <c r="AM21" s="139"/>
      <c r="AN21" s="139"/>
      <c r="AO21" s="139"/>
      <c r="AP21" s="139"/>
      <c r="AQ21" s="139"/>
      <c r="AR21" s="139"/>
      <c r="AS21" s="139"/>
      <c r="AT21" s="139"/>
      <c r="AU21" s="139"/>
      <c r="AV21" s="139"/>
      <c r="AW21" s="139"/>
      <c r="AX21" s="139"/>
      <c r="AY21" s="139"/>
      <c r="AZ21" s="139"/>
      <c r="BA21" s="139"/>
      <c r="BB21" s="139"/>
      <c r="BC21" s="139"/>
      <c r="BD21" s="139"/>
      <c r="BE21" s="139"/>
      <c r="BF21" s="139"/>
      <c r="BG21" s="139"/>
      <c r="BH21" s="139"/>
      <c r="BI21" s="139"/>
      <c r="BJ21" s="139"/>
      <c r="BK21" s="139"/>
      <c r="BL21" s="139"/>
      <c r="BM21" s="139"/>
      <c r="BN21" s="139"/>
      <c r="BO21" s="139"/>
      <c r="BP21" s="139"/>
      <c r="BQ21" s="139"/>
      <c r="BR21" s="139"/>
      <c r="BS21" s="139"/>
      <c r="BT21" s="139"/>
      <c r="BU21" s="139"/>
      <c r="BV21" s="139"/>
      <c r="BW21" s="139"/>
      <c r="BX21" s="139"/>
      <c r="BY21" s="139"/>
      <c r="BZ21" s="139"/>
      <c r="CA21" s="139"/>
      <c r="CB21" s="139"/>
      <c r="CC21" s="139"/>
      <c r="CD21" s="139"/>
      <c r="CE21" s="139"/>
      <c r="CF21" s="139"/>
      <c r="CG21" s="139"/>
      <c r="CH21" s="139"/>
      <c r="CI21" s="139"/>
      <c r="CJ21" s="139"/>
      <c r="CK21" s="139"/>
      <c r="CL21" s="139"/>
      <c r="CM21" s="139"/>
      <c r="CN21" s="139"/>
      <c r="CO21" s="139"/>
      <c r="CP21" s="139"/>
      <c r="CQ21" s="139"/>
      <c r="CR21" s="139"/>
      <c r="CS21" s="139"/>
    </row>
    <row r="22" spans="1:97" s="140" customFormat="1" ht="15.75" customHeight="1">
      <c r="A22" s="138"/>
      <c r="B22" s="138"/>
      <c r="C22" s="190">
        <v>2</v>
      </c>
      <c r="D22" s="314">
        <f>IF(VLOOKUP(C22,PROPONENTES!$B$19:$E$218,2,FALSE)="","",VLOOKUP(C22,PROPONENTES!$B$19:$E$218,2,FALSE))</f>
        <v>2</v>
      </c>
      <c r="E22" s="186" t="str">
        <f>IF(D22="","",IF(D22-INT(D22)&gt;1,"",VLOOKUP(D22,PROPONENTES!$C$19:$D$218,2,FALSE)))</f>
        <v>CONSORCIO MORELIA JPD</v>
      </c>
      <c r="F22" s="487">
        <f>+F23+F24+F25</f>
        <v>0.99999999999999989</v>
      </c>
      <c r="G22" s="187"/>
      <c r="H22" s="139"/>
      <c r="I22" s="139"/>
      <c r="J22" s="139"/>
      <c r="K22" s="139"/>
      <c r="L22" s="139"/>
      <c r="M22" s="139"/>
      <c r="N22" s="139"/>
      <c r="O22" s="139"/>
      <c r="P22" s="139"/>
      <c r="Q22" s="139"/>
      <c r="R22" s="139"/>
      <c r="S22" s="139"/>
      <c r="T22" s="139"/>
      <c r="U22" s="139"/>
      <c r="V22" s="139"/>
      <c r="W22" s="139"/>
      <c r="X22" s="139"/>
      <c r="Y22" s="139"/>
      <c r="Z22" s="139"/>
      <c r="AA22" s="139"/>
      <c r="AB22" s="139"/>
      <c r="AC22" s="139"/>
      <c r="AD22" s="139"/>
      <c r="AE22" s="139"/>
      <c r="AF22" s="139"/>
      <c r="AG22" s="139"/>
      <c r="AH22" s="139"/>
      <c r="AI22" s="139"/>
      <c r="AJ22" s="139"/>
      <c r="AK22" s="139"/>
      <c r="AL22" s="139"/>
      <c r="AM22" s="139"/>
      <c r="AN22" s="139"/>
      <c r="AO22" s="139"/>
      <c r="AP22" s="139"/>
      <c r="AQ22" s="139"/>
      <c r="AR22" s="139"/>
      <c r="AS22" s="139"/>
      <c r="AT22" s="139"/>
      <c r="AU22" s="139"/>
      <c r="AV22" s="139"/>
      <c r="AW22" s="139"/>
      <c r="AX22" s="139"/>
      <c r="AY22" s="139"/>
      <c r="AZ22" s="139"/>
      <c r="BA22" s="139"/>
      <c r="BB22" s="139"/>
      <c r="BC22" s="139"/>
      <c r="BD22" s="139"/>
      <c r="BE22" s="139"/>
      <c r="BF22" s="139"/>
      <c r="BG22" s="139"/>
      <c r="BH22" s="139"/>
      <c r="BI22" s="139"/>
      <c r="BJ22" s="139"/>
      <c r="BK22" s="139"/>
      <c r="BL22" s="139"/>
      <c r="BM22" s="139"/>
      <c r="BN22" s="139"/>
      <c r="BO22" s="139"/>
      <c r="BP22" s="139"/>
      <c r="BQ22" s="139"/>
      <c r="BR22" s="139"/>
      <c r="BS22" s="139"/>
      <c r="BT22" s="139"/>
      <c r="BU22" s="139"/>
      <c r="BV22" s="139"/>
      <c r="BW22" s="139"/>
      <c r="BX22" s="139"/>
      <c r="BY22" s="139"/>
      <c r="BZ22" s="139"/>
      <c r="CA22" s="139"/>
      <c r="CB22" s="139"/>
      <c r="CC22" s="139"/>
      <c r="CD22" s="139"/>
      <c r="CE22" s="139"/>
      <c r="CF22" s="139"/>
      <c r="CG22" s="139"/>
      <c r="CH22" s="139"/>
      <c r="CI22" s="139"/>
      <c r="CJ22" s="139"/>
      <c r="CK22" s="139"/>
      <c r="CL22" s="139"/>
      <c r="CM22" s="139"/>
      <c r="CN22" s="139"/>
      <c r="CO22" s="139"/>
      <c r="CP22" s="139"/>
      <c r="CQ22" s="139"/>
      <c r="CR22" s="139"/>
      <c r="CS22" s="139"/>
    </row>
    <row r="23" spans="1:97" s="140" customFormat="1" ht="15.75" customHeight="1">
      <c r="A23" s="138"/>
      <c r="B23" s="138"/>
      <c r="C23" s="190"/>
      <c r="D23" s="314">
        <v>2.1</v>
      </c>
      <c r="E23" s="186" t="s">
        <v>353</v>
      </c>
      <c r="F23" s="487">
        <v>0.3</v>
      </c>
      <c r="G23" s="597">
        <v>7227602</v>
      </c>
      <c r="H23" s="139"/>
      <c r="I23" s="139"/>
      <c r="J23" s="139"/>
      <c r="K23" s="139"/>
      <c r="L23" s="139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139"/>
      <c r="AE23" s="139"/>
      <c r="AF23" s="139"/>
      <c r="AG23" s="139"/>
      <c r="AH23" s="139"/>
      <c r="AI23" s="139"/>
      <c r="AJ23" s="139"/>
      <c r="AK23" s="139"/>
      <c r="AL23" s="139"/>
      <c r="AM23" s="139"/>
      <c r="AN23" s="139"/>
      <c r="AO23" s="139"/>
      <c r="AP23" s="139"/>
      <c r="AQ23" s="139"/>
      <c r="AR23" s="139"/>
      <c r="AS23" s="139"/>
      <c r="AT23" s="139"/>
      <c r="AU23" s="139"/>
      <c r="AV23" s="139"/>
      <c r="AW23" s="139"/>
      <c r="AX23" s="139"/>
      <c r="AY23" s="139"/>
      <c r="AZ23" s="139"/>
      <c r="BA23" s="139"/>
      <c r="BB23" s="139"/>
      <c r="BC23" s="139"/>
      <c r="BD23" s="139"/>
      <c r="BE23" s="139"/>
      <c r="BF23" s="139"/>
      <c r="BG23" s="139"/>
      <c r="BH23" s="139"/>
      <c r="BI23" s="139"/>
      <c r="BJ23" s="139"/>
      <c r="BK23" s="139"/>
      <c r="BL23" s="139"/>
      <c r="BM23" s="139"/>
      <c r="BN23" s="139"/>
      <c r="BO23" s="139"/>
      <c r="BP23" s="139"/>
      <c r="BQ23" s="139"/>
      <c r="BR23" s="139"/>
      <c r="BS23" s="139"/>
      <c r="BT23" s="139"/>
      <c r="BU23" s="139"/>
      <c r="BV23" s="139"/>
      <c r="BW23" s="139"/>
      <c r="BX23" s="139"/>
      <c r="BY23" s="139"/>
      <c r="BZ23" s="139"/>
      <c r="CA23" s="139"/>
      <c r="CB23" s="139"/>
      <c r="CC23" s="139"/>
      <c r="CD23" s="139"/>
      <c r="CE23" s="139"/>
      <c r="CF23" s="139"/>
      <c r="CG23" s="139"/>
      <c r="CH23" s="139"/>
      <c r="CI23" s="139"/>
      <c r="CJ23" s="139"/>
      <c r="CK23" s="139"/>
      <c r="CL23" s="139"/>
      <c r="CM23" s="139"/>
      <c r="CN23" s="139"/>
      <c r="CO23" s="139"/>
      <c r="CP23" s="139"/>
      <c r="CQ23" s="139"/>
      <c r="CR23" s="139"/>
      <c r="CS23" s="139"/>
    </row>
    <row r="24" spans="1:97" s="140" customFormat="1" ht="15.75" customHeight="1">
      <c r="A24" s="138"/>
      <c r="B24" s="138"/>
      <c r="C24" s="190"/>
      <c r="D24" s="314">
        <v>2.2000000000000002</v>
      </c>
      <c r="E24" s="186" t="s">
        <v>472</v>
      </c>
      <c r="F24" s="487">
        <v>0.6</v>
      </c>
      <c r="G24" s="597">
        <v>5689243</v>
      </c>
      <c r="H24" s="139"/>
      <c r="I24" s="139"/>
      <c r="J24" s="139"/>
      <c r="K24" s="139"/>
      <c r="L24" s="139"/>
      <c r="M24" s="139"/>
      <c r="N24" s="139"/>
      <c r="O24" s="139"/>
      <c r="P24" s="139"/>
      <c r="Q24" s="139"/>
      <c r="R24" s="139"/>
      <c r="S24" s="139"/>
      <c r="T24" s="139"/>
      <c r="U24" s="139"/>
      <c r="V24" s="139"/>
      <c r="W24" s="139"/>
      <c r="X24" s="139"/>
      <c r="Y24" s="139"/>
      <c r="Z24" s="139"/>
      <c r="AA24" s="139"/>
      <c r="AB24" s="139"/>
      <c r="AC24" s="139"/>
      <c r="AD24" s="139"/>
      <c r="AE24" s="139"/>
      <c r="AF24" s="139"/>
      <c r="AG24" s="139"/>
      <c r="AH24" s="139"/>
      <c r="AI24" s="139"/>
      <c r="AJ24" s="139"/>
      <c r="AK24" s="139"/>
      <c r="AL24" s="139"/>
      <c r="AM24" s="139"/>
      <c r="AN24" s="139"/>
      <c r="AO24" s="139"/>
      <c r="AP24" s="139"/>
      <c r="AQ24" s="139"/>
      <c r="AR24" s="139"/>
      <c r="AS24" s="139"/>
      <c r="AT24" s="139"/>
      <c r="AU24" s="139"/>
      <c r="AV24" s="139"/>
      <c r="AW24" s="139"/>
      <c r="AX24" s="139"/>
      <c r="AY24" s="139"/>
      <c r="AZ24" s="139"/>
      <c r="BA24" s="139"/>
      <c r="BB24" s="139"/>
      <c r="BC24" s="139"/>
      <c r="BD24" s="139"/>
      <c r="BE24" s="139"/>
      <c r="BF24" s="139"/>
      <c r="BG24" s="139"/>
      <c r="BH24" s="139"/>
      <c r="BI24" s="139"/>
      <c r="BJ24" s="139"/>
      <c r="BK24" s="139"/>
      <c r="BL24" s="139"/>
      <c r="BM24" s="139"/>
      <c r="BN24" s="139"/>
      <c r="BO24" s="139"/>
      <c r="BP24" s="139"/>
      <c r="BQ24" s="139"/>
      <c r="BR24" s="139"/>
      <c r="BS24" s="139"/>
      <c r="BT24" s="139"/>
      <c r="BU24" s="139"/>
      <c r="BV24" s="139"/>
      <c r="BW24" s="139"/>
      <c r="BX24" s="139"/>
      <c r="BY24" s="139"/>
      <c r="BZ24" s="139"/>
      <c r="CA24" s="139"/>
      <c r="CB24" s="139"/>
      <c r="CC24" s="139"/>
      <c r="CD24" s="139"/>
      <c r="CE24" s="139"/>
      <c r="CF24" s="139"/>
      <c r="CG24" s="139"/>
      <c r="CH24" s="139"/>
      <c r="CI24" s="139"/>
      <c r="CJ24" s="139"/>
      <c r="CK24" s="139"/>
      <c r="CL24" s="139"/>
      <c r="CM24" s="139"/>
      <c r="CN24" s="139"/>
      <c r="CO24" s="139"/>
      <c r="CP24" s="139"/>
      <c r="CQ24" s="139"/>
      <c r="CR24" s="139"/>
      <c r="CS24" s="139"/>
    </row>
    <row r="25" spans="1:97" s="140" customFormat="1" ht="15.75" customHeight="1">
      <c r="A25" s="138"/>
      <c r="B25" s="138"/>
      <c r="C25" s="190"/>
      <c r="D25" s="314">
        <v>2.2999999999999998</v>
      </c>
      <c r="E25" s="186" t="s">
        <v>419</v>
      </c>
      <c r="F25" s="487">
        <v>0.1</v>
      </c>
      <c r="G25" s="597">
        <v>79557205</v>
      </c>
      <c r="H25" s="139"/>
      <c r="I25" s="139"/>
      <c r="J25" s="139"/>
      <c r="K25" s="139"/>
      <c r="L25" s="139"/>
      <c r="M25" s="139"/>
      <c r="N25" s="139"/>
      <c r="O25" s="139"/>
      <c r="P25" s="139"/>
      <c r="Q25" s="139"/>
      <c r="R25" s="139"/>
      <c r="S25" s="139"/>
      <c r="T25" s="139"/>
      <c r="U25" s="139"/>
      <c r="V25" s="139"/>
      <c r="W25" s="139"/>
      <c r="X25" s="139"/>
      <c r="Y25" s="139"/>
      <c r="Z25" s="139"/>
      <c r="AA25" s="139"/>
      <c r="AB25" s="139"/>
      <c r="AC25" s="139"/>
      <c r="AD25" s="139"/>
      <c r="AE25" s="139"/>
      <c r="AF25" s="139"/>
      <c r="AG25" s="139"/>
      <c r="AH25" s="139"/>
      <c r="AI25" s="139"/>
      <c r="AJ25" s="139"/>
      <c r="AK25" s="139"/>
      <c r="AL25" s="139"/>
      <c r="AM25" s="139"/>
      <c r="AN25" s="139"/>
      <c r="AO25" s="139"/>
      <c r="AP25" s="139"/>
      <c r="AQ25" s="139"/>
      <c r="AR25" s="139"/>
      <c r="AS25" s="139"/>
      <c r="AT25" s="139"/>
      <c r="AU25" s="139"/>
      <c r="AV25" s="139"/>
      <c r="AW25" s="139"/>
      <c r="AX25" s="139"/>
      <c r="AY25" s="139"/>
      <c r="AZ25" s="139"/>
      <c r="BA25" s="139"/>
      <c r="BB25" s="139"/>
      <c r="BC25" s="139"/>
      <c r="BD25" s="139"/>
      <c r="BE25" s="139"/>
      <c r="BF25" s="139"/>
      <c r="BG25" s="139"/>
      <c r="BH25" s="139"/>
      <c r="BI25" s="139"/>
      <c r="BJ25" s="139"/>
      <c r="BK25" s="139"/>
      <c r="BL25" s="139"/>
      <c r="BM25" s="139"/>
      <c r="BN25" s="139"/>
      <c r="BO25" s="139"/>
      <c r="BP25" s="139"/>
      <c r="BQ25" s="139"/>
      <c r="BR25" s="139"/>
      <c r="BS25" s="139"/>
      <c r="BT25" s="139"/>
      <c r="BU25" s="139"/>
      <c r="BV25" s="139"/>
      <c r="BW25" s="139"/>
      <c r="BX25" s="139"/>
      <c r="BY25" s="139"/>
      <c r="BZ25" s="139"/>
      <c r="CA25" s="139"/>
      <c r="CB25" s="139"/>
      <c r="CC25" s="139"/>
      <c r="CD25" s="139"/>
      <c r="CE25" s="139"/>
      <c r="CF25" s="139"/>
      <c r="CG25" s="139"/>
      <c r="CH25" s="139"/>
      <c r="CI25" s="139"/>
      <c r="CJ25" s="139"/>
      <c r="CK25" s="139"/>
      <c r="CL25" s="139"/>
      <c r="CM25" s="139"/>
      <c r="CN25" s="139"/>
      <c r="CO25" s="139"/>
      <c r="CP25" s="139"/>
      <c r="CQ25" s="139"/>
      <c r="CR25" s="139"/>
      <c r="CS25" s="139"/>
    </row>
    <row r="26" spans="1:97" s="140" customFormat="1" ht="15.75" customHeight="1">
      <c r="A26" s="138"/>
      <c r="B26" s="138"/>
      <c r="C26" s="190">
        <v>3</v>
      </c>
      <c r="D26" s="314">
        <f>IF(VLOOKUP(C26,PROPONENTES!$B$19:$E$218,2,FALSE)="","",VLOOKUP(C26,PROPONENTES!$B$19:$E$218,2,FALSE))</f>
        <v>3</v>
      </c>
      <c r="E26" s="186" t="str">
        <f>IF(D26="","",IF(D26-INT(D26)&gt;1,"",VLOOKUP(D26,PROPONENTES!$C$19:$D$218,2,FALSE)))</f>
        <v>UCING LTDA</v>
      </c>
      <c r="F26" s="487">
        <v>1</v>
      </c>
      <c r="G26" s="597" t="s">
        <v>420</v>
      </c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  <c r="AE26" s="139"/>
      <c r="AF26" s="139"/>
      <c r="AG26" s="139"/>
      <c r="AH26" s="139"/>
      <c r="AI26" s="139"/>
      <c r="AJ26" s="139"/>
      <c r="AK26" s="139"/>
      <c r="AL26" s="139"/>
      <c r="AM26" s="139"/>
      <c r="AN26" s="139"/>
      <c r="AO26" s="139"/>
      <c r="AP26" s="139"/>
      <c r="AQ26" s="139"/>
      <c r="AR26" s="139"/>
      <c r="AS26" s="139"/>
      <c r="AT26" s="139"/>
      <c r="AU26" s="139"/>
      <c r="AV26" s="139"/>
      <c r="AW26" s="139"/>
      <c r="AX26" s="139"/>
      <c r="AY26" s="139"/>
      <c r="AZ26" s="139"/>
      <c r="BA26" s="139"/>
      <c r="BB26" s="139"/>
      <c r="BC26" s="139"/>
      <c r="BD26" s="139"/>
      <c r="BE26" s="139"/>
      <c r="BF26" s="139"/>
      <c r="BG26" s="139"/>
      <c r="BH26" s="139"/>
      <c r="BI26" s="139"/>
      <c r="BJ26" s="139"/>
      <c r="BK26" s="139"/>
      <c r="BL26" s="139"/>
      <c r="BM26" s="139"/>
      <c r="BN26" s="139"/>
      <c r="BO26" s="139"/>
      <c r="BP26" s="139"/>
      <c r="BQ26" s="139"/>
      <c r="BR26" s="139"/>
      <c r="BS26" s="139"/>
      <c r="BT26" s="139"/>
      <c r="BU26" s="139"/>
      <c r="BV26" s="139"/>
      <c r="BW26" s="139"/>
      <c r="BX26" s="139"/>
      <c r="BY26" s="139"/>
      <c r="BZ26" s="139"/>
      <c r="CA26" s="139"/>
      <c r="CB26" s="139"/>
      <c r="CC26" s="139"/>
      <c r="CD26" s="139"/>
      <c r="CE26" s="139"/>
      <c r="CF26" s="139"/>
      <c r="CG26" s="139"/>
      <c r="CH26" s="139"/>
      <c r="CI26" s="139"/>
      <c r="CJ26" s="139"/>
      <c r="CK26" s="139"/>
      <c r="CL26" s="139"/>
      <c r="CM26" s="139"/>
      <c r="CN26" s="139"/>
      <c r="CO26" s="139"/>
      <c r="CP26" s="139"/>
      <c r="CQ26" s="139"/>
      <c r="CR26" s="139"/>
      <c r="CS26" s="139"/>
    </row>
    <row r="27" spans="1:97" s="140" customFormat="1" ht="15.75" customHeight="1">
      <c r="A27" s="138"/>
      <c r="B27" s="138"/>
      <c r="C27" s="190">
        <v>4</v>
      </c>
      <c r="D27" s="593">
        <f>IF(VLOOKUP(C27,PROPONENTES!$B$19:$E$218,2,FALSE)="","",VLOOKUP(C27,PROPONENTES!$B$19:$E$218,2,FALSE))</f>
        <v>4</v>
      </c>
      <c r="E27" s="599" t="str">
        <f>IF(D27="","",IF(D27-INT(D27)&gt;1,"",VLOOKUP(D27,PROPONENTES!$C$19:$D$218,2,FALSE)))</f>
        <v>SOTA</v>
      </c>
      <c r="F27" s="595">
        <v>1</v>
      </c>
      <c r="G27" s="596" t="s">
        <v>421</v>
      </c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39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  <c r="AF27" s="139"/>
      <c r="AG27" s="139"/>
      <c r="AH27" s="139"/>
      <c r="AI27" s="139"/>
      <c r="AJ27" s="139"/>
      <c r="AK27" s="139"/>
      <c r="AL27" s="139"/>
      <c r="AM27" s="139"/>
      <c r="AN27" s="139"/>
      <c r="AO27" s="139"/>
      <c r="AP27" s="139"/>
      <c r="AQ27" s="139"/>
      <c r="AR27" s="139"/>
      <c r="AS27" s="139"/>
      <c r="AT27" s="139"/>
      <c r="AU27" s="139"/>
      <c r="AV27" s="139"/>
      <c r="AW27" s="139"/>
      <c r="AX27" s="139"/>
      <c r="AY27" s="139"/>
      <c r="AZ27" s="139"/>
      <c r="BA27" s="139"/>
      <c r="BB27" s="139"/>
      <c r="BC27" s="139"/>
      <c r="BD27" s="139"/>
      <c r="BE27" s="139"/>
      <c r="BF27" s="139"/>
      <c r="BG27" s="139"/>
      <c r="BH27" s="139"/>
      <c r="BI27" s="139"/>
      <c r="BJ27" s="139"/>
      <c r="BK27" s="139"/>
      <c r="BL27" s="139"/>
      <c r="BM27" s="139"/>
      <c r="BN27" s="139"/>
      <c r="BO27" s="139"/>
      <c r="BP27" s="139"/>
      <c r="BQ27" s="139"/>
      <c r="BR27" s="139"/>
      <c r="BS27" s="139"/>
      <c r="BT27" s="139"/>
      <c r="BU27" s="139"/>
      <c r="BV27" s="139"/>
      <c r="BW27" s="139"/>
      <c r="BX27" s="139"/>
      <c r="BY27" s="139"/>
      <c r="BZ27" s="139"/>
      <c r="CA27" s="139"/>
      <c r="CB27" s="139"/>
      <c r="CC27" s="139"/>
      <c r="CD27" s="139"/>
      <c r="CE27" s="139"/>
      <c r="CF27" s="139"/>
      <c r="CG27" s="139"/>
      <c r="CH27" s="139"/>
      <c r="CI27" s="139"/>
      <c r="CJ27" s="139"/>
      <c r="CK27" s="139"/>
      <c r="CL27" s="139"/>
      <c r="CM27" s="139"/>
      <c r="CN27" s="139"/>
      <c r="CO27" s="139"/>
      <c r="CP27" s="139"/>
      <c r="CQ27" s="139"/>
      <c r="CR27" s="139"/>
      <c r="CS27" s="139"/>
    </row>
    <row r="28" spans="1:97" s="140" customFormat="1" ht="15.75" customHeight="1">
      <c r="A28" s="138"/>
      <c r="B28" s="138"/>
      <c r="C28" s="190">
        <v>5</v>
      </c>
      <c r="D28" s="314"/>
      <c r="E28" s="186"/>
      <c r="F28" s="487"/>
      <c r="G28" s="187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39"/>
      <c r="T28" s="139"/>
      <c r="U28" s="139"/>
      <c r="V28" s="139"/>
      <c r="W28" s="139"/>
      <c r="X28" s="139"/>
      <c r="Y28" s="139"/>
      <c r="Z28" s="139"/>
      <c r="AA28" s="139"/>
      <c r="AB28" s="139"/>
      <c r="AC28" s="139"/>
      <c r="AD28" s="139"/>
      <c r="AE28" s="139"/>
      <c r="AF28" s="139"/>
      <c r="AG28" s="139"/>
      <c r="AH28" s="139"/>
      <c r="AI28" s="139"/>
      <c r="AJ28" s="139"/>
      <c r="AK28" s="139"/>
      <c r="AL28" s="139"/>
      <c r="AM28" s="139"/>
      <c r="AN28" s="139"/>
      <c r="AO28" s="139"/>
      <c r="AP28" s="139"/>
      <c r="AQ28" s="139"/>
      <c r="AR28" s="139"/>
      <c r="AS28" s="139"/>
      <c r="AT28" s="139"/>
      <c r="AU28" s="139"/>
      <c r="AV28" s="139"/>
      <c r="AW28" s="139"/>
      <c r="AX28" s="139"/>
      <c r="AY28" s="139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</row>
    <row r="29" spans="1:97" s="140" customFormat="1" ht="15.75" customHeight="1">
      <c r="A29" s="138"/>
      <c r="B29" s="138"/>
      <c r="C29" s="190">
        <v>6</v>
      </c>
      <c r="D29" s="314"/>
      <c r="E29" s="186"/>
      <c r="F29" s="487"/>
      <c r="G29" s="187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39"/>
      <c r="T29" s="139"/>
      <c r="U29" s="139"/>
      <c r="V29" s="139"/>
      <c r="W29" s="139"/>
      <c r="X29" s="139"/>
      <c r="Y29" s="139"/>
      <c r="Z29" s="139"/>
      <c r="AA29" s="139"/>
      <c r="AB29" s="139"/>
      <c r="AC29" s="139"/>
      <c r="AD29" s="139"/>
      <c r="AE29" s="139"/>
      <c r="AF29" s="139"/>
      <c r="AG29" s="139"/>
      <c r="AH29" s="139"/>
      <c r="AI29" s="139"/>
      <c r="AJ29" s="139"/>
      <c r="AK29" s="139"/>
      <c r="AL29" s="139"/>
      <c r="AM29" s="139"/>
      <c r="AN29" s="139"/>
      <c r="AO29" s="139"/>
      <c r="AP29" s="139"/>
      <c r="AQ29" s="139"/>
      <c r="AR29" s="139"/>
      <c r="AS29" s="139"/>
      <c r="AT29" s="139"/>
      <c r="AU29" s="139"/>
      <c r="AV29" s="139"/>
      <c r="AW29" s="139"/>
      <c r="AX29" s="139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139"/>
      <c r="BL29" s="139"/>
      <c r="BM29" s="139"/>
      <c r="BN29" s="139"/>
      <c r="BO29" s="139"/>
      <c r="BP29" s="139"/>
      <c r="BQ29" s="139"/>
      <c r="BR29" s="139"/>
      <c r="BS29" s="139"/>
      <c r="BT29" s="139"/>
      <c r="BU29" s="139"/>
      <c r="BV29" s="139"/>
      <c r="BW29" s="139"/>
      <c r="BX29" s="139"/>
      <c r="BY29" s="139"/>
      <c r="BZ29" s="139"/>
      <c r="CA29" s="139"/>
      <c r="CB29" s="139"/>
      <c r="CC29" s="139"/>
      <c r="CD29" s="139"/>
      <c r="CE29" s="139"/>
      <c r="CF29" s="139"/>
      <c r="CG29" s="139"/>
      <c r="CH29" s="139"/>
      <c r="CI29" s="139"/>
      <c r="CJ29" s="139"/>
      <c r="CK29" s="139"/>
      <c r="CL29" s="139"/>
      <c r="CM29" s="139"/>
      <c r="CN29" s="139"/>
      <c r="CO29" s="139"/>
      <c r="CP29" s="139"/>
      <c r="CQ29" s="139"/>
      <c r="CR29" s="139"/>
      <c r="CS29" s="139"/>
    </row>
    <row r="30" spans="1:97" s="140" customFormat="1" ht="15.75" customHeight="1">
      <c r="A30" s="138"/>
      <c r="B30" s="138"/>
      <c r="C30" s="190"/>
      <c r="D30" s="314"/>
      <c r="E30" s="186"/>
      <c r="F30" s="487"/>
      <c r="G30" s="187"/>
      <c r="H30" s="139"/>
      <c r="I30" s="139"/>
      <c r="J30" s="139"/>
      <c r="K30" s="139"/>
      <c r="L30" s="139"/>
      <c r="M30" s="139"/>
      <c r="N30" s="139"/>
      <c r="O30" s="139"/>
      <c r="P30" s="139"/>
      <c r="Q30" s="139"/>
      <c r="R30" s="139"/>
      <c r="S30" s="139"/>
      <c r="T30" s="139"/>
      <c r="U30" s="139"/>
      <c r="V30" s="139"/>
      <c r="W30" s="139"/>
      <c r="X30" s="139"/>
      <c r="Y30" s="139"/>
      <c r="Z30" s="139"/>
      <c r="AA30" s="139"/>
      <c r="AB30" s="139"/>
      <c r="AC30" s="139"/>
      <c r="AD30" s="139"/>
      <c r="AE30" s="139"/>
      <c r="AF30" s="139"/>
      <c r="AG30" s="139"/>
      <c r="AH30" s="139"/>
      <c r="AI30" s="139"/>
      <c r="AJ30" s="139"/>
      <c r="AK30" s="139"/>
      <c r="AL30" s="139"/>
      <c r="AM30" s="139"/>
      <c r="AN30" s="139"/>
      <c r="AO30" s="139"/>
      <c r="AP30" s="139"/>
      <c r="AQ30" s="139"/>
      <c r="AR30" s="139"/>
      <c r="AS30" s="139"/>
      <c r="AT30" s="139"/>
      <c r="AU30" s="139"/>
      <c r="AV30" s="139"/>
      <c r="AW30" s="139"/>
      <c r="AX30" s="139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139"/>
      <c r="BL30" s="139"/>
      <c r="BM30" s="139"/>
      <c r="BN30" s="139"/>
      <c r="BO30" s="139"/>
      <c r="BP30" s="139"/>
      <c r="BQ30" s="139"/>
      <c r="BR30" s="139"/>
      <c r="BS30" s="139"/>
      <c r="BT30" s="139"/>
      <c r="BU30" s="139"/>
      <c r="BV30" s="139"/>
      <c r="BW30" s="139"/>
      <c r="BX30" s="139"/>
      <c r="BY30" s="139"/>
      <c r="BZ30" s="139"/>
      <c r="CA30" s="139"/>
      <c r="CB30" s="139"/>
      <c r="CC30" s="139"/>
      <c r="CD30" s="139"/>
      <c r="CE30" s="139"/>
      <c r="CF30" s="139"/>
      <c r="CG30" s="139"/>
      <c r="CH30" s="139"/>
      <c r="CI30" s="139"/>
      <c r="CJ30" s="139"/>
      <c r="CK30" s="139"/>
      <c r="CL30" s="139"/>
      <c r="CM30" s="139"/>
      <c r="CN30" s="139"/>
      <c r="CO30" s="139"/>
      <c r="CP30" s="139"/>
      <c r="CQ30" s="139"/>
      <c r="CR30" s="139"/>
      <c r="CS30" s="139"/>
    </row>
    <row r="31" spans="1:97" s="140" customFormat="1" ht="15.75" customHeight="1">
      <c r="A31" s="138"/>
      <c r="B31" s="138"/>
      <c r="C31" s="190"/>
      <c r="D31" s="314"/>
      <c r="E31" s="186"/>
      <c r="F31" s="487"/>
      <c r="G31" s="187"/>
      <c r="H31" s="139"/>
      <c r="I31" s="139"/>
      <c r="J31" s="139"/>
      <c r="K31" s="139"/>
      <c r="L31" s="139"/>
      <c r="M31" s="139"/>
      <c r="N31" s="139"/>
      <c r="O31" s="139"/>
      <c r="P31" s="139"/>
      <c r="Q31" s="139"/>
      <c r="R31" s="139"/>
      <c r="S31" s="139"/>
      <c r="T31" s="139"/>
      <c r="U31" s="139"/>
      <c r="V31" s="139"/>
      <c r="W31" s="139"/>
      <c r="X31" s="139"/>
      <c r="Y31" s="139"/>
      <c r="Z31" s="139"/>
      <c r="AA31" s="139"/>
      <c r="AB31" s="139"/>
      <c r="AC31" s="139"/>
      <c r="AD31" s="139"/>
      <c r="AE31" s="139"/>
      <c r="AF31" s="139"/>
      <c r="AG31" s="139"/>
      <c r="AH31" s="139"/>
      <c r="AI31" s="139"/>
      <c r="AJ31" s="139"/>
      <c r="AK31" s="139"/>
      <c r="AL31" s="139"/>
      <c r="AM31" s="139"/>
      <c r="AN31" s="139"/>
      <c r="AO31" s="139"/>
      <c r="AP31" s="139"/>
      <c r="AQ31" s="139"/>
      <c r="AR31" s="139"/>
      <c r="AS31" s="139"/>
      <c r="AT31" s="139"/>
      <c r="AU31" s="139"/>
      <c r="AV31" s="139"/>
      <c r="AW31" s="139"/>
      <c r="AX31" s="139"/>
      <c r="AY31" s="139"/>
      <c r="AZ31" s="139"/>
      <c r="BA31" s="139"/>
      <c r="BB31" s="139"/>
      <c r="BC31" s="139"/>
      <c r="BD31" s="139"/>
      <c r="BE31" s="139"/>
      <c r="BF31" s="139"/>
      <c r="BG31" s="139"/>
      <c r="BH31" s="139"/>
      <c r="BI31" s="139"/>
      <c r="BJ31" s="139"/>
      <c r="BK31" s="139"/>
      <c r="BL31" s="139"/>
      <c r="BM31" s="139"/>
      <c r="BN31" s="139"/>
      <c r="BO31" s="139"/>
      <c r="BP31" s="139"/>
      <c r="BQ31" s="139"/>
      <c r="BR31" s="139"/>
      <c r="BS31" s="139"/>
      <c r="BT31" s="139"/>
      <c r="BU31" s="139"/>
      <c r="BV31" s="139"/>
      <c r="BW31" s="139"/>
      <c r="BX31" s="139"/>
      <c r="BY31" s="139"/>
      <c r="BZ31" s="139"/>
      <c r="CA31" s="139"/>
      <c r="CB31" s="139"/>
      <c r="CC31" s="139"/>
      <c r="CD31" s="139"/>
      <c r="CE31" s="139"/>
      <c r="CF31" s="139"/>
      <c r="CG31" s="139"/>
      <c r="CH31" s="139"/>
      <c r="CI31" s="139"/>
      <c r="CJ31" s="139"/>
      <c r="CK31" s="139"/>
      <c r="CL31" s="139"/>
      <c r="CM31" s="139"/>
      <c r="CN31" s="139"/>
      <c r="CO31" s="139"/>
      <c r="CP31" s="139"/>
      <c r="CQ31" s="139"/>
      <c r="CR31" s="139"/>
      <c r="CS31" s="139"/>
    </row>
    <row r="32" spans="1:97" s="140" customFormat="1" ht="15.75" customHeight="1">
      <c r="A32" s="138"/>
      <c r="B32" s="138"/>
      <c r="C32" s="190">
        <v>7</v>
      </c>
      <c r="D32" s="314"/>
      <c r="E32" s="186"/>
      <c r="F32" s="487"/>
      <c r="G32" s="187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39"/>
      <c r="X32" s="139"/>
      <c r="Y32" s="139"/>
      <c r="Z32" s="139"/>
      <c r="AA32" s="139"/>
      <c r="AB32" s="139"/>
      <c r="AC32" s="139"/>
      <c r="AD32" s="139"/>
      <c r="AE32" s="139"/>
      <c r="AF32" s="139"/>
      <c r="AG32" s="139"/>
      <c r="AH32" s="139"/>
      <c r="AI32" s="139"/>
      <c r="AJ32" s="139"/>
      <c r="AK32" s="139"/>
      <c r="AL32" s="139"/>
      <c r="AM32" s="139"/>
      <c r="AN32" s="139"/>
      <c r="AO32" s="139"/>
      <c r="AP32" s="139"/>
      <c r="AQ32" s="139"/>
      <c r="AR32" s="139"/>
      <c r="AS32" s="139"/>
      <c r="AT32" s="139"/>
      <c r="AU32" s="139"/>
      <c r="AV32" s="139"/>
      <c r="AW32" s="139"/>
      <c r="AX32" s="139"/>
      <c r="AY32" s="139"/>
      <c r="AZ32" s="139"/>
      <c r="BA32" s="139"/>
      <c r="BB32" s="139"/>
      <c r="BC32" s="139"/>
      <c r="BD32" s="139"/>
      <c r="BE32" s="139"/>
      <c r="BF32" s="139"/>
      <c r="BG32" s="139"/>
      <c r="BH32" s="139"/>
      <c r="BI32" s="139"/>
      <c r="BJ32" s="139"/>
      <c r="BK32" s="139"/>
      <c r="BL32" s="139"/>
      <c r="BM32" s="139"/>
      <c r="BN32" s="139"/>
      <c r="BO32" s="139"/>
      <c r="BP32" s="139"/>
      <c r="BQ32" s="139"/>
      <c r="BR32" s="139"/>
      <c r="BS32" s="139"/>
      <c r="BT32" s="139"/>
      <c r="BU32" s="139"/>
      <c r="BV32" s="139"/>
      <c r="BW32" s="139"/>
      <c r="BX32" s="139"/>
      <c r="BY32" s="139"/>
      <c r="BZ32" s="139"/>
      <c r="CA32" s="139"/>
      <c r="CB32" s="139"/>
      <c r="CC32" s="139"/>
      <c r="CD32" s="139"/>
      <c r="CE32" s="139"/>
      <c r="CF32" s="139"/>
      <c r="CG32" s="139"/>
      <c r="CH32" s="139"/>
      <c r="CI32" s="139"/>
      <c r="CJ32" s="139"/>
      <c r="CK32" s="139"/>
      <c r="CL32" s="139"/>
      <c r="CM32" s="139"/>
      <c r="CN32" s="139"/>
      <c r="CO32" s="139"/>
      <c r="CP32" s="139"/>
      <c r="CQ32" s="139"/>
      <c r="CR32" s="139"/>
      <c r="CS32" s="139"/>
    </row>
    <row r="33" spans="1:97" s="140" customFormat="1" ht="15.75" customHeight="1">
      <c r="A33" s="138"/>
      <c r="B33" s="138"/>
      <c r="C33" s="190"/>
      <c r="D33" s="314"/>
      <c r="E33" s="186"/>
      <c r="F33" s="487"/>
      <c r="G33" s="187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/>
      <c r="AC33" s="139"/>
      <c r="AD33" s="139"/>
      <c r="AE33" s="139"/>
      <c r="AF33" s="139"/>
      <c r="AG33" s="139"/>
      <c r="AH33" s="139"/>
      <c r="AI33" s="139"/>
      <c r="AJ33" s="139"/>
      <c r="AK33" s="139"/>
      <c r="AL33" s="139"/>
      <c r="AM33" s="139"/>
      <c r="AN33" s="139"/>
      <c r="AO33" s="139"/>
      <c r="AP33" s="139"/>
      <c r="AQ33" s="139"/>
      <c r="AR33" s="139"/>
      <c r="AS33" s="139"/>
      <c r="AT33" s="139"/>
      <c r="AU33" s="139"/>
      <c r="AV33" s="139"/>
      <c r="AW33" s="139"/>
      <c r="AX33" s="139"/>
      <c r="AY33" s="139"/>
      <c r="AZ33" s="139"/>
      <c r="BA33" s="139"/>
      <c r="BB33" s="139"/>
      <c r="BC33" s="139"/>
      <c r="BD33" s="139"/>
      <c r="BE33" s="139"/>
      <c r="BF33" s="139"/>
      <c r="BG33" s="139"/>
      <c r="BH33" s="139"/>
      <c r="BI33" s="139"/>
      <c r="BJ33" s="139"/>
      <c r="BK33" s="139"/>
      <c r="BL33" s="139"/>
      <c r="BM33" s="139"/>
      <c r="BN33" s="139"/>
      <c r="BO33" s="139"/>
      <c r="BP33" s="139"/>
      <c r="BQ33" s="139"/>
      <c r="BR33" s="139"/>
      <c r="BS33" s="139"/>
      <c r="BT33" s="139"/>
      <c r="BU33" s="139"/>
      <c r="BV33" s="139"/>
      <c r="BW33" s="139"/>
      <c r="BX33" s="139"/>
      <c r="BY33" s="139"/>
      <c r="BZ33" s="139"/>
      <c r="CA33" s="139"/>
      <c r="CB33" s="139"/>
      <c r="CC33" s="139"/>
      <c r="CD33" s="139"/>
      <c r="CE33" s="139"/>
      <c r="CF33" s="139"/>
      <c r="CG33" s="139"/>
      <c r="CH33" s="139"/>
      <c r="CI33" s="139"/>
      <c r="CJ33" s="139"/>
      <c r="CK33" s="139"/>
      <c r="CL33" s="139"/>
      <c r="CM33" s="139"/>
      <c r="CN33" s="139"/>
      <c r="CO33" s="139"/>
      <c r="CP33" s="139"/>
      <c r="CQ33" s="139"/>
      <c r="CR33" s="139"/>
      <c r="CS33" s="139"/>
    </row>
    <row r="34" spans="1:97" s="140" customFormat="1" ht="15.75" customHeight="1">
      <c r="A34" s="138"/>
      <c r="B34" s="138"/>
      <c r="C34" s="190"/>
      <c r="D34" s="314"/>
      <c r="E34" s="186"/>
      <c r="F34" s="487"/>
      <c r="G34" s="187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39"/>
      <c r="AF34" s="139"/>
      <c r="AG34" s="139"/>
      <c r="AH34" s="139"/>
      <c r="AI34" s="139"/>
      <c r="AJ34" s="139"/>
      <c r="AK34" s="139"/>
      <c r="AL34" s="139"/>
      <c r="AM34" s="139"/>
      <c r="AN34" s="139"/>
      <c r="AO34" s="139"/>
      <c r="AP34" s="139"/>
      <c r="AQ34" s="139"/>
      <c r="AR34" s="139"/>
      <c r="AS34" s="139"/>
      <c r="AT34" s="139"/>
      <c r="AU34" s="139"/>
      <c r="AV34" s="139"/>
      <c r="AW34" s="139"/>
      <c r="AX34" s="139"/>
      <c r="AY34" s="139"/>
      <c r="AZ34" s="139"/>
      <c r="BA34" s="139"/>
      <c r="BB34" s="139"/>
      <c r="BC34" s="139"/>
      <c r="BD34" s="139"/>
      <c r="BE34" s="139"/>
      <c r="BF34" s="139"/>
      <c r="BG34" s="139"/>
      <c r="BH34" s="139"/>
      <c r="BI34" s="139"/>
      <c r="BJ34" s="139"/>
      <c r="BK34" s="139"/>
      <c r="BL34" s="139"/>
      <c r="BM34" s="139"/>
      <c r="BN34" s="139"/>
      <c r="BO34" s="139"/>
      <c r="BP34" s="139"/>
      <c r="BQ34" s="139"/>
      <c r="BR34" s="139"/>
      <c r="BS34" s="139"/>
      <c r="BT34" s="139"/>
      <c r="BU34" s="139"/>
      <c r="BV34" s="139"/>
      <c r="BW34" s="139"/>
      <c r="BX34" s="139"/>
      <c r="BY34" s="139"/>
      <c r="BZ34" s="139"/>
      <c r="CA34" s="139"/>
      <c r="CB34" s="139"/>
      <c r="CC34" s="139"/>
      <c r="CD34" s="139"/>
      <c r="CE34" s="139"/>
      <c r="CF34" s="139"/>
      <c r="CG34" s="139"/>
      <c r="CH34" s="139"/>
      <c r="CI34" s="139"/>
      <c r="CJ34" s="139"/>
      <c r="CK34" s="139"/>
      <c r="CL34" s="139"/>
      <c r="CM34" s="139"/>
      <c r="CN34" s="139"/>
      <c r="CO34" s="139"/>
      <c r="CP34" s="139"/>
      <c r="CQ34" s="139"/>
      <c r="CR34" s="139"/>
      <c r="CS34" s="139"/>
    </row>
    <row r="35" spans="1:97" s="140" customFormat="1" ht="15.75" customHeight="1">
      <c r="A35" s="138"/>
      <c r="B35" s="138"/>
      <c r="C35" s="190"/>
      <c r="D35" s="314"/>
      <c r="E35" s="186"/>
      <c r="F35" s="487"/>
      <c r="G35" s="187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39"/>
      <c r="X35" s="139"/>
      <c r="Y35" s="139"/>
      <c r="Z35" s="139"/>
      <c r="AA35" s="139"/>
      <c r="AB35" s="139"/>
      <c r="AC35" s="139"/>
      <c r="AD35" s="139"/>
      <c r="AE35" s="139"/>
      <c r="AF35" s="139"/>
      <c r="AG35" s="139"/>
      <c r="AH35" s="139"/>
      <c r="AI35" s="139"/>
      <c r="AJ35" s="139"/>
      <c r="AK35" s="139"/>
      <c r="AL35" s="139"/>
      <c r="AM35" s="139"/>
      <c r="AN35" s="139"/>
      <c r="AO35" s="139"/>
      <c r="AP35" s="139"/>
      <c r="AQ35" s="139"/>
      <c r="AR35" s="139"/>
      <c r="AS35" s="139"/>
      <c r="AT35" s="139"/>
      <c r="AU35" s="139"/>
      <c r="AV35" s="139"/>
      <c r="AW35" s="139"/>
      <c r="AX35" s="139"/>
      <c r="AY35" s="139"/>
      <c r="AZ35" s="139"/>
      <c r="BA35" s="139"/>
      <c r="BB35" s="139"/>
      <c r="BC35" s="139"/>
      <c r="BD35" s="139"/>
      <c r="BE35" s="139"/>
      <c r="BF35" s="139"/>
      <c r="BG35" s="139"/>
      <c r="BH35" s="139"/>
      <c r="BI35" s="139"/>
      <c r="BJ35" s="139"/>
      <c r="BK35" s="139"/>
      <c r="BL35" s="139"/>
      <c r="BM35" s="139"/>
      <c r="BN35" s="139"/>
      <c r="BO35" s="139"/>
      <c r="BP35" s="139"/>
      <c r="BQ35" s="139"/>
      <c r="BR35" s="139"/>
      <c r="BS35" s="139"/>
      <c r="BT35" s="139"/>
      <c r="BU35" s="139"/>
      <c r="BV35" s="139"/>
      <c r="BW35" s="139"/>
      <c r="BX35" s="139"/>
      <c r="BY35" s="139"/>
      <c r="BZ35" s="139"/>
      <c r="CA35" s="139"/>
      <c r="CB35" s="139"/>
      <c r="CC35" s="139"/>
      <c r="CD35" s="139"/>
      <c r="CE35" s="139"/>
      <c r="CF35" s="139"/>
      <c r="CG35" s="139"/>
      <c r="CH35" s="139"/>
      <c r="CI35" s="139"/>
      <c r="CJ35" s="139"/>
      <c r="CK35" s="139"/>
      <c r="CL35" s="139"/>
      <c r="CM35" s="139"/>
      <c r="CN35" s="139"/>
      <c r="CO35" s="139"/>
      <c r="CP35" s="139"/>
      <c r="CQ35" s="139"/>
      <c r="CR35" s="139"/>
      <c r="CS35" s="139"/>
    </row>
    <row r="36" spans="1:97" s="140" customFormat="1" ht="15.75" customHeight="1">
      <c r="A36" s="138"/>
      <c r="B36" s="138"/>
      <c r="C36" s="190">
        <v>8</v>
      </c>
      <c r="D36" s="314"/>
      <c r="E36" s="186"/>
      <c r="F36" s="487"/>
      <c r="G36" s="187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9"/>
      <c r="Y36" s="139"/>
      <c r="Z36" s="139"/>
      <c r="AA36" s="139"/>
      <c r="AB36" s="139"/>
      <c r="AC36" s="139"/>
      <c r="AD36" s="139"/>
      <c r="AE36" s="139"/>
      <c r="AF36" s="139"/>
      <c r="AG36" s="139"/>
      <c r="AH36" s="139"/>
      <c r="AI36" s="139"/>
      <c r="AJ36" s="139"/>
      <c r="AK36" s="139"/>
      <c r="AL36" s="139"/>
      <c r="AM36" s="139"/>
      <c r="AN36" s="139"/>
      <c r="AO36" s="139"/>
      <c r="AP36" s="139"/>
      <c r="AQ36" s="139"/>
      <c r="AR36" s="139"/>
      <c r="AS36" s="139"/>
      <c r="AT36" s="139"/>
      <c r="AU36" s="139"/>
      <c r="AV36" s="139"/>
      <c r="AW36" s="139"/>
      <c r="AX36" s="139"/>
      <c r="AY36" s="139"/>
      <c r="AZ36" s="139"/>
      <c r="BA36" s="139"/>
      <c r="BB36" s="139"/>
      <c r="BC36" s="139"/>
      <c r="BD36" s="139"/>
      <c r="BE36" s="139"/>
      <c r="BF36" s="139"/>
      <c r="BG36" s="139"/>
      <c r="BH36" s="139"/>
      <c r="BI36" s="139"/>
      <c r="BJ36" s="139"/>
      <c r="BK36" s="139"/>
      <c r="BL36" s="139"/>
      <c r="BM36" s="139"/>
      <c r="BN36" s="139"/>
      <c r="BO36" s="139"/>
      <c r="BP36" s="139"/>
      <c r="BQ36" s="139"/>
      <c r="BR36" s="139"/>
      <c r="BS36" s="139"/>
      <c r="BT36" s="139"/>
      <c r="BU36" s="139"/>
      <c r="BV36" s="139"/>
      <c r="BW36" s="139"/>
      <c r="BX36" s="139"/>
      <c r="BY36" s="139"/>
      <c r="BZ36" s="139"/>
      <c r="CA36" s="139"/>
      <c r="CB36" s="139"/>
      <c r="CC36" s="139"/>
      <c r="CD36" s="139"/>
      <c r="CE36" s="139"/>
      <c r="CF36" s="139"/>
      <c r="CG36" s="139"/>
      <c r="CH36" s="139"/>
      <c r="CI36" s="139"/>
      <c r="CJ36" s="139"/>
      <c r="CK36" s="139"/>
      <c r="CL36" s="139"/>
      <c r="CM36" s="139"/>
      <c r="CN36" s="139"/>
      <c r="CO36" s="139"/>
      <c r="CP36" s="139"/>
      <c r="CQ36" s="139"/>
      <c r="CR36" s="139"/>
      <c r="CS36" s="139"/>
    </row>
    <row r="37" spans="1:97" s="140" customFormat="1" ht="15.75" customHeight="1">
      <c r="A37" s="138"/>
      <c r="B37" s="138"/>
      <c r="C37" s="190"/>
      <c r="D37" s="314"/>
      <c r="E37" s="186"/>
      <c r="F37" s="487"/>
      <c r="G37" s="187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  <c r="AE37" s="139"/>
      <c r="AF37" s="139"/>
      <c r="AG37" s="139"/>
      <c r="AH37" s="139"/>
      <c r="AI37" s="139"/>
      <c r="AJ37" s="139"/>
      <c r="AK37" s="139"/>
      <c r="AL37" s="139"/>
      <c r="AM37" s="139"/>
      <c r="AN37" s="139"/>
      <c r="AO37" s="139"/>
      <c r="AP37" s="139"/>
      <c r="AQ37" s="139"/>
      <c r="AR37" s="139"/>
      <c r="AS37" s="139"/>
      <c r="AT37" s="139"/>
      <c r="AU37" s="139"/>
      <c r="AV37" s="139"/>
      <c r="AW37" s="139"/>
      <c r="AX37" s="139"/>
      <c r="AY37" s="139"/>
      <c r="AZ37" s="139"/>
      <c r="BA37" s="139"/>
      <c r="BB37" s="139"/>
      <c r="BC37" s="139"/>
      <c r="BD37" s="139"/>
      <c r="BE37" s="139"/>
      <c r="BF37" s="139"/>
      <c r="BG37" s="139"/>
      <c r="BH37" s="139"/>
      <c r="BI37" s="139"/>
      <c r="BJ37" s="139"/>
      <c r="BK37" s="139"/>
      <c r="BL37" s="139"/>
      <c r="BM37" s="139"/>
      <c r="BN37" s="139"/>
      <c r="BO37" s="139"/>
      <c r="BP37" s="139"/>
      <c r="BQ37" s="139"/>
      <c r="BR37" s="139"/>
      <c r="BS37" s="139"/>
      <c r="BT37" s="139"/>
      <c r="BU37" s="139"/>
      <c r="BV37" s="139"/>
      <c r="BW37" s="139"/>
      <c r="BX37" s="139"/>
      <c r="BY37" s="139"/>
      <c r="BZ37" s="139"/>
      <c r="CA37" s="139"/>
      <c r="CB37" s="139"/>
      <c r="CC37" s="139"/>
      <c r="CD37" s="139"/>
      <c r="CE37" s="139"/>
      <c r="CF37" s="139"/>
      <c r="CG37" s="139"/>
      <c r="CH37" s="139"/>
      <c r="CI37" s="139"/>
      <c r="CJ37" s="139"/>
      <c r="CK37" s="139"/>
      <c r="CL37" s="139"/>
      <c r="CM37" s="139"/>
      <c r="CN37" s="139"/>
      <c r="CO37" s="139"/>
      <c r="CP37" s="139"/>
      <c r="CQ37" s="139"/>
      <c r="CR37" s="139"/>
      <c r="CS37" s="139"/>
    </row>
    <row r="38" spans="1:97" s="140" customFormat="1" ht="15.75" customHeight="1">
      <c r="A38" s="138"/>
      <c r="B38" s="138"/>
      <c r="C38" s="190"/>
      <c r="D38" s="314"/>
      <c r="E38" s="186"/>
      <c r="F38" s="487"/>
      <c r="G38" s="187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39"/>
      <c r="AE38" s="139"/>
      <c r="AF38" s="139"/>
      <c r="AG38" s="139"/>
      <c r="AH38" s="139"/>
      <c r="AI38" s="139"/>
      <c r="AJ38" s="139"/>
      <c r="AK38" s="139"/>
      <c r="AL38" s="139"/>
      <c r="AM38" s="139"/>
      <c r="AN38" s="139"/>
      <c r="AO38" s="139"/>
      <c r="AP38" s="139"/>
      <c r="AQ38" s="139"/>
      <c r="AR38" s="139"/>
      <c r="AS38" s="139"/>
      <c r="AT38" s="139"/>
      <c r="AU38" s="139"/>
      <c r="AV38" s="139"/>
      <c r="AW38" s="139"/>
      <c r="AX38" s="139"/>
      <c r="AY38" s="139"/>
      <c r="AZ38" s="139"/>
      <c r="BA38" s="139"/>
      <c r="BB38" s="139"/>
      <c r="BC38" s="139"/>
      <c r="BD38" s="139"/>
      <c r="BE38" s="139"/>
      <c r="BF38" s="139"/>
      <c r="BG38" s="139"/>
      <c r="BH38" s="139"/>
      <c r="BI38" s="139"/>
      <c r="BJ38" s="139"/>
      <c r="BK38" s="139"/>
      <c r="BL38" s="139"/>
      <c r="BM38" s="139"/>
      <c r="BN38" s="139"/>
      <c r="BO38" s="139"/>
      <c r="BP38" s="139"/>
      <c r="BQ38" s="139"/>
      <c r="BR38" s="139"/>
      <c r="BS38" s="139"/>
      <c r="BT38" s="139"/>
      <c r="BU38" s="139"/>
      <c r="BV38" s="139"/>
      <c r="BW38" s="139"/>
      <c r="BX38" s="139"/>
      <c r="BY38" s="139"/>
      <c r="BZ38" s="139"/>
      <c r="CA38" s="139"/>
      <c r="CB38" s="139"/>
      <c r="CC38" s="139"/>
      <c r="CD38" s="139"/>
      <c r="CE38" s="139"/>
      <c r="CF38" s="139"/>
      <c r="CG38" s="139"/>
      <c r="CH38" s="139"/>
      <c r="CI38" s="139"/>
      <c r="CJ38" s="139"/>
      <c r="CK38" s="139"/>
      <c r="CL38" s="139"/>
      <c r="CM38" s="139"/>
      <c r="CN38" s="139"/>
      <c r="CO38" s="139"/>
      <c r="CP38" s="139"/>
      <c r="CQ38" s="139"/>
      <c r="CR38" s="139"/>
      <c r="CS38" s="139"/>
    </row>
    <row r="39" spans="1:97" s="140" customFormat="1" ht="15.75" customHeight="1">
      <c r="A39" s="138"/>
      <c r="B39" s="138"/>
      <c r="C39" s="190">
        <v>9</v>
      </c>
      <c r="D39" s="314"/>
      <c r="E39" s="186"/>
      <c r="F39" s="487"/>
      <c r="G39" s="187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39"/>
      <c r="T39" s="139"/>
      <c r="U39" s="139"/>
      <c r="V39" s="139"/>
      <c r="W39" s="139"/>
      <c r="X39" s="139"/>
      <c r="Y39" s="139"/>
      <c r="Z39" s="139"/>
      <c r="AA39" s="139"/>
      <c r="AB39" s="139"/>
      <c r="AC39" s="139"/>
      <c r="AD39" s="139"/>
      <c r="AE39" s="139"/>
      <c r="AF39" s="139"/>
      <c r="AG39" s="139"/>
      <c r="AH39" s="139"/>
      <c r="AI39" s="139"/>
      <c r="AJ39" s="139"/>
      <c r="AK39" s="139"/>
      <c r="AL39" s="139"/>
      <c r="AM39" s="139"/>
      <c r="AN39" s="139"/>
      <c r="AO39" s="139"/>
      <c r="AP39" s="139"/>
      <c r="AQ39" s="139"/>
      <c r="AR39" s="139"/>
      <c r="AS39" s="139"/>
      <c r="AT39" s="139"/>
      <c r="AU39" s="139"/>
      <c r="AV39" s="139"/>
      <c r="AW39" s="139"/>
      <c r="AX39" s="139"/>
      <c r="AY39" s="139"/>
      <c r="AZ39" s="139"/>
      <c r="BA39" s="139"/>
      <c r="BB39" s="139"/>
      <c r="BC39" s="139"/>
      <c r="BD39" s="139"/>
      <c r="BE39" s="139"/>
      <c r="BF39" s="139"/>
      <c r="BG39" s="139"/>
      <c r="BH39" s="139"/>
      <c r="BI39" s="139"/>
      <c r="BJ39" s="139"/>
      <c r="BK39" s="139"/>
      <c r="BL39" s="139"/>
      <c r="BM39" s="139"/>
      <c r="BN39" s="139"/>
      <c r="BO39" s="139"/>
      <c r="BP39" s="139"/>
      <c r="BQ39" s="139"/>
      <c r="BR39" s="139"/>
      <c r="BS39" s="139"/>
      <c r="BT39" s="139"/>
      <c r="BU39" s="139"/>
      <c r="BV39" s="139"/>
      <c r="BW39" s="139"/>
      <c r="BX39" s="139"/>
      <c r="BY39" s="139"/>
      <c r="BZ39" s="139"/>
      <c r="CA39" s="139"/>
      <c r="CB39" s="139"/>
      <c r="CC39" s="139"/>
      <c r="CD39" s="139"/>
      <c r="CE39" s="139"/>
      <c r="CF39" s="139"/>
      <c r="CG39" s="139"/>
      <c r="CH39" s="139"/>
      <c r="CI39" s="139"/>
      <c r="CJ39" s="139"/>
      <c r="CK39" s="139"/>
      <c r="CL39" s="139"/>
      <c r="CM39" s="139"/>
      <c r="CN39" s="139"/>
      <c r="CO39" s="139"/>
      <c r="CP39" s="139"/>
      <c r="CQ39" s="139"/>
      <c r="CR39" s="139"/>
      <c r="CS39" s="139"/>
    </row>
    <row r="40" spans="1:97" s="140" customFormat="1" ht="15.75" customHeight="1">
      <c r="A40" s="138"/>
      <c r="B40" s="138"/>
      <c r="C40" s="190">
        <v>10</v>
      </c>
      <c r="D40" s="314"/>
      <c r="E40" s="186"/>
      <c r="F40" s="487"/>
      <c r="G40" s="187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39"/>
      <c r="T40" s="139"/>
      <c r="U40" s="139"/>
      <c r="V40" s="139"/>
      <c r="W40" s="139"/>
      <c r="X40" s="139"/>
      <c r="Y40" s="139"/>
      <c r="Z40" s="139"/>
      <c r="AA40" s="139"/>
      <c r="AB40" s="139"/>
      <c r="AC40" s="139"/>
      <c r="AD40" s="139"/>
      <c r="AE40" s="139"/>
      <c r="AF40" s="139"/>
      <c r="AG40" s="139"/>
      <c r="AH40" s="139"/>
      <c r="AI40" s="139"/>
      <c r="AJ40" s="139"/>
      <c r="AK40" s="139"/>
      <c r="AL40" s="139"/>
      <c r="AM40" s="139"/>
      <c r="AN40" s="139"/>
      <c r="AO40" s="139"/>
      <c r="AP40" s="139"/>
      <c r="AQ40" s="139"/>
      <c r="AR40" s="139"/>
      <c r="AS40" s="139"/>
      <c r="AT40" s="139"/>
      <c r="AU40" s="139"/>
      <c r="AV40" s="139"/>
      <c r="AW40" s="139"/>
      <c r="AX40" s="139"/>
      <c r="AY40" s="139"/>
      <c r="AZ40" s="139"/>
      <c r="BA40" s="139"/>
      <c r="BB40" s="139"/>
      <c r="BC40" s="139"/>
      <c r="BD40" s="139"/>
      <c r="BE40" s="139"/>
      <c r="BF40" s="139"/>
      <c r="BG40" s="139"/>
      <c r="BH40" s="139"/>
      <c r="BI40" s="139"/>
      <c r="BJ40" s="139"/>
      <c r="BK40" s="139"/>
      <c r="BL40" s="139"/>
      <c r="BM40" s="139"/>
      <c r="BN40" s="139"/>
      <c r="BO40" s="139"/>
      <c r="BP40" s="139"/>
      <c r="BQ40" s="139"/>
      <c r="BR40" s="139"/>
      <c r="BS40" s="139"/>
      <c r="BT40" s="139"/>
      <c r="BU40" s="139"/>
      <c r="BV40" s="139"/>
      <c r="BW40" s="139"/>
      <c r="BX40" s="139"/>
      <c r="BY40" s="139"/>
      <c r="BZ40" s="139"/>
      <c r="CA40" s="139"/>
      <c r="CB40" s="139"/>
      <c r="CC40" s="139"/>
      <c r="CD40" s="139"/>
      <c r="CE40" s="139"/>
      <c r="CF40" s="139"/>
      <c r="CG40" s="139"/>
      <c r="CH40" s="139"/>
      <c r="CI40" s="139"/>
      <c r="CJ40" s="139"/>
      <c r="CK40" s="139"/>
      <c r="CL40" s="139"/>
      <c r="CM40" s="139"/>
      <c r="CN40" s="139"/>
      <c r="CO40" s="139"/>
      <c r="CP40" s="139"/>
      <c r="CQ40" s="139"/>
      <c r="CR40" s="139"/>
      <c r="CS40" s="139"/>
    </row>
    <row r="41" spans="1:97" s="140" customFormat="1" ht="15.75" customHeight="1">
      <c r="A41" s="138"/>
      <c r="B41" s="138"/>
      <c r="C41" s="190">
        <v>11</v>
      </c>
      <c r="D41" s="314"/>
      <c r="E41" s="186"/>
      <c r="F41" s="487"/>
      <c r="G41" s="187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39"/>
      <c r="T41" s="139"/>
      <c r="U41" s="139"/>
      <c r="V41" s="139"/>
      <c r="W41" s="139"/>
      <c r="X41" s="139"/>
      <c r="Y41" s="139"/>
      <c r="Z41" s="139"/>
      <c r="AA41" s="139"/>
      <c r="AB41" s="139"/>
      <c r="AC41" s="139"/>
      <c r="AD41" s="139"/>
      <c r="AE41" s="139"/>
      <c r="AF41" s="139"/>
      <c r="AG41" s="139"/>
      <c r="AH41" s="139"/>
      <c r="AI41" s="139"/>
      <c r="AJ41" s="139"/>
      <c r="AK41" s="139"/>
      <c r="AL41" s="139"/>
      <c r="AM41" s="139"/>
      <c r="AN41" s="139"/>
      <c r="AO41" s="139"/>
      <c r="AP41" s="139"/>
      <c r="AQ41" s="139"/>
      <c r="AR41" s="139"/>
      <c r="AS41" s="139"/>
      <c r="AT41" s="139"/>
      <c r="AU41" s="139"/>
      <c r="AV41" s="139"/>
      <c r="AW41" s="139"/>
      <c r="AX41" s="139"/>
      <c r="AY41" s="139"/>
      <c r="AZ41" s="139"/>
      <c r="BA41" s="139"/>
      <c r="BB41" s="139"/>
      <c r="BC41" s="139"/>
      <c r="BD41" s="139"/>
      <c r="BE41" s="139"/>
      <c r="BF41" s="139"/>
      <c r="BG41" s="139"/>
      <c r="BH41" s="139"/>
      <c r="BI41" s="139"/>
      <c r="BJ41" s="139"/>
      <c r="BK41" s="139"/>
      <c r="BL41" s="139"/>
      <c r="BM41" s="139"/>
      <c r="BN41" s="139"/>
      <c r="BO41" s="139"/>
      <c r="BP41" s="139"/>
      <c r="BQ41" s="139"/>
      <c r="BR41" s="139"/>
      <c r="BS41" s="139"/>
      <c r="BT41" s="139"/>
      <c r="BU41" s="139"/>
      <c r="BV41" s="139"/>
      <c r="BW41" s="139"/>
      <c r="BX41" s="139"/>
      <c r="BY41" s="139"/>
      <c r="BZ41" s="139"/>
      <c r="CA41" s="139"/>
      <c r="CB41" s="139"/>
      <c r="CC41" s="139"/>
      <c r="CD41" s="139"/>
      <c r="CE41" s="139"/>
      <c r="CF41" s="139"/>
      <c r="CG41" s="139"/>
      <c r="CH41" s="139"/>
      <c r="CI41" s="139"/>
      <c r="CJ41" s="139"/>
      <c r="CK41" s="139"/>
      <c r="CL41" s="139"/>
      <c r="CM41" s="139"/>
      <c r="CN41" s="139"/>
      <c r="CO41" s="139"/>
      <c r="CP41" s="139"/>
      <c r="CQ41" s="139"/>
      <c r="CR41" s="139"/>
      <c r="CS41" s="139"/>
    </row>
    <row r="42" spans="1:97" s="140" customFormat="1" ht="15.75" customHeight="1">
      <c r="A42" s="138"/>
      <c r="B42" s="138"/>
      <c r="C42" s="190">
        <v>12</v>
      </c>
      <c r="D42" s="314"/>
      <c r="E42" s="186"/>
      <c r="F42" s="487"/>
      <c r="G42" s="187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39"/>
      <c r="AF42" s="139"/>
      <c r="AG42" s="139"/>
      <c r="AH42" s="139"/>
      <c r="AI42" s="139"/>
      <c r="AJ42" s="139"/>
      <c r="AK42" s="139"/>
      <c r="AL42" s="139"/>
      <c r="AM42" s="139"/>
      <c r="AN42" s="139"/>
      <c r="AO42" s="139"/>
      <c r="AP42" s="139"/>
      <c r="AQ42" s="139"/>
      <c r="AR42" s="139"/>
      <c r="AS42" s="139"/>
      <c r="AT42" s="139"/>
      <c r="AU42" s="139"/>
      <c r="AV42" s="139"/>
      <c r="AW42" s="139"/>
      <c r="AX42" s="139"/>
      <c r="AY42" s="139"/>
      <c r="AZ42" s="139"/>
      <c r="BA42" s="139"/>
      <c r="BB42" s="139"/>
      <c r="BC42" s="139"/>
      <c r="BD42" s="139"/>
      <c r="BE42" s="139"/>
      <c r="BF42" s="139"/>
      <c r="BG42" s="139"/>
      <c r="BH42" s="139"/>
      <c r="BI42" s="139"/>
      <c r="BJ42" s="139"/>
      <c r="BK42" s="139"/>
      <c r="BL42" s="139"/>
      <c r="BM42" s="139"/>
      <c r="BN42" s="139"/>
      <c r="BO42" s="139"/>
      <c r="BP42" s="139"/>
      <c r="BQ42" s="139"/>
      <c r="BR42" s="139"/>
      <c r="BS42" s="139"/>
      <c r="BT42" s="139"/>
      <c r="BU42" s="139"/>
      <c r="BV42" s="139"/>
      <c r="BW42" s="139"/>
      <c r="BX42" s="139"/>
      <c r="BY42" s="139"/>
      <c r="BZ42" s="139"/>
      <c r="CA42" s="139"/>
      <c r="CB42" s="139"/>
      <c r="CC42" s="139"/>
      <c r="CD42" s="139"/>
      <c r="CE42" s="139"/>
      <c r="CF42" s="139"/>
      <c r="CG42" s="139"/>
      <c r="CH42" s="139"/>
      <c r="CI42" s="139"/>
      <c r="CJ42" s="139"/>
      <c r="CK42" s="139"/>
      <c r="CL42" s="139"/>
      <c r="CM42" s="139"/>
      <c r="CN42" s="139"/>
      <c r="CO42" s="139"/>
      <c r="CP42" s="139"/>
      <c r="CQ42" s="139"/>
      <c r="CR42" s="139"/>
      <c r="CS42" s="139"/>
    </row>
    <row r="43" spans="1:97" s="140" customFormat="1" ht="15.75" customHeight="1">
      <c r="A43" s="138"/>
      <c r="B43" s="138"/>
      <c r="C43" s="190"/>
      <c r="D43" s="314"/>
      <c r="E43" s="186"/>
      <c r="F43" s="487"/>
      <c r="G43" s="187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39"/>
      <c r="AF43" s="139"/>
      <c r="AG43" s="139"/>
      <c r="AH43" s="139"/>
      <c r="AI43" s="139"/>
      <c r="AJ43" s="139"/>
      <c r="AK43" s="139"/>
      <c r="AL43" s="139"/>
      <c r="AM43" s="139"/>
      <c r="AN43" s="139"/>
      <c r="AO43" s="139"/>
      <c r="AP43" s="139"/>
      <c r="AQ43" s="139"/>
      <c r="AR43" s="139"/>
      <c r="AS43" s="139"/>
      <c r="AT43" s="139"/>
      <c r="AU43" s="139"/>
      <c r="AV43" s="139"/>
      <c r="AW43" s="139"/>
      <c r="AX43" s="139"/>
      <c r="AY43" s="139"/>
      <c r="AZ43" s="139"/>
      <c r="BA43" s="139"/>
      <c r="BB43" s="139"/>
      <c r="BC43" s="139"/>
      <c r="BD43" s="139"/>
      <c r="BE43" s="139"/>
      <c r="BF43" s="139"/>
      <c r="BG43" s="139"/>
      <c r="BH43" s="139"/>
      <c r="BI43" s="139"/>
      <c r="BJ43" s="139"/>
      <c r="BK43" s="139"/>
      <c r="BL43" s="139"/>
      <c r="BM43" s="139"/>
      <c r="BN43" s="139"/>
      <c r="BO43" s="139"/>
      <c r="BP43" s="139"/>
      <c r="BQ43" s="139"/>
      <c r="BR43" s="139"/>
      <c r="BS43" s="139"/>
      <c r="BT43" s="139"/>
      <c r="BU43" s="139"/>
      <c r="BV43" s="139"/>
      <c r="BW43" s="139"/>
      <c r="BX43" s="139"/>
      <c r="BY43" s="139"/>
      <c r="BZ43" s="139"/>
      <c r="CA43" s="139"/>
      <c r="CB43" s="139"/>
      <c r="CC43" s="139"/>
      <c r="CD43" s="139"/>
      <c r="CE43" s="139"/>
      <c r="CF43" s="139"/>
      <c r="CG43" s="139"/>
      <c r="CH43" s="139"/>
      <c r="CI43" s="139"/>
      <c r="CJ43" s="139"/>
      <c r="CK43" s="139"/>
      <c r="CL43" s="139"/>
      <c r="CM43" s="139"/>
      <c r="CN43" s="139"/>
      <c r="CO43" s="139"/>
      <c r="CP43" s="139"/>
      <c r="CQ43" s="139"/>
      <c r="CR43" s="139"/>
      <c r="CS43" s="139"/>
    </row>
    <row r="44" spans="1:97" s="140" customFormat="1" ht="15.75" customHeight="1">
      <c r="A44" s="138"/>
      <c r="B44" s="138"/>
      <c r="C44" s="190"/>
      <c r="D44" s="314"/>
      <c r="E44" s="186"/>
      <c r="F44" s="487"/>
      <c r="G44" s="187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39"/>
      <c r="AF44" s="139"/>
      <c r="AG44" s="139"/>
      <c r="AH44" s="139"/>
      <c r="AI44" s="139"/>
      <c r="AJ44" s="139"/>
      <c r="AK44" s="139"/>
      <c r="AL44" s="139"/>
      <c r="AM44" s="139"/>
      <c r="AN44" s="139"/>
      <c r="AO44" s="139"/>
      <c r="AP44" s="139"/>
      <c r="AQ44" s="139"/>
      <c r="AR44" s="139"/>
      <c r="AS44" s="139"/>
      <c r="AT44" s="139"/>
      <c r="AU44" s="139"/>
      <c r="AV44" s="139"/>
      <c r="AW44" s="139"/>
      <c r="AX44" s="139"/>
      <c r="AY44" s="139"/>
      <c r="AZ44" s="139"/>
      <c r="BA44" s="139"/>
      <c r="BB44" s="139"/>
      <c r="BC44" s="139"/>
      <c r="BD44" s="139"/>
      <c r="BE44" s="139"/>
      <c r="BF44" s="139"/>
      <c r="BG44" s="139"/>
      <c r="BH44" s="139"/>
      <c r="BI44" s="139"/>
      <c r="BJ44" s="139"/>
      <c r="BK44" s="139"/>
      <c r="BL44" s="139"/>
      <c r="BM44" s="139"/>
      <c r="BN44" s="139"/>
      <c r="BO44" s="139"/>
      <c r="BP44" s="139"/>
      <c r="BQ44" s="139"/>
      <c r="BR44" s="139"/>
      <c r="BS44" s="139"/>
      <c r="BT44" s="139"/>
      <c r="BU44" s="139"/>
      <c r="BV44" s="139"/>
      <c r="BW44" s="139"/>
      <c r="BX44" s="139"/>
      <c r="BY44" s="139"/>
      <c r="BZ44" s="139"/>
      <c r="CA44" s="139"/>
      <c r="CB44" s="139"/>
      <c r="CC44" s="139"/>
      <c r="CD44" s="139"/>
      <c r="CE44" s="139"/>
      <c r="CF44" s="139"/>
      <c r="CG44" s="139"/>
      <c r="CH44" s="139"/>
      <c r="CI44" s="139"/>
      <c r="CJ44" s="139"/>
      <c r="CK44" s="139"/>
      <c r="CL44" s="139"/>
      <c r="CM44" s="139"/>
      <c r="CN44" s="139"/>
      <c r="CO44" s="139"/>
      <c r="CP44" s="139"/>
      <c r="CQ44" s="139"/>
      <c r="CR44" s="139"/>
      <c r="CS44" s="139"/>
    </row>
    <row r="45" spans="1:97" s="140" customFormat="1" ht="15.75" customHeight="1">
      <c r="A45" s="138"/>
      <c r="B45" s="138"/>
      <c r="C45" s="190">
        <v>13</v>
      </c>
      <c r="D45" s="314"/>
      <c r="E45" s="186"/>
      <c r="F45" s="487"/>
      <c r="G45" s="187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39"/>
      <c r="AF45" s="139"/>
      <c r="AG45" s="139"/>
      <c r="AH45" s="139"/>
      <c r="AI45" s="139"/>
      <c r="AJ45" s="139"/>
      <c r="AK45" s="139"/>
      <c r="AL45" s="139"/>
      <c r="AM45" s="139"/>
      <c r="AN45" s="139"/>
      <c r="AO45" s="139"/>
      <c r="AP45" s="139"/>
      <c r="AQ45" s="139"/>
      <c r="AR45" s="139"/>
      <c r="AS45" s="139"/>
      <c r="AT45" s="139"/>
      <c r="AU45" s="139"/>
      <c r="AV45" s="139"/>
      <c r="AW45" s="139"/>
      <c r="AX45" s="139"/>
      <c r="AY45" s="139"/>
      <c r="AZ45" s="139"/>
      <c r="BA45" s="139"/>
      <c r="BB45" s="139"/>
      <c r="BC45" s="139"/>
      <c r="BD45" s="139"/>
      <c r="BE45" s="139"/>
      <c r="BF45" s="139"/>
      <c r="BG45" s="139"/>
      <c r="BH45" s="139"/>
      <c r="BI45" s="139"/>
      <c r="BJ45" s="139"/>
      <c r="BK45" s="139"/>
      <c r="BL45" s="139"/>
      <c r="BM45" s="139"/>
      <c r="BN45" s="139"/>
      <c r="BO45" s="139"/>
      <c r="BP45" s="139"/>
      <c r="BQ45" s="139"/>
      <c r="BR45" s="139"/>
      <c r="BS45" s="139"/>
      <c r="BT45" s="139"/>
      <c r="BU45" s="139"/>
      <c r="BV45" s="139"/>
      <c r="BW45" s="139"/>
      <c r="BX45" s="139"/>
      <c r="BY45" s="139"/>
      <c r="BZ45" s="139"/>
      <c r="CA45" s="139"/>
      <c r="CB45" s="139"/>
      <c r="CC45" s="139"/>
      <c r="CD45" s="139"/>
      <c r="CE45" s="139"/>
      <c r="CF45" s="139"/>
      <c r="CG45" s="139"/>
      <c r="CH45" s="139"/>
      <c r="CI45" s="139"/>
      <c r="CJ45" s="139"/>
      <c r="CK45" s="139"/>
      <c r="CL45" s="139"/>
      <c r="CM45" s="139"/>
      <c r="CN45" s="139"/>
      <c r="CO45" s="139"/>
      <c r="CP45" s="139"/>
      <c r="CQ45" s="139"/>
      <c r="CR45" s="139"/>
      <c r="CS45" s="139"/>
    </row>
    <row r="46" spans="1:97" s="140" customFormat="1" ht="15.75" customHeight="1">
      <c r="A46" s="138"/>
      <c r="B46" s="138"/>
      <c r="C46" s="190"/>
      <c r="D46" s="314">
        <v>13.1</v>
      </c>
      <c r="E46" s="186" t="s">
        <v>355</v>
      </c>
      <c r="F46" s="487">
        <v>0.6</v>
      </c>
      <c r="G46" s="187" t="s">
        <v>358</v>
      </c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39"/>
      <c r="AF46" s="139"/>
      <c r="AG46" s="139"/>
      <c r="AH46" s="139"/>
      <c r="AI46" s="139"/>
      <c r="AJ46" s="139"/>
      <c r="AK46" s="139"/>
      <c r="AL46" s="139"/>
      <c r="AM46" s="139"/>
      <c r="AN46" s="139"/>
      <c r="AO46" s="139"/>
      <c r="AP46" s="139"/>
      <c r="AQ46" s="139"/>
      <c r="AR46" s="139"/>
      <c r="AS46" s="139"/>
      <c r="AT46" s="139"/>
      <c r="AU46" s="139"/>
      <c r="AV46" s="139"/>
      <c r="AW46" s="139"/>
      <c r="AX46" s="139"/>
      <c r="AY46" s="139"/>
      <c r="AZ46" s="139"/>
      <c r="BA46" s="139"/>
      <c r="BB46" s="139"/>
      <c r="BC46" s="139"/>
      <c r="BD46" s="139"/>
      <c r="BE46" s="139"/>
      <c r="BF46" s="139"/>
      <c r="BG46" s="139"/>
      <c r="BH46" s="139"/>
      <c r="BI46" s="139"/>
      <c r="BJ46" s="139"/>
      <c r="BK46" s="139"/>
      <c r="BL46" s="139"/>
      <c r="BM46" s="139"/>
      <c r="BN46" s="139"/>
      <c r="BO46" s="139"/>
      <c r="BP46" s="139"/>
      <c r="BQ46" s="139"/>
      <c r="BR46" s="139"/>
      <c r="BS46" s="139"/>
      <c r="BT46" s="139"/>
      <c r="BU46" s="139"/>
      <c r="BV46" s="139"/>
      <c r="BW46" s="139"/>
      <c r="BX46" s="139"/>
      <c r="BY46" s="139"/>
      <c r="BZ46" s="139"/>
      <c r="CA46" s="139"/>
      <c r="CB46" s="139"/>
      <c r="CC46" s="139"/>
      <c r="CD46" s="139"/>
      <c r="CE46" s="139"/>
      <c r="CF46" s="139"/>
      <c r="CG46" s="139"/>
      <c r="CH46" s="139"/>
      <c r="CI46" s="139"/>
      <c r="CJ46" s="139"/>
      <c r="CK46" s="139"/>
      <c r="CL46" s="139"/>
      <c r="CM46" s="139"/>
      <c r="CN46" s="139"/>
      <c r="CO46" s="139"/>
      <c r="CP46" s="139"/>
      <c r="CQ46" s="139"/>
      <c r="CR46" s="139"/>
      <c r="CS46" s="139"/>
    </row>
    <row r="47" spans="1:97" s="140" customFormat="1" ht="15.75" customHeight="1">
      <c r="A47" s="138"/>
      <c r="B47" s="138"/>
      <c r="C47" s="190"/>
      <c r="D47" s="314">
        <v>13.2</v>
      </c>
      <c r="E47" s="186" t="s">
        <v>356</v>
      </c>
      <c r="F47" s="487">
        <v>0.4</v>
      </c>
      <c r="G47" s="187" t="s">
        <v>357</v>
      </c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39"/>
      <c r="AF47" s="139"/>
      <c r="AG47" s="139"/>
      <c r="AH47" s="139"/>
      <c r="AI47" s="139"/>
      <c r="AJ47" s="139"/>
      <c r="AK47" s="139"/>
      <c r="AL47" s="139"/>
      <c r="AM47" s="139"/>
      <c r="AN47" s="139"/>
      <c r="AO47" s="139"/>
      <c r="AP47" s="139"/>
      <c r="AQ47" s="139"/>
      <c r="AR47" s="139"/>
      <c r="AS47" s="139"/>
      <c r="AT47" s="139"/>
      <c r="AU47" s="139"/>
      <c r="AV47" s="139"/>
      <c r="AW47" s="139"/>
      <c r="AX47" s="139"/>
      <c r="AY47" s="139"/>
      <c r="AZ47" s="139"/>
      <c r="BA47" s="139"/>
      <c r="BB47" s="139"/>
      <c r="BC47" s="139"/>
      <c r="BD47" s="139"/>
      <c r="BE47" s="139"/>
      <c r="BF47" s="139"/>
      <c r="BG47" s="139"/>
      <c r="BH47" s="139"/>
      <c r="BI47" s="139"/>
      <c r="BJ47" s="139"/>
      <c r="BK47" s="139"/>
      <c r="BL47" s="139"/>
      <c r="BM47" s="139"/>
      <c r="BN47" s="139"/>
      <c r="BO47" s="139"/>
      <c r="BP47" s="139"/>
      <c r="BQ47" s="139"/>
      <c r="BR47" s="139"/>
      <c r="BS47" s="139"/>
      <c r="BT47" s="139"/>
      <c r="BU47" s="139"/>
      <c r="BV47" s="139"/>
      <c r="BW47" s="139"/>
      <c r="BX47" s="139"/>
      <c r="BY47" s="139"/>
      <c r="BZ47" s="139"/>
      <c r="CA47" s="139"/>
      <c r="CB47" s="139"/>
      <c r="CC47" s="139"/>
      <c r="CD47" s="139"/>
      <c r="CE47" s="139"/>
      <c r="CF47" s="139"/>
      <c r="CG47" s="139"/>
      <c r="CH47" s="139"/>
      <c r="CI47" s="139"/>
      <c r="CJ47" s="139"/>
      <c r="CK47" s="139"/>
      <c r="CL47" s="139"/>
      <c r="CM47" s="139"/>
      <c r="CN47" s="139"/>
      <c r="CO47" s="139"/>
      <c r="CP47" s="139"/>
      <c r="CQ47" s="139"/>
      <c r="CR47" s="139"/>
      <c r="CS47" s="139"/>
    </row>
    <row r="48" spans="1:97" s="140" customFormat="1" ht="15.75" customHeight="1">
      <c r="A48" s="138"/>
      <c r="B48" s="138"/>
      <c r="C48" s="190">
        <v>14</v>
      </c>
      <c r="D48" s="314" t="e">
        <f>IF(VLOOKUP(C48,PROPONENTES!$B$19:$E$218,2,FALSE)="","",VLOOKUP(C48,PROPONENTES!$B$19:$E$218,2,FALSE))</f>
        <v>#N/A</v>
      </c>
      <c r="E48" s="186" t="e">
        <f>IF(D48="","",IF(D48-INT(D48)&gt;1,"",VLOOKUP(D48,PROPONENTES!$C$19:$D$218,2,FALSE)))</f>
        <v>#N/A</v>
      </c>
      <c r="F48" s="487">
        <f>+F49+F50</f>
        <v>1</v>
      </c>
      <c r="G48" s="187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39"/>
      <c r="AF48" s="139"/>
      <c r="AG48" s="139"/>
      <c r="AH48" s="139"/>
      <c r="AI48" s="139"/>
      <c r="AJ48" s="139"/>
      <c r="AK48" s="139"/>
      <c r="AL48" s="139"/>
      <c r="AM48" s="139"/>
      <c r="AN48" s="139"/>
      <c r="AO48" s="139"/>
      <c r="AP48" s="139"/>
      <c r="AQ48" s="139"/>
      <c r="AR48" s="139"/>
      <c r="AS48" s="139"/>
      <c r="AT48" s="139"/>
      <c r="AU48" s="139"/>
      <c r="AV48" s="139"/>
      <c r="AW48" s="139"/>
      <c r="AX48" s="139"/>
      <c r="AY48" s="139"/>
      <c r="AZ48" s="139"/>
      <c r="BA48" s="139"/>
      <c r="BB48" s="139"/>
      <c r="BC48" s="139"/>
      <c r="BD48" s="139"/>
      <c r="BE48" s="139"/>
      <c r="BF48" s="139"/>
      <c r="BG48" s="139"/>
      <c r="BH48" s="139"/>
      <c r="BI48" s="139"/>
      <c r="BJ48" s="139"/>
      <c r="BK48" s="139"/>
      <c r="BL48" s="139"/>
      <c r="BM48" s="139"/>
      <c r="BN48" s="139"/>
      <c r="BO48" s="139"/>
      <c r="BP48" s="139"/>
      <c r="BQ48" s="139"/>
      <c r="BR48" s="139"/>
      <c r="BS48" s="139"/>
      <c r="BT48" s="139"/>
      <c r="BU48" s="139"/>
      <c r="BV48" s="139"/>
      <c r="BW48" s="139"/>
      <c r="BX48" s="139"/>
      <c r="BY48" s="139"/>
      <c r="BZ48" s="139"/>
      <c r="CA48" s="139"/>
      <c r="CB48" s="139"/>
      <c r="CC48" s="139"/>
      <c r="CD48" s="139"/>
      <c r="CE48" s="139"/>
      <c r="CF48" s="139"/>
      <c r="CG48" s="139"/>
      <c r="CH48" s="139"/>
      <c r="CI48" s="139"/>
      <c r="CJ48" s="139"/>
      <c r="CK48" s="139"/>
      <c r="CL48" s="139"/>
      <c r="CM48" s="139"/>
      <c r="CN48" s="139"/>
      <c r="CO48" s="139"/>
      <c r="CP48" s="139"/>
      <c r="CQ48" s="139"/>
      <c r="CR48" s="139"/>
      <c r="CS48" s="139"/>
    </row>
    <row r="49" spans="1:97" s="140" customFormat="1" ht="15.75" customHeight="1">
      <c r="A49" s="138"/>
      <c r="B49" s="138"/>
      <c r="C49" s="190"/>
      <c r="D49" s="314">
        <v>14.1</v>
      </c>
      <c r="E49" s="186" t="s">
        <v>359</v>
      </c>
      <c r="F49" s="487">
        <v>0.6</v>
      </c>
      <c r="G49" s="187" t="s">
        <v>362</v>
      </c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39"/>
      <c r="AF49" s="139"/>
      <c r="AG49" s="139"/>
      <c r="AH49" s="139"/>
      <c r="AI49" s="139"/>
      <c r="AJ49" s="139"/>
      <c r="AK49" s="139"/>
      <c r="AL49" s="139"/>
      <c r="AM49" s="139"/>
      <c r="AN49" s="139"/>
      <c r="AO49" s="139"/>
      <c r="AP49" s="139"/>
      <c r="AQ49" s="139"/>
      <c r="AR49" s="139"/>
      <c r="AS49" s="139"/>
      <c r="AT49" s="139"/>
      <c r="AU49" s="139"/>
      <c r="AV49" s="139"/>
      <c r="AW49" s="139"/>
      <c r="AX49" s="139"/>
      <c r="AY49" s="139"/>
      <c r="AZ49" s="139"/>
      <c r="BA49" s="139"/>
      <c r="BB49" s="139"/>
      <c r="BC49" s="139"/>
      <c r="BD49" s="139"/>
      <c r="BE49" s="139"/>
      <c r="BF49" s="139"/>
      <c r="BG49" s="139"/>
      <c r="BH49" s="139"/>
      <c r="BI49" s="139"/>
      <c r="BJ49" s="139"/>
      <c r="BK49" s="139"/>
      <c r="BL49" s="139"/>
      <c r="BM49" s="139"/>
      <c r="BN49" s="139"/>
      <c r="BO49" s="139"/>
      <c r="BP49" s="139"/>
      <c r="BQ49" s="139"/>
      <c r="BR49" s="139"/>
      <c r="BS49" s="139"/>
      <c r="BT49" s="139"/>
      <c r="BU49" s="139"/>
      <c r="BV49" s="139"/>
      <c r="BW49" s="139"/>
      <c r="BX49" s="139"/>
      <c r="BY49" s="139"/>
      <c r="BZ49" s="139"/>
      <c r="CA49" s="139"/>
      <c r="CB49" s="139"/>
      <c r="CC49" s="139"/>
      <c r="CD49" s="139"/>
      <c r="CE49" s="139"/>
      <c r="CF49" s="139"/>
      <c r="CG49" s="139"/>
      <c r="CH49" s="139"/>
      <c r="CI49" s="139"/>
      <c r="CJ49" s="139"/>
      <c r="CK49" s="139"/>
      <c r="CL49" s="139"/>
      <c r="CM49" s="139"/>
      <c r="CN49" s="139"/>
      <c r="CO49" s="139"/>
      <c r="CP49" s="139"/>
      <c r="CQ49" s="139"/>
      <c r="CR49" s="139"/>
      <c r="CS49" s="139"/>
    </row>
    <row r="50" spans="1:97" s="140" customFormat="1" ht="15.75" customHeight="1">
      <c r="A50" s="138"/>
      <c r="B50" s="138"/>
      <c r="C50" s="190"/>
      <c r="D50" s="314">
        <v>14.2</v>
      </c>
      <c r="E50" s="186" t="s">
        <v>360</v>
      </c>
      <c r="F50" s="487">
        <v>0.4</v>
      </c>
      <c r="G50" s="187" t="s">
        <v>361</v>
      </c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39"/>
      <c r="AF50" s="139"/>
      <c r="AG50" s="139"/>
      <c r="AH50" s="139"/>
      <c r="AI50" s="139"/>
      <c r="AJ50" s="139"/>
      <c r="AK50" s="139"/>
      <c r="AL50" s="139"/>
      <c r="AM50" s="139"/>
      <c r="AN50" s="139"/>
      <c r="AO50" s="139"/>
      <c r="AP50" s="139"/>
      <c r="AQ50" s="139"/>
      <c r="AR50" s="139"/>
      <c r="AS50" s="139"/>
      <c r="AT50" s="139"/>
      <c r="AU50" s="139"/>
      <c r="AV50" s="139"/>
      <c r="AW50" s="139"/>
      <c r="AX50" s="139"/>
      <c r="AY50" s="139"/>
      <c r="AZ50" s="139"/>
      <c r="BA50" s="139"/>
      <c r="BB50" s="139"/>
      <c r="BC50" s="139"/>
      <c r="BD50" s="139"/>
      <c r="BE50" s="139"/>
      <c r="BF50" s="139"/>
      <c r="BG50" s="139"/>
      <c r="BH50" s="139"/>
      <c r="BI50" s="139"/>
      <c r="BJ50" s="139"/>
      <c r="BK50" s="139"/>
      <c r="BL50" s="139"/>
      <c r="BM50" s="139"/>
      <c r="BN50" s="139"/>
      <c r="BO50" s="139"/>
      <c r="BP50" s="139"/>
      <c r="BQ50" s="139"/>
      <c r="BR50" s="139"/>
      <c r="BS50" s="139"/>
      <c r="BT50" s="139"/>
      <c r="BU50" s="139"/>
      <c r="BV50" s="139"/>
      <c r="BW50" s="139"/>
      <c r="BX50" s="139"/>
      <c r="BY50" s="139"/>
      <c r="BZ50" s="139"/>
      <c r="CA50" s="139"/>
      <c r="CB50" s="139"/>
      <c r="CC50" s="139"/>
      <c r="CD50" s="139"/>
      <c r="CE50" s="139"/>
      <c r="CF50" s="139"/>
      <c r="CG50" s="139"/>
      <c r="CH50" s="139"/>
      <c r="CI50" s="139"/>
      <c r="CJ50" s="139"/>
      <c r="CK50" s="139"/>
      <c r="CL50" s="139"/>
      <c r="CM50" s="139"/>
      <c r="CN50" s="139"/>
      <c r="CO50" s="139"/>
      <c r="CP50" s="139"/>
      <c r="CQ50" s="139"/>
      <c r="CR50" s="139"/>
      <c r="CS50" s="139"/>
    </row>
    <row r="51" spans="1:97" s="140" customFormat="1" ht="15.75" hidden="1" customHeight="1">
      <c r="A51" s="138"/>
      <c r="B51" s="138"/>
      <c r="C51" s="190">
        <v>17</v>
      </c>
      <c r="D51" s="314" t="e">
        <f>IF(VLOOKUP(C51,PROPONENTES!$B$19:$E$218,2,FALSE)="","",VLOOKUP(C51,PROPONENTES!$B$19:$E$218,2,FALSE))</f>
        <v>#N/A</v>
      </c>
      <c r="E51" s="186" t="e">
        <f>IF(D51="","",IF(D51-INT(D51)&gt;1,"",VLOOKUP(D51,PROPONENTES!$C$19:$D$218,2,FALSE)))</f>
        <v>#N/A</v>
      </c>
      <c r="F51" s="487"/>
      <c r="G51" s="187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39"/>
      <c r="AF51" s="139"/>
      <c r="AG51" s="139"/>
      <c r="AH51" s="139"/>
      <c r="AI51" s="139"/>
      <c r="AJ51" s="139"/>
      <c r="AK51" s="139"/>
      <c r="AL51" s="139"/>
      <c r="AM51" s="139"/>
      <c r="AN51" s="139"/>
      <c r="AO51" s="139"/>
      <c r="AP51" s="139"/>
      <c r="AQ51" s="139"/>
      <c r="AR51" s="139"/>
      <c r="AS51" s="139"/>
      <c r="AT51" s="139"/>
      <c r="AU51" s="139"/>
      <c r="AV51" s="139"/>
      <c r="AW51" s="139"/>
      <c r="AX51" s="139"/>
      <c r="AY51" s="139"/>
      <c r="AZ51" s="139"/>
      <c r="BA51" s="139"/>
      <c r="BB51" s="139"/>
      <c r="BC51" s="139"/>
      <c r="BD51" s="139"/>
      <c r="BE51" s="139"/>
      <c r="BF51" s="139"/>
      <c r="BG51" s="139"/>
      <c r="BH51" s="139"/>
      <c r="BI51" s="139"/>
      <c r="BJ51" s="139"/>
      <c r="BK51" s="139"/>
      <c r="BL51" s="139"/>
      <c r="BM51" s="139"/>
      <c r="BN51" s="139"/>
      <c r="BO51" s="139"/>
      <c r="BP51" s="139"/>
      <c r="BQ51" s="139"/>
      <c r="BR51" s="139"/>
      <c r="BS51" s="139"/>
      <c r="BT51" s="139"/>
      <c r="BU51" s="139"/>
      <c r="BV51" s="139"/>
      <c r="BW51" s="139"/>
      <c r="BX51" s="139"/>
      <c r="BY51" s="139"/>
      <c r="BZ51" s="139"/>
      <c r="CA51" s="139"/>
      <c r="CB51" s="139"/>
      <c r="CC51" s="139"/>
      <c r="CD51" s="139"/>
      <c r="CE51" s="139"/>
      <c r="CF51" s="139"/>
      <c r="CG51" s="139"/>
      <c r="CH51" s="139"/>
      <c r="CI51" s="139"/>
      <c r="CJ51" s="139"/>
      <c r="CK51" s="139"/>
      <c r="CL51" s="139"/>
      <c r="CM51" s="139"/>
      <c r="CN51" s="139"/>
      <c r="CO51" s="139"/>
      <c r="CP51" s="139"/>
      <c r="CQ51" s="139"/>
      <c r="CR51" s="139"/>
      <c r="CS51" s="139"/>
    </row>
    <row r="52" spans="1:97" s="140" customFormat="1" ht="15.75" hidden="1" customHeight="1">
      <c r="A52" s="138"/>
      <c r="B52" s="138"/>
      <c r="C52" s="190">
        <v>18</v>
      </c>
      <c r="D52" s="314" t="e">
        <f>IF(VLOOKUP(C52,PROPONENTES!$B$19:$E$218,2,FALSE)="","",VLOOKUP(C52,PROPONENTES!$B$19:$E$218,2,FALSE))</f>
        <v>#N/A</v>
      </c>
      <c r="E52" s="186" t="e">
        <f>IF(D52="","",IF(D52-INT(D52)&gt;1,"",VLOOKUP(D52,PROPONENTES!$C$19:$D$218,2,FALSE)))</f>
        <v>#N/A</v>
      </c>
      <c r="F52" s="487"/>
      <c r="G52" s="187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39"/>
      <c r="AF52" s="139"/>
      <c r="AG52" s="139"/>
      <c r="AH52" s="139"/>
      <c r="AI52" s="139"/>
      <c r="AJ52" s="139"/>
      <c r="AK52" s="139"/>
      <c r="AL52" s="139"/>
      <c r="AM52" s="139"/>
      <c r="AN52" s="139"/>
      <c r="AO52" s="139"/>
      <c r="AP52" s="139"/>
      <c r="AQ52" s="139"/>
      <c r="AR52" s="139"/>
      <c r="AS52" s="139"/>
      <c r="AT52" s="139"/>
      <c r="AU52" s="139"/>
      <c r="AV52" s="139"/>
      <c r="AW52" s="139"/>
      <c r="AX52" s="139"/>
      <c r="AY52" s="139"/>
      <c r="AZ52" s="139"/>
      <c r="BA52" s="139"/>
      <c r="BB52" s="139"/>
      <c r="BC52" s="139"/>
      <c r="BD52" s="139"/>
      <c r="BE52" s="139"/>
      <c r="BF52" s="139"/>
      <c r="BG52" s="139"/>
      <c r="BH52" s="139"/>
      <c r="BI52" s="139"/>
      <c r="BJ52" s="139"/>
      <c r="BK52" s="139"/>
      <c r="BL52" s="139"/>
      <c r="BM52" s="139"/>
      <c r="BN52" s="139"/>
      <c r="BO52" s="139"/>
      <c r="BP52" s="139"/>
      <c r="BQ52" s="139"/>
      <c r="BR52" s="139"/>
      <c r="BS52" s="139"/>
      <c r="BT52" s="139"/>
      <c r="BU52" s="139"/>
      <c r="BV52" s="139"/>
      <c r="BW52" s="139"/>
      <c r="BX52" s="139"/>
      <c r="BY52" s="139"/>
      <c r="BZ52" s="139"/>
      <c r="CA52" s="139"/>
      <c r="CB52" s="139"/>
      <c r="CC52" s="139"/>
      <c r="CD52" s="139"/>
      <c r="CE52" s="139"/>
      <c r="CF52" s="139"/>
      <c r="CG52" s="139"/>
      <c r="CH52" s="139"/>
      <c r="CI52" s="139"/>
      <c r="CJ52" s="139"/>
      <c r="CK52" s="139"/>
      <c r="CL52" s="139"/>
      <c r="CM52" s="139"/>
      <c r="CN52" s="139"/>
      <c r="CO52" s="139"/>
      <c r="CP52" s="139"/>
      <c r="CQ52" s="139"/>
      <c r="CR52" s="139"/>
      <c r="CS52" s="139"/>
    </row>
    <row r="53" spans="1:97" s="140" customFormat="1" ht="15.75" hidden="1" customHeight="1">
      <c r="A53" s="138"/>
      <c r="B53" s="138"/>
      <c r="C53" s="190">
        <v>19</v>
      </c>
      <c r="D53" s="314" t="e">
        <f>IF(VLOOKUP(C53,PROPONENTES!$B$19:$E$218,2,FALSE)="","",VLOOKUP(C53,PROPONENTES!$B$19:$E$218,2,FALSE))</f>
        <v>#N/A</v>
      </c>
      <c r="E53" s="186" t="e">
        <f>IF(D53="","",IF(D53-INT(D53)&gt;1,"",VLOOKUP(D53,PROPONENTES!$C$19:$D$218,2,FALSE)))</f>
        <v>#N/A</v>
      </c>
      <c r="F53" s="487"/>
      <c r="G53" s="187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39"/>
      <c r="AF53" s="139"/>
      <c r="AG53" s="139"/>
      <c r="AH53" s="139"/>
      <c r="AI53" s="139"/>
      <c r="AJ53" s="139"/>
      <c r="AK53" s="139"/>
      <c r="AL53" s="139"/>
      <c r="AM53" s="139"/>
      <c r="AN53" s="139"/>
      <c r="AO53" s="139"/>
      <c r="AP53" s="139"/>
      <c r="AQ53" s="139"/>
      <c r="AR53" s="139"/>
      <c r="AS53" s="139"/>
      <c r="AT53" s="139"/>
      <c r="AU53" s="139"/>
      <c r="AV53" s="139"/>
      <c r="AW53" s="139"/>
      <c r="AX53" s="139"/>
      <c r="AY53" s="139"/>
      <c r="AZ53" s="139"/>
      <c r="BA53" s="139"/>
      <c r="BB53" s="139"/>
      <c r="BC53" s="139"/>
      <c r="BD53" s="139"/>
      <c r="BE53" s="139"/>
      <c r="BF53" s="139"/>
      <c r="BG53" s="139"/>
      <c r="BH53" s="139"/>
      <c r="BI53" s="139"/>
      <c r="BJ53" s="139"/>
      <c r="BK53" s="139"/>
      <c r="BL53" s="139"/>
      <c r="BM53" s="139"/>
      <c r="BN53" s="139"/>
      <c r="BO53" s="139"/>
      <c r="BP53" s="139"/>
      <c r="BQ53" s="139"/>
      <c r="BR53" s="139"/>
      <c r="BS53" s="139"/>
      <c r="BT53" s="139"/>
      <c r="BU53" s="139"/>
      <c r="BV53" s="139"/>
      <c r="BW53" s="139"/>
      <c r="BX53" s="139"/>
      <c r="BY53" s="139"/>
      <c r="BZ53" s="139"/>
      <c r="CA53" s="139"/>
      <c r="CB53" s="139"/>
      <c r="CC53" s="139"/>
      <c r="CD53" s="139"/>
      <c r="CE53" s="139"/>
      <c r="CF53" s="139"/>
      <c r="CG53" s="139"/>
      <c r="CH53" s="139"/>
      <c r="CI53" s="139"/>
      <c r="CJ53" s="139"/>
      <c r="CK53" s="139"/>
      <c r="CL53" s="139"/>
      <c r="CM53" s="139"/>
      <c r="CN53" s="139"/>
      <c r="CO53" s="139"/>
      <c r="CP53" s="139"/>
      <c r="CQ53" s="139"/>
      <c r="CR53" s="139"/>
      <c r="CS53" s="139"/>
    </row>
    <row r="54" spans="1:97" s="140" customFormat="1" ht="15.75" hidden="1" customHeight="1">
      <c r="A54" s="138"/>
      <c r="B54" s="138"/>
      <c r="C54" s="190">
        <v>20</v>
      </c>
      <c r="D54" s="314" t="e">
        <f>IF(VLOOKUP(C54,PROPONENTES!$B$19:$E$218,2,FALSE)="","",VLOOKUP(C54,PROPONENTES!$B$19:$E$218,2,FALSE))</f>
        <v>#N/A</v>
      </c>
      <c r="E54" s="186" t="e">
        <f>IF(D54="","",IF(D54-INT(D54)&gt;1,"",VLOOKUP(D54,PROPONENTES!$C$19:$D$218,2,FALSE)))</f>
        <v>#N/A</v>
      </c>
      <c r="F54" s="487"/>
      <c r="G54" s="187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39"/>
      <c r="AE54" s="139"/>
      <c r="AF54" s="139"/>
      <c r="AG54" s="139"/>
      <c r="AH54" s="139"/>
      <c r="AI54" s="139"/>
      <c r="AJ54" s="139"/>
      <c r="AK54" s="139"/>
      <c r="AL54" s="139"/>
      <c r="AM54" s="139"/>
      <c r="AN54" s="139"/>
      <c r="AO54" s="139"/>
      <c r="AP54" s="139"/>
      <c r="AQ54" s="139"/>
      <c r="AR54" s="139"/>
      <c r="AS54" s="139"/>
      <c r="AT54" s="139"/>
      <c r="AU54" s="139"/>
      <c r="AV54" s="139"/>
      <c r="AW54" s="139"/>
      <c r="AX54" s="139"/>
      <c r="AY54" s="139"/>
      <c r="AZ54" s="139"/>
      <c r="BA54" s="139"/>
      <c r="BB54" s="139"/>
      <c r="BC54" s="139"/>
      <c r="BD54" s="139"/>
      <c r="BE54" s="139"/>
      <c r="BF54" s="139"/>
      <c r="BG54" s="139"/>
      <c r="BH54" s="139"/>
      <c r="BI54" s="139"/>
      <c r="BJ54" s="139"/>
      <c r="BK54" s="139"/>
      <c r="BL54" s="139"/>
      <c r="BM54" s="139"/>
      <c r="BN54" s="139"/>
      <c r="BO54" s="139"/>
      <c r="BP54" s="139"/>
      <c r="BQ54" s="139"/>
      <c r="BR54" s="139"/>
      <c r="BS54" s="139"/>
      <c r="BT54" s="139"/>
      <c r="BU54" s="139"/>
      <c r="BV54" s="139"/>
      <c r="BW54" s="139"/>
      <c r="BX54" s="139"/>
      <c r="BY54" s="139"/>
      <c r="BZ54" s="139"/>
      <c r="CA54" s="139"/>
      <c r="CB54" s="139"/>
      <c r="CC54" s="139"/>
      <c r="CD54" s="139"/>
      <c r="CE54" s="139"/>
      <c r="CF54" s="139"/>
      <c r="CG54" s="139"/>
      <c r="CH54" s="139"/>
      <c r="CI54" s="139"/>
      <c r="CJ54" s="139"/>
      <c r="CK54" s="139"/>
      <c r="CL54" s="139"/>
      <c r="CM54" s="139"/>
      <c r="CN54" s="139"/>
      <c r="CO54" s="139"/>
      <c r="CP54" s="139"/>
      <c r="CQ54" s="139"/>
      <c r="CR54" s="139"/>
      <c r="CS54" s="139"/>
    </row>
    <row r="55" spans="1:97" s="140" customFormat="1" ht="15.75" hidden="1" customHeight="1">
      <c r="A55" s="138"/>
      <c r="B55" s="138"/>
      <c r="C55" s="190">
        <v>21</v>
      </c>
      <c r="D55" s="314" t="e">
        <f>IF(VLOOKUP(C55,PROPONENTES!$B$19:$E$218,2,FALSE)="","",VLOOKUP(C55,PROPONENTES!$B$19:$E$218,2,FALSE))</f>
        <v>#N/A</v>
      </c>
      <c r="E55" s="186" t="e">
        <f>IF(D55="","",IF(D55-INT(D55)&gt;1,"",VLOOKUP(D55,PROPONENTES!$C$19:$D$218,2,FALSE)))</f>
        <v>#N/A</v>
      </c>
      <c r="F55" s="487"/>
      <c r="G55" s="187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39"/>
      <c r="AE55" s="139"/>
      <c r="AF55" s="139"/>
      <c r="AG55" s="139"/>
      <c r="AH55" s="139"/>
      <c r="AI55" s="139"/>
      <c r="AJ55" s="139"/>
      <c r="AK55" s="139"/>
      <c r="AL55" s="139"/>
      <c r="AM55" s="139"/>
      <c r="AN55" s="139"/>
      <c r="AO55" s="139"/>
      <c r="AP55" s="139"/>
      <c r="AQ55" s="139"/>
      <c r="AR55" s="139"/>
      <c r="AS55" s="139"/>
      <c r="AT55" s="139"/>
      <c r="AU55" s="139"/>
      <c r="AV55" s="139"/>
      <c r="AW55" s="139"/>
      <c r="AX55" s="139"/>
      <c r="AY55" s="139"/>
      <c r="AZ55" s="139"/>
      <c r="BA55" s="139"/>
      <c r="BB55" s="139"/>
      <c r="BC55" s="139"/>
      <c r="BD55" s="139"/>
      <c r="BE55" s="139"/>
      <c r="BF55" s="139"/>
      <c r="BG55" s="139"/>
      <c r="BH55" s="139"/>
      <c r="BI55" s="139"/>
      <c r="BJ55" s="139"/>
      <c r="BK55" s="139"/>
      <c r="BL55" s="139"/>
      <c r="BM55" s="139"/>
      <c r="BN55" s="139"/>
      <c r="BO55" s="139"/>
      <c r="BP55" s="139"/>
      <c r="BQ55" s="139"/>
      <c r="BR55" s="139"/>
      <c r="BS55" s="139"/>
      <c r="BT55" s="139"/>
      <c r="BU55" s="139"/>
      <c r="BV55" s="139"/>
      <c r="BW55" s="139"/>
      <c r="BX55" s="139"/>
      <c r="BY55" s="139"/>
      <c r="BZ55" s="139"/>
      <c r="CA55" s="139"/>
      <c r="CB55" s="139"/>
      <c r="CC55" s="139"/>
      <c r="CD55" s="139"/>
      <c r="CE55" s="139"/>
      <c r="CF55" s="139"/>
      <c r="CG55" s="139"/>
      <c r="CH55" s="139"/>
      <c r="CI55" s="139"/>
      <c r="CJ55" s="139"/>
      <c r="CK55" s="139"/>
      <c r="CL55" s="139"/>
      <c r="CM55" s="139"/>
      <c r="CN55" s="139"/>
      <c r="CO55" s="139"/>
      <c r="CP55" s="139"/>
      <c r="CQ55" s="139"/>
      <c r="CR55" s="139"/>
      <c r="CS55" s="139"/>
    </row>
    <row r="56" spans="1:97" s="140" customFormat="1" ht="15.75" hidden="1" customHeight="1">
      <c r="A56" s="138"/>
      <c r="B56" s="138"/>
      <c r="C56" s="190">
        <v>22</v>
      </c>
      <c r="D56" s="314" t="e">
        <f>IF(VLOOKUP(C56,PROPONENTES!$B$19:$E$218,2,FALSE)="","",VLOOKUP(C56,PROPONENTES!$B$19:$E$218,2,FALSE))</f>
        <v>#N/A</v>
      </c>
      <c r="E56" s="186" t="e">
        <f>IF(D56="","",IF(D56-INT(D56)&gt;1,"",VLOOKUP(D56,PROPONENTES!$C$19:$D$218,2,FALSE)))</f>
        <v>#N/A</v>
      </c>
      <c r="F56" s="487"/>
      <c r="G56" s="187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  <c r="AX56" s="139"/>
      <c r="AY56" s="139"/>
      <c r="AZ56" s="139"/>
      <c r="BA56" s="139"/>
      <c r="BB56" s="139"/>
      <c r="BC56" s="139"/>
      <c r="BD56" s="139"/>
      <c r="BE56" s="139"/>
      <c r="BF56" s="139"/>
      <c r="BG56" s="139"/>
      <c r="BH56" s="139"/>
      <c r="BI56" s="139"/>
      <c r="BJ56" s="139"/>
      <c r="BK56" s="139"/>
      <c r="BL56" s="139"/>
      <c r="BM56" s="139"/>
      <c r="BN56" s="139"/>
      <c r="BO56" s="139"/>
      <c r="BP56" s="139"/>
      <c r="BQ56" s="139"/>
      <c r="BR56" s="139"/>
      <c r="BS56" s="139"/>
      <c r="BT56" s="139"/>
      <c r="BU56" s="139"/>
      <c r="BV56" s="139"/>
      <c r="BW56" s="139"/>
      <c r="BX56" s="139"/>
      <c r="BY56" s="139"/>
      <c r="BZ56" s="139"/>
      <c r="CA56" s="139"/>
      <c r="CB56" s="139"/>
      <c r="CC56" s="139"/>
      <c r="CD56" s="139"/>
      <c r="CE56" s="139"/>
      <c r="CF56" s="139"/>
      <c r="CG56" s="139"/>
      <c r="CH56" s="139"/>
      <c r="CI56" s="139"/>
      <c r="CJ56" s="139"/>
      <c r="CK56" s="139"/>
      <c r="CL56" s="139"/>
      <c r="CM56" s="139"/>
      <c r="CN56" s="139"/>
      <c r="CO56" s="139"/>
      <c r="CP56" s="139"/>
      <c r="CQ56" s="139"/>
      <c r="CR56" s="139"/>
      <c r="CS56" s="139"/>
    </row>
    <row r="57" spans="1:97" s="140" customFormat="1" ht="15.75" hidden="1" customHeight="1">
      <c r="A57" s="138"/>
      <c r="B57" s="138"/>
      <c r="C57" s="190">
        <v>23</v>
      </c>
      <c r="D57" s="314" t="e">
        <f>IF(VLOOKUP(C57,PROPONENTES!$B$19:$E$218,2,FALSE)="","",VLOOKUP(C57,PROPONENTES!$B$19:$E$218,2,FALSE))</f>
        <v>#N/A</v>
      </c>
      <c r="E57" s="186" t="e">
        <f>IF(D57="","",IF(D57-INT(D57)&gt;1,"",VLOOKUP(D57,PROPONENTES!$C$19:$D$218,2,FALSE)))</f>
        <v>#N/A</v>
      </c>
      <c r="F57" s="487"/>
      <c r="G57" s="187"/>
      <c r="H57" s="139"/>
      <c r="I57" s="139"/>
      <c r="J57" s="139"/>
      <c r="K57" s="139"/>
      <c r="L57" s="139"/>
      <c r="M57" s="139"/>
      <c r="N57" s="139"/>
      <c r="O57" s="139"/>
      <c r="P57" s="139"/>
      <c r="Q57" s="139"/>
      <c r="R57" s="139"/>
      <c r="S57" s="139"/>
      <c r="T57" s="139"/>
      <c r="U57" s="139"/>
      <c r="V57" s="139"/>
      <c r="W57" s="139"/>
      <c r="X57" s="139"/>
      <c r="Y57" s="139"/>
      <c r="Z57" s="139"/>
      <c r="AA57" s="139"/>
      <c r="AB57" s="139"/>
      <c r="AC57" s="139"/>
      <c r="AD57" s="139"/>
      <c r="AE57" s="139"/>
      <c r="AF57" s="139"/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139"/>
      <c r="AR57" s="139"/>
      <c r="AS57" s="139"/>
      <c r="AT57" s="139"/>
      <c r="AU57" s="139"/>
      <c r="AV57" s="139"/>
      <c r="AW57" s="139"/>
      <c r="AX57" s="139"/>
      <c r="AY57" s="139"/>
      <c r="AZ57" s="139"/>
      <c r="BA57" s="139"/>
      <c r="BB57" s="139"/>
      <c r="BC57" s="139"/>
      <c r="BD57" s="139"/>
      <c r="BE57" s="139"/>
      <c r="BF57" s="139"/>
      <c r="BG57" s="139"/>
      <c r="BH57" s="139"/>
      <c r="BI57" s="139"/>
      <c r="BJ57" s="139"/>
      <c r="BK57" s="139"/>
      <c r="BL57" s="139"/>
      <c r="BM57" s="139"/>
      <c r="BN57" s="139"/>
      <c r="BO57" s="139"/>
      <c r="BP57" s="139"/>
      <c r="BQ57" s="139"/>
      <c r="BR57" s="139"/>
      <c r="BS57" s="139"/>
      <c r="BT57" s="139"/>
      <c r="BU57" s="139"/>
      <c r="BV57" s="139"/>
      <c r="BW57" s="139"/>
      <c r="BX57" s="139"/>
      <c r="BY57" s="139"/>
      <c r="BZ57" s="139"/>
      <c r="CA57" s="139"/>
      <c r="CB57" s="139"/>
      <c r="CC57" s="139"/>
      <c r="CD57" s="139"/>
      <c r="CE57" s="139"/>
      <c r="CF57" s="139"/>
      <c r="CG57" s="139"/>
      <c r="CH57" s="139"/>
      <c r="CI57" s="139"/>
      <c r="CJ57" s="139"/>
      <c r="CK57" s="139"/>
      <c r="CL57" s="139"/>
      <c r="CM57" s="139"/>
      <c r="CN57" s="139"/>
      <c r="CO57" s="139"/>
      <c r="CP57" s="139"/>
      <c r="CQ57" s="139"/>
      <c r="CR57" s="139"/>
      <c r="CS57" s="139"/>
    </row>
    <row r="58" spans="1:97" s="140" customFormat="1" ht="15.75" hidden="1" customHeight="1">
      <c r="A58" s="138"/>
      <c r="B58" s="138"/>
      <c r="C58" s="190">
        <v>24</v>
      </c>
      <c r="D58" s="314" t="e">
        <f>IF(VLOOKUP(C58,PROPONENTES!$B$19:$E$218,2,FALSE)="","",VLOOKUP(C58,PROPONENTES!$B$19:$E$218,2,FALSE))</f>
        <v>#N/A</v>
      </c>
      <c r="E58" s="186" t="e">
        <f>IF(D58="","",IF(D58-INT(D58)&gt;1,"",VLOOKUP(D58,PROPONENTES!$C$19:$D$218,2,FALSE)))</f>
        <v>#N/A</v>
      </c>
      <c r="F58" s="487"/>
      <c r="G58" s="187"/>
      <c r="H58" s="139"/>
      <c r="I58" s="139"/>
      <c r="J58" s="139"/>
      <c r="K58" s="139"/>
      <c r="L58" s="139"/>
      <c r="M58" s="139"/>
      <c r="N58" s="139"/>
      <c r="O58" s="139"/>
      <c r="P58" s="139"/>
      <c r="Q58" s="139"/>
      <c r="R58" s="139"/>
      <c r="S58" s="139"/>
      <c r="T58" s="139"/>
      <c r="U58" s="139"/>
      <c r="V58" s="139"/>
      <c r="W58" s="139"/>
      <c r="X58" s="139"/>
      <c r="Y58" s="139"/>
      <c r="Z58" s="139"/>
      <c r="AA58" s="139"/>
      <c r="AB58" s="139"/>
      <c r="AC58" s="139"/>
      <c r="AD58" s="139"/>
      <c r="AE58" s="139"/>
      <c r="AF58" s="139"/>
      <c r="AG58" s="139"/>
      <c r="AH58" s="139"/>
      <c r="AI58" s="139"/>
      <c r="AJ58" s="139"/>
      <c r="AK58" s="139"/>
      <c r="AL58" s="139"/>
      <c r="AM58" s="139"/>
      <c r="AN58" s="139"/>
      <c r="AO58" s="139"/>
      <c r="AP58" s="139"/>
      <c r="AQ58" s="139"/>
      <c r="AR58" s="139"/>
      <c r="AS58" s="139"/>
      <c r="AT58" s="139"/>
      <c r="AU58" s="139"/>
      <c r="AV58" s="139"/>
      <c r="AW58" s="139"/>
      <c r="AX58" s="139"/>
      <c r="AY58" s="139"/>
      <c r="AZ58" s="139"/>
      <c r="BA58" s="139"/>
      <c r="BB58" s="139"/>
      <c r="BC58" s="139"/>
      <c r="BD58" s="139"/>
      <c r="BE58" s="139"/>
      <c r="BF58" s="139"/>
      <c r="BG58" s="139"/>
      <c r="BH58" s="139"/>
      <c r="BI58" s="139"/>
      <c r="BJ58" s="139"/>
      <c r="BK58" s="139"/>
      <c r="BL58" s="139"/>
      <c r="BM58" s="139"/>
      <c r="BN58" s="139"/>
      <c r="BO58" s="139"/>
      <c r="BP58" s="139"/>
      <c r="BQ58" s="139"/>
      <c r="BR58" s="139"/>
      <c r="BS58" s="139"/>
      <c r="BT58" s="139"/>
      <c r="BU58" s="139"/>
      <c r="BV58" s="139"/>
      <c r="BW58" s="139"/>
      <c r="BX58" s="139"/>
      <c r="BY58" s="139"/>
      <c r="BZ58" s="139"/>
      <c r="CA58" s="139"/>
      <c r="CB58" s="139"/>
      <c r="CC58" s="139"/>
      <c r="CD58" s="139"/>
      <c r="CE58" s="139"/>
      <c r="CF58" s="139"/>
      <c r="CG58" s="139"/>
      <c r="CH58" s="139"/>
      <c r="CI58" s="139"/>
      <c r="CJ58" s="139"/>
      <c r="CK58" s="139"/>
      <c r="CL58" s="139"/>
      <c r="CM58" s="139"/>
      <c r="CN58" s="139"/>
      <c r="CO58" s="139"/>
      <c r="CP58" s="139"/>
      <c r="CQ58" s="139"/>
      <c r="CR58" s="139"/>
      <c r="CS58" s="139"/>
    </row>
    <row r="59" spans="1:97" s="140" customFormat="1" ht="15.75" hidden="1" customHeight="1">
      <c r="A59" s="138"/>
      <c r="B59" s="138"/>
      <c r="C59" s="190">
        <v>25</v>
      </c>
      <c r="D59" s="314" t="e">
        <f>IF(VLOOKUP(C59,PROPONENTES!$B$19:$E$218,2,FALSE)="","",VLOOKUP(C59,PROPONENTES!$B$19:$E$218,2,FALSE))</f>
        <v>#N/A</v>
      </c>
      <c r="E59" s="186" t="e">
        <f>IF(D59="","",IF(D59-INT(D59)&gt;1,"",VLOOKUP(D59,PROPONENTES!$C$19:$D$218,2,FALSE)))</f>
        <v>#N/A</v>
      </c>
      <c r="F59" s="487"/>
      <c r="G59" s="187"/>
      <c r="H59" s="139"/>
      <c r="I59" s="139"/>
      <c r="J59" s="139"/>
      <c r="K59" s="139"/>
      <c r="L59" s="139"/>
      <c r="M59" s="139"/>
      <c r="N59" s="139"/>
      <c r="O59" s="139"/>
      <c r="P59" s="139"/>
      <c r="Q59" s="139"/>
      <c r="R59" s="139"/>
      <c r="S59" s="139"/>
      <c r="T59" s="139"/>
      <c r="U59" s="139"/>
      <c r="V59" s="139"/>
      <c r="W59" s="139"/>
      <c r="X59" s="139"/>
      <c r="Y59" s="139"/>
      <c r="Z59" s="139"/>
      <c r="AA59" s="139"/>
      <c r="AB59" s="139"/>
      <c r="AC59" s="139"/>
      <c r="AD59" s="139"/>
      <c r="AE59" s="139"/>
      <c r="AF59" s="139"/>
      <c r="AG59" s="139"/>
      <c r="AH59" s="139"/>
      <c r="AI59" s="139"/>
      <c r="AJ59" s="139"/>
      <c r="AK59" s="139"/>
      <c r="AL59" s="139"/>
      <c r="AM59" s="139"/>
      <c r="AN59" s="139"/>
      <c r="AO59" s="139"/>
      <c r="AP59" s="139"/>
      <c r="AQ59" s="139"/>
      <c r="AR59" s="139"/>
      <c r="AS59" s="139"/>
      <c r="AT59" s="139"/>
      <c r="AU59" s="139"/>
      <c r="AV59" s="139"/>
      <c r="AW59" s="139"/>
      <c r="AX59" s="139"/>
      <c r="AY59" s="139"/>
      <c r="AZ59" s="139"/>
      <c r="BA59" s="139"/>
      <c r="BB59" s="139"/>
      <c r="BC59" s="139"/>
      <c r="BD59" s="139"/>
      <c r="BE59" s="139"/>
      <c r="BF59" s="139"/>
      <c r="BG59" s="139"/>
      <c r="BH59" s="139"/>
      <c r="BI59" s="139"/>
      <c r="BJ59" s="139"/>
      <c r="BK59" s="139"/>
      <c r="BL59" s="139"/>
      <c r="BM59" s="139"/>
      <c r="BN59" s="139"/>
      <c r="BO59" s="139"/>
      <c r="BP59" s="139"/>
      <c r="BQ59" s="139"/>
      <c r="BR59" s="139"/>
      <c r="BS59" s="139"/>
      <c r="BT59" s="139"/>
      <c r="BU59" s="139"/>
      <c r="BV59" s="139"/>
      <c r="BW59" s="139"/>
      <c r="BX59" s="139"/>
      <c r="BY59" s="139"/>
      <c r="BZ59" s="139"/>
      <c r="CA59" s="139"/>
      <c r="CB59" s="139"/>
      <c r="CC59" s="139"/>
      <c r="CD59" s="139"/>
      <c r="CE59" s="139"/>
      <c r="CF59" s="139"/>
      <c r="CG59" s="139"/>
      <c r="CH59" s="139"/>
      <c r="CI59" s="139"/>
      <c r="CJ59" s="139"/>
      <c r="CK59" s="139"/>
      <c r="CL59" s="139"/>
      <c r="CM59" s="139"/>
      <c r="CN59" s="139"/>
      <c r="CO59" s="139"/>
      <c r="CP59" s="139"/>
      <c r="CQ59" s="139"/>
      <c r="CR59" s="139"/>
      <c r="CS59" s="139"/>
    </row>
    <row r="60" spans="1:97" s="140" customFormat="1" ht="15.75" hidden="1" customHeight="1">
      <c r="A60" s="138"/>
      <c r="B60" s="138"/>
      <c r="C60" s="190">
        <v>26</v>
      </c>
      <c r="D60" s="314" t="e">
        <f>IF(VLOOKUP(C60,PROPONENTES!$B$19:$E$218,2,FALSE)="","",VLOOKUP(C60,PROPONENTES!$B$19:$E$218,2,FALSE))</f>
        <v>#N/A</v>
      </c>
      <c r="E60" s="186" t="e">
        <f>IF(D60="","",IF(D60-INT(D60)&gt;1,"",VLOOKUP(D60,PROPONENTES!$C$19:$D$218,2,FALSE)))</f>
        <v>#N/A</v>
      </c>
      <c r="F60" s="487"/>
      <c r="G60" s="187"/>
      <c r="H60" s="139"/>
      <c r="I60" s="139"/>
      <c r="J60" s="139"/>
      <c r="K60" s="139"/>
      <c r="L60" s="139"/>
      <c r="M60" s="139"/>
      <c r="N60" s="139"/>
      <c r="O60" s="139"/>
      <c r="P60" s="139"/>
      <c r="Q60" s="139"/>
      <c r="R60" s="139"/>
      <c r="S60" s="139"/>
      <c r="T60" s="139"/>
      <c r="U60" s="139"/>
      <c r="V60" s="139"/>
      <c r="W60" s="139"/>
      <c r="X60" s="139"/>
      <c r="Y60" s="139"/>
      <c r="Z60" s="139"/>
      <c r="AA60" s="139"/>
      <c r="AB60" s="139"/>
      <c r="AC60" s="139"/>
      <c r="AD60" s="139"/>
      <c r="AE60" s="139"/>
      <c r="AF60" s="139"/>
      <c r="AG60" s="139"/>
      <c r="AH60" s="139"/>
      <c r="AI60" s="139"/>
      <c r="AJ60" s="139"/>
      <c r="AK60" s="139"/>
      <c r="AL60" s="139"/>
      <c r="AM60" s="139"/>
      <c r="AN60" s="139"/>
      <c r="AO60" s="139"/>
      <c r="AP60" s="139"/>
      <c r="AQ60" s="139"/>
      <c r="AR60" s="139"/>
      <c r="AS60" s="139"/>
      <c r="AT60" s="139"/>
      <c r="AU60" s="139"/>
      <c r="AV60" s="139"/>
      <c r="AW60" s="139"/>
      <c r="AX60" s="139"/>
      <c r="AY60" s="139"/>
      <c r="AZ60" s="139"/>
      <c r="BA60" s="139"/>
      <c r="BB60" s="139"/>
      <c r="BC60" s="139"/>
      <c r="BD60" s="139"/>
      <c r="BE60" s="139"/>
      <c r="BF60" s="139"/>
      <c r="BG60" s="139"/>
      <c r="BH60" s="139"/>
      <c r="BI60" s="139"/>
      <c r="BJ60" s="139"/>
      <c r="BK60" s="139"/>
      <c r="BL60" s="139"/>
      <c r="BM60" s="139"/>
      <c r="BN60" s="139"/>
      <c r="BO60" s="139"/>
      <c r="BP60" s="139"/>
      <c r="BQ60" s="139"/>
      <c r="BR60" s="139"/>
      <c r="BS60" s="139"/>
      <c r="BT60" s="139"/>
      <c r="BU60" s="139"/>
      <c r="BV60" s="139"/>
      <c r="BW60" s="139"/>
      <c r="BX60" s="139"/>
      <c r="BY60" s="139"/>
      <c r="BZ60" s="139"/>
      <c r="CA60" s="139"/>
      <c r="CB60" s="139"/>
      <c r="CC60" s="139"/>
      <c r="CD60" s="139"/>
      <c r="CE60" s="139"/>
      <c r="CF60" s="139"/>
      <c r="CG60" s="139"/>
      <c r="CH60" s="139"/>
      <c r="CI60" s="139"/>
      <c r="CJ60" s="139"/>
      <c r="CK60" s="139"/>
      <c r="CL60" s="139"/>
      <c r="CM60" s="139"/>
      <c r="CN60" s="139"/>
      <c r="CO60" s="139"/>
      <c r="CP60" s="139"/>
      <c r="CQ60" s="139"/>
      <c r="CR60" s="139"/>
      <c r="CS60" s="139"/>
    </row>
    <row r="61" spans="1:97" s="140" customFormat="1" ht="15.75" hidden="1" customHeight="1">
      <c r="A61" s="138"/>
      <c r="B61" s="138"/>
      <c r="C61" s="190">
        <v>27</v>
      </c>
      <c r="D61" s="314" t="e">
        <f>IF(VLOOKUP(C61,PROPONENTES!$B$19:$E$218,2,FALSE)="","",VLOOKUP(C61,PROPONENTES!$B$19:$E$218,2,FALSE))</f>
        <v>#N/A</v>
      </c>
      <c r="E61" s="186" t="e">
        <f>IF(D61="","",IF(D61-INT(D61)&gt;1,"",VLOOKUP(D61,PROPONENTES!$C$19:$D$218,2,FALSE)))</f>
        <v>#N/A</v>
      </c>
      <c r="F61" s="487"/>
      <c r="G61" s="187"/>
      <c r="H61" s="139"/>
      <c r="I61" s="139"/>
      <c r="J61" s="139"/>
      <c r="K61" s="139"/>
      <c r="L61" s="139"/>
      <c r="M61" s="139"/>
      <c r="N61" s="139"/>
      <c r="O61" s="139"/>
      <c r="P61" s="139"/>
      <c r="Q61" s="139"/>
      <c r="R61" s="139"/>
      <c r="S61" s="139"/>
      <c r="T61" s="139"/>
      <c r="U61" s="139"/>
      <c r="V61" s="139"/>
      <c r="W61" s="139"/>
      <c r="X61" s="139"/>
      <c r="Y61" s="139"/>
      <c r="Z61" s="139"/>
      <c r="AA61" s="139"/>
      <c r="AB61" s="139"/>
      <c r="AC61" s="139"/>
      <c r="AD61" s="139"/>
      <c r="AE61" s="139"/>
      <c r="AF61" s="139"/>
      <c r="AG61" s="139"/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39"/>
      <c r="AT61" s="139"/>
      <c r="AU61" s="139"/>
      <c r="AV61" s="139"/>
      <c r="AW61" s="139"/>
      <c r="AX61" s="139"/>
      <c r="AY61" s="139"/>
      <c r="AZ61" s="139"/>
      <c r="BA61" s="139"/>
      <c r="BB61" s="139"/>
      <c r="BC61" s="139"/>
      <c r="BD61" s="139"/>
      <c r="BE61" s="139"/>
      <c r="BF61" s="139"/>
      <c r="BG61" s="139"/>
      <c r="BH61" s="139"/>
      <c r="BI61" s="139"/>
      <c r="BJ61" s="139"/>
      <c r="BK61" s="139"/>
      <c r="BL61" s="139"/>
      <c r="BM61" s="139"/>
      <c r="BN61" s="139"/>
      <c r="BO61" s="139"/>
      <c r="BP61" s="139"/>
      <c r="BQ61" s="139"/>
      <c r="BR61" s="139"/>
      <c r="BS61" s="139"/>
      <c r="BT61" s="139"/>
      <c r="BU61" s="139"/>
      <c r="BV61" s="139"/>
      <c r="BW61" s="139"/>
      <c r="BX61" s="139"/>
      <c r="BY61" s="139"/>
      <c r="BZ61" s="139"/>
      <c r="CA61" s="139"/>
      <c r="CB61" s="139"/>
      <c r="CC61" s="139"/>
      <c r="CD61" s="139"/>
      <c r="CE61" s="139"/>
      <c r="CF61" s="139"/>
      <c r="CG61" s="139"/>
      <c r="CH61" s="139"/>
      <c r="CI61" s="139"/>
      <c r="CJ61" s="139"/>
      <c r="CK61" s="139"/>
      <c r="CL61" s="139"/>
      <c r="CM61" s="139"/>
      <c r="CN61" s="139"/>
      <c r="CO61" s="139"/>
      <c r="CP61" s="139"/>
      <c r="CQ61" s="139"/>
      <c r="CR61" s="139"/>
      <c r="CS61" s="139"/>
    </row>
    <row r="62" spans="1:97" s="140" customFormat="1" ht="15.75" hidden="1" customHeight="1">
      <c r="A62" s="138"/>
      <c r="B62" s="138"/>
      <c r="C62" s="190">
        <v>28</v>
      </c>
      <c r="D62" s="314" t="e">
        <f>IF(VLOOKUP(C62,PROPONENTES!$B$19:$E$218,2,FALSE)="","",VLOOKUP(C62,PROPONENTES!$B$19:$E$218,2,FALSE))</f>
        <v>#N/A</v>
      </c>
      <c r="E62" s="186" t="e">
        <f>IF(D62="","",IF(D62-INT(D62)&gt;1,"",VLOOKUP(D62,PROPONENTES!$C$19:$D$218,2,FALSE)))</f>
        <v>#N/A</v>
      </c>
      <c r="F62" s="487"/>
      <c r="G62" s="187"/>
      <c r="H62" s="139"/>
      <c r="I62" s="139"/>
      <c r="J62" s="139"/>
      <c r="K62" s="139"/>
      <c r="L62" s="139"/>
      <c r="M62" s="139"/>
      <c r="N62" s="139"/>
      <c r="O62" s="139"/>
      <c r="P62" s="139"/>
      <c r="Q62" s="139"/>
      <c r="R62" s="139"/>
      <c r="S62" s="139"/>
      <c r="T62" s="139"/>
      <c r="U62" s="139"/>
      <c r="V62" s="139"/>
      <c r="W62" s="139"/>
      <c r="X62" s="139"/>
      <c r="Y62" s="139"/>
      <c r="Z62" s="139"/>
      <c r="AA62" s="139"/>
      <c r="AB62" s="139"/>
      <c r="AC62" s="139"/>
      <c r="AD62" s="139"/>
      <c r="AE62" s="139"/>
      <c r="AF62" s="139"/>
      <c r="AG62" s="139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39"/>
      <c r="AT62" s="139"/>
      <c r="AU62" s="139"/>
      <c r="AV62" s="139"/>
      <c r="AW62" s="139"/>
      <c r="AX62" s="139"/>
      <c r="AY62" s="139"/>
      <c r="AZ62" s="139"/>
      <c r="BA62" s="139"/>
      <c r="BB62" s="139"/>
      <c r="BC62" s="139"/>
      <c r="BD62" s="139"/>
      <c r="BE62" s="139"/>
      <c r="BF62" s="139"/>
      <c r="BG62" s="139"/>
      <c r="BH62" s="139"/>
      <c r="BI62" s="139"/>
      <c r="BJ62" s="139"/>
      <c r="BK62" s="139"/>
      <c r="BL62" s="139"/>
      <c r="BM62" s="139"/>
      <c r="BN62" s="139"/>
      <c r="BO62" s="139"/>
      <c r="BP62" s="139"/>
      <c r="BQ62" s="139"/>
      <c r="BR62" s="139"/>
      <c r="BS62" s="139"/>
      <c r="BT62" s="139"/>
      <c r="BU62" s="139"/>
      <c r="BV62" s="139"/>
      <c r="BW62" s="139"/>
      <c r="BX62" s="139"/>
      <c r="BY62" s="139"/>
      <c r="BZ62" s="139"/>
      <c r="CA62" s="139"/>
      <c r="CB62" s="139"/>
      <c r="CC62" s="139"/>
      <c r="CD62" s="139"/>
      <c r="CE62" s="139"/>
      <c r="CF62" s="139"/>
      <c r="CG62" s="139"/>
      <c r="CH62" s="139"/>
      <c r="CI62" s="139"/>
      <c r="CJ62" s="139"/>
      <c r="CK62" s="139"/>
      <c r="CL62" s="139"/>
      <c r="CM62" s="139"/>
      <c r="CN62" s="139"/>
      <c r="CO62" s="139"/>
      <c r="CP62" s="139"/>
      <c r="CQ62" s="139"/>
      <c r="CR62" s="139"/>
      <c r="CS62" s="139"/>
    </row>
    <row r="63" spans="1:97" s="140" customFormat="1" ht="15.75" hidden="1" customHeight="1">
      <c r="A63" s="138"/>
      <c r="B63" s="138"/>
      <c r="C63" s="190">
        <v>29</v>
      </c>
      <c r="D63" s="314" t="e">
        <f>IF(VLOOKUP(C63,PROPONENTES!$B$19:$E$218,2,FALSE)="","",VLOOKUP(C63,PROPONENTES!$B$19:$E$218,2,FALSE))</f>
        <v>#N/A</v>
      </c>
      <c r="E63" s="186" t="e">
        <f>IF(D63="","",IF(D63-INT(D63)&gt;1,"",VLOOKUP(D63,PROPONENTES!$C$19:$D$218,2,FALSE)))</f>
        <v>#N/A</v>
      </c>
      <c r="F63" s="487"/>
      <c r="G63" s="187"/>
      <c r="H63" s="139"/>
      <c r="I63" s="139"/>
      <c r="J63" s="139"/>
      <c r="K63" s="139"/>
      <c r="L63" s="139"/>
      <c r="M63" s="139"/>
      <c r="N63" s="139"/>
      <c r="O63" s="139"/>
      <c r="P63" s="139"/>
      <c r="Q63" s="139"/>
      <c r="R63" s="139"/>
      <c r="S63" s="139"/>
      <c r="T63" s="139"/>
      <c r="U63" s="139"/>
      <c r="V63" s="139"/>
      <c r="W63" s="139"/>
      <c r="X63" s="139"/>
      <c r="Y63" s="139"/>
      <c r="Z63" s="139"/>
      <c r="AA63" s="139"/>
      <c r="AB63" s="139"/>
      <c r="AC63" s="139"/>
      <c r="AD63" s="139"/>
      <c r="AE63" s="139"/>
      <c r="AF63" s="139"/>
      <c r="AG63" s="139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39"/>
      <c r="AT63" s="139"/>
      <c r="AU63" s="139"/>
      <c r="AV63" s="139"/>
      <c r="AW63" s="139"/>
      <c r="AX63" s="139"/>
      <c r="AY63" s="139"/>
      <c r="AZ63" s="139"/>
      <c r="BA63" s="139"/>
      <c r="BB63" s="139"/>
      <c r="BC63" s="139"/>
      <c r="BD63" s="139"/>
      <c r="BE63" s="139"/>
      <c r="BF63" s="139"/>
      <c r="BG63" s="139"/>
      <c r="BH63" s="139"/>
      <c r="BI63" s="139"/>
      <c r="BJ63" s="139"/>
      <c r="BK63" s="139"/>
      <c r="BL63" s="139"/>
      <c r="BM63" s="139"/>
      <c r="BN63" s="139"/>
      <c r="BO63" s="139"/>
      <c r="BP63" s="139"/>
      <c r="BQ63" s="139"/>
      <c r="BR63" s="139"/>
      <c r="BS63" s="139"/>
      <c r="BT63" s="139"/>
      <c r="BU63" s="139"/>
      <c r="BV63" s="139"/>
      <c r="BW63" s="139"/>
      <c r="BX63" s="139"/>
      <c r="BY63" s="139"/>
      <c r="BZ63" s="139"/>
      <c r="CA63" s="139"/>
      <c r="CB63" s="139"/>
      <c r="CC63" s="139"/>
      <c r="CD63" s="139"/>
      <c r="CE63" s="139"/>
      <c r="CF63" s="139"/>
      <c r="CG63" s="139"/>
      <c r="CH63" s="139"/>
      <c r="CI63" s="139"/>
      <c r="CJ63" s="139"/>
      <c r="CK63" s="139"/>
      <c r="CL63" s="139"/>
      <c r="CM63" s="139"/>
      <c r="CN63" s="139"/>
      <c r="CO63" s="139"/>
      <c r="CP63" s="139"/>
      <c r="CQ63" s="139"/>
      <c r="CR63" s="139"/>
      <c r="CS63" s="139"/>
    </row>
    <row r="64" spans="1:97" s="140" customFormat="1" ht="15.75" hidden="1" customHeight="1">
      <c r="A64" s="138"/>
      <c r="B64" s="138"/>
      <c r="C64" s="190">
        <v>30</v>
      </c>
      <c r="D64" s="314" t="e">
        <f>IF(VLOOKUP(C64,PROPONENTES!$B$19:$E$218,2,FALSE)="","",VLOOKUP(C64,PROPONENTES!$B$19:$E$218,2,FALSE))</f>
        <v>#N/A</v>
      </c>
      <c r="E64" s="186" t="e">
        <f>IF(D64="","",IF(D64-INT(D64)&gt;1,"",VLOOKUP(D64,PROPONENTES!$C$19:$D$218,2,FALSE)))</f>
        <v>#N/A</v>
      </c>
      <c r="F64" s="487"/>
      <c r="G64" s="187"/>
      <c r="H64" s="139"/>
      <c r="I64" s="139"/>
      <c r="J64" s="139"/>
      <c r="K64" s="139"/>
      <c r="L64" s="139"/>
      <c r="M64" s="139"/>
      <c r="N64" s="139"/>
      <c r="O64" s="139"/>
      <c r="P64" s="139"/>
      <c r="Q64" s="139"/>
      <c r="R64" s="139"/>
      <c r="S64" s="139"/>
      <c r="T64" s="139"/>
      <c r="U64" s="139"/>
      <c r="V64" s="139"/>
      <c r="W64" s="139"/>
      <c r="X64" s="139"/>
      <c r="Y64" s="139"/>
      <c r="Z64" s="139"/>
      <c r="AA64" s="139"/>
      <c r="AB64" s="139"/>
      <c r="AC64" s="139"/>
      <c r="AD64" s="139"/>
      <c r="AE64" s="139"/>
      <c r="AF64" s="139"/>
      <c r="AG64" s="139"/>
      <c r="AH64" s="139"/>
      <c r="AI64" s="139"/>
      <c r="AJ64" s="139"/>
      <c r="AK64" s="139"/>
      <c r="AL64" s="139"/>
      <c r="AM64" s="139"/>
      <c r="AN64" s="139"/>
      <c r="AO64" s="139"/>
      <c r="AP64" s="139"/>
      <c r="AQ64" s="139"/>
      <c r="AR64" s="139"/>
      <c r="AS64" s="139"/>
      <c r="AT64" s="139"/>
      <c r="AU64" s="139"/>
      <c r="AV64" s="139"/>
      <c r="AW64" s="139"/>
      <c r="AX64" s="139"/>
      <c r="AY64" s="139"/>
      <c r="AZ64" s="139"/>
      <c r="BA64" s="139"/>
      <c r="BB64" s="139"/>
      <c r="BC64" s="139"/>
      <c r="BD64" s="139"/>
      <c r="BE64" s="139"/>
      <c r="BF64" s="139"/>
      <c r="BG64" s="139"/>
      <c r="BH64" s="139"/>
      <c r="BI64" s="139"/>
      <c r="BJ64" s="139"/>
      <c r="BK64" s="139"/>
      <c r="BL64" s="139"/>
      <c r="BM64" s="139"/>
      <c r="BN64" s="139"/>
      <c r="BO64" s="139"/>
      <c r="BP64" s="139"/>
      <c r="BQ64" s="139"/>
      <c r="BR64" s="139"/>
      <c r="BS64" s="139"/>
      <c r="BT64" s="139"/>
      <c r="BU64" s="139"/>
      <c r="BV64" s="139"/>
      <c r="BW64" s="139"/>
      <c r="BX64" s="139"/>
      <c r="BY64" s="139"/>
      <c r="BZ64" s="139"/>
      <c r="CA64" s="139"/>
      <c r="CB64" s="139"/>
      <c r="CC64" s="139"/>
      <c r="CD64" s="139"/>
      <c r="CE64" s="139"/>
      <c r="CF64" s="139"/>
      <c r="CG64" s="139"/>
      <c r="CH64" s="139"/>
      <c r="CI64" s="139"/>
      <c r="CJ64" s="139"/>
      <c r="CK64" s="139"/>
      <c r="CL64" s="139"/>
      <c r="CM64" s="139"/>
      <c r="CN64" s="139"/>
      <c r="CO64" s="139"/>
      <c r="CP64" s="139"/>
      <c r="CQ64" s="139"/>
      <c r="CR64" s="139"/>
      <c r="CS64" s="139"/>
    </row>
    <row r="65" spans="1:97" s="140" customFormat="1" ht="15.75" hidden="1" customHeight="1">
      <c r="A65" s="138"/>
      <c r="B65" s="138"/>
      <c r="C65" s="190">
        <v>31</v>
      </c>
      <c r="D65" s="314" t="e">
        <f>IF(VLOOKUP(C65,PROPONENTES!$B$19:$E$218,2,FALSE)="","",VLOOKUP(C65,PROPONENTES!$B$19:$E$218,2,FALSE))</f>
        <v>#N/A</v>
      </c>
      <c r="E65" s="186" t="e">
        <f>IF(D65="","",IF(D65-INT(D65)&gt;1,"",VLOOKUP(D65,PROPONENTES!$C$19:$D$218,2,FALSE)))</f>
        <v>#N/A</v>
      </c>
      <c r="F65" s="487"/>
      <c r="G65" s="187"/>
      <c r="H65" s="139"/>
      <c r="I65" s="139"/>
      <c r="J65" s="139"/>
      <c r="K65" s="139"/>
      <c r="L65" s="139"/>
      <c r="M65" s="139"/>
      <c r="N65" s="139"/>
      <c r="O65" s="139"/>
      <c r="P65" s="139"/>
      <c r="Q65" s="139"/>
      <c r="R65" s="139"/>
      <c r="S65" s="139"/>
      <c r="T65" s="139"/>
      <c r="U65" s="139"/>
      <c r="V65" s="139"/>
      <c r="W65" s="139"/>
      <c r="X65" s="139"/>
      <c r="Y65" s="139"/>
      <c r="Z65" s="139"/>
      <c r="AA65" s="139"/>
      <c r="AB65" s="139"/>
      <c r="AC65" s="139"/>
      <c r="AD65" s="139"/>
      <c r="AE65" s="139"/>
      <c r="AF65" s="139"/>
      <c r="AG65" s="139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39"/>
      <c r="AT65" s="139"/>
      <c r="AU65" s="139"/>
      <c r="AV65" s="139"/>
      <c r="AW65" s="139"/>
      <c r="AX65" s="139"/>
      <c r="AY65" s="139"/>
      <c r="AZ65" s="139"/>
      <c r="BA65" s="139"/>
      <c r="BB65" s="139"/>
      <c r="BC65" s="139"/>
      <c r="BD65" s="139"/>
      <c r="BE65" s="139"/>
      <c r="BF65" s="139"/>
      <c r="BG65" s="139"/>
      <c r="BH65" s="139"/>
      <c r="BI65" s="139"/>
      <c r="BJ65" s="139"/>
      <c r="BK65" s="139"/>
      <c r="BL65" s="139"/>
      <c r="BM65" s="139"/>
      <c r="BN65" s="139"/>
      <c r="BO65" s="139"/>
      <c r="BP65" s="139"/>
      <c r="BQ65" s="139"/>
      <c r="BR65" s="139"/>
      <c r="BS65" s="139"/>
      <c r="BT65" s="139"/>
      <c r="BU65" s="139"/>
      <c r="BV65" s="139"/>
      <c r="BW65" s="139"/>
      <c r="BX65" s="139"/>
      <c r="BY65" s="139"/>
      <c r="BZ65" s="139"/>
      <c r="CA65" s="139"/>
      <c r="CB65" s="139"/>
      <c r="CC65" s="139"/>
      <c r="CD65" s="139"/>
      <c r="CE65" s="139"/>
      <c r="CF65" s="139"/>
      <c r="CG65" s="139"/>
      <c r="CH65" s="139"/>
      <c r="CI65" s="139"/>
      <c r="CJ65" s="139"/>
      <c r="CK65" s="139"/>
      <c r="CL65" s="139"/>
      <c r="CM65" s="139"/>
      <c r="CN65" s="139"/>
      <c r="CO65" s="139"/>
      <c r="CP65" s="139"/>
      <c r="CQ65" s="139"/>
      <c r="CR65" s="139"/>
      <c r="CS65" s="139"/>
    </row>
    <row r="66" spans="1:97" s="140" customFormat="1" ht="15.75" hidden="1" customHeight="1">
      <c r="A66" s="138"/>
      <c r="B66" s="138"/>
      <c r="C66" s="190">
        <v>32</v>
      </c>
      <c r="D66" s="314" t="e">
        <f>IF(VLOOKUP(C66,PROPONENTES!$B$19:$E$218,2,FALSE)="","",VLOOKUP(C66,PROPONENTES!$B$19:$E$218,2,FALSE))</f>
        <v>#N/A</v>
      </c>
      <c r="E66" s="186" t="e">
        <f>IF(D66="","",IF(D66-INT(D66)&gt;1,"",VLOOKUP(D66,PROPONENTES!$C$19:$D$218,2,FALSE)))</f>
        <v>#N/A</v>
      </c>
      <c r="F66" s="487"/>
      <c r="G66" s="187"/>
      <c r="H66" s="139"/>
      <c r="I66" s="139"/>
      <c r="J66" s="139"/>
      <c r="K66" s="139"/>
      <c r="L66" s="139"/>
      <c r="M66" s="139"/>
      <c r="N66" s="139"/>
      <c r="O66" s="139"/>
      <c r="P66" s="139"/>
      <c r="Q66" s="139"/>
      <c r="R66" s="139"/>
      <c r="S66" s="139"/>
      <c r="T66" s="139"/>
      <c r="U66" s="139"/>
      <c r="V66" s="139"/>
      <c r="W66" s="139"/>
      <c r="X66" s="139"/>
      <c r="Y66" s="139"/>
      <c r="Z66" s="139"/>
      <c r="AA66" s="139"/>
      <c r="AB66" s="139"/>
      <c r="AC66" s="139"/>
      <c r="AD66" s="139"/>
      <c r="AE66" s="139"/>
      <c r="AF66" s="139"/>
      <c r="AG66" s="139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39"/>
      <c r="AT66" s="139"/>
      <c r="AU66" s="139"/>
      <c r="AV66" s="139"/>
      <c r="AW66" s="139"/>
      <c r="AX66" s="139"/>
      <c r="AY66" s="139"/>
      <c r="AZ66" s="139"/>
      <c r="BA66" s="139"/>
      <c r="BB66" s="139"/>
      <c r="BC66" s="139"/>
      <c r="BD66" s="139"/>
      <c r="BE66" s="139"/>
      <c r="BF66" s="139"/>
      <c r="BG66" s="139"/>
      <c r="BH66" s="139"/>
      <c r="BI66" s="139"/>
      <c r="BJ66" s="139"/>
      <c r="BK66" s="139"/>
      <c r="BL66" s="139"/>
      <c r="BM66" s="139"/>
      <c r="BN66" s="139"/>
      <c r="BO66" s="139"/>
      <c r="BP66" s="139"/>
      <c r="BQ66" s="139"/>
      <c r="BR66" s="139"/>
      <c r="BS66" s="139"/>
      <c r="BT66" s="139"/>
      <c r="BU66" s="139"/>
      <c r="BV66" s="139"/>
      <c r="BW66" s="139"/>
      <c r="BX66" s="139"/>
      <c r="BY66" s="139"/>
      <c r="BZ66" s="139"/>
      <c r="CA66" s="139"/>
      <c r="CB66" s="139"/>
      <c r="CC66" s="139"/>
      <c r="CD66" s="139"/>
      <c r="CE66" s="139"/>
      <c r="CF66" s="139"/>
      <c r="CG66" s="139"/>
      <c r="CH66" s="139"/>
      <c r="CI66" s="139"/>
      <c r="CJ66" s="139"/>
      <c r="CK66" s="139"/>
      <c r="CL66" s="139"/>
      <c r="CM66" s="139"/>
      <c r="CN66" s="139"/>
      <c r="CO66" s="139"/>
      <c r="CP66" s="139"/>
      <c r="CQ66" s="139"/>
      <c r="CR66" s="139"/>
      <c r="CS66" s="139"/>
    </row>
    <row r="67" spans="1:97" s="140" customFormat="1" ht="15.75" hidden="1" customHeight="1">
      <c r="A67" s="138"/>
      <c r="B67" s="138"/>
      <c r="C67" s="190">
        <v>33</v>
      </c>
      <c r="D67" s="314" t="e">
        <f>IF(VLOOKUP(C67,PROPONENTES!$B$19:$E$218,2,FALSE)="","",VLOOKUP(C67,PROPONENTES!$B$19:$E$218,2,FALSE))</f>
        <v>#N/A</v>
      </c>
      <c r="E67" s="186" t="e">
        <f>IF(D67="","",IF(D67-INT(D67)&gt;1,"",VLOOKUP(D67,PROPONENTES!$C$19:$D$218,2,FALSE)))</f>
        <v>#N/A</v>
      </c>
      <c r="F67" s="487"/>
      <c r="G67" s="187"/>
      <c r="H67" s="139"/>
      <c r="I67" s="139"/>
      <c r="J67" s="139"/>
      <c r="K67" s="139"/>
      <c r="L67" s="139"/>
      <c r="M67" s="139"/>
      <c r="N67" s="139"/>
      <c r="O67" s="139"/>
      <c r="P67" s="139"/>
      <c r="Q67" s="139"/>
      <c r="R67" s="139"/>
      <c r="S67" s="139"/>
      <c r="T67" s="139"/>
      <c r="U67" s="139"/>
      <c r="V67" s="139"/>
      <c r="W67" s="139"/>
      <c r="X67" s="139"/>
      <c r="Y67" s="139"/>
      <c r="Z67" s="139"/>
      <c r="AA67" s="139"/>
      <c r="AB67" s="139"/>
      <c r="AC67" s="139"/>
      <c r="AD67" s="139"/>
      <c r="AE67" s="139"/>
      <c r="AF67" s="139"/>
      <c r="AG67" s="139"/>
      <c r="AH67" s="139"/>
      <c r="AI67" s="139"/>
      <c r="AJ67" s="139"/>
      <c r="AK67" s="139"/>
      <c r="AL67" s="139"/>
      <c r="AM67" s="139"/>
      <c r="AN67" s="139"/>
      <c r="AO67" s="139"/>
      <c r="AP67" s="139"/>
      <c r="AQ67" s="139"/>
      <c r="AR67" s="139"/>
      <c r="AS67" s="139"/>
      <c r="AT67" s="139"/>
      <c r="AU67" s="139"/>
      <c r="AV67" s="139"/>
      <c r="AW67" s="139"/>
      <c r="AX67" s="139"/>
      <c r="AY67" s="139"/>
      <c r="AZ67" s="139"/>
      <c r="BA67" s="139"/>
      <c r="BB67" s="139"/>
      <c r="BC67" s="139"/>
      <c r="BD67" s="139"/>
      <c r="BE67" s="139"/>
      <c r="BF67" s="139"/>
      <c r="BG67" s="139"/>
      <c r="BH67" s="139"/>
      <c r="BI67" s="139"/>
      <c r="BJ67" s="139"/>
      <c r="BK67" s="139"/>
      <c r="BL67" s="139"/>
      <c r="BM67" s="139"/>
      <c r="BN67" s="139"/>
      <c r="BO67" s="139"/>
      <c r="BP67" s="139"/>
      <c r="BQ67" s="139"/>
      <c r="BR67" s="139"/>
      <c r="BS67" s="139"/>
      <c r="BT67" s="139"/>
      <c r="BU67" s="139"/>
      <c r="BV67" s="139"/>
      <c r="BW67" s="139"/>
      <c r="BX67" s="139"/>
      <c r="BY67" s="139"/>
      <c r="BZ67" s="139"/>
      <c r="CA67" s="139"/>
      <c r="CB67" s="139"/>
      <c r="CC67" s="139"/>
      <c r="CD67" s="139"/>
      <c r="CE67" s="139"/>
      <c r="CF67" s="139"/>
      <c r="CG67" s="139"/>
      <c r="CH67" s="139"/>
      <c r="CI67" s="139"/>
      <c r="CJ67" s="139"/>
      <c r="CK67" s="139"/>
      <c r="CL67" s="139"/>
      <c r="CM67" s="139"/>
      <c r="CN67" s="139"/>
      <c r="CO67" s="139"/>
      <c r="CP67" s="139"/>
      <c r="CQ67" s="139"/>
      <c r="CR67" s="139"/>
      <c r="CS67" s="139"/>
    </row>
    <row r="68" spans="1:97" s="140" customFormat="1" ht="15.75" hidden="1" customHeight="1">
      <c r="A68" s="138"/>
      <c r="B68" s="138"/>
      <c r="C68" s="190">
        <v>34</v>
      </c>
      <c r="D68" s="314" t="e">
        <f>IF(VLOOKUP(C68,PROPONENTES!$B$19:$E$218,2,FALSE)="","",VLOOKUP(C68,PROPONENTES!$B$19:$E$218,2,FALSE))</f>
        <v>#N/A</v>
      </c>
      <c r="E68" s="186" t="e">
        <f>IF(D68="","",IF(D68-INT(D68)&gt;1,"",VLOOKUP(D68,PROPONENTES!$C$19:$D$218,2,FALSE)))</f>
        <v>#N/A</v>
      </c>
      <c r="F68" s="487"/>
      <c r="G68" s="187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39"/>
      <c r="S68" s="139"/>
      <c r="T68" s="139"/>
      <c r="U68" s="139"/>
      <c r="V68" s="139"/>
      <c r="W68" s="139"/>
      <c r="X68" s="139"/>
      <c r="Y68" s="139"/>
      <c r="Z68" s="139"/>
      <c r="AA68" s="139"/>
      <c r="AB68" s="139"/>
      <c r="AC68" s="139"/>
      <c r="AD68" s="139"/>
      <c r="AE68" s="139"/>
      <c r="AF68" s="139"/>
      <c r="AG68" s="139"/>
      <c r="AH68" s="139"/>
      <c r="AI68" s="139"/>
      <c r="AJ68" s="139"/>
      <c r="AK68" s="139"/>
      <c r="AL68" s="139"/>
      <c r="AM68" s="139"/>
      <c r="AN68" s="139"/>
      <c r="AO68" s="139"/>
      <c r="AP68" s="139"/>
      <c r="AQ68" s="139"/>
      <c r="AR68" s="139"/>
      <c r="AS68" s="139"/>
      <c r="AT68" s="139"/>
      <c r="AU68" s="139"/>
      <c r="AV68" s="139"/>
      <c r="AW68" s="139"/>
      <c r="AX68" s="139"/>
      <c r="AY68" s="139"/>
      <c r="AZ68" s="139"/>
      <c r="BA68" s="139"/>
      <c r="BB68" s="139"/>
      <c r="BC68" s="139"/>
      <c r="BD68" s="139"/>
      <c r="BE68" s="139"/>
      <c r="BF68" s="139"/>
      <c r="BG68" s="139"/>
      <c r="BH68" s="139"/>
      <c r="BI68" s="139"/>
      <c r="BJ68" s="139"/>
      <c r="BK68" s="139"/>
      <c r="BL68" s="139"/>
      <c r="BM68" s="139"/>
      <c r="BN68" s="139"/>
      <c r="BO68" s="139"/>
      <c r="BP68" s="139"/>
      <c r="BQ68" s="139"/>
      <c r="BR68" s="139"/>
      <c r="BS68" s="139"/>
      <c r="BT68" s="139"/>
      <c r="BU68" s="139"/>
      <c r="BV68" s="139"/>
      <c r="BW68" s="139"/>
      <c r="BX68" s="139"/>
      <c r="BY68" s="139"/>
      <c r="BZ68" s="139"/>
      <c r="CA68" s="139"/>
      <c r="CB68" s="139"/>
      <c r="CC68" s="139"/>
      <c r="CD68" s="139"/>
      <c r="CE68" s="139"/>
      <c r="CF68" s="139"/>
      <c r="CG68" s="139"/>
      <c r="CH68" s="139"/>
      <c r="CI68" s="139"/>
      <c r="CJ68" s="139"/>
      <c r="CK68" s="139"/>
      <c r="CL68" s="139"/>
      <c r="CM68" s="139"/>
      <c r="CN68" s="139"/>
      <c r="CO68" s="139"/>
      <c r="CP68" s="139"/>
      <c r="CQ68" s="139"/>
      <c r="CR68" s="139"/>
      <c r="CS68" s="139"/>
    </row>
    <row r="69" spans="1:97" s="140" customFormat="1" ht="15.75" hidden="1" customHeight="1">
      <c r="A69" s="138"/>
      <c r="B69" s="138"/>
      <c r="C69" s="190">
        <v>35</v>
      </c>
      <c r="D69" s="314" t="e">
        <f>IF(VLOOKUP(C69,PROPONENTES!$B$19:$E$218,2,FALSE)="","",VLOOKUP(C69,PROPONENTES!$B$19:$E$218,2,FALSE))</f>
        <v>#N/A</v>
      </c>
      <c r="E69" s="186" t="e">
        <f>IF(D69="","",IF(D69-INT(D69)&gt;1,"",VLOOKUP(D69,PROPONENTES!$C$19:$D$218,2,FALSE)))</f>
        <v>#N/A</v>
      </c>
      <c r="F69" s="487"/>
      <c r="G69" s="187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39"/>
      <c r="S69" s="139"/>
      <c r="T69" s="139"/>
      <c r="U69" s="139"/>
      <c r="V69" s="139"/>
      <c r="W69" s="139"/>
      <c r="X69" s="139"/>
      <c r="Y69" s="139"/>
      <c r="Z69" s="139"/>
      <c r="AA69" s="139"/>
      <c r="AB69" s="139"/>
      <c r="AC69" s="139"/>
      <c r="AD69" s="139"/>
      <c r="AE69" s="139"/>
      <c r="AF69" s="139"/>
      <c r="AG69" s="139"/>
      <c r="AH69" s="139"/>
      <c r="AI69" s="139"/>
      <c r="AJ69" s="139"/>
      <c r="AK69" s="139"/>
      <c r="AL69" s="139"/>
      <c r="AM69" s="139"/>
      <c r="AN69" s="139"/>
      <c r="AO69" s="139"/>
      <c r="AP69" s="139"/>
      <c r="AQ69" s="139"/>
      <c r="AR69" s="139"/>
      <c r="AS69" s="139"/>
      <c r="AT69" s="139"/>
      <c r="AU69" s="139"/>
      <c r="AV69" s="139"/>
      <c r="AW69" s="139"/>
      <c r="AX69" s="139"/>
      <c r="AY69" s="139"/>
      <c r="AZ69" s="139"/>
      <c r="BA69" s="139"/>
      <c r="BB69" s="139"/>
      <c r="BC69" s="139"/>
      <c r="BD69" s="139"/>
      <c r="BE69" s="139"/>
      <c r="BF69" s="139"/>
      <c r="BG69" s="139"/>
      <c r="BH69" s="139"/>
      <c r="BI69" s="139"/>
      <c r="BJ69" s="139"/>
      <c r="BK69" s="139"/>
      <c r="BL69" s="139"/>
      <c r="BM69" s="139"/>
      <c r="BN69" s="139"/>
      <c r="BO69" s="139"/>
      <c r="BP69" s="139"/>
      <c r="BQ69" s="139"/>
      <c r="BR69" s="139"/>
      <c r="BS69" s="139"/>
      <c r="BT69" s="139"/>
      <c r="BU69" s="139"/>
      <c r="BV69" s="139"/>
      <c r="BW69" s="139"/>
      <c r="BX69" s="139"/>
      <c r="BY69" s="139"/>
      <c r="BZ69" s="139"/>
      <c r="CA69" s="139"/>
      <c r="CB69" s="139"/>
      <c r="CC69" s="139"/>
      <c r="CD69" s="139"/>
      <c r="CE69" s="139"/>
      <c r="CF69" s="139"/>
      <c r="CG69" s="139"/>
      <c r="CH69" s="139"/>
      <c r="CI69" s="139"/>
      <c r="CJ69" s="139"/>
      <c r="CK69" s="139"/>
      <c r="CL69" s="139"/>
      <c r="CM69" s="139"/>
      <c r="CN69" s="139"/>
      <c r="CO69" s="139"/>
      <c r="CP69" s="139"/>
      <c r="CQ69" s="139"/>
      <c r="CR69" s="139"/>
      <c r="CS69" s="139"/>
    </row>
    <row r="70" spans="1:97" s="140" customFormat="1" ht="15.75" hidden="1" customHeight="1">
      <c r="A70" s="138"/>
      <c r="B70" s="138"/>
      <c r="C70" s="190">
        <v>36</v>
      </c>
      <c r="D70" s="314" t="e">
        <f>IF(VLOOKUP(C70,PROPONENTES!$B$19:$E$218,2,FALSE)="","",VLOOKUP(C70,PROPONENTES!$B$19:$E$218,2,FALSE))</f>
        <v>#N/A</v>
      </c>
      <c r="E70" s="186" t="e">
        <f>IF(D70="","",IF(D70-INT(D70)&gt;1,"",VLOOKUP(D70,PROPONENTES!$C$19:$D$218,2,FALSE)))</f>
        <v>#N/A</v>
      </c>
      <c r="F70" s="487"/>
      <c r="G70" s="187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39"/>
      <c r="S70" s="139"/>
      <c r="T70" s="139"/>
      <c r="U70" s="139"/>
      <c r="V70" s="139"/>
      <c r="W70" s="139"/>
      <c r="X70" s="139"/>
      <c r="Y70" s="139"/>
      <c r="Z70" s="139"/>
      <c r="AA70" s="139"/>
      <c r="AB70" s="139"/>
      <c r="AC70" s="139"/>
      <c r="AD70" s="139"/>
      <c r="AE70" s="139"/>
      <c r="AF70" s="139"/>
      <c r="AG70" s="139"/>
      <c r="AH70" s="139"/>
      <c r="AI70" s="139"/>
      <c r="AJ70" s="139"/>
      <c r="AK70" s="139"/>
      <c r="AL70" s="139"/>
      <c r="AM70" s="139"/>
      <c r="AN70" s="139"/>
      <c r="AO70" s="139"/>
      <c r="AP70" s="139"/>
      <c r="AQ70" s="139"/>
      <c r="AR70" s="139"/>
      <c r="AS70" s="139"/>
      <c r="AT70" s="139"/>
      <c r="AU70" s="139"/>
      <c r="AV70" s="139"/>
      <c r="AW70" s="139"/>
      <c r="AX70" s="139"/>
      <c r="AY70" s="139"/>
      <c r="AZ70" s="139"/>
      <c r="BA70" s="139"/>
      <c r="BB70" s="139"/>
      <c r="BC70" s="139"/>
      <c r="BD70" s="139"/>
      <c r="BE70" s="139"/>
      <c r="BF70" s="139"/>
      <c r="BG70" s="139"/>
      <c r="BH70" s="139"/>
      <c r="BI70" s="139"/>
      <c r="BJ70" s="139"/>
      <c r="BK70" s="139"/>
      <c r="BL70" s="139"/>
      <c r="BM70" s="139"/>
      <c r="BN70" s="139"/>
      <c r="BO70" s="139"/>
      <c r="BP70" s="139"/>
      <c r="BQ70" s="139"/>
      <c r="BR70" s="139"/>
      <c r="BS70" s="139"/>
      <c r="BT70" s="139"/>
      <c r="BU70" s="139"/>
      <c r="BV70" s="139"/>
      <c r="BW70" s="139"/>
      <c r="BX70" s="139"/>
      <c r="BY70" s="139"/>
      <c r="BZ70" s="139"/>
      <c r="CA70" s="139"/>
      <c r="CB70" s="139"/>
      <c r="CC70" s="139"/>
      <c r="CD70" s="139"/>
      <c r="CE70" s="139"/>
      <c r="CF70" s="139"/>
      <c r="CG70" s="139"/>
      <c r="CH70" s="139"/>
      <c r="CI70" s="139"/>
      <c r="CJ70" s="139"/>
      <c r="CK70" s="139"/>
      <c r="CL70" s="139"/>
      <c r="CM70" s="139"/>
      <c r="CN70" s="139"/>
      <c r="CO70" s="139"/>
      <c r="CP70" s="139"/>
      <c r="CQ70" s="139"/>
      <c r="CR70" s="139"/>
      <c r="CS70" s="139"/>
    </row>
    <row r="71" spans="1:97" s="140" customFormat="1" ht="15.75" hidden="1" customHeight="1">
      <c r="A71" s="138"/>
      <c r="B71" s="138"/>
      <c r="C71" s="190">
        <v>37</v>
      </c>
      <c r="D71" s="314" t="e">
        <f>IF(VLOOKUP(C71,PROPONENTES!$B$19:$E$218,2,FALSE)="","",VLOOKUP(C71,PROPONENTES!$B$19:$E$218,2,FALSE))</f>
        <v>#N/A</v>
      </c>
      <c r="E71" s="186" t="e">
        <f>IF(D71="","",IF(D71-INT(D71)&gt;1,"",VLOOKUP(D71,PROPONENTES!$C$19:$D$218,2,FALSE)))</f>
        <v>#N/A</v>
      </c>
      <c r="F71" s="487"/>
      <c r="G71" s="187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39"/>
      <c r="S71" s="139"/>
      <c r="T71" s="139"/>
      <c r="U71" s="139"/>
      <c r="V71" s="139"/>
      <c r="W71" s="139"/>
      <c r="X71" s="139"/>
      <c r="Y71" s="139"/>
      <c r="Z71" s="139"/>
      <c r="AA71" s="139"/>
      <c r="AB71" s="139"/>
      <c r="AC71" s="139"/>
      <c r="AD71" s="139"/>
      <c r="AE71" s="139"/>
      <c r="AF71" s="139"/>
      <c r="AG71" s="139"/>
      <c r="AH71" s="139"/>
      <c r="AI71" s="139"/>
      <c r="AJ71" s="139"/>
      <c r="AK71" s="139"/>
      <c r="AL71" s="139"/>
      <c r="AM71" s="139"/>
      <c r="AN71" s="139"/>
      <c r="AO71" s="139"/>
      <c r="AP71" s="139"/>
      <c r="AQ71" s="139"/>
      <c r="AR71" s="139"/>
      <c r="AS71" s="139"/>
      <c r="AT71" s="139"/>
      <c r="AU71" s="139"/>
      <c r="AV71" s="139"/>
      <c r="AW71" s="139"/>
      <c r="AX71" s="139"/>
      <c r="AY71" s="139"/>
      <c r="AZ71" s="139"/>
      <c r="BA71" s="139"/>
      <c r="BB71" s="139"/>
      <c r="BC71" s="139"/>
      <c r="BD71" s="139"/>
      <c r="BE71" s="139"/>
      <c r="BF71" s="139"/>
      <c r="BG71" s="139"/>
      <c r="BH71" s="139"/>
      <c r="BI71" s="139"/>
      <c r="BJ71" s="139"/>
      <c r="BK71" s="139"/>
      <c r="BL71" s="139"/>
      <c r="BM71" s="139"/>
      <c r="BN71" s="139"/>
      <c r="BO71" s="139"/>
      <c r="BP71" s="139"/>
      <c r="BQ71" s="139"/>
      <c r="BR71" s="139"/>
      <c r="BS71" s="139"/>
      <c r="BT71" s="139"/>
      <c r="BU71" s="139"/>
      <c r="BV71" s="139"/>
      <c r="BW71" s="139"/>
      <c r="BX71" s="139"/>
      <c r="BY71" s="139"/>
      <c r="BZ71" s="139"/>
      <c r="CA71" s="139"/>
      <c r="CB71" s="139"/>
      <c r="CC71" s="139"/>
      <c r="CD71" s="139"/>
      <c r="CE71" s="139"/>
      <c r="CF71" s="139"/>
      <c r="CG71" s="139"/>
      <c r="CH71" s="139"/>
      <c r="CI71" s="139"/>
      <c r="CJ71" s="139"/>
      <c r="CK71" s="139"/>
      <c r="CL71" s="139"/>
      <c r="CM71" s="139"/>
      <c r="CN71" s="139"/>
      <c r="CO71" s="139"/>
      <c r="CP71" s="139"/>
      <c r="CQ71" s="139"/>
      <c r="CR71" s="139"/>
      <c r="CS71" s="139"/>
    </row>
    <row r="72" spans="1:97" s="140" customFormat="1" ht="15.75" hidden="1" customHeight="1">
      <c r="A72" s="138"/>
      <c r="B72" s="138"/>
      <c r="C72" s="190">
        <v>38</v>
      </c>
      <c r="D72" s="314" t="e">
        <f>IF(VLOOKUP(C72,PROPONENTES!$B$19:$E$218,2,FALSE)="","",VLOOKUP(C72,PROPONENTES!$B$19:$E$218,2,FALSE))</f>
        <v>#N/A</v>
      </c>
      <c r="E72" s="186" t="e">
        <f>IF(D72="","",IF(D72-INT(D72)&gt;1,"",VLOOKUP(D72,PROPONENTES!$C$19:$D$218,2,FALSE)))</f>
        <v>#N/A</v>
      </c>
      <c r="F72" s="487"/>
      <c r="G72" s="187"/>
      <c r="H72" s="139"/>
      <c r="I72" s="139"/>
      <c r="J72" s="139"/>
      <c r="K72" s="139"/>
      <c r="L72" s="139"/>
      <c r="M72" s="139"/>
      <c r="N72" s="139"/>
      <c r="O72" s="139"/>
      <c r="P72" s="139"/>
      <c r="Q72" s="139"/>
      <c r="R72" s="139"/>
      <c r="S72" s="139"/>
      <c r="T72" s="139"/>
      <c r="U72" s="139"/>
      <c r="V72" s="139"/>
      <c r="W72" s="139"/>
      <c r="X72" s="139"/>
      <c r="Y72" s="139"/>
      <c r="Z72" s="139"/>
      <c r="AA72" s="139"/>
      <c r="AB72" s="139"/>
      <c r="AC72" s="139"/>
      <c r="AD72" s="139"/>
      <c r="AE72" s="139"/>
      <c r="AF72" s="139"/>
      <c r="AG72" s="139"/>
      <c r="AH72" s="139"/>
      <c r="AI72" s="139"/>
      <c r="AJ72" s="139"/>
      <c r="AK72" s="139"/>
      <c r="AL72" s="139"/>
      <c r="AM72" s="139"/>
      <c r="AN72" s="139"/>
      <c r="AO72" s="139"/>
      <c r="AP72" s="139"/>
      <c r="AQ72" s="139"/>
      <c r="AR72" s="139"/>
      <c r="AS72" s="139"/>
      <c r="AT72" s="139"/>
      <c r="AU72" s="139"/>
      <c r="AV72" s="139"/>
      <c r="AW72" s="139"/>
      <c r="AX72" s="139"/>
      <c r="AY72" s="139"/>
      <c r="AZ72" s="139"/>
      <c r="BA72" s="139"/>
      <c r="BB72" s="139"/>
      <c r="BC72" s="139"/>
      <c r="BD72" s="139"/>
      <c r="BE72" s="139"/>
      <c r="BF72" s="139"/>
      <c r="BG72" s="139"/>
      <c r="BH72" s="139"/>
      <c r="BI72" s="139"/>
      <c r="BJ72" s="139"/>
      <c r="BK72" s="139"/>
      <c r="BL72" s="139"/>
      <c r="BM72" s="139"/>
      <c r="BN72" s="139"/>
      <c r="BO72" s="139"/>
      <c r="BP72" s="139"/>
      <c r="BQ72" s="139"/>
      <c r="BR72" s="139"/>
      <c r="BS72" s="139"/>
      <c r="BT72" s="139"/>
      <c r="BU72" s="139"/>
      <c r="BV72" s="139"/>
      <c r="BW72" s="139"/>
      <c r="BX72" s="139"/>
      <c r="BY72" s="139"/>
      <c r="BZ72" s="139"/>
      <c r="CA72" s="139"/>
      <c r="CB72" s="139"/>
      <c r="CC72" s="139"/>
      <c r="CD72" s="139"/>
      <c r="CE72" s="139"/>
      <c r="CF72" s="139"/>
      <c r="CG72" s="139"/>
      <c r="CH72" s="139"/>
      <c r="CI72" s="139"/>
      <c r="CJ72" s="139"/>
      <c r="CK72" s="139"/>
      <c r="CL72" s="139"/>
      <c r="CM72" s="139"/>
      <c r="CN72" s="139"/>
      <c r="CO72" s="139"/>
      <c r="CP72" s="139"/>
      <c r="CQ72" s="139"/>
      <c r="CR72" s="139"/>
      <c r="CS72" s="139"/>
    </row>
    <row r="73" spans="1:97" s="140" customFormat="1" ht="15.75" hidden="1" customHeight="1">
      <c r="A73" s="138"/>
      <c r="B73" s="138"/>
      <c r="C73" s="190">
        <v>39</v>
      </c>
      <c r="D73" s="314" t="e">
        <f>IF(VLOOKUP(C73,PROPONENTES!$B$19:$E$218,2,FALSE)="","",VLOOKUP(C73,PROPONENTES!$B$19:$E$218,2,FALSE))</f>
        <v>#N/A</v>
      </c>
      <c r="E73" s="186" t="e">
        <f>IF(D73="","",IF(D73-INT(D73)&gt;1,"",VLOOKUP(D73,PROPONENTES!$C$19:$D$218,2,FALSE)))</f>
        <v>#N/A</v>
      </c>
      <c r="F73" s="487"/>
      <c r="G73" s="187"/>
      <c r="H73" s="139"/>
      <c r="I73" s="139"/>
      <c r="J73" s="139"/>
      <c r="K73" s="139"/>
      <c r="L73" s="139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  <c r="AB73" s="139"/>
      <c r="AC73" s="139"/>
      <c r="AD73" s="139"/>
      <c r="AE73" s="139"/>
      <c r="AF73" s="139"/>
      <c r="AG73" s="139"/>
      <c r="AH73" s="139"/>
      <c r="AI73" s="139"/>
      <c r="AJ73" s="139"/>
      <c r="AK73" s="139"/>
      <c r="AL73" s="139"/>
      <c r="AM73" s="139"/>
      <c r="AN73" s="139"/>
      <c r="AO73" s="139"/>
      <c r="AP73" s="139"/>
      <c r="AQ73" s="139"/>
      <c r="AR73" s="139"/>
      <c r="AS73" s="139"/>
      <c r="AT73" s="139"/>
      <c r="AU73" s="139"/>
      <c r="AV73" s="139"/>
      <c r="AW73" s="139"/>
      <c r="AX73" s="139"/>
      <c r="AY73" s="139"/>
      <c r="AZ73" s="139"/>
      <c r="BA73" s="139"/>
      <c r="BB73" s="139"/>
      <c r="BC73" s="139"/>
      <c r="BD73" s="139"/>
      <c r="BE73" s="139"/>
      <c r="BF73" s="139"/>
      <c r="BG73" s="139"/>
      <c r="BH73" s="139"/>
      <c r="BI73" s="139"/>
      <c r="BJ73" s="139"/>
      <c r="BK73" s="139"/>
      <c r="BL73" s="139"/>
      <c r="BM73" s="139"/>
      <c r="BN73" s="139"/>
      <c r="BO73" s="139"/>
      <c r="BP73" s="139"/>
      <c r="BQ73" s="139"/>
      <c r="BR73" s="139"/>
      <c r="BS73" s="139"/>
      <c r="BT73" s="139"/>
      <c r="BU73" s="139"/>
      <c r="BV73" s="139"/>
      <c r="BW73" s="139"/>
      <c r="BX73" s="139"/>
      <c r="BY73" s="139"/>
      <c r="BZ73" s="139"/>
      <c r="CA73" s="139"/>
      <c r="CB73" s="139"/>
      <c r="CC73" s="139"/>
      <c r="CD73" s="139"/>
      <c r="CE73" s="139"/>
      <c r="CF73" s="139"/>
      <c r="CG73" s="139"/>
      <c r="CH73" s="139"/>
      <c r="CI73" s="139"/>
      <c r="CJ73" s="139"/>
      <c r="CK73" s="139"/>
      <c r="CL73" s="139"/>
      <c r="CM73" s="139"/>
      <c r="CN73" s="139"/>
      <c r="CO73" s="139"/>
      <c r="CP73" s="139"/>
      <c r="CQ73" s="139"/>
      <c r="CR73" s="139"/>
      <c r="CS73" s="139"/>
    </row>
    <row r="74" spans="1:97" s="140" customFormat="1" ht="15.75" hidden="1" customHeight="1">
      <c r="A74" s="138"/>
      <c r="B74" s="138"/>
      <c r="C74" s="190">
        <v>40</v>
      </c>
      <c r="D74" s="314" t="e">
        <f>IF(VLOOKUP(C74,PROPONENTES!$B$19:$E$218,2,FALSE)="","",VLOOKUP(C74,PROPONENTES!$B$19:$E$218,2,FALSE))</f>
        <v>#N/A</v>
      </c>
      <c r="E74" s="186" t="e">
        <f>IF(D74="","",IF(D74-INT(D74)&gt;1,"",VLOOKUP(D74,PROPONENTES!$C$19:$D$218,2,FALSE)))</f>
        <v>#N/A</v>
      </c>
      <c r="F74" s="487"/>
      <c r="G74" s="187"/>
      <c r="H74" s="139"/>
      <c r="I74" s="139"/>
      <c r="J74" s="139"/>
      <c r="K74" s="139"/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39"/>
      <c r="AB74" s="139"/>
      <c r="AC74" s="139"/>
      <c r="AD74" s="139"/>
      <c r="AE74" s="139"/>
      <c r="AF74" s="139"/>
      <c r="AG74" s="139"/>
      <c r="AH74" s="139"/>
      <c r="AI74" s="139"/>
      <c r="AJ74" s="139"/>
      <c r="AK74" s="139"/>
      <c r="AL74" s="139"/>
      <c r="AM74" s="139"/>
      <c r="AN74" s="139"/>
      <c r="AO74" s="139"/>
      <c r="AP74" s="139"/>
      <c r="AQ74" s="139"/>
      <c r="AR74" s="139"/>
      <c r="AS74" s="139"/>
      <c r="AT74" s="139"/>
      <c r="AU74" s="139"/>
      <c r="AV74" s="139"/>
      <c r="AW74" s="139"/>
      <c r="AX74" s="139"/>
      <c r="AY74" s="139"/>
      <c r="AZ74" s="139"/>
      <c r="BA74" s="139"/>
      <c r="BB74" s="139"/>
      <c r="BC74" s="139"/>
      <c r="BD74" s="139"/>
      <c r="BE74" s="139"/>
      <c r="BF74" s="139"/>
      <c r="BG74" s="139"/>
      <c r="BH74" s="139"/>
      <c r="BI74" s="139"/>
      <c r="BJ74" s="139"/>
      <c r="BK74" s="139"/>
      <c r="BL74" s="139"/>
      <c r="BM74" s="139"/>
      <c r="BN74" s="139"/>
      <c r="BO74" s="139"/>
      <c r="BP74" s="139"/>
      <c r="BQ74" s="139"/>
      <c r="BR74" s="139"/>
      <c r="BS74" s="139"/>
      <c r="BT74" s="139"/>
      <c r="BU74" s="139"/>
      <c r="BV74" s="139"/>
      <c r="BW74" s="139"/>
      <c r="BX74" s="139"/>
      <c r="BY74" s="139"/>
      <c r="BZ74" s="139"/>
      <c r="CA74" s="139"/>
      <c r="CB74" s="139"/>
      <c r="CC74" s="139"/>
      <c r="CD74" s="139"/>
      <c r="CE74" s="139"/>
      <c r="CF74" s="139"/>
      <c r="CG74" s="139"/>
      <c r="CH74" s="139"/>
      <c r="CI74" s="139"/>
      <c r="CJ74" s="139"/>
      <c r="CK74" s="139"/>
      <c r="CL74" s="139"/>
      <c r="CM74" s="139"/>
      <c r="CN74" s="139"/>
      <c r="CO74" s="139"/>
      <c r="CP74" s="139"/>
      <c r="CQ74" s="139"/>
      <c r="CR74" s="139"/>
      <c r="CS74" s="139"/>
    </row>
    <row r="75" spans="1:97" s="140" customFormat="1" ht="15.75" hidden="1" customHeight="1">
      <c r="A75" s="138"/>
      <c r="B75" s="138"/>
      <c r="C75" s="190">
        <v>41</v>
      </c>
      <c r="D75" s="314" t="e">
        <f>IF(VLOOKUP(C75,PROPONENTES!$B$19:$E$218,2,FALSE)="","",VLOOKUP(C75,PROPONENTES!$B$19:$E$218,2,FALSE))</f>
        <v>#N/A</v>
      </c>
      <c r="E75" s="186" t="e">
        <f>IF(D75="","",IF(D75-INT(D75)&gt;1,"",VLOOKUP(D75,PROPONENTES!$C$19:$D$218,2,FALSE)))</f>
        <v>#N/A</v>
      </c>
      <c r="F75" s="487"/>
      <c r="G75" s="187"/>
      <c r="H75" s="139"/>
      <c r="I75" s="139"/>
      <c r="J75" s="139"/>
      <c r="K75" s="139"/>
      <c r="L75" s="139"/>
      <c r="M75" s="139"/>
      <c r="N75" s="139"/>
      <c r="O75" s="139"/>
      <c r="P75" s="139"/>
      <c r="Q75" s="139"/>
      <c r="R75" s="139"/>
      <c r="S75" s="139"/>
      <c r="T75" s="139"/>
      <c r="U75" s="139"/>
      <c r="V75" s="139"/>
      <c r="W75" s="139"/>
      <c r="X75" s="139"/>
      <c r="Y75" s="139"/>
      <c r="Z75" s="139"/>
      <c r="AA75" s="139"/>
      <c r="AB75" s="139"/>
      <c r="AC75" s="139"/>
      <c r="AD75" s="139"/>
      <c r="AE75" s="139"/>
      <c r="AF75" s="139"/>
      <c r="AG75" s="139"/>
      <c r="AH75" s="139"/>
      <c r="AI75" s="139"/>
      <c r="AJ75" s="139"/>
      <c r="AK75" s="139"/>
      <c r="AL75" s="139"/>
      <c r="AM75" s="139"/>
      <c r="AN75" s="139"/>
      <c r="AO75" s="139"/>
      <c r="AP75" s="139"/>
      <c r="AQ75" s="139"/>
      <c r="AR75" s="139"/>
      <c r="AS75" s="139"/>
      <c r="AT75" s="139"/>
      <c r="AU75" s="139"/>
      <c r="AV75" s="139"/>
      <c r="AW75" s="139"/>
      <c r="AX75" s="139"/>
      <c r="AY75" s="139"/>
      <c r="AZ75" s="139"/>
      <c r="BA75" s="139"/>
      <c r="BB75" s="139"/>
      <c r="BC75" s="139"/>
      <c r="BD75" s="139"/>
      <c r="BE75" s="139"/>
      <c r="BF75" s="139"/>
      <c r="BG75" s="139"/>
      <c r="BH75" s="139"/>
      <c r="BI75" s="139"/>
      <c r="BJ75" s="139"/>
      <c r="BK75" s="139"/>
      <c r="BL75" s="139"/>
      <c r="BM75" s="139"/>
      <c r="BN75" s="139"/>
      <c r="BO75" s="139"/>
      <c r="BP75" s="139"/>
      <c r="BQ75" s="139"/>
      <c r="BR75" s="139"/>
      <c r="BS75" s="139"/>
      <c r="BT75" s="139"/>
      <c r="BU75" s="139"/>
      <c r="BV75" s="139"/>
      <c r="BW75" s="139"/>
      <c r="BX75" s="139"/>
      <c r="BY75" s="139"/>
      <c r="BZ75" s="139"/>
      <c r="CA75" s="139"/>
      <c r="CB75" s="139"/>
      <c r="CC75" s="139"/>
      <c r="CD75" s="139"/>
      <c r="CE75" s="139"/>
      <c r="CF75" s="139"/>
      <c r="CG75" s="139"/>
      <c r="CH75" s="139"/>
      <c r="CI75" s="139"/>
      <c r="CJ75" s="139"/>
      <c r="CK75" s="139"/>
      <c r="CL75" s="139"/>
      <c r="CM75" s="139"/>
      <c r="CN75" s="139"/>
      <c r="CO75" s="139"/>
      <c r="CP75" s="139"/>
      <c r="CQ75" s="139"/>
      <c r="CR75" s="139"/>
      <c r="CS75" s="139"/>
    </row>
    <row r="76" spans="1:97" s="140" customFormat="1" ht="15.75" hidden="1" customHeight="1">
      <c r="A76" s="138"/>
      <c r="B76" s="138"/>
      <c r="C76" s="190">
        <v>42</v>
      </c>
      <c r="D76" s="314" t="e">
        <f>IF(VLOOKUP(C76,PROPONENTES!$B$19:$E$218,2,FALSE)="","",VLOOKUP(C76,PROPONENTES!$B$19:$E$218,2,FALSE))</f>
        <v>#N/A</v>
      </c>
      <c r="E76" s="186" t="e">
        <f>IF(D76="","",IF(D76-INT(D76)&gt;1,"",VLOOKUP(D76,PROPONENTES!$C$19:$D$218,2,FALSE)))</f>
        <v>#N/A</v>
      </c>
      <c r="F76" s="487"/>
      <c r="G76" s="187"/>
      <c r="H76" s="139"/>
      <c r="I76" s="139"/>
      <c r="J76" s="139"/>
      <c r="K76" s="139"/>
      <c r="L76" s="139"/>
      <c r="M76" s="139"/>
      <c r="N76" s="139"/>
      <c r="O76" s="139"/>
      <c r="P76" s="139"/>
      <c r="Q76" s="139"/>
      <c r="R76" s="139"/>
      <c r="S76" s="139"/>
      <c r="T76" s="139"/>
      <c r="U76" s="139"/>
      <c r="V76" s="139"/>
      <c r="W76" s="139"/>
      <c r="X76" s="139"/>
      <c r="Y76" s="139"/>
      <c r="Z76" s="139"/>
      <c r="AA76" s="139"/>
      <c r="AB76" s="139"/>
      <c r="AC76" s="139"/>
      <c r="AD76" s="139"/>
      <c r="AE76" s="139"/>
      <c r="AF76" s="139"/>
      <c r="AG76" s="139"/>
      <c r="AH76" s="139"/>
      <c r="AI76" s="139"/>
      <c r="AJ76" s="139"/>
      <c r="AK76" s="139"/>
      <c r="AL76" s="139"/>
      <c r="AM76" s="139"/>
      <c r="AN76" s="139"/>
      <c r="AO76" s="139"/>
      <c r="AP76" s="139"/>
      <c r="AQ76" s="139"/>
      <c r="AR76" s="139"/>
      <c r="AS76" s="139"/>
      <c r="AT76" s="139"/>
      <c r="AU76" s="139"/>
      <c r="AV76" s="139"/>
      <c r="AW76" s="139"/>
      <c r="AX76" s="139"/>
      <c r="AY76" s="139"/>
      <c r="AZ76" s="139"/>
      <c r="BA76" s="139"/>
      <c r="BB76" s="139"/>
      <c r="BC76" s="139"/>
      <c r="BD76" s="139"/>
      <c r="BE76" s="139"/>
      <c r="BF76" s="139"/>
      <c r="BG76" s="139"/>
      <c r="BH76" s="139"/>
      <c r="BI76" s="139"/>
      <c r="BJ76" s="139"/>
      <c r="BK76" s="139"/>
      <c r="BL76" s="139"/>
      <c r="BM76" s="139"/>
      <c r="BN76" s="139"/>
      <c r="BO76" s="139"/>
      <c r="BP76" s="139"/>
      <c r="BQ76" s="139"/>
      <c r="BR76" s="139"/>
      <c r="BS76" s="139"/>
      <c r="BT76" s="139"/>
      <c r="BU76" s="139"/>
      <c r="BV76" s="139"/>
      <c r="BW76" s="139"/>
      <c r="BX76" s="139"/>
      <c r="BY76" s="139"/>
      <c r="BZ76" s="139"/>
      <c r="CA76" s="139"/>
      <c r="CB76" s="139"/>
      <c r="CC76" s="139"/>
      <c r="CD76" s="139"/>
      <c r="CE76" s="139"/>
      <c r="CF76" s="139"/>
      <c r="CG76" s="139"/>
      <c r="CH76" s="139"/>
      <c r="CI76" s="139"/>
      <c r="CJ76" s="139"/>
      <c r="CK76" s="139"/>
      <c r="CL76" s="139"/>
      <c r="CM76" s="139"/>
      <c r="CN76" s="139"/>
      <c r="CO76" s="139"/>
      <c r="CP76" s="139"/>
      <c r="CQ76" s="139"/>
      <c r="CR76" s="139"/>
      <c r="CS76" s="139"/>
    </row>
    <row r="77" spans="1:97" s="140" customFormat="1" ht="15.75" hidden="1" customHeight="1">
      <c r="A77" s="138"/>
      <c r="B77" s="138"/>
      <c r="C77" s="190">
        <v>43</v>
      </c>
      <c r="D77" s="314" t="e">
        <f>IF(VLOOKUP(C77,PROPONENTES!$B$19:$E$218,2,FALSE)="","",VLOOKUP(C77,PROPONENTES!$B$19:$E$218,2,FALSE))</f>
        <v>#N/A</v>
      </c>
      <c r="E77" s="186" t="e">
        <f>IF(D77="","",IF(D77-INT(D77)&gt;1,"",VLOOKUP(D77,PROPONENTES!$C$19:$D$218,2,FALSE)))</f>
        <v>#N/A</v>
      </c>
      <c r="F77" s="487"/>
      <c r="G77" s="187"/>
      <c r="H77" s="139"/>
      <c r="I77" s="139"/>
      <c r="J77" s="139"/>
      <c r="K77" s="139"/>
      <c r="L77" s="139"/>
      <c r="M77" s="139"/>
      <c r="N77" s="139"/>
      <c r="O77" s="139"/>
      <c r="P77" s="139"/>
      <c r="Q77" s="139"/>
      <c r="R77" s="139"/>
      <c r="S77" s="139"/>
      <c r="T77" s="139"/>
      <c r="U77" s="139"/>
      <c r="V77" s="139"/>
      <c r="W77" s="139"/>
      <c r="X77" s="139"/>
      <c r="Y77" s="139"/>
      <c r="Z77" s="139"/>
      <c r="AA77" s="139"/>
      <c r="AB77" s="139"/>
      <c r="AC77" s="139"/>
      <c r="AD77" s="139"/>
      <c r="AE77" s="139"/>
      <c r="AF77" s="139"/>
      <c r="AG77" s="139"/>
      <c r="AH77" s="139"/>
      <c r="AI77" s="139"/>
      <c r="AJ77" s="139"/>
      <c r="AK77" s="139"/>
      <c r="AL77" s="139"/>
      <c r="AM77" s="139"/>
      <c r="AN77" s="139"/>
      <c r="AO77" s="139"/>
      <c r="AP77" s="139"/>
      <c r="AQ77" s="139"/>
      <c r="AR77" s="139"/>
      <c r="AS77" s="139"/>
      <c r="AT77" s="139"/>
      <c r="AU77" s="139"/>
      <c r="AV77" s="139"/>
      <c r="AW77" s="139"/>
      <c r="AX77" s="139"/>
      <c r="AY77" s="139"/>
      <c r="AZ77" s="139"/>
      <c r="BA77" s="139"/>
      <c r="BB77" s="139"/>
      <c r="BC77" s="139"/>
      <c r="BD77" s="139"/>
      <c r="BE77" s="139"/>
      <c r="BF77" s="139"/>
      <c r="BG77" s="139"/>
      <c r="BH77" s="139"/>
      <c r="BI77" s="139"/>
      <c r="BJ77" s="139"/>
      <c r="BK77" s="139"/>
      <c r="BL77" s="139"/>
      <c r="BM77" s="139"/>
      <c r="BN77" s="139"/>
      <c r="BO77" s="139"/>
      <c r="BP77" s="139"/>
      <c r="BQ77" s="139"/>
      <c r="BR77" s="139"/>
      <c r="BS77" s="139"/>
      <c r="BT77" s="139"/>
      <c r="BU77" s="139"/>
      <c r="BV77" s="139"/>
      <c r="BW77" s="139"/>
      <c r="BX77" s="139"/>
      <c r="BY77" s="139"/>
      <c r="BZ77" s="139"/>
      <c r="CA77" s="139"/>
      <c r="CB77" s="139"/>
      <c r="CC77" s="139"/>
      <c r="CD77" s="139"/>
      <c r="CE77" s="139"/>
      <c r="CF77" s="139"/>
      <c r="CG77" s="139"/>
      <c r="CH77" s="139"/>
      <c r="CI77" s="139"/>
      <c r="CJ77" s="139"/>
      <c r="CK77" s="139"/>
      <c r="CL77" s="139"/>
      <c r="CM77" s="139"/>
      <c r="CN77" s="139"/>
      <c r="CO77" s="139"/>
      <c r="CP77" s="139"/>
      <c r="CQ77" s="139"/>
      <c r="CR77" s="139"/>
      <c r="CS77" s="139"/>
    </row>
    <row r="78" spans="1:97" s="140" customFormat="1" ht="15.75" hidden="1" customHeight="1">
      <c r="A78" s="138"/>
      <c r="B78" s="138"/>
      <c r="C78" s="190">
        <v>44</v>
      </c>
      <c r="D78" s="314" t="e">
        <f>IF(VLOOKUP(C78,PROPONENTES!$B$19:$E$218,2,FALSE)="","",VLOOKUP(C78,PROPONENTES!$B$19:$E$218,2,FALSE))</f>
        <v>#N/A</v>
      </c>
      <c r="E78" s="186" t="e">
        <f>IF(D78="","",IF(D78-INT(D78)&gt;1,"",VLOOKUP(D78,PROPONENTES!$C$19:$D$218,2,FALSE)))</f>
        <v>#N/A</v>
      </c>
      <c r="F78" s="487"/>
      <c r="G78" s="187"/>
      <c r="H78" s="139"/>
      <c r="I78" s="139"/>
      <c r="J78" s="139"/>
      <c r="K78" s="139"/>
      <c r="L78" s="139"/>
      <c r="M78" s="139"/>
      <c r="N78" s="139"/>
      <c r="O78" s="139"/>
      <c r="P78" s="139"/>
      <c r="Q78" s="139"/>
      <c r="R78" s="139"/>
      <c r="S78" s="139"/>
      <c r="T78" s="139"/>
      <c r="U78" s="139"/>
      <c r="V78" s="139"/>
      <c r="W78" s="139"/>
      <c r="X78" s="139"/>
      <c r="Y78" s="139"/>
      <c r="Z78" s="139"/>
      <c r="AA78" s="139"/>
      <c r="AB78" s="139"/>
      <c r="AC78" s="139"/>
      <c r="AD78" s="139"/>
      <c r="AE78" s="139"/>
      <c r="AF78" s="139"/>
      <c r="AG78" s="139"/>
      <c r="AH78" s="139"/>
      <c r="AI78" s="139"/>
      <c r="AJ78" s="139"/>
      <c r="AK78" s="139"/>
      <c r="AL78" s="139"/>
      <c r="AM78" s="139"/>
      <c r="AN78" s="139"/>
      <c r="AO78" s="139"/>
      <c r="AP78" s="139"/>
      <c r="AQ78" s="139"/>
      <c r="AR78" s="139"/>
      <c r="AS78" s="139"/>
      <c r="AT78" s="139"/>
      <c r="AU78" s="139"/>
      <c r="AV78" s="139"/>
      <c r="AW78" s="139"/>
      <c r="AX78" s="139"/>
      <c r="AY78" s="139"/>
      <c r="AZ78" s="139"/>
      <c r="BA78" s="139"/>
      <c r="BB78" s="139"/>
      <c r="BC78" s="139"/>
      <c r="BD78" s="139"/>
      <c r="BE78" s="139"/>
      <c r="BF78" s="139"/>
      <c r="BG78" s="139"/>
      <c r="BH78" s="139"/>
      <c r="BI78" s="139"/>
      <c r="BJ78" s="139"/>
      <c r="BK78" s="139"/>
      <c r="BL78" s="139"/>
      <c r="BM78" s="139"/>
      <c r="BN78" s="139"/>
      <c r="BO78" s="139"/>
      <c r="BP78" s="139"/>
      <c r="BQ78" s="139"/>
      <c r="BR78" s="139"/>
      <c r="BS78" s="139"/>
      <c r="BT78" s="139"/>
      <c r="BU78" s="139"/>
      <c r="BV78" s="139"/>
      <c r="BW78" s="139"/>
      <c r="BX78" s="139"/>
      <c r="BY78" s="139"/>
      <c r="BZ78" s="139"/>
      <c r="CA78" s="139"/>
      <c r="CB78" s="139"/>
      <c r="CC78" s="139"/>
      <c r="CD78" s="139"/>
      <c r="CE78" s="139"/>
      <c r="CF78" s="139"/>
      <c r="CG78" s="139"/>
      <c r="CH78" s="139"/>
      <c r="CI78" s="139"/>
      <c r="CJ78" s="139"/>
      <c r="CK78" s="139"/>
      <c r="CL78" s="139"/>
      <c r="CM78" s="139"/>
      <c r="CN78" s="139"/>
      <c r="CO78" s="139"/>
      <c r="CP78" s="139"/>
      <c r="CQ78" s="139"/>
      <c r="CR78" s="139"/>
      <c r="CS78" s="139"/>
    </row>
    <row r="79" spans="1:97" s="140" customFormat="1" ht="15.75" hidden="1" customHeight="1">
      <c r="A79" s="138"/>
      <c r="B79" s="138"/>
      <c r="C79" s="190">
        <v>45</v>
      </c>
      <c r="D79" s="314" t="e">
        <f>IF(VLOOKUP(C79,PROPONENTES!$B$19:$E$218,2,FALSE)="","",VLOOKUP(C79,PROPONENTES!$B$19:$E$218,2,FALSE))</f>
        <v>#N/A</v>
      </c>
      <c r="E79" s="186" t="e">
        <f>IF(D79="","",IF(D79-INT(D79)&gt;1,"",VLOOKUP(D79,PROPONENTES!$C$19:$D$218,2,FALSE)))</f>
        <v>#N/A</v>
      </c>
      <c r="F79" s="487"/>
      <c r="G79" s="187"/>
      <c r="H79" s="139"/>
      <c r="I79" s="139"/>
      <c r="J79" s="139"/>
      <c r="K79" s="139"/>
      <c r="L79" s="139"/>
      <c r="M79" s="139"/>
      <c r="N79" s="139"/>
      <c r="O79" s="139"/>
      <c r="P79" s="139"/>
      <c r="Q79" s="139"/>
      <c r="R79" s="139"/>
      <c r="S79" s="139"/>
      <c r="T79" s="139"/>
      <c r="U79" s="139"/>
      <c r="V79" s="139"/>
      <c r="W79" s="139"/>
      <c r="X79" s="139"/>
      <c r="Y79" s="139"/>
      <c r="Z79" s="139"/>
      <c r="AA79" s="139"/>
      <c r="AB79" s="139"/>
      <c r="AC79" s="139"/>
      <c r="AD79" s="139"/>
      <c r="AE79" s="139"/>
      <c r="AF79" s="139"/>
      <c r="AG79" s="139"/>
      <c r="AH79" s="139"/>
      <c r="AI79" s="139"/>
      <c r="AJ79" s="139"/>
      <c r="AK79" s="139"/>
      <c r="AL79" s="139"/>
      <c r="AM79" s="139"/>
      <c r="AN79" s="139"/>
      <c r="AO79" s="139"/>
      <c r="AP79" s="139"/>
      <c r="AQ79" s="139"/>
      <c r="AR79" s="139"/>
      <c r="AS79" s="139"/>
      <c r="AT79" s="139"/>
      <c r="AU79" s="139"/>
      <c r="AV79" s="139"/>
      <c r="AW79" s="139"/>
      <c r="AX79" s="139"/>
      <c r="AY79" s="139"/>
      <c r="AZ79" s="139"/>
      <c r="BA79" s="139"/>
      <c r="BB79" s="139"/>
      <c r="BC79" s="139"/>
      <c r="BD79" s="139"/>
      <c r="BE79" s="139"/>
      <c r="BF79" s="139"/>
      <c r="BG79" s="139"/>
      <c r="BH79" s="139"/>
      <c r="BI79" s="139"/>
      <c r="BJ79" s="139"/>
      <c r="BK79" s="139"/>
      <c r="BL79" s="139"/>
      <c r="BM79" s="139"/>
      <c r="BN79" s="139"/>
      <c r="BO79" s="139"/>
      <c r="BP79" s="139"/>
      <c r="BQ79" s="139"/>
      <c r="BR79" s="139"/>
      <c r="BS79" s="139"/>
      <c r="BT79" s="139"/>
      <c r="BU79" s="139"/>
      <c r="BV79" s="139"/>
      <c r="BW79" s="139"/>
      <c r="BX79" s="139"/>
      <c r="BY79" s="139"/>
      <c r="BZ79" s="139"/>
      <c r="CA79" s="139"/>
      <c r="CB79" s="139"/>
      <c r="CC79" s="139"/>
      <c r="CD79" s="139"/>
      <c r="CE79" s="139"/>
      <c r="CF79" s="139"/>
      <c r="CG79" s="139"/>
      <c r="CH79" s="139"/>
      <c r="CI79" s="139"/>
      <c r="CJ79" s="139"/>
      <c r="CK79" s="139"/>
      <c r="CL79" s="139"/>
      <c r="CM79" s="139"/>
      <c r="CN79" s="139"/>
      <c r="CO79" s="139"/>
      <c r="CP79" s="139"/>
      <c r="CQ79" s="139"/>
      <c r="CR79" s="139"/>
      <c r="CS79" s="139"/>
    </row>
    <row r="80" spans="1:97" s="140" customFormat="1" ht="15.75" hidden="1" customHeight="1">
      <c r="A80" s="138"/>
      <c r="B80" s="138"/>
      <c r="C80" s="190">
        <v>46</v>
      </c>
      <c r="D80" s="314" t="e">
        <f>IF(VLOOKUP(C80,PROPONENTES!$B$19:$E$218,2,FALSE)="","",VLOOKUP(C80,PROPONENTES!$B$19:$E$218,2,FALSE))</f>
        <v>#N/A</v>
      </c>
      <c r="E80" s="186" t="e">
        <f>IF(D80="","",IF(D80-INT(D80)&gt;1,"",VLOOKUP(D80,PROPONENTES!$C$19:$D$218,2,FALSE)))</f>
        <v>#N/A</v>
      </c>
      <c r="F80" s="487"/>
      <c r="G80" s="187"/>
      <c r="H80" s="139"/>
      <c r="I80" s="139"/>
      <c r="J80" s="139"/>
      <c r="K80" s="139"/>
      <c r="L80" s="139"/>
      <c r="M80" s="139"/>
      <c r="N80" s="139"/>
      <c r="O80" s="139"/>
      <c r="P80" s="139"/>
      <c r="Q80" s="139"/>
      <c r="R80" s="139"/>
      <c r="S80" s="139"/>
      <c r="T80" s="139"/>
      <c r="U80" s="139"/>
      <c r="V80" s="139"/>
      <c r="W80" s="139"/>
      <c r="X80" s="139"/>
      <c r="Y80" s="139"/>
      <c r="Z80" s="139"/>
      <c r="AA80" s="139"/>
      <c r="AB80" s="139"/>
      <c r="AC80" s="139"/>
      <c r="AD80" s="139"/>
      <c r="AE80" s="139"/>
      <c r="AF80" s="139"/>
      <c r="AG80" s="139"/>
      <c r="AH80" s="139"/>
      <c r="AI80" s="139"/>
      <c r="AJ80" s="139"/>
      <c r="AK80" s="139"/>
      <c r="AL80" s="139"/>
      <c r="AM80" s="139"/>
      <c r="AN80" s="139"/>
      <c r="AO80" s="139"/>
      <c r="AP80" s="139"/>
      <c r="AQ80" s="139"/>
      <c r="AR80" s="139"/>
      <c r="AS80" s="139"/>
      <c r="AT80" s="139"/>
      <c r="AU80" s="139"/>
      <c r="AV80" s="139"/>
      <c r="AW80" s="139"/>
      <c r="AX80" s="139"/>
      <c r="AY80" s="139"/>
      <c r="AZ80" s="139"/>
      <c r="BA80" s="139"/>
      <c r="BB80" s="139"/>
      <c r="BC80" s="139"/>
      <c r="BD80" s="139"/>
      <c r="BE80" s="139"/>
      <c r="BF80" s="139"/>
      <c r="BG80" s="139"/>
      <c r="BH80" s="139"/>
      <c r="BI80" s="139"/>
      <c r="BJ80" s="139"/>
      <c r="BK80" s="139"/>
      <c r="BL80" s="139"/>
      <c r="BM80" s="139"/>
      <c r="BN80" s="139"/>
      <c r="BO80" s="139"/>
      <c r="BP80" s="139"/>
      <c r="BQ80" s="139"/>
      <c r="BR80" s="139"/>
      <c r="BS80" s="139"/>
      <c r="BT80" s="139"/>
      <c r="BU80" s="139"/>
      <c r="BV80" s="139"/>
      <c r="BW80" s="139"/>
      <c r="BX80" s="139"/>
      <c r="BY80" s="139"/>
      <c r="BZ80" s="139"/>
      <c r="CA80" s="139"/>
      <c r="CB80" s="139"/>
      <c r="CC80" s="139"/>
      <c r="CD80" s="139"/>
      <c r="CE80" s="139"/>
      <c r="CF80" s="139"/>
      <c r="CG80" s="139"/>
      <c r="CH80" s="139"/>
      <c r="CI80" s="139"/>
      <c r="CJ80" s="139"/>
      <c r="CK80" s="139"/>
      <c r="CL80" s="139"/>
      <c r="CM80" s="139"/>
      <c r="CN80" s="139"/>
      <c r="CO80" s="139"/>
      <c r="CP80" s="139"/>
      <c r="CQ80" s="139"/>
      <c r="CR80" s="139"/>
      <c r="CS80" s="139"/>
    </row>
    <row r="81" spans="1:97" s="140" customFormat="1" ht="15.75" hidden="1" customHeight="1">
      <c r="A81" s="138"/>
      <c r="B81" s="138"/>
      <c r="C81" s="190">
        <v>47</v>
      </c>
      <c r="D81" s="314" t="e">
        <f>IF(VLOOKUP(C81,PROPONENTES!$B$19:$E$218,2,FALSE)="","",VLOOKUP(C81,PROPONENTES!$B$19:$E$218,2,FALSE))</f>
        <v>#N/A</v>
      </c>
      <c r="E81" s="186" t="e">
        <f>IF(D81="","",IF(D81-INT(D81)&gt;1,"",VLOOKUP(D81,PROPONENTES!$C$19:$D$218,2,FALSE)))</f>
        <v>#N/A</v>
      </c>
      <c r="F81" s="487"/>
      <c r="G81" s="187"/>
      <c r="H81" s="139"/>
      <c r="I81" s="139"/>
      <c r="J81" s="139"/>
      <c r="K81" s="139"/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39"/>
      <c r="Z81" s="139"/>
      <c r="AA81" s="139"/>
      <c r="AB81" s="139"/>
      <c r="AC81" s="139"/>
      <c r="AD81" s="139"/>
      <c r="AE81" s="139"/>
      <c r="AF81" s="139"/>
      <c r="AG81" s="139"/>
      <c r="AH81" s="139"/>
      <c r="AI81" s="139"/>
      <c r="AJ81" s="139"/>
      <c r="AK81" s="139"/>
      <c r="AL81" s="139"/>
      <c r="AM81" s="139"/>
      <c r="AN81" s="139"/>
      <c r="AO81" s="139"/>
      <c r="AP81" s="139"/>
      <c r="AQ81" s="139"/>
      <c r="AR81" s="139"/>
      <c r="AS81" s="139"/>
      <c r="AT81" s="139"/>
      <c r="AU81" s="139"/>
      <c r="AV81" s="139"/>
      <c r="AW81" s="139"/>
      <c r="AX81" s="139"/>
      <c r="AY81" s="139"/>
      <c r="AZ81" s="139"/>
      <c r="BA81" s="139"/>
      <c r="BB81" s="139"/>
      <c r="BC81" s="139"/>
      <c r="BD81" s="139"/>
      <c r="BE81" s="139"/>
      <c r="BF81" s="139"/>
      <c r="BG81" s="139"/>
      <c r="BH81" s="139"/>
      <c r="BI81" s="139"/>
      <c r="BJ81" s="139"/>
      <c r="BK81" s="139"/>
      <c r="BL81" s="139"/>
      <c r="BM81" s="139"/>
      <c r="BN81" s="139"/>
      <c r="BO81" s="139"/>
      <c r="BP81" s="139"/>
      <c r="BQ81" s="139"/>
      <c r="BR81" s="139"/>
      <c r="BS81" s="139"/>
      <c r="BT81" s="139"/>
      <c r="BU81" s="139"/>
      <c r="BV81" s="139"/>
      <c r="BW81" s="139"/>
      <c r="BX81" s="139"/>
      <c r="BY81" s="139"/>
      <c r="BZ81" s="139"/>
      <c r="CA81" s="139"/>
      <c r="CB81" s="139"/>
      <c r="CC81" s="139"/>
      <c r="CD81" s="139"/>
      <c r="CE81" s="139"/>
      <c r="CF81" s="139"/>
      <c r="CG81" s="139"/>
      <c r="CH81" s="139"/>
      <c r="CI81" s="139"/>
      <c r="CJ81" s="139"/>
      <c r="CK81" s="139"/>
      <c r="CL81" s="139"/>
      <c r="CM81" s="139"/>
      <c r="CN81" s="139"/>
      <c r="CO81" s="139"/>
      <c r="CP81" s="139"/>
      <c r="CQ81" s="139"/>
      <c r="CR81" s="139"/>
      <c r="CS81" s="139"/>
    </row>
    <row r="82" spans="1:97" s="140" customFormat="1" ht="15.75" hidden="1" customHeight="1">
      <c r="A82" s="138"/>
      <c r="B82" s="138"/>
      <c r="C82" s="190">
        <v>48</v>
      </c>
      <c r="D82" s="314" t="e">
        <f>IF(VLOOKUP(C82,PROPONENTES!$B$19:$E$218,2,FALSE)="","",VLOOKUP(C82,PROPONENTES!$B$19:$E$218,2,FALSE))</f>
        <v>#N/A</v>
      </c>
      <c r="E82" s="186" t="e">
        <f>IF(D82="","",IF(D82-INT(D82)&gt;1,"",VLOOKUP(D82,PROPONENTES!$C$19:$D$218,2,FALSE)))</f>
        <v>#N/A</v>
      </c>
      <c r="F82" s="487"/>
      <c r="G82" s="187"/>
      <c r="H82" s="139"/>
      <c r="I82" s="139"/>
      <c r="J82" s="139"/>
      <c r="K82" s="139"/>
      <c r="L82" s="139"/>
      <c r="M82" s="139"/>
      <c r="N82" s="139"/>
      <c r="O82" s="139"/>
      <c r="P82" s="139"/>
      <c r="Q82" s="139"/>
      <c r="R82" s="139"/>
      <c r="S82" s="139"/>
      <c r="T82" s="139"/>
      <c r="U82" s="139"/>
      <c r="V82" s="139"/>
      <c r="W82" s="139"/>
      <c r="X82" s="139"/>
      <c r="Y82" s="139"/>
      <c r="Z82" s="139"/>
      <c r="AA82" s="139"/>
      <c r="AB82" s="139"/>
      <c r="AC82" s="139"/>
      <c r="AD82" s="139"/>
      <c r="AE82" s="139"/>
      <c r="AF82" s="139"/>
      <c r="AG82" s="139"/>
      <c r="AH82" s="139"/>
      <c r="AI82" s="139"/>
      <c r="AJ82" s="139"/>
      <c r="AK82" s="139"/>
      <c r="AL82" s="139"/>
      <c r="AM82" s="139"/>
      <c r="AN82" s="139"/>
      <c r="AO82" s="139"/>
      <c r="AP82" s="139"/>
      <c r="AQ82" s="139"/>
      <c r="AR82" s="139"/>
      <c r="AS82" s="139"/>
      <c r="AT82" s="139"/>
      <c r="AU82" s="139"/>
      <c r="AV82" s="139"/>
      <c r="AW82" s="139"/>
      <c r="AX82" s="139"/>
      <c r="AY82" s="139"/>
      <c r="AZ82" s="139"/>
      <c r="BA82" s="139"/>
      <c r="BB82" s="139"/>
      <c r="BC82" s="139"/>
      <c r="BD82" s="139"/>
      <c r="BE82" s="139"/>
      <c r="BF82" s="139"/>
      <c r="BG82" s="139"/>
      <c r="BH82" s="139"/>
      <c r="BI82" s="139"/>
      <c r="BJ82" s="139"/>
      <c r="BK82" s="139"/>
      <c r="BL82" s="139"/>
      <c r="BM82" s="139"/>
      <c r="BN82" s="139"/>
      <c r="BO82" s="139"/>
      <c r="BP82" s="139"/>
      <c r="BQ82" s="139"/>
      <c r="BR82" s="139"/>
      <c r="BS82" s="139"/>
      <c r="BT82" s="139"/>
      <c r="BU82" s="139"/>
      <c r="BV82" s="139"/>
      <c r="BW82" s="139"/>
      <c r="BX82" s="139"/>
      <c r="BY82" s="139"/>
      <c r="BZ82" s="139"/>
      <c r="CA82" s="139"/>
      <c r="CB82" s="139"/>
      <c r="CC82" s="139"/>
      <c r="CD82" s="139"/>
      <c r="CE82" s="139"/>
      <c r="CF82" s="139"/>
      <c r="CG82" s="139"/>
      <c r="CH82" s="139"/>
      <c r="CI82" s="139"/>
      <c r="CJ82" s="139"/>
      <c r="CK82" s="139"/>
      <c r="CL82" s="139"/>
      <c r="CM82" s="139"/>
      <c r="CN82" s="139"/>
      <c r="CO82" s="139"/>
      <c r="CP82" s="139"/>
      <c r="CQ82" s="139"/>
      <c r="CR82" s="139"/>
      <c r="CS82" s="139"/>
    </row>
    <row r="83" spans="1:97" s="140" customFormat="1" ht="15.75" hidden="1" customHeight="1">
      <c r="A83" s="138"/>
      <c r="B83" s="138"/>
      <c r="C83" s="190">
        <v>49</v>
      </c>
      <c r="D83" s="314" t="e">
        <f>IF(VLOOKUP(C83,PROPONENTES!$B$19:$E$218,2,FALSE)="","",VLOOKUP(C83,PROPONENTES!$B$19:$E$218,2,FALSE))</f>
        <v>#N/A</v>
      </c>
      <c r="E83" s="186" t="e">
        <f>IF(D83="","",IF(D83-INT(D83)&gt;1,"",VLOOKUP(D83,PROPONENTES!$C$19:$D$218,2,FALSE)))</f>
        <v>#N/A</v>
      </c>
      <c r="F83" s="487"/>
      <c r="G83" s="187"/>
      <c r="H83" s="139"/>
      <c r="I83" s="139"/>
      <c r="J83" s="139"/>
      <c r="K83" s="139"/>
      <c r="L83" s="139"/>
      <c r="M83" s="139"/>
      <c r="N83" s="139"/>
      <c r="O83" s="139"/>
      <c r="P83" s="139"/>
      <c r="Q83" s="139"/>
      <c r="R83" s="139"/>
      <c r="S83" s="139"/>
      <c r="T83" s="139"/>
      <c r="U83" s="139"/>
      <c r="V83" s="139"/>
      <c r="W83" s="139"/>
      <c r="X83" s="139"/>
      <c r="Y83" s="139"/>
      <c r="Z83" s="139"/>
      <c r="AA83" s="139"/>
      <c r="AB83" s="139"/>
      <c r="AC83" s="139"/>
      <c r="AD83" s="139"/>
      <c r="AE83" s="139"/>
      <c r="AF83" s="139"/>
      <c r="AG83" s="139"/>
      <c r="AH83" s="139"/>
      <c r="AI83" s="139"/>
      <c r="AJ83" s="139"/>
      <c r="AK83" s="139"/>
      <c r="AL83" s="139"/>
      <c r="AM83" s="139"/>
      <c r="AN83" s="139"/>
      <c r="AO83" s="139"/>
      <c r="AP83" s="139"/>
      <c r="AQ83" s="139"/>
      <c r="AR83" s="139"/>
      <c r="AS83" s="139"/>
      <c r="AT83" s="139"/>
      <c r="AU83" s="139"/>
      <c r="AV83" s="139"/>
      <c r="AW83" s="139"/>
      <c r="AX83" s="139"/>
      <c r="AY83" s="139"/>
      <c r="AZ83" s="139"/>
      <c r="BA83" s="139"/>
      <c r="BB83" s="139"/>
      <c r="BC83" s="139"/>
      <c r="BD83" s="139"/>
      <c r="BE83" s="139"/>
      <c r="BF83" s="139"/>
      <c r="BG83" s="139"/>
      <c r="BH83" s="139"/>
      <c r="BI83" s="139"/>
      <c r="BJ83" s="139"/>
      <c r="BK83" s="139"/>
      <c r="BL83" s="139"/>
      <c r="BM83" s="139"/>
      <c r="BN83" s="139"/>
      <c r="BO83" s="139"/>
      <c r="BP83" s="139"/>
      <c r="BQ83" s="139"/>
      <c r="BR83" s="139"/>
      <c r="BS83" s="139"/>
      <c r="BT83" s="139"/>
      <c r="BU83" s="139"/>
      <c r="BV83" s="139"/>
      <c r="BW83" s="139"/>
      <c r="BX83" s="139"/>
      <c r="BY83" s="139"/>
      <c r="BZ83" s="139"/>
      <c r="CA83" s="139"/>
      <c r="CB83" s="139"/>
      <c r="CC83" s="139"/>
      <c r="CD83" s="139"/>
      <c r="CE83" s="139"/>
      <c r="CF83" s="139"/>
      <c r="CG83" s="139"/>
      <c r="CH83" s="139"/>
      <c r="CI83" s="139"/>
      <c r="CJ83" s="139"/>
      <c r="CK83" s="139"/>
      <c r="CL83" s="139"/>
      <c r="CM83" s="139"/>
      <c r="CN83" s="139"/>
      <c r="CO83" s="139"/>
      <c r="CP83" s="139"/>
      <c r="CQ83" s="139"/>
      <c r="CR83" s="139"/>
      <c r="CS83" s="139"/>
    </row>
    <row r="84" spans="1:97" s="140" customFormat="1" ht="15.75" hidden="1" customHeight="1">
      <c r="A84" s="138"/>
      <c r="B84" s="138"/>
      <c r="C84" s="190">
        <v>50</v>
      </c>
      <c r="D84" s="314" t="e">
        <f>IF(VLOOKUP(C84,PROPONENTES!$B$19:$E$218,2,FALSE)="","",VLOOKUP(C84,PROPONENTES!$B$19:$E$218,2,FALSE))</f>
        <v>#N/A</v>
      </c>
      <c r="E84" s="186" t="e">
        <f>IF(D84="","",IF(D84-INT(D84)&gt;1,"",VLOOKUP(D84,PROPONENTES!$C$19:$D$218,2,FALSE)))</f>
        <v>#N/A</v>
      </c>
      <c r="F84" s="487"/>
      <c r="G84" s="187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C84" s="139"/>
      <c r="AD84" s="139"/>
      <c r="AE84" s="139"/>
      <c r="AF84" s="139"/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  <c r="AQ84" s="139"/>
      <c r="AR84" s="139"/>
      <c r="AS84" s="139"/>
      <c r="AT84" s="139"/>
      <c r="AU84" s="139"/>
      <c r="AV84" s="139"/>
      <c r="AW84" s="139"/>
      <c r="AX84" s="139"/>
      <c r="AY84" s="139"/>
      <c r="AZ84" s="139"/>
      <c r="BA84" s="139"/>
      <c r="BB84" s="139"/>
      <c r="BC84" s="139"/>
      <c r="BD84" s="139"/>
      <c r="BE84" s="139"/>
      <c r="BF84" s="139"/>
      <c r="BG84" s="139"/>
      <c r="BH84" s="139"/>
      <c r="BI84" s="139"/>
      <c r="BJ84" s="139"/>
      <c r="BK84" s="139"/>
      <c r="BL84" s="139"/>
      <c r="BM84" s="139"/>
      <c r="BN84" s="139"/>
      <c r="BO84" s="139"/>
      <c r="BP84" s="139"/>
      <c r="BQ84" s="139"/>
      <c r="BR84" s="139"/>
      <c r="BS84" s="139"/>
      <c r="BT84" s="139"/>
      <c r="BU84" s="139"/>
      <c r="BV84" s="139"/>
      <c r="BW84" s="139"/>
      <c r="BX84" s="139"/>
      <c r="BY84" s="139"/>
      <c r="BZ84" s="139"/>
      <c r="CA84" s="139"/>
      <c r="CB84" s="139"/>
      <c r="CC84" s="139"/>
      <c r="CD84" s="139"/>
      <c r="CE84" s="139"/>
      <c r="CF84" s="139"/>
      <c r="CG84" s="139"/>
      <c r="CH84" s="139"/>
      <c r="CI84" s="139"/>
      <c r="CJ84" s="139"/>
      <c r="CK84" s="139"/>
      <c r="CL84" s="139"/>
      <c r="CM84" s="139"/>
      <c r="CN84" s="139"/>
      <c r="CO84" s="139"/>
      <c r="CP84" s="139"/>
      <c r="CQ84" s="139"/>
      <c r="CR84" s="139"/>
      <c r="CS84" s="139"/>
    </row>
    <row r="85" spans="1:97" s="140" customFormat="1" ht="15.75" hidden="1" customHeight="1">
      <c r="A85" s="138"/>
      <c r="B85" s="138"/>
      <c r="C85" s="190">
        <v>51</v>
      </c>
      <c r="D85" s="314" t="e">
        <f>IF(VLOOKUP(C85,PROPONENTES!$B$19:$E$218,2,FALSE)="","",VLOOKUP(C85,PROPONENTES!$B$19:$E$218,2,FALSE))</f>
        <v>#N/A</v>
      </c>
      <c r="E85" s="186" t="e">
        <f>IF(D85="","",IF(D85-INT(D85)&gt;1,"",VLOOKUP(D85,PROPONENTES!$C$19:$D$218,2,FALSE)))</f>
        <v>#N/A</v>
      </c>
      <c r="F85" s="487"/>
      <c r="G85" s="187"/>
      <c r="H85" s="139"/>
      <c r="I85" s="139"/>
      <c r="J85" s="139"/>
      <c r="K85" s="139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  <c r="AG85" s="139"/>
      <c r="AH85" s="139"/>
      <c r="AI85" s="139"/>
      <c r="AJ85" s="139"/>
      <c r="AK85" s="139"/>
      <c r="AL85" s="139"/>
      <c r="AM85" s="139"/>
      <c r="AN85" s="139"/>
      <c r="AO85" s="139"/>
      <c r="AP85" s="139"/>
      <c r="AQ85" s="139"/>
      <c r="AR85" s="139"/>
      <c r="AS85" s="139"/>
      <c r="AT85" s="139"/>
      <c r="AU85" s="139"/>
      <c r="AV85" s="139"/>
      <c r="AW85" s="139"/>
      <c r="AX85" s="139"/>
      <c r="AY85" s="139"/>
      <c r="AZ85" s="139"/>
      <c r="BA85" s="139"/>
      <c r="BB85" s="139"/>
      <c r="BC85" s="139"/>
      <c r="BD85" s="139"/>
      <c r="BE85" s="139"/>
      <c r="BF85" s="139"/>
      <c r="BG85" s="139"/>
      <c r="BH85" s="139"/>
      <c r="BI85" s="139"/>
      <c r="BJ85" s="139"/>
      <c r="BK85" s="139"/>
      <c r="BL85" s="139"/>
      <c r="BM85" s="139"/>
      <c r="BN85" s="139"/>
      <c r="BO85" s="139"/>
      <c r="BP85" s="139"/>
      <c r="BQ85" s="139"/>
      <c r="BR85" s="139"/>
      <c r="BS85" s="139"/>
      <c r="BT85" s="139"/>
      <c r="BU85" s="139"/>
      <c r="BV85" s="139"/>
      <c r="BW85" s="139"/>
      <c r="BX85" s="139"/>
      <c r="BY85" s="139"/>
      <c r="BZ85" s="139"/>
      <c r="CA85" s="139"/>
      <c r="CB85" s="139"/>
      <c r="CC85" s="139"/>
      <c r="CD85" s="139"/>
      <c r="CE85" s="139"/>
      <c r="CF85" s="139"/>
      <c r="CG85" s="139"/>
      <c r="CH85" s="139"/>
      <c r="CI85" s="139"/>
      <c r="CJ85" s="139"/>
      <c r="CK85" s="139"/>
      <c r="CL85" s="139"/>
      <c r="CM85" s="139"/>
      <c r="CN85" s="139"/>
      <c r="CO85" s="139"/>
      <c r="CP85" s="139"/>
      <c r="CQ85" s="139"/>
      <c r="CR85" s="139"/>
      <c r="CS85" s="139"/>
    </row>
    <row r="86" spans="1:97" s="140" customFormat="1" ht="15.75" hidden="1" customHeight="1">
      <c r="A86" s="138"/>
      <c r="B86" s="138"/>
      <c r="C86" s="190">
        <v>52</v>
      </c>
      <c r="D86" s="314" t="e">
        <f>IF(VLOOKUP(C86,PROPONENTES!$B$19:$E$218,2,FALSE)="","",VLOOKUP(C86,PROPONENTES!$B$19:$E$218,2,FALSE))</f>
        <v>#N/A</v>
      </c>
      <c r="E86" s="186" t="e">
        <f>IF(D86="","",IF(D86-INT(D86)&gt;1,"",VLOOKUP(D86,PROPONENTES!$C$19:$D$218,2,FALSE)))</f>
        <v>#N/A</v>
      </c>
      <c r="F86" s="487"/>
      <c r="G86" s="187"/>
      <c r="H86" s="139"/>
      <c r="I86" s="139"/>
      <c r="J86" s="139"/>
      <c r="K86" s="139"/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39"/>
      <c r="X86" s="139"/>
      <c r="Y86" s="139"/>
      <c r="Z86" s="139"/>
      <c r="AA86" s="139"/>
      <c r="AB86" s="139"/>
      <c r="AC86" s="139"/>
      <c r="AD86" s="139"/>
      <c r="AE86" s="139"/>
      <c r="AF86" s="139"/>
      <c r="AG86" s="139"/>
      <c r="AH86" s="139"/>
      <c r="AI86" s="139"/>
      <c r="AJ86" s="139"/>
      <c r="AK86" s="139"/>
      <c r="AL86" s="139"/>
      <c r="AM86" s="139"/>
      <c r="AN86" s="139"/>
      <c r="AO86" s="139"/>
      <c r="AP86" s="139"/>
      <c r="AQ86" s="139"/>
      <c r="AR86" s="139"/>
      <c r="AS86" s="139"/>
      <c r="AT86" s="139"/>
      <c r="AU86" s="139"/>
      <c r="AV86" s="139"/>
      <c r="AW86" s="139"/>
      <c r="AX86" s="139"/>
      <c r="AY86" s="139"/>
      <c r="AZ86" s="139"/>
      <c r="BA86" s="139"/>
      <c r="BB86" s="139"/>
      <c r="BC86" s="139"/>
      <c r="BD86" s="139"/>
      <c r="BE86" s="139"/>
      <c r="BF86" s="139"/>
      <c r="BG86" s="139"/>
      <c r="BH86" s="139"/>
      <c r="BI86" s="139"/>
      <c r="BJ86" s="139"/>
      <c r="BK86" s="139"/>
      <c r="BL86" s="139"/>
      <c r="BM86" s="139"/>
      <c r="BN86" s="139"/>
      <c r="BO86" s="139"/>
      <c r="BP86" s="139"/>
      <c r="BQ86" s="139"/>
      <c r="BR86" s="139"/>
      <c r="BS86" s="139"/>
      <c r="BT86" s="139"/>
      <c r="BU86" s="139"/>
      <c r="BV86" s="139"/>
      <c r="BW86" s="139"/>
      <c r="BX86" s="139"/>
      <c r="BY86" s="139"/>
      <c r="BZ86" s="139"/>
      <c r="CA86" s="139"/>
      <c r="CB86" s="139"/>
      <c r="CC86" s="139"/>
      <c r="CD86" s="139"/>
      <c r="CE86" s="139"/>
      <c r="CF86" s="139"/>
      <c r="CG86" s="139"/>
      <c r="CH86" s="139"/>
      <c r="CI86" s="139"/>
      <c r="CJ86" s="139"/>
      <c r="CK86" s="139"/>
      <c r="CL86" s="139"/>
      <c r="CM86" s="139"/>
      <c r="CN86" s="139"/>
      <c r="CO86" s="139"/>
      <c r="CP86" s="139"/>
      <c r="CQ86" s="139"/>
      <c r="CR86" s="139"/>
      <c r="CS86" s="139"/>
    </row>
    <row r="87" spans="1:97" s="140" customFormat="1" ht="15.75" hidden="1" customHeight="1">
      <c r="A87" s="138"/>
      <c r="B87" s="138"/>
      <c r="C87" s="190">
        <v>53</v>
      </c>
      <c r="D87" s="314" t="e">
        <f>IF(VLOOKUP(C87,PROPONENTES!$B$19:$E$218,2,FALSE)="","",VLOOKUP(C87,PROPONENTES!$B$19:$E$218,2,FALSE))</f>
        <v>#N/A</v>
      </c>
      <c r="E87" s="186" t="e">
        <f>IF(D87="","",IF(D87-INT(D87)&gt;1,"",VLOOKUP(D87,PROPONENTES!$C$19:$D$218,2,FALSE)))</f>
        <v>#N/A</v>
      </c>
      <c r="F87" s="487"/>
      <c r="G87" s="187"/>
      <c r="H87" s="139"/>
      <c r="I87" s="139"/>
      <c r="J87" s="139"/>
      <c r="K87" s="139"/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9"/>
      <c r="Y87" s="139"/>
      <c r="Z87" s="139"/>
      <c r="AA87" s="139"/>
      <c r="AB87" s="139"/>
      <c r="AC87" s="139"/>
      <c r="AD87" s="139"/>
      <c r="AE87" s="139"/>
      <c r="AF87" s="139"/>
      <c r="AG87" s="139"/>
      <c r="AH87" s="139"/>
      <c r="AI87" s="139"/>
      <c r="AJ87" s="139"/>
      <c r="AK87" s="139"/>
      <c r="AL87" s="139"/>
      <c r="AM87" s="139"/>
      <c r="AN87" s="139"/>
      <c r="AO87" s="139"/>
      <c r="AP87" s="139"/>
      <c r="AQ87" s="139"/>
      <c r="AR87" s="139"/>
      <c r="AS87" s="139"/>
      <c r="AT87" s="139"/>
      <c r="AU87" s="139"/>
      <c r="AV87" s="139"/>
      <c r="AW87" s="139"/>
      <c r="AX87" s="139"/>
      <c r="AY87" s="139"/>
      <c r="AZ87" s="139"/>
      <c r="BA87" s="139"/>
      <c r="BB87" s="139"/>
      <c r="BC87" s="139"/>
      <c r="BD87" s="139"/>
      <c r="BE87" s="139"/>
      <c r="BF87" s="139"/>
      <c r="BG87" s="139"/>
      <c r="BH87" s="139"/>
      <c r="BI87" s="139"/>
      <c r="BJ87" s="139"/>
      <c r="BK87" s="139"/>
      <c r="BL87" s="139"/>
      <c r="BM87" s="139"/>
      <c r="BN87" s="139"/>
      <c r="BO87" s="139"/>
      <c r="BP87" s="139"/>
      <c r="BQ87" s="139"/>
      <c r="BR87" s="139"/>
      <c r="BS87" s="139"/>
      <c r="BT87" s="139"/>
      <c r="BU87" s="139"/>
      <c r="BV87" s="139"/>
      <c r="BW87" s="139"/>
      <c r="BX87" s="139"/>
      <c r="BY87" s="139"/>
      <c r="BZ87" s="139"/>
      <c r="CA87" s="139"/>
      <c r="CB87" s="139"/>
      <c r="CC87" s="139"/>
      <c r="CD87" s="139"/>
      <c r="CE87" s="139"/>
      <c r="CF87" s="139"/>
      <c r="CG87" s="139"/>
      <c r="CH87" s="139"/>
      <c r="CI87" s="139"/>
      <c r="CJ87" s="139"/>
      <c r="CK87" s="139"/>
      <c r="CL87" s="139"/>
      <c r="CM87" s="139"/>
      <c r="CN87" s="139"/>
      <c r="CO87" s="139"/>
      <c r="CP87" s="139"/>
      <c r="CQ87" s="139"/>
      <c r="CR87" s="139"/>
      <c r="CS87" s="139"/>
    </row>
    <row r="88" spans="1:97" s="140" customFormat="1" ht="15.75" hidden="1" customHeight="1">
      <c r="A88" s="138"/>
      <c r="B88" s="138"/>
      <c r="C88" s="190">
        <v>54</v>
      </c>
      <c r="D88" s="314" t="e">
        <f>IF(VLOOKUP(C88,PROPONENTES!$B$19:$E$218,2,FALSE)="","",VLOOKUP(C88,PROPONENTES!$B$19:$E$218,2,FALSE))</f>
        <v>#N/A</v>
      </c>
      <c r="E88" s="186" t="e">
        <f>IF(D88="","",IF(D88-INT(D88)&gt;1,"",VLOOKUP(D88,PROPONENTES!$C$19:$D$218,2,FALSE)))</f>
        <v>#N/A</v>
      </c>
      <c r="F88" s="487"/>
      <c r="G88" s="187"/>
      <c r="H88" s="139"/>
      <c r="I88" s="139"/>
      <c r="J88" s="139"/>
      <c r="K88" s="139"/>
      <c r="L88" s="139"/>
      <c r="M88" s="139"/>
      <c r="N88" s="139"/>
      <c r="O88" s="139"/>
      <c r="P88" s="139"/>
      <c r="Q88" s="139"/>
      <c r="R88" s="139"/>
      <c r="S88" s="139"/>
      <c r="T88" s="139"/>
      <c r="U88" s="139"/>
      <c r="V88" s="139"/>
      <c r="W88" s="139"/>
      <c r="X88" s="139"/>
      <c r="Y88" s="139"/>
      <c r="Z88" s="139"/>
      <c r="AA88" s="139"/>
      <c r="AB88" s="139"/>
      <c r="AC88" s="139"/>
      <c r="AD88" s="139"/>
      <c r="AE88" s="139"/>
      <c r="AF88" s="139"/>
      <c r="AG88" s="139"/>
      <c r="AH88" s="139"/>
      <c r="AI88" s="139"/>
      <c r="AJ88" s="139"/>
      <c r="AK88" s="139"/>
      <c r="AL88" s="139"/>
      <c r="AM88" s="139"/>
      <c r="AN88" s="139"/>
      <c r="AO88" s="139"/>
      <c r="AP88" s="139"/>
      <c r="AQ88" s="139"/>
      <c r="AR88" s="139"/>
      <c r="AS88" s="139"/>
      <c r="AT88" s="139"/>
      <c r="AU88" s="139"/>
      <c r="AV88" s="139"/>
      <c r="AW88" s="139"/>
      <c r="AX88" s="139"/>
      <c r="AY88" s="139"/>
      <c r="AZ88" s="139"/>
      <c r="BA88" s="139"/>
      <c r="BB88" s="139"/>
      <c r="BC88" s="139"/>
      <c r="BD88" s="139"/>
      <c r="BE88" s="139"/>
      <c r="BF88" s="139"/>
      <c r="BG88" s="139"/>
      <c r="BH88" s="139"/>
      <c r="BI88" s="139"/>
      <c r="BJ88" s="139"/>
      <c r="BK88" s="139"/>
      <c r="BL88" s="139"/>
      <c r="BM88" s="139"/>
      <c r="BN88" s="139"/>
      <c r="BO88" s="139"/>
      <c r="BP88" s="139"/>
      <c r="BQ88" s="139"/>
      <c r="BR88" s="139"/>
      <c r="BS88" s="139"/>
      <c r="BT88" s="139"/>
      <c r="BU88" s="139"/>
      <c r="BV88" s="139"/>
      <c r="BW88" s="139"/>
      <c r="BX88" s="139"/>
      <c r="BY88" s="139"/>
      <c r="BZ88" s="139"/>
      <c r="CA88" s="139"/>
      <c r="CB88" s="139"/>
      <c r="CC88" s="139"/>
      <c r="CD88" s="139"/>
      <c r="CE88" s="139"/>
      <c r="CF88" s="139"/>
      <c r="CG88" s="139"/>
      <c r="CH88" s="139"/>
      <c r="CI88" s="139"/>
      <c r="CJ88" s="139"/>
      <c r="CK88" s="139"/>
      <c r="CL88" s="139"/>
      <c r="CM88" s="139"/>
      <c r="CN88" s="139"/>
      <c r="CO88" s="139"/>
      <c r="CP88" s="139"/>
      <c r="CQ88" s="139"/>
      <c r="CR88" s="139"/>
      <c r="CS88" s="139"/>
    </row>
    <row r="89" spans="1:97" s="140" customFormat="1" ht="15.75" hidden="1" customHeight="1">
      <c r="A89" s="138"/>
      <c r="B89" s="138"/>
      <c r="C89" s="190">
        <v>55</v>
      </c>
      <c r="D89" s="314" t="e">
        <f>IF(VLOOKUP(C89,PROPONENTES!$B$19:$E$218,2,FALSE)="","",VLOOKUP(C89,PROPONENTES!$B$19:$E$218,2,FALSE))</f>
        <v>#N/A</v>
      </c>
      <c r="E89" s="186" t="e">
        <f>IF(D89="","",IF(D89-INT(D89)&gt;1,"",VLOOKUP(D89,PROPONENTES!$C$19:$D$218,2,FALSE)))</f>
        <v>#N/A</v>
      </c>
      <c r="F89" s="487"/>
      <c r="G89" s="187"/>
      <c r="H89" s="139"/>
      <c r="I89" s="139"/>
      <c r="J89" s="139"/>
      <c r="K89" s="139"/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39"/>
      <c r="X89" s="139"/>
      <c r="Y89" s="139"/>
      <c r="Z89" s="139"/>
      <c r="AA89" s="139"/>
      <c r="AB89" s="139"/>
      <c r="AC89" s="139"/>
      <c r="AD89" s="139"/>
      <c r="AE89" s="139"/>
      <c r="AF89" s="139"/>
      <c r="AG89" s="139"/>
      <c r="AH89" s="139"/>
      <c r="AI89" s="139"/>
      <c r="AJ89" s="139"/>
      <c r="AK89" s="139"/>
      <c r="AL89" s="139"/>
      <c r="AM89" s="139"/>
      <c r="AN89" s="139"/>
      <c r="AO89" s="139"/>
      <c r="AP89" s="139"/>
      <c r="AQ89" s="139"/>
      <c r="AR89" s="139"/>
      <c r="AS89" s="139"/>
      <c r="AT89" s="139"/>
      <c r="AU89" s="139"/>
      <c r="AV89" s="139"/>
      <c r="AW89" s="139"/>
      <c r="AX89" s="139"/>
      <c r="AY89" s="139"/>
      <c r="AZ89" s="139"/>
      <c r="BA89" s="139"/>
      <c r="BB89" s="139"/>
      <c r="BC89" s="139"/>
      <c r="BD89" s="139"/>
      <c r="BE89" s="139"/>
      <c r="BF89" s="139"/>
      <c r="BG89" s="139"/>
      <c r="BH89" s="139"/>
      <c r="BI89" s="139"/>
      <c r="BJ89" s="139"/>
      <c r="BK89" s="139"/>
      <c r="BL89" s="139"/>
      <c r="BM89" s="139"/>
      <c r="BN89" s="139"/>
      <c r="BO89" s="139"/>
      <c r="BP89" s="139"/>
      <c r="BQ89" s="139"/>
      <c r="BR89" s="139"/>
      <c r="BS89" s="139"/>
      <c r="BT89" s="139"/>
      <c r="BU89" s="139"/>
      <c r="BV89" s="139"/>
      <c r="BW89" s="139"/>
      <c r="BX89" s="139"/>
      <c r="BY89" s="139"/>
      <c r="BZ89" s="139"/>
      <c r="CA89" s="139"/>
      <c r="CB89" s="139"/>
      <c r="CC89" s="139"/>
      <c r="CD89" s="139"/>
      <c r="CE89" s="139"/>
      <c r="CF89" s="139"/>
      <c r="CG89" s="139"/>
      <c r="CH89" s="139"/>
      <c r="CI89" s="139"/>
      <c r="CJ89" s="139"/>
      <c r="CK89" s="139"/>
      <c r="CL89" s="139"/>
      <c r="CM89" s="139"/>
      <c r="CN89" s="139"/>
      <c r="CO89" s="139"/>
      <c r="CP89" s="139"/>
      <c r="CQ89" s="139"/>
      <c r="CR89" s="139"/>
      <c r="CS89" s="139"/>
    </row>
    <row r="90" spans="1:97" s="140" customFormat="1" ht="15.75" hidden="1" customHeight="1">
      <c r="A90" s="138"/>
      <c r="B90" s="138"/>
      <c r="C90" s="190">
        <v>56</v>
      </c>
      <c r="D90" s="314" t="e">
        <f>IF(VLOOKUP(C90,PROPONENTES!$B$19:$E$218,2,FALSE)="","",VLOOKUP(C90,PROPONENTES!$B$19:$E$218,2,FALSE))</f>
        <v>#N/A</v>
      </c>
      <c r="E90" s="186" t="e">
        <f>IF(D90="","",IF(D90-INT(D90)&gt;1,"",VLOOKUP(D90,PROPONENTES!$C$19:$D$218,2,FALSE)))</f>
        <v>#N/A</v>
      </c>
      <c r="F90" s="487"/>
      <c r="G90" s="187"/>
      <c r="H90" s="139"/>
      <c r="I90" s="139"/>
      <c r="J90" s="139"/>
      <c r="K90" s="139"/>
      <c r="L90" s="139"/>
      <c r="M90" s="139"/>
      <c r="N90" s="139"/>
      <c r="O90" s="139"/>
      <c r="P90" s="139"/>
      <c r="Q90" s="139"/>
      <c r="R90" s="139"/>
      <c r="S90" s="139"/>
      <c r="T90" s="139"/>
      <c r="U90" s="139"/>
      <c r="V90" s="139"/>
      <c r="W90" s="139"/>
      <c r="X90" s="139"/>
      <c r="Y90" s="139"/>
      <c r="Z90" s="139"/>
      <c r="AA90" s="139"/>
      <c r="AB90" s="139"/>
      <c r="AC90" s="139"/>
      <c r="AD90" s="139"/>
      <c r="AE90" s="139"/>
      <c r="AF90" s="139"/>
      <c r="AG90" s="139"/>
      <c r="AH90" s="139"/>
      <c r="AI90" s="139"/>
      <c r="AJ90" s="139"/>
      <c r="AK90" s="139"/>
      <c r="AL90" s="139"/>
      <c r="AM90" s="139"/>
      <c r="AN90" s="139"/>
      <c r="AO90" s="139"/>
      <c r="AP90" s="139"/>
      <c r="AQ90" s="139"/>
      <c r="AR90" s="139"/>
      <c r="AS90" s="139"/>
      <c r="AT90" s="139"/>
      <c r="AU90" s="139"/>
      <c r="AV90" s="139"/>
      <c r="AW90" s="139"/>
      <c r="AX90" s="139"/>
      <c r="AY90" s="139"/>
      <c r="AZ90" s="139"/>
      <c r="BA90" s="139"/>
      <c r="BB90" s="139"/>
      <c r="BC90" s="139"/>
      <c r="BD90" s="139"/>
      <c r="BE90" s="139"/>
      <c r="BF90" s="139"/>
      <c r="BG90" s="139"/>
      <c r="BH90" s="139"/>
      <c r="BI90" s="139"/>
      <c r="BJ90" s="139"/>
      <c r="BK90" s="139"/>
      <c r="BL90" s="139"/>
      <c r="BM90" s="139"/>
      <c r="BN90" s="139"/>
      <c r="BO90" s="139"/>
      <c r="BP90" s="139"/>
      <c r="BQ90" s="139"/>
      <c r="BR90" s="139"/>
      <c r="BS90" s="139"/>
      <c r="BT90" s="139"/>
      <c r="BU90" s="139"/>
      <c r="BV90" s="139"/>
      <c r="BW90" s="139"/>
      <c r="BX90" s="139"/>
      <c r="BY90" s="139"/>
      <c r="BZ90" s="139"/>
      <c r="CA90" s="139"/>
      <c r="CB90" s="139"/>
      <c r="CC90" s="139"/>
      <c r="CD90" s="139"/>
      <c r="CE90" s="139"/>
      <c r="CF90" s="139"/>
      <c r="CG90" s="139"/>
      <c r="CH90" s="139"/>
      <c r="CI90" s="139"/>
      <c r="CJ90" s="139"/>
      <c r="CK90" s="139"/>
      <c r="CL90" s="139"/>
      <c r="CM90" s="139"/>
      <c r="CN90" s="139"/>
      <c r="CO90" s="139"/>
      <c r="CP90" s="139"/>
      <c r="CQ90" s="139"/>
      <c r="CR90" s="139"/>
      <c r="CS90" s="139"/>
    </row>
    <row r="91" spans="1:97" s="140" customFormat="1" ht="15.75" hidden="1" customHeight="1">
      <c r="A91" s="138"/>
      <c r="B91" s="138"/>
      <c r="C91" s="190">
        <v>57</v>
      </c>
      <c r="D91" s="314" t="e">
        <f>IF(VLOOKUP(C91,PROPONENTES!$B$19:$E$218,2,FALSE)="","",VLOOKUP(C91,PROPONENTES!$B$19:$E$218,2,FALSE))</f>
        <v>#N/A</v>
      </c>
      <c r="E91" s="186" t="e">
        <f>IF(D91="","",IF(D91-INT(D91)&gt;1,"",VLOOKUP(D91,PROPONENTES!$C$19:$D$218,2,FALSE)))</f>
        <v>#N/A</v>
      </c>
      <c r="F91" s="487"/>
      <c r="G91" s="187"/>
      <c r="H91" s="139"/>
      <c r="I91" s="139"/>
      <c r="J91" s="139"/>
      <c r="K91" s="139"/>
      <c r="L91" s="139"/>
      <c r="M91" s="139"/>
      <c r="N91" s="139"/>
      <c r="O91" s="139"/>
      <c r="P91" s="139"/>
      <c r="Q91" s="139"/>
      <c r="R91" s="139"/>
      <c r="S91" s="139"/>
      <c r="T91" s="139"/>
      <c r="U91" s="139"/>
      <c r="V91" s="139"/>
      <c r="W91" s="139"/>
      <c r="X91" s="139"/>
      <c r="Y91" s="139"/>
      <c r="Z91" s="139"/>
      <c r="AA91" s="139"/>
      <c r="AB91" s="139"/>
      <c r="AC91" s="139"/>
      <c r="AD91" s="139"/>
      <c r="AE91" s="139"/>
      <c r="AF91" s="139"/>
      <c r="AG91" s="139"/>
      <c r="AH91" s="139"/>
      <c r="AI91" s="139"/>
      <c r="AJ91" s="139"/>
      <c r="AK91" s="139"/>
      <c r="AL91" s="139"/>
      <c r="AM91" s="139"/>
      <c r="AN91" s="139"/>
      <c r="AO91" s="139"/>
      <c r="AP91" s="139"/>
      <c r="AQ91" s="139"/>
      <c r="AR91" s="139"/>
      <c r="AS91" s="139"/>
      <c r="AT91" s="139"/>
      <c r="AU91" s="139"/>
      <c r="AV91" s="139"/>
      <c r="AW91" s="139"/>
      <c r="AX91" s="139"/>
      <c r="AY91" s="139"/>
      <c r="AZ91" s="139"/>
      <c r="BA91" s="139"/>
      <c r="BB91" s="139"/>
      <c r="BC91" s="139"/>
      <c r="BD91" s="139"/>
      <c r="BE91" s="139"/>
      <c r="BF91" s="139"/>
      <c r="BG91" s="139"/>
      <c r="BH91" s="139"/>
      <c r="BI91" s="139"/>
      <c r="BJ91" s="139"/>
      <c r="BK91" s="139"/>
      <c r="BL91" s="139"/>
      <c r="BM91" s="139"/>
      <c r="BN91" s="139"/>
      <c r="BO91" s="139"/>
      <c r="BP91" s="139"/>
      <c r="BQ91" s="139"/>
      <c r="BR91" s="139"/>
      <c r="BS91" s="139"/>
      <c r="BT91" s="139"/>
      <c r="BU91" s="139"/>
      <c r="BV91" s="139"/>
      <c r="BW91" s="139"/>
      <c r="BX91" s="139"/>
      <c r="BY91" s="139"/>
      <c r="BZ91" s="139"/>
      <c r="CA91" s="139"/>
      <c r="CB91" s="139"/>
      <c r="CC91" s="139"/>
      <c r="CD91" s="139"/>
      <c r="CE91" s="139"/>
      <c r="CF91" s="139"/>
      <c r="CG91" s="139"/>
      <c r="CH91" s="139"/>
      <c r="CI91" s="139"/>
      <c r="CJ91" s="139"/>
      <c r="CK91" s="139"/>
      <c r="CL91" s="139"/>
      <c r="CM91" s="139"/>
      <c r="CN91" s="139"/>
      <c r="CO91" s="139"/>
      <c r="CP91" s="139"/>
      <c r="CQ91" s="139"/>
      <c r="CR91" s="139"/>
      <c r="CS91" s="139"/>
    </row>
    <row r="92" spans="1:97" s="140" customFormat="1" ht="15.75" hidden="1" customHeight="1">
      <c r="A92" s="138"/>
      <c r="B92" s="138"/>
      <c r="C92" s="190">
        <v>58</v>
      </c>
      <c r="D92" s="314" t="e">
        <f>IF(VLOOKUP(C92,PROPONENTES!$B$19:$E$218,2,FALSE)="","",VLOOKUP(C92,PROPONENTES!$B$19:$E$218,2,FALSE))</f>
        <v>#N/A</v>
      </c>
      <c r="E92" s="186" t="e">
        <f>IF(D92="","",IF(D92-INT(D92)&gt;1,"",VLOOKUP(D92,PROPONENTES!$C$19:$D$218,2,FALSE)))</f>
        <v>#N/A</v>
      </c>
      <c r="F92" s="487"/>
      <c r="G92" s="187"/>
      <c r="H92" s="139"/>
      <c r="I92" s="139"/>
      <c r="J92" s="139"/>
      <c r="K92" s="139"/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39"/>
      <c r="X92" s="139"/>
      <c r="Y92" s="139"/>
      <c r="Z92" s="139"/>
      <c r="AA92" s="139"/>
      <c r="AB92" s="139"/>
      <c r="AC92" s="139"/>
      <c r="AD92" s="139"/>
      <c r="AE92" s="139"/>
      <c r="AF92" s="139"/>
      <c r="AG92" s="139"/>
      <c r="AH92" s="139"/>
      <c r="AI92" s="139"/>
      <c r="AJ92" s="139"/>
      <c r="AK92" s="139"/>
      <c r="AL92" s="139"/>
      <c r="AM92" s="139"/>
      <c r="AN92" s="139"/>
      <c r="AO92" s="139"/>
      <c r="AP92" s="139"/>
      <c r="AQ92" s="139"/>
      <c r="AR92" s="139"/>
      <c r="AS92" s="139"/>
      <c r="AT92" s="139"/>
      <c r="AU92" s="139"/>
      <c r="AV92" s="139"/>
      <c r="AW92" s="139"/>
      <c r="AX92" s="139"/>
      <c r="AY92" s="139"/>
      <c r="AZ92" s="139"/>
      <c r="BA92" s="139"/>
      <c r="BB92" s="139"/>
      <c r="BC92" s="139"/>
      <c r="BD92" s="139"/>
      <c r="BE92" s="139"/>
      <c r="BF92" s="139"/>
      <c r="BG92" s="139"/>
      <c r="BH92" s="139"/>
      <c r="BI92" s="139"/>
      <c r="BJ92" s="139"/>
      <c r="BK92" s="139"/>
      <c r="BL92" s="139"/>
      <c r="BM92" s="139"/>
      <c r="BN92" s="139"/>
      <c r="BO92" s="139"/>
      <c r="BP92" s="139"/>
      <c r="BQ92" s="139"/>
      <c r="BR92" s="139"/>
      <c r="BS92" s="139"/>
      <c r="BT92" s="139"/>
      <c r="BU92" s="139"/>
      <c r="BV92" s="139"/>
      <c r="BW92" s="139"/>
      <c r="BX92" s="139"/>
      <c r="BY92" s="139"/>
      <c r="BZ92" s="139"/>
      <c r="CA92" s="139"/>
      <c r="CB92" s="139"/>
      <c r="CC92" s="139"/>
      <c r="CD92" s="139"/>
      <c r="CE92" s="139"/>
      <c r="CF92" s="139"/>
      <c r="CG92" s="139"/>
      <c r="CH92" s="139"/>
      <c r="CI92" s="139"/>
      <c r="CJ92" s="139"/>
      <c r="CK92" s="139"/>
      <c r="CL92" s="139"/>
      <c r="CM92" s="139"/>
      <c r="CN92" s="139"/>
      <c r="CO92" s="139"/>
      <c r="CP92" s="139"/>
      <c r="CQ92" s="139"/>
      <c r="CR92" s="139"/>
      <c r="CS92" s="139"/>
    </row>
    <row r="93" spans="1:97" s="140" customFormat="1" ht="15.75" hidden="1" customHeight="1">
      <c r="A93" s="138"/>
      <c r="B93" s="138"/>
      <c r="C93" s="190">
        <v>59</v>
      </c>
      <c r="D93" s="314" t="e">
        <f>IF(VLOOKUP(C93,PROPONENTES!$B$19:$E$218,2,FALSE)="","",VLOOKUP(C93,PROPONENTES!$B$19:$E$218,2,FALSE))</f>
        <v>#N/A</v>
      </c>
      <c r="E93" s="186" t="e">
        <f>IF(D93="","",IF(D93-INT(D93)&gt;1,"",VLOOKUP(D93,PROPONENTES!$C$19:$D$218,2,FALSE)))</f>
        <v>#N/A</v>
      </c>
      <c r="F93" s="487"/>
      <c r="G93" s="187"/>
      <c r="H93" s="139"/>
      <c r="I93" s="139"/>
      <c r="J93" s="139"/>
      <c r="K93" s="139"/>
      <c r="L93" s="139"/>
      <c r="M93" s="139"/>
      <c r="N93" s="139"/>
      <c r="O93" s="139"/>
      <c r="P93" s="139"/>
      <c r="Q93" s="139"/>
      <c r="R93" s="139"/>
      <c r="S93" s="139"/>
      <c r="T93" s="139"/>
      <c r="U93" s="139"/>
      <c r="V93" s="139"/>
      <c r="W93" s="139"/>
      <c r="X93" s="139"/>
      <c r="Y93" s="139"/>
      <c r="Z93" s="139"/>
      <c r="AA93" s="139"/>
      <c r="AB93" s="139"/>
      <c r="AC93" s="139"/>
      <c r="AD93" s="139"/>
      <c r="AE93" s="139"/>
      <c r="AF93" s="139"/>
      <c r="AG93" s="139"/>
      <c r="AH93" s="139"/>
      <c r="AI93" s="139"/>
      <c r="AJ93" s="139"/>
      <c r="AK93" s="139"/>
      <c r="AL93" s="139"/>
      <c r="AM93" s="139"/>
      <c r="AN93" s="139"/>
      <c r="AO93" s="139"/>
      <c r="AP93" s="139"/>
      <c r="AQ93" s="139"/>
      <c r="AR93" s="139"/>
      <c r="AS93" s="139"/>
      <c r="AT93" s="139"/>
      <c r="AU93" s="139"/>
      <c r="AV93" s="139"/>
      <c r="AW93" s="139"/>
      <c r="AX93" s="139"/>
      <c r="AY93" s="139"/>
      <c r="AZ93" s="139"/>
      <c r="BA93" s="139"/>
      <c r="BB93" s="139"/>
      <c r="BC93" s="139"/>
      <c r="BD93" s="139"/>
      <c r="BE93" s="139"/>
      <c r="BF93" s="139"/>
      <c r="BG93" s="139"/>
      <c r="BH93" s="139"/>
      <c r="BI93" s="139"/>
      <c r="BJ93" s="139"/>
      <c r="BK93" s="139"/>
      <c r="BL93" s="139"/>
      <c r="BM93" s="139"/>
      <c r="BN93" s="139"/>
      <c r="BO93" s="139"/>
      <c r="BP93" s="139"/>
      <c r="BQ93" s="139"/>
      <c r="BR93" s="139"/>
      <c r="BS93" s="139"/>
      <c r="BT93" s="139"/>
      <c r="BU93" s="139"/>
      <c r="BV93" s="139"/>
      <c r="BW93" s="139"/>
      <c r="BX93" s="139"/>
      <c r="BY93" s="139"/>
      <c r="BZ93" s="139"/>
      <c r="CA93" s="139"/>
      <c r="CB93" s="139"/>
      <c r="CC93" s="139"/>
      <c r="CD93" s="139"/>
      <c r="CE93" s="139"/>
      <c r="CF93" s="139"/>
      <c r="CG93" s="139"/>
      <c r="CH93" s="139"/>
      <c r="CI93" s="139"/>
      <c r="CJ93" s="139"/>
      <c r="CK93" s="139"/>
      <c r="CL93" s="139"/>
      <c r="CM93" s="139"/>
      <c r="CN93" s="139"/>
      <c r="CO93" s="139"/>
      <c r="CP93" s="139"/>
      <c r="CQ93" s="139"/>
      <c r="CR93" s="139"/>
      <c r="CS93" s="139"/>
    </row>
    <row r="94" spans="1:97" s="140" customFormat="1" ht="15.75" hidden="1" customHeight="1">
      <c r="A94" s="138"/>
      <c r="B94" s="138"/>
      <c r="C94" s="190">
        <v>60</v>
      </c>
      <c r="D94" s="314" t="e">
        <f>IF(VLOOKUP(C94,PROPONENTES!$B$19:$E$218,2,FALSE)="","",VLOOKUP(C94,PROPONENTES!$B$19:$E$218,2,FALSE))</f>
        <v>#N/A</v>
      </c>
      <c r="E94" s="186" t="e">
        <f>IF(D94="","",IF(D94-INT(D94)&gt;1,"",VLOOKUP(D94,PROPONENTES!$C$19:$D$218,2,FALSE)))</f>
        <v>#N/A</v>
      </c>
      <c r="F94" s="487"/>
      <c r="G94" s="187"/>
      <c r="H94" s="139"/>
      <c r="I94" s="139"/>
      <c r="J94" s="139"/>
      <c r="K94" s="139"/>
      <c r="L94" s="139"/>
      <c r="M94" s="139"/>
      <c r="N94" s="139"/>
      <c r="O94" s="139"/>
      <c r="P94" s="139"/>
      <c r="Q94" s="139"/>
      <c r="R94" s="139"/>
      <c r="S94" s="139"/>
      <c r="T94" s="139"/>
      <c r="U94" s="139"/>
      <c r="V94" s="139"/>
      <c r="W94" s="139"/>
      <c r="X94" s="139"/>
      <c r="Y94" s="139"/>
      <c r="Z94" s="139"/>
      <c r="AA94" s="139"/>
      <c r="AB94" s="139"/>
      <c r="AC94" s="139"/>
      <c r="AD94" s="139"/>
      <c r="AE94" s="139"/>
      <c r="AF94" s="139"/>
      <c r="AG94" s="139"/>
      <c r="AH94" s="139"/>
      <c r="AI94" s="139"/>
      <c r="AJ94" s="139"/>
      <c r="AK94" s="139"/>
      <c r="AL94" s="139"/>
      <c r="AM94" s="139"/>
      <c r="AN94" s="139"/>
      <c r="AO94" s="139"/>
      <c r="AP94" s="139"/>
      <c r="AQ94" s="139"/>
      <c r="AR94" s="139"/>
      <c r="AS94" s="139"/>
      <c r="AT94" s="139"/>
      <c r="AU94" s="139"/>
      <c r="AV94" s="139"/>
      <c r="AW94" s="139"/>
      <c r="AX94" s="139"/>
      <c r="AY94" s="139"/>
      <c r="AZ94" s="139"/>
      <c r="BA94" s="139"/>
      <c r="BB94" s="139"/>
      <c r="BC94" s="139"/>
      <c r="BD94" s="139"/>
      <c r="BE94" s="139"/>
      <c r="BF94" s="139"/>
      <c r="BG94" s="139"/>
      <c r="BH94" s="139"/>
      <c r="BI94" s="139"/>
      <c r="BJ94" s="139"/>
      <c r="BK94" s="139"/>
      <c r="BL94" s="139"/>
      <c r="BM94" s="139"/>
      <c r="BN94" s="139"/>
      <c r="BO94" s="139"/>
      <c r="BP94" s="139"/>
      <c r="BQ94" s="139"/>
      <c r="BR94" s="139"/>
      <c r="BS94" s="139"/>
      <c r="BT94" s="139"/>
      <c r="BU94" s="139"/>
      <c r="BV94" s="139"/>
      <c r="BW94" s="139"/>
      <c r="BX94" s="139"/>
      <c r="BY94" s="139"/>
      <c r="BZ94" s="139"/>
      <c r="CA94" s="139"/>
      <c r="CB94" s="139"/>
      <c r="CC94" s="139"/>
      <c r="CD94" s="139"/>
      <c r="CE94" s="139"/>
      <c r="CF94" s="139"/>
      <c r="CG94" s="139"/>
      <c r="CH94" s="139"/>
      <c r="CI94" s="139"/>
      <c r="CJ94" s="139"/>
      <c r="CK94" s="139"/>
      <c r="CL94" s="139"/>
      <c r="CM94" s="139"/>
      <c r="CN94" s="139"/>
      <c r="CO94" s="139"/>
      <c r="CP94" s="139"/>
      <c r="CQ94" s="139"/>
      <c r="CR94" s="139"/>
      <c r="CS94" s="139"/>
    </row>
    <row r="95" spans="1:97" s="140" customFormat="1" ht="15.75" hidden="1" customHeight="1">
      <c r="A95" s="138"/>
      <c r="B95" s="138"/>
      <c r="C95" s="190">
        <v>61</v>
      </c>
      <c r="D95" s="314" t="e">
        <f>IF(VLOOKUP(C95,PROPONENTES!$B$19:$E$218,2,FALSE)="","",VLOOKUP(C95,PROPONENTES!$B$19:$E$218,2,FALSE))</f>
        <v>#N/A</v>
      </c>
      <c r="E95" s="186" t="e">
        <f>IF(D95="","",IF(D95-INT(D95)&gt;1,"",VLOOKUP(D95,PROPONENTES!$C$19:$D$218,2,FALSE)))</f>
        <v>#N/A</v>
      </c>
      <c r="F95" s="487"/>
      <c r="G95" s="187"/>
      <c r="H95" s="139"/>
      <c r="I95" s="139"/>
      <c r="J95" s="139"/>
      <c r="K95" s="139"/>
      <c r="L95" s="139"/>
      <c r="M95" s="139"/>
      <c r="N95" s="139"/>
      <c r="O95" s="139"/>
      <c r="P95" s="139"/>
      <c r="Q95" s="139"/>
      <c r="R95" s="139"/>
      <c r="S95" s="139"/>
      <c r="T95" s="139"/>
      <c r="U95" s="139"/>
      <c r="V95" s="139"/>
      <c r="W95" s="139"/>
      <c r="X95" s="139"/>
      <c r="Y95" s="139"/>
      <c r="Z95" s="139"/>
      <c r="AA95" s="139"/>
      <c r="AB95" s="139"/>
      <c r="AC95" s="139"/>
      <c r="AD95" s="139"/>
      <c r="AE95" s="139"/>
      <c r="AF95" s="139"/>
      <c r="AG95" s="139"/>
      <c r="AH95" s="139"/>
      <c r="AI95" s="139"/>
      <c r="AJ95" s="139"/>
      <c r="AK95" s="139"/>
      <c r="AL95" s="139"/>
      <c r="AM95" s="139"/>
      <c r="AN95" s="139"/>
      <c r="AO95" s="139"/>
      <c r="AP95" s="139"/>
      <c r="AQ95" s="139"/>
      <c r="AR95" s="139"/>
      <c r="AS95" s="139"/>
      <c r="AT95" s="139"/>
      <c r="AU95" s="139"/>
      <c r="AV95" s="139"/>
      <c r="AW95" s="139"/>
      <c r="AX95" s="139"/>
      <c r="AY95" s="139"/>
      <c r="AZ95" s="139"/>
      <c r="BA95" s="139"/>
      <c r="BB95" s="139"/>
      <c r="BC95" s="139"/>
      <c r="BD95" s="139"/>
      <c r="BE95" s="139"/>
      <c r="BF95" s="139"/>
      <c r="BG95" s="139"/>
      <c r="BH95" s="139"/>
      <c r="BI95" s="139"/>
      <c r="BJ95" s="139"/>
      <c r="BK95" s="139"/>
      <c r="BL95" s="139"/>
      <c r="BM95" s="139"/>
      <c r="BN95" s="139"/>
      <c r="BO95" s="139"/>
      <c r="BP95" s="139"/>
      <c r="BQ95" s="139"/>
      <c r="BR95" s="139"/>
      <c r="BS95" s="139"/>
      <c r="BT95" s="139"/>
      <c r="BU95" s="139"/>
      <c r="BV95" s="139"/>
      <c r="BW95" s="139"/>
      <c r="BX95" s="139"/>
      <c r="BY95" s="139"/>
      <c r="BZ95" s="139"/>
      <c r="CA95" s="139"/>
      <c r="CB95" s="139"/>
      <c r="CC95" s="139"/>
      <c r="CD95" s="139"/>
      <c r="CE95" s="139"/>
      <c r="CF95" s="139"/>
      <c r="CG95" s="139"/>
      <c r="CH95" s="139"/>
      <c r="CI95" s="139"/>
      <c r="CJ95" s="139"/>
      <c r="CK95" s="139"/>
      <c r="CL95" s="139"/>
      <c r="CM95" s="139"/>
      <c r="CN95" s="139"/>
      <c r="CO95" s="139"/>
      <c r="CP95" s="139"/>
      <c r="CQ95" s="139"/>
      <c r="CR95" s="139"/>
      <c r="CS95" s="139"/>
    </row>
    <row r="96" spans="1:97" s="140" customFormat="1" ht="15.75" hidden="1" customHeight="1">
      <c r="A96" s="138"/>
      <c r="B96" s="138"/>
      <c r="C96" s="190">
        <v>62</v>
      </c>
      <c r="D96" s="314" t="e">
        <f>IF(VLOOKUP(C96,PROPONENTES!$B$19:$E$218,2,FALSE)="","",VLOOKUP(C96,PROPONENTES!$B$19:$E$218,2,FALSE))</f>
        <v>#N/A</v>
      </c>
      <c r="E96" s="186" t="e">
        <f>IF(D96="","",IF(D96-INT(D96)&gt;1,"",VLOOKUP(D96,PROPONENTES!$C$19:$D$218,2,FALSE)))</f>
        <v>#N/A</v>
      </c>
      <c r="F96" s="487"/>
      <c r="G96" s="187"/>
      <c r="H96" s="139"/>
      <c r="I96" s="139"/>
      <c r="J96" s="139"/>
      <c r="K96" s="139"/>
      <c r="L96" s="139"/>
      <c r="M96" s="139"/>
      <c r="N96" s="139"/>
      <c r="O96" s="139"/>
      <c r="P96" s="139"/>
      <c r="Q96" s="139"/>
      <c r="R96" s="139"/>
      <c r="S96" s="139"/>
      <c r="T96" s="139"/>
      <c r="U96" s="139"/>
      <c r="V96" s="139"/>
      <c r="W96" s="139"/>
      <c r="X96" s="139"/>
      <c r="Y96" s="139"/>
      <c r="Z96" s="139"/>
      <c r="AA96" s="139"/>
      <c r="AB96" s="139"/>
      <c r="AC96" s="139"/>
      <c r="AD96" s="139"/>
      <c r="AE96" s="139"/>
      <c r="AF96" s="139"/>
      <c r="AG96" s="139"/>
      <c r="AH96" s="139"/>
      <c r="AI96" s="139"/>
      <c r="AJ96" s="139"/>
      <c r="AK96" s="139"/>
      <c r="AL96" s="139"/>
      <c r="AM96" s="139"/>
      <c r="AN96" s="139"/>
      <c r="AO96" s="139"/>
      <c r="AP96" s="139"/>
      <c r="AQ96" s="139"/>
      <c r="AR96" s="139"/>
      <c r="AS96" s="139"/>
      <c r="AT96" s="139"/>
      <c r="AU96" s="139"/>
      <c r="AV96" s="139"/>
      <c r="AW96" s="139"/>
      <c r="AX96" s="139"/>
      <c r="AY96" s="139"/>
      <c r="AZ96" s="139"/>
      <c r="BA96" s="139"/>
      <c r="BB96" s="139"/>
      <c r="BC96" s="139"/>
      <c r="BD96" s="139"/>
      <c r="BE96" s="139"/>
      <c r="BF96" s="139"/>
      <c r="BG96" s="139"/>
      <c r="BH96" s="139"/>
      <c r="BI96" s="139"/>
      <c r="BJ96" s="139"/>
      <c r="BK96" s="139"/>
      <c r="BL96" s="139"/>
      <c r="BM96" s="139"/>
      <c r="BN96" s="139"/>
      <c r="BO96" s="139"/>
      <c r="BP96" s="139"/>
      <c r="BQ96" s="139"/>
      <c r="BR96" s="139"/>
      <c r="BS96" s="139"/>
      <c r="BT96" s="139"/>
      <c r="BU96" s="139"/>
      <c r="BV96" s="139"/>
      <c r="BW96" s="139"/>
      <c r="BX96" s="139"/>
      <c r="BY96" s="139"/>
      <c r="BZ96" s="139"/>
      <c r="CA96" s="139"/>
      <c r="CB96" s="139"/>
      <c r="CC96" s="139"/>
      <c r="CD96" s="139"/>
      <c r="CE96" s="139"/>
      <c r="CF96" s="139"/>
      <c r="CG96" s="139"/>
      <c r="CH96" s="139"/>
      <c r="CI96" s="139"/>
      <c r="CJ96" s="139"/>
      <c r="CK96" s="139"/>
      <c r="CL96" s="139"/>
      <c r="CM96" s="139"/>
      <c r="CN96" s="139"/>
      <c r="CO96" s="139"/>
      <c r="CP96" s="139"/>
      <c r="CQ96" s="139"/>
      <c r="CR96" s="139"/>
      <c r="CS96" s="139"/>
    </row>
    <row r="97" spans="1:97" s="140" customFormat="1" ht="15.75" hidden="1" customHeight="1">
      <c r="A97" s="138"/>
      <c r="B97" s="138"/>
      <c r="C97" s="190">
        <v>63</v>
      </c>
      <c r="D97" s="314" t="e">
        <f>IF(VLOOKUP(C97,PROPONENTES!$B$19:$E$218,2,FALSE)="","",VLOOKUP(C97,PROPONENTES!$B$19:$E$218,2,FALSE))</f>
        <v>#N/A</v>
      </c>
      <c r="E97" s="186" t="e">
        <f>IF(D97="","",IF(D97-INT(D97)&gt;1,"",VLOOKUP(D97,PROPONENTES!$C$19:$D$218,2,FALSE)))</f>
        <v>#N/A</v>
      </c>
      <c r="F97" s="487"/>
      <c r="G97" s="187"/>
      <c r="H97" s="139"/>
      <c r="I97" s="139"/>
      <c r="J97" s="139"/>
      <c r="K97" s="139"/>
      <c r="L97" s="139"/>
      <c r="M97" s="139"/>
      <c r="N97" s="139"/>
      <c r="O97" s="139"/>
      <c r="P97" s="139"/>
      <c r="Q97" s="139"/>
      <c r="R97" s="139"/>
      <c r="S97" s="139"/>
      <c r="T97" s="139"/>
      <c r="U97" s="139"/>
      <c r="V97" s="139"/>
      <c r="W97" s="139"/>
      <c r="X97" s="139"/>
      <c r="Y97" s="139"/>
      <c r="Z97" s="139"/>
      <c r="AA97" s="139"/>
      <c r="AB97" s="139"/>
      <c r="AC97" s="139"/>
      <c r="AD97" s="139"/>
      <c r="AE97" s="139"/>
      <c r="AF97" s="139"/>
      <c r="AG97" s="139"/>
      <c r="AH97" s="139"/>
      <c r="AI97" s="139"/>
      <c r="AJ97" s="139"/>
      <c r="AK97" s="139"/>
      <c r="AL97" s="139"/>
      <c r="AM97" s="139"/>
      <c r="AN97" s="139"/>
      <c r="AO97" s="139"/>
      <c r="AP97" s="139"/>
      <c r="AQ97" s="139"/>
      <c r="AR97" s="139"/>
      <c r="AS97" s="139"/>
      <c r="AT97" s="139"/>
      <c r="AU97" s="139"/>
      <c r="AV97" s="139"/>
      <c r="AW97" s="139"/>
      <c r="AX97" s="139"/>
      <c r="AY97" s="139"/>
      <c r="AZ97" s="139"/>
      <c r="BA97" s="139"/>
      <c r="BB97" s="139"/>
      <c r="BC97" s="139"/>
      <c r="BD97" s="139"/>
      <c r="BE97" s="139"/>
      <c r="BF97" s="139"/>
      <c r="BG97" s="139"/>
      <c r="BH97" s="139"/>
      <c r="BI97" s="139"/>
      <c r="BJ97" s="139"/>
      <c r="BK97" s="139"/>
      <c r="BL97" s="139"/>
      <c r="BM97" s="139"/>
      <c r="BN97" s="139"/>
      <c r="BO97" s="139"/>
      <c r="BP97" s="139"/>
      <c r="BQ97" s="139"/>
      <c r="BR97" s="139"/>
      <c r="BS97" s="139"/>
      <c r="BT97" s="139"/>
      <c r="BU97" s="139"/>
      <c r="BV97" s="139"/>
      <c r="BW97" s="139"/>
      <c r="BX97" s="139"/>
      <c r="BY97" s="139"/>
      <c r="BZ97" s="139"/>
      <c r="CA97" s="139"/>
      <c r="CB97" s="139"/>
      <c r="CC97" s="139"/>
      <c r="CD97" s="139"/>
      <c r="CE97" s="139"/>
      <c r="CF97" s="139"/>
      <c r="CG97" s="139"/>
      <c r="CH97" s="139"/>
      <c r="CI97" s="139"/>
      <c r="CJ97" s="139"/>
      <c r="CK97" s="139"/>
      <c r="CL97" s="139"/>
      <c r="CM97" s="139"/>
      <c r="CN97" s="139"/>
      <c r="CO97" s="139"/>
      <c r="CP97" s="139"/>
      <c r="CQ97" s="139"/>
      <c r="CR97" s="139"/>
      <c r="CS97" s="139"/>
    </row>
    <row r="98" spans="1:97" s="140" customFormat="1" ht="15.75" hidden="1" customHeight="1">
      <c r="A98" s="138"/>
      <c r="B98" s="138"/>
      <c r="C98" s="190">
        <v>64</v>
      </c>
      <c r="D98" s="314" t="e">
        <f>IF(VLOOKUP(C98,PROPONENTES!$B$19:$E$218,2,FALSE)="","",VLOOKUP(C98,PROPONENTES!$B$19:$E$218,2,FALSE))</f>
        <v>#N/A</v>
      </c>
      <c r="E98" s="186" t="e">
        <f>IF(D98="","",IF(D98-INT(D98)&gt;1,"",VLOOKUP(D98,PROPONENTES!$C$19:$D$218,2,FALSE)))</f>
        <v>#N/A</v>
      </c>
      <c r="F98" s="487"/>
      <c r="G98" s="187"/>
      <c r="H98" s="139"/>
      <c r="I98" s="139"/>
      <c r="J98" s="139"/>
      <c r="K98" s="139"/>
      <c r="L98" s="139"/>
      <c r="M98" s="139"/>
      <c r="N98" s="139"/>
      <c r="O98" s="139"/>
      <c r="P98" s="139"/>
      <c r="Q98" s="139"/>
      <c r="R98" s="139"/>
      <c r="S98" s="139"/>
      <c r="T98" s="139"/>
      <c r="U98" s="139"/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  <c r="AG98" s="139"/>
      <c r="AH98" s="139"/>
      <c r="AI98" s="139"/>
      <c r="AJ98" s="139"/>
      <c r="AK98" s="139"/>
      <c r="AL98" s="139"/>
      <c r="AM98" s="139"/>
      <c r="AN98" s="139"/>
      <c r="AO98" s="139"/>
      <c r="AP98" s="139"/>
      <c r="AQ98" s="139"/>
      <c r="AR98" s="139"/>
      <c r="AS98" s="139"/>
      <c r="AT98" s="139"/>
      <c r="AU98" s="139"/>
      <c r="AV98" s="139"/>
      <c r="AW98" s="139"/>
      <c r="AX98" s="139"/>
      <c r="AY98" s="139"/>
      <c r="AZ98" s="139"/>
      <c r="BA98" s="139"/>
      <c r="BB98" s="139"/>
      <c r="BC98" s="139"/>
      <c r="BD98" s="139"/>
      <c r="BE98" s="139"/>
      <c r="BF98" s="139"/>
      <c r="BG98" s="139"/>
      <c r="BH98" s="139"/>
      <c r="BI98" s="139"/>
      <c r="BJ98" s="139"/>
      <c r="BK98" s="139"/>
      <c r="BL98" s="139"/>
      <c r="BM98" s="139"/>
      <c r="BN98" s="139"/>
      <c r="BO98" s="139"/>
      <c r="BP98" s="139"/>
      <c r="BQ98" s="139"/>
      <c r="BR98" s="139"/>
      <c r="BS98" s="139"/>
      <c r="BT98" s="139"/>
      <c r="BU98" s="139"/>
      <c r="BV98" s="139"/>
      <c r="BW98" s="139"/>
      <c r="BX98" s="139"/>
      <c r="BY98" s="139"/>
      <c r="BZ98" s="139"/>
      <c r="CA98" s="139"/>
      <c r="CB98" s="139"/>
      <c r="CC98" s="139"/>
      <c r="CD98" s="139"/>
      <c r="CE98" s="139"/>
      <c r="CF98" s="139"/>
      <c r="CG98" s="139"/>
      <c r="CH98" s="139"/>
      <c r="CI98" s="139"/>
      <c r="CJ98" s="139"/>
      <c r="CK98" s="139"/>
      <c r="CL98" s="139"/>
      <c r="CM98" s="139"/>
      <c r="CN98" s="139"/>
      <c r="CO98" s="139"/>
      <c r="CP98" s="139"/>
      <c r="CQ98" s="139"/>
      <c r="CR98" s="139"/>
      <c r="CS98" s="139"/>
    </row>
    <row r="99" spans="1:97" s="140" customFormat="1" ht="15.75" hidden="1" customHeight="1">
      <c r="A99" s="138"/>
      <c r="B99" s="138"/>
      <c r="C99" s="190">
        <v>65</v>
      </c>
      <c r="D99" s="314" t="e">
        <f>IF(VLOOKUP(C99,PROPONENTES!$B$19:$E$218,2,FALSE)="","",VLOOKUP(C99,PROPONENTES!$B$19:$E$218,2,FALSE))</f>
        <v>#N/A</v>
      </c>
      <c r="E99" s="186" t="e">
        <f>IF(D99="","",IF(D99-INT(D99)&gt;1,"",VLOOKUP(D99,PROPONENTES!$C$19:$D$218,2,FALSE)))</f>
        <v>#N/A</v>
      </c>
      <c r="F99" s="487"/>
      <c r="G99" s="187"/>
      <c r="H99" s="139"/>
      <c r="I99" s="139"/>
      <c r="J99" s="139"/>
      <c r="K99" s="139"/>
      <c r="L99" s="139"/>
      <c r="M99" s="139"/>
      <c r="N99" s="139"/>
      <c r="O99" s="139"/>
      <c r="P99" s="139"/>
      <c r="Q99" s="139"/>
      <c r="R99" s="139"/>
      <c r="S99" s="139"/>
      <c r="T99" s="139"/>
      <c r="U99" s="139"/>
      <c r="V99" s="139"/>
      <c r="W99" s="139"/>
      <c r="X99" s="139"/>
      <c r="Y99" s="139"/>
      <c r="Z99" s="139"/>
      <c r="AA99" s="139"/>
      <c r="AB99" s="139"/>
      <c r="AC99" s="139"/>
      <c r="AD99" s="139"/>
      <c r="AE99" s="139"/>
      <c r="AF99" s="139"/>
      <c r="AG99" s="139"/>
      <c r="AH99" s="139"/>
      <c r="AI99" s="139"/>
      <c r="AJ99" s="139"/>
      <c r="AK99" s="139"/>
      <c r="AL99" s="139"/>
      <c r="AM99" s="139"/>
      <c r="AN99" s="139"/>
      <c r="AO99" s="139"/>
      <c r="AP99" s="139"/>
      <c r="AQ99" s="139"/>
      <c r="AR99" s="139"/>
      <c r="AS99" s="139"/>
      <c r="AT99" s="139"/>
      <c r="AU99" s="139"/>
      <c r="AV99" s="139"/>
      <c r="AW99" s="139"/>
      <c r="AX99" s="139"/>
      <c r="AY99" s="139"/>
      <c r="AZ99" s="139"/>
      <c r="BA99" s="139"/>
      <c r="BB99" s="139"/>
      <c r="BC99" s="139"/>
      <c r="BD99" s="139"/>
      <c r="BE99" s="139"/>
      <c r="BF99" s="139"/>
      <c r="BG99" s="139"/>
      <c r="BH99" s="139"/>
      <c r="BI99" s="139"/>
      <c r="BJ99" s="139"/>
      <c r="BK99" s="139"/>
      <c r="BL99" s="139"/>
      <c r="BM99" s="139"/>
      <c r="BN99" s="139"/>
      <c r="BO99" s="139"/>
      <c r="BP99" s="139"/>
      <c r="BQ99" s="139"/>
      <c r="BR99" s="139"/>
      <c r="BS99" s="139"/>
      <c r="BT99" s="139"/>
      <c r="BU99" s="139"/>
      <c r="BV99" s="139"/>
      <c r="BW99" s="139"/>
      <c r="BX99" s="139"/>
      <c r="BY99" s="139"/>
      <c r="BZ99" s="139"/>
      <c r="CA99" s="139"/>
      <c r="CB99" s="139"/>
      <c r="CC99" s="139"/>
      <c r="CD99" s="139"/>
      <c r="CE99" s="139"/>
      <c r="CF99" s="139"/>
      <c r="CG99" s="139"/>
      <c r="CH99" s="139"/>
      <c r="CI99" s="139"/>
      <c r="CJ99" s="139"/>
      <c r="CK99" s="139"/>
      <c r="CL99" s="139"/>
      <c r="CM99" s="139"/>
      <c r="CN99" s="139"/>
      <c r="CO99" s="139"/>
      <c r="CP99" s="139"/>
      <c r="CQ99" s="139"/>
      <c r="CR99" s="139"/>
      <c r="CS99" s="139"/>
    </row>
    <row r="100" spans="1:97" s="140" customFormat="1" ht="15.75" hidden="1" customHeight="1">
      <c r="A100" s="138"/>
      <c r="B100" s="138"/>
      <c r="C100" s="190">
        <v>66</v>
      </c>
      <c r="D100" s="314" t="e">
        <f>IF(VLOOKUP(C100,PROPONENTES!$B$19:$E$218,2,FALSE)="","",VLOOKUP(C100,PROPONENTES!$B$19:$E$218,2,FALSE))</f>
        <v>#N/A</v>
      </c>
      <c r="E100" s="186" t="e">
        <f>IF(D100="","",IF(D100-INT(D100)&gt;1,"",VLOOKUP(D100,PROPONENTES!$C$19:$D$218,2,FALSE)))</f>
        <v>#N/A</v>
      </c>
      <c r="F100" s="487"/>
      <c r="G100" s="187"/>
      <c r="H100" s="139"/>
      <c r="I100" s="139"/>
      <c r="J100" s="139"/>
      <c r="K100" s="139"/>
      <c r="L100" s="139"/>
      <c r="M100" s="139"/>
      <c r="N100" s="139"/>
      <c r="O100" s="139"/>
      <c r="P100" s="139"/>
      <c r="Q100" s="139"/>
      <c r="R100" s="139"/>
      <c r="S100" s="139"/>
      <c r="T100" s="139"/>
      <c r="U100" s="139"/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/>
      <c r="AF100" s="139"/>
      <c r="AG100" s="139"/>
      <c r="AH100" s="139"/>
      <c r="AI100" s="139"/>
      <c r="AJ100" s="139"/>
      <c r="AK100" s="139"/>
      <c r="AL100" s="139"/>
      <c r="AM100" s="139"/>
      <c r="AN100" s="139"/>
      <c r="AO100" s="139"/>
      <c r="AP100" s="139"/>
      <c r="AQ100" s="139"/>
      <c r="AR100" s="139"/>
      <c r="AS100" s="139"/>
      <c r="AT100" s="139"/>
      <c r="AU100" s="139"/>
      <c r="AV100" s="139"/>
      <c r="AW100" s="139"/>
      <c r="AX100" s="139"/>
      <c r="AY100" s="139"/>
      <c r="AZ100" s="139"/>
      <c r="BA100" s="139"/>
      <c r="BB100" s="139"/>
      <c r="BC100" s="139"/>
      <c r="BD100" s="139"/>
      <c r="BE100" s="139"/>
      <c r="BF100" s="139"/>
      <c r="BG100" s="139"/>
      <c r="BH100" s="139"/>
      <c r="BI100" s="139"/>
      <c r="BJ100" s="139"/>
      <c r="BK100" s="139"/>
      <c r="BL100" s="139"/>
      <c r="BM100" s="139"/>
      <c r="BN100" s="139"/>
      <c r="BO100" s="139"/>
      <c r="BP100" s="139"/>
      <c r="BQ100" s="139"/>
      <c r="BR100" s="139"/>
      <c r="BS100" s="139"/>
      <c r="BT100" s="139"/>
      <c r="BU100" s="139"/>
      <c r="BV100" s="139"/>
      <c r="BW100" s="139"/>
      <c r="BX100" s="139"/>
      <c r="BY100" s="139"/>
      <c r="BZ100" s="139"/>
      <c r="CA100" s="139"/>
      <c r="CB100" s="139"/>
      <c r="CC100" s="139"/>
      <c r="CD100" s="139"/>
      <c r="CE100" s="139"/>
      <c r="CF100" s="139"/>
      <c r="CG100" s="139"/>
      <c r="CH100" s="139"/>
      <c r="CI100" s="139"/>
      <c r="CJ100" s="139"/>
      <c r="CK100" s="139"/>
      <c r="CL100" s="139"/>
      <c r="CM100" s="139"/>
      <c r="CN100" s="139"/>
      <c r="CO100" s="139"/>
      <c r="CP100" s="139"/>
      <c r="CQ100" s="139"/>
      <c r="CR100" s="139"/>
      <c r="CS100" s="139"/>
    </row>
    <row r="101" spans="1:97" s="140" customFormat="1" ht="15.75" hidden="1" customHeight="1">
      <c r="A101" s="138"/>
      <c r="B101" s="138"/>
      <c r="C101" s="190">
        <v>67</v>
      </c>
      <c r="D101" s="314" t="e">
        <f>IF(VLOOKUP(C101,PROPONENTES!$B$19:$E$218,2,FALSE)="","",VLOOKUP(C101,PROPONENTES!$B$19:$E$218,2,FALSE))</f>
        <v>#N/A</v>
      </c>
      <c r="E101" s="186" t="e">
        <f>IF(D101="","",IF(D101-INT(D101)&gt;1,"",VLOOKUP(D101,PROPONENTES!$C$19:$D$218,2,FALSE)))</f>
        <v>#N/A</v>
      </c>
      <c r="F101" s="487"/>
      <c r="G101" s="187"/>
      <c r="H101" s="139"/>
      <c r="I101" s="139"/>
      <c r="J101" s="139"/>
      <c r="K101" s="139"/>
      <c r="L101" s="139"/>
      <c r="M101" s="139"/>
      <c r="N101" s="139"/>
      <c r="O101" s="139"/>
      <c r="P101" s="139"/>
      <c r="Q101" s="139"/>
      <c r="R101" s="139"/>
      <c r="S101" s="139"/>
      <c r="T101" s="139"/>
      <c r="U101" s="139"/>
      <c r="V101" s="139"/>
      <c r="W101" s="139"/>
      <c r="X101" s="139"/>
      <c r="Y101" s="139"/>
      <c r="Z101" s="139"/>
      <c r="AA101" s="139"/>
      <c r="AB101" s="139"/>
      <c r="AC101" s="139"/>
      <c r="AD101" s="139"/>
      <c r="AE101" s="139"/>
      <c r="AF101" s="139"/>
      <c r="AG101" s="139"/>
      <c r="AH101" s="139"/>
      <c r="AI101" s="139"/>
      <c r="AJ101" s="139"/>
      <c r="AK101" s="139"/>
      <c r="AL101" s="139"/>
      <c r="AM101" s="139"/>
      <c r="AN101" s="139"/>
      <c r="AO101" s="139"/>
      <c r="AP101" s="139"/>
      <c r="AQ101" s="139"/>
      <c r="AR101" s="139"/>
      <c r="AS101" s="139"/>
      <c r="AT101" s="139"/>
      <c r="AU101" s="139"/>
      <c r="AV101" s="139"/>
      <c r="AW101" s="139"/>
      <c r="AX101" s="139"/>
      <c r="AY101" s="139"/>
      <c r="AZ101" s="139"/>
      <c r="BA101" s="139"/>
      <c r="BB101" s="139"/>
      <c r="BC101" s="139"/>
      <c r="BD101" s="139"/>
      <c r="BE101" s="139"/>
      <c r="BF101" s="139"/>
      <c r="BG101" s="139"/>
      <c r="BH101" s="139"/>
      <c r="BI101" s="139"/>
      <c r="BJ101" s="139"/>
      <c r="BK101" s="139"/>
      <c r="BL101" s="139"/>
      <c r="BM101" s="139"/>
      <c r="BN101" s="139"/>
      <c r="BO101" s="139"/>
      <c r="BP101" s="139"/>
      <c r="BQ101" s="139"/>
      <c r="BR101" s="139"/>
      <c r="BS101" s="139"/>
      <c r="BT101" s="139"/>
      <c r="BU101" s="139"/>
      <c r="BV101" s="139"/>
      <c r="BW101" s="139"/>
      <c r="BX101" s="139"/>
      <c r="BY101" s="139"/>
      <c r="BZ101" s="139"/>
      <c r="CA101" s="139"/>
      <c r="CB101" s="139"/>
      <c r="CC101" s="139"/>
      <c r="CD101" s="139"/>
      <c r="CE101" s="139"/>
      <c r="CF101" s="139"/>
      <c r="CG101" s="139"/>
      <c r="CH101" s="139"/>
      <c r="CI101" s="139"/>
      <c r="CJ101" s="139"/>
      <c r="CK101" s="139"/>
      <c r="CL101" s="139"/>
      <c r="CM101" s="139"/>
      <c r="CN101" s="139"/>
      <c r="CO101" s="139"/>
      <c r="CP101" s="139"/>
      <c r="CQ101" s="139"/>
      <c r="CR101" s="139"/>
      <c r="CS101" s="139"/>
    </row>
    <row r="102" spans="1:97" s="140" customFormat="1" ht="15.75" hidden="1" customHeight="1">
      <c r="A102" s="138"/>
      <c r="B102" s="138"/>
      <c r="C102" s="190">
        <v>68</v>
      </c>
      <c r="D102" s="314" t="e">
        <f>IF(VLOOKUP(C102,PROPONENTES!$B$19:$E$218,2,FALSE)="","",VLOOKUP(C102,PROPONENTES!$B$19:$E$218,2,FALSE))</f>
        <v>#N/A</v>
      </c>
      <c r="E102" s="186" t="e">
        <f>IF(D102="","",IF(D102-INT(D102)&gt;1,"",VLOOKUP(D102,PROPONENTES!$C$19:$D$218,2,FALSE)))</f>
        <v>#N/A</v>
      </c>
      <c r="F102" s="487"/>
      <c r="G102" s="187"/>
      <c r="H102" s="139"/>
      <c r="I102" s="139"/>
      <c r="J102" s="139"/>
      <c r="K102" s="139"/>
      <c r="L102" s="139"/>
      <c r="M102" s="139"/>
      <c r="N102" s="139"/>
      <c r="O102" s="139"/>
      <c r="P102" s="139"/>
      <c r="Q102" s="139"/>
      <c r="R102" s="139"/>
      <c r="S102" s="139"/>
      <c r="T102" s="139"/>
      <c r="U102" s="139"/>
      <c r="V102" s="139"/>
      <c r="W102" s="139"/>
      <c r="X102" s="139"/>
      <c r="Y102" s="139"/>
      <c r="Z102" s="139"/>
      <c r="AA102" s="139"/>
      <c r="AB102" s="139"/>
      <c r="AC102" s="139"/>
      <c r="AD102" s="139"/>
      <c r="AE102" s="139"/>
      <c r="AF102" s="139"/>
      <c r="AG102" s="139"/>
      <c r="AH102" s="139"/>
      <c r="AI102" s="139"/>
      <c r="AJ102" s="139"/>
      <c r="AK102" s="139"/>
      <c r="AL102" s="139"/>
      <c r="AM102" s="139"/>
      <c r="AN102" s="139"/>
      <c r="AO102" s="139"/>
      <c r="AP102" s="139"/>
      <c r="AQ102" s="139"/>
      <c r="AR102" s="139"/>
      <c r="AS102" s="139"/>
      <c r="AT102" s="139"/>
      <c r="AU102" s="139"/>
      <c r="AV102" s="139"/>
      <c r="AW102" s="139"/>
      <c r="AX102" s="139"/>
      <c r="AY102" s="139"/>
      <c r="AZ102" s="139"/>
      <c r="BA102" s="139"/>
      <c r="BB102" s="139"/>
      <c r="BC102" s="139"/>
      <c r="BD102" s="139"/>
      <c r="BE102" s="139"/>
      <c r="BF102" s="139"/>
      <c r="BG102" s="139"/>
      <c r="BH102" s="139"/>
      <c r="BI102" s="139"/>
      <c r="BJ102" s="139"/>
      <c r="BK102" s="139"/>
      <c r="BL102" s="139"/>
      <c r="BM102" s="139"/>
      <c r="BN102" s="139"/>
      <c r="BO102" s="139"/>
      <c r="BP102" s="139"/>
      <c r="BQ102" s="139"/>
      <c r="BR102" s="139"/>
      <c r="BS102" s="139"/>
      <c r="BT102" s="139"/>
      <c r="BU102" s="139"/>
      <c r="BV102" s="139"/>
      <c r="BW102" s="139"/>
      <c r="BX102" s="139"/>
      <c r="BY102" s="139"/>
      <c r="BZ102" s="139"/>
      <c r="CA102" s="139"/>
      <c r="CB102" s="139"/>
      <c r="CC102" s="139"/>
      <c r="CD102" s="139"/>
      <c r="CE102" s="139"/>
      <c r="CF102" s="139"/>
      <c r="CG102" s="139"/>
      <c r="CH102" s="139"/>
      <c r="CI102" s="139"/>
      <c r="CJ102" s="139"/>
      <c r="CK102" s="139"/>
      <c r="CL102" s="139"/>
      <c r="CM102" s="139"/>
      <c r="CN102" s="139"/>
      <c r="CO102" s="139"/>
      <c r="CP102" s="139"/>
      <c r="CQ102" s="139"/>
      <c r="CR102" s="139"/>
      <c r="CS102" s="139"/>
    </row>
    <row r="103" spans="1:97" s="140" customFormat="1" ht="15.75" hidden="1" customHeight="1">
      <c r="A103" s="138"/>
      <c r="B103" s="138"/>
      <c r="C103" s="190">
        <v>69</v>
      </c>
      <c r="D103" s="314" t="e">
        <f>IF(VLOOKUP(C103,PROPONENTES!$B$19:$E$218,2,FALSE)="","",VLOOKUP(C103,PROPONENTES!$B$19:$E$218,2,FALSE))</f>
        <v>#N/A</v>
      </c>
      <c r="E103" s="186" t="e">
        <f>IF(D103="","",IF(D103-INT(D103)&gt;1,"",VLOOKUP(D103,PROPONENTES!$C$19:$D$218,2,FALSE)))</f>
        <v>#N/A</v>
      </c>
      <c r="F103" s="487"/>
      <c r="G103" s="187"/>
      <c r="H103" s="139"/>
      <c r="I103" s="139"/>
      <c r="J103" s="139"/>
      <c r="K103" s="139"/>
      <c r="L103" s="139"/>
      <c r="M103" s="139"/>
      <c r="N103" s="139"/>
      <c r="O103" s="139"/>
      <c r="P103" s="139"/>
      <c r="Q103" s="139"/>
      <c r="R103" s="139"/>
      <c r="S103" s="139"/>
      <c r="T103" s="139"/>
      <c r="U103" s="139"/>
      <c r="V103" s="139"/>
      <c r="W103" s="139"/>
      <c r="X103" s="139"/>
      <c r="Y103" s="139"/>
      <c r="Z103" s="139"/>
      <c r="AA103" s="139"/>
      <c r="AB103" s="139"/>
      <c r="AC103" s="139"/>
      <c r="AD103" s="139"/>
      <c r="AE103" s="139"/>
      <c r="AF103" s="139"/>
      <c r="AG103" s="139"/>
      <c r="AH103" s="139"/>
      <c r="AI103" s="139"/>
      <c r="AJ103" s="139"/>
      <c r="AK103" s="139"/>
      <c r="AL103" s="139"/>
      <c r="AM103" s="139"/>
      <c r="AN103" s="139"/>
      <c r="AO103" s="139"/>
      <c r="AP103" s="139"/>
      <c r="AQ103" s="139"/>
      <c r="AR103" s="139"/>
      <c r="AS103" s="139"/>
      <c r="AT103" s="139"/>
      <c r="AU103" s="139"/>
      <c r="AV103" s="139"/>
      <c r="AW103" s="139"/>
      <c r="AX103" s="139"/>
      <c r="AY103" s="139"/>
      <c r="AZ103" s="139"/>
      <c r="BA103" s="139"/>
      <c r="BB103" s="139"/>
      <c r="BC103" s="139"/>
      <c r="BD103" s="139"/>
      <c r="BE103" s="139"/>
      <c r="BF103" s="139"/>
      <c r="BG103" s="139"/>
      <c r="BH103" s="139"/>
      <c r="BI103" s="139"/>
      <c r="BJ103" s="139"/>
      <c r="BK103" s="139"/>
      <c r="BL103" s="139"/>
      <c r="BM103" s="139"/>
      <c r="BN103" s="139"/>
      <c r="BO103" s="139"/>
      <c r="BP103" s="139"/>
      <c r="BQ103" s="139"/>
      <c r="BR103" s="139"/>
      <c r="BS103" s="139"/>
      <c r="BT103" s="139"/>
      <c r="BU103" s="139"/>
      <c r="BV103" s="139"/>
      <c r="BW103" s="139"/>
      <c r="BX103" s="139"/>
      <c r="BY103" s="139"/>
      <c r="BZ103" s="139"/>
      <c r="CA103" s="139"/>
      <c r="CB103" s="139"/>
      <c r="CC103" s="139"/>
      <c r="CD103" s="139"/>
      <c r="CE103" s="139"/>
      <c r="CF103" s="139"/>
      <c r="CG103" s="139"/>
      <c r="CH103" s="139"/>
      <c r="CI103" s="139"/>
      <c r="CJ103" s="139"/>
      <c r="CK103" s="139"/>
      <c r="CL103" s="139"/>
      <c r="CM103" s="139"/>
      <c r="CN103" s="139"/>
      <c r="CO103" s="139"/>
      <c r="CP103" s="139"/>
      <c r="CQ103" s="139"/>
      <c r="CR103" s="139"/>
      <c r="CS103" s="139"/>
    </row>
    <row r="104" spans="1:97" s="140" customFormat="1" ht="15.75" hidden="1" customHeight="1">
      <c r="A104" s="138"/>
      <c r="B104" s="138"/>
      <c r="C104" s="190">
        <v>70</v>
      </c>
      <c r="D104" s="314" t="e">
        <f>IF(VLOOKUP(C104,PROPONENTES!$B$19:$E$218,2,FALSE)="","",VLOOKUP(C104,PROPONENTES!$B$19:$E$218,2,FALSE))</f>
        <v>#N/A</v>
      </c>
      <c r="E104" s="186" t="e">
        <f>IF(D104="","",IF(D104-INT(D104)&gt;1,"",VLOOKUP(D104,PROPONENTES!$C$19:$D$218,2,FALSE)))</f>
        <v>#N/A</v>
      </c>
      <c r="F104" s="487"/>
      <c r="G104" s="187"/>
      <c r="H104" s="139"/>
      <c r="I104" s="139"/>
      <c r="J104" s="139"/>
      <c r="K104" s="139"/>
      <c r="L104" s="139"/>
      <c r="M104" s="139"/>
      <c r="N104" s="139"/>
      <c r="O104" s="139"/>
      <c r="P104" s="139"/>
      <c r="Q104" s="139"/>
      <c r="R104" s="139"/>
      <c r="S104" s="139"/>
      <c r="T104" s="139"/>
      <c r="U104" s="139"/>
      <c r="V104" s="139"/>
      <c r="W104" s="139"/>
      <c r="X104" s="139"/>
      <c r="Y104" s="139"/>
      <c r="Z104" s="139"/>
      <c r="AA104" s="139"/>
      <c r="AB104" s="139"/>
      <c r="AC104" s="139"/>
      <c r="AD104" s="139"/>
      <c r="AE104" s="139"/>
      <c r="AF104" s="139"/>
      <c r="AG104" s="139"/>
      <c r="AH104" s="139"/>
      <c r="AI104" s="139"/>
      <c r="AJ104" s="139"/>
      <c r="AK104" s="139"/>
      <c r="AL104" s="139"/>
      <c r="AM104" s="139"/>
      <c r="AN104" s="139"/>
      <c r="AO104" s="139"/>
      <c r="AP104" s="139"/>
      <c r="AQ104" s="139"/>
      <c r="AR104" s="139"/>
      <c r="AS104" s="139"/>
      <c r="AT104" s="139"/>
      <c r="AU104" s="139"/>
      <c r="AV104" s="139"/>
      <c r="AW104" s="139"/>
      <c r="AX104" s="139"/>
      <c r="AY104" s="139"/>
      <c r="AZ104" s="139"/>
      <c r="BA104" s="139"/>
      <c r="BB104" s="139"/>
      <c r="BC104" s="139"/>
      <c r="BD104" s="139"/>
      <c r="BE104" s="139"/>
      <c r="BF104" s="139"/>
      <c r="BG104" s="139"/>
      <c r="BH104" s="139"/>
      <c r="BI104" s="139"/>
      <c r="BJ104" s="139"/>
      <c r="BK104" s="139"/>
      <c r="BL104" s="139"/>
      <c r="BM104" s="139"/>
      <c r="BN104" s="139"/>
      <c r="BO104" s="139"/>
      <c r="BP104" s="139"/>
      <c r="BQ104" s="139"/>
      <c r="BR104" s="139"/>
      <c r="BS104" s="139"/>
      <c r="BT104" s="139"/>
      <c r="BU104" s="139"/>
      <c r="BV104" s="139"/>
      <c r="BW104" s="139"/>
      <c r="BX104" s="139"/>
      <c r="BY104" s="139"/>
      <c r="BZ104" s="139"/>
      <c r="CA104" s="139"/>
      <c r="CB104" s="139"/>
      <c r="CC104" s="139"/>
      <c r="CD104" s="139"/>
      <c r="CE104" s="139"/>
      <c r="CF104" s="139"/>
      <c r="CG104" s="139"/>
      <c r="CH104" s="139"/>
      <c r="CI104" s="139"/>
      <c r="CJ104" s="139"/>
      <c r="CK104" s="139"/>
      <c r="CL104" s="139"/>
      <c r="CM104" s="139"/>
      <c r="CN104" s="139"/>
      <c r="CO104" s="139"/>
      <c r="CP104" s="139"/>
      <c r="CQ104" s="139"/>
      <c r="CR104" s="139"/>
      <c r="CS104" s="139"/>
    </row>
    <row r="105" spans="1:97" s="140" customFormat="1" ht="15.75" hidden="1" customHeight="1">
      <c r="A105" s="138"/>
      <c r="B105" s="138"/>
      <c r="C105" s="190">
        <v>71</v>
      </c>
      <c r="D105" s="314" t="e">
        <f>IF(VLOOKUP(C105,PROPONENTES!$B$19:$E$218,2,FALSE)="","",VLOOKUP(C105,PROPONENTES!$B$19:$E$218,2,FALSE))</f>
        <v>#N/A</v>
      </c>
      <c r="E105" s="186" t="e">
        <f>IF(D105="","",IF(D105-INT(D105)&gt;1,"",VLOOKUP(D105,PROPONENTES!$C$19:$D$218,2,FALSE)))</f>
        <v>#N/A</v>
      </c>
      <c r="F105" s="487"/>
      <c r="G105" s="187"/>
      <c r="H105" s="139"/>
      <c r="I105" s="139"/>
      <c r="J105" s="139"/>
      <c r="K105" s="139"/>
      <c r="L105" s="139"/>
      <c r="M105" s="139"/>
      <c r="N105" s="139"/>
      <c r="O105" s="139"/>
      <c r="P105" s="139"/>
      <c r="Q105" s="139"/>
      <c r="R105" s="139"/>
      <c r="S105" s="139"/>
      <c r="T105" s="139"/>
      <c r="U105" s="139"/>
      <c r="V105" s="139"/>
      <c r="W105" s="139"/>
      <c r="X105" s="139"/>
      <c r="Y105" s="139"/>
      <c r="Z105" s="139"/>
      <c r="AA105" s="139"/>
      <c r="AB105" s="139"/>
      <c r="AC105" s="139"/>
      <c r="AD105" s="139"/>
      <c r="AE105" s="139"/>
      <c r="AF105" s="139"/>
      <c r="AG105" s="139"/>
      <c r="AH105" s="139"/>
      <c r="AI105" s="139"/>
      <c r="AJ105" s="139"/>
      <c r="AK105" s="139"/>
      <c r="AL105" s="139"/>
      <c r="AM105" s="139"/>
      <c r="AN105" s="139"/>
      <c r="AO105" s="139"/>
      <c r="AP105" s="139"/>
      <c r="AQ105" s="139"/>
      <c r="AR105" s="139"/>
      <c r="AS105" s="139"/>
      <c r="AT105" s="139"/>
      <c r="AU105" s="139"/>
      <c r="AV105" s="139"/>
      <c r="AW105" s="139"/>
      <c r="AX105" s="139"/>
      <c r="AY105" s="139"/>
      <c r="AZ105" s="139"/>
      <c r="BA105" s="139"/>
      <c r="BB105" s="139"/>
      <c r="BC105" s="139"/>
      <c r="BD105" s="139"/>
      <c r="BE105" s="139"/>
      <c r="BF105" s="139"/>
      <c r="BG105" s="139"/>
      <c r="BH105" s="139"/>
      <c r="BI105" s="139"/>
      <c r="BJ105" s="139"/>
      <c r="BK105" s="139"/>
      <c r="BL105" s="139"/>
      <c r="BM105" s="139"/>
      <c r="BN105" s="139"/>
      <c r="BO105" s="139"/>
      <c r="BP105" s="139"/>
      <c r="BQ105" s="139"/>
      <c r="BR105" s="139"/>
      <c r="BS105" s="139"/>
      <c r="BT105" s="139"/>
      <c r="BU105" s="139"/>
      <c r="BV105" s="139"/>
      <c r="BW105" s="139"/>
      <c r="BX105" s="139"/>
      <c r="BY105" s="139"/>
      <c r="BZ105" s="139"/>
      <c r="CA105" s="139"/>
      <c r="CB105" s="139"/>
      <c r="CC105" s="139"/>
      <c r="CD105" s="139"/>
      <c r="CE105" s="139"/>
      <c r="CF105" s="139"/>
      <c r="CG105" s="139"/>
      <c r="CH105" s="139"/>
      <c r="CI105" s="139"/>
      <c r="CJ105" s="139"/>
      <c r="CK105" s="139"/>
      <c r="CL105" s="139"/>
      <c r="CM105" s="139"/>
      <c r="CN105" s="139"/>
      <c r="CO105" s="139"/>
      <c r="CP105" s="139"/>
      <c r="CQ105" s="139"/>
      <c r="CR105" s="139"/>
      <c r="CS105" s="139"/>
    </row>
    <row r="106" spans="1:97" s="140" customFormat="1" ht="15.75" hidden="1" customHeight="1">
      <c r="A106" s="138"/>
      <c r="B106" s="138"/>
      <c r="C106" s="190">
        <v>72</v>
      </c>
      <c r="D106" s="314" t="e">
        <f>IF(VLOOKUP(C106,PROPONENTES!$B$19:$E$218,2,FALSE)="","",VLOOKUP(C106,PROPONENTES!$B$19:$E$218,2,FALSE))</f>
        <v>#N/A</v>
      </c>
      <c r="E106" s="186" t="e">
        <f>IF(D106="","",IF(D106-INT(D106)&gt;1,"",VLOOKUP(D106,PROPONENTES!$C$19:$D$218,2,FALSE)))</f>
        <v>#N/A</v>
      </c>
      <c r="F106" s="487"/>
      <c r="G106" s="187"/>
      <c r="H106" s="139"/>
      <c r="I106" s="139"/>
      <c r="J106" s="139"/>
      <c r="K106" s="139"/>
      <c r="L106" s="139"/>
      <c r="M106" s="139"/>
      <c r="N106" s="139"/>
      <c r="O106" s="139"/>
      <c r="P106" s="139"/>
      <c r="Q106" s="139"/>
      <c r="R106" s="139"/>
      <c r="S106" s="139"/>
      <c r="T106" s="139"/>
      <c r="U106" s="139"/>
      <c r="V106" s="139"/>
      <c r="W106" s="139"/>
      <c r="X106" s="139"/>
      <c r="Y106" s="139"/>
      <c r="Z106" s="139"/>
      <c r="AA106" s="139"/>
      <c r="AB106" s="139"/>
      <c r="AC106" s="139"/>
      <c r="AD106" s="139"/>
      <c r="AE106" s="139"/>
      <c r="AF106" s="139"/>
      <c r="AG106" s="139"/>
      <c r="AH106" s="139"/>
      <c r="AI106" s="139"/>
      <c r="AJ106" s="139"/>
      <c r="AK106" s="139"/>
      <c r="AL106" s="139"/>
      <c r="AM106" s="139"/>
      <c r="AN106" s="139"/>
      <c r="AO106" s="139"/>
      <c r="AP106" s="139"/>
      <c r="AQ106" s="139"/>
      <c r="AR106" s="139"/>
      <c r="AS106" s="139"/>
      <c r="AT106" s="139"/>
      <c r="AU106" s="139"/>
      <c r="AV106" s="139"/>
      <c r="AW106" s="139"/>
      <c r="AX106" s="139"/>
      <c r="AY106" s="139"/>
      <c r="AZ106" s="139"/>
      <c r="BA106" s="139"/>
      <c r="BB106" s="139"/>
      <c r="BC106" s="139"/>
      <c r="BD106" s="139"/>
      <c r="BE106" s="139"/>
      <c r="BF106" s="139"/>
      <c r="BG106" s="139"/>
      <c r="BH106" s="139"/>
      <c r="BI106" s="139"/>
      <c r="BJ106" s="139"/>
      <c r="BK106" s="139"/>
      <c r="BL106" s="139"/>
      <c r="BM106" s="139"/>
      <c r="BN106" s="139"/>
      <c r="BO106" s="139"/>
      <c r="BP106" s="139"/>
      <c r="BQ106" s="139"/>
      <c r="BR106" s="139"/>
      <c r="BS106" s="139"/>
      <c r="BT106" s="139"/>
      <c r="BU106" s="139"/>
      <c r="BV106" s="139"/>
      <c r="BW106" s="139"/>
      <c r="BX106" s="139"/>
      <c r="BY106" s="139"/>
      <c r="BZ106" s="139"/>
      <c r="CA106" s="139"/>
      <c r="CB106" s="139"/>
      <c r="CC106" s="139"/>
      <c r="CD106" s="139"/>
      <c r="CE106" s="139"/>
      <c r="CF106" s="139"/>
      <c r="CG106" s="139"/>
      <c r="CH106" s="139"/>
      <c r="CI106" s="139"/>
      <c r="CJ106" s="139"/>
      <c r="CK106" s="139"/>
      <c r="CL106" s="139"/>
      <c r="CM106" s="139"/>
      <c r="CN106" s="139"/>
      <c r="CO106" s="139"/>
      <c r="CP106" s="139"/>
      <c r="CQ106" s="139"/>
      <c r="CR106" s="139"/>
      <c r="CS106" s="139"/>
    </row>
    <row r="107" spans="1:97" s="140" customFormat="1" ht="15.75" hidden="1" customHeight="1">
      <c r="A107" s="138"/>
      <c r="B107" s="138"/>
      <c r="C107" s="190">
        <v>73</v>
      </c>
      <c r="D107" s="314" t="e">
        <f>IF(VLOOKUP(C107,PROPONENTES!$B$19:$E$218,2,FALSE)="","",VLOOKUP(C107,PROPONENTES!$B$19:$E$218,2,FALSE))</f>
        <v>#N/A</v>
      </c>
      <c r="E107" s="186" t="e">
        <f>IF(D107="","",IF(D107-INT(D107)&gt;1,"",VLOOKUP(D107,PROPONENTES!$C$19:$D$218,2,FALSE)))</f>
        <v>#N/A</v>
      </c>
      <c r="F107" s="487"/>
      <c r="G107" s="187"/>
      <c r="H107" s="139"/>
      <c r="I107" s="139"/>
      <c r="J107" s="139"/>
      <c r="K107" s="139"/>
      <c r="L107" s="139"/>
      <c r="M107" s="139"/>
      <c r="N107" s="139"/>
      <c r="O107" s="139"/>
      <c r="P107" s="139"/>
      <c r="Q107" s="139"/>
      <c r="R107" s="139"/>
      <c r="S107" s="139"/>
      <c r="T107" s="139"/>
      <c r="U107" s="139"/>
      <c r="V107" s="139"/>
      <c r="W107" s="139"/>
      <c r="X107" s="139"/>
      <c r="Y107" s="139"/>
      <c r="Z107" s="139"/>
      <c r="AA107" s="139"/>
      <c r="AB107" s="139"/>
      <c r="AC107" s="139"/>
      <c r="AD107" s="139"/>
      <c r="AE107" s="139"/>
      <c r="AF107" s="139"/>
      <c r="AG107" s="139"/>
      <c r="AH107" s="139"/>
      <c r="AI107" s="139"/>
      <c r="AJ107" s="139"/>
      <c r="AK107" s="139"/>
      <c r="AL107" s="139"/>
      <c r="AM107" s="139"/>
      <c r="AN107" s="139"/>
      <c r="AO107" s="139"/>
      <c r="AP107" s="139"/>
      <c r="AQ107" s="139"/>
      <c r="AR107" s="139"/>
      <c r="AS107" s="139"/>
      <c r="AT107" s="139"/>
      <c r="AU107" s="139"/>
      <c r="AV107" s="139"/>
      <c r="AW107" s="139"/>
      <c r="AX107" s="139"/>
      <c r="AY107" s="139"/>
      <c r="AZ107" s="139"/>
      <c r="BA107" s="139"/>
      <c r="BB107" s="139"/>
      <c r="BC107" s="139"/>
      <c r="BD107" s="139"/>
      <c r="BE107" s="139"/>
      <c r="BF107" s="139"/>
      <c r="BG107" s="139"/>
      <c r="BH107" s="139"/>
      <c r="BI107" s="139"/>
      <c r="BJ107" s="139"/>
      <c r="BK107" s="139"/>
      <c r="BL107" s="139"/>
      <c r="BM107" s="139"/>
      <c r="BN107" s="139"/>
      <c r="BO107" s="139"/>
      <c r="BP107" s="139"/>
      <c r="BQ107" s="139"/>
      <c r="BR107" s="139"/>
      <c r="BS107" s="139"/>
      <c r="BT107" s="139"/>
      <c r="BU107" s="139"/>
      <c r="BV107" s="139"/>
      <c r="BW107" s="139"/>
      <c r="BX107" s="139"/>
      <c r="BY107" s="139"/>
      <c r="BZ107" s="139"/>
      <c r="CA107" s="139"/>
      <c r="CB107" s="139"/>
      <c r="CC107" s="139"/>
      <c r="CD107" s="139"/>
      <c r="CE107" s="139"/>
      <c r="CF107" s="139"/>
      <c r="CG107" s="139"/>
      <c r="CH107" s="139"/>
      <c r="CI107" s="139"/>
      <c r="CJ107" s="139"/>
      <c r="CK107" s="139"/>
      <c r="CL107" s="139"/>
      <c r="CM107" s="139"/>
      <c r="CN107" s="139"/>
      <c r="CO107" s="139"/>
      <c r="CP107" s="139"/>
      <c r="CQ107" s="139"/>
      <c r="CR107" s="139"/>
      <c r="CS107" s="139"/>
    </row>
    <row r="108" spans="1:97" s="140" customFormat="1" ht="15.75" hidden="1" customHeight="1">
      <c r="A108" s="138"/>
      <c r="B108" s="138"/>
      <c r="C108" s="190">
        <v>74</v>
      </c>
      <c r="D108" s="314" t="e">
        <f>IF(VLOOKUP(C108,PROPONENTES!$B$19:$E$218,2,FALSE)="","",VLOOKUP(C108,PROPONENTES!$B$19:$E$218,2,FALSE))</f>
        <v>#N/A</v>
      </c>
      <c r="E108" s="186" t="e">
        <f>IF(D108="","",IF(D108-INT(D108)&gt;1,"",VLOOKUP(D108,PROPONENTES!$C$19:$D$218,2,FALSE)))</f>
        <v>#N/A</v>
      </c>
      <c r="F108" s="487"/>
      <c r="G108" s="187"/>
      <c r="H108" s="139"/>
      <c r="I108" s="139"/>
      <c r="J108" s="139"/>
      <c r="K108" s="139"/>
      <c r="L108" s="139"/>
      <c r="M108" s="139"/>
      <c r="N108" s="139"/>
      <c r="O108" s="139"/>
      <c r="P108" s="139"/>
      <c r="Q108" s="139"/>
      <c r="R108" s="139"/>
      <c r="S108" s="139"/>
      <c r="T108" s="139"/>
      <c r="U108" s="139"/>
      <c r="V108" s="139"/>
      <c r="W108" s="139"/>
      <c r="X108" s="139"/>
      <c r="Y108" s="139"/>
      <c r="Z108" s="139"/>
      <c r="AA108" s="139"/>
      <c r="AB108" s="139"/>
      <c r="AC108" s="139"/>
      <c r="AD108" s="139"/>
      <c r="AE108" s="139"/>
      <c r="AF108" s="139"/>
      <c r="AG108" s="139"/>
      <c r="AH108" s="139"/>
      <c r="AI108" s="139"/>
      <c r="AJ108" s="139"/>
      <c r="AK108" s="139"/>
      <c r="AL108" s="139"/>
      <c r="AM108" s="139"/>
      <c r="AN108" s="139"/>
      <c r="AO108" s="139"/>
      <c r="AP108" s="139"/>
      <c r="AQ108" s="139"/>
      <c r="AR108" s="139"/>
      <c r="AS108" s="139"/>
      <c r="AT108" s="139"/>
      <c r="AU108" s="139"/>
      <c r="AV108" s="139"/>
      <c r="AW108" s="139"/>
      <c r="AX108" s="139"/>
      <c r="AY108" s="139"/>
      <c r="AZ108" s="139"/>
      <c r="BA108" s="139"/>
      <c r="BB108" s="139"/>
      <c r="BC108" s="139"/>
      <c r="BD108" s="139"/>
      <c r="BE108" s="139"/>
      <c r="BF108" s="139"/>
      <c r="BG108" s="139"/>
      <c r="BH108" s="139"/>
      <c r="BI108" s="139"/>
      <c r="BJ108" s="139"/>
      <c r="BK108" s="139"/>
      <c r="BL108" s="139"/>
      <c r="BM108" s="139"/>
      <c r="BN108" s="139"/>
      <c r="BO108" s="139"/>
      <c r="BP108" s="139"/>
      <c r="BQ108" s="139"/>
      <c r="BR108" s="139"/>
      <c r="BS108" s="139"/>
      <c r="BT108" s="139"/>
      <c r="BU108" s="139"/>
      <c r="BV108" s="139"/>
      <c r="BW108" s="139"/>
      <c r="BX108" s="139"/>
      <c r="BY108" s="139"/>
      <c r="BZ108" s="139"/>
      <c r="CA108" s="139"/>
      <c r="CB108" s="139"/>
      <c r="CC108" s="139"/>
      <c r="CD108" s="139"/>
      <c r="CE108" s="139"/>
      <c r="CF108" s="139"/>
      <c r="CG108" s="139"/>
      <c r="CH108" s="139"/>
      <c r="CI108" s="139"/>
      <c r="CJ108" s="139"/>
      <c r="CK108" s="139"/>
      <c r="CL108" s="139"/>
      <c r="CM108" s="139"/>
      <c r="CN108" s="139"/>
      <c r="CO108" s="139"/>
      <c r="CP108" s="139"/>
      <c r="CQ108" s="139"/>
      <c r="CR108" s="139"/>
      <c r="CS108" s="139"/>
    </row>
    <row r="109" spans="1:97" s="140" customFormat="1" ht="15.75" hidden="1" customHeight="1">
      <c r="A109" s="138"/>
      <c r="B109" s="138"/>
      <c r="C109" s="190">
        <v>75</v>
      </c>
      <c r="D109" s="314" t="e">
        <f>IF(VLOOKUP(C109,PROPONENTES!$B$19:$E$218,2,FALSE)="","",VLOOKUP(C109,PROPONENTES!$B$19:$E$218,2,FALSE))</f>
        <v>#N/A</v>
      </c>
      <c r="E109" s="186" t="e">
        <f>IF(D109="","",IF(D109-INT(D109)&gt;1,"",VLOOKUP(D109,PROPONENTES!$C$19:$D$218,2,FALSE)))</f>
        <v>#N/A</v>
      </c>
      <c r="F109" s="487"/>
      <c r="G109" s="187"/>
      <c r="H109" s="139"/>
      <c r="I109" s="139"/>
      <c r="J109" s="139"/>
      <c r="K109" s="139"/>
      <c r="L109" s="139"/>
      <c r="M109" s="139"/>
      <c r="N109" s="139"/>
      <c r="O109" s="139"/>
      <c r="P109" s="139"/>
      <c r="Q109" s="139"/>
      <c r="R109" s="139"/>
      <c r="S109" s="139"/>
      <c r="T109" s="139"/>
      <c r="U109" s="139"/>
      <c r="V109" s="139"/>
      <c r="W109" s="139"/>
      <c r="X109" s="139"/>
      <c r="Y109" s="139"/>
      <c r="Z109" s="139"/>
      <c r="AA109" s="139"/>
      <c r="AB109" s="139"/>
      <c r="AC109" s="139"/>
      <c r="AD109" s="139"/>
      <c r="AE109" s="139"/>
      <c r="AF109" s="139"/>
      <c r="AG109" s="139"/>
      <c r="AH109" s="139"/>
      <c r="AI109" s="139"/>
      <c r="AJ109" s="139"/>
      <c r="AK109" s="139"/>
      <c r="AL109" s="139"/>
      <c r="AM109" s="139"/>
      <c r="AN109" s="139"/>
      <c r="AO109" s="139"/>
      <c r="AP109" s="139"/>
      <c r="AQ109" s="139"/>
      <c r="AR109" s="139"/>
      <c r="AS109" s="139"/>
      <c r="AT109" s="139"/>
      <c r="AU109" s="139"/>
      <c r="AV109" s="139"/>
      <c r="AW109" s="139"/>
      <c r="AX109" s="139"/>
      <c r="AY109" s="139"/>
      <c r="AZ109" s="139"/>
      <c r="BA109" s="139"/>
      <c r="BB109" s="139"/>
      <c r="BC109" s="139"/>
      <c r="BD109" s="139"/>
      <c r="BE109" s="139"/>
      <c r="BF109" s="139"/>
      <c r="BG109" s="139"/>
      <c r="BH109" s="139"/>
      <c r="BI109" s="139"/>
      <c r="BJ109" s="139"/>
      <c r="BK109" s="139"/>
      <c r="BL109" s="139"/>
      <c r="BM109" s="139"/>
      <c r="BN109" s="139"/>
      <c r="BO109" s="139"/>
      <c r="BP109" s="139"/>
      <c r="BQ109" s="139"/>
      <c r="BR109" s="139"/>
      <c r="BS109" s="139"/>
      <c r="BT109" s="139"/>
      <c r="BU109" s="139"/>
      <c r="BV109" s="139"/>
      <c r="BW109" s="139"/>
      <c r="BX109" s="139"/>
      <c r="BY109" s="139"/>
      <c r="BZ109" s="139"/>
      <c r="CA109" s="139"/>
      <c r="CB109" s="139"/>
      <c r="CC109" s="139"/>
      <c r="CD109" s="139"/>
      <c r="CE109" s="139"/>
      <c r="CF109" s="139"/>
      <c r="CG109" s="139"/>
      <c r="CH109" s="139"/>
      <c r="CI109" s="139"/>
      <c r="CJ109" s="139"/>
      <c r="CK109" s="139"/>
      <c r="CL109" s="139"/>
      <c r="CM109" s="139"/>
      <c r="CN109" s="139"/>
      <c r="CO109" s="139"/>
      <c r="CP109" s="139"/>
      <c r="CQ109" s="139"/>
      <c r="CR109" s="139"/>
      <c r="CS109" s="139"/>
    </row>
    <row r="110" spans="1:97" s="140" customFormat="1" ht="15.75" hidden="1" customHeight="1">
      <c r="A110" s="138"/>
      <c r="B110" s="138"/>
      <c r="C110" s="190">
        <v>76</v>
      </c>
      <c r="D110" s="314" t="e">
        <f>IF(VLOOKUP(C110,PROPONENTES!$B$19:$E$218,2,FALSE)="","",VLOOKUP(C110,PROPONENTES!$B$19:$E$218,2,FALSE))</f>
        <v>#N/A</v>
      </c>
      <c r="E110" s="186" t="e">
        <f>IF(D110="","",IF(D110-INT(D110)&gt;1,"",VLOOKUP(D110,PROPONENTES!$C$19:$D$218,2,FALSE)))</f>
        <v>#N/A</v>
      </c>
      <c r="F110" s="487"/>
      <c r="G110" s="187"/>
      <c r="H110" s="139"/>
      <c r="I110" s="139"/>
      <c r="J110" s="139"/>
      <c r="K110" s="139"/>
      <c r="L110" s="139"/>
      <c r="M110" s="139"/>
      <c r="N110" s="139"/>
      <c r="O110" s="139"/>
      <c r="P110" s="139"/>
      <c r="Q110" s="139"/>
      <c r="R110" s="139"/>
      <c r="S110" s="139"/>
      <c r="T110" s="139"/>
      <c r="U110" s="139"/>
      <c r="V110" s="139"/>
      <c r="W110" s="139"/>
      <c r="X110" s="139"/>
      <c r="Y110" s="139"/>
      <c r="Z110" s="139"/>
      <c r="AA110" s="139"/>
      <c r="AB110" s="139"/>
      <c r="AC110" s="139"/>
      <c r="AD110" s="139"/>
      <c r="AE110" s="139"/>
      <c r="AF110" s="139"/>
      <c r="AG110" s="139"/>
      <c r="AH110" s="139"/>
      <c r="AI110" s="139"/>
      <c r="AJ110" s="139"/>
      <c r="AK110" s="139"/>
      <c r="AL110" s="139"/>
      <c r="AM110" s="139"/>
      <c r="AN110" s="139"/>
      <c r="AO110" s="139"/>
      <c r="AP110" s="139"/>
      <c r="AQ110" s="139"/>
      <c r="AR110" s="139"/>
      <c r="AS110" s="139"/>
      <c r="AT110" s="139"/>
      <c r="AU110" s="139"/>
      <c r="AV110" s="139"/>
      <c r="AW110" s="139"/>
      <c r="AX110" s="139"/>
      <c r="AY110" s="139"/>
      <c r="AZ110" s="139"/>
      <c r="BA110" s="139"/>
      <c r="BB110" s="139"/>
      <c r="BC110" s="139"/>
      <c r="BD110" s="139"/>
      <c r="BE110" s="139"/>
      <c r="BF110" s="139"/>
      <c r="BG110" s="139"/>
      <c r="BH110" s="139"/>
      <c r="BI110" s="139"/>
      <c r="BJ110" s="139"/>
      <c r="BK110" s="139"/>
      <c r="BL110" s="139"/>
      <c r="BM110" s="139"/>
      <c r="BN110" s="139"/>
      <c r="BO110" s="139"/>
      <c r="BP110" s="139"/>
      <c r="BQ110" s="139"/>
      <c r="BR110" s="139"/>
      <c r="BS110" s="139"/>
      <c r="BT110" s="139"/>
      <c r="BU110" s="139"/>
      <c r="BV110" s="139"/>
      <c r="BW110" s="139"/>
      <c r="BX110" s="139"/>
      <c r="BY110" s="139"/>
      <c r="BZ110" s="139"/>
      <c r="CA110" s="139"/>
      <c r="CB110" s="139"/>
      <c r="CC110" s="139"/>
      <c r="CD110" s="139"/>
      <c r="CE110" s="139"/>
      <c r="CF110" s="139"/>
      <c r="CG110" s="139"/>
      <c r="CH110" s="139"/>
      <c r="CI110" s="139"/>
      <c r="CJ110" s="139"/>
      <c r="CK110" s="139"/>
      <c r="CL110" s="139"/>
      <c r="CM110" s="139"/>
      <c r="CN110" s="139"/>
      <c r="CO110" s="139"/>
      <c r="CP110" s="139"/>
      <c r="CQ110" s="139"/>
      <c r="CR110" s="139"/>
      <c r="CS110" s="139"/>
    </row>
    <row r="111" spans="1:97" s="140" customFormat="1" ht="15.75" hidden="1" customHeight="1">
      <c r="A111" s="138"/>
      <c r="B111" s="138"/>
      <c r="C111" s="190">
        <v>77</v>
      </c>
      <c r="D111" s="314" t="e">
        <f>IF(VLOOKUP(C111,PROPONENTES!$B$19:$E$218,2,FALSE)="","",VLOOKUP(C111,PROPONENTES!$B$19:$E$218,2,FALSE))</f>
        <v>#N/A</v>
      </c>
      <c r="E111" s="186" t="e">
        <f>IF(D111="","",IF(D111-INT(D111)&gt;1,"",VLOOKUP(D111,PROPONENTES!$C$19:$D$218,2,FALSE)))</f>
        <v>#N/A</v>
      </c>
      <c r="F111" s="487"/>
      <c r="G111" s="187"/>
      <c r="H111" s="139"/>
      <c r="I111" s="139"/>
      <c r="J111" s="139"/>
      <c r="K111" s="139"/>
      <c r="L111" s="139"/>
      <c r="M111" s="139"/>
      <c r="N111" s="139"/>
      <c r="O111" s="139"/>
      <c r="P111" s="139"/>
      <c r="Q111" s="139"/>
      <c r="R111" s="139"/>
      <c r="S111" s="139"/>
      <c r="T111" s="139"/>
      <c r="U111" s="139"/>
      <c r="V111" s="139"/>
      <c r="W111" s="139"/>
      <c r="X111" s="139"/>
      <c r="Y111" s="139"/>
      <c r="Z111" s="139"/>
      <c r="AA111" s="139"/>
      <c r="AB111" s="139"/>
      <c r="AC111" s="139"/>
      <c r="AD111" s="139"/>
      <c r="AE111" s="139"/>
      <c r="AF111" s="139"/>
      <c r="AG111" s="139"/>
      <c r="AH111" s="139"/>
      <c r="AI111" s="139"/>
      <c r="AJ111" s="139"/>
      <c r="AK111" s="139"/>
      <c r="AL111" s="139"/>
      <c r="AM111" s="139"/>
      <c r="AN111" s="139"/>
      <c r="AO111" s="139"/>
      <c r="AP111" s="139"/>
      <c r="AQ111" s="139"/>
      <c r="AR111" s="139"/>
      <c r="AS111" s="139"/>
      <c r="AT111" s="139"/>
      <c r="AU111" s="139"/>
      <c r="AV111" s="139"/>
      <c r="AW111" s="139"/>
      <c r="AX111" s="139"/>
      <c r="AY111" s="139"/>
      <c r="AZ111" s="139"/>
      <c r="BA111" s="139"/>
      <c r="BB111" s="139"/>
      <c r="BC111" s="139"/>
      <c r="BD111" s="139"/>
      <c r="BE111" s="139"/>
      <c r="BF111" s="139"/>
      <c r="BG111" s="139"/>
      <c r="BH111" s="139"/>
      <c r="BI111" s="139"/>
      <c r="BJ111" s="139"/>
      <c r="BK111" s="139"/>
      <c r="BL111" s="139"/>
      <c r="BM111" s="139"/>
      <c r="BN111" s="139"/>
      <c r="BO111" s="139"/>
      <c r="BP111" s="139"/>
      <c r="BQ111" s="139"/>
      <c r="BR111" s="139"/>
      <c r="BS111" s="139"/>
      <c r="BT111" s="139"/>
      <c r="BU111" s="139"/>
      <c r="BV111" s="139"/>
      <c r="BW111" s="139"/>
      <c r="BX111" s="139"/>
      <c r="BY111" s="139"/>
      <c r="BZ111" s="139"/>
      <c r="CA111" s="139"/>
      <c r="CB111" s="139"/>
      <c r="CC111" s="139"/>
      <c r="CD111" s="139"/>
      <c r="CE111" s="139"/>
      <c r="CF111" s="139"/>
      <c r="CG111" s="139"/>
      <c r="CH111" s="139"/>
      <c r="CI111" s="139"/>
      <c r="CJ111" s="139"/>
      <c r="CK111" s="139"/>
      <c r="CL111" s="139"/>
      <c r="CM111" s="139"/>
      <c r="CN111" s="139"/>
      <c r="CO111" s="139"/>
      <c r="CP111" s="139"/>
      <c r="CQ111" s="139"/>
      <c r="CR111" s="139"/>
      <c r="CS111" s="139"/>
    </row>
    <row r="112" spans="1:97" s="140" customFormat="1" ht="15.75" hidden="1" customHeight="1">
      <c r="A112" s="138"/>
      <c r="B112" s="138"/>
      <c r="C112" s="190">
        <v>78</v>
      </c>
      <c r="D112" s="314" t="e">
        <f>IF(VLOOKUP(C112,PROPONENTES!$B$19:$E$218,2,FALSE)="","",VLOOKUP(C112,PROPONENTES!$B$19:$E$218,2,FALSE))</f>
        <v>#N/A</v>
      </c>
      <c r="E112" s="186" t="e">
        <f>IF(D112="","",IF(D112-INT(D112)&gt;1,"",VLOOKUP(D112,PROPONENTES!$C$19:$D$218,2,FALSE)))</f>
        <v>#N/A</v>
      </c>
      <c r="F112" s="487"/>
      <c r="G112" s="187"/>
      <c r="H112" s="139"/>
      <c r="I112" s="139"/>
      <c r="J112" s="139"/>
      <c r="K112" s="139"/>
      <c r="L112" s="139"/>
      <c r="M112" s="139"/>
      <c r="N112" s="139"/>
      <c r="O112" s="139"/>
      <c r="P112" s="139"/>
      <c r="Q112" s="139"/>
      <c r="R112" s="139"/>
      <c r="S112" s="139"/>
      <c r="T112" s="139"/>
      <c r="U112" s="139"/>
      <c r="V112" s="139"/>
      <c r="W112" s="139"/>
      <c r="X112" s="139"/>
      <c r="Y112" s="139"/>
      <c r="Z112" s="139"/>
      <c r="AA112" s="139"/>
      <c r="AB112" s="139"/>
      <c r="AC112" s="139"/>
      <c r="AD112" s="139"/>
      <c r="AE112" s="139"/>
      <c r="AF112" s="139"/>
      <c r="AG112" s="139"/>
      <c r="AH112" s="139"/>
      <c r="AI112" s="139"/>
      <c r="AJ112" s="139"/>
      <c r="AK112" s="139"/>
      <c r="AL112" s="139"/>
      <c r="AM112" s="139"/>
      <c r="AN112" s="139"/>
      <c r="AO112" s="139"/>
      <c r="AP112" s="139"/>
      <c r="AQ112" s="139"/>
      <c r="AR112" s="139"/>
      <c r="AS112" s="139"/>
      <c r="AT112" s="139"/>
      <c r="AU112" s="139"/>
      <c r="AV112" s="139"/>
      <c r="AW112" s="139"/>
      <c r="AX112" s="139"/>
      <c r="AY112" s="139"/>
      <c r="AZ112" s="139"/>
      <c r="BA112" s="139"/>
      <c r="BB112" s="139"/>
      <c r="BC112" s="139"/>
      <c r="BD112" s="139"/>
      <c r="BE112" s="139"/>
      <c r="BF112" s="139"/>
      <c r="BG112" s="139"/>
      <c r="BH112" s="139"/>
      <c r="BI112" s="139"/>
      <c r="BJ112" s="139"/>
      <c r="BK112" s="139"/>
      <c r="BL112" s="139"/>
      <c r="BM112" s="139"/>
      <c r="BN112" s="139"/>
      <c r="BO112" s="139"/>
      <c r="BP112" s="139"/>
      <c r="BQ112" s="139"/>
      <c r="BR112" s="139"/>
      <c r="BS112" s="139"/>
      <c r="BT112" s="139"/>
      <c r="BU112" s="139"/>
      <c r="BV112" s="139"/>
      <c r="BW112" s="139"/>
      <c r="BX112" s="139"/>
      <c r="BY112" s="139"/>
      <c r="BZ112" s="139"/>
      <c r="CA112" s="139"/>
      <c r="CB112" s="139"/>
      <c r="CC112" s="139"/>
      <c r="CD112" s="139"/>
      <c r="CE112" s="139"/>
      <c r="CF112" s="139"/>
      <c r="CG112" s="139"/>
      <c r="CH112" s="139"/>
      <c r="CI112" s="139"/>
      <c r="CJ112" s="139"/>
      <c r="CK112" s="139"/>
      <c r="CL112" s="139"/>
      <c r="CM112" s="139"/>
      <c r="CN112" s="139"/>
      <c r="CO112" s="139"/>
      <c r="CP112" s="139"/>
      <c r="CQ112" s="139"/>
      <c r="CR112" s="139"/>
      <c r="CS112" s="139"/>
    </row>
    <row r="113" spans="1:97" s="140" customFormat="1" ht="15.75" hidden="1" customHeight="1">
      <c r="A113" s="138"/>
      <c r="B113" s="138"/>
      <c r="C113" s="190">
        <v>79</v>
      </c>
      <c r="D113" s="314" t="e">
        <f>IF(VLOOKUP(C113,PROPONENTES!$B$19:$E$218,2,FALSE)="","",VLOOKUP(C113,PROPONENTES!$B$19:$E$218,2,FALSE))</f>
        <v>#N/A</v>
      </c>
      <c r="E113" s="186" t="e">
        <f>IF(D113="","",IF(D113-INT(D113)&gt;1,"",VLOOKUP(D113,PROPONENTES!$C$19:$D$218,2,FALSE)))</f>
        <v>#N/A</v>
      </c>
      <c r="F113" s="487"/>
      <c r="G113" s="187"/>
      <c r="H113" s="139"/>
      <c r="I113" s="139"/>
      <c r="J113" s="139"/>
      <c r="K113" s="139"/>
      <c r="L113" s="139"/>
      <c r="M113" s="139"/>
      <c r="N113" s="139"/>
      <c r="O113" s="139"/>
      <c r="P113" s="139"/>
      <c r="Q113" s="139"/>
      <c r="R113" s="139"/>
      <c r="S113" s="139"/>
      <c r="T113" s="139"/>
      <c r="U113" s="139"/>
      <c r="V113" s="139"/>
      <c r="W113" s="139"/>
      <c r="X113" s="139"/>
      <c r="Y113" s="139"/>
      <c r="Z113" s="139"/>
      <c r="AA113" s="139"/>
      <c r="AB113" s="139"/>
      <c r="AC113" s="139"/>
      <c r="AD113" s="139"/>
      <c r="AE113" s="139"/>
      <c r="AF113" s="139"/>
      <c r="AG113" s="139"/>
      <c r="AH113" s="139"/>
      <c r="AI113" s="139"/>
      <c r="AJ113" s="139"/>
      <c r="AK113" s="139"/>
      <c r="AL113" s="139"/>
      <c r="AM113" s="139"/>
      <c r="AN113" s="139"/>
      <c r="AO113" s="139"/>
      <c r="AP113" s="139"/>
      <c r="AQ113" s="139"/>
      <c r="AR113" s="139"/>
      <c r="AS113" s="139"/>
      <c r="AT113" s="139"/>
      <c r="AU113" s="139"/>
      <c r="AV113" s="139"/>
      <c r="AW113" s="139"/>
      <c r="AX113" s="139"/>
      <c r="AY113" s="139"/>
      <c r="AZ113" s="139"/>
      <c r="BA113" s="139"/>
      <c r="BB113" s="139"/>
      <c r="BC113" s="139"/>
      <c r="BD113" s="139"/>
      <c r="BE113" s="139"/>
      <c r="BF113" s="139"/>
      <c r="BG113" s="139"/>
      <c r="BH113" s="139"/>
      <c r="BI113" s="139"/>
      <c r="BJ113" s="139"/>
      <c r="BK113" s="139"/>
      <c r="BL113" s="139"/>
      <c r="BM113" s="139"/>
      <c r="BN113" s="139"/>
      <c r="BO113" s="139"/>
      <c r="BP113" s="139"/>
      <c r="BQ113" s="139"/>
      <c r="BR113" s="139"/>
      <c r="BS113" s="139"/>
      <c r="BT113" s="139"/>
      <c r="BU113" s="139"/>
      <c r="BV113" s="139"/>
      <c r="BW113" s="139"/>
      <c r="BX113" s="139"/>
      <c r="BY113" s="139"/>
      <c r="BZ113" s="139"/>
      <c r="CA113" s="139"/>
      <c r="CB113" s="139"/>
      <c r="CC113" s="139"/>
      <c r="CD113" s="139"/>
      <c r="CE113" s="139"/>
      <c r="CF113" s="139"/>
      <c r="CG113" s="139"/>
      <c r="CH113" s="139"/>
      <c r="CI113" s="139"/>
      <c r="CJ113" s="139"/>
      <c r="CK113" s="139"/>
      <c r="CL113" s="139"/>
      <c r="CM113" s="139"/>
      <c r="CN113" s="139"/>
      <c r="CO113" s="139"/>
      <c r="CP113" s="139"/>
      <c r="CQ113" s="139"/>
      <c r="CR113" s="139"/>
      <c r="CS113" s="139"/>
    </row>
    <row r="114" spans="1:97" s="140" customFormat="1" ht="15.75" hidden="1" customHeight="1">
      <c r="A114" s="138"/>
      <c r="B114" s="138"/>
      <c r="C114" s="190">
        <v>80</v>
      </c>
      <c r="D114" s="314" t="e">
        <f>IF(VLOOKUP(C114,PROPONENTES!$B$19:$E$218,2,FALSE)="","",VLOOKUP(C114,PROPONENTES!$B$19:$E$218,2,FALSE))</f>
        <v>#N/A</v>
      </c>
      <c r="E114" s="186" t="e">
        <f>IF(D114="","",IF(D114-INT(D114)&gt;1,"",VLOOKUP(D114,PROPONENTES!$C$19:$D$218,2,FALSE)))</f>
        <v>#N/A</v>
      </c>
      <c r="F114" s="487"/>
      <c r="G114" s="187"/>
      <c r="H114" s="139"/>
      <c r="I114" s="139"/>
      <c r="J114" s="139"/>
      <c r="K114" s="139"/>
      <c r="L114" s="139"/>
      <c r="M114" s="139"/>
      <c r="N114" s="139"/>
      <c r="O114" s="139"/>
      <c r="P114" s="139"/>
      <c r="Q114" s="139"/>
      <c r="R114" s="139"/>
      <c r="S114" s="139"/>
      <c r="T114" s="139"/>
      <c r="U114" s="139"/>
      <c r="V114" s="139"/>
      <c r="W114" s="139"/>
      <c r="X114" s="139"/>
      <c r="Y114" s="139"/>
      <c r="Z114" s="139"/>
      <c r="AA114" s="139"/>
      <c r="AB114" s="139"/>
      <c r="AC114" s="139"/>
      <c r="AD114" s="139"/>
      <c r="AE114" s="139"/>
      <c r="AF114" s="139"/>
      <c r="AG114" s="139"/>
      <c r="AH114" s="139"/>
      <c r="AI114" s="139"/>
      <c r="AJ114" s="139"/>
      <c r="AK114" s="139"/>
      <c r="AL114" s="139"/>
      <c r="AM114" s="139"/>
      <c r="AN114" s="139"/>
      <c r="AO114" s="139"/>
      <c r="AP114" s="139"/>
      <c r="AQ114" s="139"/>
      <c r="AR114" s="139"/>
      <c r="AS114" s="139"/>
      <c r="AT114" s="139"/>
      <c r="AU114" s="139"/>
      <c r="AV114" s="139"/>
      <c r="AW114" s="139"/>
      <c r="AX114" s="139"/>
      <c r="AY114" s="139"/>
      <c r="AZ114" s="139"/>
      <c r="BA114" s="139"/>
      <c r="BB114" s="139"/>
      <c r="BC114" s="139"/>
      <c r="BD114" s="139"/>
      <c r="BE114" s="139"/>
      <c r="BF114" s="139"/>
      <c r="BG114" s="139"/>
      <c r="BH114" s="139"/>
      <c r="BI114" s="139"/>
      <c r="BJ114" s="139"/>
      <c r="BK114" s="139"/>
      <c r="BL114" s="139"/>
      <c r="BM114" s="139"/>
      <c r="BN114" s="139"/>
      <c r="BO114" s="139"/>
      <c r="BP114" s="139"/>
      <c r="BQ114" s="139"/>
      <c r="BR114" s="139"/>
      <c r="BS114" s="139"/>
      <c r="BT114" s="139"/>
      <c r="BU114" s="139"/>
      <c r="BV114" s="139"/>
      <c r="BW114" s="139"/>
      <c r="BX114" s="139"/>
      <c r="BY114" s="139"/>
      <c r="BZ114" s="139"/>
      <c r="CA114" s="139"/>
      <c r="CB114" s="139"/>
      <c r="CC114" s="139"/>
      <c r="CD114" s="139"/>
      <c r="CE114" s="139"/>
      <c r="CF114" s="139"/>
      <c r="CG114" s="139"/>
      <c r="CH114" s="139"/>
      <c r="CI114" s="139"/>
      <c r="CJ114" s="139"/>
      <c r="CK114" s="139"/>
      <c r="CL114" s="139"/>
      <c r="CM114" s="139"/>
      <c r="CN114" s="139"/>
      <c r="CO114" s="139"/>
      <c r="CP114" s="139"/>
      <c r="CQ114" s="139"/>
      <c r="CR114" s="139"/>
      <c r="CS114" s="139"/>
    </row>
    <row r="115" spans="1:97" s="140" customFormat="1" ht="15.75" hidden="1" customHeight="1">
      <c r="A115" s="138"/>
      <c r="B115" s="138"/>
      <c r="C115" s="190">
        <v>81</v>
      </c>
      <c r="D115" s="314" t="e">
        <f>IF(VLOOKUP(C115,PROPONENTES!$B$19:$E$218,2,FALSE)="","",VLOOKUP(C115,PROPONENTES!$B$19:$E$218,2,FALSE))</f>
        <v>#N/A</v>
      </c>
      <c r="E115" s="186" t="e">
        <f>IF(D115="","",IF(D115-INT(D115)&gt;1,"",VLOOKUP(D115,PROPONENTES!$C$19:$D$218,2,FALSE)))</f>
        <v>#N/A</v>
      </c>
      <c r="F115" s="487"/>
      <c r="G115" s="187"/>
      <c r="H115" s="139"/>
      <c r="I115" s="139"/>
      <c r="J115" s="139"/>
      <c r="K115" s="139"/>
      <c r="L115" s="139"/>
      <c r="M115" s="139"/>
      <c r="N115" s="139"/>
      <c r="O115" s="139"/>
      <c r="P115" s="139"/>
      <c r="Q115" s="139"/>
      <c r="R115" s="139"/>
      <c r="S115" s="139"/>
      <c r="T115" s="139"/>
      <c r="U115" s="139"/>
      <c r="V115" s="139"/>
      <c r="W115" s="139"/>
      <c r="X115" s="139"/>
      <c r="Y115" s="139"/>
      <c r="Z115" s="139"/>
      <c r="AA115" s="139"/>
      <c r="AB115" s="139"/>
      <c r="AC115" s="139"/>
      <c r="AD115" s="139"/>
      <c r="AE115" s="139"/>
      <c r="AF115" s="139"/>
      <c r="AG115" s="139"/>
      <c r="AH115" s="139"/>
      <c r="AI115" s="139"/>
      <c r="AJ115" s="139"/>
      <c r="AK115" s="139"/>
      <c r="AL115" s="139"/>
      <c r="AM115" s="139"/>
      <c r="AN115" s="139"/>
      <c r="AO115" s="139"/>
      <c r="AP115" s="139"/>
      <c r="AQ115" s="139"/>
      <c r="AR115" s="139"/>
      <c r="AS115" s="139"/>
      <c r="AT115" s="139"/>
      <c r="AU115" s="139"/>
      <c r="AV115" s="139"/>
      <c r="AW115" s="139"/>
      <c r="AX115" s="139"/>
      <c r="AY115" s="139"/>
      <c r="AZ115" s="139"/>
      <c r="BA115" s="139"/>
      <c r="BB115" s="139"/>
      <c r="BC115" s="139"/>
      <c r="BD115" s="139"/>
      <c r="BE115" s="139"/>
      <c r="BF115" s="139"/>
      <c r="BG115" s="139"/>
      <c r="BH115" s="139"/>
      <c r="BI115" s="139"/>
      <c r="BJ115" s="139"/>
      <c r="BK115" s="139"/>
      <c r="BL115" s="139"/>
      <c r="BM115" s="139"/>
      <c r="BN115" s="139"/>
      <c r="BO115" s="139"/>
      <c r="BP115" s="139"/>
      <c r="BQ115" s="139"/>
      <c r="BR115" s="139"/>
      <c r="BS115" s="139"/>
      <c r="BT115" s="139"/>
      <c r="BU115" s="139"/>
      <c r="BV115" s="139"/>
      <c r="BW115" s="139"/>
      <c r="BX115" s="139"/>
      <c r="BY115" s="139"/>
      <c r="BZ115" s="139"/>
      <c r="CA115" s="139"/>
      <c r="CB115" s="139"/>
      <c r="CC115" s="139"/>
      <c r="CD115" s="139"/>
      <c r="CE115" s="139"/>
      <c r="CF115" s="139"/>
      <c r="CG115" s="139"/>
      <c r="CH115" s="139"/>
      <c r="CI115" s="139"/>
      <c r="CJ115" s="139"/>
      <c r="CK115" s="139"/>
      <c r="CL115" s="139"/>
      <c r="CM115" s="139"/>
      <c r="CN115" s="139"/>
      <c r="CO115" s="139"/>
      <c r="CP115" s="139"/>
      <c r="CQ115" s="139"/>
      <c r="CR115" s="139"/>
      <c r="CS115" s="139"/>
    </row>
    <row r="116" spans="1:97" s="140" customFormat="1" ht="15.75" hidden="1" customHeight="1">
      <c r="A116" s="138"/>
      <c r="B116" s="138"/>
      <c r="C116" s="190">
        <v>82</v>
      </c>
      <c r="D116" s="314" t="e">
        <f>IF(VLOOKUP(C116,PROPONENTES!$B$19:$E$218,2,FALSE)="","",VLOOKUP(C116,PROPONENTES!$B$19:$E$218,2,FALSE))</f>
        <v>#N/A</v>
      </c>
      <c r="E116" s="186" t="e">
        <f>IF(D116="","",IF(D116-INT(D116)&gt;1,"",VLOOKUP(D116,PROPONENTES!$C$19:$D$218,2,FALSE)))</f>
        <v>#N/A</v>
      </c>
      <c r="F116" s="487"/>
      <c r="G116" s="187"/>
      <c r="H116" s="139"/>
      <c r="I116" s="139"/>
      <c r="J116" s="139"/>
      <c r="K116" s="139"/>
      <c r="L116" s="139"/>
      <c r="M116" s="139"/>
      <c r="N116" s="139"/>
      <c r="O116" s="139"/>
      <c r="P116" s="139"/>
      <c r="Q116" s="139"/>
      <c r="R116" s="139"/>
      <c r="S116" s="139"/>
      <c r="T116" s="139"/>
      <c r="U116" s="139"/>
      <c r="V116" s="139"/>
      <c r="W116" s="139"/>
      <c r="X116" s="139"/>
      <c r="Y116" s="139"/>
      <c r="Z116" s="139"/>
      <c r="AA116" s="139"/>
      <c r="AB116" s="139"/>
      <c r="AC116" s="139"/>
      <c r="AD116" s="139"/>
      <c r="AE116" s="139"/>
      <c r="AF116" s="139"/>
      <c r="AG116" s="139"/>
      <c r="AH116" s="139"/>
      <c r="AI116" s="139"/>
      <c r="AJ116" s="139"/>
      <c r="AK116" s="139"/>
      <c r="AL116" s="139"/>
      <c r="AM116" s="139"/>
      <c r="AN116" s="139"/>
      <c r="AO116" s="139"/>
      <c r="AP116" s="139"/>
      <c r="AQ116" s="139"/>
      <c r="AR116" s="139"/>
      <c r="AS116" s="139"/>
      <c r="AT116" s="139"/>
      <c r="AU116" s="139"/>
      <c r="AV116" s="139"/>
      <c r="AW116" s="139"/>
      <c r="AX116" s="139"/>
      <c r="AY116" s="139"/>
      <c r="AZ116" s="139"/>
      <c r="BA116" s="139"/>
      <c r="BB116" s="139"/>
      <c r="BC116" s="139"/>
      <c r="BD116" s="139"/>
      <c r="BE116" s="139"/>
      <c r="BF116" s="139"/>
      <c r="BG116" s="139"/>
      <c r="BH116" s="139"/>
      <c r="BI116" s="139"/>
      <c r="BJ116" s="139"/>
      <c r="BK116" s="139"/>
      <c r="BL116" s="139"/>
      <c r="BM116" s="139"/>
      <c r="BN116" s="139"/>
      <c r="BO116" s="139"/>
      <c r="BP116" s="139"/>
      <c r="BQ116" s="139"/>
      <c r="BR116" s="139"/>
      <c r="BS116" s="139"/>
      <c r="BT116" s="139"/>
      <c r="BU116" s="139"/>
      <c r="BV116" s="139"/>
      <c r="BW116" s="139"/>
      <c r="BX116" s="139"/>
      <c r="BY116" s="139"/>
      <c r="BZ116" s="139"/>
      <c r="CA116" s="139"/>
      <c r="CB116" s="139"/>
      <c r="CC116" s="139"/>
      <c r="CD116" s="139"/>
      <c r="CE116" s="139"/>
      <c r="CF116" s="139"/>
      <c r="CG116" s="139"/>
      <c r="CH116" s="139"/>
      <c r="CI116" s="139"/>
      <c r="CJ116" s="139"/>
      <c r="CK116" s="139"/>
      <c r="CL116" s="139"/>
      <c r="CM116" s="139"/>
      <c r="CN116" s="139"/>
      <c r="CO116" s="139"/>
      <c r="CP116" s="139"/>
      <c r="CQ116" s="139"/>
      <c r="CR116" s="139"/>
      <c r="CS116" s="139"/>
    </row>
    <row r="117" spans="1:97" s="140" customFormat="1" ht="15.75" hidden="1" customHeight="1">
      <c r="A117" s="138"/>
      <c r="B117" s="138"/>
      <c r="C117" s="190">
        <v>83</v>
      </c>
      <c r="D117" s="314" t="e">
        <f>IF(VLOOKUP(C117,PROPONENTES!$B$19:$E$218,2,FALSE)="","",VLOOKUP(C117,PROPONENTES!$B$19:$E$218,2,FALSE))</f>
        <v>#N/A</v>
      </c>
      <c r="E117" s="186" t="e">
        <f>IF(D117="","",IF(D117-INT(D117)&gt;1,"",VLOOKUP(D117,PROPONENTES!$C$19:$D$218,2,FALSE)))</f>
        <v>#N/A</v>
      </c>
      <c r="F117" s="487"/>
      <c r="G117" s="187"/>
      <c r="H117" s="139"/>
      <c r="I117" s="139"/>
      <c r="J117" s="139"/>
      <c r="K117" s="139"/>
      <c r="L117" s="139"/>
      <c r="M117" s="139"/>
      <c r="N117" s="139"/>
      <c r="O117" s="139"/>
      <c r="P117" s="139"/>
      <c r="Q117" s="139"/>
      <c r="R117" s="139"/>
      <c r="S117" s="139"/>
      <c r="T117" s="139"/>
      <c r="U117" s="139"/>
      <c r="V117" s="139"/>
      <c r="W117" s="139"/>
      <c r="X117" s="139"/>
      <c r="Y117" s="139"/>
      <c r="Z117" s="139"/>
      <c r="AA117" s="139"/>
      <c r="AB117" s="139"/>
      <c r="AC117" s="139"/>
      <c r="AD117" s="139"/>
      <c r="AE117" s="139"/>
      <c r="AF117" s="139"/>
      <c r="AG117" s="139"/>
      <c r="AH117" s="139"/>
      <c r="AI117" s="139"/>
      <c r="AJ117" s="139"/>
      <c r="AK117" s="139"/>
      <c r="AL117" s="139"/>
      <c r="AM117" s="139"/>
      <c r="AN117" s="139"/>
      <c r="AO117" s="139"/>
      <c r="AP117" s="139"/>
      <c r="AQ117" s="139"/>
      <c r="AR117" s="139"/>
      <c r="AS117" s="139"/>
      <c r="AT117" s="139"/>
      <c r="AU117" s="139"/>
      <c r="AV117" s="139"/>
      <c r="AW117" s="139"/>
      <c r="AX117" s="139"/>
      <c r="AY117" s="139"/>
      <c r="AZ117" s="139"/>
      <c r="BA117" s="139"/>
      <c r="BB117" s="139"/>
      <c r="BC117" s="139"/>
      <c r="BD117" s="139"/>
      <c r="BE117" s="139"/>
      <c r="BF117" s="139"/>
      <c r="BG117" s="139"/>
      <c r="BH117" s="139"/>
      <c r="BI117" s="139"/>
      <c r="BJ117" s="139"/>
      <c r="BK117" s="139"/>
      <c r="BL117" s="139"/>
      <c r="BM117" s="139"/>
      <c r="BN117" s="139"/>
      <c r="BO117" s="139"/>
      <c r="BP117" s="139"/>
      <c r="BQ117" s="139"/>
      <c r="BR117" s="139"/>
      <c r="BS117" s="139"/>
      <c r="BT117" s="139"/>
      <c r="BU117" s="139"/>
      <c r="BV117" s="139"/>
      <c r="BW117" s="139"/>
      <c r="BX117" s="139"/>
      <c r="BY117" s="139"/>
      <c r="BZ117" s="139"/>
      <c r="CA117" s="139"/>
      <c r="CB117" s="139"/>
      <c r="CC117" s="139"/>
      <c r="CD117" s="139"/>
      <c r="CE117" s="139"/>
      <c r="CF117" s="139"/>
      <c r="CG117" s="139"/>
      <c r="CH117" s="139"/>
      <c r="CI117" s="139"/>
      <c r="CJ117" s="139"/>
      <c r="CK117" s="139"/>
      <c r="CL117" s="139"/>
      <c r="CM117" s="139"/>
      <c r="CN117" s="139"/>
      <c r="CO117" s="139"/>
      <c r="CP117" s="139"/>
      <c r="CQ117" s="139"/>
      <c r="CR117" s="139"/>
      <c r="CS117" s="139"/>
    </row>
    <row r="118" spans="1:97" s="140" customFormat="1" ht="15.75" hidden="1" customHeight="1">
      <c r="A118" s="138"/>
      <c r="B118" s="138"/>
      <c r="C118" s="190">
        <v>84</v>
      </c>
      <c r="D118" s="314" t="e">
        <f>IF(VLOOKUP(C118,PROPONENTES!$B$19:$E$218,2,FALSE)="","",VLOOKUP(C118,PROPONENTES!$B$19:$E$218,2,FALSE))</f>
        <v>#N/A</v>
      </c>
      <c r="E118" s="186" t="e">
        <f>IF(D118="","",IF(D118-INT(D118)&gt;1,"",VLOOKUP(D118,PROPONENTES!$C$19:$D$218,2,FALSE)))</f>
        <v>#N/A</v>
      </c>
      <c r="F118" s="487"/>
      <c r="G118" s="187"/>
      <c r="H118" s="139"/>
      <c r="I118" s="139"/>
      <c r="J118" s="139"/>
      <c r="K118" s="139"/>
      <c r="L118" s="139"/>
      <c r="M118" s="139"/>
      <c r="N118" s="139"/>
      <c r="O118" s="139"/>
      <c r="P118" s="139"/>
      <c r="Q118" s="139"/>
      <c r="R118" s="139"/>
      <c r="S118" s="139"/>
      <c r="T118" s="139"/>
      <c r="U118" s="139"/>
      <c r="V118" s="139"/>
      <c r="W118" s="139"/>
      <c r="X118" s="139"/>
      <c r="Y118" s="139"/>
      <c r="Z118" s="139"/>
      <c r="AA118" s="139"/>
      <c r="AB118" s="139"/>
      <c r="AC118" s="139"/>
      <c r="AD118" s="139"/>
      <c r="AE118" s="139"/>
      <c r="AF118" s="139"/>
      <c r="AG118" s="139"/>
      <c r="AH118" s="139"/>
      <c r="AI118" s="139"/>
      <c r="AJ118" s="139"/>
      <c r="AK118" s="139"/>
      <c r="AL118" s="139"/>
      <c r="AM118" s="139"/>
      <c r="AN118" s="139"/>
      <c r="AO118" s="139"/>
      <c r="AP118" s="139"/>
      <c r="AQ118" s="139"/>
      <c r="AR118" s="139"/>
      <c r="AS118" s="139"/>
      <c r="AT118" s="139"/>
      <c r="AU118" s="139"/>
      <c r="AV118" s="139"/>
      <c r="AW118" s="139"/>
      <c r="AX118" s="139"/>
      <c r="AY118" s="139"/>
      <c r="AZ118" s="139"/>
      <c r="BA118" s="139"/>
      <c r="BB118" s="139"/>
      <c r="BC118" s="139"/>
      <c r="BD118" s="139"/>
      <c r="BE118" s="139"/>
      <c r="BF118" s="139"/>
      <c r="BG118" s="139"/>
      <c r="BH118" s="139"/>
      <c r="BI118" s="139"/>
      <c r="BJ118" s="139"/>
      <c r="BK118" s="139"/>
      <c r="BL118" s="139"/>
      <c r="BM118" s="139"/>
      <c r="BN118" s="139"/>
      <c r="BO118" s="139"/>
      <c r="BP118" s="139"/>
      <c r="BQ118" s="139"/>
      <c r="BR118" s="139"/>
      <c r="BS118" s="139"/>
      <c r="BT118" s="139"/>
      <c r="BU118" s="139"/>
      <c r="BV118" s="139"/>
      <c r="BW118" s="139"/>
      <c r="BX118" s="139"/>
      <c r="BY118" s="139"/>
      <c r="BZ118" s="139"/>
      <c r="CA118" s="139"/>
      <c r="CB118" s="139"/>
      <c r="CC118" s="139"/>
      <c r="CD118" s="139"/>
      <c r="CE118" s="139"/>
      <c r="CF118" s="139"/>
      <c r="CG118" s="139"/>
      <c r="CH118" s="139"/>
      <c r="CI118" s="139"/>
      <c r="CJ118" s="139"/>
      <c r="CK118" s="139"/>
      <c r="CL118" s="139"/>
      <c r="CM118" s="139"/>
      <c r="CN118" s="139"/>
      <c r="CO118" s="139"/>
      <c r="CP118" s="139"/>
      <c r="CQ118" s="139"/>
      <c r="CR118" s="139"/>
      <c r="CS118" s="139"/>
    </row>
    <row r="119" spans="1:97" s="140" customFormat="1" ht="15.75" hidden="1" customHeight="1">
      <c r="A119" s="138"/>
      <c r="B119" s="138"/>
      <c r="C119" s="190">
        <v>85</v>
      </c>
      <c r="D119" s="314" t="e">
        <f>IF(VLOOKUP(C119,PROPONENTES!$B$19:$E$218,2,FALSE)="","",VLOOKUP(C119,PROPONENTES!$B$19:$E$218,2,FALSE))</f>
        <v>#N/A</v>
      </c>
      <c r="E119" s="186" t="e">
        <f>IF(D119="","",IF(D119-INT(D119)&gt;1,"",VLOOKUP(D119,PROPONENTES!$C$19:$D$218,2,FALSE)))</f>
        <v>#N/A</v>
      </c>
      <c r="F119" s="487"/>
      <c r="G119" s="187"/>
      <c r="H119" s="139"/>
      <c r="I119" s="139"/>
      <c r="J119" s="139"/>
      <c r="K119" s="139"/>
      <c r="L119" s="139"/>
      <c r="M119" s="139"/>
      <c r="N119" s="139"/>
      <c r="O119" s="139"/>
      <c r="P119" s="139"/>
      <c r="Q119" s="139"/>
      <c r="R119" s="139"/>
      <c r="S119" s="139"/>
      <c r="T119" s="139"/>
      <c r="U119" s="139"/>
      <c r="V119" s="139"/>
      <c r="W119" s="139"/>
      <c r="X119" s="139"/>
      <c r="Y119" s="139"/>
      <c r="Z119" s="139"/>
      <c r="AA119" s="139"/>
      <c r="AB119" s="139"/>
      <c r="AC119" s="139"/>
      <c r="AD119" s="139"/>
      <c r="AE119" s="139"/>
      <c r="AF119" s="139"/>
      <c r="AG119" s="139"/>
      <c r="AH119" s="139"/>
      <c r="AI119" s="139"/>
      <c r="AJ119" s="139"/>
      <c r="AK119" s="139"/>
      <c r="AL119" s="139"/>
      <c r="AM119" s="139"/>
      <c r="AN119" s="139"/>
      <c r="AO119" s="139"/>
      <c r="AP119" s="139"/>
      <c r="AQ119" s="139"/>
      <c r="AR119" s="139"/>
      <c r="AS119" s="139"/>
      <c r="AT119" s="139"/>
      <c r="AU119" s="139"/>
      <c r="AV119" s="139"/>
      <c r="AW119" s="139"/>
      <c r="AX119" s="139"/>
      <c r="AY119" s="139"/>
      <c r="AZ119" s="139"/>
      <c r="BA119" s="139"/>
      <c r="BB119" s="139"/>
      <c r="BC119" s="139"/>
      <c r="BD119" s="139"/>
      <c r="BE119" s="139"/>
      <c r="BF119" s="139"/>
      <c r="BG119" s="139"/>
      <c r="BH119" s="139"/>
      <c r="BI119" s="139"/>
      <c r="BJ119" s="139"/>
      <c r="BK119" s="139"/>
      <c r="BL119" s="139"/>
      <c r="BM119" s="139"/>
      <c r="BN119" s="139"/>
      <c r="BO119" s="139"/>
      <c r="BP119" s="139"/>
      <c r="BQ119" s="139"/>
      <c r="BR119" s="139"/>
      <c r="BS119" s="139"/>
      <c r="BT119" s="139"/>
      <c r="BU119" s="139"/>
      <c r="BV119" s="139"/>
      <c r="BW119" s="139"/>
      <c r="BX119" s="139"/>
      <c r="BY119" s="139"/>
      <c r="BZ119" s="139"/>
      <c r="CA119" s="139"/>
      <c r="CB119" s="139"/>
      <c r="CC119" s="139"/>
      <c r="CD119" s="139"/>
      <c r="CE119" s="139"/>
      <c r="CF119" s="139"/>
      <c r="CG119" s="139"/>
      <c r="CH119" s="139"/>
      <c r="CI119" s="139"/>
      <c r="CJ119" s="139"/>
      <c r="CK119" s="139"/>
      <c r="CL119" s="139"/>
      <c r="CM119" s="139"/>
      <c r="CN119" s="139"/>
      <c r="CO119" s="139"/>
      <c r="CP119" s="139"/>
      <c r="CQ119" s="139"/>
      <c r="CR119" s="139"/>
      <c r="CS119" s="139"/>
    </row>
    <row r="120" spans="1:97" s="140" customFormat="1" ht="15.75" hidden="1" customHeight="1">
      <c r="A120" s="138"/>
      <c r="B120" s="138"/>
      <c r="C120" s="190">
        <v>86</v>
      </c>
      <c r="D120" s="314" t="e">
        <f>IF(VLOOKUP(C120,PROPONENTES!$B$19:$E$218,2,FALSE)="","",VLOOKUP(C120,PROPONENTES!$B$19:$E$218,2,FALSE))</f>
        <v>#N/A</v>
      </c>
      <c r="E120" s="186" t="e">
        <f>IF(D120="","",IF(D120-INT(D120)&gt;1,"",VLOOKUP(D120,PROPONENTES!$C$19:$D$218,2,FALSE)))</f>
        <v>#N/A</v>
      </c>
      <c r="F120" s="487"/>
      <c r="G120" s="187"/>
      <c r="H120" s="139"/>
      <c r="I120" s="139"/>
      <c r="J120" s="139"/>
      <c r="K120" s="139"/>
      <c r="L120" s="139"/>
      <c r="M120" s="139"/>
      <c r="N120" s="139"/>
      <c r="O120" s="139"/>
      <c r="P120" s="139"/>
      <c r="Q120" s="139"/>
      <c r="R120" s="139"/>
      <c r="S120" s="139"/>
      <c r="T120" s="139"/>
      <c r="U120" s="139"/>
      <c r="V120" s="139"/>
      <c r="W120" s="139"/>
      <c r="X120" s="139"/>
      <c r="Y120" s="139"/>
      <c r="Z120" s="139"/>
      <c r="AA120" s="139"/>
      <c r="AB120" s="139"/>
      <c r="AC120" s="139"/>
      <c r="AD120" s="139"/>
      <c r="AE120" s="139"/>
      <c r="AF120" s="139"/>
      <c r="AG120" s="139"/>
      <c r="AH120" s="139"/>
      <c r="AI120" s="139"/>
      <c r="AJ120" s="139"/>
      <c r="AK120" s="139"/>
      <c r="AL120" s="139"/>
      <c r="AM120" s="139"/>
      <c r="AN120" s="139"/>
      <c r="AO120" s="139"/>
      <c r="AP120" s="139"/>
      <c r="AQ120" s="139"/>
      <c r="AR120" s="139"/>
      <c r="AS120" s="139"/>
      <c r="AT120" s="139"/>
      <c r="AU120" s="139"/>
      <c r="AV120" s="139"/>
      <c r="AW120" s="139"/>
      <c r="AX120" s="139"/>
      <c r="AY120" s="139"/>
      <c r="AZ120" s="139"/>
      <c r="BA120" s="139"/>
      <c r="BB120" s="139"/>
      <c r="BC120" s="139"/>
      <c r="BD120" s="139"/>
      <c r="BE120" s="139"/>
      <c r="BF120" s="139"/>
      <c r="BG120" s="139"/>
      <c r="BH120" s="139"/>
      <c r="BI120" s="139"/>
      <c r="BJ120" s="139"/>
      <c r="BK120" s="139"/>
      <c r="BL120" s="139"/>
      <c r="BM120" s="139"/>
      <c r="BN120" s="139"/>
      <c r="BO120" s="139"/>
      <c r="BP120" s="139"/>
      <c r="BQ120" s="139"/>
      <c r="BR120" s="139"/>
      <c r="BS120" s="139"/>
      <c r="BT120" s="139"/>
      <c r="BU120" s="139"/>
      <c r="BV120" s="139"/>
      <c r="BW120" s="139"/>
      <c r="BX120" s="139"/>
      <c r="BY120" s="139"/>
      <c r="BZ120" s="139"/>
      <c r="CA120" s="139"/>
      <c r="CB120" s="139"/>
      <c r="CC120" s="139"/>
      <c r="CD120" s="139"/>
      <c r="CE120" s="139"/>
      <c r="CF120" s="139"/>
      <c r="CG120" s="139"/>
      <c r="CH120" s="139"/>
      <c r="CI120" s="139"/>
      <c r="CJ120" s="139"/>
      <c r="CK120" s="139"/>
      <c r="CL120" s="139"/>
      <c r="CM120" s="139"/>
      <c r="CN120" s="139"/>
      <c r="CO120" s="139"/>
      <c r="CP120" s="139"/>
      <c r="CQ120" s="139"/>
      <c r="CR120" s="139"/>
      <c r="CS120" s="139"/>
    </row>
    <row r="121" spans="1:97" s="140" customFormat="1" ht="15.75" hidden="1" customHeight="1">
      <c r="A121" s="138"/>
      <c r="B121" s="138"/>
      <c r="C121" s="190">
        <v>87</v>
      </c>
      <c r="D121" s="314" t="e">
        <f>IF(VLOOKUP(C121,PROPONENTES!$B$19:$E$218,2,FALSE)="","",VLOOKUP(C121,PROPONENTES!$B$19:$E$218,2,FALSE))</f>
        <v>#N/A</v>
      </c>
      <c r="E121" s="186" t="e">
        <f>IF(D121="","",IF(D121-INT(D121)&gt;1,"",VLOOKUP(D121,PROPONENTES!$C$19:$D$218,2,FALSE)))</f>
        <v>#N/A</v>
      </c>
      <c r="F121" s="487"/>
      <c r="G121" s="187"/>
      <c r="H121" s="139"/>
      <c r="I121" s="139"/>
      <c r="J121" s="139"/>
      <c r="K121" s="139"/>
      <c r="L121" s="139"/>
      <c r="M121" s="139"/>
      <c r="N121" s="139"/>
      <c r="O121" s="139"/>
      <c r="P121" s="139"/>
      <c r="Q121" s="139"/>
      <c r="R121" s="139"/>
      <c r="S121" s="139"/>
      <c r="T121" s="139"/>
      <c r="U121" s="139"/>
      <c r="V121" s="139"/>
      <c r="W121" s="139"/>
      <c r="X121" s="139"/>
      <c r="Y121" s="139"/>
      <c r="Z121" s="139"/>
      <c r="AA121" s="139"/>
      <c r="AB121" s="139"/>
      <c r="AC121" s="139"/>
      <c r="AD121" s="139"/>
      <c r="AE121" s="139"/>
      <c r="AF121" s="139"/>
      <c r="AG121" s="139"/>
      <c r="AH121" s="139"/>
      <c r="AI121" s="139"/>
      <c r="AJ121" s="139"/>
      <c r="AK121" s="139"/>
      <c r="AL121" s="139"/>
      <c r="AM121" s="139"/>
      <c r="AN121" s="139"/>
      <c r="AO121" s="139"/>
      <c r="AP121" s="139"/>
      <c r="AQ121" s="139"/>
      <c r="AR121" s="139"/>
      <c r="AS121" s="139"/>
      <c r="AT121" s="139"/>
      <c r="AU121" s="139"/>
      <c r="AV121" s="139"/>
      <c r="AW121" s="139"/>
      <c r="AX121" s="139"/>
      <c r="AY121" s="139"/>
      <c r="AZ121" s="139"/>
      <c r="BA121" s="139"/>
      <c r="BB121" s="139"/>
      <c r="BC121" s="139"/>
      <c r="BD121" s="139"/>
      <c r="BE121" s="139"/>
      <c r="BF121" s="139"/>
      <c r="BG121" s="139"/>
      <c r="BH121" s="139"/>
      <c r="BI121" s="139"/>
      <c r="BJ121" s="139"/>
      <c r="BK121" s="139"/>
      <c r="BL121" s="139"/>
      <c r="BM121" s="139"/>
      <c r="BN121" s="139"/>
      <c r="BO121" s="139"/>
      <c r="BP121" s="139"/>
      <c r="BQ121" s="139"/>
      <c r="BR121" s="139"/>
      <c r="BS121" s="139"/>
      <c r="BT121" s="139"/>
      <c r="BU121" s="139"/>
      <c r="BV121" s="139"/>
      <c r="BW121" s="139"/>
      <c r="BX121" s="139"/>
      <c r="BY121" s="139"/>
      <c r="BZ121" s="139"/>
      <c r="CA121" s="139"/>
      <c r="CB121" s="139"/>
      <c r="CC121" s="139"/>
      <c r="CD121" s="139"/>
      <c r="CE121" s="139"/>
      <c r="CF121" s="139"/>
      <c r="CG121" s="139"/>
      <c r="CH121" s="139"/>
      <c r="CI121" s="139"/>
      <c r="CJ121" s="139"/>
      <c r="CK121" s="139"/>
      <c r="CL121" s="139"/>
      <c r="CM121" s="139"/>
      <c r="CN121" s="139"/>
      <c r="CO121" s="139"/>
      <c r="CP121" s="139"/>
      <c r="CQ121" s="139"/>
      <c r="CR121" s="139"/>
      <c r="CS121" s="139"/>
    </row>
    <row r="122" spans="1:97" s="140" customFormat="1" ht="15.75" hidden="1" customHeight="1">
      <c r="A122" s="138"/>
      <c r="B122" s="138"/>
      <c r="C122" s="190">
        <v>88</v>
      </c>
      <c r="D122" s="314" t="e">
        <f>IF(VLOOKUP(C122,PROPONENTES!$B$19:$E$218,2,FALSE)="","",VLOOKUP(C122,PROPONENTES!$B$19:$E$218,2,FALSE))</f>
        <v>#N/A</v>
      </c>
      <c r="E122" s="186" t="e">
        <f>IF(D122="","",IF(D122-INT(D122)&gt;1,"",VLOOKUP(D122,PROPONENTES!$C$19:$D$218,2,FALSE)))</f>
        <v>#N/A</v>
      </c>
      <c r="F122" s="487"/>
      <c r="G122" s="187"/>
      <c r="H122" s="139"/>
      <c r="I122" s="139"/>
      <c r="J122" s="139"/>
      <c r="K122" s="139"/>
      <c r="L122" s="139"/>
      <c r="M122" s="139"/>
      <c r="N122" s="139"/>
      <c r="O122" s="139"/>
      <c r="P122" s="139"/>
      <c r="Q122" s="139"/>
      <c r="R122" s="139"/>
      <c r="S122" s="139"/>
      <c r="T122" s="139"/>
      <c r="U122" s="139"/>
      <c r="V122" s="139"/>
      <c r="W122" s="139"/>
      <c r="X122" s="139"/>
      <c r="Y122" s="139"/>
      <c r="Z122" s="139"/>
      <c r="AA122" s="139"/>
      <c r="AB122" s="139"/>
      <c r="AC122" s="139"/>
      <c r="AD122" s="139"/>
      <c r="AE122" s="139"/>
      <c r="AF122" s="139"/>
      <c r="AG122" s="139"/>
      <c r="AH122" s="139"/>
      <c r="AI122" s="139"/>
      <c r="AJ122" s="139"/>
      <c r="AK122" s="139"/>
      <c r="AL122" s="139"/>
      <c r="AM122" s="139"/>
      <c r="AN122" s="139"/>
      <c r="AO122" s="139"/>
      <c r="AP122" s="139"/>
      <c r="AQ122" s="139"/>
      <c r="AR122" s="139"/>
      <c r="AS122" s="139"/>
      <c r="AT122" s="139"/>
      <c r="AU122" s="139"/>
      <c r="AV122" s="139"/>
      <c r="AW122" s="139"/>
      <c r="AX122" s="139"/>
      <c r="AY122" s="139"/>
      <c r="AZ122" s="139"/>
      <c r="BA122" s="139"/>
      <c r="BB122" s="139"/>
      <c r="BC122" s="139"/>
      <c r="BD122" s="139"/>
      <c r="BE122" s="139"/>
      <c r="BF122" s="139"/>
      <c r="BG122" s="139"/>
      <c r="BH122" s="139"/>
      <c r="BI122" s="139"/>
      <c r="BJ122" s="139"/>
      <c r="BK122" s="139"/>
      <c r="BL122" s="139"/>
      <c r="BM122" s="139"/>
      <c r="BN122" s="139"/>
      <c r="BO122" s="139"/>
      <c r="BP122" s="139"/>
      <c r="BQ122" s="139"/>
      <c r="BR122" s="139"/>
      <c r="BS122" s="139"/>
      <c r="BT122" s="139"/>
      <c r="BU122" s="139"/>
      <c r="BV122" s="139"/>
      <c r="BW122" s="139"/>
      <c r="BX122" s="139"/>
      <c r="BY122" s="139"/>
      <c r="BZ122" s="139"/>
      <c r="CA122" s="139"/>
      <c r="CB122" s="139"/>
      <c r="CC122" s="139"/>
      <c r="CD122" s="139"/>
      <c r="CE122" s="139"/>
      <c r="CF122" s="139"/>
      <c r="CG122" s="139"/>
      <c r="CH122" s="139"/>
      <c r="CI122" s="139"/>
      <c r="CJ122" s="139"/>
      <c r="CK122" s="139"/>
      <c r="CL122" s="139"/>
      <c r="CM122" s="139"/>
      <c r="CN122" s="139"/>
      <c r="CO122" s="139"/>
      <c r="CP122" s="139"/>
      <c r="CQ122" s="139"/>
      <c r="CR122" s="139"/>
      <c r="CS122" s="139"/>
    </row>
    <row r="123" spans="1:97" s="140" customFormat="1" ht="15.75" hidden="1" customHeight="1">
      <c r="A123" s="138"/>
      <c r="B123" s="138"/>
      <c r="C123" s="190">
        <v>89</v>
      </c>
      <c r="D123" s="314" t="e">
        <f>IF(VLOOKUP(C123,PROPONENTES!$B$19:$E$218,2,FALSE)="","",VLOOKUP(C123,PROPONENTES!$B$19:$E$218,2,FALSE))</f>
        <v>#N/A</v>
      </c>
      <c r="E123" s="186" t="e">
        <f>IF(D123="","",IF(D123-INT(D123)&gt;1,"",VLOOKUP(D123,PROPONENTES!$C$19:$D$218,2,FALSE)))</f>
        <v>#N/A</v>
      </c>
      <c r="F123" s="487"/>
      <c r="G123" s="187"/>
      <c r="H123" s="139"/>
      <c r="I123" s="139"/>
      <c r="J123" s="139"/>
      <c r="K123" s="139"/>
      <c r="L123" s="139"/>
      <c r="M123" s="139"/>
      <c r="N123" s="139"/>
      <c r="O123" s="139"/>
      <c r="P123" s="139"/>
      <c r="Q123" s="139"/>
      <c r="R123" s="139"/>
      <c r="S123" s="139"/>
      <c r="T123" s="139"/>
      <c r="U123" s="139"/>
      <c r="V123" s="139"/>
      <c r="W123" s="139"/>
      <c r="X123" s="139"/>
      <c r="Y123" s="139"/>
      <c r="Z123" s="139"/>
      <c r="AA123" s="139"/>
      <c r="AB123" s="139"/>
      <c r="AC123" s="139"/>
      <c r="AD123" s="139"/>
      <c r="AE123" s="139"/>
      <c r="AF123" s="139"/>
      <c r="AG123" s="139"/>
      <c r="AH123" s="139"/>
      <c r="AI123" s="139"/>
      <c r="AJ123" s="139"/>
      <c r="AK123" s="139"/>
      <c r="AL123" s="139"/>
      <c r="AM123" s="139"/>
      <c r="AN123" s="139"/>
      <c r="AO123" s="139"/>
      <c r="AP123" s="139"/>
      <c r="AQ123" s="139"/>
      <c r="AR123" s="139"/>
      <c r="AS123" s="139"/>
      <c r="AT123" s="139"/>
      <c r="AU123" s="139"/>
      <c r="AV123" s="139"/>
      <c r="AW123" s="139"/>
      <c r="AX123" s="139"/>
      <c r="AY123" s="139"/>
      <c r="AZ123" s="139"/>
      <c r="BA123" s="139"/>
      <c r="BB123" s="139"/>
      <c r="BC123" s="139"/>
      <c r="BD123" s="139"/>
      <c r="BE123" s="139"/>
      <c r="BF123" s="139"/>
      <c r="BG123" s="139"/>
      <c r="BH123" s="139"/>
      <c r="BI123" s="139"/>
      <c r="BJ123" s="139"/>
      <c r="BK123" s="139"/>
      <c r="BL123" s="139"/>
      <c r="BM123" s="139"/>
      <c r="BN123" s="139"/>
      <c r="BO123" s="139"/>
      <c r="BP123" s="139"/>
      <c r="BQ123" s="139"/>
      <c r="BR123" s="139"/>
      <c r="BS123" s="139"/>
      <c r="BT123" s="139"/>
      <c r="BU123" s="139"/>
      <c r="BV123" s="139"/>
      <c r="BW123" s="139"/>
      <c r="BX123" s="139"/>
      <c r="BY123" s="139"/>
      <c r="BZ123" s="139"/>
      <c r="CA123" s="139"/>
      <c r="CB123" s="139"/>
      <c r="CC123" s="139"/>
      <c r="CD123" s="139"/>
      <c r="CE123" s="139"/>
      <c r="CF123" s="139"/>
      <c r="CG123" s="139"/>
      <c r="CH123" s="139"/>
      <c r="CI123" s="139"/>
      <c r="CJ123" s="139"/>
      <c r="CK123" s="139"/>
      <c r="CL123" s="139"/>
      <c r="CM123" s="139"/>
      <c r="CN123" s="139"/>
      <c r="CO123" s="139"/>
      <c r="CP123" s="139"/>
      <c r="CQ123" s="139"/>
      <c r="CR123" s="139"/>
      <c r="CS123" s="139"/>
    </row>
    <row r="124" spans="1:97" s="140" customFormat="1" ht="15.75" hidden="1" customHeight="1">
      <c r="A124" s="138"/>
      <c r="B124" s="138"/>
      <c r="C124" s="190">
        <v>90</v>
      </c>
      <c r="D124" s="314" t="e">
        <f>IF(VLOOKUP(C124,PROPONENTES!$B$19:$E$218,2,FALSE)="","",VLOOKUP(C124,PROPONENTES!$B$19:$E$218,2,FALSE))</f>
        <v>#N/A</v>
      </c>
      <c r="E124" s="186" t="e">
        <f>IF(D124="","",IF(D124-INT(D124)&gt;1,"",VLOOKUP(D124,PROPONENTES!$C$19:$D$218,2,FALSE)))</f>
        <v>#N/A</v>
      </c>
      <c r="F124" s="487"/>
      <c r="G124" s="187"/>
      <c r="H124" s="139"/>
      <c r="I124" s="139"/>
      <c r="J124" s="139"/>
      <c r="K124" s="139"/>
      <c r="L124" s="139"/>
      <c r="M124" s="139"/>
      <c r="N124" s="139"/>
      <c r="O124" s="139"/>
      <c r="P124" s="139"/>
      <c r="Q124" s="139"/>
      <c r="R124" s="139"/>
      <c r="S124" s="139"/>
      <c r="T124" s="139"/>
      <c r="U124" s="139"/>
      <c r="V124" s="139"/>
      <c r="W124" s="139"/>
      <c r="X124" s="139"/>
      <c r="Y124" s="139"/>
      <c r="Z124" s="139"/>
      <c r="AA124" s="139"/>
      <c r="AB124" s="139"/>
      <c r="AC124" s="139"/>
      <c r="AD124" s="139"/>
      <c r="AE124" s="139"/>
      <c r="AF124" s="139"/>
      <c r="AG124" s="139"/>
      <c r="AH124" s="139"/>
      <c r="AI124" s="139"/>
      <c r="AJ124" s="139"/>
      <c r="AK124" s="139"/>
      <c r="AL124" s="139"/>
      <c r="AM124" s="139"/>
      <c r="AN124" s="139"/>
      <c r="AO124" s="139"/>
      <c r="AP124" s="139"/>
      <c r="AQ124" s="139"/>
      <c r="AR124" s="139"/>
      <c r="AS124" s="139"/>
      <c r="AT124" s="139"/>
      <c r="AU124" s="139"/>
      <c r="AV124" s="139"/>
      <c r="AW124" s="139"/>
      <c r="AX124" s="139"/>
      <c r="AY124" s="139"/>
      <c r="AZ124" s="139"/>
      <c r="BA124" s="139"/>
      <c r="BB124" s="139"/>
      <c r="BC124" s="139"/>
      <c r="BD124" s="139"/>
      <c r="BE124" s="139"/>
      <c r="BF124" s="139"/>
      <c r="BG124" s="139"/>
      <c r="BH124" s="139"/>
      <c r="BI124" s="139"/>
      <c r="BJ124" s="139"/>
      <c r="BK124" s="139"/>
      <c r="BL124" s="139"/>
      <c r="BM124" s="139"/>
      <c r="BN124" s="139"/>
      <c r="BO124" s="139"/>
      <c r="BP124" s="139"/>
      <c r="BQ124" s="139"/>
      <c r="BR124" s="139"/>
      <c r="BS124" s="139"/>
      <c r="BT124" s="139"/>
      <c r="BU124" s="139"/>
      <c r="BV124" s="139"/>
      <c r="BW124" s="139"/>
      <c r="BX124" s="139"/>
      <c r="BY124" s="139"/>
      <c r="BZ124" s="139"/>
      <c r="CA124" s="139"/>
      <c r="CB124" s="139"/>
      <c r="CC124" s="139"/>
      <c r="CD124" s="139"/>
      <c r="CE124" s="139"/>
      <c r="CF124" s="139"/>
      <c r="CG124" s="139"/>
      <c r="CH124" s="139"/>
      <c r="CI124" s="139"/>
      <c r="CJ124" s="139"/>
      <c r="CK124" s="139"/>
      <c r="CL124" s="139"/>
      <c r="CM124" s="139"/>
      <c r="CN124" s="139"/>
      <c r="CO124" s="139"/>
      <c r="CP124" s="139"/>
      <c r="CQ124" s="139"/>
      <c r="CR124" s="139"/>
      <c r="CS124" s="139"/>
    </row>
    <row r="125" spans="1:97" s="140" customFormat="1" ht="15.75" hidden="1" customHeight="1">
      <c r="A125" s="138"/>
      <c r="B125" s="138"/>
      <c r="C125" s="190">
        <v>91</v>
      </c>
      <c r="D125" s="314" t="e">
        <f>IF(VLOOKUP(C125,PROPONENTES!$B$19:$E$218,2,FALSE)="","",VLOOKUP(C125,PROPONENTES!$B$19:$E$218,2,FALSE))</f>
        <v>#N/A</v>
      </c>
      <c r="E125" s="186" t="e">
        <f>IF(D125="","",IF(D125-INT(D125)&gt;1,"",VLOOKUP(D125,PROPONENTES!$C$19:$D$218,2,FALSE)))</f>
        <v>#N/A</v>
      </c>
      <c r="F125" s="487"/>
      <c r="G125" s="187"/>
      <c r="H125" s="139"/>
      <c r="I125" s="139"/>
      <c r="J125" s="139"/>
      <c r="K125" s="139"/>
      <c r="L125" s="139"/>
      <c r="M125" s="139"/>
      <c r="N125" s="139"/>
      <c r="O125" s="139"/>
      <c r="P125" s="139"/>
      <c r="Q125" s="139"/>
      <c r="R125" s="139"/>
      <c r="S125" s="139"/>
      <c r="T125" s="139"/>
      <c r="U125" s="139"/>
      <c r="V125" s="139"/>
      <c r="W125" s="139"/>
      <c r="X125" s="139"/>
      <c r="Y125" s="139"/>
      <c r="Z125" s="139"/>
      <c r="AA125" s="139"/>
      <c r="AB125" s="139"/>
      <c r="AC125" s="139"/>
      <c r="AD125" s="139"/>
      <c r="AE125" s="139"/>
      <c r="AF125" s="139"/>
      <c r="AG125" s="139"/>
      <c r="AH125" s="139"/>
      <c r="AI125" s="139"/>
      <c r="AJ125" s="139"/>
      <c r="AK125" s="139"/>
      <c r="AL125" s="139"/>
      <c r="AM125" s="139"/>
      <c r="AN125" s="139"/>
      <c r="AO125" s="139"/>
      <c r="AP125" s="139"/>
      <c r="AQ125" s="139"/>
      <c r="AR125" s="139"/>
      <c r="AS125" s="139"/>
      <c r="AT125" s="139"/>
      <c r="AU125" s="139"/>
      <c r="AV125" s="139"/>
      <c r="AW125" s="139"/>
      <c r="AX125" s="139"/>
      <c r="AY125" s="139"/>
      <c r="AZ125" s="139"/>
      <c r="BA125" s="139"/>
      <c r="BB125" s="139"/>
      <c r="BC125" s="139"/>
      <c r="BD125" s="139"/>
      <c r="BE125" s="139"/>
      <c r="BF125" s="139"/>
      <c r="BG125" s="139"/>
      <c r="BH125" s="139"/>
      <c r="BI125" s="139"/>
      <c r="BJ125" s="139"/>
      <c r="BK125" s="139"/>
      <c r="BL125" s="139"/>
      <c r="BM125" s="139"/>
      <c r="BN125" s="139"/>
      <c r="BO125" s="139"/>
      <c r="BP125" s="139"/>
      <c r="BQ125" s="139"/>
      <c r="BR125" s="139"/>
      <c r="BS125" s="139"/>
      <c r="BT125" s="139"/>
      <c r="BU125" s="139"/>
      <c r="BV125" s="139"/>
      <c r="BW125" s="139"/>
      <c r="BX125" s="139"/>
      <c r="BY125" s="139"/>
      <c r="BZ125" s="139"/>
      <c r="CA125" s="139"/>
      <c r="CB125" s="139"/>
      <c r="CC125" s="139"/>
      <c r="CD125" s="139"/>
      <c r="CE125" s="139"/>
      <c r="CF125" s="139"/>
      <c r="CG125" s="139"/>
      <c r="CH125" s="139"/>
      <c r="CI125" s="139"/>
      <c r="CJ125" s="139"/>
      <c r="CK125" s="139"/>
      <c r="CL125" s="139"/>
      <c r="CM125" s="139"/>
      <c r="CN125" s="139"/>
      <c r="CO125" s="139"/>
      <c r="CP125" s="139"/>
      <c r="CQ125" s="139"/>
      <c r="CR125" s="139"/>
      <c r="CS125" s="139"/>
    </row>
    <row r="126" spans="1:97" s="140" customFormat="1" ht="15.75" hidden="1" customHeight="1">
      <c r="A126" s="138"/>
      <c r="B126" s="138"/>
      <c r="C126" s="190">
        <v>92</v>
      </c>
      <c r="D126" s="314" t="e">
        <f>IF(VLOOKUP(C126,PROPONENTES!$B$19:$E$218,2,FALSE)="","",VLOOKUP(C126,PROPONENTES!$B$19:$E$218,2,FALSE))</f>
        <v>#N/A</v>
      </c>
      <c r="E126" s="186" t="e">
        <f>IF(D126="","",IF(D126-INT(D126)&gt;1,"",VLOOKUP(D126,PROPONENTES!$C$19:$D$218,2,FALSE)))</f>
        <v>#N/A</v>
      </c>
      <c r="F126" s="487"/>
      <c r="G126" s="187"/>
      <c r="H126" s="139"/>
      <c r="I126" s="139"/>
      <c r="J126" s="139"/>
      <c r="K126" s="139"/>
      <c r="L126" s="139"/>
      <c r="M126" s="139"/>
      <c r="N126" s="139"/>
      <c r="O126" s="139"/>
      <c r="P126" s="139"/>
      <c r="Q126" s="139"/>
      <c r="R126" s="139"/>
      <c r="S126" s="139"/>
      <c r="T126" s="139"/>
      <c r="U126" s="139"/>
      <c r="V126" s="139"/>
      <c r="W126" s="139"/>
      <c r="X126" s="139"/>
      <c r="Y126" s="139"/>
      <c r="Z126" s="139"/>
      <c r="AA126" s="139"/>
      <c r="AB126" s="139"/>
      <c r="AC126" s="139"/>
      <c r="AD126" s="139"/>
      <c r="AE126" s="139"/>
      <c r="AF126" s="139"/>
      <c r="AG126" s="139"/>
      <c r="AH126" s="139"/>
      <c r="AI126" s="139"/>
      <c r="AJ126" s="139"/>
      <c r="AK126" s="139"/>
      <c r="AL126" s="139"/>
      <c r="AM126" s="139"/>
      <c r="AN126" s="139"/>
      <c r="AO126" s="139"/>
      <c r="AP126" s="139"/>
      <c r="AQ126" s="139"/>
      <c r="AR126" s="139"/>
      <c r="AS126" s="139"/>
      <c r="AT126" s="139"/>
      <c r="AU126" s="139"/>
      <c r="AV126" s="139"/>
      <c r="AW126" s="139"/>
      <c r="AX126" s="139"/>
      <c r="AY126" s="139"/>
      <c r="AZ126" s="139"/>
      <c r="BA126" s="139"/>
      <c r="BB126" s="139"/>
      <c r="BC126" s="139"/>
      <c r="BD126" s="139"/>
      <c r="BE126" s="139"/>
      <c r="BF126" s="139"/>
      <c r="BG126" s="139"/>
      <c r="BH126" s="139"/>
      <c r="BI126" s="139"/>
      <c r="BJ126" s="139"/>
      <c r="BK126" s="139"/>
      <c r="BL126" s="139"/>
      <c r="BM126" s="139"/>
      <c r="BN126" s="139"/>
      <c r="BO126" s="139"/>
      <c r="BP126" s="139"/>
      <c r="BQ126" s="139"/>
      <c r="BR126" s="139"/>
      <c r="BS126" s="139"/>
      <c r="BT126" s="139"/>
      <c r="BU126" s="139"/>
      <c r="BV126" s="139"/>
      <c r="BW126" s="139"/>
      <c r="BX126" s="139"/>
      <c r="BY126" s="139"/>
      <c r="BZ126" s="139"/>
      <c r="CA126" s="139"/>
      <c r="CB126" s="139"/>
      <c r="CC126" s="139"/>
      <c r="CD126" s="139"/>
      <c r="CE126" s="139"/>
      <c r="CF126" s="139"/>
      <c r="CG126" s="139"/>
      <c r="CH126" s="139"/>
      <c r="CI126" s="139"/>
      <c r="CJ126" s="139"/>
      <c r="CK126" s="139"/>
      <c r="CL126" s="139"/>
      <c r="CM126" s="139"/>
      <c r="CN126" s="139"/>
      <c r="CO126" s="139"/>
      <c r="CP126" s="139"/>
      <c r="CQ126" s="139"/>
      <c r="CR126" s="139"/>
      <c r="CS126" s="139"/>
    </row>
    <row r="127" spans="1:97" s="140" customFormat="1" ht="15.75" hidden="1" customHeight="1">
      <c r="A127" s="138"/>
      <c r="B127" s="138"/>
      <c r="C127" s="190">
        <v>93</v>
      </c>
      <c r="D127" s="314" t="e">
        <f>IF(VLOOKUP(C127,PROPONENTES!$B$19:$E$218,2,FALSE)="","",VLOOKUP(C127,PROPONENTES!$B$19:$E$218,2,FALSE))</f>
        <v>#N/A</v>
      </c>
      <c r="E127" s="186" t="e">
        <f>IF(D127="","",IF(D127-INT(D127)&gt;1,"",VLOOKUP(D127,PROPONENTES!$C$19:$D$218,2,FALSE)))</f>
        <v>#N/A</v>
      </c>
      <c r="F127" s="487"/>
      <c r="G127" s="187"/>
      <c r="H127" s="139"/>
      <c r="I127" s="139"/>
      <c r="J127" s="139"/>
      <c r="K127" s="139"/>
      <c r="L127" s="139"/>
      <c r="M127" s="139"/>
      <c r="N127" s="139"/>
      <c r="O127" s="139"/>
      <c r="P127" s="139"/>
      <c r="Q127" s="139"/>
      <c r="R127" s="139"/>
      <c r="S127" s="139"/>
      <c r="T127" s="139"/>
      <c r="U127" s="139"/>
      <c r="V127" s="139"/>
      <c r="W127" s="139"/>
      <c r="X127" s="139"/>
      <c r="Y127" s="139"/>
      <c r="Z127" s="139"/>
      <c r="AA127" s="139"/>
      <c r="AB127" s="139"/>
      <c r="AC127" s="139"/>
      <c r="AD127" s="139"/>
      <c r="AE127" s="139"/>
      <c r="AF127" s="139"/>
      <c r="AG127" s="139"/>
      <c r="AH127" s="139"/>
      <c r="AI127" s="139"/>
      <c r="AJ127" s="139"/>
      <c r="AK127" s="139"/>
      <c r="AL127" s="139"/>
      <c r="AM127" s="139"/>
      <c r="AN127" s="139"/>
      <c r="AO127" s="139"/>
      <c r="AP127" s="139"/>
      <c r="AQ127" s="139"/>
      <c r="AR127" s="139"/>
      <c r="AS127" s="139"/>
      <c r="AT127" s="139"/>
      <c r="AU127" s="139"/>
      <c r="AV127" s="139"/>
      <c r="AW127" s="139"/>
      <c r="AX127" s="139"/>
      <c r="AY127" s="139"/>
      <c r="AZ127" s="139"/>
      <c r="BA127" s="139"/>
      <c r="BB127" s="139"/>
      <c r="BC127" s="139"/>
      <c r="BD127" s="139"/>
      <c r="BE127" s="139"/>
      <c r="BF127" s="139"/>
      <c r="BG127" s="139"/>
      <c r="BH127" s="139"/>
      <c r="BI127" s="139"/>
      <c r="BJ127" s="139"/>
      <c r="BK127" s="139"/>
      <c r="BL127" s="139"/>
      <c r="BM127" s="139"/>
      <c r="BN127" s="139"/>
      <c r="BO127" s="139"/>
      <c r="BP127" s="139"/>
      <c r="BQ127" s="139"/>
      <c r="BR127" s="139"/>
      <c r="BS127" s="139"/>
      <c r="BT127" s="139"/>
      <c r="BU127" s="139"/>
      <c r="BV127" s="139"/>
      <c r="BW127" s="139"/>
      <c r="BX127" s="139"/>
      <c r="BY127" s="139"/>
      <c r="BZ127" s="139"/>
      <c r="CA127" s="139"/>
      <c r="CB127" s="139"/>
      <c r="CC127" s="139"/>
      <c r="CD127" s="139"/>
      <c r="CE127" s="139"/>
      <c r="CF127" s="139"/>
      <c r="CG127" s="139"/>
      <c r="CH127" s="139"/>
      <c r="CI127" s="139"/>
      <c r="CJ127" s="139"/>
      <c r="CK127" s="139"/>
      <c r="CL127" s="139"/>
      <c r="CM127" s="139"/>
      <c r="CN127" s="139"/>
      <c r="CO127" s="139"/>
      <c r="CP127" s="139"/>
      <c r="CQ127" s="139"/>
      <c r="CR127" s="139"/>
      <c r="CS127" s="139"/>
    </row>
    <row r="128" spans="1:97" s="140" customFormat="1" ht="15.75" hidden="1" customHeight="1">
      <c r="A128" s="138"/>
      <c r="B128" s="138"/>
      <c r="C128" s="190">
        <v>94</v>
      </c>
      <c r="D128" s="314" t="e">
        <f>IF(VLOOKUP(C128,PROPONENTES!$B$19:$E$218,2,FALSE)="","",VLOOKUP(C128,PROPONENTES!$B$19:$E$218,2,FALSE))</f>
        <v>#N/A</v>
      </c>
      <c r="E128" s="186" t="e">
        <f>IF(D128="","",IF(D128-INT(D128)&gt;1,"",VLOOKUP(D128,PROPONENTES!$C$19:$D$218,2,FALSE)))</f>
        <v>#N/A</v>
      </c>
      <c r="F128" s="487"/>
      <c r="G128" s="187"/>
      <c r="H128" s="139"/>
      <c r="I128" s="139"/>
      <c r="J128" s="139"/>
      <c r="K128" s="139"/>
      <c r="L128" s="139"/>
      <c r="M128" s="139"/>
      <c r="N128" s="139"/>
      <c r="O128" s="139"/>
      <c r="P128" s="139"/>
      <c r="Q128" s="139"/>
      <c r="R128" s="139"/>
      <c r="S128" s="139"/>
      <c r="T128" s="139"/>
      <c r="U128" s="139"/>
      <c r="V128" s="139"/>
      <c r="W128" s="139"/>
      <c r="X128" s="139"/>
      <c r="Y128" s="139"/>
      <c r="Z128" s="139"/>
      <c r="AA128" s="139"/>
      <c r="AB128" s="139"/>
      <c r="AC128" s="139"/>
      <c r="AD128" s="139"/>
      <c r="AE128" s="139"/>
      <c r="AF128" s="139"/>
      <c r="AG128" s="139"/>
      <c r="AH128" s="139"/>
      <c r="AI128" s="139"/>
      <c r="AJ128" s="139"/>
      <c r="AK128" s="139"/>
      <c r="AL128" s="139"/>
      <c r="AM128" s="139"/>
      <c r="AN128" s="139"/>
      <c r="AO128" s="139"/>
      <c r="AP128" s="139"/>
      <c r="AQ128" s="139"/>
      <c r="AR128" s="139"/>
      <c r="AS128" s="139"/>
      <c r="AT128" s="139"/>
      <c r="AU128" s="139"/>
      <c r="AV128" s="139"/>
      <c r="AW128" s="139"/>
      <c r="AX128" s="139"/>
      <c r="AY128" s="139"/>
      <c r="AZ128" s="139"/>
      <c r="BA128" s="139"/>
      <c r="BB128" s="139"/>
      <c r="BC128" s="139"/>
      <c r="BD128" s="139"/>
      <c r="BE128" s="139"/>
      <c r="BF128" s="139"/>
      <c r="BG128" s="139"/>
      <c r="BH128" s="139"/>
      <c r="BI128" s="139"/>
      <c r="BJ128" s="139"/>
      <c r="BK128" s="139"/>
      <c r="BL128" s="139"/>
      <c r="BM128" s="139"/>
      <c r="BN128" s="139"/>
      <c r="BO128" s="139"/>
      <c r="BP128" s="139"/>
      <c r="BQ128" s="139"/>
      <c r="BR128" s="139"/>
      <c r="BS128" s="139"/>
      <c r="BT128" s="139"/>
      <c r="BU128" s="139"/>
      <c r="BV128" s="139"/>
      <c r="BW128" s="139"/>
      <c r="BX128" s="139"/>
      <c r="BY128" s="139"/>
      <c r="BZ128" s="139"/>
      <c r="CA128" s="139"/>
      <c r="CB128" s="139"/>
      <c r="CC128" s="139"/>
      <c r="CD128" s="139"/>
      <c r="CE128" s="139"/>
      <c r="CF128" s="139"/>
      <c r="CG128" s="139"/>
      <c r="CH128" s="139"/>
      <c r="CI128" s="139"/>
      <c r="CJ128" s="139"/>
      <c r="CK128" s="139"/>
      <c r="CL128" s="139"/>
      <c r="CM128" s="139"/>
      <c r="CN128" s="139"/>
      <c r="CO128" s="139"/>
      <c r="CP128" s="139"/>
      <c r="CQ128" s="139"/>
      <c r="CR128" s="139"/>
      <c r="CS128" s="139"/>
    </row>
    <row r="129" spans="1:97" s="140" customFormat="1" ht="15.75" hidden="1" customHeight="1">
      <c r="A129" s="138"/>
      <c r="B129" s="138"/>
      <c r="C129" s="190">
        <v>95</v>
      </c>
      <c r="D129" s="314" t="e">
        <f>IF(VLOOKUP(C129,PROPONENTES!$B$19:$E$218,2,FALSE)="","",VLOOKUP(C129,PROPONENTES!$B$19:$E$218,2,FALSE))</f>
        <v>#N/A</v>
      </c>
      <c r="E129" s="186" t="e">
        <f>IF(D129="","",IF(D129-INT(D129)&gt;1,"",VLOOKUP(D129,PROPONENTES!$C$19:$D$218,2,FALSE)))</f>
        <v>#N/A</v>
      </c>
      <c r="F129" s="487"/>
      <c r="G129" s="187"/>
      <c r="H129" s="139"/>
      <c r="I129" s="139"/>
      <c r="J129" s="139"/>
      <c r="K129" s="139"/>
      <c r="L129" s="139"/>
      <c r="M129" s="139"/>
      <c r="N129" s="139"/>
      <c r="O129" s="139"/>
      <c r="P129" s="139"/>
      <c r="Q129" s="139"/>
      <c r="R129" s="139"/>
      <c r="S129" s="139"/>
      <c r="T129" s="139"/>
      <c r="U129" s="139"/>
      <c r="V129" s="139"/>
      <c r="W129" s="139"/>
      <c r="X129" s="139"/>
      <c r="Y129" s="139"/>
      <c r="Z129" s="139"/>
      <c r="AA129" s="139"/>
      <c r="AB129" s="139"/>
      <c r="AC129" s="139"/>
      <c r="AD129" s="139"/>
      <c r="AE129" s="139"/>
      <c r="AF129" s="139"/>
      <c r="AG129" s="139"/>
      <c r="AH129" s="139"/>
      <c r="AI129" s="139"/>
      <c r="AJ129" s="139"/>
      <c r="AK129" s="139"/>
      <c r="AL129" s="139"/>
      <c r="AM129" s="139"/>
      <c r="AN129" s="139"/>
      <c r="AO129" s="139"/>
      <c r="AP129" s="139"/>
      <c r="AQ129" s="139"/>
      <c r="AR129" s="139"/>
      <c r="AS129" s="139"/>
      <c r="AT129" s="139"/>
      <c r="AU129" s="139"/>
      <c r="AV129" s="139"/>
      <c r="AW129" s="139"/>
      <c r="AX129" s="139"/>
      <c r="AY129" s="139"/>
      <c r="AZ129" s="139"/>
      <c r="BA129" s="139"/>
      <c r="BB129" s="139"/>
      <c r="BC129" s="139"/>
      <c r="BD129" s="139"/>
      <c r="BE129" s="139"/>
      <c r="BF129" s="139"/>
      <c r="BG129" s="139"/>
      <c r="BH129" s="139"/>
      <c r="BI129" s="139"/>
      <c r="BJ129" s="139"/>
      <c r="BK129" s="139"/>
      <c r="BL129" s="139"/>
      <c r="BM129" s="139"/>
      <c r="BN129" s="139"/>
      <c r="BO129" s="139"/>
      <c r="BP129" s="139"/>
      <c r="BQ129" s="139"/>
      <c r="BR129" s="139"/>
      <c r="BS129" s="139"/>
      <c r="BT129" s="139"/>
      <c r="BU129" s="139"/>
      <c r="BV129" s="139"/>
      <c r="BW129" s="139"/>
      <c r="BX129" s="139"/>
      <c r="BY129" s="139"/>
      <c r="BZ129" s="139"/>
      <c r="CA129" s="139"/>
      <c r="CB129" s="139"/>
      <c r="CC129" s="139"/>
      <c r="CD129" s="139"/>
      <c r="CE129" s="139"/>
      <c r="CF129" s="139"/>
      <c r="CG129" s="139"/>
      <c r="CH129" s="139"/>
      <c r="CI129" s="139"/>
      <c r="CJ129" s="139"/>
      <c r="CK129" s="139"/>
      <c r="CL129" s="139"/>
      <c r="CM129" s="139"/>
      <c r="CN129" s="139"/>
      <c r="CO129" s="139"/>
      <c r="CP129" s="139"/>
      <c r="CQ129" s="139"/>
      <c r="CR129" s="139"/>
      <c r="CS129" s="139"/>
    </row>
    <row r="130" spans="1:97" s="140" customFormat="1" ht="15.75" hidden="1" customHeight="1">
      <c r="A130" s="138"/>
      <c r="B130" s="138"/>
      <c r="C130" s="190">
        <v>96</v>
      </c>
      <c r="D130" s="314" t="e">
        <f>IF(VLOOKUP(C130,PROPONENTES!$B$19:$E$218,2,FALSE)="","",VLOOKUP(C130,PROPONENTES!$B$19:$E$218,2,FALSE))</f>
        <v>#N/A</v>
      </c>
      <c r="E130" s="186" t="e">
        <f>IF(D130="","",IF(D130-INT(D130)&gt;1,"",VLOOKUP(D130,PROPONENTES!$C$19:$D$218,2,FALSE)))</f>
        <v>#N/A</v>
      </c>
      <c r="F130" s="487"/>
      <c r="G130" s="187"/>
      <c r="H130" s="139"/>
      <c r="I130" s="139"/>
      <c r="J130" s="139"/>
      <c r="K130" s="139"/>
      <c r="L130" s="139"/>
      <c r="M130" s="139"/>
      <c r="N130" s="139"/>
      <c r="O130" s="139"/>
      <c r="P130" s="139"/>
      <c r="Q130" s="139"/>
      <c r="R130" s="139"/>
      <c r="S130" s="139"/>
      <c r="T130" s="139"/>
      <c r="U130" s="139"/>
      <c r="V130" s="139"/>
      <c r="W130" s="139"/>
      <c r="X130" s="139"/>
      <c r="Y130" s="139"/>
      <c r="Z130" s="139"/>
      <c r="AA130" s="139"/>
      <c r="AB130" s="139"/>
      <c r="AC130" s="139"/>
      <c r="AD130" s="139"/>
      <c r="AE130" s="139"/>
      <c r="AF130" s="139"/>
      <c r="AG130" s="139"/>
      <c r="AH130" s="139"/>
      <c r="AI130" s="139"/>
      <c r="AJ130" s="139"/>
      <c r="AK130" s="139"/>
      <c r="AL130" s="139"/>
      <c r="AM130" s="139"/>
      <c r="AN130" s="139"/>
      <c r="AO130" s="139"/>
      <c r="AP130" s="139"/>
      <c r="AQ130" s="139"/>
      <c r="AR130" s="139"/>
      <c r="AS130" s="139"/>
      <c r="AT130" s="139"/>
      <c r="AU130" s="139"/>
      <c r="AV130" s="139"/>
      <c r="AW130" s="139"/>
      <c r="AX130" s="139"/>
      <c r="AY130" s="139"/>
      <c r="AZ130" s="139"/>
      <c r="BA130" s="139"/>
      <c r="BB130" s="139"/>
      <c r="BC130" s="139"/>
      <c r="BD130" s="139"/>
      <c r="BE130" s="139"/>
      <c r="BF130" s="139"/>
      <c r="BG130" s="139"/>
      <c r="BH130" s="139"/>
      <c r="BI130" s="139"/>
      <c r="BJ130" s="139"/>
      <c r="BK130" s="139"/>
      <c r="BL130" s="139"/>
      <c r="BM130" s="139"/>
      <c r="BN130" s="139"/>
      <c r="BO130" s="139"/>
      <c r="BP130" s="139"/>
      <c r="BQ130" s="139"/>
      <c r="BR130" s="139"/>
      <c r="BS130" s="139"/>
      <c r="BT130" s="139"/>
      <c r="BU130" s="139"/>
      <c r="BV130" s="139"/>
      <c r="BW130" s="139"/>
      <c r="BX130" s="139"/>
      <c r="BY130" s="139"/>
      <c r="BZ130" s="139"/>
      <c r="CA130" s="139"/>
      <c r="CB130" s="139"/>
      <c r="CC130" s="139"/>
      <c r="CD130" s="139"/>
      <c r="CE130" s="139"/>
      <c r="CF130" s="139"/>
      <c r="CG130" s="139"/>
      <c r="CH130" s="139"/>
      <c r="CI130" s="139"/>
      <c r="CJ130" s="139"/>
      <c r="CK130" s="139"/>
      <c r="CL130" s="139"/>
      <c r="CM130" s="139"/>
      <c r="CN130" s="139"/>
      <c r="CO130" s="139"/>
      <c r="CP130" s="139"/>
      <c r="CQ130" s="139"/>
      <c r="CR130" s="139"/>
      <c r="CS130" s="139"/>
    </row>
    <row r="131" spans="1:97" s="140" customFormat="1" ht="15.75" hidden="1" customHeight="1">
      <c r="A131" s="138"/>
      <c r="B131" s="138"/>
      <c r="C131" s="190">
        <v>97</v>
      </c>
      <c r="D131" s="314" t="e">
        <f>IF(VLOOKUP(C131,PROPONENTES!$B$19:$E$218,2,FALSE)="","",VLOOKUP(C131,PROPONENTES!$B$19:$E$218,2,FALSE))</f>
        <v>#N/A</v>
      </c>
      <c r="E131" s="186" t="e">
        <f>IF(D131="","",IF(D131-INT(D131)&gt;1,"",VLOOKUP(D131,PROPONENTES!$C$19:$D$218,2,FALSE)))</f>
        <v>#N/A</v>
      </c>
      <c r="F131" s="487"/>
      <c r="G131" s="187"/>
      <c r="H131" s="139"/>
      <c r="I131" s="139"/>
      <c r="J131" s="139"/>
      <c r="K131" s="139"/>
      <c r="L131" s="139"/>
      <c r="M131" s="139"/>
      <c r="N131" s="139"/>
      <c r="O131" s="139"/>
      <c r="P131" s="139"/>
      <c r="Q131" s="139"/>
      <c r="R131" s="139"/>
      <c r="S131" s="139"/>
      <c r="T131" s="139"/>
      <c r="U131" s="139"/>
      <c r="V131" s="139"/>
      <c r="W131" s="139"/>
      <c r="X131" s="139"/>
      <c r="Y131" s="139"/>
      <c r="Z131" s="139"/>
      <c r="AA131" s="139"/>
      <c r="AB131" s="139"/>
      <c r="AC131" s="139"/>
      <c r="AD131" s="139"/>
      <c r="AE131" s="139"/>
      <c r="AF131" s="139"/>
      <c r="AG131" s="139"/>
      <c r="AH131" s="139"/>
      <c r="AI131" s="139"/>
      <c r="AJ131" s="139"/>
      <c r="AK131" s="139"/>
      <c r="AL131" s="139"/>
      <c r="AM131" s="139"/>
      <c r="AN131" s="139"/>
      <c r="AO131" s="139"/>
      <c r="AP131" s="139"/>
      <c r="AQ131" s="139"/>
      <c r="AR131" s="139"/>
      <c r="AS131" s="139"/>
      <c r="AT131" s="139"/>
      <c r="AU131" s="139"/>
      <c r="AV131" s="139"/>
      <c r="AW131" s="139"/>
      <c r="AX131" s="139"/>
      <c r="AY131" s="139"/>
      <c r="AZ131" s="139"/>
      <c r="BA131" s="139"/>
      <c r="BB131" s="139"/>
      <c r="BC131" s="139"/>
      <c r="BD131" s="139"/>
      <c r="BE131" s="139"/>
      <c r="BF131" s="139"/>
      <c r="BG131" s="139"/>
      <c r="BH131" s="139"/>
      <c r="BI131" s="139"/>
      <c r="BJ131" s="139"/>
      <c r="BK131" s="139"/>
      <c r="BL131" s="139"/>
      <c r="BM131" s="139"/>
      <c r="BN131" s="139"/>
      <c r="BO131" s="139"/>
      <c r="BP131" s="139"/>
      <c r="BQ131" s="139"/>
      <c r="BR131" s="139"/>
      <c r="BS131" s="139"/>
      <c r="BT131" s="139"/>
      <c r="BU131" s="139"/>
      <c r="BV131" s="139"/>
      <c r="BW131" s="139"/>
      <c r="BX131" s="139"/>
      <c r="BY131" s="139"/>
      <c r="BZ131" s="139"/>
      <c r="CA131" s="139"/>
      <c r="CB131" s="139"/>
      <c r="CC131" s="139"/>
      <c r="CD131" s="139"/>
      <c r="CE131" s="139"/>
      <c r="CF131" s="139"/>
      <c r="CG131" s="139"/>
      <c r="CH131" s="139"/>
      <c r="CI131" s="139"/>
      <c r="CJ131" s="139"/>
      <c r="CK131" s="139"/>
      <c r="CL131" s="139"/>
      <c r="CM131" s="139"/>
      <c r="CN131" s="139"/>
      <c r="CO131" s="139"/>
      <c r="CP131" s="139"/>
      <c r="CQ131" s="139"/>
      <c r="CR131" s="139"/>
      <c r="CS131" s="139"/>
    </row>
    <row r="132" spans="1:97" s="140" customFormat="1" ht="15.75" hidden="1" customHeight="1">
      <c r="A132" s="138"/>
      <c r="B132" s="138"/>
      <c r="C132" s="190">
        <v>98</v>
      </c>
      <c r="D132" s="314" t="e">
        <f>IF(VLOOKUP(C132,PROPONENTES!$B$19:$E$218,2,FALSE)="","",VLOOKUP(C132,PROPONENTES!$B$19:$E$218,2,FALSE))</f>
        <v>#N/A</v>
      </c>
      <c r="E132" s="186" t="e">
        <f>IF(D132="","",IF(D132-INT(D132)&gt;1,"",VLOOKUP(D132,PROPONENTES!$C$19:$D$218,2,FALSE)))</f>
        <v>#N/A</v>
      </c>
      <c r="F132" s="487"/>
      <c r="G132" s="187"/>
      <c r="H132" s="139"/>
      <c r="I132" s="139"/>
      <c r="J132" s="139"/>
      <c r="K132" s="139"/>
      <c r="L132" s="139"/>
      <c r="M132" s="139"/>
      <c r="N132" s="139"/>
      <c r="O132" s="139"/>
      <c r="P132" s="139"/>
      <c r="Q132" s="139"/>
      <c r="R132" s="139"/>
      <c r="S132" s="139"/>
      <c r="T132" s="139"/>
      <c r="U132" s="139"/>
      <c r="V132" s="139"/>
      <c r="W132" s="139"/>
      <c r="X132" s="139"/>
      <c r="Y132" s="139"/>
      <c r="Z132" s="139"/>
      <c r="AA132" s="139"/>
      <c r="AB132" s="139"/>
      <c r="AC132" s="139"/>
      <c r="AD132" s="139"/>
      <c r="AE132" s="139"/>
      <c r="AF132" s="139"/>
      <c r="AG132" s="139"/>
      <c r="AH132" s="139"/>
      <c r="AI132" s="139"/>
      <c r="AJ132" s="139"/>
      <c r="AK132" s="139"/>
      <c r="AL132" s="139"/>
      <c r="AM132" s="139"/>
      <c r="AN132" s="139"/>
      <c r="AO132" s="139"/>
      <c r="AP132" s="139"/>
      <c r="AQ132" s="139"/>
      <c r="AR132" s="139"/>
      <c r="AS132" s="139"/>
      <c r="AT132" s="139"/>
      <c r="AU132" s="139"/>
      <c r="AV132" s="139"/>
      <c r="AW132" s="139"/>
      <c r="AX132" s="139"/>
      <c r="AY132" s="139"/>
      <c r="AZ132" s="139"/>
      <c r="BA132" s="139"/>
      <c r="BB132" s="139"/>
      <c r="BC132" s="139"/>
      <c r="BD132" s="139"/>
      <c r="BE132" s="139"/>
      <c r="BF132" s="139"/>
      <c r="BG132" s="139"/>
      <c r="BH132" s="139"/>
      <c r="BI132" s="139"/>
      <c r="BJ132" s="139"/>
      <c r="BK132" s="139"/>
      <c r="BL132" s="139"/>
      <c r="BM132" s="139"/>
      <c r="BN132" s="139"/>
      <c r="BO132" s="139"/>
      <c r="BP132" s="139"/>
      <c r="BQ132" s="139"/>
      <c r="BR132" s="139"/>
      <c r="BS132" s="139"/>
      <c r="BT132" s="139"/>
      <c r="BU132" s="139"/>
      <c r="BV132" s="139"/>
      <c r="BW132" s="139"/>
      <c r="BX132" s="139"/>
      <c r="BY132" s="139"/>
      <c r="BZ132" s="139"/>
      <c r="CA132" s="139"/>
      <c r="CB132" s="139"/>
      <c r="CC132" s="139"/>
      <c r="CD132" s="139"/>
      <c r="CE132" s="139"/>
      <c r="CF132" s="139"/>
      <c r="CG132" s="139"/>
      <c r="CH132" s="139"/>
      <c r="CI132" s="139"/>
      <c r="CJ132" s="139"/>
      <c r="CK132" s="139"/>
      <c r="CL132" s="139"/>
      <c r="CM132" s="139"/>
      <c r="CN132" s="139"/>
      <c r="CO132" s="139"/>
      <c r="CP132" s="139"/>
      <c r="CQ132" s="139"/>
      <c r="CR132" s="139"/>
      <c r="CS132" s="139"/>
    </row>
    <row r="133" spans="1:97" s="140" customFormat="1" ht="15.75" hidden="1" customHeight="1">
      <c r="A133" s="138"/>
      <c r="B133" s="138"/>
      <c r="C133" s="190">
        <v>99</v>
      </c>
      <c r="D133" s="314" t="e">
        <f>IF(VLOOKUP(C133,PROPONENTES!$B$19:$E$218,2,FALSE)="","",VLOOKUP(C133,PROPONENTES!$B$19:$E$218,2,FALSE))</f>
        <v>#N/A</v>
      </c>
      <c r="E133" s="186" t="e">
        <f>IF(D133="","",IF(D133-INT(D133)&gt;1,"",VLOOKUP(D133,PROPONENTES!$C$19:$D$218,2,FALSE)))</f>
        <v>#N/A</v>
      </c>
      <c r="F133" s="487"/>
      <c r="G133" s="187"/>
      <c r="H133" s="139"/>
      <c r="I133" s="139"/>
      <c r="J133" s="139"/>
      <c r="K133" s="139"/>
      <c r="L133" s="139"/>
      <c r="M133" s="139"/>
      <c r="N133" s="139"/>
      <c r="O133" s="139"/>
      <c r="P133" s="139"/>
      <c r="Q133" s="139"/>
      <c r="R133" s="139"/>
      <c r="S133" s="139"/>
      <c r="T133" s="139"/>
      <c r="U133" s="139"/>
      <c r="V133" s="139"/>
      <c r="W133" s="139"/>
      <c r="X133" s="139"/>
      <c r="Y133" s="139"/>
      <c r="Z133" s="139"/>
      <c r="AA133" s="139"/>
      <c r="AB133" s="139"/>
      <c r="AC133" s="139"/>
      <c r="AD133" s="139"/>
      <c r="AE133" s="139"/>
      <c r="AF133" s="139"/>
      <c r="AG133" s="139"/>
      <c r="AH133" s="139"/>
      <c r="AI133" s="139"/>
      <c r="AJ133" s="139"/>
      <c r="AK133" s="139"/>
      <c r="AL133" s="139"/>
      <c r="AM133" s="139"/>
      <c r="AN133" s="139"/>
      <c r="AO133" s="139"/>
      <c r="AP133" s="139"/>
      <c r="AQ133" s="139"/>
      <c r="AR133" s="139"/>
      <c r="AS133" s="139"/>
      <c r="AT133" s="139"/>
      <c r="AU133" s="139"/>
      <c r="AV133" s="139"/>
      <c r="AW133" s="139"/>
      <c r="AX133" s="139"/>
      <c r="AY133" s="139"/>
      <c r="AZ133" s="139"/>
      <c r="BA133" s="139"/>
      <c r="BB133" s="139"/>
      <c r="BC133" s="139"/>
      <c r="BD133" s="139"/>
      <c r="BE133" s="139"/>
      <c r="BF133" s="139"/>
      <c r="BG133" s="139"/>
      <c r="BH133" s="139"/>
      <c r="BI133" s="139"/>
      <c r="BJ133" s="139"/>
      <c r="BK133" s="139"/>
      <c r="BL133" s="139"/>
      <c r="BM133" s="139"/>
      <c r="BN133" s="139"/>
      <c r="BO133" s="139"/>
      <c r="BP133" s="139"/>
      <c r="BQ133" s="139"/>
      <c r="BR133" s="139"/>
      <c r="BS133" s="139"/>
      <c r="BT133" s="139"/>
      <c r="BU133" s="139"/>
      <c r="BV133" s="139"/>
      <c r="BW133" s="139"/>
      <c r="BX133" s="139"/>
      <c r="BY133" s="139"/>
      <c r="BZ133" s="139"/>
      <c r="CA133" s="139"/>
      <c r="CB133" s="139"/>
      <c r="CC133" s="139"/>
      <c r="CD133" s="139"/>
      <c r="CE133" s="139"/>
      <c r="CF133" s="139"/>
      <c r="CG133" s="139"/>
      <c r="CH133" s="139"/>
      <c r="CI133" s="139"/>
      <c r="CJ133" s="139"/>
      <c r="CK133" s="139"/>
      <c r="CL133" s="139"/>
      <c r="CM133" s="139"/>
      <c r="CN133" s="139"/>
      <c r="CO133" s="139"/>
      <c r="CP133" s="139"/>
      <c r="CQ133" s="139"/>
      <c r="CR133" s="139"/>
      <c r="CS133" s="139"/>
    </row>
    <row r="134" spans="1:97" s="140" customFormat="1" ht="15.75" hidden="1" customHeight="1">
      <c r="A134" s="138"/>
      <c r="B134" s="138"/>
      <c r="C134" s="190">
        <v>100</v>
      </c>
      <c r="D134" s="314" t="e">
        <f>IF(VLOOKUP(C134,PROPONENTES!$B$19:$E$218,2,FALSE)="","",VLOOKUP(C134,PROPONENTES!$B$19:$E$218,2,FALSE))</f>
        <v>#N/A</v>
      </c>
      <c r="E134" s="186" t="e">
        <f>IF(D134="","",IF(D134-INT(D134)&gt;1,"",VLOOKUP(D134,PROPONENTES!$C$19:$D$218,2,FALSE)))</f>
        <v>#N/A</v>
      </c>
      <c r="F134" s="487"/>
      <c r="G134" s="187"/>
      <c r="H134" s="139"/>
      <c r="I134" s="139"/>
      <c r="J134" s="139"/>
      <c r="K134" s="139"/>
      <c r="L134" s="139"/>
      <c r="M134" s="139"/>
      <c r="N134" s="139"/>
      <c r="O134" s="139"/>
      <c r="P134" s="139"/>
      <c r="Q134" s="139"/>
      <c r="R134" s="139"/>
      <c r="S134" s="139"/>
      <c r="T134" s="139"/>
      <c r="U134" s="139"/>
      <c r="V134" s="139"/>
      <c r="W134" s="139"/>
      <c r="X134" s="139"/>
      <c r="Y134" s="139"/>
      <c r="Z134" s="139"/>
      <c r="AA134" s="139"/>
      <c r="AB134" s="139"/>
      <c r="AC134" s="139"/>
      <c r="AD134" s="139"/>
      <c r="AE134" s="139"/>
      <c r="AF134" s="139"/>
      <c r="AG134" s="139"/>
      <c r="AH134" s="139"/>
      <c r="AI134" s="139"/>
      <c r="AJ134" s="139"/>
      <c r="AK134" s="139"/>
      <c r="AL134" s="139"/>
      <c r="AM134" s="139"/>
      <c r="AN134" s="139"/>
      <c r="AO134" s="139"/>
      <c r="AP134" s="139"/>
      <c r="AQ134" s="139"/>
      <c r="AR134" s="139"/>
      <c r="AS134" s="139"/>
      <c r="AT134" s="139"/>
      <c r="AU134" s="139"/>
      <c r="AV134" s="139"/>
      <c r="AW134" s="139"/>
      <c r="AX134" s="139"/>
      <c r="AY134" s="139"/>
      <c r="AZ134" s="139"/>
      <c r="BA134" s="139"/>
      <c r="BB134" s="139"/>
      <c r="BC134" s="139"/>
      <c r="BD134" s="139"/>
      <c r="BE134" s="139"/>
      <c r="BF134" s="139"/>
      <c r="BG134" s="139"/>
      <c r="BH134" s="139"/>
      <c r="BI134" s="139"/>
      <c r="BJ134" s="139"/>
      <c r="BK134" s="139"/>
      <c r="BL134" s="139"/>
      <c r="BM134" s="139"/>
      <c r="BN134" s="139"/>
      <c r="BO134" s="139"/>
      <c r="BP134" s="139"/>
      <c r="BQ134" s="139"/>
      <c r="BR134" s="139"/>
      <c r="BS134" s="139"/>
      <c r="BT134" s="139"/>
      <c r="BU134" s="139"/>
      <c r="BV134" s="139"/>
      <c r="BW134" s="139"/>
      <c r="BX134" s="139"/>
      <c r="BY134" s="139"/>
      <c r="BZ134" s="139"/>
      <c r="CA134" s="139"/>
      <c r="CB134" s="139"/>
      <c r="CC134" s="139"/>
      <c r="CD134" s="139"/>
      <c r="CE134" s="139"/>
      <c r="CF134" s="139"/>
      <c r="CG134" s="139"/>
      <c r="CH134" s="139"/>
      <c r="CI134" s="139"/>
      <c r="CJ134" s="139"/>
      <c r="CK134" s="139"/>
      <c r="CL134" s="139"/>
      <c r="CM134" s="139"/>
      <c r="CN134" s="139"/>
      <c r="CO134" s="139"/>
      <c r="CP134" s="139"/>
      <c r="CQ134" s="139"/>
      <c r="CR134" s="139"/>
      <c r="CS134" s="139"/>
    </row>
    <row r="135" spans="1:97" s="140" customFormat="1" ht="15.75" hidden="1" customHeight="1">
      <c r="A135" s="138"/>
      <c r="B135" s="138"/>
      <c r="C135" s="190">
        <v>101</v>
      </c>
      <c r="D135" s="314" t="e">
        <f>IF(VLOOKUP(C135,PROPONENTES!$B$19:$E$218,2,FALSE)="","",VLOOKUP(C135,PROPONENTES!$B$19:$E$218,2,FALSE))</f>
        <v>#N/A</v>
      </c>
      <c r="E135" s="186" t="e">
        <f>IF(D135="","",IF(D135-INT(D135)&gt;1,"",VLOOKUP(D135,PROPONENTES!$C$19:$D$218,2,FALSE)))</f>
        <v>#N/A</v>
      </c>
      <c r="F135" s="487"/>
      <c r="G135" s="187"/>
      <c r="H135" s="139"/>
      <c r="I135" s="139"/>
      <c r="J135" s="139"/>
      <c r="K135" s="139"/>
      <c r="L135" s="139"/>
      <c r="M135" s="139"/>
      <c r="N135" s="139"/>
      <c r="O135" s="139"/>
      <c r="P135" s="139"/>
      <c r="Q135" s="139"/>
      <c r="R135" s="139"/>
      <c r="S135" s="139"/>
      <c r="T135" s="139"/>
      <c r="U135" s="139"/>
      <c r="V135" s="139"/>
      <c r="W135" s="139"/>
      <c r="X135" s="139"/>
      <c r="Y135" s="139"/>
      <c r="Z135" s="139"/>
      <c r="AA135" s="139"/>
      <c r="AB135" s="139"/>
      <c r="AC135" s="139"/>
      <c r="AD135" s="139"/>
      <c r="AE135" s="139"/>
      <c r="AF135" s="139"/>
      <c r="AG135" s="139"/>
      <c r="AH135" s="139"/>
      <c r="AI135" s="139"/>
      <c r="AJ135" s="139"/>
      <c r="AK135" s="139"/>
      <c r="AL135" s="139"/>
      <c r="AM135" s="139"/>
      <c r="AN135" s="139"/>
      <c r="AO135" s="139"/>
      <c r="AP135" s="139"/>
      <c r="AQ135" s="139"/>
      <c r="AR135" s="139"/>
      <c r="AS135" s="139"/>
      <c r="AT135" s="139"/>
      <c r="AU135" s="139"/>
      <c r="AV135" s="139"/>
      <c r="AW135" s="139"/>
      <c r="AX135" s="139"/>
      <c r="AY135" s="139"/>
      <c r="AZ135" s="139"/>
      <c r="BA135" s="139"/>
      <c r="BB135" s="139"/>
      <c r="BC135" s="139"/>
      <c r="BD135" s="139"/>
      <c r="BE135" s="139"/>
      <c r="BF135" s="139"/>
      <c r="BG135" s="139"/>
      <c r="BH135" s="139"/>
      <c r="BI135" s="139"/>
      <c r="BJ135" s="139"/>
      <c r="BK135" s="139"/>
      <c r="BL135" s="139"/>
      <c r="BM135" s="139"/>
      <c r="BN135" s="139"/>
      <c r="BO135" s="139"/>
      <c r="BP135" s="139"/>
      <c r="BQ135" s="139"/>
      <c r="BR135" s="139"/>
      <c r="BS135" s="139"/>
      <c r="BT135" s="139"/>
      <c r="BU135" s="139"/>
      <c r="BV135" s="139"/>
      <c r="BW135" s="139"/>
      <c r="BX135" s="139"/>
      <c r="BY135" s="139"/>
      <c r="BZ135" s="139"/>
      <c r="CA135" s="139"/>
      <c r="CB135" s="139"/>
      <c r="CC135" s="139"/>
      <c r="CD135" s="139"/>
      <c r="CE135" s="139"/>
      <c r="CF135" s="139"/>
      <c r="CG135" s="139"/>
      <c r="CH135" s="139"/>
      <c r="CI135" s="139"/>
      <c r="CJ135" s="139"/>
      <c r="CK135" s="139"/>
      <c r="CL135" s="139"/>
      <c r="CM135" s="139"/>
      <c r="CN135" s="139"/>
      <c r="CO135" s="139"/>
      <c r="CP135" s="139"/>
      <c r="CQ135" s="139"/>
      <c r="CR135" s="139"/>
      <c r="CS135" s="139"/>
    </row>
    <row r="136" spans="1:97" s="140" customFormat="1" ht="15.75" hidden="1" customHeight="1">
      <c r="A136" s="138"/>
      <c r="B136" s="138"/>
      <c r="C136" s="190">
        <v>102</v>
      </c>
      <c r="D136" s="314" t="e">
        <f>IF(VLOOKUP(C136,PROPONENTES!$B$19:$E$218,2,FALSE)="","",VLOOKUP(C136,PROPONENTES!$B$19:$E$218,2,FALSE))</f>
        <v>#N/A</v>
      </c>
      <c r="E136" s="186" t="e">
        <f>IF(D136="","",IF(D136-INT(D136)&gt;1,"",VLOOKUP(D136,PROPONENTES!$C$19:$D$218,2,FALSE)))</f>
        <v>#N/A</v>
      </c>
      <c r="F136" s="487"/>
      <c r="G136" s="187"/>
      <c r="H136" s="139"/>
      <c r="I136" s="139"/>
      <c r="J136" s="139"/>
      <c r="K136" s="139"/>
      <c r="L136" s="139"/>
      <c r="M136" s="139"/>
      <c r="N136" s="139"/>
      <c r="O136" s="139"/>
      <c r="P136" s="139"/>
      <c r="Q136" s="139"/>
      <c r="R136" s="139"/>
      <c r="S136" s="139"/>
      <c r="T136" s="139"/>
      <c r="U136" s="139"/>
      <c r="V136" s="139"/>
      <c r="W136" s="139"/>
      <c r="X136" s="139"/>
      <c r="Y136" s="139"/>
      <c r="Z136" s="139"/>
      <c r="AA136" s="139"/>
      <c r="AB136" s="139"/>
      <c r="AC136" s="139"/>
      <c r="AD136" s="139"/>
      <c r="AE136" s="139"/>
      <c r="AF136" s="139"/>
      <c r="AG136" s="139"/>
      <c r="AH136" s="139"/>
      <c r="AI136" s="139"/>
      <c r="AJ136" s="139"/>
      <c r="AK136" s="139"/>
      <c r="AL136" s="139"/>
      <c r="AM136" s="139"/>
      <c r="AN136" s="139"/>
      <c r="AO136" s="139"/>
      <c r="AP136" s="139"/>
      <c r="AQ136" s="139"/>
      <c r="AR136" s="139"/>
      <c r="AS136" s="139"/>
      <c r="AT136" s="139"/>
      <c r="AU136" s="139"/>
      <c r="AV136" s="139"/>
      <c r="AW136" s="139"/>
      <c r="AX136" s="139"/>
      <c r="AY136" s="139"/>
      <c r="AZ136" s="139"/>
      <c r="BA136" s="139"/>
      <c r="BB136" s="139"/>
      <c r="BC136" s="139"/>
      <c r="BD136" s="139"/>
      <c r="BE136" s="139"/>
      <c r="BF136" s="139"/>
      <c r="BG136" s="139"/>
      <c r="BH136" s="139"/>
      <c r="BI136" s="139"/>
      <c r="BJ136" s="139"/>
      <c r="BK136" s="139"/>
      <c r="BL136" s="139"/>
      <c r="BM136" s="139"/>
      <c r="BN136" s="139"/>
      <c r="BO136" s="139"/>
      <c r="BP136" s="139"/>
      <c r="BQ136" s="139"/>
      <c r="BR136" s="139"/>
      <c r="BS136" s="139"/>
      <c r="BT136" s="139"/>
      <c r="BU136" s="139"/>
      <c r="BV136" s="139"/>
      <c r="BW136" s="139"/>
      <c r="BX136" s="139"/>
      <c r="BY136" s="139"/>
      <c r="BZ136" s="139"/>
      <c r="CA136" s="139"/>
      <c r="CB136" s="139"/>
      <c r="CC136" s="139"/>
      <c r="CD136" s="139"/>
      <c r="CE136" s="139"/>
      <c r="CF136" s="139"/>
      <c r="CG136" s="139"/>
      <c r="CH136" s="139"/>
      <c r="CI136" s="139"/>
      <c r="CJ136" s="139"/>
      <c r="CK136" s="139"/>
      <c r="CL136" s="139"/>
      <c r="CM136" s="139"/>
      <c r="CN136" s="139"/>
      <c r="CO136" s="139"/>
      <c r="CP136" s="139"/>
      <c r="CQ136" s="139"/>
      <c r="CR136" s="139"/>
      <c r="CS136" s="139"/>
    </row>
    <row r="137" spans="1:97" s="140" customFormat="1" ht="15.75" hidden="1" customHeight="1">
      <c r="A137" s="138"/>
      <c r="B137" s="138"/>
      <c r="C137" s="190">
        <v>103</v>
      </c>
      <c r="D137" s="314" t="e">
        <f>IF(VLOOKUP(C137,PROPONENTES!$B$19:$E$218,2,FALSE)="","",VLOOKUP(C137,PROPONENTES!$B$19:$E$218,2,FALSE))</f>
        <v>#N/A</v>
      </c>
      <c r="E137" s="186" t="e">
        <f>IF(D137="","",IF(D137-INT(D137)&gt;1,"",VLOOKUP(D137,PROPONENTES!$C$19:$D$218,2,FALSE)))</f>
        <v>#N/A</v>
      </c>
      <c r="F137" s="487"/>
      <c r="G137" s="187"/>
      <c r="H137" s="139"/>
      <c r="I137" s="139"/>
      <c r="J137" s="139"/>
      <c r="K137" s="139"/>
      <c r="L137" s="139"/>
      <c r="M137" s="139"/>
      <c r="N137" s="139"/>
      <c r="O137" s="139"/>
      <c r="P137" s="139"/>
      <c r="Q137" s="139"/>
      <c r="R137" s="139"/>
      <c r="S137" s="139"/>
      <c r="T137" s="139"/>
      <c r="U137" s="139"/>
      <c r="V137" s="139"/>
      <c r="W137" s="139"/>
      <c r="X137" s="139"/>
      <c r="Y137" s="139"/>
      <c r="Z137" s="139"/>
      <c r="AA137" s="139"/>
      <c r="AB137" s="139"/>
      <c r="AC137" s="139"/>
      <c r="AD137" s="139"/>
      <c r="AE137" s="139"/>
      <c r="AF137" s="139"/>
      <c r="AG137" s="139"/>
      <c r="AH137" s="139"/>
      <c r="AI137" s="139"/>
      <c r="AJ137" s="139"/>
      <c r="AK137" s="139"/>
      <c r="AL137" s="139"/>
      <c r="AM137" s="139"/>
      <c r="AN137" s="139"/>
      <c r="AO137" s="139"/>
      <c r="AP137" s="139"/>
      <c r="AQ137" s="139"/>
      <c r="AR137" s="139"/>
      <c r="AS137" s="139"/>
      <c r="AT137" s="139"/>
      <c r="AU137" s="139"/>
      <c r="AV137" s="139"/>
      <c r="AW137" s="139"/>
      <c r="AX137" s="139"/>
      <c r="AY137" s="139"/>
      <c r="AZ137" s="139"/>
      <c r="BA137" s="139"/>
      <c r="BB137" s="139"/>
      <c r="BC137" s="139"/>
      <c r="BD137" s="139"/>
      <c r="BE137" s="139"/>
      <c r="BF137" s="139"/>
      <c r="BG137" s="139"/>
      <c r="BH137" s="139"/>
      <c r="BI137" s="139"/>
      <c r="BJ137" s="139"/>
      <c r="BK137" s="139"/>
      <c r="BL137" s="139"/>
      <c r="BM137" s="139"/>
      <c r="BN137" s="139"/>
      <c r="BO137" s="139"/>
      <c r="BP137" s="139"/>
      <c r="BQ137" s="139"/>
      <c r="BR137" s="139"/>
      <c r="BS137" s="139"/>
      <c r="BT137" s="139"/>
      <c r="BU137" s="139"/>
      <c r="BV137" s="139"/>
      <c r="BW137" s="139"/>
      <c r="BX137" s="139"/>
      <c r="BY137" s="139"/>
      <c r="BZ137" s="139"/>
      <c r="CA137" s="139"/>
      <c r="CB137" s="139"/>
      <c r="CC137" s="139"/>
      <c r="CD137" s="139"/>
      <c r="CE137" s="139"/>
      <c r="CF137" s="139"/>
      <c r="CG137" s="139"/>
      <c r="CH137" s="139"/>
      <c r="CI137" s="139"/>
      <c r="CJ137" s="139"/>
      <c r="CK137" s="139"/>
      <c r="CL137" s="139"/>
      <c r="CM137" s="139"/>
      <c r="CN137" s="139"/>
      <c r="CO137" s="139"/>
      <c r="CP137" s="139"/>
      <c r="CQ137" s="139"/>
      <c r="CR137" s="139"/>
      <c r="CS137" s="139"/>
    </row>
    <row r="138" spans="1:97" s="140" customFormat="1" ht="15.75" hidden="1" customHeight="1">
      <c r="A138" s="138"/>
      <c r="B138" s="138"/>
      <c r="C138" s="190">
        <v>104</v>
      </c>
      <c r="D138" s="314" t="e">
        <f>IF(VLOOKUP(C138,PROPONENTES!$B$19:$E$218,2,FALSE)="","",VLOOKUP(C138,PROPONENTES!$B$19:$E$218,2,FALSE))</f>
        <v>#N/A</v>
      </c>
      <c r="E138" s="186" t="e">
        <f>IF(D138="","",IF(D138-INT(D138)&gt;1,"",VLOOKUP(D138,PROPONENTES!$C$19:$D$218,2,FALSE)))</f>
        <v>#N/A</v>
      </c>
      <c r="F138" s="487"/>
      <c r="G138" s="187"/>
      <c r="H138" s="139"/>
      <c r="I138" s="139"/>
      <c r="J138" s="139"/>
      <c r="K138" s="139"/>
      <c r="L138" s="139"/>
      <c r="M138" s="139"/>
      <c r="N138" s="139"/>
      <c r="O138" s="139"/>
      <c r="P138" s="139"/>
      <c r="Q138" s="139"/>
      <c r="R138" s="139"/>
      <c r="S138" s="139"/>
      <c r="T138" s="139"/>
      <c r="U138" s="139"/>
      <c r="V138" s="139"/>
      <c r="W138" s="139"/>
      <c r="X138" s="139"/>
      <c r="Y138" s="139"/>
      <c r="Z138" s="139"/>
      <c r="AA138" s="139"/>
      <c r="AB138" s="139"/>
      <c r="AC138" s="139"/>
      <c r="AD138" s="139"/>
      <c r="AE138" s="139"/>
      <c r="AF138" s="139"/>
      <c r="AG138" s="139"/>
      <c r="AH138" s="139"/>
      <c r="AI138" s="139"/>
      <c r="AJ138" s="139"/>
      <c r="AK138" s="139"/>
      <c r="AL138" s="139"/>
      <c r="AM138" s="139"/>
      <c r="AN138" s="139"/>
      <c r="AO138" s="139"/>
      <c r="AP138" s="139"/>
      <c r="AQ138" s="139"/>
      <c r="AR138" s="139"/>
      <c r="AS138" s="139"/>
      <c r="AT138" s="139"/>
      <c r="AU138" s="139"/>
      <c r="AV138" s="139"/>
      <c r="AW138" s="139"/>
      <c r="AX138" s="139"/>
      <c r="AY138" s="139"/>
      <c r="AZ138" s="139"/>
      <c r="BA138" s="139"/>
      <c r="BB138" s="139"/>
      <c r="BC138" s="139"/>
      <c r="BD138" s="139"/>
      <c r="BE138" s="139"/>
      <c r="BF138" s="139"/>
      <c r="BG138" s="139"/>
      <c r="BH138" s="139"/>
      <c r="BI138" s="139"/>
      <c r="BJ138" s="139"/>
      <c r="BK138" s="139"/>
      <c r="BL138" s="139"/>
      <c r="BM138" s="139"/>
      <c r="BN138" s="139"/>
      <c r="BO138" s="139"/>
      <c r="BP138" s="139"/>
      <c r="BQ138" s="139"/>
      <c r="BR138" s="139"/>
      <c r="BS138" s="139"/>
      <c r="BT138" s="139"/>
      <c r="BU138" s="139"/>
      <c r="BV138" s="139"/>
      <c r="BW138" s="139"/>
      <c r="BX138" s="139"/>
      <c r="BY138" s="139"/>
      <c r="BZ138" s="139"/>
      <c r="CA138" s="139"/>
      <c r="CB138" s="139"/>
      <c r="CC138" s="139"/>
      <c r="CD138" s="139"/>
      <c r="CE138" s="139"/>
      <c r="CF138" s="139"/>
      <c r="CG138" s="139"/>
      <c r="CH138" s="139"/>
      <c r="CI138" s="139"/>
      <c r="CJ138" s="139"/>
      <c r="CK138" s="139"/>
      <c r="CL138" s="139"/>
      <c r="CM138" s="139"/>
      <c r="CN138" s="139"/>
      <c r="CO138" s="139"/>
      <c r="CP138" s="139"/>
      <c r="CQ138" s="139"/>
      <c r="CR138" s="139"/>
      <c r="CS138" s="139"/>
    </row>
    <row r="139" spans="1:97" s="140" customFormat="1" ht="15.75" hidden="1" customHeight="1">
      <c r="A139" s="138"/>
      <c r="B139" s="138"/>
      <c r="C139" s="190">
        <v>105</v>
      </c>
      <c r="D139" s="314" t="e">
        <f>IF(VLOOKUP(C139,PROPONENTES!$B$19:$E$218,2,FALSE)="","",VLOOKUP(C139,PROPONENTES!$B$19:$E$218,2,FALSE))</f>
        <v>#N/A</v>
      </c>
      <c r="E139" s="186" t="e">
        <f>IF(D139="","",IF(D139-INT(D139)&gt;1,"",VLOOKUP(D139,PROPONENTES!$C$19:$D$218,2,FALSE)))</f>
        <v>#N/A</v>
      </c>
      <c r="F139" s="487"/>
      <c r="G139" s="187"/>
      <c r="H139" s="139"/>
      <c r="I139" s="139"/>
      <c r="J139" s="139"/>
      <c r="K139" s="139"/>
      <c r="L139" s="139"/>
      <c r="M139" s="139"/>
      <c r="N139" s="139"/>
      <c r="O139" s="139"/>
      <c r="P139" s="139"/>
      <c r="Q139" s="139"/>
      <c r="R139" s="139"/>
      <c r="S139" s="139"/>
      <c r="T139" s="139"/>
      <c r="U139" s="139"/>
      <c r="V139" s="139"/>
      <c r="W139" s="139"/>
      <c r="X139" s="139"/>
      <c r="Y139" s="139"/>
      <c r="Z139" s="139"/>
      <c r="AA139" s="139"/>
      <c r="AB139" s="139"/>
      <c r="AC139" s="139"/>
      <c r="AD139" s="139"/>
      <c r="AE139" s="139"/>
      <c r="AF139" s="139"/>
      <c r="AG139" s="139"/>
      <c r="AH139" s="139"/>
      <c r="AI139" s="139"/>
      <c r="AJ139" s="139"/>
      <c r="AK139" s="139"/>
      <c r="AL139" s="139"/>
      <c r="AM139" s="139"/>
      <c r="AN139" s="139"/>
      <c r="AO139" s="139"/>
      <c r="AP139" s="139"/>
      <c r="AQ139" s="139"/>
      <c r="AR139" s="139"/>
      <c r="AS139" s="139"/>
      <c r="AT139" s="139"/>
      <c r="AU139" s="139"/>
      <c r="AV139" s="139"/>
      <c r="AW139" s="139"/>
      <c r="AX139" s="139"/>
      <c r="AY139" s="139"/>
      <c r="AZ139" s="139"/>
      <c r="BA139" s="139"/>
      <c r="BB139" s="139"/>
      <c r="BC139" s="139"/>
      <c r="BD139" s="139"/>
      <c r="BE139" s="139"/>
      <c r="BF139" s="139"/>
      <c r="BG139" s="139"/>
      <c r="BH139" s="139"/>
      <c r="BI139" s="139"/>
      <c r="BJ139" s="139"/>
      <c r="BK139" s="139"/>
      <c r="BL139" s="139"/>
      <c r="BM139" s="139"/>
      <c r="BN139" s="139"/>
      <c r="BO139" s="139"/>
      <c r="BP139" s="139"/>
      <c r="BQ139" s="139"/>
      <c r="BR139" s="139"/>
      <c r="BS139" s="139"/>
      <c r="BT139" s="139"/>
      <c r="BU139" s="139"/>
      <c r="BV139" s="139"/>
      <c r="BW139" s="139"/>
      <c r="BX139" s="139"/>
      <c r="BY139" s="139"/>
      <c r="BZ139" s="139"/>
      <c r="CA139" s="139"/>
      <c r="CB139" s="139"/>
      <c r="CC139" s="139"/>
      <c r="CD139" s="139"/>
      <c r="CE139" s="139"/>
      <c r="CF139" s="139"/>
      <c r="CG139" s="139"/>
      <c r="CH139" s="139"/>
      <c r="CI139" s="139"/>
      <c r="CJ139" s="139"/>
      <c r="CK139" s="139"/>
      <c r="CL139" s="139"/>
      <c r="CM139" s="139"/>
      <c r="CN139" s="139"/>
      <c r="CO139" s="139"/>
      <c r="CP139" s="139"/>
      <c r="CQ139" s="139"/>
      <c r="CR139" s="139"/>
      <c r="CS139" s="139"/>
    </row>
    <row r="140" spans="1:97" s="140" customFormat="1" ht="15.75" hidden="1" customHeight="1">
      <c r="A140" s="138"/>
      <c r="B140" s="138"/>
      <c r="C140" s="190">
        <v>106</v>
      </c>
      <c r="D140" s="314" t="e">
        <f>IF(VLOOKUP(C140,PROPONENTES!$B$19:$E$218,2,FALSE)="","",VLOOKUP(C140,PROPONENTES!$B$19:$E$218,2,FALSE))</f>
        <v>#N/A</v>
      </c>
      <c r="E140" s="186" t="e">
        <f>IF(D140="","",IF(D140-INT(D140)&gt;1,"",VLOOKUP(D140,PROPONENTES!$C$19:$D$218,2,FALSE)))</f>
        <v>#N/A</v>
      </c>
      <c r="F140" s="487"/>
      <c r="G140" s="187"/>
      <c r="H140" s="139"/>
      <c r="I140" s="139"/>
      <c r="J140" s="139"/>
      <c r="K140" s="139"/>
      <c r="L140" s="139"/>
      <c r="M140" s="139"/>
      <c r="N140" s="139"/>
      <c r="O140" s="139"/>
      <c r="P140" s="139"/>
      <c r="Q140" s="139"/>
      <c r="R140" s="139"/>
      <c r="S140" s="139"/>
      <c r="T140" s="139"/>
      <c r="U140" s="139"/>
      <c r="V140" s="139"/>
      <c r="W140" s="139"/>
      <c r="X140" s="139"/>
      <c r="Y140" s="139"/>
      <c r="Z140" s="139"/>
      <c r="AA140" s="139"/>
      <c r="AB140" s="139"/>
      <c r="AC140" s="139"/>
      <c r="AD140" s="139"/>
      <c r="AE140" s="139"/>
      <c r="AF140" s="139"/>
      <c r="AG140" s="139"/>
      <c r="AH140" s="139"/>
      <c r="AI140" s="139"/>
      <c r="AJ140" s="139"/>
      <c r="AK140" s="139"/>
      <c r="AL140" s="139"/>
      <c r="AM140" s="139"/>
      <c r="AN140" s="139"/>
      <c r="AO140" s="139"/>
      <c r="AP140" s="139"/>
      <c r="AQ140" s="139"/>
      <c r="AR140" s="139"/>
      <c r="AS140" s="139"/>
      <c r="AT140" s="139"/>
      <c r="AU140" s="139"/>
      <c r="AV140" s="139"/>
      <c r="AW140" s="139"/>
      <c r="AX140" s="139"/>
      <c r="AY140" s="139"/>
      <c r="AZ140" s="139"/>
      <c r="BA140" s="139"/>
      <c r="BB140" s="139"/>
      <c r="BC140" s="139"/>
      <c r="BD140" s="139"/>
      <c r="BE140" s="139"/>
      <c r="BF140" s="139"/>
      <c r="BG140" s="139"/>
      <c r="BH140" s="139"/>
      <c r="BI140" s="139"/>
      <c r="BJ140" s="139"/>
      <c r="BK140" s="139"/>
      <c r="BL140" s="139"/>
      <c r="BM140" s="139"/>
      <c r="BN140" s="139"/>
      <c r="BO140" s="139"/>
      <c r="BP140" s="139"/>
      <c r="BQ140" s="139"/>
      <c r="BR140" s="139"/>
      <c r="BS140" s="139"/>
      <c r="BT140" s="139"/>
      <c r="BU140" s="139"/>
      <c r="BV140" s="139"/>
      <c r="BW140" s="139"/>
      <c r="BX140" s="139"/>
      <c r="BY140" s="139"/>
      <c r="BZ140" s="139"/>
      <c r="CA140" s="139"/>
      <c r="CB140" s="139"/>
      <c r="CC140" s="139"/>
      <c r="CD140" s="139"/>
      <c r="CE140" s="139"/>
      <c r="CF140" s="139"/>
      <c r="CG140" s="139"/>
      <c r="CH140" s="139"/>
      <c r="CI140" s="139"/>
      <c r="CJ140" s="139"/>
      <c r="CK140" s="139"/>
      <c r="CL140" s="139"/>
      <c r="CM140" s="139"/>
      <c r="CN140" s="139"/>
      <c r="CO140" s="139"/>
      <c r="CP140" s="139"/>
      <c r="CQ140" s="139"/>
      <c r="CR140" s="139"/>
      <c r="CS140" s="139"/>
    </row>
    <row r="141" spans="1:97" s="140" customFormat="1" ht="15.75" hidden="1" customHeight="1">
      <c r="A141" s="138"/>
      <c r="B141" s="138"/>
      <c r="C141" s="190">
        <v>107</v>
      </c>
      <c r="D141" s="314" t="e">
        <f>IF(VLOOKUP(C141,PROPONENTES!$B$19:$E$218,2,FALSE)="","",VLOOKUP(C141,PROPONENTES!$B$19:$E$218,2,FALSE))</f>
        <v>#N/A</v>
      </c>
      <c r="E141" s="186" t="e">
        <f>IF(D141="","",IF(D141-INT(D141)&gt;1,"",VLOOKUP(D141,PROPONENTES!$C$19:$D$218,2,FALSE)))</f>
        <v>#N/A</v>
      </c>
      <c r="F141" s="487"/>
      <c r="G141" s="187"/>
      <c r="H141" s="139"/>
      <c r="I141" s="139"/>
      <c r="J141" s="139"/>
      <c r="K141" s="139"/>
      <c r="L141" s="139"/>
      <c r="M141" s="139"/>
      <c r="N141" s="139"/>
      <c r="O141" s="139"/>
      <c r="P141" s="139"/>
      <c r="Q141" s="139"/>
      <c r="R141" s="139"/>
      <c r="S141" s="139"/>
      <c r="T141" s="139"/>
      <c r="U141" s="139"/>
      <c r="V141" s="139"/>
      <c r="W141" s="139"/>
      <c r="X141" s="139"/>
      <c r="Y141" s="139"/>
      <c r="Z141" s="139"/>
      <c r="AA141" s="139"/>
      <c r="AB141" s="139"/>
      <c r="AC141" s="139"/>
      <c r="AD141" s="139"/>
      <c r="AE141" s="139"/>
      <c r="AF141" s="139"/>
      <c r="AG141" s="139"/>
      <c r="AH141" s="139"/>
      <c r="AI141" s="139"/>
      <c r="AJ141" s="139"/>
      <c r="AK141" s="139"/>
      <c r="AL141" s="139"/>
      <c r="AM141" s="139"/>
      <c r="AN141" s="139"/>
      <c r="AO141" s="139"/>
      <c r="AP141" s="139"/>
      <c r="AQ141" s="139"/>
      <c r="AR141" s="139"/>
      <c r="AS141" s="139"/>
      <c r="AT141" s="139"/>
      <c r="AU141" s="139"/>
      <c r="AV141" s="139"/>
      <c r="AW141" s="139"/>
      <c r="AX141" s="139"/>
      <c r="AY141" s="139"/>
      <c r="AZ141" s="139"/>
      <c r="BA141" s="139"/>
      <c r="BB141" s="139"/>
      <c r="BC141" s="139"/>
      <c r="BD141" s="139"/>
      <c r="BE141" s="139"/>
      <c r="BF141" s="139"/>
      <c r="BG141" s="139"/>
      <c r="BH141" s="139"/>
      <c r="BI141" s="139"/>
      <c r="BJ141" s="139"/>
      <c r="BK141" s="139"/>
      <c r="BL141" s="139"/>
      <c r="BM141" s="139"/>
      <c r="BN141" s="139"/>
      <c r="BO141" s="139"/>
      <c r="BP141" s="139"/>
      <c r="BQ141" s="139"/>
      <c r="BR141" s="139"/>
      <c r="BS141" s="139"/>
      <c r="BT141" s="139"/>
      <c r="BU141" s="139"/>
      <c r="BV141" s="139"/>
      <c r="BW141" s="139"/>
      <c r="BX141" s="139"/>
      <c r="BY141" s="139"/>
      <c r="BZ141" s="139"/>
      <c r="CA141" s="139"/>
      <c r="CB141" s="139"/>
      <c r="CC141" s="139"/>
      <c r="CD141" s="139"/>
      <c r="CE141" s="139"/>
      <c r="CF141" s="139"/>
      <c r="CG141" s="139"/>
      <c r="CH141" s="139"/>
      <c r="CI141" s="139"/>
      <c r="CJ141" s="139"/>
      <c r="CK141" s="139"/>
      <c r="CL141" s="139"/>
      <c r="CM141" s="139"/>
      <c r="CN141" s="139"/>
      <c r="CO141" s="139"/>
      <c r="CP141" s="139"/>
      <c r="CQ141" s="139"/>
      <c r="CR141" s="139"/>
      <c r="CS141" s="139"/>
    </row>
    <row r="142" spans="1:97" s="140" customFormat="1" ht="15.75" hidden="1" customHeight="1">
      <c r="A142" s="138"/>
      <c r="B142" s="138"/>
      <c r="C142" s="190">
        <v>108</v>
      </c>
      <c r="D142" s="314" t="e">
        <f>IF(VLOOKUP(C142,PROPONENTES!$B$19:$E$218,2,FALSE)="","",VLOOKUP(C142,PROPONENTES!$B$19:$E$218,2,FALSE))</f>
        <v>#N/A</v>
      </c>
      <c r="E142" s="186" t="e">
        <f>IF(D142="","",IF(D142-INT(D142)&gt;1,"",VLOOKUP(D142,PROPONENTES!$C$19:$D$218,2,FALSE)))</f>
        <v>#N/A</v>
      </c>
      <c r="F142" s="487"/>
      <c r="G142" s="187"/>
      <c r="H142" s="139"/>
      <c r="I142" s="139"/>
      <c r="J142" s="139"/>
      <c r="K142" s="139"/>
      <c r="L142" s="139"/>
      <c r="M142" s="139"/>
      <c r="N142" s="139"/>
      <c r="O142" s="139"/>
      <c r="P142" s="139"/>
      <c r="Q142" s="139"/>
      <c r="R142" s="139"/>
      <c r="S142" s="139"/>
      <c r="T142" s="139"/>
      <c r="U142" s="139"/>
      <c r="V142" s="139"/>
      <c r="W142" s="139"/>
      <c r="X142" s="139"/>
      <c r="Y142" s="139"/>
      <c r="Z142" s="139"/>
      <c r="AA142" s="139"/>
      <c r="AB142" s="139"/>
      <c r="AC142" s="139"/>
      <c r="AD142" s="139"/>
      <c r="AE142" s="139"/>
      <c r="AF142" s="139"/>
      <c r="AG142" s="139"/>
      <c r="AH142" s="139"/>
      <c r="AI142" s="139"/>
      <c r="AJ142" s="139"/>
      <c r="AK142" s="139"/>
      <c r="AL142" s="139"/>
      <c r="AM142" s="139"/>
      <c r="AN142" s="139"/>
      <c r="AO142" s="139"/>
      <c r="AP142" s="139"/>
      <c r="AQ142" s="139"/>
      <c r="AR142" s="139"/>
      <c r="AS142" s="139"/>
      <c r="AT142" s="139"/>
      <c r="AU142" s="139"/>
      <c r="AV142" s="139"/>
      <c r="AW142" s="139"/>
      <c r="AX142" s="139"/>
      <c r="AY142" s="139"/>
      <c r="AZ142" s="139"/>
      <c r="BA142" s="139"/>
      <c r="BB142" s="139"/>
      <c r="BC142" s="139"/>
      <c r="BD142" s="139"/>
      <c r="BE142" s="139"/>
      <c r="BF142" s="139"/>
      <c r="BG142" s="139"/>
      <c r="BH142" s="139"/>
      <c r="BI142" s="139"/>
      <c r="BJ142" s="139"/>
      <c r="BK142" s="139"/>
      <c r="BL142" s="139"/>
      <c r="BM142" s="139"/>
      <c r="BN142" s="139"/>
      <c r="BO142" s="139"/>
      <c r="BP142" s="139"/>
      <c r="BQ142" s="139"/>
      <c r="BR142" s="139"/>
      <c r="BS142" s="139"/>
      <c r="BT142" s="139"/>
      <c r="BU142" s="139"/>
      <c r="BV142" s="139"/>
      <c r="BW142" s="139"/>
      <c r="BX142" s="139"/>
      <c r="BY142" s="139"/>
      <c r="BZ142" s="139"/>
      <c r="CA142" s="139"/>
      <c r="CB142" s="139"/>
      <c r="CC142" s="139"/>
      <c r="CD142" s="139"/>
      <c r="CE142" s="139"/>
      <c r="CF142" s="139"/>
      <c r="CG142" s="139"/>
      <c r="CH142" s="139"/>
      <c r="CI142" s="139"/>
      <c r="CJ142" s="139"/>
      <c r="CK142" s="139"/>
      <c r="CL142" s="139"/>
      <c r="CM142" s="139"/>
      <c r="CN142" s="139"/>
      <c r="CO142" s="139"/>
      <c r="CP142" s="139"/>
      <c r="CQ142" s="139"/>
      <c r="CR142" s="139"/>
      <c r="CS142" s="139"/>
    </row>
    <row r="143" spans="1:97" s="140" customFormat="1" ht="15.75" hidden="1" customHeight="1">
      <c r="A143" s="138"/>
      <c r="B143" s="138"/>
      <c r="C143" s="190">
        <v>109</v>
      </c>
      <c r="D143" s="314" t="e">
        <f>IF(VLOOKUP(C143,PROPONENTES!$B$19:$E$218,2,FALSE)="","",VLOOKUP(C143,PROPONENTES!$B$19:$E$218,2,FALSE))</f>
        <v>#N/A</v>
      </c>
      <c r="E143" s="186" t="e">
        <f>IF(D143="","",IF(D143-INT(D143)&gt;1,"",VLOOKUP(D143,PROPONENTES!$C$19:$D$218,2,FALSE)))</f>
        <v>#N/A</v>
      </c>
      <c r="F143" s="487"/>
      <c r="G143" s="187"/>
      <c r="H143" s="139"/>
      <c r="I143" s="139"/>
      <c r="J143" s="139"/>
      <c r="K143" s="139"/>
      <c r="L143" s="139"/>
      <c r="M143" s="139"/>
      <c r="N143" s="139"/>
      <c r="O143" s="139"/>
      <c r="P143" s="139"/>
      <c r="Q143" s="139"/>
      <c r="R143" s="139"/>
      <c r="S143" s="139"/>
      <c r="T143" s="139"/>
      <c r="U143" s="139"/>
      <c r="V143" s="139"/>
      <c r="W143" s="139"/>
      <c r="X143" s="139"/>
      <c r="Y143" s="139"/>
      <c r="Z143" s="139"/>
      <c r="AA143" s="139"/>
      <c r="AB143" s="139"/>
      <c r="AC143" s="139"/>
      <c r="AD143" s="139"/>
      <c r="AE143" s="139"/>
      <c r="AF143" s="139"/>
      <c r="AG143" s="139"/>
      <c r="AH143" s="139"/>
      <c r="AI143" s="139"/>
      <c r="AJ143" s="139"/>
      <c r="AK143" s="139"/>
      <c r="AL143" s="139"/>
      <c r="AM143" s="139"/>
      <c r="AN143" s="139"/>
      <c r="AO143" s="139"/>
      <c r="AP143" s="139"/>
      <c r="AQ143" s="139"/>
      <c r="AR143" s="139"/>
      <c r="AS143" s="139"/>
      <c r="AT143" s="139"/>
      <c r="AU143" s="139"/>
      <c r="AV143" s="139"/>
      <c r="AW143" s="139"/>
      <c r="AX143" s="139"/>
      <c r="AY143" s="139"/>
      <c r="AZ143" s="139"/>
      <c r="BA143" s="139"/>
      <c r="BB143" s="139"/>
      <c r="BC143" s="139"/>
      <c r="BD143" s="139"/>
      <c r="BE143" s="139"/>
      <c r="BF143" s="139"/>
      <c r="BG143" s="139"/>
      <c r="BH143" s="139"/>
      <c r="BI143" s="139"/>
      <c r="BJ143" s="139"/>
      <c r="BK143" s="139"/>
      <c r="BL143" s="139"/>
      <c r="BM143" s="139"/>
      <c r="BN143" s="139"/>
      <c r="BO143" s="139"/>
      <c r="BP143" s="139"/>
      <c r="BQ143" s="139"/>
      <c r="BR143" s="139"/>
      <c r="BS143" s="139"/>
      <c r="BT143" s="139"/>
      <c r="BU143" s="139"/>
      <c r="BV143" s="139"/>
      <c r="BW143" s="139"/>
      <c r="BX143" s="139"/>
      <c r="BY143" s="139"/>
      <c r="BZ143" s="139"/>
      <c r="CA143" s="139"/>
      <c r="CB143" s="139"/>
      <c r="CC143" s="139"/>
      <c r="CD143" s="139"/>
      <c r="CE143" s="139"/>
      <c r="CF143" s="139"/>
      <c r="CG143" s="139"/>
      <c r="CH143" s="139"/>
      <c r="CI143" s="139"/>
      <c r="CJ143" s="139"/>
      <c r="CK143" s="139"/>
      <c r="CL143" s="139"/>
      <c r="CM143" s="139"/>
      <c r="CN143" s="139"/>
      <c r="CO143" s="139"/>
      <c r="CP143" s="139"/>
      <c r="CQ143" s="139"/>
      <c r="CR143" s="139"/>
      <c r="CS143" s="139"/>
    </row>
    <row r="144" spans="1:97" s="140" customFormat="1" ht="15.75" hidden="1" customHeight="1">
      <c r="A144" s="138"/>
      <c r="B144" s="138"/>
      <c r="C144" s="190">
        <v>110</v>
      </c>
      <c r="D144" s="314" t="e">
        <f>IF(VLOOKUP(C144,PROPONENTES!$B$19:$E$218,2,FALSE)="","",VLOOKUP(C144,PROPONENTES!$B$19:$E$218,2,FALSE))</f>
        <v>#N/A</v>
      </c>
      <c r="E144" s="186" t="e">
        <f>IF(D144="","",IF(D144-INT(D144)&gt;1,"",VLOOKUP(D144,PROPONENTES!$C$19:$D$218,2,FALSE)))</f>
        <v>#N/A</v>
      </c>
      <c r="F144" s="487"/>
      <c r="G144" s="187"/>
      <c r="H144" s="139"/>
      <c r="I144" s="139"/>
      <c r="J144" s="139"/>
      <c r="K144" s="139"/>
      <c r="L144" s="139"/>
      <c r="M144" s="139"/>
      <c r="N144" s="139"/>
      <c r="O144" s="139"/>
      <c r="P144" s="139"/>
      <c r="Q144" s="139"/>
      <c r="R144" s="139"/>
      <c r="S144" s="139"/>
      <c r="T144" s="139"/>
      <c r="U144" s="139"/>
      <c r="V144" s="139"/>
      <c r="W144" s="139"/>
      <c r="X144" s="139"/>
      <c r="Y144" s="139"/>
      <c r="Z144" s="139"/>
      <c r="AA144" s="139"/>
      <c r="AB144" s="139"/>
      <c r="AC144" s="139"/>
      <c r="AD144" s="139"/>
      <c r="AE144" s="139"/>
      <c r="AF144" s="139"/>
      <c r="AG144" s="139"/>
      <c r="AH144" s="139"/>
      <c r="AI144" s="139"/>
      <c r="AJ144" s="139"/>
      <c r="AK144" s="139"/>
      <c r="AL144" s="139"/>
      <c r="AM144" s="139"/>
      <c r="AN144" s="139"/>
      <c r="AO144" s="139"/>
      <c r="AP144" s="139"/>
      <c r="AQ144" s="139"/>
      <c r="AR144" s="139"/>
      <c r="AS144" s="139"/>
      <c r="AT144" s="139"/>
      <c r="AU144" s="139"/>
      <c r="AV144" s="139"/>
      <c r="AW144" s="139"/>
      <c r="AX144" s="139"/>
      <c r="AY144" s="139"/>
      <c r="AZ144" s="139"/>
      <c r="BA144" s="139"/>
      <c r="BB144" s="139"/>
      <c r="BC144" s="139"/>
      <c r="BD144" s="139"/>
      <c r="BE144" s="139"/>
      <c r="BF144" s="139"/>
      <c r="BG144" s="139"/>
      <c r="BH144" s="139"/>
      <c r="BI144" s="139"/>
      <c r="BJ144" s="139"/>
      <c r="BK144" s="139"/>
      <c r="BL144" s="139"/>
      <c r="BM144" s="139"/>
      <c r="BN144" s="139"/>
      <c r="BO144" s="139"/>
      <c r="BP144" s="139"/>
      <c r="BQ144" s="139"/>
      <c r="BR144" s="139"/>
      <c r="BS144" s="139"/>
      <c r="BT144" s="139"/>
      <c r="BU144" s="139"/>
      <c r="BV144" s="139"/>
      <c r="BW144" s="139"/>
      <c r="BX144" s="139"/>
      <c r="BY144" s="139"/>
      <c r="BZ144" s="139"/>
      <c r="CA144" s="139"/>
      <c r="CB144" s="139"/>
      <c r="CC144" s="139"/>
      <c r="CD144" s="139"/>
      <c r="CE144" s="139"/>
      <c r="CF144" s="139"/>
      <c r="CG144" s="139"/>
      <c r="CH144" s="139"/>
      <c r="CI144" s="139"/>
      <c r="CJ144" s="139"/>
      <c r="CK144" s="139"/>
      <c r="CL144" s="139"/>
      <c r="CM144" s="139"/>
      <c r="CN144" s="139"/>
      <c r="CO144" s="139"/>
      <c r="CP144" s="139"/>
      <c r="CQ144" s="139"/>
      <c r="CR144" s="139"/>
      <c r="CS144" s="139"/>
    </row>
    <row r="145" spans="1:97" s="140" customFormat="1" ht="15.75" hidden="1" customHeight="1">
      <c r="A145" s="138"/>
      <c r="B145" s="138"/>
      <c r="C145" s="190">
        <v>111</v>
      </c>
      <c r="D145" s="314" t="e">
        <f>IF(VLOOKUP(C145,PROPONENTES!$B$19:$E$218,2,FALSE)="","",VLOOKUP(C145,PROPONENTES!$B$19:$E$218,2,FALSE))</f>
        <v>#N/A</v>
      </c>
      <c r="E145" s="186" t="e">
        <f>IF(D145="","",IF(D145-INT(D145)&gt;1,"",VLOOKUP(D145,PROPONENTES!$C$19:$D$218,2,FALSE)))</f>
        <v>#N/A</v>
      </c>
      <c r="F145" s="487"/>
      <c r="G145" s="187"/>
      <c r="H145" s="139"/>
      <c r="I145" s="139"/>
      <c r="J145" s="139"/>
      <c r="K145" s="139"/>
      <c r="L145" s="139"/>
      <c r="M145" s="139"/>
      <c r="N145" s="139"/>
      <c r="O145" s="139"/>
      <c r="P145" s="139"/>
      <c r="Q145" s="139"/>
      <c r="R145" s="139"/>
      <c r="S145" s="139"/>
      <c r="T145" s="139"/>
      <c r="U145" s="139"/>
      <c r="V145" s="139"/>
      <c r="W145" s="139"/>
      <c r="X145" s="139"/>
      <c r="Y145" s="139"/>
      <c r="Z145" s="139"/>
      <c r="AA145" s="139"/>
      <c r="AB145" s="139"/>
      <c r="AC145" s="139"/>
      <c r="AD145" s="139"/>
      <c r="AE145" s="139"/>
      <c r="AF145" s="139"/>
      <c r="AG145" s="139"/>
      <c r="AH145" s="139"/>
      <c r="AI145" s="139"/>
      <c r="AJ145" s="139"/>
      <c r="AK145" s="139"/>
      <c r="AL145" s="139"/>
      <c r="AM145" s="139"/>
      <c r="AN145" s="139"/>
      <c r="AO145" s="139"/>
      <c r="AP145" s="139"/>
      <c r="AQ145" s="139"/>
      <c r="AR145" s="139"/>
      <c r="AS145" s="139"/>
      <c r="AT145" s="139"/>
      <c r="AU145" s="139"/>
      <c r="AV145" s="139"/>
      <c r="AW145" s="139"/>
      <c r="AX145" s="139"/>
      <c r="AY145" s="139"/>
      <c r="AZ145" s="139"/>
      <c r="BA145" s="139"/>
      <c r="BB145" s="139"/>
      <c r="BC145" s="139"/>
      <c r="BD145" s="139"/>
      <c r="BE145" s="139"/>
      <c r="BF145" s="139"/>
      <c r="BG145" s="139"/>
      <c r="BH145" s="139"/>
      <c r="BI145" s="139"/>
      <c r="BJ145" s="139"/>
      <c r="BK145" s="139"/>
      <c r="BL145" s="139"/>
      <c r="BM145" s="139"/>
      <c r="BN145" s="139"/>
      <c r="BO145" s="139"/>
      <c r="BP145" s="139"/>
      <c r="BQ145" s="139"/>
      <c r="BR145" s="139"/>
      <c r="BS145" s="139"/>
      <c r="BT145" s="139"/>
      <c r="BU145" s="139"/>
      <c r="BV145" s="139"/>
      <c r="BW145" s="139"/>
      <c r="BX145" s="139"/>
      <c r="BY145" s="139"/>
      <c r="BZ145" s="139"/>
      <c r="CA145" s="139"/>
      <c r="CB145" s="139"/>
      <c r="CC145" s="139"/>
      <c r="CD145" s="139"/>
      <c r="CE145" s="139"/>
      <c r="CF145" s="139"/>
      <c r="CG145" s="139"/>
      <c r="CH145" s="139"/>
      <c r="CI145" s="139"/>
      <c r="CJ145" s="139"/>
      <c r="CK145" s="139"/>
      <c r="CL145" s="139"/>
      <c r="CM145" s="139"/>
      <c r="CN145" s="139"/>
      <c r="CO145" s="139"/>
      <c r="CP145" s="139"/>
      <c r="CQ145" s="139"/>
      <c r="CR145" s="139"/>
      <c r="CS145" s="139"/>
    </row>
    <row r="146" spans="1:97" s="140" customFormat="1" ht="15.75" hidden="1" customHeight="1">
      <c r="A146" s="138"/>
      <c r="B146" s="138"/>
      <c r="C146" s="190">
        <v>112</v>
      </c>
      <c r="D146" s="314" t="e">
        <f>IF(VLOOKUP(C146,PROPONENTES!$B$19:$E$218,2,FALSE)="","",VLOOKUP(C146,PROPONENTES!$B$19:$E$218,2,FALSE))</f>
        <v>#N/A</v>
      </c>
      <c r="E146" s="186" t="e">
        <f>IF(D146="","",IF(D146-INT(D146)&gt;1,"",VLOOKUP(D146,PROPONENTES!$C$19:$D$218,2,FALSE)))</f>
        <v>#N/A</v>
      </c>
      <c r="F146" s="487"/>
      <c r="G146" s="187"/>
      <c r="H146" s="139"/>
      <c r="I146" s="139"/>
      <c r="J146" s="139"/>
      <c r="K146" s="139"/>
      <c r="L146" s="139"/>
      <c r="M146" s="139"/>
      <c r="N146" s="139"/>
      <c r="O146" s="139"/>
      <c r="P146" s="139"/>
      <c r="Q146" s="139"/>
      <c r="R146" s="139"/>
      <c r="S146" s="139"/>
      <c r="T146" s="139"/>
      <c r="U146" s="139"/>
      <c r="V146" s="139"/>
      <c r="W146" s="139"/>
      <c r="X146" s="139"/>
      <c r="Y146" s="139"/>
      <c r="Z146" s="139"/>
      <c r="AA146" s="139"/>
      <c r="AB146" s="139"/>
      <c r="AC146" s="139"/>
      <c r="AD146" s="139"/>
      <c r="AE146" s="139"/>
      <c r="AF146" s="139"/>
      <c r="AG146" s="139"/>
      <c r="AH146" s="139"/>
      <c r="AI146" s="139"/>
      <c r="AJ146" s="139"/>
      <c r="AK146" s="139"/>
      <c r="AL146" s="139"/>
      <c r="AM146" s="139"/>
      <c r="AN146" s="139"/>
      <c r="AO146" s="139"/>
      <c r="AP146" s="139"/>
      <c r="AQ146" s="139"/>
      <c r="AR146" s="139"/>
      <c r="AS146" s="139"/>
      <c r="AT146" s="139"/>
      <c r="AU146" s="139"/>
      <c r="AV146" s="139"/>
      <c r="AW146" s="139"/>
      <c r="AX146" s="139"/>
      <c r="AY146" s="139"/>
      <c r="AZ146" s="139"/>
      <c r="BA146" s="139"/>
      <c r="BB146" s="139"/>
      <c r="BC146" s="139"/>
      <c r="BD146" s="139"/>
      <c r="BE146" s="139"/>
      <c r="BF146" s="139"/>
      <c r="BG146" s="139"/>
      <c r="BH146" s="139"/>
      <c r="BI146" s="139"/>
      <c r="BJ146" s="139"/>
      <c r="BK146" s="139"/>
      <c r="BL146" s="139"/>
      <c r="BM146" s="139"/>
      <c r="BN146" s="139"/>
      <c r="BO146" s="139"/>
      <c r="BP146" s="139"/>
      <c r="BQ146" s="139"/>
      <c r="BR146" s="139"/>
      <c r="BS146" s="139"/>
      <c r="BT146" s="139"/>
      <c r="BU146" s="139"/>
      <c r="BV146" s="139"/>
      <c r="BW146" s="139"/>
      <c r="BX146" s="139"/>
      <c r="BY146" s="139"/>
      <c r="BZ146" s="139"/>
      <c r="CA146" s="139"/>
      <c r="CB146" s="139"/>
      <c r="CC146" s="139"/>
      <c r="CD146" s="139"/>
      <c r="CE146" s="139"/>
      <c r="CF146" s="139"/>
      <c r="CG146" s="139"/>
      <c r="CH146" s="139"/>
      <c r="CI146" s="139"/>
      <c r="CJ146" s="139"/>
      <c r="CK146" s="139"/>
      <c r="CL146" s="139"/>
      <c r="CM146" s="139"/>
      <c r="CN146" s="139"/>
      <c r="CO146" s="139"/>
      <c r="CP146" s="139"/>
      <c r="CQ146" s="139"/>
      <c r="CR146" s="139"/>
      <c r="CS146" s="139"/>
    </row>
    <row r="147" spans="1:97" s="140" customFormat="1" ht="15.75" hidden="1" customHeight="1">
      <c r="A147" s="138"/>
      <c r="B147" s="138"/>
      <c r="C147" s="190">
        <v>113</v>
      </c>
      <c r="D147" s="314" t="e">
        <f>IF(VLOOKUP(C147,PROPONENTES!$B$19:$E$218,2,FALSE)="","",VLOOKUP(C147,PROPONENTES!$B$19:$E$218,2,FALSE))</f>
        <v>#N/A</v>
      </c>
      <c r="E147" s="186" t="e">
        <f>IF(D147="","",IF(D147-INT(D147)&gt;1,"",VLOOKUP(D147,PROPONENTES!$C$19:$D$218,2,FALSE)))</f>
        <v>#N/A</v>
      </c>
      <c r="F147" s="487"/>
      <c r="G147" s="187"/>
      <c r="H147" s="139"/>
      <c r="I147" s="139"/>
      <c r="J147" s="139"/>
      <c r="K147" s="139"/>
      <c r="L147" s="139"/>
      <c r="M147" s="139"/>
      <c r="N147" s="139"/>
      <c r="O147" s="139"/>
      <c r="P147" s="139"/>
      <c r="Q147" s="139"/>
      <c r="R147" s="139"/>
      <c r="S147" s="139"/>
      <c r="T147" s="139"/>
      <c r="U147" s="139"/>
      <c r="V147" s="139"/>
      <c r="W147" s="139"/>
      <c r="X147" s="139"/>
      <c r="Y147" s="139"/>
      <c r="Z147" s="139"/>
      <c r="AA147" s="139"/>
      <c r="AB147" s="139"/>
      <c r="AC147" s="139"/>
      <c r="AD147" s="139"/>
      <c r="AE147" s="139"/>
      <c r="AF147" s="139"/>
      <c r="AG147" s="139"/>
      <c r="AH147" s="139"/>
      <c r="AI147" s="139"/>
      <c r="AJ147" s="139"/>
      <c r="AK147" s="139"/>
      <c r="AL147" s="139"/>
      <c r="AM147" s="139"/>
      <c r="AN147" s="139"/>
      <c r="AO147" s="139"/>
      <c r="AP147" s="139"/>
      <c r="AQ147" s="139"/>
      <c r="AR147" s="139"/>
      <c r="AS147" s="139"/>
      <c r="AT147" s="139"/>
      <c r="AU147" s="139"/>
      <c r="AV147" s="139"/>
      <c r="AW147" s="139"/>
      <c r="AX147" s="139"/>
      <c r="AY147" s="139"/>
      <c r="AZ147" s="139"/>
      <c r="BA147" s="139"/>
      <c r="BB147" s="139"/>
      <c r="BC147" s="139"/>
      <c r="BD147" s="139"/>
      <c r="BE147" s="139"/>
      <c r="BF147" s="139"/>
      <c r="BG147" s="139"/>
      <c r="BH147" s="139"/>
      <c r="BI147" s="139"/>
      <c r="BJ147" s="139"/>
      <c r="BK147" s="139"/>
      <c r="BL147" s="139"/>
      <c r="BM147" s="139"/>
      <c r="BN147" s="139"/>
      <c r="BO147" s="139"/>
      <c r="BP147" s="139"/>
      <c r="BQ147" s="139"/>
      <c r="BR147" s="139"/>
      <c r="BS147" s="139"/>
      <c r="BT147" s="139"/>
      <c r="BU147" s="139"/>
      <c r="BV147" s="139"/>
      <c r="BW147" s="139"/>
      <c r="BX147" s="139"/>
      <c r="BY147" s="139"/>
      <c r="BZ147" s="139"/>
      <c r="CA147" s="139"/>
      <c r="CB147" s="139"/>
      <c r="CC147" s="139"/>
      <c r="CD147" s="139"/>
      <c r="CE147" s="139"/>
      <c r="CF147" s="139"/>
      <c r="CG147" s="139"/>
      <c r="CH147" s="139"/>
      <c r="CI147" s="139"/>
      <c r="CJ147" s="139"/>
      <c r="CK147" s="139"/>
      <c r="CL147" s="139"/>
      <c r="CM147" s="139"/>
      <c r="CN147" s="139"/>
      <c r="CO147" s="139"/>
      <c r="CP147" s="139"/>
      <c r="CQ147" s="139"/>
      <c r="CR147" s="139"/>
      <c r="CS147" s="139"/>
    </row>
    <row r="148" spans="1:97" s="140" customFormat="1" ht="15.75" hidden="1" customHeight="1">
      <c r="A148" s="138"/>
      <c r="B148" s="138"/>
      <c r="C148" s="190">
        <v>114</v>
      </c>
      <c r="D148" s="314" t="e">
        <f>IF(VLOOKUP(C148,PROPONENTES!$B$19:$E$218,2,FALSE)="","",VLOOKUP(C148,PROPONENTES!$B$19:$E$218,2,FALSE))</f>
        <v>#N/A</v>
      </c>
      <c r="E148" s="186" t="e">
        <f>IF(D148="","",IF(D148-INT(D148)&gt;1,"",VLOOKUP(D148,PROPONENTES!$C$19:$D$218,2,FALSE)))</f>
        <v>#N/A</v>
      </c>
      <c r="F148" s="487"/>
      <c r="G148" s="187"/>
      <c r="H148" s="139"/>
      <c r="I148" s="139"/>
      <c r="J148" s="139"/>
      <c r="K148" s="139"/>
      <c r="L148" s="139"/>
      <c r="M148" s="139"/>
      <c r="N148" s="139"/>
      <c r="O148" s="139"/>
      <c r="P148" s="139"/>
      <c r="Q148" s="139"/>
      <c r="R148" s="139"/>
      <c r="S148" s="139"/>
      <c r="T148" s="139"/>
      <c r="U148" s="139"/>
      <c r="V148" s="139"/>
      <c r="W148" s="139"/>
      <c r="X148" s="139"/>
      <c r="Y148" s="139"/>
      <c r="Z148" s="139"/>
      <c r="AA148" s="139"/>
      <c r="AB148" s="139"/>
      <c r="AC148" s="139"/>
      <c r="AD148" s="139"/>
      <c r="AE148" s="139"/>
      <c r="AF148" s="139"/>
      <c r="AG148" s="139"/>
      <c r="AH148" s="139"/>
      <c r="AI148" s="139"/>
      <c r="AJ148" s="139"/>
      <c r="AK148" s="139"/>
      <c r="AL148" s="139"/>
      <c r="AM148" s="139"/>
      <c r="AN148" s="139"/>
      <c r="AO148" s="139"/>
      <c r="AP148" s="139"/>
      <c r="AQ148" s="139"/>
      <c r="AR148" s="139"/>
      <c r="AS148" s="139"/>
      <c r="AT148" s="139"/>
      <c r="AU148" s="139"/>
      <c r="AV148" s="139"/>
      <c r="AW148" s="139"/>
      <c r="AX148" s="139"/>
      <c r="AY148" s="139"/>
      <c r="AZ148" s="139"/>
      <c r="BA148" s="139"/>
      <c r="BB148" s="139"/>
      <c r="BC148" s="139"/>
      <c r="BD148" s="139"/>
      <c r="BE148" s="139"/>
      <c r="BF148" s="139"/>
      <c r="BG148" s="139"/>
      <c r="BH148" s="139"/>
      <c r="BI148" s="139"/>
      <c r="BJ148" s="139"/>
      <c r="BK148" s="139"/>
      <c r="BL148" s="139"/>
      <c r="BM148" s="139"/>
      <c r="BN148" s="139"/>
      <c r="BO148" s="139"/>
      <c r="BP148" s="139"/>
      <c r="BQ148" s="139"/>
      <c r="BR148" s="139"/>
      <c r="BS148" s="139"/>
      <c r="BT148" s="139"/>
      <c r="BU148" s="139"/>
      <c r="BV148" s="139"/>
      <c r="BW148" s="139"/>
      <c r="BX148" s="139"/>
      <c r="BY148" s="139"/>
      <c r="BZ148" s="139"/>
      <c r="CA148" s="139"/>
      <c r="CB148" s="139"/>
      <c r="CC148" s="139"/>
      <c r="CD148" s="139"/>
      <c r="CE148" s="139"/>
      <c r="CF148" s="139"/>
      <c r="CG148" s="139"/>
      <c r="CH148" s="139"/>
      <c r="CI148" s="139"/>
      <c r="CJ148" s="139"/>
      <c r="CK148" s="139"/>
      <c r="CL148" s="139"/>
      <c r="CM148" s="139"/>
      <c r="CN148" s="139"/>
      <c r="CO148" s="139"/>
      <c r="CP148" s="139"/>
      <c r="CQ148" s="139"/>
      <c r="CR148" s="139"/>
      <c r="CS148" s="139"/>
    </row>
    <row r="149" spans="1:97" s="140" customFormat="1" ht="15.75" hidden="1" customHeight="1">
      <c r="A149" s="138"/>
      <c r="B149" s="138"/>
      <c r="C149" s="190">
        <v>115</v>
      </c>
      <c r="D149" s="314" t="e">
        <f>IF(VLOOKUP(C149,PROPONENTES!$B$19:$E$218,2,FALSE)="","",VLOOKUP(C149,PROPONENTES!$B$19:$E$218,2,FALSE))</f>
        <v>#N/A</v>
      </c>
      <c r="E149" s="186" t="e">
        <f>IF(D149="","",IF(D149-INT(D149)&gt;1,"",VLOOKUP(D149,PROPONENTES!$C$19:$D$218,2,FALSE)))</f>
        <v>#N/A</v>
      </c>
      <c r="F149" s="487"/>
      <c r="G149" s="187"/>
      <c r="H149" s="139"/>
      <c r="I149" s="139"/>
      <c r="J149" s="139"/>
      <c r="K149" s="139"/>
      <c r="L149" s="139"/>
      <c r="M149" s="139"/>
      <c r="N149" s="139"/>
      <c r="O149" s="139"/>
      <c r="P149" s="139"/>
      <c r="Q149" s="139"/>
      <c r="R149" s="139"/>
      <c r="S149" s="139"/>
      <c r="T149" s="139"/>
      <c r="U149" s="139"/>
      <c r="V149" s="139"/>
      <c r="W149" s="139"/>
      <c r="X149" s="139"/>
      <c r="Y149" s="139"/>
      <c r="Z149" s="139"/>
      <c r="AA149" s="139"/>
      <c r="AB149" s="139"/>
      <c r="AC149" s="139"/>
      <c r="AD149" s="139"/>
      <c r="AE149" s="139"/>
      <c r="AF149" s="139"/>
      <c r="AG149" s="139"/>
      <c r="AH149" s="139"/>
      <c r="AI149" s="139"/>
      <c r="AJ149" s="139"/>
      <c r="AK149" s="139"/>
      <c r="AL149" s="139"/>
      <c r="AM149" s="139"/>
      <c r="AN149" s="139"/>
      <c r="AO149" s="139"/>
      <c r="AP149" s="139"/>
      <c r="AQ149" s="139"/>
      <c r="AR149" s="139"/>
      <c r="AS149" s="139"/>
      <c r="AT149" s="139"/>
      <c r="AU149" s="139"/>
      <c r="AV149" s="139"/>
      <c r="AW149" s="139"/>
      <c r="AX149" s="139"/>
      <c r="AY149" s="139"/>
      <c r="AZ149" s="139"/>
      <c r="BA149" s="139"/>
      <c r="BB149" s="139"/>
      <c r="BC149" s="139"/>
      <c r="BD149" s="139"/>
      <c r="BE149" s="139"/>
      <c r="BF149" s="139"/>
      <c r="BG149" s="139"/>
      <c r="BH149" s="139"/>
      <c r="BI149" s="139"/>
      <c r="BJ149" s="139"/>
      <c r="BK149" s="139"/>
      <c r="BL149" s="139"/>
      <c r="BM149" s="139"/>
      <c r="BN149" s="139"/>
      <c r="BO149" s="139"/>
      <c r="BP149" s="139"/>
      <c r="BQ149" s="139"/>
      <c r="BR149" s="139"/>
      <c r="BS149" s="139"/>
      <c r="BT149" s="139"/>
      <c r="BU149" s="139"/>
      <c r="BV149" s="139"/>
      <c r="BW149" s="139"/>
      <c r="BX149" s="139"/>
      <c r="BY149" s="139"/>
      <c r="BZ149" s="139"/>
      <c r="CA149" s="139"/>
      <c r="CB149" s="139"/>
      <c r="CC149" s="139"/>
      <c r="CD149" s="139"/>
      <c r="CE149" s="139"/>
      <c r="CF149" s="139"/>
      <c r="CG149" s="139"/>
      <c r="CH149" s="139"/>
      <c r="CI149" s="139"/>
      <c r="CJ149" s="139"/>
      <c r="CK149" s="139"/>
      <c r="CL149" s="139"/>
      <c r="CM149" s="139"/>
      <c r="CN149" s="139"/>
      <c r="CO149" s="139"/>
      <c r="CP149" s="139"/>
      <c r="CQ149" s="139"/>
      <c r="CR149" s="139"/>
      <c r="CS149" s="139"/>
    </row>
    <row r="150" spans="1:97" s="140" customFormat="1" ht="15.75" hidden="1" customHeight="1">
      <c r="A150" s="138"/>
      <c r="B150" s="138"/>
      <c r="C150" s="190">
        <v>116</v>
      </c>
      <c r="D150" s="314" t="e">
        <f>IF(VLOOKUP(C150,PROPONENTES!$B$19:$E$218,2,FALSE)="","",VLOOKUP(C150,PROPONENTES!$B$19:$E$218,2,FALSE))</f>
        <v>#N/A</v>
      </c>
      <c r="E150" s="186" t="e">
        <f>IF(D150="","",IF(D150-INT(D150)&gt;1,"",VLOOKUP(D150,PROPONENTES!$C$19:$D$218,2,FALSE)))</f>
        <v>#N/A</v>
      </c>
      <c r="F150" s="487"/>
      <c r="G150" s="187"/>
      <c r="H150" s="139"/>
      <c r="I150" s="139"/>
      <c r="J150" s="139"/>
      <c r="K150" s="139"/>
      <c r="L150" s="139"/>
      <c r="M150" s="139"/>
      <c r="N150" s="139"/>
      <c r="O150" s="139"/>
      <c r="P150" s="139"/>
      <c r="Q150" s="139"/>
      <c r="R150" s="139"/>
      <c r="S150" s="139"/>
      <c r="T150" s="139"/>
      <c r="U150" s="139"/>
      <c r="V150" s="139"/>
      <c r="W150" s="139"/>
      <c r="X150" s="139"/>
      <c r="Y150" s="139"/>
      <c r="Z150" s="139"/>
      <c r="AA150" s="139"/>
      <c r="AB150" s="139"/>
      <c r="AC150" s="139"/>
      <c r="AD150" s="139"/>
      <c r="AE150" s="139"/>
      <c r="AF150" s="139"/>
      <c r="AG150" s="139"/>
      <c r="AH150" s="139"/>
      <c r="AI150" s="139"/>
      <c r="AJ150" s="139"/>
      <c r="AK150" s="139"/>
      <c r="AL150" s="139"/>
      <c r="AM150" s="139"/>
      <c r="AN150" s="139"/>
      <c r="AO150" s="139"/>
      <c r="AP150" s="139"/>
      <c r="AQ150" s="139"/>
      <c r="AR150" s="139"/>
      <c r="AS150" s="139"/>
      <c r="AT150" s="139"/>
      <c r="AU150" s="139"/>
      <c r="AV150" s="139"/>
      <c r="AW150" s="139"/>
      <c r="AX150" s="139"/>
      <c r="AY150" s="139"/>
      <c r="AZ150" s="139"/>
      <c r="BA150" s="139"/>
      <c r="BB150" s="139"/>
      <c r="BC150" s="139"/>
      <c r="BD150" s="139"/>
      <c r="BE150" s="139"/>
      <c r="BF150" s="139"/>
      <c r="BG150" s="139"/>
      <c r="BH150" s="139"/>
      <c r="BI150" s="139"/>
      <c r="BJ150" s="139"/>
      <c r="BK150" s="139"/>
      <c r="BL150" s="139"/>
      <c r="BM150" s="139"/>
      <c r="BN150" s="139"/>
      <c r="BO150" s="139"/>
      <c r="BP150" s="139"/>
      <c r="BQ150" s="139"/>
      <c r="BR150" s="139"/>
      <c r="BS150" s="139"/>
      <c r="BT150" s="139"/>
      <c r="BU150" s="139"/>
      <c r="BV150" s="139"/>
      <c r="BW150" s="139"/>
      <c r="BX150" s="139"/>
      <c r="BY150" s="139"/>
      <c r="BZ150" s="139"/>
      <c r="CA150" s="139"/>
      <c r="CB150" s="139"/>
      <c r="CC150" s="139"/>
      <c r="CD150" s="139"/>
      <c r="CE150" s="139"/>
      <c r="CF150" s="139"/>
      <c r="CG150" s="139"/>
      <c r="CH150" s="139"/>
      <c r="CI150" s="139"/>
      <c r="CJ150" s="139"/>
      <c r="CK150" s="139"/>
      <c r="CL150" s="139"/>
      <c r="CM150" s="139"/>
      <c r="CN150" s="139"/>
      <c r="CO150" s="139"/>
      <c r="CP150" s="139"/>
      <c r="CQ150" s="139"/>
      <c r="CR150" s="139"/>
      <c r="CS150" s="139"/>
    </row>
    <row r="151" spans="1:97" s="140" customFormat="1" ht="15.75" hidden="1" customHeight="1">
      <c r="A151" s="138"/>
      <c r="B151" s="138"/>
      <c r="C151" s="190">
        <v>117</v>
      </c>
      <c r="D151" s="314" t="e">
        <f>IF(VLOOKUP(C151,PROPONENTES!$B$19:$E$218,2,FALSE)="","",VLOOKUP(C151,PROPONENTES!$B$19:$E$218,2,FALSE))</f>
        <v>#N/A</v>
      </c>
      <c r="E151" s="186" t="e">
        <f>IF(D151="","",IF(D151-INT(D151)&gt;1,"",VLOOKUP(D151,PROPONENTES!$C$19:$D$218,2,FALSE)))</f>
        <v>#N/A</v>
      </c>
      <c r="F151" s="487"/>
      <c r="G151" s="187"/>
      <c r="H151" s="139"/>
      <c r="I151" s="139"/>
      <c r="J151" s="139"/>
      <c r="K151" s="139"/>
      <c r="L151" s="139"/>
      <c r="M151" s="139"/>
      <c r="N151" s="139"/>
      <c r="O151" s="139"/>
      <c r="P151" s="139"/>
      <c r="Q151" s="139"/>
      <c r="R151" s="139"/>
      <c r="S151" s="139"/>
      <c r="T151" s="139"/>
      <c r="U151" s="139"/>
      <c r="V151" s="139"/>
      <c r="W151" s="139"/>
      <c r="X151" s="139"/>
      <c r="Y151" s="139"/>
      <c r="Z151" s="139"/>
      <c r="AA151" s="139"/>
      <c r="AB151" s="139"/>
      <c r="AC151" s="139"/>
      <c r="AD151" s="139"/>
      <c r="AE151" s="139"/>
      <c r="AF151" s="139"/>
      <c r="AG151" s="139"/>
      <c r="AH151" s="139"/>
      <c r="AI151" s="139"/>
      <c r="AJ151" s="139"/>
      <c r="AK151" s="139"/>
      <c r="AL151" s="139"/>
      <c r="AM151" s="139"/>
      <c r="AN151" s="139"/>
      <c r="AO151" s="139"/>
      <c r="AP151" s="139"/>
      <c r="AQ151" s="139"/>
      <c r="AR151" s="139"/>
      <c r="AS151" s="139"/>
      <c r="AT151" s="139"/>
      <c r="AU151" s="139"/>
      <c r="AV151" s="139"/>
      <c r="AW151" s="139"/>
      <c r="AX151" s="139"/>
      <c r="AY151" s="139"/>
      <c r="AZ151" s="139"/>
      <c r="BA151" s="139"/>
      <c r="BB151" s="139"/>
      <c r="BC151" s="139"/>
      <c r="BD151" s="139"/>
      <c r="BE151" s="139"/>
      <c r="BF151" s="139"/>
      <c r="BG151" s="139"/>
      <c r="BH151" s="139"/>
      <c r="BI151" s="139"/>
      <c r="BJ151" s="139"/>
      <c r="BK151" s="139"/>
      <c r="BL151" s="139"/>
      <c r="BM151" s="139"/>
      <c r="BN151" s="139"/>
      <c r="BO151" s="139"/>
      <c r="BP151" s="139"/>
      <c r="BQ151" s="139"/>
      <c r="BR151" s="139"/>
      <c r="BS151" s="139"/>
      <c r="BT151" s="139"/>
      <c r="BU151" s="139"/>
      <c r="BV151" s="139"/>
      <c r="BW151" s="139"/>
      <c r="BX151" s="139"/>
      <c r="BY151" s="139"/>
      <c r="BZ151" s="139"/>
      <c r="CA151" s="139"/>
      <c r="CB151" s="139"/>
      <c r="CC151" s="139"/>
      <c r="CD151" s="139"/>
      <c r="CE151" s="139"/>
      <c r="CF151" s="139"/>
      <c r="CG151" s="139"/>
      <c r="CH151" s="139"/>
      <c r="CI151" s="139"/>
      <c r="CJ151" s="139"/>
      <c r="CK151" s="139"/>
      <c r="CL151" s="139"/>
      <c r="CM151" s="139"/>
      <c r="CN151" s="139"/>
      <c r="CO151" s="139"/>
      <c r="CP151" s="139"/>
      <c r="CQ151" s="139"/>
      <c r="CR151" s="139"/>
      <c r="CS151" s="139"/>
    </row>
    <row r="152" spans="1:97" s="140" customFormat="1" ht="15.75" hidden="1" customHeight="1">
      <c r="A152" s="138"/>
      <c r="B152" s="138"/>
      <c r="C152" s="190">
        <v>118</v>
      </c>
      <c r="D152" s="314" t="e">
        <f>IF(VLOOKUP(C152,PROPONENTES!$B$19:$E$218,2,FALSE)="","",VLOOKUP(C152,PROPONENTES!$B$19:$E$218,2,FALSE))</f>
        <v>#N/A</v>
      </c>
      <c r="E152" s="186" t="e">
        <f>IF(D152="","",IF(D152-INT(D152)&gt;1,"",VLOOKUP(D152,PROPONENTES!$C$19:$D$218,2,FALSE)))</f>
        <v>#N/A</v>
      </c>
      <c r="F152" s="487"/>
      <c r="G152" s="187"/>
      <c r="H152" s="139"/>
      <c r="I152" s="139"/>
      <c r="J152" s="139"/>
      <c r="K152" s="139"/>
      <c r="L152" s="139"/>
      <c r="M152" s="139"/>
      <c r="N152" s="139"/>
      <c r="O152" s="139"/>
      <c r="P152" s="139"/>
      <c r="Q152" s="139"/>
      <c r="R152" s="139"/>
      <c r="S152" s="139"/>
      <c r="T152" s="139"/>
      <c r="U152" s="139"/>
      <c r="V152" s="139"/>
      <c r="W152" s="139"/>
      <c r="X152" s="139"/>
      <c r="Y152" s="139"/>
      <c r="Z152" s="139"/>
      <c r="AA152" s="139"/>
      <c r="AB152" s="139"/>
      <c r="AC152" s="139"/>
      <c r="AD152" s="139"/>
      <c r="AE152" s="139"/>
      <c r="AF152" s="139"/>
      <c r="AG152" s="139"/>
      <c r="AH152" s="139"/>
      <c r="AI152" s="139"/>
      <c r="AJ152" s="139"/>
      <c r="AK152" s="139"/>
      <c r="AL152" s="139"/>
      <c r="AM152" s="139"/>
      <c r="AN152" s="139"/>
      <c r="AO152" s="139"/>
      <c r="AP152" s="139"/>
      <c r="AQ152" s="139"/>
      <c r="AR152" s="139"/>
      <c r="AS152" s="139"/>
      <c r="AT152" s="139"/>
      <c r="AU152" s="139"/>
      <c r="AV152" s="139"/>
      <c r="AW152" s="139"/>
      <c r="AX152" s="139"/>
      <c r="AY152" s="139"/>
      <c r="AZ152" s="139"/>
      <c r="BA152" s="139"/>
      <c r="BB152" s="139"/>
      <c r="BC152" s="139"/>
      <c r="BD152" s="139"/>
      <c r="BE152" s="139"/>
      <c r="BF152" s="139"/>
      <c r="BG152" s="139"/>
      <c r="BH152" s="139"/>
      <c r="BI152" s="139"/>
      <c r="BJ152" s="139"/>
      <c r="BK152" s="139"/>
      <c r="BL152" s="139"/>
      <c r="BM152" s="139"/>
      <c r="BN152" s="139"/>
      <c r="BO152" s="139"/>
      <c r="BP152" s="139"/>
      <c r="BQ152" s="139"/>
      <c r="BR152" s="139"/>
      <c r="BS152" s="139"/>
      <c r="BT152" s="139"/>
      <c r="BU152" s="139"/>
      <c r="BV152" s="139"/>
      <c r="BW152" s="139"/>
      <c r="BX152" s="139"/>
      <c r="BY152" s="139"/>
      <c r="BZ152" s="139"/>
      <c r="CA152" s="139"/>
      <c r="CB152" s="139"/>
      <c r="CC152" s="139"/>
      <c r="CD152" s="139"/>
      <c r="CE152" s="139"/>
      <c r="CF152" s="139"/>
      <c r="CG152" s="139"/>
      <c r="CH152" s="139"/>
      <c r="CI152" s="139"/>
      <c r="CJ152" s="139"/>
      <c r="CK152" s="139"/>
      <c r="CL152" s="139"/>
      <c r="CM152" s="139"/>
      <c r="CN152" s="139"/>
      <c r="CO152" s="139"/>
      <c r="CP152" s="139"/>
      <c r="CQ152" s="139"/>
      <c r="CR152" s="139"/>
      <c r="CS152" s="139"/>
    </row>
    <row r="153" spans="1:97" s="140" customFormat="1" ht="15.75" hidden="1" customHeight="1">
      <c r="A153" s="138"/>
      <c r="B153" s="138"/>
      <c r="C153" s="190">
        <v>119</v>
      </c>
      <c r="D153" s="314" t="e">
        <f>IF(VLOOKUP(C153,PROPONENTES!$B$19:$E$218,2,FALSE)="","",VLOOKUP(C153,PROPONENTES!$B$19:$E$218,2,FALSE))</f>
        <v>#N/A</v>
      </c>
      <c r="E153" s="186" t="e">
        <f>IF(D153="","",IF(D153-INT(D153)&gt;1,"",VLOOKUP(D153,PROPONENTES!$C$19:$D$218,2,FALSE)))</f>
        <v>#N/A</v>
      </c>
      <c r="F153" s="487"/>
      <c r="G153" s="187"/>
      <c r="H153" s="139"/>
      <c r="I153" s="139"/>
      <c r="J153" s="139"/>
      <c r="K153" s="139"/>
      <c r="L153" s="139"/>
      <c r="M153" s="139"/>
      <c r="N153" s="139"/>
      <c r="O153" s="139"/>
      <c r="P153" s="139"/>
      <c r="Q153" s="139"/>
      <c r="R153" s="139"/>
      <c r="S153" s="139"/>
      <c r="T153" s="139"/>
      <c r="U153" s="139"/>
      <c r="V153" s="139"/>
      <c r="W153" s="139"/>
      <c r="X153" s="139"/>
      <c r="Y153" s="139"/>
      <c r="Z153" s="139"/>
      <c r="AA153" s="139"/>
      <c r="AB153" s="139"/>
      <c r="AC153" s="139"/>
      <c r="AD153" s="139"/>
      <c r="AE153" s="139"/>
      <c r="AF153" s="139"/>
      <c r="AG153" s="139"/>
      <c r="AH153" s="139"/>
      <c r="AI153" s="139"/>
      <c r="AJ153" s="139"/>
      <c r="AK153" s="139"/>
      <c r="AL153" s="139"/>
      <c r="AM153" s="139"/>
      <c r="AN153" s="139"/>
      <c r="AO153" s="139"/>
      <c r="AP153" s="139"/>
      <c r="AQ153" s="139"/>
      <c r="AR153" s="139"/>
      <c r="AS153" s="139"/>
      <c r="AT153" s="139"/>
      <c r="AU153" s="139"/>
      <c r="AV153" s="139"/>
      <c r="AW153" s="139"/>
      <c r="AX153" s="139"/>
      <c r="AY153" s="139"/>
      <c r="AZ153" s="139"/>
      <c r="BA153" s="139"/>
      <c r="BB153" s="139"/>
      <c r="BC153" s="139"/>
      <c r="BD153" s="139"/>
      <c r="BE153" s="139"/>
      <c r="BF153" s="139"/>
      <c r="BG153" s="139"/>
      <c r="BH153" s="139"/>
      <c r="BI153" s="139"/>
      <c r="BJ153" s="139"/>
      <c r="BK153" s="139"/>
      <c r="BL153" s="139"/>
      <c r="BM153" s="139"/>
      <c r="BN153" s="139"/>
      <c r="BO153" s="139"/>
      <c r="BP153" s="139"/>
      <c r="BQ153" s="139"/>
      <c r="BR153" s="139"/>
      <c r="BS153" s="139"/>
      <c r="BT153" s="139"/>
      <c r="BU153" s="139"/>
      <c r="BV153" s="139"/>
      <c r="BW153" s="139"/>
      <c r="BX153" s="139"/>
      <c r="BY153" s="139"/>
      <c r="BZ153" s="139"/>
      <c r="CA153" s="139"/>
      <c r="CB153" s="139"/>
      <c r="CC153" s="139"/>
      <c r="CD153" s="139"/>
      <c r="CE153" s="139"/>
      <c r="CF153" s="139"/>
      <c r="CG153" s="139"/>
      <c r="CH153" s="139"/>
      <c r="CI153" s="139"/>
      <c r="CJ153" s="139"/>
      <c r="CK153" s="139"/>
      <c r="CL153" s="139"/>
      <c r="CM153" s="139"/>
      <c r="CN153" s="139"/>
      <c r="CO153" s="139"/>
      <c r="CP153" s="139"/>
      <c r="CQ153" s="139"/>
      <c r="CR153" s="139"/>
      <c r="CS153" s="139"/>
    </row>
    <row r="154" spans="1:97" s="140" customFormat="1" ht="15.75" hidden="1" customHeight="1">
      <c r="A154" s="138"/>
      <c r="B154" s="138"/>
      <c r="C154" s="190">
        <v>120</v>
      </c>
      <c r="D154" s="314" t="e">
        <f>IF(VLOOKUP(C154,PROPONENTES!$B$19:$E$218,2,FALSE)="","",VLOOKUP(C154,PROPONENTES!$B$19:$E$218,2,FALSE))</f>
        <v>#N/A</v>
      </c>
      <c r="E154" s="186" t="e">
        <f>IF(D154="","",IF(D154-INT(D154)&gt;1,"",VLOOKUP(D154,PROPONENTES!$C$19:$D$218,2,FALSE)))</f>
        <v>#N/A</v>
      </c>
      <c r="F154" s="487"/>
      <c r="G154" s="187"/>
      <c r="H154" s="139"/>
      <c r="I154" s="139"/>
      <c r="J154" s="139"/>
      <c r="K154" s="139"/>
      <c r="L154" s="139"/>
      <c r="M154" s="139"/>
      <c r="N154" s="139"/>
      <c r="O154" s="139"/>
      <c r="P154" s="139"/>
      <c r="Q154" s="139"/>
      <c r="R154" s="139"/>
      <c r="S154" s="139"/>
      <c r="T154" s="139"/>
      <c r="U154" s="139"/>
      <c r="V154" s="139"/>
      <c r="W154" s="139"/>
      <c r="X154" s="139"/>
      <c r="Y154" s="139"/>
      <c r="Z154" s="139"/>
      <c r="AA154" s="139"/>
      <c r="AB154" s="139"/>
      <c r="AC154" s="139"/>
      <c r="AD154" s="139"/>
      <c r="AE154" s="139"/>
      <c r="AF154" s="139"/>
      <c r="AG154" s="139"/>
      <c r="AH154" s="139"/>
      <c r="AI154" s="139"/>
      <c r="AJ154" s="139"/>
      <c r="AK154" s="139"/>
      <c r="AL154" s="139"/>
      <c r="AM154" s="139"/>
      <c r="AN154" s="139"/>
      <c r="AO154" s="139"/>
      <c r="AP154" s="139"/>
      <c r="AQ154" s="139"/>
      <c r="AR154" s="139"/>
      <c r="AS154" s="139"/>
      <c r="AT154" s="139"/>
      <c r="AU154" s="139"/>
      <c r="AV154" s="139"/>
      <c r="AW154" s="139"/>
      <c r="AX154" s="139"/>
      <c r="AY154" s="139"/>
      <c r="AZ154" s="139"/>
      <c r="BA154" s="139"/>
      <c r="BB154" s="139"/>
      <c r="BC154" s="139"/>
      <c r="BD154" s="139"/>
      <c r="BE154" s="139"/>
      <c r="BF154" s="139"/>
      <c r="BG154" s="139"/>
      <c r="BH154" s="139"/>
      <c r="BI154" s="139"/>
      <c r="BJ154" s="139"/>
      <c r="BK154" s="139"/>
      <c r="BL154" s="139"/>
      <c r="BM154" s="139"/>
      <c r="BN154" s="139"/>
      <c r="BO154" s="139"/>
      <c r="BP154" s="139"/>
      <c r="BQ154" s="139"/>
      <c r="BR154" s="139"/>
      <c r="BS154" s="139"/>
      <c r="BT154" s="139"/>
      <c r="BU154" s="139"/>
      <c r="BV154" s="139"/>
      <c r="BW154" s="139"/>
      <c r="BX154" s="139"/>
      <c r="BY154" s="139"/>
      <c r="BZ154" s="139"/>
      <c r="CA154" s="139"/>
      <c r="CB154" s="139"/>
      <c r="CC154" s="139"/>
      <c r="CD154" s="139"/>
      <c r="CE154" s="139"/>
      <c r="CF154" s="139"/>
      <c r="CG154" s="139"/>
      <c r="CH154" s="139"/>
      <c r="CI154" s="139"/>
      <c r="CJ154" s="139"/>
      <c r="CK154" s="139"/>
      <c r="CL154" s="139"/>
      <c r="CM154" s="139"/>
      <c r="CN154" s="139"/>
      <c r="CO154" s="139"/>
      <c r="CP154" s="139"/>
      <c r="CQ154" s="139"/>
      <c r="CR154" s="139"/>
      <c r="CS154" s="139"/>
    </row>
    <row r="155" spans="1:97" s="140" customFormat="1" ht="15.75" hidden="1" customHeight="1">
      <c r="A155" s="138"/>
      <c r="B155" s="138"/>
      <c r="C155" s="190">
        <v>121</v>
      </c>
      <c r="D155" s="314" t="e">
        <f>IF(VLOOKUP(C155,PROPONENTES!$B$19:$E$218,2,FALSE)="","",VLOOKUP(C155,PROPONENTES!$B$19:$E$218,2,FALSE))</f>
        <v>#N/A</v>
      </c>
      <c r="E155" s="186" t="e">
        <f>IF(D155="","",IF(D155-INT(D155)&gt;1,"",VLOOKUP(D155,PROPONENTES!$C$19:$D$218,2,FALSE)))</f>
        <v>#N/A</v>
      </c>
      <c r="F155" s="487"/>
      <c r="G155" s="187"/>
      <c r="H155" s="139"/>
      <c r="I155" s="139"/>
      <c r="J155" s="139"/>
      <c r="K155" s="139"/>
      <c r="L155" s="139"/>
      <c r="M155" s="139"/>
      <c r="N155" s="139"/>
      <c r="O155" s="139"/>
      <c r="P155" s="139"/>
      <c r="Q155" s="139"/>
      <c r="R155" s="139"/>
      <c r="S155" s="139"/>
      <c r="T155" s="139"/>
      <c r="U155" s="139"/>
      <c r="V155" s="139"/>
      <c r="W155" s="139"/>
      <c r="X155" s="139"/>
      <c r="Y155" s="139"/>
      <c r="Z155" s="139"/>
      <c r="AA155" s="139"/>
      <c r="AB155" s="139"/>
      <c r="AC155" s="139"/>
      <c r="AD155" s="139"/>
      <c r="AE155" s="139"/>
      <c r="AF155" s="139"/>
      <c r="AG155" s="139"/>
      <c r="AH155" s="139"/>
      <c r="AI155" s="139"/>
      <c r="AJ155" s="139"/>
      <c r="AK155" s="139"/>
      <c r="AL155" s="139"/>
      <c r="AM155" s="139"/>
      <c r="AN155" s="139"/>
      <c r="AO155" s="139"/>
      <c r="AP155" s="139"/>
      <c r="AQ155" s="139"/>
      <c r="AR155" s="139"/>
      <c r="AS155" s="139"/>
      <c r="AT155" s="139"/>
      <c r="AU155" s="139"/>
      <c r="AV155" s="139"/>
      <c r="AW155" s="139"/>
      <c r="AX155" s="139"/>
      <c r="AY155" s="139"/>
      <c r="AZ155" s="139"/>
      <c r="BA155" s="139"/>
      <c r="BB155" s="139"/>
      <c r="BC155" s="139"/>
      <c r="BD155" s="139"/>
      <c r="BE155" s="139"/>
      <c r="BF155" s="139"/>
      <c r="BG155" s="139"/>
      <c r="BH155" s="139"/>
      <c r="BI155" s="139"/>
      <c r="BJ155" s="139"/>
      <c r="BK155" s="139"/>
      <c r="BL155" s="139"/>
      <c r="BM155" s="139"/>
      <c r="BN155" s="139"/>
      <c r="BO155" s="139"/>
      <c r="BP155" s="139"/>
      <c r="BQ155" s="139"/>
      <c r="BR155" s="139"/>
      <c r="BS155" s="139"/>
      <c r="BT155" s="139"/>
      <c r="BU155" s="139"/>
      <c r="BV155" s="139"/>
      <c r="BW155" s="139"/>
      <c r="BX155" s="139"/>
      <c r="BY155" s="139"/>
      <c r="BZ155" s="139"/>
      <c r="CA155" s="139"/>
      <c r="CB155" s="139"/>
      <c r="CC155" s="139"/>
      <c r="CD155" s="139"/>
      <c r="CE155" s="139"/>
      <c r="CF155" s="139"/>
      <c r="CG155" s="139"/>
      <c r="CH155" s="139"/>
      <c r="CI155" s="139"/>
      <c r="CJ155" s="139"/>
      <c r="CK155" s="139"/>
      <c r="CL155" s="139"/>
      <c r="CM155" s="139"/>
      <c r="CN155" s="139"/>
      <c r="CO155" s="139"/>
      <c r="CP155" s="139"/>
      <c r="CQ155" s="139"/>
      <c r="CR155" s="139"/>
      <c r="CS155" s="139"/>
    </row>
    <row r="156" spans="1:97" s="140" customFormat="1" ht="15.75" hidden="1" customHeight="1">
      <c r="A156" s="138"/>
      <c r="B156" s="138"/>
      <c r="C156" s="190">
        <v>122</v>
      </c>
      <c r="D156" s="314" t="e">
        <f>IF(VLOOKUP(C156,PROPONENTES!$B$19:$E$218,2,FALSE)="","",VLOOKUP(C156,PROPONENTES!$B$19:$E$218,2,FALSE))</f>
        <v>#N/A</v>
      </c>
      <c r="E156" s="186" t="e">
        <f>IF(D156="","",IF(D156-INT(D156)&gt;1,"",VLOOKUP(D156,PROPONENTES!$C$19:$D$218,2,FALSE)))</f>
        <v>#N/A</v>
      </c>
      <c r="F156" s="487"/>
      <c r="G156" s="187"/>
      <c r="H156" s="139"/>
      <c r="I156" s="139"/>
      <c r="J156" s="139"/>
      <c r="K156" s="139"/>
      <c r="L156" s="139"/>
      <c r="M156" s="139"/>
      <c r="N156" s="139"/>
      <c r="O156" s="139"/>
      <c r="P156" s="139"/>
      <c r="Q156" s="139"/>
      <c r="R156" s="139"/>
      <c r="S156" s="139"/>
      <c r="T156" s="139"/>
      <c r="U156" s="139"/>
      <c r="V156" s="139"/>
      <c r="W156" s="139"/>
      <c r="X156" s="139"/>
      <c r="Y156" s="139"/>
      <c r="Z156" s="139"/>
      <c r="AA156" s="139"/>
      <c r="AB156" s="139"/>
      <c r="AC156" s="139"/>
      <c r="AD156" s="139"/>
      <c r="AE156" s="139"/>
      <c r="AF156" s="139"/>
      <c r="AG156" s="139"/>
      <c r="AH156" s="139"/>
      <c r="AI156" s="139"/>
      <c r="AJ156" s="139"/>
      <c r="AK156" s="139"/>
      <c r="AL156" s="139"/>
      <c r="AM156" s="139"/>
      <c r="AN156" s="139"/>
      <c r="AO156" s="139"/>
      <c r="AP156" s="139"/>
      <c r="AQ156" s="139"/>
      <c r="AR156" s="139"/>
      <c r="AS156" s="139"/>
      <c r="AT156" s="139"/>
      <c r="AU156" s="139"/>
      <c r="AV156" s="139"/>
      <c r="AW156" s="139"/>
      <c r="AX156" s="139"/>
      <c r="AY156" s="139"/>
      <c r="AZ156" s="139"/>
      <c r="BA156" s="139"/>
      <c r="BB156" s="139"/>
      <c r="BC156" s="139"/>
      <c r="BD156" s="139"/>
      <c r="BE156" s="139"/>
      <c r="BF156" s="139"/>
      <c r="BG156" s="139"/>
      <c r="BH156" s="139"/>
      <c r="BI156" s="139"/>
      <c r="BJ156" s="139"/>
      <c r="BK156" s="139"/>
      <c r="BL156" s="139"/>
      <c r="BM156" s="139"/>
      <c r="BN156" s="139"/>
      <c r="BO156" s="139"/>
      <c r="BP156" s="139"/>
      <c r="BQ156" s="139"/>
      <c r="BR156" s="139"/>
      <c r="BS156" s="139"/>
      <c r="BT156" s="139"/>
      <c r="BU156" s="139"/>
      <c r="BV156" s="139"/>
      <c r="BW156" s="139"/>
      <c r="BX156" s="139"/>
      <c r="BY156" s="139"/>
      <c r="BZ156" s="139"/>
      <c r="CA156" s="139"/>
      <c r="CB156" s="139"/>
      <c r="CC156" s="139"/>
      <c r="CD156" s="139"/>
      <c r="CE156" s="139"/>
      <c r="CF156" s="139"/>
      <c r="CG156" s="139"/>
      <c r="CH156" s="139"/>
      <c r="CI156" s="139"/>
      <c r="CJ156" s="139"/>
      <c r="CK156" s="139"/>
      <c r="CL156" s="139"/>
      <c r="CM156" s="139"/>
      <c r="CN156" s="139"/>
      <c r="CO156" s="139"/>
      <c r="CP156" s="139"/>
      <c r="CQ156" s="139"/>
      <c r="CR156" s="139"/>
      <c r="CS156" s="139"/>
    </row>
    <row r="157" spans="1:97" s="140" customFormat="1" ht="15.75" hidden="1" customHeight="1">
      <c r="A157" s="138"/>
      <c r="B157" s="138"/>
      <c r="C157" s="190">
        <v>123</v>
      </c>
      <c r="D157" s="314" t="e">
        <f>IF(VLOOKUP(C157,PROPONENTES!$B$19:$E$218,2,FALSE)="","",VLOOKUP(C157,PROPONENTES!$B$19:$E$218,2,FALSE))</f>
        <v>#N/A</v>
      </c>
      <c r="E157" s="186" t="e">
        <f>IF(D157="","",IF(D157-INT(D157)&gt;1,"",VLOOKUP(D157,PROPONENTES!$C$19:$D$218,2,FALSE)))</f>
        <v>#N/A</v>
      </c>
      <c r="F157" s="487"/>
      <c r="G157" s="187"/>
      <c r="H157" s="139"/>
      <c r="I157" s="139"/>
      <c r="J157" s="139"/>
      <c r="K157" s="139"/>
      <c r="L157" s="139"/>
      <c r="M157" s="139"/>
      <c r="N157" s="139"/>
      <c r="O157" s="139"/>
      <c r="P157" s="139"/>
      <c r="Q157" s="139"/>
      <c r="R157" s="139"/>
      <c r="S157" s="139"/>
      <c r="T157" s="139"/>
      <c r="U157" s="139"/>
      <c r="V157" s="139"/>
      <c r="W157" s="139"/>
      <c r="X157" s="139"/>
      <c r="Y157" s="139"/>
      <c r="Z157" s="139"/>
      <c r="AA157" s="139"/>
      <c r="AB157" s="139"/>
      <c r="AC157" s="139"/>
      <c r="AD157" s="139"/>
      <c r="AE157" s="139"/>
      <c r="AF157" s="139"/>
      <c r="AG157" s="139"/>
      <c r="AH157" s="139"/>
      <c r="AI157" s="139"/>
      <c r="AJ157" s="139"/>
      <c r="AK157" s="139"/>
      <c r="AL157" s="139"/>
      <c r="AM157" s="139"/>
      <c r="AN157" s="139"/>
      <c r="AO157" s="139"/>
      <c r="AP157" s="139"/>
      <c r="AQ157" s="139"/>
      <c r="AR157" s="139"/>
      <c r="AS157" s="139"/>
      <c r="AT157" s="139"/>
      <c r="AU157" s="139"/>
      <c r="AV157" s="139"/>
      <c r="AW157" s="139"/>
      <c r="AX157" s="139"/>
      <c r="AY157" s="139"/>
      <c r="AZ157" s="139"/>
      <c r="BA157" s="139"/>
      <c r="BB157" s="139"/>
      <c r="BC157" s="139"/>
      <c r="BD157" s="139"/>
      <c r="BE157" s="139"/>
      <c r="BF157" s="139"/>
      <c r="BG157" s="139"/>
      <c r="BH157" s="139"/>
      <c r="BI157" s="139"/>
      <c r="BJ157" s="139"/>
      <c r="BK157" s="139"/>
      <c r="BL157" s="139"/>
      <c r="BM157" s="139"/>
      <c r="BN157" s="139"/>
      <c r="BO157" s="139"/>
      <c r="BP157" s="139"/>
      <c r="BQ157" s="139"/>
      <c r="BR157" s="139"/>
      <c r="BS157" s="139"/>
      <c r="BT157" s="139"/>
      <c r="BU157" s="139"/>
      <c r="BV157" s="139"/>
      <c r="BW157" s="139"/>
      <c r="BX157" s="139"/>
      <c r="BY157" s="139"/>
      <c r="BZ157" s="139"/>
      <c r="CA157" s="139"/>
      <c r="CB157" s="139"/>
      <c r="CC157" s="139"/>
      <c r="CD157" s="139"/>
      <c r="CE157" s="139"/>
      <c r="CF157" s="139"/>
      <c r="CG157" s="139"/>
      <c r="CH157" s="139"/>
      <c r="CI157" s="139"/>
      <c r="CJ157" s="139"/>
      <c r="CK157" s="139"/>
      <c r="CL157" s="139"/>
      <c r="CM157" s="139"/>
      <c r="CN157" s="139"/>
      <c r="CO157" s="139"/>
      <c r="CP157" s="139"/>
      <c r="CQ157" s="139"/>
      <c r="CR157" s="139"/>
      <c r="CS157" s="139"/>
    </row>
    <row r="158" spans="1:97" s="140" customFormat="1" ht="15.75" hidden="1" customHeight="1">
      <c r="A158" s="138"/>
      <c r="B158" s="138"/>
      <c r="C158" s="190">
        <v>124</v>
      </c>
      <c r="D158" s="314" t="e">
        <f>IF(VLOOKUP(C158,PROPONENTES!$B$19:$E$218,2,FALSE)="","",VLOOKUP(C158,PROPONENTES!$B$19:$E$218,2,FALSE))</f>
        <v>#N/A</v>
      </c>
      <c r="E158" s="186" t="e">
        <f>IF(D158="","",IF(D158-INT(D158)&gt;1,"",VLOOKUP(D158,PROPONENTES!$C$19:$D$218,2,FALSE)))</f>
        <v>#N/A</v>
      </c>
      <c r="F158" s="487"/>
      <c r="G158" s="187"/>
      <c r="H158" s="139"/>
      <c r="I158" s="139"/>
      <c r="J158" s="139"/>
      <c r="K158" s="139"/>
      <c r="L158" s="139"/>
      <c r="M158" s="139"/>
      <c r="N158" s="139"/>
      <c r="O158" s="139"/>
      <c r="P158" s="139"/>
      <c r="Q158" s="139"/>
      <c r="R158" s="139"/>
      <c r="S158" s="139"/>
      <c r="T158" s="139"/>
      <c r="U158" s="139"/>
      <c r="V158" s="139"/>
      <c r="W158" s="139"/>
      <c r="X158" s="139"/>
      <c r="Y158" s="139"/>
      <c r="Z158" s="139"/>
      <c r="AA158" s="139"/>
      <c r="AB158" s="139"/>
      <c r="AC158" s="139"/>
      <c r="AD158" s="139"/>
      <c r="AE158" s="139"/>
      <c r="AF158" s="139"/>
      <c r="AG158" s="139"/>
      <c r="AH158" s="139"/>
      <c r="AI158" s="139"/>
      <c r="AJ158" s="139"/>
      <c r="AK158" s="139"/>
      <c r="AL158" s="139"/>
      <c r="AM158" s="139"/>
      <c r="AN158" s="139"/>
      <c r="AO158" s="139"/>
      <c r="AP158" s="139"/>
      <c r="AQ158" s="139"/>
      <c r="AR158" s="139"/>
      <c r="AS158" s="139"/>
      <c r="AT158" s="139"/>
      <c r="AU158" s="139"/>
      <c r="AV158" s="139"/>
      <c r="AW158" s="139"/>
      <c r="AX158" s="139"/>
      <c r="AY158" s="139"/>
      <c r="AZ158" s="139"/>
      <c r="BA158" s="139"/>
      <c r="BB158" s="139"/>
      <c r="BC158" s="139"/>
      <c r="BD158" s="139"/>
      <c r="BE158" s="139"/>
      <c r="BF158" s="139"/>
      <c r="BG158" s="139"/>
      <c r="BH158" s="139"/>
      <c r="BI158" s="139"/>
      <c r="BJ158" s="139"/>
      <c r="BK158" s="139"/>
      <c r="BL158" s="139"/>
      <c r="BM158" s="139"/>
      <c r="BN158" s="139"/>
      <c r="BO158" s="139"/>
      <c r="BP158" s="139"/>
      <c r="BQ158" s="139"/>
      <c r="BR158" s="139"/>
      <c r="BS158" s="139"/>
      <c r="BT158" s="139"/>
      <c r="BU158" s="139"/>
      <c r="BV158" s="139"/>
      <c r="BW158" s="139"/>
      <c r="BX158" s="139"/>
      <c r="BY158" s="139"/>
      <c r="BZ158" s="139"/>
      <c r="CA158" s="139"/>
      <c r="CB158" s="139"/>
      <c r="CC158" s="139"/>
      <c r="CD158" s="139"/>
      <c r="CE158" s="139"/>
      <c r="CF158" s="139"/>
      <c r="CG158" s="139"/>
      <c r="CH158" s="139"/>
      <c r="CI158" s="139"/>
      <c r="CJ158" s="139"/>
      <c r="CK158" s="139"/>
      <c r="CL158" s="139"/>
      <c r="CM158" s="139"/>
      <c r="CN158" s="139"/>
      <c r="CO158" s="139"/>
      <c r="CP158" s="139"/>
      <c r="CQ158" s="139"/>
      <c r="CR158" s="139"/>
      <c r="CS158" s="139"/>
    </row>
    <row r="159" spans="1:97" s="140" customFormat="1" ht="15.75" hidden="1" customHeight="1">
      <c r="A159" s="138"/>
      <c r="B159" s="138"/>
      <c r="C159" s="190">
        <v>125</v>
      </c>
      <c r="D159" s="314" t="e">
        <f>IF(VLOOKUP(C159,PROPONENTES!$B$19:$E$218,2,FALSE)="","",VLOOKUP(C159,PROPONENTES!$B$19:$E$218,2,FALSE))</f>
        <v>#N/A</v>
      </c>
      <c r="E159" s="186" t="e">
        <f>IF(D159="","",IF(D159-INT(D159)&gt;1,"",VLOOKUP(D159,PROPONENTES!$C$19:$D$218,2,FALSE)))</f>
        <v>#N/A</v>
      </c>
      <c r="F159" s="487"/>
      <c r="G159" s="187"/>
      <c r="H159" s="139"/>
      <c r="I159" s="139"/>
      <c r="J159" s="139"/>
      <c r="K159" s="139"/>
      <c r="L159" s="139"/>
      <c r="M159" s="139"/>
      <c r="N159" s="139"/>
      <c r="O159" s="139"/>
      <c r="P159" s="139"/>
      <c r="Q159" s="139"/>
      <c r="R159" s="139"/>
      <c r="S159" s="139"/>
      <c r="T159" s="139"/>
      <c r="U159" s="139"/>
      <c r="V159" s="139"/>
      <c r="W159" s="139"/>
      <c r="X159" s="139"/>
      <c r="Y159" s="139"/>
      <c r="Z159" s="139"/>
      <c r="AA159" s="139"/>
      <c r="AB159" s="139"/>
      <c r="AC159" s="139"/>
      <c r="AD159" s="139"/>
      <c r="AE159" s="139"/>
      <c r="AF159" s="139"/>
      <c r="AG159" s="139"/>
      <c r="AH159" s="139"/>
      <c r="AI159" s="139"/>
      <c r="AJ159" s="139"/>
      <c r="AK159" s="139"/>
      <c r="AL159" s="139"/>
      <c r="AM159" s="139"/>
      <c r="AN159" s="139"/>
      <c r="AO159" s="139"/>
      <c r="AP159" s="139"/>
      <c r="AQ159" s="139"/>
      <c r="AR159" s="139"/>
      <c r="AS159" s="139"/>
      <c r="AT159" s="139"/>
      <c r="AU159" s="139"/>
      <c r="AV159" s="139"/>
      <c r="AW159" s="139"/>
      <c r="AX159" s="139"/>
      <c r="AY159" s="139"/>
      <c r="AZ159" s="139"/>
      <c r="BA159" s="139"/>
      <c r="BB159" s="139"/>
      <c r="BC159" s="139"/>
      <c r="BD159" s="139"/>
      <c r="BE159" s="139"/>
      <c r="BF159" s="139"/>
      <c r="BG159" s="139"/>
      <c r="BH159" s="139"/>
      <c r="BI159" s="139"/>
      <c r="BJ159" s="139"/>
      <c r="BK159" s="139"/>
      <c r="BL159" s="139"/>
      <c r="BM159" s="139"/>
      <c r="BN159" s="139"/>
      <c r="BO159" s="139"/>
      <c r="BP159" s="139"/>
      <c r="BQ159" s="139"/>
      <c r="BR159" s="139"/>
      <c r="BS159" s="139"/>
      <c r="BT159" s="139"/>
      <c r="BU159" s="139"/>
      <c r="BV159" s="139"/>
      <c r="BW159" s="139"/>
      <c r="BX159" s="139"/>
      <c r="BY159" s="139"/>
      <c r="BZ159" s="139"/>
      <c r="CA159" s="139"/>
      <c r="CB159" s="139"/>
      <c r="CC159" s="139"/>
      <c r="CD159" s="139"/>
      <c r="CE159" s="139"/>
      <c r="CF159" s="139"/>
      <c r="CG159" s="139"/>
      <c r="CH159" s="139"/>
      <c r="CI159" s="139"/>
      <c r="CJ159" s="139"/>
      <c r="CK159" s="139"/>
      <c r="CL159" s="139"/>
      <c r="CM159" s="139"/>
      <c r="CN159" s="139"/>
      <c r="CO159" s="139"/>
      <c r="CP159" s="139"/>
      <c r="CQ159" s="139"/>
      <c r="CR159" s="139"/>
      <c r="CS159" s="139"/>
    </row>
    <row r="160" spans="1:97" s="140" customFormat="1" ht="15.75" hidden="1" customHeight="1">
      <c r="A160" s="138"/>
      <c r="B160" s="138"/>
      <c r="C160" s="190">
        <v>126</v>
      </c>
      <c r="D160" s="314" t="e">
        <f>IF(VLOOKUP(C160,PROPONENTES!$B$19:$E$218,2,FALSE)="","",VLOOKUP(C160,PROPONENTES!$B$19:$E$218,2,FALSE))</f>
        <v>#N/A</v>
      </c>
      <c r="E160" s="186" t="e">
        <f>IF(D160="","",IF(D160-INT(D160)&gt;1,"",VLOOKUP(D160,PROPONENTES!$C$19:$D$218,2,FALSE)))</f>
        <v>#N/A</v>
      </c>
      <c r="F160" s="487"/>
      <c r="G160" s="187"/>
      <c r="H160" s="139"/>
      <c r="I160" s="139"/>
      <c r="J160" s="139"/>
      <c r="K160" s="139"/>
      <c r="L160" s="139"/>
      <c r="M160" s="139"/>
      <c r="N160" s="139"/>
      <c r="O160" s="139"/>
      <c r="P160" s="139"/>
      <c r="Q160" s="139"/>
      <c r="R160" s="139"/>
      <c r="S160" s="139"/>
      <c r="T160" s="139"/>
      <c r="U160" s="139"/>
      <c r="V160" s="139"/>
      <c r="W160" s="139"/>
      <c r="X160" s="139"/>
      <c r="Y160" s="139"/>
      <c r="Z160" s="139"/>
      <c r="AA160" s="139"/>
      <c r="AB160" s="139"/>
      <c r="AC160" s="139"/>
      <c r="AD160" s="139"/>
      <c r="AE160" s="139"/>
      <c r="AF160" s="139"/>
      <c r="AG160" s="139"/>
      <c r="AH160" s="139"/>
      <c r="AI160" s="139"/>
      <c r="AJ160" s="139"/>
      <c r="AK160" s="139"/>
      <c r="AL160" s="139"/>
      <c r="AM160" s="139"/>
      <c r="AN160" s="139"/>
      <c r="AO160" s="139"/>
      <c r="AP160" s="139"/>
      <c r="AQ160" s="139"/>
      <c r="AR160" s="139"/>
      <c r="AS160" s="139"/>
      <c r="AT160" s="139"/>
      <c r="AU160" s="139"/>
      <c r="AV160" s="139"/>
      <c r="AW160" s="139"/>
      <c r="AX160" s="139"/>
      <c r="AY160" s="139"/>
      <c r="AZ160" s="139"/>
      <c r="BA160" s="139"/>
      <c r="BB160" s="139"/>
      <c r="BC160" s="139"/>
      <c r="BD160" s="139"/>
      <c r="BE160" s="139"/>
      <c r="BF160" s="139"/>
      <c r="BG160" s="139"/>
      <c r="BH160" s="139"/>
      <c r="BI160" s="139"/>
      <c r="BJ160" s="139"/>
      <c r="BK160" s="139"/>
      <c r="BL160" s="139"/>
      <c r="BM160" s="139"/>
      <c r="BN160" s="139"/>
      <c r="BO160" s="139"/>
      <c r="BP160" s="139"/>
      <c r="BQ160" s="139"/>
      <c r="BR160" s="139"/>
      <c r="BS160" s="139"/>
      <c r="BT160" s="139"/>
      <c r="BU160" s="139"/>
      <c r="BV160" s="139"/>
      <c r="BW160" s="139"/>
      <c r="BX160" s="139"/>
      <c r="BY160" s="139"/>
      <c r="BZ160" s="139"/>
      <c r="CA160" s="139"/>
      <c r="CB160" s="139"/>
      <c r="CC160" s="139"/>
      <c r="CD160" s="139"/>
      <c r="CE160" s="139"/>
      <c r="CF160" s="139"/>
      <c r="CG160" s="139"/>
      <c r="CH160" s="139"/>
      <c r="CI160" s="139"/>
      <c r="CJ160" s="139"/>
      <c r="CK160" s="139"/>
      <c r="CL160" s="139"/>
      <c r="CM160" s="139"/>
      <c r="CN160" s="139"/>
      <c r="CO160" s="139"/>
      <c r="CP160" s="139"/>
      <c r="CQ160" s="139"/>
      <c r="CR160" s="139"/>
      <c r="CS160" s="139"/>
    </row>
    <row r="161" spans="1:97" s="140" customFormat="1" ht="15.75" hidden="1" customHeight="1">
      <c r="A161" s="138"/>
      <c r="B161" s="138"/>
      <c r="C161" s="190">
        <v>127</v>
      </c>
      <c r="D161" s="314" t="e">
        <f>IF(VLOOKUP(C161,PROPONENTES!$B$19:$E$218,2,FALSE)="","",VLOOKUP(C161,PROPONENTES!$B$19:$E$218,2,FALSE))</f>
        <v>#N/A</v>
      </c>
      <c r="E161" s="186" t="e">
        <f>IF(D161="","",IF(D161-INT(D161)&gt;1,"",VLOOKUP(D161,PROPONENTES!$C$19:$D$218,2,FALSE)))</f>
        <v>#N/A</v>
      </c>
      <c r="F161" s="487"/>
      <c r="G161" s="187"/>
      <c r="H161" s="139"/>
      <c r="I161" s="139"/>
      <c r="J161" s="139"/>
      <c r="K161" s="139"/>
      <c r="L161" s="139"/>
      <c r="M161" s="139"/>
      <c r="N161" s="139"/>
      <c r="O161" s="139"/>
      <c r="P161" s="139"/>
      <c r="Q161" s="139"/>
      <c r="R161" s="139"/>
      <c r="S161" s="139"/>
      <c r="T161" s="139"/>
      <c r="U161" s="139"/>
      <c r="V161" s="139"/>
      <c r="W161" s="139"/>
      <c r="X161" s="139"/>
      <c r="Y161" s="139"/>
      <c r="Z161" s="139"/>
      <c r="AA161" s="139"/>
      <c r="AB161" s="139"/>
      <c r="AC161" s="139"/>
      <c r="AD161" s="139"/>
      <c r="AE161" s="139"/>
      <c r="AF161" s="139"/>
      <c r="AG161" s="139"/>
      <c r="AH161" s="139"/>
      <c r="AI161" s="139"/>
      <c r="AJ161" s="139"/>
      <c r="AK161" s="139"/>
      <c r="AL161" s="139"/>
      <c r="AM161" s="139"/>
      <c r="AN161" s="139"/>
      <c r="AO161" s="139"/>
      <c r="AP161" s="139"/>
      <c r="AQ161" s="139"/>
      <c r="AR161" s="139"/>
      <c r="AS161" s="139"/>
      <c r="AT161" s="139"/>
      <c r="AU161" s="139"/>
      <c r="AV161" s="139"/>
      <c r="AW161" s="139"/>
      <c r="AX161" s="139"/>
      <c r="AY161" s="139"/>
      <c r="AZ161" s="139"/>
      <c r="BA161" s="139"/>
      <c r="BB161" s="139"/>
      <c r="BC161" s="139"/>
      <c r="BD161" s="139"/>
      <c r="BE161" s="139"/>
      <c r="BF161" s="139"/>
      <c r="BG161" s="139"/>
      <c r="BH161" s="139"/>
      <c r="BI161" s="139"/>
      <c r="BJ161" s="139"/>
      <c r="BK161" s="139"/>
      <c r="BL161" s="139"/>
      <c r="BM161" s="139"/>
      <c r="BN161" s="139"/>
      <c r="BO161" s="139"/>
      <c r="BP161" s="139"/>
      <c r="BQ161" s="139"/>
      <c r="BR161" s="139"/>
      <c r="BS161" s="139"/>
      <c r="BT161" s="139"/>
      <c r="BU161" s="139"/>
      <c r="BV161" s="139"/>
      <c r="BW161" s="139"/>
      <c r="BX161" s="139"/>
      <c r="BY161" s="139"/>
      <c r="BZ161" s="139"/>
      <c r="CA161" s="139"/>
      <c r="CB161" s="139"/>
      <c r="CC161" s="139"/>
      <c r="CD161" s="139"/>
      <c r="CE161" s="139"/>
      <c r="CF161" s="139"/>
      <c r="CG161" s="139"/>
      <c r="CH161" s="139"/>
      <c r="CI161" s="139"/>
      <c r="CJ161" s="139"/>
      <c r="CK161" s="139"/>
      <c r="CL161" s="139"/>
      <c r="CM161" s="139"/>
      <c r="CN161" s="139"/>
      <c r="CO161" s="139"/>
      <c r="CP161" s="139"/>
      <c r="CQ161" s="139"/>
      <c r="CR161" s="139"/>
      <c r="CS161" s="139"/>
    </row>
    <row r="162" spans="1:97" s="140" customFormat="1" ht="15.75" hidden="1" customHeight="1">
      <c r="A162" s="138"/>
      <c r="B162" s="138"/>
      <c r="C162" s="190">
        <v>128</v>
      </c>
      <c r="D162" s="314" t="e">
        <f>IF(VLOOKUP(C162,PROPONENTES!$B$19:$E$218,2,FALSE)="","",VLOOKUP(C162,PROPONENTES!$B$19:$E$218,2,FALSE))</f>
        <v>#N/A</v>
      </c>
      <c r="E162" s="186" t="e">
        <f>IF(D162="","",IF(D162-INT(D162)&gt;1,"",VLOOKUP(D162,PROPONENTES!$C$19:$D$218,2,FALSE)))</f>
        <v>#N/A</v>
      </c>
      <c r="F162" s="487"/>
      <c r="G162" s="187"/>
      <c r="H162" s="139"/>
      <c r="I162" s="139"/>
      <c r="J162" s="139"/>
      <c r="K162" s="139"/>
      <c r="L162" s="139"/>
      <c r="M162" s="139"/>
      <c r="N162" s="139"/>
      <c r="O162" s="139"/>
      <c r="P162" s="139"/>
      <c r="Q162" s="139"/>
      <c r="R162" s="139"/>
      <c r="S162" s="139"/>
      <c r="T162" s="139"/>
      <c r="U162" s="139"/>
      <c r="V162" s="139"/>
      <c r="W162" s="139"/>
      <c r="X162" s="139"/>
      <c r="Y162" s="139"/>
      <c r="Z162" s="139"/>
      <c r="AA162" s="139"/>
      <c r="AB162" s="139"/>
      <c r="AC162" s="139"/>
      <c r="AD162" s="139"/>
      <c r="AE162" s="139"/>
      <c r="AF162" s="139"/>
      <c r="AG162" s="139"/>
      <c r="AH162" s="139"/>
      <c r="AI162" s="139"/>
      <c r="AJ162" s="139"/>
      <c r="AK162" s="139"/>
      <c r="AL162" s="139"/>
      <c r="AM162" s="139"/>
      <c r="AN162" s="139"/>
      <c r="AO162" s="139"/>
      <c r="AP162" s="139"/>
      <c r="AQ162" s="139"/>
      <c r="AR162" s="139"/>
      <c r="AS162" s="139"/>
      <c r="AT162" s="139"/>
      <c r="AU162" s="139"/>
      <c r="AV162" s="139"/>
      <c r="AW162" s="139"/>
      <c r="AX162" s="139"/>
      <c r="AY162" s="139"/>
      <c r="AZ162" s="139"/>
      <c r="BA162" s="139"/>
      <c r="BB162" s="139"/>
      <c r="BC162" s="139"/>
      <c r="BD162" s="139"/>
      <c r="BE162" s="139"/>
      <c r="BF162" s="139"/>
      <c r="BG162" s="139"/>
      <c r="BH162" s="139"/>
      <c r="BI162" s="139"/>
      <c r="BJ162" s="139"/>
      <c r="BK162" s="139"/>
      <c r="BL162" s="139"/>
      <c r="BM162" s="139"/>
      <c r="BN162" s="139"/>
      <c r="BO162" s="139"/>
      <c r="BP162" s="139"/>
      <c r="BQ162" s="139"/>
      <c r="BR162" s="139"/>
      <c r="BS162" s="139"/>
      <c r="BT162" s="139"/>
      <c r="BU162" s="139"/>
      <c r="BV162" s="139"/>
      <c r="BW162" s="139"/>
      <c r="BX162" s="139"/>
      <c r="BY162" s="139"/>
      <c r="BZ162" s="139"/>
      <c r="CA162" s="139"/>
      <c r="CB162" s="139"/>
      <c r="CC162" s="139"/>
      <c r="CD162" s="139"/>
      <c r="CE162" s="139"/>
      <c r="CF162" s="139"/>
      <c r="CG162" s="139"/>
      <c r="CH162" s="139"/>
      <c r="CI162" s="139"/>
      <c r="CJ162" s="139"/>
      <c r="CK162" s="139"/>
      <c r="CL162" s="139"/>
      <c r="CM162" s="139"/>
      <c r="CN162" s="139"/>
      <c r="CO162" s="139"/>
      <c r="CP162" s="139"/>
      <c r="CQ162" s="139"/>
      <c r="CR162" s="139"/>
      <c r="CS162" s="139"/>
    </row>
    <row r="163" spans="1:97" s="140" customFormat="1" ht="15.75" hidden="1" customHeight="1">
      <c r="A163" s="138"/>
      <c r="B163" s="138"/>
      <c r="C163" s="190">
        <v>129</v>
      </c>
      <c r="D163" s="314" t="e">
        <f>IF(VLOOKUP(C163,PROPONENTES!$B$19:$E$218,2,FALSE)="","",VLOOKUP(C163,PROPONENTES!$B$19:$E$218,2,FALSE))</f>
        <v>#N/A</v>
      </c>
      <c r="E163" s="186" t="e">
        <f>IF(D163="","",IF(D163-INT(D163)&gt;1,"",VLOOKUP(D163,PROPONENTES!$C$19:$D$218,2,FALSE)))</f>
        <v>#N/A</v>
      </c>
      <c r="F163" s="487"/>
      <c r="G163" s="187"/>
      <c r="H163" s="139"/>
      <c r="I163" s="139"/>
      <c r="J163" s="139"/>
      <c r="K163" s="139"/>
      <c r="L163" s="139"/>
      <c r="M163" s="139"/>
      <c r="N163" s="139"/>
      <c r="O163" s="139"/>
      <c r="P163" s="139"/>
      <c r="Q163" s="139"/>
      <c r="R163" s="139"/>
      <c r="S163" s="139"/>
      <c r="T163" s="139"/>
      <c r="U163" s="139"/>
      <c r="V163" s="139"/>
      <c r="W163" s="139"/>
      <c r="X163" s="139"/>
      <c r="Y163" s="139"/>
      <c r="Z163" s="139"/>
      <c r="AA163" s="139"/>
      <c r="AB163" s="139"/>
      <c r="AC163" s="139"/>
      <c r="AD163" s="139"/>
      <c r="AE163" s="139"/>
      <c r="AF163" s="139"/>
      <c r="AG163" s="139"/>
      <c r="AH163" s="139"/>
      <c r="AI163" s="139"/>
      <c r="AJ163" s="139"/>
      <c r="AK163" s="139"/>
      <c r="AL163" s="139"/>
      <c r="AM163" s="139"/>
      <c r="AN163" s="139"/>
      <c r="AO163" s="139"/>
      <c r="AP163" s="139"/>
      <c r="AQ163" s="139"/>
      <c r="AR163" s="139"/>
      <c r="AS163" s="139"/>
      <c r="AT163" s="139"/>
      <c r="AU163" s="139"/>
      <c r="AV163" s="139"/>
      <c r="AW163" s="139"/>
      <c r="AX163" s="139"/>
      <c r="AY163" s="139"/>
      <c r="AZ163" s="139"/>
      <c r="BA163" s="139"/>
      <c r="BB163" s="139"/>
      <c r="BC163" s="139"/>
      <c r="BD163" s="139"/>
      <c r="BE163" s="139"/>
      <c r="BF163" s="139"/>
      <c r="BG163" s="139"/>
      <c r="BH163" s="139"/>
      <c r="BI163" s="139"/>
      <c r="BJ163" s="139"/>
      <c r="BK163" s="139"/>
      <c r="BL163" s="139"/>
      <c r="BM163" s="139"/>
      <c r="BN163" s="139"/>
      <c r="BO163" s="139"/>
      <c r="BP163" s="139"/>
      <c r="BQ163" s="139"/>
      <c r="BR163" s="139"/>
      <c r="BS163" s="139"/>
      <c r="BT163" s="139"/>
      <c r="BU163" s="139"/>
      <c r="BV163" s="139"/>
      <c r="BW163" s="139"/>
      <c r="BX163" s="139"/>
      <c r="BY163" s="139"/>
      <c r="BZ163" s="139"/>
      <c r="CA163" s="139"/>
      <c r="CB163" s="139"/>
      <c r="CC163" s="139"/>
      <c r="CD163" s="139"/>
      <c r="CE163" s="139"/>
      <c r="CF163" s="139"/>
      <c r="CG163" s="139"/>
      <c r="CH163" s="139"/>
      <c r="CI163" s="139"/>
      <c r="CJ163" s="139"/>
      <c r="CK163" s="139"/>
      <c r="CL163" s="139"/>
      <c r="CM163" s="139"/>
      <c r="CN163" s="139"/>
      <c r="CO163" s="139"/>
      <c r="CP163" s="139"/>
      <c r="CQ163" s="139"/>
      <c r="CR163" s="139"/>
      <c r="CS163" s="139"/>
    </row>
    <row r="164" spans="1:97" s="140" customFormat="1" ht="15.75" hidden="1" customHeight="1">
      <c r="A164" s="138"/>
      <c r="B164" s="138"/>
      <c r="C164" s="190">
        <v>130</v>
      </c>
      <c r="D164" s="314" t="e">
        <f>IF(VLOOKUP(C164,PROPONENTES!$B$19:$E$218,2,FALSE)="","",VLOOKUP(C164,PROPONENTES!$B$19:$E$218,2,FALSE))</f>
        <v>#N/A</v>
      </c>
      <c r="E164" s="186" t="e">
        <f>IF(D164="","",IF(D164-INT(D164)&gt;1,"",VLOOKUP(D164,PROPONENTES!$C$19:$D$218,2,FALSE)))</f>
        <v>#N/A</v>
      </c>
      <c r="F164" s="487"/>
      <c r="G164" s="187"/>
      <c r="H164" s="139"/>
      <c r="I164" s="139"/>
      <c r="J164" s="139"/>
      <c r="K164" s="139"/>
      <c r="L164" s="139"/>
      <c r="M164" s="139"/>
      <c r="N164" s="139"/>
      <c r="O164" s="139"/>
      <c r="P164" s="139"/>
      <c r="Q164" s="139"/>
      <c r="R164" s="139"/>
      <c r="S164" s="139"/>
      <c r="T164" s="139"/>
      <c r="U164" s="139"/>
      <c r="V164" s="139"/>
      <c r="W164" s="139"/>
      <c r="X164" s="139"/>
      <c r="Y164" s="139"/>
      <c r="Z164" s="139"/>
      <c r="AA164" s="139"/>
      <c r="AB164" s="139"/>
      <c r="AC164" s="139"/>
      <c r="AD164" s="139"/>
      <c r="AE164" s="139"/>
      <c r="AF164" s="139"/>
      <c r="AG164" s="139"/>
      <c r="AH164" s="139"/>
      <c r="AI164" s="139"/>
      <c r="AJ164" s="139"/>
      <c r="AK164" s="139"/>
      <c r="AL164" s="139"/>
      <c r="AM164" s="139"/>
      <c r="AN164" s="139"/>
      <c r="AO164" s="139"/>
      <c r="AP164" s="139"/>
      <c r="AQ164" s="139"/>
      <c r="AR164" s="139"/>
      <c r="AS164" s="139"/>
      <c r="AT164" s="139"/>
      <c r="AU164" s="139"/>
      <c r="AV164" s="139"/>
      <c r="AW164" s="139"/>
      <c r="AX164" s="139"/>
      <c r="AY164" s="139"/>
      <c r="AZ164" s="139"/>
      <c r="BA164" s="139"/>
      <c r="BB164" s="139"/>
      <c r="BC164" s="139"/>
      <c r="BD164" s="139"/>
      <c r="BE164" s="139"/>
      <c r="BF164" s="139"/>
      <c r="BG164" s="139"/>
      <c r="BH164" s="139"/>
      <c r="BI164" s="139"/>
      <c r="BJ164" s="139"/>
      <c r="BK164" s="139"/>
      <c r="BL164" s="139"/>
      <c r="BM164" s="139"/>
      <c r="BN164" s="139"/>
      <c r="BO164" s="139"/>
      <c r="BP164" s="139"/>
      <c r="BQ164" s="139"/>
      <c r="BR164" s="139"/>
      <c r="BS164" s="139"/>
      <c r="BT164" s="139"/>
      <c r="BU164" s="139"/>
      <c r="BV164" s="139"/>
      <c r="BW164" s="139"/>
      <c r="BX164" s="139"/>
      <c r="BY164" s="139"/>
      <c r="BZ164" s="139"/>
      <c r="CA164" s="139"/>
      <c r="CB164" s="139"/>
      <c r="CC164" s="139"/>
      <c r="CD164" s="139"/>
      <c r="CE164" s="139"/>
      <c r="CF164" s="139"/>
      <c r="CG164" s="139"/>
      <c r="CH164" s="139"/>
      <c r="CI164" s="139"/>
      <c r="CJ164" s="139"/>
      <c r="CK164" s="139"/>
      <c r="CL164" s="139"/>
      <c r="CM164" s="139"/>
      <c r="CN164" s="139"/>
      <c r="CO164" s="139"/>
      <c r="CP164" s="139"/>
      <c r="CQ164" s="139"/>
      <c r="CR164" s="139"/>
      <c r="CS164" s="139"/>
    </row>
    <row r="165" spans="1:97" s="140" customFormat="1" ht="15.75" hidden="1" customHeight="1">
      <c r="A165" s="138"/>
      <c r="B165" s="138"/>
      <c r="C165" s="190">
        <v>131</v>
      </c>
      <c r="D165" s="314" t="e">
        <f>IF(VLOOKUP(C165,PROPONENTES!$B$19:$E$218,2,FALSE)="","",VLOOKUP(C165,PROPONENTES!$B$19:$E$218,2,FALSE))</f>
        <v>#N/A</v>
      </c>
      <c r="E165" s="186" t="e">
        <f>IF(D165="","",IF(D165-INT(D165)&gt;1,"",VLOOKUP(D165,PROPONENTES!$C$19:$D$218,2,FALSE)))</f>
        <v>#N/A</v>
      </c>
      <c r="F165" s="487"/>
      <c r="G165" s="187"/>
      <c r="H165" s="139"/>
      <c r="I165" s="139"/>
      <c r="J165" s="139"/>
      <c r="K165" s="139"/>
      <c r="L165" s="139"/>
      <c r="M165" s="139"/>
      <c r="N165" s="139"/>
      <c r="O165" s="139"/>
      <c r="P165" s="139"/>
      <c r="Q165" s="139"/>
      <c r="R165" s="139"/>
      <c r="S165" s="139"/>
      <c r="T165" s="139"/>
      <c r="U165" s="139"/>
      <c r="V165" s="139"/>
      <c r="W165" s="139"/>
      <c r="X165" s="139"/>
      <c r="Y165" s="139"/>
      <c r="Z165" s="139"/>
      <c r="AA165" s="139"/>
      <c r="AB165" s="139"/>
      <c r="AC165" s="139"/>
      <c r="AD165" s="139"/>
      <c r="AE165" s="139"/>
      <c r="AF165" s="139"/>
      <c r="AG165" s="139"/>
      <c r="AH165" s="139"/>
      <c r="AI165" s="139"/>
      <c r="AJ165" s="139"/>
      <c r="AK165" s="139"/>
      <c r="AL165" s="139"/>
      <c r="AM165" s="139"/>
      <c r="AN165" s="139"/>
      <c r="AO165" s="139"/>
      <c r="AP165" s="139"/>
      <c r="AQ165" s="139"/>
      <c r="AR165" s="139"/>
      <c r="AS165" s="139"/>
      <c r="AT165" s="139"/>
      <c r="AU165" s="139"/>
      <c r="AV165" s="139"/>
      <c r="AW165" s="139"/>
      <c r="AX165" s="139"/>
      <c r="AY165" s="139"/>
      <c r="AZ165" s="139"/>
      <c r="BA165" s="139"/>
      <c r="BB165" s="139"/>
      <c r="BC165" s="139"/>
      <c r="BD165" s="139"/>
      <c r="BE165" s="139"/>
      <c r="BF165" s="139"/>
      <c r="BG165" s="139"/>
      <c r="BH165" s="139"/>
      <c r="BI165" s="139"/>
      <c r="BJ165" s="139"/>
      <c r="BK165" s="139"/>
      <c r="BL165" s="139"/>
      <c r="BM165" s="139"/>
      <c r="BN165" s="139"/>
      <c r="BO165" s="139"/>
      <c r="BP165" s="139"/>
      <c r="BQ165" s="139"/>
      <c r="BR165" s="139"/>
      <c r="BS165" s="139"/>
      <c r="BT165" s="139"/>
      <c r="BU165" s="139"/>
      <c r="BV165" s="139"/>
      <c r="BW165" s="139"/>
      <c r="BX165" s="139"/>
      <c r="BY165" s="139"/>
      <c r="BZ165" s="139"/>
      <c r="CA165" s="139"/>
      <c r="CB165" s="139"/>
      <c r="CC165" s="139"/>
      <c r="CD165" s="139"/>
      <c r="CE165" s="139"/>
      <c r="CF165" s="139"/>
      <c r="CG165" s="139"/>
      <c r="CH165" s="139"/>
      <c r="CI165" s="139"/>
      <c r="CJ165" s="139"/>
      <c r="CK165" s="139"/>
      <c r="CL165" s="139"/>
      <c r="CM165" s="139"/>
      <c r="CN165" s="139"/>
      <c r="CO165" s="139"/>
      <c r="CP165" s="139"/>
      <c r="CQ165" s="139"/>
      <c r="CR165" s="139"/>
      <c r="CS165" s="139"/>
    </row>
    <row r="166" spans="1:97" s="140" customFormat="1" ht="15.75" hidden="1" customHeight="1">
      <c r="A166" s="138"/>
      <c r="B166" s="138"/>
      <c r="C166" s="190">
        <v>132</v>
      </c>
      <c r="D166" s="314" t="e">
        <f>IF(VLOOKUP(C166,PROPONENTES!$B$19:$E$218,2,FALSE)="","",VLOOKUP(C166,PROPONENTES!$B$19:$E$218,2,FALSE))</f>
        <v>#N/A</v>
      </c>
      <c r="E166" s="186" t="e">
        <f>IF(D166="","",IF(D166-INT(D166)&gt;1,"",VLOOKUP(D166,PROPONENTES!$C$19:$D$218,2,FALSE)))</f>
        <v>#N/A</v>
      </c>
      <c r="F166" s="487"/>
      <c r="G166" s="187"/>
      <c r="H166" s="139"/>
      <c r="I166" s="139"/>
      <c r="J166" s="139"/>
      <c r="K166" s="139"/>
      <c r="L166" s="139"/>
      <c r="M166" s="139"/>
      <c r="N166" s="139"/>
      <c r="O166" s="139"/>
      <c r="P166" s="139"/>
      <c r="Q166" s="139"/>
      <c r="R166" s="139"/>
      <c r="S166" s="139"/>
      <c r="T166" s="139"/>
      <c r="U166" s="139"/>
      <c r="V166" s="139"/>
      <c r="W166" s="139"/>
      <c r="X166" s="139"/>
      <c r="Y166" s="139"/>
      <c r="Z166" s="139"/>
      <c r="AA166" s="139"/>
      <c r="AB166" s="139"/>
      <c r="AC166" s="139"/>
      <c r="AD166" s="139"/>
      <c r="AE166" s="139"/>
      <c r="AF166" s="139"/>
      <c r="AG166" s="139"/>
      <c r="AH166" s="139"/>
      <c r="AI166" s="139"/>
      <c r="AJ166" s="139"/>
      <c r="AK166" s="139"/>
      <c r="AL166" s="139"/>
      <c r="AM166" s="139"/>
      <c r="AN166" s="139"/>
      <c r="AO166" s="139"/>
      <c r="AP166" s="139"/>
      <c r="AQ166" s="139"/>
      <c r="AR166" s="139"/>
      <c r="AS166" s="139"/>
      <c r="AT166" s="139"/>
      <c r="AU166" s="139"/>
      <c r="AV166" s="139"/>
      <c r="AW166" s="139"/>
      <c r="AX166" s="139"/>
      <c r="AY166" s="139"/>
      <c r="AZ166" s="139"/>
      <c r="BA166" s="139"/>
      <c r="BB166" s="139"/>
      <c r="BC166" s="139"/>
      <c r="BD166" s="139"/>
      <c r="BE166" s="139"/>
      <c r="BF166" s="139"/>
      <c r="BG166" s="139"/>
      <c r="BH166" s="139"/>
      <c r="BI166" s="139"/>
      <c r="BJ166" s="139"/>
      <c r="BK166" s="139"/>
      <c r="BL166" s="139"/>
      <c r="BM166" s="139"/>
      <c r="BN166" s="139"/>
      <c r="BO166" s="139"/>
      <c r="BP166" s="139"/>
      <c r="BQ166" s="139"/>
      <c r="BR166" s="139"/>
      <c r="BS166" s="139"/>
      <c r="BT166" s="139"/>
      <c r="BU166" s="139"/>
      <c r="BV166" s="139"/>
      <c r="BW166" s="139"/>
      <c r="BX166" s="139"/>
      <c r="BY166" s="139"/>
      <c r="BZ166" s="139"/>
      <c r="CA166" s="139"/>
      <c r="CB166" s="139"/>
      <c r="CC166" s="139"/>
      <c r="CD166" s="139"/>
      <c r="CE166" s="139"/>
      <c r="CF166" s="139"/>
      <c r="CG166" s="139"/>
      <c r="CH166" s="139"/>
      <c r="CI166" s="139"/>
      <c r="CJ166" s="139"/>
      <c r="CK166" s="139"/>
      <c r="CL166" s="139"/>
      <c r="CM166" s="139"/>
      <c r="CN166" s="139"/>
      <c r="CO166" s="139"/>
      <c r="CP166" s="139"/>
      <c r="CQ166" s="139"/>
      <c r="CR166" s="139"/>
      <c r="CS166" s="139"/>
    </row>
    <row r="167" spans="1:97" s="140" customFormat="1" ht="15.75" hidden="1" customHeight="1">
      <c r="A167" s="138"/>
      <c r="B167" s="138"/>
      <c r="C167" s="190">
        <v>133</v>
      </c>
      <c r="D167" s="314" t="e">
        <f>IF(VLOOKUP(C167,PROPONENTES!$B$19:$E$218,2,FALSE)="","",VLOOKUP(C167,PROPONENTES!$B$19:$E$218,2,FALSE))</f>
        <v>#N/A</v>
      </c>
      <c r="E167" s="186" t="e">
        <f>IF(D167="","",IF(D167-INT(D167)&gt;1,"",VLOOKUP(D167,PROPONENTES!$C$19:$D$218,2,FALSE)))</f>
        <v>#N/A</v>
      </c>
      <c r="F167" s="487"/>
      <c r="G167" s="187"/>
      <c r="H167" s="139"/>
      <c r="I167" s="139"/>
      <c r="J167" s="139"/>
      <c r="K167" s="139"/>
      <c r="L167" s="139"/>
      <c r="M167" s="139"/>
      <c r="N167" s="139"/>
      <c r="O167" s="139"/>
      <c r="P167" s="139"/>
      <c r="Q167" s="139"/>
      <c r="R167" s="139"/>
      <c r="S167" s="139"/>
      <c r="T167" s="139"/>
      <c r="U167" s="139"/>
      <c r="V167" s="139"/>
      <c r="W167" s="139"/>
      <c r="X167" s="139"/>
      <c r="Y167" s="139"/>
      <c r="Z167" s="139"/>
      <c r="AA167" s="139"/>
      <c r="AB167" s="139"/>
      <c r="AC167" s="139"/>
      <c r="AD167" s="139"/>
      <c r="AE167" s="139"/>
      <c r="AF167" s="139"/>
      <c r="AG167" s="139"/>
      <c r="AH167" s="139"/>
      <c r="AI167" s="139"/>
      <c r="AJ167" s="139"/>
      <c r="AK167" s="139"/>
      <c r="AL167" s="139"/>
      <c r="AM167" s="139"/>
      <c r="AN167" s="139"/>
      <c r="AO167" s="139"/>
      <c r="AP167" s="139"/>
      <c r="AQ167" s="139"/>
      <c r="AR167" s="139"/>
      <c r="AS167" s="139"/>
      <c r="AT167" s="139"/>
      <c r="AU167" s="139"/>
      <c r="AV167" s="139"/>
      <c r="AW167" s="139"/>
      <c r="AX167" s="139"/>
      <c r="AY167" s="139"/>
      <c r="AZ167" s="139"/>
      <c r="BA167" s="139"/>
      <c r="BB167" s="139"/>
      <c r="BC167" s="139"/>
      <c r="BD167" s="139"/>
      <c r="BE167" s="139"/>
      <c r="BF167" s="139"/>
      <c r="BG167" s="139"/>
      <c r="BH167" s="139"/>
      <c r="BI167" s="139"/>
      <c r="BJ167" s="139"/>
      <c r="BK167" s="139"/>
      <c r="BL167" s="139"/>
      <c r="BM167" s="139"/>
      <c r="BN167" s="139"/>
      <c r="BO167" s="139"/>
      <c r="BP167" s="139"/>
      <c r="BQ167" s="139"/>
      <c r="BR167" s="139"/>
      <c r="BS167" s="139"/>
      <c r="BT167" s="139"/>
      <c r="BU167" s="139"/>
      <c r="BV167" s="139"/>
      <c r="BW167" s="139"/>
      <c r="BX167" s="139"/>
      <c r="BY167" s="139"/>
      <c r="BZ167" s="139"/>
      <c r="CA167" s="139"/>
      <c r="CB167" s="139"/>
      <c r="CC167" s="139"/>
      <c r="CD167" s="139"/>
      <c r="CE167" s="139"/>
      <c r="CF167" s="139"/>
      <c r="CG167" s="139"/>
      <c r="CH167" s="139"/>
      <c r="CI167" s="139"/>
      <c r="CJ167" s="139"/>
      <c r="CK167" s="139"/>
      <c r="CL167" s="139"/>
      <c r="CM167" s="139"/>
      <c r="CN167" s="139"/>
      <c r="CO167" s="139"/>
      <c r="CP167" s="139"/>
      <c r="CQ167" s="139"/>
      <c r="CR167" s="139"/>
      <c r="CS167" s="139"/>
    </row>
    <row r="168" spans="1:97" s="140" customFormat="1" ht="15.75" hidden="1" customHeight="1">
      <c r="A168" s="138"/>
      <c r="B168" s="138"/>
      <c r="C168" s="190">
        <v>134</v>
      </c>
      <c r="D168" s="314" t="e">
        <f>IF(VLOOKUP(C168,PROPONENTES!$B$19:$E$218,2,FALSE)="","",VLOOKUP(C168,PROPONENTES!$B$19:$E$218,2,FALSE))</f>
        <v>#N/A</v>
      </c>
      <c r="E168" s="186" t="e">
        <f>IF(D168="","",IF(D168-INT(D168)&gt;1,"",VLOOKUP(D168,PROPONENTES!$C$19:$D$218,2,FALSE)))</f>
        <v>#N/A</v>
      </c>
      <c r="F168" s="487"/>
      <c r="G168" s="187"/>
      <c r="H168" s="139"/>
      <c r="I168" s="139"/>
      <c r="J168" s="139"/>
      <c r="K168" s="139"/>
      <c r="L168" s="139"/>
      <c r="M168" s="139"/>
      <c r="N168" s="139"/>
      <c r="O168" s="139"/>
      <c r="P168" s="139"/>
      <c r="Q168" s="139"/>
      <c r="R168" s="139"/>
      <c r="S168" s="139"/>
      <c r="T168" s="139"/>
      <c r="U168" s="139"/>
      <c r="V168" s="139"/>
      <c r="W168" s="139"/>
      <c r="X168" s="139"/>
      <c r="Y168" s="139"/>
      <c r="Z168" s="139"/>
      <c r="AA168" s="139"/>
      <c r="AB168" s="139"/>
      <c r="AC168" s="139"/>
      <c r="AD168" s="139"/>
      <c r="AE168" s="139"/>
      <c r="AF168" s="139"/>
      <c r="AG168" s="139"/>
      <c r="AH168" s="139"/>
      <c r="AI168" s="139"/>
      <c r="AJ168" s="139"/>
      <c r="AK168" s="139"/>
      <c r="AL168" s="139"/>
      <c r="AM168" s="139"/>
      <c r="AN168" s="139"/>
      <c r="AO168" s="139"/>
      <c r="AP168" s="139"/>
      <c r="AQ168" s="139"/>
      <c r="AR168" s="139"/>
      <c r="AS168" s="139"/>
      <c r="AT168" s="139"/>
      <c r="AU168" s="139"/>
      <c r="AV168" s="139"/>
      <c r="AW168" s="139"/>
      <c r="AX168" s="139"/>
      <c r="AY168" s="139"/>
      <c r="AZ168" s="139"/>
      <c r="BA168" s="139"/>
      <c r="BB168" s="139"/>
      <c r="BC168" s="139"/>
      <c r="BD168" s="139"/>
      <c r="BE168" s="139"/>
      <c r="BF168" s="139"/>
      <c r="BG168" s="139"/>
      <c r="BH168" s="139"/>
      <c r="BI168" s="139"/>
      <c r="BJ168" s="139"/>
      <c r="BK168" s="139"/>
      <c r="BL168" s="139"/>
      <c r="BM168" s="139"/>
      <c r="BN168" s="139"/>
      <c r="BO168" s="139"/>
      <c r="BP168" s="139"/>
      <c r="BQ168" s="139"/>
      <c r="BR168" s="139"/>
      <c r="BS168" s="139"/>
      <c r="BT168" s="139"/>
      <c r="BU168" s="139"/>
      <c r="BV168" s="139"/>
      <c r="BW168" s="139"/>
      <c r="BX168" s="139"/>
      <c r="BY168" s="139"/>
      <c r="BZ168" s="139"/>
      <c r="CA168" s="139"/>
      <c r="CB168" s="139"/>
      <c r="CC168" s="139"/>
      <c r="CD168" s="139"/>
      <c r="CE168" s="139"/>
      <c r="CF168" s="139"/>
      <c r="CG168" s="139"/>
      <c r="CH168" s="139"/>
      <c r="CI168" s="139"/>
      <c r="CJ168" s="139"/>
      <c r="CK168" s="139"/>
      <c r="CL168" s="139"/>
      <c r="CM168" s="139"/>
      <c r="CN168" s="139"/>
      <c r="CO168" s="139"/>
      <c r="CP168" s="139"/>
      <c r="CQ168" s="139"/>
      <c r="CR168" s="139"/>
      <c r="CS168" s="139"/>
    </row>
    <row r="169" spans="1:97" s="140" customFormat="1" ht="15.75" hidden="1" customHeight="1">
      <c r="A169" s="138"/>
      <c r="B169" s="138"/>
      <c r="C169" s="190">
        <v>135</v>
      </c>
      <c r="D169" s="314" t="e">
        <f>IF(VLOOKUP(C169,PROPONENTES!$B$19:$E$218,2,FALSE)="","",VLOOKUP(C169,PROPONENTES!$B$19:$E$218,2,FALSE))</f>
        <v>#N/A</v>
      </c>
      <c r="E169" s="186" t="e">
        <f>IF(D169="","",IF(D169-INT(D169)&gt;1,"",VLOOKUP(D169,PROPONENTES!$C$19:$D$218,2,FALSE)))</f>
        <v>#N/A</v>
      </c>
      <c r="F169" s="487"/>
      <c r="G169" s="187"/>
      <c r="H169" s="139"/>
      <c r="I169" s="139"/>
      <c r="J169" s="139"/>
      <c r="K169" s="139"/>
      <c r="L169" s="139"/>
      <c r="M169" s="139"/>
      <c r="N169" s="139"/>
      <c r="O169" s="139"/>
      <c r="P169" s="139"/>
      <c r="Q169" s="139"/>
      <c r="R169" s="139"/>
      <c r="S169" s="139"/>
      <c r="T169" s="139"/>
      <c r="U169" s="139"/>
      <c r="V169" s="139"/>
      <c r="W169" s="139"/>
      <c r="X169" s="139"/>
      <c r="Y169" s="139"/>
      <c r="Z169" s="139"/>
      <c r="AA169" s="139"/>
      <c r="AB169" s="139"/>
      <c r="AC169" s="139"/>
      <c r="AD169" s="139"/>
      <c r="AE169" s="139"/>
      <c r="AF169" s="139"/>
      <c r="AG169" s="139"/>
      <c r="AH169" s="139"/>
      <c r="AI169" s="139"/>
      <c r="AJ169" s="139"/>
      <c r="AK169" s="139"/>
      <c r="AL169" s="139"/>
      <c r="AM169" s="139"/>
      <c r="AN169" s="139"/>
      <c r="AO169" s="139"/>
      <c r="AP169" s="139"/>
      <c r="AQ169" s="139"/>
      <c r="AR169" s="139"/>
      <c r="AS169" s="139"/>
      <c r="AT169" s="139"/>
      <c r="AU169" s="139"/>
      <c r="AV169" s="139"/>
      <c r="AW169" s="139"/>
      <c r="AX169" s="139"/>
      <c r="AY169" s="139"/>
      <c r="AZ169" s="139"/>
      <c r="BA169" s="139"/>
      <c r="BB169" s="139"/>
      <c r="BC169" s="139"/>
      <c r="BD169" s="139"/>
      <c r="BE169" s="139"/>
      <c r="BF169" s="139"/>
      <c r="BG169" s="139"/>
      <c r="BH169" s="139"/>
      <c r="BI169" s="139"/>
      <c r="BJ169" s="139"/>
      <c r="BK169" s="139"/>
      <c r="BL169" s="139"/>
      <c r="BM169" s="139"/>
      <c r="BN169" s="139"/>
      <c r="BO169" s="139"/>
      <c r="BP169" s="139"/>
      <c r="BQ169" s="139"/>
      <c r="BR169" s="139"/>
      <c r="BS169" s="139"/>
      <c r="BT169" s="139"/>
      <c r="BU169" s="139"/>
      <c r="BV169" s="139"/>
      <c r="BW169" s="139"/>
      <c r="BX169" s="139"/>
      <c r="BY169" s="139"/>
      <c r="BZ169" s="139"/>
      <c r="CA169" s="139"/>
      <c r="CB169" s="139"/>
      <c r="CC169" s="139"/>
      <c r="CD169" s="139"/>
      <c r="CE169" s="139"/>
      <c r="CF169" s="139"/>
      <c r="CG169" s="139"/>
      <c r="CH169" s="139"/>
      <c r="CI169" s="139"/>
      <c r="CJ169" s="139"/>
      <c r="CK169" s="139"/>
      <c r="CL169" s="139"/>
      <c r="CM169" s="139"/>
      <c r="CN169" s="139"/>
      <c r="CO169" s="139"/>
      <c r="CP169" s="139"/>
      <c r="CQ169" s="139"/>
      <c r="CR169" s="139"/>
      <c r="CS169" s="139"/>
    </row>
    <row r="170" spans="1:97" s="140" customFormat="1" ht="15.75" hidden="1" customHeight="1">
      <c r="A170" s="138"/>
      <c r="B170" s="138"/>
      <c r="C170" s="190">
        <v>136</v>
      </c>
      <c r="D170" s="314" t="e">
        <f>IF(VLOOKUP(C170,PROPONENTES!$B$19:$E$218,2,FALSE)="","",VLOOKUP(C170,PROPONENTES!$B$19:$E$218,2,FALSE))</f>
        <v>#N/A</v>
      </c>
      <c r="E170" s="186" t="e">
        <f>IF(D170="","",IF(D170-INT(D170)&gt;1,"",VLOOKUP(D170,PROPONENTES!$C$19:$D$218,2,FALSE)))</f>
        <v>#N/A</v>
      </c>
      <c r="F170" s="487"/>
      <c r="G170" s="187"/>
      <c r="H170" s="139"/>
      <c r="I170" s="139"/>
      <c r="J170" s="139"/>
      <c r="K170" s="139"/>
      <c r="L170" s="139"/>
      <c r="M170" s="139"/>
      <c r="N170" s="139"/>
      <c r="O170" s="139"/>
      <c r="P170" s="139"/>
      <c r="Q170" s="139"/>
      <c r="R170" s="139"/>
      <c r="S170" s="139"/>
      <c r="T170" s="139"/>
      <c r="U170" s="139"/>
      <c r="V170" s="139"/>
      <c r="W170" s="139"/>
      <c r="X170" s="139"/>
      <c r="Y170" s="139"/>
      <c r="Z170" s="139"/>
      <c r="AA170" s="139"/>
      <c r="AB170" s="139"/>
      <c r="AC170" s="139"/>
      <c r="AD170" s="139"/>
      <c r="AE170" s="139"/>
      <c r="AF170" s="139"/>
      <c r="AG170" s="139"/>
      <c r="AH170" s="139"/>
      <c r="AI170" s="139"/>
      <c r="AJ170" s="139"/>
      <c r="AK170" s="139"/>
      <c r="AL170" s="139"/>
      <c r="AM170" s="139"/>
      <c r="AN170" s="139"/>
      <c r="AO170" s="139"/>
      <c r="AP170" s="139"/>
      <c r="AQ170" s="139"/>
      <c r="AR170" s="139"/>
      <c r="AS170" s="139"/>
      <c r="AT170" s="139"/>
      <c r="AU170" s="139"/>
      <c r="AV170" s="139"/>
      <c r="AW170" s="139"/>
      <c r="AX170" s="139"/>
      <c r="AY170" s="139"/>
      <c r="AZ170" s="139"/>
      <c r="BA170" s="139"/>
      <c r="BB170" s="139"/>
      <c r="BC170" s="139"/>
      <c r="BD170" s="139"/>
      <c r="BE170" s="139"/>
      <c r="BF170" s="139"/>
      <c r="BG170" s="139"/>
      <c r="BH170" s="139"/>
      <c r="BI170" s="139"/>
      <c r="BJ170" s="139"/>
      <c r="BK170" s="139"/>
      <c r="BL170" s="139"/>
      <c r="BM170" s="139"/>
      <c r="BN170" s="139"/>
      <c r="BO170" s="139"/>
      <c r="BP170" s="139"/>
      <c r="BQ170" s="139"/>
      <c r="BR170" s="139"/>
      <c r="BS170" s="139"/>
      <c r="BT170" s="139"/>
      <c r="BU170" s="139"/>
      <c r="BV170" s="139"/>
      <c r="BW170" s="139"/>
      <c r="BX170" s="139"/>
      <c r="BY170" s="139"/>
      <c r="BZ170" s="139"/>
      <c r="CA170" s="139"/>
      <c r="CB170" s="139"/>
      <c r="CC170" s="139"/>
      <c r="CD170" s="139"/>
      <c r="CE170" s="139"/>
      <c r="CF170" s="139"/>
      <c r="CG170" s="139"/>
      <c r="CH170" s="139"/>
      <c r="CI170" s="139"/>
      <c r="CJ170" s="139"/>
      <c r="CK170" s="139"/>
      <c r="CL170" s="139"/>
      <c r="CM170" s="139"/>
      <c r="CN170" s="139"/>
      <c r="CO170" s="139"/>
      <c r="CP170" s="139"/>
      <c r="CQ170" s="139"/>
      <c r="CR170" s="139"/>
      <c r="CS170" s="139"/>
    </row>
    <row r="171" spans="1:97" s="140" customFormat="1" ht="15.75" hidden="1" customHeight="1">
      <c r="A171" s="138"/>
      <c r="B171" s="138"/>
      <c r="C171" s="190">
        <v>137</v>
      </c>
      <c r="D171" s="314" t="e">
        <f>IF(VLOOKUP(C171,PROPONENTES!$B$19:$E$218,2,FALSE)="","",VLOOKUP(C171,PROPONENTES!$B$19:$E$218,2,FALSE))</f>
        <v>#N/A</v>
      </c>
      <c r="E171" s="186" t="e">
        <f>IF(D171="","",IF(D171-INT(D171)&gt;1,"",VLOOKUP(D171,PROPONENTES!$C$19:$D$218,2,FALSE)))</f>
        <v>#N/A</v>
      </c>
      <c r="F171" s="487"/>
      <c r="G171" s="187"/>
      <c r="H171" s="139"/>
      <c r="I171" s="139"/>
      <c r="J171" s="139"/>
      <c r="K171" s="139"/>
      <c r="L171" s="139"/>
      <c r="M171" s="139"/>
      <c r="N171" s="139"/>
      <c r="O171" s="139"/>
      <c r="P171" s="139"/>
      <c r="Q171" s="139"/>
      <c r="R171" s="139"/>
      <c r="S171" s="139"/>
      <c r="T171" s="139"/>
      <c r="U171" s="139"/>
      <c r="V171" s="139"/>
      <c r="W171" s="139"/>
      <c r="X171" s="139"/>
      <c r="Y171" s="139"/>
      <c r="Z171" s="139"/>
      <c r="AA171" s="139"/>
      <c r="AB171" s="139"/>
      <c r="AC171" s="139"/>
      <c r="AD171" s="139"/>
      <c r="AE171" s="139"/>
      <c r="AF171" s="139"/>
      <c r="AG171" s="139"/>
      <c r="AH171" s="139"/>
      <c r="AI171" s="139"/>
      <c r="AJ171" s="139"/>
      <c r="AK171" s="139"/>
      <c r="AL171" s="139"/>
      <c r="AM171" s="139"/>
      <c r="AN171" s="139"/>
      <c r="AO171" s="139"/>
      <c r="AP171" s="139"/>
      <c r="AQ171" s="139"/>
      <c r="AR171" s="139"/>
      <c r="AS171" s="139"/>
      <c r="AT171" s="139"/>
      <c r="AU171" s="139"/>
      <c r="AV171" s="139"/>
      <c r="AW171" s="139"/>
      <c r="AX171" s="139"/>
      <c r="AY171" s="139"/>
      <c r="AZ171" s="139"/>
      <c r="BA171" s="139"/>
      <c r="BB171" s="139"/>
      <c r="BC171" s="139"/>
      <c r="BD171" s="139"/>
      <c r="BE171" s="139"/>
      <c r="BF171" s="139"/>
      <c r="BG171" s="139"/>
      <c r="BH171" s="139"/>
      <c r="BI171" s="139"/>
      <c r="BJ171" s="139"/>
      <c r="BK171" s="139"/>
      <c r="BL171" s="139"/>
      <c r="BM171" s="139"/>
      <c r="BN171" s="139"/>
      <c r="BO171" s="139"/>
      <c r="BP171" s="139"/>
      <c r="BQ171" s="139"/>
      <c r="BR171" s="139"/>
      <c r="BS171" s="139"/>
      <c r="BT171" s="139"/>
      <c r="BU171" s="139"/>
      <c r="BV171" s="139"/>
      <c r="BW171" s="139"/>
      <c r="BX171" s="139"/>
      <c r="BY171" s="139"/>
      <c r="BZ171" s="139"/>
      <c r="CA171" s="139"/>
      <c r="CB171" s="139"/>
      <c r="CC171" s="139"/>
      <c r="CD171" s="139"/>
      <c r="CE171" s="139"/>
      <c r="CF171" s="139"/>
      <c r="CG171" s="139"/>
      <c r="CH171" s="139"/>
      <c r="CI171" s="139"/>
      <c r="CJ171" s="139"/>
      <c r="CK171" s="139"/>
      <c r="CL171" s="139"/>
      <c r="CM171" s="139"/>
      <c r="CN171" s="139"/>
      <c r="CO171" s="139"/>
      <c r="CP171" s="139"/>
      <c r="CQ171" s="139"/>
      <c r="CR171" s="139"/>
      <c r="CS171" s="139"/>
    </row>
    <row r="172" spans="1:97" s="140" customFormat="1" ht="15.75" hidden="1" customHeight="1">
      <c r="A172" s="138"/>
      <c r="B172" s="138"/>
      <c r="C172" s="190">
        <v>138</v>
      </c>
      <c r="D172" s="314" t="e">
        <f>IF(VLOOKUP(C172,PROPONENTES!$B$19:$E$218,2,FALSE)="","",VLOOKUP(C172,PROPONENTES!$B$19:$E$218,2,FALSE))</f>
        <v>#N/A</v>
      </c>
      <c r="E172" s="186" t="e">
        <f>IF(D172="","",IF(D172-INT(D172)&gt;1,"",VLOOKUP(D172,PROPONENTES!$C$19:$D$218,2,FALSE)))</f>
        <v>#N/A</v>
      </c>
      <c r="F172" s="487"/>
      <c r="G172" s="187"/>
      <c r="H172" s="139"/>
      <c r="I172" s="139"/>
      <c r="J172" s="139"/>
      <c r="K172" s="139"/>
      <c r="L172" s="139"/>
      <c r="M172" s="139"/>
      <c r="N172" s="139"/>
      <c r="O172" s="139"/>
      <c r="P172" s="139"/>
      <c r="Q172" s="139"/>
      <c r="R172" s="139"/>
      <c r="S172" s="139"/>
      <c r="T172" s="139"/>
      <c r="U172" s="139"/>
      <c r="V172" s="139"/>
      <c r="W172" s="139"/>
      <c r="X172" s="139"/>
      <c r="Y172" s="139"/>
      <c r="Z172" s="139"/>
      <c r="AA172" s="139"/>
      <c r="AB172" s="139"/>
      <c r="AC172" s="139"/>
      <c r="AD172" s="139"/>
      <c r="AE172" s="139"/>
      <c r="AF172" s="139"/>
      <c r="AG172" s="139"/>
      <c r="AH172" s="139"/>
      <c r="AI172" s="139"/>
      <c r="AJ172" s="139"/>
      <c r="AK172" s="139"/>
      <c r="AL172" s="139"/>
      <c r="AM172" s="139"/>
      <c r="AN172" s="139"/>
      <c r="AO172" s="139"/>
      <c r="AP172" s="139"/>
      <c r="AQ172" s="139"/>
      <c r="AR172" s="139"/>
      <c r="AS172" s="139"/>
      <c r="AT172" s="139"/>
      <c r="AU172" s="139"/>
      <c r="AV172" s="139"/>
      <c r="AW172" s="139"/>
      <c r="AX172" s="139"/>
      <c r="AY172" s="139"/>
      <c r="AZ172" s="139"/>
      <c r="BA172" s="139"/>
      <c r="BB172" s="139"/>
      <c r="BC172" s="139"/>
      <c r="BD172" s="139"/>
      <c r="BE172" s="139"/>
      <c r="BF172" s="139"/>
      <c r="BG172" s="139"/>
      <c r="BH172" s="139"/>
      <c r="BI172" s="139"/>
      <c r="BJ172" s="139"/>
      <c r="BK172" s="139"/>
      <c r="BL172" s="139"/>
      <c r="BM172" s="139"/>
      <c r="BN172" s="139"/>
      <c r="BO172" s="139"/>
      <c r="BP172" s="139"/>
      <c r="BQ172" s="139"/>
      <c r="BR172" s="139"/>
      <c r="BS172" s="139"/>
      <c r="BT172" s="139"/>
      <c r="BU172" s="139"/>
      <c r="BV172" s="139"/>
      <c r="BW172" s="139"/>
      <c r="BX172" s="139"/>
      <c r="BY172" s="139"/>
      <c r="BZ172" s="139"/>
      <c r="CA172" s="139"/>
      <c r="CB172" s="139"/>
      <c r="CC172" s="139"/>
      <c r="CD172" s="139"/>
      <c r="CE172" s="139"/>
      <c r="CF172" s="139"/>
      <c r="CG172" s="139"/>
      <c r="CH172" s="139"/>
      <c r="CI172" s="139"/>
      <c r="CJ172" s="139"/>
      <c r="CK172" s="139"/>
      <c r="CL172" s="139"/>
      <c r="CM172" s="139"/>
      <c r="CN172" s="139"/>
      <c r="CO172" s="139"/>
      <c r="CP172" s="139"/>
      <c r="CQ172" s="139"/>
      <c r="CR172" s="139"/>
      <c r="CS172" s="139"/>
    </row>
    <row r="173" spans="1:97" s="140" customFormat="1" ht="15.75" hidden="1" customHeight="1">
      <c r="A173" s="138"/>
      <c r="B173" s="138"/>
      <c r="C173" s="190">
        <v>139</v>
      </c>
      <c r="D173" s="314" t="e">
        <f>IF(VLOOKUP(C173,PROPONENTES!$B$19:$E$218,2,FALSE)="","",VLOOKUP(C173,PROPONENTES!$B$19:$E$218,2,FALSE))</f>
        <v>#N/A</v>
      </c>
      <c r="E173" s="186" t="e">
        <f>IF(D173="","",IF(D173-INT(D173)&gt;1,"",VLOOKUP(D173,PROPONENTES!$C$19:$D$218,2,FALSE)))</f>
        <v>#N/A</v>
      </c>
      <c r="F173" s="487"/>
      <c r="G173" s="187"/>
      <c r="H173" s="139"/>
      <c r="I173" s="139"/>
      <c r="J173" s="139"/>
      <c r="K173" s="139"/>
      <c r="L173" s="139"/>
      <c r="M173" s="139"/>
      <c r="N173" s="139"/>
      <c r="O173" s="139"/>
      <c r="P173" s="139"/>
      <c r="Q173" s="139"/>
      <c r="R173" s="139"/>
      <c r="S173" s="139"/>
      <c r="T173" s="139"/>
      <c r="U173" s="139"/>
      <c r="V173" s="139"/>
      <c r="W173" s="139"/>
      <c r="X173" s="139"/>
      <c r="Y173" s="139"/>
      <c r="Z173" s="139"/>
      <c r="AA173" s="139"/>
      <c r="AB173" s="139"/>
      <c r="AC173" s="139"/>
      <c r="AD173" s="139"/>
      <c r="AE173" s="139"/>
      <c r="AF173" s="139"/>
      <c r="AG173" s="139"/>
      <c r="AH173" s="139"/>
      <c r="AI173" s="139"/>
      <c r="AJ173" s="139"/>
      <c r="AK173" s="139"/>
      <c r="AL173" s="139"/>
      <c r="AM173" s="139"/>
      <c r="AN173" s="139"/>
      <c r="AO173" s="139"/>
      <c r="AP173" s="139"/>
      <c r="AQ173" s="139"/>
      <c r="AR173" s="139"/>
      <c r="AS173" s="139"/>
      <c r="AT173" s="139"/>
      <c r="AU173" s="139"/>
      <c r="AV173" s="139"/>
      <c r="AW173" s="139"/>
      <c r="AX173" s="139"/>
      <c r="AY173" s="139"/>
      <c r="AZ173" s="139"/>
      <c r="BA173" s="139"/>
      <c r="BB173" s="139"/>
      <c r="BC173" s="139"/>
      <c r="BD173" s="139"/>
      <c r="BE173" s="139"/>
      <c r="BF173" s="139"/>
      <c r="BG173" s="139"/>
      <c r="BH173" s="139"/>
      <c r="BI173" s="139"/>
      <c r="BJ173" s="139"/>
      <c r="BK173" s="139"/>
      <c r="BL173" s="139"/>
      <c r="BM173" s="139"/>
      <c r="BN173" s="139"/>
      <c r="BO173" s="139"/>
      <c r="BP173" s="139"/>
      <c r="BQ173" s="139"/>
      <c r="BR173" s="139"/>
      <c r="BS173" s="139"/>
      <c r="BT173" s="139"/>
      <c r="BU173" s="139"/>
      <c r="BV173" s="139"/>
      <c r="BW173" s="139"/>
      <c r="BX173" s="139"/>
      <c r="BY173" s="139"/>
      <c r="BZ173" s="139"/>
      <c r="CA173" s="139"/>
      <c r="CB173" s="139"/>
      <c r="CC173" s="139"/>
      <c r="CD173" s="139"/>
      <c r="CE173" s="139"/>
      <c r="CF173" s="139"/>
      <c r="CG173" s="139"/>
      <c r="CH173" s="139"/>
      <c r="CI173" s="139"/>
      <c r="CJ173" s="139"/>
      <c r="CK173" s="139"/>
      <c r="CL173" s="139"/>
      <c r="CM173" s="139"/>
      <c r="CN173" s="139"/>
      <c r="CO173" s="139"/>
      <c r="CP173" s="139"/>
      <c r="CQ173" s="139"/>
      <c r="CR173" s="139"/>
      <c r="CS173" s="139"/>
    </row>
    <row r="174" spans="1:97" s="140" customFormat="1" ht="15.75" hidden="1" customHeight="1">
      <c r="A174" s="138"/>
      <c r="B174" s="138"/>
      <c r="C174" s="190">
        <v>140</v>
      </c>
      <c r="D174" s="314" t="e">
        <f>IF(VLOOKUP(C174,PROPONENTES!$B$19:$E$218,2,FALSE)="","",VLOOKUP(C174,PROPONENTES!$B$19:$E$218,2,FALSE))</f>
        <v>#N/A</v>
      </c>
      <c r="E174" s="186" t="e">
        <f>IF(D174="","",IF(D174-INT(D174)&gt;1,"",VLOOKUP(D174,PROPONENTES!$C$19:$D$218,2,FALSE)))</f>
        <v>#N/A</v>
      </c>
      <c r="F174" s="487"/>
      <c r="G174" s="187"/>
      <c r="H174" s="139"/>
      <c r="I174" s="139"/>
      <c r="J174" s="139"/>
      <c r="K174" s="139"/>
      <c r="L174" s="139"/>
      <c r="M174" s="139"/>
      <c r="N174" s="139"/>
      <c r="O174" s="139"/>
      <c r="P174" s="139"/>
      <c r="Q174" s="139"/>
      <c r="R174" s="139"/>
      <c r="S174" s="139"/>
      <c r="T174" s="139"/>
      <c r="U174" s="139"/>
      <c r="V174" s="139"/>
      <c r="W174" s="139"/>
      <c r="X174" s="139"/>
      <c r="Y174" s="139"/>
      <c r="Z174" s="139"/>
      <c r="AA174" s="139"/>
      <c r="AB174" s="139"/>
      <c r="AC174" s="139"/>
      <c r="AD174" s="139"/>
      <c r="AE174" s="139"/>
      <c r="AF174" s="139"/>
      <c r="AG174" s="139"/>
      <c r="AH174" s="139"/>
      <c r="AI174" s="139"/>
      <c r="AJ174" s="139"/>
      <c r="AK174" s="139"/>
      <c r="AL174" s="139"/>
      <c r="AM174" s="139"/>
      <c r="AN174" s="139"/>
      <c r="AO174" s="139"/>
      <c r="AP174" s="139"/>
      <c r="AQ174" s="139"/>
      <c r="AR174" s="139"/>
      <c r="AS174" s="139"/>
      <c r="AT174" s="139"/>
      <c r="AU174" s="139"/>
      <c r="AV174" s="139"/>
      <c r="AW174" s="139"/>
      <c r="AX174" s="139"/>
      <c r="AY174" s="139"/>
      <c r="AZ174" s="139"/>
      <c r="BA174" s="139"/>
      <c r="BB174" s="139"/>
      <c r="BC174" s="139"/>
      <c r="BD174" s="139"/>
      <c r="BE174" s="139"/>
      <c r="BF174" s="139"/>
      <c r="BG174" s="139"/>
      <c r="BH174" s="139"/>
      <c r="BI174" s="139"/>
      <c r="BJ174" s="139"/>
      <c r="BK174" s="139"/>
      <c r="BL174" s="139"/>
      <c r="BM174" s="139"/>
      <c r="BN174" s="139"/>
      <c r="BO174" s="139"/>
      <c r="BP174" s="139"/>
      <c r="BQ174" s="139"/>
      <c r="BR174" s="139"/>
      <c r="BS174" s="139"/>
      <c r="BT174" s="139"/>
      <c r="BU174" s="139"/>
      <c r="BV174" s="139"/>
      <c r="BW174" s="139"/>
      <c r="BX174" s="139"/>
      <c r="BY174" s="139"/>
      <c r="BZ174" s="139"/>
      <c r="CA174" s="139"/>
      <c r="CB174" s="139"/>
      <c r="CC174" s="139"/>
      <c r="CD174" s="139"/>
      <c r="CE174" s="139"/>
      <c r="CF174" s="139"/>
      <c r="CG174" s="139"/>
      <c r="CH174" s="139"/>
      <c r="CI174" s="139"/>
      <c r="CJ174" s="139"/>
      <c r="CK174" s="139"/>
      <c r="CL174" s="139"/>
      <c r="CM174" s="139"/>
      <c r="CN174" s="139"/>
      <c r="CO174" s="139"/>
      <c r="CP174" s="139"/>
      <c r="CQ174" s="139"/>
      <c r="CR174" s="139"/>
      <c r="CS174" s="139"/>
    </row>
    <row r="175" spans="1:97" s="140" customFormat="1" ht="15.75" hidden="1" customHeight="1">
      <c r="A175" s="138"/>
      <c r="B175" s="138"/>
      <c r="C175" s="190">
        <v>141</v>
      </c>
      <c r="D175" s="314" t="e">
        <f>IF(VLOOKUP(C175,PROPONENTES!$B$19:$E$218,2,FALSE)="","",VLOOKUP(C175,PROPONENTES!$B$19:$E$218,2,FALSE))</f>
        <v>#N/A</v>
      </c>
      <c r="E175" s="186" t="e">
        <f>IF(D175="","",IF(D175-INT(D175)&gt;1,"",VLOOKUP(D175,PROPONENTES!$C$19:$D$218,2,FALSE)))</f>
        <v>#N/A</v>
      </c>
      <c r="F175" s="487"/>
      <c r="G175" s="187"/>
      <c r="H175" s="139"/>
      <c r="I175" s="139"/>
      <c r="J175" s="139"/>
      <c r="K175" s="139"/>
      <c r="L175" s="139"/>
      <c r="M175" s="139"/>
      <c r="N175" s="139"/>
      <c r="O175" s="139"/>
      <c r="P175" s="139"/>
      <c r="Q175" s="139"/>
      <c r="R175" s="139"/>
      <c r="S175" s="139"/>
      <c r="T175" s="139"/>
      <c r="U175" s="139"/>
      <c r="V175" s="139"/>
      <c r="W175" s="139"/>
      <c r="X175" s="139"/>
      <c r="Y175" s="139"/>
      <c r="Z175" s="139"/>
      <c r="AA175" s="139"/>
      <c r="AB175" s="139"/>
      <c r="AC175" s="139"/>
      <c r="AD175" s="139"/>
      <c r="AE175" s="139"/>
      <c r="AF175" s="139"/>
      <c r="AG175" s="139"/>
      <c r="AH175" s="139"/>
      <c r="AI175" s="139"/>
      <c r="AJ175" s="139"/>
      <c r="AK175" s="139"/>
      <c r="AL175" s="139"/>
      <c r="AM175" s="139"/>
      <c r="AN175" s="139"/>
      <c r="AO175" s="139"/>
      <c r="AP175" s="139"/>
      <c r="AQ175" s="139"/>
      <c r="AR175" s="139"/>
      <c r="AS175" s="139"/>
      <c r="AT175" s="139"/>
      <c r="AU175" s="139"/>
      <c r="AV175" s="139"/>
      <c r="AW175" s="139"/>
      <c r="AX175" s="139"/>
      <c r="AY175" s="139"/>
      <c r="AZ175" s="139"/>
      <c r="BA175" s="139"/>
      <c r="BB175" s="139"/>
      <c r="BC175" s="139"/>
      <c r="BD175" s="139"/>
      <c r="BE175" s="139"/>
      <c r="BF175" s="139"/>
      <c r="BG175" s="139"/>
      <c r="BH175" s="139"/>
      <c r="BI175" s="139"/>
      <c r="BJ175" s="139"/>
      <c r="BK175" s="139"/>
      <c r="BL175" s="139"/>
      <c r="BM175" s="139"/>
      <c r="BN175" s="139"/>
      <c r="BO175" s="139"/>
      <c r="BP175" s="139"/>
      <c r="BQ175" s="139"/>
      <c r="BR175" s="139"/>
      <c r="BS175" s="139"/>
      <c r="BT175" s="139"/>
      <c r="BU175" s="139"/>
      <c r="BV175" s="139"/>
      <c r="BW175" s="139"/>
      <c r="BX175" s="139"/>
      <c r="BY175" s="139"/>
      <c r="BZ175" s="139"/>
      <c r="CA175" s="139"/>
      <c r="CB175" s="139"/>
      <c r="CC175" s="139"/>
      <c r="CD175" s="139"/>
      <c r="CE175" s="139"/>
      <c r="CF175" s="139"/>
      <c r="CG175" s="139"/>
      <c r="CH175" s="139"/>
      <c r="CI175" s="139"/>
      <c r="CJ175" s="139"/>
      <c r="CK175" s="139"/>
      <c r="CL175" s="139"/>
      <c r="CM175" s="139"/>
      <c r="CN175" s="139"/>
      <c r="CO175" s="139"/>
      <c r="CP175" s="139"/>
      <c r="CQ175" s="139"/>
      <c r="CR175" s="139"/>
      <c r="CS175" s="139"/>
    </row>
    <row r="176" spans="1:97" s="140" customFormat="1" ht="15.75" hidden="1" customHeight="1">
      <c r="A176" s="138"/>
      <c r="B176" s="138"/>
      <c r="C176" s="190">
        <v>142</v>
      </c>
      <c r="D176" s="314" t="e">
        <f>IF(VLOOKUP(C176,PROPONENTES!$B$19:$E$218,2,FALSE)="","",VLOOKUP(C176,PROPONENTES!$B$19:$E$218,2,FALSE))</f>
        <v>#N/A</v>
      </c>
      <c r="E176" s="186" t="e">
        <f>IF(D176="","",IF(D176-INT(D176)&gt;1,"",VLOOKUP(D176,PROPONENTES!$C$19:$D$218,2,FALSE)))</f>
        <v>#N/A</v>
      </c>
      <c r="F176" s="487"/>
      <c r="G176" s="187"/>
      <c r="H176" s="139"/>
      <c r="I176" s="139"/>
      <c r="J176" s="139"/>
      <c r="K176" s="139"/>
      <c r="L176" s="139"/>
      <c r="M176" s="139"/>
      <c r="N176" s="139"/>
      <c r="O176" s="139"/>
      <c r="P176" s="139"/>
      <c r="Q176" s="139"/>
      <c r="R176" s="139"/>
      <c r="S176" s="139"/>
      <c r="T176" s="139"/>
      <c r="U176" s="139"/>
      <c r="V176" s="139"/>
      <c r="W176" s="139"/>
      <c r="X176" s="139"/>
      <c r="Y176" s="139"/>
      <c r="Z176" s="139"/>
      <c r="AA176" s="139"/>
      <c r="AB176" s="139"/>
      <c r="AC176" s="139"/>
      <c r="AD176" s="139"/>
      <c r="AE176" s="139"/>
      <c r="AF176" s="139"/>
      <c r="AG176" s="139"/>
      <c r="AH176" s="139"/>
      <c r="AI176" s="139"/>
      <c r="AJ176" s="139"/>
      <c r="AK176" s="139"/>
      <c r="AL176" s="139"/>
      <c r="AM176" s="139"/>
      <c r="AN176" s="139"/>
      <c r="AO176" s="139"/>
      <c r="AP176" s="139"/>
      <c r="AQ176" s="139"/>
      <c r="AR176" s="139"/>
      <c r="AS176" s="139"/>
      <c r="AT176" s="139"/>
      <c r="AU176" s="139"/>
      <c r="AV176" s="139"/>
      <c r="AW176" s="139"/>
      <c r="AX176" s="139"/>
      <c r="AY176" s="139"/>
      <c r="AZ176" s="139"/>
      <c r="BA176" s="139"/>
      <c r="BB176" s="139"/>
      <c r="BC176" s="139"/>
      <c r="BD176" s="139"/>
      <c r="BE176" s="139"/>
      <c r="BF176" s="139"/>
      <c r="BG176" s="139"/>
      <c r="BH176" s="139"/>
      <c r="BI176" s="139"/>
      <c r="BJ176" s="139"/>
      <c r="BK176" s="139"/>
      <c r="BL176" s="139"/>
      <c r="BM176" s="139"/>
      <c r="BN176" s="139"/>
      <c r="BO176" s="139"/>
      <c r="BP176" s="139"/>
      <c r="BQ176" s="139"/>
      <c r="BR176" s="139"/>
      <c r="BS176" s="139"/>
      <c r="BT176" s="139"/>
      <c r="BU176" s="139"/>
      <c r="BV176" s="139"/>
      <c r="BW176" s="139"/>
      <c r="BX176" s="139"/>
      <c r="BY176" s="139"/>
      <c r="BZ176" s="139"/>
      <c r="CA176" s="139"/>
      <c r="CB176" s="139"/>
      <c r="CC176" s="139"/>
      <c r="CD176" s="139"/>
      <c r="CE176" s="139"/>
      <c r="CF176" s="139"/>
      <c r="CG176" s="139"/>
      <c r="CH176" s="139"/>
      <c r="CI176" s="139"/>
      <c r="CJ176" s="139"/>
      <c r="CK176" s="139"/>
      <c r="CL176" s="139"/>
      <c r="CM176" s="139"/>
      <c r="CN176" s="139"/>
      <c r="CO176" s="139"/>
      <c r="CP176" s="139"/>
      <c r="CQ176" s="139"/>
      <c r="CR176" s="139"/>
      <c r="CS176" s="139"/>
    </row>
    <row r="177" spans="1:97" s="140" customFormat="1" ht="15.75" hidden="1" customHeight="1">
      <c r="A177" s="138"/>
      <c r="B177" s="138"/>
      <c r="C177" s="190">
        <v>143</v>
      </c>
      <c r="D177" s="314" t="e">
        <f>IF(VLOOKUP(C177,PROPONENTES!$B$19:$E$218,2,FALSE)="","",VLOOKUP(C177,PROPONENTES!$B$19:$E$218,2,FALSE))</f>
        <v>#N/A</v>
      </c>
      <c r="E177" s="186" t="e">
        <f>IF(D177="","",IF(D177-INT(D177)&gt;1,"",VLOOKUP(D177,PROPONENTES!$C$19:$D$218,2,FALSE)))</f>
        <v>#N/A</v>
      </c>
      <c r="F177" s="487"/>
      <c r="G177" s="187"/>
      <c r="H177" s="139"/>
      <c r="I177" s="139"/>
      <c r="J177" s="139"/>
      <c r="K177" s="139"/>
      <c r="L177" s="139"/>
      <c r="M177" s="139"/>
      <c r="N177" s="139"/>
      <c r="O177" s="139"/>
      <c r="P177" s="139"/>
      <c r="Q177" s="139"/>
      <c r="R177" s="139"/>
      <c r="S177" s="139"/>
      <c r="T177" s="139"/>
      <c r="U177" s="139"/>
      <c r="V177" s="139"/>
      <c r="W177" s="139"/>
      <c r="X177" s="139"/>
      <c r="Y177" s="139"/>
      <c r="Z177" s="139"/>
      <c r="AA177" s="139"/>
      <c r="AB177" s="139"/>
      <c r="AC177" s="139"/>
      <c r="AD177" s="139"/>
      <c r="AE177" s="139"/>
      <c r="AF177" s="139"/>
      <c r="AG177" s="139"/>
      <c r="AH177" s="139"/>
      <c r="AI177" s="139"/>
      <c r="AJ177" s="139"/>
      <c r="AK177" s="139"/>
      <c r="AL177" s="139"/>
      <c r="AM177" s="139"/>
      <c r="AN177" s="139"/>
      <c r="AO177" s="139"/>
      <c r="AP177" s="139"/>
      <c r="AQ177" s="139"/>
      <c r="AR177" s="139"/>
      <c r="AS177" s="139"/>
      <c r="AT177" s="139"/>
      <c r="AU177" s="139"/>
      <c r="AV177" s="139"/>
      <c r="AW177" s="139"/>
      <c r="AX177" s="139"/>
      <c r="AY177" s="139"/>
      <c r="AZ177" s="139"/>
      <c r="BA177" s="139"/>
      <c r="BB177" s="139"/>
      <c r="BC177" s="139"/>
      <c r="BD177" s="139"/>
      <c r="BE177" s="139"/>
      <c r="BF177" s="139"/>
      <c r="BG177" s="139"/>
      <c r="BH177" s="139"/>
      <c r="BI177" s="139"/>
      <c r="BJ177" s="139"/>
      <c r="BK177" s="139"/>
      <c r="BL177" s="139"/>
      <c r="BM177" s="139"/>
      <c r="BN177" s="139"/>
      <c r="BO177" s="139"/>
      <c r="BP177" s="139"/>
      <c r="BQ177" s="139"/>
      <c r="BR177" s="139"/>
      <c r="BS177" s="139"/>
      <c r="BT177" s="139"/>
      <c r="BU177" s="139"/>
      <c r="BV177" s="139"/>
      <c r="BW177" s="139"/>
      <c r="BX177" s="139"/>
      <c r="BY177" s="139"/>
      <c r="BZ177" s="139"/>
      <c r="CA177" s="139"/>
      <c r="CB177" s="139"/>
      <c r="CC177" s="139"/>
      <c r="CD177" s="139"/>
      <c r="CE177" s="139"/>
      <c r="CF177" s="139"/>
      <c r="CG177" s="139"/>
      <c r="CH177" s="139"/>
      <c r="CI177" s="139"/>
      <c r="CJ177" s="139"/>
      <c r="CK177" s="139"/>
      <c r="CL177" s="139"/>
      <c r="CM177" s="139"/>
      <c r="CN177" s="139"/>
      <c r="CO177" s="139"/>
      <c r="CP177" s="139"/>
      <c r="CQ177" s="139"/>
      <c r="CR177" s="139"/>
      <c r="CS177" s="139"/>
    </row>
    <row r="178" spans="1:97" s="140" customFormat="1" ht="15.75" hidden="1" customHeight="1">
      <c r="A178" s="138"/>
      <c r="B178" s="138"/>
      <c r="C178" s="190">
        <v>144</v>
      </c>
      <c r="D178" s="314" t="e">
        <f>IF(VLOOKUP(C178,PROPONENTES!$B$19:$E$218,2,FALSE)="","",VLOOKUP(C178,PROPONENTES!$B$19:$E$218,2,FALSE))</f>
        <v>#N/A</v>
      </c>
      <c r="E178" s="186" t="e">
        <f>IF(D178="","",IF(D178-INT(D178)&gt;1,"",VLOOKUP(D178,PROPONENTES!$C$19:$D$218,2,FALSE)))</f>
        <v>#N/A</v>
      </c>
      <c r="F178" s="487"/>
      <c r="G178" s="187"/>
      <c r="H178" s="139"/>
      <c r="I178" s="139"/>
      <c r="J178" s="139"/>
      <c r="K178" s="139"/>
      <c r="L178" s="139"/>
      <c r="M178" s="139"/>
      <c r="N178" s="139"/>
      <c r="O178" s="139"/>
      <c r="P178" s="139"/>
      <c r="Q178" s="139"/>
      <c r="R178" s="139"/>
      <c r="S178" s="139"/>
      <c r="T178" s="139"/>
      <c r="U178" s="139"/>
      <c r="V178" s="139"/>
      <c r="W178" s="139"/>
      <c r="X178" s="139"/>
      <c r="Y178" s="139"/>
      <c r="Z178" s="139"/>
      <c r="AA178" s="139"/>
      <c r="AB178" s="139"/>
      <c r="AC178" s="139"/>
      <c r="AD178" s="139"/>
      <c r="AE178" s="139"/>
      <c r="AF178" s="139"/>
      <c r="AG178" s="139"/>
      <c r="AH178" s="139"/>
      <c r="AI178" s="139"/>
      <c r="AJ178" s="139"/>
      <c r="AK178" s="139"/>
      <c r="AL178" s="139"/>
      <c r="AM178" s="139"/>
      <c r="AN178" s="139"/>
      <c r="AO178" s="139"/>
      <c r="AP178" s="139"/>
      <c r="AQ178" s="139"/>
      <c r="AR178" s="139"/>
      <c r="AS178" s="139"/>
      <c r="AT178" s="139"/>
      <c r="AU178" s="139"/>
      <c r="AV178" s="139"/>
      <c r="AW178" s="139"/>
      <c r="AX178" s="139"/>
      <c r="AY178" s="139"/>
      <c r="AZ178" s="139"/>
      <c r="BA178" s="139"/>
      <c r="BB178" s="139"/>
      <c r="BC178" s="139"/>
      <c r="BD178" s="139"/>
      <c r="BE178" s="139"/>
      <c r="BF178" s="139"/>
      <c r="BG178" s="139"/>
      <c r="BH178" s="139"/>
      <c r="BI178" s="139"/>
      <c r="BJ178" s="139"/>
      <c r="BK178" s="139"/>
      <c r="BL178" s="139"/>
      <c r="BM178" s="139"/>
      <c r="BN178" s="139"/>
      <c r="BO178" s="139"/>
      <c r="BP178" s="139"/>
      <c r="BQ178" s="139"/>
      <c r="BR178" s="139"/>
      <c r="BS178" s="139"/>
      <c r="BT178" s="139"/>
      <c r="BU178" s="139"/>
      <c r="BV178" s="139"/>
      <c r="BW178" s="139"/>
      <c r="BX178" s="139"/>
      <c r="BY178" s="139"/>
      <c r="BZ178" s="139"/>
      <c r="CA178" s="139"/>
      <c r="CB178" s="139"/>
      <c r="CC178" s="139"/>
      <c r="CD178" s="139"/>
      <c r="CE178" s="139"/>
      <c r="CF178" s="139"/>
      <c r="CG178" s="139"/>
      <c r="CH178" s="139"/>
      <c r="CI178" s="139"/>
      <c r="CJ178" s="139"/>
      <c r="CK178" s="139"/>
      <c r="CL178" s="139"/>
      <c r="CM178" s="139"/>
      <c r="CN178" s="139"/>
      <c r="CO178" s="139"/>
      <c r="CP178" s="139"/>
      <c r="CQ178" s="139"/>
      <c r="CR178" s="139"/>
      <c r="CS178" s="139"/>
    </row>
    <row r="179" spans="1:97" s="140" customFormat="1" ht="15.75" hidden="1" customHeight="1">
      <c r="A179" s="138"/>
      <c r="B179" s="138"/>
      <c r="C179" s="190">
        <v>145</v>
      </c>
      <c r="D179" s="314" t="e">
        <f>IF(VLOOKUP(C179,PROPONENTES!$B$19:$E$218,2,FALSE)="","",VLOOKUP(C179,PROPONENTES!$B$19:$E$218,2,FALSE))</f>
        <v>#N/A</v>
      </c>
      <c r="E179" s="186" t="e">
        <f>IF(D179="","",IF(D179-INT(D179)&gt;1,"",VLOOKUP(D179,PROPONENTES!$C$19:$D$218,2,FALSE)))</f>
        <v>#N/A</v>
      </c>
      <c r="F179" s="487"/>
      <c r="G179" s="187"/>
      <c r="H179" s="139"/>
      <c r="I179" s="139"/>
      <c r="J179" s="139"/>
      <c r="K179" s="139"/>
      <c r="L179" s="139"/>
      <c r="M179" s="139"/>
      <c r="N179" s="139"/>
      <c r="O179" s="139"/>
      <c r="P179" s="139"/>
      <c r="Q179" s="139"/>
      <c r="R179" s="139"/>
      <c r="S179" s="139"/>
      <c r="T179" s="139"/>
      <c r="U179" s="139"/>
      <c r="V179" s="139"/>
      <c r="W179" s="139"/>
      <c r="X179" s="139"/>
      <c r="Y179" s="139"/>
      <c r="Z179" s="139"/>
      <c r="AA179" s="139"/>
      <c r="AB179" s="139"/>
      <c r="AC179" s="139"/>
      <c r="AD179" s="139"/>
      <c r="AE179" s="139"/>
      <c r="AF179" s="139"/>
      <c r="AG179" s="139"/>
      <c r="AH179" s="139"/>
      <c r="AI179" s="139"/>
      <c r="AJ179" s="139"/>
      <c r="AK179" s="139"/>
      <c r="AL179" s="139"/>
      <c r="AM179" s="139"/>
      <c r="AN179" s="139"/>
      <c r="AO179" s="139"/>
      <c r="AP179" s="139"/>
      <c r="AQ179" s="139"/>
      <c r="AR179" s="139"/>
      <c r="AS179" s="139"/>
      <c r="AT179" s="139"/>
      <c r="AU179" s="139"/>
      <c r="AV179" s="139"/>
      <c r="AW179" s="139"/>
      <c r="AX179" s="139"/>
      <c r="AY179" s="139"/>
      <c r="AZ179" s="139"/>
      <c r="BA179" s="139"/>
      <c r="BB179" s="139"/>
      <c r="BC179" s="139"/>
      <c r="BD179" s="139"/>
      <c r="BE179" s="139"/>
      <c r="BF179" s="139"/>
      <c r="BG179" s="139"/>
      <c r="BH179" s="139"/>
      <c r="BI179" s="139"/>
      <c r="BJ179" s="139"/>
      <c r="BK179" s="139"/>
      <c r="BL179" s="139"/>
      <c r="BM179" s="139"/>
      <c r="BN179" s="139"/>
      <c r="BO179" s="139"/>
      <c r="BP179" s="139"/>
      <c r="BQ179" s="139"/>
      <c r="BR179" s="139"/>
      <c r="BS179" s="139"/>
      <c r="BT179" s="139"/>
      <c r="BU179" s="139"/>
      <c r="BV179" s="139"/>
      <c r="BW179" s="139"/>
      <c r="BX179" s="139"/>
      <c r="BY179" s="139"/>
      <c r="BZ179" s="139"/>
      <c r="CA179" s="139"/>
      <c r="CB179" s="139"/>
      <c r="CC179" s="139"/>
      <c r="CD179" s="139"/>
      <c r="CE179" s="139"/>
      <c r="CF179" s="139"/>
      <c r="CG179" s="139"/>
      <c r="CH179" s="139"/>
      <c r="CI179" s="139"/>
      <c r="CJ179" s="139"/>
      <c r="CK179" s="139"/>
      <c r="CL179" s="139"/>
      <c r="CM179" s="139"/>
      <c r="CN179" s="139"/>
      <c r="CO179" s="139"/>
      <c r="CP179" s="139"/>
      <c r="CQ179" s="139"/>
      <c r="CR179" s="139"/>
      <c r="CS179" s="139"/>
    </row>
    <row r="180" spans="1:97" s="140" customFormat="1" ht="15.75" hidden="1" customHeight="1">
      <c r="A180" s="138"/>
      <c r="B180" s="138"/>
      <c r="C180" s="190">
        <v>146</v>
      </c>
      <c r="D180" s="314" t="e">
        <f>IF(VLOOKUP(C180,PROPONENTES!$B$19:$E$218,2,FALSE)="","",VLOOKUP(C180,PROPONENTES!$B$19:$E$218,2,FALSE))</f>
        <v>#N/A</v>
      </c>
      <c r="E180" s="186" t="e">
        <f>IF(D180="","",IF(D180-INT(D180)&gt;1,"",VLOOKUP(D180,PROPONENTES!$C$19:$D$218,2,FALSE)))</f>
        <v>#N/A</v>
      </c>
      <c r="F180" s="487"/>
      <c r="G180" s="187"/>
      <c r="H180" s="139"/>
      <c r="I180" s="139"/>
      <c r="J180" s="139"/>
      <c r="K180" s="139"/>
      <c r="L180" s="139"/>
      <c r="M180" s="139"/>
      <c r="N180" s="139"/>
      <c r="O180" s="139"/>
      <c r="P180" s="139"/>
      <c r="Q180" s="139"/>
      <c r="R180" s="139"/>
      <c r="S180" s="139"/>
      <c r="T180" s="139"/>
      <c r="U180" s="139"/>
      <c r="V180" s="139"/>
      <c r="W180" s="139"/>
      <c r="X180" s="139"/>
      <c r="Y180" s="139"/>
      <c r="Z180" s="139"/>
      <c r="AA180" s="139"/>
      <c r="AB180" s="139"/>
      <c r="AC180" s="139"/>
      <c r="AD180" s="139"/>
      <c r="AE180" s="139"/>
      <c r="AF180" s="139"/>
      <c r="AG180" s="139"/>
      <c r="AH180" s="139"/>
      <c r="AI180" s="139"/>
      <c r="AJ180" s="139"/>
      <c r="AK180" s="139"/>
      <c r="AL180" s="139"/>
      <c r="AM180" s="139"/>
      <c r="AN180" s="139"/>
      <c r="AO180" s="139"/>
      <c r="AP180" s="139"/>
      <c r="AQ180" s="139"/>
      <c r="AR180" s="139"/>
      <c r="AS180" s="139"/>
      <c r="AT180" s="139"/>
      <c r="AU180" s="139"/>
      <c r="AV180" s="139"/>
      <c r="AW180" s="139"/>
      <c r="AX180" s="139"/>
      <c r="AY180" s="139"/>
      <c r="AZ180" s="139"/>
      <c r="BA180" s="139"/>
      <c r="BB180" s="139"/>
      <c r="BC180" s="139"/>
      <c r="BD180" s="139"/>
      <c r="BE180" s="139"/>
      <c r="BF180" s="139"/>
      <c r="BG180" s="139"/>
      <c r="BH180" s="139"/>
      <c r="BI180" s="139"/>
      <c r="BJ180" s="139"/>
      <c r="BK180" s="139"/>
      <c r="BL180" s="139"/>
      <c r="BM180" s="139"/>
      <c r="BN180" s="139"/>
      <c r="BO180" s="139"/>
      <c r="BP180" s="139"/>
      <c r="BQ180" s="139"/>
      <c r="BR180" s="139"/>
      <c r="BS180" s="139"/>
      <c r="BT180" s="139"/>
      <c r="BU180" s="139"/>
      <c r="BV180" s="139"/>
      <c r="BW180" s="139"/>
      <c r="BX180" s="139"/>
      <c r="BY180" s="139"/>
      <c r="BZ180" s="139"/>
      <c r="CA180" s="139"/>
      <c r="CB180" s="139"/>
      <c r="CC180" s="139"/>
      <c r="CD180" s="139"/>
      <c r="CE180" s="139"/>
      <c r="CF180" s="139"/>
      <c r="CG180" s="139"/>
      <c r="CH180" s="139"/>
      <c r="CI180" s="139"/>
      <c r="CJ180" s="139"/>
      <c r="CK180" s="139"/>
      <c r="CL180" s="139"/>
      <c r="CM180" s="139"/>
      <c r="CN180" s="139"/>
      <c r="CO180" s="139"/>
      <c r="CP180" s="139"/>
      <c r="CQ180" s="139"/>
      <c r="CR180" s="139"/>
      <c r="CS180" s="139"/>
    </row>
    <row r="181" spans="1:97" s="140" customFormat="1" ht="15.75" hidden="1" customHeight="1">
      <c r="A181" s="138"/>
      <c r="B181" s="138"/>
      <c r="C181" s="190">
        <v>147</v>
      </c>
      <c r="D181" s="314" t="e">
        <f>IF(VLOOKUP(C181,PROPONENTES!$B$19:$E$218,2,FALSE)="","",VLOOKUP(C181,PROPONENTES!$B$19:$E$218,2,FALSE))</f>
        <v>#N/A</v>
      </c>
      <c r="E181" s="186" t="e">
        <f>IF(D181="","",IF(D181-INT(D181)&gt;1,"",VLOOKUP(D181,PROPONENTES!$C$19:$D$218,2,FALSE)))</f>
        <v>#N/A</v>
      </c>
      <c r="F181" s="487"/>
      <c r="G181" s="187"/>
      <c r="H181" s="139"/>
      <c r="I181" s="139"/>
      <c r="J181" s="139"/>
      <c r="K181" s="139"/>
      <c r="L181" s="139"/>
      <c r="M181" s="139"/>
      <c r="N181" s="139"/>
      <c r="O181" s="139"/>
      <c r="P181" s="139"/>
      <c r="Q181" s="139"/>
      <c r="R181" s="139"/>
      <c r="S181" s="139"/>
      <c r="T181" s="139"/>
      <c r="U181" s="139"/>
      <c r="V181" s="139"/>
      <c r="W181" s="139"/>
      <c r="X181" s="139"/>
      <c r="Y181" s="139"/>
      <c r="Z181" s="139"/>
      <c r="AA181" s="139"/>
      <c r="AB181" s="139"/>
      <c r="AC181" s="139"/>
      <c r="AD181" s="139"/>
      <c r="AE181" s="139"/>
      <c r="AF181" s="139"/>
      <c r="AG181" s="139"/>
      <c r="AH181" s="139"/>
      <c r="AI181" s="139"/>
      <c r="AJ181" s="139"/>
      <c r="AK181" s="139"/>
      <c r="AL181" s="139"/>
      <c r="AM181" s="139"/>
      <c r="AN181" s="139"/>
      <c r="AO181" s="139"/>
      <c r="AP181" s="139"/>
      <c r="AQ181" s="139"/>
      <c r="AR181" s="139"/>
      <c r="AS181" s="139"/>
      <c r="AT181" s="139"/>
      <c r="AU181" s="139"/>
      <c r="AV181" s="139"/>
      <c r="AW181" s="139"/>
      <c r="AX181" s="139"/>
      <c r="AY181" s="139"/>
      <c r="AZ181" s="139"/>
      <c r="BA181" s="139"/>
      <c r="BB181" s="139"/>
      <c r="BC181" s="139"/>
      <c r="BD181" s="139"/>
      <c r="BE181" s="139"/>
      <c r="BF181" s="139"/>
      <c r="BG181" s="139"/>
      <c r="BH181" s="139"/>
      <c r="BI181" s="139"/>
      <c r="BJ181" s="139"/>
      <c r="BK181" s="139"/>
      <c r="BL181" s="139"/>
      <c r="BM181" s="139"/>
      <c r="BN181" s="139"/>
      <c r="BO181" s="139"/>
      <c r="BP181" s="139"/>
      <c r="BQ181" s="139"/>
      <c r="BR181" s="139"/>
      <c r="BS181" s="139"/>
      <c r="BT181" s="139"/>
      <c r="BU181" s="139"/>
      <c r="BV181" s="139"/>
      <c r="BW181" s="139"/>
      <c r="BX181" s="139"/>
      <c r="BY181" s="139"/>
      <c r="BZ181" s="139"/>
      <c r="CA181" s="139"/>
      <c r="CB181" s="139"/>
      <c r="CC181" s="139"/>
      <c r="CD181" s="139"/>
      <c r="CE181" s="139"/>
      <c r="CF181" s="139"/>
      <c r="CG181" s="139"/>
      <c r="CH181" s="139"/>
      <c r="CI181" s="139"/>
      <c r="CJ181" s="139"/>
      <c r="CK181" s="139"/>
      <c r="CL181" s="139"/>
      <c r="CM181" s="139"/>
      <c r="CN181" s="139"/>
      <c r="CO181" s="139"/>
      <c r="CP181" s="139"/>
      <c r="CQ181" s="139"/>
      <c r="CR181" s="139"/>
      <c r="CS181" s="139"/>
    </row>
    <row r="182" spans="1:97" s="140" customFormat="1" ht="15.75" hidden="1" customHeight="1">
      <c r="A182" s="138"/>
      <c r="B182" s="138"/>
      <c r="C182" s="190">
        <v>148</v>
      </c>
      <c r="D182" s="314" t="e">
        <f>IF(VLOOKUP(C182,PROPONENTES!$B$19:$E$218,2,FALSE)="","",VLOOKUP(C182,PROPONENTES!$B$19:$E$218,2,FALSE))</f>
        <v>#N/A</v>
      </c>
      <c r="E182" s="186" t="e">
        <f>IF(D182="","",IF(D182-INT(D182)&gt;1,"",VLOOKUP(D182,PROPONENTES!$C$19:$D$218,2,FALSE)))</f>
        <v>#N/A</v>
      </c>
      <c r="F182" s="487"/>
      <c r="G182" s="187"/>
      <c r="H182" s="139"/>
      <c r="I182" s="139"/>
      <c r="J182" s="139"/>
      <c r="K182" s="139"/>
      <c r="L182" s="139"/>
      <c r="M182" s="139"/>
      <c r="N182" s="139"/>
      <c r="O182" s="139"/>
      <c r="P182" s="139"/>
      <c r="Q182" s="139"/>
      <c r="R182" s="139"/>
      <c r="S182" s="139"/>
      <c r="T182" s="139"/>
      <c r="U182" s="139"/>
      <c r="V182" s="139"/>
      <c r="W182" s="139"/>
      <c r="X182" s="139"/>
      <c r="Y182" s="139"/>
      <c r="Z182" s="139"/>
      <c r="AA182" s="139"/>
      <c r="AB182" s="139"/>
      <c r="AC182" s="139"/>
      <c r="AD182" s="139"/>
      <c r="AE182" s="139"/>
      <c r="AF182" s="139"/>
      <c r="AG182" s="139"/>
      <c r="AH182" s="139"/>
      <c r="AI182" s="139"/>
      <c r="AJ182" s="139"/>
      <c r="AK182" s="139"/>
      <c r="AL182" s="139"/>
      <c r="AM182" s="139"/>
      <c r="AN182" s="139"/>
      <c r="AO182" s="139"/>
      <c r="AP182" s="139"/>
      <c r="AQ182" s="139"/>
      <c r="AR182" s="139"/>
      <c r="AS182" s="139"/>
      <c r="AT182" s="139"/>
      <c r="AU182" s="139"/>
      <c r="AV182" s="139"/>
      <c r="AW182" s="139"/>
      <c r="AX182" s="139"/>
      <c r="AY182" s="139"/>
      <c r="AZ182" s="139"/>
      <c r="BA182" s="139"/>
      <c r="BB182" s="139"/>
      <c r="BC182" s="139"/>
      <c r="BD182" s="139"/>
      <c r="BE182" s="139"/>
      <c r="BF182" s="139"/>
      <c r="BG182" s="139"/>
      <c r="BH182" s="139"/>
      <c r="BI182" s="139"/>
      <c r="BJ182" s="139"/>
      <c r="BK182" s="139"/>
      <c r="BL182" s="139"/>
      <c r="BM182" s="139"/>
      <c r="BN182" s="139"/>
      <c r="BO182" s="139"/>
      <c r="BP182" s="139"/>
      <c r="BQ182" s="139"/>
      <c r="BR182" s="139"/>
      <c r="BS182" s="139"/>
      <c r="BT182" s="139"/>
      <c r="BU182" s="139"/>
      <c r="BV182" s="139"/>
      <c r="BW182" s="139"/>
      <c r="BX182" s="139"/>
      <c r="BY182" s="139"/>
      <c r="BZ182" s="139"/>
      <c r="CA182" s="139"/>
      <c r="CB182" s="139"/>
      <c r="CC182" s="139"/>
      <c r="CD182" s="139"/>
      <c r="CE182" s="139"/>
      <c r="CF182" s="139"/>
      <c r="CG182" s="139"/>
      <c r="CH182" s="139"/>
      <c r="CI182" s="139"/>
      <c r="CJ182" s="139"/>
      <c r="CK182" s="139"/>
      <c r="CL182" s="139"/>
      <c r="CM182" s="139"/>
      <c r="CN182" s="139"/>
      <c r="CO182" s="139"/>
      <c r="CP182" s="139"/>
      <c r="CQ182" s="139"/>
      <c r="CR182" s="139"/>
      <c r="CS182" s="139"/>
    </row>
    <row r="183" spans="1:97" s="140" customFormat="1" ht="15.75" hidden="1" customHeight="1">
      <c r="A183" s="138"/>
      <c r="B183" s="138"/>
      <c r="C183" s="190">
        <v>149</v>
      </c>
      <c r="D183" s="314" t="e">
        <f>IF(VLOOKUP(C183,PROPONENTES!$B$19:$E$218,2,FALSE)="","",VLOOKUP(C183,PROPONENTES!$B$19:$E$218,2,FALSE))</f>
        <v>#N/A</v>
      </c>
      <c r="E183" s="186" t="e">
        <f>IF(D183="","",IF(D183-INT(D183)&gt;1,"",VLOOKUP(D183,PROPONENTES!$C$19:$D$218,2,FALSE)))</f>
        <v>#N/A</v>
      </c>
      <c r="F183" s="487"/>
      <c r="G183" s="187"/>
      <c r="H183" s="139"/>
      <c r="I183" s="139"/>
      <c r="J183" s="139"/>
      <c r="K183" s="139"/>
      <c r="L183" s="139"/>
      <c r="M183" s="139"/>
      <c r="N183" s="139"/>
      <c r="O183" s="139"/>
      <c r="P183" s="139"/>
      <c r="Q183" s="139"/>
      <c r="R183" s="139"/>
      <c r="S183" s="139"/>
      <c r="T183" s="139"/>
      <c r="U183" s="139"/>
      <c r="V183" s="139"/>
      <c r="W183" s="139"/>
      <c r="X183" s="139"/>
      <c r="Y183" s="139"/>
      <c r="Z183" s="139"/>
      <c r="AA183" s="139"/>
      <c r="AB183" s="139"/>
      <c r="AC183" s="139"/>
      <c r="AD183" s="139"/>
      <c r="AE183" s="139"/>
      <c r="AF183" s="139"/>
      <c r="AG183" s="139"/>
      <c r="AH183" s="139"/>
      <c r="AI183" s="139"/>
      <c r="AJ183" s="139"/>
      <c r="AK183" s="139"/>
      <c r="AL183" s="139"/>
      <c r="AM183" s="139"/>
      <c r="AN183" s="139"/>
      <c r="AO183" s="139"/>
      <c r="AP183" s="139"/>
      <c r="AQ183" s="139"/>
      <c r="AR183" s="139"/>
      <c r="AS183" s="139"/>
      <c r="AT183" s="139"/>
      <c r="AU183" s="139"/>
      <c r="AV183" s="139"/>
      <c r="AW183" s="139"/>
      <c r="AX183" s="139"/>
      <c r="AY183" s="139"/>
      <c r="AZ183" s="139"/>
      <c r="BA183" s="139"/>
      <c r="BB183" s="139"/>
      <c r="BC183" s="139"/>
      <c r="BD183" s="139"/>
      <c r="BE183" s="139"/>
      <c r="BF183" s="139"/>
      <c r="BG183" s="139"/>
      <c r="BH183" s="139"/>
      <c r="BI183" s="139"/>
      <c r="BJ183" s="139"/>
      <c r="BK183" s="139"/>
      <c r="BL183" s="139"/>
      <c r="BM183" s="139"/>
      <c r="BN183" s="139"/>
      <c r="BO183" s="139"/>
      <c r="BP183" s="139"/>
      <c r="BQ183" s="139"/>
      <c r="BR183" s="139"/>
      <c r="BS183" s="139"/>
      <c r="BT183" s="139"/>
      <c r="BU183" s="139"/>
      <c r="BV183" s="139"/>
      <c r="BW183" s="139"/>
      <c r="BX183" s="139"/>
      <c r="BY183" s="139"/>
      <c r="BZ183" s="139"/>
      <c r="CA183" s="139"/>
      <c r="CB183" s="139"/>
      <c r="CC183" s="139"/>
      <c r="CD183" s="139"/>
      <c r="CE183" s="139"/>
      <c r="CF183" s="139"/>
      <c r="CG183" s="139"/>
      <c r="CH183" s="139"/>
      <c r="CI183" s="139"/>
      <c r="CJ183" s="139"/>
      <c r="CK183" s="139"/>
      <c r="CL183" s="139"/>
      <c r="CM183" s="139"/>
      <c r="CN183" s="139"/>
      <c r="CO183" s="139"/>
      <c r="CP183" s="139"/>
      <c r="CQ183" s="139"/>
      <c r="CR183" s="139"/>
      <c r="CS183" s="139"/>
    </row>
    <row r="184" spans="1:97" s="140" customFormat="1" ht="15.75" hidden="1" customHeight="1">
      <c r="A184" s="138"/>
      <c r="B184" s="138"/>
      <c r="C184" s="190">
        <v>150</v>
      </c>
      <c r="D184" s="314" t="e">
        <f>IF(VLOOKUP(C184,PROPONENTES!$B$19:$E$218,2,FALSE)="","",VLOOKUP(C184,PROPONENTES!$B$19:$E$218,2,FALSE))</f>
        <v>#N/A</v>
      </c>
      <c r="E184" s="186" t="e">
        <f>IF(D184="","",IF(D184-INT(D184)&gt;1,"",VLOOKUP(D184,PROPONENTES!$C$19:$D$218,2,FALSE)))</f>
        <v>#N/A</v>
      </c>
      <c r="F184" s="487"/>
      <c r="G184" s="187"/>
      <c r="H184" s="139"/>
      <c r="I184" s="139"/>
      <c r="J184" s="139"/>
      <c r="K184" s="139"/>
      <c r="L184" s="139"/>
      <c r="M184" s="139"/>
      <c r="N184" s="139"/>
      <c r="O184" s="139"/>
      <c r="P184" s="139"/>
      <c r="Q184" s="139"/>
      <c r="R184" s="139"/>
      <c r="S184" s="139"/>
      <c r="T184" s="139"/>
      <c r="U184" s="139"/>
      <c r="V184" s="139"/>
      <c r="W184" s="139"/>
      <c r="X184" s="139"/>
      <c r="Y184" s="139"/>
      <c r="Z184" s="139"/>
      <c r="AA184" s="139"/>
      <c r="AB184" s="139"/>
      <c r="AC184" s="139"/>
      <c r="AD184" s="139"/>
      <c r="AE184" s="139"/>
      <c r="AF184" s="139"/>
      <c r="AG184" s="139"/>
      <c r="AH184" s="139"/>
      <c r="AI184" s="139"/>
      <c r="AJ184" s="139"/>
      <c r="AK184" s="139"/>
      <c r="AL184" s="139"/>
      <c r="AM184" s="139"/>
      <c r="AN184" s="139"/>
      <c r="AO184" s="139"/>
      <c r="AP184" s="139"/>
      <c r="AQ184" s="139"/>
      <c r="AR184" s="139"/>
      <c r="AS184" s="139"/>
      <c r="AT184" s="139"/>
      <c r="AU184" s="139"/>
      <c r="AV184" s="139"/>
      <c r="AW184" s="139"/>
      <c r="AX184" s="139"/>
      <c r="AY184" s="139"/>
      <c r="AZ184" s="139"/>
      <c r="BA184" s="139"/>
      <c r="BB184" s="139"/>
      <c r="BC184" s="139"/>
      <c r="BD184" s="139"/>
      <c r="BE184" s="139"/>
      <c r="BF184" s="139"/>
      <c r="BG184" s="139"/>
      <c r="BH184" s="139"/>
      <c r="BI184" s="139"/>
      <c r="BJ184" s="139"/>
      <c r="BK184" s="139"/>
      <c r="BL184" s="139"/>
      <c r="BM184" s="139"/>
      <c r="BN184" s="139"/>
      <c r="BO184" s="139"/>
      <c r="BP184" s="139"/>
      <c r="BQ184" s="139"/>
      <c r="BR184" s="139"/>
      <c r="BS184" s="139"/>
      <c r="BT184" s="139"/>
      <c r="BU184" s="139"/>
      <c r="BV184" s="139"/>
      <c r="BW184" s="139"/>
      <c r="BX184" s="139"/>
      <c r="BY184" s="139"/>
      <c r="BZ184" s="139"/>
      <c r="CA184" s="139"/>
      <c r="CB184" s="139"/>
      <c r="CC184" s="139"/>
      <c r="CD184" s="139"/>
      <c r="CE184" s="139"/>
      <c r="CF184" s="139"/>
      <c r="CG184" s="139"/>
      <c r="CH184" s="139"/>
      <c r="CI184" s="139"/>
      <c r="CJ184" s="139"/>
      <c r="CK184" s="139"/>
      <c r="CL184" s="139"/>
      <c r="CM184" s="139"/>
      <c r="CN184" s="139"/>
      <c r="CO184" s="139"/>
      <c r="CP184" s="139"/>
      <c r="CQ184" s="139"/>
      <c r="CR184" s="139"/>
      <c r="CS184" s="139"/>
    </row>
    <row r="185" spans="1:97" s="140" customFormat="1" ht="15.75" hidden="1" customHeight="1">
      <c r="A185" s="138"/>
      <c r="B185" s="138"/>
      <c r="C185" s="190">
        <v>151</v>
      </c>
      <c r="D185" s="314" t="e">
        <f>IF(VLOOKUP(C185,PROPONENTES!$B$19:$E$218,2,FALSE)="","",VLOOKUP(C185,PROPONENTES!$B$19:$E$218,2,FALSE))</f>
        <v>#N/A</v>
      </c>
      <c r="E185" s="186" t="e">
        <f>IF(D185="","",IF(D185-INT(D185)&gt;1,"",VLOOKUP(D185,PROPONENTES!$C$19:$D$218,2,FALSE)))</f>
        <v>#N/A</v>
      </c>
      <c r="F185" s="487"/>
      <c r="G185" s="187"/>
      <c r="H185" s="139"/>
      <c r="I185" s="139"/>
      <c r="J185" s="139"/>
      <c r="K185" s="139"/>
      <c r="L185" s="139"/>
      <c r="M185" s="139"/>
      <c r="N185" s="139"/>
      <c r="O185" s="139"/>
      <c r="P185" s="139"/>
      <c r="Q185" s="139"/>
      <c r="R185" s="139"/>
      <c r="S185" s="139"/>
      <c r="T185" s="139"/>
      <c r="U185" s="139"/>
      <c r="V185" s="139"/>
      <c r="W185" s="139"/>
      <c r="X185" s="139"/>
      <c r="Y185" s="139"/>
      <c r="Z185" s="139"/>
      <c r="AA185" s="139"/>
      <c r="AB185" s="139"/>
      <c r="AC185" s="139"/>
      <c r="AD185" s="139"/>
      <c r="AE185" s="139"/>
      <c r="AF185" s="139"/>
      <c r="AG185" s="139"/>
      <c r="AH185" s="139"/>
      <c r="AI185" s="139"/>
      <c r="AJ185" s="139"/>
      <c r="AK185" s="139"/>
      <c r="AL185" s="139"/>
      <c r="AM185" s="139"/>
      <c r="AN185" s="139"/>
      <c r="AO185" s="139"/>
      <c r="AP185" s="139"/>
      <c r="AQ185" s="139"/>
      <c r="AR185" s="139"/>
      <c r="AS185" s="139"/>
      <c r="AT185" s="139"/>
      <c r="AU185" s="139"/>
      <c r="AV185" s="139"/>
      <c r="AW185" s="139"/>
      <c r="AX185" s="139"/>
      <c r="AY185" s="139"/>
      <c r="AZ185" s="139"/>
      <c r="BA185" s="139"/>
      <c r="BB185" s="139"/>
      <c r="BC185" s="139"/>
      <c r="BD185" s="139"/>
      <c r="BE185" s="139"/>
      <c r="BF185" s="139"/>
      <c r="BG185" s="139"/>
      <c r="BH185" s="139"/>
      <c r="BI185" s="139"/>
      <c r="BJ185" s="139"/>
      <c r="BK185" s="139"/>
      <c r="BL185" s="139"/>
      <c r="BM185" s="139"/>
      <c r="BN185" s="139"/>
      <c r="BO185" s="139"/>
      <c r="BP185" s="139"/>
      <c r="BQ185" s="139"/>
      <c r="BR185" s="139"/>
      <c r="BS185" s="139"/>
      <c r="BT185" s="139"/>
      <c r="BU185" s="139"/>
      <c r="BV185" s="139"/>
      <c r="BW185" s="139"/>
      <c r="BX185" s="139"/>
      <c r="BY185" s="139"/>
      <c r="BZ185" s="139"/>
      <c r="CA185" s="139"/>
      <c r="CB185" s="139"/>
      <c r="CC185" s="139"/>
      <c r="CD185" s="139"/>
      <c r="CE185" s="139"/>
      <c r="CF185" s="139"/>
      <c r="CG185" s="139"/>
      <c r="CH185" s="139"/>
      <c r="CI185" s="139"/>
      <c r="CJ185" s="139"/>
      <c r="CK185" s="139"/>
      <c r="CL185" s="139"/>
      <c r="CM185" s="139"/>
      <c r="CN185" s="139"/>
      <c r="CO185" s="139"/>
      <c r="CP185" s="139"/>
      <c r="CQ185" s="139"/>
      <c r="CR185" s="139"/>
      <c r="CS185" s="139"/>
    </row>
    <row r="186" spans="1:97" s="140" customFormat="1" ht="15.75" hidden="1" customHeight="1">
      <c r="A186" s="138"/>
      <c r="B186" s="138"/>
      <c r="C186" s="190">
        <v>152</v>
      </c>
      <c r="D186" s="314" t="e">
        <f>IF(VLOOKUP(C186,PROPONENTES!$B$19:$E$218,2,FALSE)="","",VLOOKUP(C186,PROPONENTES!$B$19:$E$218,2,FALSE))</f>
        <v>#N/A</v>
      </c>
      <c r="E186" s="186" t="e">
        <f>IF(D186="","",IF(D186-INT(D186)&gt;1,"",VLOOKUP(D186,PROPONENTES!$C$19:$D$218,2,FALSE)))</f>
        <v>#N/A</v>
      </c>
      <c r="F186" s="487"/>
      <c r="G186" s="187"/>
      <c r="H186" s="139"/>
      <c r="I186" s="139"/>
      <c r="J186" s="139"/>
      <c r="K186" s="139"/>
      <c r="L186" s="139"/>
      <c r="M186" s="139"/>
      <c r="N186" s="139"/>
      <c r="O186" s="139"/>
      <c r="P186" s="139"/>
      <c r="Q186" s="139"/>
      <c r="R186" s="139"/>
      <c r="S186" s="139"/>
      <c r="T186" s="139"/>
      <c r="U186" s="139"/>
      <c r="V186" s="139"/>
      <c r="W186" s="139"/>
      <c r="X186" s="139"/>
      <c r="Y186" s="139"/>
      <c r="Z186" s="139"/>
      <c r="AA186" s="139"/>
      <c r="AB186" s="139"/>
      <c r="AC186" s="139"/>
      <c r="AD186" s="139"/>
      <c r="AE186" s="139"/>
      <c r="AF186" s="139"/>
      <c r="AG186" s="139"/>
      <c r="AH186" s="139"/>
      <c r="AI186" s="139"/>
      <c r="AJ186" s="139"/>
      <c r="AK186" s="139"/>
      <c r="AL186" s="139"/>
      <c r="AM186" s="139"/>
      <c r="AN186" s="139"/>
      <c r="AO186" s="139"/>
      <c r="AP186" s="139"/>
      <c r="AQ186" s="139"/>
      <c r="AR186" s="139"/>
      <c r="AS186" s="139"/>
      <c r="AT186" s="139"/>
      <c r="AU186" s="139"/>
      <c r="AV186" s="139"/>
      <c r="AW186" s="139"/>
      <c r="AX186" s="139"/>
      <c r="AY186" s="139"/>
      <c r="AZ186" s="139"/>
      <c r="BA186" s="139"/>
      <c r="BB186" s="139"/>
      <c r="BC186" s="139"/>
      <c r="BD186" s="139"/>
      <c r="BE186" s="139"/>
      <c r="BF186" s="139"/>
      <c r="BG186" s="139"/>
      <c r="BH186" s="139"/>
      <c r="BI186" s="139"/>
      <c r="BJ186" s="139"/>
      <c r="BK186" s="139"/>
      <c r="BL186" s="139"/>
      <c r="BM186" s="139"/>
      <c r="BN186" s="139"/>
      <c r="BO186" s="139"/>
      <c r="BP186" s="139"/>
      <c r="BQ186" s="139"/>
      <c r="BR186" s="139"/>
      <c r="BS186" s="139"/>
      <c r="BT186" s="139"/>
      <c r="BU186" s="139"/>
      <c r="BV186" s="139"/>
      <c r="BW186" s="139"/>
      <c r="BX186" s="139"/>
      <c r="BY186" s="139"/>
      <c r="BZ186" s="139"/>
      <c r="CA186" s="139"/>
      <c r="CB186" s="139"/>
      <c r="CC186" s="139"/>
      <c r="CD186" s="139"/>
      <c r="CE186" s="139"/>
      <c r="CF186" s="139"/>
      <c r="CG186" s="139"/>
      <c r="CH186" s="139"/>
      <c r="CI186" s="139"/>
      <c r="CJ186" s="139"/>
      <c r="CK186" s="139"/>
      <c r="CL186" s="139"/>
      <c r="CM186" s="139"/>
      <c r="CN186" s="139"/>
      <c r="CO186" s="139"/>
      <c r="CP186" s="139"/>
      <c r="CQ186" s="139"/>
      <c r="CR186" s="139"/>
      <c r="CS186" s="139"/>
    </row>
    <row r="187" spans="1:97" s="140" customFormat="1" ht="15.75" hidden="1" customHeight="1">
      <c r="A187" s="138"/>
      <c r="B187" s="138"/>
      <c r="C187" s="190">
        <v>153</v>
      </c>
      <c r="D187" s="314" t="e">
        <f>IF(VLOOKUP(C187,PROPONENTES!$B$19:$E$218,2,FALSE)="","",VLOOKUP(C187,PROPONENTES!$B$19:$E$218,2,FALSE))</f>
        <v>#N/A</v>
      </c>
      <c r="E187" s="186" t="e">
        <f>IF(D187="","",IF(D187-INT(D187)&gt;1,"",VLOOKUP(D187,PROPONENTES!$C$19:$D$218,2,FALSE)))</f>
        <v>#N/A</v>
      </c>
      <c r="F187" s="487"/>
      <c r="G187" s="187"/>
      <c r="H187" s="139"/>
      <c r="I187" s="139"/>
      <c r="J187" s="139"/>
      <c r="K187" s="139"/>
      <c r="L187" s="139"/>
      <c r="M187" s="139"/>
      <c r="N187" s="139"/>
      <c r="O187" s="139"/>
      <c r="P187" s="139"/>
      <c r="Q187" s="139"/>
      <c r="R187" s="139"/>
      <c r="S187" s="139"/>
      <c r="T187" s="139"/>
      <c r="U187" s="139"/>
      <c r="V187" s="139"/>
      <c r="W187" s="139"/>
      <c r="X187" s="139"/>
      <c r="Y187" s="139"/>
      <c r="Z187" s="139"/>
      <c r="AA187" s="139"/>
      <c r="AB187" s="139"/>
      <c r="AC187" s="139"/>
      <c r="AD187" s="139"/>
      <c r="AE187" s="139"/>
      <c r="AF187" s="139"/>
      <c r="AG187" s="139"/>
      <c r="AH187" s="139"/>
      <c r="AI187" s="139"/>
      <c r="AJ187" s="139"/>
      <c r="AK187" s="139"/>
      <c r="AL187" s="139"/>
      <c r="AM187" s="139"/>
      <c r="AN187" s="139"/>
      <c r="AO187" s="139"/>
      <c r="AP187" s="139"/>
      <c r="AQ187" s="139"/>
      <c r="AR187" s="139"/>
      <c r="AS187" s="139"/>
      <c r="AT187" s="139"/>
      <c r="AU187" s="139"/>
      <c r="AV187" s="139"/>
      <c r="AW187" s="139"/>
      <c r="AX187" s="139"/>
      <c r="AY187" s="139"/>
      <c r="AZ187" s="139"/>
      <c r="BA187" s="139"/>
      <c r="BB187" s="139"/>
      <c r="BC187" s="139"/>
      <c r="BD187" s="139"/>
      <c r="BE187" s="139"/>
      <c r="BF187" s="139"/>
      <c r="BG187" s="139"/>
      <c r="BH187" s="139"/>
      <c r="BI187" s="139"/>
      <c r="BJ187" s="139"/>
      <c r="BK187" s="139"/>
      <c r="BL187" s="139"/>
      <c r="BM187" s="139"/>
      <c r="BN187" s="139"/>
      <c r="BO187" s="139"/>
      <c r="BP187" s="139"/>
      <c r="BQ187" s="139"/>
      <c r="BR187" s="139"/>
      <c r="BS187" s="139"/>
      <c r="BT187" s="139"/>
      <c r="BU187" s="139"/>
      <c r="BV187" s="139"/>
      <c r="BW187" s="139"/>
      <c r="BX187" s="139"/>
      <c r="BY187" s="139"/>
      <c r="BZ187" s="139"/>
      <c r="CA187" s="139"/>
      <c r="CB187" s="139"/>
      <c r="CC187" s="139"/>
      <c r="CD187" s="139"/>
      <c r="CE187" s="139"/>
      <c r="CF187" s="139"/>
      <c r="CG187" s="139"/>
      <c r="CH187" s="139"/>
      <c r="CI187" s="139"/>
      <c r="CJ187" s="139"/>
      <c r="CK187" s="139"/>
      <c r="CL187" s="139"/>
      <c r="CM187" s="139"/>
      <c r="CN187" s="139"/>
      <c r="CO187" s="139"/>
      <c r="CP187" s="139"/>
      <c r="CQ187" s="139"/>
      <c r="CR187" s="139"/>
      <c r="CS187" s="139"/>
    </row>
    <row r="188" spans="1:97" s="140" customFormat="1" ht="15.75" hidden="1" customHeight="1">
      <c r="A188" s="138"/>
      <c r="B188" s="138"/>
      <c r="C188" s="190">
        <v>154</v>
      </c>
      <c r="D188" s="314" t="e">
        <f>IF(VLOOKUP(C188,PROPONENTES!$B$19:$E$218,2,FALSE)="","",VLOOKUP(C188,PROPONENTES!$B$19:$E$218,2,FALSE))</f>
        <v>#N/A</v>
      </c>
      <c r="E188" s="186" t="e">
        <f>IF(D188="","",IF(D188-INT(D188)&gt;1,"",VLOOKUP(D188,PROPONENTES!$C$19:$D$218,2,FALSE)))</f>
        <v>#N/A</v>
      </c>
      <c r="F188" s="487"/>
      <c r="G188" s="187"/>
      <c r="H188" s="139"/>
      <c r="I188" s="139"/>
      <c r="J188" s="139"/>
      <c r="K188" s="139"/>
      <c r="L188" s="139"/>
      <c r="M188" s="139"/>
      <c r="N188" s="139"/>
      <c r="O188" s="139"/>
      <c r="P188" s="139"/>
      <c r="Q188" s="139"/>
      <c r="R188" s="139"/>
      <c r="S188" s="139"/>
      <c r="T188" s="139"/>
      <c r="U188" s="139"/>
      <c r="V188" s="139"/>
      <c r="W188" s="139"/>
      <c r="X188" s="139"/>
      <c r="Y188" s="139"/>
      <c r="Z188" s="139"/>
      <c r="AA188" s="139"/>
      <c r="AB188" s="139"/>
      <c r="AC188" s="139"/>
      <c r="AD188" s="139"/>
      <c r="AE188" s="139"/>
      <c r="AF188" s="139"/>
      <c r="AG188" s="139"/>
      <c r="AH188" s="139"/>
      <c r="AI188" s="139"/>
      <c r="AJ188" s="139"/>
      <c r="AK188" s="139"/>
      <c r="AL188" s="139"/>
      <c r="AM188" s="139"/>
      <c r="AN188" s="139"/>
      <c r="AO188" s="139"/>
      <c r="AP188" s="139"/>
      <c r="AQ188" s="139"/>
      <c r="AR188" s="139"/>
      <c r="AS188" s="139"/>
      <c r="AT188" s="139"/>
      <c r="AU188" s="139"/>
      <c r="AV188" s="139"/>
      <c r="AW188" s="139"/>
      <c r="AX188" s="139"/>
      <c r="AY188" s="139"/>
      <c r="AZ188" s="139"/>
      <c r="BA188" s="139"/>
      <c r="BB188" s="139"/>
      <c r="BC188" s="139"/>
      <c r="BD188" s="139"/>
      <c r="BE188" s="139"/>
      <c r="BF188" s="139"/>
      <c r="BG188" s="139"/>
      <c r="BH188" s="139"/>
      <c r="BI188" s="139"/>
      <c r="BJ188" s="139"/>
      <c r="BK188" s="139"/>
      <c r="BL188" s="139"/>
      <c r="BM188" s="139"/>
      <c r="BN188" s="139"/>
      <c r="BO188" s="139"/>
      <c r="BP188" s="139"/>
      <c r="BQ188" s="139"/>
      <c r="BR188" s="139"/>
      <c r="BS188" s="139"/>
      <c r="BT188" s="139"/>
      <c r="BU188" s="139"/>
      <c r="BV188" s="139"/>
      <c r="BW188" s="139"/>
      <c r="BX188" s="139"/>
      <c r="BY188" s="139"/>
      <c r="BZ188" s="139"/>
      <c r="CA188" s="139"/>
      <c r="CB188" s="139"/>
      <c r="CC188" s="139"/>
      <c r="CD188" s="139"/>
      <c r="CE188" s="139"/>
      <c r="CF188" s="139"/>
      <c r="CG188" s="139"/>
      <c r="CH188" s="139"/>
      <c r="CI188" s="139"/>
      <c r="CJ188" s="139"/>
      <c r="CK188" s="139"/>
      <c r="CL188" s="139"/>
      <c r="CM188" s="139"/>
      <c r="CN188" s="139"/>
      <c r="CO188" s="139"/>
      <c r="CP188" s="139"/>
      <c r="CQ188" s="139"/>
      <c r="CR188" s="139"/>
      <c r="CS188" s="139"/>
    </row>
    <row r="189" spans="1:97" s="140" customFormat="1" ht="15.75" hidden="1" customHeight="1">
      <c r="A189" s="138"/>
      <c r="B189" s="138"/>
      <c r="C189" s="190">
        <v>155</v>
      </c>
      <c r="D189" s="314" t="e">
        <f>IF(VLOOKUP(C189,PROPONENTES!$B$19:$E$218,2,FALSE)="","",VLOOKUP(C189,PROPONENTES!$B$19:$E$218,2,FALSE))</f>
        <v>#N/A</v>
      </c>
      <c r="E189" s="186" t="e">
        <f>IF(D189="","",IF(D189-INT(D189)&gt;1,"",VLOOKUP(D189,PROPONENTES!$C$19:$D$218,2,FALSE)))</f>
        <v>#N/A</v>
      </c>
      <c r="F189" s="487"/>
      <c r="G189" s="187"/>
      <c r="H189" s="139"/>
      <c r="I189" s="139"/>
      <c r="J189" s="139"/>
      <c r="K189" s="139"/>
      <c r="L189" s="139"/>
      <c r="M189" s="139"/>
      <c r="N189" s="139"/>
      <c r="O189" s="139"/>
      <c r="P189" s="139"/>
      <c r="Q189" s="139"/>
      <c r="R189" s="139"/>
      <c r="S189" s="139"/>
      <c r="T189" s="139"/>
      <c r="U189" s="139"/>
      <c r="V189" s="139"/>
      <c r="W189" s="139"/>
      <c r="X189" s="139"/>
      <c r="Y189" s="139"/>
      <c r="Z189" s="139"/>
      <c r="AA189" s="139"/>
      <c r="AB189" s="139"/>
      <c r="AC189" s="139"/>
      <c r="AD189" s="139"/>
      <c r="AE189" s="139"/>
      <c r="AF189" s="139"/>
      <c r="AG189" s="139"/>
      <c r="AH189" s="139"/>
      <c r="AI189" s="139"/>
      <c r="AJ189" s="139"/>
      <c r="AK189" s="139"/>
      <c r="AL189" s="139"/>
      <c r="AM189" s="139"/>
      <c r="AN189" s="139"/>
      <c r="AO189" s="139"/>
      <c r="AP189" s="139"/>
      <c r="AQ189" s="139"/>
      <c r="AR189" s="139"/>
      <c r="AS189" s="139"/>
      <c r="AT189" s="139"/>
      <c r="AU189" s="139"/>
      <c r="AV189" s="139"/>
      <c r="AW189" s="139"/>
      <c r="AX189" s="139"/>
      <c r="AY189" s="139"/>
      <c r="AZ189" s="139"/>
      <c r="BA189" s="139"/>
      <c r="BB189" s="139"/>
      <c r="BC189" s="139"/>
      <c r="BD189" s="139"/>
      <c r="BE189" s="139"/>
      <c r="BF189" s="139"/>
      <c r="BG189" s="139"/>
      <c r="BH189" s="139"/>
      <c r="BI189" s="139"/>
      <c r="BJ189" s="139"/>
      <c r="BK189" s="139"/>
      <c r="BL189" s="139"/>
      <c r="BM189" s="139"/>
      <c r="BN189" s="139"/>
      <c r="BO189" s="139"/>
      <c r="BP189" s="139"/>
      <c r="BQ189" s="139"/>
      <c r="BR189" s="139"/>
      <c r="BS189" s="139"/>
      <c r="BT189" s="139"/>
      <c r="BU189" s="139"/>
      <c r="BV189" s="139"/>
      <c r="BW189" s="139"/>
      <c r="BX189" s="139"/>
      <c r="BY189" s="139"/>
      <c r="BZ189" s="139"/>
      <c r="CA189" s="139"/>
      <c r="CB189" s="139"/>
      <c r="CC189" s="139"/>
      <c r="CD189" s="139"/>
      <c r="CE189" s="139"/>
      <c r="CF189" s="139"/>
      <c r="CG189" s="139"/>
      <c r="CH189" s="139"/>
      <c r="CI189" s="139"/>
      <c r="CJ189" s="139"/>
      <c r="CK189" s="139"/>
      <c r="CL189" s="139"/>
      <c r="CM189" s="139"/>
      <c r="CN189" s="139"/>
      <c r="CO189" s="139"/>
      <c r="CP189" s="139"/>
      <c r="CQ189" s="139"/>
      <c r="CR189" s="139"/>
      <c r="CS189" s="139"/>
    </row>
    <row r="190" spans="1:97" s="140" customFormat="1" ht="15.75" hidden="1" customHeight="1">
      <c r="A190" s="138"/>
      <c r="B190" s="138"/>
      <c r="C190" s="190">
        <v>156</v>
      </c>
      <c r="D190" s="314" t="e">
        <f>IF(VLOOKUP(C190,PROPONENTES!$B$19:$E$218,2,FALSE)="","",VLOOKUP(C190,PROPONENTES!$B$19:$E$218,2,FALSE))</f>
        <v>#N/A</v>
      </c>
      <c r="E190" s="186" t="e">
        <f>IF(D190="","",IF(D190-INT(D190)&gt;1,"",VLOOKUP(D190,PROPONENTES!$C$19:$D$218,2,FALSE)))</f>
        <v>#N/A</v>
      </c>
      <c r="F190" s="487"/>
      <c r="G190" s="187"/>
      <c r="H190" s="139"/>
      <c r="I190" s="139"/>
      <c r="J190" s="139"/>
      <c r="K190" s="139"/>
      <c r="L190" s="139"/>
      <c r="M190" s="139"/>
      <c r="N190" s="139"/>
      <c r="O190" s="139"/>
      <c r="P190" s="139"/>
      <c r="Q190" s="139"/>
      <c r="R190" s="139"/>
      <c r="S190" s="139"/>
      <c r="T190" s="139"/>
      <c r="U190" s="139"/>
      <c r="V190" s="139"/>
      <c r="W190" s="139"/>
      <c r="X190" s="139"/>
      <c r="Y190" s="139"/>
      <c r="Z190" s="139"/>
      <c r="AA190" s="139"/>
      <c r="AB190" s="139"/>
      <c r="AC190" s="139"/>
      <c r="AD190" s="139"/>
      <c r="AE190" s="139"/>
      <c r="AF190" s="139"/>
      <c r="AG190" s="139"/>
      <c r="AH190" s="139"/>
      <c r="AI190" s="139"/>
      <c r="AJ190" s="139"/>
      <c r="AK190" s="139"/>
      <c r="AL190" s="139"/>
      <c r="AM190" s="139"/>
      <c r="AN190" s="139"/>
      <c r="AO190" s="139"/>
      <c r="AP190" s="139"/>
      <c r="AQ190" s="139"/>
      <c r="AR190" s="139"/>
      <c r="AS190" s="139"/>
      <c r="AT190" s="139"/>
      <c r="AU190" s="139"/>
      <c r="AV190" s="139"/>
      <c r="AW190" s="139"/>
      <c r="AX190" s="139"/>
      <c r="AY190" s="139"/>
      <c r="AZ190" s="139"/>
      <c r="BA190" s="139"/>
      <c r="BB190" s="139"/>
      <c r="BC190" s="139"/>
      <c r="BD190" s="139"/>
      <c r="BE190" s="139"/>
      <c r="BF190" s="139"/>
      <c r="BG190" s="139"/>
      <c r="BH190" s="139"/>
      <c r="BI190" s="139"/>
      <c r="BJ190" s="139"/>
      <c r="BK190" s="139"/>
      <c r="BL190" s="139"/>
      <c r="BM190" s="139"/>
      <c r="BN190" s="139"/>
      <c r="BO190" s="139"/>
      <c r="BP190" s="139"/>
      <c r="BQ190" s="139"/>
      <c r="BR190" s="139"/>
      <c r="BS190" s="139"/>
      <c r="BT190" s="139"/>
      <c r="BU190" s="139"/>
      <c r="BV190" s="139"/>
      <c r="BW190" s="139"/>
      <c r="BX190" s="139"/>
      <c r="BY190" s="139"/>
      <c r="BZ190" s="139"/>
      <c r="CA190" s="139"/>
      <c r="CB190" s="139"/>
      <c r="CC190" s="139"/>
      <c r="CD190" s="139"/>
      <c r="CE190" s="139"/>
      <c r="CF190" s="139"/>
      <c r="CG190" s="139"/>
      <c r="CH190" s="139"/>
      <c r="CI190" s="139"/>
      <c r="CJ190" s="139"/>
      <c r="CK190" s="139"/>
      <c r="CL190" s="139"/>
      <c r="CM190" s="139"/>
      <c r="CN190" s="139"/>
      <c r="CO190" s="139"/>
      <c r="CP190" s="139"/>
      <c r="CQ190" s="139"/>
      <c r="CR190" s="139"/>
      <c r="CS190" s="139"/>
    </row>
    <row r="191" spans="1:97" s="140" customFormat="1" ht="15.75" hidden="1" customHeight="1">
      <c r="A191" s="138"/>
      <c r="B191" s="138"/>
      <c r="C191" s="190">
        <v>157</v>
      </c>
      <c r="D191" s="314" t="e">
        <f>IF(VLOOKUP(C191,PROPONENTES!$B$19:$E$218,2,FALSE)="","",VLOOKUP(C191,PROPONENTES!$B$19:$E$218,2,FALSE))</f>
        <v>#N/A</v>
      </c>
      <c r="E191" s="186" t="e">
        <f>IF(D191="","",IF(D191-INT(D191)&gt;1,"",VLOOKUP(D191,PROPONENTES!$C$19:$D$218,2,FALSE)))</f>
        <v>#N/A</v>
      </c>
      <c r="F191" s="487"/>
      <c r="G191" s="187"/>
      <c r="H191" s="139"/>
      <c r="I191" s="139"/>
      <c r="J191" s="139"/>
      <c r="K191" s="139"/>
      <c r="L191" s="139"/>
      <c r="M191" s="139"/>
      <c r="N191" s="139"/>
      <c r="O191" s="139"/>
      <c r="P191" s="139"/>
      <c r="Q191" s="139"/>
      <c r="R191" s="139"/>
      <c r="S191" s="139"/>
      <c r="T191" s="139"/>
      <c r="U191" s="139"/>
      <c r="V191" s="139"/>
      <c r="W191" s="139"/>
      <c r="X191" s="139"/>
      <c r="Y191" s="139"/>
      <c r="Z191" s="139"/>
      <c r="AA191" s="139"/>
      <c r="AB191" s="139"/>
      <c r="AC191" s="139"/>
      <c r="AD191" s="139"/>
      <c r="AE191" s="139"/>
      <c r="AF191" s="139"/>
      <c r="AG191" s="139"/>
      <c r="AH191" s="139"/>
      <c r="AI191" s="139"/>
      <c r="AJ191" s="139"/>
      <c r="AK191" s="139"/>
      <c r="AL191" s="139"/>
      <c r="AM191" s="139"/>
      <c r="AN191" s="139"/>
      <c r="AO191" s="139"/>
      <c r="AP191" s="139"/>
      <c r="AQ191" s="139"/>
      <c r="AR191" s="139"/>
      <c r="AS191" s="139"/>
      <c r="AT191" s="139"/>
      <c r="AU191" s="139"/>
      <c r="AV191" s="139"/>
      <c r="AW191" s="139"/>
      <c r="AX191" s="139"/>
      <c r="AY191" s="139"/>
      <c r="AZ191" s="139"/>
      <c r="BA191" s="139"/>
      <c r="BB191" s="139"/>
      <c r="BC191" s="139"/>
      <c r="BD191" s="139"/>
      <c r="BE191" s="139"/>
      <c r="BF191" s="139"/>
      <c r="BG191" s="139"/>
      <c r="BH191" s="139"/>
      <c r="BI191" s="139"/>
      <c r="BJ191" s="139"/>
      <c r="BK191" s="139"/>
      <c r="BL191" s="139"/>
      <c r="BM191" s="139"/>
      <c r="BN191" s="139"/>
      <c r="BO191" s="139"/>
      <c r="BP191" s="139"/>
      <c r="BQ191" s="139"/>
      <c r="BR191" s="139"/>
      <c r="BS191" s="139"/>
      <c r="BT191" s="139"/>
      <c r="BU191" s="139"/>
      <c r="BV191" s="139"/>
      <c r="BW191" s="139"/>
      <c r="BX191" s="139"/>
      <c r="BY191" s="139"/>
      <c r="BZ191" s="139"/>
      <c r="CA191" s="139"/>
      <c r="CB191" s="139"/>
      <c r="CC191" s="139"/>
      <c r="CD191" s="139"/>
      <c r="CE191" s="139"/>
      <c r="CF191" s="139"/>
      <c r="CG191" s="139"/>
      <c r="CH191" s="139"/>
      <c r="CI191" s="139"/>
      <c r="CJ191" s="139"/>
      <c r="CK191" s="139"/>
      <c r="CL191" s="139"/>
      <c r="CM191" s="139"/>
      <c r="CN191" s="139"/>
      <c r="CO191" s="139"/>
      <c r="CP191" s="139"/>
      <c r="CQ191" s="139"/>
      <c r="CR191" s="139"/>
      <c r="CS191" s="139"/>
    </row>
    <row r="192" spans="1:97" s="140" customFormat="1" ht="15.75" hidden="1" customHeight="1">
      <c r="A192" s="138"/>
      <c r="B192" s="138"/>
      <c r="C192" s="190">
        <v>158</v>
      </c>
      <c r="D192" s="314" t="e">
        <f>IF(VLOOKUP(C192,PROPONENTES!$B$19:$E$218,2,FALSE)="","",VLOOKUP(C192,PROPONENTES!$B$19:$E$218,2,FALSE))</f>
        <v>#N/A</v>
      </c>
      <c r="E192" s="186" t="e">
        <f>IF(D192="","",IF(D192-INT(D192)&gt;1,"",VLOOKUP(D192,PROPONENTES!$C$19:$D$218,2,FALSE)))</f>
        <v>#N/A</v>
      </c>
      <c r="F192" s="487"/>
      <c r="G192" s="187"/>
      <c r="H192" s="139"/>
      <c r="I192" s="139"/>
      <c r="J192" s="139"/>
      <c r="K192" s="139"/>
      <c r="L192" s="139"/>
      <c r="M192" s="139"/>
      <c r="N192" s="139"/>
      <c r="O192" s="139"/>
      <c r="P192" s="139"/>
      <c r="Q192" s="139"/>
      <c r="R192" s="139"/>
      <c r="S192" s="139"/>
      <c r="T192" s="139"/>
      <c r="U192" s="139"/>
      <c r="V192" s="139"/>
      <c r="W192" s="139"/>
      <c r="X192" s="139"/>
      <c r="Y192" s="139"/>
      <c r="Z192" s="139"/>
      <c r="AA192" s="139"/>
      <c r="AB192" s="139"/>
      <c r="AC192" s="139"/>
      <c r="AD192" s="139"/>
      <c r="AE192" s="139"/>
      <c r="AF192" s="139"/>
      <c r="AG192" s="139"/>
      <c r="AH192" s="139"/>
      <c r="AI192" s="139"/>
      <c r="AJ192" s="139"/>
      <c r="AK192" s="139"/>
      <c r="AL192" s="139"/>
      <c r="AM192" s="139"/>
      <c r="AN192" s="139"/>
      <c r="AO192" s="139"/>
      <c r="AP192" s="139"/>
      <c r="AQ192" s="139"/>
      <c r="AR192" s="139"/>
      <c r="AS192" s="139"/>
      <c r="AT192" s="139"/>
      <c r="AU192" s="139"/>
      <c r="AV192" s="139"/>
      <c r="AW192" s="139"/>
      <c r="AX192" s="139"/>
      <c r="AY192" s="139"/>
      <c r="AZ192" s="139"/>
      <c r="BA192" s="139"/>
      <c r="BB192" s="139"/>
      <c r="BC192" s="139"/>
      <c r="BD192" s="139"/>
      <c r="BE192" s="139"/>
      <c r="BF192" s="139"/>
      <c r="BG192" s="139"/>
      <c r="BH192" s="139"/>
      <c r="BI192" s="139"/>
      <c r="BJ192" s="139"/>
      <c r="BK192" s="139"/>
      <c r="BL192" s="139"/>
      <c r="BM192" s="139"/>
      <c r="BN192" s="139"/>
      <c r="BO192" s="139"/>
      <c r="BP192" s="139"/>
      <c r="BQ192" s="139"/>
      <c r="BR192" s="139"/>
      <c r="BS192" s="139"/>
      <c r="BT192" s="139"/>
      <c r="BU192" s="139"/>
      <c r="BV192" s="139"/>
      <c r="BW192" s="139"/>
      <c r="BX192" s="139"/>
      <c r="BY192" s="139"/>
      <c r="BZ192" s="139"/>
      <c r="CA192" s="139"/>
      <c r="CB192" s="139"/>
      <c r="CC192" s="139"/>
      <c r="CD192" s="139"/>
      <c r="CE192" s="139"/>
      <c r="CF192" s="139"/>
      <c r="CG192" s="139"/>
      <c r="CH192" s="139"/>
      <c r="CI192" s="139"/>
      <c r="CJ192" s="139"/>
      <c r="CK192" s="139"/>
      <c r="CL192" s="139"/>
      <c r="CM192" s="139"/>
      <c r="CN192" s="139"/>
      <c r="CO192" s="139"/>
      <c r="CP192" s="139"/>
      <c r="CQ192" s="139"/>
      <c r="CR192" s="139"/>
      <c r="CS192" s="139"/>
    </row>
    <row r="193" spans="1:97" s="140" customFormat="1" ht="15.75" hidden="1" customHeight="1">
      <c r="A193" s="138"/>
      <c r="B193" s="138"/>
      <c r="C193" s="190">
        <v>159</v>
      </c>
      <c r="D193" s="314" t="e">
        <f>IF(VLOOKUP(C193,PROPONENTES!$B$19:$E$218,2,FALSE)="","",VLOOKUP(C193,PROPONENTES!$B$19:$E$218,2,FALSE))</f>
        <v>#N/A</v>
      </c>
      <c r="E193" s="186" t="e">
        <f>IF(D193="","",IF(D193-INT(D193)&gt;1,"",VLOOKUP(D193,PROPONENTES!$C$19:$D$218,2,FALSE)))</f>
        <v>#N/A</v>
      </c>
      <c r="F193" s="487"/>
      <c r="G193" s="187"/>
      <c r="H193" s="139"/>
      <c r="I193" s="139"/>
      <c r="J193" s="139"/>
      <c r="K193" s="139"/>
      <c r="L193" s="139"/>
      <c r="M193" s="139"/>
      <c r="N193" s="139"/>
      <c r="O193" s="139"/>
      <c r="P193" s="139"/>
      <c r="Q193" s="139"/>
      <c r="R193" s="139"/>
      <c r="S193" s="139"/>
      <c r="T193" s="139"/>
      <c r="U193" s="139"/>
      <c r="V193" s="139"/>
      <c r="W193" s="139"/>
      <c r="X193" s="139"/>
      <c r="Y193" s="139"/>
      <c r="Z193" s="139"/>
      <c r="AA193" s="139"/>
      <c r="AB193" s="139"/>
      <c r="AC193" s="139"/>
      <c r="AD193" s="139"/>
      <c r="AE193" s="139"/>
      <c r="AF193" s="139"/>
      <c r="AG193" s="139"/>
      <c r="AH193" s="139"/>
      <c r="AI193" s="139"/>
      <c r="AJ193" s="139"/>
      <c r="AK193" s="139"/>
      <c r="AL193" s="139"/>
      <c r="AM193" s="139"/>
      <c r="AN193" s="139"/>
      <c r="AO193" s="139"/>
      <c r="AP193" s="139"/>
      <c r="AQ193" s="139"/>
      <c r="AR193" s="139"/>
      <c r="AS193" s="139"/>
      <c r="AT193" s="139"/>
      <c r="AU193" s="139"/>
      <c r="AV193" s="139"/>
      <c r="AW193" s="139"/>
      <c r="AX193" s="139"/>
      <c r="AY193" s="139"/>
      <c r="AZ193" s="139"/>
      <c r="BA193" s="139"/>
      <c r="BB193" s="139"/>
      <c r="BC193" s="139"/>
      <c r="BD193" s="139"/>
      <c r="BE193" s="139"/>
      <c r="BF193" s="139"/>
      <c r="BG193" s="139"/>
      <c r="BH193" s="139"/>
      <c r="BI193" s="139"/>
      <c r="BJ193" s="139"/>
      <c r="BK193" s="139"/>
      <c r="BL193" s="139"/>
      <c r="BM193" s="139"/>
      <c r="BN193" s="139"/>
      <c r="BO193" s="139"/>
      <c r="BP193" s="139"/>
      <c r="BQ193" s="139"/>
      <c r="BR193" s="139"/>
      <c r="BS193" s="139"/>
      <c r="BT193" s="139"/>
      <c r="BU193" s="139"/>
      <c r="BV193" s="139"/>
      <c r="BW193" s="139"/>
      <c r="BX193" s="139"/>
      <c r="BY193" s="139"/>
      <c r="BZ193" s="139"/>
      <c r="CA193" s="139"/>
      <c r="CB193" s="139"/>
      <c r="CC193" s="139"/>
      <c r="CD193" s="139"/>
      <c r="CE193" s="139"/>
      <c r="CF193" s="139"/>
      <c r="CG193" s="139"/>
      <c r="CH193" s="139"/>
      <c r="CI193" s="139"/>
      <c r="CJ193" s="139"/>
      <c r="CK193" s="139"/>
      <c r="CL193" s="139"/>
      <c r="CM193" s="139"/>
      <c r="CN193" s="139"/>
      <c r="CO193" s="139"/>
      <c r="CP193" s="139"/>
      <c r="CQ193" s="139"/>
      <c r="CR193" s="139"/>
      <c r="CS193" s="139"/>
    </row>
    <row r="194" spans="1:97" s="140" customFormat="1" ht="15.75" hidden="1" customHeight="1">
      <c r="A194" s="138"/>
      <c r="B194" s="138"/>
      <c r="C194" s="190">
        <v>160</v>
      </c>
      <c r="D194" s="314" t="e">
        <f>IF(VLOOKUP(C194,PROPONENTES!$B$19:$E$218,2,FALSE)="","",VLOOKUP(C194,PROPONENTES!$B$19:$E$218,2,FALSE))</f>
        <v>#N/A</v>
      </c>
      <c r="E194" s="186" t="e">
        <f>IF(D194="","",IF(D194-INT(D194)&gt;1,"",VLOOKUP(D194,PROPONENTES!$C$19:$D$218,2,FALSE)))</f>
        <v>#N/A</v>
      </c>
      <c r="F194" s="487"/>
      <c r="G194" s="187"/>
      <c r="H194" s="139"/>
      <c r="I194" s="139"/>
      <c r="J194" s="139"/>
      <c r="K194" s="139"/>
      <c r="L194" s="139"/>
      <c r="M194" s="139"/>
      <c r="N194" s="139"/>
      <c r="O194" s="139"/>
      <c r="P194" s="139"/>
      <c r="Q194" s="139"/>
      <c r="R194" s="139"/>
      <c r="S194" s="139"/>
      <c r="T194" s="139"/>
      <c r="U194" s="139"/>
      <c r="V194" s="139"/>
      <c r="W194" s="139"/>
      <c r="X194" s="139"/>
      <c r="Y194" s="139"/>
      <c r="Z194" s="139"/>
      <c r="AA194" s="139"/>
      <c r="AB194" s="139"/>
      <c r="AC194" s="139"/>
      <c r="AD194" s="139"/>
      <c r="AE194" s="139"/>
      <c r="AF194" s="139"/>
      <c r="AG194" s="139"/>
      <c r="AH194" s="139"/>
      <c r="AI194" s="139"/>
      <c r="AJ194" s="139"/>
      <c r="AK194" s="139"/>
      <c r="AL194" s="139"/>
      <c r="AM194" s="139"/>
      <c r="AN194" s="139"/>
      <c r="AO194" s="139"/>
      <c r="AP194" s="139"/>
      <c r="AQ194" s="139"/>
      <c r="AR194" s="139"/>
      <c r="AS194" s="139"/>
      <c r="AT194" s="139"/>
      <c r="AU194" s="139"/>
      <c r="AV194" s="139"/>
      <c r="AW194" s="139"/>
      <c r="AX194" s="139"/>
      <c r="AY194" s="139"/>
      <c r="AZ194" s="139"/>
      <c r="BA194" s="139"/>
      <c r="BB194" s="139"/>
      <c r="BC194" s="139"/>
      <c r="BD194" s="139"/>
      <c r="BE194" s="139"/>
      <c r="BF194" s="139"/>
      <c r="BG194" s="139"/>
      <c r="BH194" s="139"/>
      <c r="BI194" s="139"/>
      <c r="BJ194" s="139"/>
      <c r="BK194" s="139"/>
      <c r="BL194" s="139"/>
      <c r="BM194" s="139"/>
      <c r="BN194" s="139"/>
      <c r="BO194" s="139"/>
      <c r="BP194" s="139"/>
      <c r="BQ194" s="139"/>
      <c r="BR194" s="139"/>
      <c r="BS194" s="139"/>
      <c r="BT194" s="139"/>
      <c r="BU194" s="139"/>
      <c r="BV194" s="139"/>
      <c r="BW194" s="139"/>
      <c r="BX194" s="139"/>
      <c r="BY194" s="139"/>
      <c r="BZ194" s="139"/>
      <c r="CA194" s="139"/>
      <c r="CB194" s="139"/>
      <c r="CC194" s="139"/>
      <c r="CD194" s="139"/>
      <c r="CE194" s="139"/>
      <c r="CF194" s="139"/>
      <c r="CG194" s="139"/>
      <c r="CH194" s="139"/>
      <c r="CI194" s="139"/>
      <c r="CJ194" s="139"/>
      <c r="CK194" s="139"/>
      <c r="CL194" s="139"/>
      <c r="CM194" s="139"/>
      <c r="CN194" s="139"/>
      <c r="CO194" s="139"/>
      <c r="CP194" s="139"/>
      <c r="CQ194" s="139"/>
      <c r="CR194" s="139"/>
      <c r="CS194" s="139"/>
    </row>
    <row r="195" spans="1:97" s="140" customFormat="1" ht="15.75" hidden="1" customHeight="1">
      <c r="A195" s="138"/>
      <c r="B195" s="138"/>
      <c r="C195" s="190">
        <v>161</v>
      </c>
      <c r="D195" s="314" t="e">
        <f>IF(VLOOKUP(C195,PROPONENTES!$B$19:$E$218,2,FALSE)="","",VLOOKUP(C195,PROPONENTES!$B$19:$E$218,2,FALSE))</f>
        <v>#N/A</v>
      </c>
      <c r="E195" s="186" t="e">
        <f>IF(D195="","",IF(D195-INT(D195)&gt;1,"",VLOOKUP(D195,PROPONENTES!$C$19:$D$218,2,FALSE)))</f>
        <v>#N/A</v>
      </c>
      <c r="F195" s="487"/>
      <c r="G195" s="187"/>
      <c r="H195" s="139"/>
      <c r="I195" s="139"/>
      <c r="J195" s="139"/>
      <c r="K195" s="139"/>
      <c r="L195" s="139"/>
      <c r="M195" s="139"/>
      <c r="N195" s="139"/>
      <c r="O195" s="139"/>
      <c r="P195" s="139"/>
      <c r="Q195" s="139"/>
      <c r="R195" s="139"/>
      <c r="S195" s="139"/>
      <c r="T195" s="139"/>
      <c r="U195" s="139"/>
      <c r="V195" s="139"/>
      <c r="W195" s="139"/>
      <c r="X195" s="139"/>
      <c r="Y195" s="139"/>
      <c r="Z195" s="139"/>
      <c r="AA195" s="139"/>
      <c r="AB195" s="139"/>
      <c r="AC195" s="139"/>
      <c r="AD195" s="139"/>
      <c r="AE195" s="139"/>
      <c r="AF195" s="139"/>
      <c r="AG195" s="139"/>
      <c r="AH195" s="139"/>
      <c r="AI195" s="139"/>
      <c r="AJ195" s="139"/>
      <c r="AK195" s="139"/>
      <c r="AL195" s="139"/>
      <c r="AM195" s="139"/>
      <c r="AN195" s="139"/>
      <c r="AO195" s="139"/>
      <c r="AP195" s="139"/>
      <c r="AQ195" s="139"/>
      <c r="AR195" s="139"/>
      <c r="AS195" s="139"/>
      <c r="AT195" s="139"/>
      <c r="AU195" s="139"/>
      <c r="AV195" s="139"/>
      <c r="AW195" s="139"/>
      <c r="AX195" s="139"/>
      <c r="AY195" s="139"/>
      <c r="AZ195" s="139"/>
      <c r="BA195" s="139"/>
      <c r="BB195" s="139"/>
      <c r="BC195" s="139"/>
      <c r="BD195" s="139"/>
      <c r="BE195" s="139"/>
      <c r="BF195" s="139"/>
      <c r="BG195" s="139"/>
      <c r="BH195" s="139"/>
      <c r="BI195" s="139"/>
      <c r="BJ195" s="139"/>
      <c r="BK195" s="139"/>
      <c r="BL195" s="139"/>
      <c r="BM195" s="139"/>
      <c r="BN195" s="139"/>
      <c r="BO195" s="139"/>
      <c r="BP195" s="139"/>
      <c r="BQ195" s="139"/>
      <c r="BR195" s="139"/>
      <c r="BS195" s="139"/>
      <c r="BT195" s="139"/>
      <c r="BU195" s="139"/>
      <c r="BV195" s="139"/>
      <c r="BW195" s="139"/>
      <c r="BX195" s="139"/>
      <c r="BY195" s="139"/>
      <c r="BZ195" s="139"/>
      <c r="CA195" s="139"/>
      <c r="CB195" s="139"/>
      <c r="CC195" s="139"/>
      <c r="CD195" s="139"/>
      <c r="CE195" s="139"/>
      <c r="CF195" s="139"/>
      <c r="CG195" s="139"/>
      <c r="CH195" s="139"/>
      <c r="CI195" s="139"/>
      <c r="CJ195" s="139"/>
      <c r="CK195" s="139"/>
      <c r="CL195" s="139"/>
      <c r="CM195" s="139"/>
      <c r="CN195" s="139"/>
      <c r="CO195" s="139"/>
      <c r="CP195" s="139"/>
      <c r="CQ195" s="139"/>
      <c r="CR195" s="139"/>
      <c r="CS195" s="139"/>
    </row>
    <row r="196" spans="1:97" s="140" customFormat="1" ht="15.75" hidden="1" customHeight="1">
      <c r="A196" s="138"/>
      <c r="B196" s="138"/>
      <c r="C196" s="190">
        <v>162</v>
      </c>
      <c r="D196" s="314" t="e">
        <f>IF(VLOOKUP(C196,PROPONENTES!$B$19:$E$218,2,FALSE)="","",VLOOKUP(C196,PROPONENTES!$B$19:$E$218,2,FALSE))</f>
        <v>#N/A</v>
      </c>
      <c r="E196" s="186" t="e">
        <f>IF(D196="","",IF(D196-INT(D196)&gt;1,"",VLOOKUP(D196,PROPONENTES!$C$19:$D$218,2,FALSE)))</f>
        <v>#N/A</v>
      </c>
      <c r="F196" s="487"/>
      <c r="G196" s="187"/>
      <c r="H196" s="139"/>
      <c r="I196" s="139"/>
      <c r="J196" s="139"/>
      <c r="K196" s="139"/>
      <c r="L196" s="139"/>
      <c r="M196" s="139"/>
      <c r="N196" s="139"/>
      <c r="O196" s="139"/>
      <c r="P196" s="139"/>
      <c r="Q196" s="139"/>
      <c r="R196" s="139"/>
      <c r="S196" s="139"/>
      <c r="T196" s="139"/>
      <c r="U196" s="139"/>
      <c r="V196" s="139"/>
      <c r="W196" s="139"/>
      <c r="X196" s="139"/>
      <c r="Y196" s="139"/>
      <c r="Z196" s="139"/>
      <c r="AA196" s="139"/>
      <c r="AB196" s="139"/>
      <c r="AC196" s="139"/>
      <c r="AD196" s="139"/>
      <c r="AE196" s="139"/>
      <c r="AF196" s="139"/>
      <c r="AG196" s="139"/>
      <c r="AH196" s="139"/>
      <c r="AI196" s="139"/>
      <c r="AJ196" s="139"/>
      <c r="AK196" s="139"/>
      <c r="AL196" s="139"/>
      <c r="AM196" s="139"/>
      <c r="AN196" s="139"/>
      <c r="AO196" s="139"/>
      <c r="AP196" s="139"/>
      <c r="AQ196" s="139"/>
      <c r="AR196" s="139"/>
      <c r="AS196" s="139"/>
      <c r="AT196" s="139"/>
      <c r="AU196" s="139"/>
      <c r="AV196" s="139"/>
      <c r="AW196" s="139"/>
      <c r="AX196" s="139"/>
      <c r="AY196" s="139"/>
      <c r="AZ196" s="139"/>
      <c r="BA196" s="139"/>
      <c r="BB196" s="139"/>
      <c r="BC196" s="139"/>
      <c r="BD196" s="139"/>
      <c r="BE196" s="139"/>
      <c r="BF196" s="139"/>
      <c r="BG196" s="139"/>
      <c r="BH196" s="139"/>
      <c r="BI196" s="139"/>
      <c r="BJ196" s="139"/>
      <c r="BK196" s="139"/>
      <c r="BL196" s="139"/>
      <c r="BM196" s="139"/>
      <c r="BN196" s="139"/>
      <c r="BO196" s="139"/>
      <c r="BP196" s="139"/>
      <c r="BQ196" s="139"/>
      <c r="BR196" s="139"/>
      <c r="BS196" s="139"/>
      <c r="BT196" s="139"/>
      <c r="BU196" s="139"/>
      <c r="BV196" s="139"/>
      <c r="BW196" s="139"/>
      <c r="BX196" s="139"/>
      <c r="BY196" s="139"/>
      <c r="BZ196" s="139"/>
      <c r="CA196" s="139"/>
      <c r="CB196" s="139"/>
      <c r="CC196" s="139"/>
      <c r="CD196" s="139"/>
      <c r="CE196" s="139"/>
      <c r="CF196" s="139"/>
      <c r="CG196" s="139"/>
      <c r="CH196" s="139"/>
      <c r="CI196" s="139"/>
      <c r="CJ196" s="139"/>
      <c r="CK196" s="139"/>
      <c r="CL196" s="139"/>
      <c r="CM196" s="139"/>
      <c r="CN196" s="139"/>
      <c r="CO196" s="139"/>
      <c r="CP196" s="139"/>
      <c r="CQ196" s="139"/>
      <c r="CR196" s="139"/>
      <c r="CS196" s="139"/>
    </row>
    <row r="197" spans="1:97" s="140" customFormat="1" ht="15.75" hidden="1" customHeight="1">
      <c r="A197" s="138"/>
      <c r="B197" s="138"/>
      <c r="C197" s="190">
        <v>163</v>
      </c>
      <c r="D197" s="314" t="e">
        <f>IF(VLOOKUP(C197,PROPONENTES!$B$19:$E$218,2,FALSE)="","",VLOOKUP(C197,PROPONENTES!$B$19:$E$218,2,FALSE))</f>
        <v>#N/A</v>
      </c>
      <c r="E197" s="186" t="e">
        <f>IF(D197="","",IF(D197-INT(D197)&gt;1,"",VLOOKUP(D197,PROPONENTES!$C$19:$D$218,2,FALSE)))</f>
        <v>#N/A</v>
      </c>
      <c r="F197" s="487"/>
      <c r="G197" s="187"/>
      <c r="H197" s="139"/>
      <c r="I197" s="139"/>
      <c r="J197" s="139"/>
      <c r="K197" s="139"/>
      <c r="L197" s="139"/>
      <c r="M197" s="139"/>
      <c r="N197" s="139"/>
      <c r="O197" s="139"/>
      <c r="P197" s="139"/>
      <c r="Q197" s="139"/>
      <c r="R197" s="139"/>
      <c r="S197" s="139"/>
      <c r="T197" s="139"/>
      <c r="U197" s="139"/>
      <c r="V197" s="139"/>
      <c r="W197" s="139"/>
      <c r="X197" s="139"/>
      <c r="Y197" s="139"/>
      <c r="Z197" s="139"/>
      <c r="AA197" s="139"/>
      <c r="AB197" s="139"/>
      <c r="AC197" s="139"/>
      <c r="AD197" s="139"/>
      <c r="AE197" s="139"/>
      <c r="AF197" s="139"/>
      <c r="AG197" s="139"/>
      <c r="AH197" s="139"/>
      <c r="AI197" s="139"/>
      <c r="AJ197" s="139"/>
      <c r="AK197" s="139"/>
      <c r="AL197" s="139"/>
      <c r="AM197" s="139"/>
      <c r="AN197" s="139"/>
      <c r="AO197" s="139"/>
      <c r="AP197" s="139"/>
      <c r="AQ197" s="139"/>
      <c r="AR197" s="139"/>
      <c r="AS197" s="139"/>
      <c r="AT197" s="139"/>
      <c r="AU197" s="139"/>
      <c r="AV197" s="139"/>
      <c r="AW197" s="139"/>
      <c r="AX197" s="139"/>
      <c r="AY197" s="139"/>
      <c r="AZ197" s="139"/>
      <c r="BA197" s="139"/>
      <c r="BB197" s="139"/>
      <c r="BC197" s="139"/>
      <c r="BD197" s="139"/>
      <c r="BE197" s="139"/>
      <c r="BF197" s="139"/>
      <c r="BG197" s="139"/>
      <c r="BH197" s="139"/>
      <c r="BI197" s="139"/>
      <c r="BJ197" s="139"/>
      <c r="BK197" s="139"/>
      <c r="BL197" s="139"/>
      <c r="BM197" s="139"/>
      <c r="BN197" s="139"/>
      <c r="BO197" s="139"/>
      <c r="BP197" s="139"/>
      <c r="BQ197" s="139"/>
      <c r="BR197" s="139"/>
      <c r="BS197" s="139"/>
      <c r="BT197" s="139"/>
      <c r="BU197" s="139"/>
      <c r="BV197" s="139"/>
      <c r="BW197" s="139"/>
      <c r="BX197" s="139"/>
      <c r="BY197" s="139"/>
      <c r="BZ197" s="139"/>
      <c r="CA197" s="139"/>
      <c r="CB197" s="139"/>
      <c r="CC197" s="139"/>
      <c r="CD197" s="139"/>
      <c r="CE197" s="139"/>
      <c r="CF197" s="139"/>
      <c r="CG197" s="139"/>
      <c r="CH197" s="139"/>
      <c r="CI197" s="139"/>
      <c r="CJ197" s="139"/>
      <c r="CK197" s="139"/>
      <c r="CL197" s="139"/>
      <c r="CM197" s="139"/>
      <c r="CN197" s="139"/>
      <c r="CO197" s="139"/>
      <c r="CP197" s="139"/>
      <c r="CQ197" s="139"/>
      <c r="CR197" s="139"/>
      <c r="CS197" s="139"/>
    </row>
    <row r="198" spans="1:97" s="140" customFormat="1" ht="15.75" hidden="1" customHeight="1">
      <c r="A198" s="138"/>
      <c r="B198" s="138"/>
      <c r="C198" s="190">
        <v>164</v>
      </c>
      <c r="D198" s="314" t="e">
        <f>IF(VLOOKUP(C198,PROPONENTES!$B$19:$E$218,2,FALSE)="","",VLOOKUP(C198,PROPONENTES!$B$19:$E$218,2,FALSE))</f>
        <v>#N/A</v>
      </c>
      <c r="E198" s="186" t="e">
        <f>IF(D198="","",IF(D198-INT(D198)&gt;1,"",VLOOKUP(D198,PROPONENTES!$C$19:$D$218,2,FALSE)))</f>
        <v>#N/A</v>
      </c>
      <c r="F198" s="487"/>
      <c r="G198" s="187"/>
      <c r="H198" s="139"/>
      <c r="I198" s="139"/>
      <c r="J198" s="139"/>
      <c r="K198" s="139"/>
      <c r="L198" s="139"/>
      <c r="M198" s="139"/>
      <c r="N198" s="139"/>
      <c r="O198" s="139"/>
      <c r="P198" s="139"/>
      <c r="Q198" s="139"/>
      <c r="R198" s="139"/>
      <c r="S198" s="139"/>
      <c r="T198" s="139"/>
      <c r="U198" s="139"/>
      <c r="V198" s="139"/>
      <c r="W198" s="139"/>
      <c r="X198" s="139"/>
      <c r="Y198" s="139"/>
      <c r="Z198" s="139"/>
      <c r="AA198" s="139"/>
      <c r="AB198" s="139"/>
      <c r="AC198" s="139"/>
      <c r="AD198" s="139"/>
      <c r="AE198" s="139"/>
      <c r="AF198" s="139"/>
      <c r="AG198" s="139"/>
      <c r="AH198" s="139"/>
      <c r="AI198" s="139"/>
      <c r="AJ198" s="139"/>
      <c r="AK198" s="139"/>
      <c r="AL198" s="139"/>
      <c r="AM198" s="139"/>
      <c r="AN198" s="139"/>
      <c r="AO198" s="139"/>
      <c r="AP198" s="139"/>
      <c r="AQ198" s="139"/>
      <c r="AR198" s="139"/>
      <c r="AS198" s="139"/>
      <c r="AT198" s="139"/>
      <c r="AU198" s="139"/>
      <c r="AV198" s="139"/>
      <c r="AW198" s="139"/>
      <c r="AX198" s="139"/>
      <c r="AY198" s="139"/>
      <c r="AZ198" s="139"/>
      <c r="BA198" s="139"/>
      <c r="BB198" s="139"/>
      <c r="BC198" s="139"/>
      <c r="BD198" s="139"/>
      <c r="BE198" s="139"/>
      <c r="BF198" s="139"/>
      <c r="BG198" s="139"/>
      <c r="BH198" s="139"/>
      <c r="BI198" s="139"/>
      <c r="BJ198" s="139"/>
      <c r="BK198" s="139"/>
      <c r="BL198" s="139"/>
      <c r="BM198" s="139"/>
      <c r="BN198" s="139"/>
      <c r="BO198" s="139"/>
      <c r="BP198" s="139"/>
      <c r="BQ198" s="139"/>
      <c r="BR198" s="139"/>
      <c r="BS198" s="139"/>
      <c r="BT198" s="139"/>
      <c r="BU198" s="139"/>
      <c r="BV198" s="139"/>
      <c r="BW198" s="139"/>
      <c r="BX198" s="139"/>
      <c r="BY198" s="139"/>
      <c r="BZ198" s="139"/>
      <c r="CA198" s="139"/>
      <c r="CB198" s="139"/>
      <c r="CC198" s="139"/>
      <c r="CD198" s="139"/>
      <c r="CE198" s="139"/>
      <c r="CF198" s="139"/>
      <c r="CG198" s="139"/>
      <c r="CH198" s="139"/>
      <c r="CI198" s="139"/>
      <c r="CJ198" s="139"/>
      <c r="CK198" s="139"/>
      <c r="CL198" s="139"/>
      <c r="CM198" s="139"/>
      <c r="CN198" s="139"/>
      <c r="CO198" s="139"/>
      <c r="CP198" s="139"/>
      <c r="CQ198" s="139"/>
      <c r="CR198" s="139"/>
      <c r="CS198" s="139"/>
    </row>
    <row r="199" spans="1:97" s="140" customFormat="1" ht="15.75" hidden="1" customHeight="1">
      <c r="A199" s="138"/>
      <c r="B199" s="138"/>
      <c r="C199" s="190">
        <v>165</v>
      </c>
      <c r="D199" s="314" t="e">
        <f>IF(VLOOKUP(C199,PROPONENTES!$B$19:$E$218,2,FALSE)="","",VLOOKUP(C199,PROPONENTES!$B$19:$E$218,2,FALSE))</f>
        <v>#N/A</v>
      </c>
      <c r="E199" s="186" t="e">
        <f>IF(D199="","",IF(D199-INT(D199)&gt;1,"",VLOOKUP(D199,PROPONENTES!$C$19:$D$218,2,FALSE)))</f>
        <v>#N/A</v>
      </c>
      <c r="F199" s="487"/>
      <c r="G199" s="187"/>
      <c r="H199" s="139"/>
      <c r="I199" s="139"/>
      <c r="J199" s="139"/>
      <c r="K199" s="139"/>
      <c r="L199" s="139"/>
      <c r="M199" s="139"/>
      <c r="N199" s="139"/>
      <c r="O199" s="139"/>
      <c r="P199" s="139"/>
      <c r="Q199" s="139"/>
      <c r="R199" s="139"/>
      <c r="S199" s="139"/>
      <c r="T199" s="139"/>
      <c r="U199" s="139"/>
      <c r="V199" s="139"/>
      <c r="W199" s="139"/>
      <c r="X199" s="139"/>
      <c r="Y199" s="139"/>
      <c r="Z199" s="139"/>
      <c r="AA199" s="139"/>
      <c r="AB199" s="139"/>
      <c r="AC199" s="139"/>
      <c r="AD199" s="139"/>
      <c r="AE199" s="139"/>
      <c r="AF199" s="139"/>
      <c r="AG199" s="139"/>
      <c r="AH199" s="139"/>
      <c r="AI199" s="139"/>
      <c r="AJ199" s="139"/>
      <c r="AK199" s="139"/>
      <c r="AL199" s="139"/>
      <c r="AM199" s="139"/>
      <c r="AN199" s="139"/>
      <c r="AO199" s="139"/>
      <c r="AP199" s="139"/>
      <c r="AQ199" s="139"/>
      <c r="AR199" s="139"/>
      <c r="AS199" s="139"/>
      <c r="AT199" s="139"/>
      <c r="AU199" s="139"/>
      <c r="AV199" s="139"/>
      <c r="AW199" s="139"/>
      <c r="AX199" s="139"/>
      <c r="AY199" s="139"/>
      <c r="AZ199" s="139"/>
      <c r="BA199" s="139"/>
      <c r="BB199" s="139"/>
      <c r="BC199" s="139"/>
      <c r="BD199" s="139"/>
      <c r="BE199" s="139"/>
      <c r="BF199" s="139"/>
      <c r="BG199" s="139"/>
      <c r="BH199" s="139"/>
      <c r="BI199" s="139"/>
      <c r="BJ199" s="139"/>
      <c r="BK199" s="139"/>
      <c r="BL199" s="139"/>
      <c r="BM199" s="139"/>
      <c r="BN199" s="139"/>
      <c r="BO199" s="139"/>
      <c r="BP199" s="139"/>
      <c r="BQ199" s="139"/>
      <c r="BR199" s="139"/>
      <c r="BS199" s="139"/>
      <c r="BT199" s="139"/>
      <c r="BU199" s="139"/>
      <c r="BV199" s="139"/>
      <c r="BW199" s="139"/>
      <c r="BX199" s="139"/>
      <c r="BY199" s="139"/>
      <c r="BZ199" s="139"/>
      <c r="CA199" s="139"/>
      <c r="CB199" s="139"/>
      <c r="CC199" s="139"/>
      <c r="CD199" s="139"/>
      <c r="CE199" s="139"/>
      <c r="CF199" s="139"/>
      <c r="CG199" s="139"/>
      <c r="CH199" s="139"/>
      <c r="CI199" s="139"/>
      <c r="CJ199" s="139"/>
      <c r="CK199" s="139"/>
      <c r="CL199" s="139"/>
      <c r="CM199" s="139"/>
      <c r="CN199" s="139"/>
      <c r="CO199" s="139"/>
      <c r="CP199" s="139"/>
      <c r="CQ199" s="139"/>
      <c r="CR199" s="139"/>
      <c r="CS199" s="139"/>
    </row>
    <row r="200" spans="1:97" s="140" customFormat="1" ht="15.75" hidden="1" customHeight="1">
      <c r="A200" s="138"/>
      <c r="B200" s="138"/>
      <c r="C200" s="190">
        <v>166</v>
      </c>
      <c r="D200" s="314" t="e">
        <f>IF(VLOOKUP(C200,PROPONENTES!$B$19:$E$218,2,FALSE)="","",VLOOKUP(C200,PROPONENTES!$B$19:$E$218,2,FALSE))</f>
        <v>#N/A</v>
      </c>
      <c r="E200" s="186" t="e">
        <f>IF(D200="","",IF(D200-INT(D200)&gt;1,"",VLOOKUP(D200,PROPONENTES!$C$19:$D$218,2,FALSE)))</f>
        <v>#N/A</v>
      </c>
      <c r="F200" s="487"/>
      <c r="G200" s="187"/>
      <c r="H200" s="139"/>
      <c r="I200" s="139"/>
      <c r="J200" s="139"/>
      <c r="K200" s="139"/>
      <c r="L200" s="139"/>
      <c r="M200" s="139"/>
      <c r="N200" s="139"/>
      <c r="O200" s="139"/>
      <c r="P200" s="139"/>
      <c r="Q200" s="139"/>
      <c r="R200" s="139"/>
      <c r="S200" s="139"/>
      <c r="T200" s="139"/>
      <c r="U200" s="139"/>
      <c r="V200" s="139"/>
      <c r="W200" s="139"/>
      <c r="X200" s="139"/>
      <c r="Y200" s="139"/>
      <c r="Z200" s="139"/>
      <c r="AA200" s="139"/>
      <c r="AB200" s="139"/>
      <c r="AC200" s="139"/>
      <c r="AD200" s="139"/>
      <c r="AE200" s="139"/>
      <c r="AF200" s="139"/>
      <c r="AG200" s="139"/>
      <c r="AH200" s="139"/>
      <c r="AI200" s="139"/>
      <c r="AJ200" s="139"/>
      <c r="AK200" s="139"/>
      <c r="AL200" s="139"/>
      <c r="AM200" s="139"/>
      <c r="AN200" s="139"/>
      <c r="AO200" s="139"/>
      <c r="AP200" s="139"/>
      <c r="AQ200" s="139"/>
      <c r="AR200" s="139"/>
      <c r="AS200" s="139"/>
      <c r="AT200" s="139"/>
      <c r="AU200" s="139"/>
      <c r="AV200" s="139"/>
      <c r="AW200" s="139"/>
      <c r="AX200" s="139"/>
      <c r="AY200" s="139"/>
      <c r="AZ200" s="139"/>
      <c r="BA200" s="139"/>
      <c r="BB200" s="139"/>
      <c r="BC200" s="139"/>
      <c r="BD200" s="139"/>
      <c r="BE200" s="139"/>
      <c r="BF200" s="139"/>
      <c r="BG200" s="139"/>
      <c r="BH200" s="139"/>
      <c r="BI200" s="139"/>
      <c r="BJ200" s="139"/>
      <c r="BK200" s="139"/>
      <c r="BL200" s="139"/>
      <c r="BM200" s="139"/>
      <c r="BN200" s="139"/>
      <c r="BO200" s="139"/>
      <c r="BP200" s="139"/>
      <c r="BQ200" s="139"/>
      <c r="BR200" s="139"/>
      <c r="BS200" s="139"/>
      <c r="BT200" s="139"/>
      <c r="BU200" s="139"/>
      <c r="BV200" s="139"/>
      <c r="BW200" s="139"/>
      <c r="BX200" s="139"/>
      <c r="BY200" s="139"/>
      <c r="BZ200" s="139"/>
      <c r="CA200" s="139"/>
      <c r="CB200" s="139"/>
      <c r="CC200" s="139"/>
      <c r="CD200" s="139"/>
      <c r="CE200" s="139"/>
      <c r="CF200" s="139"/>
      <c r="CG200" s="139"/>
      <c r="CH200" s="139"/>
      <c r="CI200" s="139"/>
      <c r="CJ200" s="139"/>
      <c r="CK200" s="139"/>
      <c r="CL200" s="139"/>
      <c r="CM200" s="139"/>
      <c r="CN200" s="139"/>
      <c r="CO200" s="139"/>
      <c r="CP200" s="139"/>
      <c r="CQ200" s="139"/>
      <c r="CR200" s="139"/>
      <c r="CS200" s="139"/>
    </row>
    <row r="201" spans="1:97" s="140" customFormat="1" ht="15.75" hidden="1" customHeight="1">
      <c r="A201" s="138"/>
      <c r="B201" s="138"/>
      <c r="C201" s="190">
        <v>167</v>
      </c>
      <c r="D201" s="314" t="e">
        <f>IF(VLOOKUP(C201,PROPONENTES!$B$19:$E$218,2,FALSE)="","",VLOOKUP(C201,PROPONENTES!$B$19:$E$218,2,FALSE))</f>
        <v>#N/A</v>
      </c>
      <c r="E201" s="186" t="e">
        <f>IF(D201="","",IF(D201-INT(D201)&gt;1,"",VLOOKUP(D201,PROPONENTES!$C$19:$D$218,2,FALSE)))</f>
        <v>#N/A</v>
      </c>
      <c r="F201" s="487"/>
      <c r="G201" s="187"/>
      <c r="H201" s="139"/>
      <c r="I201" s="139"/>
      <c r="J201" s="139"/>
      <c r="K201" s="139"/>
      <c r="L201" s="139"/>
      <c r="M201" s="139"/>
      <c r="N201" s="139"/>
      <c r="O201" s="139"/>
      <c r="P201" s="139"/>
      <c r="Q201" s="139"/>
      <c r="R201" s="139"/>
      <c r="S201" s="139"/>
      <c r="T201" s="139"/>
      <c r="U201" s="139"/>
      <c r="V201" s="139"/>
      <c r="W201" s="139"/>
      <c r="X201" s="139"/>
      <c r="Y201" s="139"/>
      <c r="Z201" s="139"/>
      <c r="AA201" s="139"/>
      <c r="AB201" s="139"/>
      <c r="AC201" s="139"/>
      <c r="AD201" s="139"/>
      <c r="AE201" s="139"/>
      <c r="AF201" s="139"/>
      <c r="AG201" s="139"/>
      <c r="AH201" s="139"/>
      <c r="AI201" s="139"/>
      <c r="AJ201" s="139"/>
      <c r="AK201" s="139"/>
      <c r="AL201" s="139"/>
      <c r="AM201" s="139"/>
      <c r="AN201" s="139"/>
      <c r="AO201" s="139"/>
      <c r="AP201" s="139"/>
      <c r="AQ201" s="139"/>
      <c r="AR201" s="139"/>
      <c r="AS201" s="139"/>
      <c r="AT201" s="139"/>
      <c r="AU201" s="139"/>
      <c r="AV201" s="139"/>
      <c r="AW201" s="139"/>
      <c r="AX201" s="139"/>
      <c r="AY201" s="139"/>
      <c r="AZ201" s="139"/>
      <c r="BA201" s="139"/>
      <c r="BB201" s="139"/>
      <c r="BC201" s="139"/>
      <c r="BD201" s="139"/>
      <c r="BE201" s="139"/>
      <c r="BF201" s="139"/>
      <c r="BG201" s="139"/>
      <c r="BH201" s="139"/>
      <c r="BI201" s="139"/>
      <c r="BJ201" s="139"/>
      <c r="BK201" s="139"/>
      <c r="BL201" s="139"/>
      <c r="BM201" s="139"/>
      <c r="BN201" s="139"/>
      <c r="BO201" s="139"/>
      <c r="BP201" s="139"/>
      <c r="BQ201" s="139"/>
      <c r="BR201" s="139"/>
      <c r="BS201" s="139"/>
      <c r="BT201" s="139"/>
      <c r="BU201" s="139"/>
      <c r="BV201" s="139"/>
      <c r="BW201" s="139"/>
      <c r="BX201" s="139"/>
      <c r="BY201" s="139"/>
      <c r="BZ201" s="139"/>
      <c r="CA201" s="139"/>
      <c r="CB201" s="139"/>
      <c r="CC201" s="139"/>
      <c r="CD201" s="139"/>
      <c r="CE201" s="139"/>
      <c r="CF201" s="139"/>
      <c r="CG201" s="139"/>
      <c r="CH201" s="139"/>
      <c r="CI201" s="139"/>
      <c r="CJ201" s="139"/>
      <c r="CK201" s="139"/>
      <c r="CL201" s="139"/>
      <c r="CM201" s="139"/>
      <c r="CN201" s="139"/>
      <c r="CO201" s="139"/>
      <c r="CP201" s="139"/>
      <c r="CQ201" s="139"/>
      <c r="CR201" s="139"/>
      <c r="CS201" s="139"/>
    </row>
    <row r="202" spans="1:97" s="140" customFormat="1" ht="15.75" hidden="1" customHeight="1">
      <c r="A202" s="138"/>
      <c r="B202" s="138"/>
      <c r="C202" s="190">
        <v>168</v>
      </c>
      <c r="D202" s="314" t="e">
        <f>IF(VLOOKUP(C202,PROPONENTES!$B$19:$E$218,2,FALSE)="","",VLOOKUP(C202,PROPONENTES!$B$19:$E$218,2,FALSE))</f>
        <v>#N/A</v>
      </c>
      <c r="E202" s="186" t="e">
        <f>IF(D202="","",IF(D202-INT(D202)&gt;1,"",VLOOKUP(D202,PROPONENTES!$C$19:$D$218,2,FALSE)))</f>
        <v>#N/A</v>
      </c>
      <c r="F202" s="487"/>
      <c r="G202" s="187"/>
      <c r="H202" s="139"/>
      <c r="I202" s="139"/>
      <c r="J202" s="139"/>
      <c r="K202" s="139"/>
      <c r="L202" s="139"/>
      <c r="M202" s="139"/>
      <c r="N202" s="139"/>
      <c r="O202" s="139"/>
      <c r="P202" s="139"/>
      <c r="Q202" s="139"/>
      <c r="R202" s="139"/>
      <c r="S202" s="139"/>
      <c r="T202" s="139"/>
      <c r="U202" s="139"/>
      <c r="V202" s="139"/>
      <c r="W202" s="139"/>
      <c r="X202" s="139"/>
      <c r="Y202" s="139"/>
      <c r="Z202" s="139"/>
      <c r="AA202" s="139"/>
      <c r="AB202" s="139"/>
      <c r="AC202" s="139"/>
      <c r="AD202" s="139"/>
      <c r="AE202" s="139"/>
      <c r="AF202" s="139"/>
      <c r="AG202" s="139"/>
      <c r="AH202" s="139"/>
      <c r="AI202" s="139"/>
      <c r="AJ202" s="139"/>
      <c r="AK202" s="139"/>
      <c r="AL202" s="139"/>
      <c r="AM202" s="139"/>
      <c r="AN202" s="139"/>
      <c r="AO202" s="139"/>
      <c r="AP202" s="139"/>
      <c r="AQ202" s="139"/>
      <c r="AR202" s="139"/>
      <c r="AS202" s="139"/>
      <c r="AT202" s="139"/>
      <c r="AU202" s="139"/>
      <c r="AV202" s="139"/>
      <c r="AW202" s="139"/>
      <c r="AX202" s="139"/>
      <c r="AY202" s="139"/>
      <c r="AZ202" s="139"/>
      <c r="BA202" s="139"/>
      <c r="BB202" s="139"/>
      <c r="BC202" s="139"/>
      <c r="BD202" s="139"/>
      <c r="BE202" s="139"/>
      <c r="BF202" s="139"/>
      <c r="BG202" s="139"/>
      <c r="BH202" s="139"/>
      <c r="BI202" s="139"/>
      <c r="BJ202" s="139"/>
      <c r="BK202" s="139"/>
      <c r="BL202" s="139"/>
      <c r="BM202" s="139"/>
      <c r="BN202" s="139"/>
      <c r="BO202" s="139"/>
      <c r="BP202" s="139"/>
      <c r="BQ202" s="139"/>
      <c r="BR202" s="139"/>
      <c r="BS202" s="139"/>
      <c r="BT202" s="139"/>
      <c r="BU202" s="139"/>
      <c r="BV202" s="139"/>
      <c r="BW202" s="139"/>
      <c r="BX202" s="139"/>
      <c r="BY202" s="139"/>
      <c r="BZ202" s="139"/>
      <c r="CA202" s="139"/>
      <c r="CB202" s="139"/>
      <c r="CC202" s="139"/>
      <c r="CD202" s="139"/>
      <c r="CE202" s="139"/>
      <c r="CF202" s="139"/>
      <c r="CG202" s="139"/>
      <c r="CH202" s="139"/>
      <c r="CI202" s="139"/>
      <c r="CJ202" s="139"/>
      <c r="CK202" s="139"/>
      <c r="CL202" s="139"/>
      <c r="CM202" s="139"/>
      <c r="CN202" s="139"/>
      <c r="CO202" s="139"/>
      <c r="CP202" s="139"/>
      <c r="CQ202" s="139"/>
      <c r="CR202" s="139"/>
      <c r="CS202" s="139"/>
    </row>
    <row r="203" spans="1:97" s="140" customFormat="1" ht="15.75" hidden="1" customHeight="1">
      <c r="A203" s="138"/>
      <c r="B203" s="138"/>
      <c r="C203" s="190">
        <v>169</v>
      </c>
      <c r="D203" s="314" t="e">
        <f>IF(VLOOKUP(C203,PROPONENTES!$B$19:$E$218,2,FALSE)="","",VLOOKUP(C203,PROPONENTES!$B$19:$E$218,2,FALSE))</f>
        <v>#N/A</v>
      </c>
      <c r="E203" s="186" t="e">
        <f>IF(D203="","",IF(D203-INT(D203)&gt;1,"",VLOOKUP(D203,PROPONENTES!$C$19:$D$218,2,FALSE)))</f>
        <v>#N/A</v>
      </c>
      <c r="F203" s="487"/>
      <c r="G203" s="187"/>
      <c r="H203" s="139"/>
      <c r="I203" s="139"/>
      <c r="J203" s="139"/>
      <c r="K203" s="139"/>
      <c r="L203" s="139"/>
      <c r="M203" s="139"/>
      <c r="N203" s="139"/>
      <c r="O203" s="139"/>
      <c r="P203" s="139"/>
      <c r="Q203" s="139"/>
      <c r="R203" s="139"/>
      <c r="S203" s="139"/>
      <c r="T203" s="139"/>
      <c r="U203" s="139"/>
      <c r="V203" s="139"/>
      <c r="W203" s="139"/>
      <c r="X203" s="139"/>
      <c r="Y203" s="139"/>
      <c r="Z203" s="139"/>
      <c r="AA203" s="139"/>
      <c r="AB203" s="139"/>
      <c r="AC203" s="139"/>
      <c r="AD203" s="139"/>
      <c r="AE203" s="139"/>
      <c r="AF203" s="139"/>
      <c r="AG203" s="139"/>
      <c r="AH203" s="139"/>
      <c r="AI203" s="139"/>
      <c r="AJ203" s="139"/>
      <c r="AK203" s="139"/>
      <c r="AL203" s="139"/>
      <c r="AM203" s="139"/>
      <c r="AN203" s="139"/>
      <c r="AO203" s="139"/>
      <c r="AP203" s="139"/>
      <c r="AQ203" s="139"/>
      <c r="AR203" s="139"/>
      <c r="AS203" s="139"/>
      <c r="AT203" s="139"/>
      <c r="AU203" s="139"/>
      <c r="AV203" s="139"/>
      <c r="AW203" s="139"/>
      <c r="AX203" s="139"/>
      <c r="AY203" s="139"/>
      <c r="AZ203" s="139"/>
      <c r="BA203" s="139"/>
      <c r="BB203" s="139"/>
      <c r="BC203" s="139"/>
      <c r="BD203" s="139"/>
      <c r="BE203" s="139"/>
      <c r="BF203" s="139"/>
      <c r="BG203" s="139"/>
      <c r="BH203" s="139"/>
      <c r="BI203" s="139"/>
      <c r="BJ203" s="139"/>
      <c r="BK203" s="139"/>
      <c r="BL203" s="139"/>
      <c r="BM203" s="139"/>
      <c r="BN203" s="139"/>
      <c r="BO203" s="139"/>
      <c r="BP203" s="139"/>
      <c r="BQ203" s="139"/>
      <c r="BR203" s="139"/>
      <c r="BS203" s="139"/>
      <c r="BT203" s="139"/>
      <c r="BU203" s="139"/>
      <c r="BV203" s="139"/>
      <c r="BW203" s="139"/>
      <c r="BX203" s="139"/>
      <c r="BY203" s="139"/>
      <c r="BZ203" s="139"/>
      <c r="CA203" s="139"/>
      <c r="CB203" s="139"/>
      <c r="CC203" s="139"/>
      <c r="CD203" s="139"/>
      <c r="CE203" s="139"/>
      <c r="CF203" s="139"/>
      <c r="CG203" s="139"/>
      <c r="CH203" s="139"/>
      <c r="CI203" s="139"/>
      <c r="CJ203" s="139"/>
      <c r="CK203" s="139"/>
      <c r="CL203" s="139"/>
      <c r="CM203" s="139"/>
      <c r="CN203" s="139"/>
      <c r="CO203" s="139"/>
      <c r="CP203" s="139"/>
      <c r="CQ203" s="139"/>
      <c r="CR203" s="139"/>
      <c r="CS203" s="139"/>
    </row>
    <row r="204" spans="1:97" s="140" customFormat="1" ht="15.75" hidden="1" customHeight="1">
      <c r="A204" s="138"/>
      <c r="B204" s="138"/>
      <c r="C204" s="190">
        <v>170</v>
      </c>
      <c r="D204" s="314" t="e">
        <f>IF(VLOOKUP(C204,PROPONENTES!$B$19:$E$218,2,FALSE)="","",VLOOKUP(C204,PROPONENTES!$B$19:$E$218,2,FALSE))</f>
        <v>#N/A</v>
      </c>
      <c r="E204" s="186" t="e">
        <f>IF(D204="","",IF(D204-INT(D204)&gt;1,"",VLOOKUP(D204,PROPONENTES!$C$19:$D$218,2,FALSE)))</f>
        <v>#N/A</v>
      </c>
      <c r="F204" s="487"/>
      <c r="G204" s="187"/>
      <c r="H204" s="139"/>
      <c r="I204" s="139"/>
      <c r="J204" s="139"/>
      <c r="K204" s="139"/>
      <c r="L204" s="139"/>
      <c r="M204" s="139"/>
      <c r="N204" s="139"/>
      <c r="O204" s="139"/>
      <c r="P204" s="139"/>
      <c r="Q204" s="139"/>
      <c r="R204" s="139"/>
      <c r="S204" s="139"/>
      <c r="T204" s="139"/>
      <c r="U204" s="139"/>
      <c r="V204" s="139"/>
      <c r="W204" s="139"/>
      <c r="X204" s="139"/>
      <c r="Y204" s="139"/>
      <c r="Z204" s="139"/>
      <c r="AA204" s="139"/>
      <c r="AB204" s="139"/>
      <c r="AC204" s="139"/>
      <c r="AD204" s="139"/>
      <c r="AE204" s="139"/>
      <c r="AF204" s="139"/>
      <c r="AG204" s="139"/>
      <c r="AH204" s="139"/>
      <c r="AI204" s="139"/>
      <c r="AJ204" s="139"/>
      <c r="AK204" s="139"/>
      <c r="AL204" s="139"/>
      <c r="AM204" s="139"/>
      <c r="AN204" s="139"/>
      <c r="AO204" s="139"/>
      <c r="AP204" s="139"/>
      <c r="AQ204" s="139"/>
      <c r="AR204" s="139"/>
      <c r="AS204" s="139"/>
      <c r="AT204" s="139"/>
      <c r="AU204" s="139"/>
      <c r="AV204" s="139"/>
      <c r="AW204" s="139"/>
      <c r="AX204" s="139"/>
      <c r="AY204" s="139"/>
      <c r="AZ204" s="139"/>
      <c r="BA204" s="139"/>
      <c r="BB204" s="139"/>
      <c r="BC204" s="139"/>
      <c r="BD204" s="139"/>
      <c r="BE204" s="139"/>
      <c r="BF204" s="139"/>
      <c r="BG204" s="139"/>
      <c r="BH204" s="139"/>
      <c r="BI204" s="139"/>
      <c r="BJ204" s="139"/>
      <c r="BK204" s="139"/>
      <c r="BL204" s="139"/>
      <c r="BM204" s="139"/>
      <c r="BN204" s="139"/>
      <c r="BO204" s="139"/>
      <c r="BP204" s="139"/>
      <c r="BQ204" s="139"/>
      <c r="BR204" s="139"/>
      <c r="BS204" s="139"/>
      <c r="BT204" s="139"/>
      <c r="BU204" s="139"/>
      <c r="BV204" s="139"/>
      <c r="BW204" s="139"/>
      <c r="BX204" s="139"/>
      <c r="BY204" s="139"/>
      <c r="BZ204" s="139"/>
      <c r="CA204" s="139"/>
      <c r="CB204" s="139"/>
      <c r="CC204" s="139"/>
      <c r="CD204" s="139"/>
      <c r="CE204" s="139"/>
      <c r="CF204" s="139"/>
      <c r="CG204" s="139"/>
      <c r="CH204" s="139"/>
      <c r="CI204" s="139"/>
      <c r="CJ204" s="139"/>
      <c r="CK204" s="139"/>
      <c r="CL204" s="139"/>
      <c r="CM204" s="139"/>
      <c r="CN204" s="139"/>
      <c r="CO204" s="139"/>
      <c r="CP204" s="139"/>
      <c r="CQ204" s="139"/>
      <c r="CR204" s="139"/>
      <c r="CS204" s="139"/>
    </row>
    <row r="205" spans="1:97" s="140" customFormat="1" ht="15.75" hidden="1" customHeight="1">
      <c r="A205" s="138"/>
      <c r="B205" s="138"/>
      <c r="C205" s="190">
        <v>171</v>
      </c>
      <c r="D205" s="314" t="e">
        <f>IF(VLOOKUP(C205,PROPONENTES!$B$19:$E$218,2,FALSE)="","",VLOOKUP(C205,PROPONENTES!$B$19:$E$218,2,FALSE))</f>
        <v>#N/A</v>
      </c>
      <c r="E205" s="186" t="e">
        <f>IF(D205="","",IF(D205-INT(D205)&gt;1,"",VLOOKUP(D205,PROPONENTES!$C$19:$D$218,2,FALSE)))</f>
        <v>#N/A</v>
      </c>
      <c r="F205" s="487"/>
      <c r="G205" s="187"/>
      <c r="H205" s="139"/>
      <c r="I205" s="139"/>
      <c r="J205" s="139"/>
      <c r="K205" s="139"/>
      <c r="L205" s="139"/>
      <c r="M205" s="139"/>
      <c r="N205" s="139"/>
      <c r="O205" s="139"/>
      <c r="P205" s="139"/>
      <c r="Q205" s="139"/>
      <c r="R205" s="139"/>
      <c r="S205" s="139"/>
      <c r="T205" s="139"/>
      <c r="U205" s="139"/>
      <c r="V205" s="139"/>
      <c r="W205" s="139"/>
      <c r="X205" s="139"/>
      <c r="Y205" s="139"/>
      <c r="Z205" s="139"/>
      <c r="AA205" s="139"/>
      <c r="AB205" s="139"/>
      <c r="AC205" s="139"/>
      <c r="AD205" s="139"/>
      <c r="AE205" s="139"/>
      <c r="AF205" s="139"/>
      <c r="AG205" s="139"/>
      <c r="AH205" s="139"/>
      <c r="AI205" s="139"/>
      <c r="AJ205" s="139"/>
      <c r="AK205" s="139"/>
      <c r="AL205" s="139"/>
      <c r="AM205" s="139"/>
      <c r="AN205" s="139"/>
      <c r="AO205" s="139"/>
      <c r="AP205" s="139"/>
      <c r="AQ205" s="139"/>
      <c r="AR205" s="139"/>
      <c r="AS205" s="139"/>
      <c r="AT205" s="139"/>
      <c r="AU205" s="139"/>
      <c r="AV205" s="139"/>
      <c r="AW205" s="139"/>
      <c r="AX205" s="139"/>
      <c r="AY205" s="139"/>
      <c r="AZ205" s="139"/>
      <c r="BA205" s="139"/>
      <c r="BB205" s="139"/>
      <c r="BC205" s="139"/>
      <c r="BD205" s="139"/>
      <c r="BE205" s="139"/>
      <c r="BF205" s="139"/>
      <c r="BG205" s="139"/>
      <c r="BH205" s="139"/>
      <c r="BI205" s="139"/>
      <c r="BJ205" s="139"/>
      <c r="BK205" s="139"/>
      <c r="BL205" s="139"/>
      <c r="BM205" s="139"/>
      <c r="BN205" s="139"/>
      <c r="BO205" s="139"/>
      <c r="BP205" s="139"/>
      <c r="BQ205" s="139"/>
      <c r="BR205" s="139"/>
      <c r="BS205" s="139"/>
      <c r="BT205" s="139"/>
      <c r="BU205" s="139"/>
      <c r="BV205" s="139"/>
      <c r="BW205" s="139"/>
      <c r="BX205" s="139"/>
      <c r="BY205" s="139"/>
      <c r="BZ205" s="139"/>
      <c r="CA205" s="139"/>
      <c r="CB205" s="139"/>
      <c r="CC205" s="139"/>
      <c r="CD205" s="139"/>
      <c r="CE205" s="139"/>
      <c r="CF205" s="139"/>
      <c r="CG205" s="139"/>
      <c r="CH205" s="139"/>
      <c r="CI205" s="139"/>
      <c r="CJ205" s="139"/>
      <c r="CK205" s="139"/>
      <c r="CL205" s="139"/>
      <c r="CM205" s="139"/>
      <c r="CN205" s="139"/>
      <c r="CO205" s="139"/>
      <c r="CP205" s="139"/>
      <c r="CQ205" s="139"/>
      <c r="CR205" s="139"/>
      <c r="CS205" s="139"/>
    </row>
    <row r="206" spans="1:97" s="140" customFormat="1" ht="15.75" hidden="1" customHeight="1">
      <c r="A206" s="138"/>
      <c r="B206" s="138"/>
      <c r="C206" s="190">
        <v>172</v>
      </c>
      <c r="D206" s="314" t="e">
        <f>IF(VLOOKUP(C206,PROPONENTES!$B$19:$E$218,2,FALSE)="","",VLOOKUP(C206,PROPONENTES!$B$19:$E$218,2,FALSE))</f>
        <v>#N/A</v>
      </c>
      <c r="E206" s="186" t="e">
        <f>IF(D206="","",IF(D206-INT(D206)&gt;1,"",VLOOKUP(D206,PROPONENTES!$C$19:$D$218,2,FALSE)))</f>
        <v>#N/A</v>
      </c>
      <c r="F206" s="487"/>
      <c r="G206" s="187"/>
      <c r="H206" s="139"/>
      <c r="I206" s="139"/>
      <c r="J206" s="139"/>
      <c r="K206" s="139"/>
      <c r="L206" s="139"/>
      <c r="M206" s="139"/>
      <c r="N206" s="139"/>
      <c r="O206" s="139"/>
      <c r="P206" s="139"/>
      <c r="Q206" s="139"/>
      <c r="R206" s="139"/>
      <c r="S206" s="139"/>
      <c r="T206" s="139"/>
      <c r="U206" s="139"/>
      <c r="V206" s="139"/>
      <c r="W206" s="139"/>
      <c r="X206" s="139"/>
      <c r="Y206" s="139"/>
      <c r="Z206" s="139"/>
      <c r="AA206" s="139"/>
      <c r="AB206" s="139"/>
      <c r="AC206" s="139"/>
      <c r="AD206" s="139"/>
      <c r="AE206" s="139"/>
      <c r="AF206" s="139"/>
      <c r="AG206" s="139"/>
      <c r="AH206" s="139"/>
      <c r="AI206" s="139"/>
      <c r="AJ206" s="139"/>
      <c r="AK206" s="139"/>
      <c r="AL206" s="139"/>
      <c r="AM206" s="139"/>
      <c r="AN206" s="139"/>
      <c r="AO206" s="139"/>
      <c r="AP206" s="139"/>
      <c r="AQ206" s="139"/>
      <c r="AR206" s="139"/>
      <c r="AS206" s="139"/>
      <c r="AT206" s="139"/>
      <c r="AU206" s="139"/>
      <c r="AV206" s="139"/>
      <c r="AW206" s="139"/>
      <c r="AX206" s="139"/>
      <c r="AY206" s="139"/>
      <c r="AZ206" s="139"/>
      <c r="BA206" s="139"/>
      <c r="BB206" s="139"/>
      <c r="BC206" s="139"/>
      <c r="BD206" s="139"/>
      <c r="BE206" s="139"/>
      <c r="BF206" s="139"/>
      <c r="BG206" s="139"/>
      <c r="BH206" s="139"/>
      <c r="BI206" s="139"/>
      <c r="BJ206" s="139"/>
      <c r="BK206" s="139"/>
      <c r="BL206" s="139"/>
      <c r="BM206" s="139"/>
      <c r="BN206" s="139"/>
      <c r="BO206" s="139"/>
      <c r="BP206" s="139"/>
      <c r="BQ206" s="139"/>
      <c r="BR206" s="139"/>
      <c r="BS206" s="139"/>
      <c r="BT206" s="139"/>
      <c r="BU206" s="139"/>
      <c r="BV206" s="139"/>
      <c r="BW206" s="139"/>
      <c r="BX206" s="139"/>
      <c r="BY206" s="139"/>
      <c r="BZ206" s="139"/>
      <c r="CA206" s="139"/>
      <c r="CB206" s="139"/>
      <c r="CC206" s="139"/>
      <c r="CD206" s="139"/>
      <c r="CE206" s="139"/>
      <c r="CF206" s="139"/>
      <c r="CG206" s="139"/>
      <c r="CH206" s="139"/>
      <c r="CI206" s="139"/>
      <c r="CJ206" s="139"/>
      <c r="CK206" s="139"/>
      <c r="CL206" s="139"/>
      <c r="CM206" s="139"/>
      <c r="CN206" s="139"/>
      <c r="CO206" s="139"/>
      <c r="CP206" s="139"/>
      <c r="CQ206" s="139"/>
      <c r="CR206" s="139"/>
      <c r="CS206" s="139"/>
    </row>
    <row r="207" spans="1:97" s="140" customFormat="1" ht="15.75" hidden="1" customHeight="1">
      <c r="A207" s="138"/>
      <c r="B207" s="138"/>
      <c r="C207" s="190">
        <v>173</v>
      </c>
      <c r="D207" s="314" t="e">
        <f>IF(VLOOKUP(C207,PROPONENTES!$B$19:$E$218,2,FALSE)="","",VLOOKUP(C207,PROPONENTES!$B$19:$E$218,2,FALSE))</f>
        <v>#N/A</v>
      </c>
      <c r="E207" s="186" t="e">
        <f>IF(D207="","",IF(D207-INT(D207)&gt;1,"",VLOOKUP(D207,PROPONENTES!$C$19:$D$218,2,FALSE)))</f>
        <v>#N/A</v>
      </c>
      <c r="F207" s="487"/>
      <c r="G207" s="187"/>
      <c r="H207" s="139"/>
      <c r="I207" s="139"/>
      <c r="J207" s="139"/>
      <c r="K207" s="139"/>
      <c r="L207" s="139"/>
      <c r="M207" s="139"/>
      <c r="N207" s="139"/>
      <c r="O207" s="139"/>
      <c r="P207" s="139"/>
      <c r="Q207" s="139"/>
      <c r="R207" s="139"/>
      <c r="S207" s="139"/>
      <c r="T207" s="139"/>
      <c r="U207" s="139"/>
      <c r="V207" s="139"/>
      <c r="W207" s="139"/>
      <c r="X207" s="139"/>
      <c r="Y207" s="139"/>
      <c r="Z207" s="139"/>
      <c r="AA207" s="139"/>
      <c r="AB207" s="139"/>
      <c r="AC207" s="139"/>
      <c r="AD207" s="139"/>
      <c r="AE207" s="139"/>
      <c r="AF207" s="139"/>
      <c r="AG207" s="139"/>
      <c r="AH207" s="139"/>
      <c r="AI207" s="139"/>
      <c r="AJ207" s="139"/>
      <c r="AK207" s="139"/>
      <c r="AL207" s="139"/>
      <c r="AM207" s="139"/>
      <c r="AN207" s="139"/>
      <c r="AO207" s="139"/>
      <c r="AP207" s="139"/>
      <c r="AQ207" s="139"/>
      <c r="AR207" s="139"/>
      <c r="AS207" s="139"/>
      <c r="AT207" s="139"/>
      <c r="AU207" s="139"/>
      <c r="AV207" s="139"/>
      <c r="AW207" s="139"/>
      <c r="AX207" s="139"/>
      <c r="AY207" s="139"/>
      <c r="AZ207" s="139"/>
      <c r="BA207" s="139"/>
      <c r="BB207" s="139"/>
      <c r="BC207" s="139"/>
      <c r="BD207" s="139"/>
      <c r="BE207" s="139"/>
      <c r="BF207" s="139"/>
      <c r="BG207" s="139"/>
      <c r="BH207" s="139"/>
      <c r="BI207" s="139"/>
      <c r="BJ207" s="139"/>
      <c r="BK207" s="139"/>
      <c r="BL207" s="139"/>
      <c r="BM207" s="139"/>
      <c r="BN207" s="139"/>
      <c r="BO207" s="139"/>
      <c r="BP207" s="139"/>
      <c r="BQ207" s="139"/>
      <c r="BR207" s="139"/>
      <c r="BS207" s="139"/>
      <c r="BT207" s="139"/>
      <c r="BU207" s="139"/>
      <c r="BV207" s="139"/>
      <c r="BW207" s="139"/>
      <c r="BX207" s="139"/>
      <c r="BY207" s="139"/>
      <c r="BZ207" s="139"/>
      <c r="CA207" s="139"/>
      <c r="CB207" s="139"/>
      <c r="CC207" s="139"/>
      <c r="CD207" s="139"/>
      <c r="CE207" s="139"/>
      <c r="CF207" s="139"/>
      <c r="CG207" s="139"/>
      <c r="CH207" s="139"/>
      <c r="CI207" s="139"/>
      <c r="CJ207" s="139"/>
      <c r="CK207" s="139"/>
      <c r="CL207" s="139"/>
      <c r="CM207" s="139"/>
      <c r="CN207" s="139"/>
      <c r="CO207" s="139"/>
      <c r="CP207" s="139"/>
      <c r="CQ207" s="139"/>
      <c r="CR207" s="139"/>
      <c r="CS207" s="139"/>
    </row>
    <row r="208" spans="1:97" s="140" customFormat="1" ht="15.75" hidden="1" customHeight="1">
      <c r="A208" s="138"/>
      <c r="B208" s="138"/>
      <c r="C208" s="190">
        <v>174</v>
      </c>
      <c r="D208" s="314" t="e">
        <f>IF(VLOOKUP(C208,PROPONENTES!$B$19:$E$218,2,FALSE)="","",VLOOKUP(C208,PROPONENTES!$B$19:$E$218,2,FALSE))</f>
        <v>#N/A</v>
      </c>
      <c r="E208" s="186" t="e">
        <f>IF(D208="","",IF(D208-INT(D208)&gt;1,"",VLOOKUP(D208,PROPONENTES!$C$19:$D$218,2,FALSE)))</f>
        <v>#N/A</v>
      </c>
      <c r="F208" s="487"/>
      <c r="G208" s="187"/>
      <c r="H208" s="139"/>
      <c r="I208" s="139"/>
      <c r="J208" s="139"/>
      <c r="K208" s="139"/>
      <c r="L208" s="139"/>
      <c r="M208" s="139"/>
      <c r="N208" s="139"/>
      <c r="O208" s="139"/>
      <c r="P208" s="139"/>
      <c r="Q208" s="139"/>
      <c r="R208" s="139"/>
      <c r="S208" s="139"/>
      <c r="T208" s="139"/>
      <c r="U208" s="139"/>
      <c r="V208" s="139"/>
      <c r="W208" s="139"/>
      <c r="X208" s="139"/>
      <c r="Y208" s="139"/>
      <c r="Z208" s="139"/>
      <c r="AA208" s="139"/>
      <c r="AB208" s="139"/>
      <c r="AC208" s="139"/>
      <c r="AD208" s="139"/>
      <c r="AE208" s="139"/>
      <c r="AF208" s="139"/>
      <c r="AG208" s="139"/>
      <c r="AH208" s="139"/>
      <c r="AI208" s="139"/>
      <c r="AJ208" s="139"/>
      <c r="AK208" s="139"/>
      <c r="AL208" s="139"/>
      <c r="AM208" s="139"/>
      <c r="AN208" s="139"/>
      <c r="AO208" s="139"/>
      <c r="AP208" s="139"/>
      <c r="AQ208" s="139"/>
      <c r="AR208" s="139"/>
      <c r="AS208" s="139"/>
      <c r="AT208" s="139"/>
      <c r="AU208" s="139"/>
      <c r="AV208" s="139"/>
      <c r="AW208" s="139"/>
      <c r="AX208" s="139"/>
      <c r="AY208" s="139"/>
      <c r="AZ208" s="139"/>
      <c r="BA208" s="139"/>
      <c r="BB208" s="139"/>
      <c r="BC208" s="139"/>
      <c r="BD208" s="139"/>
      <c r="BE208" s="139"/>
      <c r="BF208" s="139"/>
      <c r="BG208" s="139"/>
      <c r="BH208" s="139"/>
      <c r="BI208" s="139"/>
      <c r="BJ208" s="139"/>
      <c r="BK208" s="139"/>
      <c r="BL208" s="139"/>
      <c r="BM208" s="139"/>
      <c r="BN208" s="139"/>
      <c r="BO208" s="139"/>
      <c r="BP208" s="139"/>
      <c r="BQ208" s="139"/>
      <c r="BR208" s="139"/>
      <c r="BS208" s="139"/>
      <c r="BT208" s="139"/>
      <c r="BU208" s="139"/>
      <c r="BV208" s="139"/>
      <c r="BW208" s="139"/>
      <c r="BX208" s="139"/>
      <c r="BY208" s="139"/>
      <c r="BZ208" s="139"/>
      <c r="CA208" s="139"/>
      <c r="CB208" s="139"/>
      <c r="CC208" s="139"/>
      <c r="CD208" s="139"/>
      <c r="CE208" s="139"/>
      <c r="CF208" s="139"/>
      <c r="CG208" s="139"/>
      <c r="CH208" s="139"/>
      <c r="CI208" s="139"/>
      <c r="CJ208" s="139"/>
      <c r="CK208" s="139"/>
      <c r="CL208" s="139"/>
      <c r="CM208" s="139"/>
      <c r="CN208" s="139"/>
      <c r="CO208" s="139"/>
      <c r="CP208" s="139"/>
      <c r="CQ208" s="139"/>
      <c r="CR208" s="139"/>
      <c r="CS208" s="139"/>
    </row>
    <row r="209" spans="1:97" s="140" customFormat="1" ht="15.75" hidden="1" customHeight="1">
      <c r="A209" s="138"/>
      <c r="B209" s="138"/>
      <c r="C209" s="190">
        <v>175</v>
      </c>
      <c r="D209" s="314" t="e">
        <f>IF(VLOOKUP(C209,PROPONENTES!$B$19:$E$218,2,FALSE)="","",VLOOKUP(C209,PROPONENTES!$B$19:$E$218,2,FALSE))</f>
        <v>#N/A</v>
      </c>
      <c r="E209" s="186" t="e">
        <f>IF(D209="","",IF(D209-INT(D209)&gt;1,"",VLOOKUP(D209,PROPONENTES!$C$19:$D$218,2,FALSE)))</f>
        <v>#N/A</v>
      </c>
      <c r="F209" s="487"/>
      <c r="G209" s="187"/>
      <c r="H209" s="139"/>
      <c r="I209" s="139"/>
      <c r="J209" s="139"/>
      <c r="K209" s="139"/>
      <c r="L209" s="139"/>
      <c r="M209" s="139"/>
      <c r="N209" s="139"/>
      <c r="O209" s="139"/>
      <c r="P209" s="139"/>
      <c r="Q209" s="139"/>
      <c r="R209" s="139"/>
      <c r="S209" s="139"/>
      <c r="T209" s="139"/>
      <c r="U209" s="139"/>
      <c r="V209" s="139"/>
      <c r="W209" s="139"/>
      <c r="X209" s="139"/>
      <c r="Y209" s="139"/>
      <c r="Z209" s="139"/>
      <c r="AA209" s="139"/>
      <c r="AB209" s="139"/>
      <c r="AC209" s="139"/>
      <c r="AD209" s="139"/>
      <c r="AE209" s="139"/>
      <c r="AF209" s="139"/>
      <c r="AG209" s="139"/>
      <c r="AH209" s="139"/>
      <c r="AI209" s="139"/>
      <c r="AJ209" s="139"/>
      <c r="AK209" s="139"/>
      <c r="AL209" s="139"/>
      <c r="AM209" s="139"/>
      <c r="AN209" s="139"/>
      <c r="AO209" s="139"/>
      <c r="AP209" s="139"/>
      <c r="AQ209" s="139"/>
      <c r="AR209" s="139"/>
      <c r="AS209" s="139"/>
      <c r="AT209" s="139"/>
      <c r="AU209" s="139"/>
      <c r="AV209" s="139"/>
      <c r="AW209" s="139"/>
      <c r="AX209" s="139"/>
      <c r="AY209" s="139"/>
      <c r="AZ209" s="139"/>
      <c r="BA209" s="139"/>
      <c r="BB209" s="139"/>
      <c r="BC209" s="139"/>
      <c r="BD209" s="139"/>
      <c r="BE209" s="139"/>
      <c r="BF209" s="139"/>
      <c r="BG209" s="139"/>
      <c r="BH209" s="139"/>
      <c r="BI209" s="139"/>
      <c r="BJ209" s="139"/>
      <c r="BK209" s="139"/>
      <c r="BL209" s="139"/>
      <c r="BM209" s="139"/>
      <c r="BN209" s="139"/>
      <c r="BO209" s="139"/>
      <c r="BP209" s="139"/>
      <c r="BQ209" s="139"/>
      <c r="BR209" s="139"/>
      <c r="BS209" s="139"/>
      <c r="BT209" s="139"/>
      <c r="BU209" s="139"/>
      <c r="BV209" s="139"/>
      <c r="BW209" s="139"/>
      <c r="BX209" s="139"/>
      <c r="BY209" s="139"/>
      <c r="BZ209" s="139"/>
      <c r="CA209" s="139"/>
      <c r="CB209" s="139"/>
      <c r="CC209" s="139"/>
      <c r="CD209" s="139"/>
      <c r="CE209" s="139"/>
      <c r="CF209" s="139"/>
      <c r="CG209" s="139"/>
      <c r="CH209" s="139"/>
      <c r="CI209" s="139"/>
      <c r="CJ209" s="139"/>
      <c r="CK209" s="139"/>
      <c r="CL209" s="139"/>
      <c r="CM209" s="139"/>
      <c r="CN209" s="139"/>
      <c r="CO209" s="139"/>
      <c r="CP209" s="139"/>
      <c r="CQ209" s="139"/>
      <c r="CR209" s="139"/>
      <c r="CS209" s="139"/>
    </row>
    <row r="210" spans="1:97" s="140" customFormat="1" ht="15.75" hidden="1" customHeight="1">
      <c r="A210" s="138"/>
      <c r="B210" s="138"/>
      <c r="C210" s="190">
        <v>176</v>
      </c>
      <c r="D210" s="314" t="e">
        <f>IF(VLOOKUP(C210,PROPONENTES!$B$19:$E$218,2,FALSE)="","",VLOOKUP(C210,PROPONENTES!$B$19:$E$218,2,FALSE))</f>
        <v>#N/A</v>
      </c>
      <c r="E210" s="186" t="e">
        <f>IF(D210="","",IF(D210-INT(D210)&gt;1,"",VLOOKUP(D210,PROPONENTES!$C$19:$D$218,2,FALSE)))</f>
        <v>#N/A</v>
      </c>
      <c r="F210" s="487"/>
      <c r="G210" s="187"/>
      <c r="H210" s="139"/>
      <c r="I210" s="139"/>
      <c r="J210" s="139"/>
      <c r="K210" s="139"/>
      <c r="L210" s="139"/>
      <c r="M210" s="139"/>
      <c r="N210" s="139"/>
      <c r="O210" s="139"/>
      <c r="P210" s="139"/>
      <c r="Q210" s="139"/>
      <c r="R210" s="139"/>
      <c r="S210" s="139"/>
      <c r="T210" s="139"/>
      <c r="U210" s="139"/>
      <c r="V210" s="139"/>
      <c r="W210" s="139"/>
      <c r="X210" s="139"/>
      <c r="Y210" s="139"/>
      <c r="Z210" s="139"/>
      <c r="AA210" s="139"/>
      <c r="AB210" s="139"/>
      <c r="AC210" s="139"/>
      <c r="AD210" s="139"/>
      <c r="AE210" s="139"/>
      <c r="AF210" s="139"/>
      <c r="AG210" s="139"/>
      <c r="AH210" s="139"/>
      <c r="AI210" s="139"/>
      <c r="AJ210" s="139"/>
      <c r="AK210" s="139"/>
      <c r="AL210" s="139"/>
      <c r="AM210" s="139"/>
      <c r="AN210" s="139"/>
      <c r="AO210" s="139"/>
      <c r="AP210" s="139"/>
      <c r="AQ210" s="139"/>
      <c r="AR210" s="139"/>
      <c r="AS210" s="139"/>
      <c r="AT210" s="139"/>
      <c r="AU210" s="139"/>
      <c r="AV210" s="139"/>
      <c r="AW210" s="139"/>
      <c r="AX210" s="139"/>
      <c r="AY210" s="139"/>
      <c r="AZ210" s="139"/>
      <c r="BA210" s="139"/>
      <c r="BB210" s="139"/>
      <c r="BC210" s="139"/>
      <c r="BD210" s="139"/>
      <c r="BE210" s="139"/>
      <c r="BF210" s="139"/>
      <c r="BG210" s="139"/>
      <c r="BH210" s="139"/>
      <c r="BI210" s="139"/>
      <c r="BJ210" s="139"/>
      <c r="BK210" s="139"/>
      <c r="BL210" s="139"/>
      <c r="BM210" s="139"/>
      <c r="BN210" s="139"/>
      <c r="BO210" s="139"/>
      <c r="BP210" s="139"/>
      <c r="BQ210" s="139"/>
      <c r="BR210" s="139"/>
      <c r="BS210" s="139"/>
      <c r="BT210" s="139"/>
      <c r="BU210" s="139"/>
      <c r="BV210" s="139"/>
      <c r="BW210" s="139"/>
      <c r="BX210" s="139"/>
      <c r="BY210" s="139"/>
      <c r="BZ210" s="139"/>
      <c r="CA210" s="139"/>
      <c r="CB210" s="139"/>
      <c r="CC210" s="139"/>
      <c r="CD210" s="139"/>
      <c r="CE210" s="139"/>
      <c r="CF210" s="139"/>
      <c r="CG210" s="139"/>
      <c r="CH210" s="139"/>
      <c r="CI210" s="139"/>
      <c r="CJ210" s="139"/>
      <c r="CK210" s="139"/>
      <c r="CL210" s="139"/>
      <c r="CM210" s="139"/>
      <c r="CN210" s="139"/>
      <c r="CO210" s="139"/>
      <c r="CP210" s="139"/>
      <c r="CQ210" s="139"/>
      <c r="CR210" s="139"/>
      <c r="CS210" s="139"/>
    </row>
    <row r="211" spans="1:97" s="140" customFormat="1" ht="15.75" hidden="1" customHeight="1">
      <c r="A211" s="138"/>
      <c r="B211" s="138"/>
      <c r="C211" s="190">
        <v>177</v>
      </c>
      <c r="D211" s="314" t="e">
        <f>IF(VLOOKUP(C211,PROPONENTES!$B$19:$E$218,2,FALSE)="","",VLOOKUP(C211,PROPONENTES!$B$19:$E$218,2,FALSE))</f>
        <v>#N/A</v>
      </c>
      <c r="E211" s="186" t="e">
        <f>IF(D211="","",IF(D211-INT(D211)&gt;1,"",VLOOKUP(D211,PROPONENTES!$C$19:$D$218,2,FALSE)))</f>
        <v>#N/A</v>
      </c>
      <c r="F211" s="487"/>
      <c r="G211" s="187"/>
      <c r="H211" s="139"/>
      <c r="I211" s="139"/>
      <c r="J211" s="139"/>
      <c r="K211" s="139"/>
      <c r="L211" s="139"/>
      <c r="M211" s="139"/>
      <c r="N211" s="139"/>
      <c r="O211" s="139"/>
      <c r="P211" s="139"/>
      <c r="Q211" s="139"/>
      <c r="R211" s="139"/>
      <c r="S211" s="139"/>
      <c r="T211" s="139"/>
      <c r="U211" s="139"/>
      <c r="V211" s="139"/>
      <c r="W211" s="139"/>
      <c r="X211" s="139"/>
      <c r="Y211" s="139"/>
      <c r="Z211" s="139"/>
      <c r="AA211" s="139"/>
      <c r="AB211" s="139"/>
      <c r="AC211" s="139"/>
      <c r="AD211" s="139"/>
      <c r="AE211" s="139"/>
      <c r="AF211" s="139"/>
      <c r="AG211" s="139"/>
      <c r="AH211" s="139"/>
      <c r="AI211" s="139"/>
      <c r="AJ211" s="139"/>
      <c r="AK211" s="139"/>
      <c r="AL211" s="139"/>
      <c r="AM211" s="139"/>
      <c r="AN211" s="139"/>
      <c r="AO211" s="139"/>
      <c r="AP211" s="139"/>
      <c r="AQ211" s="139"/>
      <c r="AR211" s="139"/>
      <c r="AS211" s="139"/>
      <c r="AT211" s="139"/>
      <c r="AU211" s="139"/>
      <c r="AV211" s="139"/>
      <c r="AW211" s="139"/>
      <c r="AX211" s="139"/>
      <c r="AY211" s="139"/>
      <c r="AZ211" s="139"/>
      <c r="BA211" s="139"/>
      <c r="BB211" s="139"/>
      <c r="BC211" s="139"/>
      <c r="BD211" s="139"/>
      <c r="BE211" s="139"/>
      <c r="BF211" s="139"/>
      <c r="BG211" s="139"/>
      <c r="BH211" s="139"/>
      <c r="BI211" s="139"/>
      <c r="BJ211" s="139"/>
      <c r="BK211" s="139"/>
      <c r="BL211" s="139"/>
      <c r="BM211" s="139"/>
      <c r="BN211" s="139"/>
      <c r="BO211" s="139"/>
      <c r="BP211" s="139"/>
      <c r="BQ211" s="139"/>
      <c r="BR211" s="139"/>
      <c r="BS211" s="139"/>
      <c r="BT211" s="139"/>
      <c r="BU211" s="139"/>
      <c r="BV211" s="139"/>
      <c r="BW211" s="139"/>
      <c r="BX211" s="139"/>
      <c r="BY211" s="139"/>
      <c r="BZ211" s="139"/>
      <c r="CA211" s="139"/>
      <c r="CB211" s="139"/>
      <c r="CC211" s="139"/>
      <c r="CD211" s="139"/>
      <c r="CE211" s="139"/>
      <c r="CF211" s="139"/>
      <c r="CG211" s="139"/>
      <c r="CH211" s="139"/>
      <c r="CI211" s="139"/>
      <c r="CJ211" s="139"/>
      <c r="CK211" s="139"/>
      <c r="CL211" s="139"/>
      <c r="CM211" s="139"/>
      <c r="CN211" s="139"/>
      <c r="CO211" s="139"/>
      <c r="CP211" s="139"/>
      <c r="CQ211" s="139"/>
      <c r="CR211" s="139"/>
      <c r="CS211" s="139"/>
    </row>
    <row r="212" spans="1:97" s="140" customFormat="1" ht="15.75" hidden="1" customHeight="1">
      <c r="A212" s="138"/>
      <c r="B212" s="138"/>
      <c r="C212" s="190">
        <v>178</v>
      </c>
      <c r="D212" s="314" t="e">
        <f>IF(VLOOKUP(C212,PROPONENTES!$B$19:$E$218,2,FALSE)="","",VLOOKUP(C212,PROPONENTES!$B$19:$E$218,2,FALSE))</f>
        <v>#N/A</v>
      </c>
      <c r="E212" s="186" t="e">
        <f>IF(D212="","",IF(D212-INT(D212)&gt;1,"",VLOOKUP(D212,PROPONENTES!$C$19:$D$218,2,FALSE)))</f>
        <v>#N/A</v>
      </c>
      <c r="F212" s="487"/>
      <c r="G212" s="187"/>
      <c r="H212" s="139"/>
      <c r="I212" s="139"/>
      <c r="J212" s="139"/>
      <c r="K212" s="139"/>
      <c r="L212" s="139"/>
      <c r="M212" s="139"/>
      <c r="N212" s="139"/>
      <c r="O212" s="139"/>
      <c r="P212" s="139"/>
      <c r="Q212" s="139"/>
      <c r="R212" s="139"/>
      <c r="S212" s="139"/>
      <c r="T212" s="139"/>
      <c r="U212" s="139"/>
      <c r="V212" s="139"/>
      <c r="W212" s="139"/>
      <c r="X212" s="139"/>
      <c r="Y212" s="139"/>
      <c r="Z212" s="139"/>
      <c r="AA212" s="139"/>
      <c r="AB212" s="139"/>
      <c r="AC212" s="139"/>
      <c r="AD212" s="139"/>
      <c r="AE212" s="139"/>
      <c r="AF212" s="139"/>
      <c r="AG212" s="139"/>
      <c r="AH212" s="139"/>
      <c r="AI212" s="139"/>
      <c r="AJ212" s="139"/>
      <c r="AK212" s="139"/>
      <c r="AL212" s="139"/>
      <c r="AM212" s="139"/>
      <c r="AN212" s="139"/>
      <c r="AO212" s="139"/>
      <c r="AP212" s="139"/>
      <c r="AQ212" s="139"/>
      <c r="AR212" s="139"/>
      <c r="AS212" s="139"/>
      <c r="AT212" s="139"/>
      <c r="AU212" s="139"/>
      <c r="AV212" s="139"/>
      <c r="AW212" s="139"/>
      <c r="AX212" s="139"/>
      <c r="AY212" s="139"/>
      <c r="AZ212" s="139"/>
      <c r="BA212" s="139"/>
      <c r="BB212" s="139"/>
      <c r="BC212" s="139"/>
      <c r="BD212" s="139"/>
      <c r="BE212" s="139"/>
      <c r="BF212" s="139"/>
      <c r="BG212" s="139"/>
      <c r="BH212" s="139"/>
      <c r="BI212" s="139"/>
      <c r="BJ212" s="139"/>
      <c r="BK212" s="139"/>
      <c r="BL212" s="139"/>
      <c r="BM212" s="139"/>
      <c r="BN212" s="139"/>
      <c r="BO212" s="139"/>
      <c r="BP212" s="139"/>
      <c r="BQ212" s="139"/>
      <c r="BR212" s="139"/>
      <c r="BS212" s="139"/>
      <c r="BT212" s="139"/>
      <c r="BU212" s="139"/>
      <c r="BV212" s="139"/>
      <c r="BW212" s="139"/>
      <c r="BX212" s="139"/>
      <c r="BY212" s="139"/>
      <c r="BZ212" s="139"/>
      <c r="CA212" s="139"/>
      <c r="CB212" s="139"/>
      <c r="CC212" s="139"/>
      <c r="CD212" s="139"/>
      <c r="CE212" s="139"/>
      <c r="CF212" s="139"/>
      <c r="CG212" s="139"/>
      <c r="CH212" s="139"/>
      <c r="CI212" s="139"/>
      <c r="CJ212" s="139"/>
      <c r="CK212" s="139"/>
      <c r="CL212" s="139"/>
      <c r="CM212" s="139"/>
      <c r="CN212" s="139"/>
      <c r="CO212" s="139"/>
      <c r="CP212" s="139"/>
      <c r="CQ212" s="139"/>
      <c r="CR212" s="139"/>
      <c r="CS212" s="139"/>
    </row>
    <row r="213" spans="1:97" s="140" customFormat="1" ht="15.75" hidden="1" customHeight="1">
      <c r="A213" s="138"/>
      <c r="B213" s="138"/>
      <c r="C213" s="190">
        <v>179</v>
      </c>
      <c r="D213" s="314" t="e">
        <f>IF(VLOOKUP(C213,PROPONENTES!$B$19:$E$218,2,FALSE)="","",VLOOKUP(C213,PROPONENTES!$B$19:$E$218,2,FALSE))</f>
        <v>#N/A</v>
      </c>
      <c r="E213" s="186" t="e">
        <f>IF(D213="","",IF(D213-INT(D213)&gt;1,"",VLOOKUP(D213,PROPONENTES!$C$19:$D$218,2,FALSE)))</f>
        <v>#N/A</v>
      </c>
      <c r="F213" s="487"/>
      <c r="G213" s="187"/>
      <c r="H213" s="139"/>
      <c r="I213" s="139"/>
      <c r="J213" s="139"/>
      <c r="K213" s="139"/>
      <c r="L213" s="139"/>
      <c r="M213" s="139"/>
      <c r="N213" s="139"/>
      <c r="O213" s="139"/>
      <c r="P213" s="139"/>
      <c r="Q213" s="139"/>
      <c r="R213" s="139"/>
      <c r="S213" s="139"/>
      <c r="T213" s="139"/>
      <c r="U213" s="139"/>
      <c r="V213" s="139"/>
      <c r="W213" s="139"/>
      <c r="X213" s="139"/>
      <c r="Y213" s="139"/>
      <c r="Z213" s="139"/>
      <c r="AA213" s="139"/>
      <c r="AB213" s="139"/>
      <c r="AC213" s="139"/>
      <c r="AD213" s="139"/>
      <c r="AE213" s="139"/>
      <c r="AF213" s="139"/>
      <c r="AG213" s="139"/>
      <c r="AH213" s="139"/>
      <c r="AI213" s="139"/>
      <c r="AJ213" s="139"/>
      <c r="AK213" s="139"/>
      <c r="AL213" s="139"/>
      <c r="AM213" s="139"/>
      <c r="AN213" s="139"/>
      <c r="AO213" s="139"/>
      <c r="AP213" s="139"/>
      <c r="AQ213" s="139"/>
      <c r="AR213" s="139"/>
      <c r="AS213" s="139"/>
      <c r="AT213" s="139"/>
      <c r="AU213" s="139"/>
      <c r="AV213" s="139"/>
      <c r="AW213" s="139"/>
      <c r="AX213" s="139"/>
      <c r="AY213" s="139"/>
      <c r="AZ213" s="139"/>
      <c r="BA213" s="139"/>
      <c r="BB213" s="139"/>
      <c r="BC213" s="139"/>
      <c r="BD213" s="139"/>
      <c r="BE213" s="139"/>
      <c r="BF213" s="139"/>
      <c r="BG213" s="139"/>
      <c r="BH213" s="139"/>
      <c r="BI213" s="139"/>
      <c r="BJ213" s="139"/>
      <c r="BK213" s="139"/>
      <c r="BL213" s="139"/>
      <c r="BM213" s="139"/>
      <c r="BN213" s="139"/>
      <c r="BO213" s="139"/>
      <c r="BP213" s="139"/>
      <c r="BQ213" s="139"/>
      <c r="BR213" s="139"/>
      <c r="BS213" s="139"/>
      <c r="BT213" s="139"/>
      <c r="BU213" s="139"/>
      <c r="BV213" s="139"/>
      <c r="BW213" s="139"/>
      <c r="BX213" s="139"/>
      <c r="BY213" s="139"/>
      <c r="BZ213" s="139"/>
      <c r="CA213" s="139"/>
      <c r="CB213" s="139"/>
      <c r="CC213" s="139"/>
      <c r="CD213" s="139"/>
      <c r="CE213" s="139"/>
      <c r="CF213" s="139"/>
      <c r="CG213" s="139"/>
      <c r="CH213" s="139"/>
      <c r="CI213" s="139"/>
      <c r="CJ213" s="139"/>
      <c r="CK213" s="139"/>
      <c r="CL213" s="139"/>
      <c r="CM213" s="139"/>
      <c r="CN213" s="139"/>
      <c r="CO213" s="139"/>
      <c r="CP213" s="139"/>
      <c r="CQ213" s="139"/>
      <c r="CR213" s="139"/>
      <c r="CS213" s="139"/>
    </row>
    <row r="214" spans="1:97" s="140" customFormat="1" ht="15.75" hidden="1" customHeight="1">
      <c r="A214" s="138"/>
      <c r="B214" s="138"/>
      <c r="C214" s="190">
        <v>180</v>
      </c>
      <c r="D214" s="314" t="e">
        <f>IF(VLOOKUP(C214,PROPONENTES!$B$19:$E$218,2,FALSE)="","",VLOOKUP(C214,PROPONENTES!$B$19:$E$218,2,FALSE))</f>
        <v>#N/A</v>
      </c>
      <c r="E214" s="186" t="e">
        <f>IF(D214="","",IF(D214-INT(D214)&gt;1,"",VLOOKUP(D214,PROPONENTES!$C$19:$D$218,2,FALSE)))</f>
        <v>#N/A</v>
      </c>
      <c r="F214" s="487"/>
      <c r="G214" s="187"/>
      <c r="H214" s="139"/>
      <c r="I214" s="139"/>
      <c r="J214" s="139"/>
      <c r="K214" s="139"/>
      <c r="L214" s="139"/>
      <c r="M214" s="139"/>
      <c r="N214" s="139"/>
      <c r="O214" s="139"/>
      <c r="P214" s="139"/>
      <c r="Q214" s="139"/>
      <c r="R214" s="139"/>
      <c r="S214" s="139"/>
      <c r="T214" s="139"/>
      <c r="U214" s="139"/>
      <c r="V214" s="139"/>
      <c r="W214" s="139"/>
      <c r="X214" s="139"/>
      <c r="Y214" s="139"/>
      <c r="Z214" s="139"/>
      <c r="AA214" s="139"/>
      <c r="AB214" s="139"/>
      <c r="AC214" s="139"/>
      <c r="AD214" s="139"/>
      <c r="AE214" s="139"/>
      <c r="AF214" s="139"/>
      <c r="AG214" s="139"/>
      <c r="AH214" s="139"/>
      <c r="AI214" s="139"/>
      <c r="AJ214" s="139"/>
      <c r="AK214" s="139"/>
      <c r="AL214" s="139"/>
      <c r="AM214" s="139"/>
      <c r="AN214" s="139"/>
      <c r="AO214" s="139"/>
      <c r="AP214" s="139"/>
      <c r="AQ214" s="139"/>
      <c r="AR214" s="139"/>
      <c r="AS214" s="139"/>
      <c r="AT214" s="139"/>
      <c r="AU214" s="139"/>
      <c r="AV214" s="139"/>
      <c r="AW214" s="139"/>
      <c r="AX214" s="139"/>
      <c r="AY214" s="139"/>
      <c r="AZ214" s="139"/>
      <c r="BA214" s="139"/>
      <c r="BB214" s="139"/>
      <c r="BC214" s="139"/>
      <c r="BD214" s="139"/>
      <c r="BE214" s="139"/>
      <c r="BF214" s="139"/>
      <c r="BG214" s="139"/>
      <c r="BH214" s="139"/>
      <c r="BI214" s="139"/>
      <c r="BJ214" s="139"/>
      <c r="BK214" s="139"/>
      <c r="BL214" s="139"/>
      <c r="BM214" s="139"/>
      <c r="BN214" s="139"/>
      <c r="BO214" s="139"/>
      <c r="BP214" s="139"/>
      <c r="BQ214" s="139"/>
      <c r="BR214" s="139"/>
      <c r="BS214" s="139"/>
      <c r="BT214" s="139"/>
      <c r="BU214" s="139"/>
      <c r="BV214" s="139"/>
      <c r="BW214" s="139"/>
      <c r="BX214" s="139"/>
      <c r="BY214" s="139"/>
      <c r="BZ214" s="139"/>
      <c r="CA214" s="139"/>
      <c r="CB214" s="139"/>
      <c r="CC214" s="139"/>
      <c r="CD214" s="139"/>
      <c r="CE214" s="139"/>
      <c r="CF214" s="139"/>
      <c r="CG214" s="139"/>
      <c r="CH214" s="139"/>
      <c r="CI214" s="139"/>
      <c r="CJ214" s="139"/>
      <c r="CK214" s="139"/>
      <c r="CL214" s="139"/>
      <c r="CM214" s="139"/>
      <c r="CN214" s="139"/>
      <c r="CO214" s="139"/>
      <c r="CP214" s="139"/>
      <c r="CQ214" s="139"/>
      <c r="CR214" s="139"/>
      <c r="CS214" s="139"/>
    </row>
    <row r="215" spans="1:97" s="140" customFormat="1" ht="15.75" hidden="1" customHeight="1">
      <c r="A215" s="138"/>
      <c r="B215" s="138"/>
      <c r="C215" s="190">
        <v>181</v>
      </c>
      <c r="D215" s="314" t="e">
        <f>IF(VLOOKUP(C215,PROPONENTES!$B$19:$E$218,2,FALSE)="","",VLOOKUP(C215,PROPONENTES!$B$19:$E$218,2,FALSE))</f>
        <v>#N/A</v>
      </c>
      <c r="E215" s="186" t="e">
        <f>IF(D215="","",IF(D215-INT(D215)&gt;1,"",VLOOKUP(D215,PROPONENTES!$C$19:$D$218,2,FALSE)))</f>
        <v>#N/A</v>
      </c>
      <c r="F215" s="487"/>
      <c r="G215" s="187"/>
      <c r="H215" s="139"/>
      <c r="I215" s="139"/>
      <c r="J215" s="139"/>
      <c r="K215" s="139"/>
      <c r="L215" s="139"/>
      <c r="M215" s="139"/>
      <c r="N215" s="139"/>
      <c r="O215" s="139"/>
      <c r="P215" s="139"/>
      <c r="Q215" s="139"/>
      <c r="R215" s="139"/>
      <c r="S215" s="139"/>
      <c r="T215" s="139"/>
      <c r="U215" s="139"/>
      <c r="V215" s="139"/>
      <c r="W215" s="139"/>
      <c r="X215" s="139"/>
      <c r="Y215" s="139"/>
      <c r="Z215" s="139"/>
      <c r="AA215" s="139"/>
      <c r="AB215" s="139"/>
      <c r="AC215" s="139"/>
      <c r="AD215" s="139"/>
      <c r="AE215" s="139"/>
      <c r="AF215" s="139"/>
      <c r="AG215" s="139"/>
      <c r="AH215" s="139"/>
      <c r="AI215" s="139"/>
      <c r="AJ215" s="139"/>
      <c r="AK215" s="139"/>
      <c r="AL215" s="139"/>
      <c r="AM215" s="139"/>
      <c r="AN215" s="139"/>
      <c r="AO215" s="139"/>
      <c r="AP215" s="139"/>
      <c r="AQ215" s="139"/>
      <c r="AR215" s="139"/>
      <c r="AS215" s="139"/>
      <c r="AT215" s="139"/>
      <c r="AU215" s="139"/>
      <c r="AV215" s="139"/>
      <c r="AW215" s="139"/>
      <c r="AX215" s="139"/>
      <c r="AY215" s="139"/>
      <c r="AZ215" s="139"/>
      <c r="BA215" s="139"/>
      <c r="BB215" s="139"/>
      <c r="BC215" s="139"/>
      <c r="BD215" s="139"/>
      <c r="BE215" s="139"/>
      <c r="BF215" s="139"/>
      <c r="BG215" s="139"/>
      <c r="BH215" s="139"/>
      <c r="BI215" s="139"/>
      <c r="BJ215" s="139"/>
      <c r="BK215" s="139"/>
      <c r="BL215" s="139"/>
      <c r="BM215" s="139"/>
      <c r="BN215" s="139"/>
      <c r="BO215" s="139"/>
      <c r="BP215" s="139"/>
      <c r="BQ215" s="139"/>
      <c r="BR215" s="139"/>
      <c r="BS215" s="139"/>
      <c r="BT215" s="139"/>
      <c r="BU215" s="139"/>
      <c r="BV215" s="139"/>
      <c r="BW215" s="139"/>
      <c r="BX215" s="139"/>
      <c r="BY215" s="139"/>
      <c r="BZ215" s="139"/>
      <c r="CA215" s="139"/>
      <c r="CB215" s="139"/>
      <c r="CC215" s="139"/>
      <c r="CD215" s="139"/>
      <c r="CE215" s="139"/>
      <c r="CF215" s="139"/>
      <c r="CG215" s="139"/>
      <c r="CH215" s="139"/>
      <c r="CI215" s="139"/>
      <c r="CJ215" s="139"/>
      <c r="CK215" s="139"/>
      <c r="CL215" s="139"/>
      <c r="CM215" s="139"/>
      <c r="CN215" s="139"/>
      <c r="CO215" s="139"/>
      <c r="CP215" s="139"/>
      <c r="CQ215" s="139"/>
      <c r="CR215" s="139"/>
      <c r="CS215" s="139"/>
    </row>
    <row r="216" spans="1:97" s="140" customFormat="1" ht="15.75" hidden="1" customHeight="1">
      <c r="A216" s="138"/>
      <c r="B216" s="138"/>
      <c r="C216" s="190">
        <v>182</v>
      </c>
      <c r="D216" s="314" t="e">
        <f>IF(VLOOKUP(C216,PROPONENTES!$B$19:$E$218,2,FALSE)="","",VLOOKUP(C216,PROPONENTES!$B$19:$E$218,2,FALSE))</f>
        <v>#N/A</v>
      </c>
      <c r="E216" s="186" t="e">
        <f>IF(D216="","",IF(D216-INT(D216)&gt;1,"",VLOOKUP(D216,PROPONENTES!$C$19:$D$218,2,FALSE)))</f>
        <v>#N/A</v>
      </c>
      <c r="F216" s="487"/>
      <c r="G216" s="187"/>
      <c r="H216" s="139"/>
      <c r="I216" s="139"/>
      <c r="J216" s="139"/>
      <c r="K216" s="139"/>
      <c r="L216" s="139"/>
      <c r="M216" s="139"/>
      <c r="N216" s="139"/>
      <c r="O216" s="139"/>
      <c r="P216" s="139"/>
      <c r="Q216" s="139"/>
      <c r="R216" s="139"/>
      <c r="S216" s="139"/>
      <c r="T216" s="139"/>
      <c r="U216" s="139"/>
      <c r="V216" s="139"/>
      <c r="W216" s="139"/>
      <c r="X216" s="139"/>
      <c r="Y216" s="139"/>
      <c r="Z216" s="139"/>
      <c r="AA216" s="139"/>
      <c r="AB216" s="139"/>
      <c r="AC216" s="139"/>
      <c r="AD216" s="139"/>
      <c r="AE216" s="139"/>
      <c r="AF216" s="139"/>
      <c r="AG216" s="139"/>
      <c r="AH216" s="139"/>
      <c r="AI216" s="139"/>
      <c r="AJ216" s="139"/>
      <c r="AK216" s="139"/>
      <c r="AL216" s="139"/>
      <c r="AM216" s="139"/>
      <c r="AN216" s="139"/>
      <c r="AO216" s="139"/>
      <c r="AP216" s="139"/>
      <c r="AQ216" s="139"/>
      <c r="AR216" s="139"/>
      <c r="AS216" s="139"/>
      <c r="AT216" s="139"/>
      <c r="AU216" s="139"/>
      <c r="AV216" s="139"/>
      <c r="AW216" s="139"/>
      <c r="AX216" s="139"/>
      <c r="AY216" s="139"/>
      <c r="AZ216" s="139"/>
      <c r="BA216" s="139"/>
      <c r="BB216" s="139"/>
      <c r="BC216" s="139"/>
      <c r="BD216" s="139"/>
      <c r="BE216" s="139"/>
      <c r="BF216" s="139"/>
      <c r="BG216" s="139"/>
      <c r="BH216" s="139"/>
      <c r="BI216" s="139"/>
      <c r="BJ216" s="139"/>
      <c r="BK216" s="139"/>
      <c r="BL216" s="139"/>
      <c r="BM216" s="139"/>
      <c r="BN216" s="139"/>
      <c r="BO216" s="139"/>
      <c r="BP216" s="139"/>
      <c r="BQ216" s="139"/>
      <c r="BR216" s="139"/>
      <c r="BS216" s="139"/>
      <c r="BT216" s="139"/>
      <c r="BU216" s="139"/>
      <c r="BV216" s="139"/>
      <c r="BW216" s="139"/>
      <c r="BX216" s="139"/>
      <c r="BY216" s="139"/>
      <c r="BZ216" s="139"/>
      <c r="CA216" s="139"/>
      <c r="CB216" s="139"/>
      <c r="CC216" s="139"/>
      <c r="CD216" s="139"/>
      <c r="CE216" s="139"/>
      <c r="CF216" s="139"/>
      <c r="CG216" s="139"/>
      <c r="CH216" s="139"/>
      <c r="CI216" s="139"/>
      <c r="CJ216" s="139"/>
      <c r="CK216" s="139"/>
      <c r="CL216" s="139"/>
      <c r="CM216" s="139"/>
      <c r="CN216" s="139"/>
      <c r="CO216" s="139"/>
      <c r="CP216" s="139"/>
      <c r="CQ216" s="139"/>
      <c r="CR216" s="139"/>
      <c r="CS216" s="139"/>
    </row>
    <row r="217" spans="1:97" s="140" customFormat="1" ht="15.75" hidden="1" customHeight="1">
      <c r="A217" s="138"/>
      <c r="B217" s="138"/>
      <c r="C217" s="190">
        <v>183</v>
      </c>
      <c r="D217" s="314" t="e">
        <f>IF(VLOOKUP(C217,PROPONENTES!$B$19:$E$218,2,FALSE)="","",VLOOKUP(C217,PROPONENTES!$B$19:$E$218,2,FALSE))</f>
        <v>#N/A</v>
      </c>
      <c r="E217" s="186" t="e">
        <f>IF(D217="","",IF(D217-INT(D217)&gt;1,"",VLOOKUP(D217,PROPONENTES!$C$19:$D$218,2,FALSE)))</f>
        <v>#N/A</v>
      </c>
      <c r="F217" s="487"/>
      <c r="G217" s="187"/>
      <c r="H217" s="139"/>
      <c r="I217" s="139"/>
      <c r="J217" s="139"/>
      <c r="K217" s="139"/>
      <c r="L217" s="139"/>
      <c r="M217" s="139"/>
      <c r="N217" s="139"/>
      <c r="O217" s="139"/>
      <c r="P217" s="139"/>
      <c r="Q217" s="139"/>
      <c r="R217" s="139"/>
      <c r="S217" s="139"/>
      <c r="T217" s="139"/>
      <c r="U217" s="139"/>
      <c r="V217" s="139"/>
      <c r="W217" s="139"/>
      <c r="X217" s="139"/>
      <c r="Y217" s="139"/>
      <c r="Z217" s="139"/>
      <c r="AA217" s="139"/>
      <c r="AB217" s="139"/>
      <c r="AC217" s="139"/>
      <c r="AD217" s="139"/>
      <c r="AE217" s="139"/>
      <c r="AF217" s="139"/>
      <c r="AG217" s="139"/>
      <c r="AH217" s="139"/>
      <c r="AI217" s="139"/>
      <c r="AJ217" s="139"/>
      <c r="AK217" s="139"/>
      <c r="AL217" s="139"/>
      <c r="AM217" s="139"/>
      <c r="AN217" s="139"/>
      <c r="AO217" s="139"/>
      <c r="AP217" s="139"/>
      <c r="AQ217" s="139"/>
      <c r="AR217" s="139"/>
      <c r="AS217" s="139"/>
      <c r="AT217" s="139"/>
      <c r="AU217" s="139"/>
      <c r="AV217" s="139"/>
      <c r="AW217" s="139"/>
      <c r="AX217" s="139"/>
      <c r="AY217" s="139"/>
      <c r="AZ217" s="139"/>
      <c r="BA217" s="139"/>
      <c r="BB217" s="139"/>
      <c r="BC217" s="139"/>
      <c r="BD217" s="139"/>
      <c r="BE217" s="139"/>
      <c r="BF217" s="139"/>
      <c r="BG217" s="139"/>
      <c r="BH217" s="139"/>
      <c r="BI217" s="139"/>
      <c r="BJ217" s="139"/>
      <c r="BK217" s="139"/>
      <c r="BL217" s="139"/>
      <c r="BM217" s="139"/>
      <c r="BN217" s="139"/>
      <c r="BO217" s="139"/>
      <c r="BP217" s="139"/>
      <c r="BQ217" s="139"/>
      <c r="BR217" s="139"/>
      <c r="BS217" s="139"/>
      <c r="BT217" s="139"/>
      <c r="BU217" s="139"/>
      <c r="BV217" s="139"/>
      <c r="BW217" s="139"/>
      <c r="BX217" s="139"/>
      <c r="BY217" s="139"/>
      <c r="BZ217" s="139"/>
      <c r="CA217" s="139"/>
      <c r="CB217" s="139"/>
      <c r="CC217" s="139"/>
      <c r="CD217" s="139"/>
      <c r="CE217" s="139"/>
      <c r="CF217" s="139"/>
      <c r="CG217" s="139"/>
      <c r="CH217" s="139"/>
      <c r="CI217" s="139"/>
      <c r="CJ217" s="139"/>
      <c r="CK217" s="139"/>
      <c r="CL217" s="139"/>
      <c r="CM217" s="139"/>
      <c r="CN217" s="139"/>
      <c r="CO217" s="139"/>
      <c r="CP217" s="139"/>
      <c r="CQ217" s="139"/>
      <c r="CR217" s="139"/>
      <c r="CS217" s="139"/>
    </row>
    <row r="218" spans="1:97" s="140" customFormat="1" ht="15.75" hidden="1" customHeight="1">
      <c r="A218" s="138"/>
      <c r="B218" s="138"/>
      <c r="C218" s="190">
        <v>184</v>
      </c>
      <c r="D218" s="314" t="e">
        <f>IF(VLOOKUP(C218,PROPONENTES!$B$19:$E$218,2,FALSE)="","",VLOOKUP(C218,PROPONENTES!$B$19:$E$218,2,FALSE))</f>
        <v>#N/A</v>
      </c>
      <c r="E218" s="186" t="e">
        <f>IF(D218="","",IF(D218-INT(D218)&gt;1,"",VLOOKUP(D218,PROPONENTES!$C$19:$D$218,2,FALSE)))</f>
        <v>#N/A</v>
      </c>
      <c r="F218" s="487"/>
      <c r="G218" s="187"/>
      <c r="H218" s="139"/>
      <c r="I218" s="139"/>
      <c r="J218" s="139"/>
      <c r="K218" s="139"/>
      <c r="L218" s="139"/>
      <c r="M218" s="139"/>
      <c r="N218" s="139"/>
      <c r="O218" s="139"/>
      <c r="P218" s="139"/>
      <c r="Q218" s="139"/>
      <c r="R218" s="139"/>
      <c r="S218" s="139"/>
      <c r="T218" s="139"/>
      <c r="U218" s="139"/>
      <c r="V218" s="139"/>
      <c r="W218" s="139"/>
      <c r="X218" s="139"/>
      <c r="Y218" s="139"/>
      <c r="Z218" s="139"/>
      <c r="AA218" s="139"/>
      <c r="AB218" s="139"/>
      <c r="AC218" s="139"/>
      <c r="AD218" s="139"/>
      <c r="AE218" s="139"/>
      <c r="AF218" s="139"/>
      <c r="AG218" s="139"/>
      <c r="AH218" s="139"/>
      <c r="AI218" s="139"/>
      <c r="AJ218" s="139"/>
      <c r="AK218" s="139"/>
      <c r="AL218" s="139"/>
      <c r="AM218" s="139"/>
      <c r="AN218" s="139"/>
      <c r="AO218" s="139"/>
      <c r="AP218" s="139"/>
      <c r="AQ218" s="139"/>
      <c r="AR218" s="139"/>
      <c r="AS218" s="139"/>
      <c r="AT218" s="139"/>
      <c r="AU218" s="139"/>
      <c r="AV218" s="139"/>
      <c r="AW218" s="139"/>
      <c r="AX218" s="139"/>
      <c r="AY218" s="139"/>
      <c r="AZ218" s="139"/>
      <c r="BA218" s="139"/>
      <c r="BB218" s="139"/>
      <c r="BC218" s="139"/>
      <c r="BD218" s="139"/>
      <c r="BE218" s="139"/>
      <c r="BF218" s="139"/>
      <c r="BG218" s="139"/>
      <c r="BH218" s="139"/>
      <c r="BI218" s="139"/>
      <c r="BJ218" s="139"/>
      <c r="BK218" s="139"/>
      <c r="BL218" s="139"/>
      <c r="BM218" s="139"/>
      <c r="BN218" s="139"/>
      <c r="BO218" s="139"/>
      <c r="BP218" s="139"/>
      <c r="BQ218" s="139"/>
      <c r="BR218" s="139"/>
      <c r="BS218" s="139"/>
      <c r="BT218" s="139"/>
      <c r="BU218" s="139"/>
      <c r="BV218" s="139"/>
      <c r="BW218" s="139"/>
      <c r="BX218" s="139"/>
      <c r="BY218" s="139"/>
      <c r="BZ218" s="139"/>
      <c r="CA218" s="139"/>
      <c r="CB218" s="139"/>
      <c r="CC218" s="139"/>
      <c r="CD218" s="139"/>
      <c r="CE218" s="139"/>
      <c r="CF218" s="139"/>
      <c r="CG218" s="139"/>
      <c r="CH218" s="139"/>
      <c r="CI218" s="139"/>
      <c r="CJ218" s="139"/>
      <c r="CK218" s="139"/>
      <c r="CL218" s="139"/>
      <c r="CM218" s="139"/>
      <c r="CN218" s="139"/>
      <c r="CO218" s="139"/>
      <c r="CP218" s="139"/>
      <c r="CQ218" s="139"/>
      <c r="CR218" s="139"/>
      <c r="CS218" s="139"/>
    </row>
    <row r="219" spans="1:97" s="140" customFormat="1" ht="15.75" hidden="1" customHeight="1">
      <c r="A219" s="138"/>
      <c r="B219" s="138"/>
      <c r="C219" s="190">
        <v>185</v>
      </c>
      <c r="D219" s="314" t="e">
        <f>IF(VLOOKUP(C219,PROPONENTES!$B$19:$E$218,2,FALSE)="","",VLOOKUP(C219,PROPONENTES!$B$19:$E$218,2,FALSE))</f>
        <v>#N/A</v>
      </c>
      <c r="E219" s="186" t="e">
        <f>IF(D219="","",IF(D219-INT(D219)&gt;1,"",VLOOKUP(D219,PROPONENTES!$C$19:$D$218,2,FALSE)))</f>
        <v>#N/A</v>
      </c>
      <c r="F219" s="487"/>
      <c r="G219" s="187"/>
      <c r="H219" s="139"/>
      <c r="I219" s="139"/>
      <c r="J219" s="139"/>
      <c r="K219" s="139"/>
      <c r="L219" s="139"/>
      <c r="M219" s="139"/>
      <c r="N219" s="139"/>
      <c r="O219" s="139"/>
      <c r="P219" s="139"/>
      <c r="Q219" s="139"/>
      <c r="R219" s="139"/>
      <c r="S219" s="139"/>
      <c r="T219" s="139"/>
      <c r="U219" s="139"/>
      <c r="V219" s="139"/>
      <c r="W219" s="139"/>
      <c r="X219" s="139"/>
      <c r="Y219" s="139"/>
      <c r="Z219" s="139"/>
      <c r="AA219" s="139"/>
      <c r="AB219" s="139"/>
      <c r="AC219" s="139"/>
      <c r="AD219" s="139"/>
      <c r="AE219" s="139"/>
      <c r="AF219" s="139"/>
      <c r="AG219" s="139"/>
      <c r="AH219" s="139"/>
      <c r="AI219" s="139"/>
      <c r="AJ219" s="139"/>
      <c r="AK219" s="139"/>
      <c r="AL219" s="139"/>
      <c r="AM219" s="139"/>
      <c r="AN219" s="139"/>
      <c r="AO219" s="139"/>
      <c r="AP219" s="139"/>
      <c r="AQ219" s="139"/>
      <c r="AR219" s="139"/>
      <c r="AS219" s="139"/>
      <c r="AT219" s="139"/>
      <c r="AU219" s="139"/>
      <c r="AV219" s="139"/>
      <c r="AW219" s="139"/>
      <c r="AX219" s="139"/>
      <c r="AY219" s="139"/>
      <c r="AZ219" s="139"/>
      <c r="BA219" s="139"/>
      <c r="BB219" s="139"/>
      <c r="BC219" s="139"/>
      <c r="BD219" s="139"/>
      <c r="BE219" s="139"/>
      <c r="BF219" s="139"/>
      <c r="BG219" s="139"/>
      <c r="BH219" s="139"/>
      <c r="BI219" s="139"/>
      <c r="BJ219" s="139"/>
      <c r="BK219" s="139"/>
      <c r="BL219" s="139"/>
      <c r="BM219" s="139"/>
      <c r="BN219" s="139"/>
      <c r="BO219" s="139"/>
      <c r="BP219" s="139"/>
      <c r="BQ219" s="139"/>
      <c r="BR219" s="139"/>
      <c r="BS219" s="139"/>
      <c r="BT219" s="139"/>
      <c r="BU219" s="139"/>
      <c r="BV219" s="139"/>
      <c r="BW219" s="139"/>
      <c r="BX219" s="139"/>
      <c r="BY219" s="139"/>
      <c r="BZ219" s="139"/>
      <c r="CA219" s="139"/>
      <c r="CB219" s="139"/>
      <c r="CC219" s="139"/>
      <c r="CD219" s="139"/>
      <c r="CE219" s="139"/>
      <c r="CF219" s="139"/>
      <c r="CG219" s="139"/>
      <c r="CH219" s="139"/>
      <c r="CI219" s="139"/>
      <c r="CJ219" s="139"/>
      <c r="CK219" s="139"/>
      <c r="CL219" s="139"/>
      <c r="CM219" s="139"/>
      <c r="CN219" s="139"/>
      <c r="CO219" s="139"/>
      <c r="CP219" s="139"/>
      <c r="CQ219" s="139"/>
      <c r="CR219" s="139"/>
      <c r="CS219" s="139"/>
    </row>
    <row r="220" spans="1:97" s="140" customFormat="1" ht="15.75" hidden="1" customHeight="1">
      <c r="A220" s="138"/>
      <c r="B220" s="138"/>
      <c r="C220" s="190">
        <v>186</v>
      </c>
      <c r="D220" s="314" t="e">
        <f>IF(VLOOKUP(C220,PROPONENTES!$B$19:$E$218,2,FALSE)="","",VLOOKUP(C220,PROPONENTES!$B$19:$E$218,2,FALSE))</f>
        <v>#N/A</v>
      </c>
      <c r="E220" s="186" t="e">
        <f>IF(D220="","",IF(D220-INT(D220)&gt;1,"",VLOOKUP(D220,PROPONENTES!$C$19:$D$218,2,FALSE)))</f>
        <v>#N/A</v>
      </c>
      <c r="F220" s="487"/>
      <c r="G220" s="187"/>
      <c r="H220" s="139"/>
      <c r="I220" s="139"/>
      <c r="J220" s="139"/>
      <c r="K220" s="139"/>
      <c r="L220" s="139"/>
      <c r="M220" s="139"/>
      <c r="N220" s="139"/>
      <c r="O220" s="139"/>
      <c r="P220" s="139"/>
      <c r="Q220" s="139"/>
      <c r="R220" s="139"/>
      <c r="S220" s="139"/>
      <c r="T220" s="139"/>
      <c r="U220" s="139"/>
      <c r="V220" s="139"/>
      <c r="W220" s="139"/>
      <c r="X220" s="139"/>
      <c r="Y220" s="139"/>
      <c r="Z220" s="139"/>
      <c r="AA220" s="139"/>
      <c r="AB220" s="139"/>
      <c r="AC220" s="139"/>
      <c r="AD220" s="139"/>
      <c r="AE220" s="139"/>
      <c r="AF220" s="139"/>
      <c r="AG220" s="139"/>
      <c r="AH220" s="139"/>
      <c r="AI220" s="139"/>
      <c r="AJ220" s="139"/>
      <c r="AK220" s="139"/>
      <c r="AL220" s="139"/>
      <c r="AM220" s="139"/>
      <c r="AN220" s="139"/>
      <c r="AO220" s="139"/>
      <c r="AP220" s="139"/>
      <c r="AQ220" s="139"/>
      <c r="AR220" s="139"/>
      <c r="AS220" s="139"/>
      <c r="AT220" s="139"/>
      <c r="AU220" s="139"/>
      <c r="AV220" s="139"/>
      <c r="AW220" s="139"/>
      <c r="AX220" s="139"/>
      <c r="AY220" s="139"/>
      <c r="AZ220" s="139"/>
      <c r="BA220" s="139"/>
      <c r="BB220" s="139"/>
      <c r="BC220" s="139"/>
      <c r="BD220" s="139"/>
      <c r="BE220" s="139"/>
      <c r="BF220" s="139"/>
      <c r="BG220" s="139"/>
      <c r="BH220" s="139"/>
      <c r="BI220" s="139"/>
      <c r="BJ220" s="139"/>
      <c r="BK220" s="139"/>
      <c r="BL220" s="139"/>
      <c r="BM220" s="139"/>
      <c r="BN220" s="139"/>
      <c r="BO220" s="139"/>
      <c r="BP220" s="139"/>
      <c r="BQ220" s="139"/>
      <c r="BR220" s="139"/>
      <c r="BS220" s="139"/>
      <c r="BT220" s="139"/>
      <c r="BU220" s="139"/>
      <c r="BV220" s="139"/>
      <c r="BW220" s="139"/>
      <c r="BX220" s="139"/>
      <c r="BY220" s="139"/>
      <c r="BZ220" s="139"/>
      <c r="CA220" s="139"/>
      <c r="CB220" s="139"/>
      <c r="CC220" s="139"/>
      <c r="CD220" s="139"/>
      <c r="CE220" s="139"/>
      <c r="CF220" s="139"/>
      <c r="CG220" s="139"/>
      <c r="CH220" s="139"/>
      <c r="CI220" s="139"/>
      <c r="CJ220" s="139"/>
      <c r="CK220" s="139"/>
      <c r="CL220" s="139"/>
      <c r="CM220" s="139"/>
      <c r="CN220" s="139"/>
      <c r="CO220" s="139"/>
      <c r="CP220" s="139"/>
      <c r="CQ220" s="139"/>
      <c r="CR220" s="139"/>
      <c r="CS220" s="139"/>
    </row>
    <row r="221" spans="1:97" s="140" customFormat="1" ht="15.75" hidden="1" customHeight="1">
      <c r="A221" s="138"/>
      <c r="B221" s="138"/>
      <c r="C221" s="190">
        <v>187</v>
      </c>
      <c r="D221" s="314" t="e">
        <f>IF(VLOOKUP(C221,PROPONENTES!$B$19:$E$218,2,FALSE)="","",VLOOKUP(C221,PROPONENTES!$B$19:$E$218,2,FALSE))</f>
        <v>#N/A</v>
      </c>
      <c r="E221" s="186" t="e">
        <f>IF(D221="","",IF(D221-INT(D221)&gt;1,"",VLOOKUP(D221,PROPONENTES!$C$19:$D$218,2,FALSE)))</f>
        <v>#N/A</v>
      </c>
      <c r="F221" s="487"/>
      <c r="G221" s="187"/>
      <c r="H221" s="139"/>
      <c r="I221" s="139"/>
      <c r="J221" s="139"/>
      <c r="K221" s="139"/>
      <c r="L221" s="139"/>
      <c r="M221" s="139"/>
      <c r="N221" s="139"/>
      <c r="O221" s="139"/>
      <c r="P221" s="139"/>
      <c r="Q221" s="139"/>
      <c r="R221" s="139"/>
      <c r="S221" s="139"/>
      <c r="T221" s="139"/>
      <c r="U221" s="139"/>
      <c r="V221" s="139"/>
      <c r="W221" s="139"/>
      <c r="X221" s="139"/>
      <c r="Y221" s="139"/>
      <c r="Z221" s="139"/>
      <c r="AA221" s="139"/>
      <c r="AB221" s="139"/>
      <c r="AC221" s="139"/>
      <c r="AD221" s="139"/>
      <c r="AE221" s="139"/>
      <c r="AF221" s="139"/>
      <c r="AG221" s="139"/>
      <c r="AH221" s="139"/>
      <c r="AI221" s="139"/>
      <c r="AJ221" s="139"/>
      <c r="AK221" s="139"/>
      <c r="AL221" s="139"/>
      <c r="AM221" s="139"/>
      <c r="AN221" s="139"/>
      <c r="AO221" s="139"/>
      <c r="AP221" s="139"/>
      <c r="AQ221" s="139"/>
      <c r="AR221" s="139"/>
      <c r="AS221" s="139"/>
      <c r="AT221" s="139"/>
      <c r="AU221" s="139"/>
      <c r="AV221" s="139"/>
      <c r="AW221" s="139"/>
      <c r="AX221" s="139"/>
      <c r="AY221" s="139"/>
      <c r="AZ221" s="139"/>
      <c r="BA221" s="139"/>
      <c r="BB221" s="139"/>
      <c r="BC221" s="139"/>
      <c r="BD221" s="139"/>
      <c r="BE221" s="139"/>
      <c r="BF221" s="139"/>
      <c r="BG221" s="139"/>
      <c r="BH221" s="139"/>
      <c r="BI221" s="139"/>
      <c r="BJ221" s="139"/>
      <c r="BK221" s="139"/>
      <c r="BL221" s="139"/>
      <c r="BM221" s="139"/>
      <c r="BN221" s="139"/>
      <c r="BO221" s="139"/>
      <c r="BP221" s="139"/>
      <c r="BQ221" s="139"/>
      <c r="BR221" s="139"/>
      <c r="BS221" s="139"/>
      <c r="BT221" s="139"/>
      <c r="BU221" s="139"/>
      <c r="BV221" s="139"/>
      <c r="BW221" s="139"/>
      <c r="BX221" s="139"/>
      <c r="BY221" s="139"/>
      <c r="BZ221" s="139"/>
      <c r="CA221" s="139"/>
      <c r="CB221" s="139"/>
      <c r="CC221" s="139"/>
      <c r="CD221" s="139"/>
      <c r="CE221" s="139"/>
      <c r="CF221" s="139"/>
      <c r="CG221" s="139"/>
      <c r="CH221" s="139"/>
      <c r="CI221" s="139"/>
      <c r="CJ221" s="139"/>
      <c r="CK221" s="139"/>
      <c r="CL221" s="139"/>
      <c r="CM221" s="139"/>
      <c r="CN221" s="139"/>
      <c r="CO221" s="139"/>
      <c r="CP221" s="139"/>
      <c r="CQ221" s="139"/>
      <c r="CR221" s="139"/>
      <c r="CS221" s="139"/>
    </row>
    <row r="222" spans="1:97" s="140" customFormat="1" ht="15.75" hidden="1" customHeight="1">
      <c r="A222" s="138"/>
      <c r="B222" s="138"/>
      <c r="C222" s="190">
        <v>188</v>
      </c>
      <c r="D222" s="314" t="e">
        <f>IF(VLOOKUP(C222,PROPONENTES!$B$19:$E$218,2,FALSE)="","",VLOOKUP(C222,PROPONENTES!$B$19:$E$218,2,FALSE))</f>
        <v>#N/A</v>
      </c>
      <c r="E222" s="186" t="e">
        <f>IF(D222="","",IF(D222-INT(D222)&gt;1,"",VLOOKUP(D222,PROPONENTES!$C$19:$D$218,2,FALSE)))</f>
        <v>#N/A</v>
      </c>
      <c r="F222" s="487"/>
      <c r="G222" s="187"/>
      <c r="H222" s="139"/>
      <c r="I222" s="139"/>
      <c r="J222" s="139"/>
      <c r="K222" s="139"/>
      <c r="L222" s="139"/>
      <c r="M222" s="139"/>
      <c r="N222" s="139"/>
      <c r="O222" s="139"/>
      <c r="P222" s="139"/>
      <c r="Q222" s="139"/>
      <c r="R222" s="139"/>
      <c r="S222" s="139"/>
      <c r="T222" s="139"/>
      <c r="U222" s="139"/>
      <c r="V222" s="139"/>
      <c r="W222" s="139"/>
      <c r="X222" s="139"/>
      <c r="Y222" s="139"/>
      <c r="Z222" s="139"/>
      <c r="AA222" s="139"/>
      <c r="AB222" s="139"/>
      <c r="AC222" s="139"/>
      <c r="AD222" s="139"/>
      <c r="AE222" s="139"/>
      <c r="AF222" s="139"/>
      <c r="AG222" s="139"/>
      <c r="AH222" s="139"/>
      <c r="AI222" s="139"/>
      <c r="AJ222" s="139"/>
      <c r="AK222" s="139"/>
      <c r="AL222" s="139"/>
      <c r="AM222" s="139"/>
      <c r="AN222" s="139"/>
      <c r="AO222" s="139"/>
      <c r="AP222" s="139"/>
      <c r="AQ222" s="139"/>
      <c r="AR222" s="139"/>
      <c r="AS222" s="139"/>
      <c r="AT222" s="139"/>
      <c r="AU222" s="139"/>
      <c r="AV222" s="139"/>
      <c r="AW222" s="139"/>
      <c r="AX222" s="139"/>
      <c r="AY222" s="139"/>
      <c r="AZ222" s="139"/>
      <c r="BA222" s="139"/>
      <c r="BB222" s="139"/>
      <c r="BC222" s="139"/>
      <c r="BD222" s="139"/>
      <c r="BE222" s="139"/>
      <c r="BF222" s="139"/>
      <c r="BG222" s="139"/>
      <c r="BH222" s="139"/>
      <c r="BI222" s="139"/>
      <c r="BJ222" s="139"/>
      <c r="BK222" s="139"/>
      <c r="BL222" s="139"/>
      <c r="BM222" s="139"/>
      <c r="BN222" s="139"/>
      <c r="BO222" s="139"/>
      <c r="BP222" s="139"/>
      <c r="BQ222" s="139"/>
      <c r="BR222" s="139"/>
      <c r="BS222" s="139"/>
      <c r="BT222" s="139"/>
      <c r="BU222" s="139"/>
      <c r="BV222" s="139"/>
      <c r="BW222" s="139"/>
      <c r="BX222" s="139"/>
      <c r="BY222" s="139"/>
      <c r="BZ222" s="139"/>
      <c r="CA222" s="139"/>
      <c r="CB222" s="139"/>
      <c r="CC222" s="139"/>
      <c r="CD222" s="139"/>
      <c r="CE222" s="139"/>
      <c r="CF222" s="139"/>
      <c r="CG222" s="139"/>
      <c r="CH222" s="139"/>
      <c r="CI222" s="139"/>
      <c r="CJ222" s="139"/>
      <c r="CK222" s="139"/>
      <c r="CL222" s="139"/>
      <c r="CM222" s="139"/>
      <c r="CN222" s="139"/>
      <c r="CO222" s="139"/>
      <c r="CP222" s="139"/>
      <c r="CQ222" s="139"/>
      <c r="CR222" s="139"/>
      <c r="CS222" s="139"/>
    </row>
    <row r="223" spans="1:97" s="140" customFormat="1" ht="15.75" hidden="1" customHeight="1">
      <c r="A223" s="138"/>
      <c r="B223" s="138"/>
      <c r="C223" s="190">
        <v>189</v>
      </c>
      <c r="D223" s="314" t="e">
        <f>IF(VLOOKUP(C223,PROPONENTES!$B$19:$E$218,2,FALSE)="","",VLOOKUP(C223,PROPONENTES!$B$19:$E$218,2,FALSE))</f>
        <v>#N/A</v>
      </c>
      <c r="E223" s="186" t="e">
        <f>IF(D223="","",IF(D223-INT(D223)&gt;1,"",VLOOKUP(D223,PROPONENTES!$C$19:$D$218,2,FALSE)))</f>
        <v>#N/A</v>
      </c>
      <c r="F223" s="487"/>
      <c r="G223" s="187"/>
      <c r="H223" s="139"/>
      <c r="I223" s="139"/>
      <c r="J223" s="139"/>
      <c r="K223" s="139"/>
      <c r="L223" s="139"/>
      <c r="M223" s="139"/>
      <c r="N223" s="139"/>
      <c r="O223" s="139"/>
      <c r="P223" s="139"/>
      <c r="Q223" s="139"/>
      <c r="R223" s="139"/>
      <c r="S223" s="139"/>
      <c r="T223" s="139"/>
      <c r="U223" s="139"/>
      <c r="V223" s="139"/>
      <c r="W223" s="139"/>
      <c r="X223" s="139"/>
      <c r="Y223" s="139"/>
      <c r="Z223" s="139"/>
      <c r="AA223" s="139"/>
      <c r="AB223" s="139"/>
      <c r="AC223" s="139"/>
      <c r="AD223" s="139"/>
      <c r="AE223" s="139"/>
      <c r="AF223" s="139"/>
      <c r="AG223" s="139"/>
      <c r="AH223" s="139"/>
      <c r="AI223" s="139"/>
      <c r="AJ223" s="139"/>
      <c r="AK223" s="139"/>
      <c r="AL223" s="139"/>
      <c r="AM223" s="139"/>
      <c r="AN223" s="139"/>
      <c r="AO223" s="139"/>
      <c r="AP223" s="139"/>
      <c r="AQ223" s="139"/>
      <c r="AR223" s="139"/>
      <c r="AS223" s="139"/>
      <c r="AT223" s="139"/>
      <c r="AU223" s="139"/>
      <c r="AV223" s="139"/>
      <c r="AW223" s="139"/>
      <c r="AX223" s="139"/>
      <c r="AY223" s="139"/>
      <c r="AZ223" s="139"/>
      <c r="BA223" s="139"/>
      <c r="BB223" s="139"/>
      <c r="BC223" s="139"/>
      <c r="BD223" s="139"/>
      <c r="BE223" s="139"/>
      <c r="BF223" s="139"/>
      <c r="BG223" s="139"/>
      <c r="BH223" s="139"/>
      <c r="BI223" s="139"/>
      <c r="BJ223" s="139"/>
      <c r="BK223" s="139"/>
      <c r="BL223" s="139"/>
      <c r="BM223" s="139"/>
      <c r="BN223" s="139"/>
      <c r="BO223" s="139"/>
      <c r="BP223" s="139"/>
      <c r="BQ223" s="139"/>
      <c r="BR223" s="139"/>
      <c r="BS223" s="139"/>
      <c r="BT223" s="139"/>
      <c r="BU223" s="139"/>
      <c r="BV223" s="139"/>
      <c r="BW223" s="139"/>
      <c r="BX223" s="139"/>
      <c r="BY223" s="139"/>
      <c r="BZ223" s="139"/>
      <c r="CA223" s="139"/>
      <c r="CB223" s="139"/>
      <c r="CC223" s="139"/>
      <c r="CD223" s="139"/>
      <c r="CE223" s="139"/>
      <c r="CF223" s="139"/>
      <c r="CG223" s="139"/>
      <c r="CH223" s="139"/>
      <c r="CI223" s="139"/>
      <c r="CJ223" s="139"/>
      <c r="CK223" s="139"/>
      <c r="CL223" s="139"/>
      <c r="CM223" s="139"/>
      <c r="CN223" s="139"/>
      <c r="CO223" s="139"/>
      <c r="CP223" s="139"/>
      <c r="CQ223" s="139"/>
      <c r="CR223" s="139"/>
      <c r="CS223" s="139"/>
    </row>
    <row r="224" spans="1:97" s="140" customFormat="1" ht="15.75" hidden="1" customHeight="1">
      <c r="A224" s="138"/>
      <c r="B224" s="138"/>
      <c r="C224" s="190">
        <v>190</v>
      </c>
      <c r="D224" s="314" t="e">
        <f>IF(VLOOKUP(C224,PROPONENTES!$B$19:$E$218,2,FALSE)="","",VLOOKUP(C224,PROPONENTES!$B$19:$E$218,2,FALSE))</f>
        <v>#N/A</v>
      </c>
      <c r="E224" s="186" t="e">
        <f>IF(D224="","",IF(D224-INT(D224)&gt;1,"",VLOOKUP(D224,PROPONENTES!$C$19:$D$218,2,FALSE)))</f>
        <v>#N/A</v>
      </c>
      <c r="F224" s="487"/>
      <c r="G224" s="187"/>
      <c r="H224" s="139"/>
      <c r="I224" s="139"/>
      <c r="J224" s="139"/>
      <c r="K224" s="139"/>
      <c r="L224" s="139"/>
      <c r="M224" s="139"/>
      <c r="N224" s="139"/>
      <c r="O224" s="139"/>
      <c r="P224" s="139"/>
      <c r="Q224" s="139"/>
      <c r="R224" s="139"/>
      <c r="S224" s="139"/>
      <c r="T224" s="139"/>
      <c r="U224" s="139"/>
      <c r="V224" s="139"/>
      <c r="W224" s="139"/>
      <c r="X224" s="139"/>
      <c r="Y224" s="139"/>
      <c r="Z224" s="139"/>
      <c r="AA224" s="139"/>
      <c r="AB224" s="139"/>
      <c r="AC224" s="139"/>
      <c r="AD224" s="139"/>
      <c r="AE224" s="139"/>
      <c r="AF224" s="139"/>
      <c r="AG224" s="139"/>
      <c r="AH224" s="139"/>
      <c r="AI224" s="139"/>
      <c r="AJ224" s="139"/>
      <c r="AK224" s="139"/>
      <c r="AL224" s="139"/>
      <c r="AM224" s="139"/>
      <c r="AN224" s="139"/>
      <c r="AO224" s="139"/>
      <c r="AP224" s="139"/>
      <c r="AQ224" s="139"/>
      <c r="AR224" s="139"/>
      <c r="AS224" s="139"/>
      <c r="AT224" s="139"/>
      <c r="AU224" s="139"/>
      <c r="AV224" s="139"/>
      <c r="AW224" s="139"/>
      <c r="AX224" s="139"/>
      <c r="AY224" s="139"/>
      <c r="AZ224" s="139"/>
      <c r="BA224" s="139"/>
      <c r="BB224" s="139"/>
      <c r="BC224" s="139"/>
      <c r="BD224" s="139"/>
      <c r="BE224" s="139"/>
      <c r="BF224" s="139"/>
      <c r="BG224" s="139"/>
      <c r="BH224" s="139"/>
      <c r="BI224" s="139"/>
      <c r="BJ224" s="139"/>
      <c r="BK224" s="139"/>
      <c r="BL224" s="139"/>
      <c r="BM224" s="139"/>
      <c r="BN224" s="139"/>
      <c r="BO224" s="139"/>
      <c r="BP224" s="139"/>
      <c r="BQ224" s="139"/>
      <c r="BR224" s="139"/>
      <c r="BS224" s="139"/>
      <c r="BT224" s="139"/>
      <c r="BU224" s="139"/>
      <c r="BV224" s="139"/>
      <c r="BW224" s="139"/>
      <c r="BX224" s="139"/>
      <c r="BY224" s="139"/>
      <c r="BZ224" s="139"/>
      <c r="CA224" s="139"/>
      <c r="CB224" s="139"/>
      <c r="CC224" s="139"/>
      <c r="CD224" s="139"/>
      <c r="CE224" s="139"/>
      <c r="CF224" s="139"/>
      <c r="CG224" s="139"/>
      <c r="CH224" s="139"/>
      <c r="CI224" s="139"/>
      <c r="CJ224" s="139"/>
      <c r="CK224" s="139"/>
      <c r="CL224" s="139"/>
      <c r="CM224" s="139"/>
      <c r="CN224" s="139"/>
      <c r="CO224" s="139"/>
      <c r="CP224" s="139"/>
      <c r="CQ224" s="139"/>
      <c r="CR224" s="139"/>
      <c r="CS224" s="139"/>
    </row>
    <row r="225" spans="1:97" s="140" customFormat="1" ht="15.75" hidden="1" customHeight="1">
      <c r="A225" s="138"/>
      <c r="B225" s="138"/>
      <c r="C225" s="190">
        <v>191</v>
      </c>
      <c r="D225" s="314" t="e">
        <f>IF(VLOOKUP(C225,PROPONENTES!$B$19:$E$218,2,FALSE)="","",VLOOKUP(C225,PROPONENTES!$B$19:$E$218,2,FALSE))</f>
        <v>#N/A</v>
      </c>
      <c r="E225" s="186" t="e">
        <f>IF(D225="","",IF(D225-INT(D225)&gt;1,"",VLOOKUP(D225,PROPONENTES!$C$19:$D$218,2,FALSE)))</f>
        <v>#N/A</v>
      </c>
      <c r="F225" s="487"/>
      <c r="G225" s="187"/>
      <c r="H225" s="139"/>
      <c r="I225" s="139"/>
      <c r="J225" s="139"/>
      <c r="K225" s="139"/>
      <c r="L225" s="139"/>
      <c r="M225" s="139"/>
      <c r="N225" s="139"/>
      <c r="O225" s="139"/>
      <c r="P225" s="139"/>
      <c r="Q225" s="139"/>
      <c r="R225" s="139"/>
      <c r="S225" s="139"/>
      <c r="T225" s="139"/>
      <c r="U225" s="139"/>
      <c r="V225" s="139"/>
      <c r="W225" s="139"/>
      <c r="X225" s="139"/>
      <c r="Y225" s="139"/>
      <c r="Z225" s="139"/>
      <c r="AA225" s="139"/>
      <c r="AB225" s="139"/>
      <c r="AC225" s="139"/>
      <c r="AD225" s="139"/>
      <c r="AE225" s="139"/>
      <c r="AF225" s="139"/>
      <c r="AG225" s="139"/>
      <c r="AH225" s="139"/>
      <c r="AI225" s="139"/>
      <c r="AJ225" s="139"/>
      <c r="AK225" s="139"/>
      <c r="AL225" s="139"/>
      <c r="AM225" s="139"/>
      <c r="AN225" s="139"/>
      <c r="AO225" s="139"/>
      <c r="AP225" s="139"/>
      <c r="AQ225" s="139"/>
      <c r="AR225" s="139"/>
      <c r="AS225" s="139"/>
      <c r="AT225" s="139"/>
      <c r="AU225" s="139"/>
      <c r="AV225" s="139"/>
      <c r="AW225" s="139"/>
      <c r="AX225" s="139"/>
      <c r="AY225" s="139"/>
      <c r="AZ225" s="139"/>
      <c r="BA225" s="139"/>
      <c r="BB225" s="139"/>
      <c r="BC225" s="139"/>
      <c r="BD225" s="139"/>
      <c r="BE225" s="139"/>
      <c r="BF225" s="139"/>
      <c r="BG225" s="139"/>
      <c r="BH225" s="139"/>
      <c r="BI225" s="139"/>
      <c r="BJ225" s="139"/>
      <c r="BK225" s="139"/>
      <c r="BL225" s="139"/>
      <c r="BM225" s="139"/>
      <c r="BN225" s="139"/>
      <c r="BO225" s="139"/>
      <c r="BP225" s="139"/>
      <c r="BQ225" s="139"/>
      <c r="BR225" s="139"/>
      <c r="BS225" s="139"/>
      <c r="BT225" s="139"/>
      <c r="BU225" s="139"/>
      <c r="BV225" s="139"/>
      <c r="BW225" s="139"/>
      <c r="BX225" s="139"/>
      <c r="BY225" s="139"/>
      <c r="BZ225" s="139"/>
      <c r="CA225" s="139"/>
      <c r="CB225" s="139"/>
      <c r="CC225" s="139"/>
      <c r="CD225" s="139"/>
      <c r="CE225" s="139"/>
      <c r="CF225" s="139"/>
      <c r="CG225" s="139"/>
      <c r="CH225" s="139"/>
      <c r="CI225" s="139"/>
      <c r="CJ225" s="139"/>
      <c r="CK225" s="139"/>
      <c r="CL225" s="139"/>
      <c r="CM225" s="139"/>
      <c r="CN225" s="139"/>
      <c r="CO225" s="139"/>
      <c r="CP225" s="139"/>
      <c r="CQ225" s="139"/>
      <c r="CR225" s="139"/>
      <c r="CS225" s="139"/>
    </row>
    <row r="226" spans="1:97" s="140" customFormat="1" ht="15.75" hidden="1" customHeight="1">
      <c r="A226" s="138"/>
      <c r="B226" s="138"/>
      <c r="C226" s="190">
        <v>192</v>
      </c>
      <c r="D226" s="314" t="e">
        <f>IF(VLOOKUP(C226,PROPONENTES!$B$19:$E$218,2,FALSE)="","",VLOOKUP(C226,PROPONENTES!$B$19:$E$218,2,FALSE))</f>
        <v>#N/A</v>
      </c>
      <c r="E226" s="186" t="e">
        <f>IF(D226="","",IF(D226-INT(D226)&gt;1,"",VLOOKUP(D226,PROPONENTES!$C$19:$D$218,2,FALSE)))</f>
        <v>#N/A</v>
      </c>
      <c r="F226" s="487"/>
      <c r="G226" s="187"/>
      <c r="H226" s="139"/>
      <c r="I226" s="139"/>
      <c r="J226" s="139"/>
      <c r="K226" s="139"/>
      <c r="L226" s="139"/>
      <c r="M226" s="139"/>
      <c r="N226" s="139"/>
      <c r="O226" s="139"/>
      <c r="P226" s="139"/>
      <c r="Q226" s="139"/>
      <c r="R226" s="139"/>
      <c r="S226" s="139"/>
      <c r="T226" s="139"/>
      <c r="U226" s="139"/>
      <c r="V226" s="139"/>
      <c r="W226" s="139"/>
      <c r="X226" s="139"/>
      <c r="Y226" s="139"/>
      <c r="Z226" s="139"/>
      <c r="AA226" s="139"/>
      <c r="AB226" s="139"/>
      <c r="AC226" s="139"/>
      <c r="AD226" s="139"/>
      <c r="AE226" s="139"/>
      <c r="AF226" s="139"/>
      <c r="AG226" s="139"/>
      <c r="AH226" s="139"/>
      <c r="AI226" s="139"/>
      <c r="AJ226" s="139"/>
      <c r="AK226" s="139"/>
      <c r="AL226" s="139"/>
      <c r="AM226" s="139"/>
      <c r="AN226" s="139"/>
      <c r="AO226" s="139"/>
      <c r="AP226" s="139"/>
      <c r="AQ226" s="139"/>
      <c r="AR226" s="139"/>
      <c r="AS226" s="139"/>
      <c r="AT226" s="139"/>
      <c r="AU226" s="139"/>
      <c r="AV226" s="139"/>
      <c r="AW226" s="139"/>
      <c r="AX226" s="139"/>
      <c r="AY226" s="139"/>
      <c r="AZ226" s="139"/>
      <c r="BA226" s="139"/>
      <c r="BB226" s="139"/>
      <c r="BC226" s="139"/>
      <c r="BD226" s="139"/>
      <c r="BE226" s="139"/>
      <c r="BF226" s="139"/>
      <c r="BG226" s="139"/>
      <c r="BH226" s="139"/>
      <c r="BI226" s="139"/>
      <c r="BJ226" s="139"/>
      <c r="BK226" s="139"/>
      <c r="BL226" s="139"/>
      <c r="BM226" s="139"/>
      <c r="BN226" s="139"/>
      <c r="BO226" s="139"/>
      <c r="BP226" s="139"/>
      <c r="BQ226" s="139"/>
      <c r="BR226" s="139"/>
      <c r="BS226" s="139"/>
      <c r="BT226" s="139"/>
      <c r="BU226" s="139"/>
      <c r="BV226" s="139"/>
      <c r="BW226" s="139"/>
      <c r="BX226" s="139"/>
      <c r="BY226" s="139"/>
      <c r="BZ226" s="139"/>
      <c r="CA226" s="139"/>
      <c r="CB226" s="139"/>
      <c r="CC226" s="139"/>
      <c r="CD226" s="139"/>
      <c r="CE226" s="139"/>
      <c r="CF226" s="139"/>
      <c r="CG226" s="139"/>
      <c r="CH226" s="139"/>
      <c r="CI226" s="139"/>
      <c r="CJ226" s="139"/>
      <c r="CK226" s="139"/>
      <c r="CL226" s="139"/>
      <c r="CM226" s="139"/>
      <c r="CN226" s="139"/>
      <c r="CO226" s="139"/>
      <c r="CP226" s="139"/>
      <c r="CQ226" s="139"/>
      <c r="CR226" s="139"/>
      <c r="CS226" s="139"/>
    </row>
    <row r="227" spans="1:97" s="140" customFormat="1" ht="15.75" hidden="1" customHeight="1">
      <c r="A227" s="138"/>
      <c r="B227" s="138"/>
      <c r="C227" s="190">
        <v>193</v>
      </c>
      <c r="D227" s="314" t="e">
        <f>IF(VLOOKUP(C227,PROPONENTES!$B$19:$E$218,2,FALSE)="","",VLOOKUP(C227,PROPONENTES!$B$19:$E$218,2,FALSE))</f>
        <v>#N/A</v>
      </c>
      <c r="E227" s="186" t="e">
        <f>IF(D227="","",IF(D227-INT(D227)&gt;1,"",VLOOKUP(D227,PROPONENTES!$C$19:$D$218,2,FALSE)))</f>
        <v>#N/A</v>
      </c>
      <c r="F227" s="487"/>
      <c r="G227" s="187"/>
      <c r="H227" s="139"/>
      <c r="I227" s="139"/>
      <c r="J227" s="139"/>
      <c r="K227" s="139"/>
      <c r="L227" s="139"/>
      <c r="M227" s="139"/>
      <c r="N227" s="139"/>
      <c r="O227" s="139"/>
      <c r="P227" s="139"/>
      <c r="Q227" s="139"/>
      <c r="R227" s="139"/>
      <c r="S227" s="139"/>
      <c r="T227" s="139"/>
      <c r="U227" s="139"/>
      <c r="V227" s="139"/>
      <c r="W227" s="139"/>
      <c r="X227" s="139"/>
      <c r="Y227" s="139"/>
      <c r="Z227" s="139"/>
      <c r="AA227" s="139"/>
      <c r="AB227" s="139"/>
      <c r="AC227" s="139"/>
      <c r="AD227" s="139"/>
      <c r="AE227" s="139"/>
      <c r="AF227" s="139"/>
      <c r="AG227" s="139"/>
      <c r="AH227" s="139"/>
      <c r="AI227" s="139"/>
      <c r="AJ227" s="139"/>
      <c r="AK227" s="139"/>
      <c r="AL227" s="139"/>
      <c r="AM227" s="139"/>
      <c r="AN227" s="139"/>
      <c r="AO227" s="139"/>
      <c r="AP227" s="139"/>
      <c r="AQ227" s="139"/>
      <c r="AR227" s="139"/>
      <c r="AS227" s="139"/>
      <c r="AT227" s="139"/>
      <c r="AU227" s="139"/>
      <c r="AV227" s="139"/>
      <c r="AW227" s="139"/>
      <c r="AX227" s="139"/>
      <c r="AY227" s="139"/>
      <c r="AZ227" s="139"/>
      <c r="BA227" s="139"/>
      <c r="BB227" s="139"/>
      <c r="BC227" s="139"/>
      <c r="BD227" s="139"/>
      <c r="BE227" s="139"/>
      <c r="BF227" s="139"/>
      <c r="BG227" s="139"/>
      <c r="BH227" s="139"/>
      <c r="BI227" s="139"/>
      <c r="BJ227" s="139"/>
      <c r="BK227" s="139"/>
      <c r="BL227" s="139"/>
      <c r="BM227" s="139"/>
      <c r="BN227" s="139"/>
      <c r="BO227" s="139"/>
      <c r="BP227" s="139"/>
      <c r="BQ227" s="139"/>
      <c r="BR227" s="139"/>
      <c r="BS227" s="139"/>
      <c r="BT227" s="139"/>
      <c r="BU227" s="139"/>
      <c r="BV227" s="139"/>
      <c r="BW227" s="139"/>
      <c r="BX227" s="139"/>
      <c r="BY227" s="139"/>
      <c r="BZ227" s="139"/>
      <c r="CA227" s="139"/>
      <c r="CB227" s="139"/>
      <c r="CC227" s="139"/>
      <c r="CD227" s="139"/>
      <c r="CE227" s="139"/>
      <c r="CF227" s="139"/>
      <c r="CG227" s="139"/>
      <c r="CH227" s="139"/>
      <c r="CI227" s="139"/>
      <c r="CJ227" s="139"/>
      <c r="CK227" s="139"/>
      <c r="CL227" s="139"/>
      <c r="CM227" s="139"/>
      <c r="CN227" s="139"/>
      <c r="CO227" s="139"/>
      <c r="CP227" s="139"/>
      <c r="CQ227" s="139"/>
      <c r="CR227" s="139"/>
      <c r="CS227" s="139"/>
    </row>
    <row r="228" spans="1:97" s="140" customFormat="1" ht="15.75" hidden="1" customHeight="1">
      <c r="A228" s="138"/>
      <c r="B228" s="138"/>
      <c r="C228" s="190">
        <v>194</v>
      </c>
      <c r="D228" s="314" t="e">
        <f>IF(VLOOKUP(C228,PROPONENTES!$B$19:$E$218,2,FALSE)="","",VLOOKUP(C228,PROPONENTES!$B$19:$E$218,2,FALSE))</f>
        <v>#N/A</v>
      </c>
      <c r="E228" s="186" t="e">
        <f>IF(D228="","",IF(D228-INT(D228)&gt;1,"",VLOOKUP(D228,PROPONENTES!$C$19:$D$218,2,FALSE)))</f>
        <v>#N/A</v>
      </c>
      <c r="F228" s="487"/>
      <c r="G228" s="187"/>
      <c r="H228" s="139"/>
      <c r="I228" s="139"/>
      <c r="J228" s="139"/>
      <c r="K228" s="139"/>
      <c r="L228" s="139"/>
      <c r="M228" s="139"/>
      <c r="N228" s="139"/>
      <c r="O228" s="139"/>
      <c r="P228" s="139"/>
      <c r="Q228" s="139"/>
      <c r="R228" s="139"/>
      <c r="S228" s="139"/>
      <c r="T228" s="139"/>
      <c r="U228" s="139"/>
      <c r="V228" s="139"/>
      <c r="W228" s="139"/>
      <c r="X228" s="139"/>
      <c r="Y228" s="139"/>
      <c r="Z228" s="139"/>
      <c r="AA228" s="139"/>
      <c r="AB228" s="139"/>
      <c r="AC228" s="139"/>
      <c r="AD228" s="139"/>
      <c r="AE228" s="139"/>
      <c r="AF228" s="139"/>
      <c r="AG228" s="139"/>
      <c r="AH228" s="139"/>
      <c r="AI228" s="139"/>
      <c r="AJ228" s="139"/>
      <c r="AK228" s="139"/>
      <c r="AL228" s="139"/>
      <c r="AM228" s="139"/>
      <c r="AN228" s="139"/>
      <c r="AO228" s="139"/>
      <c r="AP228" s="139"/>
      <c r="AQ228" s="139"/>
      <c r="AR228" s="139"/>
      <c r="AS228" s="139"/>
      <c r="AT228" s="139"/>
      <c r="AU228" s="139"/>
      <c r="AV228" s="139"/>
      <c r="AW228" s="139"/>
      <c r="AX228" s="139"/>
      <c r="AY228" s="139"/>
      <c r="AZ228" s="139"/>
      <c r="BA228" s="139"/>
      <c r="BB228" s="139"/>
      <c r="BC228" s="139"/>
      <c r="BD228" s="139"/>
      <c r="BE228" s="139"/>
      <c r="BF228" s="139"/>
      <c r="BG228" s="139"/>
      <c r="BH228" s="139"/>
      <c r="BI228" s="139"/>
      <c r="BJ228" s="139"/>
      <c r="BK228" s="139"/>
      <c r="BL228" s="139"/>
      <c r="BM228" s="139"/>
      <c r="BN228" s="139"/>
      <c r="BO228" s="139"/>
      <c r="BP228" s="139"/>
      <c r="BQ228" s="139"/>
      <c r="BR228" s="139"/>
      <c r="BS228" s="139"/>
      <c r="BT228" s="139"/>
      <c r="BU228" s="139"/>
      <c r="BV228" s="139"/>
      <c r="BW228" s="139"/>
      <c r="BX228" s="139"/>
      <c r="BY228" s="139"/>
      <c r="BZ228" s="139"/>
      <c r="CA228" s="139"/>
      <c r="CB228" s="139"/>
      <c r="CC228" s="139"/>
      <c r="CD228" s="139"/>
      <c r="CE228" s="139"/>
      <c r="CF228" s="139"/>
      <c r="CG228" s="139"/>
      <c r="CH228" s="139"/>
      <c r="CI228" s="139"/>
      <c r="CJ228" s="139"/>
      <c r="CK228" s="139"/>
      <c r="CL228" s="139"/>
      <c r="CM228" s="139"/>
      <c r="CN228" s="139"/>
      <c r="CO228" s="139"/>
      <c r="CP228" s="139"/>
      <c r="CQ228" s="139"/>
      <c r="CR228" s="139"/>
      <c r="CS228" s="139"/>
    </row>
    <row r="229" spans="1:97" s="140" customFormat="1" ht="15.75" hidden="1" customHeight="1">
      <c r="A229" s="138"/>
      <c r="B229" s="138"/>
      <c r="C229" s="190">
        <v>195</v>
      </c>
      <c r="D229" s="314" t="e">
        <f>IF(VLOOKUP(C229,PROPONENTES!$B$19:$E$218,2,FALSE)="","",VLOOKUP(C229,PROPONENTES!$B$19:$E$218,2,FALSE))</f>
        <v>#N/A</v>
      </c>
      <c r="E229" s="186" t="e">
        <f>IF(D229="","",IF(D229-INT(D229)&gt;1,"",VLOOKUP(D229,PROPONENTES!$C$19:$D$218,2,FALSE)))</f>
        <v>#N/A</v>
      </c>
      <c r="F229" s="487"/>
      <c r="G229" s="187"/>
      <c r="H229" s="139"/>
      <c r="I229" s="139"/>
      <c r="J229" s="139"/>
      <c r="K229" s="139"/>
      <c r="L229" s="139"/>
      <c r="M229" s="139"/>
      <c r="N229" s="139"/>
      <c r="O229" s="139"/>
      <c r="P229" s="139"/>
      <c r="Q229" s="139"/>
      <c r="R229" s="139"/>
      <c r="S229" s="139"/>
      <c r="T229" s="139"/>
      <c r="U229" s="139"/>
      <c r="V229" s="139"/>
      <c r="W229" s="139"/>
      <c r="X229" s="139"/>
      <c r="Y229" s="139"/>
      <c r="Z229" s="139"/>
      <c r="AA229" s="139"/>
      <c r="AB229" s="139"/>
      <c r="AC229" s="139"/>
      <c r="AD229" s="139"/>
      <c r="AE229" s="139"/>
      <c r="AF229" s="139"/>
      <c r="AG229" s="139"/>
      <c r="AH229" s="139"/>
      <c r="AI229" s="139"/>
      <c r="AJ229" s="139"/>
      <c r="AK229" s="139"/>
      <c r="AL229" s="139"/>
      <c r="AM229" s="139"/>
      <c r="AN229" s="139"/>
      <c r="AO229" s="139"/>
      <c r="AP229" s="139"/>
      <c r="AQ229" s="139"/>
      <c r="AR229" s="139"/>
      <c r="AS229" s="139"/>
      <c r="AT229" s="139"/>
      <c r="AU229" s="139"/>
      <c r="AV229" s="139"/>
      <c r="AW229" s="139"/>
      <c r="AX229" s="139"/>
      <c r="AY229" s="139"/>
      <c r="AZ229" s="139"/>
      <c r="BA229" s="139"/>
      <c r="BB229" s="139"/>
      <c r="BC229" s="139"/>
      <c r="BD229" s="139"/>
      <c r="BE229" s="139"/>
      <c r="BF229" s="139"/>
      <c r="BG229" s="139"/>
      <c r="BH229" s="139"/>
      <c r="BI229" s="139"/>
      <c r="BJ229" s="139"/>
      <c r="BK229" s="139"/>
      <c r="BL229" s="139"/>
      <c r="BM229" s="139"/>
      <c r="BN229" s="139"/>
      <c r="BO229" s="139"/>
      <c r="BP229" s="139"/>
      <c r="BQ229" s="139"/>
      <c r="BR229" s="139"/>
      <c r="BS229" s="139"/>
      <c r="BT229" s="139"/>
      <c r="BU229" s="139"/>
      <c r="BV229" s="139"/>
      <c r="BW229" s="139"/>
      <c r="BX229" s="139"/>
      <c r="BY229" s="139"/>
      <c r="BZ229" s="139"/>
      <c r="CA229" s="139"/>
      <c r="CB229" s="139"/>
      <c r="CC229" s="139"/>
      <c r="CD229" s="139"/>
      <c r="CE229" s="139"/>
      <c r="CF229" s="139"/>
      <c r="CG229" s="139"/>
      <c r="CH229" s="139"/>
      <c r="CI229" s="139"/>
      <c r="CJ229" s="139"/>
      <c r="CK229" s="139"/>
      <c r="CL229" s="139"/>
      <c r="CM229" s="139"/>
      <c r="CN229" s="139"/>
      <c r="CO229" s="139"/>
      <c r="CP229" s="139"/>
      <c r="CQ229" s="139"/>
      <c r="CR229" s="139"/>
      <c r="CS229" s="139"/>
    </row>
    <row r="230" spans="1:97" s="140" customFormat="1" ht="15.75" hidden="1" customHeight="1">
      <c r="A230" s="138"/>
      <c r="B230" s="138"/>
      <c r="C230" s="190">
        <v>196</v>
      </c>
      <c r="D230" s="314" t="e">
        <f>IF(VLOOKUP(C230,PROPONENTES!$B$19:$E$218,2,FALSE)="","",VLOOKUP(C230,PROPONENTES!$B$19:$E$218,2,FALSE))</f>
        <v>#N/A</v>
      </c>
      <c r="E230" s="186" t="e">
        <f>IF(D230="","",IF(D230-INT(D230)&gt;1,"",VLOOKUP(D230,PROPONENTES!$C$19:$D$218,2,FALSE)))</f>
        <v>#N/A</v>
      </c>
      <c r="F230" s="487"/>
      <c r="G230" s="187"/>
      <c r="H230" s="139"/>
      <c r="I230" s="139"/>
      <c r="J230" s="139"/>
      <c r="K230" s="139"/>
      <c r="L230" s="139"/>
      <c r="M230" s="139"/>
      <c r="N230" s="139"/>
      <c r="O230" s="139"/>
      <c r="P230" s="139"/>
      <c r="Q230" s="139"/>
      <c r="R230" s="139"/>
      <c r="S230" s="139"/>
      <c r="T230" s="139"/>
      <c r="U230" s="139"/>
      <c r="V230" s="139"/>
      <c r="W230" s="139"/>
      <c r="X230" s="139"/>
      <c r="Y230" s="139"/>
      <c r="Z230" s="139"/>
      <c r="AA230" s="139"/>
      <c r="AB230" s="139"/>
      <c r="AC230" s="139"/>
      <c r="AD230" s="139"/>
      <c r="AE230" s="139"/>
      <c r="AF230" s="139"/>
      <c r="AG230" s="139"/>
      <c r="AH230" s="139"/>
      <c r="AI230" s="139"/>
      <c r="AJ230" s="139"/>
      <c r="AK230" s="139"/>
      <c r="AL230" s="139"/>
      <c r="AM230" s="139"/>
      <c r="AN230" s="139"/>
      <c r="AO230" s="139"/>
      <c r="AP230" s="139"/>
      <c r="AQ230" s="139"/>
      <c r="AR230" s="139"/>
      <c r="AS230" s="139"/>
      <c r="AT230" s="139"/>
      <c r="AU230" s="139"/>
      <c r="AV230" s="139"/>
      <c r="AW230" s="139"/>
      <c r="AX230" s="139"/>
      <c r="AY230" s="139"/>
      <c r="AZ230" s="139"/>
      <c r="BA230" s="139"/>
      <c r="BB230" s="139"/>
      <c r="BC230" s="139"/>
      <c r="BD230" s="139"/>
      <c r="BE230" s="139"/>
      <c r="BF230" s="139"/>
      <c r="BG230" s="139"/>
      <c r="BH230" s="139"/>
      <c r="BI230" s="139"/>
      <c r="BJ230" s="139"/>
      <c r="BK230" s="139"/>
      <c r="BL230" s="139"/>
      <c r="BM230" s="139"/>
      <c r="BN230" s="139"/>
      <c r="BO230" s="139"/>
      <c r="BP230" s="139"/>
      <c r="BQ230" s="139"/>
      <c r="BR230" s="139"/>
      <c r="BS230" s="139"/>
      <c r="BT230" s="139"/>
      <c r="BU230" s="139"/>
      <c r="BV230" s="139"/>
      <c r="BW230" s="139"/>
      <c r="BX230" s="139"/>
      <c r="BY230" s="139"/>
      <c r="BZ230" s="139"/>
      <c r="CA230" s="139"/>
      <c r="CB230" s="139"/>
      <c r="CC230" s="139"/>
      <c r="CD230" s="139"/>
      <c r="CE230" s="139"/>
      <c r="CF230" s="139"/>
      <c r="CG230" s="139"/>
      <c r="CH230" s="139"/>
      <c r="CI230" s="139"/>
      <c r="CJ230" s="139"/>
      <c r="CK230" s="139"/>
      <c r="CL230" s="139"/>
      <c r="CM230" s="139"/>
      <c r="CN230" s="139"/>
      <c r="CO230" s="139"/>
      <c r="CP230" s="139"/>
      <c r="CQ230" s="139"/>
      <c r="CR230" s="139"/>
      <c r="CS230" s="139"/>
    </row>
    <row r="231" spans="1:97" s="140" customFormat="1" ht="15.75" hidden="1" customHeight="1">
      <c r="A231" s="138"/>
      <c r="B231" s="138"/>
      <c r="C231" s="190">
        <v>197</v>
      </c>
      <c r="D231" s="314" t="e">
        <f>IF(VLOOKUP(C231,PROPONENTES!$B$19:$E$218,2,FALSE)="","",VLOOKUP(C231,PROPONENTES!$B$19:$E$218,2,FALSE))</f>
        <v>#N/A</v>
      </c>
      <c r="E231" s="186" t="e">
        <f>IF(D231="","",IF(D231-INT(D231)&gt;1,"",VLOOKUP(D231,PROPONENTES!$C$19:$D$218,2,FALSE)))</f>
        <v>#N/A</v>
      </c>
      <c r="F231" s="487"/>
      <c r="G231" s="187"/>
      <c r="H231" s="139"/>
      <c r="I231" s="139"/>
      <c r="J231" s="139"/>
      <c r="K231" s="139"/>
      <c r="L231" s="139"/>
      <c r="M231" s="139"/>
      <c r="N231" s="139"/>
      <c r="O231" s="139"/>
      <c r="P231" s="139"/>
      <c r="Q231" s="139"/>
      <c r="R231" s="139"/>
      <c r="S231" s="139"/>
      <c r="T231" s="139"/>
      <c r="U231" s="139"/>
      <c r="V231" s="139"/>
      <c r="W231" s="139"/>
      <c r="X231" s="139"/>
      <c r="Y231" s="139"/>
      <c r="Z231" s="139"/>
      <c r="AA231" s="139"/>
      <c r="AB231" s="139"/>
      <c r="AC231" s="139"/>
      <c r="AD231" s="139"/>
      <c r="AE231" s="139"/>
      <c r="AF231" s="139"/>
      <c r="AG231" s="139"/>
      <c r="AH231" s="139"/>
      <c r="AI231" s="139"/>
      <c r="AJ231" s="139"/>
      <c r="AK231" s="139"/>
      <c r="AL231" s="139"/>
      <c r="AM231" s="139"/>
      <c r="AN231" s="139"/>
      <c r="AO231" s="139"/>
      <c r="AP231" s="139"/>
      <c r="AQ231" s="139"/>
      <c r="AR231" s="139"/>
      <c r="AS231" s="139"/>
      <c r="AT231" s="139"/>
      <c r="AU231" s="139"/>
      <c r="AV231" s="139"/>
      <c r="AW231" s="139"/>
      <c r="AX231" s="139"/>
      <c r="AY231" s="139"/>
      <c r="AZ231" s="139"/>
      <c r="BA231" s="139"/>
      <c r="BB231" s="139"/>
      <c r="BC231" s="139"/>
      <c r="BD231" s="139"/>
      <c r="BE231" s="139"/>
      <c r="BF231" s="139"/>
      <c r="BG231" s="139"/>
      <c r="BH231" s="139"/>
      <c r="BI231" s="139"/>
      <c r="BJ231" s="139"/>
      <c r="BK231" s="139"/>
      <c r="BL231" s="139"/>
      <c r="BM231" s="139"/>
      <c r="BN231" s="139"/>
      <c r="BO231" s="139"/>
      <c r="BP231" s="139"/>
      <c r="BQ231" s="139"/>
      <c r="BR231" s="139"/>
      <c r="BS231" s="139"/>
      <c r="BT231" s="139"/>
      <c r="BU231" s="139"/>
      <c r="BV231" s="139"/>
      <c r="BW231" s="139"/>
      <c r="BX231" s="139"/>
      <c r="BY231" s="139"/>
      <c r="BZ231" s="139"/>
      <c r="CA231" s="139"/>
      <c r="CB231" s="139"/>
      <c r="CC231" s="139"/>
      <c r="CD231" s="139"/>
      <c r="CE231" s="139"/>
      <c r="CF231" s="139"/>
      <c r="CG231" s="139"/>
      <c r="CH231" s="139"/>
      <c r="CI231" s="139"/>
      <c r="CJ231" s="139"/>
      <c r="CK231" s="139"/>
      <c r="CL231" s="139"/>
      <c r="CM231" s="139"/>
      <c r="CN231" s="139"/>
      <c r="CO231" s="139"/>
      <c r="CP231" s="139"/>
      <c r="CQ231" s="139"/>
      <c r="CR231" s="139"/>
      <c r="CS231" s="139"/>
    </row>
    <row r="232" spans="1:97" s="140" customFormat="1" ht="15.75" hidden="1" customHeight="1">
      <c r="A232" s="138"/>
      <c r="B232" s="138"/>
      <c r="C232" s="190">
        <v>198</v>
      </c>
      <c r="D232" s="314" t="e">
        <f>IF(VLOOKUP(C232,PROPONENTES!$B$19:$E$218,2,FALSE)="","",VLOOKUP(C232,PROPONENTES!$B$19:$E$218,2,FALSE))</f>
        <v>#N/A</v>
      </c>
      <c r="E232" s="186" t="e">
        <f>IF(D232="","",IF(D232-INT(D232)&gt;1,"",VLOOKUP(D232,PROPONENTES!$C$19:$D$218,2,FALSE)))</f>
        <v>#N/A</v>
      </c>
      <c r="F232" s="487"/>
      <c r="G232" s="187"/>
      <c r="H232" s="139"/>
      <c r="I232" s="139"/>
      <c r="J232" s="139"/>
      <c r="K232" s="139"/>
      <c r="L232" s="139"/>
      <c r="M232" s="139"/>
      <c r="N232" s="139"/>
      <c r="O232" s="139"/>
      <c r="P232" s="139"/>
      <c r="Q232" s="139"/>
      <c r="R232" s="139"/>
      <c r="S232" s="139"/>
      <c r="T232" s="139"/>
      <c r="U232" s="139"/>
      <c r="V232" s="139"/>
      <c r="W232" s="139"/>
      <c r="X232" s="139"/>
      <c r="Y232" s="139"/>
      <c r="Z232" s="139"/>
      <c r="AA232" s="139"/>
      <c r="AB232" s="139"/>
      <c r="AC232" s="139"/>
      <c r="AD232" s="139"/>
      <c r="AE232" s="139"/>
      <c r="AF232" s="139"/>
      <c r="AG232" s="139"/>
      <c r="AH232" s="139"/>
      <c r="AI232" s="139"/>
      <c r="AJ232" s="139"/>
      <c r="AK232" s="139"/>
      <c r="AL232" s="139"/>
      <c r="AM232" s="139"/>
      <c r="AN232" s="139"/>
      <c r="AO232" s="139"/>
      <c r="AP232" s="139"/>
      <c r="AQ232" s="139"/>
      <c r="AR232" s="139"/>
      <c r="AS232" s="139"/>
      <c r="AT232" s="139"/>
      <c r="AU232" s="139"/>
      <c r="AV232" s="139"/>
      <c r="AW232" s="139"/>
      <c r="AX232" s="139"/>
      <c r="AY232" s="139"/>
      <c r="AZ232" s="139"/>
      <c r="BA232" s="139"/>
      <c r="BB232" s="139"/>
      <c r="BC232" s="139"/>
      <c r="BD232" s="139"/>
      <c r="BE232" s="139"/>
      <c r="BF232" s="139"/>
      <c r="BG232" s="139"/>
      <c r="BH232" s="139"/>
      <c r="BI232" s="139"/>
      <c r="BJ232" s="139"/>
      <c r="BK232" s="139"/>
      <c r="BL232" s="139"/>
      <c r="BM232" s="139"/>
      <c r="BN232" s="139"/>
      <c r="BO232" s="139"/>
      <c r="BP232" s="139"/>
      <c r="BQ232" s="139"/>
      <c r="BR232" s="139"/>
      <c r="BS232" s="139"/>
      <c r="BT232" s="139"/>
      <c r="BU232" s="139"/>
      <c r="BV232" s="139"/>
      <c r="BW232" s="139"/>
      <c r="BX232" s="139"/>
      <c r="BY232" s="139"/>
      <c r="BZ232" s="139"/>
      <c r="CA232" s="139"/>
      <c r="CB232" s="139"/>
      <c r="CC232" s="139"/>
      <c r="CD232" s="139"/>
      <c r="CE232" s="139"/>
      <c r="CF232" s="139"/>
      <c r="CG232" s="139"/>
      <c r="CH232" s="139"/>
      <c r="CI232" s="139"/>
      <c r="CJ232" s="139"/>
      <c r="CK232" s="139"/>
      <c r="CL232" s="139"/>
      <c r="CM232" s="139"/>
      <c r="CN232" s="139"/>
      <c r="CO232" s="139"/>
      <c r="CP232" s="139"/>
      <c r="CQ232" s="139"/>
      <c r="CR232" s="139"/>
      <c r="CS232" s="139"/>
    </row>
    <row r="233" spans="1:97" s="140" customFormat="1" ht="15.75" hidden="1" customHeight="1">
      <c r="A233" s="138"/>
      <c r="B233" s="138"/>
      <c r="C233" s="190">
        <v>199</v>
      </c>
      <c r="D233" s="314" t="e">
        <f>IF(VLOOKUP(C233,PROPONENTES!$B$19:$E$218,2,FALSE)="","",VLOOKUP(C233,PROPONENTES!$B$19:$E$218,2,FALSE))</f>
        <v>#N/A</v>
      </c>
      <c r="E233" s="186" t="e">
        <f>IF(D233="","",IF(D233-INT(D233)&gt;1,"",VLOOKUP(D233,PROPONENTES!$C$19:$D$218,2,FALSE)))</f>
        <v>#N/A</v>
      </c>
      <c r="F233" s="487"/>
      <c r="G233" s="187"/>
      <c r="H233" s="139"/>
      <c r="I233" s="139"/>
      <c r="J233" s="139"/>
      <c r="K233" s="139"/>
      <c r="L233" s="139"/>
      <c r="M233" s="139"/>
      <c r="N233" s="139"/>
      <c r="O233" s="139"/>
      <c r="P233" s="139"/>
      <c r="Q233" s="139"/>
      <c r="R233" s="139"/>
      <c r="S233" s="139"/>
      <c r="T233" s="139"/>
      <c r="U233" s="139"/>
      <c r="V233" s="139"/>
      <c r="W233" s="139"/>
      <c r="X233" s="139"/>
      <c r="Y233" s="139"/>
      <c r="Z233" s="139"/>
      <c r="AA233" s="139"/>
      <c r="AB233" s="139"/>
      <c r="AC233" s="139"/>
      <c r="AD233" s="139"/>
      <c r="AE233" s="139"/>
      <c r="AF233" s="139"/>
      <c r="AG233" s="139"/>
      <c r="AH233" s="139"/>
      <c r="AI233" s="139"/>
      <c r="AJ233" s="139"/>
      <c r="AK233" s="139"/>
      <c r="AL233" s="139"/>
      <c r="AM233" s="139"/>
      <c r="AN233" s="139"/>
      <c r="AO233" s="139"/>
      <c r="AP233" s="139"/>
      <c r="AQ233" s="139"/>
      <c r="AR233" s="139"/>
      <c r="AS233" s="139"/>
      <c r="AT233" s="139"/>
      <c r="AU233" s="139"/>
      <c r="AV233" s="139"/>
      <c r="AW233" s="139"/>
      <c r="AX233" s="139"/>
      <c r="AY233" s="139"/>
      <c r="AZ233" s="139"/>
      <c r="BA233" s="139"/>
      <c r="BB233" s="139"/>
      <c r="BC233" s="139"/>
      <c r="BD233" s="139"/>
      <c r="BE233" s="139"/>
      <c r="BF233" s="139"/>
      <c r="BG233" s="139"/>
      <c r="BH233" s="139"/>
      <c r="BI233" s="139"/>
      <c r="BJ233" s="139"/>
      <c r="BK233" s="139"/>
      <c r="BL233" s="139"/>
      <c r="BM233" s="139"/>
      <c r="BN233" s="139"/>
      <c r="BO233" s="139"/>
      <c r="BP233" s="139"/>
      <c r="BQ233" s="139"/>
      <c r="BR233" s="139"/>
      <c r="BS233" s="139"/>
      <c r="BT233" s="139"/>
      <c r="BU233" s="139"/>
      <c r="BV233" s="139"/>
      <c r="BW233" s="139"/>
      <c r="BX233" s="139"/>
      <c r="BY233" s="139"/>
      <c r="BZ233" s="139"/>
      <c r="CA233" s="139"/>
      <c r="CB233" s="139"/>
      <c r="CC233" s="139"/>
      <c r="CD233" s="139"/>
      <c r="CE233" s="139"/>
      <c r="CF233" s="139"/>
      <c r="CG233" s="139"/>
      <c r="CH233" s="139"/>
      <c r="CI233" s="139"/>
      <c r="CJ233" s="139"/>
      <c r="CK233" s="139"/>
      <c r="CL233" s="139"/>
      <c r="CM233" s="139"/>
      <c r="CN233" s="139"/>
      <c r="CO233" s="139"/>
      <c r="CP233" s="139"/>
      <c r="CQ233" s="139"/>
      <c r="CR233" s="139"/>
      <c r="CS233" s="139"/>
    </row>
    <row r="234" spans="1:97" s="140" customFormat="1" ht="15.75" hidden="1" customHeight="1">
      <c r="A234" s="138"/>
      <c r="B234" s="138"/>
      <c r="C234" s="190">
        <v>200</v>
      </c>
      <c r="D234" s="314" t="e">
        <f>IF(VLOOKUP(C234,PROPONENTES!$B$19:$E$218,2,FALSE)="","",VLOOKUP(C234,PROPONENTES!$B$19:$E$218,2,FALSE))</f>
        <v>#N/A</v>
      </c>
      <c r="E234" s="186" t="e">
        <f>IF(D234="","",IF(D234-INT(D234)&gt;1,"",VLOOKUP(D234,PROPONENTES!$C$19:$D$218,2,FALSE)))</f>
        <v>#N/A</v>
      </c>
      <c r="F234" s="487"/>
      <c r="G234" s="187"/>
      <c r="H234" s="139"/>
      <c r="I234" s="139"/>
      <c r="J234" s="139"/>
      <c r="K234" s="139"/>
      <c r="L234" s="139"/>
      <c r="M234" s="139"/>
      <c r="N234" s="139"/>
      <c r="O234" s="139"/>
      <c r="P234" s="139"/>
      <c r="Q234" s="139"/>
      <c r="R234" s="139"/>
      <c r="S234" s="139"/>
      <c r="T234" s="139"/>
      <c r="U234" s="139"/>
      <c r="V234" s="139"/>
      <c r="W234" s="139"/>
      <c r="X234" s="139"/>
      <c r="Y234" s="139"/>
      <c r="Z234" s="139"/>
      <c r="AA234" s="139"/>
      <c r="AB234" s="139"/>
      <c r="AC234" s="139"/>
      <c r="AD234" s="139"/>
      <c r="AE234" s="139"/>
      <c r="AF234" s="139"/>
      <c r="AG234" s="139"/>
      <c r="AH234" s="139"/>
      <c r="AI234" s="139"/>
      <c r="AJ234" s="139"/>
      <c r="AK234" s="139"/>
      <c r="AL234" s="139"/>
      <c r="AM234" s="139"/>
      <c r="AN234" s="139"/>
      <c r="AO234" s="139"/>
      <c r="AP234" s="139"/>
      <c r="AQ234" s="139"/>
      <c r="AR234" s="139"/>
      <c r="AS234" s="139"/>
      <c r="AT234" s="139"/>
      <c r="AU234" s="139"/>
      <c r="AV234" s="139"/>
      <c r="AW234" s="139"/>
      <c r="AX234" s="139"/>
      <c r="AY234" s="139"/>
      <c r="AZ234" s="139"/>
      <c r="BA234" s="139"/>
      <c r="BB234" s="139"/>
      <c r="BC234" s="139"/>
      <c r="BD234" s="139"/>
      <c r="BE234" s="139"/>
      <c r="BF234" s="139"/>
      <c r="BG234" s="139"/>
      <c r="BH234" s="139"/>
      <c r="BI234" s="139"/>
      <c r="BJ234" s="139"/>
      <c r="BK234" s="139"/>
      <c r="BL234" s="139"/>
      <c r="BM234" s="139"/>
      <c r="BN234" s="139"/>
      <c r="BO234" s="139"/>
      <c r="BP234" s="139"/>
      <c r="BQ234" s="139"/>
      <c r="BR234" s="139"/>
      <c r="BS234" s="139"/>
      <c r="BT234" s="139"/>
      <c r="BU234" s="139"/>
      <c r="BV234" s="139"/>
      <c r="BW234" s="139"/>
      <c r="BX234" s="139"/>
      <c r="BY234" s="139"/>
      <c r="BZ234" s="139"/>
      <c r="CA234" s="139"/>
      <c r="CB234" s="139"/>
      <c r="CC234" s="139"/>
      <c r="CD234" s="139"/>
      <c r="CE234" s="139"/>
      <c r="CF234" s="139"/>
      <c r="CG234" s="139"/>
      <c r="CH234" s="139"/>
      <c r="CI234" s="139"/>
      <c r="CJ234" s="139"/>
      <c r="CK234" s="139"/>
      <c r="CL234" s="139"/>
      <c r="CM234" s="139"/>
      <c r="CN234" s="139"/>
      <c r="CO234" s="139"/>
      <c r="CP234" s="139"/>
      <c r="CQ234" s="139"/>
      <c r="CR234" s="139"/>
      <c r="CS234" s="139"/>
    </row>
    <row r="235" spans="1:97" ht="4.5" customHeight="1" thickBot="1">
      <c r="C235" s="191"/>
      <c r="D235" s="192"/>
      <c r="E235" s="188"/>
      <c r="F235" s="188"/>
      <c r="G235" s="488"/>
    </row>
    <row r="236" spans="1:97" ht="16.5" thickTop="1"/>
    <row r="343" spans="3:3" ht="13.5">
      <c r="C343" s="146"/>
    </row>
  </sheetData>
  <mergeCells count="14">
    <mergeCell ref="C15:C16"/>
    <mergeCell ref="D8:F8"/>
    <mergeCell ref="D10:F10"/>
    <mergeCell ref="D12:F12"/>
    <mergeCell ref="D1:F1"/>
    <mergeCell ref="D2:F2"/>
    <mergeCell ref="D3:F3"/>
    <mergeCell ref="D5:F5"/>
    <mergeCell ref="D6:F6"/>
    <mergeCell ref="G15:G16"/>
    <mergeCell ref="D13:F13"/>
    <mergeCell ref="D15:D16"/>
    <mergeCell ref="E15:E16"/>
    <mergeCell ref="F15:F16"/>
  </mergeCells>
  <conditionalFormatting sqref="C18:G234">
    <cfRule type="expression" dxfId="12726" priority="4" stopIfTrue="1">
      <formula>IF($D18-INT($D18)&gt;0,TRUE,FALSE)</formula>
    </cfRule>
  </conditionalFormatting>
  <pageMargins left="0.7" right="0.7" top="0.75" bottom="0.75" header="0.3" footer="0.3"/>
  <pageSetup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71">
    <tabColor theme="4" tint="0.59999389629810485"/>
    <pageSetUpPr fitToPage="1"/>
  </sheetPr>
  <dimension ref="A1:AI6016"/>
  <sheetViews>
    <sheetView showGridLines="0" view="pageBreakPreview" topLeftCell="G62" zoomScaleNormal="70" zoomScaleSheetLayoutView="100" workbookViewId="0">
      <selection activeCell="H70" sqref="H70"/>
    </sheetView>
  </sheetViews>
  <sheetFormatPr baseColWidth="10" defaultColWidth="13.140625" defaultRowHeight="15.75"/>
  <cols>
    <col min="1" max="1" width="8.140625" style="100" bestFit="1" customWidth="1"/>
    <col min="2" max="2" width="6" style="50" customWidth="1"/>
    <col min="3" max="3" width="18.7109375" style="50" customWidth="1"/>
    <col min="4" max="4" width="26.85546875" style="50" customWidth="1"/>
    <col min="5" max="5" width="41.7109375" style="50" customWidth="1"/>
    <col min="6" max="7" width="14.7109375" style="50" customWidth="1"/>
    <col min="8" max="8" width="19.140625" style="50" customWidth="1"/>
    <col min="9" max="9" width="32.85546875" style="50" customWidth="1"/>
    <col min="10" max="10" width="19.5703125" style="50" customWidth="1"/>
    <col min="11" max="11" width="18.85546875" style="50" customWidth="1"/>
    <col min="12" max="12" width="16" style="50" customWidth="1"/>
    <col min="13" max="13" width="14" style="50" bestFit="1" customWidth="1"/>
    <col min="14" max="14" width="22.85546875" style="50" customWidth="1"/>
    <col min="15" max="15" width="25.28515625" style="50" customWidth="1"/>
    <col min="16" max="16" width="22" style="50" customWidth="1"/>
    <col min="17" max="17" width="18.42578125" style="50" customWidth="1"/>
    <col min="18" max="18" width="16" style="50" customWidth="1"/>
    <col min="19" max="19" width="24.5703125" style="50" customWidth="1"/>
    <col min="20" max="20" width="33.5703125" style="50" customWidth="1"/>
    <col min="21" max="21" width="33.5703125" style="464" customWidth="1"/>
    <col min="22" max="22" width="2.140625" style="108" customWidth="1"/>
    <col min="23" max="23" width="18" style="108" customWidth="1"/>
    <col min="24" max="24" width="22.140625" style="108" customWidth="1"/>
    <col min="25" max="25" width="30.85546875" style="50" customWidth="1"/>
    <col min="26" max="26" width="3.7109375" style="50" customWidth="1"/>
    <col min="27" max="27" width="35.5703125" style="50" customWidth="1"/>
    <col min="28" max="30" width="25.140625" style="50" customWidth="1"/>
    <col min="31" max="31" width="24" style="50" customWidth="1"/>
    <col min="32" max="32" width="23.28515625" style="50" customWidth="1"/>
    <col min="33" max="33" width="2.7109375" style="50" customWidth="1"/>
    <col min="34" max="34" width="16.140625" style="50" customWidth="1"/>
    <col min="35" max="35" width="15.140625" style="50" customWidth="1"/>
    <col min="36" max="16384" width="13.140625" style="50"/>
  </cols>
  <sheetData>
    <row r="1" spans="1:28" s="161" customFormat="1" ht="18">
      <c r="A1" s="156"/>
      <c r="B1" s="711" t="str">
        <f>+PROPONENTES!B1</f>
        <v>INSTITUTO NACIONAL DE VÍAS</v>
      </c>
      <c r="C1" s="711"/>
      <c r="D1" s="711"/>
      <c r="E1" s="711"/>
      <c r="F1" s="711"/>
      <c r="G1" s="711"/>
      <c r="H1" s="711"/>
      <c r="I1" s="711"/>
      <c r="J1" s="711"/>
      <c r="K1" s="711"/>
      <c r="L1" s="711"/>
      <c r="M1" s="711"/>
      <c r="N1" s="711"/>
      <c r="O1" s="711"/>
      <c r="P1" s="711"/>
      <c r="Q1" s="711"/>
      <c r="R1" s="711"/>
      <c r="S1" s="711"/>
      <c r="T1" s="711"/>
      <c r="V1" s="162"/>
      <c r="W1" s="162"/>
      <c r="X1" s="162"/>
      <c r="Y1" s="163"/>
      <c r="Z1" s="163"/>
      <c r="AA1" s="163"/>
      <c r="AB1" s="163"/>
    </row>
    <row r="2" spans="1:28" s="161" customFormat="1" ht="18">
      <c r="A2" s="156"/>
      <c r="B2" s="711" t="str">
        <f>+PROPONENTES!B2</f>
        <v>DIRECCIÓN TERRITORIAL HUILA</v>
      </c>
      <c r="C2" s="711"/>
      <c r="D2" s="711"/>
      <c r="E2" s="711"/>
      <c r="F2" s="711"/>
      <c r="G2" s="711"/>
      <c r="H2" s="711"/>
      <c r="I2" s="711"/>
      <c r="J2" s="711"/>
      <c r="K2" s="711"/>
      <c r="L2" s="711"/>
      <c r="M2" s="711"/>
      <c r="N2" s="711"/>
      <c r="O2" s="711"/>
      <c r="P2" s="711"/>
      <c r="Q2" s="711"/>
      <c r="R2" s="711"/>
      <c r="S2" s="711"/>
      <c r="T2" s="711"/>
      <c r="V2" s="162"/>
      <c r="W2" s="162"/>
      <c r="X2" s="162"/>
      <c r="Y2" s="163"/>
      <c r="Z2" s="163"/>
      <c r="AA2" s="163"/>
      <c r="AB2" s="163"/>
    </row>
    <row r="3" spans="1:28" s="161" customFormat="1" ht="18">
      <c r="A3" s="156"/>
      <c r="B3" s="711"/>
      <c r="C3" s="711"/>
      <c r="D3" s="711"/>
      <c r="E3" s="711"/>
      <c r="F3" s="711"/>
      <c r="G3" s="711"/>
      <c r="H3" s="711"/>
      <c r="I3" s="711"/>
      <c r="J3" s="711"/>
      <c r="K3" s="711"/>
      <c r="L3" s="711"/>
      <c r="M3" s="711"/>
      <c r="N3" s="711"/>
      <c r="O3" s="711"/>
      <c r="P3" s="711"/>
      <c r="Q3" s="711"/>
      <c r="R3" s="711"/>
      <c r="S3" s="711"/>
      <c r="T3" s="711"/>
      <c r="V3" s="162"/>
      <c r="W3" s="162"/>
      <c r="X3" s="162"/>
      <c r="Y3" s="163"/>
      <c r="Z3" s="163"/>
      <c r="AA3" s="163"/>
      <c r="AB3" s="163"/>
    </row>
    <row r="4" spans="1:28" s="161" customFormat="1" ht="18">
      <c r="A4" s="156"/>
      <c r="B4" s="711"/>
      <c r="C4" s="711"/>
      <c r="D4" s="711"/>
      <c r="E4" s="711"/>
      <c r="F4" s="711"/>
      <c r="G4" s="711"/>
      <c r="H4" s="711"/>
      <c r="I4" s="711"/>
      <c r="J4" s="711"/>
      <c r="K4" s="711"/>
      <c r="L4" s="711"/>
      <c r="M4" s="711"/>
      <c r="N4" s="711"/>
      <c r="O4" s="711"/>
      <c r="P4" s="711"/>
      <c r="Q4" s="711"/>
      <c r="R4" s="711"/>
      <c r="S4" s="711"/>
      <c r="T4" s="711"/>
      <c r="V4" s="162"/>
      <c r="W4" s="162"/>
      <c r="X4" s="162"/>
      <c r="Y4" s="163"/>
      <c r="Z4" s="163"/>
      <c r="AA4" s="163"/>
      <c r="AB4" s="163"/>
    </row>
    <row r="5" spans="1:28" s="161" customFormat="1" ht="18">
      <c r="A5" s="156"/>
      <c r="B5" s="157"/>
      <c r="C5" s="45"/>
      <c r="D5" s="45"/>
      <c r="E5" s="158"/>
      <c r="F5" s="158"/>
      <c r="G5" s="158"/>
      <c r="H5" s="158"/>
      <c r="I5" s="158"/>
      <c r="J5" s="158"/>
      <c r="K5" s="159"/>
      <c r="L5" s="159"/>
      <c r="M5" s="159"/>
      <c r="N5" s="160"/>
      <c r="O5" s="160"/>
      <c r="P5" s="160"/>
      <c r="Q5" s="160"/>
      <c r="R5" s="160"/>
      <c r="S5" s="159"/>
      <c r="V5" s="162"/>
      <c r="W5" s="162"/>
      <c r="X5" s="162"/>
      <c r="Y5" s="163"/>
      <c r="Z5" s="163"/>
      <c r="AA5" s="163"/>
      <c r="AB5" s="163"/>
    </row>
    <row r="6" spans="1:28" s="161" customFormat="1" ht="18">
      <c r="A6" s="156"/>
      <c r="B6" s="711" t="str">
        <f>+PROPONENTES!B6</f>
        <v>CONCURSO DE MÉRITOS ABIERTO</v>
      </c>
      <c r="C6" s="711"/>
      <c r="D6" s="711"/>
      <c r="E6" s="711"/>
      <c r="F6" s="711"/>
      <c r="G6" s="711"/>
      <c r="H6" s="711"/>
      <c r="I6" s="711"/>
      <c r="J6" s="711"/>
      <c r="K6" s="711"/>
      <c r="L6" s="711"/>
      <c r="M6" s="711"/>
      <c r="N6" s="711"/>
      <c r="O6" s="711"/>
      <c r="P6" s="711"/>
      <c r="Q6" s="711"/>
      <c r="R6" s="711"/>
      <c r="S6" s="711"/>
      <c r="T6" s="711"/>
      <c r="V6" s="162"/>
      <c r="W6" s="162"/>
      <c r="X6" s="162"/>
      <c r="Y6" s="163"/>
      <c r="Z6" s="163"/>
      <c r="AA6" s="163"/>
      <c r="AB6" s="163"/>
    </row>
    <row r="7" spans="1:28" s="161" customFormat="1" ht="18">
      <c r="A7" s="156"/>
      <c r="B7" s="711" t="str">
        <f>+PROPONENTES!B7</f>
        <v>CMA-DT-HUI-002-2019</v>
      </c>
      <c r="C7" s="711"/>
      <c r="D7" s="711"/>
      <c r="E7" s="711"/>
      <c r="F7" s="711"/>
      <c r="G7" s="711"/>
      <c r="H7" s="711"/>
      <c r="I7" s="711"/>
      <c r="J7" s="711"/>
      <c r="K7" s="711"/>
      <c r="L7" s="711"/>
      <c r="M7" s="711"/>
      <c r="N7" s="711"/>
      <c r="O7" s="711"/>
      <c r="P7" s="711"/>
      <c r="Q7" s="711"/>
      <c r="R7" s="711"/>
      <c r="S7" s="711"/>
      <c r="T7" s="711"/>
      <c r="V7" s="162"/>
      <c r="W7" s="162"/>
      <c r="X7" s="162"/>
      <c r="Y7" s="163"/>
      <c r="Z7" s="163"/>
      <c r="AA7" s="163"/>
      <c r="AB7" s="163"/>
    </row>
    <row r="8" spans="1:28" s="161" customFormat="1" ht="18">
      <c r="A8" s="156"/>
      <c r="B8" s="157"/>
      <c r="C8" s="45"/>
      <c r="D8" s="45"/>
      <c r="E8" s="158"/>
      <c r="F8" s="158"/>
      <c r="G8" s="158"/>
      <c r="H8" s="158"/>
      <c r="I8" s="158"/>
      <c r="J8" s="158"/>
      <c r="K8" s="159"/>
      <c r="L8" s="159"/>
      <c r="M8" s="159"/>
      <c r="N8" s="160"/>
      <c r="O8" s="160"/>
      <c r="P8" s="160"/>
      <c r="Q8" s="160"/>
      <c r="R8" s="160"/>
      <c r="S8" s="159"/>
      <c r="V8" s="162"/>
      <c r="W8" s="162"/>
      <c r="X8" s="162"/>
      <c r="Y8" s="163"/>
      <c r="Z8" s="163"/>
      <c r="AA8" s="163"/>
      <c r="AB8" s="163"/>
    </row>
    <row r="9" spans="1:28" s="161" customFormat="1" ht="18">
      <c r="A9" s="156"/>
      <c r="B9" s="711" t="str">
        <f>+PROPONENTES!B9</f>
        <v>OBJETO: "INTERVENTORIA TECNICA, ADMINISTRATIVA, FINANCIERA, AMBIENTAL , ATENCIÓN SITIOS CRITICOS CONSTRUCCIÓN PUENTE QUEBRADA PÌEDRAS NEGRAS MUNICIPIO DE SALADOBLANCO CARRETERA LA CABAÑA-MORELIA, CÓDIGO 19787 (PRODUCTO SITIO CRÍTICO DE RED TERCIARIA ESTABILIZADA).”</v>
      </c>
      <c r="C9" s="711"/>
      <c r="D9" s="711"/>
      <c r="E9" s="711"/>
      <c r="F9" s="711"/>
      <c r="G9" s="711"/>
      <c r="H9" s="711"/>
      <c r="I9" s="711"/>
      <c r="J9" s="711"/>
      <c r="K9" s="711"/>
      <c r="L9" s="711"/>
      <c r="M9" s="711"/>
      <c r="N9" s="711"/>
      <c r="O9" s="711"/>
      <c r="P9" s="711"/>
      <c r="Q9" s="711"/>
      <c r="R9" s="711"/>
      <c r="S9" s="711"/>
      <c r="T9" s="711"/>
      <c r="V9" s="162"/>
      <c r="W9" s="162"/>
      <c r="X9" s="162"/>
      <c r="Y9" s="163"/>
      <c r="Z9" s="163"/>
      <c r="AA9" s="163"/>
      <c r="AB9" s="163"/>
    </row>
    <row r="10" spans="1:28" s="161" customFormat="1" ht="18">
      <c r="A10" s="156"/>
      <c r="B10" s="157"/>
      <c r="C10" s="164"/>
      <c r="D10" s="164"/>
      <c r="E10" s="158"/>
      <c r="F10" s="158"/>
      <c r="G10" s="158"/>
      <c r="H10" s="158"/>
      <c r="I10" s="158"/>
      <c r="J10" s="158"/>
      <c r="K10" s="159"/>
      <c r="L10" s="159"/>
      <c r="M10" s="159"/>
      <c r="N10" s="158"/>
      <c r="O10" s="158"/>
      <c r="P10" s="158"/>
      <c r="Q10" s="158"/>
      <c r="R10" s="158"/>
      <c r="S10" s="159"/>
      <c r="V10" s="162"/>
      <c r="W10" s="162"/>
      <c r="X10" s="162"/>
      <c r="Y10" s="163"/>
      <c r="Z10" s="163"/>
      <c r="AA10" s="163"/>
      <c r="AB10" s="163"/>
    </row>
    <row r="11" spans="1:28" s="161" customFormat="1" ht="18">
      <c r="A11" s="156"/>
      <c r="B11" s="711" t="str">
        <f>PROPONENTES!B11</f>
        <v>MÓDULO No. 1</v>
      </c>
      <c r="C11" s="711"/>
      <c r="D11" s="711"/>
      <c r="E11" s="711"/>
      <c r="F11" s="711"/>
      <c r="G11" s="711"/>
      <c r="H11" s="711"/>
      <c r="I11" s="711"/>
      <c r="J11" s="711"/>
      <c r="K11" s="711"/>
      <c r="L11" s="711"/>
      <c r="M11" s="711"/>
      <c r="N11" s="711"/>
      <c r="O11" s="711"/>
      <c r="P11" s="711"/>
      <c r="Q11" s="711"/>
      <c r="R11" s="711"/>
      <c r="S11" s="711"/>
      <c r="T11" s="711"/>
      <c r="V11" s="162"/>
      <c r="W11" s="162"/>
      <c r="X11" s="162"/>
      <c r="Y11" s="163"/>
      <c r="Z11" s="163"/>
      <c r="AA11" s="163"/>
      <c r="AB11" s="163"/>
    </row>
    <row r="12" spans="1:28" s="161" customFormat="1" ht="18">
      <c r="A12" s="156"/>
      <c r="B12" s="157"/>
      <c r="C12" s="164"/>
      <c r="D12" s="164"/>
      <c r="E12" s="158"/>
      <c r="F12" s="158"/>
      <c r="G12" s="158"/>
      <c r="H12" s="158"/>
      <c r="I12" s="158"/>
      <c r="J12" s="158"/>
      <c r="K12" s="159"/>
      <c r="L12" s="159"/>
      <c r="M12" s="159"/>
      <c r="N12" s="158"/>
      <c r="O12" s="158"/>
      <c r="P12" s="158"/>
      <c r="Q12" s="158"/>
      <c r="R12" s="158"/>
      <c r="S12" s="159"/>
      <c r="V12" s="162"/>
      <c r="W12" s="162"/>
      <c r="X12" s="162"/>
      <c r="Y12" s="163"/>
      <c r="Z12" s="163"/>
      <c r="AA12" s="163"/>
      <c r="AB12" s="163"/>
    </row>
    <row r="13" spans="1:28" s="161" customFormat="1" ht="18">
      <c r="A13" s="156"/>
      <c r="B13" s="765" t="s">
        <v>84</v>
      </c>
      <c r="C13" s="765"/>
      <c r="D13" s="765"/>
      <c r="E13" s="765"/>
      <c r="F13" s="765"/>
      <c r="G13" s="765"/>
      <c r="H13" s="765"/>
      <c r="I13" s="765"/>
      <c r="J13" s="765"/>
      <c r="K13" s="765"/>
      <c r="L13" s="765"/>
      <c r="M13" s="765"/>
      <c r="N13" s="765"/>
      <c r="O13" s="765"/>
      <c r="P13" s="765"/>
      <c r="Q13" s="765"/>
      <c r="R13" s="765"/>
      <c r="S13" s="765"/>
      <c r="T13" s="765"/>
      <c r="V13" s="162"/>
      <c r="W13" s="162"/>
      <c r="X13" s="162"/>
      <c r="Y13" s="163"/>
      <c r="Z13" s="163"/>
      <c r="AA13" s="163"/>
      <c r="AB13" s="163"/>
    </row>
    <row r="14" spans="1:28" s="161" customFormat="1" ht="18">
      <c r="A14" s="156"/>
      <c r="B14" s="765" t="s">
        <v>58</v>
      </c>
      <c r="C14" s="765"/>
      <c r="D14" s="765"/>
      <c r="E14" s="765"/>
      <c r="F14" s="765"/>
      <c r="G14" s="765"/>
      <c r="H14" s="765"/>
      <c r="I14" s="765"/>
      <c r="J14" s="765"/>
      <c r="K14" s="765"/>
      <c r="L14" s="765"/>
      <c r="M14" s="765"/>
      <c r="N14" s="765"/>
      <c r="O14" s="765"/>
      <c r="P14" s="765"/>
      <c r="Q14" s="765"/>
      <c r="R14" s="765"/>
      <c r="S14" s="765"/>
      <c r="T14" s="765"/>
      <c r="V14" s="162"/>
      <c r="W14" s="162"/>
      <c r="X14" s="162"/>
      <c r="Y14" s="163"/>
      <c r="Z14" s="163"/>
      <c r="AA14" s="163"/>
      <c r="AB14" s="163"/>
    </row>
    <row r="15" spans="1:28" s="49" customFormat="1" ht="16.5" thickBot="1">
      <c r="A15" s="44"/>
      <c r="B15" s="51"/>
      <c r="C15" s="51"/>
      <c r="D15" s="51"/>
      <c r="E15" s="46"/>
      <c r="F15" s="46"/>
      <c r="G15" s="46"/>
      <c r="H15" s="46"/>
      <c r="I15" s="46"/>
      <c r="J15" s="46"/>
      <c r="K15" s="47"/>
      <c r="L15" s="47"/>
      <c r="M15" s="47"/>
      <c r="N15" s="48"/>
      <c r="O15" s="48"/>
      <c r="P15" s="48"/>
      <c r="Q15" s="48"/>
      <c r="R15" s="48"/>
      <c r="V15" s="108"/>
      <c r="W15" s="108"/>
      <c r="X15" s="108"/>
      <c r="Y15" s="50"/>
      <c r="Z15" s="50"/>
      <c r="AA15" s="50"/>
      <c r="AB15" s="50"/>
    </row>
    <row r="16" spans="1:28" s="49" customFormat="1">
      <c r="A16" s="44"/>
      <c r="C16" s="52"/>
      <c r="H16" s="53"/>
      <c r="K16" s="54"/>
      <c r="L16" s="54"/>
      <c r="M16" s="54"/>
      <c r="N16" s="110"/>
      <c r="O16" s="202" t="s">
        <v>73</v>
      </c>
      <c r="P16" s="203" t="s">
        <v>72</v>
      </c>
      <c r="V16" s="108"/>
      <c r="W16" s="108"/>
      <c r="X16" s="108"/>
      <c r="Y16" s="50"/>
      <c r="Z16" s="50"/>
      <c r="AA16" s="50"/>
      <c r="AB16" s="50"/>
    </row>
    <row r="17" spans="1:35" s="49" customFormat="1" ht="16.5" thickBot="1">
      <c r="A17" s="44"/>
      <c r="B17" s="55"/>
      <c r="C17" s="56"/>
      <c r="D17" s="57"/>
      <c r="E17" s="57"/>
      <c r="F17" s="57"/>
      <c r="G17" s="53"/>
      <c r="H17" s="53"/>
      <c r="N17" s="111"/>
      <c r="O17" s="204">
        <f>+FMINEXP</f>
        <v>29221</v>
      </c>
      <c r="P17" s="205">
        <f>+FechaCierre</f>
        <v>43749</v>
      </c>
      <c r="V17" s="108"/>
      <c r="W17" s="108"/>
      <c r="X17" s="108"/>
      <c r="Y17" s="50"/>
      <c r="Z17" s="50"/>
      <c r="AA17" s="50"/>
      <c r="AB17" s="50"/>
    </row>
    <row r="18" spans="1:35" s="49" customFormat="1">
      <c r="A18" s="44"/>
      <c r="B18" s="58"/>
      <c r="C18" s="59"/>
      <c r="D18" s="58"/>
      <c r="E18" s="58"/>
      <c r="F18" s="58"/>
      <c r="G18" s="53"/>
      <c r="H18" s="53"/>
      <c r="N18" s="109"/>
      <c r="V18" s="108"/>
      <c r="W18" s="108"/>
      <c r="X18" s="108"/>
      <c r="Y18" s="50"/>
      <c r="Z18" s="50"/>
      <c r="AA18" s="50"/>
      <c r="AB18" s="50"/>
    </row>
    <row r="19" spans="1:35" s="49" customFormat="1">
      <c r="A19" s="44"/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108"/>
      <c r="W19" s="108"/>
      <c r="X19" s="108"/>
      <c r="Y19" s="50"/>
      <c r="Z19" s="50"/>
      <c r="AA19" s="50"/>
      <c r="AB19" s="50"/>
    </row>
    <row r="20" spans="1:35" s="68" customFormat="1" ht="24" thickBot="1">
      <c r="A20" s="61">
        <v>1</v>
      </c>
      <c r="B20" s="704" t="s">
        <v>51</v>
      </c>
      <c r="C20" s="704"/>
      <c r="D20" s="704"/>
      <c r="E20" s="62">
        <f>VLOOKUP(A20,PROPONENTES!$B$19:$E$218,2,FALSE)</f>
        <v>1</v>
      </c>
      <c r="F20" s="63" t="str">
        <f>VLOOKUP(A20,PROPONENTES!$B$19:$E$218,3,FALSE)</f>
        <v>CONSORCIO JC 2019</v>
      </c>
      <c r="G20" s="64"/>
      <c r="H20" s="64"/>
      <c r="I20" s="63"/>
      <c r="J20" s="63"/>
      <c r="K20" s="65"/>
      <c r="L20" s="65"/>
      <c r="M20" s="64"/>
      <c r="N20" s="64"/>
      <c r="O20" s="66"/>
      <c r="P20" s="66"/>
      <c r="Q20" s="66"/>
      <c r="R20" s="66"/>
      <c r="S20" s="67"/>
      <c r="V20" s="108"/>
      <c r="W20" s="108"/>
      <c r="X20" s="108"/>
      <c r="Y20" s="50"/>
      <c r="Z20" s="50"/>
      <c r="AA20" s="50"/>
      <c r="AB20" s="50"/>
    </row>
    <row r="21" spans="1:35" s="49" customFormat="1" ht="15.75" customHeight="1" thickBot="1">
      <c r="A21" s="44"/>
      <c r="B21" s="709" t="s">
        <v>59</v>
      </c>
      <c r="C21" s="69" t="s">
        <v>60</v>
      </c>
      <c r="D21" s="70" t="s">
        <v>17</v>
      </c>
      <c r="E21" s="70"/>
      <c r="F21" s="70" t="s">
        <v>61</v>
      </c>
      <c r="G21" s="71"/>
      <c r="H21" s="699" t="s">
        <v>62</v>
      </c>
      <c r="I21" s="699" t="s">
        <v>18</v>
      </c>
      <c r="J21" s="699" t="s">
        <v>63</v>
      </c>
      <c r="K21" s="699" t="s">
        <v>64</v>
      </c>
      <c r="L21" s="699" t="s">
        <v>65</v>
      </c>
      <c r="M21" s="743" t="s">
        <v>66</v>
      </c>
      <c r="N21" s="699" t="s">
        <v>282</v>
      </c>
      <c r="O21" s="745" t="s">
        <v>67</v>
      </c>
      <c r="P21" s="746"/>
      <c r="Q21" s="102" t="s">
        <v>75</v>
      </c>
      <c r="R21" s="731" t="s">
        <v>22</v>
      </c>
      <c r="S21" s="732"/>
      <c r="T21" s="733"/>
      <c r="U21" s="712" t="s">
        <v>298</v>
      </c>
      <c r="V21" s="108"/>
      <c r="W21" s="690" t="s">
        <v>268</v>
      </c>
      <c r="X21" s="691"/>
      <c r="Y21" s="692"/>
      <c r="Z21" s="428"/>
      <c r="AA21" s="697" t="s">
        <v>315</v>
      </c>
      <c r="AB21" s="695" t="s">
        <v>322</v>
      </c>
      <c r="AD21" s="690" t="s">
        <v>297</v>
      </c>
      <c r="AE21" s="691"/>
      <c r="AF21" s="692"/>
    </row>
    <row r="22" spans="1:35" s="49" customFormat="1" ht="89.25" customHeight="1" thickBot="1">
      <c r="A22" s="44"/>
      <c r="B22" s="710"/>
      <c r="C22" s="72" t="s">
        <v>68</v>
      </c>
      <c r="D22" s="73" t="s">
        <v>3</v>
      </c>
      <c r="E22" s="73" t="s">
        <v>19</v>
      </c>
      <c r="F22" s="73" t="s">
        <v>69</v>
      </c>
      <c r="G22" s="74" t="s">
        <v>70</v>
      </c>
      <c r="H22" s="700"/>
      <c r="I22" s="700"/>
      <c r="J22" s="700"/>
      <c r="K22" s="700"/>
      <c r="L22" s="700"/>
      <c r="M22" s="744"/>
      <c r="N22" s="700"/>
      <c r="O22" s="72" t="s">
        <v>279</v>
      </c>
      <c r="P22" s="73" t="s">
        <v>88</v>
      </c>
      <c r="Q22" s="75" t="s">
        <v>76</v>
      </c>
      <c r="R22" s="734"/>
      <c r="S22" s="735"/>
      <c r="T22" s="736"/>
      <c r="U22" s="712"/>
      <c r="V22" s="108"/>
      <c r="W22" s="429" t="s">
        <v>269</v>
      </c>
      <c r="X22" s="457" t="s">
        <v>278</v>
      </c>
      <c r="Y22" s="430" t="s">
        <v>365</v>
      </c>
      <c r="Z22" s="428"/>
      <c r="AA22" s="698"/>
      <c r="AB22" s="696"/>
      <c r="AD22" s="429" t="s">
        <v>292</v>
      </c>
      <c r="AE22" s="431" t="s">
        <v>300</v>
      </c>
      <c r="AF22" s="468" t="s">
        <v>301</v>
      </c>
      <c r="AH22" s="489" t="s">
        <v>311</v>
      </c>
      <c r="AI22" s="490">
        <v>1</v>
      </c>
    </row>
    <row r="23" spans="1:35" s="49" customFormat="1" ht="12.75">
      <c r="A23" s="44"/>
      <c r="B23" s="76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8"/>
      <c r="T23" s="79"/>
      <c r="U23" s="109"/>
      <c r="W23" s="432"/>
      <c r="X23" s="454"/>
      <c r="Y23" s="433"/>
      <c r="Z23" s="6"/>
      <c r="AA23" s="500"/>
      <c r="AB23" s="562"/>
      <c r="AD23" s="210"/>
      <c r="AE23" s="434"/>
      <c r="AF23" s="435"/>
    </row>
    <row r="24" spans="1:35" s="87" customFormat="1" ht="57" customHeight="1">
      <c r="A24" s="80" t="str">
        <f>"A"&amp;E20</f>
        <v>A1</v>
      </c>
      <c r="B24" s="81">
        <v>1</v>
      </c>
      <c r="C24" s="82" t="s">
        <v>363</v>
      </c>
      <c r="D24" s="600" t="s">
        <v>424</v>
      </c>
      <c r="E24" s="600" t="s">
        <v>413</v>
      </c>
      <c r="F24" s="82" t="s">
        <v>364</v>
      </c>
      <c r="G24" s="83">
        <v>1</v>
      </c>
      <c r="H24" s="83" t="s">
        <v>24</v>
      </c>
      <c r="I24" s="84" t="s">
        <v>422</v>
      </c>
      <c r="J24" s="601">
        <v>36396</v>
      </c>
      <c r="K24" s="382"/>
      <c r="L24" s="601">
        <v>36441</v>
      </c>
      <c r="M24" s="332" t="str">
        <f t="shared" ref="M24:M33" si="0">IF(OR(J24="",L24="",H24="NO"),"",IF(OR(J24&gt;$P$17,J24&lt;$O$17,L24&gt;$P$17,AND(J24&lt;$O$17,L24&lt;$O$17)),"FUERA DE RANGO",IF(OR(K24="---",K24=""),IF(J24&gt;=$O$17,ROUND((L24-J24+1)/360*12,3),ROUND((L24-$O$17+1)/360*12,3)),IF(J24&gt;=$O$17,ROUND((L24-J24+1)/360*12-ROUND(K24,3),3),ROUND((L24-$O$17+1)/360*12-ROUND(K24,3),3)))))</f>
        <v/>
      </c>
      <c r="N24" s="86">
        <v>56.56</v>
      </c>
      <c r="O24" s="453">
        <f>IF(OR(G24="",N24=""),"",N24*G24)</f>
        <v>56.56</v>
      </c>
      <c r="P24" s="538" t="str">
        <f t="shared" ref="P24:P33" si="1">IF(OR(H24="",M24="FUERA DE RANGO"),"",IF(OR(L24&lt;$O$17,L24&gt;$P$17,L24="",H24="NO"),"",IF(OR(N24="",O24=""),"",ROUND(O24,3))))</f>
        <v/>
      </c>
      <c r="Q24" s="539" t="str">
        <f t="shared" ref="Q24:Q33" si="2">IF(AND(H24="SI",P24&lt;&gt;""),ROUND(P24/M24,3),"")</f>
        <v/>
      </c>
      <c r="R24" s="737"/>
      <c r="S24" s="738"/>
      <c r="T24" s="739"/>
      <c r="U24" s="470"/>
      <c r="V24" s="165"/>
      <c r="W24" s="446" t="s">
        <v>25</v>
      </c>
      <c r="X24" s="456">
        <v>18</v>
      </c>
      <c r="Y24" s="436" t="s">
        <v>25</v>
      </c>
      <c r="Z24" s="437"/>
      <c r="AA24" s="560" t="s">
        <v>317</v>
      </c>
      <c r="AB24" s="561" t="s">
        <v>294</v>
      </c>
      <c r="AD24" s="466" t="s">
        <v>289</v>
      </c>
      <c r="AE24" s="456" t="s">
        <v>25</v>
      </c>
      <c r="AF24" s="467" t="s">
        <v>24</v>
      </c>
    </row>
    <row r="25" spans="1:35" s="87" customFormat="1" ht="68.25" customHeight="1">
      <c r="A25" s="80" t="str">
        <f>"B"&amp;E20</f>
        <v>B1</v>
      </c>
      <c r="B25" s="81">
        <v>2</v>
      </c>
      <c r="C25" s="82" t="s">
        <v>363</v>
      </c>
      <c r="D25" s="600" t="s">
        <v>458</v>
      </c>
      <c r="E25" s="600" t="s">
        <v>414</v>
      </c>
      <c r="F25" s="106" t="s">
        <v>364</v>
      </c>
      <c r="G25" s="83">
        <v>1</v>
      </c>
      <c r="H25" s="83" t="s">
        <v>25</v>
      </c>
      <c r="I25" s="84" t="s">
        <v>422</v>
      </c>
      <c r="J25" s="601">
        <v>36760</v>
      </c>
      <c r="K25" s="382"/>
      <c r="L25" s="601">
        <v>36820</v>
      </c>
      <c r="M25" s="332">
        <f t="shared" si="0"/>
        <v>2.0329999999999999</v>
      </c>
      <c r="N25" s="86">
        <v>57.55</v>
      </c>
      <c r="O25" s="453">
        <f t="shared" ref="O25:O33" si="3">IF(OR(G25="",N25=""),"",N25*G25)</f>
        <v>57.55</v>
      </c>
      <c r="P25" s="538">
        <f t="shared" si="1"/>
        <v>57.55</v>
      </c>
      <c r="Q25" s="539">
        <f t="shared" si="2"/>
        <v>28.308</v>
      </c>
      <c r="R25" s="740"/>
      <c r="S25" s="741"/>
      <c r="T25" s="742"/>
      <c r="U25" s="471"/>
      <c r="V25" s="165"/>
      <c r="W25" s="446" t="s">
        <v>25</v>
      </c>
      <c r="X25" s="456">
        <v>19</v>
      </c>
      <c r="Y25" s="436" t="s">
        <v>25</v>
      </c>
      <c r="Z25" s="437"/>
      <c r="AA25" s="560" t="s">
        <v>317</v>
      </c>
      <c r="AB25" s="561" t="s">
        <v>294</v>
      </c>
      <c r="AD25" s="466" t="s">
        <v>289</v>
      </c>
      <c r="AE25" s="456" t="s">
        <v>25</v>
      </c>
      <c r="AF25" s="467" t="s">
        <v>25</v>
      </c>
    </row>
    <row r="26" spans="1:35" s="87" customFormat="1" ht="63" customHeight="1">
      <c r="A26" s="80" t="str">
        <f>"C"&amp;E20</f>
        <v>C1</v>
      </c>
      <c r="B26" s="88">
        <v>3</v>
      </c>
      <c r="C26" s="82" t="s">
        <v>363</v>
      </c>
      <c r="D26" s="600" t="s">
        <v>411</v>
      </c>
      <c r="E26" s="600" t="s">
        <v>415</v>
      </c>
      <c r="F26" s="82" t="s">
        <v>364</v>
      </c>
      <c r="G26" s="83">
        <v>1</v>
      </c>
      <c r="H26" s="83" t="s">
        <v>24</v>
      </c>
      <c r="I26" s="84" t="s">
        <v>422</v>
      </c>
      <c r="J26" s="601">
        <v>37636</v>
      </c>
      <c r="K26" s="382"/>
      <c r="L26" s="601">
        <v>37694</v>
      </c>
      <c r="M26" s="332" t="str">
        <f t="shared" si="0"/>
        <v/>
      </c>
      <c r="N26" s="86">
        <v>22.53</v>
      </c>
      <c r="O26" s="453">
        <f t="shared" si="3"/>
        <v>22.53</v>
      </c>
      <c r="P26" s="538" t="str">
        <f t="shared" si="1"/>
        <v/>
      </c>
      <c r="Q26" s="539" t="str">
        <f t="shared" si="2"/>
        <v/>
      </c>
      <c r="R26" s="706"/>
      <c r="S26" s="707"/>
      <c r="T26" s="708"/>
      <c r="U26" s="472"/>
      <c r="V26" s="166"/>
      <c r="W26" s="446" t="s">
        <v>25</v>
      </c>
      <c r="X26" s="456">
        <v>21</v>
      </c>
      <c r="Y26" s="436" t="s">
        <v>25</v>
      </c>
      <c r="Z26" s="437"/>
      <c r="AA26" s="560" t="s">
        <v>317</v>
      </c>
      <c r="AB26" s="561" t="s">
        <v>294</v>
      </c>
      <c r="AD26" s="466" t="s">
        <v>289</v>
      </c>
      <c r="AE26" s="456" t="s">
        <v>25</v>
      </c>
      <c r="AF26" s="467" t="s">
        <v>24</v>
      </c>
    </row>
    <row r="27" spans="1:35" s="87" customFormat="1" ht="67.5" customHeight="1">
      <c r="A27" s="80" t="str">
        <f>"D"&amp;E20</f>
        <v>D1</v>
      </c>
      <c r="B27" s="105">
        <v>4</v>
      </c>
      <c r="C27" s="107" t="str">
        <f>+C26</f>
        <v>INVIAS</v>
      </c>
      <c r="D27" s="600" t="s">
        <v>412</v>
      </c>
      <c r="E27" s="600" t="s">
        <v>416</v>
      </c>
      <c r="F27" s="107" t="s">
        <v>364</v>
      </c>
      <c r="G27" s="83">
        <v>1</v>
      </c>
      <c r="H27" s="83" t="s">
        <v>24</v>
      </c>
      <c r="I27" s="84" t="s">
        <v>422</v>
      </c>
      <c r="J27" s="601">
        <v>39728</v>
      </c>
      <c r="K27" s="382"/>
      <c r="L27" s="601">
        <v>39808</v>
      </c>
      <c r="M27" s="332" t="str">
        <f t="shared" si="0"/>
        <v/>
      </c>
      <c r="N27" s="86">
        <v>106.48</v>
      </c>
      <c r="O27" s="453">
        <f t="shared" si="3"/>
        <v>106.48</v>
      </c>
      <c r="P27" s="538" t="str">
        <f t="shared" si="1"/>
        <v/>
      </c>
      <c r="Q27" s="539" t="str">
        <f t="shared" si="2"/>
        <v/>
      </c>
      <c r="R27" s="706"/>
      <c r="S27" s="707"/>
      <c r="T27" s="708"/>
      <c r="U27" s="472"/>
      <c r="V27" s="166"/>
      <c r="W27" s="446" t="s">
        <v>25</v>
      </c>
      <c r="X27" s="456">
        <v>32</v>
      </c>
      <c r="Y27" s="436" t="s">
        <v>25</v>
      </c>
      <c r="Z27" s="437"/>
      <c r="AA27" s="560" t="s">
        <v>317</v>
      </c>
      <c r="AB27" s="561" t="s">
        <v>294</v>
      </c>
      <c r="AD27" s="466" t="s">
        <v>289</v>
      </c>
      <c r="AE27" s="456" t="s">
        <v>25</v>
      </c>
      <c r="AF27" s="467" t="s">
        <v>24</v>
      </c>
    </row>
    <row r="28" spans="1:35" s="87" customFormat="1" ht="77.25" customHeight="1">
      <c r="A28" s="80" t="str">
        <f>"E"&amp;E20</f>
        <v>E1</v>
      </c>
      <c r="B28" s="105">
        <v>5</v>
      </c>
      <c r="C28" s="107" t="s">
        <v>363</v>
      </c>
      <c r="D28" s="600" t="s">
        <v>459</v>
      </c>
      <c r="E28" s="600" t="s">
        <v>417</v>
      </c>
      <c r="F28" s="107" t="s">
        <v>364</v>
      </c>
      <c r="G28" s="83">
        <v>1</v>
      </c>
      <c r="H28" s="83" t="s">
        <v>24</v>
      </c>
      <c r="I28" s="84" t="s">
        <v>423</v>
      </c>
      <c r="J28" s="601">
        <v>40176</v>
      </c>
      <c r="K28" s="621">
        <f>+SUSPENSIONES!N10</f>
        <v>3.2669999999999999</v>
      </c>
      <c r="L28" s="601">
        <v>40338</v>
      </c>
      <c r="M28" s="332" t="str">
        <f t="shared" si="0"/>
        <v/>
      </c>
      <c r="N28" s="86">
        <v>41.8</v>
      </c>
      <c r="O28" s="453">
        <f t="shared" si="3"/>
        <v>41.8</v>
      </c>
      <c r="P28" s="538" t="str">
        <f t="shared" si="1"/>
        <v/>
      </c>
      <c r="Q28" s="539" t="str">
        <f t="shared" si="2"/>
        <v/>
      </c>
      <c r="R28" s="706"/>
      <c r="S28" s="707"/>
      <c r="T28" s="708"/>
      <c r="U28" s="472" t="s">
        <v>471</v>
      </c>
      <c r="V28" s="472"/>
      <c r="W28" s="472"/>
      <c r="X28" s="456">
        <v>12</v>
      </c>
      <c r="Y28" s="436" t="s">
        <v>25</v>
      </c>
      <c r="Z28" s="437"/>
      <c r="AA28" s="560" t="s">
        <v>319</v>
      </c>
      <c r="AB28" s="561" t="s">
        <v>294</v>
      </c>
      <c r="AD28" s="466" t="s">
        <v>289</v>
      </c>
      <c r="AE28" s="456" t="s">
        <v>25</v>
      </c>
      <c r="AF28" s="467" t="s">
        <v>24</v>
      </c>
    </row>
    <row r="29" spans="1:35" s="87" customFormat="1" ht="15.75" customHeight="1">
      <c r="A29" s="80" t="str">
        <f>"F"&amp;E20</f>
        <v>F1</v>
      </c>
      <c r="B29" s="105">
        <v>6</v>
      </c>
      <c r="C29" s="107"/>
      <c r="D29" s="107"/>
      <c r="E29" s="107"/>
      <c r="F29" s="107"/>
      <c r="G29" s="83"/>
      <c r="H29" s="83"/>
      <c r="I29" s="84"/>
      <c r="J29" s="85"/>
      <c r="K29" s="382"/>
      <c r="L29" s="85"/>
      <c r="M29" s="332" t="str">
        <f t="shared" si="0"/>
        <v/>
      </c>
      <c r="N29" s="86"/>
      <c r="O29" s="453" t="str">
        <f t="shared" si="3"/>
        <v/>
      </c>
      <c r="P29" s="538" t="str">
        <f t="shared" si="1"/>
        <v/>
      </c>
      <c r="Q29" s="539" t="str">
        <f t="shared" si="2"/>
        <v/>
      </c>
      <c r="R29" s="706"/>
      <c r="S29" s="707"/>
      <c r="T29" s="708"/>
      <c r="U29" s="472"/>
      <c r="V29" s="167"/>
      <c r="W29" s="446"/>
      <c r="X29" s="456"/>
      <c r="Y29" s="436"/>
      <c r="Z29" s="437"/>
      <c r="AA29" s="560"/>
      <c r="AB29" s="561"/>
      <c r="AD29" s="466"/>
      <c r="AE29" s="456"/>
      <c r="AF29" s="467"/>
    </row>
    <row r="30" spans="1:35" s="87" customFormat="1" ht="15.75" customHeight="1">
      <c r="A30" s="80" t="str">
        <f>"G"&amp;E20</f>
        <v>G1</v>
      </c>
      <c r="B30" s="105">
        <v>7</v>
      </c>
      <c r="C30" s="107"/>
      <c r="D30" s="107"/>
      <c r="E30" s="107"/>
      <c r="F30" s="107"/>
      <c r="G30" s="83"/>
      <c r="H30" s="83"/>
      <c r="I30" s="84"/>
      <c r="J30" s="85"/>
      <c r="K30" s="382"/>
      <c r="L30" s="85"/>
      <c r="M30" s="332" t="str">
        <f t="shared" si="0"/>
        <v/>
      </c>
      <c r="N30" s="86"/>
      <c r="O30" s="86" t="str">
        <f t="shared" si="3"/>
        <v/>
      </c>
      <c r="P30" s="538" t="str">
        <f t="shared" si="1"/>
        <v/>
      </c>
      <c r="Q30" s="539" t="str">
        <f t="shared" si="2"/>
        <v/>
      </c>
      <c r="R30" s="706"/>
      <c r="S30" s="707"/>
      <c r="T30" s="708"/>
      <c r="U30" s="472"/>
      <c r="V30" s="167"/>
      <c r="W30" s="446"/>
      <c r="X30" s="456"/>
      <c r="Y30" s="436"/>
      <c r="Z30" s="437"/>
      <c r="AA30" s="560"/>
      <c r="AB30" s="561"/>
      <c r="AD30" s="466"/>
      <c r="AE30" s="456"/>
      <c r="AF30" s="467"/>
    </row>
    <row r="31" spans="1:35" s="87" customFormat="1" ht="15.75" customHeight="1">
      <c r="A31" s="80" t="str">
        <f>"H"&amp;E20</f>
        <v>H1</v>
      </c>
      <c r="B31" s="105">
        <v>8</v>
      </c>
      <c r="C31" s="107"/>
      <c r="D31" s="107"/>
      <c r="E31" s="107"/>
      <c r="F31" s="107"/>
      <c r="G31" s="83"/>
      <c r="H31" s="83"/>
      <c r="I31" s="84"/>
      <c r="J31" s="85"/>
      <c r="K31" s="382"/>
      <c r="L31" s="85"/>
      <c r="M31" s="332" t="str">
        <f t="shared" si="0"/>
        <v/>
      </c>
      <c r="N31" s="453"/>
      <c r="O31" s="86" t="str">
        <f t="shared" si="3"/>
        <v/>
      </c>
      <c r="P31" s="538" t="str">
        <f t="shared" si="1"/>
        <v/>
      </c>
      <c r="Q31" s="539" t="str">
        <f t="shared" si="2"/>
        <v/>
      </c>
      <c r="R31" s="706"/>
      <c r="S31" s="707"/>
      <c r="T31" s="708"/>
      <c r="U31" s="472"/>
      <c r="V31" s="167"/>
      <c r="W31" s="446"/>
      <c r="X31" s="456"/>
      <c r="Y31" s="436"/>
      <c r="Z31" s="437"/>
      <c r="AA31" s="560"/>
      <c r="AB31" s="561"/>
      <c r="AD31" s="466"/>
      <c r="AE31" s="456"/>
      <c r="AF31" s="467"/>
    </row>
    <row r="32" spans="1:35" s="87" customFormat="1" ht="15.75" customHeight="1">
      <c r="A32" s="80" t="str">
        <f>"I"&amp;E20</f>
        <v>I1</v>
      </c>
      <c r="B32" s="105">
        <v>9</v>
      </c>
      <c r="C32" s="107"/>
      <c r="D32" s="107"/>
      <c r="E32" s="107"/>
      <c r="F32" s="107"/>
      <c r="G32" s="83"/>
      <c r="H32" s="83"/>
      <c r="I32" s="84"/>
      <c r="J32" s="85"/>
      <c r="K32" s="382"/>
      <c r="L32" s="85"/>
      <c r="M32" s="332" t="str">
        <f t="shared" si="0"/>
        <v/>
      </c>
      <c r="N32" s="453"/>
      <c r="O32" s="86" t="str">
        <f t="shared" si="3"/>
        <v/>
      </c>
      <c r="P32" s="538" t="str">
        <f t="shared" si="1"/>
        <v/>
      </c>
      <c r="Q32" s="539" t="str">
        <f t="shared" si="2"/>
        <v/>
      </c>
      <c r="R32" s="706"/>
      <c r="S32" s="707"/>
      <c r="T32" s="708"/>
      <c r="U32" s="472"/>
      <c r="V32" s="167"/>
      <c r="W32" s="446"/>
      <c r="X32" s="456"/>
      <c r="Y32" s="436"/>
      <c r="Z32" s="437"/>
      <c r="AA32" s="560"/>
      <c r="AB32" s="561"/>
      <c r="AD32" s="466"/>
      <c r="AE32" s="456"/>
      <c r="AF32" s="467"/>
    </row>
    <row r="33" spans="1:35" s="87" customFormat="1" ht="15.75" customHeight="1">
      <c r="A33" s="80" t="str">
        <f>"J"&amp;E20</f>
        <v>J1</v>
      </c>
      <c r="B33" s="105">
        <v>10</v>
      </c>
      <c r="C33" s="107"/>
      <c r="D33" s="107"/>
      <c r="E33" s="107"/>
      <c r="F33" s="107"/>
      <c r="G33" s="83"/>
      <c r="H33" s="83"/>
      <c r="I33" s="84"/>
      <c r="J33" s="85"/>
      <c r="K33" s="382"/>
      <c r="L33" s="85"/>
      <c r="M33" s="332" t="str">
        <f t="shared" si="0"/>
        <v/>
      </c>
      <c r="N33" s="453"/>
      <c r="O33" s="86" t="str">
        <f t="shared" si="3"/>
        <v/>
      </c>
      <c r="P33" s="538" t="str">
        <f t="shared" si="1"/>
        <v/>
      </c>
      <c r="Q33" s="539" t="str">
        <f t="shared" si="2"/>
        <v/>
      </c>
      <c r="R33" s="706"/>
      <c r="S33" s="707"/>
      <c r="T33" s="708"/>
      <c r="U33" s="472"/>
      <c r="V33" s="167"/>
      <c r="W33" s="446"/>
      <c r="X33" s="456"/>
      <c r="Y33" s="436"/>
      <c r="Z33" s="437"/>
      <c r="AA33" s="560"/>
      <c r="AB33" s="561"/>
      <c r="AD33" s="466"/>
      <c r="AE33" s="456"/>
      <c r="AF33" s="467"/>
    </row>
    <row r="34" spans="1:35" s="49" customFormat="1" ht="16.5" thickBot="1">
      <c r="A34" s="44"/>
      <c r="B34" s="89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1"/>
      <c r="T34" s="92"/>
      <c r="U34" s="473"/>
      <c r="V34" s="108"/>
      <c r="W34" s="438"/>
      <c r="X34" s="455"/>
      <c r="Y34" s="439"/>
      <c r="Z34" s="437"/>
      <c r="AA34" s="530"/>
      <c r="AB34" s="563"/>
      <c r="AC34" s="87"/>
      <c r="AD34" s="440"/>
      <c r="AE34" s="441"/>
      <c r="AF34" s="442"/>
      <c r="AH34" s="87"/>
      <c r="AI34" s="87"/>
    </row>
    <row r="35" spans="1:35" s="58" customFormat="1" ht="17.25" customHeight="1" thickBot="1">
      <c r="A35" s="93"/>
      <c r="B35" s="94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136"/>
      <c r="N35" s="96"/>
      <c r="O35" s="96"/>
      <c r="P35" s="97"/>
      <c r="Q35" s="97"/>
      <c r="R35" s="98"/>
      <c r="S35" s="95"/>
      <c r="T35" s="99"/>
      <c r="U35" s="469"/>
      <c r="V35" s="108"/>
      <c r="W35" s="108"/>
      <c r="X35" s="108"/>
      <c r="Y35" s="50"/>
      <c r="Z35" s="50"/>
      <c r="AA35" s="50"/>
      <c r="AB35" s="50"/>
      <c r="AD35" s="50"/>
      <c r="AE35" s="50"/>
      <c r="AF35" s="50"/>
      <c r="AH35" s="87"/>
      <c r="AI35" s="87"/>
    </row>
    <row r="36" spans="1:35" ht="17.25" customHeight="1" thickBot="1"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1"/>
      <c r="U36" s="50"/>
      <c r="AH36" s="87"/>
      <c r="AI36" s="87"/>
    </row>
    <row r="37" spans="1:35" s="49" customFormat="1" ht="16.5" customHeight="1" thickBot="1">
      <c r="A37" s="44"/>
      <c r="B37" s="705" t="s">
        <v>74</v>
      </c>
      <c r="C37" s="705"/>
      <c r="D37" s="705"/>
      <c r="E37" s="705"/>
      <c r="F37" s="705"/>
      <c r="G37" s="705"/>
      <c r="H37" s="705"/>
      <c r="I37" s="705"/>
      <c r="J37" s="705"/>
      <c r="K37" s="705"/>
      <c r="L37" s="705"/>
      <c r="M37" s="705"/>
      <c r="N37" s="705"/>
      <c r="O37" s="705"/>
      <c r="P37" s="705"/>
      <c r="Q37" s="705"/>
      <c r="R37" s="705"/>
      <c r="S37" s="705"/>
      <c r="T37" s="705"/>
      <c r="U37" s="108"/>
      <c r="V37" s="108"/>
      <c r="W37" s="108"/>
      <c r="X37" s="108"/>
      <c r="Y37" s="532" t="s">
        <v>341</v>
      </c>
      <c r="Z37" s="50"/>
      <c r="AA37" s="50"/>
      <c r="AB37" s="50"/>
      <c r="AD37" s="687" t="s">
        <v>302</v>
      </c>
      <c r="AE37" s="688"/>
      <c r="AF37" s="689"/>
      <c r="AH37" s="87"/>
      <c r="AI37" s="87"/>
    </row>
    <row r="38" spans="1:35" s="52" customFormat="1" ht="22.5" customHeight="1" thickBot="1">
      <c r="A38" s="218" t="str">
        <f>"K"&amp;E20</f>
        <v>K1</v>
      </c>
      <c r="B38" s="701" t="s">
        <v>71</v>
      </c>
      <c r="C38" s="751" t="s">
        <v>102</v>
      </c>
      <c r="D38" s="751"/>
      <c r="E38" s="751"/>
      <c r="F38" s="751"/>
      <c r="G38" s="751"/>
      <c r="H38" s="751"/>
      <c r="I38" s="751"/>
      <c r="J38" s="751"/>
      <c r="K38" s="751"/>
      <c r="L38" s="722" t="s">
        <v>100</v>
      </c>
      <c r="M38" s="747" t="s">
        <v>114</v>
      </c>
      <c r="N38" s="747"/>
      <c r="O38" s="747"/>
      <c r="P38" s="747"/>
      <c r="Q38" s="748"/>
      <c r="R38" s="758" t="s">
        <v>280</v>
      </c>
      <c r="S38" s="748"/>
      <c r="T38" s="762" t="str">
        <f>IF(COUNTIF(AE38:AF38,"VERIFICAR")&gt;0,"VERIFICAR",IF(COUNTIF(AE38:AF38,"NO CUMPLE")&gt;0,"NO CUMPLE","CUMPLE"))</f>
        <v>CUMPLE</v>
      </c>
      <c r="U38" s="108"/>
      <c r="V38" s="108"/>
      <c r="W38" s="108"/>
      <c r="X38" s="108"/>
      <c r="Y38" s="533" t="str">
        <f>IF(F39="","",IF(F39=1,"INDIVIDUAL","ESTRUCTURA PLURAL"))</f>
        <v>ESTRUCTURA PLURAL</v>
      </c>
      <c r="Z38" s="50"/>
      <c r="AA38" s="50"/>
      <c r="AB38" s="50"/>
      <c r="AD38" s="475" t="s">
        <v>303</v>
      </c>
      <c r="AE38" s="476" t="str">
        <f>IF(COUNTIF(AE24:AE33,"")=10,"VERIFICAR",IF(COUNTIF(AE24:AE33,"SI")&gt;0,"CUMPLE","NO CUMPLE"))</f>
        <v>CUMPLE</v>
      </c>
      <c r="AF38" s="477" t="str">
        <f>IF(COUNTIF(AF24:AF33,"")=10,"VERIFICAR",IF(COUNTIF(AF24:AF33,"SI")&gt;=$AI$22,"CUMPLE","NO CUMPLE"))</f>
        <v>CUMPLE</v>
      </c>
      <c r="AH38" s="87"/>
      <c r="AI38" s="87"/>
    </row>
    <row r="39" spans="1:35" s="52" customFormat="1" ht="22.5" customHeight="1" thickBot="1">
      <c r="A39" s="218" t="str">
        <f>"L"&amp;E20</f>
        <v>L1</v>
      </c>
      <c r="B39" s="702"/>
      <c r="C39" s="751" t="s">
        <v>103</v>
      </c>
      <c r="D39" s="751"/>
      <c r="E39" s="752"/>
      <c r="F39" s="209">
        <f>IF(VLOOKUP(E20,PROPONENTES!$C$19:$E$218,3,0)="","",VLOOKUP(E20,PROPONENTES!$C$19:$E$218,3,0))</f>
        <v>3</v>
      </c>
      <c r="G39" s="753" t="s">
        <v>104</v>
      </c>
      <c r="H39" s="751"/>
      <c r="I39" s="715" t="str">
        <f>IF(OR(F39="",F39=1),"INTERESADO PERSONA NATURAL O JURIDICA","CONSORCIO O UNION TEMPORAL")</f>
        <v>CONSORCIO O UNION TEMPORAL</v>
      </c>
      <c r="J39" s="725"/>
      <c r="K39" s="728"/>
      <c r="L39" s="723"/>
      <c r="M39" s="749"/>
      <c r="N39" s="749"/>
      <c r="O39" s="749"/>
      <c r="P39" s="749"/>
      <c r="Q39" s="750"/>
      <c r="R39" s="712"/>
      <c r="S39" s="750"/>
      <c r="T39" s="763"/>
      <c r="U39" s="108"/>
      <c r="V39" s="108"/>
      <c r="W39" s="108"/>
      <c r="X39" s="108"/>
      <c r="Y39" s="534"/>
      <c r="Z39" s="50"/>
      <c r="AD39" s="50"/>
      <c r="AE39" s="50"/>
      <c r="AF39" s="50"/>
      <c r="AH39" s="87"/>
      <c r="AI39" s="87"/>
    </row>
    <row r="40" spans="1:35" s="52" customFormat="1" ht="56.25" customHeight="1" thickBot="1">
      <c r="A40" s="218" t="str">
        <f>"M"&amp;E20</f>
        <v>M1</v>
      </c>
      <c r="B40" s="702"/>
      <c r="C40" s="725" t="s">
        <v>101</v>
      </c>
      <c r="D40" s="716"/>
      <c r="E40" s="207" t="s">
        <v>105</v>
      </c>
      <c r="F40" s="193" t="s">
        <v>87</v>
      </c>
      <c r="G40" s="195" t="s">
        <v>86</v>
      </c>
      <c r="H40" s="208" t="s">
        <v>85</v>
      </c>
      <c r="I40" s="193" t="s">
        <v>252</v>
      </c>
      <c r="J40" s="195" t="str">
        <f>"¿EL INTEGRANTE TIENE UNA PARTICIPACIÓN DEL "&amp;PORCREQUERIDOINT*100&amp;"%?"</f>
        <v>¿EL INTEGRANTE TIENE UNA PARTICIPACIÓN DEL 60%?</v>
      </c>
      <c r="K40" s="193" t="s">
        <v>107</v>
      </c>
      <c r="L40" s="724"/>
      <c r="M40" s="717" t="s">
        <v>115</v>
      </c>
      <c r="N40" s="718"/>
      <c r="O40" s="718"/>
      <c r="P40" s="718"/>
      <c r="Q40" s="223">
        <f>IF(AND(H24="SI",P24&gt;=0),1,0)+IF(AND(H25="SI",P25&gt;=0),1,0)+IF(AND(H26="SI",P26&gt;=0),1,0)+IF(AND(H27="SI",P27&gt;=0),1,0)+IF(AND(H28="SI",P28&gt;=0),1,0)+IF(AND(H29="SI",P29&gt;=0),1,0)+IF(AND(H30="SI",P30&gt;=0),1,0)+IF(AND(H31="SI",P31&gt;=0),1,0)+IF(AND(H32="SI",P32&gt;=0),1,0)+IF(AND(H33="SI",P33&gt;=0),1,0)</f>
        <v>1</v>
      </c>
      <c r="R40" s="759"/>
      <c r="S40" s="761"/>
      <c r="T40" s="764"/>
      <c r="U40" s="219"/>
      <c r="V40" s="464"/>
      <c r="W40" s="108"/>
      <c r="X40" s="108"/>
      <c r="Y40" s="532" t="s">
        <v>342</v>
      </c>
      <c r="Z40" s="50"/>
      <c r="AA40" s="550" t="s">
        <v>344</v>
      </c>
      <c r="AB40" s="693" t="s">
        <v>345</v>
      </c>
      <c r="AC40" s="693" t="s">
        <v>346</v>
      </c>
      <c r="AD40" s="685" t="s">
        <v>347</v>
      </c>
      <c r="AH40" s="87"/>
      <c r="AI40" s="87"/>
    </row>
    <row r="41" spans="1:35" s="52" customFormat="1" ht="41.25" customHeight="1" thickBot="1">
      <c r="A41" s="218" t="str">
        <f>"N"&amp;E20</f>
        <v>N1</v>
      </c>
      <c r="B41" s="702"/>
      <c r="C41" s="114">
        <v>1</v>
      </c>
      <c r="D41" s="194" t="str">
        <f>IF(AND(C41&lt;=F39,F39&gt;1,F39&lt;&gt;""),VLOOKUP(VALUE(E20&amp;","&amp;C41),INTEGRANTES!$D$18:$F$235,2,0),"")</f>
        <v>CLARA HELENA MORENO ESPAÑA</v>
      </c>
      <c r="E41" s="211">
        <f>IF(D41&lt;&gt;"",VLOOKUP(VALUE(E20&amp;","&amp;C41),INTEGRANTES!$D$18:$F$235,3,0),"")</f>
        <v>0.2</v>
      </c>
      <c r="F41" s="547">
        <f>IF(D41="","",SUMIF($I24:$I33,D41,$P24:$P33))</f>
        <v>0</v>
      </c>
      <c r="G41" s="333">
        <f>IF(D41="","",SUMIF($I24:$I33,D41,$M24:$M33))</f>
        <v>0</v>
      </c>
      <c r="H41" s="535" t="str">
        <f>IF(D41="","",IF(OR(F41=0,G41=0),"NO APORTA",ROUND($F41/$G41,3)))</f>
        <v>NO APORTA</v>
      </c>
      <c r="I41" s="212" t="str">
        <f>IF(D41="","",IF(H41="NO APORTA","NO",IF(H41=MAX($H41:$H46),"SI","NO")))</f>
        <v>NO</v>
      </c>
      <c r="J41" s="213" t="str">
        <f>IF(D41="","",IF(E41&gt;=PORCREQUERIDOINT,"SI","NO"))</f>
        <v>NO</v>
      </c>
      <c r="K41" s="200" t="str">
        <f t="shared" ref="K41:K46" si="4">IF(D41="","",IF(AND(I41="SI",J41="SI"),"CUMPLE",IF(AND(I41="NO",OR(J41="SI",J41="NO")),"","NO CUMPLE")))</f>
        <v/>
      </c>
      <c r="L41" s="722" t="s">
        <v>108</v>
      </c>
      <c r="M41" s="726" t="s">
        <v>119</v>
      </c>
      <c r="N41" s="726"/>
      <c r="O41" s="726"/>
      <c r="P41" s="726"/>
      <c r="Q41" s="727"/>
      <c r="R41" s="758" t="s">
        <v>80</v>
      </c>
      <c r="S41" s="747"/>
      <c r="T41" s="748"/>
      <c r="U41" s="219"/>
      <c r="V41" s="464"/>
      <c r="W41" s="108"/>
      <c r="X41" s="108"/>
      <c r="Y41" s="533" t="str">
        <f>IF(Y38="","",IF(Y38="INDIVIDUAL","NO APLICA","VERIFICAR CUADRO"))</f>
        <v>VERIFICAR CUADRO</v>
      </c>
      <c r="Z41" s="50"/>
      <c r="AA41" s="551"/>
      <c r="AB41" s="694"/>
      <c r="AC41" s="694"/>
      <c r="AD41" s="686"/>
      <c r="AH41" s="87"/>
      <c r="AI41" s="87"/>
    </row>
    <row r="42" spans="1:35" s="52" customFormat="1" ht="27.75" customHeight="1" thickBot="1">
      <c r="A42" s="218" t="str">
        <f>"O"&amp;E20</f>
        <v>O1</v>
      </c>
      <c r="B42" s="702"/>
      <c r="C42" s="114">
        <v>2</v>
      </c>
      <c r="D42" s="194" t="str">
        <f>IF(AND(C42&lt;=F39,F39&lt;&gt;""),VLOOKUP(VALUE(E20&amp;","&amp;C42),INTEGRANTES!$D$18:$F$235,2,0),"")</f>
        <v>JAIME HERNANDO MORENO ESPAÑA</v>
      </c>
      <c r="E42" s="211">
        <f>IF(D42&lt;&gt;"",VLOOKUP(VALUE(E20&amp;","&amp;C42),INTEGRANTES!$D$18:$F$235,3,0),"")</f>
        <v>0.6</v>
      </c>
      <c r="F42" s="547">
        <f>IF(D42="","",SUMIF($I24:$I33,D42,$P24:$P33))</f>
        <v>0</v>
      </c>
      <c r="G42" s="333">
        <f>IF(D42="","",SUMIF($I24:$I33,D42,$M24:$M33))</f>
        <v>0</v>
      </c>
      <c r="H42" s="535" t="str">
        <f>IF(D42="","",IF(OR(F42=0,G42=0),"NO APORTA",ROUND($F42/$G42,3)))</f>
        <v>NO APORTA</v>
      </c>
      <c r="I42" s="212" t="str">
        <f>IF(D42="","",IF(H42="NO APORTA","NO",IF(H42=MAX($H41:$H46),"SI","NO")))</f>
        <v>NO</v>
      </c>
      <c r="J42" s="213" t="str">
        <f>IF(D42="","",IF(E42&gt;=PORCREQUERIDOINT,"SI","NO"))</f>
        <v>SI</v>
      </c>
      <c r="K42" s="200" t="str">
        <f t="shared" si="4"/>
        <v/>
      </c>
      <c r="L42" s="723"/>
      <c r="M42" s="715" t="s">
        <v>116</v>
      </c>
      <c r="N42" s="716"/>
      <c r="O42" s="221" t="s">
        <v>113</v>
      </c>
      <c r="P42" s="715" t="s">
        <v>117</v>
      </c>
      <c r="Q42" s="728"/>
      <c r="R42" s="759"/>
      <c r="S42" s="760"/>
      <c r="T42" s="761"/>
      <c r="U42" s="219"/>
      <c r="V42" s="464"/>
      <c r="W42" s="108"/>
      <c r="X42" s="108"/>
      <c r="Y42" s="414"/>
      <c r="Z42" s="50"/>
      <c r="AA42" s="574" t="str">
        <f>IF(AND(C41&lt;=F39,F39&gt;1,F39&lt;&gt;""),VLOOKUP(VALUE(E20&amp;","&amp;C41),INTEGRANTES!$D$18:$F$235,2,0),"")</f>
        <v>CLARA HELENA MORENO ESPAÑA</v>
      </c>
      <c r="AB42" s="544" t="str">
        <f t="shared" ref="AB42:AB47" si="5">IF(D41="","",IF(OR(F41=0,G41=0),"NO APORTA",ROUND($F41/$G41,3)))</f>
        <v>NO APORTA</v>
      </c>
      <c r="AC42" s="529" t="s">
        <v>402</v>
      </c>
      <c r="AD42" s="200" t="str">
        <f t="shared" ref="AD42:AD47" si="6">IF(OR(AA42="",AB42=""),"",IF(AND(AC42="X",AB42&gt;=EXPREQVTD),"CUMPLE","NO CUMPLE"))</f>
        <v>CUMPLE</v>
      </c>
      <c r="AH42" s="87"/>
      <c r="AI42" s="87"/>
    </row>
    <row r="43" spans="1:35" s="52" customFormat="1" ht="31.5" customHeight="1" thickBot="1">
      <c r="A43" s="218" t="str">
        <f>"P"&amp;E20</f>
        <v>P1</v>
      </c>
      <c r="B43" s="702"/>
      <c r="C43" s="114">
        <v>3</v>
      </c>
      <c r="D43" s="194" t="str">
        <f>IF(AND(C43&lt;=F39,F39&lt;&gt;""),VLOOKUP(VALUE(E20&amp;","&amp;C43),INTEGRANTES!$D$18:$F$235,2,0),"")</f>
        <v>JAHIR HERIBERTO PAZ BURBANO</v>
      </c>
      <c r="E43" s="211">
        <f>IF(D43&lt;&gt;"",VLOOKUP(VALUE(E20&amp;","&amp;C43),INTEGRANTES!$D$18:$F$235,3,0),"")</f>
        <v>0.2</v>
      </c>
      <c r="F43" s="547">
        <f>IF(D43="","",SUMIF($I24:$I33,D43,$P24:$P33))</f>
        <v>0</v>
      </c>
      <c r="G43" s="333">
        <f>IF(D43="","",SUMIF($I24:$I33,D43,$M24:$M33))</f>
        <v>0</v>
      </c>
      <c r="H43" s="535" t="str">
        <f>IF(D43="","",IF(OR(F43=0,G43=0),"NO APORTA",ROUND($F43/$G43,3)))</f>
        <v>NO APORTA</v>
      </c>
      <c r="I43" s="212" t="str">
        <f>IF(D43="","",IF(H43="NO APORTA","NO",IF(H43=MAX($H41:$H46),"SI","NO")))</f>
        <v>NO</v>
      </c>
      <c r="J43" s="213" t="str">
        <f>IF(D43="","",IF(E43&gt;=PORCREQUERIDOINT,"SI","NO"))</f>
        <v>NO</v>
      </c>
      <c r="K43" s="200" t="str">
        <f t="shared" si="4"/>
        <v/>
      </c>
      <c r="L43" s="724"/>
      <c r="M43" s="729">
        <f>NUMMOD</f>
        <v>1</v>
      </c>
      <c r="N43" s="730"/>
      <c r="O43" s="224">
        <f>IF(M43="","",VLOOKUP(M43,PRESUPUESTOS!$B$16:$H$16,5,FALSE))</f>
        <v>2</v>
      </c>
      <c r="P43" s="713">
        <f>IF(OR(COUNTIF(M24:M28,"")&gt;=10,Q40&lt;NUMMINCONT,OR(T38="NO CUMPLE",T38="VERIFICAR")),0,ROUND(AVERAGE(M24:M28),3))</f>
        <v>0</v>
      </c>
      <c r="Q43" s="714"/>
      <c r="R43" s="458"/>
      <c r="S43" s="459"/>
      <c r="T43" s="460"/>
      <c r="U43" s="219"/>
      <c r="V43" s="464"/>
      <c r="W43" s="108"/>
      <c r="X43" s="108"/>
      <c r="Y43" s="532" t="str">
        <f>"40% * ("&amp;PRESUPUESTOS!$H$13&amp;")"</f>
        <v>40% * (50% PFMO)</v>
      </c>
      <c r="Z43" s="50"/>
      <c r="AA43" s="540" t="str">
        <f>IF(AND(C42&lt;=F39,F39&lt;&gt;""),VLOOKUP(VALUE(E20&amp;","&amp;C42),INTEGRANTES!$D$18:$F$235,2,0),"")</f>
        <v>JAIME HERNANDO MORENO ESPAÑA</v>
      </c>
      <c r="AB43" s="545" t="str">
        <f t="shared" si="5"/>
        <v>NO APORTA</v>
      </c>
      <c r="AC43" s="529"/>
      <c r="AD43" s="200" t="str">
        <f t="shared" si="6"/>
        <v>NO CUMPLE</v>
      </c>
      <c r="AH43" s="87"/>
      <c r="AI43" s="87"/>
    </row>
    <row r="44" spans="1:35" s="52" customFormat="1" ht="15.75" customHeight="1" thickBot="1">
      <c r="A44" s="218" t="str">
        <f>"Q"&amp;E20</f>
        <v>Q1</v>
      </c>
      <c r="B44" s="702"/>
      <c r="C44" s="114"/>
      <c r="D44" s="194"/>
      <c r="E44" s="211"/>
      <c r="F44" s="547"/>
      <c r="G44" s="333"/>
      <c r="H44" s="535"/>
      <c r="I44" s="212"/>
      <c r="J44" s="213"/>
      <c r="K44" s="200" t="str">
        <f t="shared" si="4"/>
        <v/>
      </c>
      <c r="L44" s="720" t="s">
        <v>109</v>
      </c>
      <c r="M44" s="757" t="s">
        <v>120</v>
      </c>
      <c r="N44" s="726"/>
      <c r="O44" s="726"/>
      <c r="P44" s="726"/>
      <c r="Q44" s="727"/>
      <c r="R44" s="458"/>
      <c r="S44" s="459"/>
      <c r="T44" s="460"/>
      <c r="U44" s="219"/>
      <c r="V44" s="464"/>
      <c r="W44" s="108"/>
      <c r="X44" s="108"/>
      <c r="Y44" s="537">
        <f>0.4*PRESUPUESTOS!$H$16</f>
        <v>10.3124</v>
      </c>
      <c r="Z44" s="50"/>
      <c r="AA44" s="540" t="str">
        <f>IF(AND(C43&lt;=F39,F39&lt;&gt;""),VLOOKUP(VALUE(E20&amp;","&amp;C43),INTEGRANTES!$D$18:$F$235,2,0),"")</f>
        <v>JAHIR HERIBERTO PAZ BURBANO</v>
      </c>
      <c r="AB44" s="545" t="str">
        <f t="shared" si="5"/>
        <v>NO APORTA</v>
      </c>
      <c r="AC44" s="529"/>
      <c r="AD44" s="200" t="str">
        <f t="shared" si="6"/>
        <v>NO CUMPLE</v>
      </c>
      <c r="AH44" s="87"/>
      <c r="AI44" s="87"/>
    </row>
    <row r="45" spans="1:35" s="52" customFormat="1" ht="27" customHeight="1" thickBot="1">
      <c r="A45" s="218" t="str">
        <f>"R"&amp;E20</f>
        <v>R1</v>
      </c>
      <c r="B45" s="702"/>
      <c r="C45" s="114"/>
      <c r="D45" s="194"/>
      <c r="E45" s="211"/>
      <c r="F45" s="547"/>
      <c r="G45" s="333"/>
      <c r="H45" s="535"/>
      <c r="I45" s="212"/>
      <c r="J45" s="213"/>
      <c r="K45" s="200" t="str">
        <f t="shared" si="4"/>
        <v/>
      </c>
      <c r="L45" s="721"/>
      <c r="M45" s="715" t="s">
        <v>116</v>
      </c>
      <c r="N45" s="716"/>
      <c r="O45" s="221" t="str">
        <f>PORCREQUERIDO*100&amp;"% PMFO DEL MÓDULO"</f>
        <v>50% PMFO DEL MÓDULO</v>
      </c>
      <c r="P45" s="715" t="s">
        <v>118</v>
      </c>
      <c r="Q45" s="728"/>
      <c r="R45" s="458"/>
      <c r="S45" s="459"/>
      <c r="T45" s="460"/>
      <c r="U45" s="219"/>
      <c r="V45" s="464"/>
      <c r="W45" s="108"/>
      <c r="X45" s="108"/>
      <c r="Y45" s="414"/>
      <c r="Z45" s="50"/>
      <c r="AA45" s="540"/>
      <c r="AB45" s="545" t="str">
        <f t="shared" si="5"/>
        <v/>
      </c>
      <c r="AC45" s="529"/>
      <c r="AD45" s="200" t="str">
        <f t="shared" si="6"/>
        <v/>
      </c>
      <c r="AH45" s="87"/>
      <c r="AI45" s="87"/>
    </row>
    <row r="46" spans="1:35" s="52" customFormat="1" ht="16.5" customHeight="1" thickBot="1">
      <c r="A46" s="218" t="str">
        <f>"S"&amp;E20</f>
        <v>S1</v>
      </c>
      <c r="B46" s="702"/>
      <c r="C46" s="215"/>
      <c r="D46" s="216"/>
      <c r="E46" s="217"/>
      <c r="F46" s="548"/>
      <c r="G46" s="334"/>
      <c r="H46" s="536"/>
      <c r="I46" s="214"/>
      <c r="J46" s="213"/>
      <c r="K46" s="200" t="str">
        <f t="shared" si="4"/>
        <v/>
      </c>
      <c r="L46" s="721"/>
      <c r="M46" s="729">
        <f>NUMMOD</f>
        <v>1</v>
      </c>
      <c r="N46" s="730"/>
      <c r="O46" s="224">
        <f>IF(M46="","",ROUND(VLOOKUP(M46,PRESUPUESTOS!$B$16:$H$16,7,FALSE),3))</f>
        <v>25.780999999999999</v>
      </c>
      <c r="P46" s="713">
        <f>IF(OR(COUNTIF(P24:P28,"")&gt;=10,Q40&lt;NUMMINCONT,OR(T38="NO CUMPLE",T38="VERIFICAR")),0,ROUND((SUM(P24:P28)/SUM(M24:M33)),3))</f>
        <v>0</v>
      </c>
      <c r="Q46" s="714"/>
      <c r="R46" s="458"/>
      <c r="S46" s="459"/>
      <c r="T46" s="460"/>
      <c r="U46" s="219"/>
      <c r="V46" s="464"/>
      <c r="W46" s="108"/>
      <c r="X46" s="108"/>
      <c r="Y46" s="532" t="s">
        <v>343</v>
      </c>
      <c r="Z46" s="50"/>
      <c r="AA46" s="540"/>
      <c r="AB46" s="545" t="str">
        <f t="shared" si="5"/>
        <v/>
      </c>
      <c r="AC46" s="529"/>
      <c r="AD46" s="200" t="str">
        <f t="shared" si="6"/>
        <v/>
      </c>
      <c r="AH46" s="87"/>
      <c r="AI46" s="87"/>
    </row>
    <row r="47" spans="1:35" s="52" customFormat="1" ht="16.5" customHeight="1" thickBot="1">
      <c r="A47" s="218" t="str">
        <f>"T"&amp;E20</f>
        <v>T1</v>
      </c>
      <c r="B47" s="703"/>
      <c r="C47" s="719"/>
      <c r="D47" s="719"/>
      <c r="E47" s="719"/>
      <c r="F47" s="719"/>
      <c r="G47" s="719"/>
      <c r="H47" s="719" t="s">
        <v>110</v>
      </c>
      <c r="I47" s="719"/>
      <c r="J47" s="719"/>
      <c r="K47" s="201" t="str">
        <f>IF(COUNTIF(K41:K46,"")=6,"",IF(COUNTIF(K41:K46,"CUMPLE")&gt;0,"CUMPLE","NO CUMPLE"))</f>
        <v/>
      </c>
      <c r="L47" s="754"/>
      <c r="M47" s="755"/>
      <c r="N47" s="755"/>
      <c r="O47" s="755"/>
      <c r="P47" s="755"/>
      <c r="Q47" s="756"/>
      <c r="R47" s="461"/>
      <c r="S47" s="462"/>
      <c r="T47" s="463"/>
      <c r="U47" s="219"/>
      <c r="V47" s="464"/>
      <c r="W47" s="108"/>
      <c r="X47" s="108"/>
      <c r="Y47" s="549" t="str">
        <f>IF(Y41="NO APLICA","NO APLICA",IF(COUNTIF(AD42:AD47,"CUMPLE")&gt;0,"CUMPLE","NO CUMPLE"))</f>
        <v>CUMPLE</v>
      </c>
      <c r="Z47" s="50"/>
      <c r="AA47" s="541"/>
      <c r="AB47" s="546" t="str">
        <f t="shared" si="5"/>
        <v/>
      </c>
      <c r="AC47" s="543"/>
      <c r="AD47" s="201" t="str">
        <f t="shared" si="6"/>
        <v/>
      </c>
      <c r="AH47" s="87"/>
      <c r="AI47" s="87"/>
    </row>
    <row r="48" spans="1:35" ht="15.6" customHeight="1">
      <c r="A48" s="103"/>
      <c r="B48" s="206"/>
      <c r="C48" s="206"/>
      <c r="D48" s="206"/>
      <c r="E48" s="206"/>
      <c r="F48" s="206"/>
      <c r="G48" s="206"/>
      <c r="H48" s="206"/>
      <c r="I48" s="104"/>
      <c r="J48" s="206"/>
      <c r="K48" s="113"/>
      <c r="L48" s="113"/>
      <c r="M48" s="113"/>
      <c r="N48" s="222"/>
      <c r="O48" s="113"/>
      <c r="P48" s="113"/>
      <c r="Q48" s="113"/>
      <c r="R48" s="206"/>
      <c r="S48" s="104"/>
      <c r="T48" s="206"/>
      <c r="U48" s="474"/>
      <c r="AH48" s="87"/>
      <c r="AI48" s="87"/>
    </row>
    <row r="49" spans="1:35">
      <c r="H49" s="220"/>
      <c r="U49" s="108"/>
      <c r="AH49" s="87"/>
      <c r="AI49" s="87"/>
    </row>
    <row r="50" spans="1:35" ht="24" thickBot="1">
      <c r="A50" s="61">
        <v>2</v>
      </c>
      <c r="B50" s="704" t="s">
        <v>51</v>
      </c>
      <c r="C50" s="704"/>
      <c r="D50" s="704"/>
      <c r="E50" s="62">
        <f>VLOOKUP(A50,PROPONENTES!$B$19:$E$218,2,FALSE)</f>
        <v>2</v>
      </c>
      <c r="F50" s="63" t="str">
        <f>VLOOKUP(A50,PROPONENTES!$B$19:$E$218,3,FALSE)</f>
        <v>CONSORCIO MORELIA JPD</v>
      </c>
      <c r="G50" s="64"/>
      <c r="H50" s="64"/>
      <c r="I50" s="63"/>
      <c r="J50" s="63"/>
      <c r="K50" s="65"/>
      <c r="L50" s="65"/>
      <c r="M50" s="64"/>
      <c r="N50" s="64"/>
      <c r="O50" s="66"/>
      <c r="P50" s="66"/>
      <c r="Q50" s="66"/>
      <c r="R50" s="66"/>
      <c r="S50" s="67"/>
      <c r="T50" s="68"/>
      <c r="U50" s="68"/>
      <c r="AC50" s="68"/>
      <c r="AD50" s="68"/>
      <c r="AE50" s="68"/>
      <c r="AF50" s="68"/>
      <c r="AG50" s="68"/>
      <c r="AH50" s="87"/>
      <c r="AI50" s="87"/>
    </row>
    <row r="51" spans="1:35" ht="15.75" customHeight="1">
      <c r="A51" s="44"/>
      <c r="B51" s="709" t="s">
        <v>59</v>
      </c>
      <c r="C51" s="552" t="s">
        <v>60</v>
      </c>
      <c r="D51" s="70" t="s">
        <v>17</v>
      </c>
      <c r="E51" s="70"/>
      <c r="F51" s="70" t="s">
        <v>61</v>
      </c>
      <c r="G51" s="71"/>
      <c r="H51" s="699" t="s">
        <v>62</v>
      </c>
      <c r="I51" s="699" t="s">
        <v>18</v>
      </c>
      <c r="J51" s="699" t="s">
        <v>63</v>
      </c>
      <c r="K51" s="699" t="s">
        <v>64</v>
      </c>
      <c r="L51" s="699" t="s">
        <v>65</v>
      </c>
      <c r="M51" s="743" t="s">
        <v>66</v>
      </c>
      <c r="N51" s="699" t="s">
        <v>282</v>
      </c>
      <c r="O51" s="745" t="s">
        <v>67</v>
      </c>
      <c r="P51" s="746"/>
      <c r="Q51" s="102" t="s">
        <v>75</v>
      </c>
      <c r="R51" s="731" t="s">
        <v>22</v>
      </c>
      <c r="S51" s="732"/>
      <c r="T51" s="733"/>
      <c r="U51" s="712" t="s">
        <v>298</v>
      </c>
      <c r="W51" s="690" t="s">
        <v>268</v>
      </c>
      <c r="X51" s="691"/>
      <c r="Y51" s="692"/>
      <c r="Z51" s="428"/>
      <c r="AA51" s="697" t="s">
        <v>315</v>
      </c>
      <c r="AB51" s="695" t="s">
        <v>322</v>
      </c>
      <c r="AC51" s="49"/>
      <c r="AD51" s="690" t="s">
        <v>297</v>
      </c>
      <c r="AE51" s="691"/>
      <c r="AF51" s="692"/>
      <c r="AG51" s="49"/>
      <c r="AH51" s="87"/>
      <c r="AI51" s="87"/>
    </row>
    <row r="52" spans="1:35" ht="72">
      <c r="A52" s="44"/>
      <c r="B52" s="710"/>
      <c r="C52" s="553" t="s">
        <v>68</v>
      </c>
      <c r="D52" s="73" t="s">
        <v>3</v>
      </c>
      <c r="E52" s="73" t="s">
        <v>19</v>
      </c>
      <c r="F52" s="73" t="s">
        <v>69</v>
      </c>
      <c r="G52" s="74" t="s">
        <v>70</v>
      </c>
      <c r="H52" s="700"/>
      <c r="I52" s="700"/>
      <c r="J52" s="700"/>
      <c r="K52" s="700"/>
      <c r="L52" s="700"/>
      <c r="M52" s="744"/>
      <c r="N52" s="700"/>
      <c r="O52" s="553" t="s">
        <v>279</v>
      </c>
      <c r="P52" s="73" t="s">
        <v>88</v>
      </c>
      <c r="Q52" s="555" t="s">
        <v>76</v>
      </c>
      <c r="R52" s="734"/>
      <c r="S52" s="735"/>
      <c r="T52" s="736"/>
      <c r="U52" s="712"/>
      <c r="W52" s="429" t="s">
        <v>269</v>
      </c>
      <c r="X52" s="457" t="s">
        <v>278</v>
      </c>
      <c r="Y52" s="430" t="s">
        <v>365</v>
      </c>
      <c r="Z52" s="428"/>
      <c r="AA52" s="698"/>
      <c r="AB52" s="696"/>
      <c r="AC52" s="49"/>
      <c r="AD52" s="429" t="s">
        <v>292</v>
      </c>
      <c r="AE52" s="431" t="s">
        <v>300</v>
      </c>
      <c r="AF52" s="468" t="s">
        <v>301</v>
      </c>
      <c r="AG52" s="49"/>
      <c r="AH52" s="87"/>
      <c r="AI52" s="87"/>
    </row>
    <row r="53" spans="1:35" ht="15.75" customHeight="1">
      <c r="A53" s="44"/>
      <c r="B53" s="76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8"/>
      <c r="T53" s="79"/>
      <c r="U53" s="109"/>
      <c r="V53" s="49"/>
      <c r="W53" s="432"/>
      <c r="X53" s="454"/>
      <c r="Y53" s="433"/>
      <c r="Z53" s="6"/>
      <c r="AA53" s="500"/>
      <c r="AB53" s="562"/>
      <c r="AC53" s="49"/>
      <c r="AD53" s="210"/>
      <c r="AE53" s="434"/>
      <c r="AF53" s="435"/>
      <c r="AG53" s="49"/>
      <c r="AH53" s="87"/>
      <c r="AI53" s="87"/>
    </row>
    <row r="54" spans="1:35" ht="116.25" customHeight="1">
      <c r="A54" s="80" t="str">
        <f>"A"&amp;E50</f>
        <v>A2</v>
      </c>
      <c r="B54" s="81">
        <v>1</v>
      </c>
      <c r="C54" s="602" t="s">
        <v>425</v>
      </c>
      <c r="D54" s="605" t="s">
        <v>426</v>
      </c>
      <c r="E54" s="606" t="s">
        <v>460</v>
      </c>
      <c r="F54" s="607" t="s">
        <v>364</v>
      </c>
      <c r="G54" s="608">
        <v>1</v>
      </c>
      <c r="H54" s="608" t="s">
        <v>25</v>
      </c>
      <c r="I54" s="609" t="str">
        <f>+INTEGRANTES!E23</f>
        <v>PEDRO JOSE CORREDOR BECERRA</v>
      </c>
      <c r="J54" s="610">
        <v>38749</v>
      </c>
      <c r="K54" s="611">
        <v>0</v>
      </c>
      <c r="L54" s="610">
        <v>38795</v>
      </c>
      <c r="M54" s="612">
        <f t="shared" ref="M54:M59" si="7">IF(OR(J54="",L54="",H54="NO"),"",IF(OR(J54&gt;$P$17,J54&lt;$O$17,L54&gt;$P$17,AND(J54&lt;$O$17,L54&lt;$O$17)),"FUERA DE RANGO",IF(OR(K54="---",K54=""),IF(J54&gt;=$O$17,ROUND((L54-J54+1)/360*12,3),ROUND((L54-$O$17+1)/360*12,3)),IF(J54&gt;=$O$17,ROUND((L54-J54+1)/360*12-ROUND(K54,3),3),ROUND((L54-$O$17+1)/360*12-ROUND(K54,3),3)))))</f>
        <v>1.5669999999999999</v>
      </c>
      <c r="N54" s="619">
        <v>10.29</v>
      </c>
      <c r="O54" s="604">
        <f t="shared" ref="O54:O59" si="8">IF(OR(G54="",N54=""),"",N54*G54)</f>
        <v>10.29</v>
      </c>
      <c r="P54" s="538">
        <f>IF(OR(H54="",M54="FUERA DE RANGO"),"",IF(OR(L54&lt;$O$17,L54&gt;$P$17,L54="",H54="NO"),"",IF(OR(N54="",O54=""),"",ROUND(O54,3))))</f>
        <v>10.29</v>
      </c>
      <c r="Q54" s="539">
        <f t="shared" ref="Q54:Q62" si="9">IF(AND(H54="SI",P54&lt;&gt;""),ROUND(P54/M54,3),"")</f>
        <v>6.5670000000000002</v>
      </c>
      <c r="R54" s="737"/>
      <c r="S54" s="738"/>
      <c r="T54" s="739"/>
      <c r="U54" s="470"/>
      <c r="V54" s="165"/>
      <c r="W54" s="446" t="s">
        <v>25</v>
      </c>
      <c r="X54" s="456" t="s">
        <v>434</v>
      </c>
      <c r="Y54" s="436" t="s">
        <v>25</v>
      </c>
      <c r="Z54" s="437"/>
      <c r="AA54" s="560" t="s">
        <v>319</v>
      </c>
      <c r="AB54" s="561" t="s">
        <v>294</v>
      </c>
      <c r="AC54" s="87"/>
      <c r="AD54" s="466" t="s">
        <v>289</v>
      </c>
      <c r="AE54" s="456" t="s">
        <v>25</v>
      </c>
      <c r="AF54" s="467" t="s">
        <v>25</v>
      </c>
      <c r="AG54" s="87"/>
      <c r="AH54" s="87"/>
      <c r="AI54" s="87"/>
    </row>
    <row r="55" spans="1:35" ht="117.75" customHeight="1">
      <c r="A55" s="80" t="str">
        <f>"B"&amp;E50</f>
        <v>B2</v>
      </c>
      <c r="B55" s="81">
        <v>2</v>
      </c>
      <c r="C55" s="602" t="s">
        <v>425</v>
      </c>
      <c r="D55" s="605" t="s">
        <v>427</v>
      </c>
      <c r="E55" s="606" t="s">
        <v>430</v>
      </c>
      <c r="F55" s="607" t="s">
        <v>364</v>
      </c>
      <c r="G55" s="608">
        <v>1</v>
      </c>
      <c r="H55" s="608" t="s">
        <v>25</v>
      </c>
      <c r="I55" s="609" t="str">
        <f>+INTEGRANTES!E23</f>
        <v>PEDRO JOSE CORREDOR BECERRA</v>
      </c>
      <c r="J55" s="610">
        <v>39155</v>
      </c>
      <c r="K55" s="611">
        <v>0</v>
      </c>
      <c r="L55" s="610">
        <v>39215</v>
      </c>
      <c r="M55" s="612">
        <f t="shared" si="7"/>
        <v>2.0329999999999999</v>
      </c>
      <c r="N55" s="619">
        <v>12.45</v>
      </c>
      <c r="O55" s="604">
        <f t="shared" si="8"/>
        <v>12.45</v>
      </c>
      <c r="P55" s="538">
        <f t="shared" ref="P55:P62" si="10">IF(OR(H55="",M55="FUERA DE RANGO"),"",IF(OR(L55&lt;$O$17,L55&gt;$P$17,L55="",H55="NO"),"",IF(OR(N55="",O55=""),"",ROUND(O55,3))))</f>
        <v>12.45</v>
      </c>
      <c r="Q55" s="539">
        <f t="shared" si="9"/>
        <v>6.1239999999999997</v>
      </c>
      <c r="R55" s="740"/>
      <c r="S55" s="741"/>
      <c r="T55" s="742"/>
      <c r="U55" s="471"/>
      <c r="V55" s="165"/>
      <c r="W55" s="446" t="s">
        <v>25</v>
      </c>
      <c r="X55" s="456" t="s">
        <v>435</v>
      </c>
      <c r="Y55" s="436" t="s">
        <v>25</v>
      </c>
      <c r="Z55" s="437"/>
      <c r="AA55" s="560" t="s">
        <v>319</v>
      </c>
      <c r="AB55" s="561"/>
      <c r="AC55" s="87"/>
      <c r="AD55" s="466" t="s">
        <v>289</v>
      </c>
      <c r="AE55" s="456" t="s">
        <v>25</v>
      </c>
      <c r="AF55" s="467" t="s">
        <v>25</v>
      </c>
      <c r="AG55" s="87"/>
      <c r="AH55" s="87"/>
      <c r="AI55" s="87"/>
    </row>
    <row r="56" spans="1:35" ht="121.5" customHeight="1">
      <c r="A56" s="80" t="str">
        <f>"C"&amp;E50</f>
        <v>C2</v>
      </c>
      <c r="B56" s="591">
        <v>3</v>
      </c>
      <c r="C56" s="603" t="s">
        <v>363</v>
      </c>
      <c r="D56" s="605" t="s">
        <v>428</v>
      </c>
      <c r="E56" s="606" t="s">
        <v>431</v>
      </c>
      <c r="F56" s="607" t="s">
        <v>364</v>
      </c>
      <c r="G56" s="608">
        <v>1</v>
      </c>
      <c r="H56" s="608" t="s">
        <v>25</v>
      </c>
      <c r="I56" s="609" t="str">
        <f>+INTEGRANTES!E23</f>
        <v>PEDRO JOSE CORREDOR BECERRA</v>
      </c>
      <c r="J56" s="613">
        <v>42262</v>
      </c>
      <c r="K56" s="611">
        <v>0</v>
      </c>
      <c r="L56" s="613">
        <v>42400</v>
      </c>
      <c r="M56" s="612">
        <f t="shared" si="7"/>
        <v>4.633</v>
      </c>
      <c r="N56" s="620">
        <v>92.5</v>
      </c>
      <c r="O56" s="604">
        <f t="shared" si="8"/>
        <v>92.5</v>
      </c>
      <c r="P56" s="538">
        <f t="shared" si="10"/>
        <v>92.5</v>
      </c>
      <c r="Q56" s="539">
        <f t="shared" si="9"/>
        <v>19.965</v>
      </c>
      <c r="R56" s="706"/>
      <c r="S56" s="707"/>
      <c r="T56" s="708"/>
      <c r="U56" s="472"/>
      <c r="V56" s="166"/>
      <c r="W56" s="446" t="s">
        <v>25</v>
      </c>
      <c r="X56" s="456" t="s">
        <v>436</v>
      </c>
      <c r="Y56" s="436" t="s">
        <v>25</v>
      </c>
      <c r="Z56" s="437"/>
      <c r="AA56" s="560" t="s">
        <v>317</v>
      </c>
      <c r="AB56" s="561"/>
      <c r="AC56" s="87"/>
      <c r="AD56" s="466" t="s">
        <v>289</v>
      </c>
      <c r="AE56" s="456" t="s">
        <v>25</v>
      </c>
      <c r="AF56" s="467" t="s">
        <v>25</v>
      </c>
      <c r="AG56" s="87"/>
      <c r="AH56" s="87"/>
      <c r="AI56" s="87"/>
    </row>
    <row r="57" spans="1:35" ht="42.75" customHeight="1">
      <c r="A57" s="80" t="str">
        <f>"D"&amp;E50</f>
        <v>D2</v>
      </c>
      <c r="B57" s="591">
        <v>4</v>
      </c>
      <c r="C57" s="623" t="str">
        <f>+C56</f>
        <v>INVIAS</v>
      </c>
      <c r="D57" s="624" t="s">
        <v>429</v>
      </c>
      <c r="E57" s="631" t="s">
        <v>432</v>
      </c>
      <c r="F57" s="625" t="s">
        <v>366</v>
      </c>
      <c r="G57" s="608">
        <v>0.4</v>
      </c>
      <c r="H57" s="626" t="s">
        <v>25</v>
      </c>
      <c r="I57" s="614" t="str">
        <f>+INTEGRANTES!E24</f>
        <v>JORGE WILLIAM CORZO GARCÍA</v>
      </c>
      <c r="J57" s="627">
        <v>41944</v>
      </c>
      <c r="K57" s="628">
        <f>+SUSPENSIONES!N19</f>
        <v>0.56699999999999995</v>
      </c>
      <c r="L57" s="627">
        <v>42071</v>
      </c>
      <c r="M57" s="634">
        <f t="shared" si="7"/>
        <v>3.7</v>
      </c>
      <c r="N57" s="629">
        <v>153.79</v>
      </c>
      <c r="O57" s="604">
        <f t="shared" si="8"/>
        <v>61.515999999999998</v>
      </c>
      <c r="P57" s="630">
        <f t="shared" si="10"/>
        <v>61.515999999999998</v>
      </c>
      <c r="Q57" s="630">
        <f t="shared" si="9"/>
        <v>16.626000000000001</v>
      </c>
      <c r="R57" s="740"/>
      <c r="S57" s="741"/>
      <c r="T57" s="742"/>
      <c r="U57" s="772"/>
      <c r="V57" s="166"/>
      <c r="W57" s="446" t="s">
        <v>25</v>
      </c>
      <c r="X57" s="456" t="s">
        <v>433</v>
      </c>
      <c r="Y57" s="436" t="s">
        <v>25</v>
      </c>
      <c r="Z57" s="437"/>
      <c r="AA57" s="775" t="s">
        <v>317</v>
      </c>
      <c r="AB57" s="778"/>
      <c r="AC57" s="87"/>
      <c r="AD57" s="466" t="s">
        <v>289</v>
      </c>
      <c r="AE57" s="456" t="s">
        <v>25</v>
      </c>
      <c r="AF57" s="467" t="s">
        <v>25</v>
      </c>
      <c r="AG57" s="87"/>
      <c r="AH57" s="87"/>
      <c r="AI57" s="87"/>
    </row>
    <row r="58" spans="1:35" ht="41.25" customHeight="1">
      <c r="A58" s="80" t="str">
        <f>"E"&amp;E50</f>
        <v>E2</v>
      </c>
      <c r="B58" s="591">
        <v>5</v>
      </c>
      <c r="C58" s="623" t="s">
        <v>363</v>
      </c>
      <c r="D58" s="624" t="s">
        <v>429</v>
      </c>
      <c r="E58" s="632" t="str">
        <f>+E57</f>
        <v>NTERVENTORIA PARA LA REHABILITACION Y CONSERVACION DEL PUENTE GUADALAJARA EN AL CARRETERA BARBOSA TUNJA RUTA 62 TRAMO 6209</v>
      </c>
      <c r="F58" s="625" t="s">
        <v>366</v>
      </c>
      <c r="G58" s="608">
        <v>0.3</v>
      </c>
      <c r="H58" s="626" t="s">
        <v>25</v>
      </c>
      <c r="I58" s="614" t="str">
        <f>+I56</f>
        <v>PEDRO JOSE CORREDOR BECERRA</v>
      </c>
      <c r="J58" s="627">
        <v>41944</v>
      </c>
      <c r="K58" s="628">
        <f>+K57</f>
        <v>0.56699999999999995</v>
      </c>
      <c r="L58" s="627">
        <v>42071</v>
      </c>
      <c r="M58" s="634">
        <f t="shared" si="7"/>
        <v>3.7</v>
      </c>
      <c r="N58" s="629">
        <v>153.79</v>
      </c>
      <c r="O58" s="604">
        <f t="shared" si="8"/>
        <v>46.136999999999993</v>
      </c>
      <c r="P58" s="630">
        <f t="shared" si="10"/>
        <v>46.137</v>
      </c>
      <c r="Q58" s="630">
        <f t="shared" si="9"/>
        <v>12.468999999999999</v>
      </c>
      <c r="R58" s="766"/>
      <c r="S58" s="767"/>
      <c r="T58" s="768"/>
      <c r="U58" s="773"/>
      <c r="V58" s="167"/>
      <c r="W58" s="446" t="s">
        <v>25</v>
      </c>
      <c r="X58" s="456" t="s">
        <v>461</v>
      </c>
      <c r="Y58" s="436" t="s">
        <v>25</v>
      </c>
      <c r="Z58" s="437"/>
      <c r="AA58" s="776"/>
      <c r="AB58" s="779"/>
      <c r="AC58" s="87"/>
      <c r="AD58" s="466"/>
      <c r="AE58" s="456"/>
      <c r="AF58" s="467"/>
      <c r="AG58" s="87"/>
      <c r="AH58" s="87"/>
      <c r="AI58" s="87"/>
    </row>
    <row r="59" spans="1:35" ht="38.25" customHeight="1">
      <c r="A59" s="80" t="str">
        <f>"F"&amp;E50</f>
        <v>F2</v>
      </c>
      <c r="B59" s="591">
        <v>6</v>
      </c>
      <c r="C59" s="623" t="s">
        <v>363</v>
      </c>
      <c r="D59" s="624" t="s">
        <v>429</v>
      </c>
      <c r="E59" s="633" t="str">
        <f>+E58</f>
        <v>NTERVENTORIA PARA LA REHABILITACION Y CONSERVACION DEL PUENTE GUADALAJARA EN AL CARRETERA BARBOSA TUNJA RUTA 62 TRAMO 6209</v>
      </c>
      <c r="F59" s="625" t="s">
        <v>366</v>
      </c>
      <c r="G59" s="608">
        <v>0.3</v>
      </c>
      <c r="H59" s="626" t="s">
        <v>25</v>
      </c>
      <c r="I59" s="614" t="str">
        <f>+INTEGRANTES!E25</f>
        <v>DONAL BOGOTA BAUTISTA</v>
      </c>
      <c r="J59" s="627">
        <v>41944</v>
      </c>
      <c r="K59" s="628">
        <f>+K58</f>
        <v>0.56699999999999995</v>
      </c>
      <c r="L59" s="627">
        <v>42071</v>
      </c>
      <c r="M59" s="634">
        <f t="shared" si="7"/>
        <v>3.7</v>
      </c>
      <c r="N59" s="629">
        <v>153.79</v>
      </c>
      <c r="O59" s="604">
        <f t="shared" si="8"/>
        <v>46.136999999999993</v>
      </c>
      <c r="P59" s="630">
        <f t="shared" si="10"/>
        <v>46.137</v>
      </c>
      <c r="Q59" s="630">
        <f t="shared" si="9"/>
        <v>12.468999999999999</v>
      </c>
      <c r="R59" s="769"/>
      <c r="S59" s="770"/>
      <c r="T59" s="771"/>
      <c r="U59" s="774"/>
      <c r="V59" s="167"/>
      <c r="W59" s="446" t="s">
        <v>25</v>
      </c>
      <c r="X59" s="456" t="s">
        <v>437</v>
      </c>
      <c r="Y59" s="436" t="s">
        <v>25</v>
      </c>
      <c r="Z59" s="437"/>
      <c r="AA59" s="777"/>
      <c r="AB59" s="780"/>
      <c r="AC59" s="87"/>
      <c r="AD59" s="466"/>
      <c r="AE59" s="456"/>
      <c r="AF59" s="467"/>
      <c r="AG59" s="87"/>
      <c r="AH59" s="87"/>
      <c r="AI59" s="87"/>
    </row>
    <row r="60" spans="1:35">
      <c r="A60" s="80"/>
      <c r="B60" s="105"/>
      <c r="C60" s="585"/>
      <c r="D60" s="585"/>
      <c r="E60" s="585"/>
      <c r="F60" s="585"/>
      <c r="G60" s="83"/>
      <c r="H60" s="83"/>
      <c r="I60" s="84"/>
      <c r="J60" s="85"/>
      <c r="K60" s="382"/>
      <c r="L60" s="85"/>
      <c r="M60" s="332"/>
      <c r="N60" s="86"/>
      <c r="O60" s="86"/>
      <c r="P60" s="538"/>
      <c r="Q60" s="539"/>
      <c r="R60" s="582"/>
      <c r="S60" s="583"/>
      <c r="T60" s="584"/>
      <c r="U60" s="472"/>
      <c r="V60" s="167"/>
      <c r="W60" s="446"/>
      <c r="X60" s="456"/>
      <c r="Y60" s="436"/>
      <c r="Z60" s="437"/>
      <c r="AA60" s="560"/>
      <c r="AB60" s="561"/>
      <c r="AC60" s="87"/>
      <c r="AD60" s="466"/>
      <c r="AE60" s="456"/>
      <c r="AF60" s="467"/>
      <c r="AG60" s="87"/>
      <c r="AH60" s="87"/>
      <c r="AI60" s="87"/>
    </row>
    <row r="61" spans="1:35">
      <c r="A61" s="80"/>
      <c r="B61" s="105"/>
      <c r="C61" s="592"/>
      <c r="D61" s="592"/>
      <c r="E61" s="592"/>
      <c r="F61" s="592"/>
      <c r="G61" s="83"/>
      <c r="H61" s="83"/>
      <c r="I61" s="84"/>
      <c r="J61" s="85"/>
      <c r="K61" s="382"/>
      <c r="L61" s="85"/>
      <c r="M61" s="332"/>
      <c r="N61" s="86"/>
      <c r="O61" s="86"/>
      <c r="P61" s="538"/>
      <c r="Q61" s="539"/>
      <c r="R61" s="635"/>
      <c r="S61" s="636"/>
      <c r="T61" s="637"/>
      <c r="U61" s="472"/>
      <c r="V61" s="167"/>
      <c r="W61" s="446"/>
      <c r="X61" s="456"/>
      <c r="Y61" s="436"/>
      <c r="Z61" s="437"/>
      <c r="AA61" s="560"/>
      <c r="AB61" s="561"/>
      <c r="AC61" s="87"/>
      <c r="AD61" s="466"/>
      <c r="AE61" s="456"/>
      <c r="AF61" s="467"/>
      <c r="AG61" s="87"/>
      <c r="AH61" s="87"/>
      <c r="AI61" s="87"/>
    </row>
    <row r="62" spans="1:35">
      <c r="A62" s="80"/>
      <c r="B62" s="105"/>
      <c r="C62" s="107"/>
      <c r="D62" s="107"/>
      <c r="E62" s="107"/>
      <c r="F62" s="107"/>
      <c r="G62" s="83"/>
      <c r="H62" s="83"/>
      <c r="I62" s="84"/>
      <c r="J62" s="85"/>
      <c r="K62" s="382"/>
      <c r="L62" s="85"/>
      <c r="M62" s="332"/>
      <c r="N62" s="453"/>
      <c r="O62" s="86" t="str">
        <f>IF(OR(G62="",N62=""),"",N62*G62)</f>
        <v/>
      </c>
      <c r="P62" s="538" t="str">
        <f t="shared" si="10"/>
        <v/>
      </c>
      <c r="Q62" s="539" t="str">
        <f t="shared" si="9"/>
        <v/>
      </c>
      <c r="R62" s="706"/>
      <c r="S62" s="707"/>
      <c r="T62" s="708"/>
      <c r="U62" s="472"/>
      <c r="V62" s="167"/>
      <c r="W62" s="446"/>
      <c r="X62" s="456"/>
      <c r="Y62" s="436"/>
      <c r="Z62" s="437"/>
      <c r="AA62" s="560"/>
      <c r="AB62" s="561"/>
      <c r="AC62" s="87"/>
      <c r="AD62" s="466"/>
      <c r="AE62" s="456"/>
      <c r="AF62" s="467"/>
      <c r="AG62" s="87"/>
      <c r="AH62" s="87"/>
      <c r="AI62" s="87"/>
    </row>
    <row r="63" spans="1:35" ht="16.5" thickBot="1">
      <c r="A63" s="44"/>
      <c r="B63" s="89"/>
      <c r="C63" s="90"/>
      <c r="D63" s="90"/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1"/>
      <c r="T63" s="92"/>
      <c r="U63" s="473"/>
      <c r="W63" s="438"/>
      <c r="X63" s="455"/>
      <c r="Y63" s="439"/>
      <c r="Z63" s="437"/>
      <c r="AA63" s="530"/>
      <c r="AB63" s="563"/>
      <c r="AC63" s="87"/>
      <c r="AD63" s="440"/>
      <c r="AE63" s="441"/>
      <c r="AF63" s="442"/>
      <c r="AG63" s="49"/>
      <c r="AH63" s="87"/>
      <c r="AI63" s="87"/>
    </row>
    <row r="64" spans="1:35" ht="16.5" thickBot="1">
      <c r="A64" s="93"/>
      <c r="B64" s="94"/>
      <c r="C64" s="96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96"/>
      <c r="O64" s="96"/>
      <c r="P64" s="97"/>
      <c r="Q64" s="97"/>
      <c r="R64" s="98"/>
      <c r="S64" s="95"/>
      <c r="T64" s="99"/>
      <c r="U64" s="469"/>
      <c r="AC64" s="58"/>
      <c r="AG64" s="58"/>
      <c r="AH64" s="87"/>
      <c r="AI64" s="87"/>
    </row>
    <row r="65" spans="1:35" ht="16.5" thickBot="1">
      <c r="B65" s="101"/>
      <c r="C65" s="101"/>
      <c r="D65" s="101"/>
      <c r="E65" s="101"/>
      <c r="F65" s="101"/>
      <c r="G65" s="101"/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U65" s="50"/>
      <c r="AH65" s="87"/>
      <c r="AI65" s="87"/>
    </row>
    <row r="66" spans="1:35" ht="16.5" customHeight="1" thickBot="1">
      <c r="A66" s="44"/>
      <c r="B66" s="705" t="s">
        <v>74</v>
      </c>
      <c r="C66" s="705"/>
      <c r="D66" s="705"/>
      <c r="E66" s="705"/>
      <c r="F66" s="705"/>
      <c r="G66" s="705"/>
      <c r="H66" s="705"/>
      <c r="I66" s="705"/>
      <c r="J66" s="705"/>
      <c r="K66" s="705"/>
      <c r="L66" s="705"/>
      <c r="M66" s="705"/>
      <c r="N66" s="705"/>
      <c r="O66" s="705"/>
      <c r="P66" s="705"/>
      <c r="Q66" s="705"/>
      <c r="R66" s="705"/>
      <c r="S66" s="705"/>
      <c r="T66" s="705"/>
      <c r="U66" s="108"/>
      <c r="Y66" s="532" t="s">
        <v>341</v>
      </c>
      <c r="AC66" s="49"/>
      <c r="AD66" s="687" t="s">
        <v>302</v>
      </c>
      <c r="AE66" s="688"/>
      <c r="AF66" s="689"/>
      <c r="AG66" s="49"/>
      <c r="AH66" s="87"/>
      <c r="AI66" s="87"/>
    </row>
    <row r="67" spans="1:35" ht="15.75" customHeight="1" thickBot="1">
      <c r="A67" s="218" t="str">
        <f>"K"&amp;E50</f>
        <v>K2</v>
      </c>
      <c r="B67" s="701" t="s">
        <v>71</v>
      </c>
      <c r="C67" s="751" t="s">
        <v>102</v>
      </c>
      <c r="D67" s="751"/>
      <c r="E67" s="751"/>
      <c r="F67" s="751"/>
      <c r="G67" s="751"/>
      <c r="H67" s="751"/>
      <c r="I67" s="751"/>
      <c r="J67" s="751"/>
      <c r="K67" s="751"/>
      <c r="L67" s="722" t="s">
        <v>100</v>
      </c>
      <c r="M67" s="747" t="s">
        <v>114</v>
      </c>
      <c r="N67" s="747"/>
      <c r="O67" s="747"/>
      <c r="P67" s="747"/>
      <c r="Q67" s="748"/>
      <c r="R67" s="758" t="s">
        <v>280</v>
      </c>
      <c r="S67" s="748"/>
      <c r="T67" s="762" t="str">
        <f>IF(COUNTIF(AE67:AF67,"VERIFICAR")&gt;0,"VERIFICAR",IF(COUNTIF(AE67:AF67,"NO CUMPLE")&gt;0,"NO CUMPLE","CUMPLE"))</f>
        <v>CUMPLE</v>
      </c>
      <c r="U67" s="108"/>
      <c r="Y67" s="533" t="str">
        <f>IF(F68="","",IF(F68=1,"INDIVIDUAL","ESTRUCTURA PLURAL"))</f>
        <v>ESTRUCTURA PLURAL</v>
      </c>
      <c r="AC67" s="52"/>
      <c r="AD67" s="475" t="s">
        <v>303</v>
      </c>
      <c r="AE67" s="476" t="str">
        <f>IF(COUNTIF(AE54:AE62,"")=10,"VERIFICAR",IF(COUNTIF(AE54:AE62,"SI")&gt;0,"CUMPLE","NO CUMPLE"))</f>
        <v>CUMPLE</v>
      </c>
      <c r="AF67" s="477" t="str">
        <f>IF(COUNTIF(AF54:AF62,"")=10,"VERIFICAR",IF(COUNTIF(AF54:AF62,"SI")&gt;=$AI$22,"CUMPLE","NO CUMPLE"))</f>
        <v>CUMPLE</v>
      </c>
      <c r="AG67" s="52"/>
      <c r="AH67" s="87"/>
      <c r="AI67" s="87"/>
    </row>
    <row r="68" spans="1:35" ht="16.5" customHeight="1" thickBot="1">
      <c r="A68" s="218" t="str">
        <f>"L"&amp;E50</f>
        <v>L2</v>
      </c>
      <c r="B68" s="702"/>
      <c r="C68" s="751" t="s">
        <v>103</v>
      </c>
      <c r="D68" s="751"/>
      <c r="E68" s="752"/>
      <c r="F68" s="557">
        <f>IF(VLOOKUP(E50,PROPONENTES!$C$19:$E$218,3,0)="","",VLOOKUP(E50,PROPONENTES!$C$19:$E$218,3,0))</f>
        <v>3</v>
      </c>
      <c r="G68" s="753" t="s">
        <v>104</v>
      </c>
      <c r="H68" s="751"/>
      <c r="I68" s="715" t="str">
        <f>IF(OR(F68="",F68=1),"INTERESADO PERSONA NATURAL O JURIDICA","CONSORCIO O UNION TEMPORAL")</f>
        <v>CONSORCIO O UNION TEMPORAL</v>
      </c>
      <c r="J68" s="725"/>
      <c r="K68" s="728"/>
      <c r="L68" s="723"/>
      <c r="M68" s="749"/>
      <c r="N68" s="749"/>
      <c r="O68" s="749"/>
      <c r="P68" s="749"/>
      <c r="Q68" s="750"/>
      <c r="R68" s="712"/>
      <c r="S68" s="750"/>
      <c r="T68" s="763"/>
      <c r="U68" s="108"/>
      <c r="Y68" s="534"/>
      <c r="AA68" s="52"/>
      <c r="AB68" s="52"/>
      <c r="AC68" s="52"/>
      <c r="AG68" s="52"/>
      <c r="AH68" s="87"/>
      <c r="AI68" s="87"/>
    </row>
    <row r="69" spans="1:35" ht="56.25" customHeight="1" thickBot="1">
      <c r="A69" s="218" t="str">
        <f>"M"&amp;E50</f>
        <v>M2</v>
      </c>
      <c r="B69" s="702"/>
      <c r="C69" s="725" t="s">
        <v>101</v>
      </c>
      <c r="D69" s="716"/>
      <c r="E69" s="558" t="s">
        <v>105</v>
      </c>
      <c r="F69" s="554" t="s">
        <v>87</v>
      </c>
      <c r="G69" s="553" t="s">
        <v>86</v>
      </c>
      <c r="H69" s="559" t="s">
        <v>85</v>
      </c>
      <c r="I69" s="554" t="s">
        <v>252</v>
      </c>
      <c r="J69" s="553" t="str">
        <f>"¿EL INTEGRANTE TIENE UNA PARTICIPACIÓN DEL "&amp;PORCREQUERIDOINT*100&amp;"%?"</f>
        <v>¿EL INTEGRANTE TIENE UNA PARTICIPACIÓN DEL 60%?</v>
      </c>
      <c r="K69" s="554" t="s">
        <v>107</v>
      </c>
      <c r="L69" s="724"/>
      <c r="M69" s="717" t="s">
        <v>115</v>
      </c>
      <c r="N69" s="718"/>
      <c r="O69" s="718"/>
      <c r="P69" s="718"/>
      <c r="Q69" s="223">
        <f>IF(AND(H51="SI",P51&gt;=0),1,0)+IF(AND(H52="SI",P52&gt;=0),1,0)+IF(AND(H53="SI",P53&gt;=0),1,0)+IF(AND(H54="SI",P54&gt;=0),1,0)+IF(AND(H55="SI",P55&gt;=0),1,0)+IF(AND(H56="SI",P56&gt;=0),1,0)+IF(AND(H58="SI",P58&gt;=0),1,0)+IF(AND(H62="SI",P62&gt;=0),1,0)</f>
        <v>4</v>
      </c>
      <c r="R69" s="759"/>
      <c r="S69" s="761"/>
      <c r="T69" s="764"/>
      <c r="U69" s="219"/>
      <c r="V69" s="464"/>
      <c r="Y69" s="532" t="s">
        <v>342</v>
      </c>
      <c r="AA69" s="550" t="s">
        <v>344</v>
      </c>
      <c r="AB69" s="693" t="s">
        <v>345</v>
      </c>
      <c r="AC69" s="693" t="s">
        <v>346</v>
      </c>
      <c r="AD69" s="685" t="s">
        <v>347</v>
      </c>
      <c r="AE69" s="52"/>
      <c r="AF69" s="52"/>
      <c r="AG69" s="52"/>
      <c r="AH69" s="87"/>
      <c r="AI69" s="87"/>
    </row>
    <row r="70" spans="1:35" ht="26.25" customHeight="1" thickBot="1">
      <c r="A70" s="218" t="str">
        <f>"N"&amp;E50</f>
        <v>N2</v>
      </c>
      <c r="B70" s="702"/>
      <c r="C70" s="114">
        <v>1</v>
      </c>
      <c r="D70" s="194" t="str">
        <f>IF(AND(C70&lt;=F68,F68&gt;1,F68&lt;&gt;""),VLOOKUP(VALUE(E50&amp;","&amp;C70),INTEGRANTES!$D$18:$F$235,2,0),"")</f>
        <v>PEDRO JOSE CORREDOR BECERRA</v>
      </c>
      <c r="E70" s="211">
        <f>IF(D70&lt;&gt;"",VLOOKUP(VALUE(E50&amp;","&amp;C70),INTEGRANTES!$D$18:$F$235,3,0),"")</f>
        <v>0.3</v>
      </c>
      <c r="F70" s="547">
        <f>IF(D70="","",SUMIF($I54:$I59,D70,$P54:$P59))</f>
        <v>161.37700000000001</v>
      </c>
      <c r="G70" s="333">
        <f>IF(D70="","",SUMIF($I54:$I62,D70,$M54:$M62))</f>
        <v>11.933</v>
      </c>
      <c r="H70" s="535">
        <f>IF(D70="","",IF(OR(F70=0,G70=0),"NO APORTA",ROUND($F70/$G70,3)))</f>
        <v>13.523999999999999</v>
      </c>
      <c r="I70" s="212" t="str">
        <f>IF(D70="","",IF(H70="NO APORTA","NO",IF(H70=MAX($H70:$H75),"SI","NO")))</f>
        <v>NO</v>
      </c>
      <c r="J70" s="213" t="str">
        <f>IF(D70="","",IF(E70&gt;=PORCREQUERIDOINT,"SI","NO"))</f>
        <v>NO</v>
      </c>
      <c r="K70" s="200" t="str">
        <f>IF(D70="","",IF(AND(I70="SI",J70="SI"),"CUMPLE",IF(AND(I70="NO",OR(J70="SI",J70="NO")),"","NO CUMPLE")))</f>
        <v/>
      </c>
      <c r="L70" s="722" t="s">
        <v>108</v>
      </c>
      <c r="M70" s="726" t="s">
        <v>119</v>
      </c>
      <c r="N70" s="726"/>
      <c r="O70" s="726"/>
      <c r="P70" s="726"/>
      <c r="Q70" s="727"/>
      <c r="R70" s="758" t="s">
        <v>80</v>
      </c>
      <c r="S70" s="747"/>
      <c r="T70" s="748"/>
      <c r="U70" s="219"/>
      <c r="V70" s="464"/>
      <c r="Y70" s="533" t="str">
        <f>IF(Y67="","",IF(Y67="INDIVIDUAL","NO APLICA","VERIFICAR CUADRO"))</f>
        <v>VERIFICAR CUADRO</v>
      </c>
      <c r="AA70" s="551"/>
      <c r="AB70" s="694"/>
      <c r="AC70" s="694"/>
      <c r="AD70" s="686"/>
      <c r="AE70" s="52"/>
      <c r="AF70" s="52"/>
      <c r="AG70" s="52"/>
      <c r="AH70" s="87"/>
      <c r="AI70" s="87"/>
    </row>
    <row r="71" spans="1:35" ht="27.75" customHeight="1" thickBot="1">
      <c r="A71" s="218" t="str">
        <f>"O"&amp;E50</f>
        <v>O2</v>
      </c>
      <c r="B71" s="702"/>
      <c r="C71" s="114">
        <v>2</v>
      </c>
      <c r="D71" s="194" t="str">
        <f>IF(AND(C71&lt;=F68,F68&lt;&gt;""),VLOOKUP(VALUE(E50&amp;","&amp;C71),INTEGRANTES!$D$18:$F$235,2,0),"")</f>
        <v>JORGE WILLIAM CORZO GARCÍA</v>
      </c>
      <c r="E71" s="211">
        <f>IF(D71&lt;&gt;"",VLOOKUP(VALUE(E50&amp;","&amp;C71),INTEGRANTES!$D$18:$F$235,3,0),"")</f>
        <v>0.6</v>
      </c>
      <c r="F71" s="547">
        <f>IF(D71="","",SUMIF($I55:$I63,D71,$P55:$P63))</f>
        <v>61.515999999999998</v>
      </c>
      <c r="G71" s="333">
        <f>IF(D71="","",SUMIF($I54:$I62,D71,$M54:$M62))</f>
        <v>3.7</v>
      </c>
      <c r="H71" s="535">
        <f>IF(D71="","",IF(OR(F71=0,G71=0),"NO APORTA",ROUND($F71/$G71,3)))</f>
        <v>16.626000000000001</v>
      </c>
      <c r="I71" s="212" t="str">
        <f>IF(D71="","",IF(H71="NO APORTA","NO",IF(H71=MAX($H70:$H75),"SI","NO")))</f>
        <v>SI</v>
      </c>
      <c r="J71" s="213" t="str">
        <f>IF(D71="","",IF(E71&gt;=PORCREQUERIDOINT,"SI","NO"))</f>
        <v>SI</v>
      </c>
      <c r="K71" s="200" t="str">
        <f t="shared" ref="K71:K75" si="11">IF(D71="","",IF(AND(I71="SI",J71="SI"),"CUMPLE",IF(AND(I71="NO",OR(J71="SI",J71="NO")),"","NO CUMPLE")))</f>
        <v>CUMPLE</v>
      </c>
      <c r="L71" s="723"/>
      <c r="M71" s="715" t="s">
        <v>116</v>
      </c>
      <c r="N71" s="716"/>
      <c r="O71" s="556" t="s">
        <v>113</v>
      </c>
      <c r="P71" s="715" t="s">
        <v>117</v>
      </c>
      <c r="Q71" s="728"/>
      <c r="R71" s="759"/>
      <c r="S71" s="760"/>
      <c r="T71" s="761"/>
      <c r="U71" s="219"/>
      <c r="V71" s="464"/>
      <c r="Y71" s="414"/>
      <c r="AA71" s="542" t="str">
        <f>IF(AND(C70&lt;=F68,F68&gt;1,F68&lt;&gt;""),VLOOKUP(VALUE(E50&amp;","&amp;C70),INTEGRANTES!$D$18:$F$235,2,0),"")</f>
        <v>PEDRO JOSE CORREDOR BECERRA</v>
      </c>
      <c r="AB71" s="544">
        <f t="shared" ref="AB71:AB76" si="12">IF(D70="","",IF(OR(F70=0,G70=0),"NO APORTA",ROUND($F70/$G70,3)))</f>
        <v>13.523999999999999</v>
      </c>
      <c r="AC71" s="529"/>
      <c r="AD71" s="200" t="str">
        <f t="shared" ref="AD71:AD76" si="13">IF(OR(AA71="",AB71=""),"",IF(AND(AC71="X",AB71&gt;=EXPREQVTD),"CUMPLE","NO CUMPLE"))</f>
        <v>NO CUMPLE</v>
      </c>
      <c r="AE71" s="52"/>
      <c r="AF71" s="52"/>
      <c r="AG71" s="52"/>
      <c r="AH71" s="87"/>
      <c r="AI71" s="87"/>
    </row>
    <row r="72" spans="1:35" ht="16.5" thickBot="1">
      <c r="A72" s="218" t="str">
        <f>"P"&amp;E50</f>
        <v>P2</v>
      </c>
      <c r="B72" s="702"/>
      <c r="C72" s="114">
        <v>3</v>
      </c>
      <c r="D72" s="194" t="str">
        <f>IF(AND(C72&lt;=F68,F68&lt;&gt;""),VLOOKUP(VALUE(E50&amp;","&amp;C72),INTEGRANTES!$D$18:$F$235,2,0),"")</f>
        <v>DONAL BOGOTA BAUTISTA</v>
      </c>
      <c r="E72" s="211">
        <f>IF(D72&lt;&gt;"",VLOOKUP(VALUE(E50&amp;","&amp;C72),INTEGRANTES!$D$18:$F$235,3,0),"")</f>
        <v>0.1</v>
      </c>
      <c r="F72" s="547">
        <f>IF(D72="","",SUMIF($I54:$I62,D72,$P54:$P62))</f>
        <v>46.137</v>
      </c>
      <c r="G72" s="333">
        <f>IF(D72="","",SUMIF($I54:$I62,D72,$M54:$M62))</f>
        <v>3.7</v>
      </c>
      <c r="H72" s="535">
        <f>IF(D72="","",IF(OR(F72=0,G72=0),"NO APORTA",ROUND($F72/$G72,3)))</f>
        <v>12.468999999999999</v>
      </c>
      <c r="I72" s="212" t="str">
        <f>IF(D72="","",IF(H72="NO APORTA","NO",IF(H72=MAX($H70:$H75),"SI","NO")))</f>
        <v>NO</v>
      </c>
      <c r="J72" s="213" t="str">
        <f>IF(D72="","",IF(E72&gt;=PORCREQUERIDOINT,"SI","NO"))</f>
        <v>NO</v>
      </c>
      <c r="K72" s="200" t="str">
        <f t="shared" si="11"/>
        <v/>
      </c>
      <c r="L72" s="724"/>
      <c r="M72" s="729">
        <f>NUMMOD</f>
        <v>1</v>
      </c>
      <c r="N72" s="730"/>
      <c r="O72" s="443">
        <f>IF(M72="","",VLOOKUP(M72,PRESUPUESTOS!$B$16:$H$16,5,FALSE))</f>
        <v>2</v>
      </c>
      <c r="P72" s="713">
        <f>IF(OR(COUNTIF(M54:M62,"")&gt;=10,Q69&lt;NUMMINCONT,OR(T67="NO CUMPLE",T67="VERIFICAR")),0,ROUND(AVERAGE(M54:M62),3))</f>
        <v>3.222</v>
      </c>
      <c r="Q72" s="714"/>
      <c r="R72" s="458"/>
      <c r="S72" s="459"/>
      <c r="T72" s="460"/>
      <c r="U72" s="219"/>
      <c r="V72" s="464"/>
      <c r="Y72" s="532" t="str">
        <f>"40% * ("&amp;PRESUPUESTOS!$H$13&amp;")"</f>
        <v>40% * (50% PFMO)</v>
      </c>
      <c r="AA72" s="540" t="str">
        <f>IF(AND(C71&lt;=F68,F68&lt;&gt;""),VLOOKUP(VALUE(E50&amp;","&amp;C71),INTEGRANTES!$D$18:$F$235,2,0),"")</f>
        <v>JORGE WILLIAM CORZO GARCÍA</v>
      </c>
      <c r="AB72" s="545">
        <f t="shared" si="12"/>
        <v>16.626000000000001</v>
      </c>
      <c r="AC72" s="529"/>
      <c r="AD72" s="200" t="str">
        <f t="shared" si="13"/>
        <v>NO CUMPLE</v>
      </c>
      <c r="AE72" s="52"/>
      <c r="AF72" s="52"/>
      <c r="AG72" s="52"/>
      <c r="AH72" s="87"/>
      <c r="AI72" s="87"/>
    </row>
    <row r="73" spans="1:35" ht="15.75" customHeight="1" thickBot="1">
      <c r="A73" s="218" t="str">
        <f>"Q"&amp;E50</f>
        <v>Q2</v>
      </c>
      <c r="B73" s="702"/>
      <c r="C73" s="114"/>
      <c r="D73" s="194"/>
      <c r="E73" s="211"/>
      <c r="F73" s="547"/>
      <c r="G73" s="333"/>
      <c r="H73" s="535"/>
      <c r="I73" s="212"/>
      <c r="J73" s="213"/>
      <c r="K73" s="200" t="str">
        <f t="shared" si="11"/>
        <v/>
      </c>
      <c r="L73" s="720" t="s">
        <v>109</v>
      </c>
      <c r="M73" s="757" t="s">
        <v>120</v>
      </c>
      <c r="N73" s="726"/>
      <c r="O73" s="726"/>
      <c r="P73" s="726"/>
      <c r="Q73" s="727"/>
      <c r="R73" s="458"/>
      <c r="S73" s="459"/>
      <c r="T73" s="460"/>
      <c r="U73" s="219"/>
      <c r="V73" s="464"/>
      <c r="Y73" s="537">
        <f>0.4*PRESUPUESTOS!$H$16</f>
        <v>10.3124</v>
      </c>
      <c r="AA73" s="540" t="str">
        <f>IF(AND(C72&lt;=F68,F68&lt;&gt;""),VLOOKUP(VALUE(E50&amp;","&amp;C72),INTEGRANTES!$D$18:$F$235,2,0),"")</f>
        <v>DONAL BOGOTA BAUTISTA</v>
      </c>
      <c r="AB73" s="545">
        <f t="shared" si="12"/>
        <v>12.468999999999999</v>
      </c>
      <c r="AC73" s="529"/>
      <c r="AD73" s="200" t="str">
        <f t="shared" si="13"/>
        <v>NO CUMPLE</v>
      </c>
      <c r="AE73" s="52"/>
      <c r="AF73" s="52"/>
      <c r="AG73" s="52"/>
      <c r="AH73" s="87"/>
      <c r="AI73" s="87"/>
    </row>
    <row r="74" spans="1:35" ht="27.75" customHeight="1" thickBot="1">
      <c r="A74" s="218" t="str">
        <f>"R"&amp;E50</f>
        <v>R2</v>
      </c>
      <c r="B74" s="702"/>
      <c r="C74" s="114"/>
      <c r="D74" s="194"/>
      <c r="E74" s="211"/>
      <c r="F74" s="547"/>
      <c r="G74" s="333"/>
      <c r="H74" s="535"/>
      <c r="I74" s="212"/>
      <c r="J74" s="213"/>
      <c r="K74" s="200" t="str">
        <f t="shared" si="11"/>
        <v/>
      </c>
      <c r="L74" s="721"/>
      <c r="M74" s="715" t="s">
        <v>116</v>
      </c>
      <c r="N74" s="716"/>
      <c r="O74" s="556" t="str">
        <f>PORCREQUERIDO*100&amp;"% PMFO DEL MÓDULO"</f>
        <v>50% PMFO DEL MÓDULO</v>
      </c>
      <c r="P74" s="715" t="s">
        <v>118</v>
      </c>
      <c r="Q74" s="728"/>
      <c r="R74" s="458"/>
      <c r="S74" s="459"/>
      <c r="T74" s="460"/>
      <c r="U74" s="219"/>
      <c r="V74" s="464"/>
      <c r="Y74" s="414"/>
      <c r="AA74" s="540" t="str">
        <f>IF(AND(C73&lt;=F68,F68&lt;&gt;""),VLOOKUP(VALUE(E50&amp;","&amp;C73),INTEGRANTES!$D$18:$F$235,2,0),"")</f>
        <v>CONSORCIO MORELIA JPD</v>
      </c>
      <c r="AB74" s="545" t="str">
        <f t="shared" si="12"/>
        <v/>
      </c>
      <c r="AC74" s="529"/>
      <c r="AD74" s="200" t="str">
        <f t="shared" si="13"/>
        <v/>
      </c>
      <c r="AE74" s="52"/>
      <c r="AF74" s="52"/>
      <c r="AG74" s="52"/>
      <c r="AH74" s="87"/>
      <c r="AI74" s="87"/>
    </row>
    <row r="75" spans="1:35" ht="16.5" thickBot="1">
      <c r="A75" s="218" t="str">
        <f>"S"&amp;E50</f>
        <v>S2</v>
      </c>
      <c r="B75" s="702"/>
      <c r="C75" s="215"/>
      <c r="D75" s="216"/>
      <c r="E75" s="217"/>
      <c r="F75" s="548"/>
      <c r="G75" s="334"/>
      <c r="H75" s="536"/>
      <c r="I75" s="214"/>
      <c r="J75" s="213"/>
      <c r="K75" s="200" t="str">
        <f t="shared" si="11"/>
        <v/>
      </c>
      <c r="L75" s="721"/>
      <c r="M75" s="729">
        <f>NUMMOD</f>
        <v>1</v>
      </c>
      <c r="N75" s="730"/>
      <c r="O75" s="443">
        <f>IF(M75="","",ROUND(VLOOKUP(M75,PRESUPUESTOS!$B$16:$H$16,7,FALSE),3))</f>
        <v>25.780999999999999</v>
      </c>
      <c r="P75" s="713">
        <f>IF(OR(COUNTIF(P54:P62,"")&gt;=10,Q69&lt;NUMMINCONT,OR(T67="NO CUMPLE",T67="VERIFICAR")),0,ROUND((SUM(P54:P62)/SUM(M54:M62)),3))</f>
        <v>13.916</v>
      </c>
      <c r="Q75" s="714"/>
      <c r="R75" s="458"/>
      <c r="S75" s="459"/>
      <c r="T75" s="460"/>
      <c r="U75" s="219"/>
      <c r="V75" s="464"/>
      <c r="Y75" s="532" t="s">
        <v>343</v>
      </c>
      <c r="AA75" s="540" t="str">
        <f>IF(AND(C74&lt;=F68,F68&lt;&gt;""),VLOOKUP(VALUE(E50&amp;","&amp;C74),INTEGRANTES!$D$18:$F$235,2,0),"")</f>
        <v>CONSORCIO MORELIA JPD</v>
      </c>
      <c r="AB75" s="545" t="str">
        <f t="shared" si="12"/>
        <v/>
      </c>
      <c r="AC75" s="529"/>
      <c r="AD75" s="200" t="str">
        <f t="shared" si="13"/>
        <v/>
      </c>
      <c r="AE75" s="52"/>
      <c r="AF75" s="52"/>
      <c r="AG75" s="52"/>
      <c r="AH75" s="87"/>
      <c r="AI75" s="87"/>
    </row>
    <row r="76" spans="1:35" ht="16.5" customHeight="1" thickBot="1">
      <c r="A76" s="218" t="str">
        <f>"T"&amp;E50</f>
        <v>T2</v>
      </c>
      <c r="B76" s="703"/>
      <c r="C76" s="719"/>
      <c r="D76" s="719"/>
      <c r="E76" s="719"/>
      <c r="F76" s="719"/>
      <c r="G76" s="719"/>
      <c r="H76" s="719" t="s">
        <v>110</v>
      </c>
      <c r="I76" s="719"/>
      <c r="J76" s="719"/>
      <c r="K76" s="201" t="str">
        <f>IF(COUNTIF(K70:K75,"")=6,"",IF(COUNTIF(K70:K75,"CUMPLE")&gt;0,"CUMPLE","NO CUMPLE"))</f>
        <v>CUMPLE</v>
      </c>
      <c r="L76" s="754"/>
      <c r="M76" s="755"/>
      <c r="N76" s="755"/>
      <c r="O76" s="755"/>
      <c r="P76" s="755"/>
      <c r="Q76" s="756"/>
      <c r="R76" s="461"/>
      <c r="S76" s="462"/>
      <c r="T76" s="463"/>
      <c r="U76" s="219"/>
      <c r="V76" s="464"/>
      <c r="Y76" s="549" t="str">
        <f>IF(Y70="NO APLICA","NO APLICA",IF(COUNTIF(AD71:AD76,"CUMPLE")&gt;0,"CUMPLE","NO CUMPLE"))</f>
        <v>NO CUMPLE</v>
      </c>
      <c r="AA76" s="541" t="str">
        <f>IF(AND(C75&lt;=F68,F68&lt;&gt;""),VLOOKUP(VALUE(E50&amp;","&amp;C75),INTEGRANTES!$D$18:$F$235,2,0),"")</f>
        <v>CONSORCIO MORELIA JPD</v>
      </c>
      <c r="AB76" s="546" t="str">
        <f t="shared" si="12"/>
        <v/>
      </c>
      <c r="AC76" s="543"/>
      <c r="AD76" s="201" t="str">
        <f t="shared" si="13"/>
        <v/>
      </c>
      <c r="AE76" s="52"/>
      <c r="AF76" s="52"/>
      <c r="AG76" s="52"/>
      <c r="AH76" s="87"/>
      <c r="AI76" s="87"/>
    </row>
    <row r="77" spans="1:35">
      <c r="AH77" s="87"/>
      <c r="AI77" s="87"/>
    </row>
    <row r="78" spans="1:35">
      <c r="AH78" s="87"/>
      <c r="AI78" s="87"/>
    </row>
    <row r="79" spans="1:35" ht="24" thickBot="1">
      <c r="A79" s="61">
        <v>3</v>
      </c>
      <c r="B79" s="704" t="s">
        <v>51</v>
      </c>
      <c r="C79" s="704"/>
      <c r="D79" s="704"/>
      <c r="E79" s="62">
        <f>VLOOKUP(A79,PROPONENTES!$B$19:$E$218,2,FALSE)</f>
        <v>3</v>
      </c>
      <c r="F79" s="63" t="str">
        <f>VLOOKUP(A79,PROPONENTES!$B$19:$E$218,3,FALSE)</f>
        <v>UCING LTDA</v>
      </c>
      <c r="G79" s="64"/>
      <c r="H79" s="64"/>
      <c r="I79" s="63"/>
      <c r="J79" s="63"/>
      <c r="K79" s="65"/>
      <c r="L79" s="65"/>
      <c r="M79" s="64"/>
      <c r="N79" s="64"/>
      <c r="O79" s="66"/>
      <c r="P79" s="66"/>
      <c r="Q79" s="66"/>
      <c r="R79" s="66"/>
      <c r="S79" s="67"/>
      <c r="T79" s="68"/>
      <c r="U79" s="68"/>
      <c r="AC79" s="68"/>
      <c r="AD79" s="68"/>
      <c r="AE79" s="68"/>
      <c r="AF79" s="68"/>
      <c r="AG79" s="68"/>
      <c r="AH79" s="87"/>
      <c r="AI79" s="87"/>
    </row>
    <row r="80" spans="1:35" ht="15.75" customHeight="1">
      <c r="A80" s="44"/>
      <c r="B80" s="709" t="s">
        <v>59</v>
      </c>
      <c r="C80" s="552" t="s">
        <v>60</v>
      </c>
      <c r="D80" s="70" t="s">
        <v>17</v>
      </c>
      <c r="E80" s="70"/>
      <c r="F80" s="70" t="s">
        <v>61</v>
      </c>
      <c r="G80" s="71"/>
      <c r="H80" s="699" t="s">
        <v>62</v>
      </c>
      <c r="I80" s="699" t="s">
        <v>18</v>
      </c>
      <c r="J80" s="699" t="s">
        <v>63</v>
      </c>
      <c r="K80" s="699" t="s">
        <v>64</v>
      </c>
      <c r="L80" s="699" t="s">
        <v>65</v>
      </c>
      <c r="M80" s="743" t="s">
        <v>66</v>
      </c>
      <c r="N80" s="699" t="s">
        <v>282</v>
      </c>
      <c r="O80" s="745" t="s">
        <v>67</v>
      </c>
      <c r="P80" s="746"/>
      <c r="Q80" s="102" t="s">
        <v>75</v>
      </c>
      <c r="R80" s="731" t="s">
        <v>22</v>
      </c>
      <c r="S80" s="732"/>
      <c r="T80" s="733"/>
      <c r="U80" s="712" t="s">
        <v>298</v>
      </c>
      <c r="W80" s="690" t="s">
        <v>268</v>
      </c>
      <c r="X80" s="691"/>
      <c r="Y80" s="692"/>
      <c r="Z80" s="428"/>
      <c r="AA80" s="697" t="s">
        <v>315</v>
      </c>
      <c r="AB80" s="695" t="s">
        <v>322</v>
      </c>
      <c r="AC80" s="49"/>
      <c r="AD80" s="690" t="s">
        <v>297</v>
      </c>
      <c r="AE80" s="691"/>
      <c r="AF80" s="692"/>
      <c r="AG80" s="49"/>
      <c r="AH80" s="87"/>
      <c r="AI80" s="87"/>
    </row>
    <row r="81" spans="1:35" ht="82.5" customHeight="1">
      <c r="A81" s="44"/>
      <c r="B81" s="710"/>
      <c r="C81" s="553" t="s">
        <v>68</v>
      </c>
      <c r="D81" s="73" t="s">
        <v>3</v>
      </c>
      <c r="E81" s="73" t="s">
        <v>19</v>
      </c>
      <c r="F81" s="73" t="s">
        <v>69</v>
      </c>
      <c r="G81" s="74" t="s">
        <v>70</v>
      </c>
      <c r="H81" s="700"/>
      <c r="I81" s="700"/>
      <c r="J81" s="700"/>
      <c r="K81" s="700"/>
      <c r="L81" s="700"/>
      <c r="M81" s="744"/>
      <c r="N81" s="700"/>
      <c r="O81" s="553" t="s">
        <v>279</v>
      </c>
      <c r="P81" s="73" t="s">
        <v>88</v>
      </c>
      <c r="Q81" s="555" t="s">
        <v>76</v>
      </c>
      <c r="R81" s="734"/>
      <c r="S81" s="735"/>
      <c r="T81" s="736"/>
      <c r="U81" s="712"/>
      <c r="W81" s="429" t="s">
        <v>269</v>
      </c>
      <c r="X81" s="457" t="s">
        <v>278</v>
      </c>
      <c r="Y81" s="430" t="s">
        <v>365</v>
      </c>
      <c r="Z81" s="428"/>
      <c r="AA81" s="698"/>
      <c r="AB81" s="696"/>
      <c r="AC81" s="49"/>
      <c r="AD81" s="429" t="s">
        <v>292</v>
      </c>
      <c r="AE81" s="431" t="s">
        <v>300</v>
      </c>
      <c r="AF81" s="468" t="s">
        <v>301</v>
      </c>
      <c r="AG81" s="49"/>
      <c r="AH81" s="87"/>
      <c r="AI81" s="87"/>
    </row>
    <row r="82" spans="1:35" ht="16.5" customHeight="1">
      <c r="A82" s="44"/>
      <c r="B82" s="76"/>
      <c r="C82" s="77"/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78"/>
      <c r="T82" s="79"/>
      <c r="U82" s="109"/>
      <c r="V82" s="49"/>
      <c r="W82" s="432"/>
      <c r="X82" s="454"/>
      <c r="Y82" s="433"/>
      <c r="Z82" s="6"/>
      <c r="AA82" s="500"/>
      <c r="AB82" s="562"/>
      <c r="AC82" s="49"/>
      <c r="AD82" s="210"/>
      <c r="AE82" s="434"/>
      <c r="AF82" s="435"/>
      <c r="AG82" s="49"/>
      <c r="AH82" s="87"/>
      <c r="AI82" s="87"/>
    </row>
    <row r="83" spans="1:35" ht="58.5" customHeight="1">
      <c r="A83" s="80" t="str">
        <f>"A"&amp;E79</f>
        <v>A3</v>
      </c>
      <c r="B83" s="81">
        <v>1</v>
      </c>
      <c r="C83" s="82" t="s">
        <v>363</v>
      </c>
      <c r="D83" s="82" t="s">
        <v>447</v>
      </c>
      <c r="E83" s="567" t="s">
        <v>453</v>
      </c>
      <c r="F83" s="82" t="s">
        <v>364</v>
      </c>
      <c r="G83" s="83">
        <v>1</v>
      </c>
      <c r="H83" s="83" t="s">
        <v>25</v>
      </c>
      <c r="I83" s="84" t="s">
        <v>354</v>
      </c>
      <c r="J83" s="85">
        <v>38291</v>
      </c>
      <c r="K83" s="382">
        <f>+SUSPENSIONES!N26</f>
        <v>0.33300000000000002</v>
      </c>
      <c r="L83" s="85">
        <v>38360</v>
      </c>
      <c r="M83" s="332">
        <f t="shared" ref="M83:M88" si="14">IF(OR(J83="",L83="",H83="NO"),"",IF(OR(J83&gt;$P$17,J83&lt;$O$17,L83&gt;$P$17,AND(J83&lt;$O$17,L83&lt;$O$17)),"FUERA DE RANGO",IF(OR(K83="---",K83=""),IF(J83&gt;=$O$17,ROUND((L83-J83+1)/360*12,3),ROUND((L83-$O$17+1)/360*12,3)),IF(J83&gt;=$O$17,ROUND((L83-J83+1)/360*12-ROUND(K83,3),3),ROUND((L83-$O$17+1)/360*12-ROUND(K83,3),3)))))</f>
        <v>2</v>
      </c>
      <c r="N83" s="86">
        <v>48.92</v>
      </c>
      <c r="O83" s="453">
        <f>IF(OR(G83="",N83=""),"",N83*G83)</f>
        <v>48.92</v>
      </c>
      <c r="P83" s="538">
        <f>IF(OR(H83="",M83="FUERA DE RANGO"),"",IF(OR(L83&lt;$O$17,L83&gt;$P$17,L83="",H83="NO"),"",IF(OR(N83="",O83=""),"",ROUND(O83,3))))</f>
        <v>48.92</v>
      </c>
      <c r="Q83" s="539">
        <f t="shared" ref="Q83:Q88" si="15">IF(AND(H83="SI",P83&lt;&gt;""),ROUND(P83/M83,3),"")</f>
        <v>24.46</v>
      </c>
      <c r="R83" s="737"/>
      <c r="S83" s="738"/>
      <c r="T83" s="739"/>
      <c r="U83" s="470"/>
      <c r="V83" s="165"/>
      <c r="W83" s="446" t="s">
        <v>25</v>
      </c>
      <c r="X83" s="456">
        <v>11</v>
      </c>
      <c r="Y83" s="436" t="s">
        <v>25</v>
      </c>
      <c r="Z83" s="437"/>
      <c r="AA83" s="560" t="s">
        <v>317</v>
      </c>
      <c r="AB83" s="561" t="s">
        <v>294</v>
      </c>
      <c r="AC83" s="87"/>
      <c r="AD83" s="466" t="s">
        <v>289</v>
      </c>
      <c r="AE83" s="456" t="s">
        <v>25</v>
      </c>
      <c r="AF83" s="467" t="s">
        <v>25</v>
      </c>
      <c r="AG83" s="87"/>
      <c r="AH83" s="87"/>
      <c r="AI83" s="87"/>
    </row>
    <row r="84" spans="1:35" ht="66.75" customHeight="1">
      <c r="A84" s="80" t="str">
        <f>"B"&amp;E79</f>
        <v>B3</v>
      </c>
      <c r="B84" s="81">
        <v>2</v>
      </c>
      <c r="C84" s="571" t="s">
        <v>363</v>
      </c>
      <c r="D84" s="571" t="s">
        <v>448</v>
      </c>
      <c r="E84" s="589" t="s">
        <v>463</v>
      </c>
      <c r="F84" s="571" t="s">
        <v>464</v>
      </c>
      <c r="G84" s="83">
        <v>0.6</v>
      </c>
      <c r="H84" s="83" t="s">
        <v>25</v>
      </c>
      <c r="I84" s="84" t="s">
        <v>354</v>
      </c>
      <c r="J84" s="85">
        <v>41192</v>
      </c>
      <c r="K84" s="382">
        <v>0</v>
      </c>
      <c r="L84" s="85">
        <v>41223</v>
      </c>
      <c r="M84" s="332">
        <f t="shared" si="14"/>
        <v>1.0669999999999999</v>
      </c>
      <c r="N84" s="86">
        <v>149.06</v>
      </c>
      <c r="O84" s="453">
        <f t="shared" ref="O84:O88" si="16">IF(OR(G84="",N84=""),"",N84*G84)</f>
        <v>89.435999999999993</v>
      </c>
      <c r="P84" s="538">
        <f t="shared" ref="P84:P88" si="17">IF(OR(H84="",M84="FUERA DE RANGO"),"",IF(OR(L84&lt;$O$17,L84&gt;$P$17,L84="",H84="NO"),"",IF(OR(N84="",O84=""),"",ROUND(O84,3))))</f>
        <v>89.436000000000007</v>
      </c>
      <c r="Q84" s="539">
        <f t="shared" si="15"/>
        <v>83.82</v>
      </c>
      <c r="R84" s="740"/>
      <c r="S84" s="741"/>
      <c r="T84" s="742"/>
      <c r="U84" s="471"/>
      <c r="V84" s="165"/>
      <c r="W84" s="446" t="s">
        <v>25</v>
      </c>
      <c r="X84" s="456">
        <v>93</v>
      </c>
      <c r="Y84" s="436" t="s">
        <v>25</v>
      </c>
      <c r="Z84" s="437"/>
      <c r="AA84" s="560" t="s">
        <v>317</v>
      </c>
      <c r="AB84" s="561" t="s">
        <v>294</v>
      </c>
      <c r="AC84" s="87"/>
      <c r="AD84" s="466" t="s">
        <v>289</v>
      </c>
      <c r="AE84" s="456"/>
      <c r="AF84" s="467" t="s">
        <v>25</v>
      </c>
      <c r="AG84" s="87"/>
      <c r="AH84" s="87"/>
      <c r="AI84" s="87"/>
    </row>
    <row r="85" spans="1:35" ht="72" customHeight="1">
      <c r="A85" s="80" t="str">
        <f>"C"&amp;E79</f>
        <v>C3</v>
      </c>
      <c r="B85" s="88">
        <v>3</v>
      </c>
      <c r="C85" s="571" t="s">
        <v>363</v>
      </c>
      <c r="D85" s="82" t="s">
        <v>449</v>
      </c>
      <c r="E85" s="567" t="s">
        <v>454</v>
      </c>
      <c r="F85" s="82" t="s">
        <v>364</v>
      </c>
      <c r="G85" s="83">
        <v>1</v>
      </c>
      <c r="H85" s="83" t="s">
        <v>25</v>
      </c>
      <c r="I85" s="84" t="s">
        <v>354</v>
      </c>
      <c r="J85" s="85">
        <v>41558</v>
      </c>
      <c r="K85" s="382">
        <v>0</v>
      </c>
      <c r="L85" s="85">
        <v>41649</v>
      </c>
      <c r="M85" s="332">
        <f t="shared" si="14"/>
        <v>3.0670000000000002</v>
      </c>
      <c r="N85" s="86">
        <v>51.15</v>
      </c>
      <c r="O85" s="453">
        <f t="shared" si="16"/>
        <v>51.15</v>
      </c>
      <c r="P85" s="538">
        <f t="shared" si="17"/>
        <v>51.15</v>
      </c>
      <c r="Q85" s="539">
        <f t="shared" si="15"/>
        <v>16.678000000000001</v>
      </c>
      <c r="R85" s="706"/>
      <c r="S85" s="707"/>
      <c r="T85" s="708"/>
      <c r="U85" s="472"/>
      <c r="V85" s="166"/>
      <c r="W85" s="446" t="s">
        <v>25</v>
      </c>
      <c r="X85" s="456">
        <v>21</v>
      </c>
      <c r="Y85" s="436" t="s">
        <v>25</v>
      </c>
      <c r="Z85" s="437"/>
      <c r="AA85" s="560" t="s">
        <v>317</v>
      </c>
      <c r="AB85" s="561" t="s">
        <v>294</v>
      </c>
      <c r="AC85" s="87"/>
      <c r="AD85" s="466" t="s">
        <v>289</v>
      </c>
      <c r="AE85" s="456"/>
      <c r="AF85" s="467" t="s">
        <v>25</v>
      </c>
      <c r="AG85" s="87"/>
      <c r="AH85" s="87"/>
      <c r="AI85" s="87"/>
    </row>
    <row r="86" spans="1:35" ht="57.75" customHeight="1">
      <c r="A86" s="80" t="str">
        <f>"D"&amp;E79</f>
        <v>D3</v>
      </c>
      <c r="B86" s="105">
        <v>4</v>
      </c>
      <c r="C86" s="617" t="s">
        <v>363</v>
      </c>
      <c r="D86" s="592" t="s">
        <v>450</v>
      </c>
      <c r="E86" s="590" t="s">
        <v>455</v>
      </c>
      <c r="F86" s="592" t="s">
        <v>364</v>
      </c>
      <c r="G86" s="83">
        <v>1</v>
      </c>
      <c r="H86" s="83" t="s">
        <v>25</v>
      </c>
      <c r="I86" s="84" t="s">
        <v>354</v>
      </c>
      <c r="J86" s="85">
        <v>42177</v>
      </c>
      <c r="K86" s="382">
        <f>+SUSPENSIONES!N29</f>
        <v>0.73299999999999998</v>
      </c>
      <c r="L86" s="85">
        <v>42262</v>
      </c>
      <c r="M86" s="332">
        <f t="shared" si="14"/>
        <v>2.1339999999999999</v>
      </c>
      <c r="N86" s="86">
        <v>53.83</v>
      </c>
      <c r="O86" s="453">
        <f t="shared" si="16"/>
        <v>53.83</v>
      </c>
      <c r="P86" s="538">
        <f t="shared" si="17"/>
        <v>53.83</v>
      </c>
      <c r="Q86" s="539">
        <f t="shared" si="15"/>
        <v>25.225000000000001</v>
      </c>
      <c r="R86" s="706"/>
      <c r="S86" s="707"/>
      <c r="T86" s="708"/>
      <c r="U86" s="472"/>
      <c r="V86" s="166"/>
      <c r="W86" s="446" t="s">
        <v>25</v>
      </c>
      <c r="X86" s="456">
        <v>95</v>
      </c>
      <c r="Y86" s="436" t="s">
        <v>25</v>
      </c>
      <c r="Z86" s="437"/>
      <c r="AA86" s="560" t="s">
        <v>317</v>
      </c>
      <c r="AB86" s="561" t="s">
        <v>294</v>
      </c>
      <c r="AC86" s="87"/>
      <c r="AD86" s="466" t="s">
        <v>289</v>
      </c>
      <c r="AE86" s="456"/>
      <c r="AF86" s="467" t="s">
        <v>25</v>
      </c>
      <c r="AG86" s="87"/>
      <c r="AH86" s="87"/>
      <c r="AI86" s="87"/>
    </row>
    <row r="87" spans="1:35" ht="60" customHeight="1">
      <c r="A87" s="80" t="str">
        <f>"E"&amp;E79</f>
        <v>E3</v>
      </c>
      <c r="B87" s="105">
        <v>5</v>
      </c>
      <c r="C87" s="592" t="str">
        <f>+C86</f>
        <v>INVIAS</v>
      </c>
      <c r="D87" s="592" t="s">
        <v>451</v>
      </c>
      <c r="E87" s="590" t="s">
        <v>456</v>
      </c>
      <c r="F87" s="592" t="s">
        <v>364</v>
      </c>
      <c r="G87" s="83">
        <v>1</v>
      </c>
      <c r="H87" s="83" t="s">
        <v>25</v>
      </c>
      <c r="I87" s="84" t="s">
        <v>354</v>
      </c>
      <c r="J87" s="85">
        <v>42892</v>
      </c>
      <c r="K87" s="382">
        <f>+SUSPENSIONES!N30</f>
        <v>0.96699999999999997</v>
      </c>
      <c r="L87" s="85">
        <v>42991</v>
      </c>
      <c r="M87" s="332">
        <f t="shared" si="14"/>
        <v>2.3660000000000001</v>
      </c>
      <c r="N87" s="86">
        <v>20.239999999999998</v>
      </c>
      <c r="O87" s="453">
        <f t="shared" si="16"/>
        <v>20.239999999999998</v>
      </c>
      <c r="P87" s="538">
        <f t="shared" si="17"/>
        <v>20.239999999999998</v>
      </c>
      <c r="Q87" s="539">
        <f t="shared" si="15"/>
        <v>8.5549999999999997</v>
      </c>
      <c r="R87" s="706"/>
      <c r="S87" s="707"/>
      <c r="T87" s="708"/>
      <c r="U87" s="472"/>
      <c r="V87" s="167"/>
      <c r="W87" s="446" t="s">
        <v>25</v>
      </c>
      <c r="X87" s="456">
        <v>125</v>
      </c>
      <c r="Y87" s="436" t="s">
        <v>25</v>
      </c>
      <c r="Z87" s="437"/>
      <c r="AA87" s="560" t="s">
        <v>317</v>
      </c>
      <c r="AB87" s="561" t="s">
        <v>294</v>
      </c>
      <c r="AC87" s="87"/>
      <c r="AD87" s="466" t="s">
        <v>289</v>
      </c>
      <c r="AE87" s="456"/>
      <c r="AF87" s="467" t="s">
        <v>25</v>
      </c>
      <c r="AG87" s="87"/>
      <c r="AH87" s="87"/>
      <c r="AI87" s="87"/>
    </row>
    <row r="88" spans="1:35" ht="72" customHeight="1">
      <c r="A88" s="80" t="str">
        <f>"F"&amp;E79</f>
        <v>F3</v>
      </c>
      <c r="B88" s="105">
        <v>6</v>
      </c>
      <c r="C88" s="592" t="str">
        <f>+C87</f>
        <v>INVIAS</v>
      </c>
      <c r="D88" s="592" t="s">
        <v>452</v>
      </c>
      <c r="E88" s="618" t="s">
        <v>457</v>
      </c>
      <c r="F88" s="592" t="s">
        <v>364</v>
      </c>
      <c r="G88" s="83">
        <v>1</v>
      </c>
      <c r="H88" s="83" t="s">
        <v>25</v>
      </c>
      <c r="I88" s="84" t="s">
        <v>354</v>
      </c>
      <c r="J88" s="85">
        <v>43433</v>
      </c>
      <c r="K88" s="382">
        <f>+SUSPENSIONES!N31</f>
        <v>0.76700000000000002</v>
      </c>
      <c r="L88" s="85">
        <v>43487</v>
      </c>
      <c r="M88" s="332">
        <f t="shared" si="14"/>
        <v>1.0660000000000001</v>
      </c>
      <c r="N88" s="86">
        <v>30.61</v>
      </c>
      <c r="O88" s="453">
        <f t="shared" si="16"/>
        <v>30.61</v>
      </c>
      <c r="P88" s="538">
        <f t="shared" si="17"/>
        <v>30.61</v>
      </c>
      <c r="Q88" s="539">
        <f t="shared" si="15"/>
        <v>28.715</v>
      </c>
      <c r="R88" s="706"/>
      <c r="S88" s="707"/>
      <c r="T88" s="708"/>
      <c r="U88" s="472"/>
      <c r="V88" s="167"/>
      <c r="W88" s="446" t="s">
        <v>25</v>
      </c>
      <c r="X88" s="456">
        <v>151</v>
      </c>
      <c r="Y88" s="436" t="s">
        <v>25</v>
      </c>
      <c r="Z88" s="437"/>
      <c r="AA88" s="560" t="s">
        <v>317</v>
      </c>
      <c r="AB88" s="561" t="s">
        <v>294</v>
      </c>
      <c r="AC88" s="87"/>
      <c r="AD88" s="466" t="s">
        <v>289</v>
      </c>
      <c r="AE88" s="456"/>
      <c r="AF88" s="467" t="s">
        <v>25</v>
      </c>
      <c r="AG88" s="87"/>
      <c r="AH88" s="87"/>
      <c r="AI88" s="87"/>
    </row>
    <row r="89" spans="1:35">
      <c r="A89" s="80" t="str">
        <f>"G"&amp;E79</f>
        <v>G3</v>
      </c>
      <c r="B89" s="105">
        <v>7</v>
      </c>
      <c r="C89" s="107"/>
      <c r="D89" s="107"/>
      <c r="E89" s="107"/>
      <c r="F89" s="107"/>
      <c r="G89" s="83"/>
      <c r="H89" s="83"/>
      <c r="I89" s="84"/>
      <c r="J89" s="85"/>
      <c r="K89" s="382"/>
      <c r="L89" s="85"/>
      <c r="M89" s="332" t="str">
        <f t="shared" ref="M89:M92" si="18">IF(OR(J89="",L89="",H89="NO"),"",IF(OR(J89&gt;$P$17,J89&lt;$O$17,L89&gt;$P$17,AND(J89&lt;$O$17,L89&lt;$O$17)),"FUERA DE RANGO",IF(OR(K89="---",K89=""),IF(J89&gt;=$O$17,ROUND((L89-J89+1)/360*12,3),ROUND((L89-$O$17+1)/360*12,3)),IF(J89&gt;=$O$17,ROUND((L89-J89+1)/360*12-ROUND(K89,3),3),ROUND((L89-$O$17+1)/360*12-ROUND(K89,3),3)))))</f>
        <v/>
      </c>
      <c r="N89" s="86"/>
      <c r="O89" s="86" t="str">
        <f t="shared" ref="O89:O92" si="19">IF(OR(G89="",N89=""),"",N89*G89)</f>
        <v/>
      </c>
      <c r="P89" s="538" t="str">
        <f t="shared" ref="P89:P92" si="20">IF(OR(H89="",M89="FUERA DE RANGO"),"",IF(OR(L89&lt;$O$17,L89&gt;$P$17,L89="",H89="NO"),"",IF(OR(N89="",O89=""),"",ROUND(O89,3))))</f>
        <v/>
      </c>
      <c r="Q89" s="539" t="str">
        <f t="shared" ref="Q89:Q92" si="21">IF(AND(H89="SI",P89&lt;&gt;""),ROUND(P89/M89,3),"")</f>
        <v/>
      </c>
      <c r="R89" s="706"/>
      <c r="S89" s="707"/>
      <c r="T89" s="708"/>
      <c r="U89" s="472"/>
      <c r="V89" s="167"/>
      <c r="W89" s="446"/>
      <c r="X89" s="456"/>
      <c r="Y89" s="436"/>
      <c r="Z89" s="437"/>
      <c r="AA89" s="560"/>
      <c r="AB89" s="561"/>
      <c r="AC89" s="87"/>
      <c r="AD89" s="466"/>
      <c r="AE89" s="456"/>
      <c r="AF89" s="467"/>
      <c r="AG89" s="87"/>
      <c r="AH89" s="87"/>
      <c r="AI89" s="87"/>
    </row>
    <row r="90" spans="1:35">
      <c r="A90" s="80" t="str">
        <f>"H"&amp;E79</f>
        <v>H3</v>
      </c>
      <c r="B90" s="105">
        <v>8</v>
      </c>
      <c r="C90" s="107"/>
      <c r="D90" s="107"/>
      <c r="E90" s="107"/>
      <c r="F90" s="107"/>
      <c r="G90" s="83"/>
      <c r="H90" s="83"/>
      <c r="I90" s="84"/>
      <c r="J90" s="85"/>
      <c r="K90" s="382"/>
      <c r="L90" s="85"/>
      <c r="M90" s="332" t="str">
        <f t="shared" si="18"/>
        <v/>
      </c>
      <c r="N90" s="453"/>
      <c r="O90" s="86" t="str">
        <f t="shared" si="19"/>
        <v/>
      </c>
      <c r="P90" s="538" t="str">
        <f t="shared" si="20"/>
        <v/>
      </c>
      <c r="Q90" s="539" t="str">
        <f t="shared" si="21"/>
        <v/>
      </c>
      <c r="R90" s="706"/>
      <c r="S90" s="707"/>
      <c r="T90" s="708"/>
      <c r="U90" s="472"/>
      <c r="V90" s="167"/>
      <c r="W90" s="446"/>
      <c r="X90" s="456"/>
      <c r="Y90" s="436"/>
      <c r="Z90" s="437"/>
      <c r="AA90" s="560"/>
      <c r="AB90" s="561"/>
      <c r="AC90" s="87"/>
      <c r="AD90" s="466"/>
      <c r="AE90" s="456"/>
      <c r="AF90" s="467"/>
      <c r="AG90" s="87"/>
      <c r="AH90" s="87"/>
      <c r="AI90" s="87"/>
    </row>
    <row r="91" spans="1:35" ht="16.5" customHeight="1">
      <c r="A91" s="80" t="str">
        <f>"I"&amp;E79</f>
        <v>I3</v>
      </c>
      <c r="B91" s="105">
        <v>9</v>
      </c>
      <c r="C91" s="107"/>
      <c r="D91" s="107"/>
      <c r="E91" s="107"/>
      <c r="F91" s="107"/>
      <c r="G91" s="83"/>
      <c r="H91" s="83"/>
      <c r="I91" s="84"/>
      <c r="J91" s="85"/>
      <c r="K91" s="382"/>
      <c r="L91" s="85"/>
      <c r="M91" s="332" t="str">
        <f t="shared" si="18"/>
        <v/>
      </c>
      <c r="N91" s="453"/>
      <c r="O91" s="86" t="str">
        <f t="shared" si="19"/>
        <v/>
      </c>
      <c r="P91" s="538" t="str">
        <f t="shared" si="20"/>
        <v/>
      </c>
      <c r="Q91" s="539" t="str">
        <f t="shared" si="21"/>
        <v/>
      </c>
      <c r="R91" s="706"/>
      <c r="S91" s="707"/>
      <c r="T91" s="708"/>
      <c r="U91" s="472"/>
      <c r="V91" s="167"/>
      <c r="W91" s="446"/>
      <c r="X91" s="456"/>
      <c r="Y91" s="436"/>
      <c r="Z91" s="437"/>
      <c r="AA91" s="560"/>
      <c r="AB91" s="561"/>
      <c r="AC91" s="87"/>
      <c r="AD91" s="466"/>
      <c r="AE91" s="456"/>
      <c r="AF91" s="467"/>
      <c r="AG91" s="87"/>
      <c r="AH91" s="87"/>
      <c r="AI91" s="87"/>
    </row>
    <row r="92" spans="1:35" ht="16.5" customHeight="1">
      <c r="A92" s="80" t="str">
        <f>"J"&amp;E79</f>
        <v>J3</v>
      </c>
      <c r="B92" s="105">
        <v>10</v>
      </c>
      <c r="C92" s="107"/>
      <c r="D92" s="107"/>
      <c r="E92" s="107"/>
      <c r="F92" s="107"/>
      <c r="G92" s="83"/>
      <c r="H92" s="83"/>
      <c r="I92" s="84"/>
      <c r="J92" s="85"/>
      <c r="K92" s="382"/>
      <c r="L92" s="85"/>
      <c r="M92" s="332" t="str">
        <f t="shared" si="18"/>
        <v/>
      </c>
      <c r="N92" s="453"/>
      <c r="O92" s="86" t="str">
        <f t="shared" si="19"/>
        <v/>
      </c>
      <c r="P92" s="538" t="str">
        <f t="shared" si="20"/>
        <v/>
      </c>
      <c r="Q92" s="539" t="str">
        <f t="shared" si="21"/>
        <v/>
      </c>
      <c r="R92" s="706"/>
      <c r="S92" s="707"/>
      <c r="T92" s="708"/>
      <c r="U92" s="472"/>
      <c r="V92" s="167"/>
      <c r="W92" s="446"/>
      <c r="X92" s="456"/>
      <c r="Y92" s="436"/>
      <c r="Z92" s="437"/>
      <c r="AA92" s="560"/>
      <c r="AB92" s="561"/>
      <c r="AC92" s="87"/>
      <c r="AD92" s="466"/>
      <c r="AE92" s="456"/>
      <c r="AF92" s="467"/>
      <c r="AG92" s="87"/>
      <c r="AH92" s="87"/>
      <c r="AI92" s="87"/>
    </row>
    <row r="93" spans="1:35" ht="16.5" thickBot="1">
      <c r="A93" s="44"/>
      <c r="B93" s="89"/>
      <c r="C93" s="90"/>
      <c r="D93" s="90"/>
      <c r="E93" s="90"/>
      <c r="F93" s="90"/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90"/>
      <c r="R93" s="90"/>
      <c r="S93" s="91"/>
      <c r="T93" s="92"/>
      <c r="U93" s="473"/>
      <c r="W93" s="438"/>
      <c r="X93" s="455"/>
      <c r="Y93" s="439"/>
      <c r="Z93" s="437"/>
      <c r="AA93" s="530"/>
      <c r="AB93" s="563"/>
      <c r="AC93" s="87"/>
      <c r="AD93" s="440"/>
      <c r="AE93" s="441"/>
      <c r="AF93" s="442"/>
      <c r="AG93" s="49"/>
      <c r="AH93" s="87"/>
      <c r="AI93" s="87"/>
    </row>
    <row r="94" spans="1:35" ht="16.5" customHeight="1" thickBot="1">
      <c r="A94" s="93"/>
      <c r="B94" s="94"/>
      <c r="C94" s="96"/>
      <c r="D94" s="96"/>
      <c r="E94" s="96"/>
      <c r="F94" s="96"/>
      <c r="G94" s="96"/>
      <c r="H94" s="96"/>
      <c r="I94" s="96"/>
      <c r="J94" s="96"/>
      <c r="K94" s="96"/>
      <c r="L94" s="96"/>
      <c r="M94" s="136"/>
      <c r="N94" s="96"/>
      <c r="O94" s="96"/>
      <c r="P94" s="97"/>
      <c r="Q94" s="97"/>
      <c r="R94" s="98"/>
      <c r="S94" s="95"/>
      <c r="T94" s="99"/>
      <c r="U94" s="469"/>
      <c r="AC94" s="58"/>
      <c r="AG94" s="58"/>
      <c r="AH94" s="87"/>
      <c r="AI94" s="87"/>
    </row>
    <row r="95" spans="1:35" ht="16.5" thickBot="1">
      <c r="B95" s="101"/>
      <c r="C95" s="101"/>
      <c r="D95" s="101"/>
      <c r="E95" s="101"/>
      <c r="F95" s="101"/>
      <c r="G95" s="101"/>
      <c r="H95" s="101"/>
      <c r="I95" s="101"/>
      <c r="J95" s="101"/>
      <c r="K95" s="101"/>
      <c r="L95" s="101"/>
      <c r="M95" s="101"/>
      <c r="N95" s="101"/>
      <c r="O95" s="101"/>
      <c r="P95" s="101"/>
      <c r="Q95" s="101"/>
      <c r="R95" s="101"/>
      <c r="S95" s="101"/>
      <c r="U95" s="50"/>
      <c r="AH95" s="87"/>
      <c r="AI95" s="87"/>
    </row>
    <row r="96" spans="1:35" ht="16.5" customHeight="1" thickBot="1">
      <c r="A96" s="44"/>
      <c r="B96" s="705" t="s">
        <v>74</v>
      </c>
      <c r="C96" s="705"/>
      <c r="D96" s="705"/>
      <c r="E96" s="705"/>
      <c r="F96" s="705"/>
      <c r="G96" s="705"/>
      <c r="H96" s="705"/>
      <c r="I96" s="705"/>
      <c r="J96" s="705"/>
      <c r="K96" s="705"/>
      <c r="L96" s="705"/>
      <c r="M96" s="705"/>
      <c r="N96" s="705"/>
      <c r="O96" s="705"/>
      <c r="P96" s="705"/>
      <c r="Q96" s="705"/>
      <c r="R96" s="705"/>
      <c r="S96" s="705"/>
      <c r="T96" s="705"/>
      <c r="U96" s="108"/>
      <c r="Y96" s="532" t="s">
        <v>341</v>
      </c>
      <c r="AC96" s="49"/>
      <c r="AD96" s="687" t="s">
        <v>302</v>
      </c>
      <c r="AE96" s="688"/>
      <c r="AF96" s="689"/>
      <c r="AG96" s="49"/>
      <c r="AH96" s="87"/>
      <c r="AI96" s="87"/>
    </row>
    <row r="97" spans="1:35" ht="15.75" customHeight="1" thickBot="1">
      <c r="A97" s="218" t="str">
        <f>"K"&amp;E79</f>
        <v>K3</v>
      </c>
      <c r="B97" s="701" t="s">
        <v>71</v>
      </c>
      <c r="C97" s="751" t="s">
        <v>102</v>
      </c>
      <c r="D97" s="751"/>
      <c r="E97" s="751"/>
      <c r="F97" s="751"/>
      <c r="G97" s="751"/>
      <c r="H97" s="751"/>
      <c r="I97" s="751"/>
      <c r="J97" s="751"/>
      <c r="K97" s="751"/>
      <c r="L97" s="722" t="s">
        <v>100</v>
      </c>
      <c r="M97" s="747" t="s">
        <v>114</v>
      </c>
      <c r="N97" s="747"/>
      <c r="O97" s="747"/>
      <c r="P97" s="747"/>
      <c r="Q97" s="748"/>
      <c r="R97" s="758" t="s">
        <v>280</v>
      </c>
      <c r="S97" s="748"/>
      <c r="T97" s="762" t="str">
        <f>IF(COUNTIF(AE97:AF97,"VERIFICAR")&gt;0,"VERIFICAR",IF(COUNTIF(AE97:AF97,"NO CUMPLE")&gt;0,"NO CUMPLE","CUMPLE"))</f>
        <v>CUMPLE</v>
      </c>
      <c r="U97" s="108"/>
      <c r="Y97" s="533" t="str">
        <f>IF(F98="","",IF(F98=1,"INDIVIDUAL","ESTRUCTURA PLURAL"))</f>
        <v>INDIVIDUAL</v>
      </c>
      <c r="AC97" s="52"/>
      <c r="AD97" s="475" t="s">
        <v>303</v>
      </c>
      <c r="AE97" s="476" t="str">
        <f>IF(COUNTIF(AE83:AE92,"")=10,"VERIFICAR",IF(COUNTIF(AE83:AE92,"SI")&gt;0,"CUMPLE","NO CUMPLE"))</f>
        <v>CUMPLE</v>
      </c>
      <c r="AF97" s="477" t="str">
        <f>IF(COUNTIF(AF83:AF92,"")=10,"VERIFICAR",IF(COUNTIF(AF83:AF92,"SI")&gt;=$AI$22,"CUMPLE","NO CUMPLE"))</f>
        <v>CUMPLE</v>
      </c>
      <c r="AG97" s="52"/>
      <c r="AH97" s="87"/>
      <c r="AI97" s="87"/>
    </row>
    <row r="98" spans="1:35" ht="16.5" customHeight="1" thickBot="1">
      <c r="A98" s="218" t="str">
        <f>"L"&amp;E79</f>
        <v>L3</v>
      </c>
      <c r="B98" s="702"/>
      <c r="C98" s="751" t="s">
        <v>103</v>
      </c>
      <c r="D98" s="751"/>
      <c r="E98" s="752"/>
      <c r="F98" s="557">
        <f>IF(VLOOKUP(E79,PROPONENTES!$C$19:$E$218,3,0)="","",VLOOKUP(E79,PROPONENTES!$C$19:$E$218,3,0))</f>
        <v>1</v>
      </c>
      <c r="G98" s="753" t="s">
        <v>104</v>
      </c>
      <c r="H98" s="751"/>
      <c r="I98" s="715" t="str">
        <f>IF(OR(F98="",F98=1),"INTERESADO PERSONA NATURAL O JURIDICA","CONSORCIO O UNION TEMPORAL")</f>
        <v>INTERESADO PERSONA NATURAL O JURIDICA</v>
      </c>
      <c r="J98" s="725"/>
      <c r="K98" s="728"/>
      <c r="L98" s="723"/>
      <c r="M98" s="749"/>
      <c r="N98" s="749"/>
      <c r="O98" s="749"/>
      <c r="P98" s="749"/>
      <c r="Q98" s="750"/>
      <c r="R98" s="712"/>
      <c r="S98" s="750"/>
      <c r="T98" s="763"/>
      <c r="U98" s="108"/>
      <c r="Y98" s="534"/>
      <c r="AA98" s="52"/>
      <c r="AB98" s="52"/>
      <c r="AC98" s="52"/>
      <c r="AG98" s="52"/>
      <c r="AH98" s="87"/>
      <c r="AI98" s="87"/>
    </row>
    <row r="99" spans="1:35" ht="56.25" customHeight="1" thickBot="1">
      <c r="A99" s="218" t="str">
        <f>"M"&amp;E79</f>
        <v>M3</v>
      </c>
      <c r="B99" s="702"/>
      <c r="C99" s="725" t="s">
        <v>101</v>
      </c>
      <c r="D99" s="716"/>
      <c r="E99" s="558" t="s">
        <v>105</v>
      </c>
      <c r="F99" s="554" t="s">
        <v>87</v>
      </c>
      <c r="G99" s="553" t="s">
        <v>86</v>
      </c>
      <c r="H99" s="559" t="s">
        <v>85</v>
      </c>
      <c r="I99" s="554" t="s">
        <v>252</v>
      </c>
      <c r="J99" s="553" t="str">
        <f>"¿EL INTEGRANTE TIENE UNA PARTICIPACIÓN DEL "&amp;PORCREQUERIDOINT*100&amp;"%?"</f>
        <v>¿EL INTEGRANTE TIENE UNA PARTICIPACIÓN DEL 60%?</v>
      </c>
      <c r="K99" s="554" t="s">
        <v>107</v>
      </c>
      <c r="L99" s="724"/>
      <c r="M99" s="717" t="s">
        <v>115</v>
      </c>
      <c r="N99" s="718"/>
      <c r="O99" s="718"/>
      <c r="P99" s="718"/>
      <c r="Q99" s="223">
        <f>IF(AND(H83="SI",P83&gt;=0),1,0)+IF(AND(H84="SI",P84&gt;=0),1,0)+IF(AND(H85="SI",P85&gt;=0),1,0)+IF(AND(H86="SI",P86&gt;=0),1,0)+IF(AND(H87="SI",P87&gt;=0),1,0)+IF(AND(H88="SI",P88&gt;=0),1,0)+IF(AND(H89="SI",P89&gt;=0),1,0)+IF(AND(H90="SI",P90&gt;=0),1,0)+IF(AND(H91="SI",P91&gt;=0),1,0)+IF(AND(H92="SI",P92&gt;=0),1,0)</f>
        <v>6</v>
      </c>
      <c r="R99" s="759"/>
      <c r="S99" s="761"/>
      <c r="T99" s="764"/>
      <c r="U99" s="219"/>
      <c r="V99" s="464"/>
      <c r="Y99" s="532" t="s">
        <v>342</v>
      </c>
      <c r="AA99" s="550" t="s">
        <v>344</v>
      </c>
      <c r="AB99" s="693" t="s">
        <v>345</v>
      </c>
      <c r="AC99" s="693" t="s">
        <v>346</v>
      </c>
      <c r="AD99" s="685" t="s">
        <v>347</v>
      </c>
      <c r="AE99" s="52"/>
      <c r="AF99" s="52"/>
      <c r="AG99" s="52"/>
      <c r="AH99" s="87"/>
      <c r="AI99" s="87"/>
    </row>
    <row r="100" spans="1:35" ht="27" customHeight="1" thickBot="1">
      <c r="A100" s="218" t="str">
        <f>"N"&amp;E79</f>
        <v>N3</v>
      </c>
      <c r="B100" s="702"/>
      <c r="C100" s="114">
        <v>1</v>
      </c>
      <c r="D100" s="575" t="str">
        <f>IF(AND(C100&lt;=F98,F98&gt;1,F98&lt;&gt;""),VLOOKUP(VALUE(E79&amp;","&amp;C100),INTEGRANTES!$D$18:$F$235,2,0),"")</f>
        <v/>
      </c>
      <c r="E100" s="211" t="str">
        <f>IF(D100&lt;&gt;"",VLOOKUP(VALUE(E79&amp;","&amp;C100),INTEGRANTES!$D$18:$F$235,3,0),"")</f>
        <v/>
      </c>
      <c r="F100" s="547" t="str">
        <f>IF(D100="","",SUMIF($I83:$I92,D100,$P83:$P92))</f>
        <v/>
      </c>
      <c r="G100" s="333" t="str">
        <f>IF(D100="","",SUMIF($I83:$I92,D100,$M83:$M92))</f>
        <v/>
      </c>
      <c r="H100" s="535" t="str">
        <f t="shared" ref="H100:H105" si="22">IF(D100="","",IF(OR(F100=0,G100=0),"NO APORTA",ROUND($F100/$G100,3)))</f>
        <v/>
      </c>
      <c r="I100" s="212" t="str">
        <f>IF(D100="","",IF(H100="NO APORTA","NO",IF(H100=MAX($H100:$H105),"SI","NO")))</f>
        <v/>
      </c>
      <c r="J100" s="213" t="str">
        <f t="shared" ref="J100:J105" si="23">IF(D100="","",IF(E100&gt;=PORCREQUERIDOINT,"SI","NO"))</f>
        <v/>
      </c>
      <c r="K100" s="200" t="str">
        <f t="shared" ref="K100:K105" si="24">IF(D100="","",IF(AND(I100="SI",J100="SI"),"CUMPLE",IF(AND(I100="NO",OR(J100="SI",J100="NO")),"","NO CUMPLE")))</f>
        <v/>
      </c>
      <c r="L100" s="722" t="s">
        <v>108</v>
      </c>
      <c r="M100" s="726" t="s">
        <v>119</v>
      </c>
      <c r="N100" s="726"/>
      <c r="O100" s="726"/>
      <c r="P100" s="726"/>
      <c r="Q100" s="727"/>
      <c r="R100" s="758" t="s">
        <v>80</v>
      </c>
      <c r="S100" s="747"/>
      <c r="T100" s="748"/>
      <c r="U100" s="219"/>
      <c r="V100" s="464"/>
      <c r="Y100" s="533" t="str">
        <f>IF(Y97="","",IF(Y97="INDIVIDUAL","NO APLICA","VERIFICAR CUADRO"))</f>
        <v>NO APLICA</v>
      </c>
      <c r="AA100" s="551"/>
      <c r="AB100" s="694"/>
      <c r="AC100" s="694"/>
      <c r="AD100" s="686"/>
      <c r="AE100" s="52"/>
      <c r="AF100" s="52"/>
      <c r="AG100" s="52"/>
      <c r="AH100" s="87"/>
      <c r="AI100" s="87"/>
    </row>
    <row r="101" spans="1:35" ht="27.75" customHeight="1" thickBot="1">
      <c r="A101" s="218" t="str">
        <f>"O"&amp;E79</f>
        <v>O3</v>
      </c>
      <c r="B101" s="702"/>
      <c r="C101" s="114">
        <v>2</v>
      </c>
      <c r="D101" s="575" t="str">
        <f>IF(AND(C101&lt;=F98,F98&lt;&gt;""),VLOOKUP(VALUE(E79&amp;","&amp;C101),INTEGRANTES!$D$18:$F$235,2,0),"")</f>
        <v/>
      </c>
      <c r="E101" s="211" t="str">
        <f>IF(D101&lt;&gt;"",VLOOKUP(VALUE(E79&amp;","&amp;C101),INTEGRANTES!$D$18:$F$235,3,0),"")</f>
        <v/>
      </c>
      <c r="F101" s="547" t="str">
        <f>IF(D101="","",SUMIF($I83:$I92,D101,$P83:$P92))</f>
        <v/>
      </c>
      <c r="G101" s="333" t="str">
        <f>IF(D101="","",SUMIF($I83:$I92,D101,$M83:$M92))</f>
        <v/>
      </c>
      <c r="H101" s="535" t="str">
        <f t="shared" si="22"/>
        <v/>
      </c>
      <c r="I101" s="212" t="str">
        <f>IF(D101="","",IF(H101="NO APORTA","NO",IF(H101=MAX($H100:$H105),"SI","NO")))</f>
        <v/>
      </c>
      <c r="J101" s="213" t="str">
        <f t="shared" si="23"/>
        <v/>
      </c>
      <c r="K101" s="200" t="str">
        <f t="shared" si="24"/>
        <v/>
      </c>
      <c r="L101" s="723"/>
      <c r="M101" s="715" t="s">
        <v>116</v>
      </c>
      <c r="N101" s="716"/>
      <c r="O101" s="556" t="s">
        <v>113</v>
      </c>
      <c r="P101" s="715" t="s">
        <v>117</v>
      </c>
      <c r="Q101" s="728"/>
      <c r="R101" s="759"/>
      <c r="S101" s="760"/>
      <c r="T101" s="761"/>
      <c r="U101" s="219"/>
      <c r="V101" s="464"/>
      <c r="Y101" s="414"/>
      <c r="AA101" s="574" t="str">
        <f>IF(AND(C100&lt;=F98,F98&gt;1,F98&lt;&gt;""),VLOOKUP(VALUE(E79&amp;","&amp;C100),INTEGRANTES!$D$18:$F$235,2,0),"")</f>
        <v/>
      </c>
      <c r="AB101" s="544" t="str">
        <f t="shared" ref="AB101:AB106" si="25">IF(D100="","",IF(OR(F100=0,G100=0),"NO APORTA",ROUND($F100/$G100,3)))</f>
        <v/>
      </c>
      <c r="AC101" s="529"/>
      <c r="AD101" s="200" t="str">
        <f t="shared" ref="AD101:AD106" si="26">IF(OR(AA101="",AB101=""),"",IF(AND(AC101="X",AB101&gt;=EXPREQVTD),"CUMPLE","NO CUMPLE"))</f>
        <v/>
      </c>
      <c r="AE101" s="52"/>
      <c r="AF101" s="52"/>
      <c r="AG101" s="52"/>
      <c r="AH101" s="87"/>
      <c r="AI101" s="87"/>
    </row>
    <row r="102" spans="1:35" ht="16.5" thickBot="1">
      <c r="A102" s="218" t="str">
        <f>"P"&amp;E79</f>
        <v>P3</v>
      </c>
      <c r="B102" s="702"/>
      <c r="C102" s="114">
        <v>3</v>
      </c>
      <c r="D102" s="194" t="str">
        <f>IF(AND(C102&lt;=F98,F98&lt;&gt;""),VLOOKUP(VALUE(E79&amp;","&amp;C102),INTEGRANTES!$D$18:$F$235,2,0),"")</f>
        <v/>
      </c>
      <c r="E102" s="211" t="str">
        <f>IF(D102&lt;&gt;"",VLOOKUP(VALUE(E79&amp;","&amp;C102),INTEGRANTES!$D$18:$F$235,3,0),"")</f>
        <v/>
      </c>
      <c r="F102" s="547" t="str">
        <f>IF(D102="","",SUMIF($I83:$I92,D102,$P83:$P92))</f>
        <v/>
      </c>
      <c r="G102" s="333" t="str">
        <f>IF(D102="","",SUMIF($I83:$I92,D102,$M83:$M92))</f>
        <v/>
      </c>
      <c r="H102" s="535" t="str">
        <f t="shared" si="22"/>
        <v/>
      </c>
      <c r="I102" s="212" t="str">
        <f>IF(D102="","",IF(H102="NO APORTA","NO",IF(H102=MAX($H100:$H105),"SI","NO")))</f>
        <v/>
      </c>
      <c r="J102" s="213" t="str">
        <f t="shared" si="23"/>
        <v/>
      </c>
      <c r="K102" s="200" t="str">
        <f t="shared" si="24"/>
        <v/>
      </c>
      <c r="L102" s="724"/>
      <c r="M102" s="729">
        <f>NUMMOD</f>
        <v>1</v>
      </c>
      <c r="N102" s="730"/>
      <c r="O102" s="443">
        <f>IF(M102="","",VLOOKUP(M102,PRESUPUESTOS!$B$16:$H$16,5,FALSE))</f>
        <v>2</v>
      </c>
      <c r="P102" s="713">
        <f>IF(OR(COUNTIF(M83:M92,"")&gt;=10,Q99&lt;NUMMINCONT,OR(T97="NO CUMPLE",T97="VERIFICAR")),0,ROUND(AVERAGE(M83:M92),3))</f>
        <v>1.95</v>
      </c>
      <c r="Q102" s="714"/>
      <c r="R102" s="458"/>
      <c r="S102" s="459"/>
      <c r="T102" s="460"/>
      <c r="U102" s="219"/>
      <c r="V102" s="464"/>
      <c r="Y102" s="532" t="str">
        <f>"40% * ("&amp;PRESUPUESTOS!$H$13&amp;")"</f>
        <v>40% * (50% PFMO)</v>
      </c>
      <c r="AA102" s="540" t="str">
        <f>IF(AND(C101&lt;=F98,F98&lt;&gt;""),VLOOKUP(VALUE(E79&amp;","&amp;C101),INTEGRANTES!$D$18:$F$235,2,0),"")</f>
        <v/>
      </c>
      <c r="AB102" s="545" t="str">
        <f t="shared" si="25"/>
        <v/>
      </c>
      <c r="AC102" s="529"/>
      <c r="AD102" s="200" t="str">
        <f t="shared" si="26"/>
        <v/>
      </c>
      <c r="AE102" s="52"/>
      <c r="AF102" s="52"/>
      <c r="AG102" s="52"/>
      <c r="AH102" s="87"/>
      <c r="AI102" s="87"/>
    </row>
    <row r="103" spans="1:35" ht="15.75" customHeight="1" thickBot="1">
      <c r="A103" s="218" t="str">
        <f>"Q"&amp;E79</f>
        <v>Q3</v>
      </c>
      <c r="B103" s="702"/>
      <c r="C103" s="114">
        <v>4</v>
      </c>
      <c r="D103" s="194" t="str">
        <f>IF(AND(C103&lt;=F98,F98&lt;&gt;""),VLOOKUP(VALUE(E79&amp;","&amp;C103),INTEGRANTES!$D$18:$F$235,2,0),"")</f>
        <v/>
      </c>
      <c r="E103" s="211" t="str">
        <f>IF(D103&lt;&gt;"",VLOOKUP(VALUE(E79&amp;","&amp;C103),INTEGRANTES!$D$18:$F$235,3,0),"")</f>
        <v/>
      </c>
      <c r="F103" s="547" t="str">
        <f>IF(D103="","",SUMIF($I83:$I92,D103,$P83:$P92))</f>
        <v/>
      </c>
      <c r="G103" s="333" t="str">
        <f>IF(D103="","",SUMIF($I83:$I92,D103,$M83:$M92))</f>
        <v/>
      </c>
      <c r="H103" s="535" t="str">
        <f t="shared" si="22"/>
        <v/>
      </c>
      <c r="I103" s="212" t="str">
        <f>IF(D103="","",IF(H103="NO APORTA","NO",IF(H103=MAX($H100:$H105),"SI","NO")))</f>
        <v/>
      </c>
      <c r="J103" s="213" t="str">
        <f t="shared" si="23"/>
        <v/>
      </c>
      <c r="K103" s="200" t="str">
        <f t="shared" si="24"/>
        <v/>
      </c>
      <c r="L103" s="720" t="s">
        <v>109</v>
      </c>
      <c r="M103" s="757" t="s">
        <v>120</v>
      </c>
      <c r="N103" s="726"/>
      <c r="O103" s="726"/>
      <c r="P103" s="726"/>
      <c r="Q103" s="727"/>
      <c r="R103" s="458"/>
      <c r="S103" s="459"/>
      <c r="T103" s="460"/>
      <c r="U103" s="219"/>
      <c r="V103" s="464"/>
      <c r="Y103" s="537">
        <f>0.4*PRESUPUESTOS!$H$16</f>
        <v>10.3124</v>
      </c>
      <c r="AA103" s="540" t="str">
        <f>IF(AND(C102&lt;=F98,F98&lt;&gt;""),VLOOKUP(VALUE(E79&amp;","&amp;C102),INTEGRANTES!$D$18:$F$235,2,0),"")</f>
        <v/>
      </c>
      <c r="AB103" s="545" t="str">
        <f t="shared" si="25"/>
        <v/>
      </c>
      <c r="AC103" s="529"/>
      <c r="AD103" s="200" t="str">
        <f t="shared" si="26"/>
        <v/>
      </c>
      <c r="AE103" s="52"/>
      <c r="AF103" s="52"/>
      <c r="AG103" s="52"/>
      <c r="AH103" s="87"/>
      <c r="AI103" s="87"/>
    </row>
    <row r="104" spans="1:35" ht="27" customHeight="1" thickBot="1">
      <c r="A104" s="218" t="str">
        <f>"R"&amp;E79</f>
        <v>R3</v>
      </c>
      <c r="B104" s="702"/>
      <c r="C104" s="114">
        <v>5</v>
      </c>
      <c r="D104" s="194" t="str">
        <f>IF(AND(C104&lt;=F98,F98&lt;&gt;""),VLOOKUP(VALUE(E79&amp;","&amp;C104),INTEGRANTES!$D$18:$F$235,2,0),"")</f>
        <v/>
      </c>
      <c r="E104" s="211" t="str">
        <f>IF(D104&lt;&gt;"",VLOOKUP(VALUE(E79&amp;","&amp;C104),INTEGRANTES!$D$18:$F$235,3,0),"")</f>
        <v/>
      </c>
      <c r="F104" s="547" t="str">
        <f>IF(D104="","",SUMIF($I83:$I92,D104,$P83:$P92))</f>
        <v/>
      </c>
      <c r="G104" s="333" t="str">
        <f>IF(D104="","",SUMIF($I83:$I92,D104,$M83:$M92))</f>
        <v/>
      </c>
      <c r="H104" s="535" t="str">
        <f t="shared" si="22"/>
        <v/>
      </c>
      <c r="I104" s="212" t="str">
        <f>IF(D104="","",IF(H104="NO APORTA","NO",IF(H104=MAX($H100:$H105),"SI","NO")))</f>
        <v/>
      </c>
      <c r="J104" s="213" t="str">
        <f t="shared" si="23"/>
        <v/>
      </c>
      <c r="K104" s="200" t="str">
        <f t="shared" si="24"/>
        <v/>
      </c>
      <c r="L104" s="721"/>
      <c r="M104" s="715" t="s">
        <v>116</v>
      </c>
      <c r="N104" s="716"/>
      <c r="O104" s="556" t="str">
        <f>PORCREQUERIDO*100&amp;"% PMFO DEL MÓDULO"</f>
        <v>50% PMFO DEL MÓDULO</v>
      </c>
      <c r="P104" s="715" t="s">
        <v>118</v>
      </c>
      <c r="Q104" s="728"/>
      <c r="R104" s="458"/>
      <c r="S104" s="459"/>
      <c r="T104" s="460"/>
      <c r="U104" s="219"/>
      <c r="V104" s="464"/>
      <c r="Y104" s="414"/>
      <c r="AA104" s="540" t="str">
        <f>IF(AND(C103&lt;=F98,F98&lt;&gt;""),VLOOKUP(VALUE(E79&amp;","&amp;C103),INTEGRANTES!$D$18:$F$235,2,0),"")</f>
        <v/>
      </c>
      <c r="AB104" s="545" t="str">
        <f t="shared" si="25"/>
        <v/>
      </c>
      <c r="AC104" s="529"/>
      <c r="AD104" s="200" t="str">
        <f t="shared" si="26"/>
        <v/>
      </c>
      <c r="AE104" s="52"/>
      <c r="AF104" s="52"/>
      <c r="AG104" s="52"/>
      <c r="AH104" s="87"/>
      <c r="AI104" s="87"/>
    </row>
    <row r="105" spans="1:35" ht="16.5" thickBot="1">
      <c r="A105" s="218" t="str">
        <f>"S"&amp;E79</f>
        <v>S3</v>
      </c>
      <c r="B105" s="702"/>
      <c r="C105" s="215">
        <v>6</v>
      </c>
      <c r="D105" s="216" t="str">
        <f>IF(AND(C105&lt;=F98,F98&lt;&gt;""),VLOOKUP(VALUE(E79&amp;","&amp;C105),INTEGRANTES!$D$18:$F$235,2,0),"")</f>
        <v/>
      </c>
      <c r="E105" s="217" t="str">
        <f>IF(D105&lt;&gt;"",VLOOKUP(VALUE(E79&amp;","&amp;C105),INTEGRANTES!$D$18:$F$235,3,0),"")</f>
        <v/>
      </c>
      <c r="F105" s="548" t="str">
        <f>IF(D105="","",SUMIF($I83:$I92,D105,$P83:$P92))</f>
        <v/>
      </c>
      <c r="G105" s="334" t="str">
        <f>IF(D105="","",SUMIF($I83:$I92,D105,$M83:$M92))</f>
        <v/>
      </c>
      <c r="H105" s="536" t="str">
        <f t="shared" si="22"/>
        <v/>
      </c>
      <c r="I105" s="214" t="str">
        <f>IF(D105="","",IF(H105="NO APORTA","NO",IF(H105=MAX($H100:$H105),"SI","NO")))</f>
        <v/>
      </c>
      <c r="J105" s="213" t="str">
        <f t="shared" si="23"/>
        <v/>
      </c>
      <c r="K105" s="200" t="str">
        <f t="shared" si="24"/>
        <v/>
      </c>
      <c r="L105" s="721"/>
      <c r="M105" s="729">
        <f>NUMMOD</f>
        <v>1</v>
      </c>
      <c r="N105" s="730"/>
      <c r="O105" s="443">
        <f>IF(M105="","",ROUND(VLOOKUP(M105,PRESUPUESTOS!$B$16:$H$16,7,FALSE),3))</f>
        <v>25.780999999999999</v>
      </c>
      <c r="P105" s="713">
        <f>IF(OR(COUNTIF(P83:P92,"")&gt;=10,Q99&lt;NUMMINCONT,OR(T97="NO CUMPLE",T97="VERIFICAR")),0,ROUND((SUM(P83:P92)/SUM(M83:M92)),3))</f>
        <v>25.143999999999998</v>
      </c>
      <c r="Q105" s="714"/>
      <c r="R105" s="458"/>
      <c r="S105" s="459"/>
      <c r="T105" s="460"/>
      <c r="U105" s="219"/>
      <c r="V105" s="464"/>
      <c r="Y105" s="532" t="s">
        <v>343</v>
      </c>
      <c r="AA105" s="540" t="str">
        <f>IF(AND(C104&lt;=F98,F98&lt;&gt;""),VLOOKUP(VALUE(E79&amp;","&amp;C104),INTEGRANTES!$D$18:$F$235,2,0),"")</f>
        <v/>
      </c>
      <c r="AB105" s="545" t="str">
        <f t="shared" si="25"/>
        <v/>
      </c>
      <c r="AC105" s="529"/>
      <c r="AD105" s="200" t="str">
        <f t="shared" si="26"/>
        <v/>
      </c>
      <c r="AE105" s="52"/>
      <c r="AF105" s="52"/>
      <c r="AG105" s="52"/>
      <c r="AH105" s="87"/>
      <c r="AI105" s="87"/>
    </row>
    <row r="106" spans="1:35" ht="16.5" customHeight="1" thickBot="1">
      <c r="A106" s="218" t="str">
        <f>"T"&amp;E79</f>
        <v>T3</v>
      </c>
      <c r="B106" s="703"/>
      <c r="C106" s="719"/>
      <c r="D106" s="719"/>
      <c r="E106" s="719"/>
      <c r="F106" s="719"/>
      <c r="G106" s="719"/>
      <c r="H106" s="719" t="s">
        <v>110</v>
      </c>
      <c r="I106" s="719"/>
      <c r="J106" s="719"/>
      <c r="K106" s="201" t="str">
        <f>IF(COUNTIF(K100:K105,"")=6,"",IF(COUNTIF(K100:K105,"CUMPLE")&gt;0,"CUMPLE","NO CUMPLE"))</f>
        <v/>
      </c>
      <c r="L106" s="754"/>
      <c r="M106" s="755"/>
      <c r="N106" s="755"/>
      <c r="O106" s="755"/>
      <c r="P106" s="755"/>
      <c r="Q106" s="756"/>
      <c r="R106" s="461"/>
      <c r="S106" s="462"/>
      <c r="T106" s="463"/>
      <c r="U106" s="219"/>
      <c r="V106" s="464"/>
      <c r="Y106" s="549" t="str">
        <f>IF(Y100="NO APLICA","NO APLICA",IF(COUNTIF(AD101:AD106,"CUMPLE")&gt;0,"CUMPLE","NO CUMPLE"))</f>
        <v>NO APLICA</v>
      </c>
      <c r="AA106" s="541" t="str">
        <f>IF(AND(C105&lt;=F98,F98&lt;&gt;""),VLOOKUP(VALUE(E79&amp;","&amp;C105),INTEGRANTES!$D$18:$F$235,2,0),"")</f>
        <v/>
      </c>
      <c r="AB106" s="546" t="str">
        <f t="shared" si="25"/>
        <v/>
      </c>
      <c r="AC106" s="543"/>
      <c r="AD106" s="201" t="str">
        <f t="shared" si="26"/>
        <v/>
      </c>
      <c r="AE106" s="52"/>
      <c r="AF106" s="52"/>
      <c r="AG106" s="52"/>
      <c r="AH106" s="87"/>
      <c r="AI106" s="87"/>
    </row>
    <row r="107" spans="1:35">
      <c r="A107" s="103"/>
      <c r="B107" s="206"/>
      <c r="C107" s="206"/>
      <c r="D107" s="206"/>
      <c r="E107" s="206"/>
      <c r="F107" s="206"/>
      <c r="G107" s="206"/>
      <c r="H107" s="206"/>
      <c r="I107" s="104"/>
      <c r="J107" s="206"/>
      <c r="K107" s="113"/>
      <c r="L107" s="113"/>
      <c r="M107" s="113"/>
      <c r="N107" s="222"/>
      <c r="O107" s="113"/>
      <c r="P107" s="113"/>
      <c r="Q107" s="113"/>
      <c r="R107" s="206"/>
      <c r="S107" s="104"/>
      <c r="T107" s="206"/>
      <c r="U107" s="474"/>
      <c r="AH107" s="87"/>
      <c r="AI107" s="87"/>
    </row>
    <row r="108" spans="1:35">
      <c r="H108" s="220"/>
      <c r="AH108" s="87"/>
      <c r="AI108" s="87"/>
    </row>
    <row r="109" spans="1:35" ht="24" thickBot="1">
      <c r="A109" s="61">
        <v>4</v>
      </c>
      <c r="B109" s="704" t="s">
        <v>51</v>
      </c>
      <c r="C109" s="704"/>
      <c r="D109" s="704"/>
      <c r="E109" s="62">
        <f>VLOOKUP(A109,PROPONENTES!$B$19:$E$218,2,FALSE)</f>
        <v>4</v>
      </c>
      <c r="F109" s="63" t="str">
        <f>VLOOKUP(A109,PROPONENTES!$B$19:$E$218,3,FALSE)</f>
        <v>SOTA</v>
      </c>
      <c r="G109" s="64"/>
      <c r="H109" s="64"/>
      <c r="I109" s="63"/>
      <c r="J109" s="63"/>
      <c r="K109" s="65"/>
      <c r="L109" s="65"/>
      <c r="M109" s="64"/>
      <c r="N109" s="64"/>
      <c r="O109" s="66"/>
      <c r="P109" s="66"/>
      <c r="Q109" s="66"/>
      <c r="R109" s="66"/>
      <c r="S109" s="67"/>
      <c r="T109" s="68"/>
      <c r="U109" s="68"/>
      <c r="AC109" s="68"/>
      <c r="AD109" s="68"/>
      <c r="AE109" s="68"/>
      <c r="AF109" s="68"/>
      <c r="AG109" s="68"/>
      <c r="AH109" s="87"/>
      <c r="AI109" s="87"/>
    </row>
    <row r="110" spans="1:35" ht="15.75" customHeight="1">
      <c r="A110" s="44"/>
      <c r="B110" s="709" t="s">
        <v>59</v>
      </c>
      <c r="C110" s="552" t="s">
        <v>60</v>
      </c>
      <c r="D110" s="70" t="s">
        <v>17</v>
      </c>
      <c r="E110" s="70"/>
      <c r="F110" s="70" t="s">
        <v>61</v>
      </c>
      <c r="G110" s="71"/>
      <c r="H110" s="699" t="s">
        <v>62</v>
      </c>
      <c r="I110" s="699" t="s">
        <v>18</v>
      </c>
      <c r="J110" s="699" t="s">
        <v>63</v>
      </c>
      <c r="K110" s="699" t="s">
        <v>64</v>
      </c>
      <c r="L110" s="699" t="s">
        <v>65</v>
      </c>
      <c r="M110" s="743" t="s">
        <v>66</v>
      </c>
      <c r="N110" s="699" t="s">
        <v>282</v>
      </c>
      <c r="O110" s="745" t="s">
        <v>67</v>
      </c>
      <c r="P110" s="746"/>
      <c r="Q110" s="102" t="s">
        <v>75</v>
      </c>
      <c r="R110" s="731" t="s">
        <v>22</v>
      </c>
      <c r="S110" s="732"/>
      <c r="T110" s="733"/>
      <c r="U110" s="712" t="s">
        <v>298</v>
      </c>
      <c r="W110" s="690" t="s">
        <v>268</v>
      </c>
      <c r="X110" s="691"/>
      <c r="Y110" s="692"/>
      <c r="Z110" s="428"/>
      <c r="AA110" s="697" t="s">
        <v>315</v>
      </c>
      <c r="AB110" s="695" t="s">
        <v>322</v>
      </c>
      <c r="AC110" s="49"/>
      <c r="AD110" s="690" t="s">
        <v>297</v>
      </c>
      <c r="AE110" s="691"/>
      <c r="AF110" s="692"/>
      <c r="AG110" s="49"/>
      <c r="AH110" s="87"/>
      <c r="AI110" s="87"/>
    </row>
    <row r="111" spans="1:35" ht="72">
      <c r="A111" s="44"/>
      <c r="B111" s="710"/>
      <c r="C111" s="553" t="s">
        <v>68</v>
      </c>
      <c r="D111" s="73" t="s">
        <v>3</v>
      </c>
      <c r="E111" s="73" t="s">
        <v>19</v>
      </c>
      <c r="F111" s="73" t="s">
        <v>69</v>
      </c>
      <c r="G111" s="74" t="s">
        <v>70</v>
      </c>
      <c r="H111" s="700"/>
      <c r="I111" s="700"/>
      <c r="J111" s="700"/>
      <c r="K111" s="700"/>
      <c r="L111" s="700"/>
      <c r="M111" s="744"/>
      <c r="N111" s="700"/>
      <c r="O111" s="553" t="s">
        <v>279</v>
      </c>
      <c r="P111" s="73" t="s">
        <v>88</v>
      </c>
      <c r="Q111" s="555" t="s">
        <v>76</v>
      </c>
      <c r="R111" s="734"/>
      <c r="S111" s="735"/>
      <c r="T111" s="736"/>
      <c r="U111" s="712"/>
      <c r="W111" s="429" t="s">
        <v>269</v>
      </c>
      <c r="X111" s="457" t="s">
        <v>278</v>
      </c>
      <c r="Y111" s="430" t="s">
        <v>365</v>
      </c>
      <c r="Z111" s="428"/>
      <c r="AA111" s="698"/>
      <c r="AB111" s="696"/>
      <c r="AC111" s="49"/>
      <c r="AD111" s="429" t="s">
        <v>292</v>
      </c>
      <c r="AE111" s="431" t="s">
        <v>300</v>
      </c>
      <c r="AF111" s="468" t="s">
        <v>301</v>
      </c>
      <c r="AG111" s="49"/>
      <c r="AH111" s="87"/>
      <c r="AI111" s="87"/>
    </row>
    <row r="112" spans="1:35">
      <c r="A112" s="44"/>
      <c r="B112" s="76"/>
      <c r="C112" s="77"/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7"/>
      <c r="S112" s="78"/>
      <c r="T112" s="79"/>
      <c r="U112" s="109"/>
      <c r="V112" s="49"/>
      <c r="W112" s="432"/>
      <c r="X112" s="454"/>
      <c r="Y112" s="433"/>
      <c r="Z112" s="6"/>
      <c r="AA112" s="500"/>
      <c r="AB112" s="562"/>
      <c r="AC112" s="49"/>
      <c r="AD112" s="210"/>
      <c r="AE112" s="434"/>
      <c r="AF112" s="435"/>
      <c r="AG112" s="49"/>
      <c r="AH112" s="87"/>
      <c r="AI112" s="87"/>
    </row>
    <row r="113" spans="1:35" ht="144.75" customHeight="1">
      <c r="A113" s="80" t="str">
        <f>"A"&amp;E109</f>
        <v>A4</v>
      </c>
      <c r="B113" s="81">
        <v>1</v>
      </c>
      <c r="C113" s="82" t="s">
        <v>363</v>
      </c>
      <c r="D113" s="82" t="s">
        <v>439</v>
      </c>
      <c r="E113" s="567" t="s">
        <v>442</v>
      </c>
      <c r="F113" s="82" t="s">
        <v>364</v>
      </c>
      <c r="G113" s="83">
        <v>1</v>
      </c>
      <c r="H113" s="83" t="s">
        <v>25</v>
      </c>
      <c r="I113" s="84" t="s">
        <v>446</v>
      </c>
      <c r="J113" s="85">
        <v>38993</v>
      </c>
      <c r="K113" s="382"/>
      <c r="L113" s="85">
        <v>39068</v>
      </c>
      <c r="M113" s="332">
        <f t="shared" ref="M113:M117" si="27">IF(OR(J113="",L113="",H113="NO"),"",IF(OR(J113&gt;$P$17,J113&lt;$O$17,L113&gt;$P$17,AND(J113&lt;$O$17,L113&lt;$O$17)),"FUERA DE RANGO",IF(OR(K113="---",K113=""),IF(J113&gt;=$O$17,ROUND((L113-J113+1)/360*12,3),ROUND((L113-$O$17+1)/360*12,3)),IF(J113&gt;=$O$17,ROUND((L113-J113+1)/360*12-ROUND(K113,3),3),ROUND((L113-$O$17+1)/360*12-ROUND(K113,3),3)))))</f>
        <v>2.5329999999999999</v>
      </c>
      <c r="N113" s="86">
        <v>97.86</v>
      </c>
      <c r="O113" s="453">
        <f t="shared" ref="O113:O117" si="28">IF(OR(G113="",N113=""),"",N113*G113)</f>
        <v>97.86</v>
      </c>
      <c r="P113" s="538">
        <f t="shared" ref="P113:P117" si="29">IF(OR(H113="",M113="FUERA DE RANGO"),"",IF(OR(L113&lt;$O$17,L113&gt;$P$17,L113="",H113="NO"),"",IF(OR(N113="",O113=""),"",ROUND(O113,3))))</f>
        <v>97.86</v>
      </c>
      <c r="Q113" s="539">
        <f t="shared" ref="Q113:Q117" si="30">IF(AND(H113="SI",P113&lt;&gt;""),ROUND(P113/M113,3),"")</f>
        <v>38.634</v>
      </c>
      <c r="R113" s="737"/>
      <c r="S113" s="738"/>
      <c r="T113" s="739"/>
      <c r="U113" s="470" t="s">
        <v>467</v>
      </c>
      <c r="V113" s="165"/>
      <c r="W113" s="446" t="s">
        <v>25</v>
      </c>
      <c r="X113" s="456">
        <v>40</v>
      </c>
      <c r="Y113" s="436" t="s">
        <v>25</v>
      </c>
      <c r="Z113" s="437"/>
      <c r="AA113" s="560" t="s">
        <v>319</v>
      </c>
      <c r="AB113" s="561" t="s">
        <v>294</v>
      </c>
      <c r="AC113" s="87"/>
      <c r="AD113" s="466" t="s">
        <v>289</v>
      </c>
      <c r="AE113" s="456" t="s">
        <v>25</v>
      </c>
      <c r="AF113" s="467" t="s">
        <v>25</v>
      </c>
      <c r="AG113" s="87"/>
      <c r="AH113" s="87"/>
      <c r="AI113" s="87"/>
    </row>
    <row r="114" spans="1:35" ht="76.5" customHeight="1">
      <c r="A114" s="80" t="str">
        <f>"B"&amp;E109</f>
        <v>B4</v>
      </c>
      <c r="B114" s="81">
        <v>2</v>
      </c>
      <c r="C114" s="106" t="s">
        <v>363</v>
      </c>
      <c r="D114" s="571" t="s">
        <v>466</v>
      </c>
      <c r="E114" s="589" t="s">
        <v>443</v>
      </c>
      <c r="F114" s="571" t="s">
        <v>364</v>
      </c>
      <c r="G114" s="83">
        <v>1</v>
      </c>
      <c r="H114" s="83" t="s">
        <v>25</v>
      </c>
      <c r="I114" s="84" t="s">
        <v>446</v>
      </c>
      <c r="J114" s="85">
        <v>38671</v>
      </c>
      <c r="K114" s="616">
        <v>2.2000000000000002</v>
      </c>
      <c r="L114" s="85">
        <v>38927</v>
      </c>
      <c r="M114" s="332">
        <f t="shared" si="27"/>
        <v>6.367</v>
      </c>
      <c r="N114" s="86">
        <v>195.23</v>
      </c>
      <c r="O114" s="453">
        <f t="shared" si="28"/>
        <v>195.23</v>
      </c>
      <c r="P114" s="538">
        <f t="shared" si="29"/>
        <v>195.23</v>
      </c>
      <c r="Q114" s="539">
        <f t="shared" si="30"/>
        <v>30.663</v>
      </c>
      <c r="R114" s="740"/>
      <c r="S114" s="741"/>
      <c r="T114" s="742"/>
      <c r="U114" s="471" t="s">
        <v>468</v>
      </c>
      <c r="V114" s="165"/>
      <c r="W114" s="446" t="s">
        <v>25</v>
      </c>
      <c r="X114" s="456">
        <v>83</v>
      </c>
      <c r="Y114" s="436" t="s">
        <v>25</v>
      </c>
      <c r="Z114" s="437"/>
      <c r="AA114" s="560" t="s">
        <v>317</v>
      </c>
      <c r="AB114" s="561" t="s">
        <v>294</v>
      </c>
      <c r="AC114" s="87"/>
      <c r="AD114" s="466" t="s">
        <v>289</v>
      </c>
      <c r="AE114" s="456" t="s">
        <v>25</v>
      </c>
      <c r="AF114" s="467" t="s">
        <v>25</v>
      </c>
      <c r="AG114" s="87"/>
      <c r="AH114" s="87"/>
      <c r="AI114" s="87"/>
    </row>
    <row r="115" spans="1:35" ht="132.75" customHeight="1">
      <c r="A115" s="80" t="str">
        <f>"C"&amp;E109</f>
        <v>C4</v>
      </c>
      <c r="B115" s="88">
        <v>3</v>
      </c>
      <c r="C115" s="106" t="s">
        <v>363</v>
      </c>
      <c r="D115" s="82" t="s">
        <v>440</v>
      </c>
      <c r="E115" s="567" t="s">
        <v>465</v>
      </c>
      <c r="F115" s="82" t="s">
        <v>364</v>
      </c>
      <c r="G115" s="83">
        <v>1</v>
      </c>
      <c r="H115" s="83" t="s">
        <v>25</v>
      </c>
      <c r="I115" s="84" t="s">
        <v>446</v>
      </c>
      <c r="J115" s="85">
        <v>38742</v>
      </c>
      <c r="K115" s="382"/>
      <c r="L115" s="85">
        <v>38984</v>
      </c>
      <c r="M115" s="332">
        <f t="shared" si="27"/>
        <v>8.1</v>
      </c>
      <c r="N115" s="86">
        <v>272.77999999999997</v>
      </c>
      <c r="O115" s="453">
        <f t="shared" si="28"/>
        <v>272.77999999999997</v>
      </c>
      <c r="P115" s="538">
        <f t="shared" si="29"/>
        <v>272.77999999999997</v>
      </c>
      <c r="Q115" s="539">
        <f t="shared" si="30"/>
        <v>33.677</v>
      </c>
      <c r="R115" s="706"/>
      <c r="S115" s="707"/>
      <c r="T115" s="708"/>
      <c r="U115" s="472" t="str">
        <f>+U113</f>
        <v>No aportó acta de recibo. Se buscó en SICO Y se diligenció matriz</v>
      </c>
      <c r="V115" s="166"/>
      <c r="W115" s="446" t="s">
        <v>25</v>
      </c>
      <c r="X115" s="456">
        <v>84</v>
      </c>
      <c r="Y115" s="436" t="s">
        <v>25</v>
      </c>
      <c r="Z115" s="437"/>
      <c r="AA115" s="560" t="s">
        <v>317</v>
      </c>
      <c r="AB115" s="561" t="s">
        <v>294</v>
      </c>
      <c r="AC115" s="87"/>
      <c r="AD115" s="466" t="s">
        <v>289</v>
      </c>
      <c r="AE115" s="456"/>
      <c r="AF115" s="467" t="s">
        <v>25</v>
      </c>
      <c r="AG115" s="87"/>
      <c r="AH115" s="87"/>
      <c r="AI115" s="87"/>
    </row>
    <row r="116" spans="1:35" ht="65.25" customHeight="1">
      <c r="A116" s="80" t="str">
        <f>"D"&amp;E109</f>
        <v>D4</v>
      </c>
      <c r="B116" s="105">
        <v>4</v>
      </c>
      <c r="C116" s="617" t="s">
        <v>438</v>
      </c>
      <c r="D116" s="592" t="s">
        <v>369</v>
      </c>
      <c r="E116" s="590" t="s">
        <v>444</v>
      </c>
      <c r="F116" s="592" t="s">
        <v>364</v>
      </c>
      <c r="G116" s="83">
        <v>1</v>
      </c>
      <c r="H116" s="83" t="s">
        <v>25</v>
      </c>
      <c r="I116" s="84" t="s">
        <v>446</v>
      </c>
      <c r="J116" s="85">
        <v>40869</v>
      </c>
      <c r="K116" s="616">
        <v>8.6</v>
      </c>
      <c r="L116" s="85">
        <v>41332</v>
      </c>
      <c r="M116" s="332">
        <f t="shared" si="27"/>
        <v>6.867</v>
      </c>
      <c r="N116" s="86">
        <v>44.72</v>
      </c>
      <c r="O116" s="453">
        <f t="shared" si="28"/>
        <v>44.72</v>
      </c>
      <c r="P116" s="538">
        <f t="shared" si="29"/>
        <v>44.72</v>
      </c>
      <c r="Q116" s="539">
        <f t="shared" si="30"/>
        <v>6.5119999999999996</v>
      </c>
      <c r="R116" s="706"/>
      <c r="S116" s="707"/>
      <c r="T116" s="708"/>
      <c r="U116" s="472" t="s">
        <v>469</v>
      </c>
      <c r="V116" s="166"/>
      <c r="W116" s="446" t="s">
        <v>25</v>
      </c>
      <c r="X116" s="456">
        <v>103</v>
      </c>
      <c r="Y116" s="436" t="s">
        <v>25</v>
      </c>
      <c r="Z116" s="437"/>
      <c r="AA116" s="560" t="s">
        <v>318</v>
      </c>
      <c r="AB116" s="561" t="s">
        <v>294</v>
      </c>
      <c r="AC116" s="87"/>
      <c r="AD116" s="466" t="s">
        <v>289</v>
      </c>
      <c r="AE116" s="456"/>
      <c r="AF116" s="467" t="s">
        <v>25</v>
      </c>
      <c r="AG116" s="87"/>
      <c r="AH116" s="87"/>
      <c r="AI116" s="87"/>
    </row>
    <row r="117" spans="1:35" ht="84.75" customHeight="1">
      <c r="A117" s="80" t="str">
        <f>"E"&amp;E109</f>
        <v>E4</v>
      </c>
      <c r="B117" s="105">
        <v>5</v>
      </c>
      <c r="C117" s="592" t="s">
        <v>363</v>
      </c>
      <c r="D117" s="592" t="s">
        <v>441</v>
      </c>
      <c r="E117" s="590" t="s">
        <v>445</v>
      </c>
      <c r="F117" s="592" t="s">
        <v>464</v>
      </c>
      <c r="G117" s="83">
        <v>0.4</v>
      </c>
      <c r="H117" s="83" t="s">
        <v>25</v>
      </c>
      <c r="I117" s="84" t="s">
        <v>446</v>
      </c>
      <c r="J117" s="85">
        <v>39822</v>
      </c>
      <c r="K117" s="382">
        <f>+SUSPENSIONES!N40</f>
        <v>3.234</v>
      </c>
      <c r="L117" s="85">
        <v>40137</v>
      </c>
      <c r="M117" s="332">
        <f t="shared" si="27"/>
        <v>7.2990000000000004</v>
      </c>
      <c r="N117" s="86">
        <v>724.89</v>
      </c>
      <c r="O117" s="453">
        <f t="shared" si="28"/>
        <v>289.95600000000002</v>
      </c>
      <c r="P117" s="538">
        <f t="shared" si="29"/>
        <v>289.95600000000002</v>
      </c>
      <c r="Q117" s="539">
        <f t="shared" si="30"/>
        <v>39.725000000000001</v>
      </c>
      <c r="R117" s="706"/>
      <c r="S117" s="707"/>
      <c r="T117" s="708"/>
      <c r="U117" s="472" t="s">
        <v>470</v>
      </c>
      <c r="V117" s="167"/>
      <c r="W117" s="446" t="s">
        <v>25</v>
      </c>
      <c r="X117" s="456">
        <v>46</v>
      </c>
      <c r="Y117" s="436" t="s">
        <v>25</v>
      </c>
      <c r="Z117" s="437"/>
      <c r="AA117" s="560" t="s">
        <v>317</v>
      </c>
      <c r="AB117" s="561" t="s">
        <v>294</v>
      </c>
      <c r="AC117" s="87"/>
      <c r="AD117" s="466" t="s">
        <v>289</v>
      </c>
      <c r="AE117" s="456"/>
      <c r="AF117" s="467" t="s">
        <v>25</v>
      </c>
      <c r="AG117" s="87"/>
      <c r="AH117" s="87"/>
      <c r="AI117" s="87"/>
    </row>
    <row r="118" spans="1:35" ht="68.25" customHeight="1">
      <c r="A118" s="80" t="str">
        <f>"F"&amp;E109</f>
        <v>F4</v>
      </c>
      <c r="B118" s="105">
        <v>6</v>
      </c>
      <c r="C118" s="107"/>
      <c r="D118" s="107"/>
      <c r="E118" s="618"/>
      <c r="F118" s="107"/>
      <c r="G118" s="83"/>
      <c r="H118" s="83"/>
      <c r="I118" s="84"/>
      <c r="J118" s="85"/>
      <c r="K118" s="382"/>
      <c r="L118" s="85"/>
      <c r="M118" s="332"/>
      <c r="N118" s="86"/>
      <c r="O118" s="453"/>
      <c r="P118" s="538"/>
      <c r="Q118" s="539"/>
      <c r="R118" s="706"/>
      <c r="S118" s="707"/>
      <c r="T118" s="708"/>
      <c r="U118" s="472"/>
      <c r="V118" s="167"/>
      <c r="W118" s="446"/>
      <c r="X118" s="456"/>
      <c r="Y118" s="436"/>
      <c r="Z118" s="437"/>
      <c r="AA118" s="560"/>
      <c r="AB118" s="561" t="s">
        <v>294</v>
      </c>
      <c r="AC118" s="87"/>
      <c r="AD118" s="466"/>
      <c r="AE118" s="456"/>
      <c r="AF118" s="467"/>
      <c r="AG118" s="87"/>
      <c r="AH118" s="87"/>
      <c r="AI118" s="87"/>
    </row>
    <row r="119" spans="1:35">
      <c r="A119" s="80" t="str">
        <f>"G"&amp;E109</f>
        <v>G4</v>
      </c>
      <c r="B119" s="105">
        <v>7</v>
      </c>
      <c r="C119" s="107"/>
      <c r="D119" s="107"/>
      <c r="E119" s="107"/>
      <c r="F119" s="107"/>
      <c r="G119" s="83"/>
      <c r="H119" s="83"/>
      <c r="I119" s="84"/>
      <c r="J119" s="85"/>
      <c r="K119" s="382"/>
      <c r="L119" s="85"/>
      <c r="M119" s="332"/>
      <c r="N119" s="86"/>
      <c r="O119" s="86"/>
      <c r="P119" s="538"/>
      <c r="Q119" s="539"/>
      <c r="R119" s="706"/>
      <c r="S119" s="707"/>
      <c r="T119" s="708"/>
      <c r="U119" s="472"/>
      <c r="V119" s="167"/>
      <c r="W119" s="446"/>
      <c r="X119" s="456"/>
      <c r="Y119" s="436"/>
      <c r="Z119" s="437"/>
      <c r="AA119" s="560"/>
      <c r="AB119" s="561"/>
      <c r="AC119" s="87"/>
      <c r="AD119" s="466"/>
      <c r="AE119" s="456"/>
      <c r="AF119" s="467"/>
      <c r="AG119" s="87"/>
      <c r="AH119" s="87"/>
      <c r="AI119" s="87"/>
    </row>
    <row r="120" spans="1:35">
      <c r="A120" s="80" t="str">
        <f>"H"&amp;E109</f>
        <v>H4</v>
      </c>
      <c r="B120" s="105">
        <v>8</v>
      </c>
      <c r="C120" s="107"/>
      <c r="D120" s="107"/>
      <c r="E120" s="107"/>
      <c r="F120" s="107"/>
      <c r="G120" s="83"/>
      <c r="H120" s="83"/>
      <c r="I120" s="84"/>
      <c r="J120" s="85"/>
      <c r="K120" s="382"/>
      <c r="L120" s="85"/>
      <c r="M120" s="332"/>
      <c r="N120" s="453"/>
      <c r="O120" s="86"/>
      <c r="P120" s="538"/>
      <c r="Q120" s="539"/>
      <c r="R120" s="706"/>
      <c r="S120" s="707"/>
      <c r="T120" s="708"/>
      <c r="U120" s="472"/>
      <c r="V120" s="167"/>
      <c r="W120" s="446"/>
      <c r="X120" s="456"/>
      <c r="Y120" s="436"/>
      <c r="Z120" s="437"/>
      <c r="AA120" s="560"/>
      <c r="AB120" s="561"/>
      <c r="AC120" s="87"/>
      <c r="AD120" s="466"/>
      <c r="AE120" s="456"/>
      <c r="AF120" s="467"/>
      <c r="AG120" s="87"/>
      <c r="AH120" s="87"/>
      <c r="AI120" s="87"/>
    </row>
    <row r="121" spans="1:35">
      <c r="A121" s="80" t="str">
        <f>"I"&amp;E109</f>
        <v>I4</v>
      </c>
      <c r="B121" s="105">
        <v>9</v>
      </c>
      <c r="C121" s="107"/>
      <c r="D121" s="107"/>
      <c r="E121" s="107"/>
      <c r="F121" s="107"/>
      <c r="G121" s="83"/>
      <c r="H121" s="83"/>
      <c r="I121" s="84"/>
      <c r="J121" s="85"/>
      <c r="K121" s="382"/>
      <c r="L121" s="85"/>
      <c r="M121" s="332" t="str">
        <f t="shared" ref="M121:M122" si="31">IF(OR(J121="",L121="",H121="NO"),"",IF(OR(J121&gt;$P$17,J121&lt;$O$17,L121&gt;$P$17,AND(J121&lt;$O$17,L121&lt;$O$17)),"FUERA DE RANGO",IF(OR(K121="---",K121=""),IF(J121&gt;=$O$17,ROUND((L121-J121+1)/360*12,3),ROUND((L121-$O$17+1)/360*12,3)),IF(J121&gt;=$O$17,ROUND((L121-J121+1)/360*12-ROUND(K121,3),3),ROUND((L121-$O$17+1)/360*12-ROUND(K121,3),3)))))</f>
        <v/>
      </c>
      <c r="N121" s="453"/>
      <c r="O121" s="86" t="str">
        <f t="shared" ref="O121:O122" si="32">IF(OR(G121="",N121=""),"",N121*G121)</f>
        <v/>
      </c>
      <c r="P121" s="538" t="str">
        <f t="shared" ref="P121:P122" si="33">IF(OR(H121="",M121="FUERA DE RANGO"),"",IF(OR(L121&lt;$O$17,L121&gt;$P$17,L121="",H121="NO"),"",IF(OR(N121="",O121=""),"",ROUND(O121,3))))</f>
        <v/>
      </c>
      <c r="Q121" s="539" t="str">
        <f t="shared" ref="Q121:Q122" si="34">IF(AND(H121="SI",P121&lt;&gt;""),ROUND(P121/M121,3),"")</f>
        <v/>
      </c>
      <c r="R121" s="706"/>
      <c r="S121" s="707"/>
      <c r="T121" s="708"/>
      <c r="U121" s="472"/>
      <c r="V121" s="167"/>
      <c r="W121" s="446"/>
      <c r="X121" s="456"/>
      <c r="Y121" s="436"/>
      <c r="Z121" s="437"/>
      <c r="AA121" s="560"/>
      <c r="AB121" s="561"/>
      <c r="AC121" s="87"/>
      <c r="AD121" s="466"/>
      <c r="AE121" s="456"/>
      <c r="AF121" s="467"/>
      <c r="AG121" s="87"/>
      <c r="AH121" s="87"/>
      <c r="AI121" s="87"/>
    </row>
    <row r="122" spans="1:35">
      <c r="A122" s="80" t="str">
        <f>"J"&amp;E109</f>
        <v>J4</v>
      </c>
      <c r="B122" s="105">
        <v>10</v>
      </c>
      <c r="C122" s="107"/>
      <c r="D122" s="107"/>
      <c r="E122" s="107"/>
      <c r="F122" s="107"/>
      <c r="G122" s="83"/>
      <c r="H122" s="83"/>
      <c r="I122" s="84"/>
      <c r="J122" s="85"/>
      <c r="K122" s="382"/>
      <c r="L122" s="85"/>
      <c r="M122" s="332" t="str">
        <f t="shared" si="31"/>
        <v/>
      </c>
      <c r="N122" s="453"/>
      <c r="O122" s="86" t="str">
        <f t="shared" si="32"/>
        <v/>
      </c>
      <c r="P122" s="538" t="str">
        <f t="shared" si="33"/>
        <v/>
      </c>
      <c r="Q122" s="539" t="str">
        <f t="shared" si="34"/>
        <v/>
      </c>
      <c r="R122" s="706"/>
      <c r="S122" s="707"/>
      <c r="T122" s="708"/>
      <c r="U122" s="472"/>
      <c r="V122" s="167"/>
      <c r="W122" s="446"/>
      <c r="X122" s="456"/>
      <c r="Y122" s="436"/>
      <c r="Z122" s="437"/>
      <c r="AA122" s="560"/>
      <c r="AB122" s="561"/>
      <c r="AC122" s="87"/>
      <c r="AD122" s="466"/>
      <c r="AE122" s="456"/>
      <c r="AF122" s="467"/>
      <c r="AG122" s="87"/>
      <c r="AH122" s="87"/>
      <c r="AI122" s="87"/>
    </row>
    <row r="123" spans="1:35" ht="16.5" thickBot="1">
      <c r="A123" s="44"/>
      <c r="B123" s="89"/>
      <c r="C123" s="90"/>
      <c r="D123" s="90"/>
      <c r="E123" s="90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0"/>
      <c r="S123" s="91"/>
      <c r="T123" s="92"/>
      <c r="U123" s="473"/>
      <c r="W123" s="438"/>
      <c r="X123" s="455"/>
      <c r="Y123" s="439"/>
      <c r="Z123" s="437"/>
      <c r="AA123" s="530"/>
      <c r="AB123" s="563"/>
      <c r="AC123" s="87"/>
      <c r="AD123" s="440"/>
      <c r="AE123" s="441"/>
      <c r="AF123" s="442"/>
      <c r="AG123" s="49"/>
      <c r="AH123" s="87"/>
      <c r="AI123" s="87"/>
    </row>
    <row r="124" spans="1:35" ht="16.5" thickBot="1">
      <c r="A124" s="93"/>
      <c r="B124" s="94"/>
      <c r="C124" s="96"/>
      <c r="D124" s="96"/>
      <c r="E124" s="96"/>
      <c r="F124" s="96"/>
      <c r="G124" s="96"/>
      <c r="H124" s="96"/>
      <c r="I124" s="96"/>
      <c r="J124" s="96"/>
      <c r="K124" s="96"/>
      <c r="L124" s="96"/>
      <c r="M124" s="136"/>
      <c r="N124" s="96"/>
      <c r="O124" s="96"/>
      <c r="P124" s="97"/>
      <c r="Q124" s="97"/>
      <c r="R124" s="98"/>
      <c r="S124" s="95"/>
      <c r="T124" s="99"/>
      <c r="U124" s="469"/>
      <c r="AC124" s="58"/>
      <c r="AG124" s="58"/>
      <c r="AH124" s="87"/>
      <c r="AI124" s="87"/>
    </row>
    <row r="125" spans="1:35" ht="16.5" thickBot="1">
      <c r="B125" s="101"/>
      <c r="C125" s="101"/>
      <c r="D125" s="101"/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1"/>
      <c r="Q125" s="101"/>
      <c r="R125" s="101"/>
      <c r="S125" s="101"/>
      <c r="U125" s="50"/>
      <c r="AH125" s="87"/>
      <c r="AI125" s="87"/>
    </row>
    <row r="126" spans="1:35" ht="16.5" customHeight="1" thickBot="1">
      <c r="A126" s="44"/>
      <c r="B126" s="705" t="s">
        <v>74</v>
      </c>
      <c r="C126" s="705"/>
      <c r="D126" s="705"/>
      <c r="E126" s="705"/>
      <c r="F126" s="705"/>
      <c r="G126" s="705"/>
      <c r="H126" s="705"/>
      <c r="I126" s="705"/>
      <c r="J126" s="705"/>
      <c r="K126" s="705"/>
      <c r="L126" s="705"/>
      <c r="M126" s="705"/>
      <c r="N126" s="705"/>
      <c r="O126" s="705"/>
      <c r="P126" s="705"/>
      <c r="Q126" s="705"/>
      <c r="R126" s="705"/>
      <c r="S126" s="705"/>
      <c r="T126" s="705"/>
      <c r="U126" s="108"/>
      <c r="Y126" s="532" t="s">
        <v>341</v>
      </c>
      <c r="AC126" s="49"/>
      <c r="AD126" s="687" t="s">
        <v>302</v>
      </c>
      <c r="AE126" s="688"/>
      <c r="AF126" s="689"/>
      <c r="AG126" s="49"/>
      <c r="AH126" s="87"/>
      <c r="AI126" s="87"/>
    </row>
    <row r="127" spans="1:35" ht="15.75" customHeight="1" thickBot="1">
      <c r="A127" s="218" t="str">
        <f>"K"&amp;E109</f>
        <v>K4</v>
      </c>
      <c r="B127" s="701" t="s">
        <v>71</v>
      </c>
      <c r="C127" s="751" t="s">
        <v>102</v>
      </c>
      <c r="D127" s="751"/>
      <c r="E127" s="751"/>
      <c r="F127" s="751"/>
      <c r="G127" s="751"/>
      <c r="H127" s="751"/>
      <c r="I127" s="751"/>
      <c r="J127" s="751"/>
      <c r="K127" s="751"/>
      <c r="L127" s="722" t="s">
        <v>100</v>
      </c>
      <c r="M127" s="747" t="s">
        <v>114</v>
      </c>
      <c r="N127" s="747"/>
      <c r="O127" s="747"/>
      <c r="P127" s="747"/>
      <c r="Q127" s="748"/>
      <c r="R127" s="758" t="s">
        <v>280</v>
      </c>
      <c r="S127" s="748"/>
      <c r="T127" s="762" t="str">
        <f>IF(COUNTIF(AE127:AF127,"VERIFICAR")&gt;0,"VERIFICAR",IF(COUNTIF(AE127:AF127,"NO CUMPLE")&gt;0,"NO CUMPLE","CUMPLE"))</f>
        <v>CUMPLE</v>
      </c>
      <c r="U127" s="108"/>
      <c r="Y127" s="533" t="str">
        <f>IF(F128="","",IF(F128=1,"INDIVIDUAL","ESTRUCTURA PLURAL"))</f>
        <v>INDIVIDUAL</v>
      </c>
      <c r="AC127" s="52"/>
      <c r="AD127" s="475" t="s">
        <v>303</v>
      </c>
      <c r="AE127" s="476" t="str">
        <f>IF(COUNTIF(AE113:AE122,"")=10,"VERIFICAR",IF(COUNTIF(AE113:AE122,"SI")&gt;0,"CUMPLE","NO CUMPLE"))</f>
        <v>CUMPLE</v>
      </c>
      <c r="AF127" s="477" t="str">
        <f>IF(COUNTIF(AF113:AF122,"")=10,"VERIFICAR",IF(COUNTIF(AF113:AF122,"SI")&gt;=$AI$22,"CUMPLE","NO CUMPLE"))</f>
        <v>CUMPLE</v>
      </c>
      <c r="AG127" s="52"/>
      <c r="AH127" s="87"/>
      <c r="AI127" s="87"/>
    </row>
    <row r="128" spans="1:35" ht="16.5" customHeight="1" thickBot="1">
      <c r="A128" s="218" t="str">
        <f>"L"&amp;E109</f>
        <v>L4</v>
      </c>
      <c r="B128" s="702"/>
      <c r="C128" s="751" t="s">
        <v>103</v>
      </c>
      <c r="D128" s="751"/>
      <c r="E128" s="752"/>
      <c r="F128" s="557">
        <f>IF(VLOOKUP(E109,PROPONENTES!$C$19:$E$218,3,0)="","",VLOOKUP(E109,PROPONENTES!$C$19:$E$218,3,0))</f>
        <v>1</v>
      </c>
      <c r="G128" s="753" t="s">
        <v>104</v>
      </c>
      <c r="H128" s="751"/>
      <c r="I128" s="715" t="str">
        <f>IF(OR(F128="",F128=1),"INTERESADO PERSONA NATURAL O JURIDICA","CONSORCIO O UNION TEMPORAL")</f>
        <v>INTERESADO PERSONA NATURAL O JURIDICA</v>
      </c>
      <c r="J128" s="725"/>
      <c r="K128" s="728"/>
      <c r="L128" s="723"/>
      <c r="M128" s="749"/>
      <c r="N128" s="749"/>
      <c r="O128" s="749"/>
      <c r="P128" s="749"/>
      <c r="Q128" s="750"/>
      <c r="R128" s="712"/>
      <c r="S128" s="750"/>
      <c r="T128" s="763"/>
      <c r="U128" s="108"/>
      <c r="Y128" s="534"/>
      <c r="AA128" s="52"/>
      <c r="AB128" s="52"/>
      <c r="AC128" s="52"/>
      <c r="AG128" s="52"/>
      <c r="AH128" s="87"/>
      <c r="AI128" s="87"/>
    </row>
    <row r="129" spans="1:35" ht="56.25" customHeight="1" thickBot="1">
      <c r="A129" s="218" t="str">
        <f>"M"&amp;E109</f>
        <v>M4</v>
      </c>
      <c r="B129" s="702"/>
      <c r="C129" s="725" t="s">
        <v>101</v>
      </c>
      <c r="D129" s="716"/>
      <c r="E129" s="558" t="s">
        <v>105</v>
      </c>
      <c r="F129" s="554" t="s">
        <v>87</v>
      </c>
      <c r="G129" s="553" t="s">
        <v>86</v>
      </c>
      <c r="H129" s="559" t="s">
        <v>85</v>
      </c>
      <c r="I129" s="554" t="s">
        <v>252</v>
      </c>
      <c r="J129" s="553" t="str">
        <f>"¿EL INTEGRANTE TIENE UNA PARTICIPACIÓN DEL "&amp;PORCREQUERIDOINT*100&amp;"%?"</f>
        <v>¿EL INTEGRANTE TIENE UNA PARTICIPACIÓN DEL 60%?</v>
      </c>
      <c r="K129" s="554" t="s">
        <v>107</v>
      </c>
      <c r="L129" s="724"/>
      <c r="M129" s="717" t="s">
        <v>115</v>
      </c>
      <c r="N129" s="718"/>
      <c r="O129" s="718"/>
      <c r="P129" s="718"/>
      <c r="Q129" s="223">
        <f>IF(AND(H113="SI",P113&gt;=0),1,0)+IF(AND(H114="SI",P114&gt;=0),1,0)+IF(AND(H115="SI",P115&gt;=0),1,0)+IF(AND(H116="SI",P116&gt;=0),1,0)+IF(AND(H117="SI",P117&gt;=0),1,0)+IF(AND(H118="SI",P118&gt;=0),1,0)+IF(AND(H119="SI",P119&gt;=0),1,0)+IF(AND(H120="SI",P120&gt;=0),1,0)+IF(AND(H121="SI",P121&gt;=0),1,0)+IF(AND(H122="SI",P122&gt;=0),1,0)</f>
        <v>5</v>
      </c>
      <c r="R129" s="759"/>
      <c r="S129" s="761"/>
      <c r="T129" s="764"/>
      <c r="U129" s="219"/>
      <c r="V129" s="464"/>
      <c r="Y129" s="532" t="s">
        <v>342</v>
      </c>
      <c r="AA129" s="550" t="s">
        <v>344</v>
      </c>
      <c r="AB129" s="693" t="s">
        <v>345</v>
      </c>
      <c r="AC129" s="693" t="s">
        <v>346</v>
      </c>
      <c r="AD129" s="685" t="s">
        <v>347</v>
      </c>
      <c r="AE129" s="52"/>
      <c r="AF129" s="52"/>
      <c r="AG129" s="52"/>
      <c r="AH129" s="87"/>
      <c r="AI129" s="87"/>
    </row>
    <row r="130" spans="1:35" ht="15.75" customHeight="1" thickBot="1">
      <c r="A130" s="218" t="str">
        <f>"N"&amp;E109</f>
        <v>N4</v>
      </c>
      <c r="B130" s="702"/>
      <c r="C130" s="114">
        <v>1</v>
      </c>
      <c r="D130" s="194" t="str">
        <f>IF(AND(C130&lt;=F128,F128&gt;1,F128&lt;&gt;""),VLOOKUP(VALUE(E109&amp;","&amp;C130),INTEGRANTES!$D$18:$F$235,2,0),"")</f>
        <v/>
      </c>
      <c r="E130" s="211" t="str">
        <f>IF(D130&lt;&gt;"",VLOOKUP(VALUE(E109&amp;","&amp;C130),INTEGRANTES!$D$18:$F$235,3,0),"")</f>
        <v/>
      </c>
      <c r="F130" s="547" t="str">
        <f>IF(D130="","",SUMIF($I113:$I122,D130,$P113:$P122))</f>
        <v/>
      </c>
      <c r="G130" s="333" t="str">
        <f>IF(D130="","",SUMIF($I113:$I122,D130,$M113:$M122))</f>
        <v/>
      </c>
      <c r="H130" s="535" t="str">
        <f t="shared" ref="H130:H135" si="35">IF(D130="","",IF(OR(F130=0,G130=0),"NO APORTA",ROUND($F130/$G130,3)))</f>
        <v/>
      </c>
      <c r="I130" s="212" t="str">
        <f>IF(D130="","",IF(H130="NO APORTA","NO",IF(H130=MAX($H130:$H135),"SI","NO")))</f>
        <v/>
      </c>
      <c r="J130" s="213" t="str">
        <f t="shared" ref="J130:J135" si="36">IF(D130="","",IF(E130&gt;=PORCREQUERIDOINT,"SI","NO"))</f>
        <v/>
      </c>
      <c r="K130" s="200" t="str">
        <f t="shared" ref="K130:K135" si="37">IF(D130="","",IF(AND(I130="SI",J130="SI"),"CUMPLE",IF(AND(I130="NO",OR(J130="SI",J130="NO")),"","NO CUMPLE")))</f>
        <v/>
      </c>
      <c r="L130" s="722" t="s">
        <v>108</v>
      </c>
      <c r="M130" s="726" t="s">
        <v>119</v>
      </c>
      <c r="N130" s="726"/>
      <c r="O130" s="726"/>
      <c r="P130" s="726"/>
      <c r="Q130" s="727"/>
      <c r="R130" s="758" t="s">
        <v>80</v>
      </c>
      <c r="S130" s="747"/>
      <c r="T130" s="748"/>
      <c r="U130" s="219"/>
      <c r="V130" s="464"/>
      <c r="Y130" s="533" t="str">
        <f>IF(Y127="","",IF(Y127="INDIVIDUAL","NO APLICA","VERIFICAR CUADRO"))</f>
        <v>NO APLICA</v>
      </c>
      <c r="AA130" s="551"/>
      <c r="AB130" s="694"/>
      <c r="AC130" s="694"/>
      <c r="AD130" s="686"/>
      <c r="AE130" s="52"/>
      <c r="AF130" s="52"/>
      <c r="AG130" s="52"/>
      <c r="AH130" s="87"/>
      <c r="AI130" s="87"/>
    </row>
    <row r="131" spans="1:35" ht="27" customHeight="1" thickBot="1">
      <c r="A131" s="218" t="str">
        <f>"O"&amp;E109</f>
        <v>O4</v>
      </c>
      <c r="B131" s="702"/>
      <c r="C131" s="114">
        <v>2</v>
      </c>
      <c r="D131" s="194" t="str">
        <f>IF(AND(C131&lt;=F128,F128&lt;&gt;""),VLOOKUP(VALUE(E109&amp;","&amp;C131),INTEGRANTES!$D$18:$F$235,2,0),"")</f>
        <v/>
      </c>
      <c r="E131" s="211" t="str">
        <f>IF(D131&lt;&gt;"",VLOOKUP(VALUE(E109&amp;","&amp;C131),INTEGRANTES!$D$18:$F$235,3,0),"")</f>
        <v/>
      </c>
      <c r="F131" s="547" t="str">
        <f>IF(D131="","",SUMIF($I113:$I122,D131,$P113:$P122))</f>
        <v/>
      </c>
      <c r="G131" s="333" t="str">
        <f>IF(D131="","",SUMIF($I113:$I122,D131,$M113:$M122))</f>
        <v/>
      </c>
      <c r="H131" s="535" t="str">
        <f t="shared" si="35"/>
        <v/>
      </c>
      <c r="I131" s="212" t="str">
        <f>IF(D131="","",IF(H131="NO APORTA","NO",IF(H131=MAX($H130:$H135),"SI","NO")))</f>
        <v/>
      </c>
      <c r="J131" s="213" t="str">
        <f t="shared" si="36"/>
        <v/>
      </c>
      <c r="K131" s="200" t="str">
        <f t="shared" si="37"/>
        <v/>
      </c>
      <c r="L131" s="723"/>
      <c r="M131" s="715" t="s">
        <v>116</v>
      </c>
      <c r="N131" s="716"/>
      <c r="O131" s="556" t="s">
        <v>113</v>
      </c>
      <c r="P131" s="715" t="s">
        <v>117</v>
      </c>
      <c r="Q131" s="728"/>
      <c r="R131" s="759"/>
      <c r="S131" s="760"/>
      <c r="T131" s="761"/>
      <c r="U131" s="219"/>
      <c r="V131" s="464"/>
      <c r="Y131" s="414"/>
      <c r="AA131" s="542" t="str">
        <f>IF(AND(C130&lt;=F128,F128&gt;1,F128&lt;&gt;""),VLOOKUP(VALUE(E109&amp;","&amp;C130),INTEGRANTES!$D$18:$F$235,2,0),"")</f>
        <v/>
      </c>
      <c r="AB131" s="544" t="str">
        <f t="shared" ref="AB131:AB136" si="38">IF(D130="","",IF(OR(F130=0,G130=0),"NO APORTA",ROUND($F130/$G130,3)))</f>
        <v/>
      </c>
      <c r="AC131" s="529"/>
      <c r="AD131" s="200" t="str">
        <f t="shared" ref="AD131:AD136" si="39">IF(OR(AA131="",AB131=""),"",IF(AND(AC131="X",AB131&gt;=EXPREQVTD),"CUMPLE","NO CUMPLE"))</f>
        <v/>
      </c>
      <c r="AE131" s="52"/>
      <c r="AF131" s="52"/>
      <c r="AG131" s="52"/>
      <c r="AH131" s="87"/>
      <c r="AI131" s="87"/>
    </row>
    <row r="132" spans="1:35" ht="16.5" thickBot="1">
      <c r="A132" s="218" t="str">
        <f>"P"&amp;E109</f>
        <v>P4</v>
      </c>
      <c r="B132" s="702"/>
      <c r="C132" s="114">
        <v>3</v>
      </c>
      <c r="D132" s="194" t="str">
        <f>IF(AND(C132&lt;=F128,F128&lt;&gt;""),VLOOKUP(VALUE(E109&amp;","&amp;C132),INTEGRANTES!$D$18:$F$235,2,0),"")</f>
        <v/>
      </c>
      <c r="E132" s="211" t="str">
        <f>IF(D132&lt;&gt;"",VLOOKUP(VALUE(E109&amp;","&amp;C132),INTEGRANTES!$D$18:$F$235,3,0),"")</f>
        <v/>
      </c>
      <c r="F132" s="547" t="str">
        <f>IF(D132="","",SUMIF($I113:$I122,D132,$P113:$P122))</f>
        <v/>
      </c>
      <c r="G132" s="333" t="str">
        <f>IF(D132="","",SUMIF($I113:$I122,D132,$M113:$M122))</f>
        <v/>
      </c>
      <c r="H132" s="535" t="str">
        <f t="shared" si="35"/>
        <v/>
      </c>
      <c r="I132" s="212" t="str">
        <f>IF(D132="","",IF(H132="NO APORTA","NO",IF(H132=MAX($H130:$H135),"SI","NO")))</f>
        <v/>
      </c>
      <c r="J132" s="213" t="str">
        <f t="shared" si="36"/>
        <v/>
      </c>
      <c r="K132" s="200" t="str">
        <f t="shared" si="37"/>
        <v/>
      </c>
      <c r="L132" s="724"/>
      <c r="M132" s="729">
        <f>NUMMOD</f>
        <v>1</v>
      </c>
      <c r="N132" s="730"/>
      <c r="O132" s="443">
        <f>IF(M132="","",VLOOKUP(M132,PRESUPUESTOS!$B$16:$H$16,5,FALSE))</f>
        <v>2</v>
      </c>
      <c r="P132" s="713">
        <f>IF(OR(COUNTIF(M113:M122,"")&gt;=10,Q129&lt;NUMMINCONT,OR(T127="NO CUMPLE",T127="VERIFICAR")),0,ROUND(AVERAGE(M113:M122),3))</f>
        <v>6.2329999999999997</v>
      </c>
      <c r="Q132" s="714"/>
      <c r="R132" s="458"/>
      <c r="S132" s="459"/>
      <c r="T132" s="460"/>
      <c r="U132" s="219"/>
      <c r="V132" s="464"/>
      <c r="Y132" s="532" t="str">
        <f>"40% * ("&amp;PRESUPUESTOS!$H$13&amp;")"</f>
        <v>40% * (50% PFMO)</v>
      </c>
      <c r="AA132" s="540" t="str">
        <f>IF(AND(C131&lt;=F128,F128&lt;&gt;""),VLOOKUP(VALUE(E109&amp;","&amp;C131),INTEGRANTES!$D$18:$F$235,2,0),"")</f>
        <v/>
      </c>
      <c r="AB132" s="545" t="str">
        <f t="shared" si="38"/>
        <v/>
      </c>
      <c r="AC132" s="529"/>
      <c r="AD132" s="200" t="str">
        <f t="shared" si="39"/>
        <v/>
      </c>
      <c r="AE132" s="52"/>
      <c r="AF132" s="52"/>
      <c r="AG132" s="52"/>
      <c r="AH132" s="87"/>
      <c r="AI132" s="87"/>
    </row>
    <row r="133" spans="1:35" ht="15.75" customHeight="1" thickBot="1">
      <c r="A133" s="218" t="str">
        <f>"Q"&amp;E109</f>
        <v>Q4</v>
      </c>
      <c r="B133" s="702"/>
      <c r="C133" s="114">
        <v>4</v>
      </c>
      <c r="D133" s="194" t="str">
        <f>IF(AND(C133&lt;=F128,F128&lt;&gt;""),VLOOKUP(VALUE(E109&amp;","&amp;C133),INTEGRANTES!$D$18:$F$235,2,0),"")</f>
        <v/>
      </c>
      <c r="E133" s="211" t="str">
        <f>IF(D133&lt;&gt;"",VLOOKUP(VALUE(E109&amp;","&amp;C133),INTEGRANTES!$D$18:$F$235,3,0),"")</f>
        <v/>
      </c>
      <c r="F133" s="547" t="str">
        <f>IF(D133="","",SUMIF($I113:$I122,D133,$P113:$P122))</f>
        <v/>
      </c>
      <c r="G133" s="333" t="str">
        <f>IF(D133="","",SUMIF($I113:$I122,D133,$M113:$M122))</f>
        <v/>
      </c>
      <c r="H133" s="535" t="str">
        <f t="shared" si="35"/>
        <v/>
      </c>
      <c r="I133" s="212" t="str">
        <f>IF(D133="","",IF(H133="NO APORTA","NO",IF(H133=MAX($H130:$H135),"SI","NO")))</f>
        <v/>
      </c>
      <c r="J133" s="213" t="str">
        <f t="shared" si="36"/>
        <v/>
      </c>
      <c r="K133" s="200" t="str">
        <f t="shared" si="37"/>
        <v/>
      </c>
      <c r="L133" s="720" t="s">
        <v>109</v>
      </c>
      <c r="M133" s="757" t="s">
        <v>120</v>
      </c>
      <c r="N133" s="726"/>
      <c r="O133" s="726"/>
      <c r="P133" s="726"/>
      <c r="Q133" s="727"/>
      <c r="R133" s="458"/>
      <c r="S133" s="459"/>
      <c r="T133" s="460"/>
      <c r="U133" s="219"/>
      <c r="V133" s="464"/>
      <c r="Y133" s="537">
        <f>0.4*PRESUPUESTOS!$H$16</f>
        <v>10.3124</v>
      </c>
      <c r="AA133" s="540" t="str">
        <f>IF(AND(C132&lt;=F128,F128&lt;&gt;""),VLOOKUP(VALUE(E109&amp;","&amp;C132),INTEGRANTES!$D$18:$F$235,2,0),"")</f>
        <v/>
      </c>
      <c r="AB133" s="545" t="str">
        <f t="shared" si="38"/>
        <v/>
      </c>
      <c r="AC133" s="529"/>
      <c r="AD133" s="200" t="str">
        <f t="shared" si="39"/>
        <v/>
      </c>
      <c r="AE133" s="52"/>
      <c r="AF133" s="52"/>
      <c r="AG133" s="52"/>
      <c r="AH133" s="87"/>
      <c r="AI133" s="87"/>
    </row>
    <row r="134" spans="1:35" ht="27" customHeight="1" thickBot="1">
      <c r="A134" s="218" t="str">
        <f>"R"&amp;E109</f>
        <v>R4</v>
      </c>
      <c r="B134" s="702"/>
      <c r="C134" s="114">
        <v>5</v>
      </c>
      <c r="D134" s="194" t="str">
        <f>IF(AND(C134&lt;=F128,F128&lt;&gt;""),VLOOKUP(VALUE(E109&amp;","&amp;C134),INTEGRANTES!$D$18:$F$235,2,0),"")</f>
        <v/>
      </c>
      <c r="E134" s="211" t="str">
        <f>IF(D134&lt;&gt;"",VLOOKUP(VALUE(E109&amp;","&amp;C134),INTEGRANTES!$D$18:$F$235,3,0),"")</f>
        <v/>
      </c>
      <c r="F134" s="547" t="str">
        <f>IF(D134="","",SUMIF($I113:$I122,D134,$P113:$P122))</f>
        <v/>
      </c>
      <c r="G134" s="333" t="str">
        <f>IF(D134="","",SUMIF($I113:$I122,D134,$M113:$M122))</f>
        <v/>
      </c>
      <c r="H134" s="535" t="str">
        <f t="shared" si="35"/>
        <v/>
      </c>
      <c r="I134" s="212" t="str">
        <f>IF(D134="","",IF(H134="NO APORTA","NO",IF(H134=MAX($H130:$H135),"SI","NO")))</f>
        <v/>
      </c>
      <c r="J134" s="213" t="str">
        <f t="shared" si="36"/>
        <v/>
      </c>
      <c r="K134" s="200" t="str">
        <f t="shared" si="37"/>
        <v/>
      </c>
      <c r="L134" s="721"/>
      <c r="M134" s="715" t="s">
        <v>116</v>
      </c>
      <c r="N134" s="716"/>
      <c r="O134" s="556" t="str">
        <f>PORCREQUERIDO*100&amp;"% PMFO DEL MÓDULO"</f>
        <v>50% PMFO DEL MÓDULO</v>
      </c>
      <c r="P134" s="715" t="s">
        <v>118</v>
      </c>
      <c r="Q134" s="728"/>
      <c r="R134" s="458"/>
      <c r="S134" s="459"/>
      <c r="T134" s="460"/>
      <c r="U134" s="219"/>
      <c r="V134" s="464"/>
      <c r="Y134" s="414"/>
      <c r="AA134" s="540" t="str">
        <f>IF(AND(C133&lt;=F128,F128&lt;&gt;""),VLOOKUP(VALUE(E109&amp;","&amp;C133),INTEGRANTES!$D$18:$F$235,2,0),"")</f>
        <v/>
      </c>
      <c r="AB134" s="545" t="str">
        <f t="shared" si="38"/>
        <v/>
      </c>
      <c r="AC134" s="529"/>
      <c r="AD134" s="200" t="str">
        <f t="shared" si="39"/>
        <v/>
      </c>
      <c r="AE134" s="52"/>
      <c r="AF134" s="52"/>
      <c r="AG134" s="52"/>
      <c r="AH134" s="87"/>
      <c r="AI134" s="87"/>
    </row>
    <row r="135" spans="1:35" ht="16.5" thickBot="1">
      <c r="A135" s="218" t="str">
        <f>"S"&amp;E109</f>
        <v>S4</v>
      </c>
      <c r="B135" s="702"/>
      <c r="C135" s="215">
        <v>6</v>
      </c>
      <c r="D135" s="216" t="str">
        <f>IF(AND(C135&lt;=F128,F128&lt;&gt;""),VLOOKUP(VALUE(E109&amp;","&amp;C135),INTEGRANTES!$D$18:$F$235,2,0),"")</f>
        <v/>
      </c>
      <c r="E135" s="217" t="str">
        <f>IF(D135&lt;&gt;"",VLOOKUP(VALUE(E109&amp;","&amp;C135),INTEGRANTES!$D$18:$F$235,3,0),"")</f>
        <v/>
      </c>
      <c r="F135" s="548" t="str">
        <f>IF(D135="","",SUMIF($I113:$I122,D135,$P113:$P122))</f>
        <v/>
      </c>
      <c r="G135" s="334" t="str">
        <f>IF(D135="","",SUMIF($I113:$I122,D135,$M113:$M122))</f>
        <v/>
      </c>
      <c r="H135" s="536" t="str">
        <f t="shared" si="35"/>
        <v/>
      </c>
      <c r="I135" s="214" t="str">
        <f>IF(D135="","",IF(H135="NO APORTA","NO",IF(H135=MAX($H130:$H135),"SI","NO")))</f>
        <v/>
      </c>
      <c r="J135" s="213" t="str">
        <f t="shared" si="36"/>
        <v/>
      </c>
      <c r="K135" s="200" t="str">
        <f t="shared" si="37"/>
        <v/>
      </c>
      <c r="L135" s="721"/>
      <c r="M135" s="729">
        <f>NUMMOD</f>
        <v>1</v>
      </c>
      <c r="N135" s="730"/>
      <c r="O135" s="443">
        <f>IF(M135="","",ROUND(VLOOKUP(M135,PRESUPUESTOS!$B$16:$H$16,7,FALSE),3))</f>
        <v>25.780999999999999</v>
      </c>
      <c r="P135" s="713">
        <f>IF(OR(COUNTIF(P113:P122,"")&gt;=10,Q129&lt;NUMMINCONT,OR(T127="NO CUMPLE",T127="VERIFICAR")),0,ROUND((SUM(P113:P122)/SUM(M113:M122)),3))</f>
        <v>28.895</v>
      </c>
      <c r="Q135" s="714"/>
      <c r="R135" s="458"/>
      <c r="S135" s="459"/>
      <c r="T135" s="460"/>
      <c r="U135" s="219"/>
      <c r="V135" s="464"/>
      <c r="Y135" s="532" t="s">
        <v>343</v>
      </c>
      <c r="AA135" s="540" t="str">
        <f>IF(AND(C134&lt;=F128,F128&lt;&gt;""),VLOOKUP(VALUE(E109&amp;","&amp;C134),INTEGRANTES!$D$18:$F$235,2,0),"")</f>
        <v/>
      </c>
      <c r="AB135" s="545" t="str">
        <f t="shared" si="38"/>
        <v/>
      </c>
      <c r="AC135" s="529"/>
      <c r="AD135" s="200" t="str">
        <f t="shared" si="39"/>
        <v/>
      </c>
      <c r="AE135" s="52"/>
      <c r="AF135" s="52"/>
      <c r="AG135" s="52"/>
      <c r="AH135" s="87"/>
      <c r="AI135" s="87"/>
    </row>
    <row r="136" spans="1:35" ht="16.5" customHeight="1" thickBot="1">
      <c r="A136" s="218" t="str">
        <f>"T"&amp;E109</f>
        <v>T4</v>
      </c>
      <c r="B136" s="703"/>
      <c r="C136" s="719"/>
      <c r="D136" s="719"/>
      <c r="E136" s="719"/>
      <c r="F136" s="719"/>
      <c r="G136" s="719"/>
      <c r="H136" s="719" t="s">
        <v>110</v>
      </c>
      <c r="I136" s="719"/>
      <c r="J136" s="719"/>
      <c r="K136" s="201" t="str">
        <f>IF(COUNTIF(K130:K135,"")=6,"",IF(COUNTIF(K130:K135,"CUMPLE")&gt;0,"CUMPLE","NO CUMPLE"))</f>
        <v/>
      </c>
      <c r="L136" s="754"/>
      <c r="M136" s="755"/>
      <c r="N136" s="755"/>
      <c r="O136" s="755"/>
      <c r="P136" s="755"/>
      <c r="Q136" s="756"/>
      <c r="R136" s="461"/>
      <c r="S136" s="462"/>
      <c r="T136" s="463"/>
      <c r="U136" s="219"/>
      <c r="V136" s="464"/>
      <c r="Y136" s="549" t="str">
        <f>IF(Y130="NO APLICA","NO APLICA",IF(COUNTIF(AD131:AD136,"CUMPLE")&gt;0,"CUMPLE","NO CUMPLE"))</f>
        <v>NO APLICA</v>
      </c>
      <c r="AA136" s="541" t="str">
        <f>IF(AND(C135&lt;=F128,F128&lt;&gt;""),VLOOKUP(VALUE(E109&amp;","&amp;C135),INTEGRANTES!$D$18:$F$235,2,0),"")</f>
        <v/>
      </c>
      <c r="AB136" s="546" t="str">
        <f t="shared" si="38"/>
        <v/>
      </c>
      <c r="AC136" s="543"/>
      <c r="AD136" s="201" t="str">
        <f t="shared" si="39"/>
        <v/>
      </c>
      <c r="AE136" s="52"/>
      <c r="AF136" s="52"/>
      <c r="AG136" s="52"/>
      <c r="AH136" s="87"/>
      <c r="AI136" s="87"/>
    </row>
    <row r="137" spans="1:35">
      <c r="AH137" s="87"/>
      <c r="AI137" s="87"/>
    </row>
    <row r="138" spans="1:35">
      <c r="AH138" s="87"/>
      <c r="AI138" s="87"/>
    </row>
    <row r="139" spans="1:35" ht="24" thickBot="1">
      <c r="A139" s="61">
        <v>5</v>
      </c>
      <c r="B139" s="704" t="s">
        <v>51</v>
      </c>
      <c r="C139" s="704"/>
      <c r="D139" s="704"/>
      <c r="E139" s="62" t="e">
        <f>VLOOKUP(A139,PROPONENTES!$B$19:$E$218,2,FALSE)</f>
        <v>#N/A</v>
      </c>
      <c r="F139" s="63" t="e">
        <f>VLOOKUP(A139,PROPONENTES!$B$19:$E$218,3,FALSE)</f>
        <v>#N/A</v>
      </c>
      <c r="G139" s="64"/>
      <c r="H139" s="64"/>
      <c r="I139" s="63"/>
      <c r="J139" s="63"/>
      <c r="K139" s="65"/>
      <c r="L139" s="65"/>
      <c r="M139" s="64"/>
      <c r="N139" s="64"/>
      <c r="O139" s="66"/>
      <c r="P139" s="66"/>
      <c r="Q139" s="66"/>
      <c r="R139" s="66"/>
      <c r="S139" s="67"/>
      <c r="T139" s="68"/>
      <c r="U139" s="68"/>
      <c r="AC139" s="68"/>
      <c r="AD139" s="68"/>
      <c r="AE139" s="68"/>
      <c r="AF139" s="68"/>
      <c r="AG139" s="68"/>
      <c r="AH139" s="87"/>
      <c r="AI139" s="87"/>
    </row>
    <row r="140" spans="1:35" ht="15.75" customHeight="1">
      <c r="A140" s="44"/>
      <c r="B140" s="709" t="s">
        <v>59</v>
      </c>
      <c r="C140" s="552" t="s">
        <v>60</v>
      </c>
      <c r="D140" s="70" t="s">
        <v>17</v>
      </c>
      <c r="E140" s="70"/>
      <c r="F140" s="70" t="s">
        <v>61</v>
      </c>
      <c r="G140" s="71"/>
      <c r="H140" s="699" t="s">
        <v>62</v>
      </c>
      <c r="I140" s="699" t="s">
        <v>18</v>
      </c>
      <c r="J140" s="699" t="s">
        <v>63</v>
      </c>
      <c r="K140" s="699" t="s">
        <v>64</v>
      </c>
      <c r="L140" s="699" t="s">
        <v>65</v>
      </c>
      <c r="M140" s="743" t="s">
        <v>66</v>
      </c>
      <c r="N140" s="699" t="s">
        <v>282</v>
      </c>
      <c r="O140" s="745" t="s">
        <v>67</v>
      </c>
      <c r="P140" s="746"/>
      <c r="Q140" s="102" t="s">
        <v>75</v>
      </c>
      <c r="R140" s="731" t="s">
        <v>22</v>
      </c>
      <c r="S140" s="732"/>
      <c r="T140" s="733"/>
      <c r="U140" s="712" t="s">
        <v>298</v>
      </c>
      <c r="W140" s="690" t="s">
        <v>268</v>
      </c>
      <c r="X140" s="691"/>
      <c r="Y140" s="692"/>
      <c r="Z140" s="428"/>
      <c r="AA140" s="697" t="s">
        <v>315</v>
      </c>
      <c r="AB140" s="695" t="s">
        <v>322</v>
      </c>
      <c r="AC140" s="49"/>
      <c r="AD140" s="690" t="s">
        <v>297</v>
      </c>
      <c r="AE140" s="691"/>
      <c r="AF140" s="692"/>
      <c r="AG140" s="49"/>
      <c r="AH140" s="87"/>
      <c r="AI140" s="87"/>
    </row>
    <row r="141" spans="1:35" ht="72">
      <c r="A141" s="44"/>
      <c r="B141" s="710"/>
      <c r="C141" s="553" t="s">
        <v>68</v>
      </c>
      <c r="D141" s="73" t="s">
        <v>3</v>
      </c>
      <c r="E141" s="73" t="s">
        <v>19</v>
      </c>
      <c r="F141" s="73" t="s">
        <v>69</v>
      </c>
      <c r="G141" s="74" t="s">
        <v>70</v>
      </c>
      <c r="H141" s="700"/>
      <c r="I141" s="700"/>
      <c r="J141" s="700"/>
      <c r="K141" s="700"/>
      <c r="L141" s="700"/>
      <c r="M141" s="744"/>
      <c r="N141" s="700"/>
      <c r="O141" s="553" t="s">
        <v>279</v>
      </c>
      <c r="P141" s="73" t="s">
        <v>88</v>
      </c>
      <c r="Q141" s="555" t="s">
        <v>76</v>
      </c>
      <c r="R141" s="734"/>
      <c r="S141" s="735"/>
      <c r="T141" s="736"/>
      <c r="U141" s="712"/>
      <c r="W141" s="429" t="s">
        <v>269</v>
      </c>
      <c r="X141" s="457" t="s">
        <v>278</v>
      </c>
      <c r="Y141" s="430" t="s">
        <v>365</v>
      </c>
      <c r="Z141" s="428"/>
      <c r="AA141" s="698"/>
      <c r="AB141" s="696"/>
      <c r="AC141" s="49"/>
      <c r="AD141" s="429" t="s">
        <v>292</v>
      </c>
      <c r="AE141" s="431" t="s">
        <v>300</v>
      </c>
      <c r="AF141" s="468" t="s">
        <v>301</v>
      </c>
      <c r="AG141" s="49"/>
      <c r="AH141" s="87"/>
      <c r="AI141" s="87"/>
    </row>
    <row r="142" spans="1:35">
      <c r="A142" s="44"/>
      <c r="B142" s="76"/>
      <c r="C142" s="77"/>
      <c r="D142" s="77"/>
      <c r="E142" s="77"/>
      <c r="F142" s="77"/>
      <c r="G142" s="77"/>
      <c r="H142" s="77"/>
      <c r="I142" s="77"/>
      <c r="J142" s="77"/>
      <c r="K142" s="77"/>
      <c r="L142" s="77"/>
      <c r="M142" s="77"/>
      <c r="N142" s="77"/>
      <c r="O142" s="77"/>
      <c r="P142" s="77"/>
      <c r="Q142" s="77"/>
      <c r="R142" s="77"/>
      <c r="S142" s="78"/>
      <c r="T142" s="79"/>
      <c r="U142" s="109"/>
      <c r="V142" s="49"/>
      <c r="W142" s="432"/>
      <c r="X142" s="454"/>
      <c r="Y142" s="433"/>
      <c r="Z142" s="6"/>
      <c r="AA142" s="500"/>
      <c r="AB142" s="562"/>
      <c r="AC142" s="49"/>
      <c r="AD142" s="210"/>
      <c r="AE142" s="434"/>
      <c r="AF142" s="435"/>
      <c r="AG142" s="49"/>
      <c r="AH142" s="87"/>
      <c r="AI142" s="87"/>
    </row>
    <row r="143" spans="1:35" ht="25.5">
      <c r="A143" s="80" t="e">
        <f>"A"&amp;E139</f>
        <v>#N/A</v>
      </c>
      <c r="B143" s="81">
        <v>1</v>
      </c>
      <c r="C143" s="82"/>
      <c r="D143" s="82"/>
      <c r="E143" s="567"/>
      <c r="F143" s="82"/>
      <c r="G143" s="83"/>
      <c r="H143" s="83"/>
      <c r="I143" s="84"/>
      <c r="J143" s="85"/>
      <c r="K143" s="382"/>
      <c r="L143" s="85"/>
      <c r="M143" s="332"/>
      <c r="N143" s="86"/>
      <c r="O143" s="453"/>
      <c r="P143" s="538"/>
      <c r="Q143" s="539"/>
      <c r="R143" s="737"/>
      <c r="S143" s="738"/>
      <c r="T143" s="739"/>
      <c r="U143" s="587" t="s">
        <v>367</v>
      </c>
      <c r="V143" s="165"/>
      <c r="W143" s="446" t="s">
        <v>24</v>
      </c>
      <c r="X143" s="456">
        <v>9</v>
      </c>
      <c r="Y143" s="436" t="s">
        <v>24</v>
      </c>
      <c r="Z143" s="437"/>
      <c r="AA143" s="560"/>
      <c r="AB143" s="561"/>
      <c r="AC143" s="87"/>
      <c r="AD143" s="466"/>
      <c r="AE143" s="456"/>
      <c r="AF143" s="467"/>
      <c r="AG143" s="87"/>
      <c r="AH143" s="87"/>
      <c r="AI143" s="87"/>
    </row>
    <row r="144" spans="1:35" ht="38.25">
      <c r="A144" s="80" t="e">
        <f>"B"&amp;E139</f>
        <v>#N/A</v>
      </c>
      <c r="B144" s="81">
        <v>2</v>
      </c>
      <c r="C144" s="82"/>
      <c r="D144" s="571"/>
      <c r="E144" s="589"/>
      <c r="F144" s="571"/>
      <c r="G144" s="83"/>
      <c r="H144" s="83"/>
      <c r="I144" s="84"/>
      <c r="J144" s="85"/>
      <c r="K144" s="616"/>
      <c r="L144" s="85"/>
      <c r="M144" s="332"/>
      <c r="N144" s="86"/>
      <c r="O144" s="453"/>
      <c r="P144" s="538"/>
      <c r="Q144" s="539"/>
      <c r="R144" s="740"/>
      <c r="S144" s="741"/>
      <c r="T144" s="742"/>
      <c r="U144" s="588" t="s">
        <v>370</v>
      </c>
      <c r="V144" s="165"/>
      <c r="W144" s="446" t="s">
        <v>24</v>
      </c>
      <c r="X144" s="456">
        <v>9</v>
      </c>
      <c r="Y144" s="436" t="s">
        <v>24</v>
      </c>
      <c r="Z144" s="437"/>
      <c r="AA144" s="560"/>
      <c r="AB144" s="561"/>
      <c r="AC144" s="87"/>
      <c r="AD144" s="466"/>
      <c r="AE144" s="456"/>
      <c r="AF144" s="467"/>
      <c r="AG144" s="87"/>
      <c r="AH144" s="87"/>
      <c r="AI144" s="87"/>
    </row>
    <row r="145" spans="1:35" ht="25.5">
      <c r="A145" s="80" t="e">
        <f>"C"&amp;E139</f>
        <v>#N/A</v>
      </c>
      <c r="B145" s="88">
        <v>3</v>
      </c>
      <c r="C145" s="82"/>
      <c r="D145" s="82"/>
      <c r="E145" s="615"/>
      <c r="F145" s="82"/>
      <c r="G145" s="83"/>
      <c r="H145" s="83"/>
      <c r="I145" s="84"/>
      <c r="J145" s="85"/>
      <c r="K145" s="382"/>
      <c r="L145" s="85"/>
      <c r="M145" s="332"/>
      <c r="N145" s="86"/>
      <c r="O145" s="453"/>
      <c r="P145" s="538"/>
      <c r="Q145" s="539"/>
      <c r="R145" s="706"/>
      <c r="S145" s="707"/>
      <c r="T145" s="708"/>
      <c r="U145" s="588" t="s">
        <v>371</v>
      </c>
      <c r="V145" s="166">
        <v>0</v>
      </c>
      <c r="W145" s="446" t="s">
        <v>24</v>
      </c>
      <c r="X145" s="456">
        <v>9</v>
      </c>
      <c r="Y145" s="436" t="s">
        <v>24</v>
      </c>
      <c r="Z145" s="437"/>
      <c r="AA145" s="560"/>
      <c r="AB145" s="561"/>
      <c r="AC145" s="87"/>
      <c r="AD145" s="466"/>
      <c r="AE145" s="456"/>
      <c r="AF145" s="467"/>
      <c r="AG145" s="87"/>
      <c r="AH145" s="87"/>
      <c r="AI145" s="87"/>
    </row>
    <row r="146" spans="1:35">
      <c r="A146" s="80" t="e">
        <f>"D"&amp;E139</f>
        <v>#N/A</v>
      </c>
      <c r="B146" s="105">
        <v>4</v>
      </c>
      <c r="C146" s="82"/>
      <c r="D146" s="592"/>
      <c r="E146" s="590"/>
      <c r="F146" s="592"/>
      <c r="G146" s="83"/>
      <c r="H146" s="83"/>
      <c r="I146" s="84"/>
      <c r="J146" s="85"/>
      <c r="K146" s="616"/>
      <c r="L146" s="85"/>
      <c r="M146" s="332"/>
      <c r="N146" s="86"/>
      <c r="O146" s="453"/>
      <c r="P146" s="538"/>
      <c r="Q146" s="539"/>
      <c r="R146" s="706"/>
      <c r="S146" s="707"/>
      <c r="T146" s="708"/>
      <c r="U146" s="472"/>
      <c r="V146" s="166"/>
      <c r="W146" s="446" t="s">
        <v>24</v>
      </c>
      <c r="X146" s="456">
        <v>9</v>
      </c>
      <c r="Y146" s="436" t="s">
        <v>24</v>
      </c>
      <c r="Z146" s="437"/>
      <c r="AA146" s="560"/>
      <c r="AB146" s="561"/>
      <c r="AC146" s="87"/>
      <c r="AD146" s="466"/>
      <c r="AE146" s="456"/>
      <c r="AF146" s="467"/>
      <c r="AG146" s="87"/>
      <c r="AH146" s="87"/>
      <c r="AI146" s="87"/>
    </row>
    <row r="147" spans="1:35">
      <c r="A147" s="80" t="e">
        <f>"E"&amp;E139</f>
        <v>#N/A</v>
      </c>
      <c r="B147" s="105">
        <v>5</v>
      </c>
      <c r="C147" s="107"/>
      <c r="D147" s="592"/>
      <c r="E147" s="590"/>
      <c r="F147" s="592"/>
      <c r="G147" s="83"/>
      <c r="H147" s="83"/>
      <c r="I147" s="84"/>
      <c r="J147" s="85"/>
      <c r="K147" s="382"/>
      <c r="L147" s="85"/>
      <c r="M147" s="332"/>
      <c r="N147" s="86"/>
      <c r="O147" s="453"/>
      <c r="P147" s="538"/>
      <c r="Q147" s="539"/>
      <c r="R147" s="706"/>
      <c r="S147" s="707"/>
      <c r="T147" s="708"/>
      <c r="U147" s="472"/>
      <c r="V147" s="167"/>
      <c r="W147" s="446"/>
      <c r="X147" s="456"/>
      <c r="Y147" s="436"/>
      <c r="Z147" s="437"/>
      <c r="AA147" s="560"/>
      <c r="AB147" s="561"/>
      <c r="AC147" s="87"/>
      <c r="AD147" s="466"/>
      <c r="AE147" s="456"/>
      <c r="AF147" s="467"/>
      <c r="AG147" s="87"/>
      <c r="AH147" s="87"/>
      <c r="AI147" s="87"/>
    </row>
    <row r="148" spans="1:35">
      <c r="A148" s="80" t="e">
        <f>"F"&amp;E139</f>
        <v>#N/A</v>
      </c>
      <c r="B148" s="105">
        <v>6</v>
      </c>
      <c r="C148" s="107"/>
      <c r="D148" s="107"/>
      <c r="E148" s="107"/>
      <c r="F148" s="107"/>
      <c r="G148" s="83"/>
      <c r="H148" s="83"/>
      <c r="I148" s="84"/>
      <c r="J148" s="85"/>
      <c r="K148" s="382"/>
      <c r="L148" s="85"/>
      <c r="M148" s="332" t="str">
        <f t="shared" ref="M148:M152" si="40">IF(OR(J148="",L148="",H148="NO"),"",IF(OR(J148&gt;$P$17,J148&lt;$O$17,L148&gt;$P$17,AND(J148&lt;$O$17,L148&lt;$O$17)),"FUERA DE RANGO",IF(OR(K148="---",K148=""),IF(J148&gt;=$O$17,ROUND((L148-J148+1)/360*12,3),ROUND((L148-$O$17+1)/360*12,3)),IF(J148&gt;=$O$17,ROUND((L148-J148+1)/360*12-ROUND(K148,3),3),ROUND((L148-$O$17+1)/360*12-ROUND(K148,3),3)))))</f>
        <v/>
      </c>
      <c r="N148" s="86"/>
      <c r="O148" s="453"/>
      <c r="P148" s="538"/>
      <c r="Q148" s="539" t="str">
        <f t="shared" ref="Q148:Q152" si="41">IF(AND(H148="SI",P148&lt;&gt;""),ROUND(P148/M148,3),"")</f>
        <v/>
      </c>
      <c r="R148" s="706"/>
      <c r="S148" s="707"/>
      <c r="T148" s="708"/>
      <c r="U148" s="472"/>
      <c r="V148" s="167"/>
      <c r="W148" s="446"/>
      <c r="X148" s="456"/>
      <c r="Y148" s="436"/>
      <c r="Z148" s="437"/>
      <c r="AA148" s="560"/>
      <c r="AB148" s="561"/>
      <c r="AC148" s="87"/>
      <c r="AD148" s="466"/>
      <c r="AE148" s="456"/>
      <c r="AF148" s="467"/>
      <c r="AG148" s="87"/>
      <c r="AH148" s="87"/>
      <c r="AI148" s="87"/>
    </row>
    <row r="149" spans="1:35">
      <c r="A149" s="80" t="e">
        <f>"G"&amp;E139</f>
        <v>#N/A</v>
      </c>
      <c r="B149" s="105">
        <v>7</v>
      </c>
      <c r="C149" s="107"/>
      <c r="D149" s="107"/>
      <c r="E149" s="107"/>
      <c r="F149" s="107"/>
      <c r="G149" s="83"/>
      <c r="H149" s="83"/>
      <c r="I149" s="84"/>
      <c r="J149" s="85"/>
      <c r="K149" s="382"/>
      <c r="L149" s="85"/>
      <c r="M149" s="332" t="str">
        <f t="shared" si="40"/>
        <v/>
      </c>
      <c r="N149" s="86"/>
      <c r="O149" s="86"/>
      <c r="P149" s="538"/>
      <c r="Q149" s="539" t="str">
        <f t="shared" si="41"/>
        <v/>
      </c>
      <c r="R149" s="706"/>
      <c r="S149" s="707"/>
      <c r="T149" s="708"/>
      <c r="U149" s="472"/>
      <c r="V149" s="167"/>
      <c r="W149" s="446"/>
      <c r="X149" s="456"/>
      <c r="Y149" s="436"/>
      <c r="Z149" s="437"/>
      <c r="AA149" s="560"/>
      <c r="AB149" s="561"/>
      <c r="AC149" s="87"/>
      <c r="AD149" s="466"/>
      <c r="AE149" s="456"/>
      <c r="AF149" s="467"/>
      <c r="AG149" s="87"/>
      <c r="AH149" s="87"/>
      <c r="AI149" s="87"/>
    </row>
    <row r="150" spans="1:35">
      <c r="A150" s="80" t="e">
        <f>"H"&amp;E139</f>
        <v>#N/A</v>
      </c>
      <c r="B150" s="105">
        <v>8</v>
      </c>
      <c r="C150" s="107"/>
      <c r="D150" s="107"/>
      <c r="E150" s="107"/>
      <c r="F150" s="107"/>
      <c r="G150" s="83"/>
      <c r="H150" s="83"/>
      <c r="I150" s="84"/>
      <c r="J150" s="85"/>
      <c r="K150" s="382"/>
      <c r="L150" s="85"/>
      <c r="M150" s="332" t="str">
        <f t="shared" si="40"/>
        <v/>
      </c>
      <c r="N150" s="453"/>
      <c r="O150" s="86"/>
      <c r="P150" s="538"/>
      <c r="Q150" s="539" t="str">
        <f t="shared" si="41"/>
        <v/>
      </c>
      <c r="R150" s="706"/>
      <c r="S150" s="707"/>
      <c r="T150" s="708"/>
      <c r="U150" s="472"/>
      <c r="V150" s="167"/>
      <c r="W150" s="446"/>
      <c r="X150" s="456"/>
      <c r="Y150" s="436"/>
      <c r="Z150" s="437"/>
      <c r="AA150" s="560"/>
      <c r="AB150" s="561"/>
      <c r="AC150" s="87"/>
      <c r="AD150" s="466"/>
      <c r="AE150" s="456"/>
      <c r="AF150" s="467"/>
      <c r="AG150" s="87"/>
      <c r="AH150" s="87"/>
      <c r="AI150" s="87"/>
    </row>
    <row r="151" spans="1:35">
      <c r="A151" s="80" t="e">
        <f>"I"&amp;E139</f>
        <v>#N/A</v>
      </c>
      <c r="B151" s="105">
        <v>9</v>
      </c>
      <c r="C151" s="107"/>
      <c r="D151" s="107"/>
      <c r="E151" s="107"/>
      <c r="F151" s="107"/>
      <c r="G151" s="83"/>
      <c r="H151" s="83"/>
      <c r="I151" s="84"/>
      <c r="J151" s="85"/>
      <c r="K151" s="382"/>
      <c r="L151" s="85"/>
      <c r="M151" s="332" t="str">
        <f t="shared" si="40"/>
        <v/>
      </c>
      <c r="N151" s="453"/>
      <c r="O151" s="86" t="str">
        <f t="shared" ref="O151:O152" si="42">IF(OR(G151="",N151=""),"",N151*G151)</f>
        <v/>
      </c>
      <c r="P151" s="538" t="str">
        <f t="shared" ref="P151:P152" si="43">IF(OR(H151="",M151="FUERA DE RANGO"),"",IF(OR(L151&lt;$O$17,L151&gt;$P$17,L151="",H151="NO"),"",IF(OR(N151="",O151=""),"",ROUND(O151,3))))</f>
        <v/>
      </c>
      <c r="Q151" s="539" t="str">
        <f t="shared" si="41"/>
        <v/>
      </c>
      <c r="R151" s="706"/>
      <c r="S151" s="707"/>
      <c r="T151" s="708"/>
      <c r="U151" s="472"/>
      <c r="V151" s="167"/>
      <c r="W151" s="446"/>
      <c r="X151" s="456"/>
      <c r="Y151" s="436"/>
      <c r="Z151" s="437"/>
      <c r="AA151" s="560"/>
      <c r="AB151" s="561"/>
      <c r="AC151" s="87"/>
      <c r="AD151" s="466"/>
      <c r="AE151" s="456"/>
      <c r="AF151" s="467"/>
      <c r="AG151" s="87"/>
      <c r="AH151" s="87"/>
      <c r="AI151" s="87"/>
    </row>
    <row r="152" spans="1:35">
      <c r="A152" s="80" t="e">
        <f>"J"&amp;E139</f>
        <v>#N/A</v>
      </c>
      <c r="B152" s="105">
        <v>10</v>
      </c>
      <c r="C152" s="107"/>
      <c r="D152" s="107"/>
      <c r="E152" s="107"/>
      <c r="F152" s="107"/>
      <c r="G152" s="83"/>
      <c r="H152" s="83"/>
      <c r="I152" s="84"/>
      <c r="J152" s="85"/>
      <c r="K152" s="382"/>
      <c r="L152" s="85"/>
      <c r="M152" s="332" t="str">
        <f t="shared" si="40"/>
        <v/>
      </c>
      <c r="N152" s="453"/>
      <c r="O152" s="86" t="str">
        <f t="shared" si="42"/>
        <v/>
      </c>
      <c r="P152" s="538" t="str">
        <f t="shared" si="43"/>
        <v/>
      </c>
      <c r="Q152" s="539" t="str">
        <f t="shared" si="41"/>
        <v/>
      </c>
      <c r="R152" s="706"/>
      <c r="S152" s="707"/>
      <c r="T152" s="708"/>
      <c r="U152" s="472"/>
      <c r="V152" s="167"/>
      <c r="W152" s="446"/>
      <c r="X152" s="456"/>
      <c r="Y152" s="436"/>
      <c r="Z152" s="437"/>
      <c r="AA152" s="560"/>
      <c r="AB152" s="561"/>
      <c r="AC152" s="87"/>
      <c r="AD152" s="466"/>
      <c r="AE152" s="456"/>
      <c r="AF152" s="467"/>
      <c r="AG152" s="87"/>
      <c r="AH152" s="87"/>
      <c r="AI152" s="87"/>
    </row>
    <row r="153" spans="1:35" ht="16.5" thickBot="1">
      <c r="A153" s="44"/>
      <c r="B153" s="89"/>
      <c r="C153" s="90"/>
      <c r="D153" s="90"/>
      <c r="E153" s="90"/>
      <c r="F153" s="90"/>
      <c r="G153" s="90"/>
      <c r="H153" s="90"/>
      <c r="I153" s="90"/>
      <c r="J153" s="90"/>
      <c r="K153" s="90"/>
      <c r="L153" s="90"/>
      <c r="M153" s="90"/>
      <c r="N153" s="90"/>
      <c r="O153" s="90"/>
      <c r="P153" s="90"/>
      <c r="Q153" s="90"/>
      <c r="R153" s="90"/>
      <c r="S153" s="91"/>
      <c r="T153" s="92"/>
      <c r="U153" s="473"/>
      <c r="W153" s="438"/>
      <c r="X153" s="455"/>
      <c r="Y153" s="439"/>
      <c r="Z153" s="437"/>
      <c r="AA153" s="530"/>
      <c r="AB153" s="563"/>
      <c r="AC153" s="87"/>
      <c r="AD153" s="440"/>
      <c r="AE153" s="441"/>
      <c r="AF153" s="442"/>
      <c r="AG153" s="49"/>
      <c r="AH153" s="87"/>
      <c r="AI153" s="87"/>
    </row>
    <row r="154" spans="1:35" ht="16.5" thickBot="1">
      <c r="A154" s="93"/>
      <c r="B154" s="94"/>
      <c r="C154" s="96"/>
      <c r="D154" s="96"/>
      <c r="E154" s="96"/>
      <c r="F154" s="96"/>
      <c r="G154" s="96"/>
      <c r="H154" s="96"/>
      <c r="I154" s="96"/>
      <c r="J154" s="96"/>
      <c r="K154" s="96"/>
      <c r="L154" s="96"/>
      <c r="M154" s="136"/>
      <c r="N154" s="96"/>
      <c r="O154" s="96"/>
      <c r="P154" s="97"/>
      <c r="Q154" s="97"/>
      <c r="R154" s="98"/>
      <c r="S154" s="95"/>
      <c r="T154" s="99"/>
      <c r="U154" s="469"/>
      <c r="AC154" s="58"/>
      <c r="AG154" s="58"/>
      <c r="AH154" s="87"/>
      <c r="AI154" s="87"/>
    </row>
    <row r="155" spans="1:35" ht="16.5" thickBot="1">
      <c r="B155" s="101"/>
      <c r="C155" s="101"/>
      <c r="D155" s="101"/>
      <c r="E155" s="101"/>
      <c r="F155" s="101"/>
      <c r="G155" s="101"/>
      <c r="H155" s="101"/>
      <c r="I155" s="101"/>
      <c r="J155" s="101"/>
      <c r="K155" s="101"/>
      <c r="L155" s="101"/>
      <c r="M155" s="101"/>
      <c r="N155" s="101"/>
      <c r="O155" s="101"/>
      <c r="P155" s="101"/>
      <c r="Q155" s="101"/>
      <c r="R155" s="101"/>
      <c r="S155" s="101"/>
      <c r="U155" s="50"/>
      <c r="AH155" s="87"/>
      <c r="AI155" s="87"/>
    </row>
    <row r="156" spans="1:35" ht="16.5" customHeight="1" thickBot="1">
      <c r="A156" s="44"/>
      <c r="B156" s="705" t="s">
        <v>74</v>
      </c>
      <c r="C156" s="705"/>
      <c r="D156" s="705"/>
      <c r="E156" s="705"/>
      <c r="F156" s="705"/>
      <c r="G156" s="705"/>
      <c r="H156" s="705"/>
      <c r="I156" s="705"/>
      <c r="J156" s="705"/>
      <c r="K156" s="705"/>
      <c r="L156" s="705"/>
      <c r="M156" s="705"/>
      <c r="N156" s="705"/>
      <c r="O156" s="705"/>
      <c r="P156" s="705"/>
      <c r="Q156" s="705"/>
      <c r="R156" s="705"/>
      <c r="S156" s="705"/>
      <c r="T156" s="705"/>
      <c r="U156" s="108"/>
      <c r="Y156" s="532" t="s">
        <v>341</v>
      </c>
      <c r="AC156" s="49"/>
      <c r="AD156" s="687" t="s">
        <v>302</v>
      </c>
      <c r="AE156" s="688"/>
      <c r="AF156" s="689"/>
      <c r="AG156" s="49"/>
      <c r="AH156" s="87"/>
      <c r="AI156" s="87"/>
    </row>
    <row r="157" spans="1:35" ht="15.75" customHeight="1" thickBot="1">
      <c r="A157" s="218" t="e">
        <f>"K"&amp;E139</f>
        <v>#N/A</v>
      </c>
      <c r="B157" s="701" t="s">
        <v>71</v>
      </c>
      <c r="C157" s="751" t="s">
        <v>102</v>
      </c>
      <c r="D157" s="751"/>
      <c r="E157" s="751"/>
      <c r="F157" s="751"/>
      <c r="G157" s="751"/>
      <c r="H157" s="751"/>
      <c r="I157" s="751"/>
      <c r="J157" s="751"/>
      <c r="K157" s="751"/>
      <c r="L157" s="722" t="s">
        <v>100</v>
      </c>
      <c r="M157" s="747" t="s">
        <v>114</v>
      </c>
      <c r="N157" s="747"/>
      <c r="O157" s="747"/>
      <c r="P157" s="747"/>
      <c r="Q157" s="748"/>
      <c r="R157" s="758" t="s">
        <v>280</v>
      </c>
      <c r="S157" s="748"/>
      <c r="T157" s="762" t="str">
        <f>IF(COUNTIF(AE157:AF157,"VERIFICAR")&gt;0,"VERIFICAR",IF(COUNTIF(AE157:AF157,"NO CUMPLE")&gt;0,"NO CUMPLE","CUMPLE"))</f>
        <v>VERIFICAR</v>
      </c>
      <c r="U157" s="108"/>
      <c r="Y157" s="533" t="e">
        <f>IF(F158="","",IF(F158=1,"INDIVIDUAL","ESTRUCTURA PLURAL"))</f>
        <v>#N/A</v>
      </c>
      <c r="AC157" s="52"/>
      <c r="AD157" s="475" t="s">
        <v>303</v>
      </c>
      <c r="AE157" s="476" t="str">
        <f>IF(COUNTIF(AE143:AE152,"")=10,"VERIFICAR",IF(COUNTIF(AE143:AE152,"SI")&gt;0,"CUMPLE","NO CUMPLE"))</f>
        <v>VERIFICAR</v>
      </c>
      <c r="AF157" s="477" t="str">
        <f>IF(COUNTIF(AF143:AF152,"")=10,"VERIFICAR",IF(COUNTIF(AF143:AF152,"SI")&gt;=$AI$22,"CUMPLE","NO CUMPLE"))</f>
        <v>VERIFICAR</v>
      </c>
      <c r="AG157" s="52"/>
      <c r="AH157" s="87"/>
      <c r="AI157" s="87"/>
    </row>
    <row r="158" spans="1:35" ht="16.5" customHeight="1" thickBot="1">
      <c r="A158" s="218" t="e">
        <f>"L"&amp;E139</f>
        <v>#N/A</v>
      </c>
      <c r="B158" s="702"/>
      <c r="C158" s="751" t="s">
        <v>103</v>
      </c>
      <c r="D158" s="751"/>
      <c r="E158" s="752"/>
      <c r="F158" s="557" t="e">
        <f>IF(VLOOKUP(E139,PROPONENTES!$C$19:$E$218,3,0)="","",VLOOKUP(E139,PROPONENTES!$C$19:$E$218,3,0))</f>
        <v>#N/A</v>
      </c>
      <c r="G158" s="753" t="s">
        <v>104</v>
      </c>
      <c r="H158" s="751"/>
      <c r="I158" s="715" t="e">
        <f>IF(OR(F158="",F158=1),"INTERESADO PERSONA NATURAL O JURIDICA","CONSORCIO O UNION TEMPORAL")</f>
        <v>#N/A</v>
      </c>
      <c r="J158" s="725"/>
      <c r="K158" s="728"/>
      <c r="L158" s="723"/>
      <c r="M158" s="749"/>
      <c r="N158" s="749"/>
      <c r="O158" s="749"/>
      <c r="P158" s="749"/>
      <c r="Q158" s="750"/>
      <c r="R158" s="712"/>
      <c r="S158" s="750"/>
      <c r="T158" s="763"/>
      <c r="U158" s="108"/>
      <c r="Y158" s="534"/>
      <c r="AA158" s="52"/>
      <c r="AB158" s="52"/>
      <c r="AC158" s="52"/>
      <c r="AG158" s="52"/>
      <c r="AH158" s="87"/>
      <c r="AI158" s="87"/>
    </row>
    <row r="159" spans="1:35" ht="56.25" customHeight="1" thickBot="1">
      <c r="A159" s="218" t="e">
        <f>"M"&amp;E139</f>
        <v>#N/A</v>
      </c>
      <c r="B159" s="702"/>
      <c r="C159" s="725" t="s">
        <v>101</v>
      </c>
      <c r="D159" s="716"/>
      <c r="E159" s="558" t="s">
        <v>105</v>
      </c>
      <c r="F159" s="554" t="s">
        <v>87</v>
      </c>
      <c r="G159" s="553" t="s">
        <v>86</v>
      </c>
      <c r="H159" s="559" t="s">
        <v>85</v>
      </c>
      <c r="I159" s="554" t="s">
        <v>252</v>
      </c>
      <c r="J159" s="553" t="str">
        <f>"¿EL INTEGRANTE TIENE UNA PARTICIPACIÓN DEL "&amp;PORCREQUERIDOINT*100&amp;"%?"</f>
        <v>¿EL INTEGRANTE TIENE UNA PARTICIPACIÓN DEL 60%?</v>
      </c>
      <c r="K159" s="554" t="s">
        <v>107</v>
      </c>
      <c r="L159" s="724"/>
      <c r="M159" s="717" t="s">
        <v>115</v>
      </c>
      <c r="N159" s="718"/>
      <c r="O159" s="718"/>
      <c r="P159" s="718"/>
      <c r="Q159" s="223">
        <f>IF(AND(H143="SI",P143&gt;=0),1,0)+IF(AND(H144="SI",P144&gt;=0),1,0)+IF(AND(H145="SI",P145&gt;=0),1,0)+IF(AND(H146="SI",P146&gt;=0),1,0)+IF(AND(H147="SI",P147&gt;=0),1,0)+IF(AND(H148="SI",P148&gt;=0),1,0)+IF(AND(H149="SI",P149&gt;=0),1,0)+IF(AND(H150="SI",P150&gt;=0),1,0)+IF(AND(H151="SI",P151&gt;=0),1,0)+IF(AND(H152="SI",P152&gt;=0),1,0)</f>
        <v>0</v>
      </c>
      <c r="R159" s="759"/>
      <c r="S159" s="761"/>
      <c r="T159" s="764"/>
      <c r="U159" s="219"/>
      <c r="V159" s="464"/>
      <c r="Y159" s="532" t="s">
        <v>342</v>
      </c>
      <c r="AA159" s="550" t="s">
        <v>344</v>
      </c>
      <c r="AB159" s="693" t="s">
        <v>345</v>
      </c>
      <c r="AC159" s="693" t="s">
        <v>346</v>
      </c>
      <c r="AD159" s="685" t="s">
        <v>347</v>
      </c>
      <c r="AE159" s="52"/>
      <c r="AF159" s="52"/>
      <c r="AG159" s="52"/>
      <c r="AH159" s="87"/>
      <c r="AI159" s="87"/>
    </row>
    <row r="160" spans="1:35" ht="15.75" customHeight="1" thickBot="1">
      <c r="A160" s="218" t="e">
        <f>"N"&amp;E139</f>
        <v>#N/A</v>
      </c>
      <c r="B160" s="702"/>
      <c r="C160" s="114"/>
      <c r="D160" s="194"/>
      <c r="E160" s="211"/>
      <c r="F160" s="547"/>
      <c r="G160" s="333"/>
      <c r="H160" s="535"/>
      <c r="I160" s="212" t="str">
        <f>IF(D160="","",IF(H160="NO APORTA","NO",IF(H160=MAX($H160:$H165),"SI","NO")))</f>
        <v/>
      </c>
      <c r="J160" s="213" t="str">
        <f t="shared" ref="J160:J165" si="44">IF(D160="","",IF(E160&gt;=PORCREQUERIDOINT,"SI","NO"))</f>
        <v/>
      </c>
      <c r="K160" s="200" t="str">
        <f t="shared" ref="K160:K165" si="45">IF(D160="","",IF(AND(I160="SI",J160="SI"),"CUMPLE",IF(AND(I160="NO",OR(J160="SI",J160="NO")),"","NO CUMPLE")))</f>
        <v/>
      </c>
      <c r="L160" s="722" t="s">
        <v>108</v>
      </c>
      <c r="M160" s="726" t="s">
        <v>119</v>
      </c>
      <c r="N160" s="726"/>
      <c r="O160" s="726"/>
      <c r="P160" s="726"/>
      <c r="Q160" s="727"/>
      <c r="R160" s="758" t="s">
        <v>80</v>
      </c>
      <c r="S160" s="747"/>
      <c r="T160" s="748"/>
      <c r="U160" s="219"/>
      <c r="V160" s="464"/>
      <c r="Y160" s="533" t="e">
        <f>IF(Y157="","",IF(Y157="INDIVIDUAL","NO APLICA","VERIFICAR CUADRO"))</f>
        <v>#N/A</v>
      </c>
      <c r="AA160" s="551"/>
      <c r="AB160" s="694"/>
      <c r="AC160" s="694"/>
      <c r="AD160" s="686"/>
      <c r="AE160" s="52"/>
      <c r="AF160" s="52"/>
      <c r="AG160" s="52"/>
      <c r="AH160" s="87"/>
      <c r="AI160" s="87"/>
    </row>
    <row r="161" spans="1:35" ht="27" customHeight="1" thickBot="1">
      <c r="A161" s="218" t="e">
        <f>"O"&amp;E139</f>
        <v>#N/A</v>
      </c>
      <c r="B161" s="702"/>
      <c r="C161" s="114"/>
      <c r="D161" s="194"/>
      <c r="E161" s="211"/>
      <c r="F161" s="547"/>
      <c r="G161" s="333"/>
      <c r="H161" s="535"/>
      <c r="I161" s="212" t="str">
        <f>IF(D161="","",IF(H161="NO APORTA","NO",IF(H161=MAX($H160:$H165),"SI","NO")))</f>
        <v/>
      </c>
      <c r="J161" s="213" t="str">
        <f t="shared" si="44"/>
        <v/>
      </c>
      <c r="K161" s="200" t="str">
        <f t="shared" si="45"/>
        <v/>
      </c>
      <c r="L161" s="723"/>
      <c r="M161" s="715" t="s">
        <v>116</v>
      </c>
      <c r="N161" s="716"/>
      <c r="O161" s="556" t="s">
        <v>113</v>
      </c>
      <c r="P161" s="715" t="s">
        <v>117</v>
      </c>
      <c r="Q161" s="728"/>
      <c r="R161" s="759"/>
      <c r="S161" s="760"/>
      <c r="T161" s="761"/>
      <c r="U161" s="219"/>
      <c r="V161" s="464"/>
      <c r="Y161" s="414"/>
      <c r="AA161" s="542" t="e">
        <f>IF(AND(C160&lt;=F158,F158&gt;1,F158&lt;&gt;""),VLOOKUP(VALUE(E139&amp;","&amp;C160),INTEGRANTES!$D$18:$F$235,2,0),"")</f>
        <v>#N/A</v>
      </c>
      <c r="AB161" s="544" t="str">
        <f t="shared" ref="AB161:AB166" si="46">IF(D160="","",IF(OR(F160=0,G160=0),"NO APORTA",ROUND($F160/$G160,3)))</f>
        <v/>
      </c>
      <c r="AC161" s="529"/>
      <c r="AD161" s="200" t="e">
        <f t="shared" ref="AD161:AD166" si="47">IF(OR(AA161="",AB161=""),"",IF(AND(AC161="X",AB161&gt;=EXPREQVTD),"CUMPLE","NO CUMPLE"))</f>
        <v>#N/A</v>
      </c>
      <c r="AE161" s="52"/>
      <c r="AF161" s="52"/>
      <c r="AG161" s="52"/>
      <c r="AH161" s="87"/>
      <c r="AI161" s="87"/>
    </row>
    <row r="162" spans="1:35" ht="16.5" thickBot="1">
      <c r="A162" s="218" t="e">
        <f>"P"&amp;E139</f>
        <v>#N/A</v>
      </c>
      <c r="B162" s="702"/>
      <c r="C162" s="114"/>
      <c r="D162" s="194"/>
      <c r="E162" s="211"/>
      <c r="F162" s="547"/>
      <c r="G162" s="333"/>
      <c r="H162" s="535"/>
      <c r="I162" s="212" t="str">
        <f>IF(D162="","",IF(H162="NO APORTA","NO",IF(H162=MAX($H160:$H165),"SI","NO")))</f>
        <v/>
      </c>
      <c r="J162" s="213" t="str">
        <f t="shared" si="44"/>
        <v/>
      </c>
      <c r="K162" s="200" t="str">
        <f t="shared" si="45"/>
        <v/>
      </c>
      <c r="L162" s="724"/>
      <c r="M162" s="729">
        <f>NUMMOD</f>
        <v>1</v>
      </c>
      <c r="N162" s="730"/>
      <c r="O162" s="443">
        <f>IF(M162="","",VLOOKUP(M162,PRESUPUESTOS!$B$16:$H$16,5,FALSE))</f>
        <v>2</v>
      </c>
      <c r="P162" s="713">
        <f>IF(OR(COUNTIF(M143:M152,"")&gt;=10,Q159&lt;NUMMINCONT,OR(T157="NO CUMPLE",T157="VERIFICAR")),0,ROUND(AVERAGE(M143:M152),3))</f>
        <v>0</v>
      </c>
      <c r="Q162" s="714"/>
      <c r="R162" s="458"/>
      <c r="S162" s="459"/>
      <c r="T162" s="460"/>
      <c r="U162" s="219"/>
      <c r="V162" s="464"/>
      <c r="Y162" s="532" t="str">
        <f>"40% * ("&amp;PRESUPUESTOS!$H$13&amp;")"</f>
        <v>40% * (50% PFMO)</v>
      </c>
      <c r="AA162" s="540" t="e">
        <f>IF(AND(C161&lt;=F158,F158&lt;&gt;""),VLOOKUP(VALUE(E139&amp;","&amp;C161),INTEGRANTES!$D$18:$F$235,2,0),"")</f>
        <v>#N/A</v>
      </c>
      <c r="AB162" s="545" t="str">
        <f t="shared" si="46"/>
        <v/>
      </c>
      <c r="AC162" s="529"/>
      <c r="AD162" s="200" t="e">
        <f t="shared" si="47"/>
        <v>#N/A</v>
      </c>
      <c r="AE162" s="52"/>
      <c r="AF162" s="52"/>
      <c r="AG162" s="52"/>
      <c r="AH162" s="87"/>
      <c r="AI162" s="87"/>
    </row>
    <row r="163" spans="1:35" ht="15.75" customHeight="1" thickBot="1">
      <c r="A163" s="218" t="e">
        <f>"Q"&amp;E139</f>
        <v>#N/A</v>
      </c>
      <c r="B163" s="702"/>
      <c r="C163" s="114"/>
      <c r="D163" s="194"/>
      <c r="E163" s="211"/>
      <c r="F163" s="547"/>
      <c r="G163" s="333"/>
      <c r="H163" s="535"/>
      <c r="I163" s="212" t="str">
        <f>IF(D163="","",IF(H163="NO APORTA","NO",IF(H163=MAX($H160:$H165),"SI","NO")))</f>
        <v/>
      </c>
      <c r="J163" s="213" t="str">
        <f t="shared" si="44"/>
        <v/>
      </c>
      <c r="K163" s="200" t="str">
        <f t="shared" si="45"/>
        <v/>
      </c>
      <c r="L163" s="720" t="s">
        <v>109</v>
      </c>
      <c r="M163" s="757" t="s">
        <v>120</v>
      </c>
      <c r="N163" s="726"/>
      <c r="O163" s="726"/>
      <c r="P163" s="726"/>
      <c r="Q163" s="727"/>
      <c r="R163" s="458"/>
      <c r="S163" s="459"/>
      <c r="T163" s="460"/>
      <c r="U163" s="219"/>
      <c r="V163" s="464"/>
      <c r="Y163" s="537">
        <f>0.4*PRESUPUESTOS!$H$16</f>
        <v>10.3124</v>
      </c>
      <c r="AA163" s="540" t="e">
        <f>IF(AND(C162&lt;=F158,F158&lt;&gt;""),VLOOKUP(VALUE(E139&amp;","&amp;C162),INTEGRANTES!$D$18:$F$235,2,0),"")</f>
        <v>#N/A</v>
      </c>
      <c r="AB163" s="545" t="str">
        <f t="shared" si="46"/>
        <v/>
      </c>
      <c r="AC163" s="529"/>
      <c r="AD163" s="200" t="e">
        <f t="shared" si="47"/>
        <v>#N/A</v>
      </c>
      <c r="AE163" s="52"/>
      <c r="AF163" s="52"/>
      <c r="AG163" s="52"/>
      <c r="AH163" s="87"/>
      <c r="AI163" s="87"/>
    </row>
    <row r="164" spans="1:35" ht="27" customHeight="1" thickBot="1">
      <c r="A164" s="218" t="e">
        <f>"R"&amp;E139</f>
        <v>#N/A</v>
      </c>
      <c r="B164" s="702"/>
      <c r="C164" s="114"/>
      <c r="D164" s="194"/>
      <c r="E164" s="211"/>
      <c r="F164" s="547"/>
      <c r="G164" s="333"/>
      <c r="H164" s="535"/>
      <c r="I164" s="212" t="str">
        <f>IF(D164="","",IF(H164="NO APORTA","NO",IF(H164=MAX($H160:$H165),"SI","NO")))</f>
        <v/>
      </c>
      <c r="J164" s="213" t="str">
        <f t="shared" si="44"/>
        <v/>
      </c>
      <c r="K164" s="200" t="str">
        <f t="shared" si="45"/>
        <v/>
      </c>
      <c r="L164" s="721"/>
      <c r="M164" s="715" t="s">
        <v>116</v>
      </c>
      <c r="N164" s="716"/>
      <c r="O164" s="556" t="str">
        <f>PORCREQUERIDO*100&amp;"% PMFO DEL MÓDULO"</f>
        <v>50% PMFO DEL MÓDULO</v>
      </c>
      <c r="P164" s="715" t="s">
        <v>118</v>
      </c>
      <c r="Q164" s="728"/>
      <c r="R164" s="458"/>
      <c r="S164" s="459"/>
      <c r="T164" s="460"/>
      <c r="U164" s="219"/>
      <c r="V164" s="464"/>
      <c r="Y164" s="414"/>
      <c r="AA164" s="540" t="e">
        <f>IF(AND(C163&lt;=F158,F158&lt;&gt;""),VLOOKUP(VALUE(E139&amp;","&amp;C163),INTEGRANTES!$D$18:$F$235,2,0),"")</f>
        <v>#N/A</v>
      </c>
      <c r="AB164" s="545" t="str">
        <f t="shared" si="46"/>
        <v/>
      </c>
      <c r="AC164" s="529"/>
      <c r="AD164" s="200" t="e">
        <f t="shared" si="47"/>
        <v>#N/A</v>
      </c>
      <c r="AE164" s="52"/>
      <c r="AF164" s="52"/>
      <c r="AG164" s="52"/>
      <c r="AH164" s="87"/>
      <c r="AI164" s="87"/>
    </row>
    <row r="165" spans="1:35" ht="16.5" thickBot="1">
      <c r="A165" s="218" t="e">
        <f>"S"&amp;E139</f>
        <v>#N/A</v>
      </c>
      <c r="B165" s="702"/>
      <c r="C165" s="215"/>
      <c r="D165" s="216"/>
      <c r="E165" s="217"/>
      <c r="F165" s="548"/>
      <c r="G165" s="334"/>
      <c r="H165" s="536"/>
      <c r="I165" s="214" t="str">
        <f>IF(D165="","",IF(H165="NO APORTA","NO",IF(H165=MAX($H160:$H165),"SI","NO")))</f>
        <v/>
      </c>
      <c r="J165" s="213" t="str">
        <f t="shared" si="44"/>
        <v/>
      </c>
      <c r="K165" s="200" t="str">
        <f t="shared" si="45"/>
        <v/>
      </c>
      <c r="L165" s="721"/>
      <c r="M165" s="729">
        <f>NUMMOD</f>
        <v>1</v>
      </c>
      <c r="N165" s="730"/>
      <c r="O165" s="443">
        <f>IF(M165="","",ROUND(VLOOKUP(M165,PRESUPUESTOS!$B$16:$H$16,7,FALSE),3))</f>
        <v>25.780999999999999</v>
      </c>
      <c r="P165" s="713">
        <f>IF(OR(COUNTIF(P143:P152,"")&gt;=10,Q159&lt;NUMMINCONT,OR(T157="NO CUMPLE",T157="VERIFICAR")),0,ROUND((SUM(P143:P152)/SUM(M143:M152)),3))</f>
        <v>0</v>
      </c>
      <c r="Q165" s="714"/>
      <c r="R165" s="458"/>
      <c r="S165" s="459"/>
      <c r="T165" s="460"/>
      <c r="U165" s="219"/>
      <c r="V165" s="464"/>
      <c r="Y165" s="532" t="s">
        <v>343</v>
      </c>
      <c r="AA165" s="540" t="e">
        <f>IF(AND(C164&lt;=F158,F158&lt;&gt;""),VLOOKUP(VALUE(E139&amp;","&amp;C164),INTEGRANTES!$D$18:$F$235,2,0),"")</f>
        <v>#N/A</v>
      </c>
      <c r="AB165" s="545" t="str">
        <f t="shared" si="46"/>
        <v/>
      </c>
      <c r="AC165" s="529"/>
      <c r="AD165" s="200" t="e">
        <f t="shared" si="47"/>
        <v>#N/A</v>
      </c>
      <c r="AE165" s="52"/>
      <c r="AF165" s="52"/>
      <c r="AG165" s="52"/>
      <c r="AH165" s="87"/>
      <c r="AI165" s="87"/>
    </row>
    <row r="166" spans="1:35" ht="16.5" customHeight="1" thickBot="1">
      <c r="A166" s="218" t="e">
        <f>"T"&amp;E139</f>
        <v>#N/A</v>
      </c>
      <c r="B166" s="703"/>
      <c r="C166" s="719"/>
      <c r="D166" s="719"/>
      <c r="E166" s="719"/>
      <c r="F166" s="719"/>
      <c r="G166" s="719"/>
      <c r="H166" s="719" t="s">
        <v>110</v>
      </c>
      <c r="I166" s="719"/>
      <c r="J166" s="719"/>
      <c r="K166" s="201" t="str">
        <f>IF(COUNTIF(K160:K165,"")=6,"",IF(COUNTIF(K160:K165,"CUMPLE")&gt;0,"CUMPLE","NO CUMPLE"))</f>
        <v/>
      </c>
      <c r="L166" s="754"/>
      <c r="M166" s="755"/>
      <c r="N166" s="755"/>
      <c r="O166" s="755"/>
      <c r="P166" s="755"/>
      <c r="Q166" s="756"/>
      <c r="R166" s="461"/>
      <c r="S166" s="462"/>
      <c r="T166" s="463"/>
      <c r="U166" s="219"/>
      <c r="V166" s="464"/>
      <c r="Y166" s="549" t="e">
        <f>IF(Y160="NO APLICA","NO APLICA",IF(COUNTIF(AD161:AD166,"CUMPLE")&gt;0,"CUMPLE","NO CUMPLE"))</f>
        <v>#N/A</v>
      </c>
      <c r="AA166" s="541" t="e">
        <f>IF(AND(C165&lt;=F158,F158&lt;&gt;""),VLOOKUP(VALUE(E139&amp;","&amp;C165),INTEGRANTES!$D$18:$F$235,2,0),"")</f>
        <v>#N/A</v>
      </c>
      <c r="AB166" s="546" t="str">
        <f t="shared" si="46"/>
        <v/>
      </c>
      <c r="AC166" s="543"/>
      <c r="AD166" s="201" t="e">
        <f t="shared" si="47"/>
        <v>#N/A</v>
      </c>
      <c r="AE166" s="52"/>
      <c r="AF166" s="52"/>
      <c r="AG166" s="52"/>
      <c r="AH166" s="87"/>
      <c r="AI166" s="87"/>
    </row>
    <row r="167" spans="1:35">
      <c r="A167" s="103"/>
      <c r="B167" s="206"/>
      <c r="C167" s="206"/>
      <c r="D167" s="206"/>
      <c r="E167" s="206"/>
      <c r="F167" s="206"/>
      <c r="G167" s="206"/>
      <c r="H167" s="206"/>
      <c r="I167" s="104"/>
      <c r="J167" s="206"/>
      <c r="K167" s="113"/>
      <c r="L167" s="113"/>
      <c r="M167" s="113"/>
      <c r="N167" s="222"/>
      <c r="O167" s="113"/>
      <c r="P167" s="113"/>
      <c r="Q167" s="113"/>
      <c r="R167" s="206"/>
      <c r="S167" s="104"/>
      <c r="T167" s="206"/>
      <c r="U167" s="474"/>
      <c r="AH167" s="87"/>
      <c r="AI167" s="87"/>
    </row>
    <row r="168" spans="1:35">
      <c r="H168" s="220"/>
      <c r="AH168" s="87"/>
      <c r="AI168" s="87"/>
    </row>
    <row r="169" spans="1:35" ht="24" thickBot="1">
      <c r="A169" s="61">
        <v>6</v>
      </c>
      <c r="B169" s="704" t="s">
        <v>51</v>
      </c>
      <c r="C169" s="704"/>
      <c r="D169" s="704"/>
      <c r="E169" s="62" t="e">
        <f>VLOOKUP(A169,PROPONENTES!$B$19:$E$218,2,FALSE)</f>
        <v>#N/A</v>
      </c>
      <c r="F169" s="63" t="e">
        <f>VLOOKUP(A169,PROPONENTES!$B$19:$E$218,3,FALSE)</f>
        <v>#N/A</v>
      </c>
      <c r="G169" s="64"/>
      <c r="H169" s="64"/>
      <c r="I169" s="63"/>
      <c r="J169" s="63"/>
      <c r="K169" s="65"/>
      <c r="L169" s="65"/>
      <c r="M169" s="64"/>
      <c r="N169" s="64"/>
      <c r="O169" s="66"/>
      <c r="P169" s="66"/>
      <c r="Q169" s="66"/>
      <c r="R169" s="66"/>
      <c r="S169" s="67"/>
      <c r="T169" s="68"/>
      <c r="U169" s="68"/>
      <c r="AC169" s="68"/>
      <c r="AD169" s="68"/>
      <c r="AE169" s="68"/>
      <c r="AF169" s="68"/>
      <c r="AG169" s="68"/>
      <c r="AH169" s="87"/>
      <c r="AI169" s="87"/>
    </row>
    <row r="170" spans="1:35" ht="15.75" customHeight="1">
      <c r="A170" s="44"/>
      <c r="B170" s="709" t="s">
        <v>59</v>
      </c>
      <c r="C170" s="552" t="s">
        <v>60</v>
      </c>
      <c r="D170" s="70" t="s">
        <v>17</v>
      </c>
      <c r="E170" s="70"/>
      <c r="F170" s="70" t="s">
        <v>61</v>
      </c>
      <c r="G170" s="71"/>
      <c r="H170" s="699" t="s">
        <v>62</v>
      </c>
      <c r="I170" s="699" t="s">
        <v>18</v>
      </c>
      <c r="J170" s="699" t="s">
        <v>63</v>
      </c>
      <c r="K170" s="699" t="s">
        <v>64</v>
      </c>
      <c r="L170" s="699" t="s">
        <v>65</v>
      </c>
      <c r="M170" s="743" t="s">
        <v>66</v>
      </c>
      <c r="N170" s="699" t="s">
        <v>282</v>
      </c>
      <c r="O170" s="745" t="s">
        <v>67</v>
      </c>
      <c r="P170" s="746"/>
      <c r="Q170" s="102" t="s">
        <v>75</v>
      </c>
      <c r="R170" s="731" t="s">
        <v>22</v>
      </c>
      <c r="S170" s="732"/>
      <c r="T170" s="733"/>
      <c r="U170" s="712" t="s">
        <v>298</v>
      </c>
      <c r="W170" s="690" t="s">
        <v>268</v>
      </c>
      <c r="X170" s="691"/>
      <c r="Y170" s="692"/>
      <c r="Z170" s="428"/>
      <c r="AA170" s="697" t="s">
        <v>315</v>
      </c>
      <c r="AB170" s="695" t="s">
        <v>322</v>
      </c>
      <c r="AC170" s="49"/>
      <c r="AD170" s="690" t="s">
        <v>297</v>
      </c>
      <c r="AE170" s="691"/>
      <c r="AF170" s="692"/>
      <c r="AG170" s="49"/>
      <c r="AH170" s="87"/>
      <c r="AI170" s="87"/>
    </row>
    <row r="171" spans="1:35" ht="72">
      <c r="A171" s="44"/>
      <c r="B171" s="710"/>
      <c r="C171" s="553" t="s">
        <v>68</v>
      </c>
      <c r="D171" s="73" t="s">
        <v>3</v>
      </c>
      <c r="E171" s="73" t="s">
        <v>19</v>
      </c>
      <c r="F171" s="73" t="s">
        <v>69</v>
      </c>
      <c r="G171" s="74" t="s">
        <v>70</v>
      </c>
      <c r="H171" s="700"/>
      <c r="I171" s="700"/>
      <c r="J171" s="700"/>
      <c r="K171" s="700"/>
      <c r="L171" s="700"/>
      <c r="M171" s="744"/>
      <c r="N171" s="700"/>
      <c r="O171" s="553" t="s">
        <v>279</v>
      </c>
      <c r="P171" s="73" t="s">
        <v>88</v>
      </c>
      <c r="Q171" s="555" t="s">
        <v>76</v>
      </c>
      <c r="R171" s="734"/>
      <c r="S171" s="735"/>
      <c r="T171" s="736"/>
      <c r="U171" s="712"/>
      <c r="W171" s="429" t="s">
        <v>269</v>
      </c>
      <c r="X171" s="457" t="s">
        <v>278</v>
      </c>
      <c r="Y171" s="430" t="s">
        <v>365</v>
      </c>
      <c r="Z171" s="428"/>
      <c r="AA171" s="698"/>
      <c r="AB171" s="696"/>
      <c r="AC171" s="49"/>
      <c r="AD171" s="429" t="s">
        <v>292</v>
      </c>
      <c r="AE171" s="431" t="s">
        <v>300</v>
      </c>
      <c r="AF171" s="468" t="s">
        <v>301</v>
      </c>
      <c r="AG171" s="49"/>
      <c r="AH171" s="87"/>
      <c r="AI171" s="87"/>
    </row>
    <row r="172" spans="1:35">
      <c r="A172" s="44"/>
      <c r="B172" s="76"/>
      <c r="C172" s="77"/>
      <c r="D172" s="77"/>
      <c r="E172" s="77"/>
      <c r="F172" s="77"/>
      <c r="G172" s="77"/>
      <c r="H172" s="77"/>
      <c r="I172" s="77"/>
      <c r="J172" s="77"/>
      <c r="K172" s="77"/>
      <c r="L172" s="77"/>
      <c r="M172" s="77"/>
      <c r="N172" s="77"/>
      <c r="O172" s="77"/>
      <c r="P172" s="77"/>
      <c r="Q172" s="77"/>
      <c r="R172" s="77"/>
      <c r="S172" s="78"/>
      <c r="T172" s="79"/>
      <c r="U172" s="109"/>
      <c r="V172" s="49"/>
      <c r="W172" s="432"/>
      <c r="X172" s="454"/>
      <c r="Y172" s="433"/>
      <c r="Z172" s="6"/>
      <c r="AA172" s="500"/>
      <c r="AB172" s="562"/>
      <c r="AC172" s="49"/>
      <c r="AD172" s="210"/>
      <c r="AE172" s="434"/>
      <c r="AF172" s="435"/>
      <c r="AG172" s="49"/>
      <c r="AH172" s="87"/>
      <c r="AI172" s="87"/>
    </row>
    <row r="173" spans="1:35" ht="51">
      <c r="A173" s="80" t="e">
        <f>"A"&amp;E169</f>
        <v>#N/A</v>
      </c>
      <c r="B173" s="81">
        <v>1</v>
      </c>
      <c r="C173" s="82"/>
      <c r="D173" s="82"/>
      <c r="E173" s="567"/>
      <c r="F173" s="82"/>
      <c r="G173" s="83"/>
      <c r="H173" s="83"/>
      <c r="I173" s="84"/>
      <c r="J173" s="85"/>
      <c r="K173" s="382"/>
      <c r="L173" s="85"/>
      <c r="M173" s="332"/>
      <c r="N173" s="86"/>
      <c r="O173" s="453"/>
      <c r="P173" s="538"/>
      <c r="Q173" s="539"/>
      <c r="R173" s="737"/>
      <c r="S173" s="738"/>
      <c r="T173" s="739"/>
      <c r="U173" s="587" t="s">
        <v>399</v>
      </c>
      <c r="V173" s="165"/>
      <c r="W173" s="446" t="s">
        <v>25</v>
      </c>
      <c r="X173" s="456" t="s">
        <v>372</v>
      </c>
      <c r="Y173" s="436" t="s">
        <v>25</v>
      </c>
      <c r="Z173" s="437"/>
      <c r="AA173" s="560" t="s">
        <v>319</v>
      </c>
      <c r="AB173" s="561" t="s">
        <v>294</v>
      </c>
      <c r="AC173" s="87"/>
      <c r="AD173" s="466" t="s">
        <v>289</v>
      </c>
      <c r="AE173" s="456" t="s">
        <v>25</v>
      </c>
      <c r="AF173" s="467"/>
      <c r="AG173" s="87"/>
      <c r="AH173" s="87"/>
      <c r="AI173" s="87"/>
    </row>
    <row r="174" spans="1:35">
      <c r="A174" s="80" t="e">
        <f>"B"&amp;E169</f>
        <v>#N/A</v>
      </c>
      <c r="B174" s="81">
        <v>2</v>
      </c>
      <c r="C174" s="106"/>
      <c r="D174" s="106"/>
      <c r="E174" s="568"/>
      <c r="F174" s="106"/>
      <c r="G174" s="83"/>
      <c r="H174" s="83"/>
      <c r="I174" s="84"/>
      <c r="J174" s="85"/>
      <c r="K174" s="382"/>
      <c r="L174" s="85"/>
      <c r="M174" s="332"/>
      <c r="N174" s="86"/>
      <c r="O174" s="453"/>
      <c r="P174" s="538"/>
      <c r="Q174" s="539"/>
      <c r="R174" s="740"/>
      <c r="S174" s="741"/>
      <c r="T174" s="742"/>
      <c r="U174" s="471"/>
      <c r="V174" s="165"/>
      <c r="W174" s="446" t="s">
        <v>25</v>
      </c>
      <c r="X174" s="456" t="s">
        <v>373</v>
      </c>
      <c r="Y174" s="436" t="s">
        <v>25</v>
      </c>
      <c r="Z174" s="437"/>
      <c r="AA174" s="560" t="s">
        <v>319</v>
      </c>
      <c r="AB174" s="561" t="s">
        <v>294</v>
      </c>
      <c r="AC174" s="87"/>
      <c r="AD174" s="466" t="s">
        <v>289</v>
      </c>
      <c r="AE174" s="456"/>
      <c r="AF174" s="467"/>
      <c r="AG174" s="87"/>
      <c r="AH174" s="87"/>
      <c r="AI174" s="87"/>
    </row>
    <row r="175" spans="1:35">
      <c r="A175" s="80" t="e">
        <f>"C"&amp;E169</f>
        <v>#N/A</v>
      </c>
      <c r="B175" s="88">
        <v>3</v>
      </c>
      <c r="C175" s="82"/>
      <c r="D175" s="82"/>
      <c r="E175" s="567"/>
      <c r="F175" s="82"/>
      <c r="G175" s="83"/>
      <c r="H175" s="83"/>
      <c r="I175" s="84"/>
      <c r="J175" s="85"/>
      <c r="K175" s="382"/>
      <c r="L175" s="85"/>
      <c r="M175" s="332"/>
      <c r="N175" s="86"/>
      <c r="O175" s="453"/>
      <c r="P175" s="538"/>
      <c r="Q175" s="539"/>
      <c r="R175" s="706"/>
      <c r="S175" s="707"/>
      <c r="T175" s="708"/>
      <c r="U175" s="472"/>
      <c r="V175" s="166"/>
      <c r="W175" s="446" t="s">
        <v>25</v>
      </c>
      <c r="X175" s="456" t="s">
        <v>374</v>
      </c>
      <c r="Y175" s="436" t="s">
        <v>25</v>
      </c>
      <c r="Z175" s="437"/>
      <c r="AA175" s="560" t="s">
        <v>320</v>
      </c>
      <c r="AB175" s="561"/>
      <c r="AC175" s="87"/>
      <c r="AD175" s="466" t="s">
        <v>289</v>
      </c>
      <c r="AE175" s="456"/>
      <c r="AF175" s="467"/>
      <c r="AG175" s="87"/>
      <c r="AH175" s="87"/>
      <c r="AI175" s="87"/>
    </row>
    <row r="176" spans="1:35" ht="38.25">
      <c r="A176" s="80" t="e">
        <f>"D"&amp;E169</f>
        <v>#N/A</v>
      </c>
      <c r="B176" s="105">
        <v>4</v>
      </c>
      <c r="C176" s="107"/>
      <c r="D176" s="107"/>
      <c r="E176" s="569"/>
      <c r="F176" s="107"/>
      <c r="G176" s="83"/>
      <c r="H176" s="83"/>
      <c r="I176" s="84"/>
      <c r="J176" s="85"/>
      <c r="K176" s="382"/>
      <c r="L176" s="85"/>
      <c r="M176" s="332"/>
      <c r="N176" s="86"/>
      <c r="O176" s="453"/>
      <c r="P176" s="538"/>
      <c r="Q176" s="539"/>
      <c r="R176" s="706"/>
      <c r="S176" s="707"/>
      <c r="T176" s="708"/>
      <c r="U176" s="472" t="s">
        <v>378</v>
      </c>
      <c r="V176" s="166"/>
      <c r="W176" s="446" t="s">
        <v>25</v>
      </c>
      <c r="X176" s="456" t="s">
        <v>375</v>
      </c>
      <c r="Y176" s="436" t="s">
        <v>24</v>
      </c>
      <c r="Z176" s="437"/>
      <c r="AA176" s="560" t="s">
        <v>318</v>
      </c>
      <c r="AB176" s="561" t="s">
        <v>294</v>
      </c>
      <c r="AC176" s="87"/>
      <c r="AD176" s="466" t="s">
        <v>289</v>
      </c>
      <c r="AE176" s="456" t="s">
        <v>25</v>
      </c>
      <c r="AF176" s="467" t="s">
        <v>25</v>
      </c>
      <c r="AG176" s="87"/>
      <c r="AH176" s="87"/>
      <c r="AI176" s="87"/>
    </row>
    <row r="177" spans="1:35">
      <c r="A177" s="80" t="e">
        <f>"E"&amp;E169</f>
        <v>#N/A</v>
      </c>
      <c r="B177" s="105">
        <v>5</v>
      </c>
      <c r="C177" s="107"/>
      <c r="D177" s="107"/>
      <c r="E177" s="586"/>
      <c r="F177" s="107"/>
      <c r="G177" s="83"/>
      <c r="H177" s="83"/>
      <c r="I177" s="84"/>
      <c r="J177" s="85"/>
      <c r="K177" s="382"/>
      <c r="L177" s="85"/>
      <c r="M177" s="332"/>
      <c r="N177" s="86"/>
      <c r="O177" s="453"/>
      <c r="P177" s="538"/>
      <c r="Q177" s="539"/>
      <c r="R177" s="706"/>
      <c r="S177" s="707"/>
      <c r="T177" s="708"/>
      <c r="U177" s="472"/>
      <c r="V177" s="167"/>
      <c r="W177" s="446" t="s">
        <v>25</v>
      </c>
      <c r="X177" s="456" t="s">
        <v>376</v>
      </c>
      <c r="Y177" s="436" t="s">
        <v>25</v>
      </c>
      <c r="Z177" s="437"/>
      <c r="AA177" s="560" t="s">
        <v>320</v>
      </c>
      <c r="AB177" s="561"/>
      <c r="AC177" s="87"/>
      <c r="AD177" s="466" t="s">
        <v>289</v>
      </c>
      <c r="AE177" s="456"/>
      <c r="AF177" s="467"/>
      <c r="AG177" s="87"/>
      <c r="AH177" s="87"/>
      <c r="AI177" s="87"/>
    </row>
    <row r="178" spans="1:35">
      <c r="A178" s="80" t="e">
        <f>"F"&amp;E169</f>
        <v>#N/A</v>
      </c>
      <c r="B178" s="105">
        <v>6</v>
      </c>
      <c r="C178" s="585"/>
      <c r="D178" s="107"/>
      <c r="E178" s="586"/>
      <c r="F178" s="107"/>
      <c r="G178" s="83"/>
      <c r="H178" s="83"/>
      <c r="I178" s="84"/>
      <c r="J178" s="85"/>
      <c r="K178" s="382"/>
      <c r="L178" s="85"/>
      <c r="M178" s="332"/>
      <c r="N178" s="86"/>
      <c r="O178" s="453"/>
      <c r="P178" s="538"/>
      <c r="Q178" s="539"/>
      <c r="R178" s="706"/>
      <c r="S178" s="707"/>
      <c r="T178" s="708"/>
      <c r="U178" s="472"/>
      <c r="V178" s="167"/>
      <c r="W178" s="446" t="s">
        <v>25</v>
      </c>
      <c r="X178" s="456" t="s">
        <v>377</v>
      </c>
      <c r="Y178" s="436" t="s">
        <v>25</v>
      </c>
      <c r="Z178" s="437"/>
      <c r="AA178" s="560" t="s">
        <v>318</v>
      </c>
      <c r="AB178" s="561"/>
      <c r="AC178" s="87"/>
      <c r="AD178" s="466" t="s">
        <v>289</v>
      </c>
      <c r="AE178" s="456"/>
      <c r="AF178" s="467"/>
      <c r="AG178" s="87"/>
      <c r="AH178" s="87"/>
      <c r="AI178" s="87"/>
    </row>
    <row r="179" spans="1:35">
      <c r="A179" s="80" t="e">
        <f>"G"&amp;E169</f>
        <v>#N/A</v>
      </c>
      <c r="B179" s="105">
        <v>7</v>
      </c>
      <c r="C179" s="107"/>
      <c r="D179" s="107"/>
      <c r="E179" s="107"/>
      <c r="F179" s="107"/>
      <c r="G179" s="83"/>
      <c r="H179" s="83"/>
      <c r="I179" s="84"/>
      <c r="J179" s="85"/>
      <c r="K179" s="382"/>
      <c r="L179" s="85"/>
      <c r="M179" s="332" t="str">
        <f>IF(OR(J179="",L179="",H179="NO"),"",IF(OR(J179&gt;$P$17,J179&lt;$O$17,L179&gt;$P$17,AND(J179&lt;$O$17,L179&lt;$O$17)),"FUERA DE RANGO",IF(OR(K179="---",K179=""),IF(J179&gt;=$O$17,ROUND((L179-J179+1)/360*12,3),ROUND((L179-$O$17+1)/360*12,3)),IF(J179&gt;=$O$17,ROUND((L179-J179+1)/360*12-ROUND(K179,3),3),ROUND((L179-$O$17+1)/360*12-ROUND(K179,3),3)))))</f>
        <v/>
      </c>
      <c r="N179" s="86"/>
      <c r="O179" s="86" t="str">
        <f>IF(OR(G179="",N179=""),"",N179*G179)</f>
        <v/>
      </c>
      <c r="P179" s="538" t="str">
        <f>IF(OR(H179="",M179="FUERA DE RANGO"),"",IF(OR(L179&lt;$O$17,L179&gt;$P$17,L179="",H179="NO"),"",IF(OR(N179="",O179=""),"",ROUND(O179,3))))</f>
        <v/>
      </c>
      <c r="Q179" s="539" t="str">
        <f>IF(AND(H179="SI",P179&lt;&gt;""),ROUND(P179/M179,3),"")</f>
        <v/>
      </c>
      <c r="R179" s="706"/>
      <c r="S179" s="707"/>
      <c r="T179" s="708"/>
      <c r="U179" s="472"/>
      <c r="V179" s="167"/>
      <c r="W179" s="446"/>
      <c r="X179" s="456"/>
      <c r="Y179" s="436"/>
      <c r="Z179" s="437"/>
      <c r="AA179" s="560"/>
      <c r="AB179" s="561"/>
      <c r="AC179" s="87"/>
      <c r="AD179" s="466"/>
      <c r="AE179" s="456"/>
      <c r="AF179" s="467"/>
      <c r="AG179" s="87"/>
      <c r="AH179" s="87"/>
      <c r="AI179" s="87"/>
    </row>
    <row r="180" spans="1:35">
      <c r="A180" s="80" t="e">
        <f>"H"&amp;E169</f>
        <v>#N/A</v>
      </c>
      <c r="B180" s="105">
        <v>8</v>
      </c>
      <c r="C180" s="107"/>
      <c r="D180" s="107"/>
      <c r="E180" s="107"/>
      <c r="F180" s="107"/>
      <c r="G180" s="83"/>
      <c r="H180" s="83"/>
      <c r="I180" s="84"/>
      <c r="J180" s="85"/>
      <c r="K180" s="382"/>
      <c r="L180" s="85"/>
      <c r="M180" s="332" t="str">
        <f>IF(OR(J180="",L180="",H180="NO"),"",IF(OR(J180&gt;$P$17,J180&lt;$O$17,L180&gt;$P$17,AND(J180&lt;$O$17,L180&lt;$O$17)),"FUERA DE RANGO",IF(OR(K180="---",K180=""),IF(J180&gt;=$O$17,ROUND((L180-J180+1)/360*12,3),ROUND((L180-$O$17+1)/360*12,3)),IF(J180&gt;=$O$17,ROUND((L180-J180+1)/360*12-ROUND(K180,3),3),ROUND((L180-$O$17+1)/360*12-ROUND(K180,3),3)))))</f>
        <v/>
      </c>
      <c r="N180" s="453"/>
      <c r="O180" s="86" t="str">
        <f>IF(OR(G180="",N180=""),"",N180*G180)</f>
        <v/>
      </c>
      <c r="P180" s="538" t="str">
        <f>IF(OR(H180="",M180="FUERA DE RANGO"),"",IF(OR(L180&lt;$O$17,L180&gt;$P$17,L180="",H180="NO"),"",IF(OR(N180="",O180=""),"",ROUND(O180,3))))</f>
        <v/>
      </c>
      <c r="Q180" s="539" t="str">
        <f>IF(AND(H180="SI",P180&lt;&gt;""),ROUND(P180/M180,3),"")</f>
        <v/>
      </c>
      <c r="R180" s="706"/>
      <c r="S180" s="707"/>
      <c r="T180" s="708"/>
      <c r="U180" s="472"/>
      <c r="V180" s="167"/>
      <c r="W180" s="446"/>
      <c r="X180" s="456"/>
      <c r="Y180" s="436"/>
      <c r="Z180" s="437"/>
      <c r="AA180" s="560"/>
      <c r="AB180" s="561"/>
      <c r="AC180" s="87"/>
      <c r="AD180" s="466"/>
      <c r="AE180" s="456"/>
      <c r="AF180" s="467"/>
      <c r="AG180" s="87"/>
      <c r="AH180" s="87"/>
      <c r="AI180" s="87"/>
    </row>
    <row r="181" spans="1:35">
      <c r="A181" s="80" t="e">
        <f>"I"&amp;E169</f>
        <v>#N/A</v>
      </c>
      <c r="B181" s="105">
        <v>9</v>
      </c>
      <c r="C181" s="107"/>
      <c r="D181" s="107"/>
      <c r="E181" s="107"/>
      <c r="F181" s="107"/>
      <c r="G181" s="83"/>
      <c r="H181" s="83"/>
      <c r="I181" s="84"/>
      <c r="J181" s="85"/>
      <c r="K181" s="382"/>
      <c r="L181" s="85"/>
      <c r="M181" s="332" t="str">
        <f>IF(OR(J181="",L181="",H181="NO"),"",IF(OR(J181&gt;$P$17,J181&lt;$O$17,L181&gt;$P$17,AND(J181&lt;$O$17,L181&lt;$O$17)),"FUERA DE RANGO",IF(OR(K181="---",K181=""),IF(J181&gt;=$O$17,ROUND((L181-J181+1)/360*12,3),ROUND((L181-$O$17+1)/360*12,3)),IF(J181&gt;=$O$17,ROUND((L181-J181+1)/360*12-ROUND(K181,3),3),ROUND((L181-$O$17+1)/360*12-ROUND(K181,3),3)))))</f>
        <v/>
      </c>
      <c r="N181" s="453"/>
      <c r="O181" s="86" t="str">
        <f>IF(OR(G181="",N181=""),"",N181*G181)</f>
        <v/>
      </c>
      <c r="P181" s="538" t="str">
        <f>IF(OR(H181="",M181="FUERA DE RANGO"),"",IF(OR(L181&lt;$O$17,L181&gt;$P$17,L181="",H181="NO"),"",IF(OR(N181="",O181=""),"",ROUND(O181,3))))</f>
        <v/>
      </c>
      <c r="Q181" s="539" t="str">
        <f>IF(AND(H181="SI",P181&lt;&gt;""),ROUND(P181/M181,3),"")</f>
        <v/>
      </c>
      <c r="R181" s="706"/>
      <c r="S181" s="707"/>
      <c r="T181" s="708"/>
      <c r="U181" s="472"/>
      <c r="V181" s="167"/>
      <c r="W181" s="446"/>
      <c r="X181" s="456"/>
      <c r="Y181" s="436"/>
      <c r="Z181" s="437"/>
      <c r="AA181" s="560"/>
      <c r="AB181" s="561"/>
      <c r="AC181" s="87"/>
      <c r="AD181" s="466"/>
      <c r="AE181" s="456"/>
      <c r="AF181" s="467"/>
      <c r="AG181" s="87"/>
      <c r="AH181" s="87"/>
      <c r="AI181" s="87"/>
    </row>
    <row r="182" spans="1:35">
      <c r="A182" s="80" t="e">
        <f>"J"&amp;E169</f>
        <v>#N/A</v>
      </c>
      <c r="B182" s="105">
        <v>10</v>
      </c>
      <c r="C182" s="107"/>
      <c r="D182" s="107"/>
      <c r="E182" s="107"/>
      <c r="F182" s="107"/>
      <c r="G182" s="83"/>
      <c r="H182" s="83"/>
      <c r="I182" s="84"/>
      <c r="J182" s="85"/>
      <c r="K182" s="382"/>
      <c r="L182" s="85"/>
      <c r="M182" s="332" t="str">
        <f>IF(OR(J182="",L182="",H182="NO"),"",IF(OR(J182&gt;$P$17,J182&lt;$O$17,L182&gt;$P$17,AND(J182&lt;$O$17,L182&lt;$O$17)),"FUERA DE RANGO",IF(OR(K182="---",K182=""),IF(J182&gt;=$O$17,ROUND((L182-J182+1)/360*12,3),ROUND((L182-$O$17+1)/360*12,3)),IF(J182&gt;=$O$17,ROUND((L182-J182+1)/360*12-ROUND(K182,3),3),ROUND((L182-$O$17+1)/360*12-ROUND(K182,3),3)))))</f>
        <v/>
      </c>
      <c r="N182" s="453"/>
      <c r="O182" s="86" t="str">
        <f>IF(OR(G182="",N182=""),"",N182*G182)</f>
        <v/>
      </c>
      <c r="P182" s="538" t="str">
        <f>IF(OR(H182="",M182="FUERA DE RANGO"),"",IF(OR(L182&lt;$O$17,L182&gt;$P$17,L182="",H182="NO"),"",IF(OR(N182="",O182=""),"",ROUND(O182,3))))</f>
        <v/>
      </c>
      <c r="Q182" s="539" t="str">
        <f>IF(AND(H182="SI",P182&lt;&gt;""),ROUND(P182/M182,3),"")</f>
        <v/>
      </c>
      <c r="R182" s="706"/>
      <c r="S182" s="707"/>
      <c r="T182" s="708"/>
      <c r="U182" s="472"/>
      <c r="V182" s="167"/>
      <c r="W182" s="446"/>
      <c r="X182" s="456"/>
      <c r="Y182" s="436"/>
      <c r="Z182" s="437"/>
      <c r="AA182" s="560"/>
      <c r="AB182" s="561"/>
      <c r="AC182" s="87"/>
      <c r="AD182" s="466"/>
      <c r="AE182" s="456"/>
      <c r="AF182" s="467"/>
      <c r="AG182" s="87"/>
      <c r="AH182" s="87"/>
      <c r="AI182" s="87"/>
    </row>
    <row r="183" spans="1:35" ht="16.5" thickBot="1">
      <c r="A183" s="44"/>
      <c r="B183" s="89"/>
      <c r="C183" s="90"/>
      <c r="D183" s="90"/>
      <c r="E183" s="90"/>
      <c r="F183" s="90"/>
      <c r="G183" s="90"/>
      <c r="H183" s="90"/>
      <c r="I183" s="90"/>
      <c r="J183" s="90"/>
      <c r="K183" s="90"/>
      <c r="L183" s="90"/>
      <c r="M183" s="90"/>
      <c r="N183" s="90"/>
      <c r="O183" s="90"/>
      <c r="P183" s="90"/>
      <c r="Q183" s="90"/>
      <c r="R183" s="90"/>
      <c r="S183" s="91"/>
      <c r="T183" s="92"/>
      <c r="U183" s="473"/>
      <c r="W183" s="438"/>
      <c r="X183" s="455"/>
      <c r="Y183" s="439"/>
      <c r="Z183" s="437"/>
      <c r="AA183" s="530"/>
      <c r="AB183" s="563"/>
      <c r="AC183" s="87"/>
      <c r="AD183" s="440"/>
      <c r="AE183" s="441"/>
      <c r="AF183" s="442"/>
      <c r="AG183" s="49"/>
      <c r="AH183" s="87"/>
      <c r="AI183" s="87"/>
    </row>
    <row r="184" spans="1:35" ht="16.5" thickBot="1">
      <c r="A184" s="93"/>
      <c r="B184" s="94"/>
      <c r="C184" s="96"/>
      <c r="D184" s="96"/>
      <c r="E184" s="96"/>
      <c r="F184" s="96"/>
      <c r="G184" s="96"/>
      <c r="H184" s="96"/>
      <c r="I184" s="96"/>
      <c r="J184" s="96"/>
      <c r="K184" s="96"/>
      <c r="L184" s="96"/>
      <c r="M184" s="136"/>
      <c r="N184" s="96"/>
      <c r="O184" s="96"/>
      <c r="P184" s="97"/>
      <c r="Q184" s="97"/>
      <c r="R184" s="98"/>
      <c r="S184" s="95"/>
      <c r="T184" s="99"/>
      <c r="U184" s="469"/>
      <c r="AC184" s="58"/>
      <c r="AG184" s="58"/>
      <c r="AH184" s="87"/>
      <c r="AI184" s="87"/>
    </row>
    <row r="185" spans="1:35" ht="16.5" thickBot="1">
      <c r="B185" s="101"/>
      <c r="C185" s="101"/>
      <c r="D185" s="101"/>
      <c r="E185" s="101"/>
      <c r="F185" s="101"/>
      <c r="G185" s="101"/>
      <c r="H185" s="101"/>
      <c r="I185" s="101"/>
      <c r="J185" s="101"/>
      <c r="K185" s="101"/>
      <c r="L185" s="101"/>
      <c r="M185" s="101"/>
      <c r="N185" s="101"/>
      <c r="O185" s="101"/>
      <c r="P185" s="101"/>
      <c r="Q185" s="101"/>
      <c r="R185" s="101"/>
      <c r="S185" s="101"/>
      <c r="U185" s="50"/>
      <c r="AH185" s="87"/>
      <c r="AI185" s="87"/>
    </row>
    <row r="186" spans="1:35" ht="16.5" customHeight="1" thickBot="1">
      <c r="A186" s="44"/>
      <c r="B186" s="705" t="s">
        <v>74</v>
      </c>
      <c r="C186" s="705"/>
      <c r="D186" s="705"/>
      <c r="E186" s="705"/>
      <c r="F186" s="705"/>
      <c r="G186" s="705"/>
      <c r="H186" s="705"/>
      <c r="I186" s="705"/>
      <c r="J186" s="705"/>
      <c r="K186" s="705"/>
      <c r="L186" s="705"/>
      <c r="M186" s="705"/>
      <c r="N186" s="705"/>
      <c r="O186" s="705"/>
      <c r="P186" s="705"/>
      <c r="Q186" s="705"/>
      <c r="R186" s="705"/>
      <c r="S186" s="705"/>
      <c r="T186" s="705"/>
      <c r="U186" s="108"/>
      <c r="Y186" s="532" t="s">
        <v>341</v>
      </c>
      <c r="AC186" s="49"/>
      <c r="AD186" s="687" t="s">
        <v>302</v>
      </c>
      <c r="AE186" s="688"/>
      <c r="AF186" s="689"/>
      <c r="AG186" s="49"/>
      <c r="AH186" s="87"/>
      <c r="AI186" s="87"/>
    </row>
    <row r="187" spans="1:35" ht="15.75" customHeight="1" thickBot="1">
      <c r="A187" s="218" t="e">
        <f>"K"&amp;E169</f>
        <v>#N/A</v>
      </c>
      <c r="B187" s="701" t="s">
        <v>71</v>
      </c>
      <c r="C187" s="751" t="s">
        <v>102</v>
      </c>
      <c r="D187" s="751"/>
      <c r="E187" s="751"/>
      <c r="F187" s="751"/>
      <c r="G187" s="751"/>
      <c r="H187" s="751"/>
      <c r="I187" s="751"/>
      <c r="J187" s="751"/>
      <c r="K187" s="751"/>
      <c r="L187" s="722" t="s">
        <v>100</v>
      </c>
      <c r="M187" s="747" t="s">
        <v>114</v>
      </c>
      <c r="N187" s="747"/>
      <c r="O187" s="747"/>
      <c r="P187" s="747"/>
      <c r="Q187" s="748"/>
      <c r="R187" s="758" t="s">
        <v>280</v>
      </c>
      <c r="S187" s="748"/>
      <c r="T187" s="762" t="str">
        <f>IF(COUNTIF(AE187:AF187,"VERIFICAR")&gt;0,"VERIFICAR",IF(COUNTIF(AE187:AF187,"NO CUMPLE")&gt;0,"NO CUMPLE","CUMPLE"))</f>
        <v>CUMPLE</v>
      </c>
      <c r="U187" s="108"/>
      <c r="Y187" s="533" t="e">
        <f>IF(F188="","",IF(F188=1,"INDIVIDUAL","ESTRUCTURA PLURAL"))</f>
        <v>#N/A</v>
      </c>
      <c r="AC187" s="52"/>
      <c r="AD187" s="475" t="s">
        <v>303</v>
      </c>
      <c r="AE187" s="476" t="str">
        <f>IF(COUNTIF(AE173:AE182,"")=10,"VERIFICAR",IF(COUNTIF(AE173:AE182,"SI")&gt;0,"CUMPLE","NO CUMPLE"))</f>
        <v>CUMPLE</v>
      </c>
      <c r="AF187" s="477" t="str">
        <f>IF(COUNTIF(AF173:AF182,"")=10,"VERIFICAR",IF(COUNTIF(AF173:AF182,"SI")&gt;=$AI$22,"CUMPLE","NO CUMPLE"))</f>
        <v>CUMPLE</v>
      </c>
      <c r="AG187" s="52"/>
      <c r="AH187" s="87"/>
      <c r="AI187" s="87"/>
    </row>
    <row r="188" spans="1:35" ht="16.5" customHeight="1" thickBot="1">
      <c r="A188" s="218" t="e">
        <f>"L"&amp;E169</f>
        <v>#N/A</v>
      </c>
      <c r="B188" s="702"/>
      <c r="C188" s="751" t="s">
        <v>103</v>
      </c>
      <c r="D188" s="751"/>
      <c r="E188" s="752"/>
      <c r="F188" s="557" t="e">
        <f>IF(VLOOKUP(E169,PROPONENTES!$C$19:$E$218,3,0)="","",VLOOKUP(E169,PROPONENTES!$C$19:$E$218,3,0))</f>
        <v>#N/A</v>
      </c>
      <c r="G188" s="753" t="s">
        <v>104</v>
      </c>
      <c r="H188" s="751"/>
      <c r="I188" s="715" t="e">
        <f>IF(OR(F188="",F188=1),"INTERESADO PERSONA NATURAL O JURIDICA","CONSORCIO O UNION TEMPORAL")</f>
        <v>#N/A</v>
      </c>
      <c r="J188" s="725"/>
      <c r="K188" s="728"/>
      <c r="L188" s="723"/>
      <c r="M188" s="749"/>
      <c r="N188" s="749"/>
      <c r="O188" s="749"/>
      <c r="P188" s="749"/>
      <c r="Q188" s="750"/>
      <c r="R188" s="712"/>
      <c r="S188" s="750"/>
      <c r="T188" s="763"/>
      <c r="U188" s="108"/>
      <c r="Y188" s="534"/>
      <c r="AA188" s="52"/>
      <c r="AB188" s="52"/>
      <c r="AC188" s="52"/>
      <c r="AG188" s="52"/>
      <c r="AH188" s="87"/>
      <c r="AI188" s="87"/>
    </row>
    <row r="189" spans="1:35" ht="56.25" customHeight="1" thickBot="1">
      <c r="A189" s="218" t="e">
        <f>"M"&amp;E169</f>
        <v>#N/A</v>
      </c>
      <c r="B189" s="702"/>
      <c r="C189" s="725" t="s">
        <v>101</v>
      </c>
      <c r="D189" s="716"/>
      <c r="E189" s="558" t="s">
        <v>105</v>
      </c>
      <c r="F189" s="554" t="s">
        <v>87</v>
      </c>
      <c r="G189" s="553" t="s">
        <v>86</v>
      </c>
      <c r="H189" s="559" t="s">
        <v>85</v>
      </c>
      <c r="I189" s="554" t="s">
        <v>252</v>
      </c>
      <c r="J189" s="553" t="str">
        <f>"¿EL INTEGRANTE TIENE UNA PARTICIPACIÓN DEL "&amp;PORCREQUERIDOINT*100&amp;"%?"</f>
        <v>¿EL INTEGRANTE TIENE UNA PARTICIPACIÓN DEL 60%?</v>
      </c>
      <c r="K189" s="554" t="s">
        <v>107</v>
      </c>
      <c r="L189" s="724"/>
      <c r="M189" s="717" t="s">
        <v>115</v>
      </c>
      <c r="N189" s="718"/>
      <c r="O189" s="718"/>
      <c r="P189" s="718"/>
      <c r="Q189" s="223">
        <f>IF(AND(H173="SI",P173&gt;=0),1,0)+IF(AND(H174="SI",P174&gt;=0),1,0)+IF(AND(H175="SI",P175&gt;=0),1,0)+IF(AND(H176="SI",P176&gt;=0),1,0)+IF(AND(H177="SI",P177&gt;=0),1,0)+IF(AND(H178="SI",P178&gt;=0),1,0)+IF(AND(H179="SI",P179&gt;=0),1,0)+IF(AND(H180="SI",P180&gt;=0),1,0)+IF(AND(H181="SI",P181&gt;=0),1,0)+IF(AND(H182="SI",P182&gt;=0),1,0)</f>
        <v>0</v>
      </c>
      <c r="R189" s="759"/>
      <c r="S189" s="761"/>
      <c r="T189" s="764"/>
      <c r="U189" s="219"/>
      <c r="V189" s="464"/>
      <c r="Y189" s="532" t="s">
        <v>342</v>
      </c>
      <c r="AA189" s="550" t="s">
        <v>344</v>
      </c>
      <c r="AB189" s="693" t="s">
        <v>345</v>
      </c>
      <c r="AC189" s="693" t="s">
        <v>346</v>
      </c>
      <c r="AD189" s="685" t="s">
        <v>347</v>
      </c>
      <c r="AE189" s="52"/>
      <c r="AF189" s="52"/>
      <c r="AG189" s="52"/>
      <c r="AH189" s="87"/>
      <c r="AI189" s="87"/>
    </row>
    <row r="190" spans="1:35" ht="27.75" customHeight="1" thickBot="1">
      <c r="A190" s="218" t="e">
        <f>"N"&amp;E169</f>
        <v>#N/A</v>
      </c>
      <c r="B190" s="702"/>
      <c r="C190" s="114"/>
      <c r="D190" s="194"/>
      <c r="E190" s="211"/>
      <c r="F190" s="547"/>
      <c r="G190" s="333"/>
      <c r="H190" s="535"/>
      <c r="I190" s="212" t="s">
        <v>24</v>
      </c>
      <c r="J190" s="213" t="str">
        <f t="shared" ref="J190:J195" si="48">IF(D190="","",IF(E190&gt;=PORCREQUERIDOINT,"SI","NO"))</f>
        <v/>
      </c>
      <c r="K190" s="200" t="str">
        <f t="shared" ref="K190:K195" si="49">IF(D190="","",IF(AND(I190="SI",J190="SI"),"CUMPLE",IF(AND(I190="NO",OR(J190="SI",J190="NO")),"","NO CUMPLE")))</f>
        <v/>
      </c>
      <c r="L190" s="722" t="s">
        <v>108</v>
      </c>
      <c r="M190" s="726" t="s">
        <v>119</v>
      </c>
      <c r="N190" s="726"/>
      <c r="O190" s="726"/>
      <c r="P190" s="726"/>
      <c r="Q190" s="727"/>
      <c r="R190" s="758" t="s">
        <v>80</v>
      </c>
      <c r="S190" s="747"/>
      <c r="T190" s="748"/>
      <c r="U190" s="219"/>
      <c r="V190" s="464"/>
      <c r="Y190" s="533" t="e">
        <f>IF(Y187="","",IF(Y187="INDIVIDUAL","NO APLICA","VERIFICAR CUADRO"))</f>
        <v>#N/A</v>
      </c>
      <c r="AA190" s="551"/>
      <c r="AB190" s="694"/>
      <c r="AC190" s="694"/>
      <c r="AD190" s="686"/>
      <c r="AE190" s="52"/>
      <c r="AF190" s="52"/>
      <c r="AG190" s="52"/>
      <c r="AH190" s="87"/>
      <c r="AI190" s="87"/>
    </row>
    <row r="191" spans="1:35" ht="27" customHeight="1" thickBot="1">
      <c r="A191" s="218" t="e">
        <f>"O"&amp;E169</f>
        <v>#N/A</v>
      </c>
      <c r="B191" s="702"/>
      <c r="C191" s="114"/>
      <c r="D191" s="194"/>
      <c r="E191" s="211"/>
      <c r="F191" s="547"/>
      <c r="G191" s="333"/>
      <c r="H191" s="535"/>
      <c r="I191" s="212" t="str">
        <f>IF(D191="","",IF(H191="NO APORTA","NO",IF(H191=MAX($H190:$H195),"SI","NO")))</f>
        <v/>
      </c>
      <c r="J191" s="213" t="str">
        <f t="shared" si="48"/>
        <v/>
      </c>
      <c r="K191" s="200" t="str">
        <f t="shared" si="49"/>
        <v/>
      </c>
      <c r="L191" s="723"/>
      <c r="M191" s="715" t="s">
        <v>116</v>
      </c>
      <c r="N191" s="716"/>
      <c r="O191" s="556" t="s">
        <v>113</v>
      </c>
      <c r="P191" s="715" t="s">
        <v>117</v>
      </c>
      <c r="Q191" s="728"/>
      <c r="R191" s="759"/>
      <c r="S191" s="760"/>
      <c r="T191" s="761"/>
      <c r="U191" s="219"/>
      <c r="V191" s="464"/>
      <c r="Y191" s="414"/>
      <c r="AA191" s="542" t="e">
        <f>IF(AND(C190&lt;=F188,F188&gt;1,F188&lt;&gt;""),VLOOKUP(VALUE(E169&amp;","&amp;C190),INTEGRANTES!$D$18:$F$235,2,0),"")</f>
        <v>#N/A</v>
      </c>
      <c r="AB191" s="544" t="str">
        <f t="shared" ref="AB191:AB196" si="50">IF(D190="","",IF(OR(F190=0,G190=0),"NO APORTA",ROUND($F190/$G190,3)))</f>
        <v/>
      </c>
      <c r="AC191" s="529"/>
      <c r="AD191" s="200" t="e">
        <f t="shared" ref="AD191:AD196" si="51">IF(OR(AA191="",AB191=""),"",IF(AND(AC191="X",AB191&gt;=EXPREQVTD),"CUMPLE","NO CUMPLE"))</f>
        <v>#N/A</v>
      </c>
      <c r="AE191" s="52"/>
      <c r="AF191" s="52"/>
      <c r="AG191" s="52"/>
      <c r="AH191" s="87"/>
      <c r="AI191" s="87"/>
    </row>
    <row r="192" spans="1:35" ht="16.5" thickBot="1">
      <c r="A192" s="218" t="e">
        <f>"P"&amp;E169</f>
        <v>#N/A</v>
      </c>
      <c r="B192" s="702"/>
      <c r="C192" s="114"/>
      <c r="D192" s="194"/>
      <c r="E192" s="211"/>
      <c r="F192" s="547"/>
      <c r="G192" s="333"/>
      <c r="H192" s="535"/>
      <c r="I192" s="212" t="str">
        <f>IF(D192="","",IF(H192="NO APORTA","NO",IF(H192=MAX($H190:$H195),"SI","NO")))</f>
        <v/>
      </c>
      <c r="J192" s="213" t="str">
        <f t="shared" si="48"/>
        <v/>
      </c>
      <c r="K192" s="200" t="str">
        <f t="shared" si="49"/>
        <v/>
      </c>
      <c r="L192" s="724"/>
      <c r="M192" s="729">
        <f>NUMMOD</f>
        <v>1</v>
      </c>
      <c r="N192" s="730"/>
      <c r="O192" s="443">
        <f>IF(M192="","",VLOOKUP(M192,PRESUPUESTOS!$B$16:$H$16,5,FALSE))</f>
        <v>2</v>
      </c>
      <c r="P192" s="713">
        <f>IF(OR(COUNTIF(M173:M182,"")&gt;=10,Q189&lt;NUMMINCONT,OR(T187="NO CUMPLE",T187="VERIFICAR")),0,ROUND(AVERAGE(M173:M182),3))</f>
        <v>0</v>
      </c>
      <c r="Q192" s="714"/>
      <c r="R192" s="458"/>
      <c r="S192" s="459"/>
      <c r="T192" s="460"/>
      <c r="U192" s="219"/>
      <c r="V192" s="464"/>
      <c r="Y192" s="532" t="str">
        <f>"40% * ("&amp;PRESUPUESTOS!$H$13&amp;")"</f>
        <v>40% * (50% PFMO)</v>
      </c>
      <c r="AA192" s="540" t="e">
        <f>IF(AND(C191&lt;=F188,F188&lt;&gt;""),VLOOKUP(VALUE(E169&amp;","&amp;C191),INTEGRANTES!$D$18:$F$235,2,0),"")</f>
        <v>#N/A</v>
      </c>
      <c r="AB192" s="545" t="str">
        <f t="shared" si="50"/>
        <v/>
      </c>
      <c r="AC192" s="529"/>
      <c r="AD192" s="200" t="e">
        <f t="shared" si="51"/>
        <v>#N/A</v>
      </c>
      <c r="AE192" s="52"/>
      <c r="AF192" s="52"/>
      <c r="AG192" s="52"/>
      <c r="AH192" s="87"/>
      <c r="AI192" s="87"/>
    </row>
    <row r="193" spans="1:35" ht="15.75" customHeight="1" thickBot="1">
      <c r="A193" s="218" t="e">
        <f>"Q"&amp;E169</f>
        <v>#N/A</v>
      </c>
      <c r="B193" s="702"/>
      <c r="C193" s="114"/>
      <c r="D193" s="194"/>
      <c r="E193" s="211"/>
      <c r="F193" s="547"/>
      <c r="G193" s="333"/>
      <c r="H193" s="535"/>
      <c r="I193" s="212" t="str">
        <f>IF(D193="","",IF(H193="NO APORTA","NO",IF(H193=MAX($H190:$H195),"SI","NO")))</f>
        <v/>
      </c>
      <c r="J193" s="213" t="str">
        <f t="shared" si="48"/>
        <v/>
      </c>
      <c r="K193" s="200" t="str">
        <f t="shared" si="49"/>
        <v/>
      </c>
      <c r="L193" s="720" t="s">
        <v>109</v>
      </c>
      <c r="M193" s="757" t="s">
        <v>120</v>
      </c>
      <c r="N193" s="726"/>
      <c r="O193" s="726"/>
      <c r="P193" s="726"/>
      <c r="Q193" s="727"/>
      <c r="R193" s="458"/>
      <c r="S193" s="459"/>
      <c r="T193" s="460"/>
      <c r="U193" s="219"/>
      <c r="V193" s="464"/>
      <c r="Y193" s="537">
        <f>0.4*PRESUPUESTOS!$H$16</f>
        <v>10.3124</v>
      </c>
      <c r="AA193" s="540" t="e">
        <f>IF(AND(C192&lt;=F188,F188&lt;&gt;""),VLOOKUP(VALUE(E169&amp;","&amp;C192),INTEGRANTES!$D$18:$F$235,2,0),"")</f>
        <v>#N/A</v>
      </c>
      <c r="AB193" s="545" t="str">
        <f t="shared" si="50"/>
        <v/>
      </c>
      <c r="AC193" s="529"/>
      <c r="AD193" s="200" t="e">
        <f t="shared" si="51"/>
        <v>#N/A</v>
      </c>
      <c r="AE193" s="52"/>
      <c r="AF193" s="52"/>
      <c r="AG193" s="52"/>
      <c r="AH193" s="87"/>
      <c r="AI193" s="87"/>
    </row>
    <row r="194" spans="1:35" ht="27" customHeight="1" thickBot="1">
      <c r="A194" s="218" t="e">
        <f>"R"&amp;E169</f>
        <v>#N/A</v>
      </c>
      <c r="B194" s="702"/>
      <c r="C194" s="114"/>
      <c r="D194" s="194"/>
      <c r="E194" s="211"/>
      <c r="F194" s="547"/>
      <c r="G194" s="333"/>
      <c r="H194" s="535"/>
      <c r="I194" s="212" t="str">
        <f>IF(D194="","",IF(H194="NO APORTA","NO",IF(H194=MAX($H190:$H195),"SI","NO")))</f>
        <v/>
      </c>
      <c r="J194" s="213" t="str">
        <f t="shared" si="48"/>
        <v/>
      </c>
      <c r="K194" s="200" t="str">
        <f t="shared" si="49"/>
        <v/>
      </c>
      <c r="L194" s="721"/>
      <c r="M194" s="715" t="s">
        <v>116</v>
      </c>
      <c r="N194" s="716"/>
      <c r="O194" s="556" t="str">
        <f>PORCREQUERIDO*100&amp;"% PMFO DEL MÓDULO"</f>
        <v>50% PMFO DEL MÓDULO</v>
      </c>
      <c r="P194" s="715" t="s">
        <v>118</v>
      </c>
      <c r="Q194" s="728"/>
      <c r="R194" s="458"/>
      <c r="S194" s="459"/>
      <c r="T194" s="460"/>
      <c r="U194" s="219"/>
      <c r="V194" s="464"/>
      <c r="Y194" s="414"/>
      <c r="AA194" s="540" t="e">
        <f>IF(AND(C193&lt;=F188,F188&lt;&gt;""),VLOOKUP(VALUE(E169&amp;","&amp;C193),INTEGRANTES!$D$18:$F$235,2,0),"")</f>
        <v>#N/A</v>
      </c>
      <c r="AB194" s="545" t="str">
        <f t="shared" si="50"/>
        <v/>
      </c>
      <c r="AC194" s="529"/>
      <c r="AD194" s="200" t="e">
        <f t="shared" si="51"/>
        <v>#N/A</v>
      </c>
      <c r="AE194" s="52"/>
      <c r="AF194" s="52"/>
      <c r="AG194" s="52"/>
      <c r="AH194" s="87"/>
      <c r="AI194" s="87"/>
    </row>
    <row r="195" spans="1:35" ht="16.5" thickBot="1">
      <c r="A195" s="218" t="e">
        <f>"S"&amp;E169</f>
        <v>#N/A</v>
      </c>
      <c r="B195" s="702"/>
      <c r="C195" s="215"/>
      <c r="D195" s="216"/>
      <c r="E195" s="217"/>
      <c r="F195" s="548"/>
      <c r="G195" s="334"/>
      <c r="H195" s="536"/>
      <c r="I195" s="214" t="str">
        <f>IF(D195="","",IF(H195="NO APORTA","NO",IF(H195=MAX($H190:$H195),"SI","NO")))</f>
        <v/>
      </c>
      <c r="J195" s="213" t="str">
        <f t="shared" si="48"/>
        <v/>
      </c>
      <c r="K195" s="200" t="str">
        <f t="shared" si="49"/>
        <v/>
      </c>
      <c r="L195" s="721"/>
      <c r="M195" s="729">
        <f>NUMMOD</f>
        <v>1</v>
      </c>
      <c r="N195" s="730"/>
      <c r="O195" s="443">
        <f>IF(M195="","",ROUND(VLOOKUP(M195,PRESUPUESTOS!$B$16:$H$16,7,FALSE),3))</f>
        <v>25.780999999999999</v>
      </c>
      <c r="P195" s="713">
        <f>IF(OR(COUNTIF(P173:P182,"")&gt;=10,Q189&lt;NUMMINCONT,OR(T187="NO CUMPLE",T187="VERIFICAR")),0,ROUND((SUM(P173:P182)/SUM(M173:M182)),3))</f>
        <v>0</v>
      </c>
      <c r="Q195" s="714"/>
      <c r="R195" s="458"/>
      <c r="S195" s="459"/>
      <c r="T195" s="460"/>
      <c r="U195" s="219"/>
      <c r="V195" s="464"/>
      <c r="Y195" s="532" t="s">
        <v>343</v>
      </c>
      <c r="AA195" s="540" t="e">
        <f>IF(AND(C194&lt;=F188,F188&lt;&gt;""),VLOOKUP(VALUE(E169&amp;","&amp;C194),INTEGRANTES!$D$18:$F$235,2,0),"")</f>
        <v>#N/A</v>
      </c>
      <c r="AB195" s="545" t="str">
        <f t="shared" si="50"/>
        <v/>
      </c>
      <c r="AC195" s="529"/>
      <c r="AD195" s="200" t="e">
        <f t="shared" si="51"/>
        <v>#N/A</v>
      </c>
      <c r="AE195" s="52"/>
      <c r="AF195" s="52"/>
      <c r="AG195" s="52"/>
      <c r="AH195" s="87"/>
      <c r="AI195" s="87"/>
    </row>
    <row r="196" spans="1:35" ht="16.5" customHeight="1" thickBot="1">
      <c r="A196" s="218" t="e">
        <f>"T"&amp;E169</f>
        <v>#N/A</v>
      </c>
      <c r="B196" s="703"/>
      <c r="C196" s="719"/>
      <c r="D196" s="719"/>
      <c r="E196" s="719"/>
      <c r="F196" s="719"/>
      <c r="G196" s="719"/>
      <c r="H196" s="719" t="s">
        <v>110</v>
      </c>
      <c r="I196" s="719"/>
      <c r="J196" s="719"/>
      <c r="K196" s="201" t="str">
        <f>IF(COUNTIF(K190:K195,"")=6,"",IF(COUNTIF(K190:K195,"CUMPLE")&gt;0,"CUMPLE","NO CUMPLE"))</f>
        <v/>
      </c>
      <c r="L196" s="754"/>
      <c r="M196" s="755"/>
      <c r="N196" s="755"/>
      <c r="O196" s="755"/>
      <c r="P196" s="755"/>
      <c r="Q196" s="756"/>
      <c r="R196" s="461"/>
      <c r="S196" s="462"/>
      <c r="T196" s="463"/>
      <c r="U196" s="219"/>
      <c r="V196" s="464"/>
      <c r="Y196" s="549" t="e">
        <f>IF(Y190="NO APLICA","NO APLICA",IF(COUNTIF(AD191:AD196,"CUMPLE")&gt;0,"CUMPLE","NO CUMPLE"))</f>
        <v>#N/A</v>
      </c>
      <c r="AA196" s="541" t="e">
        <f>IF(AND(C195&lt;=F188,F188&lt;&gt;""),VLOOKUP(VALUE(E169&amp;","&amp;C195),INTEGRANTES!$D$18:$F$235,2,0),"")</f>
        <v>#N/A</v>
      </c>
      <c r="AB196" s="546" t="str">
        <f t="shared" si="50"/>
        <v/>
      </c>
      <c r="AC196" s="543"/>
      <c r="AD196" s="201" t="e">
        <f t="shared" si="51"/>
        <v>#N/A</v>
      </c>
      <c r="AE196" s="52"/>
      <c r="AF196" s="52"/>
      <c r="AG196" s="52"/>
      <c r="AH196" s="87"/>
      <c r="AI196" s="87"/>
    </row>
    <row r="197" spans="1:35">
      <c r="AH197" s="87"/>
      <c r="AI197" s="87"/>
    </row>
    <row r="198" spans="1:35">
      <c r="AH198" s="87"/>
      <c r="AI198" s="87"/>
    </row>
    <row r="199" spans="1:35" ht="24" thickBot="1">
      <c r="A199" s="61">
        <v>7</v>
      </c>
      <c r="B199" s="704" t="s">
        <v>51</v>
      </c>
      <c r="C199" s="704"/>
      <c r="D199" s="704"/>
      <c r="E199" s="62" t="e">
        <f>VLOOKUP(A199,PROPONENTES!$B$19:$E$218,2,FALSE)</f>
        <v>#N/A</v>
      </c>
      <c r="F199" s="63" t="e">
        <f>VLOOKUP(A199,PROPONENTES!$B$19:$E$218,3,FALSE)</f>
        <v>#N/A</v>
      </c>
      <c r="G199" s="64"/>
      <c r="H199" s="64"/>
      <c r="I199" s="63"/>
      <c r="J199" s="63"/>
      <c r="K199" s="65"/>
      <c r="L199" s="65"/>
      <c r="M199" s="64"/>
      <c r="N199" s="64"/>
      <c r="O199" s="66"/>
      <c r="P199" s="66"/>
      <c r="Q199" s="66"/>
      <c r="R199" s="66"/>
      <c r="S199" s="67"/>
      <c r="T199" s="68"/>
      <c r="U199" s="68"/>
      <c r="AC199" s="68"/>
      <c r="AD199" s="68"/>
      <c r="AE199" s="68"/>
      <c r="AF199" s="68"/>
      <c r="AG199" s="68"/>
      <c r="AH199" s="87"/>
      <c r="AI199" s="87"/>
    </row>
    <row r="200" spans="1:35" ht="15.75" customHeight="1">
      <c r="A200" s="44"/>
      <c r="B200" s="709" t="s">
        <v>59</v>
      </c>
      <c r="C200" s="552" t="s">
        <v>60</v>
      </c>
      <c r="D200" s="70" t="s">
        <v>17</v>
      </c>
      <c r="E200" s="70"/>
      <c r="F200" s="70" t="s">
        <v>61</v>
      </c>
      <c r="G200" s="71"/>
      <c r="H200" s="699" t="s">
        <v>62</v>
      </c>
      <c r="I200" s="699" t="s">
        <v>18</v>
      </c>
      <c r="J200" s="699" t="s">
        <v>63</v>
      </c>
      <c r="K200" s="699" t="s">
        <v>64</v>
      </c>
      <c r="L200" s="699" t="s">
        <v>65</v>
      </c>
      <c r="M200" s="743" t="s">
        <v>66</v>
      </c>
      <c r="N200" s="699" t="s">
        <v>282</v>
      </c>
      <c r="O200" s="745" t="s">
        <v>67</v>
      </c>
      <c r="P200" s="746"/>
      <c r="Q200" s="102" t="s">
        <v>75</v>
      </c>
      <c r="R200" s="731" t="s">
        <v>22</v>
      </c>
      <c r="S200" s="732"/>
      <c r="T200" s="733"/>
      <c r="U200" s="712" t="s">
        <v>298</v>
      </c>
      <c r="W200" s="690" t="s">
        <v>268</v>
      </c>
      <c r="X200" s="691"/>
      <c r="Y200" s="692"/>
      <c r="Z200" s="428"/>
      <c r="AA200" s="697" t="s">
        <v>315</v>
      </c>
      <c r="AB200" s="695" t="s">
        <v>322</v>
      </c>
      <c r="AC200" s="49"/>
      <c r="AD200" s="690" t="s">
        <v>297</v>
      </c>
      <c r="AE200" s="691"/>
      <c r="AF200" s="692"/>
      <c r="AG200" s="49"/>
      <c r="AH200" s="87"/>
      <c r="AI200" s="87"/>
    </row>
    <row r="201" spans="1:35" ht="72">
      <c r="A201" s="44"/>
      <c r="B201" s="710"/>
      <c r="C201" s="553" t="s">
        <v>68</v>
      </c>
      <c r="D201" s="73" t="s">
        <v>3</v>
      </c>
      <c r="E201" s="73" t="s">
        <v>19</v>
      </c>
      <c r="F201" s="73" t="s">
        <v>69</v>
      </c>
      <c r="G201" s="74" t="s">
        <v>70</v>
      </c>
      <c r="H201" s="700"/>
      <c r="I201" s="700"/>
      <c r="J201" s="700"/>
      <c r="K201" s="700"/>
      <c r="L201" s="700"/>
      <c r="M201" s="744"/>
      <c r="N201" s="700"/>
      <c r="O201" s="553" t="s">
        <v>279</v>
      </c>
      <c r="P201" s="73" t="s">
        <v>88</v>
      </c>
      <c r="Q201" s="555" t="s">
        <v>76</v>
      </c>
      <c r="R201" s="734"/>
      <c r="S201" s="735"/>
      <c r="T201" s="736"/>
      <c r="U201" s="712"/>
      <c r="W201" s="429" t="s">
        <v>269</v>
      </c>
      <c r="X201" s="457" t="s">
        <v>278</v>
      </c>
      <c r="Y201" s="430" t="s">
        <v>365</v>
      </c>
      <c r="Z201" s="428"/>
      <c r="AA201" s="698"/>
      <c r="AB201" s="696"/>
      <c r="AC201" s="49"/>
      <c r="AD201" s="429" t="s">
        <v>292</v>
      </c>
      <c r="AE201" s="431" t="s">
        <v>300</v>
      </c>
      <c r="AF201" s="468" t="s">
        <v>301</v>
      </c>
      <c r="AG201" s="49"/>
      <c r="AH201" s="87"/>
      <c r="AI201" s="87"/>
    </row>
    <row r="202" spans="1:35">
      <c r="A202" s="44"/>
      <c r="B202" s="76"/>
      <c r="C202" s="77"/>
      <c r="D202" s="77"/>
      <c r="E202" s="77"/>
      <c r="F202" s="77"/>
      <c r="G202" s="77"/>
      <c r="H202" s="77"/>
      <c r="I202" s="77"/>
      <c r="J202" s="77"/>
      <c r="K202" s="77"/>
      <c r="L202" s="77"/>
      <c r="M202" s="77"/>
      <c r="N202" s="77"/>
      <c r="O202" s="77"/>
      <c r="P202" s="77"/>
      <c r="Q202" s="77"/>
      <c r="R202" s="77"/>
      <c r="S202" s="78"/>
      <c r="T202" s="79"/>
      <c r="U202" s="109"/>
      <c r="V202" s="49"/>
      <c r="W202" s="432"/>
      <c r="X202" s="454"/>
      <c r="Y202" s="433"/>
      <c r="Z202" s="6"/>
      <c r="AA202" s="500"/>
      <c r="AB202" s="562"/>
      <c r="AC202" s="49"/>
      <c r="AD202" s="210"/>
      <c r="AE202" s="434"/>
      <c r="AF202" s="435"/>
      <c r="AG202" s="49"/>
      <c r="AH202" s="87"/>
      <c r="AI202" s="87"/>
    </row>
    <row r="203" spans="1:35" ht="92.25" customHeight="1">
      <c r="A203" s="80" t="e">
        <f>"A"&amp;E199</f>
        <v>#N/A</v>
      </c>
      <c r="B203" s="81">
        <v>1</v>
      </c>
      <c r="C203" s="82"/>
      <c r="D203" s="82"/>
      <c r="E203" s="567"/>
      <c r="F203" s="82"/>
      <c r="G203" s="83"/>
      <c r="H203" s="83"/>
      <c r="I203" s="84"/>
      <c r="J203" s="85"/>
      <c r="K203" s="382"/>
      <c r="L203" s="85"/>
      <c r="M203" s="332" t="str">
        <f t="shared" ref="M203:M212" si="52">IF(OR(J203="",L203="",H203="NO"),"",IF(OR(J203&gt;$P$17,J203&lt;$O$17,L203&gt;$P$17,AND(J203&lt;$O$17,L203&lt;$O$17)),"FUERA DE RANGO",IF(OR(K203="---",K203=""),IF(J203&gt;=$O$17,ROUND((L203-J203+1)/360*12,3),ROUND((L203-$O$17+1)/360*12,3)),IF(J203&gt;=$O$17,ROUND((L203-J203+1)/360*12-ROUND(K203,3),3),ROUND((L203-$O$17+1)/360*12-ROUND(K203,3),3)))))</f>
        <v/>
      </c>
      <c r="N203" s="86">
        <f>27405000/358000</f>
        <v>76.550279329608941</v>
      </c>
      <c r="O203" s="453" t="str">
        <f>IF(OR(G203="",N203=""),"",N203*G203)</f>
        <v/>
      </c>
      <c r="P203" s="538" t="str">
        <f>IF(OR(H203="",M203="FUERA DE RANGO"),"",IF(OR(L203&lt;$O$17,L203&gt;$P$17,L203="",H203="NO"),"",IF(OR(N203="",O203=""),"",ROUND(O203,3))))</f>
        <v/>
      </c>
      <c r="Q203" s="539" t="str">
        <f t="shared" ref="Q203:Q212" si="53">IF(AND(H203="SI",P203&lt;&gt;""),ROUND(P203/M203,3),"")</f>
        <v/>
      </c>
      <c r="R203" s="737"/>
      <c r="S203" s="738"/>
      <c r="T203" s="739"/>
      <c r="U203" s="470" t="s">
        <v>368</v>
      </c>
      <c r="V203" s="165"/>
      <c r="W203" s="446" t="s">
        <v>25</v>
      </c>
      <c r="X203" s="456">
        <v>1</v>
      </c>
      <c r="Y203" s="436" t="s">
        <v>25</v>
      </c>
      <c r="Z203" s="437"/>
      <c r="AA203" s="560" t="s">
        <v>319</v>
      </c>
      <c r="AB203" s="561" t="s">
        <v>294</v>
      </c>
      <c r="AC203" s="87"/>
      <c r="AD203" s="466" t="s">
        <v>289</v>
      </c>
      <c r="AE203" s="456" t="s">
        <v>25</v>
      </c>
      <c r="AF203" s="467" t="s">
        <v>25</v>
      </c>
      <c r="AG203" s="87"/>
      <c r="AH203" s="87"/>
      <c r="AI203" s="87"/>
    </row>
    <row r="204" spans="1:35">
      <c r="A204" s="80" t="e">
        <f>"B"&amp;E199</f>
        <v>#N/A</v>
      </c>
      <c r="B204" s="81">
        <v>2</v>
      </c>
      <c r="C204" s="106"/>
      <c r="D204" s="106"/>
      <c r="E204" s="589"/>
      <c r="F204" s="106"/>
      <c r="G204" s="83"/>
      <c r="H204" s="83"/>
      <c r="I204" s="84"/>
      <c r="J204" s="85"/>
      <c r="K204" s="382"/>
      <c r="L204" s="85"/>
      <c r="M204" s="332" t="str">
        <f t="shared" si="52"/>
        <v/>
      </c>
      <c r="N204" s="86">
        <f>82767482/433700</f>
        <v>190.84040119898546</v>
      </c>
      <c r="O204" s="453" t="str">
        <f t="shared" ref="O204:O212" si="54">IF(OR(G204="",N204=""),"",N204*G204)</f>
        <v/>
      </c>
      <c r="P204" s="538" t="str">
        <f t="shared" ref="P204:P212" si="55">IF(OR(H204="",M204="FUERA DE RANGO"),"",IF(OR(L204&lt;$O$17,L204&gt;$P$17,L204="",H204="NO"),"",IF(OR(N204="",O204=""),"",ROUND(O204,3))))</f>
        <v/>
      </c>
      <c r="Q204" s="539" t="str">
        <f t="shared" si="53"/>
        <v/>
      </c>
      <c r="R204" s="740"/>
      <c r="S204" s="741"/>
      <c r="T204" s="742"/>
      <c r="U204" s="471"/>
      <c r="V204" s="165"/>
      <c r="W204" s="446" t="s">
        <v>25</v>
      </c>
      <c r="X204" s="456">
        <v>18</v>
      </c>
      <c r="Y204" s="436" t="s">
        <v>25</v>
      </c>
      <c r="Z204" s="437"/>
      <c r="AA204" s="560" t="s">
        <v>319</v>
      </c>
      <c r="AB204" s="561" t="s">
        <v>294</v>
      </c>
      <c r="AC204" s="87"/>
      <c r="AD204" s="466" t="s">
        <v>289</v>
      </c>
      <c r="AE204" s="456" t="s">
        <v>25</v>
      </c>
      <c r="AF204" s="467" t="s">
        <v>25</v>
      </c>
      <c r="AG204" s="87"/>
      <c r="AH204" s="87"/>
      <c r="AI204" s="87"/>
    </row>
    <row r="205" spans="1:35">
      <c r="A205" s="80" t="e">
        <f>"C"&amp;E199</f>
        <v>#N/A</v>
      </c>
      <c r="B205" s="88">
        <v>3</v>
      </c>
      <c r="C205" s="82"/>
      <c r="D205" s="82"/>
      <c r="E205" s="567"/>
      <c r="F205" s="82"/>
      <c r="G205" s="83"/>
      <c r="H205" s="83"/>
      <c r="I205" s="84"/>
      <c r="J205" s="85"/>
      <c r="K205" s="382"/>
      <c r="L205" s="85"/>
      <c r="M205" s="332" t="str">
        <f t="shared" si="52"/>
        <v/>
      </c>
      <c r="N205" s="86">
        <f>34001961/496900</f>
        <v>68.428176695512178</v>
      </c>
      <c r="O205" s="453" t="str">
        <f t="shared" si="54"/>
        <v/>
      </c>
      <c r="P205" s="538" t="str">
        <f t="shared" si="55"/>
        <v/>
      </c>
      <c r="Q205" s="539" t="str">
        <f t="shared" si="53"/>
        <v/>
      </c>
      <c r="R205" s="706"/>
      <c r="S205" s="707"/>
      <c r="T205" s="708"/>
      <c r="U205" s="472"/>
      <c r="V205" s="166"/>
      <c r="W205" s="446" t="s">
        <v>25</v>
      </c>
      <c r="X205" s="456">
        <v>27</v>
      </c>
      <c r="Y205" s="436" t="s">
        <v>25</v>
      </c>
      <c r="Z205" s="437"/>
      <c r="AA205" s="560" t="s">
        <v>319</v>
      </c>
      <c r="AB205" s="561" t="s">
        <v>294</v>
      </c>
      <c r="AC205" s="87"/>
      <c r="AD205" s="466" t="s">
        <v>289</v>
      </c>
      <c r="AE205" s="456" t="s">
        <v>25</v>
      </c>
      <c r="AF205" s="467" t="s">
        <v>25</v>
      </c>
      <c r="AG205" s="87"/>
      <c r="AH205" s="87"/>
      <c r="AI205" s="87"/>
    </row>
    <row r="206" spans="1:35">
      <c r="A206" s="80" t="e">
        <f>"D"&amp;E199</f>
        <v>#N/A</v>
      </c>
      <c r="B206" s="105">
        <v>4</v>
      </c>
      <c r="C206" s="107"/>
      <c r="D206" s="107"/>
      <c r="E206" s="590"/>
      <c r="F206" s="107"/>
      <c r="G206" s="83"/>
      <c r="H206" s="83"/>
      <c r="I206" s="84"/>
      <c r="J206" s="85"/>
      <c r="K206" s="382"/>
      <c r="L206" s="85"/>
      <c r="M206" s="332" t="str">
        <f t="shared" si="52"/>
        <v/>
      </c>
      <c r="N206" s="86">
        <f>26385662/689455</f>
        <v>38.270317859758798</v>
      </c>
      <c r="O206" s="453" t="str">
        <f t="shared" si="54"/>
        <v/>
      </c>
      <c r="P206" s="538" t="str">
        <f t="shared" si="55"/>
        <v/>
      </c>
      <c r="Q206" s="539" t="str">
        <f t="shared" si="53"/>
        <v/>
      </c>
      <c r="R206" s="706"/>
      <c r="S206" s="707"/>
      <c r="T206" s="708"/>
      <c r="U206" s="472"/>
      <c r="V206" s="166"/>
      <c r="W206" s="446" t="s">
        <v>25</v>
      </c>
      <c r="X206" s="456">
        <v>6</v>
      </c>
      <c r="Y206" s="436" t="s">
        <v>25</v>
      </c>
      <c r="Z206" s="437"/>
      <c r="AA206" s="560" t="s">
        <v>319</v>
      </c>
      <c r="AB206" s="561" t="s">
        <v>294</v>
      </c>
      <c r="AC206" s="87"/>
      <c r="AD206" s="466" t="s">
        <v>289</v>
      </c>
      <c r="AE206" s="456" t="s">
        <v>25</v>
      </c>
      <c r="AF206" s="467" t="s">
        <v>25</v>
      </c>
      <c r="AG206" s="87"/>
      <c r="AH206" s="87"/>
      <c r="AI206" s="87"/>
    </row>
    <row r="207" spans="1:35">
      <c r="A207" s="80" t="e">
        <f>"E"&amp;E199</f>
        <v>#N/A</v>
      </c>
      <c r="B207" s="105">
        <v>5</v>
      </c>
      <c r="C207" s="107"/>
      <c r="D207" s="107"/>
      <c r="E207" s="107"/>
      <c r="F207" s="107"/>
      <c r="G207" s="83"/>
      <c r="H207" s="83"/>
      <c r="I207" s="84"/>
      <c r="J207" s="85"/>
      <c r="K207" s="382"/>
      <c r="L207" s="85"/>
      <c r="M207" s="332" t="str">
        <f t="shared" si="52"/>
        <v/>
      </c>
      <c r="N207" s="86"/>
      <c r="O207" s="453" t="str">
        <f t="shared" si="54"/>
        <v/>
      </c>
      <c r="P207" s="538" t="str">
        <f t="shared" si="55"/>
        <v/>
      </c>
      <c r="Q207" s="539" t="str">
        <f t="shared" si="53"/>
        <v/>
      </c>
      <c r="R207" s="706"/>
      <c r="S207" s="707"/>
      <c r="T207" s="708"/>
      <c r="U207" s="472"/>
      <c r="V207" s="167"/>
      <c r="W207" s="446"/>
      <c r="X207" s="456"/>
      <c r="Y207" s="436"/>
      <c r="Z207" s="437"/>
      <c r="AA207" s="560"/>
      <c r="AB207" s="561"/>
      <c r="AC207" s="87"/>
      <c r="AD207" s="466"/>
      <c r="AE207" s="456"/>
      <c r="AF207" s="467"/>
      <c r="AG207" s="87"/>
      <c r="AH207" s="87"/>
      <c r="AI207" s="87"/>
    </row>
    <row r="208" spans="1:35">
      <c r="A208" s="80" t="e">
        <f>"F"&amp;E199</f>
        <v>#N/A</v>
      </c>
      <c r="B208" s="105">
        <v>6</v>
      </c>
      <c r="C208" s="107"/>
      <c r="D208" s="107"/>
      <c r="E208" s="107"/>
      <c r="F208" s="107"/>
      <c r="G208" s="83"/>
      <c r="H208" s="83"/>
      <c r="I208" s="84"/>
      <c r="J208" s="85"/>
      <c r="K208" s="382"/>
      <c r="L208" s="85"/>
      <c r="M208" s="332" t="str">
        <f t="shared" si="52"/>
        <v/>
      </c>
      <c r="N208" s="86"/>
      <c r="O208" s="453" t="str">
        <f t="shared" si="54"/>
        <v/>
      </c>
      <c r="P208" s="538" t="str">
        <f t="shared" si="55"/>
        <v/>
      </c>
      <c r="Q208" s="539" t="str">
        <f t="shared" si="53"/>
        <v/>
      </c>
      <c r="R208" s="706"/>
      <c r="S208" s="707"/>
      <c r="T208" s="708"/>
      <c r="U208" s="472"/>
      <c r="V208" s="167"/>
      <c r="W208" s="446"/>
      <c r="X208" s="456"/>
      <c r="Y208" s="436"/>
      <c r="Z208" s="437"/>
      <c r="AA208" s="560"/>
      <c r="AB208" s="561"/>
      <c r="AC208" s="87"/>
      <c r="AD208" s="466"/>
      <c r="AE208" s="456"/>
      <c r="AF208" s="467"/>
      <c r="AG208" s="87"/>
      <c r="AH208" s="87"/>
      <c r="AI208" s="87"/>
    </row>
    <row r="209" spans="1:35">
      <c r="A209" s="80" t="e">
        <f>"G"&amp;E199</f>
        <v>#N/A</v>
      </c>
      <c r="B209" s="105">
        <v>7</v>
      </c>
      <c r="C209" s="107"/>
      <c r="D209" s="107"/>
      <c r="E209" s="107"/>
      <c r="F209" s="107"/>
      <c r="G209" s="83"/>
      <c r="H209" s="83"/>
      <c r="I209" s="84"/>
      <c r="J209" s="85"/>
      <c r="K209" s="382"/>
      <c r="L209" s="85"/>
      <c r="M209" s="332" t="str">
        <f t="shared" si="52"/>
        <v/>
      </c>
      <c r="N209" s="86"/>
      <c r="O209" s="86" t="str">
        <f t="shared" si="54"/>
        <v/>
      </c>
      <c r="P209" s="538" t="str">
        <f t="shared" si="55"/>
        <v/>
      </c>
      <c r="Q209" s="539" t="str">
        <f t="shared" si="53"/>
        <v/>
      </c>
      <c r="R209" s="706"/>
      <c r="S209" s="707"/>
      <c r="T209" s="708"/>
      <c r="U209" s="472"/>
      <c r="V209" s="167"/>
      <c r="W209" s="446"/>
      <c r="X209" s="456"/>
      <c r="Y209" s="436"/>
      <c r="Z209" s="437"/>
      <c r="AA209" s="560"/>
      <c r="AB209" s="561"/>
      <c r="AC209" s="87"/>
      <c r="AD209" s="466"/>
      <c r="AE209" s="456"/>
      <c r="AF209" s="467"/>
      <c r="AG209" s="87"/>
      <c r="AH209" s="87"/>
      <c r="AI209" s="87"/>
    </row>
    <row r="210" spans="1:35">
      <c r="A210" s="80" t="e">
        <f>"H"&amp;E199</f>
        <v>#N/A</v>
      </c>
      <c r="B210" s="105">
        <v>8</v>
      </c>
      <c r="C210" s="107"/>
      <c r="D210" s="107"/>
      <c r="E210" s="107"/>
      <c r="F210" s="107"/>
      <c r="G210" s="83"/>
      <c r="H210" s="83"/>
      <c r="I210" s="84"/>
      <c r="J210" s="85"/>
      <c r="K210" s="382"/>
      <c r="L210" s="85"/>
      <c r="M210" s="332" t="str">
        <f t="shared" si="52"/>
        <v/>
      </c>
      <c r="N210" s="453"/>
      <c r="O210" s="86" t="str">
        <f t="shared" si="54"/>
        <v/>
      </c>
      <c r="P210" s="538" t="str">
        <f t="shared" si="55"/>
        <v/>
      </c>
      <c r="Q210" s="539" t="str">
        <f t="shared" si="53"/>
        <v/>
      </c>
      <c r="R210" s="706"/>
      <c r="S210" s="707"/>
      <c r="T210" s="708"/>
      <c r="U210" s="472"/>
      <c r="V210" s="167"/>
      <c r="W210" s="446"/>
      <c r="X210" s="456"/>
      <c r="Y210" s="436"/>
      <c r="Z210" s="437"/>
      <c r="AA210" s="560"/>
      <c r="AB210" s="561"/>
      <c r="AC210" s="87"/>
      <c r="AD210" s="466"/>
      <c r="AE210" s="456"/>
      <c r="AF210" s="467"/>
      <c r="AG210" s="87"/>
      <c r="AH210" s="87"/>
      <c r="AI210" s="87"/>
    </row>
    <row r="211" spans="1:35">
      <c r="A211" s="80" t="e">
        <f>"I"&amp;E199</f>
        <v>#N/A</v>
      </c>
      <c r="B211" s="105">
        <v>9</v>
      </c>
      <c r="C211" s="107"/>
      <c r="D211" s="107"/>
      <c r="E211" s="107"/>
      <c r="F211" s="107"/>
      <c r="G211" s="83"/>
      <c r="H211" s="83"/>
      <c r="I211" s="84"/>
      <c r="J211" s="85"/>
      <c r="K211" s="382"/>
      <c r="L211" s="85"/>
      <c r="M211" s="332" t="str">
        <f t="shared" si="52"/>
        <v/>
      </c>
      <c r="N211" s="453"/>
      <c r="O211" s="86" t="str">
        <f t="shared" si="54"/>
        <v/>
      </c>
      <c r="P211" s="538" t="str">
        <f t="shared" si="55"/>
        <v/>
      </c>
      <c r="Q211" s="539" t="str">
        <f t="shared" si="53"/>
        <v/>
      </c>
      <c r="R211" s="706"/>
      <c r="S211" s="707"/>
      <c r="T211" s="708"/>
      <c r="U211" s="472"/>
      <c r="V211" s="167"/>
      <c r="W211" s="446"/>
      <c r="X211" s="456"/>
      <c r="Y211" s="436"/>
      <c r="Z211" s="437"/>
      <c r="AA211" s="560"/>
      <c r="AB211" s="561"/>
      <c r="AC211" s="87"/>
      <c r="AD211" s="466"/>
      <c r="AE211" s="456"/>
      <c r="AF211" s="467"/>
      <c r="AG211" s="87"/>
      <c r="AH211" s="87"/>
      <c r="AI211" s="87"/>
    </row>
    <row r="212" spans="1:35">
      <c r="A212" s="80" t="e">
        <f>"J"&amp;E199</f>
        <v>#N/A</v>
      </c>
      <c r="B212" s="105">
        <v>10</v>
      </c>
      <c r="C212" s="107"/>
      <c r="D212" s="107"/>
      <c r="E212" s="107"/>
      <c r="F212" s="107"/>
      <c r="G212" s="83"/>
      <c r="H212" s="83"/>
      <c r="I212" s="84"/>
      <c r="J212" s="85"/>
      <c r="K212" s="382"/>
      <c r="L212" s="85"/>
      <c r="M212" s="332" t="str">
        <f t="shared" si="52"/>
        <v/>
      </c>
      <c r="N212" s="453"/>
      <c r="O212" s="86" t="str">
        <f t="shared" si="54"/>
        <v/>
      </c>
      <c r="P212" s="538" t="str">
        <f t="shared" si="55"/>
        <v/>
      </c>
      <c r="Q212" s="539" t="str">
        <f t="shared" si="53"/>
        <v/>
      </c>
      <c r="R212" s="706"/>
      <c r="S212" s="707"/>
      <c r="T212" s="708"/>
      <c r="U212" s="472"/>
      <c r="V212" s="167"/>
      <c r="W212" s="446"/>
      <c r="X212" s="456"/>
      <c r="Y212" s="436"/>
      <c r="Z212" s="437"/>
      <c r="AA212" s="560"/>
      <c r="AB212" s="561"/>
      <c r="AC212" s="87"/>
      <c r="AD212" s="466"/>
      <c r="AE212" s="456"/>
      <c r="AF212" s="467"/>
      <c r="AG212" s="87"/>
      <c r="AH212" s="87"/>
      <c r="AI212" s="87"/>
    </row>
    <row r="213" spans="1:35" ht="16.5" thickBot="1">
      <c r="A213" s="44"/>
      <c r="B213" s="89"/>
      <c r="C213" s="90"/>
      <c r="D213" s="90"/>
      <c r="E213" s="90"/>
      <c r="F213" s="90"/>
      <c r="G213" s="90"/>
      <c r="H213" s="90"/>
      <c r="I213" s="90"/>
      <c r="J213" s="90"/>
      <c r="K213" s="90"/>
      <c r="L213" s="90"/>
      <c r="M213" s="90"/>
      <c r="N213" s="90"/>
      <c r="O213" s="90"/>
      <c r="P213" s="90"/>
      <c r="Q213" s="90"/>
      <c r="R213" s="90"/>
      <c r="S213" s="91"/>
      <c r="T213" s="92"/>
      <c r="U213" s="473"/>
      <c r="W213" s="438"/>
      <c r="X213" s="455"/>
      <c r="Y213" s="439"/>
      <c r="Z213" s="437"/>
      <c r="AA213" s="530"/>
      <c r="AB213" s="563"/>
      <c r="AC213" s="87"/>
      <c r="AD213" s="440"/>
      <c r="AE213" s="441"/>
      <c r="AF213" s="442"/>
      <c r="AG213" s="49"/>
      <c r="AH213" s="87"/>
      <c r="AI213" s="87"/>
    </row>
    <row r="214" spans="1:35" ht="16.5" thickBot="1">
      <c r="A214" s="93"/>
      <c r="B214" s="94"/>
      <c r="C214" s="96"/>
      <c r="D214" s="96"/>
      <c r="E214" s="96"/>
      <c r="F214" s="96"/>
      <c r="G214" s="96"/>
      <c r="H214" s="96"/>
      <c r="I214" s="96"/>
      <c r="J214" s="96"/>
      <c r="K214" s="96"/>
      <c r="L214" s="96"/>
      <c r="M214" s="136"/>
      <c r="N214" s="96"/>
      <c r="O214" s="96"/>
      <c r="P214" s="97"/>
      <c r="Q214" s="97"/>
      <c r="R214" s="98"/>
      <c r="S214" s="95"/>
      <c r="T214" s="99"/>
      <c r="U214" s="469"/>
      <c r="AC214" s="58"/>
      <c r="AG214" s="58"/>
      <c r="AH214" s="87"/>
      <c r="AI214" s="87"/>
    </row>
    <row r="215" spans="1:35" ht="16.5" thickBot="1">
      <c r="B215" s="101"/>
      <c r="C215" s="101"/>
      <c r="D215" s="101"/>
      <c r="E215" s="101"/>
      <c r="F215" s="101"/>
      <c r="G215" s="101"/>
      <c r="H215" s="101"/>
      <c r="I215" s="101"/>
      <c r="J215" s="101"/>
      <c r="K215" s="101"/>
      <c r="L215" s="101"/>
      <c r="M215" s="101"/>
      <c r="N215" s="101"/>
      <c r="O215" s="101"/>
      <c r="P215" s="101"/>
      <c r="Q215" s="101"/>
      <c r="R215" s="101"/>
      <c r="S215" s="101"/>
      <c r="U215" s="50"/>
      <c r="AH215" s="87"/>
      <c r="AI215" s="87"/>
    </row>
    <row r="216" spans="1:35" ht="16.5" customHeight="1" thickBot="1">
      <c r="A216" s="44"/>
      <c r="B216" s="705" t="s">
        <v>74</v>
      </c>
      <c r="C216" s="705"/>
      <c r="D216" s="705"/>
      <c r="E216" s="705"/>
      <c r="F216" s="705"/>
      <c r="G216" s="705"/>
      <c r="H216" s="705"/>
      <c r="I216" s="705"/>
      <c r="J216" s="705"/>
      <c r="K216" s="705"/>
      <c r="L216" s="705"/>
      <c r="M216" s="705"/>
      <c r="N216" s="705"/>
      <c r="O216" s="705"/>
      <c r="P216" s="705"/>
      <c r="Q216" s="705"/>
      <c r="R216" s="705"/>
      <c r="S216" s="705"/>
      <c r="T216" s="705"/>
      <c r="U216" s="108"/>
      <c r="Y216" s="532" t="s">
        <v>341</v>
      </c>
      <c r="AC216" s="49"/>
      <c r="AD216" s="687" t="s">
        <v>302</v>
      </c>
      <c r="AE216" s="688"/>
      <c r="AF216" s="689"/>
      <c r="AG216" s="49"/>
      <c r="AH216" s="87"/>
      <c r="AI216" s="87"/>
    </row>
    <row r="217" spans="1:35" ht="15.75" customHeight="1" thickBot="1">
      <c r="A217" s="218" t="e">
        <f>"K"&amp;E199</f>
        <v>#N/A</v>
      </c>
      <c r="B217" s="701" t="s">
        <v>71</v>
      </c>
      <c r="C217" s="751" t="s">
        <v>102</v>
      </c>
      <c r="D217" s="751"/>
      <c r="E217" s="751"/>
      <c r="F217" s="751"/>
      <c r="G217" s="751"/>
      <c r="H217" s="751"/>
      <c r="I217" s="751"/>
      <c r="J217" s="751"/>
      <c r="K217" s="751"/>
      <c r="L217" s="722" t="s">
        <v>100</v>
      </c>
      <c r="M217" s="747" t="s">
        <v>114</v>
      </c>
      <c r="N217" s="747"/>
      <c r="O217" s="747"/>
      <c r="P217" s="747"/>
      <c r="Q217" s="748"/>
      <c r="R217" s="758" t="s">
        <v>280</v>
      </c>
      <c r="S217" s="748"/>
      <c r="T217" s="762" t="str">
        <f>IF(COUNTIF(AE217:AF217,"VERIFICAR")&gt;0,"VERIFICAR",IF(COUNTIF(AE217:AF217,"NO CUMPLE")&gt;0,"NO CUMPLE","CUMPLE"))</f>
        <v>CUMPLE</v>
      </c>
      <c r="U217" s="108"/>
      <c r="Y217" s="533" t="e">
        <f>IF(F218="","",IF(F218=1,"INDIVIDUAL","ESTRUCTURA PLURAL"))</f>
        <v>#N/A</v>
      </c>
      <c r="AC217" s="52"/>
      <c r="AD217" s="475" t="s">
        <v>303</v>
      </c>
      <c r="AE217" s="476" t="str">
        <f>IF(COUNTIF(AE203:AE212,"")=10,"VERIFICAR",IF(COUNTIF(AE203:AE212,"SI")&gt;0,"CUMPLE","NO CUMPLE"))</f>
        <v>CUMPLE</v>
      </c>
      <c r="AF217" s="477" t="str">
        <f>IF(COUNTIF(AF203:AF212,"")=10,"VERIFICAR",IF(COUNTIF(AF203:AF212,"SI")&gt;=$AI$22,"CUMPLE","NO CUMPLE"))</f>
        <v>CUMPLE</v>
      </c>
      <c r="AG217" s="52"/>
      <c r="AH217" s="87"/>
      <c r="AI217" s="87"/>
    </row>
    <row r="218" spans="1:35" ht="16.5" customHeight="1" thickBot="1">
      <c r="A218" s="218" t="e">
        <f>"L"&amp;E199</f>
        <v>#N/A</v>
      </c>
      <c r="B218" s="702"/>
      <c r="C218" s="751" t="s">
        <v>103</v>
      </c>
      <c r="D218" s="751"/>
      <c r="E218" s="752"/>
      <c r="F218" s="557" t="e">
        <f>IF(VLOOKUP(E199,PROPONENTES!$C$19:$E$218,3,0)="","",VLOOKUP(E199,PROPONENTES!$C$19:$E$218,3,0))</f>
        <v>#N/A</v>
      </c>
      <c r="G218" s="753" t="s">
        <v>104</v>
      </c>
      <c r="H218" s="751"/>
      <c r="I218" s="715" t="e">
        <f>IF(OR(F218="",F218=1),"INTERESADO PERSONA NATURAL O JURIDICA","CONSORCIO O UNION TEMPORAL")</f>
        <v>#N/A</v>
      </c>
      <c r="J218" s="725"/>
      <c r="K218" s="728"/>
      <c r="L218" s="723"/>
      <c r="M218" s="749"/>
      <c r="N218" s="749"/>
      <c r="O218" s="749"/>
      <c r="P218" s="749"/>
      <c r="Q218" s="750"/>
      <c r="R218" s="712"/>
      <c r="S218" s="750"/>
      <c r="T218" s="763"/>
      <c r="U218" s="108"/>
      <c r="Y218" s="534"/>
      <c r="AA218" s="52"/>
      <c r="AB218" s="52"/>
      <c r="AC218" s="52"/>
      <c r="AG218" s="52"/>
      <c r="AH218" s="87"/>
      <c r="AI218" s="87"/>
    </row>
    <row r="219" spans="1:35" ht="56.25" customHeight="1" thickBot="1">
      <c r="A219" s="218" t="e">
        <f>"M"&amp;E199</f>
        <v>#N/A</v>
      </c>
      <c r="B219" s="702"/>
      <c r="C219" s="725" t="s">
        <v>101</v>
      </c>
      <c r="D219" s="716"/>
      <c r="E219" s="558" t="s">
        <v>105</v>
      </c>
      <c r="F219" s="554" t="s">
        <v>87</v>
      </c>
      <c r="G219" s="553" t="s">
        <v>86</v>
      </c>
      <c r="H219" s="559" t="s">
        <v>85</v>
      </c>
      <c r="I219" s="554" t="s">
        <v>252</v>
      </c>
      <c r="J219" s="553" t="str">
        <f>"¿EL INTEGRANTE TIENE UNA PARTICIPACIÓN DEL "&amp;PORCREQUERIDOINT*100&amp;"%?"</f>
        <v>¿EL INTEGRANTE TIENE UNA PARTICIPACIÓN DEL 60%?</v>
      </c>
      <c r="K219" s="554" t="s">
        <v>107</v>
      </c>
      <c r="L219" s="724"/>
      <c r="M219" s="717" t="s">
        <v>115</v>
      </c>
      <c r="N219" s="718"/>
      <c r="O219" s="718"/>
      <c r="P219" s="718"/>
      <c r="Q219" s="223">
        <f>IF(AND(H203="SI",P203&gt;=0),1,0)+IF(AND(H204="SI",P204&gt;=0),1,0)+IF(AND(H205="SI",P205&gt;=0),1,0)+IF(AND(H206="SI",P206&gt;=0),1,0)+IF(AND(H207="SI",P207&gt;=0),1,0)+IF(AND(H208="SI",P208&gt;=0),1,0)+IF(AND(H209="SI",P209&gt;=0),1,0)+IF(AND(H210="SI",P210&gt;=0),1,0)+IF(AND(H211="SI",P211&gt;=0),1,0)+IF(AND(H212="SI",P212&gt;=0),1,0)</f>
        <v>0</v>
      </c>
      <c r="R219" s="759"/>
      <c r="S219" s="761"/>
      <c r="T219" s="764"/>
      <c r="U219" s="219"/>
      <c r="V219" s="464"/>
      <c r="Y219" s="532" t="s">
        <v>342</v>
      </c>
      <c r="AA219" s="550" t="s">
        <v>344</v>
      </c>
      <c r="AB219" s="693" t="s">
        <v>345</v>
      </c>
      <c r="AC219" s="693" t="s">
        <v>346</v>
      </c>
      <c r="AD219" s="685" t="s">
        <v>347</v>
      </c>
      <c r="AE219" s="52"/>
      <c r="AF219" s="52"/>
      <c r="AG219" s="52"/>
      <c r="AH219" s="87"/>
      <c r="AI219" s="87"/>
    </row>
    <row r="220" spans="1:35" ht="28.5" customHeight="1" thickBot="1">
      <c r="A220" s="218" t="e">
        <f>"N"&amp;E199</f>
        <v>#N/A</v>
      </c>
      <c r="B220" s="702"/>
      <c r="C220" s="114"/>
      <c r="D220" s="194"/>
      <c r="E220" s="211"/>
      <c r="F220" s="547"/>
      <c r="G220" s="333"/>
      <c r="H220" s="535"/>
      <c r="I220" s="212"/>
      <c r="J220" s="213"/>
      <c r="K220" s="200"/>
      <c r="L220" s="722"/>
      <c r="M220" s="726" t="s">
        <v>119</v>
      </c>
      <c r="N220" s="726"/>
      <c r="O220" s="726"/>
      <c r="P220" s="726"/>
      <c r="Q220" s="727"/>
      <c r="R220" s="758" t="s">
        <v>80</v>
      </c>
      <c r="S220" s="747"/>
      <c r="T220" s="748"/>
      <c r="U220" s="219"/>
      <c r="V220" s="464"/>
      <c r="Y220" s="533" t="e">
        <f>IF(Y217="","",IF(Y217="INDIVIDUAL","NO APLICA","VERIFICAR CUADRO"))</f>
        <v>#N/A</v>
      </c>
      <c r="AA220" s="551"/>
      <c r="AB220" s="694"/>
      <c r="AC220" s="694"/>
      <c r="AD220" s="686"/>
      <c r="AE220" s="52"/>
      <c r="AF220" s="52"/>
      <c r="AG220" s="52"/>
      <c r="AH220" s="87"/>
      <c r="AI220" s="87"/>
    </row>
    <row r="221" spans="1:35" ht="34.5" customHeight="1" thickBot="1">
      <c r="A221" s="218" t="e">
        <f>"O"&amp;E199</f>
        <v>#N/A</v>
      </c>
      <c r="B221" s="702"/>
      <c r="C221" s="114"/>
      <c r="D221" s="194"/>
      <c r="E221" s="211"/>
      <c r="F221" s="547"/>
      <c r="G221" s="333"/>
      <c r="H221" s="535"/>
      <c r="I221" s="212"/>
      <c r="J221" s="213"/>
      <c r="K221" s="200"/>
      <c r="L221" s="723"/>
      <c r="M221" s="715" t="s">
        <v>116</v>
      </c>
      <c r="N221" s="716"/>
      <c r="O221" s="556" t="s">
        <v>113</v>
      </c>
      <c r="P221" s="715" t="s">
        <v>117</v>
      </c>
      <c r="Q221" s="728"/>
      <c r="R221" s="759"/>
      <c r="S221" s="760"/>
      <c r="T221" s="761"/>
      <c r="U221" s="219"/>
      <c r="V221" s="464"/>
      <c r="Y221" s="414"/>
      <c r="AA221" s="542" t="e">
        <f>IF(AND(C220&lt;=F218,F218&gt;1,F218&lt;&gt;""),VLOOKUP(VALUE(E199&amp;","&amp;C220),INTEGRANTES!$D$18:$F$235,2,0),"")</f>
        <v>#N/A</v>
      </c>
      <c r="AB221" s="544" t="str">
        <f t="shared" ref="AB221:AB226" si="56">IF(D220="","",IF(OR(F220=0,G220=0),"NO APORTA",ROUND($F220/$G220,3)))</f>
        <v/>
      </c>
      <c r="AC221" s="529"/>
      <c r="AD221" s="200" t="e">
        <f t="shared" ref="AD221:AD226" si="57">IF(OR(AA221="",AB221=""),"",IF(AND(AC221="X",AB221&gt;=EXPREQVTD),"CUMPLE","NO CUMPLE"))</f>
        <v>#N/A</v>
      </c>
      <c r="AE221" s="52"/>
      <c r="AF221" s="52"/>
      <c r="AG221" s="52"/>
      <c r="AH221" s="87"/>
      <c r="AI221" s="87"/>
    </row>
    <row r="222" spans="1:35" ht="29.25" customHeight="1" thickBot="1">
      <c r="A222" s="218" t="e">
        <f>"P"&amp;E199</f>
        <v>#N/A</v>
      </c>
      <c r="B222" s="702"/>
      <c r="C222" s="114"/>
      <c r="D222" s="194"/>
      <c r="E222" s="211"/>
      <c r="F222" s="547"/>
      <c r="G222" s="333"/>
      <c r="H222" s="535"/>
      <c r="I222" s="212"/>
      <c r="J222" s="213"/>
      <c r="K222" s="200"/>
      <c r="L222" s="724"/>
      <c r="M222" s="729">
        <f>NUMMOD</f>
        <v>1</v>
      </c>
      <c r="N222" s="730"/>
      <c r="O222" s="443">
        <f>IF(M222="","",VLOOKUP(M222,PRESUPUESTOS!$B$16:$H$16,5,FALSE))</f>
        <v>2</v>
      </c>
      <c r="P222" s="713">
        <f>IF(OR(COUNTIF(M203:M212,"")&gt;=10,Q219&lt;NUMMINCONT,OR(T217="NO CUMPLE",T217="VERIFICAR")),0,ROUND(AVERAGE(M203:M212),3))</f>
        <v>0</v>
      </c>
      <c r="Q222" s="714"/>
      <c r="R222" s="458"/>
      <c r="S222" s="459"/>
      <c r="T222" s="460"/>
      <c r="U222" s="219"/>
      <c r="V222" s="464"/>
      <c r="Y222" s="532" t="str">
        <f>"40% * ("&amp;PRESUPUESTOS!$H$13&amp;")"</f>
        <v>40% * (50% PFMO)</v>
      </c>
      <c r="AA222" s="540" t="e">
        <f>IF(AND(C221&lt;=F218,F218&lt;&gt;""),VLOOKUP(VALUE(E199&amp;","&amp;C221),INTEGRANTES!$D$18:$F$235,2,0),"")</f>
        <v>#N/A</v>
      </c>
      <c r="AB222" s="545" t="str">
        <f t="shared" si="56"/>
        <v/>
      </c>
      <c r="AC222" s="529"/>
      <c r="AD222" s="200" t="e">
        <f t="shared" si="57"/>
        <v>#N/A</v>
      </c>
      <c r="AE222" s="52"/>
      <c r="AF222" s="52"/>
      <c r="AG222" s="52"/>
      <c r="AH222" s="87"/>
      <c r="AI222" s="87"/>
    </row>
    <row r="223" spans="1:35" ht="15.75" customHeight="1" thickBot="1">
      <c r="A223" s="218" t="e">
        <f>"Q"&amp;E199</f>
        <v>#N/A</v>
      </c>
      <c r="B223" s="702"/>
      <c r="C223" s="114"/>
      <c r="D223" s="194"/>
      <c r="E223" s="211"/>
      <c r="F223" s="547"/>
      <c r="G223" s="333"/>
      <c r="H223" s="535"/>
      <c r="I223" s="212"/>
      <c r="J223" s="213"/>
      <c r="K223" s="200"/>
      <c r="L223" s="720"/>
      <c r="M223" s="757" t="s">
        <v>120</v>
      </c>
      <c r="N223" s="726"/>
      <c r="O223" s="726"/>
      <c r="P223" s="726"/>
      <c r="Q223" s="727"/>
      <c r="R223" s="458"/>
      <c r="S223" s="459"/>
      <c r="T223" s="460"/>
      <c r="U223" s="219"/>
      <c r="V223" s="464"/>
      <c r="Y223" s="537">
        <f>0.4*PRESUPUESTOS!$H$16</f>
        <v>10.3124</v>
      </c>
      <c r="AA223" s="540" t="e">
        <f>IF(AND(C222&lt;=F218,F218&lt;&gt;""),VLOOKUP(VALUE(E199&amp;","&amp;C222),INTEGRANTES!$D$18:$F$235,2,0),"")</f>
        <v>#N/A</v>
      </c>
      <c r="AB223" s="545" t="str">
        <f t="shared" si="56"/>
        <v/>
      </c>
      <c r="AC223" s="529"/>
      <c r="AD223" s="200" t="e">
        <f t="shared" si="57"/>
        <v>#N/A</v>
      </c>
      <c r="AE223" s="52"/>
      <c r="AF223" s="52"/>
      <c r="AG223" s="52"/>
      <c r="AH223" s="87"/>
      <c r="AI223" s="87"/>
    </row>
    <row r="224" spans="1:35" ht="27" customHeight="1" thickBot="1">
      <c r="A224" s="218" t="e">
        <f>"R"&amp;E199</f>
        <v>#N/A</v>
      </c>
      <c r="B224" s="702"/>
      <c r="C224" s="114"/>
      <c r="D224" s="194"/>
      <c r="E224" s="211"/>
      <c r="F224" s="547"/>
      <c r="G224" s="333"/>
      <c r="H224" s="535"/>
      <c r="I224" s="212"/>
      <c r="J224" s="213"/>
      <c r="K224" s="200"/>
      <c r="L224" s="721"/>
      <c r="M224" s="715" t="s">
        <v>116</v>
      </c>
      <c r="N224" s="716"/>
      <c r="O224" s="556" t="str">
        <f>PORCREQUERIDO*100&amp;"% PMFO DEL MÓDULO"</f>
        <v>50% PMFO DEL MÓDULO</v>
      </c>
      <c r="P224" s="715" t="s">
        <v>118</v>
      </c>
      <c r="Q224" s="728"/>
      <c r="R224" s="458"/>
      <c r="S224" s="459"/>
      <c r="T224" s="460"/>
      <c r="U224" s="219"/>
      <c r="V224" s="464"/>
      <c r="Y224" s="414"/>
      <c r="AA224" s="540" t="e">
        <f>IF(AND(C223&lt;=F218,F218&lt;&gt;""),VLOOKUP(VALUE(E199&amp;","&amp;C223),INTEGRANTES!$D$18:$F$235,2,0),"")</f>
        <v>#N/A</v>
      </c>
      <c r="AB224" s="545" t="str">
        <f t="shared" si="56"/>
        <v/>
      </c>
      <c r="AC224" s="529"/>
      <c r="AD224" s="200" t="e">
        <f t="shared" si="57"/>
        <v>#N/A</v>
      </c>
      <c r="AE224" s="52"/>
      <c r="AF224" s="52"/>
      <c r="AG224" s="52"/>
      <c r="AH224" s="87"/>
      <c r="AI224" s="87"/>
    </row>
    <row r="225" spans="1:35" ht="16.5" thickBot="1">
      <c r="A225" s="218" t="e">
        <f>"S"&amp;E199</f>
        <v>#N/A</v>
      </c>
      <c r="B225" s="702"/>
      <c r="C225" s="215"/>
      <c r="D225" s="216"/>
      <c r="E225" s="217"/>
      <c r="F225" s="548"/>
      <c r="G225" s="334"/>
      <c r="H225" s="536"/>
      <c r="I225" s="214"/>
      <c r="J225" s="213"/>
      <c r="K225" s="200"/>
      <c r="L225" s="721"/>
      <c r="M225" s="729">
        <f>NUMMOD</f>
        <v>1</v>
      </c>
      <c r="N225" s="730"/>
      <c r="O225" s="443">
        <f>IF(M225="","",ROUND(VLOOKUP(M225,PRESUPUESTOS!$B$16:$H$16,7,FALSE),3))</f>
        <v>25.780999999999999</v>
      </c>
      <c r="P225" s="713">
        <f>IF(OR(COUNTIF(P203:P212,"")&gt;=10,Q219&lt;NUMMINCONT,OR(T217="NO CUMPLE",T217="VERIFICAR")),0,ROUND((SUM(P203:P212)/SUM(M203:M212)),3))</f>
        <v>0</v>
      </c>
      <c r="Q225" s="714"/>
      <c r="R225" s="458"/>
      <c r="S225" s="459"/>
      <c r="T225" s="460"/>
      <c r="U225" s="219"/>
      <c r="V225" s="464"/>
      <c r="Y225" s="532" t="s">
        <v>343</v>
      </c>
      <c r="AA225" s="540" t="e">
        <f>IF(AND(C224&lt;=F218,F218&lt;&gt;""),VLOOKUP(VALUE(E199&amp;","&amp;C224),INTEGRANTES!$D$18:$F$235,2,0),"")</f>
        <v>#N/A</v>
      </c>
      <c r="AB225" s="545" t="str">
        <f t="shared" si="56"/>
        <v/>
      </c>
      <c r="AC225" s="529"/>
      <c r="AD225" s="200" t="e">
        <f t="shared" si="57"/>
        <v>#N/A</v>
      </c>
      <c r="AE225" s="52"/>
      <c r="AF225" s="52"/>
      <c r="AG225" s="52"/>
      <c r="AH225" s="87"/>
      <c r="AI225" s="87"/>
    </row>
    <row r="226" spans="1:35" ht="16.5" customHeight="1" thickBot="1">
      <c r="A226" s="218" t="e">
        <f>"T"&amp;E199</f>
        <v>#N/A</v>
      </c>
      <c r="B226" s="703"/>
      <c r="C226" s="719"/>
      <c r="D226" s="719"/>
      <c r="E226" s="719"/>
      <c r="F226" s="719"/>
      <c r="G226" s="719"/>
      <c r="H226" s="719" t="s">
        <v>110</v>
      </c>
      <c r="I226" s="719"/>
      <c r="J226" s="719"/>
      <c r="K226" s="201" t="str">
        <f>IF(COUNTIF(K220:K225,"")=6,"",IF(COUNTIF(K220:K225,"CUMPLE")&gt;0,"CUMPLE","NO CUMPLE"))</f>
        <v/>
      </c>
      <c r="L226" s="754"/>
      <c r="M226" s="755"/>
      <c r="N226" s="755"/>
      <c r="O226" s="755"/>
      <c r="P226" s="755"/>
      <c r="Q226" s="756"/>
      <c r="R226" s="461"/>
      <c r="S226" s="462"/>
      <c r="T226" s="463"/>
      <c r="U226" s="219"/>
      <c r="V226" s="464"/>
      <c r="Y226" s="549" t="e">
        <f>IF(Y220="NO APLICA","NO APLICA",IF(COUNTIF(AD221:AD226,"CUMPLE")&gt;0,"CUMPLE","NO CUMPLE"))</f>
        <v>#N/A</v>
      </c>
      <c r="AA226" s="541" t="e">
        <f>IF(AND(C225&lt;=F218,F218&lt;&gt;""),VLOOKUP(VALUE(E199&amp;","&amp;C225),INTEGRANTES!$D$18:$F$235,2,0),"")</f>
        <v>#N/A</v>
      </c>
      <c r="AB226" s="546" t="str">
        <f t="shared" si="56"/>
        <v/>
      </c>
      <c r="AC226" s="543"/>
      <c r="AD226" s="201" t="e">
        <f t="shared" si="57"/>
        <v>#N/A</v>
      </c>
      <c r="AE226" s="52"/>
      <c r="AF226" s="52"/>
      <c r="AG226" s="52"/>
      <c r="AH226" s="87"/>
      <c r="AI226" s="87"/>
    </row>
    <row r="227" spans="1:35">
      <c r="A227" s="103"/>
      <c r="B227" s="206"/>
      <c r="C227" s="206"/>
      <c r="D227" s="206"/>
      <c r="E227" s="206"/>
      <c r="F227" s="206"/>
      <c r="G227" s="206"/>
      <c r="H227" s="206"/>
      <c r="I227" s="104"/>
      <c r="J227" s="206"/>
      <c r="K227" s="113"/>
      <c r="L227" s="113"/>
      <c r="M227" s="113"/>
      <c r="N227" s="222"/>
      <c r="O227" s="113"/>
      <c r="P227" s="113"/>
      <c r="Q227" s="113"/>
      <c r="R227" s="206"/>
      <c r="S227" s="104"/>
      <c r="T227" s="206"/>
      <c r="U227" s="474"/>
      <c r="AH227" s="87"/>
      <c r="AI227" s="87"/>
    </row>
    <row r="228" spans="1:35">
      <c r="H228" s="220"/>
      <c r="AH228" s="87"/>
      <c r="AI228" s="87"/>
    </row>
    <row r="229" spans="1:35" ht="24" thickBot="1">
      <c r="A229" s="61">
        <v>8</v>
      </c>
      <c r="B229" s="704" t="s">
        <v>51</v>
      </c>
      <c r="C229" s="704"/>
      <c r="D229" s="704"/>
      <c r="E229" s="62" t="e">
        <f>VLOOKUP(A229,PROPONENTES!$B$19:$E$218,2,FALSE)</f>
        <v>#N/A</v>
      </c>
      <c r="F229" s="63" t="e">
        <f>VLOOKUP(A229,PROPONENTES!$B$19:$E$218,3,FALSE)</f>
        <v>#N/A</v>
      </c>
      <c r="G229" s="64"/>
      <c r="H229" s="64"/>
      <c r="I229" s="63"/>
      <c r="J229" s="63"/>
      <c r="K229" s="65"/>
      <c r="L229" s="65"/>
      <c r="M229" s="64"/>
      <c r="N229" s="64"/>
      <c r="O229" s="66"/>
      <c r="P229" s="66"/>
      <c r="Q229" s="66"/>
      <c r="R229" s="66"/>
      <c r="S229" s="67"/>
      <c r="T229" s="68"/>
      <c r="U229" s="68"/>
      <c r="AC229" s="68"/>
      <c r="AD229" s="68"/>
      <c r="AE229" s="68"/>
      <c r="AF229" s="68"/>
      <c r="AG229" s="68"/>
      <c r="AH229" s="87"/>
      <c r="AI229" s="87"/>
    </row>
    <row r="230" spans="1:35" ht="15.75" customHeight="1">
      <c r="A230" s="44"/>
      <c r="B230" s="709" t="s">
        <v>59</v>
      </c>
      <c r="C230" s="552" t="s">
        <v>60</v>
      </c>
      <c r="D230" s="70" t="s">
        <v>17</v>
      </c>
      <c r="E230" s="70"/>
      <c r="F230" s="70" t="s">
        <v>61</v>
      </c>
      <c r="G230" s="71"/>
      <c r="H230" s="699" t="s">
        <v>62</v>
      </c>
      <c r="I230" s="699" t="s">
        <v>18</v>
      </c>
      <c r="J230" s="699" t="s">
        <v>63</v>
      </c>
      <c r="K230" s="699" t="s">
        <v>64</v>
      </c>
      <c r="L230" s="699" t="s">
        <v>65</v>
      </c>
      <c r="M230" s="743" t="s">
        <v>66</v>
      </c>
      <c r="N230" s="699" t="s">
        <v>282</v>
      </c>
      <c r="O230" s="745" t="s">
        <v>67</v>
      </c>
      <c r="P230" s="746"/>
      <c r="Q230" s="102" t="s">
        <v>75</v>
      </c>
      <c r="R230" s="731" t="s">
        <v>22</v>
      </c>
      <c r="S230" s="732"/>
      <c r="T230" s="733"/>
      <c r="U230" s="712" t="s">
        <v>298</v>
      </c>
      <c r="W230" s="690" t="s">
        <v>268</v>
      </c>
      <c r="X230" s="691"/>
      <c r="Y230" s="692"/>
      <c r="Z230" s="428"/>
      <c r="AA230" s="697" t="s">
        <v>315</v>
      </c>
      <c r="AB230" s="695" t="s">
        <v>322</v>
      </c>
      <c r="AC230" s="49"/>
      <c r="AD230" s="690" t="s">
        <v>297</v>
      </c>
      <c r="AE230" s="691"/>
      <c r="AF230" s="692"/>
      <c r="AG230" s="49"/>
      <c r="AH230" s="87"/>
      <c r="AI230" s="87"/>
    </row>
    <row r="231" spans="1:35" ht="72">
      <c r="A231" s="44"/>
      <c r="B231" s="710"/>
      <c r="C231" s="553" t="s">
        <v>68</v>
      </c>
      <c r="D231" s="73" t="s">
        <v>3</v>
      </c>
      <c r="E231" s="73" t="s">
        <v>19</v>
      </c>
      <c r="F231" s="73" t="s">
        <v>69</v>
      </c>
      <c r="G231" s="74" t="s">
        <v>70</v>
      </c>
      <c r="H231" s="700"/>
      <c r="I231" s="700"/>
      <c r="J231" s="700"/>
      <c r="K231" s="700"/>
      <c r="L231" s="700"/>
      <c r="M231" s="744"/>
      <c r="N231" s="700"/>
      <c r="O231" s="553" t="s">
        <v>279</v>
      </c>
      <c r="P231" s="73" t="s">
        <v>88</v>
      </c>
      <c r="Q231" s="555" t="s">
        <v>76</v>
      </c>
      <c r="R231" s="734"/>
      <c r="S231" s="735"/>
      <c r="T231" s="736"/>
      <c r="U231" s="712"/>
      <c r="W231" s="429" t="s">
        <v>269</v>
      </c>
      <c r="X231" s="457" t="s">
        <v>278</v>
      </c>
      <c r="Y231" s="430" t="s">
        <v>365</v>
      </c>
      <c r="Z231" s="428"/>
      <c r="AA231" s="698"/>
      <c r="AB231" s="696"/>
      <c r="AC231" s="49"/>
      <c r="AD231" s="429" t="s">
        <v>292</v>
      </c>
      <c r="AE231" s="431" t="s">
        <v>300</v>
      </c>
      <c r="AF231" s="468" t="s">
        <v>301</v>
      </c>
      <c r="AG231" s="49"/>
      <c r="AH231" s="87"/>
      <c r="AI231" s="87"/>
    </row>
    <row r="232" spans="1:35">
      <c r="A232" s="44"/>
      <c r="B232" s="76"/>
      <c r="C232" s="77"/>
      <c r="D232" s="77"/>
      <c r="E232" s="77"/>
      <c r="F232" s="77"/>
      <c r="G232" s="77"/>
      <c r="H232" s="77"/>
      <c r="I232" s="77"/>
      <c r="J232" s="77"/>
      <c r="K232" s="77"/>
      <c r="L232" s="77"/>
      <c r="M232" s="77"/>
      <c r="N232" s="77"/>
      <c r="O232" s="77"/>
      <c r="P232" s="77"/>
      <c r="Q232" s="77"/>
      <c r="R232" s="77"/>
      <c r="S232" s="78"/>
      <c r="T232" s="79"/>
      <c r="U232" s="109"/>
      <c r="V232" s="49"/>
      <c r="W232" s="432"/>
      <c r="X232" s="454"/>
      <c r="Y232" s="433"/>
      <c r="Z232" s="6"/>
      <c r="AA232" s="500"/>
      <c r="AB232" s="562"/>
      <c r="AC232" s="49"/>
      <c r="AD232" s="210"/>
      <c r="AE232" s="434"/>
      <c r="AF232" s="435"/>
      <c r="AG232" s="49"/>
      <c r="AH232" s="87"/>
      <c r="AI232" s="87"/>
    </row>
    <row r="233" spans="1:35" ht="63.75" customHeight="1">
      <c r="A233" s="80" t="e">
        <f>"A"&amp;E229</f>
        <v>#N/A</v>
      </c>
      <c r="B233" s="81"/>
      <c r="C233" s="82"/>
      <c r="D233" s="82"/>
      <c r="E233" s="567"/>
      <c r="F233" s="82"/>
      <c r="G233" s="83"/>
      <c r="H233" s="83"/>
      <c r="I233" s="84"/>
      <c r="J233" s="85"/>
      <c r="K233" s="382"/>
      <c r="L233" s="85"/>
      <c r="M233" s="332"/>
      <c r="N233" s="86"/>
      <c r="O233" s="453"/>
      <c r="P233" s="538"/>
      <c r="Q233" s="539" t="str">
        <f t="shared" ref="Q233:Q242" si="58">IF(AND(H233="SI",P233&lt;&gt;""),ROUND(P233/M233,3),"")</f>
        <v/>
      </c>
      <c r="R233" s="737"/>
      <c r="S233" s="738"/>
      <c r="T233" s="739"/>
      <c r="U233" s="470"/>
      <c r="V233" s="165"/>
      <c r="W233" s="446" t="s">
        <v>25</v>
      </c>
      <c r="X233" s="456" t="s">
        <v>379</v>
      </c>
      <c r="Y233" s="436" t="s">
        <v>25</v>
      </c>
      <c r="Z233" s="437"/>
      <c r="AA233" s="560" t="s">
        <v>317</v>
      </c>
      <c r="AB233" s="561" t="s">
        <v>294</v>
      </c>
      <c r="AC233" s="87"/>
      <c r="AD233" s="466" t="s">
        <v>289</v>
      </c>
      <c r="AE233" s="456" t="s">
        <v>25</v>
      </c>
      <c r="AF233" s="467" t="s">
        <v>25</v>
      </c>
      <c r="AG233" s="87"/>
      <c r="AH233" s="87"/>
      <c r="AI233" s="87"/>
    </row>
    <row r="234" spans="1:35" ht="47.25" customHeight="1">
      <c r="A234" s="80" t="e">
        <f>"B"&amp;E229</f>
        <v>#N/A</v>
      </c>
      <c r="B234" s="81"/>
      <c r="C234" s="82"/>
      <c r="D234" s="106"/>
      <c r="E234" s="568"/>
      <c r="F234" s="106"/>
      <c r="G234" s="83"/>
      <c r="H234" s="83"/>
      <c r="I234" s="84"/>
      <c r="J234" s="85"/>
      <c r="K234" s="382"/>
      <c r="L234" s="85"/>
      <c r="M234" s="332"/>
      <c r="N234" s="86"/>
      <c r="O234" s="453"/>
      <c r="P234" s="538"/>
      <c r="Q234" s="539" t="str">
        <f t="shared" si="58"/>
        <v/>
      </c>
      <c r="R234" s="740"/>
      <c r="S234" s="741"/>
      <c r="T234" s="742"/>
      <c r="U234" s="471"/>
      <c r="V234" s="165"/>
      <c r="W234" s="446" t="s">
        <v>25</v>
      </c>
      <c r="X234" s="456" t="s">
        <v>380</v>
      </c>
      <c r="Y234" s="436" t="s">
        <v>25</v>
      </c>
      <c r="Z234" s="437"/>
      <c r="AA234" s="560" t="s">
        <v>317</v>
      </c>
      <c r="AB234" s="561" t="s">
        <v>294</v>
      </c>
      <c r="AC234" s="87"/>
      <c r="AD234" s="466" t="s">
        <v>289</v>
      </c>
      <c r="AE234" s="456"/>
      <c r="AF234" s="467"/>
      <c r="AG234" s="87"/>
      <c r="AH234" s="87"/>
      <c r="AI234" s="87"/>
    </row>
    <row r="235" spans="1:35" ht="105" customHeight="1">
      <c r="A235" s="80" t="e">
        <f>"C"&amp;E229</f>
        <v>#N/A</v>
      </c>
      <c r="B235" s="88"/>
      <c r="C235" s="82"/>
      <c r="D235" s="82"/>
      <c r="E235" s="567"/>
      <c r="F235" s="82"/>
      <c r="G235" s="83"/>
      <c r="H235" s="83"/>
      <c r="I235" s="84"/>
      <c r="J235" s="85"/>
      <c r="K235" s="382"/>
      <c r="L235" s="85"/>
      <c r="M235" s="332"/>
      <c r="N235" s="86"/>
      <c r="O235" s="453"/>
      <c r="P235" s="538"/>
      <c r="Q235" s="539" t="str">
        <f t="shared" si="58"/>
        <v/>
      </c>
      <c r="R235" s="706"/>
      <c r="S235" s="707"/>
      <c r="T235" s="708"/>
      <c r="U235" s="472"/>
      <c r="V235" s="166"/>
      <c r="W235" s="446" t="s">
        <v>25</v>
      </c>
      <c r="X235" s="456" t="s">
        <v>381</v>
      </c>
      <c r="Y235" s="436" t="s">
        <v>25</v>
      </c>
      <c r="Z235" s="437"/>
      <c r="AA235" s="560"/>
      <c r="AB235" s="561"/>
      <c r="AC235" s="87"/>
      <c r="AD235" s="466" t="s">
        <v>289</v>
      </c>
      <c r="AE235" s="456"/>
      <c r="AF235" s="467"/>
      <c r="AG235" s="87"/>
      <c r="AH235" s="87"/>
      <c r="AI235" s="87"/>
    </row>
    <row r="236" spans="1:35" ht="82.5" customHeight="1">
      <c r="A236" s="80" t="e">
        <f>"D"&amp;E229</f>
        <v>#N/A</v>
      </c>
      <c r="B236" s="105"/>
      <c r="C236" s="107"/>
      <c r="D236" s="107"/>
      <c r="E236" s="569"/>
      <c r="F236" s="107"/>
      <c r="G236" s="83"/>
      <c r="H236" s="83"/>
      <c r="I236" s="84"/>
      <c r="J236" s="85"/>
      <c r="K236" s="382"/>
      <c r="L236" s="85"/>
      <c r="M236" s="332"/>
      <c r="N236" s="86"/>
      <c r="O236" s="453"/>
      <c r="P236" s="538"/>
      <c r="Q236" s="539" t="str">
        <f t="shared" si="58"/>
        <v/>
      </c>
      <c r="R236" s="706"/>
      <c r="S236" s="707"/>
      <c r="T236" s="708"/>
      <c r="U236" s="472"/>
      <c r="V236" s="166"/>
      <c r="W236" s="446" t="s">
        <v>25</v>
      </c>
      <c r="X236" s="456" t="s">
        <v>382</v>
      </c>
      <c r="Y236" s="436" t="s">
        <v>25</v>
      </c>
      <c r="Z236" s="437"/>
      <c r="AA236" s="560" t="s">
        <v>320</v>
      </c>
      <c r="AB236" s="561"/>
      <c r="AC236" s="87"/>
      <c r="AD236" s="466" t="s">
        <v>289</v>
      </c>
      <c r="AE236" s="456"/>
      <c r="AF236" s="467"/>
      <c r="AG236" s="87"/>
      <c r="AH236" s="87"/>
      <c r="AI236" s="87"/>
    </row>
    <row r="237" spans="1:35" ht="67.5" customHeight="1">
      <c r="A237" s="80" t="e">
        <f>"E"&amp;E229</f>
        <v>#N/A</v>
      </c>
      <c r="B237" s="105"/>
      <c r="C237" s="107"/>
      <c r="D237" s="107"/>
      <c r="E237" s="569"/>
      <c r="F237" s="107"/>
      <c r="G237" s="83"/>
      <c r="H237" s="83"/>
      <c r="I237" s="84"/>
      <c r="J237" s="85"/>
      <c r="K237" s="382"/>
      <c r="L237" s="85"/>
      <c r="M237" s="332"/>
      <c r="N237" s="86"/>
      <c r="O237" s="453"/>
      <c r="P237" s="538"/>
      <c r="Q237" s="539" t="str">
        <f t="shared" si="58"/>
        <v/>
      </c>
      <c r="R237" s="706"/>
      <c r="S237" s="707"/>
      <c r="T237" s="708"/>
      <c r="U237" s="472"/>
      <c r="V237" s="167"/>
      <c r="W237" s="446" t="s">
        <v>25</v>
      </c>
      <c r="X237" s="456" t="s">
        <v>383</v>
      </c>
      <c r="Y237" s="436" t="s">
        <v>25</v>
      </c>
      <c r="Z237" s="437"/>
      <c r="AA237" s="560" t="s">
        <v>317</v>
      </c>
      <c r="AB237" s="561" t="s">
        <v>294</v>
      </c>
      <c r="AC237" s="87"/>
      <c r="AD237" s="466" t="s">
        <v>289</v>
      </c>
      <c r="AE237" s="456"/>
      <c r="AF237" s="467"/>
      <c r="AG237" s="87"/>
      <c r="AH237" s="87"/>
      <c r="AI237" s="87"/>
    </row>
    <row r="238" spans="1:35">
      <c r="A238" s="80" t="e">
        <f>"F"&amp;E229</f>
        <v>#N/A</v>
      </c>
      <c r="B238" s="105">
        <v>6</v>
      </c>
      <c r="C238" s="107"/>
      <c r="D238" s="107"/>
      <c r="E238" s="107"/>
      <c r="F238" s="107"/>
      <c r="G238" s="83"/>
      <c r="H238" s="83"/>
      <c r="I238" s="84"/>
      <c r="J238" s="85"/>
      <c r="K238" s="382"/>
      <c r="L238" s="85"/>
      <c r="M238" s="332" t="str">
        <f>IF(OR(J238="",L238="",H238="NO"),"",IF(OR(J238&gt;$P$17,J238&lt;$O$17,L238&gt;$P$17,AND(J238&lt;$O$17,L238&lt;$O$17)),"FUERA DE RANGO",IF(OR(K238="---",K238=""),IF(J238&gt;=$O$17,ROUND((L238-J238+1)/360*12,3),ROUND((L238-$O$17+1)/360*12,3)),IF(J238&gt;=$O$17,ROUND((L238-J238+1)/360*12-ROUND(K238,3),3),ROUND((L238-$O$17+1)/360*12-ROUND(K238,3),3)))))</f>
        <v/>
      </c>
      <c r="N238" s="86"/>
      <c r="O238" s="453" t="str">
        <f>IF(OR(G238="",N238=""),"",N238*G238)</f>
        <v/>
      </c>
      <c r="P238" s="538" t="str">
        <f>IF(OR(H238="",M238="FUERA DE RANGO"),"",IF(OR(L238&lt;$O$17,L238&gt;$P$17,L238="",H238="NO"),"",IF(OR(N238="",O238=""),"",ROUND(O238,3))))</f>
        <v/>
      </c>
      <c r="Q238" s="539" t="str">
        <f t="shared" si="58"/>
        <v/>
      </c>
      <c r="R238" s="706"/>
      <c r="S238" s="707"/>
      <c r="T238" s="708"/>
      <c r="U238" s="472"/>
      <c r="V238" s="167"/>
      <c r="W238" s="446"/>
      <c r="X238" s="456"/>
      <c r="Y238" s="436"/>
      <c r="Z238" s="437"/>
      <c r="AA238" s="560"/>
      <c r="AB238" s="561"/>
      <c r="AC238" s="87"/>
      <c r="AD238" s="466"/>
      <c r="AE238" s="456"/>
      <c r="AF238" s="467"/>
      <c r="AG238" s="87"/>
      <c r="AH238" s="87"/>
      <c r="AI238" s="87"/>
    </row>
    <row r="239" spans="1:35">
      <c r="A239" s="80" t="e">
        <f>"G"&amp;E229</f>
        <v>#N/A</v>
      </c>
      <c r="B239" s="105">
        <v>7</v>
      </c>
      <c r="C239" s="107"/>
      <c r="D239" s="107"/>
      <c r="E239" s="107"/>
      <c r="F239" s="107"/>
      <c r="G239" s="83"/>
      <c r="H239" s="83"/>
      <c r="I239" s="84"/>
      <c r="J239" s="85"/>
      <c r="K239" s="382"/>
      <c r="L239" s="85"/>
      <c r="M239" s="332" t="str">
        <f>IF(OR(J239="",L239="",H239="NO"),"",IF(OR(J239&gt;$P$17,J239&lt;$O$17,L239&gt;$P$17,AND(J239&lt;$O$17,L239&lt;$O$17)),"FUERA DE RANGO",IF(OR(K239="---",K239=""),IF(J239&gt;=$O$17,ROUND((L239-J239+1)/360*12,3),ROUND((L239-$O$17+1)/360*12,3)),IF(J239&gt;=$O$17,ROUND((L239-J239+1)/360*12-ROUND(K239,3),3),ROUND((L239-$O$17+1)/360*12-ROUND(K239,3),3)))))</f>
        <v/>
      </c>
      <c r="N239" s="86"/>
      <c r="O239" s="86" t="str">
        <f>IF(OR(G239="",N239=""),"",N239*G239)</f>
        <v/>
      </c>
      <c r="P239" s="538" t="str">
        <f>IF(OR(H239="",M239="FUERA DE RANGO"),"",IF(OR(L239&lt;$O$17,L239&gt;$P$17,L239="",H239="NO"),"",IF(OR(N239="",O239=""),"",ROUND(O239,3))))</f>
        <v/>
      </c>
      <c r="Q239" s="539" t="str">
        <f t="shared" si="58"/>
        <v/>
      </c>
      <c r="R239" s="706"/>
      <c r="S239" s="707"/>
      <c r="T239" s="708"/>
      <c r="U239" s="472"/>
      <c r="V239" s="167"/>
      <c r="W239" s="446"/>
      <c r="X239" s="456"/>
      <c r="Y239" s="436"/>
      <c r="Z239" s="437"/>
      <c r="AA239" s="560"/>
      <c r="AB239" s="561"/>
      <c r="AC239" s="87"/>
      <c r="AD239" s="466"/>
      <c r="AE239" s="456"/>
      <c r="AF239" s="467"/>
      <c r="AG239" s="87"/>
      <c r="AH239" s="87"/>
      <c r="AI239" s="87"/>
    </row>
    <row r="240" spans="1:35">
      <c r="A240" s="80" t="e">
        <f>"H"&amp;E229</f>
        <v>#N/A</v>
      </c>
      <c r="B240" s="105">
        <v>8</v>
      </c>
      <c r="C240" s="107"/>
      <c r="D240" s="107"/>
      <c r="E240" s="107"/>
      <c r="F240" s="107"/>
      <c r="G240" s="83"/>
      <c r="H240" s="83"/>
      <c r="I240" s="84"/>
      <c r="J240" s="85"/>
      <c r="K240" s="382"/>
      <c r="L240" s="85"/>
      <c r="M240" s="332" t="str">
        <f>IF(OR(J240="",L240="",H240="NO"),"",IF(OR(J240&gt;$P$17,J240&lt;$O$17,L240&gt;$P$17,AND(J240&lt;$O$17,L240&lt;$O$17)),"FUERA DE RANGO",IF(OR(K240="---",K240=""),IF(J240&gt;=$O$17,ROUND((L240-J240+1)/360*12,3),ROUND((L240-$O$17+1)/360*12,3)),IF(J240&gt;=$O$17,ROUND((L240-J240+1)/360*12-ROUND(K240,3),3),ROUND((L240-$O$17+1)/360*12-ROUND(K240,3),3)))))</f>
        <v/>
      </c>
      <c r="N240" s="453"/>
      <c r="O240" s="86" t="str">
        <f>IF(OR(G240="",N240=""),"",N240*G240)</f>
        <v/>
      </c>
      <c r="P240" s="538" t="str">
        <f>IF(OR(H240="",M240="FUERA DE RANGO"),"",IF(OR(L240&lt;$O$17,L240&gt;$P$17,L240="",H240="NO"),"",IF(OR(N240="",O240=""),"",ROUND(O240,3))))</f>
        <v/>
      </c>
      <c r="Q240" s="539" t="str">
        <f t="shared" si="58"/>
        <v/>
      </c>
      <c r="R240" s="706"/>
      <c r="S240" s="707"/>
      <c r="T240" s="708"/>
      <c r="U240" s="472"/>
      <c r="V240" s="167"/>
      <c r="W240" s="446"/>
      <c r="X240" s="456"/>
      <c r="Y240" s="436"/>
      <c r="Z240" s="437"/>
      <c r="AA240" s="560"/>
      <c r="AB240" s="561"/>
      <c r="AC240" s="87"/>
      <c r="AD240" s="466"/>
      <c r="AE240" s="456"/>
      <c r="AF240" s="467"/>
      <c r="AG240" s="87"/>
      <c r="AH240" s="87"/>
      <c r="AI240" s="87"/>
    </row>
    <row r="241" spans="1:35">
      <c r="A241" s="80" t="e">
        <f>"I"&amp;E229</f>
        <v>#N/A</v>
      </c>
      <c r="B241" s="105">
        <v>9</v>
      </c>
      <c r="C241" s="107"/>
      <c r="D241" s="107"/>
      <c r="E241" s="107"/>
      <c r="F241" s="107"/>
      <c r="G241" s="83"/>
      <c r="H241" s="83"/>
      <c r="I241" s="84"/>
      <c r="J241" s="85"/>
      <c r="K241" s="382"/>
      <c r="L241" s="85"/>
      <c r="M241" s="332" t="str">
        <f>IF(OR(J241="",L241="",H241="NO"),"",IF(OR(J241&gt;$P$17,J241&lt;$O$17,L241&gt;$P$17,AND(J241&lt;$O$17,L241&lt;$O$17)),"FUERA DE RANGO",IF(OR(K241="---",K241=""),IF(J241&gt;=$O$17,ROUND((L241-J241+1)/360*12,3),ROUND((L241-$O$17+1)/360*12,3)),IF(J241&gt;=$O$17,ROUND((L241-J241+1)/360*12-ROUND(K241,3),3),ROUND((L241-$O$17+1)/360*12-ROUND(K241,3),3)))))</f>
        <v/>
      </c>
      <c r="N241" s="453"/>
      <c r="O241" s="86" t="str">
        <f>IF(OR(G241="",N241=""),"",N241*G241)</f>
        <v/>
      </c>
      <c r="P241" s="538" t="str">
        <f>IF(OR(H241="",M241="FUERA DE RANGO"),"",IF(OR(L241&lt;$O$17,L241&gt;$P$17,L241="",H241="NO"),"",IF(OR(N241="",O241=""),"",ROUND(O241,3))))</f>
        <v/>
      </c>
      <c r="Q241" s="539" t="str">
        <f t="shared" si="58"/>
        <v/>
      </c>
      <c r="R241" s="706"/>
      <c r="S241" s="707"/>
      <c r="T241" s="708"/>
      <c r="U241" s="472"/>
      <c r="V241" s="167"/>
      <c r="W241" s="446"/>
      <c r="X241" s="456"/>
      <c r="Y241" s="436"/>
      <c r="Z241" s="437"/>
      <c r="AA241" s="560"/>
      <c r="AB241" s="561"/>
      <c r="AC241" s="87"/>
      <c r="AD241" s="466"/>
      <c r="AE241" s="456"/>
      <c r="AF241" s="467"/>
      <c r="AG241" s="87"/>
      <c r="AH241" s="87"/>
      <c r="AI241" s="87"/>
    </row>
    <row r="242" spans="1:35">
      <c r="A242" s="80" t="e">
        <f>"J"&amp;E229</f>
        <v>#N/A</v>
      </c>
      <c r="B242" s="105">
        <v>10</v>
      </c>
      <c r="C242" s="107"/>
      <c r="D242" s="107"/>
      <c r="E242" s="107"/>
      <c r="F242" s="107"/>
      <c r="G242" s="83"/>
      <c r="H242" s="83"/>
      <c r="I242" s="84"/>
      <c r="J242" s="85"/>
      <c r="K242" s="382"/>
      <c r="L242" s="85"/>
      <c r="M242" s="332" t="str">
        <f>IF(OR(J242="",L242="",H242="NO"),"",IF(OR(J242&gt;$P$17,J242&lt;$O$17,L242&gt;$P$17,AND(J242&lt;$O$17,L242&lt;$O$17)),"FUERA DE RANGO",IF(OR(K242="---",K242=""),IF(J242&gt;=$O$17,ROUND((L242-J242+1)/360*12,3),ROUND((L242-$O$17+1)/360*12,3)),IF(J242&gt;=$O$17,ROUND((L242-J242+1)/360*12-ROUND(K242,3),3),ROUND((L242-$O$17+1)/360*12-ROUND(K242,3),3)))))</f>
        <v/>
      </c>
      <c r="N242" s="453"/>
      <c r="O242" s="86" t="str">
        <f>IF(OR(G242="",N242=""),"",N242*G242)</f>
        <v/>
      </c>
      <c r="P242" s="538" t="str">
        <f>IF(OR(H242="",M242="FUERA DE RANGO"),"",IF(OR(L242&lt;$O$17,L242&gt;$P$17,L242="",H242="NO"),"",IF(OR(N242="",O242=""),"",ROUND(O242,3))))</f>
        <v/>
      </c>
      <c r="Q242" s="539" t="str">
        <f t="shared" si="58"/>
        <v/>
      </c>
      <c r="R242" s="706"/>
      <c r="S242" s="707"/>
      <c r="T242" s="708"/>
      <c r="U242" s="472"/>
      <c r="V242" s="167"/>
      <c r="W242" s="446"/>
      <c r="X242" s="456"/>
      <c r="Y242" s="436"/>
      <c r="Z242" s="437"/>
      <c r="AA242" s="560"/>
      <c r="AB242" s="561"/>
      <c r="AC242" s="87"/>
      <c r="AD242" s="466"/>
      <c r="AE242" s="456"/>
      <c r="AF242" s="467"/>
      <c r="AG242" s="87"/>
      <c r="AH242" s="87"/>
      <c r="AI242" s="87"/>
    </row>
    <row r="243" spans="1:35" ht="16.5" thickBot="1">
      <c r="A243" s="44"/>
      <c r="B243" s="89"/>
      <c r="C243" s="90"/>
      <c r="D243" s="90"/>
      <c r="E243" s="90"/>
      <c r="F243" s="90"/>
      <c r="G243" s="90"/>
      <c r="H243" s="90"/>
      <c r="I243" s="90"/>
      <c r="J243" s="90"/>
      <c r="K243" s="90"/>
      <c r="L243" s="90"/>
      <c r="M243" s="90"/>
      <c r="N243" s="90"/>
      <c r="O243" s="90"/>
      <c r="P243" s="90"/>
      <c r="Q243" s="90"/>
      <c r="R243" s="90"/>
      <c r="S243" s="91"/>
      <c r="T243" s="92"/>
      <c r="U243" s="473"/>
      <c r="W243" s="438"/>
      <c r="X243" s="455"/>
      <c r="Y243" s="439"/>
      <c r="Z243" s="437"/>
      <c r="AA243" s="530"/>
      <c r="AB243" s="563"/>
      <c r="AC243" s="87"/>
      <c r="AD243" s="440"/>
      <c r="AE243" s="441"/>
      <c r="AF243" s="442"/>
      <c r="AG243" s="49"/>
      <c r="AH243" s="87"/>
      <c r="AI243" s="87"/>
    </row>
    <row r="244" spans="1:35" ht="16.5" thickBot="1">
      <c r="A244" s="93"/>
      <c r="B244" s="94"/>
      <c r="C244" s="96"/>
      <c r="D244" s="96"/>
      <c r="E244" s="96"/>
      <c r="F244" s="96"/>
      <c r="G244" s="96"/>
      <c r="H244" s="96"/>
      <c r="I244" s="96"/>
      <c r="J244" s="96"/>
      <c r="K244" s="96"/>
      <c r="L244" s="96"/>
      <c r="M244" s="136"/>
      <c r="N244" s="96"/>
      <c r="O244" s="96"/>
      <c r="P244" s="97"/>
      <c r="Q244" s="97"/>
      <c r="R244" s="98"/>
      <c r="S244" s="95"/>
      <c r="T244" s="99"/>
      <c r="U244" s="469"/>
      <c r="AC244" s="58"/>
      <c r="AG244" s="58"/>
      <c r="AH244" s="87"/>
      <c r="AI244" s="87"/>
    </row>
    <row r="245" spans="1:35" ht="16.5" thickBot="1">
      <c r="B245" s="101"/>
      <c r="C245" s="101"/>
      <c r="D245" s="101"/>
      <c r="E245" s="101"/>
      <c r="F245" s="101"/>
      <c r="G245" s="101"/>
      <c r="H245" s="101"/>
      <c r="I245" s="101"/>
      <c r="J245" s="101"/>
      <c r="K245" s="101"/>
      <c r="L245" s="101"/>
      <c r="M245" s="101"/>
      <c r="N245" s="101"/>
      <c r="O245" s="101"/>
      <c r="P245" s="101"/>
      <c r="Q245" s="101"/>
      <c r="R245" s="101"/>
      <c r="S245" s="101"/>
      <c r="U245" s="50"/>
      <c r="AH245" s="87"/>
      <c r="AI245" s="87"/>
    </row>
    <row r="246" spans="1:35" ht="16.5" customHeight="1" thickBot="1">
      <c r="A246" s="44"/>
      <c r="B246" s="705" t="s">
        <v>74</v>
      </c>
      <c r="C246" s="705"/>
      <c r="D246" s="705"/>
      <c r="E246" s="705"/>
      <c r="F246" s="705"/>
      <c r="G246" s="705"/>
      <c r="H246" s="705"/>
      <c r="I246" s="705"/>
      <c r="J246" s="705"/>
      <c r="K246" s="705"/>
      <c r="L246" s="705"/>
      <c r="M246" s="705"/>
      <c r="N246" s="705"/>
      <c r="O246" s="705"/>
      <c r="P246" s="705"/>
      <c r="Q246" s="705"/>
      <c r="R246" s="705"/>
      <c r="S246" s="705"/>
      <c r="T246" s="705"/>
      <c r="U246" s="108"/>
      <c r="Y246" s="532" t="s">
        <v>341</v>
      </c>
      <c r="AC246" s="49"/>
      <c r="AD246" s="687" t="s">
        <v>302</v>
      </c>
      <c r="AE246" s="688"/>
      <c r="AF246" s="689"/>
      <c r="AG246" s="49"/>
      <c r="AH246" s="87"/>
      <c r="AI246" s="87"/>
    </row>
    <row r="247" spans="1:35" ht="15.75" customHeight="1" thickBot="1">
      <c r="A247" s="218" t="e">
        <f>"K"&amp;E229</f>
        <v>#N/A</v>
      </c>
      <c r="B247" s="701" t="s">
        <v>71</v>
      </c>
      <c r="C247" s="751" t="s">
        <v>102</v>
      </c>
      <c r="D247" s="751"/>
      <c r="E247" s="751"/>
      <c r="F247" s="751"/>
      <c r="G247" s="751"/>
      <c r="H247" s="751"/>
      <c r="I247" s="751"/>
      <c r="J247" s="751"/>
      <c r="K247" s="751"/>
      <c r="L247" s="722" t="s">
        <v>100</v>
      </c>
      <c r="M247" s="747" t="s">
        <v>114</v>
      </c>
      <c r="N247" s="747"/>
      <c r="O247" s="747"/>
      <c r="P247" s="747"/>
      <c r="Q247" s="748"/>
      <c r="R247" s="758" t="s">
        <v>280</v>
      </c>
      <c r="S247" s="748"/>
      <c r="T247" s="762" t="str">
        <f>IF(COUNTIF(AE247:AF247,"VERIFICAR")&gt;0,"VERIFICAR",IF(COUNTIF(AE247:AF247,"NO CUMPLE")&gt;0,"NO CUMPLE","CUMPLE"))</f>
        <v>CUMPLE</v>
      </c>
      <c r="U247" s="108"/>
      <c r="Y247" s="533" t="e">
        <f>IF(F248="","",IF(F248=1,"INDIVIDUAL","ESTRUCTURA PLURAL"))</f>
        <v>#N/A</v>
      </c>
      <c r="AC247" s="52"/>
      <c r="AD247" s="475" t="s">
        <v>303</v>
      </c>
      <c r="AE247" s="476" t="str">
        <f>IF(COUNTIF(AE233:AE242,"")=10,"VERIFICAR",IF(COUNTIF(AE233:AE242,"SI")&gt;0,"CUMPLE","NO CUMPLE"))</f>
        <v>CUMPLE</v>
      </c>
      <c r="AF247" s="477" t="str">
        <f>IF(COUNTIF(AF233:AF242,"")=10,"VERIFICAR",IF(COUNTIF(AF233:AF242,"SI")&gt;=$AI$22,"CUMPLE","NO CUMPLE"))</f>
        <v>CUMPLE</v>
      </c>
      <c r="AG247" s="52"/>
      <c r="AH247" s="87"/>
      <c r="AI247" s="87"/>
    </row>
    <row r="248" spans="1:35" ht="16.5" customHeight="1" thickBot="1">
      <c r="A248" s="218" t="e">
        <f>"L"&amp;E229</f>
        <v>#N/A</v>
      </c>
      <c r="B248" s="702"/>
      <c r="C248" s="751" t="s">
        <v>103</v>
      </c>
      <c r="D248" s="751"/>
      <c r="E248" s="752"/>
      <c r="F248" s="557" t="e">
        <f>IF(VLOOKUP(E229,PROPONENTES!$C$19:$E$218,3,0)="","",VLOOKUP(E229,PROPONENTES!$C$19:$E$218,3,0))</f>
        <v>#N/A</v>
      </c>
      <c r="G248" s="753" t="s">
        <v>104</v>
      </c>
      <c r="H248" s="751"/>
      <c r="I248" s="715" t="e">
        <f>IF(OR(F248="",F248=1),"INTERESADO PERSONA NATURAL O JURIDICA","CONSORCIO O UNION TEMPORAL")</f>
        <v>#N/A</v>
      </c>
      <c r="J248" s="725"/>
      <c r="K248" s="728"/>
      <c r="L248" s="723"/>
      <c r="M248" s="749"/>
      <c r="N248" s="749"/>
      <c r="O248" s="749"/>
      <c r="P248" s="749"/>
      <c r="Q248" s="750"/>
      <c r="R248" s="712"/>
      <c r="S248" s="750"/>
      <c r="T248" s="763"/>
      <c r="U248" s="108"/>
      <c r="Y248" s="534"/>
      <c r="AA248" s="52"/>
      <c r="AB248" s="52"/>
      <c r="AC248" s="52"/>
      <c r="AG248" s="52"/>
      <c r="AH248" s="87"/>
      <c r="AI248" s="87"/>
    </row>
    <row r="249" spans="1:35" ht="56.25" customHeight="1" thickBot="1">
      <c r="A249" s="218" t="e">
        <f>"M"&amp;E229</f>
        <v>#N/A</v>
      </c>
      <c r="B249" s="702"/>
      <c r="C249" s="725" t="s">
        <v>101</v>
      </c>
      <c r="D249" s="716"/>
      <c r="E249" s="558" t="s">
        <v>105</v>
      </c>
      <c r="F249" s="554" t="s">
        <v>87</v>
      </c>
      <c r="G249" s="553" t="s">
        <v>86</v>
      </c>
      <c r="H249" s="559" t="s">
        <v>85</v>
      </c>
      <c r="I249" s="554" t="s">
        <v>252</v>
      </c>
      <c r="J249" s="553" t="str">
        <f>"¿EL INTEGRANTE TIENE UNA PARTICIPACIÓN DEL "&amp;PORCREQUERIDOINT*100&amp;"%?"</f>
        <v>¿EL INTEGRANTE TIENE UNA PARTICIPACIÓN DEL 60%?</v>
      </c>
      <c r="K249" s="554" t="s">
        <v>107</v>
      </c>
      <c r="L249" s="724"/>
      <c r="M249" s="717" t="s">
        <v>115</v>
      </c>
      <c r="N249" s="718"/>
      <c r="O249" s="718"/>
      <c r="P249" s="718"/>
      <c r="Q249" s="223">
        <f>IF(AND(H233="SI",P233&gt;=0),1,0)+IF(AND(H234="SI",P234&gt;=0),1,0)+IF(AND(H235="SI",P235&gt;=0),1,0)+IF(AND(H236="SI",P236&gt;=0),1,0)+IF(AND(H237="SI",P237&gt;=0),1,0)+IF(AND(H238="SI",P238&gt;=0),1,0)+IF(AND(H239="SI",P239&gt;=0),1,0)+IF(AND(H240="SI",P240&gt;=0),1,0)+IF(AND(H241="SI",P241&gt;=0),1,0)+IF(AND(H242="SI",P242&gt;=0),1,0)</f>
        <v>0</v>
      </c>
      <c r="R249" s="759"/>
      <c r="S249" s="761"/>
      <c r="T249" s="764"/>
      <c r="U249" s="219"/>
      <c r="V249" s="464"/>
      <c r="Y249" s="532" t="s">
        <v>342</v>
      </c>
      <c r="AA249" s="550" t="s">
        <v>344</v>
      </c>
      <c r="AB249" s="693" t="s">
        <v>345</v>
      </c>
      <c r="AC249" s="693" t="s">
        <v>346</v>
      </c>
      <c r="AD249" s="685" t="s">
        <v>347</v>
      </c>
      <c r="AE249" s="52"/>
      <c r="AF249" s="52"/>
      <c r="AG249" s="52"/>
      <c r="AH249" s="87"/>
      <c r="AI249" s="87"/>
    </row>
    <row r="250" spans="1:35" ht="15.75" customHeight="1" thickBot="1">
      <c r="A250" s="218" t="e">
        <f>"N"&amp;E229</f>
        <v>#N/A</v>
      </c>
      <c r="B250" s="702"/>
      <c r="C250" s="114">
        <v>1</v>
      </c>
      <c r="D250" s="194" t="e">
        <f>IF(AND(C250&lt;=F248,F248&gt;1,F248&lt;&gt;""),VLOOKUP(VALUE(E229&amp;","&amp;C250),INTEGRANTES!$D$18:$F$235,2,0),"")</f>
        <v>#N/A</v>
      </c>
      <c r="E250" s="211" t="e">
        <f>IF(D250&lt;&gt;"",VLOOKUP(VALUE(E229&amp;","&amp;C250),INTEGRANTES!$D$18:$F$235,3,0),"")</f>
        <v>#N/A</v>
      </c>
      <c r="F250" s="547" t="e">
        <f>IF(D250="","",SUMIF($I233:$I242,D250,$P233:$P242))</f>
        <v>#N/A</v>
      </c>
      <c r="G250" s="333" t="e">
        <f>IF(D250="","",SUMIF($I233:$I242,D250,$M233:$M242))</f>
        <v>#N/A</v>
      </c>
      <c r="H250" s="535" t="e">
        <f t="shared" ref="H250:H255" si="59">IF(D250="","",IF(OR(F250=0,G250=0),"NO APORTA",ROUND($F250/$G250,3)))</f>
        <v>#N/A</v>
      </c>
      <c r="I250" s="212" t="e">
        <f>IF(D250="","",IF(H250="NO APORTA","NO",IF(H250=MAX($H250:$H255),"SI","NO")))</f>
        <v>#N/A</v>
      </c>
      <c r="J250" s="213" t="e">
        <f t="shared" ref="J250:J255" si="60">IF(D250="","",IF(E250&gt;=PORCREQUERIDOINT,"SI","NO"))</f>
        <v>#N/A</v>
      </c>
      <c r="K250" s="200" t="e">
        <f t="shared" ref="K250:K255" si="61">IF(D250="","",IF(AND(I250="SI",J250="SI"),"CUMPLE",IF(AND(I250="NO",OR(J250="SI",J250="NO")),"","NO CUMPLE")))</f>
        <v>#N/A</v>
      </c>
      <c r="L250" s="722" t="s">
        <v>108</v>
      </c>
      <c r="M250" s="726" t="s">
        <v>119</v>
      </c>
      <c r="N250" s="726"/>
      <c r="O250" s="726"/>
      <c r="P250" s="726"/>
      <c r="Q250" s="727"/>
      <c r="R250" s="758" t="s">
        <v>80</v>
      </c>
      <c r="S250" s="747"/>
      <c r="T250" s="748"/>
      <c r="U250" s="219"/>
      <c r="V250" s="464"/>
      <c r="Y250" s="533" t="e">
        <f>IF(Y247="","",IF(Y247="INDIVIDUAL","NO APLICA","VERIFICAR CUADRO"))</f>
        <v>#N/A</v>
      </c>
      <c r="AA250" s="551"/>
      <c r="AB250" s="694"/>
      <c r="AC250" s="694"/>
      <c r="AD250" s="686"/>
      <c r="AE250" s="52"/>
      <c r="AF250" s="52"/>
      <c r="AG250" s="52"/>
      <c r="AH250" s="87"/>
      <c r="AI250" s="87"/>
    </row>
    <row r="251" spans="1:35" ht="27" customHeight="1" thickBot="1">
      <c r="A251" s="218" t="e">
        <f>"O"&amp;E229</f>
        <v>#N/A</v>
      </c>
      <c r="B251" s="702"/>
      <c r="C251" s="114">
        <v>2</v>
      </c>
      <c r="D251" s="194" t="e">
        <f>IF(AND(C251&lt;=F248,F248&lt;&gt;""),VLOOKUP(VALUE(E229&amp;","&amp;C251),INTEGRANTES!$D$18:$F$235,2,0),"")</f>
        <v>#N/A</v>
      </c>
      <c r="E251" s="211" t="e">
        <f>IF(D251&lt;&gt;"",VLOOKUP(VALUE(E229&amp;","&amp;C251),INTEGRANTES!$D$18:$F$235,3,0),"")</f>
        <v>#N/A</v>
      </c>
      <c r="F251" s="547" t="e">
        <f>IF(D251="","",SUMIF($I233:$I242,D251,$P233:$P242))</f>
        <v>#N/A</v>
      </c>
      <c r="G251" s="333" t="e">
        <f>IF(D251="","",SUMIF($I233:$I242,D251,$M233:$M242))</f>
        <v>#N/A</v>
      </c>
      <c r="H251" s="535" t="e">
        <f t="shared" si="59"/>
        <v>#N/A</v>
      </c>
      <c r="I251" s="212" t="e">
        <f>IF(D251="","",IF(H251="NO APORTA","NO",IF(H251=MAX($H250:$H255),"SI","NO")))</f>
        <v>#N/A</v>
      </c>
      <c r="J251" s="213" t="e">
        <f t="shared" si="60"/>
        <v>#N/A</v>
      </c>
      <c r="K251" s="200" t="e">
        <f t="shared" si="61"/>
        <v>#N/A</v>
      </c>
      <c r="L251" s="723"/>
      <c r="M251" s="715" t="s">
        <v>116</v>
      </c>
      <c r="N251" s="716"/>
      <c r="O251" s="556" t="s">
        <v>113</v>
      </c>
      <c r="P251" s="715" t="s">
        <v>117</v>
      </c>
      <c r="Q251" s="728"/>
      <c r="R251" s="759"/>
      <c r="S251" s="760"/>
      <c r="T251" s="761"/>
      <c r="U251" s="219"/>
      <c r="V251" s="464"/>
      <c r="Y251" s="414"/>
      <c r="AA251" s="542" t="e">
        <f>IF(AND(C250&lt;=F248,F248&gt;1,F248&lt;&gt;""),VLOOKUP(VALUE(E229&amp;","&amp;C250),INTEGRANTES!$D$18:$F$235,2,0),"")</f>
        <v>#N/A</v>
      </c>
      <c r="AB251" s="544" t="e">
        <f t="shared" ref="AB251:AB256" si="62">IF(D250="","",IF(OR(F250=0,G250=0),"NO APORTA",ROUND($F250/$G250,3)))</f>
        <v>#N/A</v>
      </c>
      <c r="AC251" s="529"/>
      <c r="AD251" s="200" t="e">
        <f t="shared" ref="AD251:AD256" si="63">IF(OR(AA251="",AB251=""),"",IF(AND(AC251="X",AB251&gt;=EXPREQVTD),"CUMPLE","NO CUMPLE"))</f>
        <v>#N/A</v>
      </c>
      <c r="AE251" s="52"/>
      <c r="AF251" s="52"/>
      <c r="AG251" s="52"/>
      <c r="AH251" s="87"/>
      <c r="AI251" s="87"/>
    </row>
    <row r="252" spans="1:35" ht="16.5" thickBot="1">
      <c r="A252" s="218" t="e">
        <f>"P"&amp;E229</f>
        <v>#N/A</v>
      </c>
      <c r="B252" s="702"/>
      <c r="C252" s="114">
        <v>3</v>
      </c>
      <c r="D252" s="194" t="e">
        <f>IF(AND(C252&lt;=F248,F248&lt;&gt;""),VLOOKUP(VALUE(E229&amp;","&amp;C252),INTEGRANTES!$D$18:$F$235,2,0),"")</f>
        <v>#N/A</v>
      </c>
      <c r="E252" s="211" t="e">
        <f>IF(D252&lt;&gt;"",VLOOKUP(VALUE(E229&amp;","&amp;C252),INTEGRANTES!$D$18:$F$235,3,0),"")</f>
        <v>#N/A</v>
      </c>
      <c r="F252" s="547" t="e">
        <f>IF(D252="","",SUMIF($I233:$I242,D252,$P233:$P242))</f>
        <v>#N/A</v>
      </c>
      <c r="G252" s="333" t="e">
        <f>IF(D252="","",SUMIF($I233:$I242,D252,$M233:$M242))</f>
        <v>#N/A</v>
      </c>
      <c r="H252" s="535" t="e">
        <f t="shared" si="59"/>
        <v>#N/A</v>
      </c>
      <c r="I252" s="212" t="e">
        <f>IF(D252="","",IF(H252="NO APORTA","NO",IF(H252=MAX($H250:$H255),"SI","NO")))</f>
        <v>#N/A</v>
      </c>
      <c r="J252" s="213" t="e">
        <f t="shared" si="60"/>
        <v>#N/A</v>
      </c>
      <c r="K252" s="200" t="e">
        <f t="shared" si="61"/>
        <v>#N/A</v>
      </c>
      <c r="L252" s="724"/>
      <c r="M252" s="729">
        <f>NUMMOD</f>
        <v>1</v>
      </c>
      <c r="N252" s="730"/>
      <c r="O252" s="443">
        <f>IF(M252="","",VLOOKUP(M252,PRESUPUESTOS!$B$16:$H$16,5,FALSE))</f>
        <v>2</v>
      </c>
      <c r="P252" s="713">
        <f>IF(OR(COUNTIF(M233:M242,"")&gt;=10,Q249&lt;NUMMINCONT,OR(T247="NO CUMPLE",T247="VERIFICAR")),0,ROUND(AVERAGE(M233:M242),3))</f>
        <v>0</v>
      </c>
      <c r="Q252" s="714"/>
      <c r="R252" s="458"/>
      <c r="S252" s="459"/>
      <c r="T252" s="460"/>
      <c r="U252" s="219"/>
      <c r="V252" s="464"/>
      <c r="Y252" s="532" t="str">
        <f>"40% * ("&amp;PRESUPUESTOS!$H$13&amp;")"</f>
        <v>40% * (50% PFMO)</v>
      </c>
      <c r="AA252" s="540" t="e">
        <f>IF(AND(C251&lt;=F248,F248&lt;&gt;""),VLOOKUP(VALUE(E229&amp;","&amp;C251),INTEGRANTES!$D$18:$F$235,2,0),"")</f>
        <v>#N/A</v>
      </c>
      <c r="AB252" s="545" t="e">
        <f t="shared" si="62"/>
        <v>#N/A</v>
      </c>
      <c r="AC252" s="529"/>
      <c r="AD252" s="200" t="e">
        <f t="shared" si="63"/>
        <v>#N/A</v>
      </c>
      <c r="AE252" s="52"/>
      <c r="AF252" s="52"/>
      <c r="AG252" s="52"/>
      <c r="AH252" s="87"/>
      <c r="AI252" s="87"/>
    </row>
    <row r="253" spans="1:35" ht="15.75" customHeight="1" thickBot="1">
      <c r="A253" s="218" t="e">
        <f>"Q"&amp;E229</f>
        <v>#N/A</v>
      </c>
      <c r="B253" s="702"/>
      <c r="C253" s="114">
        <v>4</v>
      </c>
      <c r="D253" s="194" t="e">
        <f>IF(AND(C253&lt;=F248,F248&lt;&gt;""),VLOOKUP(VALUE(E229&amp;","&amp;C253),INTEGRANTES!$D$18:$F$235,2,0),"")</f>
        <v>#N/A</v>
      </c>
      <c r="E253" s="211" t="e">
        <f>IF(D253&lt;&gt;"",VLOOKUP(VALUE(E229&amp;","&amp;C253),INTEGRANTES!$D$18:$F$235,3,0),"")</f>
        <v>#N/A</v>
      </c>
      <c r="F253" s="547" t="e">
        <f>IF(D253="","",SUMIF($I233:$I242,D253,$P233:$P242))</f>
        <v>#N/A</v>
      </c>
      <c r="G253" s="333" t="e">
        <f>IF(D253="","",SUMIF($I233:$I242,D253,$M233:$M242))</f>
        <v>#N/A</v>
      </c>
      <c r="H253" s="535" t="e">
        <f t="shared" si="59"/>
        <v>#N/A</v>
      </c>
      <c r="I253" s="212" t="e">
        <f>IF(D253="","",IF(H253="NO APORTA","NO",IF(H253=MAX($H250:$H255),"SI","NO")))</f>
        <v>#N/A</v>
      </c>
      <c r="J253" s="213" t="e">
        <f t="shared" si="60"/>
        <v>#N/A</v>
      </c>
      <c r="K253" s="200" t="e">
        <f t="shared" si="61"/>
        <v>#N/A</v>
      </c>
      <c r="L253" s="720" t="s">
        <v>109</v>
      </c>
      <c r="M253" s="757" t="s">
        <v>120</v>
      </c>
      <c r="N253" s="726"/>
      <c r="O253" s="726"/>
      <c r="P253" s="726"/>
      <c r="Q253" s="727"/>
      <c r="R253" s="458"/>
      <c r="S253" s="459"/>
      <c r="T253" s="460"/>
      <c r="U253" s="219"/>
      <c r="V253" s="464"/>
      <c r="Y253" s="537">
        <f>0.4*PRESUPUESTOS!$H$16</f>
        <v>10.3124</v>
      </c>
      <c r="AA253" s="540" t="e">
        <f>IF(AND(C252&lt;=F248,F248&lt;&gt;""),VLOOKUP(VALUE(E229&amp;","&amp;C252),INTEGRANTES!$D$18:$F$235,2,0),"")</f>
        <v>#N/A</v>
      </c>
      <c r="AB253" s="545" t="e">
        <f t="shared" si="62"/>
        <v>#N/A</v>
      </c>
      <c r="AC253" s="529"/>
      <c r="AD253" s="200" t="e">
        <f t="shared" si="63"/>
        <v>#N/A</v>
      </c>
      <c r="AE253" s="52"/>
      <c r="AF253" s="52"/>
      <c r="AG253" s="52"/>
      <c r="AH253" s="87"/>
      <c r="AI253" s="87"/>
    </row>
    <row r="254" spans="1:35" ht="27" customHeight="1" thickBot="1">
      <c r="A254" s="218" t="e">
        <f>"R"&amp;E229</f>
        <v>#N/A</v>
      </c>
      <c r="B254" s="702"/>
      <c r="C254" s="114">
        <v>5</v>
      </c>
      <c r="D254" s="194" t="e">
        <f>IF(AND(C254&lt;=F248,F248&lt;&gt;""),VLOOKUP(VALUE(E229&amp;","&amp;C254),INTEGRANTES!$D$18:$F$235,2,0),"")</f>
        <v>#N/A</v>
      </c>
      <c r="E254" s="211" t="e">
        <f>IF(D254&lt;&gt;"",VLOOKUP(VALUE(E229&amp;","&amp;C254),INTEGRANTES!$D$18:$F$235,3,0),"")</f>
        <v>#N/A</v>
      </c>
      <c r="F254" s="547" t="e">
        <f>IF(D254="","",SUMIF($I233:$I242,D254,$P233:$P242))</f>
        <v>#N/A</v>
      </c>
      <c r="G254" s="333" t="e">
        <f>IF(D254="","",SUMIF($I233:$I242,D254,$M233:$M242))</f>
        <v>#N/A</v>
      </c>
      <c r="H254" s="535" t="e">
        <f t="shared" si="59"/>
        <v>#N/A</v>
      </c>
      <c r="I254" s="212" t="e">
        <f>IF(D254="","",IF(H254="NO APORTA","NO",IF(H254=MAX($H250:$H255),"SI","NO")))</f>
        <v>#N/A</v>
      </c>
      <c r="J254" s="213" t="e">
        <f t="shared" si="60"/>
        <v>#N/A</v>
      </c>
      <c r="K254" s="200" t="e">
        <f t="shared" si="61"/>
        <v>#N/A</v>
      </c>
      <c r="L254" s="721"/>
      <c r="M254" s="715" t="s">
        <v>116</v>
      </c>
      <c r="N254" s="716"/>
      <c r="O254" s="556" t="str">
        <f>PORCREQUERIDO*100&amp;"% PMFO DEL MÓDULO"</f>
        <v>50% PMFO DEL MÓDULO</v>
      </c>
      <c r="P254" s="715" t="s">
        <v>118</v>
      </c>
      <c r="Q254" s="728"/>
      <c r="R254" s="458"/>
      <c r="S254" s="459"/>
      <c r="T254" s="460"/>
      <c r="U254" s="219"/>
      <c r="V254" s="464"/>
      <c r="Y254" s="414"/>
      <c r="AA254" s="540" t="e">
        <f>IF(AND(C253&lt;=F248,F248&lt;&gt;""),VLOOKUP(VALUE(E229&amp;","&amp;C253),INTEGRANTES!$D$18:$F$235,2,0),"")</f>
        <v>#N/A</v>
      </c>
      <c r="AB254" s="545" t="e">
        <f t="shared" si="62"/>
        <v>#N/A</v>
      </c>
      <c r="AC254" s="529"/>
      <c r="AD254" s="200" t="e">
        <f t="shared" si="63"/>
        <v>#N/A</v>
      </c>
      <c r="AE254" s="52"/>
      <c r="AF254" s="52"/>
      <c r="AG254" s="52"/>
      <c r="AH254" s="87"/>
      <c r="AI254" s="87"/>
    </row>
    <row r="255" spans="1:35" ht="16.5" thickBot="1">
      <c r="A255" s="218" t="e">
        <f>"S"&amp;E229</f>
        <v>#N/A</v>
      </c>
      <c r="B255" s="702"/>
      <c r="C255" s="215">
        <v>6</v>
      </c>
      <c r="D255" s="216" t="e">
        <f>IF(AND(C255&lt;=F248,F248&lt;&gt;""),VLOOKUP(VALUE(E229&amp;","&amp;C255),INTEGRANTES!$D$18:$F$235,2,0),"")</f>
        <v>#N/A</v>
      </c>
      <c r="E255" s="217" t="e">
        <f>IF(D255&lt;&gt;"",VLOOKUP(VALUE(E229&amp;","&amp;C255),INTEGRANTES!$D$18:$F$235,3,0),"")</f>
        <v>#N/A</v>
      </c>
      <c r="F255" s="548" t="e">
        <f>IF(D255="","",SUMIF($I233:$I242,D255,$P233:$P242))</f>
        <v>#N/A</v>
      </c>
      <c r="G255" s="334" t="e">
        <f>IF(D255="","",SUMIF($I233:$I242,D255,$M233:$M242))</f>
        <v>#N/A</v>
      </c>
      <c r="H255" s="536" t="e">
        <f t="shared" si="59"/>
        <v>#N/A</v>
      </c>
      <c r="I255" s="214" t="e">
        <f>IF(D255="","",IF(H255="NO APORTA","NO",IF(H255=MAX($H250:$H255),"SI","NO")))</f>
        <v>#N/A</v>
      </c>
      <c r="J255" s="213" t="e">
        <f t="shared" si="60"/>
        <v>#N/A</v>
      </c>
      <c r="K255" s="200" t="e">
        <f t="shared" si="61"/>
        <v>#N/A</v>
      </c>
      <c r="L255" s="721"/>
      <c r="M255" s="729">
        <f>NUMMOD</f>
        <v>1</v>
      </c>
      <c r="N255" s="730"/>
      <c r="O255" s="443">
        <f>IF(M255="","",ROUND(VLOOKUP(M255,PRESUPUESTOS!$B$16:$H$16,7,FALSE),3))</f>
        <v>25.780999999999999</v>
      </c>
      <c r="P255" s="713">
        <f>IF(OR(COUNTIF(P233:P242,"")&gt;=10,Q249&lt;NUMMINCONT,OR(T247="NO CUMPLE",T247="VERIFICAR")),0,ROUND((SUM(P233:P242)/SUM(M233:M242)),3))</f>
        <v>0</v>
      </c>
      <c r="Q255" s="714"/>
      <c r="R255" s="458"/>
      <c r="S255" s="459"/>
      <c r="T255" s="460"/>
      <c r="U255" s="219"/>
      <c r="V255" s="464"/>
      <c r="Y255" s="532" t="s">
        <v>343</v>
      </c>
      <c r="AA255" s="540" t="e">
        <f>IF(AND(C254&lt;=F248,F248&lt;&gt;""),VLOOKUP(VALUE(E229&amp;","&amp;C254),INTEGRANTES!$D$18:$F$235,2,0),"")</f>
        <v>#N/A</v>
      </c>
      <c r="AB255" s="545" t="e">
        <f t="shared" si="62"/>
        <v>#N/A</v>
      </c>
      <c r="AC255" s="529"/>
      <c r="AD255" s="200" t="e">
        <f t="shared" si="63"/>
        <v>#N/A</v>
      </c>
      <c r="AE255" s="52"/>
      <c r="AF255" s="52"/>
      <c r="AG255" s="52"/>
      <c r="AH255" s="87"/>
      <c r="AI255" s="87"/>
    </row>
    <row r="256" spans="1:35" ht="16.5" customHeight="1" thickBot="1">
      <c r="A256" s="218" t="e">
        <f>"T"&amp;E229</f>
        <v>#N/A</v>
      </c>
      <c r="B256" s="703"/>
      <c r="C256" s="719"/>
      <c r="D256" s="719"/>
      <c r="E256" s="719"/>
      <c r="F256" s="719"/>
      <c r="G256" s="719"/>
      <c r="H256" s="719" t="s">
        <v>110</v>
      </c>
      <c r="I256" s="719"/>
      <c r="J256" s="719"/>
      <c r="K256" s="201" t="str">
        <f>IF(COUNTIF(K250:K255,"")=6,"",IF(COUNTIF(K250:K255,"CUMPLE")&gt;0,"CUMPLE","NO CUMPLE"))</f>
        <v>NO CUMPLE</v>
      </c>
      <c r="L256" s="754"/>
      <c r="M256" s="755"/>
      <c r="N256" s="755"/>
      <c r="O256" s="755"/>
      <c r="P256" s="755"/>
      <c r="Q256" s="756"/>
      <c r="R256" s="461"/>
      <c r="S256" s="462"/>
      <c r="T256" s="463"/>
      <c r="U256" s="219"/>
      <c r="V256" s="464"/>
      <c r="Y256" s="549" t="e">
        <f>IF(Y250="NO APLICA","NO APLICA",IF(COUNTIF(AD251:AD256,"CUMPLE")&gt;0,"CUMPLE","NO CUMPLE"))</f>
        <v>#N/A</v>
      </c>
      <c r="AA256" s="541" t="e">
        <f>IF(AND(C255&lt;=F248,F248&lt;&gt;""),VLOOKUP(VALUE(E229&amp;","&amp;C255),INTEGRANTES!$D$18:$F$235,2,0),"")</f>
        <v>#N/A</v>
      </c>
      <c r="AB256" s="546" t="e">
        <f t="shared" si="62"/>
        <v>#N/A</v>
      </c>
      <c r="AC256" s="543"/>
      <c r="AD256" s="201" t="e">
        <f t="shared" si="63"/>
        <v>#N/A</v>
      </c>
      <c r="AE256" s="52"/>
      <c r="AF256" s="52"/>
      <c r="AG256" s="52"/>
      <c r="AH256" s="87"/>
      <c r="AI256" s="87"/>
    </row>
    <row r="257" spans="1:35">
      <c r="AH257" s="87"/>
      <c r="AI257" s="87"/>
    </row>
    <row r="258" spans="1:35">
      <c r="AH258" s="87"/>
      <c r="AI258" s="87"/>
    </row>
    <row r="259" spans="1:35" ht="24" thickBot="1">
      <c r="A259" s="61">
        <v>9</v>
      </c>
      <c r="B259" s="704" t="s">
        <v>51</v>
      </c>
      <c r="C259" s="704"/>
      <c r="D259" s="704"/>
      <c r="E259" s="62" t="e">
        <f>VLOOKUP(A259,PROPONENTES!$B$19:$E$218,2,FALSE)</f>
        <v>#N/A</v>
      </c>
      <c r="F259" s="63" t="e">
        <f>VLOOKUP(A259,PROPONENTES!$B$19:$E$218,3,FALSE)</f>
        <v>#N/A</v>
      </c>
      <c r="G259" s="64"/>
      <c r="H259" s="64"/>
      <c r="I259" s="63"/>
      <c r="J259" s="63"/>
      <c r="K259" s="65"/>
      <c r="L259" s="65"/>
      <c r="M259" s="64"/>
      <c r="N259" s="64"/>
      <c r="O259" s="66"/>
      <c r="P259" s="66"/>
      <c r="Q259" s="66"/>
      <c r="R259" s="66"/>
      <c r="S259" s="67"/>
      <c r="T259" s="68"/>
      <c r="U259" s="68"/>
      <c r="AC259" s="68"/>
      <c r="AD259" s="68"/>
      <c r="AE259" s="68"/>
      <c r="AF259" s="68"/>
      <c r="AG259" s="68"/>
      <c r="AH259" s="87"/>
      <c r="AI259" s="87"/>
    </row>
    <row r="260" spans="1:35" ht="15.75" customHeight="1">
      <c r="A260" s="44"/>
      <c r="B260" s="709" t="s">
        <v>59</v>
      </c>
      <c r="C260" s="552" t="s">
        <v>60</v>
      </c>
      <c r="D260" s="70" t="s">
        <v>17</v>
      </c>
      <c r="E260" s="70"/>
      <c r="F260" s="70" t="s">
        <v>61</v>
      </c>
      <c r="G260" s="71"/>
      <c r="H260" s="699" t="s">
        <v>62</v>
      </c>
      <c r="I260" s="699" t="s">
        <v>18</v>
      </c>
      <c r="J260" s="699" t="s">
        <v>63</v>
      </c>
      <c r="K260" s="699" t="s">
        <v>64</v>
      </c>
      <c r="L260" s="699" t="s">
        <v>65</v>
      </c>
      <c r="M260" s="743" t="s">
        <v>66</v>
      </c>
      <c r="N260" s="699" t="s">
        <v>282</v>
      </c>
      <c r="O260" s="745" t="s">
        <v>67</v>
      </c>
      <c r="P260" s="746"/>
      <c r="Q260" s="102" t="s">
        <v>75</v>
      </c>
      <c r="R260" s="731" t="s">
        <v>22</v>
      </c>
      <c r="S260" s="732"/>
      <c r="T260" s="733"/>
      <c r="U260" s="712" t="s">
        <v>298</v>
      </c>
      <c r="W260" s="690" t="s">
        <v>268</v>
      </c>
      <c r="X260" s="691"/>
      <c r="Y260" s="692"/>
      <c r="Z260" s="428"/>
      <c r="AA260" s="697" t="s">
        <v>315</v>
      </c>
      <c r="AB260" s="695" t="s">
        <v>322</v>
      </c>
      <c r="AC260" s="49"/>
      <c r="AD260" s="690" t="s">
        <v>297</v>
      </c>
      <c r="AE260" s="691"/>
      <c r="AF260" s="692"/>
      <c r="AG260" s="49"/>
      <c r="AH260" s="87"/>
      <c r="AI260" s="87"/>
    </row>
    <row r="261" spans="1:35" ht="72">
      <c r="A261" s="44"/>
      <c r="B261" s="710"/>
      <c r="C261" s="553" t="s">
        <v>68</v>
      </c>
      <c r="D261" s="73" t="s">
        <v>3</v>
      </c>
      <c r="E261" s="73" t="s">
        <v>19</v>
      </c>
      <c r="F261" s="73" t="s">
        <v>69</v>
      </c>
      <c r="G261" s="74" t="s">
        <v>70</v>
      </c>
      <c r="H261" s="700"/>
      <c r="I261" s="700"/>
      <c r="J261" s="700"/>
      <c r="K261" s="700"/>
      <c r="L261" s="700"/>
      <c r="M261" s="744"/>
      <c r="N261" s="700"/>
      <c r="O261" s="553" t="s">
        <v>279</v>
      </c>
      <c r="P261" s="73" t="s">
        <v>88</v>
      </c>
      <c r="Q261" s="555" t="s">
        <v>76</v>
      </c>
      <c r="R261" s="734"/>
      <c r="S261" s="735"/>
      <c r="T261" s="736"/>
      <c r="U261" s="712"/>
      <c r="W261" s="429" t="s">
        <v>269</v>
      </c>
      <c r="X261" s="457" t="s">
        <v>278</v>
      </c>
      <c r="Y261" s="430" t="s">
        <v>365</v>
      </c>
      <c r="Z261" s="428"/>
      <c r="AA261" s="698"/>
      <c r="AB261" s="696"/>
      <c r="AC261" s="49"/>
      <c r="AD261" s="429" t="s">
        <v>292</v>
      </c>
      <c r="AE261" s="431" t="s">
        <v>300</v>
      </c>
      <c r="AF261" s="468" t="s">
        <v>301</v>
      </c>
      <c r="AG261" s="49"/>
      <c r="AH261" s="87"/>
      <c r="AI261" s="87"/>
    </row>
    <row r="262" spans="1:35">
      <c r="A262" s="44"/>
      <c r="B262" s="76"/>
      <c r="C262" s="77"/>
      <c r="D262" s="77"/>
      <c r="E262" s="77"/>
      <c r="F262" s="77"/>
      <c r="G262" s="77"/>
      <c r="H262" s="77"/>
      <c r="I262" s="77"/>
      <c r="J262" s="77"/>
      <c r="K262" s="77"/>
      <c r="L262" s="77"/>
      <c r="M262" s="77"/>
      <c r="N262" s="77"/>
      <c r="O262" s="77"/>
      <c r="P262" s="77"/>
      <c r="Q262" s="77"/>
      <c r="R262" s="77"/>
      <c r="S262" s="78"/>
      <c r="T262" s="79"/>
      <c r="U262" s="109"/>
      <c r="V262" s="49"/>
      <c r="W262" s="432"/>
      <c r="X262" s="454"/>
      <c r="Y262" s="433"/>
      <c r="Z262" s="6"/>
      <c r="AA262" s="500"/>
      <c r="AB262" s="562"/>
      <c r="AC262" s="49"/>
      <c r="AD262" s="210"/>
      <c r="AE262" s="434"/>
      <c r="AF262" s="435"/>
      <c r="AG262" s="49"/>
      <c r="AH262" s="87"/>
      <c r="AI262" s="87"/>
    </row>
    <row r="263" spans="1:35" ht="51">
      <c r="A263" s="80" t="e">
        <f>"A"&amp;E259</f>
        <v>#N/A</v>
      </c>
      <c r="B263" s="81">
        <v>1</v>
      </c>
      <c r="C263" s="82"/>
      <c r="D263" s="82"/>
      <c r="E263" s="567"/>
      <c r="F263" s="82"/>
      <c r="G263" s="83"/>
      <c r="H263" s="83"/>
      <c r="I263" s="84" t="s">
        <v>352</v>
      </c>
      <c r="J263" s="85">
        <v>42411</v>
      </c>
      <c r="K263" s="382" t="str">
        <f>+SUSPENSIONES!N86</f>
        <v>CONTRATO SIN SUSPENSIÓN</v>
      </c>
      <c r="L263" s="85">
        <v>42988</v>
      </c>
      <c r="M263" s="332" t="e">
        <f t="shared" ref="M263:M272" si="64">IF(OR(J263="",L263="",H263="NO"),"",IF(OR(J263&gt;$P$17,J263&lt;$O$17,L263&gt;$P$17,AND(J263&lt;$O$17,L263&lt;$O$17)),"FUERA DE RANGO",IF(OR(K263="---",K263=""),IF(J263&gt;=$O$17,ROUND((L263-J263+1)/360*12,3),ROUND((L263-$O$17+1)/360*12,3)),IF(J263&gt;=$O$17,ROUND((L263-J263+1)/360*12-ROUND(K263,3),3),ROUND((L263-$O$17+1)/360*12-ROUND(K263,3),3)))))</f>
        <v>#VALUE!</v>
      </c>
      <c r="N263" s="86">
        <v>687.92</v>
      </c>
      <c r="O263" s="453" t="str">
        <f>IF(OR(G263="",N263=""),"",N263*G263)</f>
        <v/>
      </c>
      <c r="P263" s="538" t="e">
        <f>IF(OR(H263="",M263="FUERA DE RANGO"),"",IF(OR(L263&lt;$O$17,L263&gt;$P$17,L263="",H263="NO"),"",IF(OR(N263="",O263=""),"",ROUND(O263,3))))</f>
        <v>#VALUE!</v>
      </c>
      <c r="Q263" s="539" t="e">
        <f t="shared" ref="Q263:Q272" si="65">IF(AND(H263="SI",P263&lt;&gt;""),ROUND(P263/M263,3),"")</f>
        <v>#VALUE!</v>
      </c>
      <c r="R263" s="737"/>
      <c r="S263" s="738"/>
      <c r="T263" s="739"/>
      <c r="U263" s="470" t="s">
        <v>400</v>
      </c>
      <c r="V263" s="165"/>
      <c r="W263" s="446" t="s">
        <v>25</v>
      </c>
      <c r="X263" s="456">
        <v>26</v>
      </c>
      <c r="Y263" s="436" t="s">
        <v>25</v>
      </c>
      <c r="Z263" s="437"/>
      <c r="AA263" s="560" t="s">
        <v>320</v>
      </c>
      <c r="AB263" s="561"/>
      <c r="AC263" s="87"/>
      <c r="AD263" s="466" t="s">
        <v>289</v>
      </c>
      <c r="AE263" s="456" t="s">
        <v>25</v>
      </c>
      <c r="AF263" s="467"/>
      <c r="AG263" s="87"/>
      <c r="AH263" s="87"/>
      <c r="AI263" s="87"/>
    </row>
    <row r="264" spans="1:35" ht="55.5" customHeight="1">
      <c r="A264" s="80" t="e">
        <f>"B"&amp;E259</f>
        <v>#N/A</v>
      </c>
      <c r="B264" s="81">
        <v>2</v>
      </c>
      <c r="C264" s="106"/>
      <c r="D264" s="106"/>
      <c r="E264" s="568"/>
      <c r="F264" s="106"/>
      <c r="G264" s="83"/>
      <c r="H264" s="83"/>
      <c r="I264" s="84" t="s">
        <v>352</v>
      </c>
      <c r="J264" s="85">
        <v>40882</v>
      </c>
      <c r="K264" s="382" t="str">
        <f>+SUSPENSIONES!N87</f>
        <v>CONTRATO SIN SUSPENSIÓN</v>
      </c>
      <c r="L264" s="85">
        <v>41090</v>
      </c>
      <c r="M264" s="332" t="e">
        <f t="shared" si="64"/>
        <v>#VALUE!</v>
      </c>
      <c r="N264" s="86">
        <v>73.64</v>
      </c>
      <c r="O264" s="453" t="str">
        <f t="shared" ref="O264:O272" si="66">IF(OR(G264="",N264=""),"",N264*G264)</f>
        <v/>
      </c>
      <c r="P264" s="538" t="e">
        <f t="shared" ref="P264:P272" si="67">IF(OR(H264="",M264="FUERA DE RANGO"),"",IF(OR(L264&lt;$O$17,L264&gt;$P$17,L264="",H264="NO"),"",IF(OR(N264="",O264=""),"",ROUND(O264,3))))</f>
        <v>#VALUE!</v>
      </c>
      <c r="Q264" s="539" t="e">
        <f t="shared" si="65"/>
        <v>#VALUE!</v>
      </c>
      <c r="R264" s="740"/>
      <c r="S264" s="741"/>
      <c r="T264" s="742"/>
      <c r="U264" s="471"/>
      <c r="V264" s="165"/>
      <c r="W264" s="446" t="s">
        <v>25</v>
      </c>
      <c r="X264" s="456">
        <v>33</v>
      </c>
      <c r="Y264" s="436" t="s">
        <v>25</v>
      </c>
      <c r="Z264" s="437"/>
      <c r="AA264" s="560" t="s">
        <v>317</v>
      </c>
      <c r="AB264" s="561" t="s">
        <v>294</v>
      </c>
      <c r="AC264" s="87"/>
      <c r="AD264" s="466" t="s">
        <v>289</v>
      </c>
      <c r="AE264" s="456" t="s">
        <v>25</v>
      </c>
      <c r="AF264" s="467" t="s">
        <v>25</v>
      </c>
      <c r="AG264" s="87"/>
      <c r="AH264" s="87"/>
      <c r="AI264" s="87"/>
    </row>
    <row r="265" spans="1:35" ht="55.5" customHeight="1">
      <c r="A265" s="80" t="e">
        <f>"C"&amp;E259</f>
        <v>#N/A</v>
      </c>
      <c r="B265" s="88">
        <v>3</v>
      </c>
      <c r="C265" s="106"/>
      <c r="D265" s="82"/>
      <c r="E265" s="567"/>
      <c r="F265" s="82"/>
      <c r="G265" s="83"/>
      <c r="H265" s="83"/>
      <c r="I265" s="84" t="s">
        <v>352</v>
      </c>
      <c r="J265" s="85">
        <v>40890</v>
      </c>
      <c r="K265" s="382">
        <v>0</v>
      </c>
      <c r="L265" s="85">
        <v>41029</v>
      </c>
      <c r="M265" s="332">
        <f t="shared" si="64"/>
        <v>4.6669999999999998</v>
      </c>
      <c r="N265" s="86">
        <v>63.71</v>
      </c>
      <c r="O265" s="453" t="str">
        <f t="shared" si="66"/>
        <v/>
      </c>
      <c r="P265" s="538" t="str">
        <f t="shared" si="67"/>
        <v/>
      </c>
      <c r="Q265" s="539" t="str">
        <f t="shared" si="65"/>
        <v/>
      </c>
      <c r="R265" s="706"/>
      <c r="S265" s="707"/>
      <c r="T265" s="708"/>
      <c r="U265" s="472"/>
      <c r="V265" s="166"/>
      <c r="W265" s="446" t="s">
        <v>25</v>
      </c>
      <c r="X265" s="456">
        <v>34</v>
      </c>
      <c r="Y265" s="436" t="s">
        <v>25</v>
      </c>
      <c r="Z265" s="437"/>
      <c r="AA265" s="560" t="s">
        <v>317</v>
      </c>
      <c r="AB265" s="561" t="s">
        <v>294</v>
      </c>
      <c r="AC265" s="87"/>
      <c r="AD265" s="466" t="s">
        <v>289</v>
      </c>
      <c r="AE265" s="456" t="s">
        <v>25</v>
      </c>
      <c r="AF265" s="467" t="s">
        <v>25</v>
      </c>
      <c r="AG265" s="87"/>
      <c r="AH265" s="87"/>
      <c r="AI265" s="87"/>
    </row>
    <row r="266" spans="1:35" ht="66.75" customHeight="1">
      <c r="A266" s="80" t="e">
        <f>"D"&amp;E259</f>
        <v>#N/A</v>
      </c>
      <c r="B266" s="105">
        <v>4</v>
      </c>
      <c r="C266" s="106"/>
      <c r="D266" s="107"/>
      <c r="E266" s="569"/>
      <c r="F266" s="107"/>
      <c r="G266" s="83"/>
      <c r="H266" s="83"/>
      <c r="I266" s="84" t="s">
        <v>352</v>
      </c>
      <c r="J266" s="85">
        <v>39118</v>
      </c>
      <c r="K266" s="382" t="str">
        <f>+SUSPENSIONES!N89</f>
        <v>CONTRATO SIN SUSPENSIÓN</v>
      </c>
      <c r="L266" s="85">
        <v>39274</v>
      </c>
      <c r="M266" s="332" t="e">
        <f t="shared" si="64"/>
        <v>#VALUE!</v>
      </c>
      <c r="N266" s="86">
        <v>144.86000000000001</v>
      </c>
      <c r="O266" s="453" t="str">
        <f t="shared" si="66"/>
        <v/>
      </c>
      <c r="P266" s="538" t="e">
        <f t="shared" si="67"/>
        <v>#VALUE!</v>
      </c>
      <c r="Q266" s="539" t="e">
        <f t="shared" si="65"/>
        <v>#VALUE!</v>
      </c>
      <c r="R266" s="706"/>
      <c r="S266" s="707"/>
      <c r="T266" s="708"/>
      <c r="U266" s="470" t="s">
        <v>401</v>
      </c>
      <c r="V266" s="166"/>
      <c r="W266" s="446" t="s">
        <v>25</v>
      </c>
      <c r="X266" s="456">
        <v>37</v>
      </c>
      <c r="Y266" s="436" t="s">
        <v>25</v>
      </c>
      <c r="Z266" s="437"/>
      <c r="AA266" s="560" t="s">
        <v>319</v>
      </c>
      <c r="AB266" s="561" t="s">
        <v>294</v>
      </c>
      <c r="AC266" s="87"/>
      <c r="AD266" s="466" t="s">
        <v>289</v>
      </c>
      <c r="AE266" s="456" t="s">
        <v>25</v>
      </c>
      <c r="AF266" s="467" t="s">
        <v>25</v>
      </c>
      <c r="AG266" s="87"/>
      <c r="AH266" s="87"/>
      <c r="AI266" s="87"/>
    </row>
    <row r="267" spans="1:35">
      <c r="A267" s="80" t="e">
        <f>"E"&amp;E259</f>
        <v>#N/A</v>
      </c>
      <c r="B267" s="105">
        <v>5</v>
      </c>
      <c r="C267" s="107"/>
      <c r="D267" s="107"/>
      <c r="E267" s="107"/>
      <c r="F267" s="107"/>
      <c r="G267" s="83"/>
      <c r="H267" s="83"/>
      <c r="I267" s="84"/>
      <c r="J267" s="85"/>
      <c r="K267" s="382"/>
      <c r="L267" s="85"/>
      <c r="M267" s="332" t="str">
        <f t="shared" si="64"/>
        <v/>
      </c>
      <c r="N267" s="86"/>
      <c r="O267" s="453" t="str">
        <f t="shared" si="66"/>
        <v/>
      </c>
      <c r="P267" s="538" t="str">
        <f t="shared" si="67"/>
        <v/>
      </c>
      <c r="Q267" s="539" t="str">
        <f t="shared" si="65"/>
        <v/>
      </c>
      <c r="R267" s="706"/>
      <c r="S267" s="707"/>
      <c r="T267" s="708"/>
      <c r="U267" s="472"/>
      <c r="V267" s="167"/>
      <c r="W267" s="446"/>
      <c r="X267" s="456"/>
      <c r="Y267" s="436"/>
      <c r="Z267" s="437"/>
      <c r="AA267" s="560"/>
      <c r="AB267" s="561"/>
      <c r="AC267" s="87"/>
      <c r="AD267" s="466"/>
      <c r="AE267" s="456"/>
      <c r="AF267" s="467"/>
      <c r="AG267" s="87"/>
      <c r="AH267" s="87"/>
      <c r="AI267" s="87"/>
    </row>
    <row r="268" spans="1:35">
      <c r="A268" s="80" t="e">
        <f>"F"&amp;E259</f>
        <v>#N/A</v>
      </c>
      <c r="B268" s="105">
        <v>6</v>
      </c>
      <c r="C268" s="107"/>
      <c r="D268" s="107"/>
      <c r="E268" s="107"/>
      <c r="F268" s="107"/>
      <c r="G268" s="83"/>
      <c r="H268" s="83"/>
      <c r="I268" s="84"/>
      <c r="J268" s="85"/>
      <c r="K268" s="382"/>
      <c r="L268" s="85"/>
      <c r="M268" s="332" t="str">
        <f t="shared" si="64"/>
        <v/>
      </c>
      <c r="N268" s="86"/>
      <c r="O268" s="453" t="str">
        <f t="shared" si="66"/>
        <v/>
      </c>
      <c r="P268" s="538" t="str">
        <f t="shared" si="67"/>
        <v/>
      </c>
      <c r="Q268" s="539" t="str">
        <f t="shared" si="65"/>
        <v/>
      </c>
      <c r="R268" s="706"/>
      <c r="S268" s="707"/>
      <c r="T268" s="708"/>
      <c r="U268" s="472"/>
      <c r="V268" s="167"/>
      <c r="W268" s="446"/>
      <c r="X268" s="456"/>
      <c r="Y268" s="436"/>
      <c r="Z268" s="437"/>
      <c r="AA268" s="560"/>
      <c r="AB268" s="561"/>
      <c r="AC268" s="87"/>
      <c r="AD268" s="466"/>
      <c r="AE268" s="456"/>
      <c r="AF268" s="467"/>
      <c r="AG268" s="87"/>
      <c r="AH268" s="87"/>
      <c r="AI268" s="87"/>
    </row>
    <row r="269" spans="1:35">
      <c r="A269" s="80" t="e">
        <f>"G"&amp;E259</f>
        <v>#N/A</v>
      </c>
      <c r="B269" s="105">
        <v>7</v>
      </c>
      <c r="C269" s="107"/>
      <c r="D269" s="107"/>
      <c r="E269" s="107"/>
      <c r="F269" s="107"/>
      <c r="G269" s="83"/>
      <c r="H269" s="83"/>
      <c r="I269" s="84"/>
      <c r="J269" s="85"/>
      <c r="K269" s="382"/>
      <c r="L269" s="85"/>
      <c r="M269" s="332" t="str">
        <f t="shared" si="64"/>
        <v/>
      </c>
      <c r="N269" s="86"/>
      <c r="O269" s="86" t="str">
        <f t="shared" si="66"/>
        <v/>
      </c>
      <c r="P269" s="538" t="str">
        <f t="shared" si="67"/>
        <v/>
      </c>
      <c r="Q269" s="539" t="str">
        <f t="shared" si="65"/>
        <v/>
      </c>
      <c r="R269" s="706"/>
      <c r="S269" s="707"/>
      <c r="T269" s="708"/>
      <c r="U269" s="472"/>
      <c r="V269" s="167"/>
      <c r="W269" s="446"/>
      <c r="X269" s="456"/>
      <c r="Y269" s="436"/>
      <c r="Z269" s="437"/>
      <c r="AA269" s="560"/>
      <c r="AB269" s="561"/>
      <c r="AC269" s="87"/>
      <c r="AD269" s="466"/>
      <c r="AE269" s="456"/>
      <c r="AF269" s="467"/>
      <c r="AG269" s="87"/>
      <c r="AH269" s="87"/>
      <c r="AI269" s="87"/>
    </row>
    <row r="270" spans="1:35">
      <c r="A270" s="80" t="e">
        <f>"H"&amp;E259</f>
        <v>#N/A</v>
      </c>
      <c r="B270" s="105">
        <v>8</v>
      </c>
      <c r="C270" s="107"/>
      <c r="D270" s="107"/>
      <c r="E270" s="107"/>
      <c r="F270" s="107"/>
      <c r="G270" s="83"/>
      <c r="H270" s="83"/>
      <c r="I270" s="84"/>
      <c r="J270" s="85"/>
      <c r="K270" s="382"/>
      <c r="L270" s="85"/>
      <c r="M270" s="332" t="str">
        <f t="shared" si="64"/>
        <v/>
      </c>
      <c r="N270" s="453"/>
      <c r="O270" s="86" t="str">
        <f t="shared" si="66"/>
        <v/>
      </c>
      <c r="P270" s="538" t="str">
        <f t="shared" si="67"/>
        <v/>
      </c>
      <c r="Q270" s="539" t="str">
        <f t="shared" si="65"/>
        <v/>
      </c>
      <c r="R270" s="706"/>
      <c r="S270" s="707"/>
      <c r="T270" s="708"/>
      <c r="U270" s="472"/>
      <c r="V270" s="167"/>
      <c r="W270" s="446"/>
      <c r="X270" s="456"/>
      <c r="Y270" s="436"/>
      <c r="Z270" s="437"/>
      <c r="AA270" s="560"/>
      <c r="AB270" s="561"/>
      <c r="AC270" s="87"/>
      <c r="AD270" s="466"/>
      <c r="AE270" s="456"/>
      <c r="AF270" s="467"/>
      <c r="AG270" s="87"/>
      <c r="AH270" s="87"/>
      <c r="AI270" s="87"/>
    </row>
    <row r="271" spans="1:35">
      <c r="A271" s="80" t="e">
        <f>"I"&amp;E259</f>
        <v>#N/A</v>
      </c>
      <c r="B271" s="105">
        <v>9</v>
      </c>
      <c r="C271" s="107"/>
      <c r="D271" s="107"/>
      <c r="E271" s="107"/>
      <c r="F271" s="107"/>
      <c r="G271" s="83"/>
      <c r="H271" s="83"/>
      <c r="I271" s="84"/>
      <c r="J271" s="85"/>
      <c r="K271" s="382"/>
      <c r="L271" s="85"/>
      <c r="M271" s="332" t="str">
        <f t="shared" si="64"/>
        <v/>
      </c>
      <c r="N271" s="453"/>
      <c r="O271" s="86" t="str">
        <f t="shared" si="66"/>
        <v/>
      </c>
      <c r="P271" s="538" t="str">
        <f t="shared" si="67"/>
        <v/>
      </c>
      <c r="Q271" s="539" t="str">
        <f t="shared" si="65"/>
        <v/>
      </c>
      <c r="R271" s="706"/>
      <c r="S271" s="707"/>
      <c r="T271" s="708"/>
      <c r="U271" s="472"/>
      <c r="V271" s="167"/>
      <c r="W271" s="446"/>
      <c r="X271" s="456"/>
      <c r="Y271" s="436"/>
      <c r="Z271" s="437"/>
      <c r="AA271" s="560"/>
      <c r="AB271" s="561"/>
      <c r="AC271" s="87"/>
      <c r="AD271" s="466"/>
      <c r="AE271" s="456"/>
      <c r="AF271" s="467"/>
      <c r="AG271" s="87"/>
      <c r="AH271" s="87"/>
      <c r="AI271" s="87"/>
    </row>
    <row r="272" spans="1:35">
      <c r="A272" s="80" t="e">
        <f>"J"&amp;E259</f>
        <v>#N/A</v>
      </c>
      <c r="B272" s="105">
        <v>10</v>
      </c>
      <c r="C272" s="107"/>
      <c r="D272" s="107"/>
      <c r="E272" s="107"/>
      <c r="F272" s="107"/>
      <c r="G272" s="83"/>
      <c r="H272" s="83"/>
      <c r="I272" s="84"/>
      <c r="J272" s="85"/>
      <c r="K272" s="382"/>
      <c r="L272" s="85"/>
      <c r="M272" s="332" t="str">
        <f t="shared" si="64"/>
        <v/>
      </c>
      <c r="N272" s="453"/>
      <c r="O272" s="86" t="str">
        <f t="shared" si="66"/>
        <v/>
      </c>
      <c r="P272" s="538" t="str">
        <f t="shared" si="67"/>
        <v/>
      </c>
      <c r="Q272" s="539" t="str">
        <f t="shared" si="65"/>
        <v/>
      </c>
      <c r="R272" s="706"/>
      <c r="S272" s="707"/>
      <c r="T272" s="708"/>
      <c r="U272" s="472"/>
      <c r="V272" s="167"/>
      <c r="W272" s="446"/>
      <c r="X272" s="456"/>
      <c r="Y272" s="436"/>
      <c r="Z272" s="437"/>
      <c r="AA272" s="560"/>
      <c r="AB272" s="561"/>
      <c r="AC272" s="87"/>
      <c r="AD272" s="466"/>
      <c r="AE272" s="456"/>
      <c r="AF272" s="467"/>
      <c r="AG272" s="87"/>
      <c r="AH272" s="87"/>
      <c r="AI272" s="87"/>
    </row>
    <row r="273" spans="1:35" ht="16.5" thickBot="1">
      <c r="A273" s="44"/>
      <c r="B273" s="89"/>
      <c r="C273" s="90"/>
      <c r="D273" s="90"/>
      <c r="E273" s="90"/>
      <c r="F273" s="90"/>
      <c r="G273" s="90"/>
      <c r="H273" s="90"/>
      <c r="I273" s="90"/>
      <c r="J273" s="90"/>
      <c r="K273" s="90"/>
      <c r="L273" s="90"/>
      <c r="M273" s="90"/>
      <c r="N273" s="90"/>
      <c r="O273" s="90"/>
      <c r="P273" s="90"/>
      <c r="Q273" s="90"/>
      <c r="R273" s="90"/>
      <c r="S273" s="91"/>
      <c r="T273" s="92"/>
      <c r="U273" s="473"/>
      <c r="W273" s="438"/>
      <c r="X273" s="455"/>
      <c r="Y273" s="439"/>
      <c r="Z273" s="437"/>
      <c r="AA273" s="530"/>
      <c r="AB273" s="563"/>
      <c r="AC273" s="87"/>
      <c r="AD273" s="440"/>
      <c r="AE273" s="441"/>
      <c r="AF273" s="442"/>
      <c r="AG273" s="49"/>
      <c r="AH273" s="87"/>
      <c r="AI273" s="87"/>
    </row>
    <row r="274" spans="1:35" ht="16.5" thickBot="1">
      <c r="A274" s="93"/>
      <c r="B274" s="94"/>
      <c r="C274" s="96"/>
      <c r="D274" s="96"/>
      <c r="E274" s="96"/>
      <c r="F274" s="96"/>
      <c r="G274" s="96"/>
      <c r="H274" s="96"/>
      <c r="I274" s="96"/>
      <c r="J274" s="96"/>
      <c r="K274" s="96"/>
      <c r="L274" s="96"/>
      <c r="M274" s="136"/>
      <c r="N274" s="96"/>
      <c r="O274" s="96"/>
      <c r="P274" s="97"/>
      <c r="Q274" s="97"/>
      <c r="R274" s="98"/>
      <c r="S274" s="95"/>
      <c r="T274" s="99"/>
      <c r="U274" s="469"/>
      <c r="AC274" s="58"/>
      <c r="AG274" s="58"/>
      <c r="AH274" s="87"/>
      <c r="AI274" s="87"/>
    </row>
    <row r="275" spans="1:35" ht="16.5" thickBot="1">
      <c r="B275" s="101"/>
      <c r="C275" s="101"/>
      <c r="D275" s="101"/>
      <c r="E275" s="101"/>
      <c r="F275" s="101"/>
      <c r="G275" s="101"/>
      <c r="H275" s="101"/>
      <c r="I275" s="101"/>
      <c r="J275" s="101"/>
      <c r="K275" s="101"/>
      <c r="L275" s="101"/>
      <c r="M275" s="101"/>
      <c r="N275" s="101"/>
      <c r="O275" s="101"/>
      <c r="P275" s="101"/>
      <c r="Q275" s="101"/>
      <c r="R275" s="101"/>
      <c r="S275" s="101"/>
      <c r="U275" s="50"/>
      <c r="AH275" s="87"/>
      <c r="AI275" s="87"/>
    </row>
    <row r="276" spans="1:35" ht="16.5" customHeight="1" thickBot="1">
      <c r="A276" s="44"/>
      <c r="B276" s="705" t="s">
        <v>74</v>
      </c>
      <c r="C276" s="705"/>
      <c r="D276" s="705"/>
      <c r="E276" s="705"/>
      <c r="F276" s="705"/>
      <c r="G276" s="705"/>
      <c r="H276" s="705"/>
      <c r="I276" s="705"/>
      <c r="J276" s="705"/>
      <c r="K276" s="705"/>
      <c r="L276" s="705"/>
      <c r="M276" s="705"/>
      <c r="N276" s="705"/>
      <c r="O276" s="705"/>
      <c r="P276" s="705"/>
      <c r="Q276" s="705"/>
      <c r="R276" s="705"/>
      <c r="S276" s="705"/>
      <c r="T276" s="705"/>
      <c r="U276" s="108"/>
      <c r="Y276" s="532" t="s">
        <v>341</v>
      </c>
      <c r="AC276" s="49"/>
      <c r="AD276" s="687" t="s">
        <v>302</v>
      </c>
      <c r="AE276" s="688"/>
      <c r="AF276" s="689"/>
      <c r="AG276" s="49"/>
      <c r="AH276" s="87"/>
      <c r="AI276" s="87"/>
    </row>
    <row r="277" spans="1:35" ht="15.75" customHeight="1" thickBot="1">
      <c r="A277" s="218" t="e">
        <f>"K"&amp;E259</f>
        <v>#N/A</v>
      </c>
      <c r="B277" s="701" t="s">
        <v>71</v>
      </c>
      <c r="C277" s="751" t="s">
        <v>102</v>
      </c>
      <c r="D277" s="751"/>
      <c r="E277" s="751"/>
      <c r="F277" s="751"/>
      <c r="G277" s="751"/>
      <c r="H277" s="751"/>
      <c r="I277" s="751"/>
      <c r="J277" s="751"/>
      <c r="K277" s="751"/>
      <c r="L277" s="722" t="s">
        <v>100</v>
      </c>
      <c r="M277" s="747" t="s">
        <v>114</v>
      </c>
      <c r="N277" s="747"/>
      <c r="O277" s="747"/>
      <c r="P277" s="747"/>
      <c r="Q277" s="748"/>
      <c r="R277" s="758" t="s">
        <v>280</v>
      </c>
      <c r="S277" s="748"/>
      <c r="T277" s="762" t="str">
        <f>IF(COUNTIF(AE277:AF277,"VERIFICAR")&gt;0,"VERIFICAR",IF(COUNTIF(AE277:AF277,"NO CUMPLE")&gt;0,"NO CUMPLE","CUMPLE"))</f>
        <v>CUMPLE</v>
      </c>
      <c r="U277" s="108"/>
      <c r="Y277" s="533" t="e">
        <f>IF(F278="","",IF(F278=1,"INDIVIDUAL","ESTRUCTURA PLURAL"))</f>
        <v>#N/A</v>
      </c>
      <c r="AC277" s="52"/>
      <c r="AD277" s="475" t="s">
        <v>303</v>
      </c>
      <c r="AE277" s="476" t="str">
        <f>IF(COUNTIF(AE263:AE272,"")=10,"VERIFICAR",IF(COUNTIF(AE263:AE272,"SI")&gt;0,"CUMPLE","NO CUMPLE"))</f>
        <v>CUMPLE</v>
      </c>
      <c r="AF277" s="477" t="str">
        <f>IF(COUNTIF(AF263:AF272,"")=10,"VERIFICAR",IF(COUNTIF(AF263:AF272,"SI")&gt;=$AI$22,"CUMPLE","NO CUMPLE"))</f>
        <v>CUMPLE</v>
      </c>
      <c r="AG277" s="52"/>
      <c r="AH277" s="87"/>
      <c r="AI277" s="87"/>
    </row>
    <row r="278" spans="1:35" ht="16.5" customHeight="1" thickBot="1">
      <c r="A278" s="218" t="e">
        <f>"L"&amp;E259</f>
        <v>#N/A</v>
      </c>
      <c r="B278" s="702"/>
      <c r="C278" s="751" t="s">
        <v>103</v>
      </c>
      <c r="D278" s="751"/>
      <c r="E278" s="752"/>
      <c r="F278" s="557" t="e">
        <f>IF(VLOOKUP(E259,PROPONENTES!$C$19:$E$218,3,0)="","",VLOOKUP(E259,PROPONENTES!$C$19:$E$218,3,0))</f>
        <v>#N/A</v>
      </c>
      <c r="G278" s="753" t="s">
        <v>104</v>
      </c>
      <c r="H278" s="751"/>
      <c r="I278" s="715" t="e">
        <f>IF(OR(F278="",F278=1),"INTERESADO PERSONA NATURAL O JURIDICA","CONSORCIO O UNION TEMPORAL")</f>
        <v>#N/A</v>
      </c>
      <c r="J278" s="725"/>
      <c r="K278" s="728"/>
      <c r="L278" s="723"/>
      <c r="M278" s="749"/>
      <c r="N278" s="749"/>
      <c r="O278" s="749"/>
      <c r="P278" s="749"/>
      <c r="Q278" s="750"/>
      <c r="R278" s="712"/>
      <c r="S278" s="750"/>
      <c r="T278" s="763"/>
      <c r="U278" s="108"/>
      <c r="Y278" s="534"/>
      <c r="AA278" s="52"/>
      <c r="AB278" s="52"/>
      <c r="AC278" s="52"/>
      <c r="AG278" s="52"/>
      <c r="AH278" s="87"/>
      <c r="AI278" s="87"/>
    </row>
    <row r="279" spans="1:35" ht="56.25" customHeight="1" thickBot="1">
      <c r="A279" s="218" t="e">
        <f>"M"&amp;E259</f>
        <v>#N/A</v>
      </c>
      <c r="B279" s="702"/>
      <c r="C279" s="725" t="s">
        <v>101</v>
      </c>
      <c r="D279" s="716"/>
      <c r="E279" s="558" t="s">
        <v>105</v>
      </c>
      <c r="F279" s="554" t="s">
        <v>87</v>
      </c>
      <c r="G279" s="553" t="s">
        <v>86</v>
      </c>
      <c r="H279" s="559" t="s">
        <v>85</v>
      </c>
      <c r="I279" s="554" t="s">
        <v>252</v>
      </c>
      <c r="J279" s="553" t="str">
        <f>"¿EL INTEGRANTE TIENE UNA PARTICIPACIÓN DEL "&amp;PORCREQUERIDOINT*100&amp;"%?"</f>
        <v>¿EL INTEGRANTE TIENE UNA PARTICIPACIÓN DEL 60%?</v>
      </c>
      <c r="K279" s="554" t="s">
        <v>107</v>
      </c>
      <c r="L279" s="724"/>
      <c r="M279" s="717" t="s">
        <v>115</v>
      </c>
      <c r="N279" s="718"/>
      <c r="O279" s="718"/>
      <c r="P279" s="718"/>
      <c r="Q279" s="223" t="e">
        <f>IF(AND(H263="SI",P263&gt;=0),1,0)+IF(AND(H264="SI",P264&gt;=0),1,0)+IF(AND(H265="SI",P265&gt;=0),1,0)+IF(AND(H266="SI",P266&gt;=0),1,0)+IF(AND(H267="SI",P267&gt;=0),1,0)+IF(AND(H268="SI",P268&gt;=0),1,0)+IF(AND(H269="SI",P269&gt;=0),1,0)+IF(AND(H270="SI",P270&gt;=0),1,0)+IF(AND(H271="SI",P271&gt;=0),1,0)+IF(AND(H272="SI",P272&gt;=0),1,0)</f>
        <v>#VALUE!</v>
      </c>
      <c r="R279" s="759"/>
      <c r="S279" s="761"/>
      <c r="T279" s="764"/>
      <c r="U279" s="219"/>
      <c r="V279" s="464"/>
      <c r="Y279" s="532" t="s">
        <v>342</v>
      </c>
      <c r="AA279" s="550" t="s">
        <v>344</v>
      </c>
      <c r="AB279" s="693" t="s">
        <v>345</v>
      </c>
      <c r="AC279" s="693" t="s">
        <v>346</v>
      </c>
      <c r="AD279" s="685" t="s">
        <v>347</v>
      </c>
      <c r="AE279" s="52"/>
      <c r="AF279" s="52"/>
      <c r="AG279" s="52"/>
      <c r="AH279" s="87"/>
      <c r="AI279" s="87"/>
    </row>
    <row r="280" spans="1:35" ht="15.75" customHeight="1" thickBot="1">
      <c r="A280" s="218" t="e">
        <f>"N"&amp;E259</f>
        <v>#N/A</v>
      </c>
      <c r="B280" s="702"/>
      <c r="C280" s="114">
        <v>1</v>
      </c>
      <c r="D280" s="194" t="e">
        <f>IF(AND(C280&lt;=F278,F278&gt;1,F278&lt;&gt;""),VLOOKUP(VALUE(E259&amp;","&amp;C280),INTEGRANTES!$D$18:$F$235,2,0),"")</f>
        <v>#N/A</v>
      </c>
      <c r="E280" s="211" t="e">
        <f>IF(D280&lt;&gt;"",VLOOKUP(VALUE(E259&amp;","&amp;C280),INTEGRANTES!$D$18:$F$235,3,0),"")</f>
        <v>#N/A</v>
      </c>
      <c r="F280" s="547" t="e">
        <f>IF(D280="","",SUMIF($I263:$I272,D280,$P263:$P272))</f>
        <v>#N/A</v>
      </c>
      <c r="G280" s="333" t="e">
        <f>IF(D280="","",SUMIF($I263:$I272,D280,$M263:$M272))</f>
        <v>#N/A</v>
      </c>
      <c r="H280" s="535" t="e">
        <f t="shared" ref="H280:H285" si="68">IF(D280="","",IF(OR(F280=0,G280=0),"NO APORTA",ROUND($F280/$G280,3)))</f>
        <v>#N/A</v>
      </c>
      <c r="I280" s="212" t="e">
        <f>IF(D280="","",IF(H280="NO APORTA","NO",IF(H280=MAX($H280:$H285),"SI","NO")))</f>
        <v>#N/A</v>
      </c>
      <c r="J280" s="213" t="e">
        <f t="shared" ref="J280:J285" si="69">IF(D280="","",IF(E280&gt;=PORCREQUERIDOINT,"SI","NO"))</f>
        <v>#N/A</v>
      </c>
      <c r="K280" s="200" t="e">
        <f t="shared" ref="K280:K285" si="70">IF(D280="","",IF(AND(I280="SI",J280="SI"),"CUMPLE",IF(AND(I280="NO",OR(J280="SI",J280="NO")),"","NO CUMPLE")))</f>
        <v>#N/A</v>
      </c>
      <c r="L280" s="722" t="s">
        <v>108</v>
      </c>
      <c r="M280" s="726" t="s">
        <v>119</v>
      </c>
      <c r="N280" s="726"/>
      <c r="O280" s="726"/>
      <c r="P280" s="726"/>
      <c r="Q280" s="727"/>
      <c r="R280" s="758" t="s">
        <v>80</v>
      </c>
      <c r="S280" s="747"/>
      <c r="T280" s="748"/>
      <c r="U280" s="219"/>
      <c r="V280" s="464"/>
      <c r="Y280" s="533" t="e">
        <f>IF(Y277="","",IF(Y277="INDIVIDUAL","NO APLICA","VERIFICAR CUADRO"))</f>
        <v>#N/A</v>
      </c>
      <c r="AA280" s="551"/>
      <c r="AB280" s="694"/>
      <c r="AC280" s="694"/>
      <c r="AD280" s="686"/>
      <c r="AE280" s="52"/>
      <c r="AF280" s="52"/>
      <c r="AG280" s="52"/>
      <c r="AH280" s="87"/>
      <c r="AI280" s="87"/>
    </row>
    <row r="281" spans="1:35" ht="27" customHeight="1" thickBot="1">
      <c r="A281" s="218" t="e">
        <f>"O"&amp;E259</f>
        <v>#N/A</v>
      </c>
      <c r="B281" s="702"/>
      <c r="C281" s="114">
        <v>2</v>
      </c>
      <c r="D281" s="194" t="e">
        <f>IF(AND(C281&lt;=F278,F278&lt;&gt;""),VLOOKUP(VALUE(E259&amp;","&amp;C281),INTEGRANTES!$D$18:$F$235,2,0),"")</f>
        <v>#N/A</v>
      </c>
      <c r="E281" s="211" t="e">
        <f>IF(D281&lt;&gt;"",VLOOKUP(VALUE(E259&amp;","&amp;C281),INTEGRANTES!$D$18:$F$235,3,0),"")</f>
        <v>#N/A</v>
      </c>
      <c r="F281" s="547" t="e">
        <f>IF(D281="","",SUMIF($I263:$I272,D281,$P263:$P272))</f>
        <v>#N/A</v>
      </c>
      <c r="G281" s="333" t="e">
        <f>IF(D281="","",SUMIF($I263:$I272,D281,$M263:$M272))</f>
        <v>#N/A</v>
      </c>
      <c r="H281" s="535" t="e">
        <f t="shared" si="68"/>
        <v>#N/A</v>
      </c>
      <c r="I281" s="212" t="e">
        <f>IF(D281="","",IF(H281="NO APORTA","NO",IF(H281=MAX($H280:$H285),"SI","NO")))</f>
        <v>#N/A</v>
      </c>
      <c r="J281" s="213" t="e">
        <f t="shared" si="69"/>
        <v>#N/A</v>
      </c>
      <c r="K281" s="200" t="e">
        <f t="shared" si="70"/>
        <v>#N/A</v>
      </c>
      <c r="L281" s="723"/>
      <c r="M281" s="715" t="s">
        <v>116</v>
      </c>
      <c r="N281" s="716"/>
      <c r="O281" s="556" t="s">
        <v>113</v>
      </c>
      <c r="P281" s="715" t="s">
        <v>117</v>
      </c>
      <c r="Q281" s="728"/>
      <c r="R281" s="759"/>
      <c r="S281" s="760"/>
      <c r="T281" s="761"/>
      <c r="U281" s="219"/>
      <c r="V281" s="464"/>
      <c r="Y281" s="414"/>
      <c r="AA281" s="542" t="e">
        <f>IF(AND(C280&lt;=F278,F278&gt;1,F278&lt;&gt;""),VLOOKUP(VALUE(E259&amp;","&amp;C280),INTEGRANTES!$D$18:$F$235,2,0),"")</f>
        <v>#N/A</v>
      </c>
      <c r="AB281" s="544" t="e">
        <f t="shared" ref="AB281:AB286" si="71">IF(D280="","",IF(OR(F280=0,G280=0),"NO APORTA",ROUND($F280/$G280,3)))</f>
        <v>#N/A</v>
      </c>
      <c r="AC281" s="529"/>
      <c r="AD281" s="200" t="e">
        <f t="shared" ref="AD281:AD286" si="72">IF(OR(AA281="",AB281=""),"",IF(AND(AC281="X",AB281&gt;=EXPREQVTD),"CUMPLE","NO CUMPLE"))</f>
        <v>#N/A</v>
      </c>
      <c r="AE281" s="52"/>
      <c r="AF281" s="52"/>
      <c r="AG281" s="52"/>
      <c r="AH281" s="87"/>
      <c r="AI281" s="87"/>
    </row>
    <row r="282" spans="1:35" ht="16.5" thickBot="1">
      <c r="A282" s="218" t="e">
        <f>"P"&amp;E259</f>
        <v>#N/A</v>
      </c>
      <c r="B282" s="702"/>
      <c r="C282" s="114">
        <v>3</v>
      </c>
      <c r="D282" s="194" t="e">
        <f>IF(AND(C282&lt;=F278,F278&lt;&gt;""),VLOOKUP(VALUE(E259&amp;","&amp;C282),INTEGRANTES!$D$18:$F$235,2,0),"")</f>
        <v>#N/A</v>
      </c>
      <c r="E282" s="211" t="e">
        <f>IF(D282&lt;&gt;"",VLOOKUP(VALUE(E259&amp;","&amp;C282),INTEGRANTES!$D$18:$F$235,3,0),"")</f>
        <v>#N/A</v>
      </c>
      <c r="F282" s="547" t="e">
        <f>IF(D282="","",SUMIF($I263:$I272,D282,$P263:$P272))</f>
        <v>#N/A</v>
      </c>
      <c r="G282" s="333" t="e">
        <f>IF(D282="","",SUMIF($I263:$I272,D282,$M263:$M272))</f>
        <v>#N/A</v>
      </c>
      <c r="H282" s="535" t="e">
        <f t="shared" si="68"/>
        <v>#N/A</v>
      </c>
      <c r="I282" s="212" t="e">
        <f>IF(D282="","",IF(H282="NO APORTA","NO",IF(H282=MAX($H280:$H285),"SI","NO")))</f>
        <v>#N/A</v>
      </c>
      <c r="J282" s="213" t="e">
        <f t="shared" si="69"/>
        <v>#N/A</v>
      </c>
      <c r="K282" s="200" t="e">
        <f t="shared" si="70"/>
        <v>#N/A</v>
      </c>
      <c r="L282" s="724"/>
      <c r="M282" s="729">
        <f>NUMMOD</f>
        <v>1</v>
      </c>
      <c r="N282" s="730"/>
      <c r="O282" s="443">
        <f>IF(M282="","",VLOOKUP(M282,PRESUPUESTOS!$B$16:$H$16,5,FALSE))</f>
        <v>2</v>
      </c>
      <c r="P282" s="713" t="e">
        <f>IF(OR(COUNTIF(M263:M272,"")&gt;=10,Q279&lt;NUMMINCONT,OR(T277="NO CUMPLE",T277="VERIFICAR")),0,ROUND(AVERAGE(M263:M272),3))</f>
        <v>#VALUE!</v>
      </c>
      <c r="Q282" s="714"/>
      <c r="R282" s="458"/>
      <c r="S282" s="459"/>
      <c r="T282" s="460"/>
      <c r="U282" s="219"/>
      <c r="V282" s="464"/>
      <c r="Y282" s="532" t="str">
        <f>"40% * ("&amp;PRESUPUESTOS!$H$13&amp;")"</f>
        <v>40% * (50% PFMO)</v>
      </c>
      <c r="AA282" s="540" t="e">
        <f>IF(AND(C281&lt;=F278,F278&lt;&gt;""),VLOOKUP(VALUE(E259&amp;","&amp;C281),INTEGRANTES!$D$18:$F$235,2,0),"")</f>
        <v>#N/A</v>
      </c>
      <c r="AB282" s="545" t="e">
        <f t="shared" si="71"/>
        <v>#N/A</v>
      </c>
      <c r="AC282" s="529"/>
      <c r="AD282" s="200" t="e">
        <f t="shared" si="72"/>
        <v>#N/A</v>
      </c>
      <c r="AE282" s="52"/>
      <c r="AF282" s="52"/>
      <c r="AG282" s="52"/>
      <c r="AH282" s="87"/>
      <c r="AI282" s="87"/>
    </row>
    <row r="283" spans="1:35" ht="15.75" customHeight="1" thickBot="1">
      <c r="A283" s="218" t="e">
        <f>"Q"&amp;E259</f>
        <v>#N/A</v>
      </c>
      <c r="B283" s="702"/>
      <c r="C283" s="114">
        <v>4</v>
      </c>
      <c r="D283" s="194" t="e">
        <f>IF(AND(C283&lt;=F278,F278&lt;&gt;""),VLOOKUP(VALUE(E259&amp;","&amp;C283),INTEGRANTES!$D$18:$F$235,2,0),"")</f>
        <v>#N/A</v>
      </c>
      <c r="E283" s="211" t="e">
        <f>IF(D283&lt;&gt;"",VLOOKUP(VALUE(E259&amp;","&amp;C283),INTEGRANTES!$D$18:$F$235,3,0),"")</f>
        <v>#N/A</v>
      </c>
      <c r="F283" s="547" t="e">
        <f>IF(D283="","",SUMIF($I263:$I272,D283,$P263:$P272))</f>
        <v>#N/A</v>
      </c>
      <c r="G283" s="333" t="e">
        <f>IF(D283="","",SUMIF($I263:$I272,D283,$M263:$M272))</f>
        <v>#N/A</v>
      </c>
      <c r="H283" s="535" t="e">
        <f t="shared" si="68"/>
        <v>#N/A</v>
      </c>
      <c r="I283" s="212" t="e">
        <f>IF(D283="","",IF(H283="NO APORTA","NO",IF(H283=MAX($H280:$H285),"SI","NO")))</f>
        <v>#N/A</v>
      </c>
      <c r="J283" s="213" t="e">
        <f t="shared" si="69"/>
        <v>#N/A</v>
      </c>
      <c r="K283" s="200" t="e">
        <f t="shared" si="70"/>
        <v>#N/A</v>
      </c>
      <c r="L283" s="720" t="s">
        <v>109</v>
      </c>
      <c r="M283" s="757" t="s">
        <v>120</v>
      </c>
      <c r="N283" s="726"/>
      <c r="O283" s="726"/>
      <c r="P283" s="726"/>
      <c r="Q283" s="727"/>
      <c r="R283" s="458"/>
      <c r="S283" s="459"/>
      <c r="T283" s="460"/>
      <c r="U283" s="219"/>
      <c r="V283" s="464"/>
      <c r="Y283" s="537">
        <f>0.4*PRESUPUESTOS!$H$16</f>
        <v>10.3124</v>
      </c>
      <c r="AA283" s="540" t="e">
        <f>IF(AND(C282&lt;=F278,F278&lt;&gt;""),VLOOKUP(VALUE(E259&amp;","&amp;C282),INTEGRANTES!$D$18:$F$235,2,0),"")</f>
        <v>#N/A</v>
      </c>
      <c r="AB283" s="545" t="e">
        <f t="shared" si="71"/>
        <v>#N/A</v>
      </c>
      <c r="AC283" s="529"/>
      <c r="AD283" s="200" t="e">
        <f t="shared" si="72"/>
        <v>#N/A</v>
      </c>
      <c r="AE283" s="52"/>
      <c r="AF283" s="52"/>
      <c r="AG283" s="52"/>
      <c r="AH283" s="87"/>
      <c r="AI283" s="87"/>
    </row>
    <row r="284" spans="1:35" ht="27" customHeight="1" thickBot="1">
      <c r="A284" s="218" t="e">
        <f>"R"&amp;E259</f>
        <v>#N/A</v>
      </c>
      <c r="B284" s="702"/>
      <c r="C284" s="114">
        <v>5</v>
      </c>
      <c r="D284" s="194" t="e">
        <f>IF(AND(C284&lt;=F278,F278&lt;&gt;""),VLOOKUP(VALUE(E259&amp;","&amp;C284),INTEGRANTES!$D$18:$F$235,2,0),"")</f>
        <v>#N/A</v>
      </c>
      <c r="E284" s="211" t="e">
        <f>IF(D284&lt;&gt;"",VLOOKUP(VALUE(E259&amp;","&amp;C284),INTEGRANTES!$D$18:$F$235,3,0),"")</f>
        <v>#N/A</v>
      </c>
      <c r="F284" s="547" t="e">
        <f>IF(D284="","",SUMIF($I263:$I272,D284,$P263:$P272))</f>
        <v>#N/A</v>
      </c>
      <c r="G284" s="333" t="e">
        <f>IF(D284="","",SUMIF($I263:$I272,D284,$M263:$M272))</f>
        <v>#N/A</v>
      </c>
      <c r="H284" s="535" t="e">
        <f t="shared" si="68"/>
        <v>#N/A</v>
      </c>
      <c r="I284" s="212" t="e">
        <f>IF(D284="","",IF(H284="NO APORTA","NO",IF(H284=MAX($H280:$H285),"SI","NO")))</f>
        <v>#N/A</v>
      </c>
      <c r="J284" s="213" t="e">
        <f t="shared" si="69"/>
        <v>#N/A</v>
      </c>
      <c r="K284" s="200" t="e">
        <f t="shared" si="70"/>
        <v>#N/A</v>
      </c>
      <c r="L284" s="721"/>
      <c r="M284" s="715" t="s">
        <v>116</v>
      </c>
      <c r="N284" s="716"/>
      <c r="O284" s="556" t="str">
        <f>PORCREQUERIDO*100&amp;"% PMFO DEL MÓDULO"</f>
        <v>50% PMFO DEL MÓDULO</v>
      </c>
      <c r="P284" s="715" t="s">
        <v>118</v>
      </c>
      <c r="Q284" s="728"/>
      <c r="R284" s="458"/>
      <c r="S284" s="459"/>
      <c r="T284" s="460"/>
      <c r="U284" s="219"/>
      <c r="V284" s="464"/>
      <c r="Y284" s="414"/>
      <c r="AA284" s="540" t="e">
        <f>IF(AND(C283&lt;=F278,F278&lt;&gt;""),VLOOKUP(VALUE(E259&amp;","&amp;C283),INTEGRANTES!$D$18:$F$235,2,0),"")</f>
        <v>#N/A</v>
      </c>
      <c r="AB284" s="545" t="e">
        <f t="shared" si="71"/>
        <v>#N/A</v>
      </c>
      <c r="AC284" s="529"/>
      <c r="AD284" s="200" t="e">
        <f t="shared" si="72"/>
        <v>#N/A</v>
      </c>
      <c r="AE284" s="52"/>
      <c r="AF284" s="52"/>
      <c r="AG284" s="52"/>
      <c r="AH284" s="87"/>
      <c r="AI284" s="87"/>
    </row>
    <row r="285" spans="1:35" ht="16.5" thickBot="1">
      <c r="A285" s="218" t="e">
        <f>"S"&amp;E259</f>
        <v>#N/A</v>
      </c>
      <c r="B285" s="702"/>
      <c r="C285" s="215">
        <v>6</v>
      </c>
      <c r="D285" s="216" t="e">
        <f>IF(AND(C285&lt;=F278,F278&lt;&gt;""),VLOOKUP(VALUE(E259&amp;","&amp;C285),INTEGRANTES!$D$18:$F$235,2,0),"")</f>
        <v>#N/A</v>
      </c>
      <c r="E285" s="217" t="e">
        <f>IF(D285&lt;&gt;"",VLOOKUP(VALUE(E259&amp;","&amp;C285),INTEGRANTES!$D$18:$F$235,3,0),"")</f>
        <v>#N/A</v>
      </c>
      <c r="F285" s="548" t="e">
        <f>IF(D285="","",SUMIF($I263:$I272,D285,$P263:$P272))</f>
        <v>#N/A</v>
      </c>
      <c r="G285" s="334" t="e">
        <f>IF(D285="","",SUMIF($I263:$I272,D285,$M263:$M272))</f>
        <v>#N/A</v>
      </c>
      <c r="H285" s="536" t="e">
        <f t="shared" si="68"/>
        <v>#N/A</v>
      </c>
      <c r="I285" s="214" t="e">
        <f>IF(D285="","",IF(H285="NO APORTA","NO",IF(H285=MAX($H280:$H285),"SI","NO")))</f>
        <v>#N/A</v>
      </c>
      <c r="J285" s="213" t="e">
        <f t="shared" si="69"/>
        <v>#N/A</v>
      </c>
      <c r="K285" s="200" t="e">
        <f t="shared" si="70"/>
        <v>#N/A</v>
      </c>
      <c r="L285" s="721"/>
      <c r="M285" s="729">
        <f>NUMMOD</f>
        <v>1</v>
      </c>
      <c r="N285" s="730"/>
      <c r="O285" s="443">
        <f>IF(M285="","",ROUND(VLOOKUP(M285,PRESUPUESTOS!$B$16:$H$16,7,FALSE),3))</f>
        <v>25.780999999999999</v>
      </c>
      <c r="P285" s="713" t="e">
        <f>IF(OR(COUNTIF(P263:P272,"")&gt;=10,Q279&lt;NUMMINCONT,OR(T277="NO CUMPLE",T277="VERIFICAR")),0,ROUND((SUM(P263:P272)/SUM(M263:M272)),3))</f>
        <v>#VALUE!</v>
      </c>
      <c r="Q285" s="714"/>
      <c r="R285" s="458"/>
      <c r="S285" s="459"/>
      <c r="T285" s="460"/>
      <c r="U285" s="219"/>
      <c r="V285" s="464"/>
      <c r="Y285" s="532" t="s">
        <v>343</v>
      </c>
      <c r="AA285" s="540" t="e">
        <f>IF(AND(C284&lt;=F278,F278&lt;&gt;""),VLOOKUP(VALUE(E259&amp;","&amp;C284),INTEGRANTES!$D$18:$F$235,2,0),"")</f>
        <v>#N/A</v>
      </c>
      <c r="AB285" s="545" t="e">
        <f t="shared" si="71"/>
        <v>#N/A</v>
      </c>
      <c r="AC285" s="529"/>
      <c r="AD285" s="200" t="e">
        <f t="shared" si="72"/>
        <v>#N/A</v>
      </c>
      <c r="AE285" s="52"/>
      <c r="AF285" s="52"/>
      <c r="AG285" s="52"/>
      <c r="AH285" s="87"/>
      <c r="AI285" s="87"/>
    </row>
    <row r="286" spans="1:35" ht="16.5" customHeight="1" thickBot="1">
      <c r="A286" s="218" t="e">
        <f>"T"&amp;E259</f>
        <v>#N/A</v>
      </c>
      <c r="B286" s="703"/>
      <c r="C286" s="719"/>
      <c r="D286" s="719"/>
      <c r="E286" s="719"/>
      <c r="F286" s="719"/>
      <c r="G286" s="719"/>
      <c r="H286" s="719" t="s">
        <v>110</v>
      </c>
      <c r="I286" s="719"/>
      <c r="J286" s="719"/>
      <c r="K286" s="201" t="str">
        <f>IF(COUNTIF(K280:K285,"")=6,"",IF(COUNTIF(K280:K285,"CUMPLE")&gt;0,"CUMPLE","NO CUMPLE"))</f>
        <v>NO CUMPLE</v>
      </c>
      <c r="L286" s="754"/>
      <c r="M286" s="755"/>
      <c r="N286" s="755"/>
      <c r="O286" s="755"/>
      <c r="P286" s="755"/>
      <c r="Q286" s="756"/>
      <c r="R286" s="461"/>
      <c r="S286" s="462"/>
      <c r="T286" s="463"/>
      <c r="U286" s="219"/>
      <c r="V286" s="464"/>
      <c r="Y286" s="549" t="e">
        <f>IF(Y280="NO APLICA","NO APLICA",IF(COUNTIF(AD281:AD286,"CUMPLE")&gt;0,"CUMPLE","NO CUMPLE"))</f>
        <v>#N/A</v>
      </c>
      <c r="AA286" s="541" t="e">
        <f>IF(AND(C285&lt;=F278,F278&lt;&gt;""),VLOOKUP(VALUE(E259&amp;","&amp;C285),INTEGRANTES!$D$18:$F$235,2,0),"")</f>
        <v>#N/A</v>
      </c>
      <c r="AB286" s="546" t="e">
        <f t="shared" si="71"/>
        <v>#N/A</v>
      </c>
      <c r="AC286" s="543"/>
      <c r="AD286" s="201" t="e">
        <f t="shared" si="72"/>
        <v>#N/A</v>
      </c>
      <c r="AE286" s="52"/>
      <c r="AF286" s="52"/>
      <c r="AG286" s="52"/>
      <c r="AH286" s="87"/>
      <c r="AI286" s="87"/>
    </row>
    <row r="287" spans="1:35">
      <c r="A287" s="103"/>
      <c r="B287" s="206"/>
      <c r="C287" s="206"/>
      <c r="D287" s="206"/>
      <c r="E287" s="206"/>
      <c r="F287" s="206"/>
      <c r="G287" s="206"/>
      <c r="H287" s="206"/>
      <c r="I287" s="104"/>
      <c r="J287" s="206"/>
      <c r="K287" s="113"/>
      <c r="L287" s="113"/>
      <c r="M287" s="113"/>
      <c r="N287" s="222"/>
      <c r="O287" s="113"/>
      <c r="P287" s="113"/>
      <c r="Q287" s="113"/>
      <c r="R287" s="206"/>
      <c r="S287" s="104"/>
      <c r="T287" s="206"/>
      <c r="U287" s="474"/>
      <c r="AH287" s="87"/>
      <c r="AI287" s="87"/>
    </row>
    <row r="288" spans="1:35">
      <c r="H288" s="220"/>
      <c r="AH288" s="87"/>
      <c r="AI288" s="87"/>
    </row>
    <row r="289" spans="1:35" ht="24" thickBot="1">
      <c r="A289" s="61">
        <v>10</v>
      </c>
      <c r="B289" s="704" t="s">
        <v>51</v>
      </c>
      <c r="C289" s="704"/>
      <c r="D289" s="704"/>
      <c r="E289" s="62" t="e">
        <f>VLOOKUP(A289,PROPONENTES!$B$19:$E$218,2,FALSE)</f>
        <v>#N/A</v>
      </c>
      <c r="F289" s="63" t="e">
        <f>VLOOKUP(A289,PROPONENTES!$B$19:$E$218,3,FALSE)</f>
        <v>#N/A</v>
      </c>
      <c r="G289" s="64"/>
      <c r="H289" s="64"/>
      <c r="I289" s="63"/>
      <c r="J289" s="63"/>
      <c r="K289" s="65"/>
      <c r="L289" s="65"/>
      <c r="M289" s="64"/>
      <c r="N289" s="64"/>
      <c r="O289" s="66"/>
      <c r="P289" s="66"/>
      <c r="Q289" s="66"/>
      <c r="R289" s="66"/>
      <c r="S289" s="67"/>
      <c r="T289" s="68"/>
      <c r="U289" s="68"/>
      <c r="AC289" s="68"/>
      <c r="AD289" s="68"/>
      <c r="AE289" s="68"/>
      <c r="AF289" s="68"/>
      <c r="AG289" s="68"/>
      <c r="AH289" s="87"/>
      <c r="AI289" s="87"/>
    </row>
    <row r="290" spans="1:35" ht="15.75" customHeight="1">
      <c r="A290" s="44"/>
      <c r="B290" s="709" t="s">
        <v>59</v>
      </c>
      <c r="C290" s="552" t="s">
        <v>60</v>
      </c>
      <c r="D290" s="70" t="s">
        <v>17</v>
      </c>
      <c r="E290" s="70"/>
      <c r="F290" s="70" t="s">
        <v>61</v>
      </c>
      <c r="G290" s="71"/>
      <c r="H290" s="699" t="s">
        <v>62</v>
      </c>
      <c r="I290" s="699" t="s">
        <v>18</v>
      </c>
      <c r="J290" s="699" t="s">
        <v>63</v>
      </c>
      <c r="K290" s="699" t="s">
        <v>64</v>
      </c>
      <c r="L290" s="699" t="s">
        <v>65</v>
      </c>
      <c r="M290" s="743" t="s">
        <v>66</v>
      </c>
      <c r="N290" s="699" t="s">
        <v>282</v>
      </c>
      <c r="O290" s="745" t="s">
        <v>67</v>
      </c>
      <c r="P290" s="746"/>
      <c r="Q290" s="102" t="s">
        <v>75</v>
      </c>
      <c r="R290" s="731" t="s">
        <v>22</v>
      </c>
      <c r="S290" s="732"/>
      <c r="T290" s="733"/>
      <c r="U290" s="712" t="s">
        <v>298</v>
      </c>
      <c r="W290" s="690" t="s">
        <v>268</v>
      </c>
      <c r="X290" s="691"/>
      <c r="Y290" s="692"/>
      <c r="Z290" s="428"/>
      <c r="AA290" s="697" t="s">
        <v>315</v>
      </c>
      <c r="AB290" s="695" t="s">
        <v>322</v>
      </c>
      <c r="AC290" s="49"/>
      <c r="AD290" s="690" t="s">
        <v>297</v>
      </c>
      <c r="AE290" s="691"/>
      <c r="AF290" s="692"/>
      <c r="AG290" s="49"/>
      <c r="AH290" s="87"/>
      <c r="AI290" s="87"/>
    </row>
    <row r="291" spans="1:35" ht="72">
      <c r="A291" s="44"/>
      <c r="B291" s="710"/>
      <c r="C291" s="553" t="s">
        <v>68</v>
      </c>
      <c r="D291" s="73" t="s">
        <v>3</v>
      </c>
      <c r="E291" s="73" t="s">
        <v>19</v>
      </c>
      <c r="F291" s="73" t="s">
        <v>69</v>
      </c>
      <c r="G291" s="74" t="s">
        <v>70</v>
      </c>
      <c r="H291" s="700"/>
      <c r="I291" s="700"/>
      <c r="J291" s="700"/>
      <c r="K291" s="700"/>
      <c r="L291" s="700"/>
      <c r="M291" s="744"/>
      <c r="N291" s="700"/>
      <c r="O291" s="553" t="s">
        <v>279</v>
      </c>
      <c r="P291" s="73" t="s">
        <v>88</v>
      </c>
      <c r="Q291" s="555" t="s">
        <v>76</v>
      </c>
      <c r="R291" s="734"/>
      <c r="S291" s="735"/>
      <c r="T291" s="736"/>
      <c r="U291" s="712"/>
      <c r="W291" s="429" t="s">
        <v>269</v>
      </c>
      <c r="X291" s="457" t="s">
        <v>278</v>
      </c>
      <c r="Y291" s="430" t="s">
        <v>365</v>
      </c>
      <c r="Z291" s="428"/>
      <c r="AA291" s="698"/>
      <c r="AB291" s="696"/>
      <c r="AC291" s="49"/>
      <c r="AD291" s="429" t="s">
        <v>292</v>
      </c>
      <c r="AE291" s="431" t="s">
        <v>300</v>
      </c>
      <c r="AF291" s="468" t="s">
        <v>301</v>
      </c>
      <c r="AG291" s="49"/>
      <c r="AH291" s="87"/>
      <c r="AI291" s="87"/>
    </row>
    <row r="292" spans="1:35">
      <c r="A292" s="44"/>
      <c r="B292" s="76"/>
      <c r="C292" s="77"/>
      <c r="D292" s="77"/>
      <c r="E292" s="77"/>
      <c r="F292" s="77"/>
      <c r="G292" s="77"/>
      <c r="H292" s="77"/>
      <c r="I292" s="77"/>
      <c r="J292" s="77"/>
      <c r="K292" s="77"/>
      <c r="L292" s="77"/>
      <c r="M292" s="77"/>
      <c r="N292" s="77"/>
      <c r="O292" s="77"/>
      <c r="P292" s="77"/>
      <c r="Q292" s="77"/>
      <c r="R292" s="77"/>
      <c r="S292" s="78"/>
      <c r="T292" s="79"/>
      <c r="U292" s="109"/>
      <c r="V292" s="49"/>
      <c r="W292" s="432"/>
      <c r="X292" s="454"/>
      <c r="Y292" s="433"/>
      <c r="Z292" s="6"/>
      <c r="AA292" s="500"/>
      <c r="AB292" s="562"/>
      <c r="AC292" s="49"/>
      <c r="AD292" s="210"/>
      <c r="AE292" s="434"/>
      <c r="AF292" s="435"/>
      <c r="AG292" s="49"/>
      <c r="AH292" s="87"/>
      <c r="AI292" s="87"/>
    </row>
    <row r="293" spans="1:35" ht="52.5" customHeight="1">
      <c r="A293" s="80" t="e">
        <f>"A"&amp;E289</f>
        <v>#N/A</v>
      </c>
      <c r="B293" s="81">
        <v>1</v>
      </c>
      <c r="C293" s="82"/>
      <c r="D293" s="82"/>
      <c r="E293" s="567"/>
      <c r="F293" s="82"/>
      <c r="G293" s="83"/>
      <c r="H293" s="83"/>
      <c r="I293" s="84"/>
      <c r="J293" s="85"/>
      <c r="K293" s="382"/>
      <c r="L293" s="85"/>
      <c r="M293" s="332" t="str">
        <f t="shared" ref="M293:M302" si="73">IF(OR(J293="",L293="",H293="NO"),"",IF(OR(J293&gt;$P$17,J293&lt;$O$17,L293&gt;$P$17,AND(J293&lt;$O$17,L293&lt;$O$17)),"FUERA DE RANGO",IF(OR(K293="---",K293=""),IF(J293&gt;=$O$17,ROUND((L293-J293+1)/360*12,3),ROUND((L293-$O$17+1)/360*12,3)),IF(J293&gt;=$O$17,ROUND((L293-J293+1)/360*12-ROUND(K293,3),3),ROUND((L293-$O$17+1)/360*12-ROUND(K293,3),3)))))</f>
        <v/>
      </c>
      <c r="N293" s="86">
        <v>121.89</v>
      </c>
      <c r="O293" s="453" t="str">
        <f>IF(OR(G293="",N293=""),"",N293*G293)</f>
        <v/>
      </c>
      <c r="P293" s="538" t="str">
        <f>IF(OR(H293="",M293="FUERA DE RANGO"),"",IF(OR(L293&lt;$O$17,L293&gt;$P$17,L293="",H293="NO"),"",IF(OR(N293="",O293=""),"",ROUND(O293,3))))</f>
        <v/>
      </c>
      <c r="Q293" s="539" t="str">
        <f t="shared" ref="Q293:Q302" si="74">IF(AND(H293="SI",P293&lt;&gt;""),ROUND(P293/M293,3),"")</f>
        <v/>
      </c>
      <c r="R293" s="737"/>
      <c r="S293" s="738"/>
      <c r="T293" s="739"/>
      <c r="U293" s="470"/>
      <c r="V293" s="165"/>
      <c r="W293" s="446" t="s">
        <v>25</v>
      </c>
      <c r="X293" s="456">
        <v>44</v>
      </c>
      <c r="Y293" s="436" t="s">
        <v>25</v>
      </c>
      <c r="Z293" s="437"/>
      <c r="AA293" s="560" t="s">
        <v>321</v>
      </c>
      <c r="AB293" s="561" t="s">
        <v>294</v>
      </c>
      <c r="AC293" s="87"/>
      <c r="AD293" s="466" t="s">
        <v>289</v>
      </c>
      <c r="AE293" s="456"/>
      <c r="AF293" s="467"/>
      <c r="AG293" s="87"/>
      <c r="AH293" s="87"/>
      <c r="AI293" s="87"/>
    </row>
    <row r="294" spans="1:35" ht="57" customHeight="1">
      <c r="A294" s="80" t="e">
        <f>"B"&amp;E289</f>
        <v>#N/A</v>
      </c>
      <c r="B294" s="81">
        <v>2</v>
      </c>
      <c r="C294" s="106"/>
      <c r="D294" s="106"/>
      <c r="E294" s="568"/>
      <c r="F294" s="106"/>
      <c r="G294" s="83"/>
      <c r="H294" s="83"/>
      <c r="I294" s="84"/>
      <c r="J294" s="85"/>
      <c r="K294" s="382"/>
      <c r="L294" s="85"/>
      <c r="M294" s="332" t="str">
        <f t="shared" si="73"/>
        <v/>
      </c>
      <c r="N294" s="86">
        <v>366.53</v>
      </c>
      <c r="O294" s="453" t="str">
        <f t="shared" ref="O294:O302" si="75">IF(OR(G294="",N294=""),"",N294*G294)</f>
        <v/>
      </c>
      <c r="P294" s="538" t="str">
        <f t="shared" ref="P294:P302" si="76">IF(OR(H294="",M294="FUERA DE RANGO"),"",IF(OR(L294&lt;$O$17,L294&gt;$P$17,L294="",H294="NO"),"",IF(OR(N294="",O294=""),"",ROUND(O294,3))))</f>
        <v/>
      </c>
      <c r="Q294" s="539" t="str">
        <f t="shared" si="74"/>
        <v/>
      </c>
      <c r="R294" s="740"/>
      <c r="S294" s="741"/>
      <c r="T294" s="742"/>
      <c r="U294" s="471"/>
      <c r="V294" s="165"/>
      <c r="W294" s="446" t="s">
        <v>25</v>
      </c>
      <c r="X294" s="456">
        <v>40</v>
      </c>
      <c r="Y294" s="436" t="s">
        <v>25</v>
      </c>
      <c r="Z294" s="437"/>
      <c r="AA294" s="560" t="s">
        <v>318</v>
      </c>
      <c r="AB294" s="561" t="s">
        <v>294</v>
      </c>
      <c r="AC294" s="87"/>
      <c r="AD294" s="466" t="s">
        <v>289</v>
      </c>
      <c r="AE294" s="456" t="s">
        <v>25</v>
      </c>
      <c r="AF294" s="467" t="s">
        <v>25</v>
      </c>
      <c r="AG294" s="87"/>
      <c r="AH294" s="87"/>
      <c r="AI294" s="87"/>
    </row>
    <row r="295" spans="1:35" ht="80.25" customHeight="1">
      <c r="A295" s="80" t="e">
        <f>"C"&amp;E289</f>
        <v>#N/A</v>
      </c>
      <c r="B295" s="88">
        <v>3</v>
      </c>
      <c r="C295" s="82"/>
      <c r="D295" s="82"/>
      <c r="E295" s="567"/>
      <c r="F295" s="82"/>
      <c r="G295" s="83"/>
      <c r="H295" s="83"/>
      <c r="I295" s="84"/>
      <c r="J295" s="85"/>
      <c r="K295" s="382"/>
      <c r="L295" s="85"/>
      <c r="M295" s="332" t="str">
        <f t="shared" si="73"/>
        <v/>
      </c>
      <c r="N295" s="86">
        <v>207.63</v>
      </c>
      <c r="O295" s="453" t="str">
        <f t="shared" si="75"/>
        <v/>
      </c>
      <c r="P295" s="538" t="str">
        <f t="shared" si="76"/>
        <v/>
      </c>
      <c r="Q295" s="539" t="str">
        <f t="shared" si="74"/>
        <v/>
      </c>
      <c r="R295" s="706"/>
      <c r="S295" s="707"/>
      <c r="T295" s="708"/>
      <c r="U295" s="472"/>
      <c r="V295" s="166"/>
      <c r="W295" s="446" t="s">
        <v>25</v>
      </c>
      <c r="X295" s="456">
        <v>41</v>
      </c>
      <c r="Y295" s="436" t="s">
        <v>25</v>
      </c>
      <c r="Z295" s="437"/>
      <c r="AA295" s="560" t="s">
        <v>318</v>
      </c>
      <c r="AB295" s="561" t="s">
        <v>294</v>
      </c>
      <c r="AC295" s="87"/>
      <c r="AD295" s="466" t="s">
        <v>289</v>
      </c>
      <c r="AE295" s="456"/>
      <c r="AF295" s="467"/>
      <c r="AG295" s="87"/>
      <c r="AH295" s="87"/>
      <c r="AI295" s="87"/>
    </row>
    <row r="296" spans="1:35" ht="90.75" customHeight="1">
      <c r="A296" s="80" t="e">
        <f>"D"&amp;E289</f>
        <v>#N/A</v>
      </c>
      <c r="B296" s="105">
        <v>4</v>
      </c>
      <c r="C296" s="107"/>
      <c r="D296" s="107"/>
      <c r="E296" s="569"/>
      <c r="F296" s="107"/>
      <c r="G296" s="83"/>
      <c r="H296" s="83"/>
      <c r="I296" s="84"/>
      <c r="J296" s="85"/>
      <c r="K296" s="382"/>
      <c r="L296" s="85"/>
      <c r="M296" s="332" t="str">
        <f t="shared" si="73"/>
        <v/>
      </c>
      <c r="N296" s="86">
        <v>128</v>
      </c>
      <c r="O296" s="453" t="str">
        <f t="shared" si="75"/>
        <v/>
      </c>
      <c r="P296" s="538" t="str">
        <f t="shared" si="76"/>
        <v/>
      </c>
      <c r="Q296" s="539" t="str">
        <f t="shared" si="74"/>
        <v/>
      </c>
      <c r="R296" s="706"/>
      <c r="S296" s="707"/>
      <c r="T296" s="708"/>
      <c r="U296" s="472"/>
      <c r="V296" s="166"/>
      <c r="W296" s="446" t="s">
        <v>25</v>
      </c>
      <c r="X296" s="456">
        <v>43</v>
      </c>
      <c r="Y296" s="436" t="s">
        <v>25</v>
      </c>
      <c r="Z296" s="437"/>
      <c r="AA296" s="560" t="s">
        <v>320</v>
      </c>
      <c r="AB296" s="561"/>
      <c r="AC296" s="87"/>
      <c r="AD296" s="466" t="s">
        <v>289</v>
      </c>
      <c r="AE296" s="456"/>
      <c r="AF296" s="467"/>
      <c r="AG296" s="87"/>
      <c r="AH296" s="87"/>
      <c r="AI296" s="87"/>
    </row>
    <row r="297" spans="1:35" ht="99.75" customHeight="1">
      <c r="A297" s="80" t="e">
        <f>"E"&amp;E289</f>
        <v>#N/A</v>
      </c>
      <c r="B297" s="105">
        <v>5</v>
      </c>
      <c r="C297" s="107"/>
      <c r="D297" s="107"/>
      <c r="E297" s="569"/>
      <c r="F297" s="107"/>
      <c r="G297" s="83"/>
      <c r="H297" s="83"/>
      <c r="I297" s="84"/>
      <c r="J297" s="85"/>
      <c r="K297" s="382"/>
      <c r="L297" s="85"/>
      <c r="M297" s="332" t="str">
        <f t="shared" si="73"/>
        <v/>
      </c>
      <c r="N297" s="86">
        <v>54.55</v>
      </c>
      <c r="O297" s="453" t="str">
        <f t="shared" si="75"/>
        <v/>
      </c>
      <c r="P297" s="538" t="str">
        <f t="shared" si="76"/>
        <v/>
      </c>
      <c r="Q297" s="539" t="str">
        <f t="shared" si="74"/>
        <v/>
      </c>
      <c r="R297" s="706"/>
      <c r="S297" s="707"/>
      <c r="T297" s="708"/>
      <c r="U297" s="472"/>
      <c r="V297" s="167"/>
      <c r="W297" s="446" t="s">
        <v>25</v>
      </c>
      <c r="X297" s="456">
        <v>3</v>
      </c>
      <c r="Y297" s="436" t="s">
        <v>25</v>
      </c>
      <c r="Z297" s="437"/>
      <c r="AA297" s="560" t="s">
        <v>319</v>
      </c>
      <c r="AB297" s="561" t="s">
        <v>294</v>
      </c>
      <c r="AC297" s="87"/>
      <c r="AD297" s="466" t="s">
        <v>289</v>
      </c>
      <c r="AE297" s="456"/>
      <c r="AF297" s="467"/>
      <c r="AG297" s="87"/>
      <c r="AH297" s="87"/>
      <c r="AI297" s="87"/>
    </row>
    <row r="298" spans="1:35">
      <c r="A298" s="80" t="e">
        <f>"F"&amp;E289</f>
        <v>#N/A</v>
      </c>
      <c r="B298" s="105">
        <v>6</v>
      </c>
      <c r="C298" s="107"/>
      <c r="D298" s="107"/>
      <c r="E298" s="107"/>
      <c r="F298" s="107"/>
      <c r="G298" s="83"/>
      <c r="H298" s="83"/>
      <c r="I298" s="84"/>
      <c r="J298" s="85"/>
      <c r="K298" s="382"/>
      <c r="L298" s="85"/>
      <c r="M298" s="332" t="str">
        <f t="shared" si="73"/>
        <v/>
      </c>
      <c r="N298" s="86"/>
      <c r="O298" s="453" t="str">
        <f t="shared" si="75"/>
        <v/>
      </c>
      <c r="P298" s="538" t="str">
        <f t="shared" si="76"/>
        <v/>
      </c>
      <c r="Q298" s="539" t="str">
        <f t="shared" si="74"/>
        <v/>
      </c>
      <c r="R298" s="706"/>
      <c r="S298" s="707"/>
      <c r="T298" s="708"/>
      <c r="U298" s="472"/>
      <c r="V298" s="167"/>
      <c r="W298" s="446"/>
      <c r="X298" s="456"/>
      <c r="Y298" s="436"/>
      <c r="Z298" s="437"/>
      <c r="AA298" s="560"/>
      <c r="AB298" s="561"/>
      <c r="AC298" s="87"/>
      <c r="AD298" s="466"/>
      <c r="AE298" s="456"/>
      <c r="AF298" s="467"/>
      <c r="AG298" s="87"/>
      <c r="AH298" s="87"/>
      <c r="AI298" s="87"/>
    </row>
    <row r="299" spans="1:35">
      <c r="A299" s="80" t="e">
        <f>"G"&amp;E289</f>
        <v>#N/A</v>
      </c>
      <c r="B299" s="105">
        <v>7</v>
      </c>
      <c r="C299" s="107"/>
      <c r="D299" s="107"/>
      <c r="E299" s="107"/>
      <c r="F299" s="107"/>
      <c r="G299" s="83"/>
      <c r="H299" s="83"/>
      <c r="I299" s="84"/>
      <c r="J299" s="85"/>
      <c r="K299" s="382"/>
      <c r="L299" s="85"/>
      <c r="M299" s="332" t="str">
        <f t="shared" si="73"/>
        <v/>
      </c>
      <c r="N299" s="86"/>
      <c r="O299" s="86" t="str">
        <f t="shared" si="75"/>
        <v/>
      </c>
      <c r="P299" s="538" t="str">
        <f t="shared" si="76"/>
        <v/>
      </c>
      <c r="Q299" s="539" t="str">
        <f t="shared" si="74"/>
        <v/>
      </c>
      <c r="R299" s="706"/>
      <c r="S299" s="707"/>
      <c r="T299" s="708"/>
      <c r="U299" s="472"/>
      <c r="V299" s="167"/>
      <c r="W299" s="446"/>
      <c r="X299" s="456"/>
      <c r="Y299" s="436"/>
      <c r="Z299" s="437"/>
      <c r="AA299" s="560"/>
      <c r="AB299" s="561"/>
      <c r="AC299" s="87"/>
      <c r="AD299" s="466"/>
      <c r="AE299" s="456"/>
      <c r="AF299" s="467"/>
      <c r="AG299" s="87"/>
      <c r="AH299" s="87"/>
      <c r="AI299" s="87"/>
    </row>
    <row r="300" spans="1:35">
      <c r="A300" s="80" t="e">
        <f>"H"&amp;E289</f>
        <v>#N/A</v>
      </c>
      <c r="B300" s="105">
        <v>8</v>
      </c>
      <c r="C300" s="107"/>
      <c r="D300" s="107"/>
      <c r="E300" s="107"/>
      <c r="F300" s="107"/>
      <c r="G300" s="83"/>
      <c r="H300" s="83"/>
      <c r="I300" s="84"/>
      <c r="J300" s="85"/>
      <c r="K300" s="382"/>
      <c r="L300" s="85"/>
      <c r="M300" s="332" t="str">
        <f t="shared" si="73"/>
        <v/>
      </c>
      <c r="N300" s="453"/>
      <c r="O300" s="86" t="str">
        <f t="shared" si="75"/>
        <v/>
      </c>
      <c r="P300" s="538" t="str">
        <f t="shared" si="76"/>
        <v/>
      </c>
      <c r="Q300" s="539" t="str">
        <f t="shared" si="74"/>
        <v/>
      </c>
      <c r="R300" s="706"/>
      <c r="S300" s="707"/>
      <c r="T300" s="708"/>
      <c r="U300" s="472"/>
      <c r="V300" s="167"/>
      <c r="W300" s="446"/>
      <c r="X300" s="456"/>
      <c r="Y300" s="436"/>
      <c r="Z300" s="437"/>
      <c r="AA300" s="560"/>
      <c r="AB300" s="561"/>
      <c r="AC300" s="87"/>
      <c r="AD300" s="466"/>
      <c r="AE300" s="456"/>
      <c r="AF300" s="467"/>
      <c r="AG300" s="87"/>
      <c r="AH300" s="87"/>
      <c r="AI300" s="87"/>
    </row>
    <row r="301" spans="1:35">
      <c r="A301" s="80" t="e">
        <f>"I"&amp;E289</f>
        <v>#N/A</v>
      </c>
      <c r="B301" s="105">
        <v>9</v>
      </c>
      <c r="C301" s="107"/>
      <c r="D301" s="107"/>
      <c r="E301" s="107"/>
      <c r="F301" s="107"/>
      <c r="G301" s="83"/>
      <c r="H301" s="83"/>
      <c r="I301" s="84"/>
      <c r="J301" s="85"/>
      <c r="K301" s="382"/>
      <c r="L301" s="85"/>
      <c r="M301" s="332" t="str">
        <f t="shared" si="73"/>
        <v/>
      </c>
      <c r="N301" s="453"/>
      <c r="O301" s="86" t="str">
        <f t="shared" si="75"/>
        <v/>
      </c>
      <c r="P301" s="538" t="str">
        <f t="shared" si="76"/>
        <v/>
      </c>
      <c r="Q301" s="539" t="str">
        <f t="shared" si="74"/>
        <v/>
      </c>
      <c r="R301" s="706"/>
      <c r="S301" s="707"/>
      <c r="T301" s="708"/>
      <c r="U301" s="472"/>
      <c r="V301" s="167"/>
      <c r="W301" s="446"/>
      <c r="X301" s="456"/>
      <c r="Y301" s="436"/>
      <c r="Z301" s="437"/>
      <c r="AA301" s="560"/>
      <c r="AB301" s="561"/>
      <c r="AC301" s="87"/>
      <c r="AD301" s="466"/>
      <c r="AE301" s="456"/>
      <c r="AF301" s="467"/>
      <c r="AG301" s="87"/>
      <c r="AH301" s="87"/>
      <c r="AI301" s="87"/>
    </row>
    <row r="302" spans="1:35">
      <c r="A302" s="80" t="e">
        <f>"J"&amp;E289</f>
        <v>#N/A</v>
      </c>
      <c r="B302" s="105">
        <v>10</v>
      </c>
      <c r="C302" s="107"/>
      <c r="D302" s="107"/>
      <c r="E302" s="107"/>
      <c r="F302" s="107"/>
      <c r="G302" s="83"/>
      <c r="H302" s="83"/>
      <c r="I302" s="84"/>
      <c r="J302" s="85"/>
      <c r="K302" s="382"/>
      <c r="L302" s="85"/>
      <c r="M302" s="332" t="str">
        <f t="shared" si="73"/>
        <v/>
      </c>
      <c r="N302" s="453"/>
      <c r="O302" s="86" t="str">
        <f t="shared" si="75"/>
        <v/>
      </c>
      <c r="P302" s="538" t="str">
        <f t="shared" si="76"/>
        <v/>
      </c>
      <c r="Q302" s="539" t="str">
        <f t="shared" si="74"/>
        <v/>
      </c>
      <c r="R302" s="706"/>
      <c r="S302" s="707"/>
      <c r="T302" s="708"/>
      <c r="U302" s="472"/>
      <c r="V302" s="167"/>
      <c r="W302" s="446"/>
      <c r="X302" s="456"/>
      <c r="Y302" s="436"/>
      <c r="Z302" s="437"/>
      <c r="AA302" s="560"/>
      <c r="AB302" s="561"/>
      <c r="AC302" s="87"/>
      <c r="AD302" s="466"/>
      <c r="AE302" s="456"/>
      <c r="AF302" s="467"/>
      <c r="AG302" s="87"/>
      <c r="AH302" s="87"/>
      <c r="AI302" s="87"/>
    </row>
    <row r="303" spans="1:35" ht="16.5" thickBot="1">
      <c r="A303" s="44"/>
      <c r="B303" s="89"/>
      <c r="C303" s="90"/>
      <c r="D303" s="90"/>
      <c r="E303" s="90"/>
      <c r="F303" s="90"/>
      <c r="G303" s="90"/>
      <c r="H303" s="90"/>
      <c r="I303" s="90"/>
      <c r="J303" s="90"/>
      <c r="K303" s="90"/>
      <c r="L303" s="90"/>
      <c r="M303" s="90"/>
      <c r="N303" s="90"/>
      <c r="O303" s="90"/>
      <c r="P303" s="90"/>
      <c r="Q303" s="90"/>
      <c r="R303" s="90"/>
      <c r="S303" s="91"/>
      <c r="T303" s="92"/>
      <c r="U303" s="473"/>
      <c r="W303" s="438"/>
      <c r="X303" s="455"/>
      <c r="Y303" s="439"/>
      <c r="Z303" s="437"/>
      <c r="AA303" s="530"/>
      <c r="AB303" s="563"/>
      <c r="AC303" s="87"/>
      <c r="AD303" s="440"/>
      <c r="AE303" s="441"/>
      <c r="AF303" s="442"/>
      <c r="AG303" s="49"/>
      <c r="AH303" s="87"/>
      <c r="AI303" s="87"/>
    </row>
    <row r="304" spans="1:35" ht="16.5" thickBot="1">
      <c r="A304" s="93"/>
      <c r="B304" s="94"/>
      <c r="C304" s="96"/>
      <c r="D304" s="96"/>
      <c r="E304" s="96"/>
      <c r="F304" s="96"/>
      <c r="G304" s="96"/>
      <c r="H304" s="96"/>
      <c r="I304" s="96"/>
      <c r="J304" s="96"/>
      <c r="K304" s="96"/>
      <c r="L304" s="96"/>
      <c r="M304" s="136"/>
      <c r="N304" s="96"/>
      <c r="O304" s="96"/>
      <c r="P304" s="97"/>
      <c r="Q304" s="97"/>
      <c r="R304" s="98"/>
      <c r="S304" s="95"/>
      <c r="T304" s="99"/>
      <c r="U304" s="469"/>
      <c r="AC304" s="58"/>
      <c r="AG304" s="58"/>
      <c r="AH304" s="87"/>
      <c r="AI304" s="87"/>
    </row>
    <row r="305" spans="1:35" ht="16.5" thickBot="1">
      <c r="B305" s="101"/>
      <c r="C305" s="101"/>
      <c r="D305" s="101"/>
      <c r="E305" s="101"/>
      <c r="F305" s="101"/>
      <c r="G305" s="101"/>
      <c r="H305" s="101"/>
      <c r="I305" s="101"/>
      <c r="J305" s="101"/>
      <c r="K305" s="101"/>
      <c r="L305" s="101"/>
      <c r="M305" s="101"/>
      <c r="N305" s="101"/>
      <c r="O305" s="101"/>
      <c r="P305" s="101"/>
      <c r="Q305" s="101"/>
      <c r="R305" s="101"/>
      <c r="S305" s="101"/>
      <c r="U305" s="50"/>
      <c r="AH305" s="87"/>
      <c r="AI305" s="87"/>
    </row>
    <row r="306" spans="1:35" ht="16.5" customHeight="1" thickBot="1">
      <c r="A306" s="44"/>
      <c r="B306" s="705" t="s">
        <v>74</v>
      </c>
      <c r="C306" s="705"/>
      <c r="D306" s="705"/>
      <c r="E306" s="705"/>
      <c r="F306" s="705"/>
      <c r="G306" s="705"/>
      <c r="H306" s="705"/>
      <c r="I306" s="705"/>
      <c r="J306" s="705"/>
      <c r="K306" s="705"/>
      <c r="L306" s="705"/>
      <c r="M306" s="705"/>
      <c r="N306" s="705"/>
      <c r="O306" s="705"/>
      <c r="P306" s="705"/>
      <c r="Q306" s="705"/>
      <c r="R306" s="705"/>
      <c r="S306" s="705"/>
      <c r="T306" s="705"/>
      <c r="U306" s="108"/>
      <c r="Y306" s="532" t="s">
        <v>341</v>
      </c>
      <c r="AC306" s="49"/>
      <c r="AD306" s="687" t="s">
        <v>302</v>
      </c>
      <c r="AE306" s="688"/>
      <c r="AF306" s="689"/>
      <c r="AG306" s="49"/>
      <c r="AH306" s="87"/>
      <c r="AI306" s="87"/>
    </row>
    <row r="307" spans="1:35" ht="15.75" customHeight="1" thickBot="1">
      <c r="A307" s="218" t="e">
        <f>"K"&amp;E289</f>
        <v>#N/A</v>
      </c>
      <c r="B307" s="701" t="s">
        <v>71</v>
      </c>
      <c r="C307" s="751" t="s">
        <v>102</v>
      </c>
      <c r="D307" s="751"/>
      <c r="E307" s="751"/>
      <c r="F307" s="751"/>
      <c r="G307" s="751"/>
      <c r="H307" s="751"/>
      <c r="I307" s="751"/>
      <c r="J307" s="751"/>
      <c r="K307" s="751"/>
      <c r="L307" s="722" t="s">
        <v>100</v>
      </c>
      <c r="M307" s="747" t="s">
        <v>114</v>
      </c>
      <c r="N307" s="747"/>
      <c r="O307" s="747"/>
      <c r="P307" s="747"/>
      <c r="Q307" s="748"/>
      <c r="R307" s="758" t="s">
        <v>280</v>
      </c>
      <c r="S307" s="748"/>
      <c r="T307" s="762" t="str">
        <f>IF(COUNTIF(AE307:AF307,"VERIFICAR")&gt;0,"VERIFICAR",IF(COUNTIF(AE307:AF307,"NO CUMPLE")&gt;0,"NO CUMPLE","CUMPLE"))</f>
        <v>CUMPLE</v>
      </c>
      <c r="U307" s="108"/>
      <c r="Y307" s="533" t="e">
        <f>IF(F308="","",IF(F308=1,"INDIVIDUAL","ESTRUCTURA PLURAL"))</f>
        <v>#N/A</v>
      </c>
      <c r="AC307" s="52"/>
      <c r="AD307" s="475" t="s">
        <v>303</v>
      </c>
      <c r="AE307" s="476" t="str">
        <f>IF(COUNTIF(AE293:AE302,"")=10,"VERIFICAR",IF(COUNTIF(AE293:AE302,"SI")&gt;0,"CUMPLE","NO CUMPLE"))</f>
        <v>CUMPLE</v>
      </c>
      <c r="AF307" s="477" t="str">
        <f>IF(COUNTIF(AF293:AF302,"")=10,"VERIFICAR",IF(COUNTIF(AF293:AF302,"SI")&gt;=$AI$22,"CUMPLE","NO CUMPLE"))</f>
        <v>CUMPLE</v>
      </c>
      <c r="AG307" s="52"/>
      <c r="AH307" s="87"/>
      <c r="AI307" s="87"/>
    </row>
    <row r="308" spans="1:35" ht="16.5" customHeight="1" thickBot="1">
      <c r="A308" s="218" t="e">
        <f>"L"&amp;E289</f>
        <v>#N/A</v>
      </c>
      <c r="B308" s="702"/>
      <c r="C308" s="751" t="s">
        <v>103</v>
      </c>
      <c r="D308" s="751"/>
      <c r="E308" s="752"/>
      <c r="F308" s="557" t="e">
        <f>IF(VLOOKUP(E289,PROPONENTES!$C$19:$E$218,3,0)="","",VLOOKUP(E289,PROPONENTES!$C$19:$E$218,3,0))</f>
        <v>#N/A</v>
      </c>
      <c r="G308" s="753" t="s">
        <v>104</v>
      </c>
      <c r="H308" s="751"/>
      <c r="I308" s="715" t="e">
        <f>IF(OR(F308="",F308=1),"INTERESADO PERSONA NATURAL O JURIDICA","CONSORCIO O UNION TEMPORAL")</f>
        <v>#N/A</v>
      </c>
      <c r="J308" s="725"/>
      <c r="K308" s="728"/>
      <c r="L308" s="723"/>
      <c r="M308" s="749"/>
      <c r="N308" s="749"/>
      <c r="O308" s="749"/>
      <c r="P308" s="749"/>
      <c r="Q308" s="750"/>
      <c r="R308" s="712"/>
      <c r="S308" s="750"/>
      <c r="T308" s="763"/>
      <c r="U308" s="108"/>
      <c r="Y308" s="534"/>
      <c r="AA308" s="52"/>
      <c r="AB308" s="52"/>
      <c r="AC308" s="52"/>
      <c r="AG308" s="52"/>
      <c r="AH308" s="87"/>
      <c r="AI308" s="87"/>
    </row>
    <row r="309" spans="1:35" ht="56.25" customHeight="1" thickBot="1">
      <c r="A309" s="218" t="e">
        <f>"M"&amp;E289</f>
        <v>#N/A</v>
      </c>
      <c r="B309" s="702"/>
      <c r="C309" s="725" t="s">
        <v>101</v>
      </c>
      <c r="D309" s="716"/>
      <c r="E309" s="558" t="s">
        <v>105</v>
      </c>
      <c r="F309" s="554" t="s">
        <v>87</v>
      </c>
      <c r="G309" s="553" t="s">
        <v>86</v>
      </c>
      <c r="H309" s="559" t="s">
        <v>85</v>
      </c>
      <c r="I309" s="554" t="s">
        <v>252</v>
      </c>
      <c r="J309" s="553" t="str">
        <f>"¿EL INTEGRANTE TIENE UNA PARTICIPACIÓN DEL "&amp;PORCREQUERIDOINT*100&amp;"%?"</f>
        <v>¿EL INTEGRANTE TIENE UNA PARTICIPACIÓN DEL 60%?</v>
      </c>
      <c r="K309" s="554" t="s">
        <v>107</v>
      </c>
      <c r="L309" s="724"/>
      <c r="M309" s="717" t="s">
        <v>115</v>
      </c>
      <c r="N309" s="718"/>
      <c r="O309" s="718"/>
      <c r="P309" s="718"/>
      <c r="Q309" s="223">
        <f>IF(AND(H293="SI",P293&gt;=0),1,0)+IF(AND(H294="SI",P294&gt;=0),1,0)+IF(AND(H295="SI",P295&gt;=0),1,0)+IF(AND(H296="SI",P296&gt;=0),1,0)+IF(AND(H297="SI",P297&gt;=0),1,0)+IF(AND(H298="SI",P298&gt;=0),1,0)+IF(AND(H299="SI",P299&gt;=0),1,0)+IF(AND(H300="SI",P300&gt;=0),1,0)+IF(AND(H301="SI",P301&gt;=0),1,0)+IF(AND(H302="SI",P302&gt;=0),1,0)</f>
        <v>0</v>
      </c>
      <c r="R309" s="759"/>
      <c r="S309" s="761"/>
      <c r="T309" s="764"/>
      <c r="U309" s="219"/>
      <c r="V309" s="464"/>
      <c r="Y309" s="532" t="s">
        <v>342</v>
      </c>
      <c r="AA309" s="550" t="s">
        <v>344</v>
      </c>
      <c r="AB309" s="693" t="s">
        <v>345</v>
      </c>
      <c r="AC309" s="693" t="s">
        <v>346</v>
      </c>
      <c r="AD309" s="685" t="s">
        <v>347</v>
      </c>
      <c r="AE309" s="52"/>
      <c r="AF309" s="52"/>
      <c r="AG309" s="52"/>
      <c r="AH309" s="87"/>
      <c r="AI309" s="87"/>
    </row>
    <row r="310" spans="1:35" ht="15.75" customHeight="1" thickBot="1">
      <c r="A310" s="218" t="e">
        <f>"N"&amp;E289</f>
        <v>#N/A</v>
      </c>
      <c r="B310" s="702"/>
      <c r="C310" s="114">
        <v>1</v>
      </c>
      <c r="D310" s="194" t="e">
        <f>IF(AND(C310&lt;=F308,F308&gt;1,F308&lt;&gt;""),VLOOKUP(VALUE(E289&amp;","&amp;C310),INTEGRANTES!$D$18:$F$235,2,0),"")</f>
        <v>#N/A</v>
      </c>
      <c r="E310" s="211" t="e">
        <f>IF(D310&lt;&gt;"",VLOOKUP(VALUE(E289&amp;","&amp;C310),INTEGRANTES!$D$18:$F$235,3,0),"")</f>
        <v>#N/A</v>
      </c>
      <c r="F310" s="547" t="e">
        <f>IF(D310="","",SUMIF($I293:$I302,D310,$P293:$P302))</f>
        <v>#N/A</v>
      </c>
      <c r="G310" s="333" t="e">
        <f>IF(D310="","",SUMIF($I293:$I302,D310,$M293:$M302))</f>
        <v>#N/A</v>
      </c>
      <c r="H310" s="535" t="e">
        <f t="shared" ref="H310:H315" si="77">IF(D310="","",IF(OR(F310=0,G310=0),"NO APORTA",ROUND($F310/$G310,3)))</f>
        <v>#N/A</v>
      </c>
      <c r="I310" s="212" t="e">
        <f>IF(D310="","",IF(H310="NO APORTA","NO",IF(H310=MAX($H310:$H315),"SI","NO")))</f>
        <v>#N/A</v>
      </c>
      <c r="J310" s="213" t="e">
        <f t="shared" ref="J310:J315" si="78">IF(D310="","",IF(E310&gt;=PORCREQUERIDOINT,"SI","NO"))</f>
        <v>#N/A</v>
      </c>
      <c r="K310" s="200" t="e">
        <f t="shared" ref="K310:K315" si="79">IF(D310="","",IF(AND(I310="SI",J310="SI"),"CUMPLE",IF(AND(I310="NO",OR(J310="SI",J310="NO")),"","NO CUMPLE")))</f>
        <v>#N/A</v>
      </c>
      <c r="L310" s="722" t="s">
        <v>108</v>
      </c>
      <c r="M310" s="726" t="s">
        <v>119</v>
      </c>
      <c r="N310" s="726"/>
      <c r="O310" s="726"/>
      <c r="P310" s="726"/>
      <c r="Q310" s="727"/>
      <c r="R310" s="758" t="s">
        <v>80</v>
      </c>
      <c r="S310" s="747"/>
      <c r="T310" s="748"/>
      <c r="U310" s="219"/>
      <c r="V310" s="464"/>
      <c r="Y310" s="533" t="e">
        <f>IF(Y307="","",IF(Y307="INDIVIDUAL","NO APLICA","VERIFICAR CUADRO"))</f>
        <v>#N/A</v>
      </c>
      <c r="AA310" s="551"/>
      <c r="AB310" s="694"/>
      <c r="AC310" s="694"/>
      <c r="AD310" s="686"/>
      <c r="AE310" s="52"/>
      <c r="AF310" s="52"/>
      <c r="AG310" s="52"/>
      <c r="AH310" s="87"/>
      <c r="AI310" s="87"/>
    </row>
    <row r="311" spans="1:35" ht="27" customHeight="1" thickBot="1">
      <c r="A311" s="218" t="e">
        <f>"O"&amp;E289</f>
        <v>#N/A</v>
      </c>
      <c r="B311" s="702"/>
      <c r="C311" s="114">
        <v>2</v>
      </c>
      <c r="D311" s="194" t="e">
        <f>IF(AND(C311&lt;=F308,F308&lt;&gt;""),VLOOKUP(VALUE(E289&amp;","&amp;C311),INTEGRANTES!$D$18:$F$235,2,0),"")</f>
        <v>#N/A</v>
      </c>
      <c r="E311" s="211" t="e">
        <f>IF(D311&lt;&gt;"",VLOOKUP(VALUE(E289&amp;","&amp;C311),INTEGRANTES!$D$18:$F$235,3,0),"")</f>
        <v>#N/A</v>
      </c>
      <c r="F311" s="547" t="e">
        <f>IF(D311="","",SUMIF($I293:$I302,D311,$P293:$P302))</f>
        <v>#N/A</v>
      </c>
      <c r="G311" s="333" t="e">
        <f>IF(D311="","",SUMIF($I293:$I302,D311,$M293:$M302))</f>
        <v>#N/A</v>
      </c>
      <c r="H311" s="535" t="e">
        <f t="shared" si="77"/>
        <v>#N/A</v>
      </c>
      <c r="I311" s="212" t="e">
        <f>IF(D311="","",IF(H311="NO APORTA","NO",IF(H311=MAX($H310:$H315),"SI","NO")))</f>
        <v>#N/A</v>
      </c>
      <c r="J311" s="213" t="e">
        <f t="shared" si="78"/>
        <v>#N/A</v>
      </c>
      <c r="K311" s="200" t="e">
        <f t="shared" si="79"/>
        <v>#N/A</v>
      </c>
      <c r="L311" s="723"/>
      <c r="M311" s="715" t="s">
        <v>116</v>
      </c>
      <c r="N311" s="716"/>
      <c r="O311" s="556" t="s">
        <v>113</v>
      </c>
      <c r="P311" s="715" t="s">
        <v>117</v>
      </c>
      <c r="Q311" s="728"/>
      <c r="R311" s="759"/>
      <c r="S311" s="760"/>
      <c r="T311" s="761"/>
      <c r="U311" s="219"/>
      <c r="V311" s="464"/>
      <c r="Y311" s="414"/>
      <c r="AA311" s="542" t="e">
        <f>IF(AND(C310&lt;=F308,F308&gt;1,F308&lt;&gt;""),VLOOKUP(VALUE(E289&amp;","&amp;C310),INTEGRANTES!$D$18:$F$235,2,0),"")</f>
        <v>#N/A</v>
      </c>
      <c r="AB311" s="544" t="e">
        <f t="shared" ref="AB311:AB316" si="80">IF(D310="","",IF(OR(F310=0,G310=0),"NO APORTA",ROUND($F310/$G310,3)))</f>
        <v>#N/A</v>
      </c>
      <c r="AC311" s="529"/>
      <c r="AD311" s="200" t="e">
        <f t="shared" ref="AD311:AD316" si="81">IF(OR(AA311="",AB311=""),"",IF(AND(AC311="X",AB311&gt;=EXPREQVTD),"CUMPLE","NO CUMPLE"))</f>
        <v>#N/A</v>
      </c>
      <c r="AE311" s="52"/>
      <c r="AF311" s="52"/>
      <c r="AG311" s="52"/>
      <c r="AH311" s="87"/>
      <c r="AI311" s="87"/>
    </row>
    <row r="312" spans="1:35" ht="16.5" thickBot="1">
      <c r="A312" s="218" t="e">
        <f>"P"&amp;E289</f>
        <v>#N/A</v>
      </c>
      <c r="B312" s="702"/>
      <c r="C312" s="114">
        <v>3</v>
      </c>
      <c r="D312" s="194" t="e">
        <f>IF(AND(C312&lt;=F308,F308&lt;&gt;""),VLOOKUP(VALUE(E289&amp;","&amp;C312),INTEGRANTES!$D$18:$F$235,2,0),"")</f>
        <v>#N/A</v>
      </c>
      <c r="E312" s="211" t="e">
        <f>IF(D312&lt;&gt;"",VLOOKUP(VALUE(E289&amp;","&amp;C312),INTEGRANTES!$D$18:$F$235,3,0),"")</f>
        <v>#N/A</v>
      </c>
      <c r="F312" s="547" t="e">
        <f>IF(D312="","",SUMIF($I293:$I302,D312,$P293:$P302))</f>
        <v>#N/A</v>
      </c>
      <c r="G312" s="333" t="e">
        <f>IF(D312="","",SUMIF($I293:$I302,D312,$M293:$M302))</f>
        <v>#N/A</v>
      </c>
      <c r="H312" s="535" t="e">
        <f t="shared" si="77"/>
        <v>#N/A</v>
      </c>
      <c r="I312" s="212" t="e">
        <f>IF(D312="","",IF(H312="NO APORTA","NO",IF(H312=MAX($H310:$H315),"SI","NO")))</f>
        <v>#N/A</v>
      </c>
      <c r="J312" s="213" t="e">
        <f t="shared" si="78"/>
        <v>#N/A</v>
      </c>
      <c r="K312" s="200" t="e">
        <f t="shared" si="79"/>
        <v>#N/A</v>
      </c>
      <c r="L312" s="724"/>
      <c r="M312" s="729">
        <f>NUMMOD</f>
        <v>1</v>
      </c>
      <c r="N312" s="730"/>
      <c r="O312" s="443">
        <f>IF(M312="","",VLOOKUP(M312,PRESUPUESTOS!$B$16:$H$16,5,FALSE))</f>
        <v>2</v>
      </c>
      <c r="P312" s="713">
        <f>IF(OR(COUNTIF(M293:M302,"")&gt;=10,Q309&lt;NUMMINCONT,OR(T307="NO CUMPLE",T307="VERIFICAR")),0,ROUND(AVERAGE(M293:M302),3))</f>
        <v>0</v>
      </c>
      <c r="Q312" s="714"/>
      <c r="R312" s="458"/>
      <c r="S312" s="459"/>
      <c r="T312" s="460"/>
      <c r="U312" s="219"/>
      <c r="V312" s="464"/>
      <c r="Y312" s="532" t="str">
        <f>"40% * ("&amp;PRESUPUESTOS!$H$13&amp;")"</f>
        <v>40% * (50% PFMO)</v>
      </c>
      <c r="AA312" s="540" t="e">
        <f>IF(AND(C311&lt;=F308,F308&lt;&gt;""),VLOOKUP(VALUE(E289&amp;","&amp;C311),INTEGRANTES!$D$18:$F$235,2,0),"")</f>
        <v>#N/A</v>
      </c>
      <c r="AB312" s="545" t="e">
        <f t="shared" si="80"/>
        <v>#N/A</v>
      </c>
      <c r="AC312" s="529"/>
      <c r="AD312" s="200" t="e">
        <f t="shared" si="81"/>
        <v>#N/A</v>
      </c>
      <c r="AE312" s="52"/>
      <c r="AF312" s="52"/>
      <c r="AG312" s="52"/>
      <c r="AH312" s="87"/>
      <c r="AI312" s="87"/>
    </row>
    <row r="313" spans="1:35" ht="15.75" customHeight="1" thickBot="1">
      <c r="A313" s="218" t="e">
        <f>"Q"&amp;E289</f>
        <v>#N/A</v>
      </c>
      <c r="B313" s="702"/>
      <c r="C313" s="114">
        <v>4</v>
      </c>
      <c r="D313" s="194" t="e">
        <f>IF(AND(C313&lt;=F308,F308&lt;&gt;""),VLOOKUP(VALUE(E289&amp;","&amp;C313),INTEGRANTES!$D$18:$F$235,2,0),"")</f>
        <v>#N/A</v>
      </c>
      <c r="E313" s="211" t="e">
        <f>IF(D313&lt;&gt;"",VLOOKUP(VALUE(E289&amp;","&amp;C313),INTEGRANTES!$D$18:$F$235,3,0),"")</f>
        <v>#N/A</v>
      </c>
      <c r="F313" s="547" t="e">
        <f>IF(D313="","",SUMIF($I293:$I302,D313,$P293:$P302))</f>
        <v>#N/A</v>
      </c>
      <c r="G313" s="333" t="e">
        <f>IF(D313="","",SUMIF($I293:$I302,D313,$M293:$M302))</f>
        <v>#N/A</v>
      </c>
      <c r="H313" s="535" t="e">
        <f t="shared" si="77"/>
        <v>#N/A</v>
      </c>
      <c r="I313" s="212" t="e">
        <f>IF(D313="","",IF(H313="NO APORTA","NO",IF(H313=MAX($H310:$H315),"SI","NO")))</f>
        <v>#N/A</v>
      </c>
      <c r="J313" s="213" t="e">
        <f t="shared" si="78"/>
        <v>#N/A</v>
      </c>
      <c r="K313" s="200" t="e">
        <f t="shared" si="79"/>
        <v>#N/A</v>
      </c>
      <c r="L313" s="720" t="s">
        <v>109</v>
      </c>
      <c r="M313" s="757" t="s">
        <v>120</v>
      </c>
      <c r="N313" s="726"/>
      <c r="O313" s="726"/>
      <c r="P313" s="726"/>
      <c r="Q313" s="727"/>
      <c r="R313" s="458"/>
      <c r="S313" s="459"/>
      <c r="T313" s="460"/>
      <c r="U313" s="219"/>
      <c r="V313" s="464"/>
      <c r="Y313" s="537">
        <f>0.4*PRESUPUESTOS!$H$16</f>
        <v>10.3124</v>
      </c>
      <c r="AA313" s="540" t="e">
        <f>IF(AND(C312&lt;=F308,F308&lt;&gt;""),VLOOKUP(VALUE(E289&amp;","&amp;C312),INTEGRANTES!$D$18:$F$235,2,0),"")</f>
        <v>#N/A</v>
      </c>
      <c r="AB313" s="545" t="e">
        <f t="shared" si="80"/>
        <v>#N/A</v>
      </c>
      <c r="AC313" s="529"/>
      <c r="AD313" s="200" t="e">
        <f t="shared" si="81"/>
        <v>#N/A</v>
      </c>
      <c r="AE313" s="52"/>
      <c r="AF313" s="52"/>
      <c r="AG313" s="52"/>
      <c r="AH313" s="87"/>
      <c r="AI313" s="87"/>
    </row>
    <row r="314" spans="1:35" ht="27" customHeight="1" thickBot="1">
      <c r="A314" s="218" t="e">
        <f>"R"&amp;E289</f>
        <v>#N/A</v>
      </c>
      <c r="B314" s="702"/>
      <c r="C314" s="114">
        <v>5</v>
      </c>
      <c r="D314" s="194" t="e">
        <f>IF(AND(C314&lt;=F308,F308&lt;&gt;""),VLOOKUP(VALUE(E289&amp;","&amp;C314),INTEGRANTES!$D$18:$F$235,2,0),"")</f>
        <v>#N/A</v>
      </c>
      <c r="E314" s="211" t="e">
        <f>IF(D314&lt;&gt;"",VLOOKUP(VALUE(E289&amp;","&amp;C314),INTEGRANTES!$D$18:$F$235,3,0),"")</f>
        <v>#N/A</v>
      </c>
      <c r="F314" s="547" t="e">
        <f>IF(D314="","",SUMIF($I293:$I302,D314,$P293:$P302))</f>
        <v>#N/A</v>
      </c>
      <c r="G314" s="333" t="e">
        <f>IF(D314="","",SUMIF($I293:$I302,D314,$M293:$M302))</f>
        <v>#N/A</v>
      </c>
      <c r="H314" s="535" t="e">
        <f t="shared" si="77"/>
        <v>#N/A</v>
      </c>
      <c r="I314" s="212" t="e">
        <f>IF(D314="","",IF(H314="NO APORTA","NO",IF(H314=MAX($H310:$H315),"SI","NO")))</f>
        <v>#N/A</v>
      </c>
      <c r="J314" s="213" t="e">
        <f t="shared" si="78"/>
        <v>#N/A</v>
      </c>
      <c r="K314" s="200" t="e">
        <f t="shared" si="79"/>
        <v>#N/A</v>
      </c>
      <c r="L314" s="721"/>
      <c r="M314" s="715" t="s">
        <v>116</v>
      </c>
      <c r="N314" s="716"/>
      <c r="O314" s="556" t="str">
        <f>PORCREQUERIDO*100&amp;"% PMFO DEL MÓDULO"</f>
        <v>50% PMFO DEL MÓDULO</v>
      </c>
      <c r="P314" s="715" t="s">
        <v>118</v>
      </c>
      <c r="Q314" s="728"/>
      <c r="R314" s="458"/>
      <c r="S314" s="459"/>
      <c r="T314" s="460"/>
      <c r="U314" s="219"/>
      <c r="V314" s="464"/>
      <c r="Y314" s="414"/>
      <c r="AA314" s="540" t="e">
        <f>IF(AND(C313&lt;=F308,F308&lt;&gt;""),VLOOKUP(VALUE(E289&amp;","&amp;C313),INTEGRANTES!$D$18:$F$235,2,0),"")</f>
        <v>#N/A</v>
      </c>
      <c r="AB314" s="545" t="e">
        <f t="shared" si="80"/>
        <v>#N/A</v>
      </c>
      <c r="AC314" s="529"/>
      <c r="AD314" s="200" t="e">
        <f t="shared" si="81"/>
        <v>#N/A</v>
      </c>
      <c r="AE314" s="52"/>
      <c r="AF314" s="52"/>
      <c r="AG314" s="52"/>
      <c r="AH314" s="87"/>
      <c r="AI314" s="87"/>
    </row>
    <row r="315" spans="1:35" ht="16.5" thickBot="1">
      <c r="A315" s="218" t="e">
        <f>"S"&amp;E289</f>
        <v>#N/A</v>
      </c>
      <c r="B315" s="702"/>
      <c r="C315" s="215">
        <v>6</v>
      </c>
      <c r="D315" s="216" t="e">
        <f>IF(AND(C315&lt;=F308,F308&lt;&gt;""),VLOOKUP(VALUE(E289&amp;","&amp;C315),INTEGRANTES!$D$18:$F$235,2,0),"")</f>
        <v>#N/A</v>
      </c>
      <c r="E315" s="217" t="e">
        <f>IF(D315&lt;&gt;"",VLOOKUP(VALUE(E289&amp;","&amp;C315),INTEGRANTES!$D$18:$F$235,3,0),"")</f>
        <v>#N/A</v>
      </c>
      <c r="F315" s="548" t="e">
        <f>IF(D315="","",SUMIF($I293:$I302,D315,$P293:$P302))</f>
        <v>#N/A</v>
      </c>
      <c r="G315" s="334" t="e">
        <f>IF(D315="","",SUMIF($I293:$I302,D315,$M293:$M302))</f>
        <v>#N/A</v>
      </c>
      <c r="H315" s="536" t="e">
        <f t="shared" si="77"/>
        <v>#N/A</v>
      </c>
      <c r="I315" s="214" t="e">
        <f>IF(D315="","",IF(H315="NO APORTA","NO",IF(H315=MAX($H310:$H315),"SI","NO")))</f>
        <v>#N/A</v>
      </c>
      <c r="J315" s="213" t="e">
        <f t="shared" si="78"/>
        <v>#N/A</v>
      </c>
      <c r="K315" s="200" t="e">
        <f t="shared" si="79"/>
        <v>#N/A</v>
      </c>
      <c r="L315" s="721"/>
      <c r="M315" s="729">
        <f>NUMMOD</f>
        <v>1</v>
      </c>
      <c r="N315" s="730"/>
      <c r="O315" s="443">
        <f>IF(M315="","",ROUND(VLOOKUP(M315,PRESUPUESTOS!$B$16:$H$16,7,FALSE),3))</f>
        <v>25.780999999999999</v>
      </c>
      <c r="P315" s="713">
        <f>IF(OR(COUNTIF(P293:P302,"")&gt;=10,Q309&lt;NUMMINCONT,OR(T307="NO CUMPLE",T307="VERIFICAR")),0,ROUND((SUM(P293:P302)/SUM(M293:M302)),3))</f>
        <v>0</v>
      </c>
      <c r="Q315" s="714"/>
      <c r="R315" s="458"/>
      <c r="S315" s="459"/>
      <c r="T315" s="460"/>
      <c r="U315" s="219"/>
      <c r="V315" s="464"/>
      <c r="Y315" s="532" t="s">
        <v>343</v>
      </c>
      <c r="AA315" s="540" t="e">
        <f>IF(AND(C314&lt;=F308,F308&lt;&gt;""),VLOOKUP(VALUE(E289&amp;","&amp;C314),INTEGRANTES!$D$18:$F$235,2,0),"")</f>
        <v>#N/A</v>
      </c>
      <c r="AB315" s="545" t="e">
        <f t="shared" si="80"/>
        <v>#N/A</v>
      </c>
      <c r="AC315" s="529"/>
      <c r="AD315" s="200" t="e">
        <f t="shared" si="81"/>
        <v>#N/A</v>
      </c>
      <c r="AE315" s="52"/>
      <c r="AF315" s="52"/>
      <c r="AG315" s="52"/>
      <c r="AH315" s="87"/>
      <c r="AI315" s="87"/>
    </row>
    <row r="316" spans="1:35" ht="16.5" customHeight="1" thickBot="1">
      <c r="A316" s="218" t="e">
        <f>"T"&amp;E289</f>
        <v>#N/A</v>
      </c>
      <c r="B316" s="703"/>
      <c r="C316" s="719"/>
      <c r="D316" s="719"/>
      <c r="E316" s="719"/>
      <c r="F316" s="719"/>
      <c r="G316" s="719"/>
      <c r="H316" s="719" t="s">
        <v>110</v>
      </c>
      <c r="I316" s="719"/>
      <c r="J316" s="719"/>
      <c r="K316" s="201" t="str">
        <f>IF(COUNTIF(K310:K315,"")=6,"",IF(COUNTIF(K310:K315,"CUMPLE")&gt;0,"CUMPLE","NO CUMPLE"))</f>
        <v>NO CUMPLE</v>
      </c>
      <c r="L316" s="754"/>
      <c r="M316" s="755"/>
      <c r="N316" s="755"/>
      <c r="O316" s="755"/>
      <c r="P316" s="755"/>
      <c r="Q316" s="756"/>
      <c r="R316" s="461"/>
      <c r="S316" s="462"/>
      <c r="T316" s="463"/>
      <c r="U316" s="219"/>
      <c r="V316" s="464"/>
      <c r="Y316" s="549" t="e">
        <f>IF(Y310="NO APLICA","NO APLICA",IF(COUNTIF(AD311:AD316,"CUMPLE")&gt;0,"CUMPLE","NO CUMPLE"))</f>
        <v>#N/A</v>
      </c>
      <c r="AA316" s="541" t="e">
        <f>IF(AND(C315&lt;=F308,F308&lt;&gt;""),VLOOKUP(VALUE(E289&amp;","&amp;C315),INTEGRANTES!$D$18:$F$235,2,0),"")</f>
        <v>#N/A</v>
      </c>
      <c r="AB316" s="546" t="e">
        <f t="shared" si="80"/>
        <v>#N/A</v>
      </c>
      <c r="AC316" s="543"/>
      <c r="AD316" s="201" t="e">
        <f t="shared" si="81"/>
        <v>#N/A</v>
      </c>
      <c r="AE316" s="52"/>
      <c r="AF316" s="52"/>
      <c r="AG316" s="52"/>
      <c r="AH316" s="87"/>
      <c r="AI316" s="87"/>
    </row>
    <row r="317" spans="1:35">
      <c r="AH317" s="87"/>
      <c r="AI317" s="87"/>
    </row>
    <row r="318" spans="1:35">
      <c r="AH318" s="87"/>
      <c r="AI318" s="87"/>
    </row>
    <row r="319" spans="1:35" ht="24" thickBot="1">
      <c r="A319" s="61">
        <v>11</v>
      </c>
      <c r="B319" s="704" t="s">
        <v>51</v>
      </c>
      <c r="C319" s="704"/>
      <c r="D319" s="704"/>
      <c r="E319" s="62" t="e">
        <f>VLOOKUP(A319,PROPONENTES!$B$19:$E$218,2,FALSE)</f>
        <v>#N/A</v>
      </c>
      <c r="F319" s="63" t="e">
        <f>VLOOKUP(A319,PROPONENTES!$B$19:$E$218,3,FALSE)</f>
        <v>#N/A</v>
      </c>
      <c r="G319" s="64"/>
      <c r="H319" s="64"/>
      <c r="I319" s="63"/>
      <c r="J319" s="63"/>
      <c r="K319" s="65"/>
      <c r="L319" s="65"/>
      <c r="M319" s="64"/>
      <c r="N319" s="64"/>
      <c r="O319" s="66"/>
      <c r="P319" s="66"/>
      <c r="Q319" s="66"/>
      <c r="R319" s="66"/>
      <c r="S319" s="67"/>
      <c r="T319" s="68"/>
      <c r="U319" s="68"/>
      <c r="AC319" s="68"/>
      <c r="AD319" s="68"/>
      <c r="AE319" s="68"/>
      <c r="AF319" s="68"/>
      <c r="AG319" s="68"/>
      <c r="AH319" s="87"/>
      <c r="AI319" s="87"/>
    </row>
    <row r="320" spans="1:35" ht="15.75" customHeight="1">
      <c r="A320" s="44"/>
      <c r="B320" s="709" t="s">
        <v>59</v>
      </c>
      <c r="C320" s="552" t="s">
        <v>60</v>
      </c>
      <c r="D320" s="70" t="s">
        <v>17</v>
      </c>
      <c r="E320" s="70"/>
      <c r="F320" s="70" t="s">
        <v>61</v>
      </c>
      <c r="G320" s="71"/>
      <c r="H320" s="699" t="s">
        <v>62</v>
      </c>
      <c r="I320" s="699" t="s">
        <v>18</v>
      </c>
      <c r="J320" s="699" t="s">
        <v>63</v>
      </c>
      <c r="K320" s="699" t="s">
        <v>64</v>
      </c>
      <c r="L320" s="699" t="s">
        <v>65</v>
      </c>
      <c r="M320" s="743" t="s">
        <v>66</v>
      </c>
      <c r="N320" s="699" t="s">
        <v>282</v>
      </c>
      <c r="O320" s="745" t="s">
        <v>67</v>
      </c>
      <c r="P320" s="746"/>
      <c r="Q320" s="102" t="s">
        <v>75</v>
      </c>
      <c r="R320" s="731" t="s">
        <v>22</v>
      </c>
      <c r="S320" s="732"/>
      <c r="T320" s="733"/>
      <c r="U320" s="712" t="s">
        <v>298</v>
      </c>
      <c r="W320" s="690" t="s">
        <v>268</v>
      </c>
      <c r="X320" s="691"/>
      <c r="Y320" s="692"/>
      <c r="Z320" s="428"/>
      <c r="AA320" s="697" t="s">
        <v>315</v>
      </c>
      <c r="AB320" s="695" t="s">
        <v>322</v>
      </c>
      <c r="AC320" s="49"/>
      <c r="AD320" s="690" t="s">
        <v>297</v>
      </c>
      <c r="AE320" s="691"/>
      <c r="AF320" s="692"/>
      <c r="AG320" s="49"/>
      <c r="AH320" s="87"/>
      <c r="AI320" s="87"/>
    </row>
    <row r="321" spans="1:35" ht="72">
      <c r="A321" s="44"/>
      <c r="B321" s="710"/>
      <c r="C321" s="553" t="s">
        <v>68</v>
      </c>
      <c r="D321" s="73" t="s">
        <v>3</v>
      </c>
      <c r="E321" s="73" t="s">
        <v>19</v>
      </c>
      <c r="F321" s="73" t="s">
        <v>69</v>
      </c>
      <c r="G321" s="74" t="s">
        <v>70</v>
      </c>
      <c r="H321" s="700"/>
      <c r="I321" s="700"/>
      <c r="J321" s="700"/>
      <c r="K321" s="700"/>
      <c r="L321" s="700"/>
      <c r="M321" s="744"/>
      <c r="N321" s="700"/>
      <c r="O321" s="553" t="s">
        <v>279</v>
      </c>
      <c r="P321" s="73" t="s">
        <v>88</v>
      </c>
      <c r="Q321" s="555" t="s">
        <v>76</v>
      </c>
      <c r="R321" s="734"/>
      <c r="S321" s="735"/>
      <c r="T321" s="736"/>
      <c r="U321" s="712"/>
      <c r="W321" s="429" t="s">
        <v>269</v>
      </c>
      <c r="X321" s="457" t="s">
        <v>278</v>
      </c>
      <c r="Y321" s="430" t="s">
        <v>365</v>
      </c>
      <c r="Z321" s="428"/>
      <c r="AA321" s="698"/>
      <c r="AB321" s="696"/>
      <c r="AC321" s="49"/>
      <c r="AD321" s="429" t="s">
        <v>292</v>
      </c>
      <c r="AE321" s="431" t="s">
        <v>300</v>
      </c>
      <c r="AF321" s="468" t="s">
        <v>301</v>
      </c>
      <c r="AG321" s="49"/>
      <c r="AH321" s="87"/>
      <c r="AI321" s="87"/>
    </row>
    <row r="322" spans="1:35">
      <c r="A322" s="44"/>
      <c r="B322" s="76"/>
      <c r="C322" s="77"/>
      <c r="D322" s="77"/>
      <c r="E322" s="77"/>
      <c r="F322" s="77"/>
      <c r="G322" s="77"/>
      <c r="H322" s="77"/>
      <c r="I322" s="77"/>
      <c r="J322" s="77"/>
      <c r="K322" s="77"/>
      <c r="L322" s="77"/>
      <c r="M322" s="77"/>
      <c r="N322" s="77"/>
      <c r="O322" s="77"/>
      <c r="P322" s="77"/>
      <c r="Q322" s="77"/>
      <c r="R322" s="77"/>
      <c r="S322" s="78"/>
      <c r="T322" s="79"/>
      <c r="U322" s="109"/>
      <c r="V322" s="49"/>
      <c r="W322" s="432"/>
      <c r="X322" s="454"/>
      <c r="Y322" s="433"/>
      <c r="Z322" s="6"/>
      <c r="AA322" s="500"/>
      <c r="AB322" s="562"/>
      <c r="AC322" s="49"/>
      <c r="AD322" s="210"/>
      <c r="AE322" s="434"/>
      <c r="AF322" s="435"/>
      <c r="AG322" s="49"/>
      <c r="AH322" s="87"/>
      <c r="AI322" s="87"/>
    </row>
    <row r="323" spans="1:35" ht="38.25">
      <c r="A323" s="80" t="e">
        <f>"A"&amp;E319</f>
        <v>#N/A</v>
      </c>
      <c r="B323" s="81">
        <v>1</v>
      </c>
      <c r="C323" s="82"/>
      <c r="D323" s="82"/>
      <c r="E323" s="567"/>
      <c r="F323" s="82"/>
      <c r="G323" s="83"/>
      <c r="H323" s="83"/>
      <c r="I323" s="84"/>
      <c r="J323" s="85"/>
      <c r="K323" s="382"/>
      <c r="L323" s="85">
        <v>40994</v>
      </c>
      <c r="M323" s="332" t="str">
        <f t="shared" ref="M323:M332" si="82">IF(OR(J323="",L323="",H323="NO"),"",IF(OR(J323&gt;$P$17,J323&lt;$O$17,L323&gt;$P$17,AND(J323&lt;$O$17,L323&lt;$O$17)),"FUERA DE RANGO",IF(OR(K323="---",K323=""),IF(J323&gt;=$O$17,ROUND((L323-J323+1)/360*12,3),ROUND((L323-$O$17+1)/360*12,3)),IF(J323&gt;=$O$17,ROUND((L323-J323+1)/360*12-ROUND(K323,3),3),ROUND((L323-$O$17+1)/360*12-ROUND(K323,3),3)))))</f>
        <v/>
      </c>
      <c r="N323" s="86">
        <v>53.46</v>
      </c>
      <c r="O323" s="453" t="str">
        <f>IF(OR(G323="",N323=""),"",N323*G323)</f>
        <v/>
      </c>
      <c r="P323" s="538" t="str">
        <f>IF(OR(H323="",M323="FUERA DE RANGO"),"",IF(OR(L323&lt;$O$17,L323&gt;$P$17,L323="",H323="NO"),"",IF(OR(N323="",O323=""),"",ROUND(O323,3))))</f>
        <v/>
      </c>
      <c r="Q323" s="539" t="str">
        <f t="shared" ref="Q323:Q332" si="83">IF(AND(H323="SI",P323&lt;&gt;""),ROUND(P323/M323,3),"")</f>
        <v/>
      </c>
      <c r="R323" s="737"/>
      <c r="S323" s="738"/>
      <c r="T323" s="739"/>
      <c r="U323" s="470" t="s">
        <v>403</v>
      </c>
      <c r="V323" s="165"/>
      <c r="W323" s="446" t="s">
        <v>25</v>
      </c>
      <c r="X323" s="456">
        <v>85</v>
      </c>
      <c r="Y323" s="436" t="s">
        <v>25</v>
      </c>
      <c r="Z323" s="437"/>
      <c r="AA323" s="560" t="s">
        <v>318</v>
      </c>
      <c r="AB323" s="561" t="s">
        <v>294</v>
      </c>
      <c r="AC323" s="87"/>
      <c r="AD323" s="466" t="s">
        <v>289</v>
      </c>
      <c r="AE323" s="456" t="s">
        <v>25</v>
      </c>
      <c r="AF323" s="467"/>
      <c r="AG323" s="87"/>
      <c r="AH323" s="87"/>
      <c r="AI323" s="87"/>
    </row>
    <row r="324" spans="1:35">
      <c r="A324" s="80" t="e">
        <f>"B"&amp;E319</f>
        <v>#N/A</v>
      </c>
      <c r="B324" s="81">
        <v>2</v>
      </c>
      <c r="C324" s="106"/>
      <c r="D324" s="106"/>
      <c r="E324" s="572"/>
      <c r="F324" s="106"/>
      <c r="G324" s="83"/>
      <c r="H324" s="83"/>
      <c r="I324" s="84"/>
      <c r="J324" s="85"/>
      <c r="K324" s="382"/>
      <c r="L324" s="85">
        <v>35569</v>
      </c>
      <c r="M324" s="332" t="str">
        <f t="shared" si="82"/>
        <v/>
      </c>
      <c r="N324" s="86">
        <v>32.270000000000003</v>
      </c>
      <c r="O324" s="453" t="str">
        <f t="shared" ref="O324:O332" si="84">IF(OR(G324="",N324=""),"",N324*G324)</f>
        <v/>
      </c>
      <c r="P324" s="538" t="str">
        <f t="shared" ref="P324:P332" si="85">IF(OR(H324="",M324="FUERA DE RANGO"),"",IF(OR(L324&lt;$O$17,L324&gt;$P$17,L324="",H324="NO"),"",IF(OR(N324="",O324=""),"",ROUND(O324,3))))</f>
        <v/>
      </c>
      <c r="Q324" s="539" t="str">
        <f t="shared" si="83"/>
        <v/>
      </c>
      <c r="R324" s="740"/>
      <c r="S324" s="741"/>
      <c r="T324" s="742"/>
      <c r="U324" s="471"/>
      <c r="V324" s="165"/>
      <c r="W324" s="446" t="s">
        <v>25</v>
      </c>
      <c r="X324" s="456">
        <v>19</v>
      </c>
      <c r="Y324" s="436" t="s">
        <v>25</v>
      </c>
      <c r="Z324" s="437"/>
      <c r="AA324" s="560" t="s">
        <v>318</v>
      </c>
      <c r="AB324" s="561" t="s">
        <v>294</v>
      </c>
      <c r="AC324" s="87"/>
      <c r="AD324" s="466" t="s">
        <v>289</v>
      </c>
      <c r="AE324" s="456" t="s">
        <v>25</v>
      </c>
      <c r="AF324" s="467"/>
      <c r="AG324" s="87"/>
      <c r="AH324" s="87"/>
      <c r="AI324" s="87"/>
    </row>
    <row r="325" spans="1:35">
      <c r="A325" s="80" t="e">
        <f>"C"&amp;E319</f>
        <v>#N/A</v>
      </c>
      <c r="B325" s="88">
        <v>3</v>
      </c>
      <c r="C325" s="82"/>
      <c r="D325" s="82"/>
      <c r="E325" s="567"/>
      <c r="F325" s="82"/>
      <c r="G325" s="83"/>
      <c r="H325" s="83"/>
      <c r="I325" s="84"/>
      <c r="J325" s="85"/>
      <c r="K325" s="382"/>
      <c r="L325" s="85">
        <v>34962</v>
      </c>
      <c r="M325" s="332" t="str">
        <f t="shared" si="82"/>
        <v/>
      </c>
      <c r="N325" s="86">
        <v>84.77</v>
      </c>
      <c r="O325" s="453" t="str">
        <f t="shared" si="84"/>
        <v/>
      </c>
      <c r="P325" s="538" t="str">
        <f t="shared" si="85"/>
        <v/>
      </c>
      <c r="Q325" s="539" t="str">
        <f t="shared" si="83"/>
        <v/>
      </c>
      <c r="R325" s="706"/>
      <c r="S325" s="707"/>
      <c r="T325" s="708"/>
      <c r="U325" s="472"/>
      <c r="V325" s="166"/>
      <c r="W325" s="446" t="s">
        <v>25</v>
      </c>
      <c r="X325" s="456">
        <v>14</v>
      </c>
      <c r="Y325" s="436" t="s">
        <v>25</v>
      </c>
      <c r="Z325" s="437"/>
      <c r="AA325" s="560" t="s">
        <v>317</v>
      </c>
      <c r="AB325" s="561" t="s">
        <v>294</v>
      </c>
      <c r="AC325" s="87"/>
      <c r="AD325" s="466" t="s">
        <v>289</v>
      </c>
      <c r="AE325" s="456" t="s">
        <v>25</v>
      </c>
      <c r="AF325" s="467" t="s">
        <v>25</v>
      </c>
      <c r="AG325" s="87"/>
      <c r="AH325" s="87"/>
      <c r="AI325" s="87"/>
    </row>
    <row r="326" spans="1:35">
      <c r="A326" s="80" t="e">
        <f>"D"&amp;E319</f>
        <v>#N/A</v>
      </c>
      <c r="B326" s="105">
        <v>4</v>
      </c>
      <c r="C326" s="107"/>
      <c r="D326" s="107"/>
      <c r="E326" s="573"/>
      <c r="F326" s="107"/>
      <c r="G326" s="83"/>
      <c r="H326" s="83"/>
      <c r="I326" s="84"/>
      <c r="J326" s="85"/>
      <c r="K326" s="382"/>
      <c r="L326" s="85">
        <v>40908</v>
      </c>
      <c r="M326" s="332" t="str">
        <f t="shared" si="82"/>
        <v/>
      </c>
      <c r="N326" s="86">
        <v>44.72</v>
      </c>
      <c r="O326" s="453" t="str">
        <f t="shared" si="84"/>
        <v/>
      </c>
      <c r="P326" s="538" t="str">
        <f t="shared" si="85"/>
        <v/>
      </c>
      <c r="Q326" s="539" t="str">
        <f t="shared" si="83"/>
        <v/>
      </c>
      <c r="R326" s="706"/>
      <c r="S326" s="707"/>
      <c r="T326" s="708"/>
      <c r="U326" s="472"/>
      <c r="V326" s="166"/>
      <c r="W326" s="446" t="s">
        <v>25</v>
      </c>
      <c r="X326" s="456">
        <v>103</v>
      </c>
      <c r="Y326" s="436" t="s">
        <v>25</v>
      </c>
      <c r="Z326" s="437"/>
      <c r="AA326" s="560" t="s">
        <v>319</v>
      </c>
      <c r="AB326" s="561" t="s">
        <v>294</v>
      </c>
      <c r="AC326" s="87"/>
      <c r="AD326" s="466" t="s">
        <v>289</v>
      </c>
      <c r="AE326" s="456" t="s">
        <v>25</v>
      </c>
      <c r="AF326" s="467"/>
      <c r="AG326" s="87"/>
      <c r="AH326" s="87"/>
      <c r="AI326" s="87"/>
    </row>
    <row r="327" spans="1:35">
      <c r="A327" s="80" t="e">
        <f>"E"&amp;E319</f>
        <v>#N/A</v>
      </c>
      <c r="B327" s="105">
        <v>5</v>
      </c>
      <c r="C327" s="107"/>
      <c r="D327" s="107"/>
      <c r="E327" s="573"/>
      <c r="F327" s="107"/>
      <c r="G327" s="83"/>
      <c r="H327" s="83"/>
      <c r="I327" s="84"/>
      <c r="J327" s="85"/>
      <c r="K327" s="382"/>
      <c r="L327" s="85"/>
      <c r="M327" s="332" t="str">
        <f t="shared" si="82"/>
        <v/>
      </c>
      <c r="N327" s="86"/>
      <c r="O327" s="453" t="str">
        <f t="shared" si="84"/>
        <v/>
      </c>
      <c r="P327" s="538" t="str">
        <f t="shared" si="85"/>
        <v/>
      </c>
      <c r="Q327" s="539" t="str">
        <f t="shared" si="83"/>
        <v/>
      </c>
      <c r="R327" s="706"/>
      <c r="S327" s="707"/>
      <c r="T327" s="708"/>
      <c r="U327" s="472"/>
      <c r="V327" s="167"/>
      <c r="W327" s="446"/>
      <c r="X327" s="456"/>
      <c r="Y327" s="436"/>
      <c r="Z327" s="437"/>
      <c r="AA327" s="560"/>
      <c r="AB327" s="561"/>
      <c r="AC327" s="87"/>
      <c r="AD327" s="466"/>
      <c r="AE327" s="456"/>
      <c r="AF327" s="467"/>
      <c r="AG327" s="87"/>
      <c r="AH327" s="87"/>
      <c r="AI327" s="87"/>
    </row>
    <row r="328" spans="1:35">
      <c r="A328" s="80" t="e">
        <f>"F"&amp;E319</f>
        <v>#N/A</v>
      </c>
      <c r="B328" s="105">
        <v>6</v>
      </c>
      <c r="C328" s="107"/>
      <c r="D328" s="107"/>
      <c r="E328" s="107"/>
      <c r="F328" s="107"/>
      <c r="G328" s="83"/>
      <c r="H328" s="83"/>
      <c r="I328" s="84"/>
      <c r="J328" s="85"/>
      <c r="K328" s="382"/>
      <c r="L328" s="85"/>
      <c r="M328" s="332" t="str">
        <f t="shared" si="82"/>
        <v/>
      </c>
      <c r="N328" s="86"/>
      <c r="O328" s="453" t="str">
        <f t="shared" si="84"/>
        <v/>
      </c>
      <c r="P328" s="538" t="str">
        <f t="shared" si="85"/>
        <v/>
      </c>
      <c r="Q328" s="539" t="str">
        <f t="shared" si="83"/>
        <v/>
      </c>
      <c r="R328" s="706"/>
      <c r="S328" s="707"/>
      <c r="T328" s="708"/>
      <c r="U328" s="472"/>
      <c r="V328" s="167"/>
      <c r="W328" s="446"/>
      <c r="X328" s="456"/>
      <c r="Y328" s="436"/>
      <c r="Z328" s="437"/>
      <c r="AA328" s="560"/>
      <c r="AB328" s="561"/>
      <c r="AC328" s="87"/>
      <c r="AD328" s="466"/>
      <c r="AE328" s="456"/>
      <c r="AF328" s="467"/>
      <c r="AG328" s="87"/>
      <c r="AH328" s="87"/>
      <c r="AI328" s="87"/>
    </row>
    <row r="329" spans="1:35">
      <c r="A329" s="80" t="e">
        <f>"G"&amp;E319</f>
        <v>#N/A</v>
      </c>
      <c r="B329" s="105">
        <v>7</v>
      </c>
      <c r="C329" s="107"/>
      <c r="D329" s="107"/>
      <c r="E329" s="107"/>
      <c r="F329" s="107"/>
      <c r="G329" s="83"/>
      <c r="H329" s="83"/>
      <c r="I329" s="84"/>
      <c r="J329" s="85"/>
      <c r="K329" s="382"/>
      <c r="L329" s="85"/>
      <c r="M329" s="332" t="str">
        <f t="shared" si="82"/>
        <v/>
      </c>
      <c r="N329" s="86"/>
      <c r="O329" s="86" t="str">
        <f t="shared" si="84"/>
        <v/>
      </c>
      <c r="P329" s="538" t="str">
        <f t="shared" si="85"/>
        <v/>
      </c>
      <c r="Q329" s="539" t="str">
        <f t="shared" si="83"/>
        <v/>
      </c>
      <c r="R329" s="706"/>
      <c r="S329" s="707"/>
      <c r="T329" s="708"/>
      <c r="U329" s="472"/>
      <c r="V329" s="167"/>
      <c r="W329" s="446"/>
      <c r="X329" s="456"/>
      <c r="Y329" s="436"/>
      <c r="Z329" s="437"/>
      <c r="AA329" s="560"/>
      <c r="AB329" s="561"/>
      <c r="AC329" s="87"/>
      <c r="AD329" s="466"/>
      <c r="AE329" s="456"/>
      <c r="AF329" s="467"/>
      <c r="AG329" s="87"/>
      <c r="AH329" s="87"/>
      <c r="AI329" s="87"/>
    </row>
    <row r="330" spans="1:35">
      <c r="A330" s="80" t="e">
        <f>"H"&amp;E319</f>
        <v>#N/A</v>
      </c>
      <c r="B330" s="105">
        <v>8</v>
      </c>
      <c r="C330" s="107"/>
      <c r="D330" s="107"/>
      <c r="E330" s="107"/>
      <c r="F330" s="107"/>
      <c r="G330" s="83"/>
      <c r="H330" s="83"/>
      <c r="I330" s="84"/>
      <c r="J330" s="85"/>
      <c r="K330" s="382"/>
      <c r="L330" s="85"/>
      <c r="M330" s="332" t="str">
        <f t="shared" si="82"/>
        <v/>
      </c>
      <c r="N330" s="453"/>
      <c r="O330" s="86" t="str">
        <f t="shared" si="84"/>
        <v/>
      </c>
      <c r="P330" s="538" t="str">
        <f t="shared" si="85"/>
        <v/>
      </c>
      <c r="Q330" s="539" t="str">
        <f t="shared" si="83"/>
        <v/>
      </c>
      <c r="R330" s="706"/>
      <c r="S330" s="707"/>
      <c r="T330" s="708"/>
      <c r="U330" s="472"/>
      <c r="V330" s="167"/>
      <c r="W330" s="446"/>
      <c r="X330" s="456"/>
      <c r="Y330" s="436"/>
      <c r="Z330" s="437"/>
      <c r="AA330" s="560"/>
      <c r="AB330" s="561"/>
      <c r="AC330" s="87"/>
      <c r="AD330" s="466"/>
      <c r="AE330" s="456"/>
      <c r="AF330" s="467"/>
      <c r="AG330" s="87"/>
      <c r="AH330" s="87"/>
      <c r="AI330" s="87"/>
    </row>
    <row r="331" spans="1:35">
      <c r="A331" s="80" t="e">
        <f>"I"&amp;E319</f>
        <v>#N/A</v>
      </c>
      <c r="B331" s="105">
        <v>9</v>
      </c>
      <c r="C331" s="107"/>
      <c r="D331" s="107"/>
      <c r="E331" s="107"/>
      <c r="F331" s="107"/>
      <c r="G331" s="83"/>
      <c r="H331" s="83"/>
      <c r="I331" s="84"/>
      <c r="J331" s="85"/>
      <c r="K331" s="382"/>
      <c r="L331" s="85"/>
      <c r="M331" s="332" t="str">
        <f t="shared" si="82"/>
        <v/>
      </c>
      <c r="N331" s="453"/>
      <c r="O331" s="86" t="str">
        <f t="shared" si="84"/>
        <v/>
      </c>
      <c r="P331" s="538" t="str">
        <f t="shared" si="85"/>
        <v/>
      </c>
      <c r="Q331" s="539" t="str">
        <f t="shared" si="83"/>
        <v/>
      </c>
      <c r="R331" s="706"/>
      <c r="S331" s="707"/>
      <c r="T331" s="708"/>
      <c r="U331" s="472"/>
      <c r="V331" s="167"/>
      <c r="W331" s="446"/>
      <c r="X331" s="456"/>
      <c r="Y331" s="436"/>
      <c r="Z331" s="437"/>
      <c r="AA331" s="560"/>
      <c r="AB331" s="561"/>
      <c r="AC331" s="87"/>
      <c r="AD331" s="466"/>
      <c r="AE331" s="456"/>
      <c r="AF331" s="467"/>
      <c r="AG331" s="87"/>
      <c r="AH331" s="87"/>
      <c r="AI331" s="87"/>
    </row>
    <row r="332" spans="1:35">
      <c r="A332" s="80" t="e">
        <f>"J"&amp;E319</f>
        <v>#N/A</v>
      </c>
      <c r="B332" s="105">
        <v>10</v>
      </c>
      <c r="C332" s="107"/>
      <c r="D332" s="107"/>
      <c r="E332" s="107"/>
      <c r="F332" s="107"/>
      <c r="G332" s="83"/>
      <c r="H332" s="83"/>
      <c r="I332" s="84"/>
      <c r="J332" s="85"/>
      <c r="K332" s="382"/>
      <c r="L332" s="85"/>
      <c r="M332" s="332" t="str">
        <f t="shared" si="82"/>
        <v/>
      </c>
      <c r="N332" s="453"/>
      <c r="O332" s="86" t="str">
        <f t="shared" si="84"/>
        <v/>
      </c>
      <c r="P332" s="538" t="str">
        <f t="shared" si="85"/>
        <v/>
      </c>
      <c r="Q332" s="539" t="str">
        <f t="shared" si="83"/>
        <v/>
      </c>
      <c r="R332" s="706"/>
      <c r="S332" s="707"/>
      <c r="T332" s="708"/>
      <c r="U332" s="472"/>
      <c r="V332" s="167"/>
      <c r="W332" s="446"/>
      <c r="X332" s="456"/>
      <c r="Y332" s="436"/>
      <c r="Z332" s="437"/>
      <c r="AA332" s="560"/>
      <c r="AB332" s="561"/>
      <c r="AC332" s="87"/>
      <c r="AD332" s="466"/>
      <c r="AE332" s="456"/>
      <c r="AF332" s="467"/>
      <c r="AG332" s="87"/>
      <c r="AH332" s="87"/>
      <c r="AI332" s="87"/>
    </row>
    <row r="333" spans="1:35" ht="16.5" thickBot="1">
      <c r="A333" s="44"/>
      <c r="B333" s="89"/>
      <c r="C333" s="90"/>
      <c r="D333" s="90"/>
      <c r="E333" s="90"/>
      <c r="F333" s="90"/>
      <c r="G333" s="90"/>
      <c r="H333" s="90"/>
      <c r="I333" s="90"/>
      <c r="J333" s="90"/>
      <c r="K333" s="90"/>
      <c r="L333" s="90"/>
      <c r="M333" s="90"/>
      <c r="N333" s="90"/>
      <c r="O333" s="90"/>
      <c r="P333" s="90"/>
      <c r="Q333" s="90"/>
      <c r="R333" s="90"/>
      <c r="S333" s="91"/>
      <c r="T333" s="92"/>
      <c r="U333" s="473"/>
      <c r="W333" s="438"/>
      <c r="X333" s="455"/>
      <c r="Y333" s="439"/>
      <c r="Z333" s="437"/>
      <c r="AA333" s="530"/>
      <c r="AB333" s="563"/>
      <c r="AC333" s="87"/>
      <c r="AD333" s="440"/>
      <c r="AE333" s="441"/>
      <c r="AF333" s="442"/>
      <c r="AG333" s="49"/>
      <c r="AH333" s="87"/>
      <c r="AI333" s="87"/>
    </row>
    <row r="334" spans="1:35" ht="16.5" thickBot="1">
      <c r="A334" s="93"/>
      <c r="B334" s="94"/>
      <c r="C334" s="96"/>
      <c r="D334" s="96"/>
      <c r="E334" s="96"/>
      <c r="F334" s="96"/>
      <c r="G334" s="96"/>
      <c r="H334" s="96"/>
      <c r="I334" s="96"/>
      <c r="J334" s="96"/>
      <c r="K334" s="96"/>
      <c r="L334" s="96"/>
      <c r="M334" s="136"/>
      <c r="N334" s="96"/>
      <c r="O334" s="96"/>
      <c r="P334" s="97"/>
      <c r="Q334" s="97"/>
      <c r="R334" s="98"/>
      <c r="S334" s="95"/>
      <c r="T334" s="99"/>
      <c r="U334" s="469"/>
      <c r="AC334" s="58"/>
      <c r="AG334" s="58"/>
      <c r="AH334" s="87"/>
      <c r="AI334" s="87"/>
    </row>
    <row r="335" spans="1:35" ht="16.5" thickBot="1">
      <c r="B335" s="101"/>
      <c r="C335" s="101"/>
      <c r="D335" s="101"/>
      <c r="E335" s="101"/>
      <c r="F335" s="101"/>
      <c r="G335" s="101"/>
      <c r="H335" s="101"/>
      <c r="I335" s="101"/>
      <c r="J335" s="101"/>
      <c r="K335" s="101"/>
      <c r="L335" s="101"/>
      <c r="M335" s="101"/>
      <c r="N335" s="101"/>
      <c r="O335" s="101"/>
      <c r="P335" s="101"/>
      <c r="Q335" s="101"/>
      <c r="R335" s="101"/>
      <c r="S335" s="101"/>
      <c r="U335" s="50"/>
      <c r="AH335" s="87"/>
      <c r="AI335" s="87"/>
    </row>
    <row r="336" spans="1:35" ht="16.5" customHeight="1" thickBot="1">
      <c r="A336" s="44"/>
      <c r="B336" s="705" t="s">
        <v>74</v>
      </c>
      <c r="C336" s="705"/>
      <c r="D336" s="705"/>
      <c r="E336" s="705"/>
      <c r="F336" s="705"/>
      <c r="G336" s="705"/>
      <c r="H336" s="705"/>
      <c r="I336" s="705"/>
      <c r="J336" s="705"/>
      <c r="K336" s="705"/>
      <c r="L336" s="705"/>
      <c r="M336" s="705"/>
      <c r="N336" s="705"/>
      <c r="O336" s="705"/>
      <c r="P336" s="705"/>
      <c r="Q336" s="705"/>
      <c r="R336" s="705"/>
      <c r="S336" s="705"/>
      <c r="T336" s="705"/>
      <c r="U336" s="108"/>
      <c r="Y336" s="532" t="s">
        <v>341</v>
      </c>
      <c r="AC336" s="49"/>
      <c r="AD336" s="687" t="s">
        <v>302</v>
      </c>
      <c r="AE336" s="688"/>
      <c r="AF336" s="689"/>
      <c r="AG336" s="49"/>
      <c r="AH336" s="87"/>
      <c r="AI336" s="87"/>
    </row>
    <row r="337" spans="1:35" ht="15.75" customHeight="1" thickBot="1">
      <c r="A337" s="218" t="e">
        <f>"K"&amp;E319</f>
        <v>#N/A</v>
      </c>
      <c r="B337" s="701" t="s">
        <v>71</v>
      </c>
      <c r="C337" s="751" t="s">
        <v>102</v>
      </c>
      <c r="D337" s="751"/>
      <c r="E337" s="751"/>
      <c r="F337" s="751"/>
      <c r="G337" s="751"/>
      <c r="H337" s="751"/>
      <c r="I337" s="751"/>
      <c r="J337" s="751"/>
      <c r="K337" s="751"/>
      <c r="L337" s="722" t="s">
        <v>100</v>
      </c>
      <c r="M337" s="747" t="s">
        <v>114</v>
      </c>
      <c r="N337" s="747"/>
      <c r="O337" s="747"/>
      <c r="P337" s="747"/>
      <c r="Q337" s="748"/>
      <c r="R337" s="758" t="s">
        <v>280</v>
      </c>
      <c r="S337" s="748"/>
      <c r="T337" s="762" t="str">
        <f>IF(COUNTIF(AE337:AF337,"VERIFICAR")&gt;0,"VERIFICAR",IF(COUNTIF(AE337:AF337,"NO CUMPLE")&gt;0,"NO CUMPLE","CUMPLE"))</f>
        <v>CUMPLE</v>
      </c>
      <c r="U337" s="108"/>
      <c r="Y337" s="533" t="e">
        <f>IF(F338="","",IF(F338=1,"INDIVIDUAL","ESTRUCTURA PLURAL"))</f>
        <v>#N/A</v>
      </c>
      <c r="AC337" s="52"/>
      <c r="AD337" s="475" t="s">
        <v>303</v>
      </c>
      <c r="AE337" s="476" t="str">
        <f>IF(COUNTIF(AE323:AE332,"")=10,"VERIFICAR",IF(COUNTIF(AE323:AE332,"SI")&gt;0,"CUMPLE","NO CUMPLE"))</f>
        <v>CUMPLE</v>
      </c>
      <c r="AF337" s="477" t="str">
        <f>IF(COUNTIF(AF323:AF332,"")=10,"VERIFICAR",IF(COUNTIF(AF323:AF332,"SI")&gt;=$AI$22,"CUMPLE","NO CUMPLE"))</f>
        <v>CUMPLE</v>
      </c>
      <c r="AG337" s="52"/>
      <c r="AH337" s="87"/>
      <c r="AI337" s="87"/>
    </row>
    <row r="338" spans="1:35" ht="16.5" customHeight="1" thickBot="1">
      <c r="A338" s="218" t="e">
        <f>"L"&amp;E319</f>
        <v>#N/A</v>
      </c>
      <c r="B338" s="702"/>
      <c r="C338" s="751" t="s">
        <v>103</v>
      </c>
      <c r="D338" s="751"/>
      <c r="E338" s="752"/>
      <c r="F338" s="557" t="e">
        <f>IF(VLOOKUP(E319,PROPONENTES!$C$19:$E$218,3,0)="","",VLOOKUP(E319,PROPONENTES!$C$19:$E$218,3,0))</f>
        <v>#N/A</v>
      </c>
      <c r="G338" s="753" t="s">
        <v>104</v>
      </c>
      <c r="H338" s="751"/>
      <c r="I338" s="715" t="e">
        <f>IF(OR(F338="",F338=1),"INTERESADO PERSONA NATURAL O JURIDICA","CONSORCIO O UNION TEMPORAL")</f>
        <v>#N/A</v>
      </c>
      <c r="J338" s="725"/>
      <c r="K338" s="728"/>
      <c r="L338" s="723"/>
      <c r="M338" s="749"/>
      <c r="N338" s="749"/>
      <c r="O338" s="749"/>
      <c r="P338" s="749"/>
      <c r="Q338" s="750"/>
      <c r="R338" s="712"/>
      <c r="S338" s="750"/>
      <c r="T338" s="763"/>
      <c r="U338" s="108"/>
      <c r="Y338" s="534"/>
      <c r="AA338" s="52"/>
      <c r="AB338" s="52"/>
      <c r="AC338" s="52"/>
      <c r="AG338" s="52"/>
      <c r="AH338" s="87"/>
      <c r="AI338" s="87"/>
    </row>
    <row r="339" spans="1:35" ht="56.25" customHeight="1" thickBot="1">
      <c r="A339" s="218" t="e">
        <f>"M"&amp;E319</f>
        <v>#N/A</v>
      </c>
      <c r="B339" s="702"/>
      <c r="C339" s="725" t="s">
        <v>101</v>
      </c>
      <c r="D339" s="716"/>
      <c r="E339" s="558" t="s">
        <v>105</v>
      </c>
      <c r="F339" s="554" t="s">
        <v>87</v>
      </c>
      <c r="G339" s="553" t="s">
        <v>86</v>
      </c>
      <c r="H339" s="559" t="s">
        <v>85</v>
      </c>
      <c r="I339" s="554" t="s">
        <v>252</v>
      </c>
      <c r="J339" s="553" t="str">
        <f>"¿EL INTEGRANTE TIENE UNA PARTICIPACIÓN DEL "&amp;PORCREQUERIDOINT*100&amp;"%?"</f>
        <v>¿EL INTEGRANTE TIENE UNA PARTICIPACIÓN DEL 60%?</v>
      </c>
      <c r="K339" s="554" t="s">
        <v>107</v>
      </c>
      <c r="L339" s="724"/>
      <c r="M339" s="717" t="s">
        <v>115</v>
      </c>
      <c r="N339" s="718"/>
      <c r="O339" s="718"/>
      <c r="P339" s="718"/>
      <c r="Q339" s="223">
        <f>IF(AND(H323="SI",P323&gt;=0),1,0)+IF(AND(H324="SI",P324&gt;=0),1,0)+IF(AND(H325="SI",P325&gt;=0),1,0)+IF(AND(H326="SI",P326&gt;=0),1,0)+IF(AND(H327="SI",P327&gt;=0),1,0)+IF(AND(H328="SI",P328&gt;=0),1,0)+IF(AND(H329="SI",P329&gt;=0),1,0)+IF(AND(H330="SI",P330&gt;=0),1,0)+IF(AND(H331="SI",P331&gt;=0),1,0)+IF(AND(H332="SI",P332&gt;=0),1,0)</f>
        <v>0</v>
      </c>
      <c r="R339" s="759"/>
      <c r="S339" s="761"/>
      <c r="T339" s="764"/>
      <c r="U339" s="219"/>
      <c r="V339" s="464"/>
      <c r="Y339" s="532" t="s">
        <v>342</v>
      </c>
      <c r="AA339" s="550" t="s">
        <v>344</v>
      </c>
      <c r="AB339" s="693" t="s">
        <v>345</v>
      </c>
      <c r="AC339" s="693" t="s">
        <v>346</v>
      </c>
      <c r="AD339" s="685" t="s">
        <v>347</v>
      </c>
      <c r="AE339" s="52"/>
      <c r="AF339" s="52"/>
      <c r="AG339" s="52"/>
      <c r="AH339" s="87"/>
      <c r="AI339" s="87"/>
    </row>
    <row r="340" spans="1:35" ht="15.75" customHeight="1" thickBot="1">
      <c r="A340" s="218" t="e">
        <f>"N"&amp;E319</f>
        <v>#N/A</v>
      </c>
      <c r="B340" s="702"/>
      <c r="C340" s="114">
        <v>1</v>
      </c>
      <c r="D340" s="194" t="e">
        <f>IF(AND(C340&lt;=F338,F338&gt;1,F338&lt;&gt;""),VLOOKUP(VALUE(E319&amp;","&amp;C340),INTEGRANTES!$D$18:$F$235,2,0),"")</f>
        <v>#N/A</v>
      </c>
      <c r="E340" s="211" t="e">
        <f>IF(D340&lt;&gt;"",VLOOKUP(VALUE(E319&amp;","&amp;C340),INTEGRANTES!$D$18:$F$235,3,0),"")</f>
        <v>#N/A</v>
      </c>
      <c r="F340" s="547" t="e">
        <f>IF(D340="","",SUMIF($I323:$I332,D340,$P323:$P332))</f>
        <v>#N/A</v>
      </c>
      <c r="G340" s="333" t="e">
        <f>IF(D340="","",SUMIF($I323:$I332,D340,$M323:$M332))</f>
        <v>#N/A</v>
      </c>
      <c r="H340" s="535" t="e">
        <f t="shared" ref="H340:H345" si="86">IF(D340="","",IF(OR(F340=0,G340=0),"NO APORTA",ROUND($F340/$G340,3)))</f>
        <v>#N/A</v>
      </c>
      <c r="I340" s="212" t="e">
        <f>IF(D340="","",IF(H340="NO APORTA","NO",IF(H340=MAX($H340:$H345),"SI","NO")))</f>
        <v>#N/A</v>
      </c>
      <c r="J340" s="213" t="e">
        <f t="shared" ref="J340:J345" si="87">IF(D340="","",IF(E340&gt;=PORCREQUERIDOINT,"SI","NO"))</f>
        <v>#N/A</v>
      </c>
      <c r="K340" s="200" t="e">
        <f t="shared" ref="K340:K345" si="88">IF(D340="","",IF(AND(I340="SI",J340="SI"),"CUMPLE",IF(AND(I340="NO",OR(J340="SI",J340="NO")),"","NO CUMPLE")))</f>
        <v>#N/A</v>
      </c>
      <c r="L340" s="722" t="s">
        <v>108</v>
      </c>
      <c r="M340" s="726" t="s">
        <v>119</v>
      </c>
      <c r="N340" s="726"/>
      <c r="O340" s="726"/>
      <c r="P340" s="726"/>
      <c r="Q340" s="727"/>
      <c r="R340" s="758" t="s">
        <v>80</v>
      </c>
      <c r="S340" s="747"/>
      <c r="T340" s="748"/>
      <c r="U340" s="219"/>
      <c r="V340" s="464"/>
      <c r="Y340" s="533" t="e">
        <f>IF(Y337="","",IF(Y337="INDIVIDUAL","NO APLICA","VERIFICAR CUADRO"))</f>
        <v>#N/A</v>
      </c>
      <c r="AA340" s="551"/>
      <c r="AB340" s="694"/>
      <c r="AC340" s="694"/>
      <c r="AD340" s="686"/>
      <c r="AE340" s="52"/>
      <c r="AF340" s="52"/>
      <c r="AG340" s="52"/>
      <c r="AH340" s="87"/>
      <c r="AI340" s="87"/>
    </row>
    <row r="341" spans="1:35" ht="27" customHeight="1" thickBot="1">
      <c r="A341" s="218" t="e">
        <f>"O"&amp;E319</f>
        <v>#N/A</v>
      </c>
      <c r="B341" s="702"/>
      <c r="C341" s="114">
        <v>2</v>
      </c>
      <c r="D341" s="194" t="e">
        <f>IF(AND(C341&lt;=F338,F338&lt;&gt;""),VLOOKUP(VALUE(E319&amp;","&amp;C341),INTEGRANTES!$D$18:$F$235,2,0),"")</f>
        <v>#N/A</v>
      </c>
      <c r="E341" s="211" t="e">
        <f>IF(D341&lt;&gt;"",VLOOKUP(VALUE(E319&amp;","&amp;C341),INTEGRANTES!$D$18:$F$235,3,0),"")</f>
        <v>#N/A</v>
      </c>
      <c r="F341" s="547" t="e">
        <f>IF(D341="","",SUMIF($I323:$I332,D341,$P323:$P332))</f>
        <v>#N/A</v>
      </c>
      <c r="G341" s="333" t="e">
        <f>IF(D341="","",SUMIF($I323:$I332,D341,$M323:$M332))</f>
        <v>#N/A</v>
      </c>
      <c r="H341" s="535" t="e">
        <f t="shared" si="86"/>
        <v>#N/A</v>
      </c>
      <c r="I341" s="212" t="e">
        <f>IF(D341="","",IF(H341="NO APORTA","NO",IF(H341=MAX($H340:$H345),"SI","NO")))</f>
        <v>#N/A</v>
      </c>
      <c r="J341" s="213" t="e">
        <f t="shared" si="87"/>
        <v>#N/A</v>
      </c>
      <c r="K341" s="200" t="e">
        <f t="shared" si="88"/>
        <v>#N/A</v>
      </c>
      <c r="L341" s="723"/>
      <c r="M341" s="715" t="s">
        <v>116</v>
      </c>
      <c r="N341" s="716"/>
      <c r="O341" s="556" t="s">
        <v>113</v>
      </c>
      <c r="P341" s="715" t="s">
        <v>117</v>
      </c>
      <c r="Q341" s="728"/>
      <c r="R341" s="759"/>
      <c r="S341" s="760"/>
      <c r="T341" s="761"/>
      <c r="U341" s="219"/>
      <c r="V341" s="464"/>
      <c r="Y341" s="414"/>
      <c r="AA341" s="542" t="e">
        <f>IF(AND(C340&lt;=F338,F338&gt;1,F338&lt;&gt;""),VLOOKUP(VALUE(E319&amp;","&amp;C340),INTEGRANTES!$D$18:$F$235,2,0),"")</f>
        <v>#N/A</v>
      </c>
      <c r="AB341" s="544" t="e">
        <f t="shared" ref="AB341:AB346" si="89">IF(D340="","",IF(OR(F340=0,G340=0),"NO APORTA",ROUND($F340/$G340,3)))</f>
        <v>#N/A</v>
      </c>
      <c r="AC341" s="529"/>
      <c r="AD341" s="200" t="e">
        <f t="shared" ref="AD341:AD346" si="90">IF(OR(AA341="",AB341=""),"",IF(AND(AC341="X",AB341&gt;=EXPREQVTD),"CUMPLE","NO CUMPLE"))</f>
        <v>#N/A</v>
      </c>
      <c r="AE341" s="52"/>
      <c r="AF341" s="52"/>
      <c r="AG341" s="52"/>
      <c r="AH341" s="87"/>
      <c r="AI341" s="87"/>
    </row>
    <row r="342" spans="1:35" ht="16.5" thickBot="1">
      <c r="A342" s="218" t="e">
        <f>"P"&amp;E319</f>
        <v>#N/A</v>
      </c>
      <c r="B342" s="702"/>
      <c r="C342" s="114">
        <v>3</v>
      </c>
      <c r="D342" s="194" t="e">
        <f>IF(AND(C342&lt;=F338,F338&lt;&gt;""),VLOOKUP(VALUE(E319&amp;","&amp;C342),INTEGRANTES!$D$18:$F$235,2,0),"")</f>
        <v>#N/A</v>
      </c>
      <c r="E342" s="211" t="e">
        <f>IF(D342&lt;&gt;"",VLOOKUP(VALUE(E319&amp;","&amp;C342),INTEGRANTES!$D$18:$F$235,3,0),"")</f>
        <v>#N/A</v>
      </c>
      <c r="F342" s="547" t="e">
        <f>IF(D342="","",SUMIF($I323:$I332,D342,$P323:$P332))</f>
        <v>#N/A</v>
      </c>
      <c r="G342" s="333" t="e">
        <f>IF(D342="","",SUMIF($I323:$I332,D342,$M323:$M332))</f>
        <v>#N/A</v>
      </c>
      <c r="H342" s="535" t="e">
        <f t="shared" si="86"/>
        <v>#N/A</v>
      </c>
      <c r="I342" s="212" t="e">
        <f>IF(D342="","",IF(H342="NO APORTA","NO",IF(H342=MAX($H340:$H345),"SI","NO")))</f>
        <v>#N/A</v>
      </c>
      <c r="J342" s="213" t="e">
        <f t="shared" si="87"/>
        <v>#N/A</v>
      </c>
      <c r="K342" s="200" t="e">
        <f t="shared" si="88"/>
        <v>#N/A</v>
      </c>
      <c r="L342" s="724"/>
      <c r="M342" s="729">
        <f>NUMMOD</f>
        <v>1</v>
      </c>
      <c r="N342" s="730"/>
      <c r="O342" s="443">
        <f>IF(M342="","",VLOOKUP(M342,PRESUPUESTOS!$B$16:$H$16,5,FALSE))</f>
        <v>2</v>
      </c>
      <c r="P342" s="713">
        <f>IF(OR(COUNTIF(M323:M332,"")&gt;=10,Q339&lt;NUMMINCONT,OR(T337="NO CUMPLE",T337="VERIFICAR")),0,ROUND(AVERAGE(M323:M332),3))</f>
        <v>0</v>
      </c>
      <c r="Q342" s="714"/>
      <c r="R342" s="458"/>
      <c r="S342" s="459"/>
      <c r="T342" s="460"/>
      <c r="U342" s="219"/>
      <c r="V342" s="464"/>
      <c r="Y342" s="532" t="str">
        <f>"40% * ("&amp;PRESUPUESTOS!$H$13&amp;")"</f>
        <v>40% * (50% PFMO)</v>
      </c>
      <c r="AA342" s="540" t="e">
        <f>IF(AND(C341&lt;=F338,F338&lt;&gt;""),VLOOKUP(VALUE(E319&amp;","&amp;C341),INTEGRANTES!$D$18:$F$235,2,0),"")</f>
        <v>#N/A</v>
      </c>
      <c r="AB342" s="545" t="e">
        <f t="shared" si="89"/>
        <v>#N/A</v>
      </c>
      <c r="AC342" s="529"/>
      <c r="AD342" s="200" t="e">
        <f t="shared" si="90"/>
        <v>#N/A</v>
      </c>
      <c r="AE342" s="52"/>
      <c r="AF342" s="52"/>
      <c r="AG342" s="52"/>
      <c r="AH342" s="87"/>
      <c r="AI342" s="87"/>
    </row>
    <row r="343" spans="1:35" ht="15.75" customHeight="1" thickBot="1">
      <c r="A343" s="218" t="e">
        <f>"Q"&amp;E319</f>
        <v>#N/A</v>
      </c>
      <c r="B343" s="702"/>
      <c r="C343" s="114">
        <v>4</v>
      </c>
      <c r="D343" s="194" t="e">
        <f>IF(AND(C343&lt;=F338,F338&lt;&gt;""),VLOOKUP(VALUE(E319&amp;","&amp;C343),INTEGRANTES!$D$18:$F$235,2,0),"")</f>
        <v>#N/A</v>
      </c>
      <c r="E343" s="211" t="e">
        <f>IF(D343&lt;&gt;"",VLOOKUP(VALUE(E319&amp;","&amp;C343),INTEGRANTES!$D$18:$F$235,3,0),"")</f>
        <v>#N/A</v>
      </c>
      <c r="F343" s="547" t="e">
        <f>IF(D343="","",SUMIF($I323:$I332,D343,$P323:$P332))</f>
        <v>#N/A</v>
      </c>
      <c r="G343" s="333" t="e">
        <f>IF(D343="","",SUMIF($I323:$I332,D343,$M323:$M332))</f>
        <v>#N/A</v>
      </c>
      <c r="H343" s="535" t="e">
        <f t="shared" si="86"/>
        <v>#N/A</v>
      </c>
      <c r="I343" s="212" t="e">
        <f>IF(D343="","",IF(H343="NO APORTA","NO",IF(H343=MAX($H340:$H345),"SI","NO")))</f>
        <v>#N/A</v>
      </c>
      <c r="J343" s="213" t="e">
        <f t="shared" si="87"/>
        <v>#N/A</v>
      </c>
      <c r="K343" s="200" t="e">
        <f t="shared" si="88"/>
        <v>#N/A</v>
      </c>
      <c r="L343" s="720" t="s">
        <v>109</v>
      </c>
      <c r="M343" s="757" t="s">
        <v>120</v>
      </c>
      <c r="N343" s="726"/>
      <c r="O343" s="726"/>
      <c r="P343" s="726"/>
      <c r="Q343" s="727"/>
      <c r="R343" s="458"/>
      <c r="S343" s="459"/>
      <c r="T343" s="460"/>
      <c r="U343" s="219"/>
      <c r="V343" s="464"/>
      <c r="Y343" s="537">
        <f>0.4*PRESUPUESTOS!$H$16</f>
        <v>10.3124</v>
      </c>
      <c r="AA343" s="540" t="e">
        <f>IF(AND(C342&lt;=F338,F338&lt;&gt;""),VLOOKUP(VALUE(E319&amp;","&amp;C342),INTEGRANTES!$D$18:$F$235,2,0),"")</f>
        <v>#N/A</v>
      </c>
      <c r="AB343" s="545" t="e">
        <f t="shared" si="89"/>
        <v>#N/A</v>
      </c>
      <c r="AC343" s="529"/>
      <c r="AD343" s="200" t="e">
        <f t="shared" si="90"/>
        <v>#N/A</v>
      </c>
      <c r="AE343" s="52"/>
      <c r="AF343" s="52"/>
      <c r="AG343" s="52"/>
      <c r="AH343" s="87"/>
      <c r="AI343" s="87"/>
    </row>
    <row r="344" spans="1:35" ht="27" customHeight="1" thickBot="1">
      <c r="A344" s="218" t="e">
        <f>"R"&amp;E319</f>
        <v>#N/A</v>
      </c>
      <c r="B344" s="702"/>
      <c r="C344" s="114">
        <v>5</v>
      </c>
      <c r="D344" s="194" t="e">
        <f>IF(AND(C344&lt;=F338,F338&lt;&gt;""),VLOOKUP(VALUE(E319&amp;","&amp;C344),INTEGRANTES!$D$18:$F$235,2,0),"")</f>
        <v>#N/A</v>
      </c>
      <c r="E344" s="211" t="e">
        <f>IF(D344&lt;&gt;"",VLOOKUP(VALUE(E319&amp;","&amp;C344),INTEGRANTES!$D$18:$F$235,3,0),"")</f>
        <v>#N/A</v>
      </c>
      <c r="F344" s="547" t="e">
        <f>IF(D344="","",SUMIF($I323:$I332,D344,$P323:$P332))</f>
        <v>#N/A</v>
      </c>
      <c r="G344" s="333" t="e">
        <f>IF(D344="","",SUMIF($I323:$I332,D344,$M323:$M332))</f>
        <v>#N/A</v>
      </c>
      <c r="H344" s="535" t="e">
        <f t="shared" si="86"/>
        <v>#N/A</v>
      </c>
      <c r="I344" s="212" t="e">
        <f>IF(D344="","",IF(H344="NO APORTA","NO",IF(H344=MAX($H340:$H345),"SI","NO")))</f>
        <v>#N/A</v>
      </c>
      <c r="J344" s="213" t="e">
        <f t="shared" si="87"/>
        <v>#N/A</v>
      </c>
      <c r="K344" s="200" t="e">
        <f t="shared" si="88"/>
        <v>#N/A</v>
      </c>
      <c r="L344" s="721"/>
      <c r="M344" s="715" t="s">
        <v>116</v>
      </c>
      <c r="N344" s="716"/>
      <c r="O344" s="556" t="str">
        <f>PORCREQUERIDO*100&amp;"% PMFO DEL MÓDULO"</f>
        <v>50% PMFO DEL MÓDULO</v>
      </c>
      <c r="P344" s="715" t="s">
        <v>118</v>
      </c>
      <c r="Q344" s="728"/>
      <c r="R344" s="458"/>
      <c r="S344" s="459"/>
      <c r="T344" s="460"/>
      <c r="U344" s="219"/>
      <c r="V344" s="464"/>
      <c r="Y344" s="414"/>
      <c r="AA344" s="540" t="e">
        <f>IF(AND(C343&lt;=F338,F338&lt;&gt;""),VLOOKUP(VALUE(E319&amp;","&amp;C343),INTEGRANTES!$D$18:$F$235,2,0),"")</f>
        <v>#N/A</v>
      </c>
      <c r="AB344" s="545" t="e">
        <f t="shared" si="89"/>
        <v>#N/A</v>
      </c>
      <c r="AC344" s="529"/>
      <c r="AD344" s="200" t="e">
        <f t="shared" si="90"/>
        <v>#N/A</v>
      </c>
      <c r="AE344" s="52"/>
      <c r="AF344" s="52"/>
      <c r="AG344" s="52"/>
      <c r="AH344" s="87"/>
      <c r="AI344" s="87"/>
    </row>
    <row r="345" spans="1:35" ht="16.5" thickBot="1">
      <c r="A345" s="218" t="e">
        <f>"S"&amp;E319</f>
        <v>#N/A</v>
      </c>
      <c r="B345" s="702"/>
      <c r="C345" s="215">
        <v>6</v>
      </c>
      <c r="D345" s="216" t="e">
        <f>IF(AND(C345&lt;=F338,F338&lt;&gt;""),VLOOKUP(VALUE(E319&amp;","&amp;C345),INTEGRANTES!$D$18:$F$235,2,0),"")</f>
        <v>#N/A</v>
      </c>
      <c r="E345" s="217" t="e">
        <f>IF(D345&lt;&gt;"",VLOOKUP(VALUE(E319&amp;","&amp;C345),INTEGRANTES!$D$18:$F$235,3,0),"")</f>
        <v>#N/A</v>
      </c>
      <c r="F345" s="548" t="e">
        <f>IF(D345="","",SUMIF($I323:$I332,D345,$P323:$P332))</f>
        <v>#N/A</v>
      </c>
      <c r="G345" s="334" t="e">
        <f>IF(D345="","",SUMIF($I323:$I332,D345,$M323:$M332))</f>
        <v>#N/A</v>
      </c>
      <c r="H345" s="536" t="e">
        <f t="shared" si="86"/>
        <v>#N/A</v>
      </c>
      <c r="I345" s="214" t="e">
        <f>IF(D345="","",IF(H345="NO APORTA","NO",IF(H345=MAX($H340:$H345),"SI","NO")))</f>
        <v>#N/A</v>
      </c>
      <c r="J345" s="213" t="e">
        <f t="shared" si="87"/>
        <v>#N/A</v>
      </c>
      <c r="K345" s="200" t="e">
        <f t="shared" si="88"/>
        <v>#N/A</v>
      </c>
      <c r="L345" s="721"/>
      <c r="M345" s="729">
        <f>NUMMOD</f>
        <v>1</v>
      </c>
      <c r="N345" s="730"/>
      <c r="O345" s="443">
        <f>IF(M345="","",ROUND(VLOOKUP(M345,PRESUPUESTOS!$B$16:$H$16,7,FALSE),3))</f>
        <v>25.780999999999999</v>
      </c>
      <c r="P345" s="713">
        <f>IF(OR(COUNTIF(P323:P332,"")&gt;=10,Q339&lt;NUMMINCONT,OR(T337="NO CUMPLE",T337="VERIFICAR")),0,ROUND((SUM(P323:P332)/SUM(M323:M332)),3))</f>
        <v>0</v>
      </c>
      <c r="Q345" s="714"/>
      <c r="R345" s="458"/>
      <c r="S345" s="459"/>
      <c r="T345" s="460"/>
      <c r="U345" s="219"/>
      <c r="V345" s="464"/>
      <c r="Y345" s="532" t="s">
        <v>343</v>
      </c>
      <c r="AA345" s="540" t="e">
        <f>IF(AND(C344&lt;=F338,F338&lt;&gt;""),VLOOKUP(VALUE(E319&amp;","&amp;C344),INTEGRANTES!$D$18:$F$235,2,0),"")</f>
        <v>#N/A</v>
      </c>
      <c r="AB345" s="545" t="e">
        <f t="shared" si="89"/>
        <v>#N/A</v>
      </c>
      <c r="AC345" s="529"/>
      <c r="AD345" s="200" t="e">
        <f t="shared" si="90"/>
        <v>#N/A</v>
      </c>
      <c r="AE345" s="52"/>
      <c r="AF345" s="52"/>
      <c r="AG345" s="52"/>
      <c r="AH345" s="87"/>
      <c r="AI345" s="87"/>
    </row>
    <row r="346" spans="1:35" ht="16.5" customHeight="1" thickBot="1">
      <c r="A346" s="218" t="e">
        <f>"T"&amp;E319</f>
        <v>#N/A</v>
      </c>
      <c r="B346" s="703"/>
      <c r="C346" s="719"/>
      <c r="D346" s="719"/>
      <c r="E346" s="719"/>
      <c r="F346" s="719"/>
      <c r="G346" s="719"/>
      <c r="H346" s="719" t="s">
        <v>110</v>
      </c>
      <c r="I346" s="719"/>
      <c r="J346" s="719"/>
      <c r="K346" s="201" t="str">
        <f>IF(COUNTIF(K340:K345,"")=6,"",IF(COUNTIF(K340:K345,"CUMPLE")&gt;0,"CUMPLE","NO CUMPLE"))</f>
        <v>NO CUMPLE</v>
      </c>
      <c r="L346" s="754"/>
      <c r="M346" s="755"/>
      <c r="N346" s="755"/>
      <c r="O346" s="755"/>
      <c r="P346" s="755"/>
      <c r="Q346" s="756"/>
      <c r="R346" s="461"/>
      <c r="S346" s="462"/>
      <c r="T346" s="463"/>
      <c r="U346" s="219"/>
      <c r="V346" s="464"/>
      <c r="Y346" s="549" t="e">
        <f>IF(Y340="NO APLICA","NO APLICA",IF(COUNTIF(AD341:AD346,"CUMPLE")&gt;0,"CUMPLE","NO CUMPLE"))</f>
        <v>#N/A</v>
      </c>
      <c r="AA346" s="541" t="e">
        <f>IF(AND(C345&lt;=F338,F338&lt;&gt;""),VLOOKUP(VALUE(E319&amp;","&amp;C345),INTEGRANTES!$D$18:$F$235,2,0),"")</f>
        <v>#N/A</v>
      </c>
      <c r="AB346" s="546" t="e">
        <f t="shared" si="89"/>
        <v>#N/A</v>
      </c>
      <c r="AC346" s="543"/>
      <c r="AD346" s="201" t="e">
        <f t="shared" si="90"/>
        <v>#N/A</v>
      </c>
      <c r="AE346" s="52"/>
      <c r="AF346" s="52"/>
      <c r="AG346" s="52"/>
      <c r="AH346" s="87"/>
      <c r="AI346" s="87"/>
    </row>
    <row r="347" spans="1:35">
      <c r="A347" s="103"/>
      <c r="B347" s="206"/>
      <c r="C347" s="206"/>
      <c r="D347" s="206"/>
      <c r="E347" s="206"/>
      <c r="F347" s="206"/>
      <c r="G347" s="206"/>
      <c r="H347" s="206"/>
      <c r="I347" s="104"/>
      <c r="J347" s="206"/>
      <c r="K347" s="113"/>
      <c r="L347" s="113"/>
      <c r="M347" s="113"/>
      <c r="N347" s="222"/>
      <c r="O347" s="113"/>
      <c r="P347" s="113"/>
      <c r="Q347" s="113"/>
      <c r="R347" s="206"/>
      <c r="S347" s="104"/>
      <c r="T347" s="206"/>
      <c r="U347" s="474"/>
      <c r="AH347" s="87"/>
      <c r="AI347" s="87"/>
    </row>
    <row r="348" spans="1:35">
      <c r="H348" s="220"/>
      <c r="AH348" s="87"/>
      <c r="AI348" s="87"/>
    </row>
    <row r="349" spans="1:35" ht="24" thickBot="1">
      <c r="A349" s="61">
        <v>12</v>
      </c>
      <c r="B349" s="704" t="s">
        <v>51</v>
      </c>
      <c r="C349" s="704"/>
      <c r="D349" s="704"/>
      <c r="E349" s="62" t="e">
        <f>VLOOKUP(A349,PROPONENTES!$B$19:$E$218,2,FALSE)</f>
        <v>#N/A</v>
      </c>
      <c r="F349" s="63" t="e">
        <f>VLOOKUP(A349,PROPONENTES!$B$19:$E$218,3,FALSE)</f>
        <v>#N/A</v>
      </c>
      <c r="G349" s="64"/>
      <c r="H349" s="64"/>
      <c r="I349" s="63"/>
      <c r="J349" s="63"/>
      <c r="K349" s="65"/>
      <c r="L349" s="65"/>
      <c r="M349" s="64"/>
      <c r="N349" s="64"/>
      <c r="O349" s="66"/>
      <c r="P349" s="66"/>
      <c r="Q349" s="66"/>
      <c r="R349" s="66"/>
      <c r="S349" s="67"/>
      <c r="T349" s="68"/>
      <c r="U349" s="68"/>
      <c r="AC349" s="68"/>
      <c r="AD349" s="68"/>
      <c r="AE349" s="68"/>
      <c r="AF349" s="68"/>
      <c r="AG349" s="68"/>
      <c r="AH349" s="87"/>
      <c r="AI349" s="87"/>
    </row>
    <row r="350" spans="1:35" ht="15.75" customHeight="1">
      <c r="A350" s="44"/>
      <c r="B350" s="709" t="s">
        <v>59</v>
      </c>
      <c r="C350" s="552" t="s">
        <v>60</v>
      </c>
      <c r="D350" s="70" t="s">
        <v>17</v>
      </c>
      <c r="E350" s="70"/>
      <c r="F350" s="70" t="s">
        <v>61</v>
      </c>
      <c r="G350" s="71"/>
      <c r="H350" s="699" t="s">
        <v>62</v>
      </c>
      <c r="I350" s="699" t="s">
        <v>18</v>
      </c>
      <c r="J350" s="699" t="s">
        <v>63</v>
      </c>
      <c r="K350" s="699" t="s">
        <v>64</v>
      </c>
      <c r="L350" s="699" t="s">
        <v>65</v>
      </c>
      <c r="M350" s="743" t="s">
        <v>66</v>
      </c>
      <c r="N350" s="699" t="s">
        <v>282</v>
      </c>
      <c r="O350" s="745" t="s">
        <v>67</v>
      </c>
      <c r="P350" s="746"/>
      <c r="Q350" s="102" t="s">
        <v>75</v>
      </c>
      <c r="R350" s="731" t="s">
        <v>22</v>
      </c>
      <c r="S350" s="732"/>
      <c r="T350" s="733"/>
      <c r="U350" s="712" t="s">
        <v>298</v>
      </c>
      <c r="W350" s="690" t="s">
        <v>268</v>
      </c>
      <c r="X350" s="691"/>
      <c r="Y350" s="692"/>
      <c r="Z350" s="428"/>
      <c r="AA350" s="697" t="s">
        <v>315</v>
      </c>
      <c r="AB350" s="695" t="s">
        <v>322</v>
      </c>
      <c r="AC350" s="49"/>
      <c r="AD350" s="690" t="s">
        <v>297</v>
      </c>
      <c r="AE350" s="691"/>
      <c r="AF350" s="692"/>
      <c r="AG350" s="49"/>
      <c r="AH350" s="87"/>
      <c r="AI350" s="87"/>
    </row>
    <row r="351" spans="1:35" ht="72">
      <c r="A351" s="44"/>
      <c r="B351" s="710"/>
      <c r="C351" s="553" t="s">
        <v>68</v>
      </c>
      <c r="D351" s="73" t="s">
        <v>3</v>
      </c>
      <c r="E351" s="73" t="s">
        <v>19</v>
      </c>
      <c r="F351" s="73" t="s">
        <v>69</v>
      </c>
      <c r="G351" s="74" t="s">
        <v>70</v>
      </c>
      <c r="H351" s="700"/>
      <c r="I351" s="700"/>
      <c r="J351" s="700"/>
      <c r="K351" s="700"/>
      <c r="L351" s="700"/>
      <c r="M351" s="744"/>
      <c r="N351" s="700"/>
      <c r="O351" s="553" t="s">
        <v>279</v>
      </c>
      <c r="P351" s="73" t="s">
        <v>88</v>
      </c>
      <c r="Q351" s="555" t="s">
        <v>76</v>
      </c>
      <c r="R351" s="734"/>
      <c r="S351" s="735"/>
      <c r="T351" s="736"/>
      <c r="U351" s="712"/>
      <c r="W351" s="429" t="s">
        <v>269</v>
      </c>
      <c r="X351" s="457" t="s">
        <v>278</v>
      </c>
      <c r="Y351" s="430" t="s">
        <v>365</v>
      </c>
      <c r="Z351" s="428"/>
      <c r="AA351" s="698"/>
      <c r="AB351" s="696"/>
      <c r="AC351" s="49"/>
      <c r="AD351" s="429" t="s">
        <v>292</v>
      </c>
      <c r="AE351" s="431" t="s">
        <v>300</v>
      </c>
      <c r="AF351" s="468" t="s">
        <v>301</v>
      </c>
      <c r="AG351" s="49"/>
      <c r="AH351" s="87"/>
      <c r="AI351" s="87"/>
    </row>
    <row r="352" spans="1:35">
      <c r="A352" s="44"/>
      <c r="B352" s="76"/>
      <c r="C352" s="77"/>
      <c r="D352" s="77"/>
      <c r="E352" s="77"/>
      <c r="F352" s="77"/>
      <c r="G352" s="77"/>
      <c r="H352" s="77"/>
      <c r="I352" s="77"/>
      <c r="J352" s="77"/>
      <c r="K352" s="77"/>
      <c r="L352" s="77"/>
      <c r="M352" s="77"/>
      <c r="N352" s="77"/>
      <c r="O352" s="77"/>
      <c r="P352" s="77"/>
      <c r="Q352" s="77"/>
      <c r="R352" s="77"/>
      <c r="S352" s="78"/>
      <c r="T352" s="79"/>
      <c r="U352" s="109"/>
      <c r="V352" s="49"/>
      <c r="W352" s="432"/>
      <c r="X352" s="454"/>
      <c r="Y352" s="433"/>
      <c r="Z352" s="6"/>
      <c r="AA352" s="500"/>
      <c r="AB352" s="562"/>
      <c r="AC352" s="49"/>
      <c r="AD352" s="210"/>
      <c r="AE352" s="434"/>
      <c r="AF352" s="435"/>
      <c r="AG352" s="49"/>
      <c r="AH352" s="87"/>
      <c r="AI352" s="87"/>
    </row>
    <row r="353" spans="1:35" ht="22.5">
      <c r="A353" s="80" t="e">
        <f>"A"&amp;E349</f>
        <v>#N/A</v>
      </c>
      <c r="B353" s="81">
        <v>1</v>
      </c>
      <c r="C353" s="82"/>
      <c r="D353" s="82"/>
      <c r="E353" s="567"/>
      <c r="F353" s="82"/>
      <c r="G353" s="83"/>
      <c r="H353" s="83"/>
      <c r="I353" s="84"/>
      <c r="J353" s="85"/>
      <c r="K353" s="382"/>
      <c r="L353" s="85"/>
      <c r="M353" s="332"/>
      <c r="N353" s="86">
        <v>145</v>
      </c>
      <c r="O353" s="453" t="str">
        <f>IF(OR(G353="",N353=""),"",N353*G353)</f>
        <v/>
      </c>
      <c r="P353" s="538" t="str">
        <f>IF(OR(H353="",M353="FUERA DE RANGO"),"",IF(OR(L353&lt;$O$17,L353&gt;$P$17,L353="",H353="NO"),"",IF(OR(N353="",O353=""),"",ROUND(O353,3))))</f>
        <v/>
      </c>
      <c r="Q353" s="539" t="str">
        <f t="shared" ref="Q353:Q362" si="91">IF(AND(H353="SI",P353&lt;&gt;""),ROUND(P353/M353,3),"")</f>
        <v/>
      </c>
      <c r="R353" s="737"/>
      <c r="S353" s="738"/>
      <c r="T353" s="739"/>
      <c r="U353" s="470"/>
      <c r="V353" s="165"/>
      <c r="W353" s="446" t="s">
        <v>25</v>
      </c>
      <c r="X353" s="456" t="s">
        <v>387</v>
      </c>
      <c r="Y353" s="436" t="s">
        <v>25</v>
      </c>
      <c r="Z353" s="437"/>
      <c r="AA353" s="560" t="s">
        <v>317</v>
      </c>
      <c r="AB353" s="561" t="s">
        <v>294</v>
      </c>
      <c r="AC353" s="87"/>
      <c r="AD353" s="466" t="s">
        <v>289</v>
      </c>
      <c r="AE353" s="456" t="s">
        <v>25</v>
      </c>
      <c r="AF353" s="467" t="s">
        <v>25</v>
      </c>
      <c r="AG353" s="87"/>
      <c r="AH353" s="87"/>
      <c r="AI353" s="87"/>
    </row>
    <row r="354" spans="1:35">
      <c r="A354" s="80" t="e">
        <f>"B"&amp;E349</f>
        <v>#N/A</v>
      </c>
      <c r="B354" s="81">
        <v>2</v>
      </c>
      <c r="C354" s="571"/>
      <c r="D354" s="106"/>
      <c r="E354" s="572"/>
      <c r="F354" s="106"/>
      <c r="G354" s="83"/>
      <c r="H354" s="83"/>
      <c r="I354" s="84"/>
      <c r="J354" s="85"/>
      <c r="K354" s="382"/>
      <c r="L354" s="85"/>
      <c r="M354" s="332"/>
      <c r="N354" s="86">
        <v>19.829999999999998</v>
      </c>
      <c r="O354" s="453" t="str">
        <f t="shared" ref="O354:O362" si="92">IF(OR(G354="",N354=""),"",N354*G354)</f>
        <v/>
      </c>
      <c r="P354" s="538" t="str">
        <f t="shared" ref="P354:P362" si="93">IF(OR(H354="",M354="FUERA DE RANGO"),"",IF(OR(L354&lt;$O$17,L354&gt;$P$17,L354="",H354="NO"),"",IF(OR(N354="",O354=""),"",ROUND(O354,3))))</f>
        <v/>
      </c>
      <c r="Q354" s="539" t="str">
        <f t="shared" si="91"/>
        <v/>
      </c>
      <c r="R354" s="740"/>
      <c r="S354" s="741"/>
      <c r="T354" s="742"/>
      <c r="U354" s="471"/>
      <c r="V354" s="165"/>
      <c r="W354" s="446" t="s">
        <v>25</v>
      </c>
      <c r="X354" s="456" t="s">
        <v>384</v>
      </c>
      <c r="Y354" s="436" t="s">
        <v>25</v>
      </c>
      <c r="Z354" s="437"/>
      <c r="AA354" s="560" t="s">
        <v>320</v>
      </c>
      <c r="AB354" s="561"/>
      <c r="AC354" s="87"/>
      <c r="AD354" s="466" t="s">
        <v>289</v>
      </c>
      <c r="AE354" s="456" t="s">
        <v>25</v>
      </c>
      <c r="AF354" s="467"/>
      <c r="AG354" s="87"/>
      <c r="AH354" s="87"/>
      <c r="AI354" s="87"/>
    </row>
    <row r="355" spans="1:35">
      <c r="A355" s="80" t="e">
        <f>"C"&amp;E349</f>
        <v>#N/A</v>
      </c>
      <c r="B355" s="88">
        <v>3</v>
      </c>
      <c r="C355" s="567"/>
      <c r="D355" s="82"/>
      <c r="E355" s="567"/>
      <c r="F355" s="82"/>
      <c r="G355" s="83"/>
      <c r="H355" s="83"/>
      <c r="I355" s="84"/>
      <c r="J355" s="85"/>
      <c r="K355" s="382"/>
      <c r="L355" s="85"/>
      <c r="M355" s="332"/>
      <c r="N355" s="86">
        <v>40.47</v>
      </c>
      <c r="O355" s="453" t="str">
        <f t="shared" si="92"/>
        <v/>
      </c>
      <c r="P355" s="538" t="str">
        <f t="shared" si="93"/>
        <v/>
      </c>
      <c r="Q355" s="539" t="str">
        <f t="shared" si="91"/>
        <v/>
      </c>
      <c r="R355" s="706"/>
      <c r="S355" s="707"/>
      <c r="T355" s="708"/>
      <c r="U355" s="472"/>
      <c r="V355" s="166"/>
      <c r="W355" s="446" t="s">
        <v>25</v>
      </c>
      <c r="X355" s="456" t="s">
        <v>385</v>
      </c>
      <c r="Y355" s="436" t="s">
        <v>25</v>
      </c>
      <c r="Z355" s="437"/>
      <c r="AA355" s="560" t="s">
        <v>318</v>
      </c>
      <c r="AB355" s="561" t="s">
        <v>294</v>
      </c>
      <c r="AC355" s="87"/>
      <c r="AD355" s="466" t="s">
        <v>289</v>
      </c>
      <c r="AE355" s="456" t="s">
        <v>25</v>
      </c>
      <c r="AF355" s="467" t="s">
        <v>25</v>
      </c>
      <c r="AG355" s="87"/>
      <c r="AH355" s="87"/>
      <c r="AI355" s="87"/>
    </row>
    <row r="356" spans="1:35">
      <c r="A356" s="80" t="e">
        <f>"D"&amp;E349</f>
        <v>#N/A</v>
      </c>
      <c r="B356" s="105">
        <v>4</v>
      </c>
      <c r="C356" s="570"/>
      <c r="D356" s="107"/>
      <c r="E356" s="573"/>
      <c r="F356" s="107"/>
      <c r="G356" s="83"/>
      <c r="H356" s="83"/>
      <c r="I356" s="84"/>
      <c r="J356" s="85"/>
      <c r="K356" s="382"/>
      <c r="L356" s="85"/>
      <c r="M356" s="332"/>
      <c r="N356" s="86">
        <v>161.30000000000001</v>
      </c>
      <c r="O356" s="453" t="str">
        <f t="shared" si="92"/>
        <v/>
      </c>
      <c r="P356" s="538" t="str">
        <f t="shared" si="93"/>
        <v/>
      </c>
      <c r="Q356" s="539" t="str">
        <f t="shared" si="91"/>
        <v/>
      </c>
      <c r="R356" s="706"/>
      <c r="S356" s="707"/>
      <c r="T356" s="708"/>
      <c r="U356" s="472"/>
      <c r="V356" s="166"/>
      <c r="W356" s="446" t="s">
        <v>25</v>
      </c>
      <c r="X356" s="456" t="s">
        <v>388</v>
      </c>
      <c r="Y356" s="436" t="s">
        <v>25</v>
      </c>
      <c r="Z356" s="437"/>
      <c r="AA356" s="560" t="s">
        <v>317</v>
      </c>
      <c r="AB356" s="561" t="s">
        <v>294</v>
      </c>
      <c r="AC356" s="87"/>
      <c r="AD356" s="466" t="s">
        <v>289</v>
      </c>
      <c r="AE356" s="456" t="s">
        <v>25</v>
      </c>
      <c r="AF356" s="467" t="s">
        <v>25</v>
      </c>
      <c r="AG356" s="87"/>
      <c r="AH356" s="87"/>
      <c r="AI356" s="87"/>
    </row>
    <row r="357" spans="1:35" ht="51">
      <c r="A357" s="80" t="e">
        <f>"E"&amp;E349</f>
        <v>#N/A</v>
      </c>
      <c r="B357" s="105">
        <v>5</v>
      </c>
      <c r="C357" s="570"/>
      <c r="D357" s="107"/>
      <c r="E357" s="576"/>
      <c r="F357" s="107"/>
      <c r="G357" s="83"/>
      <c r="H357" s="83"/>
      <c r="I357" s="84"/>
      <c r="J357" s="85"/>
      <c r="K357" s="382"/>
      <c r="L357" s="85"/>
      <c r="M357" s="332"/>
      <c r="N357" s="86">
        <v>13.11</v>
      </c>
      <c r="O357" s="453" t="str">
        <f t="shared" si="92"/>
        <v/>
      </c>
      <c r="P357" s="538" t="str">
        <f t="shared" si="93"/>
        <v/>
      </c>
      <c r="Q357" s="539" t="str">
        <f t="shared" si="91"/>
        <v/>
      </c>
      <c r="R357" s="706"/>
      <c r="S357" s="707"/>
      <c r="T357" s="708"/>
      <c r="U357" s="472" t="s">
        <v>389</v>
      </c>
      <c r="V357" s="167"/>
      <c r="W357" s="446" t="s">
        <v>25</v>
      </c>
      <c r="X357" s="456" t="s">
        <v>386</v>
      </c>
      <c r="Y357" s="436" t="s">
        <v>25</v>
      </c>
      <c r="Z357" s="437"/>
      <c r="AA357" s="560"/>
      <c r="AB357" s="561"/>
      <c r="AC357" s="87"/>
      <c r="AD357" s="466" t="s">
        <v>289</v>
      </c>
      <c r="AE357" s="456" t="s">
        <v>25</v>
      </c>
      <c r="AF357" s="467"/>
      <c r="AG357" s="87"/>
      <c r="AH357" s="87"/>
      <c r="AI357" s="87"/>
    </row>
    <row r="358" spans="1:35">
      <c r="A358" s="80" t="e">
        <f>"F"&amp;E349</f>
        <v>#N/A</v>
      </c>
      <c r="B358" s="105">
        <v>6</v>
      </c>
      <c r="C358" s="107"/>
      <c r="D358" s="107"/>
      <c r="E358" s="107"/>
      <c r="F358" s="107"/>
      <c r="G358" s="83"/>
      <c r="H358" s="83"/>
      <c r="I358" s="84"/>
      <c r="J358" s="85"/>
      <c r="K358" s="382"/>
      <c r="L358" s="85"/>
      <c r="M358" s="332"/>
      <c r="N358" s="86"/>
      <c r="O358" s="453" t="str">
        <f t="shared" si="92"/>
        <v/>
      </c>
      <c r="P358" s="538" t="str">
        <f t="shared" si="93"/>
        <v/>
      </c>
      <c r="Q358" s="539" t="str">
        <f t="shared" si="91"/>
        <v/>
      </c>
      <c r="R358" s="706"/>
      <c r="S358" s="707"/>
      <c r="T358" s="708"/>
      <c r="U358" s="472"/>
      <c r="V358" s="167"/>
      <c r="W358" s="446"/>
      <c r="X358" s="456"/>
      <c r="Y358" s="436"/>
      <c r="Z358" s="437"/>
      <c r="AA358" s="560"/>
      <c r="AB358" s="561"/>
      <c r="AC358" s="87"/>
      <c r="AD358" s="466"/>
      <c r="AE358" s="456"/>
      <c r="AF358" s="467"/>
      <c r="AG358" s="87"/>
      <c r="AH358" s="87"/>
      <c r="AI358" s="87"/>
    </row>
    <row r="359" spans="1:35">
      <c r="A359" s="80" t="e">
        <f>"G"&amp;E349</f>
        <v>#N/A</v>
      </c>
      <c r="B359" s="105">
        <v>7</v>
      </c>
      <c r="C359" s="107"/>
      <c r="D359" s="107"/>
      <c r="E359" s="107"/>
      <c r="F359" s="107"/>
      <c r="G359" s="83"/>
      <c r="H359" s="83"/>
      <c r="I359" s="84"/>
      <c r="J359" s="85"/>
      <c r="K359" s="382"/>
      <c r="L359" s="85"/>
      <c r="M359" s="332"/>
      <c r="N359" s="86"/>
      <c r="O359" s="86" t="str">
        <f t="shared" si="92"/>
        <v/>
      </c>
      <c r="P359" s="538" t="str">
        <f t="shared" si="93"/>
        <v/>
      </c>
      <c r="Q359" s="539" t="str">
        <f t="shared" si="91"/>
        <v/>
      </c>
      <c r="R359" s="706"/>
      <c r="S359" s="707"/>
      <c r="T359" s="708"/>
      <c r="U359" s="472"/>
      <c r="V359" s="167"/>
      <c r="W359" s="446"/>
      <c r="X359" s="456"/>
      <c r="Y359" s="436"/>
      <c r="Z359" s="437"/>
      <c r="AA359" s="560"/>
      <c r="AB359" s="561"/>
      <c r="AC359" s="87"/>
      <c r="AD359" s="466"/>
      <c r="AE359" s="456"/>
      <c r="AF359" s="467"/>
      <c r="AG359" s="87"/>
      <c r="AH359" s="87"/>
      <c r="AI359" s="87"/>
    </row>
    <row r="360" spans="1:35">
      <c r="A360" s="80" t="e">
        <f>"H"&amp;E349</f>
        <v>#N/A</v>
      </c>
      <c r="B360" s="105">
        <v>8</v>
      </c>
      <c r="C360" s="107"/>
      <c r="D360" s="107"/>
      <c r="E360" s="107"/>
      <c r="F360" s="107"/>
      <c r="G360" s="83"/>
      <c r="H360" s="83"/>
      <c r="I360" s="84"/>
      <c r="J360" s="85"/>
      <c r="K360" s="382"/>
      <c r="L360" s="85"/>
      <c r="M360" s="332"/>
      <c r="N360" s="453"/>
      <c r="O360" s="86" t="str">
        <f t="shared" si="92"/>
        <v/>
      </c>
      <c r="P360" s="538" t="str">
        <f t="shared" si="93"/>
        <v/>
      </c>
      <c r="Q360" s="539" t="str">
        <f t="shared" si="91"/>
        <v/>
      </c>
      <c r="R360" s="706"/>
      <c r="S360" s="707"/>
      <c r="T360" s="708"/>
      <c r="U360" s="472"/>
      <c r="V360" s="167"/>
      <c r="W360" s="446"/>
      <c r="X360" s="456"/>
      <c r="Y360" s="436"/>
      <c r="Z360" s="437"/>
      <c r="AA360" s="560"/>
      <c r="AB360" s="561"/>
      <c r="AC360" s="87"/>
      <c r="AD360" s="466"/>
      <c r="AE360" s="456"/>
      <c r="AF360" s="467"/>
      <c r="AG360" s="87"/>
      <c r="AH360" s="87"/>
      <c r="AI360" s="87"/>
    </row>
    <row r="361" spans="1:35">
      <c r="A361" s="80" t="e">
        <f>"I"&amp;E349</f>
        <v>#N/A</v>
      </c>
      <c r="B361" s="105">
        <v>9</v>
      </c>
      <c r="C361" s="107"/>
      <c r="D361" s="107"/>
      <c r="E361" s="107"/>
      <c r="F361" s="107"/>
      <c r="G361" s="83"/>
      <c r="H361" s="83"/>
      <c r="I361" s="84"/>
      <c r="J361" s="85"/>
      <c r="K361" s="382"/>
      <c r="L361" s="85"/>
      <c r="M361" s="332" t="str">
        <f>IF(OR(J361="",L361="",H361="NO"),"",IF(OR(J361&gt;$P$17,J361&lt;$O$17,L361&gt;$P$17,AND(J361&lt;$O$17,L361&lt;$O$17)),"FUERA DE RANGO",IF(OR(K361="---",K361=""),IF(J361&gt;=$O$17,ROUND((L361-J361+1)/360*12,3),ROUND((L361-$O$17+1)/360*12,3)),IF(J361&gt;=$O$17,ROUND((L361-J361+1)/360*12-ROUND(K361,3),3),ROUND((L361-$O$17+1)/360*12-ROUND(K361,3),3)))))</f>
        <v/>
      </c>
      <c r="N361" s="453"/>
      <c r="O361" s="86" t="str">
        <f t="shared" si="92"/>
        <v/>
      </c>
      <c r="P361" s="538" t="str">
        <f t="shared" si="93"/>
        <v/>
      </c>
      <c r="Q361" s="539" t="str">
        <f t="shared" si="91"/>
        <v/>
      </c>
      <c r="R361" s="706"/>
      <c r="S361" s="707"/>
      <c r="T361" s="708"/>
      <c r="U361" s="472"/>
      <c r="V361" s="167"/>
      <c r="W361" s="446"/>
      <c r="X361" s="456"/>
      <c r="Y361" s="436"/>
      <c r="Z361" s="437"/>
      <c r="AA361" s="560"/>
      <c r="AB361" s="561"/>
      <c r="AC361" s="87"/>
      <c r="AD361" s="466"/>
      <c r="AE361" s="456"/>
      <c r="AF361" s="467"/>
      <c r="AG361" s="87"/>
      <c r="AH361" s="87"/>
      <c r="AI361" s="87"/>
    </row>
    <row r="362" spans="1:35">
      <c r="A362" s="80" t="e">
        <f>"J"&amp;E349</f>
        <v>#N/A</v>
      </c>
      <c r="B362" s="105">
        <v>10</v>
      </c>
      <c r="C362" s="107"/>
      <c r="D362" s="107"/>
      <c r="E362" s="107"/>
      <c r="F362" s="107"/>
      <c r="G362" s="83"/>
      <c r="H362" s="83"/>
      <c r="I362" s="84"/>
      <c r="J362" s="85"/>
      <c r="K362" s="382"/>
      <c r="L362" s="85"/>
      <c r="M362" s="332" t="str">
        <f>IF(OR(J362="",L362="",H362="NO"),"",IF(OR(J362&gt;$P$17,J362&lt;$O$17,L362&gt;$P$17,AND(J362&lt;$O$17,L362&lt;$O$17)),"FUERA DE RANGO",IF(OR(K362="---",K362=""),IF(J362&gt;=$O$17,ROUND((L362-J362+1)/360*12,3),ROUND((L362-$O$17+1)/360*12,3)),IF(J362&gt;=$O$17,ROUND((L362-J362+1)/360*12-ROUND(K362,3),3),ROUND((L362-$O$17+1)/360*12-ROUND(K362,3),3)))))</f>
        <v/>
      </c>
      <c r="N362" s="453"/>
      <c r="O362" s="86" t="str">
        <f t="shared" si="92"/>
        <v/>
      </c>
      <c r="P362" s="538" t="str">
        <f t="shared" si="93"/>
        <v/>
      </c>
      <c r="Q362" s="539" t="str">
        <f t="shared" si="91"/>
        <v/>
      </c>
      <c r="R362" s="706"/>
      <c r="S362" s="707"/>
      <c r="T362" s="708"/>
      <c r="U362" s="472"/>
      <c r="V362" s="167"/>
      <c r="W362" s="446"/>
      <c r="X362" s="456"/>
      <c r="Y362" s="436"/>
      <c r="Z362" s="437"/>
      <c r="AA362" s="560"/>
      <c r="AB362" s="561"/>
      <c r="AC362" s="87"/>
      <c r="AD362" s="466"/>
      <c r="AE362" s="456"/>
      <c r="AF362" s="467"/>
      <c r="AG362" s="87"/>
      <c r="AH362" s="87"/>
      <c r="AI362" s="87"/>
    </row>
    <row r="363" spans="1:35" ht="16.5" thickBot="1">
      <c r="A363" s="44"/>
      <c r="B363" s="89"/>
      <c r="C363" s="90"/>
      <c r="D363" s="90"/>
      <c r="E363" s="90"/>
      <c r="F363" s="90"/>
      <c r="G363" s="90"/>
      <c r="H363" s="90"/>
      <c r="I363" s="90"/>
      <c r="J363" s="90"/>
      <c r="K363" s="90"/>
      <c r="L363" s="90"/>
      <c r="M363" s="90"/>
      <c r="N363" s="90"/>
      <c r="O363" s="90"/>
      <c r="P363" s="90"/>
      <c r="Q363" s="90"/>
      <c r="R363" s="90"/>
      <c r="S363" s="91"/>
      <c r="T363" s="92"/>
      <c r="U363" s="473"/>
      <c r="W363" s="438"/>
      <c r="X363" s="455"/>
      <c r="Y363" s="439"/>
      <c r="Z363" s="437"/>
      <c r="AA363" s="530"/>
      <c r="AB363" s="563"/>
      <c r="AC363" s="87"/>
      <c r="AD363" s="440"/>
      <c r="AE363" s="441"/>
      <c r="AF363" s="442"/>
      <c r="AG363" s="49"/>
      <c r="AH363" s="87"/>
      <c r="AI363" s="87"/>
    </row>
    <row r="364" spans="1:35" ht="16.5" thickBot="1">
      <c r="A364" s="93"/>
      <c r="B364" s="94"/>
      <c r="C364" s="96"/>
      <c r="D364" s="96"/>
      <c r="E364" s="96"/>
      <c r="F364" s="96"/>
      <c r="G364" s="96"/>
      <c r="H364" s="96"/>
      <c r="I364" s="96"/>
      <c r="J364" s="96"/>
      <c r="K364" s="96"/>
      <c r="L364" s="96"/>
      <c r="M364" s="136"/>
      <c r="N364" s="96"/>
      <c r="O364" s="96"/>
      <c r="P364" s="97"/>
      <c r="Q364" s="97"/>
      <c r="R364" s="98"/>
      <c r="S364" s="95"/>
      <c r="T364" s="99"/>
      <c r="U364" s="469"/>
      <c r="AC364" s="58"/>
      <c r="AG364" s="58"/>
      <c r="AH364" s="87"/>
      <c r="AI364" s="87"/>
    </row>
    <row r="365" spans="1:35" ht="16.5" thickBot="1">
      <c r="B365" s="101"/>
      <c r="C365" s="101"/>
      <c r="D365" s="101"/>
      <c r="E365" s="101"/>
      <c r="F365" s="101"/>
      <c r="G365" s="101"/>
      <c r="H365" s="101"/>
      <c r="I365" s="101"/>
      <c r="J365" s="101"/>
      <c r="K365" s="101"/>
      <c r="L365" s="101"/>
      <c r="M365" s="101"/>
      <c r="N365" s="101"/>
      <c r="O365" s="101"/>
      <c r="P365" s="101"/>
      <c r="Q365" s="101"/>
      <c r="R365" s="101"/>
      <c r="S365" s="101"/>
      <c r="U365" s="50"/>
      <c r="AH365" s="87"/>
      <c r="AI365" s="87"/>
    </row>
    <row r="366" spans="1:35" ht="16.5" customHeight="1" thickBot="1">
      <c r="A366" s="44"/>
      <c r="B366" s="705" t="s">
        <v>74</v>
      </c>
      <c r="C366" s="705"/>
      <c r="D366" s="705"/>
      <c r="E366" s="705"/>
      <c r="F366" s="705"/>
      <c r="G366" s="705"/>
      <c r="H366" s="705"/>
      <c r="I366" s="705"/>
      <c r="J366" s="705"/>
      <c r="K366" s="705"/>
      <c r="L366" s="705"/>
      <c r="M366" s="705"/>
      <c r="N366" s="705"/>
      <c r="O366" s="705"/>
      <c r="P366" s="705"/>
      <c r="Q366" s="705"/>
      <c r="R366" s="705"/>
      <c r="S366" s="705"/>
      <c r="T366" s="705"/>
      <c r="U366" s="108"/>
      <c r="Y366" s="532" t="s">
        <v>341</v>
      </c>
      <c r="AC366" s="49"/>
      <c r="AD366" s="687" t="s">
        <v>302</v>
      </c>
      <c r="AE366" s="688"/>
      <c r="AF366" s="689"/>
      <c r="AG366" s="49"/>
      <c r="AH366" s="87"/>
      <c r="AI366" s="87"/>
    </row>
    <row r="367" spans="1:35" ht="15.75" customHeight="1" thickBot="1">
      <c r="A367" s="218" t="e">
        <f>"K"&amp;E349</f>
        <v>#N/A</v>
      </c>
      <c r="B367" s="701" t="s">
        <v>71</v>
      </c>
      <c r="C367" s="751" t="s">
        <v>102</v>
      </c>
      <c r="D367" s="751"/>
      <c r="E367" s="751"/>
      <c r="F367" s="751"/>
      <c r="G367" s="751"/>
      <c r="H367" s="751"/>
      <c r="I367" s="751"/>
      <c r="J367" s="751"/>
      <c r="K367" s="751"/>
      <c r="L367" s="722" t="s">
        <v>100</v>
      </c>
      <c r="M367" s="747" t="s">
        <v>114</v>
      </c>
      <c r="N367" s="747"/>
      <c r="O367" s="747"/>
      <c r="P367" s="747"/>
      <c r="Q367" s="748"/>
      <c r="R367" s="758" t="s">
        <v>280</v>
      </c>
      <c r="S367" s="748"/>
      <c r="T367" s="762" t="str">
        <f>IF(COUNTIF(AE367:AF367,"VERIFICAR")&gt;0,"VERIFICAR",IF(COUNTIF(AE367:AF367,"NO CUMPLE")&gt;0,"NO CUMPLE","CUMPLE"))</f>
        <v>CUMPLE</v>
      </c>
      <c r="U367" s="108"/>
      <c r="Y367" s="533" t="e">
        <f>IF(F368="","",IF(F368=1,"INDIVIDUAL","ESTRUCTURA PLURAL"))</f>
        <v>#N/A</v>
      </c>
      <c r="AC367" s="52"/>
      <c r="AD367" s="475" t="s">
        <v>303</v>
      </c>
      <c r="AE367" s="476" t="str">
        <f>IF(COUNTIF(AE353:AE362,"")=10,"VERIFICAR",IF(COUNTIF(AE353:AE362,"SI")&gt;0,"CUMPLE","NO CUMPLE"))</f>
        <v>CUMPLE</v>
      </c>
      <c r="AF367" s="477" t="str">
        <f>IF(COUNTIF(AF353:AF362,"")=10,"VERIFICAR",IF(COUNTIF(AF353:AF362,"SI")&gt;=$AI$22,"CUMPLE","NO CUMPLE"))</f>
        <v>CUMPLE</v>
      </c>
      <c r="AG367" s="52"/>
      <c r="AH367" s="87"/>
      <c r="AI367" s="87"/>
    </row>
    <row r="368" spans="1:35" ht="16.5" customHeight="1" thickBot="1">
      <c r="A368" s="218" t="e">
        <f>"L"&amp;E349</f>
        <v>#N/A</v>
      </c>
      <c r="B368" s="702"/>
      <c r="C368" s="751" t="s">
        <v>103</v>
      </c>
      <c r="D368" s="751"/>
      <c r="E368" s="752"/>
      <c r="F368" s="557" t="e">
        <f>IF(VLOOKUP(E349,PROPONENTES!$C$19:$E$218,3,0)="","",VLOOKUP(E349,PROPONENTES!$C$19:$E$218,3,0))</f>
        <v>#N/A</v>
      </c>
      <c r="G368" s="753" t="s">
        <v>104</v>
      </c>
      <c r="H368" s="751"/>
      <c r="I368" s="715" t="e">
        <f>IF(OR(F368="",F368=1),"INTERESADO PERSONA NATURAL O JURIDICA","CONSORCIO O UNION TEMPORAL")</f>
        <v>#N/A</v>
      </c>
      <c r="J368" s="725"/>
      <c r="K368" s="728"/>
      <c r="L368" s="723"/>
      <c r="M368" s="749"/>
      <c r="N368" s="749"/>
      <c r="O368" s="749"/>
      <c r="P368" s="749"/>
      <c r="Q368" s="750"/>
      <c r="R368" s="712"/>
      <c r="S368" s="750"/>
      <c r="T368" s="763"/>
      <c r="U368" s="108"/>
      <c r="Y368" s="534"/>
      <c r="AA368" s="52"/>
      <c r="AB368" s="52"/>
      <c r="AC368" s="52"/>
      <c r="AG368" s="52"/>
      <c r="AH368" s="87"/>
      <c r="AI368" s="87"/>
    </row>
    <row r="369" spans="1:35" ht="56.25" customHeight="1" thickBot="1">
      <c r="A369" s="218" t="e">
        <f>"M"&amp;E349</f>
        <v>#N/A</v>
      </c>
      <c r="B369" s="702"/>
      <c r="C369" s="725" t="s">
        <v>101</v>
      </c>
      <c r="D369" s="716"/>
      <c r="E369" s="558" t="s">
        <v>105</v>
      </c>
      <c r="F369" s="554" t="s">
        <v>87</v>
      </c>
      <c r="G369" s="553" t="s">
        <v>86</v>
      </c>
      <c r="H369" s="559" t="s">
        <v>85</v>
      </c>
      <c r="I369" s="554" t="s">
        <v>252</v>
      </c>
      <c r="J369" s="553" t="str">
        <f>"¿EL INTEGRANTE TIENE UNA PARTICIPACIÓN DEL "&amp;PORCREQUERIDOINT*100&amp;"%?"</f>
        <v>¿EL INTEGRANTE TIENE UNA PARTICIPACIÓN DEL 60%?</v>
      </c>
      <c r="K369" s="554" t="s">
        <v>107</v>
      </c>
      <c r="L369" s="724"/>
      <c r="M369" s="717" t="s">
        <v>115</v>
      </c>
      <c r="N369" s="718"/>
      <c r="O369" s="718"/>
      <c r="P369" s="718"/>
      <c r="Q369" s="223">
        <f>IF(AND(H353="SI",P353&gt;=0),1,0)+IF(AND(H354="SI",P354&gt;=0),1,0)+IF(AND(H355="SI",P355&gt;=0),1,0)+IF(AND(H356="SI",P356&gt;=0),1,0)+IF(AND(H357="SI",P357&gt;=0),1,0)+IF(AND(H358="SI",P358&gt;=0),1,0)+IF(AND(H359="SI",P359&gt;=0),1,0)+IF(AND(H360="SI",P360&gt;=0),1,0)+IF(AND(H361="SI",P361&gt;=0),1,0)+IF(AND(H362="SI",P362&gt;=0),1,0)</f>
        <v>0</v>
      </c>
      <c r="R369" s="759"/>
      <c r="S369" s="761"/>
      <c r="T369" s="764"/>
      <c r="U369" s="219"/>
      <c r="V369" s="464"/>
      <c r="Y369" s="532" t="s">
        <v>342</v>
      </c>
      <c r="AA369" s="550" t="s">
        <v>344</v>
      </c>
      <c r="AB369" s="693" t="s">
        <v>345</v>
      </c>
      <c r="AC369" s="693" t="s">
        <v>346</v>
      </c>
      <c r="AD369" s="685" t="s">
        <v>347</v>
      </c>
      <c r="AE369" s="52"/>
      <c r="AF369" s="52"/>
      <c r="AG369" s="52"/>
      <c r="AH369" s="87"/>
      <c r="AI369" s="87"/>
    </row>
    <row r="370" spans="1:35" ht="40.5" customHeight="1" thickBot="1">
      <c r="A370" s="218" t="e">
        <f>"N"&amp;E349</f>
        <v>#N/A</v>
      </c>
      <c r="B370" s="702"/>
      <c r="C370" s="114">
        <v>1</v>
      </c>
      <c r="D370" s="194" t="e">
        <f>IF(AND(C370&lt;=F368,F368&gt;1,F368&lt;&gt;""),VLOOKUP(VALUE(E349&amp;","&amp;C370),INTEGRANTES!$D$18:$F$235,2,0),"")</f>
        <v>#N/A</v>
      </c>
      <c r="E370" s="211" t="e">
        <f>IF(D370&lt;&gt;"",VLOOKUP(VALUE(E349&amp;","&amp;C370),INTEGRANTES!$D$18:$F$235,3,0),"")</f>
        <v>#N/A</v>
      </c>
      <c r="F370" s="547" t="e">
        <f>IF(D370="","",SUMIF($I353:$I362,D370,$P353:$P362))</f>
        <v>#N/A</v>
      </c>
      <c r="G370" s="333" t="e">
        <f>IF(D370="","",SUMIF($I353:$I362,D370,$M353:$M362))</f>
        <v>#N/A</v>
      </c>
      <c r="H370" s="535" t="e">
        <f t="shared" ref="H370:H375" si="94">IF(D370="","",IF(OR(F370=0,G370=0),"NO APORTA",ROUND($F370/$G370,3)))</f>
        <v>#N/A</v>
      </c>
      <c r="I370" s="212" t="e">
        <f>IF(D370="","",IF(H370="NO APORTA","NO",IF(H370=MAX($H370:$H375),"SI","NO")))</f>
        <v>#N/A</v>
      </c>
      <c r="J370" s="213" t="e">
        <f t="shared" ref="J370:J375" si="95">IF(D370="","",IF(E370&gt;=PORCREQUERIDOINT,"SI","NO"))</f>
        <v>#N/A</v>
      </c>
      <c r="K370" s="200" t="e">
        <f t="shared" ref="K370:K375" si="96">IF(D370="","",IF(AND(I370="SI",J370="SI"),"CUMPLE",IF(AND(I370="NO",OR(J370="SI",J370="NO")),"","NO CUMPLE")))</f>
        <v>#N/A</v>
      </c>
      <c r="L370" s="722" t="s">
        <v>108</v>
      </c>
      <c r="M370" s="726" t="s">
        <v>119</v>
      </c>
      <c r="N370" s="726"/>
      <c r="O370" s="726"/>
      <c r="P370" s="726"/>
      <c r="Q370" s="727"/>
      <c r="R370" s="758" t="s">
        <v>80</v>
      </c>
      <c r="S370" s="747"/>
      <c r="T370" s="748"/>
      <c r="U370" s="219"/>
      <c r="V370" s="464"/>
      <c r="Y370" s="533" t="e">
        <f>IF(Y367="","",IF(Y367="INDIVIDUAL","NO APLICA","VERIFICAR CUADRO"))</f>
        <v>#N/A</v>
      </c>
      <c r="AA370" s="551"/>
      <c r="AB370" s="694"/>
      <c r="AC370" s="694"/>
      <c r="AD370" s="686"/>
      <c r="AE370" s="52"/>
      <c r="AF370" s="52"/>
      <c r="AG370" s="52"/>
      <c r="AH370" s="87"/>
      <c r="AI370" s="87"/>
    </row>
    <row r="371" spans="1:35" ht="39" customHeight="1" thickBot="1">
      <c r="A371" s="218" t="e">
        <f>"O"&amp;E349</f>
        <v>#N/A</v>
      </c>
      <c r="B371" s="702"/>
      <c r="C371" s="114">
        <v>2</v>
      </c>
      <c r="D371" s="194" t="e">
        <f>IF(AND(C371&lt;=F368,F368&lt;&gt;""),VLOOKUP(VALUE(E349&amp;","&amp;C371),INTEGRANTES!$D$18:$F$235,2,0),"")</f>
        <v>#N/A</v>
      </c>
      <c r="E371" s="211" t="e">
        <f>IF(D371&lt;&gt;"",VLOOKUP(VALUE(E349&amp;","&amp;C371),INTEGRANTES!$D$18:$F$235,3,0),"")</f>
        <v>#N/A</v>
      </c>
      <c r="F371" s="547" t="e">
        <f>IF(D371="","",SUMIF($I353:$I362,D371,$P353:$P362))</f>
        <v>#N/A</v>
      </c>
      <c r="G371" s="333" t="e">
        <f>IF(D371="","",SUMIF($I353:$I362,D371,$M353:$M362))</f>
        <v>#N/A</v>
      </c>
      <c r="H371" s="535" t="e">
        <f t="shared" si="94"/>
        <v>#N/A</v>
      </c>
      <c r="I371" s="212" t="e">
        <f>IF(D371="","",IF(H371="NO APORTA","NO",IF(H371=MAX($H370:$H375),"SI","NO")))</f>
        <v>#N/A</v>
      </c>
      <c r="J371" s="213" t="e">
        <f t="shared" si="95"/>
        <v>#N/A</v>
      </c>
      <c r="K371" s="200" t="e">
        <f t="shared" si="96"/>
        <v>#N/A</v>
      </c>
      <c r="L371" s="723"/>
      <c r="M371" s="715" t="s">
        <v>116</v>
      </c>
      <c r="N371" s="716"/>
      <c r="O371" s="556" t="s">
        <v>113</v>
      </c>
      <c r="P371" s="715" t="s">
        <v>117</v>
      </c>
      <c r="Q371" s="728"/>
      <c r="R371" s="759"/>
      <c r="S371" s="760"/>
      <c r="T371" s="761"/>
      <c r="U371" s="219"/>
      <c r="V371" s="464"/>
      <c r="Y371" s="414"/>
      <c r="AA371" s="574" t="e">
        <f>IF(AND(C370&lt;=F368,F368&gt;1,F368&lt;&gt;""),VLOOKUP(VALUE(E349&amp;","&amp;C370),INTEGRANTES!$D$18:$F$235,2,0),"")</f>
        <v>#N/A</v>
      </c>
      <c r="AB371" s="544" t="e">
        <f t="shared" ref="AB371:AB376" si="97">IF(D370="","",IF(OR(F370=0,G370=0),"NO APORTA",ROUND($F370/$G370,3)))</f>
        <v>#N/A</v>
      </c>
      <c r="AC371" s="529"/>
      <c r="AD371" s="200" t="e">
        <f t="shared" ref="AD371:AD376" si="98">IF(OR(AA371="",AB371=""),"",IF(AND(AC371="X",AB371&gt;=EXPREQVTD),"CUMPLE","NO CUMPLE"))</f>
        <v>#N/A</v>
      </c>
      <c r="AE371" s="52"/>
      <c r="AF371" s="52"/>
      <c r="AG371" s="52"/>
      <c r="AH371" s="87"/>
      <c r="AI371" s="87"/>
    </row>
    <row r="372" spans="1:35" ht="16.5" thickBot="1">
      <c r="A372" s="218" t="e">
        <f>"P"&amp;E349</f>
        <v>#N/A</v>
      </c>
      <c r="B372" s="702"/>
      <c r="C372" s="114">
        <v>3</v>
      </c>
      <c r="D372" s="194" t="e">
        <f>IF(AND(C372&lt;=F368,F368&lt;&gt;""),VLOOKUP(VALUE(E349&amp;","&amp;C372),INTEGRANTES!$D$18:$F$235,2,0),"")</f>
        <v>#N/A</v>
      </c>
      <c r="E372" s="211" t="e">
        <f>IF(D372&lt;&gt;"",VLOOKUP(VALUE(E349&amp;","&amp;C372),INTEGRANTES!$D$18:$F$235,3,0),"")</f>
        <v>#N/A</v>
      </c>
      <c r="F372" s="547" t="e">
        <f>IF(D372="","",SUMIF($I353:$I362,D372,$P353:$P362))</f>
        <v>#N/A</v>
      </c>
      <c r="G372" s="333" t="e">
        <f>IF(D372="","",SUMIF($I353:$I362,D372,$M353:$M362))</f>
        <v>#N/A</v>
      </c>
      <c r="H372" s="535" t="e">
        <f t="shared" si="94"/>
        <v>#N/A</v>
      </c>
      <c r="I372" s="212" t="e">
        <f>IF(D372="","",IF(H372="NO APORTA","NO",IF(H372=MAX($H370:$H375),"SI","NO")))</f>
        <v>#N/A</v>
      </c>
      <c r="J372" s="213" t="e">
        <f t="shared" si="95"/>
        <v>#N/A</v>
      </c>
      <c r="K372" s="200" t="e">
        <f t="shared" si="96"/>
        <v>#N/A</v>
      </c>
      <c r="L372" s="724"/>
      <c r="M372" s="729">
        <f>NUMMOD</f>
        <v>1</v>
      </c>
      <c r="N372" s="730"/>
      <c r="O372" s="443">
        <f>IF(M372="","",VLOOKUP(M372,PRESUPUESTOS!$B$16:$H$16,5,FALSE))</f>
        <v>2</v>
      </c>
      <c r="P372" s="713">
        <f>IF(OR(COUNTIF(M353:M362,"")&gt;=10,Q369&lt;NUMMINCONT,OR(T367="NO CUMPLE",T367="VERIFICAR")),0,ROUND(AVERAGE(M353:M362),3))</f>
        <v>0</v>
      </c>
      <c r="Q372" s="714"/>
      <c r="R372" s="458"/>
      <c r="S372" s="459"/>
      <c r="T372" s="460"/>
      <c r="U372" s="219"/>
      <c r="V372" s="464"/>
      <c r="Y372" s="532" t="str">
        <f>"40% * ("&amp;PRESUPUESTOS!$H$13&amp;")"</f>
        <v>40% * (50% PFMO)</v>
      </c>
      <c r="AA372" s="540" t="e">
        <f>IF(AND(C371&lt;=F368,F368&lt;&gt;""),VLOOKUP(VALUE(E349&amp;","&amp;C371),INTEGRANTES!$D$18:$F$235,2,0),"")</f>
        <v>#N/A</v>
      </c>
      <c r="AB372" s="545" t="e">
        <f t="shared" si="97"/>
        <v>#N/A</v>
      </c>
      <c r="AC372" s="529"/>
      <c r="AD372" s="200" t="e">
        <f t="shared" si="98"/>
        <v>#N/A</v>
      </c>
      <c r="AE372" s="52"/>
      <c r="AF372" s="52"/>
      <c r="AG372" s="52"/>
      <c r="AH372" s="87"/>
      <c r="AI372" s="87"/>
    </row>
    <row r="373" spans="1:35" ht="15.75" customHeight="1" thickBot="1">
      <c r="A373" s="218" t="e">
        <f>"Q"&amp;E349</f>
        <v>#N/A</v>
      </c>
      <c r="B373" s="702"/>
      <c r="C373" s="114">
        <v>4</v>
      </c>
      <c r="D373" s="194" t="e">
        <f>IF(AND(C373&lt;=F368,F368&lt;&gt;""),VLOOKUP(VALUE(E349&amp;","&amp;C373),INTEGRANTES!$D$18:$F$235,2,0),"")</f>
        <v>#N/A</v>
      </c>
      <c r="E373" s="211" t="e">
        <f>IF(D373&lt;&gt;"",VLOOKUP(VALUE(E349&amp;","&amp;C373),INTEGRANTES!$D$18:$F$235,3,0),"")</f>
        <v>#N/A</v>
      </c>
      <c r="F373" s="547" t="e">
        <f>IF(D373="","",SUMIF($I353:$I362,D373,$P353:$P362))</f>
        <v>#N/A</v>
      </c>
      <c r="G373" s="333" t="e">
        <f>IF(D373="","",SUMIF($I353:$I362,D373,$M353:$M362))</f>
        <v>#N/A</v>
      </c>
      <c r="H373" s="535" t="e">
        <f t="shared" si="94"/>
        <v>#N/A</v>
      </c>
      <c r="I373" s="212" t="e">
        <f>IF(D373="","",IF(H373="NO APORTA","NO",IF(H373=MAX($H370:$H375),"SI","NO")))</f>
        <v>#N/A</v>
      </c>
      <c r="J373" s="213" t="e">
        <f t="shared" si="95"/>
        <v>#N/A</v>
      </c>
      <c r="K373" s="200" t="e">
        <f t="shared" si="96"/>
        <v>#N/A</v>
      </c>
      <c r="L373" s="720" t="s">
        <v>109</v>
      </c>
      <c r="M373" s="757" t="s">
        <v>120</v>
      </c>
      <c r="N373" s="726"/>
      <c r="O373" s="726"/>
      <c r="P373" s="726"/>
      <c r="Q373" s="727"/>
      <c r="R373" s="458"/>
      <c r="S373" s="459"/>
      <c r="T373" s="460"/>
      <c r="U373" s="219"/>
      <c r="V373" s="464"/>
      <c r="Y373" s="537">
        <f>0.4*PRESUPUESTOS!$H$16</f>
        <v>10.3124</v>
      </c>
      <c r="AA373" s="540" t="e">
        <f>IF(AND(C372&lt;=F368,F368&lt;&gt;""),VLOOKUP(VALUE(E349&amp;","&amp;C372),INTEGRANTES!$D$18:$F$235,2,0),"")</f>
        <v>#N/A</v>
      </c>
      <c r="AB373" s="545" t="e">
        <f t="shared" si="97"/>
        <v>#N/A</v>
      </c>
      <c r="AC373" s="529"/>
      <c r="AD373" s="200" t="e">
        <f t="shared" si="98"/>
        <v>#N/A</v>
      </c>
      <c r="AE373" s="52"/>
      <c r="AF373" s="52"/>
      <c r="AG373" s="52"/>
      <c r="AH373" s="87"/>
      <c r="AI373" s="87"/>
    </row>
    <row r="374" spans="1:35" ht="27" customHeight="1" thickBot="1">
      <c r="A374" s="218" t="e">
        <f>"R"&amp;E349</f>
        <v>#N/A</v>
      </c>
      <c r="B374" s="702"/>
      <c r="C374" s="114">
        <v>5</v>
      </c>
      <c r="D374" s="194" t="e">
        <f>IF(AND(C374&lt;=F368,F368&lt;&gt;""),VLOOKUP(VALUE(E349&amp;","&amp;C374),INTEGRANTES!$D$18:$F$235,2,0),"")</f>
        <v>#N/A</v>
      </c>
      <c r="E374" s="211" t="e">
        <f>IF(D374&lt;&gt;"",VLOOKUP(VALUE(E349&amp;","&amp;C374),INTEGRANTES!$D$18:$F$235,3,0),"")</f>
        <v>#N/A</v>
      </c>
      <c r="F374" s="547" t="e">
        <f>IF(D374="","",SUMIF($I353:$I362,D374,$P353:$P362))</f>
        <v>#N/A</v>
      </c>
      <c r="G374" s="333" t="e">
        <f>IF(D374="","",SUMIF($I353:$I362,D374,$M353:$M362))</f>
        <v>#N/A</v>
      </c>
      <c r="H374" s="535" t="e">
        <f t="shared" si="94"/>
        <v>#N/A</v>
      </c>
      <c r="I374" s="212" t="e">
        <f>IF(D374="","",IF(H374="NO APORTA","NO",IF(H374=MAX($H370:$H375),"SI","NO")))</f>
        <v>#N/A</v>
      </c>
      <c r="J374" s="213" t="e">
        <f t="shared" si="95"/>
        <v>#N/A</v>
      </c>
      <c r="K374" s="200" t="e">
        <f t="shared" si="96"/>
        <v>#N/A</v>
      </c>
      <c r="L374" s="721"/>
      <c r="M374" s="715" t="s">
        <v>116</v>
      </c>
      <c r="N374" s="716"/>
      <c r="O374" s="556" t="str">
        <f>PORCREQUERIDO*100&amp;"% PMFO DEL MÓDULO"</f>
        <v>50% PMFO DEL MÓDULO</v>
      </c>
      <c r="P374" s="715" t="s">
        <v>118</v>
      </c>
      <c r="Q374" s="728"/>
      <c r="R374" s="458"/>
      <c r="S374" s="459"/>
      <c r="T374" s="460"/>
      <c r="U374" s="219"/>
      <c r="V374" s="464"/>
      <c r="Y374" s="414"/>
      <c r="AA374" s="540" t="e">
        <f>IF(AND(C373&lt;=F368,F368&lt;&gt;""),VLOOKUP(VALUE(E349&amp;","&amp;C373),INTEGRANTES!$D$18:$F$235,2,0),"")</f>
        <v>#N/A</v>
      </c>
      <c r="AB374" s="545" t="e">
        <f t="shared" si="97"/>
        <v>#N/A</v>
      </c>
      <c r="AC374" s="529"/>
      <c r="AD374" s="200" t="e">
        <f t="shared" si="98"/>
        <v>#N/A</v>
      </c>
      <c r="AE374" s="52"/>
      <c r="AF374" s="52"/>
      <c r="AG374" s="52"/>
      <c r="AH374" s="87"/>
      <c r="AI374" s="87"/>
    </row>
    <row r="375" spans="1:35" ht="16.5" thickBot="1">
      <c r="A375" s="218" t="e">
        <f>"S"&amp;E349</f>
        <v>#N/A</v>
      </c>
      <c r="B375" s="702"/>
      <c r="C375" s="215">
        <v>6</v>
      </c>
      <c r="D375" s="216" t="e">
        <f>IF(AND(C375&lt;=F368,F368&lt;&gt;""),VLOOKUP(VALUE(E349&amp;","&amp;C375),INTEGRANTES!$D$18:$F$235,2,0),"")</f>
        <v>#N/A</v>
      </c>
      <c r="E375" s="217" t="e">
        <f>IF(D375&lt;&gt;"",VLOOKUP(VALUE(E349&amp;","&amp;C375),INTEGRANTES!$D$18:$F$235,3,0),"")</f>
        <v>#N/A</v>
      </c>
      <c r="F375" s="548" t="e">
        <f>IF(D375="","",SUMIF($I353:$I362,D375,$P353:$P362))</f>
        <v>#N/A</v>
      </c>
      <c r="G375" s="334" t="e">
        <f>IF(D375="","",SUMIF($I353:$I362,D375,$M353:$M362))</f>
        <v>#N/A</v>
      </c>
      <c r="H375" s="536" t="e">
        <f t="shared" si="94"/>
        <v>#N/A</v>
      </c>
      <c r="I375" s="214" t="e">
        <f>IF(D375="","",IF(H375="NO APORTA","NO",IF(H375=MAX($H370:$H375),"SI","NO")))</f>
        <v>#N/A</v>
      </c>
      <c r="J375" s="213" t="e">
        <f t="shared" si="95"/>
        <v>#N/A</v>
      </c>
      <c r="K375" s="200" t="e">
        <f t="shared" si="96"/>
        <v>#N/A</v>
      </c>
      <c r="L375" s="721"/>
      <c r="M375" s="729">
        <f>NUMMOD</f>
        <v>1</v>
      </c>
      <c r="N375" s="730"/>
      <c r="O375" s="443">
        <f>IF(M375="","",ROUND(VLOOKUP(M375,PRESUPUESTOS!$B$16:$H$16,7,FALSE),3))</f>
        <v>25.780999999999999</v>
      </c>
      <c r="P375" s="713">
        <f>IF(OR(COUNTIF(P353:P362,"")&gt;=10,Q369&lt;NUMMINCONT,OR(T367="NO CUMPLE",T367="VERIFICAR")),0,ROUND((SUM(P353:P362)/SUM(M353:M362)),3))</f>
        <v>0</v>
      </c>
      <c r="Q375" s="714"/>
      <c r="R375" s="458"/>
      <c r="S375" s="459"/>
      <c r="T375" s="460"/>
      <c r="U375" s="219"/>
      <c r="V375" s="464"/>
      <c r="Y375" s="532" t="s">
        <v>343</v>
      </c>
      <c r="AA375" s="540" t="e">
        <f>IF(AND(C374&lt;=F368,F368&lt;&gt;""),VLOOKUP(VALUE(E349&amp;","&amp;C374),INTEGRANTES!$D$18:$F$235,2,0),"")</f>
        <v>#N/A</v>
      </c>
      <c r="AB375" s="545" t="e">
        <f t="shared" si="97"/>
        <v>#N/A</v>
      </c>
      <c r="AC375" s="529"/>
      <c r="AD375" s="200" t="e">
        <f t="shared" si="98"/>
        <v>#N/A</v>
      </c>
      <c r="AE375" s="52"/>
      <c r="AF375" s="52"/>
      <c r="AG375" s="52"/>
      <c r="AH375" s="87"/>
      <c r="AI375" s="87"/>
    </row>
    <row r="376" spans="1:35" ht="16.5" customHeight="1" thickBot="1">
      <c r="A376" s="218" t="e">
        <f>"T"&amp;E349</f>
        <v>#N/A</v>
      </c>
      <c r="B376" s="703"/>
      <c r="C376" s="719"/>
      <c r="D376" s="719"/>
      <c r="E376" s="719"/>
      <c r="F376" s="719"/>
      <c r="G376" s="719"/>
      <c r="H376" s="719" t="s">
        <v>110</v>
      </c>
      <c r="I376" s="719"/>
      <c r="J376" s="719"/>
      <c r="K376" s="201" t="str">
        <f>IF(COUNTIF(K370:K375,"")=6,"",IF(COUNTIF(K370:K375,"CUMPLE")&gt;0,"CUMPLE","NO CUMPLE"))</f>
        <v>NO CUMPLE</v>
      </c>
      <c r="L376" s="754"/>
      <c r="M376" s="755"/>
      <c r="N376" s="755"/>
      <c r="O376" s="755"/>
      <c r="P376" s="755"/>
      <c r="Q376" s="756"/>
      <c r="R376" s="461"/>
      <c r="S376" s="462"/>
      <c r="T376" s="463"/>
      <c r="U376" s="219"/>
      <c r="V376" s="464"/>
      <c r="Y376" s="549" t="e">
        <f>IF(Y370="NO APLICA","NO APLICA",IF(COUNTIF(AD371:AD376,"CUMPLE")&gt;0,"CUMPLE","NO CUMPLE"))</f>
        <v>#N/A</v>
      </c>
      <c r="AA376" s="541" t="e">
        <f>IF(AND(C375&lt;=F368,F368&lt;&gt;""),VLOOKUP(VALUE(E349&amp;","&amp;C375),INTEGRANTES!$D$18:$F$235,2,0),"")</f>
        <v>#N/A</v>
      </c>
      <c r="AB376" s="546" t="e">
        <f t="shared" si="97"/>
        <v>#N/A</v>
      </c>
      <c r="AC376" s="543"/>
      <c r="AD376" s="201" t="e">
        <f t="shared" si="98"/>
        <v>#N/A</v>
      </c>
      <c r="AE376" s="52"/>
      <c r="AF376" s="52"/>
      <c r="AG376" s="52"/>
      <c r="AH376" s="87"/>
      <c r="AI376" s="87"/>
    </row>
    <row r="377" spans="1:35">
      <c r="AH377" s="87"/>
      <c r="AI377" s="87"/>
    </row>
    <row r="378" spans="1:35">
      <c r="AH378" s="87"/>
      <c r="AI378" s="87"/>
    </row>
    <row r="379" spans="1:35" ht="24" thickBot="1">
      <c r="A379" s="61">
        <v>13</v>
      </c>
      <c r="B379" s="704" t="s">
        <v>51</v>
      </c>
      <c r="C379" s="704"/>
      <c r="D379" s="704"/>
      <c r="E379" s="62" t="e">
        <f>VLOOKUP(A379,PROPONENTES!$B$19:$E$218,2,FALSE)</f>
        <v>#N/A</v>
      </c>
      <c r="F379" s="63" t="e">
        <f>VLOOKUP(A379,PROPONENTES!$B$19:$E$218,3,FALSE)</f>
        <v>#N/A</v>
      </c>
      <c r="G379" s="64"/>
      <c r="H379" s="64"/>
      <c r="I379" s="63"/>
      <c r="J379" s="63"/>
      <c r="K379" s="65"/>
      <c r="L379" s="65"/>
      <c r="M379" s="64"/>
      <c r="N379" s="64"/>
      <c r="O379" s="66"/>
      <c r="P379" s="66"/>
      <c r="Q379" s="66"/>
      <c r="R379" s="66"/>
      <c r="S379" s="67"/>
      <c r="T379" s="68"/>
      <c r="U379" s="68"/>
      <c r="AC379" s="68"/>
      <c r="AD379" s="68"/>
      <c r="AE379" s="68"/>
      <c r="AF379" s="68"/>
      <c r="AG379" s="68"/>
      <c r="AH379" s="87"/>
      <c r="AI379" s="87"/>
    </row>
    <row r="380" spans="1:35" ht="15.75" customHeight="1">
      <c r="A380" s="44"/>
      <c r="B380" s="709" t="s">
        <v>59</v>
      </c>
      <c r="C380" s="552" t="s">
        <v>60</v>
      </c>
      <c r="D380" s="70" t="s">
        <v>17</v>
      </c>
      <c r="E380" s="70"/>
      <c r="F380" s="70" t="s">
        <v>61</v>
      </c>
      <c r="G380" s="71"/>
      <c r="H380" s="699" t="s">
        <v>62</v>
      </c>
      <c r="I380" s="699" t="s">
        <v>18</v>
      </c>
      <c r="J380" s="699" t="s">
        <v>63</v>
      </c>
      <c r="K380" s="699" t="s">
        <v>64</v>
      </c>
      <c r="L380" s="699" t="s">
        <v>65</v>
      </c>
      <c r="M380" s="743" t="s">
        <v>66</v>
      </c>
      <c r="N380" s="699" t="s">
        <v>282</v>
      </c>
      <c r="O380" s="745" t="s">
        <v>67</v>
      </c>
      <c r="P380" s="746"/>
      <c r="Q380" s="102" t="s">
        <v>75</v>
      </c>
      <c r="R380" s="731" t="s">
        <v>22</v>
      </c>
      <c r="S380" s="732"/>
      <c r="T380" s="733"/>
      <c r="U380" s="712" t="s">
        <v>298</v>
      </c>
      <c r="W380" s="690" t="s">
        <v>268</v>
      </c>
      <c r="X380" s="691"/>
      <c r="Y380" s="692"/>
      <c r="Z380" s="428"/>
      <c r="AA380" s="697" t="s">
        <v>315</v>
      </c>
      <c r="AB380" s="695" t="s">
        <v>322</v>
      </c>
      <c r="AC380" s="49"/>
      <c r="AD380" s="690" t="s">
        <v>297</v>
      </c>
      <c r="AE380" s="691"/>
      <c r="AF380" s="692"/>
      <c r="AG380" s="49"/>
      <c r="AH380" s="87"/>
      <c r="AI380" s="87"/>
    </row>
    <row r="381" spans="1:35" ht="72">
      <c r="A381" s="44"/>
      <c r="B381" s="710"/>
      <c r="C381" s="553" t="s">
        <v>68</v>
      </c>
      <c r="D381" s="73" t="s">
        <v>3</v>
      </c>
      <c r="E381" s="73" t="s">
        <v>19</v>
      </c>
      <c r="F381" s="73" t="s">
        <v>69</v>
      </c>
      <c r="G381" s="74" t="s">
        <v>70</v>
      </c>
      <c r="H381" s="700"/>
      <c r="I381" s="700"/>
      <c r="J381" s="700"/>
      <c r="K381" s="700"/>
      <c r="L381" s="700"/>
      <c r="M381" s="744"/>
      <c r="N381" s="700"/>
      <c r="O381" s="553" t="s">
        <v>279</v>
      </c>
      <c r="P381" s="73" t="s">
        <v>88</v>
      </c>
      <c r="Q381" s="555" t="s">
        <v>76</v>
      </c>
      <c r="R381" s="734"/>
      <c r="S381" s="735"/>
      <c r="T381" s="736"/>
      <c r="U381" s="712"/>
      <c r="W381" s="429" t="s">
        <v>269</v>
      </c>
      <c r="X381" s="457" t="s">
        <v>278</v>
      </c>
      <c r="Y381" s="430" t="s">
        <v>365</v>
      </c>
      <c r="Z381" s="428"/>
      <c r="AA381" s="698"/>
      <c r="AB381" s="696"/>
      <c r="AC381" s="49"/>
      <c r="AD381" s="429" t="s">
        <v>292</v>
      </c>
      <c r="AE381" s="431" t="s">
        <v>300</v>
      </c>
      <c r="AF381" s="468" t="s">
        <v>301</v>
      </c>
      <c r="AG381" s="49"/>
      <c r="AH381" s="87"/>
      <c r="AI381" s="87"/>
    </row>
    <row r="382" spans="1:35">
      <c r="A382" s="44"/>
      <c r="B382" s="76"/>
      <c r="C382" s="77"/>
      <c r="D382" s="77"/>
      <c r="E382" s="77"/>
      <c r="F382" s="77"/>
      <c r="G382" s="77"/>
      <c r="H382" s="77"/>
      <c r="I382" s="77"/>
      <c r="J382" s="77"/>
      <c r="K382" s="77"/>
      <c r="L382" s="77"/>
      <c r="M382" s="77"/>
      <c r="N382" s="77"/>
      <c r="O382" s="77"/>
      <c r="P382" s="77"/>
      <c r="Q382" s="77"/>
      <c r="R382" s="77"/>
      <c r="S382" s="78"/>
      <c r="T382" s="79"/>
      <c r="U382" s="109"/>
      <c r="V382" s="49"/>
      <c r="W382" s="432"/>
      <c r="X382" s="454"/>
      <c r="Y382" s="433"/>
      <c r="Z382" s="6"/>
      <c r="AA382" s="500"/>
      <c r="AB382" s="562"/>
      <c r="AC382" s="49"/>
      <c r="AD382" s="210"/>
      <c r="AE382" s="434"/>
      <c r="AF382" s="435"/>
      <c r="AG382" s="49"/>
      <c r="AH382" s="87"/>
      <c r="AI382" s="87"/>
    </row>
    <row r="383" spans="1:35" ht="111" customHeight="1">
      <c r="A383" s="80" t="e">
        <f>"A"&amp;E379</f>
        <v>#N/A</v>
      </c>
      <c r="B383" s="81">
        <v>1</v>
      </c>
      <c r="C383" s="82"/>
      <c r="D383" s="577"/>
      <c r="E383" s="578"/>
      <c r="F383" s="577"/>
      <c r="G383" s="579"/>
      <c r="H383" s="83"/>
      <c r="I383" s="84"/>
      <c r="J383" s="85"/>
      <c r="K383" s="382"/>
      <c r="L383" s="85"/>
      <c r="M383" s="332"/>
      <c r="N383" s="86">
        <v>66.42</v>
      </c>
      <c r="O383" s="453" t="str">
        <f>IF(OR(G383="",N383=""),"",N383*G383)</f>
        <v/>
      </c>
      <c r="P383" s="538" t="str">
        <f>IF(OR(H383="",M383="FUERA DE RANGO"),"",IF(OR(L383&lt;$O$17,L383&gt;$P$17,L383="",H383="NO"),"",IF(OR(N383="",O383=""),"",ROUND(O383,3))))</f>
        <v/>
      </c>
      <c r="Q383" s="539" t="str">
        <f t="shared" ref="Q383:Q392" si="99">IF(AND(H383="SI",P383&lt;&gt;""),ROUND(P383/M383,3),"")</f>
        <v/>
      </c>
      <c r="R383" s="737"/>
      <c r="S383" s="738"/>
      <c r="T383" s="739"/>
      <c r="U383" s="470"/>
      <c r="V383" s="165"/>
      <c r="W383" s="446" t="s">
        <v>25</v>
      </c>
      <c r="X383" s="456" t="s">
        <v>390</v>
      </c>
      <c r="Y383" s="436" t="s">
        <v>25</v>
      </c>
      <c r="Z383" s="437"/>
      <c r="AA383" s="560" t="s">
        <v>317</v>
      </c>
      <c r="AB383" s="561" t="s">
        <v>294</v>
      </c>
      <c r="AC383" s="87"/>
      <c r="AD383" s="466" t="s">
        <v>289</v>
      </c>
      <c r="AE383" s="456" t="s">
        <v>25</v>
      </c>
      <c r="AF383" s="467" t="s">
        <v>25</v>
      </c>
      <c r="AG383" s="87"/>
      <c r="AH383" s="87"/>
      <c r="AI383" s="87"/>
    </row>
    <row r="384" spans="1:35">
      <c r="A384" s="80" t="e">
        <f>"B"&amp;E379</f>
        <v>#N/A</v>
      </c>
      <c r="B384" s="81">
        <v>2</v>
      </c>
      <c r="C384" s="82"/>
      <c r="D384" s="577"/>
      <c r="E384" s="580"/>
      <c r="F384" s="581"/>
      <c r="G384" s="579"/>
      <c r="H384" s="83"/>
      <c r="I384" s="84"/>
      <c r="J384" s="85"/>
      <c r="K384" s="382"/>
      <c r="L384" s="85"/>
      <c r="M384" s="332"/>
      <c r="N384" s="86">
        <v>64.400000000000006</v>
      </c>
      <c r="O384" s="453" t="str">
        <f t="shared" ref="O384:O392" si="100">IF(OR(G384="",N384=""),"",N384*G384)</f>
        <v/>
      </c>
      <c r="P384" s="538" t="str">
        <f t="shared" ref="P384:P392" si="101">IF(OR(H384="",M384="FUERA DE RANGO"),"",IF(OR(L384&lt;$O$17,L384&gt;$P$17,L384="",H384="NO"),"",IF(OR(N384="",O384=""),"",ROUND(O384,3))))</f>
        <v/>
      </c>
      <c r="Q384" s="539" t="str">
        <f t="shared" si="99"/>
        <v/>
      </c>
      <c r="R384" s="740"/>
      <c r="S384" s="741"/>
      <c r="T384" s="742"/>
      <c r="U384" s="471"/>
      <c r="V384" s="165"/>
      <c r="W384" s="446" t="s">
        <v>25</v>
      </c>
      <c r="X384" s="456" t="s">
        <v>391</v>
      </c>
      <c r="Y384" s="436" t="s">
        <v>25</v>
      </c>
      <c r="Z384" s="437"/>
      <c r="AA384" s="560" t="s">
        <v>317</v>
      </c>
      <c r="AB384" s="561" t="s">
        <v>294</v>
      </c>
      <c r="AC384" s="87"/>
      <c r="AD384" s="466" t="s">
        <v>289</v>
      </c>
      <c r="AE384" s="456" t="s">
        <v>25</v>
      </c>
      <c r="AF384" s="467"/>
      <c r="AG384" s="87"/>
      <c r="AH384" s="87"/>
      <c r="AI384" s="87"/>
    </row>
    <row r="385" spans="1:35">
      <c r="A385" s="80" t="e">
        <f>"C"&amp;E379</f>
        <v>#N/A</v>
      </c>
      <c r="B385" s="88">
        <v>3</v>
      </c>
      <c r="C385" s="82"/>
      <c r="D385" s="577"/>
      <c r="E385" s="580"/>
      <c r="F385" s="581"/>
      <c r="G385" s="579"/>
      <c r="H385" s="83"/>
      <c r="I385" s="84"/>
      <c r="J385" s="85"/>
      <c r="K385" s="382"/>
      <c r="L385" s="85"/>
      <c r="M385" s="332"/>
      <c r="N385" s="86">
        <v>83.63</v>
      </c>
      <c r="O385" s="453" t="str">
        <f t="shared" si="100"/>
        <v/>
      </c>
      <c r="P385" s="538" t="str">
        <f t="shared" si="101"/>
        <v/>
      </c>
      <c r="Q385" s="539" t="str">
        <f t="shared" si="99"/>
        <v/>
      </c>
      <c r="R385" s="706"/>
      <c r="S385" s="707"/>
      <c r="T385" s="708"/>
      <c r="U385" s="472"/>
      <c r="V385" s="166"/>
      <c r="W385" s="446" t="s">
        <v>25</v>
      </c>
      <c r="X385" s="456" t="s">
        <v>392</v>
      </c>
      <c r="Y385" s="436" t="s">
        <v>25</v>
      </c>
      <c r="Z385" s="437"/>
      <c r="AA385" s="560" t="s">
        <v>318</v>
      </c>
      <c r="AB385" s="561" t="s">
        <v>294</v>
      </c>
      <c r="AC385" s="87"/>
      <c r="AD385" s="466" t="s">
        <v>289</v>
      </c>
      <c r="AE385" s="456" t="s">
        <v>25</v>
      </c>
      <c r="AF385" s="467"/>
      <c r="AG385" s="87"/>
      <c r="AH385" s="87"/>
      <c r="AI385" s="87"/>
    </row>
    <row r="386" spans="1:35">
      <c r="A386" s="80" t="e">
        <f>"D"&amp;E379</f>
        <v>#N/A</v>
      </c>
      <c r="B386" s="105">
        <v>4</v>
      </c>
      <c r="C386" s="107"/>
      <c r="D386" s="577"/>
      <c r="E386" s="580"/>
      <c r="F386" s="581"/>
      <c r="G386" s="579"/>
      <c r="H386" s="83"/>
      <c r="I386" s="84"/>
      <c r="J386" s="85"/>
      <c r="K386" s="382"/>
      <c r="L386" s="85"/>
      <c r="M386" s="332"/>
      <c r="N386" s="86">
        <v>95.68</v>
      </c>
      <c r="O386" s="453" t="str">
        <f t="shared" si="100"/>
        <v/>
      </c>
      <c r="P386" s="538" t="str">
        <f t="shared" si="101"/>
        <v/>
      </c>
      <c r="Q386" s="539" t="str">
        <f t="shared" si="99"/>
        <v/>
      </c>
      <c r="R386" s="706"/>
      <c r="S386" s="707"/>
      <c r="T386" s="708"/>
      <c r="U386" s="472"/>
      <c r="V386" s="166"/>
      <c r="W386" s="446" t="s">
        <v>25</v>
      </c>
      <c r="X386" s="456" t="s">
        <v>393</v>
      </c>
      <c r="Y386" s="436" t="s">
        <v>25</v>
      </c>
      <c r="Z386" s="437"/>
      <c r="AA386" s="560" t="s">
        <v>317</v>
      </c>
      <c r="AB386" s="561" t="s">
        <v>294</v>
      </c>
      <c r="AC386" s="87"/>
      <c r="AD386" s="466" t="s">
        <v>289</v>
      </c>
      <c r="AE386" s="456" t="s">
        <v>25</v>
      </c>
      <c r="AF386" s="467"/>
      <c r="AG386" s="87"/>
      <c r="AH386" s="87"/>
      <c r="AI386" s="87"/>
    </row>
    <row r="387" spans="1:35">
      <c r="A387" s="80" t="e">
        <f>"E"&amp;E379</f>
        <v>#N/A</v>
      </c>
      <c r="B387" s="105">
        <v>5</v>
      </c>
      <c r="C387" s="107"/>
      <c r="D387" s="107"/>
      <c r="E387" s="107"/>
      <c r="F387" s="107"/>
      <c r="G387" s="83"/>
      <c r="H387" s="83"/>
      <c r="I387" s="84"/>
      <c r="J387" s="85"/>
      <c r="K387" s="382"/>
      <c r="L387" s="85"/>
      <c r="M387" s="332"/>
      <c r="N387" s="86"/>
      <c r="O387" s="453" t="str">
        <f t="shared" si="100"/>
        <v/>
      </c>
      <c r="P387" s="538" t="str">
        <f t="shared" si="101"/>
        <v/>
      </c>
      <c r="Q387" s="539" t="str">
        <f t="shared" si="99"/>
        <v/>
      </c>
      <c r="R387" s="706"/>
      <c r="S387" s="707"/>
      <c r="T387" s="708"/>
      <c r="U387" s="472"/>
      <c r="V387" s="167"/>
      <c r="W387" s="446"/>
      <c r="X387" s="456"/>
      <c r="Y387" s="436"/>
      <c r="Z387" s="437"/>
      <c r="AA387" s="560"/>
      <c r="AB387" s="561"/>
      <c r="AC387" s="87"/>
      <c r="AD387" s="466"/>
      <c r="AE387" s="456"/>
      <c r="AF387" s="467"/>
      <c r="AG387" s="87"/>
      <c r="AH387" s="87"/>
      <c r="AI387" s="87"/>
    </row>
    <row r="388" spans="1:35">
      <c r="A388" s="80" t="e">
        <f>"F"&amp;E379</f>
        <v>#N/A</v>
      </c>
      <c r="B388" s="105">
        <v>6</v>
      </c>
      <c r="C388" s="107"/>
      <c r="D388" s="107"/>
      <c r="E388" s="107"/>
      <c r="F388" s="107"/>
      <c r="G388" s="83"/>
      <c r="H388" s="83"/>
      <c r="I388" s="84"/>
      <c r="J388" s="85"/>
      <c r="K388" s="382"/>
      <c r="L388" s="85"/>
      <c r="M388" s="332" t="str">
        <f>IF(OR(J388="",L388="",H388="NO"),"",IF(OR(J388&gt;$P$17,J388&lt;$O$17,L388&gt;$P$17,AND(J388&lt;$O$17,L388&lt;$O$17)),"FUERA DE RANGO",IF(OR(K388="---",K388=""),IF(J388&gt;=$O$17,ROUND((L388-J388+1)/360*12,3),ROUND((L388-$O$17+1)/360*12,3)),IF(J388&gt;=$O$17,ROUND((L388-J388+1)/360*12-ROUND(K388,3),3),ROUND((L388-$O$17+1)/360*12-ROUND(K388,3),3)))))</f>
        <v/>
      </c>
      <c r="N388" s="86"/>
      <c r="O388" s="453" t="str">
        <f t="shared" si="100"/>
        <v/>
      </c>
      <c r="P388" s="538" t="str">
        <f t="shared" si="101"/>
        <v/>
      </c>
      <c r="Q388" s="539" t="str">
        <f t="shared" si="99"/>
        <v/>
      </c>
      <c r="R388" s="706"/>
      <c r="S388" s="707"/>
      <c r="T388" s="708"/>
      <c r="U388" s="472"/>
      <c r="V388" s="167"/>
      <c r="W388" s="446"/>
      <c r="X388" s="456"/>
      <c r="Y388" s="436"/>
      <c r="Z388" s="437"/>
      <c r="AA388" s="560"/>
      <c r="AB388" s="561"/>
      <c r="AC388" s="87"/>
      <c r="AD388" s="466"/>
      <c r="AE388" s="456"/>
      <c r="AF388" s="467"/>
      <c r="AG388" s="87"/>
      <c r="AH388" s="87"/>
      <c r="AI388" s="87"/>
    </row>
    <row r="389" spans="1:35">
      <c r="A389" s="80" t="e">
        <f>"G"&amp;E379</f>
        <v>#N/A</v>
      </c>
      <c r="B389" s="105">
        <v>7</v>
      </c>
      <c r="C389" s="107"/>
      <c r="D389" s="107"/>
      <c r="E389" s="107"/>
      <c r="F389" s="107"/>
      <c r="G389" s="83"/>
      <c r="H389" s="83"/>
      <c r="I389" s="84"/>
      <c r="J389" s="85"/>
      <c r="K389" s="382"/>
      <c r="L389" s="85"/>
      <c r="M389" s="332" t="str">
        <f>IF(OR(J389="",L389="",H389="NO"),"",IF(OR(J389&gt;$P$17,J389&lt;$O$17,L389&gt;$P$17,AND(J389&lt;$O$17,L389&lt;$O$17)),"FUERA DE RANGO",IF(OR(K389="---",K389=""),IF(J389&gt;=$O$17,ROUND((L389-J389+1)/360*12,3),ROUND((L389-$O$17+1)/360*12,3)),IF(J389&gt;=$O$17,ROUND((L389-J389+1)/360*12-ROUND(K389,3),3),ROUND((L389-$O$17+1)/360*12-ROUND(K389,3),3)))))</f>
        <v/>
      </c>
      <c r="N389" s="86"/>
      <c r="O389" s="86" t="str">
        <f t="shared" si="100"/>
        <v/>
      </c>
      <c r="P389" s="538" t="str">
        <f t="shared" si="101"/>
        <v/>
      </c>
      <c r="Q389" s="539" t="str">
        <f t="shared" si="99"/>
        <v/>
      </c>
      <c r="R389" s="706"/>
      <c r="S389" s="707"/>
      <c r="T389" s="708"/>
      <c r="U389" s="472"/>
      <c r="V389" s="167"/>
      <c r="W389" s="446"/>
      <c r="X389" s="456"/>
      <c r="Y389" s="436"/>
      <c r="Z389" s="437"/>
      <c r="AA389" s="560"/>
      <c r="AB389" s="561"/>
      <c r="AC389" s="87"/>
      <c r="AD389" s="466"/>
      <c r="AE389" s="456"/>
      <c r="AF389" s="467"/>
      <c r="AG389" s="87"/>
      <c r="AH389" s="87"/>
      <c r="AI389" s="87"/>
    </row>
    <row r="390" spans="1:35">
      <c r="A390" s="80" t="e">
        <f>"H"&amp;E379</f>
        <v>#N/A</v>
      </c>
      <c r="B390" s="105">
        <v>8</v>
      </c>
      <c r="C390" s="107"/>
      <c r="D390" s="107"/>
      <c r="E390" s="107"/>
      <c r="F390" s="107"/>
      <c r="G390" s="83"/>
      <c r="H390" s="83"/>
      <c r="I390" s="84"/>
      <c r="J390" s="85"/>
      <c r="K390" s="382"/>
      <c r="L390" s="85"/>
      <c r="M390" s="332" t="str">
        <f>IF(OR(J390="",L390="",H390="NO"),"",IF(OR(J390&gt;$P$17,J390&lt;$O$17,L390&gt;$P$17,AND(J390&lt;$O$17,L390&lt;$O$17)),"FUERA DE RANGO",IF(OR(K390="---",K390=""),IF(J390&gt;=$O$17,ROUND((L390-J390+1)/360*12,3),ROUND((L390-$O$17+1)/360*12,3)),IF(J390&gt;=$O$17,ROUND((L390-J390+1)/360*12-ROUND(K390,3),3),ROUND((L390-$O$17+1)/360*12-ROUND(K390,3),3)))))</f>
        <v/>
      </c>
      <c r="N390" s="453"/>
      <c r="O390" s="86" t="str">
        <f t="shared" si="100"/>
        <v/>
      </c>
      <c r="P390" s="538" t="str">
        <f t="shared" si="101"/>
        <v/>
      </c>
      <c r="Q390" s="539" t="str">
        <f t="shared" si="99"/>
        <v/>
      </c>
      <c r="R390" s="706"/>
      <c r="S390" s="707"/>
      <c r="T390" s="708"/>
      <c r="U390" s="472"/>
      <c r="V390" s="167"/>
      <c r="W390" s="446"/>
      <c r="X390" s="456"/>
      <c r="Y390" s="436"/>
      <c r="Z390" s="437"/>
      <c r="AA390" s="560"/>
      <c r="AB390" s="561"/>
      <c r="AC390" s="87"/>
      <c r="AD390" s="466"/>
      <c r="AE390" s="456"/>
      <c r="AF390" s="467"/>
      <c r="AG390" s="87"/>
      <c r="AH390" s="87"/>
      <c r="AI390" s="87"/>
    </row>
    <row r="391" spans="1:35">
      <c r="A391" s="80" t="e">
        <f>"I"&amp;E379</f>
        <v>#N/A</v>
      </c>
      <c r="B391" s="105">
        <v>9</v>
      </c>
      <c r="C391" s="107"/>
      <c r="D391" s="107"/>
      <c r="E391" s="107"/>
      <c r="F391" s="107"/>
      <c r="G391" s="83"/>
      <c r="H391" s="83"/>
      <c r="I391" s="84"/>
      <c r="J391" s="85"/>
      <c r="K391" s="382"/>
      <c r="L391" s="85"/>
      <c r="M391" s="332" t="str">
        <f>IF(OR(J391="",L391="",H391="NO"),"",IF(OR(J391&gt;$P$17,J391&lt;$O$17,L391&gt;$P$17,AND(J391&lt;$O$17,L391&lt;$O$17)),"FUERA DE RANGO",IF(OR(K391="---",K391=""),IF(J391&gt;=$O$17,ROUND((L391-J391+1)/360*12,3),ROUND((L391-$O$17+1)/360*12,3)),IF(J391&gt;=$O$17,ROUND((L391-J391+1)/360*12-ROUND(K391,3),3),ROUND((L391-$O$17+1)/360*12-ROUND(K391,3),3)))))</f>
        <v/>
      </c>
      <c r="N391" s="453"/>
      <c r="O391" s="86" t="str">
        <f t="shared" si="100"/>
        <v/>
      </c>
      <c r="P391" s="538" t="str">
        <f t="shared" si="101"/>
        <v/>
      </c>
      <c r="Q391" s="539" t="str">
        <f t="shared" si="99"/>
        <v/>
      </c>
      <c r="R391" s="706"/>
      <c r="S391" s="707"/>
      <c r="T391" s="708"/>
      <c r="U391" s="472"/>
      <c r="V391" s="167"/>
      <c r="W391" s="446"/>
      <c r="X391" s="456"/>
      <c r="Y391" s="436"/>
      <c r="Z391" s="437"/>
      <c r="AA391" s="560"/>
      <c r="AB391" s="561"/>
      <c r="AC391" s="87"/>
      <c r="AD391" s="466"/>
      <c r="AE391" s="456"/>
      <c r="AF391" s="467"/>
      <c r="AG391" s="87"/>
      <c r="AH391" s="87"/>
      <c r="AI391" s="87"/>
    </row>
    <row r="392" spans="1:35">
      <c r="A392" s="80" t="e">
        <f>"J"&amp;E379</f>
        <v>#N/A</v>
      </c>
      <c r="B392" s="105">
        <v>10</v>
      </c>
      <c r="C392" s="107"/>
      <c r="D392" s="107"/>
      <c r="E392" s="107"/>
      <c r="F392" s="107"/>
      <c r="G392" s="83"/>
      <c r="H392" s="83"/>
      <c r="I392" s="84"/>
      <c r="J392" s="85"/>
      <c r="K392" s="382"/>
      <c r="L392" s="85"/>
      <c r="M392" s="332" t="str">
        <f>IF(OR(J392="",L392="",H392="NO"),"",IF(OR(J392&gt;$P$17,J392&lt;$O$17,L392&gt;$P$17,AND(J392&lt;$O$17,L392&lt;$O$17)),"FUERA DE RANGO",IF(OR(K392="---",K392=""),IF(J392&gt;=$O$17,ROUND((L392-J392+1)/360*12,3),ROUND((L392-$O$17+1)/360*12,3)),IF(J392&gt;=$O$17,ROUND((L392-J392+1)/360*12-ROUND(K392,3),3),ROUND((L392-$O$17+1)/360*12-ROUND(K392,3),3)))))</f>
        <v/>
      </c>
      <c r="N392" s="453"/>
      <c r="O392" s="86" t="str">
        <f t="shared" si="100"/>
        <v/>
      </c>
      <c r="P392" s="538" t="str">
        <f t="shared" si="101"/>
        <v/>
      </c>
      <c r="Q392" s="539" t="str">
        <f t="shared" si="99"/>
        <v/>
      </c>
      <c r="R392" s="706"/>
      <c r="S392" s="707"/>
      <c r="T392" s="708"/>
      <c r="U392" s="472"/>
      <c r="V392" s="167"/>
      <c r="W392" s="446"/>
      <c r="X392" s="456"/>
      <c r="Y392" s="436"/>
      <c r="Z392" s="437"/>
      <c r="AA392" s="560"/>
      <c r="AB392" s="561"/>
      <c r="AC392" s="87"/>
      <c r="AD392" s="466"/>
      <c r="AE392" s="456"/>
      <c r="AF392" s="467"/>
      <c r="AG392" s="87"/>
      <c r="AH392" s="87"/>
      <c r="AI392" s="87"/>
    </row>
    <row r="393" spans="1:35" ht="16.5" thickBot="1">
      <c r="A393" s="44"/>
      <c r="B393" s="89"/>
      <c r="C393" s="90"/>
      <c r="D393" s="90"/>
      <c r="E393" s="90"/>
      <c r="F393" s="90"/>
      <c r="G393" s="90"/>
      <c r="H393" s="90"/>
      <c r="I393" s="90"/>
      <c r="J393" s="90"/>
      <c r="K393" s="90"/>
      <c r="L393" s="90"/>
      <c r="M393" s="90"/>
      <c r="N393" s="90"/>
      <c r="O393" s="90"/>
      <c r="P393" s="90"/>
      <c r="Q393" s="90"/>
      <c r="R393" s="90"/>
      <c r="S393" s="91"/>
      <c r="T393" s="92"/>
      <c r="U393" s="473"/>
      <c r="W393" s="438"/>
      <c r="X393" s="455"/>
      <c r="Y393" s="439"/>
      <c r="Z393" s="437"/>
      <c r="AA393" s="530"/>
      <c r="AB393" s="563"/>
      <c r="AC393" s="87"/>
      <c r="AD393" s="440"/>
      <c r="AE393" s="441"/>
      <c r="AF393" s="442"/>
      <c r="AG393" s="49"/>
      <c r="AH393" s="87"/>
      <c r="AI393" s="87"/>
    </row>
    <row r="394" spans="1:35" ht="16.5" thickBot="1">
      <c r="A394" s="93"/>
      <c r="B394" s="94"/>
      <c r="C394" s="96"/>
      <c r="D394" s="96"/>
      <c r="E394" s="96"/>
      <c r="F394" s="96"/>
      <c r="G394" s="96"/>
      <c r="H394" s="96"/>
      <c r="I394" s="96"/>
      <c r="J394" s="96"/>
      <c r="K394" s="96"/>
      <c r="L394" s="96"/>
      <c r="M394" s="136"/>
      <c r="N394" s="96"/>
      <c r="O394" s="96"/>
      <c r="P394" s="97"/>
      <c r="Q394" s="97"/>
      <c r="R394" s="98"/>
      <c r="S394" s="95"/>
      <c r="T394" s="99"/>
      <c r="U394" s="469"/>
      <c r="AC394" s="58"/>
      <c r="AG394" s="58"/>
      <c r="AH394" s="87"/>
      <c r="AI394" s="87"/>
    </row>
    <row r="395" spans="1:35" ht="16.5" thickBot="1">
      <c r="B395" s="101"/>
      <c r="C395" s="101"/>
      <c r="D395" s="101"/>
      <c r="E395" s="101"/>
      <c r="F395" s="101"/>
      <c r="G395" s="101"/>
      <c r="H395" s="101"/>
      <c r="I395" s="101"/>
      <c r="J395" s="101"/>
      <c r="K395" s="101"/>
      <c r="L395" s="101"/>
      <c r="M395" s="101"/>
      <c r="N395" s="101"/>
      <c r="O395" s="101"/>
      <c r="P395" s="101"/>
      <c r="Q395" s="101"/>
      <c r="R395" s="101"/>
      <c r="S395" s="101"/>
      <c r="U395" s="50"/>
      <c r="AH395" s="87"/>
      <c r="AI395" s="87"/>
    </row>
    <row r="396" spans="1:35" ht="16.5" customHeight="1" thickBot="1">
      <c r="A396" s="44"/>
      <c r="B396" s="705" t="s">
        <v>74</v>
      </c>
      <c r="C396" s="705"/>
      <c r="D396" s="705"/>
      <c r="E396" s="705"/>
      <c r="F396" s="705"/>
      <c r="G396" s="705"/>
      <c r="H396" s="705"/>
      <c r="I396" s="705"/>
      <c r="J396" s="705"/>
      <c r="K396" s="705"/>
      <c r="L396" s="705"/>
      <c r="M396" s="705"/>
      <c r="N396" s="705"/>
      <c r="O396" s="705"/>
      <c r="P396" s="705"/>
      <c r="Q396" s="705"/>
      <c r="R396" s="705"/>
      <c r="S396" s="705"/>
      <c r="T396" s="705"/>
      <c r="U396" s="108"/>
      <c r="Y396" s="532" t="s">
        <v>341</v>
      </c>
      <c r="AC396" s="49"/>
      <c r="AD396" s="687" t="s">
        <v>302</v>
      </c>
      <c r="AE396" s="688"/>
      <c r="AF396" s="689"/>
      <c r="AG396" s="49"/>
      <c r="AH396" s="87"/>
      <c r="AI396" s="87"/>
    </row>
    <row r="397" spans="1:35" ht="15.75" customHeight="1" thickBot="1">
      <c r="A397" s="218" t="e">
        <f>"K"&amp;E379</f>
        <v>#N/A</v>
      </c>
      <c r="B397" s="701" t="s">
        <v>71</v>
      </c>
      <c r="C397" s="751" t="s">
        <v>102</v>
      </c>
      <c r="D397" s="751"/>
      <c r="E397" s="751"/>
      <c r="F397" s="751"/>
      <c r="G397" s="751"/>
      <c r="H397" s="751"/>
      <c r="I397" s="751"/>
      <c r="J397" s="751"/>
      <c r="K397" s="751"/>
      <c r="L397" s="722" t="s">
        <v>100</v>
      </c>
      <c r="M397" s="747" t="s">
        <v>114</v>
      </c>
      <c r="N397" s="747"/>
      <c r="O397" s="747"/>
      <c r="P397" s="747"/>
      <c r="Q397" s="748"/>
      <c r="R397" s="758" t="s">
        <v>280</v>
      </c>
      <c r="S397" s="748"/>
      <c r="T397" s="762" t="str">
        <f>IF(COUNTIF(AE397:AF397,"VERIFICAR")&gt;0,"VERIFICAR",IF(COUNTIF(AE397:AF397,"NO CUMPLE")&gt;0,"NO CUMPLE","CUMPLE"))</f>
        <v>CUMPLE</v>
      </c>
      <c r="U397" s="108"/>
      <c r="Y397" s="533" t="e">
        <f>IF(F398="","",IF(F398=1,"INDIVIDUAL","ESTRUCTURA PLURAL"))</f>
        <v>#N/A</v>
      </c>
      <c r="AC397" s="52"/>
      <c r="AD397" s="475" t="s">
        <v>303</v>
      </c>
      <c r="AE397" s="476" t="str">
        <f>IF(COUNTIF(AE383:AE392,"")=10,"VERIFICAR",IF(COUNTIF(AE383:AE392,"SI")&gt;0,"CUMPLE","NO CUMPLE"))</f>
        <v>CUMPLE</v>
      </c>
      <c r="AF397" s="477" t="str">
        <f>IF(COUNTIF(AF383:AF392,"")=10,"VERIFICAR",IF(COUNTIF(AF383:AF392,"SI")&gt;=$AI$22,"CUMPLE","NO CUMPLE"))</f>
        <v>CUMPLE</v>
      </c>
      <c r="AG397" s="52"/>
      <c r="AH397" s="87"/>
      <c r="AI397" s="87"/>
    </row>
    <row r="398" spans="1:35" ht="16.5" customHeight="1" thickBot="1">
      <c r="A398" s="218" t="e">
        <f>"L"&amp;E379</f>
        <v>#N/A</v>
      </c>
      <c r="B398" s="702"/>
      <c r="C398" s="751" t="s">
        <v>103</v>
      </c>
      <c r="D398" s="751"/>
      <c r="E398" s="752"/>
      <c r="F398" s="557" t="e">
        <f>IF(VLOOKUP(E379,PROPONENTES!$C$19:$E$218,3,0)="","",VLOOKUP(E379,PROPONENTES!$C$19:$E$218,3,0))</f>
        <v>#N/A</v>
      </c>
      <c r="G398" s="753" t="s">
        <v>104</v>
      </c>
      <c r="H398" s="751"/>
      <c r="I398" s="715" t="e">
        <f>IF(OR(F398="",F398=1),"INTERESADO PERSONA NATURAL O JURIDICA","CONSORCIO O UNION TEMPORAL")</f>
        <v>#N/A</v>
      </c>
      <c r="J398" s="725"/>
      <c r="K398" s="728"/>
      <c r="L398" s="723"/>
      <c r="M398" s="749"/>
      <c r="N398" s="749"/>
      <c r="O398" s="749"/>
      <c r="P398" s="749"/>
      <c r="Q398" s="750"/>
      <c r="R398" s="712"/>
      <c r="S398" s="750"/>
      <c r="T398" s="763"/>
      <c r="U398" s="108"/>
      <c r="Y398" s="534"/>
      <c r="AA398" s="52"/>
      <c r="AB398" s="52"/>
      <c r="AC398" s="52"/>
      <c r="AG398" s="52"/>
      <c r="AH398" s="87"/>
      <c r="AI398" s="87"/>
    </row>
    <row r="399" spans="1:35" ht="56.25" customHeight="1" thickBot="1">
      <c r="A399" s="218" t="e">
        <f>"M"&amp;E379</f>
        <v>#N/A</v>
      </c>
      <c r="B399" s="702"/>
      <c r="C399" s="725" t="s">
        <v>101</v>
      </c>
      <c r="D399" s="716"/>
      <c r="E399" s="558" t="s">
        <v>105</v>
      </c>
      <c r="F399" s="554" t="s">
        <v>87</v>
      </c>
      <c r="G399" s="553" t="s">
        <v>86</v>
      </c>
      <c r="H399" s="559" t="s">
        <v>85</v>
      </c>
      <c r="I399" s="554" t="s">
        <v>252</v>
      </c>
      <c r="J399" s="553" t="str">
        <f>"¿EL INTEGRANTE TIENE UNA PARTICIPACIÓN DEL "&amp;PORCREQUERIDOINT*100&amp;"%?"</f>
        <v>¿EL INTEGRANTE TIENE UNA PARTICIPACIÓN DEL 60%?</v>
      </c>
      <c r="K399" s="554" t="s">
        <v>107</v>
      </c>
      <c r="L399" s="724"/>
      <c r="M399" s="717" t="s">
        <v>115</v>
      </c>
      <c r="N399" s="718"/>
      <c r="O399" s="718"/>
      <c r="P399" s="718"/>
      <c r="Q399" s="223">
        <f>IF(AND(H383="SI",P383&gt;=0),1,0)+IF(AND(H384="SI",P384&gt;=0),1,0)+IF(AND(H385="SI",P385&gt;=0),1,0)+IF(AND(H386="SI",P386&gt;=0),1,0)+IF(AND(H387="SI",P387&gt;=0),1,0)+IF(AND(H388="SI",P388&gt;=0),1,0)+IF(AND(H389="SI",P389&gt;=0),1,0)+IF(AND(H390="SI",P390&gt;=0),1,0)+IF(AND(H391="SI",P391&gt;=0),1,0)+IF(AND(H392="SI",P392&gt;=0),1,0)</f>
        <v>0</v>
      </c>
      <c r="R399" s="759"/>
      <c r="S399" s="761"/>
      <c r="T399" s="764"/>
      <c r="U399" s="219"/>
      <c r="V399" s="464"/>
      <c r="Y399" s="532" t="s">
        <v>342</v>
      </c>
      <c r="AA399" s="550" t="s">
        <v>344</v>
      </c>
      <c r="AB399" s="693" t="s">
        <v>345</v>
      </c>
      <c r="AC399" s="693" t="s">
        <v>346</v>
      </c>
      <c r="AD399" s="685" t="s">
        <v>347</v>
      </c>
      <c r="AE399" s="52"/>
      <c r="AF399" s="52"/>
      <c r="AG399" s="52"/>
      <c r="AH399" s="87"/>
      <c r="AI399" s="87"/>
    </row>
    <row r="400" spans="1:35" ht="36" customHeight="1" thickBot="1">
      <c r="A400" s="218" t="e">
        <f>"N"&amp;E379</f>
        <v>#N/A</v>
      </c>
      <c r="B400" s="702"/>
      <c r="C400" s="114">
        <v>1</v>
      </c>
      <c r="D400" s="194" t="e">
        <f>IF(AND(C400&lt;=F398,F398&gt;1,F398&lt;&gt;""),VLOOKUP(VALUE(E379&amp;","&amp;C400),INTEGRANTES!$D$18:$F$235,2,0),"")</f>
        <v>#N/A</v>
      </c>
      <c r="E400" s="211" t="e">
        <f>IF(D400&lt;&gt;"",VLOOKUP(VALUE(E379&amp;","&amp;C400),INTEGRANTES!$D$18:$F$235,3,0),"")</f>
        <v>#N/A</v>
      </c>
      <c r="F400" s="547" t="e">
        <f>IF(D400="","",SUMIF($I383:$I392,D400,$P383:$P392))</f>
        <v>#N/A</v>
      </c>
      <c r="G400" s="333" t="e">
        <f>IF(D400="","",SUMIF($I383:$I392,D400,$M383:$M392))</f>
        <v>#N/A</v>
      </c>
      <c r="H400" s="535" t="e">
        <f t="shared" ref="H400:H405" si="102">IF(D400="","",IF(OR(F400=0,G400=0),"NO APORTA",ROUND($F400/$G400,3)))</f>
        <v>#N/A</v>
      </c>
      <c r="I400" s="212" t="e">
        <f>IF(D400="","",IF(H400="NO APORTA","NO",IF(H400=MAX($H400:$H405),"SI","NO")))</f>
        <v>#N/A</v>
      </c>
      <c r="J400" s="213" t="e">
        <f t="shared" ref="J400:J405" si="103">IF(D400="","",IF(E400&gt;=PORCREQUERIDOINT,"SI","NO"))</f>
        <v>#N/A</v>
      </c>
      <c r="K400" s="200" t="e">
        <f t="shared" ref="K400:K405" si="104">IF(D400="","",IF(AND(I400="SI",J400="SI"),"CUMPLE",IF(AND(I400="NO",OR(J400="SI",J400="NO")),"","NO CUMPLE")))</f>
        <v>#N/A</v>
      </c>
      <c r="L400" s="722" t="s">
        <v>108</v>
      </c>
      <c r="M400" s="726" t="s">
        <v>119</v>
      </c>
      <c r="N400" s="726"/>
      <c r="O400" s="726"/>
      <c r="P400" s="726"/>
      <c r="Q400" s="727"/>
      <c r="R400" s="758" t="s">
        <v>80</v>
      </c>
      <c r="S400" s="747"/>
      <c r="T400" s="748"/>
      <c r="U400" s="219"/>
      <c r="V400" s="464"/>
      <c r="Y400" s="533" t="e">
        <f>IF(Y397="","",IF(Y397="INDIVIDUAL","NO APLICA","VERIFICAR CUADRO"))</f>
        <v>#N/A</v>
      </c>
      <c r="AA400" s="551"/>
      <c r="AB400" s="694"/>
      <c r="AC400" s="694"/>
      <c r="AD400" s="686"/>
      <c r="AE400" s="52"/>
      <c r="AF400" s="52"/>
      <c r="AG400" s="52"/>
      <c r="AH400" s="87"/>
      <c r="AI400" s="87"/>
    </row>
    <row r="401" spans="1:35" ht="27" customHeight="1" thickBot="1">
      <c r="A401" s="218" t="e">
        <f>"O"&amp;E379</f>
        <v>#N/A</v>
      </c>
      <c r="B401" s="702"/>
      <c r="C401" s="114">
        <v>2</v>
      </c>
      <c r="D401" s="194" t="e">
        <f>IF(AND(C401&lt;=F398,F398&lt;&gt;""),VLOOKUP(VALUE(E379&amp;","&amp;C401),INTEGRANTES!$D$18:$F$235,2,0),"")</f>
        <v>#N/A</v>
      </c>
      <c r="E401" s="211" t="e">
        <f>IF(D401&lt;&gt;"",VLOOKUP(VALUE(E379&amp;","&amp;C401),INTEGRANTES!$D$18:$F$235,3,0),"")</f>
        <v>#N/A</v>
      </c>
      <c r="F401" s="547" t="e">
        <f>IF(D401="","",SUMIF($I383:$I392,D401,$P383:$P392))</f>
        <v>#N/A</v>
      </c>
      <c r="G401" s="333" t="e">
        <f>IF(D401="","",SUMIF($I383:$I392,D401,$M383:$M392))</f>
        <v>#N/A</v>
      </c>
      <c r="H401" s="535" t="e">
        <f t="shared" si="102"/>
        <v>#N/A</v>
      </c>
      <c r="I401" s="212" t="e">
        <f>IF(D401="","",IF(H401="NO APORTA","NO",IF(H401=MAX($H400:$H405),"SI","NO")))</f>
        <v>#N/A</v>
      </c>
      <c r="J401" s="213" t="e">
        <f t="shared" si="103"/>
        <v>#N/A</v>
      </c>
      <c r="K401" s="200" t="e">
        <f t="shared" si="104"/>
        <v>#N/A</v>
      </c>
      <c r="L401" s="723"/>
      <c r="M401" s="715" t="s">
        <v>116</v>
      </c>
      <c r="N401" s="716"/>
      <c r="O401" s="556" t="s">
        <v>113</v>
      </c>
      <c r="P401" s="715" t="s">
        <v>117</v>
      </c>
      <c r="Q401" s="728"/>
      <c r="R401" s="759"/>
      <c r="S401" s="760"/>
      <c r="T401" s="761"/>
      <c r="U401" s="219"/>
      <c r="V401" s="464"/>
      <c r="Y401" s="414"/>
      <c r="AA401" s="574" t="e">
        <f>IF(AND(C400&lt;=F398,F398&gt;1,F398&lt;&gt;""),VLOOKUP(VALUE(E379&amp;","&amp;C400),INTEGRANTES!$D$18:$F$235,2,0),"")</f>
        <v>#N/A</v>
      </c>
      <c r="AB401" s="544" t="e">
        <f t="shared" ref="AB401:AB406" si="105">IF(D400="","",IF(OR(F400=0,G400=0),"NO APORTA",ROUND($F400/$G400,3)))</f>
        <v>#N/A</v>
      </c>
      <c r="AC401" s="529"/>
      <c r="AD401" s="200" t="e">
        <f t="shared" ref="AD401:AD406" si="106">IF(OR(AA401="",AB401=""),"",IF(AND(AC401="X",AB401&gt;=EXPREQVTD),"CUMPLE","NO CUMPLE"))</f>
        <v>#N/A</v>
      </c>
      <c r="AE401" s="52"/>
      <c r="AF401" s="52"/>
      <c r="AG401" s="52"/>
      <c r="AH401" s="87"/>
      <c r="AI401" s="87"/>
    </row>
    <row r="402" spans="1:35" ht="16.5" thickBot="1">
      <c r="A402" s="218" t="e">
        <f>"P"&amp;E379</f>
        <v>#N/A</v>
      </c>
      <c r="B402" s="702"/>
      <c r="C402" s="114">
        <v>3</v>
      </c>
      <c r="D402" s="194" t="e">
        <f>IF(AND(C402&lt;=F398,F398&lt;&gt;""),VLOOKUP(VALUE(E379&amp;","&amp;C402),INTEGRANTES!$D$18:$F$235,2,0),"")</f>
        <v>#N/A</v>
      </c>
      <c r="E402" s="211" t="e">
        <f>IF(D402&lt;&gt;"",VLOOKUP(VALUE(E379&amp;","&amp;C402),INTEGRANTES!$D$18:$F$235,3,0),"")</f>
        <v>#N/A</v>
      </c>
      <c r="F402" s="547" t="e">
        <f>IF(D402="","",SUMIF($I383:$I392,D402,$P383:$P392))</f>
        <v>#N/A</v>
      </c>
      <c r="G402" s="333" t="e">
        <f>IF(D402="","",SUMIF($I383:$I392,D402,$M383:$M392))</f>
        <v>#N/A</v>
      </c>
      <c r="H402" s="535" t="e">
        <f t="shared" si="102"/>
        <v>#N/A</v>
      </c>
      <c r="I402" s="212" t="e">
        <f>IF(D402="","",IF(H402="NO APORTA","NO",IF(H402=MAX($H400:$H405),"SI","NO")))</f>
        <v>#N/A</v>
      </c>
      <c r="J402" s="213" t="e">
        <f t="shared" si="103"/>
        <v>#N/A</v>
      </c>
      <c r="K402" s="200" t="e">
        <f t="shared" si="104"/>
        <v>#N/A</v>
      </c>
      <c r="L402" s="724"/>
      <c r="M402" s="729">
        <f>NUMMOD</f>
        <v>1</v>
      </c>
      <c r="N402" s="730"/>
      <c r="O402" s="443">
        <f>IF(M402="","",VLOOKUP(M402,PRESUPUESTOS!$B$16:$H$16,5,FALSE))</f>
        <v>2</v>
      </c>
      <c r="P402" s="713">
        <f>IF(OR(COUNTIF(M383:M392,"")&gt;=10,Q399&lt;NUMMINCONT,OR(T397="NO CUMPLE",T397="VERIFICAR")),0,ROUND(AVERAGE(M383:M392),3))</f>
        <v>0</v>
      </c>
      <c r="Q402" s="714"/>
      <c r="R402" s="458"/>
      <c r="S402" s="459"/>
      <c r="T402" s="460"/>
      <c r="U402" s="219"/>
      <c r="V402" s="464"/>
      <c r="Y402" s="532" t="str">
        <f>"40% * ("&amp;PRESUPUESTOS!$H$13&amp;")"</f>
        <v>40% * (50% PFMO)</v>
      </c>
      <c r="AA402" s="540" t="e">
        <f>IF(AND(C401&lt;=F398,F398&lt;&gt;""),VLOOKUP(VALUE(E379&amp;","&amp;C401),INTEGRANTES!$D$18:$F$235,2,0),"")</f>
        <v>#N/A</v>
      </c>
      <c r="AB402" s="545" t="e">
        <f t="shared" si="105"/>
        <v>#N/A</v>
      </c>
      <c r="AC402" s="529"/>
      <c r="AD402" s="200" t="e">
        <f t="shared" si="106"/>
        <v>#N/A</v>
      </c>
      <c r="AE402" s="52"/>
      <c r="AF402" s="52"/>
      <c r="AG402" s="52"/>
      <c r="AH402" s="87"/>
      <c r="AI402" s="87"/>
    </row>
    <row r="403" spans="1:35" ht="15.75" customHeight="1" thickBot="1">
      <c r="A403" s="218" t="e">
        <f>"Q"&amp;E379</f>
        <v>#N/A</v>
      </c>
      <c r="B403" s="702"/>
      <c r="C403" s="114">
        <v>4</v>
      </c>
      <c r="D403" s="194" t="e">
        <f>IF(AND(C403&lt;=F398,F398&lt;&gt;""),VLOOKUP(VALUE(E379&amp;","&amp;C403),INTEGRANTES!$D$18:$F$235,2,0),"")</f>
        <v>#N/A</v>
      </c>
      <c r="E403" s="211" t="e">
        <f>IF(D403&lt;&gt;"",VLOOKUP(VALUE(E379&amp;","&amp;C403),INTEGRANTES!$D$18:$F$235,3,0),"")</f>
        <v>#N/A</v>
      </c>
      <c r="F403" s="547" t="e">
        <f>IF(D403="","",SUMIF($I383:$I392,D403,$P383:$P392))</f>
        <v>#N/A</v>
      </c>
      <c r="G403" s="333" t="e">
        <f>IF(D403="","",SUMIF($I383:$I392,D403,$M383:$M392))</f>
        <v>#N/A</v>
      </c>
      <c r="H403" s="535" t="e">
        <f t="shared" si="102"/>
        <v>#N/A</v>
      </c>
      <c r="I403" s="212" t="e">
        <f>IF(D403="","",IF(H403="NO APORTA","NO",IF(H403=MAX($H400:$H405),"SI","NO")))</f>
        <v>#N/A</v>
      </c>
      <c r="J403" s="213" t="e">
        <f t="shared" si="103"/>
        <v>#N/A</v>
      </c>
      <c r="K403" s="200" t="e">
        <f t="shared" si="104"/>
        <v>#N/A</v>
      </c>
      <c r="L403" s="720" t="s">
        <v>109</v>
      </c>
      <c r="M403" s="757" t="s">
        <v>120</v>
      </c>
      <c r="N403" s="726"/>
      <c r="O403" s="726"/>
      <c r="P403" s="726"/>
      <c r="Q403" s="727"/>
      <c r="R403" s="458"/>
      <c r="S403" s="459"/>
      <c r="T403" s="460"/>
      <c r="U403" s="219"/>
      <c r="V403" s="464"/>
      <c r="Y403" s="537">
        <f>0.4*PRESUPUESTOS!$H$16</f>
        <v>10.3124</v>
      </c>
      <c r="AA403" s="540" t="e">
        <f>IF(AND(C402&lt;=F398,F398&lt;&gt;""),VLOOKUP(VALUE(E379&amp;","&amp;C402),INTEGRANTES!$D$18:$F$235,2,0),"")</f>
        <v>#N/A</v>
      </c>
      <c r="AB403" s="545" t="e">
        <f t="shared" si="105"/>
        <v>#N/A</v>
      </c>
      <c r="AC403" s="529"/>
      <c r="AD403" s="200" t="e">
        <f t="shared" si="106"/>
        <v>#N/A</v>
      </c>
      <c r="AE403" s="52"/>
      <c r="AF403" s="52"/>
      <c r="AG403" s="52"/>
      <c r="AH403" s="87"/>
      <c r="AI403" s="87"/>
    </row>
    <row r="404" spans="1:35" ht="27" customHeight="1" thickBot="1">
      <c r="A404" s="218" t="e">
        <f>"R"&amp;E379</f>
        <v>#N/A</v>
      </c>
      <c r="B404" s="702"/>
      <c r="C404" s="114">
        <v>5</v>
      </c>
      <c r="D404" s="194" t="e">
        <f>IF(AND(C404&lt;=F398,F398&lt;&gt;""),VLOOKUP(VALUE(E379&amp;","&amp;C404),INTEGRANTES!$D$18:$F$235,2,0),"")</f>
        <v>#N/A</v>
      </c>
      <c r="E404" s="211" t="e">
        <f>IF(D404&lt;&gt;"",VLOOKUP(VALUE(E379&amp;","&amp;C404),INTEGRANTES!$D$18:$F$235,3,0),"")</f>
        <v>#N/A</v>
      </c>
      <c r="F404" s="547" t="e">
        <f>IF(D404="","",SUMIF($I383:$I392,D404,$P383:$P392))</f>
        <v>#N/A</v>
      </c>
      <c r="G404" s="333" t="e">
        <f>IF(D404="","",SUMIF($I383:$I392,D404,$M383:$M392))</f>
        <v>#N/A</v>
      </c>
      <c r="H404" s="535" t="e">
        <f t="shared" si="102"/>
        <v>#N/A</v>
      </c>
      <c r="I404" s="212" t="e">
        <f>IF(D404="","",IF(H404="NO APORTA","NO",IF(H404=MAX($H400:$H405),"SI","NO")))</f>
        <v>#N/A</v>
      </c>
      <c r="J404" s="213" t="e">
        <f t="shared" si="103"/>
        <v>#N/A</v>
      </c>
      <c r="K404" s="200" t="e">
        <f t="shared" si="104"/>
        <v>#N/A</v>
      </c>
      <c r="L404" s="721"/>
      <c r="M404" s="715" t="s">
        <v>116</v>
      </c>
      <c r="N404" s="716"/>
      <c r="O404" s="556" t="str">
        <f>PORCREQUERIDO*100&amp;"% PMFO DEL MÓDULO"</f>
        <v>50% PMFO DEL MÓDULO</v>
      </c>
      <c r="P404" s="715" t="s">
        <v>118</v>
      </c>
      <c r="Q404" s="728"/>
      <c r="R404" s="458"/>
      <c r="S404" s="459"/>
      <c r="T404" s="460"/>
      <c r="U404" s="219"/>
      <c r="V404" s="464"/>
      <c r="Y404" s="414"/>
      <c r="AA404" s="540" t="e">
        <f>IF(AND(C403&lt;=F398,F398&lt;&gt;""),VLOOKUP(VALUE(E379&amp;","&amp;C403),INTEGRANTES!$D$18:$F$235,2,0),"")</f>
        <v>#N/A</v>
      </c>
      <c r="AB404" s="545" t="e">
        <f t="shared" si="105"/>
        <v>#N/A</v>
      </c>
      <c r="AC404" s="529"/>
      <c r="AD404" s="200" t="e">
        <f t="shared" si="106"/>
        <v>#N/A</v>
      </c>
      <c r="AE404" s="52"/>
      <c r="AF404" s="52"/>
      <c r="AG404" s="52"/>
      <c r="AH404" s="87"/>
      <c r="AI404" s="87"/>
    </row>
    <row r="405" spans="1:35" ht="16.5" thickBot="1">
      <c r="A405" s="218" t="e">
        <f>"S"&amp;E379</f>
        <v>#N/A</v>
      </c>
      <c r="B405" s="702"/>
      <c r="C405" s="215">
        <v>6</v>
      </c>
      <c r="D405" s="216" t="e">
        <f>IF(AND(C405&lt;=F398,F398&lt;&gt;""),VLOOKUP(VALUE(E379&amp;","&amp;C405),INTEGRANTES!$D$18:$F$235,2,0),"")</f>
        <v>#N/A</v>
      </c>
      <c r="E405" s="217" t="e">
        <f>IF(D405&lt;&gt;"",VLOOKUP(VALUE(E379&amp;","&amp;C405),INTEGRANTES!$D$18:$F$235,3,0),"")</f>
        <v>#N/A</v>
      </c>
      <c r="F405" s="548" t="e">
        <f>IF(D405="","",SUMIF($I383:$I392,D405,$P383:$P392))</f>
        <v>#N/A</v>
      </c>
      <c r="G405" s="334" t="e">
        <f>IF(D405="","",SUMIF($I383:$I392,D405,$M383:$M392))</f>
        <v>#N/A</v>
      </c>
      <c r="H405" s="536" t="e">
        <f t="shared" si="102"/>
        <v>#N/A</v>
      </c>
      <c r="I405" s="214" t="e">
        <f>IF(D405="","",IF(H405="NO APORTA","NO",IF(H405=MAX($H400:$H405),"SI","NO")))</f>
        <v>#N/A</v>
      </c>
      <c r="J405" s="213" t="e">
        <f t="shared" si="103"/>
        <v>#N/A</v>
      </c>
      <c r="K405" s="200" t="e">
        <f t="shared" si="104"/>
        <v>#N/A</v>
      </c>
      <c r="L405" s="721"/>
      <c r="M405" s="729">
        <f>NUMMOD</f>
        <v>1</v>
      </c>
      <c r="N405" s="730"/>
      <c r="O405" s="443">
        <f>IF(M405="","",ROUND(VLOOKUP(M405,PRESUPUESTOS!$B$16:$H$16,7,FALSE),3))</f>
        <v>25.780999999999999</v>
      </c>
      <c r="P405" s="713">
        <f>IF(OR(COUNTIF(P383:P392,"")&gt;=10,Q399&lt;NUMMINCONT,OR(T397="NO CUMPLE",T397="VERIFICAR")),0,ROUND((SUM(P383:P392)/SUM(M383:M392)),3))</f>
        <v>0</v>
      </c>
      <c r="Q405" s="714"/>
      <c r="R405" s="458"/>
      <c r="S405" s="459"/>
      <c r="T405" s="460"/>
      <c r="U405" s="219"/>
      <c r="V405" s="464"/>
      <c r="Y405" s="532" t="s">
        <v>343</v>
      </c>
      <c r="AA405" s="540" t="e">
        <f>IF(AND(C404&lt;=F398,F398&lt;&gt;""),VLOOKUP(VALUE(E379&amp;","&amp;C404),INTEGRANTES!$D$18:$F$235,2,0),"")</f>
        <v>#N/A</v>
      </c>
      <c r="AB405" s="545" t="e">
        <f t="shared" si="105"/>
        <v>#N/A</v>
      </c>
      <c r="AC405" s="529"/>
      <c r="AD405" s="200" t="e">
        <f t="shared" si="106"/>
        <v>#N/A</v>
      </c>
      <c r="AE405" s="52"/>
      <c r="AF405" s="52"/>
      <c r="AG405" s="52"/>
      <c r="AH405" s="87"/>
      <c r="AI405" s="87"/>
    </row>
    <row r="406" spans="1:35" ht="16.5" customHeight="1" thickBot="1">
      <c r="A406" s="218" t="e">
        <f>"T"&amp;E379</f>
        <v>#N/A</v>
      </c>
      <c r="B406" s="703"/>
      <c r="C406" s="719"/>
      <c r="D406" s="719"/>
      <c r="E406" s="719"/>
      <c r="F406" s="719"/>
      <c r="G406" s="719"/>
      <c r="H406" s="719" t="s">
        <v>110</v>
      </c>
      <c r="I406" s="719"/>
      <c r="J406" s="719"/>
      <c r="K406" s="201" t="str">
        <f>IF(COUNTIF(K400:K405,"")=6,"",IF(COUNTIF(K400:K405,"CUMPLE")&gt;0,"CUMPLE","NO CUMPLE"))</f>
        <v>NO CUMPLE</v>
      </c>
      <c r="L406" s="754"/>
      <c r="M406" s="755"/>
      <c r="N406" s="755"/>
      <c r="O406" s="755"/>
      <c r="P406" s="755"/>
      <c r="Q406" s="756"/>
      <c r="R406" s="461"/>
      <c r="S406" s="462"/>
      <c r="T406" s="463"/>
      <c r="U406" s="219"/>
      <c r="V406" s="464"/>
      <c r="Y406" s="549" t="e">
        <f>IF(Y400="NO APLICA","NO APLICA",IF(COUNTIF(AD401:AD406,"CUMPLE")&gt;0,"CUMPLE","NO CUMPLE"))</f>
        <v>#N/A</v>
      </c>
      <c r="AA406" s="541" t="e">
        <f>IF(AND(C405&lt;=F398,F398&lt;&gt;""),VLOOKUP(VALUE(E379&amp;","&amp;C405),INTEGRANTES!$D$18:$F$235,2,0),"")</f>
        <v>#N/A</v>
      </c>
      <c r="AB406" s="546" t="e">
        <f t="shared" si="105"/>
        <v>#N/A</v>
      </c>
      <c r="AC406" s="543"/>
      <c r="AD406" s="201" t="e">
        <f t="shared" si="106"/>
        <v>#N/A</v>
      </c>
      <c r="AE406" s="52"/>
      <c r="AF406" s="52"/>
      <c r="AG406" s="52"/>
      <c r="AH406" s="87"/>
      <c r="AI406" s="87"/>
    </row>
    <row r="407" spans="1:35">
      <c r="A407" s="103"/>
      <c r="B407" s="206"/>
      <c r="C407" s="206"/>
      <c r="D407" s="206"/>
      <c r="E407" s="206"/>
      <c r="F407" s="206"/>
      <c r="G407" s="206"/>
      <c r="H407" s="206"/>
      <c r="I407" s="104"/>
      <c r="J407" s="206"/>
      <c r="K407" s="113"/>
      <c r="L407" s="113"/>
      <c r="M407" s="113"/>
      <c r="N407" s="222"/>
      <c r="O407" s="113"/>
      <c r="P407" s="113"/>
      <c r="Q407" s="113"/>
      <c r="R407" s="206"/>
      <c r="S407" s="104"/>
      <c r="T407" s="206"/>
      <c r="U407" s="474"/>
      <c r="AH407" s="87"/>
      <c r="AI407" s="87"/>
    </row>
    <row r="408" spans="1:35">
      <c r="H408" s="220"/>
      <c r="AH408" s="87"/>
      <c r="AI408" s="87"/>
    </row>
    <row r="409" spans="1:35" ht="24" thickBot="1">
      <c r="A409" s="61">
        <v>14</v>
      </c>
      <c r="B409" s="704" t="s">
        <v>51</v>
      </c>
      <c r="C409" s="704"/>
      <c r="D409" s="704"/>
      <c r="E409" s="62" t="e">
        <f>VLOOKUP(A409,PROPONENTES!$B$19:$E$218,2,FALSE)</f>
        <v>#N/A</v>
      </c>
      <c r="F409" s="63" t="e">
        <f>VLOOKUP(A409,PROPONENTES!$B$19:$E$218,3,FALSE)</f>
        <v>#N/A</v>
      </c>
      <c r="G409" s="64"/>
      <c r="H409" s="64"/>
      <c r="I409" s="63"/>
      <c r="J409" s="63"/>
      <c r="K409" s="65"/>
      <c r="L409" s="65"/>
      <c r="M409" s="64"/>
      <c r="N409" s="64"/>
      <c r="O409" s="66"/>
      <c r="P409" s="66"/>
      <c r="Q409" s="66"/>
      <c r="R409" s="66"/>
      <c r="S409" s="67"/>
      <c r="T409" s="68"/>
      <c r="U409" s="68"/>
      <c r="AC409" s="68"/>
      <c r="AD409" s="68"/>
      <c r="AE409" s="68"/>
      <c r="AF409" s="68"/>
      <c r="AG409" s="68"/>
      <c r="AH409" s="87"/>
      <c r="AI409" s="87"/>
    </row>
    <row r="410" spans="1:35" ht="15.75" customHeight="1">
      <c r="A410" s="44"/>
      <c r="B410" s="709" t="s">
        <v>59</v>
      </c>
      <c r="C410" s="552" t="s">
        <v>60</v>
      </c>
      <c r="D410" s="70" t="s">
        <v>17</v>
      </c>
      <c r="E410" s="70"/>
      <c r="F410" s="70" t="s">
        <v>61</v>
      </c>
      <c r="G410" s="71"/>
      <c r="H410" s="699" t="s">
        <v>62</v>
      </c>
      <c r="I410" s="699" t="s">
        <v>18</v>
      </c>
      <c r="J410" s="699" t="s">
        <v>63</v>
      </c>
      <c r="K410" s="699" t="s">
        <v>64</v>
      </c>
      <c r="L410" s="699" t="s">
        <v>65</v>
      </c>
      <c r="M410" s="743" t="s">
        <v>66</v>
      </c>
      <c r="N410" s="699" t="s">
        <v>282</v>
      </c>
      <c r="O410" s="745" t="s">
        <v>67</v>
      </c>
      <c r="P410" s="746"/>
      <c r="Q410" s="102" t="s">
        <v>75</v>
      </c>
      <c r="R410" s="731" t="s">
        <v>22</v>
      </c>
      <c r="S410" s="732"/>
      <c r="T410" s="733"/>
      <c r="U410" s="712" t="s">
        <v>298</v>
      </c>
      <c r="W410" s="690" t="s">
        <v>268</v>
      </c>
      <c r="X410" s="691"/>
      <c r="Y410" s="692"/>
      <c r="Z410" s="428"/>
      <c r="AA410" s="697" t="s">
        <v>315</v>
      </c>
      <c r="AB410" s="695" t="s">
        <v>322</v>
      </c>
      <c r="AC410" s="49"/>
      <c r="AD410" s="690" t="s">
        <v>297</v>
      </c>
      <c r="AE410" s="691"/>
      <c r="AF410" s="692"/>
      <c r="AG410" s="49"/>
      <c r="AH410" s="87"/>
      <c r="AI410" s="87"/>
    </row>
    <row r="411" spans="1:35" ht="72">
      <c r="A411" s="44"/>
      <c r="B411" s="710"/>
      <c r="C411" s="553" t="s">
        <v>68</v>
      </c>
      <c r="D411" s="73" t="s">
        <v>3</v>
      </c>
      <c r="E411" s="73" t="s">
        <v>19</v>
      </c>
      <c r="F411" s="73" t="s">
        <v>69</v>
      </c>
      <c r="G411" s="74" t="s">
        <v>70</v>
      </c>
      <c r="H411" s="700"/>
      <c r="I411" s="700"/>
      <c r="J411" s="700"/>
      <c r="K411" s="700"/>
      <c r="L411" s="700"/>
      <c r="M411" s="744"/>
      <c r="N411" s="700"/>
      <c r="O411" s="553" t="s">
        <v>279</v>
      </c>
      <c r="P411" s="73" t="s">
        <v>88</v>
      </c>
      <c r="Q411" s="555" t="s">
        <v>76</v>
      </c>
      <c r="R411" s="734"/>
      <c r="S411" s="735"/>
      <c r="T411" s="736"/>
      <c r="U411" s="712"/>
      <c r="W411" s="429" t="s">
        <v>269</v>
      </c>
      <c r="X411" s="457" t="s">
        <v>278</v>
      </c>
      <c r="Y411" s="430" t="s">
        <v>324</v>
      </c>
      <c r="Z411" s="428"/>
      <c r="AA411" s="698"/>
      <c r="AB411" s="696"/>
      <c r="AC411" s="49"/>
      <c r="AD411" s="429" t="s">
        <v>292</v>
      </c>
      <c r="AE411" s="431" t="s">
        <v>300</v>
      </c>
      <c r="AF411" s="468" t="s">
        <v>301</v>
      </c>
      <c r="AG411" s="49"/>
      <c r="AH411" s="87"/>
      <c r="AI411" s="87"/>
    </row>
    <row r="412" spans="1:35">
      <c r="A412" s="44"/>
      <c r="B412" s="76"/>
      <c r="C412" s="77"/>
      <c r="D412" s="77"/>
      <c r="E412" s="77"/>
      <c r="F412" s="77"/>
      <c r="G412" s="77"/>
      <c r="H412" s="77"/>
      <c r="I412" s="77"/>
      <c r="J412" s="77"/>
      <c r="K412" s="77"/>
      <c r="L412" s="77"/>
      <c r="M412" s="77"/>
      <c r="N412" s="77"/>
      <c r="O412" s="77"/>
      <c r="P412" s="77"/>
      <c r="Q412" s="77"/>
      <c r="R412" s="77"/>
      <c r="S412" s="78"/>
      <c r="T412" s="79"/>
      <c r="U412" s="109"/>
      <c r="V412" s="49"/>
      <c r="W412" s="432"/>
      <c r="X412" s="454"/>
      <c r="Y412" s="433"/>
      <c r="Z412" s="6"/>
      <c r="AA412" s="500"/>
      <c r="AB412" s="562"/>
      <c r="AC412" s="49"/>
      <c r="AD412" s="210"/>
      <c r="AE412" s="434"/>
      <c r="AF412" s="435"/>
      <c r="AG412" s="49"/>
      <c r="AH412" s="87"/>
      <c r="AI412" s="87"/>
    </row>
    <row r="413" spans="1:35">
      <c r="A413" s="80" t="e">
        <f>"A"&amp;E409</f>
        <v>#N/A</v>
      </c>
      <c r="B413" s="81">
        <v>1</v>
      </c>
      <c r="C413" s="82"/>
      <c r="D413" s="82"/>
      <c r="E413" s="567"/>
      <c r="F413" s="82"/>
      <c r="G413" s="83"/>
      <c r="H413" s="83"/>
      <c r="I413" s="84"/>
      <c r="J413" s="85"/>
      <c r="K413" s="382"/>
      <c r="L413" s="85"/>
      <c r="M413" s="332"/>
      <c r="N413" s="86">
        <v>30.72</v>
      </c>
      <c r="O413" s="453" t="str">
        <f>IF(OR(G413="",N413=""),"",N413*G413)</f>
        <v/>
      </c>
      <c r="P413" s="538" t="str">
        <f>IF(OR(H413="",M413="FUERA DE RANGO"),"",IF(OR(L413&lt;$O$17,L413&gt;$P$17,L413="",H413="NO"),"",IF(OR(N413="",O413=""),"",ROUND(O413,3))))</f>
        <v/>
      </c>
      <c r="Q413" s="539" t="str">
        <f t="shared" ref="Q413:Q422" si="107">IF(AND(H413="SI",P413&lt;&gt;""),ROUND(P413/M413,3),"")</f>
        <v/>
      </c>
      <c r="R413" s="737"/>
      <c r="S413" s="738"/>
      <c r="T413" s="739"/>
      <c r="U413" s="470"/>
      <c r="V413" s="165"/>
      <c r="W413" s="446" t="s">
        <v>25</v>
      </c>
      <c r="X413" s="456" t="s">
        <v>395</v>
      </c>
      <c r="Y413" s="436" t="s">
        <v>25</v>
      </c>
      <c r="Z413" s="437"/>
      <c r="AA413" s="560" t="s">
        <v>320</v>
      </c>
      <c r="AB413" s="561"/>
      <c r="AC413" s="87"/>
      <c r="AD413" s="466" t="s">
        <v>289</v>
      </c>
      <c r="AE413" s="456" t="s">
        <v>25</v>
      </c>
      <c r="AF413" s="467"/>
      <c r="AG413" s="87"/>
      <c r="AH413" s="87"/>
      <c r="AI413" s="87"/>
    </row>
    <row r="414" spans="1:35">
      <c r="A414" s="80" t="e">
        <f>"B"&amp;E409</f>
        <v>#N/A</v>
      </c>
      <c r="B414" s="81">
        <v>2</v>
      </c>
      <c r="C414" s="82"/>
      <c r="D414" s="106"/>
      <c r="E414" s="567"/>
      <c r="F414" s="106"/>
      <c r="G414" s="83"/>
      <c r="H414" s="83"/>
      <c r="I414" s="84"/>
      <c r="J414" s="85"/>
      <c r="K414" s="382"/>
      <c r="L414" s="85"/>
      <c r="M414" s="332"/>
      <c r="N414" s="86">
        <v>32.68</v>
      </c>
      <c r="O414" s="453" t="str">
        <f t="shared" ref="O414:O422" si="108">IF(OR(G414="",N414=""),"",N414*G414)</f>
        <v/>
      </c>
      <c r="P414" s="538" t="str">
        <f t="shared" ref="P414:P422" si="109">IF(OR(H414="",M414="FUERA DE RANGO"),"",IF(OR(L414&lt;$O$17,L414&gt;$P$17,L414="",H414="NO"),"",IF(OR(N414="",O414=""),"",ROUND(O414,3))))</f>
        <v/>
      </c>
      <c r="Q414" s="539" t="str">
        <f t="shared" si="107"/>
        <v/>
      </c>
      <c r="R414" s="740"/>
      <c r="S414" s="741"/>
      <c r="T414" s="742"/>
      <c r="U414" s="471"/>
      <c r="V414" s="165"/>
      <c r="W414" s="446" t="s">
        <v>25</v>
      </c>
      <c r="X414" s="456" t="s">
        <v>396</v>
      </c>
      <c r="Y414" s="436" t="s">
        <v>25</v>
      </c>
      <c r="Z414" s="437"/>
      <c r="AA414" s="560" t="s">
        <v>320</v>
      </c>
      <c r="AB414" s="561"/>
      <c r="AC414" s="87"/>
      <c r="AD414" s="466" t="s">
        <v>289</v>
      </c>
      <c r="AE414" s="456" t="s">
        <v>25</v>
      </c>
      <c r="AF414" s="467"/>
      <c r="AG414" s="87"/>
      <c r="AH414" s="87"/>
      <c r="AI414" s="87"/>
    </row>
    <row r="415" spans="1:35">
      <c r="A415" s="80" t="e">
        <f>"C"&amp;E409</f>
        <v>#N/A</v>
      </c>
      <c r="B415" s="88">
        <v>3</v>
      </c>
      <c r="C415" s="82"/>
      <c r="D415" s="82"/>
      <c r="E415" s="567"/>
      <c r="F415" s="82"/>
      <c r="G415" s="83"/>
      <c r="H415" s="83"/>
      <c r="I415" s="84"/>
      <c r="J415" s="85"/>
      <c r="K415" s="382"/>
      <c r="L415" s="85"/>
      <c r="M415" s="332"/>
      <c r="N415" s="86">
        <v>104.69</v>
      </c>
      <c r="O415" s="453" t="str">
        <f t="shared" si="108"/>
        <v/>
      </c>
      <c r="P415" s="538" t="str">
        <f t="shared" si="109"/>
        <v/>
      </c>
      <c r="Q415" s="539" t="str">
        <f t="shared" si="107"/>
        <v/>
      </c>
      <c r="R415" s="706"/>
      <c r="S415" s="707"/>
      <c r="T415" s="708"/>
      <c r="U415" s="472"/>
      <c r="V415" s="166"/>
      <c r="W415" s="446" t="s">
        <v>25</v>
      </c>
      <c r="X415" s="456" t="s">
        <v>398</v>
      </c>
      <c r="Y415" s="436" t="s">
        <v>25</v>
      </c>
      <c r="Z415" s="437"/>
      <c r="AA415" s="560" t="s">
        <v>318</v>
      </c>
      <c r="AB415" s="561" t="s">
        <v>294</v>
      </c>
      <c r="AC415" s="87"/>
      <c r="AD415" s="466" t="s">
        <v>289</v>
      </c>
      <c r="AE415" s="456" t="s">
        <v>25</v>
      </c>
      <c r="AF415" s="467" t="s">
        <v>25</v>
      </c>
      <c r="AG415" s="87"/>
      <c r="AH415" s="87"/>
      <c r="AI415" s="87"/>
    </row>
    <row r="416" spans="1:35">
      <c r="A416" s="80" t="e">
        <f>"D"&amp;E409</f>
        <v>#N/A</v>
      </c>
      <c r="B416" s="105">
        <v>4</v>
      </c>
      <c r="C416" s="82"/>
      <c r="D416" s="107"/>
      <c r="E416" s="567"/>
      <c r="F416" s="107"/>
      <c r="G416" s="83"/>
      <c r="H416" s="83"/>
      <c r="I416" s="84"/>
      <c r="J416" s="85"/>
      <c r="K416" s="382"/>
      <c r="L416" s="85"/>
      <c r="M416" s="332"/>
      <c r="N416" s="86">
        <v>61.51</v>
      </c>
      <c r="O416" s="453" t="str">
        <f t="shared" si="108"/>
        <v/>
      </c>
      <c r="P416" s="538" t="str">
        <f t="shared" si="109"/>
        <v/>
      </c>
      <c r="Q416" s="539" t="str">
        <f t="shared" si="107"/>
        <v/>
      </c>
      <c r="R416" s="706"/>
      <c r="S416" s="707"/>
      <c r="T416" s="708"/>
      <c r="U416" s="472"/>
      <c r="V416" s="166"/>
      <c r="W416" s="446" t="s">
        <v>25</v>
      </c>
      <c r="X416" s="456" t="s">
        <v>397</v>
      </c>
      <c r="Y416" s="436" t="s">
        <v>25</v>
      </c>
      <c r="Z416" s="437"/>
      <c r="AA416" s="560" t="s">
        <v>318</v>
      </c>
      <c r="AB416" s="561" t="s">
        <v>294</v>
      </c>
      <c r="AC416" s="87"/>
      <c r="AD416" s="466" t="s">
        <v>289</v>
      </c>
      <c r="AE416" s="456" t="s">
        <v>25</v>
      </c>
      <c r="AF416" s="467" t="s">
        <v>25</v>
      </c>
      <c r="AG416" s="87"/>
      <c r="AH416" s="87"/>
      <c r="AI416" s="87"/>
    </row>
    <row r="417" spans="1:35">
      <c r="A417" s="80" t="e">
        <f>"E"&amp;E409</f>
        <v>#N/A</v>
      </c>
      <c r="B417" s="105">
        <v>5</v>
      </c>
      <c r="C417" s="107"/>
      <c r="D417" s="107"/>
      <c r="E417" s="573"/>
      <c r="F417" s="107"/>
      <c r="G417" s="83"/>
      <c r="H417" s="83"/>
      <c r="I417" s="84"/>
      <c r="J417" s="85"/>
      <c r="K417" s="382"/>
      <c r="L417" s="85"/>
      <c r="M417" s="332"/>
      <c r="N417" s="86">
        <v>120.41</v>
      </c>
      <c r="O417" s="453" t="str">
        <f t="shared" si="108"/>
        <v/>
      </c>
      <c r="P417" s="538" t="str">
        <f t="shared" si="109"/>
        <v/>
      </c>
      <c r="Q417" s="539" t="str">
        <f t="shared" si="107"/>
        <v/>
      </c>
      <c r="R417" s="706"/>
      <c r="S417" s="707"/>
      <c r="T417" s="708"/>
      <c r="U417" s="472"/>
      <c r="V417" s="167"/>
      <c r="W417" s="446" t="s">
        <v>25</v>
      </c>
      <c r="X417" s="456" t="s">
        <v>394</v>
      </c>
      <c r="Y417" s="436" t="s">
        <v>25</v>
      </c>
      <c r="Z417" s="437"/>
      <c r="AA417" s="560" t="s">
        <v>317</v>
      </c>
      <c r="AB417" s="561" t="s">
        <v>294</v>
      </c>
      <c r="AC417" s="87"/>
      <c r="AD417" s="466" t="s">
        <v>289</v>
      </c>
      <c r="AE417" s="456" t="s">
        <v>25</v>
      </c>
      <c r="AF417" s="467" t="s">
        <v>25</v>
      </c>
      <c r="AG417" s="87"/>
      <c r="AH417" s="87"/>
      <c r="AI417" s="87"/>
    </row>
    <row r="418" spans="1:35">
      <c r="A418" s="80" t="e">
        <f>"F"&amp;E409</f>
        <v>#N/A</v>
      </c>
      <c r="B418" s="105">
        <v>6</v>
      </c>
      <c r="C418" s="107"/>
      <c r="D418" s="107"/>
      <c r="E418" s="107"/>
      <c r="F418" s="107"/>
      <c r="G418" s="83"/>
      <c r="H418" s="83"/>
      <c r="I418" s="84"/>
      <c r="J418" s="85"/>
      <c r="K418" s="382"/>
      <c r="L418" s="85"/>
      <c r="M418" s="332" t="str">
        <f>IF(OR(J418="",L418="",H418="NO"),"",IF(OR(J418&gt;$P$17,J418&lt;$O$17,L418&gt;$P$17,AND(J418&lt;$O$17,L418&lt;$O$17)),"FUERA DE RANGO",IF(OR(K418="---",K418=""),IF(J418&gt;=$O$17,ROUND((L418-J418+1)/360*12,3),ROUND((L418-$O$17+1)/360*12,3)),IF(J418&gt;=$O$17,ROUND((L418-J418+1)/360*12-ROUND(K418,3),3),ROUND((L418-$O$17+1)/360*12-ROUND(K418,3),3)))))</f>
        <v/>
      </c>
      <c r="N418" s="86"/>
      <c r="O418" s="453" t="str">
        <f t="shared" si="108"/>
        <v/>
      </c>
      <c r="P418" s="538" t="str">
        <f t="shared" si="109"/>
        <v/>
      </c>
      <c r="Q418" s="539" t="str">
        <f t="shared" si="107"/>
        <v/>
      </c>
      <c r="R418" s="706"/>
      <c r="S418" s="707"/>
      <c r="T418" s="708"/>
      <c r="U418" s="472"/>
      <c r="V418" s="167"/>
      <c r="W418" s="446"/>
      <c r="X418" s="456"/>
      <c r="Y418" s="436"/>
      <c r="Z418" s="437"/>
      <c r="AA418" s="560"/>
      <c r="AB418" s="561"/>
      <c r="AC418" s="87"/>
      <c r="AD418" s="466"/>
      <c r="AE418" s="456"/>
      <c r="AF418" s="467"/>
      <c r="AG418" s="87"/>
      <c r="AH418" s="87"/>
      <c r="AI418" s="87"/>
    </row>
    <row r="419" spans="1:35">
      <c r="A419" s="80" t="e">
        <f>"G"&amp;E409</f>
        <v>#N/A</v>
      </c>
      <c r="B419" s="105">
        <v>7</v>
      </c>
      <c r="C419" s="107"/>
      <c r="D419" s="107"/>
      <c r="E419" s="107"/>
      <c r="F419" s="107"/>
      <c r="G419" s="83"/>
      <c r="H419" s="83"/>
      <c r="I419" s="84"/>
      <c r="J419" s="85"/>
      <c r="K419" s="382"/>
      <c r="L419" s="85"/>
      <c r="M419" s="332" t="str">
        <f>IF(OR(J419="",L419="",H419="NO"),"",IF(OR(J419&gt;$P$17,J419&lt;$O$17,L419&gt;$P$17,AND(J419&lt;$O$17,L419&lt;$O$17)),"FUERA DE RANGO",IF(OR(K419="---",K419=""),IF(J419&gt;=$O$17,ROUND((L419-J419+1)/360*12,3),ROUND((L419-$O$17+1)/360*12,3)),IF(J419&gt;=$O$17,ROUND((L419-J419+1)/360*12-ROUND(K419,3),3),ROUND((L419-$O$17+1)/360*12-ROUND(K419,3),3)))))</f>
        <v/>
      </c>
      <c r="N419" s="86"/>
      <c r="O419" s="86" t="str">
        <f t="shared" si="108"/>
        <v/>
      </c>
      <c r="P419" s="538" t="str">
        <f t="shared" si="109"/>
        <v/>
      </c>
      <c r="Q419" s="539" t="str">
        <f t="shared" si="107"/>
        <v/>
      </c>
      <c r="R419" s="706"/>
      <c r="S419" s="707"/>
      <c r="T419" s="708"/>
      <c r="U419" s="472"/>
      <c r="V419" s="167"/>
      <c r="W419" s="446"/>
      <c r="X419" s="456"/>
      <c r="Y419" s="436"/>
      <c r="Z419" s="437"/>
      <c r="AA419" s="560"/>
      <c r="AB419" s="561"/>
      <c r="AC419" s="87"/>
      <c r="AD419" s="466"/>
      <c r="AE419" s="456"/>
      <c r="AF419" s="467"/>
      <c r="AG419" s="87"/>
      <c r="AH419" s="87"/>
      <c r="AI419" s="87"/>
    </row>
    <row r="420" spans="1:35">
      <c r="A420" s="80" t="e">
        <f>"H"&amp;E409</f>
        <v>#N/A</v>
      </c>
      <c r="B420" s="105">
        <v>8</v>
      </c>
      <c r="C420" s="107"/>
      <c r="D420" s="107"/>
      <c r="E420" s="107"/>
      <c r="F420" s="107"/>
      <c r="G420" s="83"/>
      <c r="H420" s="83"/>
      <c r="I420" s="84"/>
      <c r="J420" s="85"/>
      <c r="K420" s="382"/>
      <c r="L420" s="85"/>
      <c r="M420" s="332" t="str">
        <f>IF(OR(J420="",L420="",H420="NO"),"",IF(OR(J420&gt;$P$17,J420&lt;$O$17,L420&gt;$P$17,AND(J420&lt;$O$17,L420&lt;$O$17)),"FUERA DE RANGO",IF(OR(K420="---",K420=""),IF(J420&gt;=$O$17,ROUND((L420-J420+1)/360*12,3),ROUND((L420-$O$17+1)/360*12,3)),IF(J420&gt;=$O$17,ROUND((L420-J420+1)/360*12-ROUND(K420,3),3),ROUND((L420-$O$17+1)/360*12-ROUND(K420,3),3)))))</f>
        <v/>
      </c>
      <c r="N420" s="453"/>
      <c r="O420" s="86" t="str">
        <f t="shared" si="108"/>
        <v/>
      </c>
      <c r="P420" s="538" t="str">
        <f t="shared" si="109"/>
        <v/>
      </c>
      <c r="Q420" s="539" t="str">
        <f t="shared" si="107"/>
        <v/>
      </c>
      <c r="R420" s="706"/>
      <c r="S420" s="707"/>
      <c r="T420" s="708"/>
      <c r="U420" s="472"/>
      <c r="V420" s="167"/>
      <c r="W420" s="446"/>
      <c r="X420" s="456"/>
      <c r="Y420" s="436"/>
      <c r="Z420" s="437"/>
      <c r="AA420" s="560"/>
      <c r="AB420" s="561"/>
      <c r="AC420" s="87"/>
      <c r="AD420" s="466"/>
      <c r="AE420" s="456"/>
      <c r="AF420" s="467"/>
      <c r="AG420" s="87"/>
      <c r="AH420" s="87"/>
      <c r="AI420" s="87"/>
    </row>
    <row r="421" spans="1:35">
      <c r="A421" s="80" t="e">
        <f>"I"&amp;E409</f>
        <v>#N/A</v>
      </c>
      <c r="B421" s="105">
        <v>9</v>
      </c>
      <c r="C421" s="107"/>
      <c r="D421" s="107"/>
      <c r="E421" s="107"/>
      <c r="F421" s="107"/>
      <c r="G421" s="83"/>
      <c r="H421" s="83"/>
      <c r="I421" s="84"/>
      <c r="J421" s="85"/>
      <c r="K421" s="382"/>
      <c r="L421" s="85"/>
      <c r="M421" s="332" t="str">
        <f>IF(OR(J421="",L421="",H421="NO"),"",IF(OR(J421&gt;$P$17,J421&lt;$O$17,L421&gt;$P$17,AND(J421&lt;$O$17,L421&lt;$O$17)),"FUERA DE RANGO",IF(OR(K421="---",K421=""),IF(J421&gt;=$O$17,ROUND((L421-J421+1)/360*12,3),ROUND((L421-$O$17+1)/360*12,3)),IF(J421&gt;=$O$17,ROUND((L421-J421+1)/360*12-ROUND(K421,3),3),ROUND((L421-$O$17+1)/360*12-ROUND(K421,3),3)))))</f>
        <v/>
      </c>
      <c r="N421" s="453"/>
      <c r="O421" s="86" t="str">
        <f t="shared" si="108"/>
        <v/>
      </c>
      <c r="P421" s="538" t="str">
        <f t="shared" si="109"/>
        <v/>
      </c>
      <c r="Q421" s="539" t="str">
        <f t="shared" si="107"/>
        <v/>
      </c>
      <c r="R421" s="706"/>
      <c r="S421" s="707"/>
      <c r="T421" s="708"/>
      <c r="U421" s="472"/>
      <c r="V421" s="167"/>
      <c r="W421" s="446"/>
      <c r="X421" s="456"/>
      <c r="Y421" s="436"/>
      <c r="Z421" s="437"/>
      <c r="AA421" s="560"/>
      <c r="AB421" s="561"/>
      <c r="AC421" s="87"/>
      <c r="AD421" s="466"/>
      <c r="AE421" s="456"/>
      <c r="AF421" s="467"/>
      <c r="AG421" s="87"/>
      <c r="AH421" s="87"/>
      <c r="AI421" s="87"/>
    </row>
    <row r="422" spans="1:35">
      <c r="A422" s="80" t="e">
        <f>"J"&amp;E409</f>
        <v>#N/A</v>
      </c>
      <c r="B422" s="105">
        <v>10</v>
      </c>
      <c r="C422" s="107"/>
      <c r="D422" s="107"/>
      <c r="E422" s="107"/>
      <c r="F422" s="107"/>
      <c r="G422" s="83"/>
      <c r="H422" s="83"/>
      <c r="I422" s="84"/>
      <c r="J422" s="85"/>
      <c r="K422" s="382"/>
      <c r="L422" s="85"/>
      <c r="M422" s="332" t="str">
        <f>IF(OR(J422="",L422="",H422="NO"),"",IF(OR(J422&gt;$P$17,J422&lt;$O$17,L422&gt;$P$17,AND(J422&lt;$O$17,L422&lt;$O$17)),"FUERA DE RANGO",IF(OR(K422="---",K422=""),IF(J422&gt;=$O$17,ROUND((L422-J422+1)/360*12,3),ROUND((L422-$O$17+1)/360*12,3)),IF(J422&gt;=$O$17,ROUND((L422-J422+1)/360*12-ROUND(K422,3),3),ROUND((L422-$O$17+1)/360*12-ROUND(K422,3),3)))))</f>
        <v/>
      </c>
      <c r="N422" s="453"/>
      <c r="O422" s="86" t="str">
        <f t="shared" si="108"/>
        <v/>
      </c>
      <c r="P422" s="538" t="str">
        <f t="shared" si="109"/>
        <v/>
      </c>
      <c r="Q422" s="539" t="str">
        <f t="shared" si="107"/>
        <v/>
      </c>
      <c r="R422" s="706"/>
      <c r="S422" s="707"/>
      <c r="T422" s="708"/>
      <c r="U422" s="472"/>
      <c r="V422" s="167"/>
      <c r="W422" s="446"/>
      <c r="X422" s="456"/>
      <c r="Y422" s="436"/>
      <c r="Z422" s="437"/>
      <c r="AA422" s="560"/>
      <c r="AB422" s="561"/>
      <c r="AC422" s="87"/>
      <c r="AD422" s="466"/>
      <c r="AE422" s="456"/>
      <c r="AF422" s="467"/>
      <c r="AG422" s="87"/>
      <c r="AH422" s="87"/>
      <c r="AI422" s="87"/>
    </row>
    <row r="423" spans="1:35" ht="16.5" thickBot="1">
      <c r="A423" s="44"/>
      <c r="B423" s="89"/>
      <c r="C423" s="90"/>
      <c r="D423" s="90"/>
      <c r="E423" s="90"/>
      <c r="F423" s="90"/>
      <c r="G423" s="90"/>
      <c r="H423" s="90"/>
      <c r="I423" s="90"/>
      <c r="J423" s="90"/>
      <c r="K423" s="90"/>
      <c r="L423" s="90"/>
      <c r="M423" s="90"/>
      <c r="N423" s="90"/>
      <c r="O423" s="90"/>
      <c r="P423" s="90"/>
      <c r="Q423" s="90"/>
      <c r="R423" s="90"/>
      <c r="S423" s="91"/>
      <c r="T423" s="92"/>
      <c r="U423" s="473"/>
      <c r="W423" s="438"/>
      <c r="X423" s="455"/>
      <c r="Y423" s="439"/>
      <c r="Z423" s="437"/>
      <c r="AA423" s="530"/>
      <c r="AB423" s="563"/>
      <c r="AC423" s="87"/>
      <c r="AD423" s="440"/>
      <c r="AE423" s="441"/>
      <c r="AF423" s="442"/>
      <c r="AG423" s="49"/>
      <c r="AH423" s="87"/>
      <c r="AI423" s="87"/>
    </row>
    <row r="424" spans="1:35" ht="16.5" thickBot="1">
      <c r="A424" s="93"/>
      <c r="B424" s="94"/>
      <c r="C424" s="96"/>
      <c r="D424" s="96"/>
      <c r="E424" s="96"/>
      <c r="F424" s="96"/>
      <c r="G424" s="96"/>
      <c r="H424" s="96"/>
      <c r="I424" s="96"/>
      <c r="J424" s="96"/>
      <c r="K424" s="96"/>
      <c r="L424" s="96"/>
      <c r="M424" s="136"/>
      <c r="N424" s="96"/>
      <c r="O424" s="96"/>
      <c r="P424" s="97"/>
      <c r="Q424" s="97"/>
      <c r="R424" s="98"/>
      <c r="S424" s="95"/>
      <c r="T424" s="99"/>
      <c r="U424" s="469"/>
      <c r="AC424" s="58"/>
      <c r="AG424" s="58"/>
      <c r="AH424" s="87"/>
      <c r="AI424" s="87"/>
    </row>
    <row r="425" spans="1:35" ht="16.5" thickBot="1">
      <c r="B425" s="101"/>
      <c r="C425" s="101"/>
      <c r="D425" s="101"/>
      <c r="E425" s="101"/>
      <c r="F425" s="101"/>
      <c r="G425" s="101"/>
      <c r="H425" s="101"/>
      <c r="I425" s="101"/>
      <c r="J425" s="101"/>
      <c r="K425" s="101"/>
      <c r="L425" s="101"/>
      <c r="M425" s="101"/>
      <c r="N425" s="101"/>
      <c r="O425" s="101"/>
      <c r="P425" s="101"/>
      <c r="Q425" s="101"/>
      <c r="R425" s="101"/>
      <c r="S425" s="101"/>
      <c r="U425" s="50"/>
      <c r="AH425" s="87"/>
      <c r="AI425" s="87"/>
    </row>
    <row r="426" spans="1:35" ht="16.5" customHeight="1" thickBot="1">
      <c r="A426" s="44"/>
      <c r="B426" s="705" t="s">
        <v>74</v>
      </c>
      <c r="C426" s="705"/>
      <c r="D426" s="705"/>
      <c r="E426" s="705"/>
      <c r="F426" s="705"/>
      <c r="G426" s="705"/>
      <c r="H426" s="705"/>
      <c r="I426" s="705"/>
      <c r="J426" s="705"/>
      <c r="K426" s="705"/>
      <c r="L426" s="705"/>
      <c r="M426" s="705"/>
      <c r="N426" s="705"/>
      <c r="O426" s="705"/>
      <c r="P426" s="705"/>
      <c r="Q426" s="705"/>
      <c r="R426" s="705"/>
      <c r="S426" s="705"/>
      <c r="T426" s="705"/>
      <c r="U426" s="108"/>
      <c r="Y426" s="532" t="s">
        <v>341</v>
      </c>
      <c r="AC426" s="49"/>
      <c r="AD426" s="687" t="s">
        <v>302</v>
      </c>
      <c r="AE426" s="688"/>
      <c r="AF426" s="689"/>
      <c r="AG426" s="49"/>
      <c r="AH426" s="87"/>
      <c r="AI426" s="87"/>
    </row>
    <row r="427" spans="1:35" ht="15.75" customHeight="1" thickBot="1">
      <c r="A427" s="218" t="e">
        <f>"K"&amp;E409</f>
        <v>#N/A</v>
      </c>
      <c r="B427" s="701" t="s">
        <v>71</v>
      </c>
      <c r="C427" s="751" t="s">
        <v>102</v>
      </c>
      <c r="D427" s="751"/>
      <c r="E427" s="751"/>
      <c r="F427" s="751"/>
      <c r="G427" s="751"/>
      <c r="H427" s="751"/>
      <c r="I427" s="751"/>
      <c r="J427" s="751"/>
      <c r="K427" s="751"/>
      <c r="L427" s="722" t="s">
        <v>100</v>
      </c>
      <c r="M427" s="747" t="s">
        <v>114</v>
      </c>
      <c r="N427" s="747"/>
      <c r="O427" s="747"/>
      <c r="P427" s="747"/>
      <c r="Q427" s="748"/>
      <c r="R427" s="758" t="s">
        <v>280</v>
      </c>
      <c r="S427" s="748"/>
      <c r="T427" s="762" t="str">
        <f>IF(COUNTIF(AE427:AF427,"VERIFICAR")&gt;0,"VERIFICAR",IF(COUNTIF(AE427:AF427,"NO CUMPLE")&gt;0,"NO CUMPLE","CUMPLE"))</f>
        <v>CUMPLE</v>
      </c>
      <c r="U427" s="108"/>
      <c r="Y427" s="533" t="e">
        <f>IF(F428="","",IF(F428=1,"INDIVIDUAL","ESTRUCTURA PLURAL"))</f>
        <v>#N/A</v>
      </c>
      <c r="AC427" s="52"/>
      <c r="AD427" s="475" t="s">
        <v>303</v>
      </c>
      <c r="AE427" s="476" t="str">
        <f>IF(COUNTIF(AE413:AE422,"")=10,"VERIFICAR",IF(COUNTIF(AE413:AE422,"SI")&gt;0,"CUMPLE","NO CUMPLE"))</f>
        <v>CUMPLE</v>
      </c>
      <c r="AF427" s="477" t="str">
        <f>IF(COUNTIF(AF413:AF422,"")=10,"VERIFICAR",IF(COUNTIF(AF413:AF422,"SI")&gt;=$AI$22,"CUMPLE","NO CUMPLE"))</f>
        <v>CUMPLE</v>
      </c>
      <c r="AG427" s="52"/>
      <c r="AH427" s="87"/>
      <c r="AI427" s="87"/>
    </row>
    <row r="428" spans="1:35" ht="16.5" customHeight="1" thickBot="1">
      <c r="A428" s="218" t="e">
        <f>"L"&amp;E409</f>
        <v>#N/A</v>
      </c>
      <c r="B428" s="702"/>
      <c r="C428" s="751" t="s">
        <v>103</v>
      </c>
      <c r="D428" s="751"/>
      <c r="E428" s="752"/>
      <c r="F428" s="557" t="e">
        <f>IF(VLOOKUP(E409,PROPONENTES!$C$19:$E$218,3,0)="","",VLOOKUP(E409,PROPONENTES!$C$19:$E$218,3,0))</f>
        <v>#N/A</v>
      </c>
      <c r="G428" s="753" t="s">
        <v>104</v>
      </c>
      <c r="H428" s="751"/>
      <c r="I428" s="715" t="e">
        <f>IF(OR(F428="",F428=1),"INTERESADO PERSONA NATURAL O JURIDICA","CONSORCIO O UNION TEMPORAL")</f>
        <v>#N/A</v>
      </c>
      <c r="J428" s="725"/>
      <c r="K428" s="728"/>
      <c r="L428" s="723"/>
      <c r="M428" s="749"/>
      <c r="N428" s="749"/>
      <c r="O428" s="749"/>
      <c r="P428" s="749"/>
      <c r="Q428" s="750"/>
      <c r="R428" s="712"/>
      <c r="S428" s="750"/>
      <c r="T428" s="763"/>
      <c r="U428" s="108"/>
      <c r="Y428" s="534"/>
      <c r="AA428" s="52"/>
      <c r="AB428" s="52"/>
      <c r="AC428" s="52"/>
      <c r="AG428" s="52"/>
      <c r="AH428" s="87"/>
      <c r="AI428" s="87"/>
    </row>
    <row r="429" spans="1:35" ht="56.25" customHeight="1" thickBot="1">
      <c r="A429" s="218" t="e">
        <f>"M"&amp;E409</f>
        <v>#N/A</v>
      </c>
      <c r="B429" s="702"/>
      <c r="C429" s="725" t="s">
        <v>101</v>
      </c>
      <c r="D429" s="716"/>
      <c r="E429" s="558" t="s">
        <v>105</v>
      </c>
      <c r="F429" s="554" t="s">
        <v>87</v>
      </c>
      <c r="G429" s="553" t="s">
        <v>86</v>
      </c>
      <c r="H429" s="559" t="s">
        <v>85</v>
      </c>
      <c r="I429" s="554" t="s">
        <v>252</v>
      </c>
      <c r="J429" s="553" t="str">
        <f>"¿EL INTEGRANTE TIENE UNA PARTICIPACIÓN DEL "&amp;PORCREQUERIDOINT*100&amp;"%?"</f>
        <v>¿EL INTEGRANTE TIENE UNA PARTICIPACIÓN DEL 60%?</v>
      </c>
      <c r="K429" s="554" t="s">
        <v>107</v>
      </c>
      <c r="L429" s="724"/>
      <c r="M429" s="717" t="s">
        <v>115</v>
      </c>
      <c r="N429" s="718"/>
      <c r="O429" s="718"/>
      <c r="P429" s="718"/>
      <c r="Q429" s="223">
        <f>IF(AND(H413="SI",P413&gt;=0),1,0)+IF(AND(H414="SI",P414&gt;=0),1,0)+IF(AND(H415="SI",P415&gt;=0),1,0)+IF(AND(H416="SI",P416&gt;=0),1,0)+IF(AND(H417="SI",P417&gt;=0),1,0)+IF(AND(H418="SI",P418&gt;=0),1,0)+IF(AND(H419="SI",P419&gt;=0),1,0)+IF(AND(H420="SI",P420&gt;=0),1,0)+IF(AND(H421="SI",P421&gt;=0),1,0)+IF(AND(H422="SI",P422&gt;=0),1,0)</f>
        <v>0</v>
      </c>
      <c r="R429" s="759"/>
      <c r="S429" s="761"/>
      <c r="T429" s="764"/>
      <c r="U429" s="219"/>
      <c r="V429" s="464"/>
      <c r="Y429" s="532" t="s">
        <v>342</v>
      </c>
      <c r="AA429" s="550" t="s">
        <v>344</v>
      </c>
      <c r="AB429" s="693" t="s">
        <v>345</v>
      </c>
      <c r="AC429" s="693" t="s">
        <v>346</v>
      </c>
      <c r="AD429" s="685" t="s">
        <v>347</v>
      </c>
      <c r="AE429" s="52"/>
      <c r="AF429" s="52"/>
      <c r="AG429" s="52"/>
      <c r="AH429" s="87"/>
      <c r="AI429" s="87"/>
    </row>
    <row r="430" spans="1:35" ht="39" customHeight="1" thickBot="1">
      <c r="A430" s="218" t="e">
        <f>"N"&amp;E409</f>
        <v>#N/A</v>
      </c>
      <c r="B430" s="702"/>
      <c r="C430" s="114">
        <v>1</v>
      </c>
      <c r="D430" s="194" t="e">
        <f>IF(AND(C430&lt;=F428,F428&gt;1,F428&lt;&gt;""),VLOOKUP(VALUE(E409&amp;","&amp;C430),INTEGRANTES!$D$18:$F$235,2,0),"")</f>
        <v>#N/A</v>
      </c>
      <c r="E430" s="211" t="e">
        <f>IF(D430&lt;&gt;"",VLOOKUP(VALUE(E409&amp;","&amp;C430),INTEGRANTES!$D$18:$F$235,3,0),"")</f>
        <v>#N/A</v>
      </c>
      <c r="F430" s="547" t="e">
        <f>IF(D430="","",SUMIF($I413:$I422,D430,$P413:$P422))</f>
        <v>#N/A</v>
      </c>
      <c r="G430" s="333" t="e">
        <f>IF(D430="","",SUMIF($I413:$I422,D430,$M413:$M422))</f>
        <v>#N/A</v>
      </c>
      <c r="H430" s="535" t="e">
        <f t="shared" ref="H430:H435" si="110">IF(D430="","",IF(OR(F430=0,G430=0),"NO APORTA",ROUND($F430/$G430,3)))</f>
        <v>#N/A</v>
      </c>
      <c r="I430" s="212" t="e">
        <f>IF(D430="","",IF(H430="NO APORTA","NO",IF(H430=MAX($H430:$H435),"SI","NO")))</f>
        <v>#N/A</v>
      </c>
      <c r="J430" s="213" t="e">
        <f t="shared" ref="J430:J435" si="111">IF(D430="","",IF(E430&gt;=PORCREQUERIDOINT,"SI","NO"))</f>
        <v>#N/A</v>
      </c>
      <c r="K430" s="200" t="e">
        <f t="shared" ref="K430:K435" si="112">IF(D430="","",IF(AND(I430="SI",J430="SI"),"CUMPLE",IF(AND(I430="NO",OR(J430="SI",J430="NO")),"","NO CUMPLE")))</f>
        <v>#N/A</v>
      </c>
      <c r="L430" s="722" t="s">
        <v>108</v>
      </c>
      <c r="M430" s="726" t="s">
        <v>119</v>
      </c>
      <c r="N430" s="726"/>
      <c r="O430" s="726"/>
      <c r="P430" s="726"/>
      <c r="Q430" s="727"/>
      <c r="R430" s="758" t="s">
        <v>80</v>
      </c>
      <c r="S430" s="747"/>
      <c r="T430" s="748"/>
      <c r="U430" s="219"/>
      <c r="V430" s="464"/>
      <c r="Y430" s="533" t="e">
        <f>IF(Y427="","",IF(Y427="INDIVIDUAL","NO APLICA","VERIFICAR CUADRO"))</f>
        <v>#N/A</v>
      </c>
      <c r="AA430" s="551"/>
      <c r="AB430" s="694"/>
      <c r="AC430" s="694"/>
      <c r="AD430" s="686"/>
      <c r="AE430" s="52"/>
      <c r="AF430" s="52"/>
      <c r="AG430" s="52"/>
      <c r="AH430" s="87"/>
      <c r="AI430" s="87"/>
    </row>
    <row r="431" spans="1:35" ht="27" customHeight="1" thickBot="1">
      <c r="A431" s="218" t="e">
        <f>"O"&amp;E409</f>
        <v>#N/A</v>
      </c>
      <c r="B431" s="702"/>
      <c r="C431" s="114">
        <v>2</v>
      </c>
      <c r="D431" s="194" t="e">
        <f>IF(AND(C431&lt;=F428,F428&lt;&gt;""),VLOOKUP(VALUE(E409&amp;","&amp;C431),INTEGRANTES!$D$18:$F$235,2,0),"")</f>
        <v>#N/A</v>
      </c>
      <c r="E431" s="211" t="e">
        <f>IF(D431&lt;&gt;"",VLOOKUP(VALUE(E409&amp;","&amp;C431),INTEGRANTES!$D$18:$F$235,3,0),"")</f>
        <v>#N/A</v>
      </c>
      <c r="F431" s="547" t="e">
        <f>IF(D431="","",SUMIF($I413:$I422,D431,$P413:$P422))</f>
        <v>#N/A</v>
      </c>
      <c r="G431" s="333" t="e">
        <f>IF(D431="","",SUMIF($I413:$I422,D431,$M413:$M422))</f>
        <v>#N/A</v>
      </c>
      <c r="H431" s="535" t="e">
        <f t="shared" si="110"/>
        <v>#N/A</v>
      </c>
      <c r="I431" s="212" t="e">
        <f>IF(D431="","",IF(H431="NO APORTA","NO",IF(H431=MAX($H430:$H435),"SI","NO")))</f>
        <v>#N/A</v>
      </c>
      <c r="J431" s="213" t="e">
        <f t="shared" si="111"/>
        <v>#N/A</v>
      </c>
      <c r="K431" s="200" t="e">
        <f t="shared" si="112"/>
        <v>#N/A</v>
      </c>
      <c r="L431" s="723"/>
      <c r="M431" s="715" t="s">
        <v>116</v>
      </c>
      <c r="N431" s="716"/>
      <c r="O431" s="556" t="s">
        <v>113</v>
      </c>
      <c r="P431" s="715" t="s">
        <v>117</v>
      </c>
      <c r="Q431" s="728"/>
      <c r="R431" s="759"/>
      <c r="S431" s="760"/>
      <c r="T431" s="761"/>
      <c r="U431" s="219"/>
      <c r="V431" s="464"/>
      <c r="Y431" s="414"/>
      <c r="AA431" s="542" t="e">
        <f>IF(AND(C430&lt;=F428,F428&gt;1,F428&lt;&gt;""),VLOOKUP(VALUE(E409&amp;","&amp;C430),INTEGRANTES!$D$18:$F$235,2,0),"")</f>
        <v>#N/A</v>
      </c>
      <c r="AB431" s="544" t="e">
        <f t="shared" ref="AB431:AB436" si="113">IF(D430="","",IF(OR(F430=0,G430=0),"NO APORTA",ROUND($F430/$G430,3)))</f>
        <v>#N/A</v>
      </c>
      <c r="AC431" s="529"/>
      <c r="AD431" s="200" t="e">
        <f t="shared" ref="AD431:AD436" si="114">IF(OR(AA431="",AB431=""),"",IF(AND(AC431="X",AB431&gt;=EXPREQVTD),"CUMPLE","NO CUMPLE"))</f>
        <v>#N/A</v>
      </c>
      <c r="AE431" s="52"/>
      <c r="AF431" s="52"/>
      <c r="AG431" s="52"/>
      <c r="AH431" s="87"/>
      <c r="AI431" s="87"/>
    </row>
    <row r="432" spans="1:35" ht="16.5" thickBot="1">
      <c r="A432" s="218" t="e">
        <f>"P"&amp;E409</f>
        <v>#N/A</v>
      </c>
      <c r="B432" s="702"/>
      <c r="C432" s="114">
        <v>3</v>
      </c>
      <c r="D432" s="194" t="e">
        <f>IF(AND(C432&lt;=F428,F428&lt;&gt;""),VLOOKUP(VALUE(E409&amp;","&amp;C432),INTEGRANTES!$D$18:$F$235,2,0),"")</f>
        <v>#N/A</v>
      </c>
      <c r="E432" s="211" t="e">
        <f>IF(D432&lt;&gt;"",VLOOKUP(VALUE(E409&amp;","&amp;C432),INTEGRANTES!$D$18:$F$235,3,0),"")</f>
        <v>#N/A</v>
      </c>
      <c r="F432" s="547" t="e">
        <f>IF(D432="","",SUMIF($I413:$I422,D432,$P413:$P422))</f>
        <v>#N/A</v>
      </c>
      <c r="G432" s="333" t="e">
        <f>IF(D432="","",SUMIF($I413:$I422,D432,$M413:$M422))</f>
        <v>#N/A</v>
      </c>
      <c r="H432" s="535" t="e">
        <f t="shared" si="110"/>
        <v>#N/A</v>
      </c>
      <c r="I432" s="212" t="e">
        <f>IF(D432="","",IF(H432="NO APORTA","NO",IF(H432=MAX($H430:$H435),"SI","NO")))</f>
        <v>#N/A</v>
      </c>
      <c r="J432" s="213" t="e">
        <f t="shared" si="111"/>
        <v>#N/A</v>
      </c>
      <c r="K432" s="200" t="e">
        <f t="shared" si="112"/>
        <v>#N/A</v>
      </c>
      <c r="L432" s="724"/>
      <c r="M432" s="729">
        <f>NUMMOD</f>
        <v>1</v>
      </c>
      <c r="N432" s="730"/>
      <c r="O432" s="443">
        <f>IF(M432="","",VLOOKUP(M432,PRESUPUESTOS!$B$16:$H$16,5,FALSE))</f>
        <v>2</v>
      </c>
      <c r="P432" s="713">
        <f>IF(OR(COUNTIF(M413:M422,"")&gt;=10,Q429&lt;NUMMINCONT,OR(T427="NO CUMPLE",T427="VERIFICAR")),0,ROUND(AVERAGE(M413:M422),3))</f>
        <v>0</v>
      </c>
      <c r="Q432" s="714"/>
      <c r="R432" s="458"/>
      <c r="S432" s="459"/>
      <c r="T432" s="460"/>
      <c r="U432" s="219"/>
      <c r="V432" s="464"/>
      <c r="Y432" s="532" t="str">
        <f>"40% * ("&amp;PRESUPUESTOS!$H$13&amp;")"</f>
        <v>40% * (50% PFMO)</v>
      </c>
      <c r="AA432" s="540" t="e">
        <f>IF(AND(C431&lt;=F428,F428&lt;&gt;""),VLOOKUP(VALUE(E409&amp;","&amp;C431),INTEGRANTES!$D$18:$F$235,2,0),"")</f>
        <v>#N/A</v>
      </c>
      <c r="AB432" s="545" t="e">
        <f t="shared" si="113"/>
        <v>#N/A</v>
      </c>
      <c r="AC432" s="529"/>
      <c r="AD432" s="200" t="e">
        <f t="shared" si="114"/>
        <v>#N/A</v>
      </c>
      <c r="AE432" s="52"/>
      <c r="AF432" s="52"/>
      <c r="AG432" s="52"/>
      <c r="AH432" s="87"/>
      <c r="AI432" s="87"/>
    </row>
    <row r="433" spans="1:35" ht="15.75" customHeight="1" thickBot="1">
      <c r="A433" s="218" t="e">
        <f>"Q"&amp;E409</f>
        <v>#N/A</v>
      </c>
      <c r="B433" s="702"/>
      <c r="C433" s="114">
        <v>4</v>
      </c>
      <c r="D433" s="194" t="e">
        <f>IF(AND(C433&lt;=F428,F428&lt;&gt;""),VLOOKUP(VALUE(E409&amp;","&amp;C433),INTEGRANTES!$D$18:$F$235,2,0),"")</f>
        <v>#N/A</v>
      </c>
      <c r="E433" s="211" t="e">
        <f>IF(D433&lt;&gt;"",VLOOKUP(VALUE(E409&amp;","&amp;C433),INTEGRANTES!$D$18:$F$235,3,0),"")</f>
        <v>#N/A</v>
      </c>
      <c r="F433" s="547" t="e">
        <f>IF(D433="","",SUMIF($I413:$I422,D433,$P413:$P422))</f>
        <v>#N/A</v>
      </c>
      <c r="G433" s="333" t="e">
        <f>IF(D433="","",SUMIF($I413:$I422,D433,$M413:$M422))</f>
        <v>#N/A</v>
      </c>
      <c r="H433" s="535" t="e">
        <f t="shared" si="110"/>
        <v>#N/A</v>
      </c>
      <c r="I433" s="212" t="e">
        <f>IF(D433="","",IF(H433="NO APORTA","NO",IF(H433=MAX($H430:$H435),"SI","NO")))</f>
        <v>#N/A</v>
      </c>
      <c r="J433" s="213" t="e">
        <f t="shared" si="111"/>
        <v>#N/A</v>
      </c>
      <c r="K433" s="200" t="e">
        <f t="shared" si="112"/>
        <v>#N/A</v>
      </c>
      <c r="L433" s="720" t="s">
        <v>109</v>
      </c>
      <c r="M433" s="757" t="s">
        <v>120</v>
      </c>
      <c r="N433" s="726"/>
      <c r="O433" s="726"/>
      <c r="P433" s="726"/>
      <c r="Q433" s="727"/>
      <c r="R433" s="458"/>
      <c r="S433" s="459"/>
      <c r="T433" s="460"/>
      <c r="U433" s="219"/>
      <c r="V433" s="464"/>
      <c r="Y433" s="537">
        <f>0.4*PRESUPUESTOS!$H$16</f>
        <v>10.3124</v>
      </c>
      <c r="AA433" s="540" t="e">
        <f>IF(AND(C432&lt;=F428,F428&lt;&gt;""),VLOOKUP(VALUE(E409&amp;","&amp;C432),INTEGRANTES!$D$18:$F$235,2,0),"")</f>
        <v>#N/A</v>
      </c>
      <c r="AB433" s="545" t="e">
        <f t="shared" si="113"/>
        <v>#N/A</v>
      </c>
      <c r="AC433" s="529"/>
      <c r="AD433" s="200" t="e">
        <f t="shared" si="114"/>
        <v>#N/A</v>
      </c>
      <c r="AE433" s="52"/>
      <c r="AF433" s="52"/>
      <c r="AG433" s="52"/>
      <c r="AH433" s="87"/>
      <c r="AI433" s="87"/>
    </row>
    <row r="434" spans="1:35" ht="27" customHeight="1" thickBot="1">
      <c r="A434" s="218" t="e">
        <f>"R"&amp;E409</f>
        <v>#N/A</v>
      </c>
      <c r="B434" s="702"/>
      <c r="C434" s="114">
        <v>5</v>
      </c>
      <c r="D434" s="194" t="e">
        <f>IF(AND(C434&lt;=F428,F428&lt;&gt;""),VLOOKUP(VALUE(E409&amp;","&amp;C434),INTEGRANTES!$D$18:$F$235,2,0),"")</f>
        <v>#N/A</v>
      </c>
      <c r="E434" s="211" t="e">
        <f>IF(D434&lt;&gt;"",VLOOKUP(VALUE(E409&amp;","&amp;C434),INTEGRANTES!$D$18:$F$235,3,0),"")</f>
        <v>#N/A</v>
      </c>
      <c r="F434" s="547" t="e">
        <f>IF(D434="","",SUMIF($I413:$I422,D434,$P413:$P422))</f>
        <v>#N/A</v>
      </c>
      <c r="G434" s="333" t="e">
        <f>IF(D434="","",SUMIF($I413:$I422,D434,$M413:$M422))</f>
        <v>#N/A</v>
      </c>
      <c r="H434" s="535" t="e">
        <f t="shared" si="110"/>
        <v>#N/A</v>
      </c>
      <c r="I434" s="212" t="e">
        <f>IF(D434="","",IF(H434="NO APORTA","NO",IF(H434=MAX($H430:$H435),"SI","NO")))</f>
        <v>#N/A</v>
      </c>
      <c r="J434" s="213" t="e">
        <f t="shared" si="111"/>
        <v>#N/A</v>
      </c>
      <c r="K434" s="200" t="e">
        <f t="shared" si="112"/>
        <v>#N/A</v>
      </c>
      <c r="L434" s="721"/>
      <c r="M434" s="715" t="s">
        <v>116</v>
      </c>
      <c r="N434" s="716"/>
      <c r="O434" s="556" t="str">
        <f>PORCREQUERIDO*100&amp;"% PMFO DEL MÓDULO"</f>
        <v>50% PMFO DEL MÓDULO</v>
      </c>
      <c r="P434" s="715" t="s">
        <v>118</v>
      </c>
      <c r="Q434" s="728"/>
      <c r="R434" s="458"/>
      <c r="S434" s="459"/>
      <c r="T434" s="460"/>
      <c r="U434" s="219"/>
      <c r="V434" s="464"/>
      <c r="Y434" s="414"/>
      <c r="AA434" s="540" t="e">
        <f>IF(AND(C433&lt;=F428,F428&lt;&gt;""),VLOOKUP(VALUE(E409&amp;","&amp;C433),INTEGRANTES!$D$18:$F$235,2,0),"")</f>
        <v>#N/A</v>
      </c>
      <c r="AB434" s="545" t="e">
        <f t="shared" si="113"/>
        <v>#N/A</v>
      </c>
      <c r="AC434" s="529"/>
      <c r="AD434" s="200" t="e">
        <f t="shared" si="114"/>
        <v>#N/A</v>
      </c>
      <c r="AE434" s="52"/>
      <c r="AF434" s="52"/>
      <c r="AG434" s="52"/>
      <c r="AH434" s="87"/>
      <c r="AI434" s="87"/>
    </row>
    <row r="435" spans="1:35" ht="16.5" thickBot="1">
      <c r="A435" s="218" t="e">
        <f>"S"&amp;E409</f>
        <v>#N/A</v>
      </c>
      <c r="B435" s="702"/>
      <c r="C435" s="215">
        <v>6</v>
      </c>
      <c r="D435" s="216" t="e">
        <f>IF(AND(C435&lt;=F428,F428&lt;&gt;""),VLOOKUP(VALUE(E409&amp;","&amp;C435),INTEGRANTES!$D$18:$F$235,2,0),"")</f>
        <v>#N/A</v>
      </c>
      <c r="E435" s="217" t="e">
        <f>IF(D435&lt;&gt;"",VLOOKUP(VALUE(E409&amp;","&amp;C435),INTEGRANTES!$D$18:$F$235,3,0),"")</f>
        <v>#N/A</v>
      </c>
      <c r="F435" s="548" t="e">
        <f>IF(D435="","",SUMIF($I413:$I422,D435,$P413:$P422))</f>
        <v>#N/A</v>
      </c>
      <c r="G435" s="334" t="e">
        <f>IF(D435="","",SUMIF($I413:$I422,D435,$M413:$M422))</f>
        <v>#N/A</v>
      </c>
      <c r="H435" s="536" t="e">
        <f t="shared" si="110"/>
        <v>#N/A</v>
      </c>
      <c r="I435" s="214" t="e">
        <f>IF(D435="","",IF(H435="NO APORTA","NO",IF(H435=MAX($H430:$H435),"SI","NO")))</f>
        <v>#N/A</v>
      </c>
      <c r="J435" s="213" t="e">
        <f t="shared" si="111"/>
        <v>#N/A</v>
      </c>
      <c r="K435" s="200" t="e">
        <f t="shared" si="112"/>
        <v>#N/A</v>
      </c>
      <c r="L435" s="721"/>
      <c r="M435" s="729">
        <f>NUMMOD</f>
        <v>1</v>
      </c>
      <c r="N435" s="730"/>
      <c r="O435" s="443">
        <f>IF(M435="","",ROUND(VLOOKUP(M435,PRESUPUESTOS!$B$16:$H$16,7,FALSE),3))</f>
        <v>25.780999999999999</v>
      </c>
      <c r="P435" s="713">
        <f>IF(OR(COUNTIF(P413:P422,"")&gt;=10,Q429&lt;NUMMINCONT,OR(T427="NO CUMPLE",T427="VERIFICAR")),0,ROUND((SUM(P413:P422)/SUM(M413:M422)),3))</f>
        <v>0</v>
      </c>
      <c r="Q435" s="714"/>
      <c r="R435" s="458"/>
      <c r="S435" s="459"/>
      <c r="T435" s="460"/>
      <c r="U435" s="219"/>
      <c r="V435" s="464"/>
      <c r="Y435" s="532" t="s">
        <v>343</v>
      </c>
      <c r="AA435" s="540" t="e">
        <f>IF(AND(C434&lt;=F428,F428&lt;&gt;""),VLOOKUP(VALUE(E409&amp;","&amp;C434),INTEGRANTES!$D$18:$F$235,2,0),"")</f>
        <v>#N/A</v>
      </c>
      <c r="AB435" s="545" t="e">
        <f t="shared" si="113"/>
        <v>#N/A</v>
      </c>
      <c r="AC435" s="529"/>
      <c r="AD435" s="200" t="e">
        <f t="shared" si="114"/>
        <v>#N/A</v>
      </c>
      <c r="AE435" s="52"/>
      <c r="AF435" s="52"/>
      <c r="AG435" s="52"/>
      <c r="AH435" s="87"/>
      <c r="AI435" s="87"/>
    </row>
    <row r="436" spans="1:35" ht="16.5" customHeight="1" thickBot="1">
      <c r="A436" s="218" t="e">
        <f>"T"&amp;E409</f>
        <v>#N/A</v>
      </c>
      <c r="B436" s="703"/>
      <c r="C436" s="719"/>
      <c r="D436" s="719"/>
      <c r="E436" s="719"/>
      <c r="F436" s="719"/>
      <c r="G436" s="719"/>
      <c r="H436" s="719" t="s">
        <v>110</v>
      </c>
      <c r="I436" s="719"/>
      <c r="J436" s="719"/>
      <c r="K436" s="201" t="str">
        <f>IF(COUNTIF(K430:K435,"")=6,"",IF(COUNTIF(K430:K435,"CUMPLE")&gt;0,"CUMPLE","NO CUMPLE"))</f>
        <v>NO CUMPLE</v>
      </c>
      <c r="L436" s="754"/>
      <c r="M436" s="755"/>
      <c r="N436" s="755"/>
      <c r="O436" s="755"/>
      <c r="P436" s="755"/>
      <c r="Q436" s="756"/>
      <c r="R436" s="461"/>
      <c r="S436" s="462"/>
      <c r="T436" s="463"/>
      <c r="U436" s="219"/>
      <c r="V436" s="464"/>
      <c r="Y436" s="549" t="e">
        <f>IF(Y430="NO APLICA","NO APLICA",IF(COUNTIF(AD431:AD436,"CUMPLE")&gt;0,"CUMPLE","NO CUMPLE"))</f>
        <v>#N/A</v>
      </c>
      <c r="AA436" s="541" t="e">
        <f>IF(AND(C435&lt;=F428,F428&lt;&gt;""),VLOOKUP(VALUE(E409&amp;","&amp;C435),INTEGRANTES!$D$18:$F$235,2,0),"")</f>
        <v>#N/A</v>
      </c>
      <c r="AB436" s="546" t="e">
        <f t="shared" si="113"/>
        <v>#N/A</v>
      </c>
      <c r="AC436" s="543"/>
      <c r="AD436" s="201" t="e">
        <f t="shared" si="114"/>
        <v>#N/A</v>
      </c>
      <c r="AE436" s="52"/>
      <c r="AF436" s="52"/>
      <c r="AG436" s="52"/>
      <c r="AH436" s="87"/>
      <c r="AI436" s="87"/>
    </row>
    <row r="437" spans="1:35" ht="52.5" customHeight="1">
      <c r="AH437" s="87"/>
      <c r="AI437" s="87"/>
    </row>
    <row r="438" spans="1:35">
      <c r="AH438" s="87"/>
      <c r="AI438" s="87"/>
    </row>
    <row r="439" spans="1:35" ht="24" hidden="1" thickBot="1">
      <c r="A439" s="61">
        <v>15</v>
      </c>
      <c r="B439" s="704" t="s">
        <v>51</v>
      </c>
      <c r="C439" s="704"/>
      <c r="D439" s="704"/>
      <c r="E439" s="62" t="e">
        <f>VLOOKUP(A439,PROPONENTES!$B$19:$E$218,2,FALSE)</f>
        <v>#N/A</v>
      </c>
      <c r="F439" s="63" t="e">
        <f>VLOOKUP(A439,PROPONENTES!$B$19:$E$218,3,FALSE)</f>
        <v>#N/A</v>
      </c>
      <c r="G439" s="64"/>
      <c r="H439" s="64"/>
      <c r="I439" s="63"/>
      <c r="J439" s="63"/>
      <c r="K439" s="65"/>
      <c r="L439" s="65"/>
      <c r="M439" s="64"/>
      <c r="N439" s="64"/>
      <c r="O439" s="66"/>
      <c r="P439" s="66"/>
      <c r="Q439" s="66"/>
      <c r="R439" s="66"/>
      <c r="S439" s="67"/>
      <c r="T439" s="68"/>
      <c r="U439" s="68"/>
      <c r="AC439" s="68"/>
      <c r="AD439" s="68"/>
      <c r="AE439" s="68"/>
      <c r="AF439" s="68"/>
      <c r="AG439" s="68"/>
      <c r="AH439" s="87"/>
      <c r="AI439" s="87"/>
    </row>
    <row r="440" spans="1:35" ht="15.75" hidden="1" customHeight="1">
      <c r="A440" s="44"/>
      <c r="B440" s="709" t="s">
        <v>59</v>
      </c>
      <c r="C440" s="552" t="s">
        <v>60</v>
      </c>
      <c r="D440" s="70" t="s">
        <v>17</v>
      </c>
      <c r="E440" s="70"/>
      <c r="F440" s="70" t="s">
        <v>61</v>
      </c>
      <c r="G440" s="71"/>
      <c r="H440" s="699" t="s">
        <v>62</v>
      </c>
      <c r="I440" s="699" t="s">
        <v>18</v>
      </c>
      <c r="J440" s="699" t="s">
        <v>63</v>
      </c>
      <c r="K440" s="699" t="s">
        <v>64</v>
      </c>
      <c r="L440" s="699" t="s">
        <v>65</v>
      </c>
      <c r="M440" s="743" t="s">
        <v>66</v>
      </c>
      <c r="N440" s="699" t="s">
        <v>282</v>
      </c>
      <c r="O440" s="745" t="s">
        <v>67</v>
      </c>
      <c r="P440" s="746"/>
      <c r="Q440" s="102" t="s">
        <v>75</v>
      </c>
      <c r="R440" s="731" t="s">
        <v>22</v>
      </c>
      <c r="S440" s="732"/>
      <c r="T440" s="733"/>
      <c r="U440" s="712" t="s">
        <v>298</v>
      </c>
      <c r="W440" s="690" t="s">
        <v>268</v>
      </c>
      <c r="X440" s="691"/>
      <c r="Y440" s="692"/>
      <c r="Z440" s="428"/>
      <c r="AA440" s="697" t="s">
        <v>315</v>
      </c>
      <c r="AB440" s="695" t="s">
        <v>322</v>
      </c>
      <c r="AC440" s="49"/>
      <c r="AD440" s="690" t="s">
        <v>297</v>
      </c>
      <c r="AE440" s="691"/>
      <c r="AF440" s="692"/>
      <c r="AG440" s="49"/>
      <c r="AH440" s="87"/>
      <c r="AI440" s="87"/>
    </row>
    <row r="441" spans="1:35" ht="72" hidden="1">
      <c r="A441" s="44"/>
      <c r="B441" s="710"/>
      <c r="C441" s="553" t="s">
        <v>68</v>
      </c>
      <c r="D441" s="73" t="s">
        <v>3</v>
      </c>
      <c r="E441" s="73" t="s">
        <v>19</v>
      </c>
      <c r="F441" s="73" t="s">
        <v>69</v>
      </c>
      <c r="G441" s="74" t="s">
        <v>70</v>
      </c>
      <c r="H441" s="700"/>
      <c r="I441" s="700"/>
      <c r="J441" s="700"/>
      <c r="K441" s="700"/>
      <c r="L441" s="700"/>
      <c r="M441" s="744"/>
      <c r="N441" s="700"/>
      <c r="O441" s="553" t="s">
        <v>279</v>
      </c>
      <c r="P441" s="73" t="s">
        <v>88</v>
      </c>
      <c r="Q441" s="555" t="s">
        <v>76</v>
      </c>
      <c r="R441" s="734"/>
      <c r="S441" s="735"/>
      <c r="T441" s="736"/>
      <c r="U441" s="712"/>
      <c r="W441" s="429" t="s">
        <v>269</v>
      </c>
      <c r="X441" s="457" t="s">
        <v>278</v>
      </c>
      <c r="Y441" s="430" t="s">
        <v>324</v>
      </c>
      <c r="Z441" s="428"/>
      <c r="AA441" s="698"/>
      <c r="AB441" s="696"/>
      <c r="AC441" s="49"/>
      <c r="AD441" s="429" t="s">
        <v>292</v>
      </c>
      <c r="AE441" s="431" t="s">
        <v>300</v>
      </c>
      <c r="AF441" s="468" t="s">
        <v>301</v>
      </c>
      <c r="AG441" s="49"/>
      <c r="AH441" s="87"/>
      <c r="AI441" s="87"/>
    </row>
    <row r="442" spans="1:35" hidden="1">
      <c r="A442" s="44"/>
      <c r="B442" s="76"/>
      <c r="C442" s="77"/>
      <c r="D442" s="77"/>
      <c r="E442" s="77"/>
      <c r="F442" s="77"/>
      <c r="G442" s="77"/>
      <c r="H442" s="77"/>
      <c r="I442" s="77"/>
      <c r="J442" s="77"/>
      <c r="K442" s="77"/>
      <c r="L442" s="77"/>
      <c r="M442" s="77"/>
      <c r="N442" s="77"/>
      <c r="O442" s="77"/>
      <c r="P442" s="77"/>
      <c r="Q442" s="77"/>
      <c r="R442" s="77"/>
      <c r="S442" s="78"/>
      <c r="T442" s="79"/>
      <c r="U442" s="109"/>
      <c r="V442" s="49"/>
      <c r="W442" s="432"/>
      <c r="X442" s="454"/>
      <c r="Y442" s="433"/>
      <c r="Z442" s="6"/>
      <c r="AA442" s="500"/>
      <c r="AB442" s="562"/>
      <c r="AC442" s="49"/>
      <c r="AD442" s="210"/>
      <c r="AE442" s="434"/>
      <c r="AF442" s="435"/>
      <c r="AG442" s="49"/>
      <c r="AH442" s="87"/>
      <c r="AI442" s="87"/>
    </row>
    <row r="443" spans="1:35" hidden="1">
      <c r="A443" s="80" t="e">
        <f>"A"&amp;E439</f>
        <v>#N/A</v>
      </c>
      <c r="B443" s="81">
        <v>1</v>
      </c>
      <c r="C443" s="82"/>
      <c r="D443" s="82"/>
      <c r="E443" s="82"/>
      <c r="F443" s="82"/>
      <c r="G443" s="83"/>
      <c r="H443" s="83"/>
      <c r="I443" s="84"/>
      <c r="J443" s="85"/>
      <c r="K443" s="382"/>
      <c r="L443" s="85"/>
      <c r="M443" s="332" t="str">
        <f t="shared" ref="M443:M452" si="115">IF(OR(J443="",L443="",H443="NO"),"",IF(OR(J443&gt;$P$17,J443&lt;$O$17,L443&gt;$P$17,AND(J443&lt;$O$17,L443&lt;$O$17)),"FUERA DE RANGO",IF(OR(K443="---",K443=""),IF(J443&gt;=$O$17,ROUND((L443-J443+1)/360*12,3),ROUND((L443-$O$17+1)/360*12,3)),IF(J443&gt;=$O$17,ROUND((L443-J443+1)/360*12-ROUND(K443,3),3),ROUND((L443-$O$17+1)/360*12-ROUND(K443,3),3)))))</f>
        <v/>
      </c>
      <c r="N443" s="86"/>
      <c r="O443" s="453" t="str">
        <f>IF(OR(G443="",N443=""),"",N443*G443)</f>
        <v/>
      </c>
      <c r="P443" s="538" t="str">
        <f>IF(OR(H443="",M443="FUERA DE RANGO"),"",IF(OR(L443&lt;$O$17,L443&gt;$P$17,L443="",H443="NO"),"",IF(OR(N443="",O443=""),"",ROUND(O443,3))))</f>
        <v/>
      </c>
      <c r="Q443" s="539" t="str">
        <f t="shared" ref="Q443:Q452" si="116">IF(AND(H443="SI",P443&lt;&gt;""),ROUND(P443/M443,3),"")</f>
        <v/>
      </c>
      <c r="R443" s="737"/>
      <c r="S443" s="738"/>
      <c r="T443" s="739"/>
      <c r="U443" s="470"/>
      <c r="V443" s="165"/>
      <c r="W443" s="446"/>
      <c r="X443" s="456"/>
      <c r="Y443" s="436"/>
      <c r="Z443" s="437"/>
      <c r="AA443" s="560"/>
      <c r="AB443" s="561"/>
      <c r="AC443" s="87"/>
      <c r="AD443" s="466"/>
      <c r="AE443" s="456"/>
      <c r="AF443" s="467"/>
      <c r="AG443" s="87"/>
      <c r="AH443" s="87"/>
      <c r="AI443" s="87"/>
    </row>
    <row r="444" spans="1:35" hidden="1">
      <c r="A444" s="80" t="e">
        <f>"B"&amp;E439</f>
        <v>#N/A</v>
      </c>
      <c r="B444" s="81">
        <v>2</v>
      </c>
      <c r="C444" s="106"/>
      <c r="D444" s="106"/>
      <c r="E444" s="106"/>
      <c r="F444" s="106"/>
      <c r="G444" s="83"/>
      <c r="H444" s="83"/>
      <c r="I444" s="84"/>
      <c r="J444" s="85"/>
      <c r="K444" s="382"/>
      <c r="L444" s="85"/>
      <c r="M444" s="332" t="str">
        <f t="shared" si="115"/>
        <v/>
      </c>
      <c r="N444" s="86"/>
      <c r="O444" s="453" t="str">
        <f t="shared" ref="O444:O452" si="117">IF(OR(G444="",N444=""),"",N444*G444)</f>
        <v/>
      </c>
      <c r="P444" s="538" t="str">
        <f t="shared" ref="P444:P452" si="118">IF(OR(H444="",M444="FUERA DE RANGO"),"",IF(OR(L444&lt;$O$17,L444&gt;$P$17,L444="",H444="NO"),"",IF(OR(N444="",O444=""),"",ROUND(O444,3))))</f>
        <v/>
      </c>
      <c r="Q444" s="539" t="str">
        <f t="shared" si="116"/>
        <v/>
      </c>
      <c r="R444" s="740"/>
      <c r="S444" s="741"/>
      <c r="T444" s="742"/>
      <c r="U444" s="471"/>
      <c r="V444" s="165"/>
      <c r="W444" s="446"/>
      <c r="X444" s="456"/>
      <c r="Y444" s="436"/>
      <c r="Z444" s="437"/>
      <c r="AA444" s="560"/>
      <c r="AB444" s="561"/>
      <c r="AC444" s="87"/>
      <c r="AD444" s="466"/>
      <c r="AE444" s="456"/>
      <c r="AF444" s="467"/>
      <c r="AG444" s="87"/>
      <c r="AH444" s="87"/>
      <c r="AI444" s="87"/>
    </row>
    <row r="445" spans="1:35" hidden="1">
      <c r="A445" s="80" t="e">
        <f>"C"&amp;E439</f>
        <v>#N/A</v>
      </c>
      <c r="B445" s="88">
        <v>3</v>
      </c>
      <c r="C445" s="82"/>
      <c r="D445" s="82"/>
      <c r="E445" s="82"/>
      <c r="F445" s="82"/>
      <c r="G445" s="83"/>
      <c r="H445" s="83"/>
      <c r="I445" s="84"/>
      <c r="J445" s="85"/>
      <c r="K445" s="382"/>
      <c r="L445" s="85"/>
      <c r="M445" s="332" t="str">
        <f t="shared" si="115"/>
        <v/>
      </c>
      <c r="N445" s="86"/>
      <c r="O445" s="453" t="str">
        <f t="shared" si="117"/>
        <v/>
      </c>
      <c r="P445" s="538" t="str">
        <f t="shared" si="118"/>
        <v/>
      </c>
      <c r="Q445" s="539" t="str">
        <f t="shared" si="116"/>
        <v/>
      </c>
      <c r="R445" s="706"/>
      <c r="S445" s="707"/>
      <c r="T445" s="708"/>
      <c r="U445" s="472"/>
      <c r="V445" s="166"/>
      <c r="W445" s="446"/>
      <c r="X445" s="456"/>
      <c r="Y445" s="436"/>
      <c r="Z445" s="437"/>
      <c r="AA445" s="560"/>
      <c r="AB445" s="561"/>
      <c r="AC445" s="87"/>
      <c r="AD445" s="466"/>
      <c r="AE445" s="456"/>
      <c r="AF445" s="467"/>
      <c r="AG445" s="87"/>
      <c r="AH445" s="87"/>
      <c r="AI445" s="87"/>
    </row>
    <row r="446" spans="1:35" hidden="1">
      <c r="A446" s="80" t="e">
        <f>"D"&amp;E439</f>
        <v>#N/A</v>
      </c>
      <c r="B446" s="105">
        <v>4</v>
      </c>
      <c r="C446" s="107"/>
      <c r="D446" s="107"/>
      <c r="E446" s="107"/>
      <c r="F446" s="107"/>
      <c r="G446" s="83"/>
      <c r="H446" s="83"/>
      <c r="I446" s="84"/>
      <c r="J446" s="85"/>
      <c r="K446" s="382"/>
      <c r="L446" s="85"/>
      <c r="M446" s="332" t="str">
        <f t="shared" si="115"/>
        <v/>
      </c>
      <c r="N446" s="86"/>
      <c r="O446" s="453" t="str">
        <f t="shared" si="117"/>
        <v/>
      </c>
      <c r="P446" s="538" t="str">
        <f t="shared" si="118"/>
        <v/>
      </c>
      <c r="Q446" s="539" t="str">
        <f t="shared" si="116"/>
        <v/>
      </c>
      <c r="R446" s="706"/>
      <c r="S446" s="707"/>
      <c r="T446" s="708"/>
      <c r="U446" s="472"/>
      <c r="V446" s="166"/>
      <c r="W446" s="446"/>
      <c r="X446" s="456"/>
      <c r="Y446" s="436"/>
      <c r="Z446" s="437"/>
      <c r="AA446" s="560"/>
      <c r="AB446" s="561"/>
      <c r="AC446" s="87"/>
      <c r="AD446" s="466"/>
      <c r="AE446" s="456"/>
      <c r="AF446" s="467"/>
      <c r="AG446" s="87"/>
      <c r="AH446" s="87"/>
      <c r="AI446" s="87"/>
    </row>
    <row r="447" spans="1:35" hidden="1">
      <c r="A447" s="80" t="e">
        <f>"E"&amp;E439</f>
        <v>#N/A</v>
      </c>
      <c r="B447" s="105">
        <v>5</v>
      </c>
      <c r="C447" s="107"/>
      <c r="D447" s="107"/>
      <c r="E447" s="107"/>
      <c r="F447" s="107"/>
      <c r="G447" s="83"/>
      <c r="H447" s="83"/>
      <c r="I447" s="84"/>
      <c r="J447" s="85"/>
      <c r="K447" s="382"/>
      <c r="L447" s="85"/>
      <c r="M447" s="332" t="str">
        <f t="shared" si="115"/>
        <v/>
      </c>
      <c r="N447" s="86"/>
      <c r="O447" s="453" t="str">
        <f t="shared" si="117"/>
        <v/>
      </c>
      <c r="P447" s="538" t="str">
        <f t="shared" si="118"/>
        <v/>
      </c>
      <c r="Q447" s="539" t="str">
        <f t="shared" si="116"/>
        <v/>
      </c>
      <c r="R447" s="706"/>
      <c r="S447" s="707"/>
      <c r="T447" s="708"/>
      <c r="U447" s="472"/>
      <c r="V447" s="167"/>
      <c r="W447" s="446"/>
      <c r="X447" s="456"/>
      <c r="Y447" s="436"/>
      <c r="Z447" s="437"/>
      <c r="AA447" s="560"/>
      <c r="AB447" s="561"/>
      <c r="AC447" s="87"/>
      <c r="AD447" s="466"/>
      <c r="AE447" s="456"/>
      <c r="AF447" s="467"/>
      <c r="AG447" s="87"/>
      <c r="AH447" s="87"/>
      <c r="AI447" s="87"/>
    </row>
    <row r="448" spans="1:35" hidden="1">
      <c r="A448" s="80" t="e">
        <f>"F"&amp;E439</f>
        <v>#N/A</v>
      </c>
      <c r="B448" s="105">
        <v>6</v>
      </c>
      <c r="C448" s="107"/>
      <c r="D448" s="107"/>
      <c r="E448" s="107"/>
      <c r="F448" s="107"/>
      <c r="G448" s="83"/>
      <c r="H448" s="83"/>
      <c r="I448" s="84"/>
      <c r="J448" s="85"/>
      <c r="K448" s="382"/>
      <c r="L448" s="85"/>
      <c r="M448" s="332" t="str">
        <f t="shared" si="115"/>
        <v/>
      </c>
      <c r="N448" s="86"/>
      <c r="O448" s="453" t="str">
        <f t="shared" si="117"/>
        <v/>
      </c>
      <c r="P448" s="538" t="str">
        <f t="shared" si="118"/>
        <v/>
      </c>
      <c r="Q448" s="539" t="str">
        <f t="shared" si="116"/>
        <v/>
      </c>
      <c r="R448" s="706"/>
      <c r="S448" s="707"/>
      <c r="T448" s="708"/>
      <c r="U448" s="472"/>
      <c r="V448" s="167"/>
      <c r="W448" s="446"/>
      <c r="X448" s="456"/>
      <c r="Y448" s="436"/>
      <c r="Z448" s="437"/>
      <c r="AA448" s="560"/>
      <c r="AB448" s="561"/>
      <c r="AC448" s="87"/>
      <c r="AD448" s="466"/>
      <c r="AE448" s="456"/>
      <c r="AF448" s="467"/>
      <c r="AG448" s="87"/>
      <c r="AH448" s="87"/>
      <c r="AI448" s="87"/>
    </row>
    <row r="449" spans="1:35" hidden="1">
      <c r="A449" s="80" t="e">
        <f>"G"&amp;E439</f>
        <v>#N/A</v>
      </c>
      <c r="B449" s="105">
        <v>7</v>
      </c>
      <c r="C449" s="107"/>
      <c r="D449" s="107"/>
      <c r="E449" s="107"/>
      <c r="F449" s="107"/>
      <c r="G449" s="83"/>
      <c r="H449" s="83"/>
      <c r="I449" s="84"/>
      <c r="J449" s="85"/>
      <c r="K449" s="382"/>
      <c r="L449" s="85"/>
      <c r="M449" s="332" t="str">
        <f t="shared" si="115"/>
        <v/>
      </c>
      <c r="N449" s="86"/>
      <c r="O449" s="86" t="str">
        <f t="shared" si="117"/>
        <v/>
      </c>
      <c r="P449" s="538" t="str">
        <f t="shared" si="118"/>
        <v/>
      </c>
      <c r="Q449" s="539" t="str">
        <f t="shared" si="116"/>
        <v/>
      </c>
      <c r="R449" s="706"/>
      <c r="S449" s="707"/>
      <c r="T449" s="708"/>
      <c r="U449" s="472"/>
      <c r="V449" s="167"/>
      <c r="W449" s="446"/>
      <c r="X449" s="456"/>
      <c r="Y449" s="436"/>
      <c r="Z449" s="437"/>
      <c r="AA449" s="560"/>
      <c r="AB449" s="561"/>
      <c r="AC449" s="87"/>
      <c r="AD449" s="466"/>
      <c r="AE449" s="456"/>
      <c r="AF449" s="467"/>
      <c r="AG449" s="87"/>
      <c r="AH449" s="87"/>
      <c r="AI449" s="87"/>
    </row>
    <row r="450" spans="1:35" hidden="1">
      <c r="A450" s="80" t="e">
        <f>"H"&amp;E439</f>
        <v>#N/A</v>
      </c>
      <c r="B450" s="105">
        <v>8</v>
      </c>
      <c r="C450" s="107"/>
      <c r="D450" s="107"/>
      <c r="E450" s="107"/>
      <c r="F450" s="107"/>
      <c r="G450" s="83"/>
      <c r="H450" s="83"/>
      <c r="I450" s="84"/>
      <c r="J450" s="85"/>
      <c r="K450" s="382"/>
      <c r="L450" s="85"/>
      <c r="M450" s="332" t="str">
        <f t="shared" si="115"/>
        <v/>
      </c>
      <c r="N450" s="453"/>
      <c r="O450" s="86" t="str">
        <f t="shared" si="117"/>
        <v/>
      </c>
      <c r="P450" s="538" t="str">
        <f t="shared" si="118"/>
        <v/>
      </c>
      <c r="Q450" s="539" t="str">
        <f t="shared" si="116"/>
        <v/>
      </c>
      <c r="R450" s="706"/>
      <c r="S450" s="707"/>
      <c r="T450" s="708"/>
      <c r="U450" s="472"/>
      <c r="V450" s="167"/>
      <c r="W450" s="446"/>
      <c r="X450" s="456"/>
      <c r="Y450" s="436"/>
      <c r="Z450" s="437"/>
      <c r="AA450" s="560"/>
      <c r="AB450" s="561"/>
      <c r="AC450" s="87"/>
      <c r="AD450" s="466"/>
      <c r="AE450" s="456"/>
      <c r="AF450" s="467"/>
      <c r="AG450" s="87"/>
      <c r="AH450" s="87"/>
      <c r="AI450" s="87"/>
    </row>
    <row r="451" spans="1:35" hidden="1">
      <c r="A451" s="80" t="e">
        <f>"I"&amp;E439</f>
        <v>#N/A</v>
      </c>
      <c r="B451" s="105">
        <v>9</v>
      </c>
      <c r="C451" s="107"/>
      <c r="D451" s="107"/>
      <c r="E451" s="107"/>
      <c r="F451" s="107"/>
      <c r="G451" s="83"/>
      <c r="H451" s="83"/>
      <c r="I451" s="84"/>
      <c r="J451" s="85"/>
      <c r="K451" s="382"/>
      <c r="L451" s="85"/>
      <c r="M451" s="332" t="str">
        <f t="shared" si="115"/>
        <v/>
      </c>
      <c r="N451" s="453"/>
      <c r="O451" s="86" t="str">
        <f t="shared" si="117"/>
        <v/>
      </c>
      <c r="P451" s="538" t="str">
        <f t="shared" si="118"/>
        <v/>
      </c>
      <c r="Q451" s="539" t="str">
        <f t="shared" si="116"/>
        <v/>
      </c>
      <c r="R451" s="706"/>
      <c r="S451" s="707"/>
      <c r="T451" s="708"/>
      <c r="U451" s="472"/>
      <c r="V451" s="167"/>
      <c r="W451" s="446"/>
      <c r="X451" s="456"/>
      <c r="Y451" s="436"/>
      <c r="Z451" s="437"/>
      <c r="AA451" s="560"/>
      <c r="AB451" s="561"/>
      <c r="AC451" s="87"/>
      <c r="AD451" s="466"/>
      <c r="AE451" s="456"/>
      <c r="AF451" s="467"/>
      <c r="AG451" s="87"/>
      <c r="AH451" s="87"/>
      <c r="AI451" s="87"/>
    </row>
    <row r="452" spans="1:35" hidden="1">
      <c r="A452" s="80" t="e">
        <f>"J"&amp;E439</f>
        <v>#N/A</v>
      </c>
      <c r="B452" s="105">
        <v>10</v>
      </c>
      <c r="C452" s="107"/>
      <c r="D452" s="107"/>
      <c r="E452" s="107"/>
      <c r="F452" s="107"/>
      <c r="G452" s="83"/>
      <c r="H452" s="83"/>
      <c r="I452" s="84"/>
      <c r="J452" s="85"/>
      <c r="K452" s="382"/>
      <c r="L452" s="85"/>
      <c r="M452" s="332" t="str">
        <f t="shared" si="115"/>
        <v/>
      </c>
      <c r="N452" s="453"/>
      <c r="O452" s="86" t="str">
        <f t="shared" si="117"/>
        <v/>
      </c>
      <c r="P452" s="538" t="str">
        <f t="shared" si="118"/>
        <v/>
      </c>
      <c r="Q452" s="539" t="str">
        <f t="shared" si="116"/>
        <v/>
      </c>
      <c r="R452" s="706"/>
      <c r="S452" s="707"/>
      <c r="T452" s="708"/>
      <c r="U452" s="472"/>
      <c r="V452" s="167"/>
      <c r="W452" s="446"/>
      <c r="X452" s="456"/>
      <c r="Y452" s="436"/>
      <c r="Z452" s="437"/>
      <c r="AA452" s="560"/>
      <c r="AB452" s="561"/>
      <c r="AC452" s="87"/>
      <c r="AD452" s="466"/>
      <c r="AE452" s="456"/>
      <c r="AF452" s="467"/>
      <c r="AG452" s="87"/>
      <c r="AH452" s="87"/>
      <c r="AI452" s="87"/>
    </row>
    <row r="453" spans="1:35" ht="16.5" hidden="1" thickBot="1">
      <c r="A453" s="44"/>
      <c r="B453" s="89"/>
      <c r="C453" s="90"/>
      <c r="D453" s="90"/>
      <c r="E453" s="90"/>
      <c r="F453" s="90"/>
      <c r="G453" s="90"/>
      <c r="H453" s="90"/>
      <c r="I453" s="90"/>
      <c r="J453" s="90"/>
      <c r="K453" s="90"/>
      <c r="L453" s="90"/>
      <c r="M453" s="90"/>
      <c r="N453" s="90"/>
      <c r="O453" s="90"/>
      <c r="P453" s="90"/>
      <c r="Q453" s="90"/>
      <c r="R453" s="90"/>
      <c r="S453" s="91"/>
      <c r="T453" s="92"/>
      <c r="U453" s="473"/>
      <c r="W453" s="438"/>
      <c r="X453" s="455"/>
      <c r="Y453" s="439"/>
      <c r="Z453" s="437"/>
      <c r="AA453" s="530"/>
      <c r="AB453" s="563"/>
      <c r="AC453" s="87"/>
      <c r="AD453" s="440"/>
      <c r="AE453" s="441"/>
      <c r="AF453" s="442"/>
      <c r="AG453" s="49"/>
      <c r="AH453" s="87"/>
      <c r="AI453" s="87"/>
    </row>
    <row r="454" spans="1:35" ht="16.5" hidden="1" thickBot="1">
      <c r="A454" s="93"/>
      <c r="B454" s="94"/>
      <c r="C454" s="96"/>
      <c r="D454" s="96"/>
      <c r="E454" s="96"/>
      <c r="F454" s="96"/>
      <c r="G454" s="96"/>
      <c r="H454" s="96"/>
      <c r="I454" s="96"/>
      <c r="J454" s="96"/>
      <c r="K454" s="96"/>
      <c r="L454" s="96"/>
      <c r="M454" s="136"/>
      <c r="N454" s="96"/>
      <c r="O454" s="96"/>
      <c r="P454" s="97"/>
      <c r="Q454" s="97"/>
      <c r="R454" s="98"/>
      <c r="S454" s="95"/>
      <c r="T454" s="99"/>
      <c r="U454" s="469"/>
      <c r="AC454" s="58"/>
      <c r="AG454" s="58"/>
      <c r="AH454" s="87"/>
      <c r="AI454" s="87"/>
    </row>
    <row r="455" spans="1:35" ht="16.5" hidden="1" thickBot="1">
      <c r="B455" s="101"/>
      <c r="C455" s="101"/>
      <c r="D455" s="101"/>
      <c r="E455" s="101"/>
      <c r="F455" s="101"/>
      <c r="G455" s="101"/>
      <c r="H455" s="101"/>
      <c r="I455" s="101"/>
      <c r="J455" s="101"/>
      <c r="K455" s="101"/>
      <c r="L455" s="101"/>
      <c r="M455" s="101"/>
      <c r="N455" s="101"/>
      <c r="O455" s="101"/>
      <c r="P455" s="101"/>
      <c r="Q455" s="101"/>
      <c r="R455" s="101"/>
      <c r="S455" s="101"/>
      <c r="U455" s="50"/>
      <c r="AH455" s="87"/>
      <c r="AI455" s="87"/>
    </row>
    <row r="456" spans="1:35" ht="16.5" hidden="1" customHeight="1" thickBot="1">
      <c r="A456" s="44"/>
      <c r="B456" s="705" t="s">
        <v>74</v>
      </c>
      <c r="C456" s="705"/>
      <c r="D456" s="705"/>
      <c r="E456" s="705"/>
      <c r="F456" s="705"/>
      <c r="G456" s="705"/>
      <c r="H456" s="705"/>
      <c r="I456" s="705"/>
      <c r="J456" s="705"/>
      <c r="K456" s="705"/>
      <c r="L456" s="705"/>
      <c r="M456" s="705"/>
      <c r="N456" s="705"/>
      <c r="O456" s="705"/>
      <c r="P456" s="705"/>
      <c r="Q456" s="705"/>
      <c r="R456" s="705"/>
      <c r="S456" s="705"/>
      <c r="T456" s="705"/>
      <c r="U456" s="108"/>
      <c r="Y456" s="532" t="s">
        <v>341</v>
      </c>
      <c r="AC456" s="49"/>
      <c r="AD456" s="687" t="s">
        <v>302</v>
      </c>
      <c r="AE456" s="688"/>
      <c r="AF456" s="689"/>
      <c r="AG456" s="49"/>
      <c r="AH456" s="87"/>
      <c r="AI456" s="87"/>
    </row>
    <row r="457" spans="1:35" ht="15.75" hidden="1" customHeight="1" thickBot="1">
      <c r="A457" s="218" t="e">
        <f>"K"&amp;E439</f>
        <v>#N/A</v>
      </c>
      <c r="B457" s="701" t="s">
        <v>71</v>
      </c>
      <c r="C457" s="751" t="s">
        <v>102</v>
      </c>
      <c r="D457" s="751"/>
      <c r="E457" s="751"/>
      <c r="F457" s="751"/>
      <c r="G457" s="751"/>
      <c r="H457" s="751"/>
      <c r="I457" s="751"/>
      <c r="J457" s="751"/>
      <c r="K457" s="751"/>
      <c r="L457" s="722" t="s">
        <v>100</v>
      </c>
      <c r="M457" s="747" t="s">
        <v>114</v>
      </c>
      <c r="N457" s="747"/>
      <c r="O457" s="747"/>
      <c r="P457" s="747"/>
      <c r="Q457" s="748"/>
      <c r="R457" s="758" t="s">
        <v>280</v>
      </c>
      <c r="S457" s="748"/>
      <c r="T457" s="762" t="str">
        <f>IF(COUNTIF(AE457:AF457,"VERIFICAR")&gt;0,"VERIFICAR",IF(COUNTIF(AE457:AF457,"NO CUMPLE")&gt;0,"NO CUMPLE","CUMPLE"))</f>
        <v>VERIFICAR</v>
      </c>
      <c r="U457" s="108"/>
      <c r="Y457" s="533" t="e">
        <f>IF(F458="","",IF(F458=1,"INDIVIDUAL","ESTRUCTURA PLURAL"))</f>
        <v>#N/A</v>
      </c>
      <c r="AC457" s="52"/>
      <c r="AD457" s="475" t="s">
        <v>303</v>
      </c>
      <c r="AE457" s="476" t="str">
        <f>IF(COUNTIF(AE443:AE452,"")=10,"VERIFICAR",IF(COUNTIF(AE443:AE452,"SI")&gt;0,"CUMPLE","NO CUMPLE"))</f>
        <v>VERIFICAR</v>
      </c>
      <c r="AF457" s="477" t="str">
        <f>IF(COUNTIF(AF443:AF452,"")=10,"VERIFICAR",IF(COUNTIF(AF443:AF452,"SI")&gt;=$AI$22,"CUMPLE","NO CUMPLE"))</f>
        <v>VERIFICAR</v>
      </c>
      <c r="AG457" s="52"/>
      <c r="AH457" s="87"/>
      <c r="AI457" s="87"/>
    </row>
    <row r="458" spans="1:35" ht="16.5" hidden="1" customHeight="1" thickBot="1">
      <c r="A458" s="218" t="e">
        <f>"L"&amp;E439</f>
        <v>#N/A</v>
      </c>
      <c r="B458" s="702"/>
      <c r="C458" s="751" t="s">
        <v>103</v>
      </c>
      <c r="D458" s="751"/>
      <c r="E458" s="752"/>
      <c r="F458" s="557" t="e">
        <f>IF(VLOOKUP(E439,PROPONENTES!$C$19:$E$218,3,0)="","",VLOOKUP(E439,PROPONENTES!$C$19:$E$218,3,0))</f>
        <v>#N/A</v>
      </c>
      <c r="G458" s="753" t="s">
        <v>104</v>
      </c>
      <c r="H458" s="751"/>
      <c r="I458" s="715" t="e">
        <f>IF(OR(F458="",F458=1),"INTERESADO PERSONA NATURAL O JURIDICA","CONSORCIO O UNION TEMPORAL")</f>
        <v>#N/A</v>
      </c>
      <c r="J458" s="725"/>
      <c r="K458" s="728"/>
      <c r="L458" s="723"/>
      <c r="M458" s="749"/>
      <c r="N458" s="749"/>
      <c r="O458" s="749"/>
      <c r="P458" s="749"/>
      <c r="Q458" s="750"/>
      <c r="R458" s="712"/>
      <c r="S458" s="750"/>
      <c r="T458" s="763"/>
      <c r="U458" s="108"/>
      <c r="Y458" s="534"/>
      <c r="AA458" s="52"/>
      <c r="AB458" s="52"/>
      <c r="AC458" s="52"/>
      <c r="AG458" s="52"/>
      <c r="AH458" s="87"/>
      <c r="AI458" s="87"/>
    </row>
    <row r="459" spans="1:35" ht="56.25" hidden="1" customHeight="1" thickBot="1">
      <c r="A459" s="218" t="e">
        <f>"M"&amp;E439</f>
        <v>#N/A</v>
      </c>
      <c r="B459" s="702"/>
      <c r="C459" s="725" t="s">
        <v>101</v>
      </c>
      <c r="D459" s="716"/>
      <c r="E459" s="558" t="s">
        <v>105</v>
      </c>
      <c r="F459" s="554" t="s">
        <v>87</v>
      </c>
      <c r="G459" s="553" t="s">
        <v>86</v>
      </c>
      <c r="H459" s="559" t="s">
        <v>85</v>
      </c>
      <c r="I459" s="554" t="s">
        <v>252</v>
      </c>
      <c r="J459" s="553" t="str">
        <f>"¿EL INTEGRANTE TIENE UNA PARTICIPACIÓN DEL "&amp;PORCREQUERIDOINT*100&amp;"%?"</f>
        <v>¿EL INTEGRANTE TIENE UNA PARTICIPACIÓN DEL 60%?</v>
      </c>
      <c r="K459" s="554" t="s">
        <v>107</v>
      </c>
      <c r="L459" s="724"/>
      <c r="M459" s="717" t="s">
        <v>115</v>
      </c>
      <c r="N459" s="718"/>
      <c r="O459" s="718"/>
      <c r="P459" s="718"/>
      <c r="Q459" s="223">
        <f>IF(AND(H443="SI",P443&gt;=0),1,0)+IF(AND(H444="SI",P444&gt;=0),1,0)+IF(AND(H445="SI",P445&gt;=0),1,0)+IF(AND(H446="SI",P446&gt;=0),1,0)+IF(AND(H447="SI",P447&gt;=0),1,0)+IF(AND(H448="SI",P448&gt;=0),1,0)+IF(AND(H449="SI",P449&gt;=0),1,0)+IF(AND(H450="SI",P450&gt;=0),1,0)+IF(AND(H451="SI",P451&gt;=0),1,0)+IF(AND(H452="SI",P452&gt;=0),1,0)</f>
        <v>0</v>
      </c>
      <c r="R459" s="759"/>
      <c r="S459" s="761"/>
      <c r="T459" s="764"/>
      <c r="U459" s="219"/>
      <c r="V459" s="464"/>
      <c r="Y459" s="532" t="s">
        <v>342</v>
      </c>
      <c r="AA459" s="550" t="s">
        <v>344</v>
      </c>
      <c r="AB459" s="693" t="s">
        <v>345</v>
      </c>
      <c r="AC459" s="693" t="s">
        <v>346</v>
      </c>
      <c r="AD459" s="685" t="s">
        <v>347</v>
      </c>
      <c r="AE459" s="52"/>
      <c r="AF459" s="52"/>
      <c r="AG459" s="52"/>
      <c r="AH459" s="87"/>
      <c r="AI459" s="87"/>
    </row>
    <row r="460" spans="1:35" ht="15.75" hidden="1" customHeight="1" thickBot="1">
      <c r="A460" s="218" t="e">
        <f>"N"&amp;E439</f>
        <v>#N/A</v>
      </c>
      <c r="B460" s="702"/>
      <c r="C460" s="114">
        <v>1</v>
      </c>
      <c r="D460" s="194" t="e">
        <f>IF(AND(C460&lt;=F458,F458&gt;1,F458&lt;&gt;""),VLOOKUP(VALUE(E439&amp;","&amp;C460),INTEGRANTES!$D$18:$F$235,2,0),"")</f>
        <v>#N/A</v>
      </c>
      <c r="E460" s="211" t="e">
        <f>IF(D460&lt;&gt;"",VLOOKUP(VALUE(E439&amp;","&amp;C460),INTEGRANTES!$D$18:$F$235,3,0),"")</f>
        <v>#N/A</v>
      </c>
      <c r="F460" s="547" t="e">
        <f>IF(D460="","",SUMIF($I443:$I452,D460,$P443:$P452))</f>
        <v>#N/A</v>
      </c>
      <c r="G460" s="333" t="e">
        <f>IF(D460="","",SUMIF($I443:$I452,D460,$M443:$M452))</f>
        <v>#N/A</v>
      </c>
      <c r="H460" s="535" t="e">
        <f t="shared" ref="H460:H465" si="119">IF(D460="","",IF(OR(F460=0,G460=0),"NO APORTA",ROUND($F460/$G460,3)))</f>
        <v>#N/A</v>
      </c>
      <c r="I460" s="212" t="e">
        <f>IF(D460="","",IF(H460="NO APORTA","NO",IF(H460=MAX($H460:$H465),"SI","NO")))</f>
        <v>#N/A</v>
      </c>
      <c r="J460" s="213" t="e">
        <f t="shared" ref="J460:J465" si="120">IF(D460="","",IF(E460&gt;=PORCREQUERIDOINT,"SI","NO"))</f>
        <v>#N/A</v>
      </c>
      <c r="K460" s="200" t="e">
        <f t="shared" ref="K460:K465" si="121">IF(D460="","",IF(AND(I460="SI",J460="SI"),"CUMPLE",IF(AND(I460="NO",OR(J460="SI",J460="NO")),"","NO CUMPLE")))</f>
        <v>#N/A</v>
      </c>
      <c r="L460" s="722" t="s">
        <v>108</v>
      </c>
      <c r="M460" s="726" t="s">
        <v>119</v>
      </c>
      <c r="N460" s="726"/>
      <c r="O460" s="726"/>
      <c r="P460" s="726"/>
      <c r="Q460" s="727"/>
      <c r="R460" s="758" t="s">
        <v>80</v>
      </c>
      <c r="S460" s="747"/>
      <c r="T460" s="748"/>
      <c r="U460" s="219"/>
      <c r="V460" s="464"/>
      <c r="Y460" s="533" t="e">
        <f>IF(Y457="","",IF(Y457="INDIVIDUAL","NO APLICA","VERIFICAR CUADRO"))</f>
        <v>#N/A</v>
      </c>
      <c r="AA460" s="551"/>
      <c r="AB460" s="694"/>
      <c r="AC460" s="694"/>
      <c r="AD460" s="686"/>
      <c r="AE460" s="52"/>
      <c r="AF460" s="52"/>
      <c r="AG460" s="52"/>
      <c r="AH460" s="87"/>
      <c r="AI460" s="87"/>
    </row>
    <row r="461" spans="1:35" ht="27" hidden="1" customHeight="1" thickBot="1">
      <c r="A461" s="218" t="e">
        <f>"O"&amp;E439</f>
        <v>#N/A</v>
      </c>
      <c r="B461" s="702"/>
      <c r="C461" s="114">
        <v>2</v>
      </c>
      <c r="D461" s="194" t="e">
        <f>IF(AND(C461&lt;=F458,F458&lt;&gt;""),VLOOKUP(VALUE(E439&amp;","&amp;C461),INTEGRANTES!$D$18:$F$235,2,0),"")</f>
        <v>#N/A</v>
      </c>
      <c r="E461" s="211" t="e">
        <f>IF(D461&lt;&gt;"",VLOOKUP(VALUE(E439&amp;","&amp;C461),INTEGRANTES!$D$18:$F$235,3,0),"")</f>
        <v>#N/A</v>
      </c>
      <c r="F461" s="547" t="e">
        <f>IF(D461="","",SUMIF($I443:$I452,D461,$P443:$P452))</f>
        <v>#N/A</v>
      </c>
      <c r="G461" s="333" t="e">
        <f>IF(D461="","",SUMIF($I443:$I452,D461,$M443:$M452))</f>
        <v>#N/A</v>
      </c>
      <c r="H461" s="535" t="e">
        <f t="shared" si="119"/>
        <v>#N/A</v>
      </c>
      <c r="I461" s="212" t="e">
        <f>IF(D461="","",IF(H461="NO APORTA","NO",IF(H461=MAX($H460:$H465),"SI","NO")))</f>
        <v>#N/A</v>
      </c>
      <c r="J461" s="213" t="e">
        <f t="shared" si="120"/>
        <v>#N/A</v>
      </c>
      <c r="K461" s="200" t="e">
        <f t="shared" si="121"/>
        <v>#N/A</v>
      </c>
      <c r="L461" s="723"/>
      <c r="M461" s="715" t="s">
        <v>116</v>
      </c>
      <c r="N461" s="716"/>
      <c r="O461" s="556" t="s">
        <v>113</v>
      </c>
      <c r="P461" s="715" t="s">
        <v>117</v>
      </c>
      <c r="Q461" s="728"/>
      <c r="R461" s="759"/>
      <c r="S461" s="760"/>
      <c r="T461" s="761"/>
      <c r="U461" s="219"/>
      <c r="V461" s="464"/>
      <c r="Y461" s="414"/>
      <c r="AA461" s="542" t="e">
        <f>IF(AND(C460&lt;=F458,F458&gt;1,F458&lt;&gt;""),VLOOKUP(VALUE(E439&amp;","&amp;C460),INTEGRANTES!$D$18:$F$235,2,0),"")</f>
        <v>#N/A</v>
      </c>
      <c r="AB461" s="544" t="e">
        <f t="shared" ref="AB461:AB466" si="122">IF(D460="","",IF(OR(F460=0,G460=0),"NO APORTA",ROUND($F460/$G460,3)))</f>
        <v>#N/A</v>
      </c>
      <c r="AC461" s="529"/>
      <c r="AD461" s="200" t="e">
        <f t="shared" ref="AD461:AD466" si="123">IF(OR(AA461="",AB461=""),"",IF(AND(AC461="X",AB461&gt;=EXPREQVTD),"CUMPLE","NO CUMPLE"))</f>
        <v>#N/A</v>
      </c>
      <c r="AE461" s="52"/>
      <c r="AF461" s="52"/>
      <c r="AG461" s="52"/>
      <c r="AH461" s="87"/>
      <c r="AI461" s="87"/>
    </row>
    <row r="462" spans="1:35" ht="16.5" hidden="1" thickBot="1">
      <c r="A462" s="218" t="e">
        <f>"P"&amp;E439</f>
        <v>#N/A</v>
      </c>
      <c r="B462" s="702"/>
      <c r="C462" s="114">
        <v>3</v>
      </c>
      <c r="D462" s="194" t="e">
        <f>IF(AND(C462&lt;=F458,F458&lt;&gt;""),VLOOKUP(VALUE(E439&amp;","&amp;C462),INTEGRANTES!$D$18:$F$235,2,0),"")</f>
        <v>#N/A</v>
      </c>
      <c r="E462" s="211" t="e">
        <f>IF(D462&lt;&gt;"",VLOOKUP(VALUE(E439&amp;","&amp;C462),INTEGRANTES!$D$18:$F$235,3,0),"")</f>
        <v>#N/A</v>
      </c>
      <c r="F462" s="547" t="e">
        <f>IF(D462="","",SUMIF($I443:$I452,D462,$P443:$P452))</f>
        <v>#N/A</v>
      </c>
      <c r="G462" s="333" t="e">
        <f>IF(D462="","",SUMIF($I443:$I452,D462,$M443:$M452))</f>
        <v>#N/A</v>
      </c>
      <c r="H462" s="535" t="e">
        <f t="shared" si="119"/>
        <v>#N/A</v>
      </c>
      <c r="I462" s="212" t="e">
        <f>IF(D462="","",IF(H462="NO APORTA","NO",IF(H462=MAX($H460:$H465),"SI","NO")))</f>
        <v>#N/A</v>
      </c>
      <c r="J462" s="213" t="e">
        <f t="shared" si="120"/>
        <v>#N/A</v>
      </c>
      <c r="K462" s="200" t="e">
        <f t="shared" si="121"/>
        <v>#N/A</v>
      </c>
      <c r="L462" s="724"/>
      <c r="M462" s="729">
        <f>NUMMOD</f>
        <v>1</v>
      </c>
      <c r="N462" s="730"/>
      <c r="O462" s="443">
        <f>IF(M462="","",VLOOKUP(M462,PRESUPUESTOS!$B$16:$H$16,5,FALSE))</f>
        <v>2</v>
      </c>
      <c r="P462" s="713">
        <f>IF(OR(COUNTIF(M443:M452,"")&gt;=10,Q459&lt;NUMMINCONT,OR(T457="NO CUMPLE",T457="VERIFICAR")),0,ROUND(AVERAGE(M443:M452),3))</f>
        <v>0</v>
      </c>
      <c r="Q462" s="714"/>
      <c r="R462" s="458"/>
      <c r="S462" s="459"/>
      <c r="T462" s="460"/>
      <c r="U462" s="219"/>
      <c r="V462" s="464"/>
      <c r="Y462" s="532" t="str">
        <f>"40% * ("&amp;PRESUPUESTOS!$H$13&amp;")"</f>
        <v>40% * (50% PFMO)</v>
      </c>
      <c r="AA462" s="540" t="e">
        <f>IF(AND(C461&lt;=F458,F458&lt;&gt;""),VLOOKUP(VALUE(E439&amp;","&amp;C461),INTEGRANTES!$D$18:$F$235,2,0),"")</f>
        <v>#N/A</v>
      </c>
      <c r="AB462" s="545" t="e">
        <f t="shared" si="122"/>
        <v>#N/A</v>
      </c>
      <c r="AC462" s="529"/>
      <c r="AD462" s="200" t="e">
        <f t="shared" si="123"/>
        <v>#N/A</v>
      </c>
      <c r="AE462" s="52"/>
      <c r="AF462" s="52"/>
      <c r="AG462" s="52"/>
      <c r="AH462" s="87"/>
      <c r="AI462" s="87"/>
    </row>
    <row r="463" spans="1:35" ht="15.75" hidden="1" customHeight="1" thickBot="1">
      <c r="A463" s="218" t="e">
        <f>"Q"&amp;E439</f>
        <v>#N/A</v>
      </c>
      <c r="B463" s="702"/>
      <c r="C463" s="114">
        <v>4</v>
      </c>
      <c r="D463" s="194" t="e">
        <f>IF(AND(C463&lt;=F458,F458&lt;&gt;""),VLOOKUP(VALUE(E439&amp;","&amp;C463),INTEGRANTES!$D$18:$F$235,2,0),"")</f>
        <v>#N/A</v>
      </c>
      <c r="E463" s="211" t="e">
        <f>IF(D463&lt;&gt;"",VLOOKUP(VALUE(E439&amp;","&amp;C463),INTEGRANTES!$D$18:$F$235,3,0),"")</f>
        <v>#N/A</v>
      </c>
      <c r="F463" s="547" t="e">
        <f>IF(D463="","",SUMIF($I443:$I452,D463,$P443:$P452))</f>
        <v>#N/A</v>
      </c>
      <c r="G463" s="333" t="e">
        <f>IF(D463="","",SUMIF($I443:$I452,D463,$M443:$M452))</f>
        <v>#N/A</v>
      </c>
      <c r="H463" s="535" t="e">
        <f t="shared" si="119"/>
        <v>#N/A</v>
      </c>
      <c r="I463" s="212" t="e">
        <f>IF(D463="","",IF(H463="NO APORTA","NO",IF(H463=MAX($H460:$H465),"SI","NO")))</f>
        <v>#N/A</v>
      </c>
      <c r="J463" s="213" t="e">
        <f t="shared" si="120"/>
        <v>#N/A</v>
      </c>
      <c r="K463" s="200" t="e">
        <f t="shared" si="121"/>
        <v>#N/A</v>
      </c>
      <c r="L463" s="720" t="s">
        <v>109</v>
      </c>
      <c r="M463" s="757" t="s">
        <v>120</v>
      </c>
      <c r="N463" s="726"/>
      <c r="O463" s="726"/>
      <c r="P463" s="726"/>
      <c r="Q463" s="727"/>
      <c r="R463" s="458"/>
      <c r="S463" s="459"/>
      <c r="T463" s="460"/>
      <c r="U463" s="219"/>
      <c r="V463" s="464"/>
      <c r="Y463" s="537">
        <f>0.4*PRESUPUESTOS!$H$16</f>
        <v>10.3124</v>
      </c>
      <c r="AA463" s="540" t="e">
        <f>IF(AND(C462&lt;=F458,F458&lt;&gt;""),VLOOKUP(VALUE(E439&amp;","&amp;C462),INTEGRANTES!$D$18:$F$235,2,0),"")</f>
        <v>#N/A</v>
      </c>
      <c r="AB463" s="545" t="e">
        <f t="shared" si="122"/>
        <v>#N/A</v>
      </c>
      <c r="AC463" s="529"/>
      <c r="AD463" s="200" t="e">
        <f t="shared" si="123"/>
        <v>#N/A</v>
      </c>
      <c r="AE463" s="52"/>
      <c r="AF463" s="52"/>
      <c r="AG463" s="52"/>
      <c r="AH463" s="87"/>
      <c r="AI463" s="87"/>
    </row>
    <row r="464" spans="1:35" ht="27" hidden="1" customHeight="1" thickBot="1">
      <c r="A464" s="218" t="e">
        <f>"R"&amp;E439</f>
        <v>#N/A</v>
      </c>
      <c r="B464" s="702"/>
      <c r="C464" s="114">
        <v>5</v>
      </c>
      <c r="D464" s="194" t="e">
        <f>IF(AND(C464&lt;=F458,F458&lt;&gt;""),VLOOKUP(VALUE(E439&amp;","&amp;C464),INTEGRANTES!$D$18:$F$235,2,0),"")</f>
        <v>#N/A</v>
      </c>
      <c r="E464" s="211" t="e">
        <f>IF(D464&lt;&gt;"",VLOOKUP(VALUE(E439&amp;","&amp;C464),INTEGRANTES!$D$18:$F$235,3,0),"")</f>
        <v>#N/A</v>
      </c>
      <c r="F464" s="547" t="e">
        <f>IF(D464="","",SUMIF($I443:$I452,D464,$P443:$P452))</f>
        <v>#N/A</v>
      </c>
      <c r="G464" s="333" t="e">
        <f>IF(D464="","",SUMIF($I443:$I452,D464,$M443:$M452))</f>
        <v>#N/A</v>
      </c>
      <c r="H464" s="535" t="e">
        <f t="shared" si="119"/>
        <v>#N/A</v>
      </c>
      <c r="I464" s="212" t="e">
        <f>IF(D464="","",IF(H464="NO APORTA","NO",IF(H464=MAX($H460:$H465),"SI","NO")))</f>
        <v>#N/A</v>
      </c>
      <c r="J464" s="213" t="e">
        <f t="shared" si="120"/>
        <v>#N/A</v>
      </c>
      <c r="K464" s="200" t="e">
        <f t="shared" si="121"/>
        <v>#N/A</v>
      </c>
      <c r="L464" s="721"/>
      <c r="M464" s="715" t="s">
        <v>116</v>
      </c>
      <c r="N464" s="716"/>
      <c r="O464" s="556" t="str">
        <f>PORCREQUERIDO*100&amp;"% PMFO DEL MÓDULO"</f>
        <v>50% PMFO DEL MÓDULO</v>
      </c>
      <c r="P464" s="715" t="s">
        <v>118</v>
      </c>
      <c r="Q464" s="728"/>
      <c r="R464" s="458"/>
      <c r="S464" s="459"/>
      <c r="T464" s="460"/>
      <c r="U464" s="219"/>
      <c r="V464" s="464"/>
      <c r="Y464" s="414"/>
      <c r="AA464" s="540" t="e">
        <f>IF(AND(C463&lt;=F458,F458&lt;&gt;""),VLOOKUP(VALUE(E439&amp;","&amp;C463),INTEGRANTES!$D$18:$F$235,2,0),"")</f>
        <v>#N/A</v>
      </c>
      <c r="AB464" s="545" t="e">
        <f t="shared" si="122"/>
        <v>#N/A</v>
      </c>
      <c r="AC464" s="529"/>
      <c r="AD464" s="200" t="e">
        <f t="shared" si="123"/>
        <v>#N/A</v>
      </c>
      <c r="AE464" s="52"/>
      <c r="AF464" s="52"/>
      <c r="AG464" s="52"/>
      <c r="AH464" s="87"/>
      <c r="AI464" s="87"/>
    </row>
    <row r="465" spans="1:35" ht="16.5" hidden="1" thickBot="1">
      <c r="A465" s="218" t="e">
        <f>"S"&amp;E439</f>
        <v>#N/A</v>
      </c>
      <c r="B465" s="702"/>
      <c r="C465" s="215">
        <v>6</v>
      </c>
      <c r="D465" s="216" t="e">
        <f>IF(AND(C465&lt;=F458,F458&lt;&gt;""),VLOOKUP(VALUE(E439&amp;","&amp;C465),INTEGRANTES!$D$18:$F$235,2,0),"")</f>
        <v>#N/A</v>
      </c>
      <c r="E465" s="217" t="e">
        <f>IF(D465&lt;&gt;"",VLOOKUP(VALUE(E439&amp;","&amp;C465),INTEGRANTES!$D$18:$F$235,3,0),"")</f>
        <v>#N/A</v>
      </c>
      <c r="F465" s="548" t="e">
        <f>IF(D465="","",SUMIF($I443:$I452,D465,$P443:$P452))</f>
        <v>#N/A</v>
      </c>
      <c r="G465" s="334" t="e">
        <f>IF(D465="","",SUMIF($I443:$I452,D465,$M443:$M452))</f>
        <v>#N/A</v>
      </c>
      <c r="H465" s="536" t="e">
        <f t="shared" si="119"/>
        <v>#N/A</v>
      </c>
      <c r="I465" s="214" t="e">
        <f>IF(D465="","",IF(H465="NO APORTA","NO",IF(H465=MAX($H460:$H465),"SI","NO")))</f>
        <v>#N/A</v>
      </c>
      <c r="J465" s="213" t="e">
        <f t="shared" si="120"/>
        <v>#N/A</v>
      </c>
      <c r="K465" s="200" t="e">
        <f t="shared" si="121"/>
        <v>#N/A</v>
      </c>
      <c r="L465" s="721"/>
      <c r="M465" s="729">
        <f>NUMMOD</f>
        <v>1</v>
      </c>
      <c r="N465" s="730"/>
      <c r="O465" s="443">
        <f>IF(M465="","",ROUND(VLOOKUP(M465,PRESUPUESTOS!$B$16:$H$16,7,FALSE),3))</f>
        <v>25.780999999999999</v>
      </c>
      <c r="P465" s="713">
        <f>IF(OR(COUNTIF(P443:P452,"")&gt;=10,Q459&lt;NUMMINCONT,OR(T457="NO CUMPLE",T457="VERIFICAR")),0,ROUND((SUM(P443:P452)/SUM(M443:M452)),3))</f>
        <v>0</v>
      </c>
      <c r="Q465" s="714"/>
      <c r="R465" s="458"/>
      <c r="S465" s="459"/>
      <c r="T465" s="460"/>
      <c r="U465" s="219"/>
      <c r="V465" s="464"/>
      <c r="Y465" s="532" t="s">
        <v>343</v>
      </c>
      <c r="AA465" s="540" t="e">
        <f>IF(AND(C464&lt;=F458,F458&lt;&gt;""),VLOOKUP(VALUE(E439&amp;","&amp;C464),INTEGRANTES!$D$18:$F$235,2,0),"")</f>
        <v>#N/A</v>
      </c>
      <c r="AB465" s="545" t="e">
        <f t="shared" si="122"/>
        <v>#N/A</v>
      </c>
      <c r="AC465" s="529"/>
      <c r="AD465" s="200" t="e">
        <f t="shared" si="123"/>
        <v>#N/A</v>
      </c>
      <c r="AE465" s="52"/>
      <c r="AF465" s="52"/>
      <c r="AG465" s="52"/>
      <c r="AH465" s="87"/>
      <c r="AI465" s="87"/>
    </row>
    <row r="466" spans="1:35" ht="16.5" hidden="1" customHeight="1" thickBot="1">
      <c r="A466" s="218" t="e">
        <f>"T"&amp;E439</f>
        <v>#N/A</v>
      </c>
      <c r="B466" s="703"/>
      <c r="C466" s="719"/>
      <c r="D466" s="719"/>
      <c r="E466" s="719"/>
      <c r="F466" s="719"/>
      <c r="G466" s="719"/>
      <c r="H466" s="719" t="s">
        <v>110</v>
      </c>
      <c r="I466" s="719"/>
      <c r="J466" s="719"/>
      <c r="K466" s="201" t="str">
        <f>IF(COUNTIF(K460:K465,"")=6,"",IF(COUNTIF(K460:K465,"CUMPLE")&gt;0,"CUMPLE","NO CUMPLE"))</f>
        <v>NO CUMPLE</v>
      </c>
      <c r="L466" s="754"/>
      <c r="M466" s="755"/>
      <c r="N466" s="755"/>
      <c r="O466" s="755"/>
      <c r="P466" s="755"/>
      <c r="Q466" s="756"/>
      <c r="R466" s="461"/>
      <c r="S466" s="462"/>
      <c r="T466" s="463"/>
      <c r="U466" s="219"/>
      <c r="V466" s="464"/>
      <c r="Y466" s="549" t="e">
        <f>IF(Y460="NO APLICA","NO APLICA",IF(COUNTIF(AD461:AD466,"CUMPLE")&gt;0,"CUMPLE","NO CUMPLE"))</f>
        <v>#N/A</v>
      </c>
      <c r="AA466" s="541" t="e">
        <f>IF(AND(C465&lt;=F458,F458&lt;&gt;""),VLOOKUP(VALUE(E439&amp;","&amp;C465),INTEGRANTES!$D$18:$F$235,2,0),"")</f>
        <v>#N/A</v>
      </c>
      <c r="AB466" s="546" t="e">
        <f t="shared" si="122"/>
        <v>#N/A</v>
      </c>
      <c r="AC466" s="543"/>
      <c r="AD466" s="201" t="e">
        <f t="shared" si="123"/>
        <v>#N/A</v>
      </c>
      <c r="AE466" s="52"/>
      <c r="AF466" s="52"/>
      <c r="AG466" s="52"/>
      <c r="AH466" s="87"/>
      <c r="AI466" s="87"/>
    </row>
    <row r="467" spans="1:35" hidden="1">
      <c r="A467" s="103"/>
      <c r="B467" s="206"/>
      <c r="C467" s="206"/>
      <c r="D467" s="206"/>
      <c r="E467" s="206"/>
      <c r="F467" s="206"/>
      <c r="G467" s="206"/>
      <c r="H467" s="206"/>
      <c r="I467" s="104"/>
      <c r="J467" s="206"/>
      <c r="K467" s="113"/>
      <c r="L467" s="113"/>
      <c r="M467" s="113"/>
      <c r="N467" s="222"/>
      <c r="O467" s="113"/>
      <c r="P467" s="113"/>
      <c r="Q467" s="113"/>
      <c r="R467" s="206"/>
      <c r="S467" s="104"/>
      <c r="T467" s="206"/>
      <c r="U467" s="474"/>
      <c r="AH467" s="87"/>
      <c r="AI467" s="87"/>
    </row>
    <row r="468" spans="1:35" hidden="1">
      <c r="H468" s="220"/>
      <c r="AH468" s="87"/>
      <c r="AI468" s="87"/>
    </row>
    <row r="469" spans="1:35" ht="24" hidden="1" thickBot="1">
      <c r="A469" s="61">
        <v>16</v>
      </c>
      <c r="B469" s="704" t="s">
        <v>51</v>
      </c>
      <c r="C469" s="704"/>
      <c r="D469" s="704"/>
      <c r="E469" s="62" t="e">
        <f>VLOOKUP(A469,PROPONENTES!$B$19:$E$218,2,FALSE)</f>
        <v>#N/A</v>
      </c>
      <c r="F469" s="63" t="e">
        <f>VLOOKUP(A469,PROPONENTES!$B$19:$E$218,3,FALSE)</f>
        <v>#N/A</v>
      </c>
      <c r="G469" s="64"/>
      <c r="H469" s="64"/>
      <c r="I469" s="63"/>
      <c r="J469" s="63"/>
      <c r="K469" s="65"/>
      <c r="L469" s="65"/>
      <c r="M469" s="64"/>
      <c r="N469" s="64"/>
      <c r="O469" s="66"/>
      <c r="P469" s="66"/>
      <c r="Q469" s="66"/>
      <c r="R469" s="66"/>
      <c r="S469" s="67"/>
      <c r="T469" s="68"/>
      <c r="U469" s="68"/>
      <c r="AC469" s="68"/>
      <c r="AD469" s="68"/>
      <c r="AE469" s="68"/>
      <c r="AF469" s="68"/>
      <c r="AG469" s="68"/>
      <c r="AH469" s="87"/>
      <c r="AI469" s="87"/>
    </row>
    <row r="470" spans="1:35" ht="15.75" hidden="1" customHeight="1">
      <c r="A470" s="44"/>
      <c r="B470" s="709" t="s">
        <v>59</v>
      </c>
      <c r="C470" s="552" t="s">
        <v>60</v>
      </c>
      <c r="D470" s="70" t="s">
        <v>17</v>
      </c>
      <c r="E470" s="70"/>
      <c r="F470" s="70" t="s">
        <v>61</v>
      </c>
      <c r="G470" s="71"/>
      <c r="H470" s="699" t="s">
        <v>62</v>
      </c>
      <c r="I470" s="699" t="s">
        <v>18</v>
      </c>
      <c r="J470" s="699" t="s">
        <v>63</v>
      </c>
      <c r="K470" s="699" t="s">
        <v>64</v>
      </c>
      <c r="L470" s="699" t="s">
        <v>65</v>
      </c>
      <c r="M470" s="743" t="s">
        <v>66</v>
      </c>
      <c r="N470" s="699" t="s">
        <v>282</v>
      </c>
      <c r="O470" s="745" t="s">
        <v>67</v>
      </c>
      <c r="P470" s="746"/>
      <c r="Q470" s="102" t="s">
        <v>75</v>
      </c>
      <c r="R470" s="731" t="s">
        <v>22</v>
      </c>
      <c r="S470" s="732"/>
      <c r="T470" s="733"/>
      <c r="U470" s="712" t="s">
        <v>298</v>
      </c>
      <c r="W470" s="690" t="s">
        <v>268</v>
      </c>
      <c r="X470" s="691"/>
      <c r="Y470" s="692"/>
      <c r="Z470" s="428"/>
      <c r="AA470" s="697" t="s">
        <v>315</v>
      </c>
      <c r="AB470" s="695" t="s">
        <v>322</v>
      </c>
      <c r="AC470" s="49"/>
      <c r="AD470" s="690" t="s">
        <v>297</v>
      </c>
      <c r="AE470" s="691"/>
      <c r="AF470" s="692"/>
      <c r="AG470" s="49"/>
      <c r="AH470" s="87"/>
      <c r="AI470" s="87"/>
    </row>
    <row r="471" spans="1:35" ht="72" hidden="1">
      <c r="A471" s="44"/>
      <c r="B471" s="710"/>
      <c r="C471" s="553" t="s">
        <v>68</v>
      </c>
      <c r="D471" s="73" t="s">
        <v>3</v>
      </c>
      <c r="E471" s="73" t="s">
        <v>19</v>
      </c>
      <c r="F471" s="73" t="s">
        <v>69</v>
      </c>
      <c r="G471" s="74" t="s">
        <v>70</v>
      </c>
      <c r="H471" s="700"/>
      <c r="I471" s="700"/>
      <c r="J471" s="700"/>
      <c r="K471" s="700"/>
      <c r="L471" s="700"/>
      <c r="M471" s="744"/>
      <c r="N471" s="700"/>
      <c r="O471" s="553" t="s">
        <v>279</v>
      </c>
      <c r="P471" s="73" t="s">
        <v>88</v>
      </c>
      <c r="Q471" s="555" t="s">
        <v>76</v>
      </c>
      <c r="R471" s="734"/>
      <c r="S471" s="735"/>
      <c r="T471" s="736"/>
      <c r="U471" s="712"/>
      <c r="W471" s="429" t="s">
        <v>269</v>
      </c>
      <c r="X471" s="457" t="s">
        <v>278</v>
      </c>
      <c r="Y471" s="430" t="s">
        <v>324</v>
      </c>
      <c r="Z471" s="428"/>
      <c r="AA471" s="698"/>
      <c r="AB471" s="696"/>
      <c r="AC471" s="49"/>
      <c r="AD471" s="429" t="s">
        <v>292</v>
      </c>
      <c r="AE471" s="431" t="s">
        <v>300</v>
      </c>
      <c r="AF471" s="468" t="s">
        <v>301</v>
      </c>
      <c r="AG471" s="49"/>
      <c r="AH471" s="87"/>
      <c r="AI471" s="87"/>
    </row>
    <row r="472" spans="1:35" hidden="1">
      <c r="A472" s="44"/>
      <c r="B472" s="76"/>
      <c r="C472" s="77"/>
      <c r="D472" s="77"/>
      <c r="E472" s="77"/>
      <c r="F472" s="77"/>
      <c r="G472" s="77"/>
      <c r="H472" s="77"/>
      <c r="I472" s="77"/>
      <c r="J472" s="77"/>
      <c r="K472" s="77"/>
      <c r="L472" s="77"/>
      <c r="M472" s="77"/>
      <c r="N472" s="77"/>
      <c r="O472" s="77"/>
      <c r="P472" s="77"/>
      <c r="Q472" s="77"/>
      <c r="R472" s="77"/>
      <c r="S472" s="78"/>
      <c r="T472" s="79"/>
      <c r="U472" s="109"/>
      <c r="V472" s="49"/>
      <c r="W472" s="432"/>
      <c r="X472" s="454"/>
      <c r="Y472" s="433"/>
      <c r="Z472" s="6"/>
      <c r="AA472" s="500"/>
      <c r="AB472" s="562"/>
      <c r="AC472" s="49"/>
      <c r="AD472" s="210"/>
      <c r="AE472" s="434"/>
      <c r="AF472" s="435"/>
      <c r="AG472" s="49"/>
      <c r="AH472" s="87"/>
      <c r="AI472" s="87"/>
    </row>
    <row r="473" spans="1:35" hidden="1">
      <c r="A473" s="80" t="e">
        <f>"A"&amp;E469</f>
        <v>#N/A</v>
      </c>
      <c r="B473" s="81">
        <v>1</v>
      </c>
      <c r="C473" s="82"/>
      <c r="D473" s="82"/>
      <c r="E473" s="82"/>
      <c r="F473" s="82"/>
      <c r="G473" s="83"/>
      <c r="H473" s="83"/>
      <c r="I473" s="84"/>
      <c r="J473" s="85"/>
      <c r="K473" s="382"/>
      <c r="L473" s="85"/>
      <c r="M473" s="332" t="str">
        <f t="shared" ref="M473:M482" si="124">IF(OR(J473="",L473="",H473="NO"),"",IF(OR(J473&gt;$P$17,J473&lt;$O$17,L473&gt;$P$17,AND(J473&lt;$O$17,L473&lt;$O$17)),"FUERA DE RANGO",IF(OR(K473="---",K473=""),IF(J473&gt;=$O$17,ROUND((L473-J473+1)/360*12,3),ROUND((L473-$O$17+1)/360*12,3)),IF(J473&gt;=$O$17,ROUND((L473-J473+1)/360*12-ROUND(K473,3),3),ROUND((L473-$O$17+1)/360*12-ROUND(K473,3),3)))))</f>
        <v/>
      </c>
      <c r="N473" s="86"/>
      <c r="O473" s="453" t="str">
        <f>IF(OR(G473="",N473=""),"",N473*G473)</f>
        <v/>
      </c>
      <c r="P473" s="538" t="str">
        <f>IF(OR(H473="",M473="FUERA DE RANGO"),"",IF(OR(L473&lt;$O$17,L473&gt;$P$17,L473="",H473="NO"),"",IF(OR(N473="",O473=""),"",ROUND(O473,3))))</f>
        <v/>
      </c>
      <c r="Q473" s="539" t="str">
        <f t="shared" ref="Q473:Q482" si="125">IF(AND(H473="SI",P473&lt;&gt;""),ROUND(P473/M473,3),"")</f>
        <v/>
      </c>
      <c r="R473" s="737"/>
      <c r="S473" s="738"/>
      <c r="T473" s="739"/>
      <c r="U473" s="470"/>
      <c r="V473" s="165"/>
      <c r="W473" s="446"/>
      <c r="X473" s="456"/>
      <c r="Y473" s="436"/>
      <c r="Z473" s="437"/>
      <c r="AA473" s="560"/>
      <c r="AB473" s="561"/>
      <c r="AC473" s="87"/>
      <c r="AD473" s="466"/>
      <c r="AE473" s="456"/>
      <c r="AF473" s="467"/>
      <c r="AG473" s="87"/>
      <c r="AH473" s="87"/>
      <c r="AI473" s="87"/>
    </row>
    <row r="474" spans="1:35" hidden="1">
      <c r="A474" s="80" t="e">
        <f>"B"&amp;E469</f>
        <v>#N/A</v>
      </c>
      <c r="B474" s="81">
        <v>2</v>
      </c>
      <c r="C474" s="106"/>
      <c r="D474" s="106"/>
      <c r="E474" s="106"/>
      <c r="F474" s="106"/>
      <c r="G474" s="83"/>
      <c r="H474" s="83"/>
      <c r="I474" s="84"/>
      <c r="J474" s="85"/>
      <c r="K474" s="382"/>
      <c r="L474" s="85"/>
      <c r="M474" s="332" t="str">
        <f t="shared" si="124"/>
        <v/>
      </c>
      <c r="N474" s="86"/>
      <c r="O474" s="453" t="str">
        <f t="shared" ref="O474:O482" si="126">IF(OR(G474="",N474=""),"",N474*G474)</f>
        <v/>
      </c>
      <c r="P474" s="538" t="str">
        <f t="shared" ref="P474:P482" si="127">IF(OR(H474="",M474="FUERA DE RANGO"),"",IF(OR(L474&lt;$O$17,L474&gt;$P$17,L474="",H474="NO"),"",IF(OR(N474="",O474=""),"",ROUND(O474,3))))</f>
        <v/>
      </c>
      <c r="Q474" s="539" t="str">
        <f t="shared" si="125"/>
        <v/>
      </c>
      <c r="R474" s="740"/>
      <c r="S474" s="741"/>
      <c r="T474" s="742"/>
      <c r="U474" s="471"/>
      <c r="V474" s="165"/>
      <c r="W474" s="446"/>
      <c r="X474" s="456"/>
      <c r="Y474" s="436"/>
      <c r="Z474" s="437"/>
      <c r="AA474" s="560"/>
      <c r="AB474" s="561"/>
      <c r="AC474" s="87"/>
      <c r="AD474" s="466"/>
      <c r="AE474" s="456"/>
      <c r="AF474" s="467"/>
      <c r="AG474" s="87"/>
      <c r="AH474" s="87"/>
      <c r="AI474" s="87"/>
    </row>
    <row r="475" spans="1:35" hidden="1">
      <c r="A475" s="80" t="e">
        <f>"C"&amp;E469</f>
        <v>#N/A</v>
      </c>
      <c r="B475" s="88">
        <v>3</v>
      </c>
      <c r="C475" s="82"/>
      <c r="D475" s="82"/>
      <c r="E475" s="82"/>
      <c r="F475" s="82"/>
      <c r="G475" s="83"/>
      <c r="H475" s="83"/>
      <c r="I475" s="84"/>
      <c r="J475" s="85"/>
      <c r="K475" s="382"/>
      <c r="L475" s="85"/>
      <c r="M475" s="332" t="str">
        <f t="shared" si="124"/>
        <v/>
      </c>
      <c r="N475" s="86"/>
      <c r="O475" s="453" t="str">
        <f t="shared" si="126"/>
        <v/>
      </c>
      <c r="P475" s="538" t="str">
        <f t="shared" si="127"/>
        <v/>
      </c>
      <c r="Q475" s="539" t="str">
        <f t="shared" si="125"/>
        <v/>
      </c>
      <c r="R475" s="706"/>
      <c r="S475" s="707"/>
      <c r="T475" s="708"/>
      <c r="U475" s="472"/>
      <c r="V475" s="166"/>
      <c r="W475" s="446"/>
      <c r="X475" s="456"/>
      <c r="Y475" s="436"/>
      <c r="Z475" s="437"/>
      <c r="AA475" s="560"/>
      <c r="AB475" s="561"/>
      <c r="AC475" s="87"/>
      <c r="AD475" s="466"/>
      <c r="AE475" s="456"/>
      <c r="AF475" s="467"/>
      <c r="AG475" s="87"/>
      <c r="AH475" s="87"/>
      <c r="AI475" s="87"/>
    </row>
    <row r="476" spans="1:35" hidden="1">
      <c r="A476" s="80" t="e">
        <f>"D"&amp;E469</f>
        <v>#N/A</v>
      </c>
      <c r="B476" s="105">
        <v>4</v>
      </c>
      <c r="C476" s="107"/>
      <c r="D476" s="107"/>
      <c r="E476" s="107"/>
      <c r="F476" s="107"/>
      <c r="G476" s="83"/>
      <c r="H476" s="83"/>
      <c r="I476" s="84"/>
      <c r="J476" s="85"/>
      <c r="K476" s="382"/>
      <c r="L476" s="85"/>
      <c r="M476" s="332" t="str">
        <f t="shared" si="124"/>
        <v/>
      </c>
      <c r="N476" s="86"/>
      <c r="O476" s="453" t="str">
        <f t="shared" si="126"/>
        <v/>
      </c>
      <c r="P476" s="538" t="str">
        <f t="shared" si="127"/>
        <v/>
      </c>
      <c r="Q476" s="539" t="str">
        <f t="shared" si="125"/>
        <v/>
      </c>
      <c r="R476" s="706"/>
      <c r="S476" s="707"/>
      <c r="T476" s="708"/>
      <c r="U476" s="472"/>
      <c r="V476" s="166"/>
      <c r="W476" s="446"/>
      <c r="X476" s="456"/>
      <c r="Y476" s="436"/>
      <c r="Z476" s="437"/>
      <c r="AA476" s="560"/>
      <c r="AB476" s="561"/>
      <c r="AC476" s="87"/>
      <c r="AD476" s="466"/>
      <c r="AE476" s="456"/>
      <c r="AF476" s="467"/>
      <c r="AG476" s="87"/>
      <c r="AH476" s="87"/>
      <c r="AI476" s="87"/>
    </row>
    <row r="477" spans="1:35" hidden="1">
      <c r="A477" s="80" t="e">
        <f>"E"&amp;E469</f>
        <v>#N/A</v>
      </c>
      <c r="B477" s="105">
        <v>5</v>
      </c>
      <c r="C477" s="107"/>
      <c r="D477" s="107"/>
      <c r="E477" s="107"/>
      <c r="F477" s="107"/>
      <c r="G477" s="83"/>
      <c r="H477" s="83"/>
      <c r="I477" s="84"/>
      <c r="J477" s="85"/>
      <c r="K477" s="382"/>
      <c r="L477" s="85"/>
      <c r="M477" s="332" t="str">
        <f t="shared" si="124"/>
        <v/>
      </c>
      <c r="N477" s="86"/>
      <c r="O477" s="453" t="str">
        <f t="shared" si="126"/>
        <v/>
      </c>
      <c r="P477" s="538" t="str">
        <f t="shared" si="127"/>
        <v/>
      </c>
      <c r="Q477" s="539" t="str">
        <f t="shared" si="125"/>
        <v/>
      </c>
      <c r="R477" s="706"/>
      <c r="S477" s="707"/>
      <c r="T477" s="708"/>
      <c r="U477" s="472"/>
      <c r="V477" s="167"/>
      <c r="W477" s="446"/>
      <c r="X477" s="456"/>
      <c r="Y477" s="436"/>
      <c r="Z477" s="437"/>
      <c r="AA477" s="560"/>
      <c r="AB477" s="561"/>
      <c r="AC477" s="87"/>
      <c r="AD477" s="466"/>
      <c r="AE477" s="456"/>
      <c r="AF477" s="467"/>
      <c r="AG477" s="87"/>
      <c r="AH477" s="87"/>
      <c r="AI477" s="87"/>
    </row>
    <row r="478" spans="1:35" hidden="1">
      <c r="A478" s="80" t="e">
        <f>"F"&amp;E469</f>
        <v>#N/A</v>
      </c>
      <c r="B478" s="105">
        <v>6</v>
      </c>
      <c r="C478" s="107"/>
      <c r="D478" s="107"/>
      <c r="E478" s="107"/>
      <c r="F478" s="107"/>
      <c r="G478" s="83"/>
      <c r="H478" s="83"/>
      <c r="I478" s="84"/>
      <c r="J478" s="85"/>
      <c r="K478" s="382"/>
      <c r="L478" s="85"/>
      <c r="M478" s="332" t="str">
        <f t="shared" si="124"/>
        <v/>
      </c>
      <c r="N478" s="86"/>
      <c r="O478" s="453" t="str">
        <f t="shared" si="126"/>
        <v/>
      </c>
      <c r="P478" s="538" t="str">
        <f t="shared" si="127"/>
        <v/>
      </c>
      <c r="Q478" s="539" t="str">
        <f t="shared" si="125"/>
        <v/>
      </c>
      <c r="R478" s="706"/>
      <c r="S478" s="707"/>
      <c r="T478" s="708"/>
      <c r="U478" s="472"/>
      <c r="V478" s="167"/>
      <c r="W478" s="446"/>
      <c r="X478" s="456"/>
      <c r="Y478" s="436"/>
      <c r="Z478" s="437"/>
      <c r="AA478" s="560"/>
      <c r="AB478" s="561"/>
      <c r="AC478" s="87"/>
      <c r="AD478" s="466"/>
      <c r="AE478" s="456"/>
      <c r="AF478" s="467"/>
      <c r="AG478" s="87"/>
      <c r="AH478" s="87"/>
      <c r="AI478" s="87"/>
    </row>
    <row r="479" spans="1:35" hidden="1">
      <c r="A479" s="80" t="e">
        <f>"G"&amp;E469</f>
        <v>#N/A</v>
      </c>
      <c r="B479" s="105">
        <v>7</v>
      </c>
      <c r="C479" s="107"/>
      <c r="D479" s="107"/>
      <c r="E479" s="107"/>
      <c r="F479" s="107"/>
      <c r="G479" s="83"/>
      <c r="H479" s="83"/>
      <c r="I479" s="84"/>
      <c r="J479" s="85"/>
      <c r="K479" s="382"/>
      <c r="L479" s="85"/>
      <c r="M479" s="332" t="str">
        <f t="shared" si="124"/>
        <v/>
      </c>
      <c r="N479" s="86"/>
      <c r="O479" s="86" t="str">
        <f t="shared" si="126"/>
        <v/>
      </c>
      <c r="P479" s="538" t="str">
        <f t="shared" si="127"/>
        <v/>
      </c>
      <c r="Q479" s="539" t="str">
        <f t="shared" si="125"/>
        <v/>
      </c>
      <c r="R479" s="706"/>
      <c r="S479" s="707"/>
      <c r="T479" s="708"/>
      <c r="U479" s="472"/>
      <c r="V479" s="167"/>
      <c r="W479" s="446"/>
      <c r="X479" s="456"/>
      <c r="Y479" s="436"/>
      <c r="Z479" s="437"/>
      <c r="AA479" s="560"/>
      <c r="AB479" s="561"/>
      <c r="AC479" s="87"/>
      <c r="AD479" s="466"/>
      <c r="AE479" s="456"/>
      <c r="AF479" s="467"/>
      <c r="AG479" s="87"/>
      <c r="AH479" s="87"/>
      <c r="AI479" s="87"/>
    </row>
    <row r="480" spans="1:35" hidden="1">
      <c r="A480" s="80" t="e">
        <f>"H"&amp;E469</f>
        <v>#N/A</v>
      </c>
      <c r="B480" s="105">
        <v>8</v>
      </c>
      <c r="C480" s="107"/>
      <c r="D480" s="107"/>
      <c r="E480" s="107"/>
      <c r="F480" s="107"/>
      <c r="G480" s="83"/>
      <c r="H480" s="83"/>
      <c r="I480" s="84"/>
      <c r="J480" s="85"/>
      <c r="K480" s="382"/>
      <c r="L480" s="85"/>
      <c r="M480" s="332" t="str">
        <f t="shared" si="124"/>
        <v/>
      </c>
      <c r="N480" s="453"/>
      <c r="O480" s="86" t="str">
        <f t="shared" si="126"/>
        <v/>
      </c>
      <c r="P480" s="538" t="str">
        <f t="shared" si="127"/>
        <v/>
      </c>
      <c r="Q480" s="539" t="str">
        <f t="shared" si="125"/>
        <v/>
      </c>
      <c r="R480" s="706"/>
      <c r="S480" s="707"/>
      <c r="T480" s="708"/>
      <c r="U480" s="472"/>
      <c r="V480" s="167"/>
      <c r="W480" s="446"/>
      <c r="X480" s="456"/>
      <c r="Y480" s="436"/>
      <c r="Z480" s="437"/>
      <c r="AA480" s="560"/>
      <c r="AB480" s="561"/>
      <c r="AC480" s="87"/>
      <c r="AD480" s="466"/>
      <c r="AE480" s="456"/>
      <c r="AF480" s="467"/>
      <c r="AG480" s="87"/>
      <c r="AH480" s="87"/>
      <c r="AI480" s="87"/>
    </row>
    <row r="481" spans="1:35" hidden="1">
      <c r="A481" s="80" t="e">
        <f>"I"&amp;E469</f>
        <v>#N/A</v>
      </c>
      <c r="B481" s="105">
        <v>9</v>
      </c>
      <c r="C481" s="107"/>
      <c r="D481" s="107"/>
      <c r="E481" s="107"/>
      <c r="F481" s="107"/>
      <c r="G481" s="83"/>
      <c r="H481" s="83"/>
      <c r="I481" s="84"/>
      <c r="J481" s="85"/>
      <c r="K481" s="382"/>
      <c r="L481" s="85"/>
      <c r="M481" s="332" t="str">
        <f t="shared" si="124"/>
        <v/>
      </c>
      <c r="N481" s="453"/>
      <c r="O481" s="86" t="str">
        <f t="shared" si="126"/>
        <v/>
      </c>
      <c r="P481" s="538" t="str">
        <f t="shared" si="127"/>
        <v/>
      </c>
      <c r="Q481" s="539" t="str">
        <f t="shared" si="125"/>
        <v/>
      </c>
      <c r="R481" s="706"/>
      <c r="S481" s="707"/>
      <c r="T481" s="708"/>
      <c r="U481" s="472"/>
      <c r="V481" s="167"/>
      <c r="W481" s="446"/>
      <c r="X481" s="456"/>
      <c r="Y481" s="436"/>
      <c r="Z481" s="437"/>
      <c r="AA481" s="560"/>
      <c r="AB481" s="561"/>
      <c r="AC481" s="87"/>
      <c r="AD481" s="466"/>
      <c r="AE481" s="456"/>
      <c r="AF481" s="467"/>
      <c r="AG481" s="87"/>
      <c r="AH481" s="87"/>
      <c r="AI481" s="87"/>
    </row>
    <row r="482" spans="1:35" hidden="1">
      <c r="A482" s="80" t="e">
        <f>"J"&amp;E469</f>
        <v>#N/A</v>
      </c>
      <c r="B482" s="105">
        <v>10</v>
      </c>
      <c r="C482" s="107"/>
      <c r="D482" s="107"/>
      <c r="E482" s="107"/>
      <c r="F482" s="107"/>
      <c r="G482" s="83"/>
      <c r="H482" s="83"/>
      <c r="I482" s="84"/>
      <c r="J482" s="85"/>
      <c r="K482" s="382"/>
      <c r="L482" s="85"/>
      <c r="M482" s="332" t="str">
        <f t="shared" si="124"/>
        <v/>
      </c>
      <c r="N482" s="453"/>
      <c r="O482" s="86" t="str">
        <f t="shared" si="126"/>
        <v/>
      </c>
      <c r="P482" s="538" t="str">
        <f t="shared" si="127"/>
        <v/>
      </c>
      <c r="Q482" s="539" t="str">
        <f t="shared" si="125"/>
        <v/>
      </c>
      <c r="R482" s="706"/>
      <c r="S482" s="707"/>
      <c r="T482" s="708"/>
      <c r="U482" s="472"/>
      <c r="V482" s="167"/>
      <c r="W482" s="446"/>
      <c r="X482" s="456"/>
      <c r="Y482" s="436"/>
      <c r="Z482" s="437"/>
      <c r="AA482" s="560"/>
      <c r="AB482" s="561"/>
      <c r="AC482" s="87"/>
      <c r="AD482" s="466"/>
      <c r="AE482" s="456"/>
      <c r="AF482" s="467"/>
      <c r="AG482" s="87"/>
      <c r="AH482" s="87"/>
      <c r="AI482" s="87"/>
    </row>
    <row r="483" spans="1:35" ht="16.5" hidden="1" thickBot="1">
      <c r="A483" s="44"/>
      <c r="B483" s="89"/>
      <c r="C483" s="90"/>
      <c r="D483" s="90"/>
      <c r="E483" s="90"/>
      <c r="F483" s="90"/>
      <c r="G483" s="90"/>
      <c r="H483" s="90"/>
      <c r="I483" s="90"/>
      <c r="J483" s="90"/>
      <c r="K483" s="90"/>
      <c r="L483" s="90"/>
      <c r="M483" s="90"/>
      <c r="N483" s="90"/>
      <c r="O483" s="90"/>
      <c r="P483" s="90"/>
      <c r="Q483" s="90"/>
      <c r="R483" s="90"/>
      <c r="S483" s="91"/>
      <c r="T483" s="92"/>
      <c r="U483" s="473"/>
      <c r="W483" s="438"/>
      <c r="X483" s="455"/>
      <c r="Y483" s="439"/>
      <c r="Z483" s="437"/>
      <c r="AA483" s="530"/>
      <c r="AB483" s="563"/>
      <c r="AC483" s="87"/>
      <c r="AD483" s="440"/>
      <c r="AE483" s="441"/>
      <c r="AF483" s="442"/>
      <c r="AG483" s="49"/>
      <c r="AH483" s="87"/>
      <c r="AI483" s="87"/>
    </row>
    <row r="484" spans="1:35" ht="16.5" hidden="1" thickBot="1">
      <c r="A484" s="93"/>
      <c r="B484" s="94"/>
      <c r="C484" s="96"/>
      <c r="D484" s="96"/>
      <c r="E484" s="96"/>
      <c r="F484" s="96"/>
      <c r="G484" s="96"/>
      <c r="H484" s="96"/>
      <c r="I484" s="96"/>
      <c r="J484" s="96"/>
      <c r="K484" s="96"/>
      <c r="L484" s="96"/>
      <c r="M484" s="136"/>
      <c r="N484" s="96"/>
      <c r="O484" s="96"/>
      <c r="P484" s="97"/>
      <c r="Q484" s="97"/>
      <c r="R484" s="98"/>
      <c r="S484" s="95"/>
      <c r="T484" s="99"/>
      <c r="U484" s="469"/>
      <c r="AC484" s="58"/>
      <c r="AG484" s="58"/>
      <c r="AH484" s="87"/>
      <c r="AI484" s="87"/>
    </row>
    <row r="485" spans="1:35" ht="16.5" hidden="1" thickBot="1">
      <c r="B485" s="101"/>
      <c r="C485" s="101"/>
      <c r="D485" s="101"/>
      <c r="E485" s="101"/>
      <c r="F485" s="101"/>
      <c r="G485" s="101"/>
      <c r="H485" s="101"/>
      <c r="I485" s="101"/>
      <c r="J485" s="101"/>
      <c r="K485" s="101"/>
      <c r="L485" s="101"/>
      <c r="M485" s="101"/>
      <c r="N485" s="101"/>
      <c r="O485" s="101"/>
      <c r="P485" s="101"/>
      <c r="Q485" s="101"/>
      <c r="R485" s="101"/>
      <c r="S485" s="101"/>
      <c r="U485" s="50"/>
      <c r="AH485" s="87"/>
      <c r="AI485" s="87"/>
    </row>
    <row r="486" spans="1:35" ht="16.5" hidden="1" customHeight="1" thickBot="1">
      <c r="A486" s="44"/>
      <c r="B486" s="705" t="s">
        <v>74</v>
      </c>
      <c r="C486" s="705"/>
      <c r="D486" s="705"/>
      <c r="E486" s="705"/>
      <c r="F486" s="705"/>
      <c r="G486" s="705"/>
      <c r="H486" s="705"/>
      <c r="I486" s="705"/>
      <c r="J486" s="705"/>
      <c r="K486" s="705"/>
      <c r="L486" s="705"/>
      <c r="M486" s="705"/>
      <c r="N486" s="705"/>
      <c r="O486" s="705"/>
      <c r="P486" s="705"/>
      <c r="Q486" s="705"/>
      <c r="R486" s="705"/>
      <c r="S486" s="705"/>
      <c r="T486" s="705"/>
      <c r="U486" s="108"/>
      <c r="Y486" s="532" t="s">
        <v>341</v>
      </c>
      <c r="AC486" s="49"/>
      <c r="AD486" s="687" t="s">
        <v>302</v>
      </c>
      <c r="AE486" s="688"/>
      <c r="AF486" s="689"/>
      <c r="AG486" s="49"/>
      <c r="AH486" s="87"/>
      <c r="AI486" s="87"/>
    </row>
    <row r="487" spans="1:35" ht="15.75" hidden="1" customHeight="1" thickBot="1">
      <c r="A487" s="218" t="e">
        <f>"K"&amp;E469</f>
        <v>#N/A</v>
      </c>
      <c r="B487" s="701" t="s">
        <v>71</v>
      </c>
      <c r="C487" s="751" t="s">
        <v>102</v>
      </c>
      <c r="D487" s="751"/>
      <c r="E487" s="751"/>
      <c r="F487" s="751"/>
      <c r="G487" s="751"/>
      <c r="H487" s="751"/>
      <c r="I487" s="751"/>
      <c r="J487" s="751"/>
      <c r="K487" s="751"/>
      <c r="L487" s="722" t="s">
        <v>100</v>
      </c>
      <c r="M487" s="747" t="s">
        <v>114</v>
      </c>
      <c r="N487" s="747"/>
      <c r="O487" s="747"/>
      <c r="P487" s="747"/>
      <c r="Q487" s="748"/>
      <c r="R487" s="758" t="s">
        <v>280</v>
      </c>
      <c r="S487" s="748"/>
      <c r="T487" s="762" t="str">
        <f>IF(COUNTIF(AE487:AF487,"VERIFICAR")&gt;0,"VERIFICAR",IF(COUNTIF(AE487:AF487,"NO CUMPLE")&gt;0,"NO CUMPLE","CUMPLE"))</f>
        <v>VERIFICAR</v>
      </c>
      <c r="U487" s="108"/>
      <c r="Y487" s="533" t="e">
        <f>IF(F488="","",IF(F488=1,"INDIVIDUAL","ESTRUCTURA PLURAL"))</f>
        <v>#N/A</v>
      </c>
      <c r="AC487" s="52"/>
      <c r="AD487" s="475" t="s">
        <v>303</v>
      </c>
      <c r="AE487" s="476" t="str">
        <f>IF(COUNTIF(AE473:AE482,"")=10,"VERIFICAR",IF(COUNTIF(AE473:AE482,"SI")&gt;0,"CUMPLE","NO CUMPLE"))</f>
        <v>VERIFICAR</v>
      </c>
      <c r="AF487" s="477" t="str">
        <f>IF(COUNTIF(AF473:AF482,"")=10,"VERIFICAR",IF(COUNTIF(AF473:AF482,"SI")&gt;=$AI$22,"CUMPLE","NO CUMPLE"))</f>
        <v>VERIFICAR</v>
      </c>
      <c r="AG487" s="52"/>
      <c r="AH487" s="87"/>
      <c r="AI487" s="87"/>
    </row>
    <row r="488" spans="1:35" ht="16.5" hidden="1" customHeight="1" thickBot="1">
      <c r="A488" s="218" t="e">
        <f>"L"&amp;E469</f>
        <v>#N/A</v>
      </c>
      <c r="B488" s="702"/>
      <c r="C488" s="751" t="s">
        <v>103</v>
      </c>
      <c r="D488" s="751"/>
      <c r="E488" s="752"/>
      <c r="F488" s="557" t="e">
        <f>IF(VLOOKUP(E469,PROPONENTES!$C$19:$E$218,3,0)="","",VLOOKUP(E469,PROPONENTES!$C$19:$E$218,3,0))</f>
        <v>#N/A</v>
      </c>
      <c r="G488" s="753" t="s">
        <v>104</v>
      </c>
      <c r="H488" s="751"/>
      <c r="I488" s="715" t="e">
        <f>IF(OR(F488="",F488=1),"INTERESADO PERSONA NATURAL O JURIDICA","CONSORCIO O UNION TEMPORAL")</f>
        <v>#N/A</v>
      </c>
      <c r="J488" s="725"/>
      <c r="K488" s="728"/>
      <c r="L488" s="723"/>
      <c r="M488" s="749"/>
      <c r="N488" s="749"/>
      <c r="O488" s="749"/>
      <c r="P488" s="749"/>
      <c r="Q488" s="750"/>
      <c r="R488" s="712"/>
      <c r="S488" s="750"/>
      <c r="T488" s="763"/>
      <c r="U488" s="108"/>
      <c r="Y488" s="534"/>
      <c r="AA488" s="52"/>
      <c r="AB488" s="52"/>
      <c r="AC488" s="52"/>
      <c r="AG488" s="52"/>
      <c r="AH488" s="87"/>
      <c r="AI488" s="87"/>
    </row>
    <row r="489" spans="1:35" ht="56.25" hidden="1" customHeight="1" thickBot="1">
      <c r="A489" s="218" t="e">
        <f>"M"&amp;E469</f>
        <v>#N/A</v>
      </c>
      <c r="B489" s="702"/>
      <c r="C489" s="725" t="s">
        <v>101</v>
      </c>
      <c r="D489" s="716"/>
      <c r="E489" s="558" t="s">
        <v>105</v>
      </c>
      <c r="F489" s="554" t="s">
        <v>87</v>
      </c>
      <c r="G489" s="553" t="s">
        <v>86</v>
      </c>
      <c r="H489" s="559" t="s">
        <v>85</v>
      </c>
      <c r="I489" s="554" t="s">
        <v>252</v>
      </c>
      <c r="J489" s="553" t="str">
        <f>"¿EL INTEGRANTE TIENE UNA PARTICIPACIÓN DEL "&amp;PORCREQUERIDOINT*100&amp;"%?"</f>
        <v>¿EL INTEGRANTE TIENE UNA PARTICIPACIÓN DEL 60%?</v>
      </c>
      <c r="K489" s="554" t="s">
        <v>107</v>
      </c>
      <c r="L489" s="724"/>
      <c r="M489" s="717" t="s">
        <v>115</v>
      </c>
      <c r="N489" s="718"/>
      <c r="O489" s="718"/>
      <c r="P489" s="718"/>
      <c r="Q489" s="223">
        <f>IF(AND(H473="SI",P473&gt;=0),1,0)+IF(AND(H474="SI",P474&gt;=0),1,0)+IF(AND(H475="SI",P475&gt;=0),1,0)+IF(AND(H476="SI",P476&gt;=0),1,0)+IF(AND(H477="SI",P477&gt;=0),1,0)+IF(AND(H478="SI",P478&gt;=0),1,0)+IF(AND(H479="SI",P479&gt;=0),1,0)+IF(AND(H480="SI",P480&gt;=0),1,0)+IF(AND(H481="SI",P481&gt;=0),1,0)+IF(AND(H482="SI",P482&gt;=0),1,0)</f>
        <v>0</v>
      </c>
      <c r="R489" s="759"/>
      <c r="S489" s="761"/>
      <c r="T489" s="764"/>
      <c r="U489" s="219"/>
      <c r="V489" s="464"/>
      <c r="Y489" s="532" t="s">
        <v>342</v>
      </c>
      <c r="AA489" s="550" t="s">
        <v>344</v>
      </c>
      <c r="AB489" s="693" t="s">
        <v>345</v>
      </c>
      <c r="AC489" s="693" t="s">
        <v>346</v>
      </c>
      <c r="AD489" s="685" t="s">
        <v>347</v>
      </c>
      <c r="AE489" s="52"/>
      <c r="AF489" s="52"/>
      <c r="AG489" s="52"/>
      <c r="AH489" s="87"/>
      <c r="AI489" s="87"/>
    </row>
    <row r="490" spans="1:35" ht="15.75" hidden="1" customHeight="1" thickBot="1">
      <c r="A490" s="218" t="e">
        <f>"N"&amp;E469</f>
        <v>#N/A</v>
      </c>
      <c r="B490" s="702"/>
      <c r="C490" s="114">
        <v>1</v>
      </c>
      <c r="D490" s="194" t="e">
        <f>IF(AND(C490&lt;=F488,F488&gt;1,F488&lt;&gt;""),VLOOKUP(VALUE(E469&amp;","&amp;C490),INTEGRANTES!$D$18:$F$235,2,0),"")</f>
        <v>#N/A</v>
      </c>
      <c r="E490" s="211" t="e">
        <f>IF(D490&lt;&gt;"",VLOOKUP(VALUE(E469&amp;","&amp;C490),INTEGRANTES!$D$18:$F$235,3,0),"")</f>
        <v>#N/A</v>
      </c>
      <c r="F490" s="547" t="e">
        <f>IF(D490="","",SUMIF($I473:$I482,D490,$P473:$P482))</f>
        <v>#N/A</v>
      </c>
      <c r="G490" s="333" t="e">
        <f>IF(D490="","",SUMIF($I473:$I482,D490,$M473:$M482))</f>
        <v>#N/A</v>
      </c>
      <c r="H490" s="535" t="e">
        <f t="shared" ref="H490:H495" si="128">IF(D490="","",IF(OR(F490=0,G490=0),"NO APORTA",ROUND($F490/$G490,3)))</f>
        <v>#N/A</v>
      </c>
      <c r="I490" s="212" t="e">
        <f>IF(D490="","",IF(H490="NO APORTA","NO",IF(H490=MAX($H490:$H495),"SI","NO")))</f>
        <v>#N/A</v>
      </c>
      <c r="J490" s="213" t="e">
        <f t="shared" ref="J490:J495" si="129">IF(D490="","",IF(E490&gt;=PORCREQUERIDOINT,"SI","NO"))</f>
        <v>#N/A</v>
      </c>
      <c r="K490" s="200" t="e">
        <f t="shared" ref="K490:K495" si="130">IF(D490="","",IF(AND(I490="SI",J490="SI"),"CUMPLE",IF(AND(I490="NO",OR(J490="SI",J490="NO")),"","NO CUMPLE")))</f>
        <v>#N/A</v>
      </c>
      <c r="L490" s="722" t="s">
        <v>108</v>
      </c>
      <c r="M490" s="726" t="s">
        <v>119</v>
      </c>
      <c r="N490" s="726"/>
      <c r="O490" s="726"/>
      <c r="P490" s="726"/>
      <c r="Q490" s="727"/>
      <c r="R490" s="758" t="s">
        <v>80</v>
      </c>
      <c r="S490" s="747"/>
      <c r="T490" s="748"/>
      <c r="U490" s="219"/>
      <c r="V490" s="464"/>
      <c r="Y490" s="533" t="e">
        <f>IF(Y487="","",IF(Y487="INDIVIDUAL","NO APLICA","VERIFICAR CUADRO"))</f>
        <v>#N/A</v>
      </c>
      <c r="AA490" s="551"/>
      <c r="AB490" s="694"/>
      <c r="AC490" s="694"/>
      <c r="AD490" s="686"/>
      <c r="AE490" s="52"/>
      <c r="AF490" s="52"/>
      <c r="AG490" s="52"/>
      <c r="AH490" s="87"/>
      <c r="AI490" s="87"/>
    </row>
    <row r="491" spans="1:35" ht="27" hidden="1" customHeight="1" thickBot="1">
      <c r="A491" s="218" t="e">
        <f>"O"&amp;E469</f>
        <v>#N/A</v>
      </c>
      <c r="B491" s="702"/>
      <c r="C491" s="114">
        <v>2</v>
      </c>
      <c r="D491" s="194" t="e">
        <f>IF(AND(C491&lt;=F488,F488&lt;&gt;""),VLOOKUP(VALUE(E469&amp;","&amp;C491),INTEGRANTES!$D$18:$F$235,2,0),"")</f>
        <v>#N/A</v>
      </c>
      <c r="E491" s="211" t="e">
        <f>IF(D491&lt;&gt;"",VLOOKUP(VALUE(E469&amp;","&amp;C491),INTEGRANTES!$D$18:$F$235,3,0),"")</f>
        <v>#N/A</v>
      </c>
      <c r="F491" s="547" t="e">
        <f>IF(D491="","",SUMIF($I473:$I482,D491,$P473:$P482))</f>
        <v>#N/A</v>
      </c>
      <c r="G491" s="333" t="e">
        <f>IF(D491="","",SUMIF($I473:$I482,D491,$M473:$M482))</f>
        <v>#N/A</v>
      </c>
      <c r="H491" s="535" t="e">
        <f t="shared" si="128"/>
        <v>#N/A</v>
      </c>
      <c r="I491" s="212" t="e">
        <f>IF(D491="","",IF(H491="NO APORTA","NO",IF(H491=MAX($H490:$H495),"SI","NO")))</f>
        <v>#N/A</v>
      </c>
      <c r="J491" s="213" t="e">
        <f t="shared" si="129"/>
        <v>#N/A</v>
      </c>
      <c r="K491" s="200" t="e">
        <f t="shared" si="130"/>
        <v>#N/A</v>
      </c>
      <c r="L491" s="723"/>
      <c r="M491" s="715" t="s">
        <v>116</v>
      </c>
      <c r="N491" s="716"/>
      <c r="O491" s="556" t="s">
        <v>113</v>
      </c>
      <c r="P491" s="715" t="s">
        <v>117</v>
      </c>
      <c r="Q491" s="728"/>
      <c r="R491" s="759"/>
      <c r="S491" s="760"/>
      <c r="T491" s="761"/>
      <c r="U491" s="219"/>
      <c r="V491" s="464"/>
      <c r="Y491" s="414"/>
      <c r="AA491" s="542" t="e">
        <f>IF(AND(C490&lt;=F488,F488&gt;1,F488&lt;&gt;""),VLOOKUP(VALUE(E469&amp;","&amp;C490),INTEGRANTES!$D$18:$F$235,2,0),"")</f>
        <v>#N/A</v>
      </c>
      <c r="AB491" s="544" t="e">
        <f t="shared" ref="AB491:AB496" si="131">IF(D490="","",IF(OR(F490=0,G490=0),"NO APORTA",ROUND($F490/$G490,3)))</f>
        <v>#N/A</v>
      </c>
      <c r="AC491" s="529"/>
      <c r="AD491" s="200" t="e">
        <f t="shared" ref="AD491:AD496" si="132">IF(OR(AA491="",AB491=""),"",IF(AND(AC491="X",AB491&gt;=EXPREQVTD),"CUMPLE","NO CUMPLE"))</f>
        <v>#N/A</v>
      </c>
      <c r="AE491" s="52"/>
      <c r="AF491" s="52"/>
      <c r="AG491" s="52"/>
      <c r="AH491" s="87"/>
      <c r="AI491" s="87"/>
    </row>
    <row r="492" spans="1:35" ht="16.5" hidden="1" thickBot="1">
      <c r="A492" s="218" t="e">
        <f>"P"&amp;E469</f>
        <v>#N/A</v>
      </c>
      <c r="B492" s="702"/>
      <c r="C492" s="114">
        <v>3</v>
      </c>
      <c r="D492" s="194" t="e">
        <f>IF(AND(C492&lt;=F488,F488&lt;&gt;""),VLOOKUP(VALUE(E469&amp;","&amp;C492),INTEGRANTES!$D$18:$F$235,2,0),"")</f>
        <v>#N/A</v>
      </c>
      <c r="E492" s="211" t="e">
        <f>IF(D492&lt;&gt;"",VLOOKUP(VALUE(E469&amp;","&amp;C492),INTEGRANTES!$D$18:$F$235,3,0),"")</f>
        <v>#N/A</v>
      </c>
      <c r="F492" s="547" t="e">
        <f>IF(D492="","",SUMIF($I473:$I482,D492,$P473:$P482))</f>
        <v>#N/A</v>
      </c>
      <c r="G492" s="333" t="e">
        <f>IF(D492="","",SUMIF($I473:$I482,D492,$M473:$M482))</f>
        <v>#N/A</v>
      </c>
      <c r="H492" s="535" t="e">
        <f t="shared" si="128"/>
        <v>#N/A</v>
      </c>
      <c r="I492" s="212" t="e">
        <f>IF(D492="","",IF(H492="NO APORTA","NO",IF(H492=MAX($H490:$H495),"SI","NO")))</f>
        <v>#N/A</v>
      </c>
      <c r="J492" s="213" t="e">
        <f t="shared" si="129"/>
        <v>#N/A</v>
      </c>
      <c r="K492" s="200" t="e">
        <f t="shared" si="130"/>
        <v>#N/A</v>
      </c>
      <c r="L492" s="724"/>
      <c r="M492" s="729">
        <f>NUMMOD</f>
        <v>1</v>
      </c>
      <c r="N492" s="730"/>
      <c r="O492" s="443">
        <f>IF(M492="","",VLOOKUP(M492,PRESUPUESTOS!$B$16:$H$16,5,FALSE))</f>
        <v>2</v>
      </c>
      <c r="P492" s="713">
        <f>IF(OR(COUNTIF(M473:M482,"")&gt;=10,Q489&lt;NUMMINCONT,OR(T487="NO CUMPLE",T487="VERIFICAR")),0,ROUND(AVERAGE(M473:M482),3))</f>
        <v>0</v>
      </c>
      <c r="Q492" s="714"/>
      <c r="R492" s="458"/>
      <c r="S492" s="459"/>
      <c r="T492" s="460"/>
      <c r="U492" s="219"/>
      <c r="V492" s="464"/>
      <c r="Y492" s="532" t="str">
        <f>"40% * ("&amp;PRESUPUESTOS!$H$13&amp;")"</f>
        <v>40% * (50% PFMO)</v>
      </c>
      <c r="AA492" s="540" t="e">
        <f>IF(AND(C491&lt;=F488,F488&lt;&gt;""),VLOOKUP(VALUE(E469&amp;","&amp;C491),INTEGRANTES!$D$18:$F$235,2,0),"")</f>
        <v>#N/A</v>
      </c>
      <c r="AB492" s="545" t="e">
        <f t="shared" si="131"/>
        <v>#N/A</v>
      </c>
      <c r="AC492" s="529"/>
      <c r="AD492" s="200" t="e">
        <f t="shared" si="132"/>
        <v>#N/A</v>
      </c>
      <c r="AE492" s="52"/>
      <c r="AF492" s="52"/>
      <c r="AG492" s="52"/>
      <c r="AH492" s="87"/>
      <c r="AI492" s="87"/>
    </row>
    <row r="493" spans="1:35" ht="15.75" hidden="1" customHeight="1" thickBot="1">
      <c r="A493" s="218" t="e">
        <f>"Q"&amp;E469</f>
        <v>#N/A</v>
      </c>
      <c r="B493" s="702"/>
      <c r="C493" s="114">
        <v>4</v>
      </c>
      <c r="D493" s="194" t="e">
        <f>IF(AND(C493&lt;=F488,F488&lt;&gt;""),VLOOKUP(VALUE(E469&amp;","&amp;C493),INTEGRANTES!$D$18:$F$235,2,0),"")</f>
        <v>#N/A</v>
      </c>
      <c r="E493" s="211" t="e">
        <f>IF(D493&lt;&gt;"",VLOOKUP(VALUE(E469&amp;","&amp;C493),INTEGRANTES!$D$18:$F$235,3,0),"")</f>
        <v>#N/A</v>
      </c>
      <c r="F493" s="547" t="e">
        <f>IF(D493="","",SUMIF($I473:$I482,D493,$P473:$P482))</f>
        <v>#N/A</v>
      </c>
      <c r="G493" s="333" t="e">
        <f>IF(D493="","",SUMIF($I473:$I482,D493,$M473:$M482))</f>
        <v>#N/A</v>
      </c>
      <c r="H493" s="535" t="e">
        <f t="shared" si="128"/>
        <v>#N/A</v>
      </c>
      <c r="I493" s="212" t="e">
        <f>IF(D493="","",IF(H493="NO APORTA","NO",IF(H493=MAX($H490:$H495),"SI","NO")))</f>
        <v>#N/A</v>
      </c>
      <c r="J493" s="213" t="e">
        <f t="shared" si="129"/>
        <v>#N/A</v>
      </c>
      <c r="K493" s="200" t="e">
        <f t="shared" si="130"/>
        <v>#N/A</v>
      </c>
      <c r="L493" s="720" t="s">
        <v>109</v>
      </c>
      <c r="M493" s="757" t="s">
        <v>120</v>
      </c>
      <c r="N493" s="726"/>
      <c r="O493" s="726"/>
      <c r="P493" s="726"/>
      <c r="Q493" s="727"/>
      <c r="R493" s="458"/>
      <c r="S493" s="459"/>
      <c r="T493" s="460"/>
      <c r="U493" s="219"/>
      <c r="V493" s="464"/>
      <c r="Y493" s="537">
        <f>0.4*PRESUPUESTOS!$H$16</f>
        <v>10.3124</v>
      </c>
      <c r="AA493" s="540" t="e">
        <f>IF(AND(C492&lt;=F488,F488&lt;&gt;""),VLOOKUP(VALUE(E469&amp;","&amp;C492),INTEGRANTES!$D$18:$F$235,2,0),"")</f>
        <v>#N/A</v>
      </c>
      <c r="AB493" s="545" t="e">
        <f t="shared" si="131"/>
        <v>#N/A</v>
      </c>
      <c r="AC493" s="529"/>
      <c r="AD493" s="200" t="e">
        <f t="shared" si="132"/>
        <v>#N/A</v>
      </c>
      <c r="AE493" s="52"/>
      <c r="AF493" s="52"/>
      <c r="AG493" s="52"/>
      <c r="AH493" s="87"/>
      <c r="AI493" s="87"/>
    </row>
    <row r="494" spans="1:35" ht="27" hidden="1" customHeight="1" thickBot="1">
      <c r="A494" s="218" t="e">
        <f>"R"&amp;E469</f>
        <v>#N/A</v>
      </c>
      <c r="B494" s="702"/>
      <c r="C494" s="114">
        <v>5</v>
      </c>
      <c r="D494" s="194" t="e">
        <f>IF(AND(C494&lt;=F488,F488&lt;&gt;""),VLOOKUP(VALUE(E469&amp;","&amp;C494),INTEGRANTES!$D$18:$F$235,2,0),"")</f>
        <v>#N/A</v>
      </c>
      <c r="E494" s="211" t="e">
        <f>IF(D494&lt;&gt;"",VLOOKUP(VALUE(E469&amp;","&amp;C494),INTEGRANTES!$D$18:$F$235,3,0),"")</f>
        <v>#N/A</v>
      </c>
      <c r="F494" s="547" t="e">
        <f>IF(D494="","",SUMIF($I473:$I482,D494,$P473:$P482))</f>
        <v>#N/A</v>
      </c>
      <c r="G494" s="333" t="e">
        <f>IF(D494="","",SUMIF($I473:$I482,D494,$M473:$M482))</f>
        <v>#N/A</v>
      </c>
      <c r="H494" s="535" t="e">
        <f t="shared" si="128"/>
        <v>#N/A</v>
      </c>
      <c r="I494" s="212" t="e">
        <f>IF(D494="","",IF(H494="NO APORTA","NO",IF(H494=MAX($H490:$H495),"SI","NO")))</f>
        <v>#N/A</v>
      </c>
      <c r="J494" s="213" t="e">
        <f t="shared" si="129"/>
        <v>#N/A</v>
      </c>
      <c r="K494" s="200" t="e">
        <f t="shared" si="130"/>
        <v>#N/A</v>
      </c>
      <c r="L494" s="721"/>
      <c r="M494" s="715" t="s">
        <v>116</v>
      </c>
      <c r="N494" s="716"/>
      <c r="O494" s="556" t="str">
        <f>PORCREQUERIDO*100&amp;"% PMFO DEL MÓDULO"</f>
        <v>50% PMFO DEL MÓDULO</v>
      </c>
      <c r="P494" s="715" t="s">
        <v>118</v>
      </c>
      <c r="Q494" s="728"/>
      <c r="R494" s="458"/>
      <c r="S494" s="459"/>
      <c r="T494" s="460"/>
      <c r="U494" s="219"/>
      <c r="V494" s="464"/>
      <c r="Y494" s="414"/>
      <c r="AA494" s="540" t="e">
        <f>IF(AND(C493&lt;=F488,F488&lt;&gt;""),VLOOKUP(VALUE(E469&amp;","&amp;C493),INTEGRANTES!$D$18:$F$235,2,0),"")</f>
        <v>#N/A</v>
      </c>
      <c r="AB494" s="545" t="e">
        <f t="shared" si="131"/>
        <v>#N/A</v>
      </c>
      <c r="AC494" s="529"/>
      <c r="AD494" s="200" t="e">
        <f t="shared" si="132"/>
        <v>#N/A</v>
      </c>
      <c r="AE494" s="52"/>
      <c r="AF494" s="52"/>
      <c r="AG494" s="52"/>
      <c r="AH494" s="87"/>
      <c r="AI494" s="87"/>
    </row>
    <row r="495" spans="1:35" ht="16.5" hidden="1" thickBot="1">
      <c r="A495" s="218" t="e">
        <f>"S"&amp;E469</f>
        <v>#N/A</v>
      </c>
      <c r="B495" s="702"/>
      <c r="C495" s="215">
        <v>6</v>
      </c>
      <c r="D495" s="216" t="e">
        <f>IF(AND(C495&lt;=F488,F488&lt;&gt;""),VLOOKUP(VALUE(E469&amp;","&amp;C495),INTEGRANTES!$D$18:$F$235,2,0),"")</f>
        <v>#N/A</v>
      </c>
      <c r="E495" s="217" t="e">
        <f>IF(D495&lt;&gt;"",VLOOKUP(VALUE(E469&amp;","&amp;C495),INTEGRANTES!$D$18:$F$235,3,0),"")</f>
        <v>#N/A</v>
      </c>
      <c r="F495" s="548" t="e">
        <f>IF(D495="","",SUMIF($I473:$I482,D495,$P473:$P482))</f>
        <v>#N/A</v>
      </c>
      <c r="G495" s="334" t="e">
        <f>IF(D495="","",SUMIF($I473:$I482,D495,$M473:$M482))</f>
        <v>#N/A</v>
      </c>
      <c r="H495" s="536" t="e">
        <f t="shared" si="128"/>
        <v>#N/A</v>
      </c>
      <c r="I495" s="214" t="e">
        <f>IF(D495="","",IF(H495="NO APORTA","NO",IF(H495=MAX($H490:$H495),"SI","NO")))</f>
        <v>#N/A</v>
      </c>
      <c r="J495" s="213" t="e">
        <f t="shared" si="129"/>
        <v>#N/A</v>
      </c>
      <c r="K495" s="200" t="e">
        <f t="shared" si="130"/>
        <v>#N/A</v>
      </c>
      <c r="L495" s="721"/>
      <c r="M495" s="729">
        <f>NUMMOD</f>
        <v>1</v>
      </c>
      <c r="N495" s="730"/>
      <c r="O495" s="443">
        <f>IF(M495="","",ROUND(VLOOKUP(M495,PRESUPUESTOS!$B$16:$H$16,7,FALSE),3))</f>
        <v>25.780999999999999</v>
      </c>
      <c r="P495" s="713">
        <f>IF(OR(COUNTIF(P473:P482,"")&gt;=10,Q489&lt;NUMMINCONT,OR(T487="NO CUMPLE",T487="VERIFICAR")),0,ROUND((SUM(P473:P482)/SUM(M473:M482)),3))</f>
        <v>0</v>
      </c>
      <c r="Q495" s="714"/>
      <c r="R495" s="458"/>
      <c r="S495" s="459"/>
      <c r="T495" s="460"/>
      <c r="U495" s="219"/>
      <c r="V495" s="464"/>
      <c r="Y495" s="532" t="s">
        <v>343</v>
      </c>
      <c r="AA495" s="540" t="e">
        <f>IF(AND(C494&lt;=F488,F488&lt;&gt;""),VLOOKUP(VALUE(E469&amp;","&amp;C494),INTEGRANTES!$D$18:$F$235,2,0),"")</f>
        <v>#N/A</v>
      </c>
      <c r="AB495" s="545" t="e">
        <f t="shared" si="131"/>
        <v>#N/A</v>
      </c>
      <c r="AC495" s="529"/>
      <c r="AD495" s="200" t="e">
        <f t="shared" si="132"/>
        <v>#N/A</v>
      </c>
      <c r="AE495" s="52"/>
      <c r="AF495" s="52"/>
      <c r="AG495" s="52"/>
      <c r="AH495" s="87"/>
      <c r="AI495" s="87"/>
    </row>
    <row r="496" spans="1:35" ht="16.5" hidden="1" customHeight="1" thickBot="1">
      <c r="A496" s="218" t="e">
        <f>"T"&amp;E469</f>
        <v>#N/A</v>
      </c>
      <c r="B496" s="703"/>
      <c r="C496" s="719"/>
      <c r="D496" s="719"/>
      <c r="E496" s="719"/>
      <c r="F496" s="719"/>
      <c r="G496" s="719"/>
      <c r="H496" s="719" t="s">
        <v>110</v>
      </c>
      <c r="I496" s="719"/>
      <c r="J496" s="719"/>
      <c r="K496" s="201" t="str">
        <f>IF(COUNTIF(K490:K495,"")=6,"",IF(COUNTIF(K490:K495,"CUMPLE")&gt;0,"CUMPLE","NO CUMPLE"))</f>
        <v>NO CUMPLE</v>
      </c>
      <c r="L496" s="754"/>
      <c r="M496" s="755"/>
      <c r="N496" s="755"/>
      <c r="O496" s="755"/>
      <c r="P496" s="755"/>
      <c r="Q496" s="756"/>
      <c r="R496" s="461"/>
      <c r="S496" s="462"/>
      <c r="T496" s="463"/>
      <c r="U496" s="219"/>
      <c r="V496" s="464"/>
      <c r="Y496" s="549" t="e">
        <f>IF(Y490="NO APLICA","NO APLICA",IF(COUNTIF(AD491:AD496,"CUMPLE")&gt;0,"CUMPLE","NO CUMPLE"))</f>
        <v>#N/A</v>
      </c>
      <c r="AA496" s="541" t="e">
        <f>IF(AND(C495&lt;=F488,F488&lt;&gt;""),VLOOKUP(VALUE(E469&amp;","&amp;C495),INTEGRANTES!$D$18:$F$235,2,0),"")</f>
        <v>#N/A</v>
      </c>
      <c r="AB496" s="546" t="e">
        <f t="shared" si="131"/>
        <v>#N/A</v>
      </c>
      <c r="AC496" s="543"/>
      <c r="AD496" s="201" t="e">
        <f t="shared" si="132"/>
        <v>#N/A</v>
      </c>
      <c r="AE496" s="52"/>
      <c r="AF496" s="52"/>
      <c r="AG496" s="52"/>
      <c r="AH496" s="87"/>
      <c r="AI496" s="87"/>
    </row>
    <row r="497" spans="1:35" hidden="1">
      <c r="AH497" s="87"/>
      <c r="AI497" s="87"/>
    </row>
    <row r="498" spans="1:35" hidden="1">
      <c r="AH498" s="87"/>
      <c r="AI498" s="87"/>
    </row>
    <row r="499" spans="1:35" ht="24" hidden="1" thickBot="1">
      <c r="A499" s="61">
        <v>17</v>
      </c>
      <c r="B499" s="704" t="s">
        <v>51</v>
      </c>
      <c r="C499" s="704"/>
      <c r="D499" s="704"/>
      <c r="E499" s="62" t="e">
        <f>VLOOKUP(A499,PROPONENTES!$B$19:$E$218,2,FALSE)</f>
        <v>#N/A</v>
      </c>
      <c r="F499" s="63" t="e">
        <f>VLOOKUP(A499,PROPONENTES!$B$19:$E$218,3,FALSE)</f>
        <v>#N/A</v>
      </c>
      <c r="G499" s="64"/>
      <c r="H499" s="64"/>
      <c r="I499" s="63"/>
      <c r="J499" s="63"/>
      <c r="K499" s="65"/>
      <c r="L499" s="65"/>
      <c r="M499" s="64"/>
      <c r="N499" s="64"/>
      <c r="O499" s="66"/>
      <c r="P499" s="66"/>
      <c r="Q499" s="66"/>
      <c r="R499" s="66"/>
      <c r="S499" s="67"/>
      <c r="T499" s="68"/>
      <c r="U499" s="68"/>
      <c r="AC499" s="68"/>
      <c r="AD499" s="68"/>
      <c r="AE499" s="68"/>
      <c r="AF499" s="68"/>
      <c r="AG499" s="68"/>
      <c r="AH499" s="87"/>
      <c r="AI499" s="87"/>
    </row>
    <row r="500" spans="1:35" ht="15.75" hidden="1" customHeight="1">
      <c r="A500" s="44"/>
      <c r="B500" s="709" t="s">
        <v>59</v>
      </c>
      <c r="C500" s="552" t="s">
        <v>60</v>
      </c>
      <c r="D500" s="70" t="s">
        <v>17</v>
      </c>
      <c r="E500" s="70"/>
      <c r="F500" s="70" t="s">
        <v>61</v>
      </c>
      <c r="G500" s="71"/>
      <c r="H500" s="699" t="s">
        <v>62</v>
      </c>
      <c r="I500" s="699" t="s">
        <v>18</v>
      </c>
      <c r="J500" s="699" t="s">
        <v>63</v>
      </c>
      <c r="K500" s="699" t="s">
        <v>64</v>
      </c>
      <c r="L500" s="699" t="s">
        <v>65</v>
      </c>
      <c r="M500" s="743" t="s">
        <v>66</v>
      </c>
      <c r="N500" s="699" t="s">
        <v>282</v>
      </c>
      <c r="O500" s="745" t="s">
        <v>67</v>
      </c>
      <c r="P500" s="746"/>
      <c r="Q500" s="102" t="s">
        <v>75</v>
      </c>
      <c r="R500" s="731" t="s">
        <v>22</v>
      </c>
      <c r="S500" s="732"/>
      <c r="T500" s="733"/>
      <c r="U500" s="712" t="s">
        <v>298</v>
      </c>
      <c r="W500" s="690" t="s">
        <v>268</v>
      </c>
      <c r="X500" s="691"/>
      <c r="Y500" s="692"/>
      <c r="Z500" s="428"/>
      <c r="AA500" s="697" t="s">
        <v>315</v>
      </c>
      <c r="AB500" s="695" t="s">
        <v>322</v>
      </c>
      <c r="AC500" s="49"/>
      <c r="AD500" s="690" t="s">
        <v>297</v>
      </c>
      <c r="AE500" s="691"/>
      <c r="AF500" s="692"/>
      <c r="AG500" s="49"/>
      <c r="AH500" s="87"/>
      <c r="AI500" s="87"/>
    </row>
    <row r="501" spans="1:35" ht="72" hidden="1">
      <c r="A501" s="44"/>
      <c r="B501" s="710"/>
      <c r="C501" s="553" t="s">
        <v>68</v>
      </c>
      <c r="D501" s="73" t="s">
        <v>3</v>
      </c>
      <c r="E501" s="73" t="s">
        <v>19</v>
      </c>
      <c r="F501" s="73" t="s">
        <v>69</v>
      </c>
      <c r="G501" s="74" t="s">
        <v>70</v>
      </c>
      <c r="H501" s="700"/>
      <c r="I501" s="700"/>
      <c r="J501" s="700"/>
      <c r="K501" s="700"/>
      <c r="L501" s="700"/>
      <c r="M501" s="744"/>
      <c r="N501" s="700"/>
      <c r="O501" s="553" t="s">
        <v>279</v>
      </c>
      <c r="P501" s="73" t="s">
        <v>88</v>
      </c>
      <c r="Q501" s="555" t="s">
        <v>76</v>
      </c>
      <c r="R501" s="734"/>
      <c r="S501" s="735"/>
      <c r="T501" s="736"/>
      <c r="U501" s="712"/>
      <c r="W501" s="429" t="s">
        <v>269</v>
      </c>
      <c r="X501" s="457" t="s">
        <v>278</v>
      </c>
      <c r="Y501" s="430" t="s">
        <v>324</v>
      </c>
      <c r="Z501" s="428"/>
      <c r="AA501" s="698"/>
      <c r="AB501" s="696"/>
      <c r="AC501" s="49"/>
      <c r="AD501" s="429" t="s">
        <v>292</v>
      </c>
      <c r="AE501" s="431" t="s">
        <v>300</v>
      </c>
      <c r="AF501" s="468" t="s">
        <v>301</v>
      </c>
      <c r="AG501" s="49"/>
      <c r="AH501" s="87"/>
      <c r="AI501" s="87"/>
    </row>
    <row r="502" spans="1:35" hidden="1">
      <c r="A502" s="44"/>
      <c r="B502" s="76"/>
      <c r="C502" s="77"/>
      <c r="D502" s="77"/>
      <c r="E502" s="77"/>
      <c r="F502" s="77"/>
      <c r="G502" s="77"/>
      <c r="H502" s="77"/>
      <c r="I502" s="77"/>
      <c r="J502" s="77"/>
      <c r="K502" s="77"/>
      <c r="L502" s="77"/>
      <c r="M502" s="77"/>
      <c r="N502" s="77"/>
      <c r="O502" s="77"/>
      <c r="P502" s="77"/>
      <c r="Q502" s="77"/>
      <c r="R502" s="77"/>
      <c r="S502" s="78"/>
      <c r="T502" s="79"/>
      <c r="U502" s="109"/>
      <c r="V502" s="49"/>
      <c r="W502" s="432"/>
      <c r="X502" s="454"/>
      <c r="Y502" s="433"/>
      <c r="Z502" s="6"/>
      <c r="AA502" s="500"/>
      <c r="AB502" s="562"/>
      <c r="AC502" s="49"/>
      <c r="AD502" s="210"/>
      <c r="AE502" s="434"/>
      <c r="AF502" s="435"/>
      <c r="AG502" s="49"/>
      <c r="AH502" s="87"/>
      <c r="AI502" s="87"/>
    </row>
    <row r="503" spans="1:35" hidden="1">
      <c r="A503" s="80" t="e">
        <f>"A"&amp;E499</f>
        <v>#N/A</v>
      </c>
      <c r="B503" s="81">
        <v>1</v>
      </c>
      <c r="C503" s="82"/>
      <c r="D503" s="82"/>
      <c r="E503" s="82"/>
      <c r="F503" s="82"/>
      <c r="G503" s="83"/>
      <c r="H503" s="83"/>
      <c r="I503" s="84"/>
      <c r="J503" s="85"/>
      <c r="K503" s="382"/>
      <c r="L503" s="85"/>
      <c r="M503" s="332" t="str">
        <f t="shared" ref="M503:M512" si="133">IF(OR(J503="",L503="",H503="NO"),"",IF(OR(J503&gt;$P$17,J503&lt;$O$17,L503&gt;$P$17,AND(J503&lt;$O$17,L503&lt;$O$17)),"FUERA DE RANGO",IF(OR(K503="---",K503=""),IF(J503&gt;=$O$17,ROUND((L503-J503+1)/360*12,3),ROUND((L503-$O$17+1)/360*12,3)),IF(J503&gt;=$O$17,ROUND((L503-J503+1)/360*12-ROUND(K503,3),3),ROUND((L503-$O$17+1)/360*12-ROUND(K503,3),3)))))</f>
        <v/>
      </c>
      <c r="N503" s="86"/>
      <c r="O503" s="453" t="str">
        <f>IF(OR(G503="",N503=""),"",N503*G503)</f>
        <v/>
      </c>
      <c r="P503" s="538" t="str">
        <f>IF(OR(H503="",M503="FUERA DE RANGO"),"",IF(OR(L503&lt;$O$17,L503&gt;$P$17,L503="",H503="NO"),"",IF(OR(N503="",O503=""),"",ROUND(O503,3))))</f>
        <v/>
      </c>
      <c r="Q503" s="539" t="str">
        <f t="shared" ref="Q503:Q512" si="134">IF(AND(H503="SI",P503&lt;&gt;""),ROUND(P503/M503,3),"")</f>
        <v/>
      </c>
      <c r="R503" s="737"/>
      <c r="S503" s="738"/>
      <c r="T503" s="739"/>
      <c r="U503" s="470"/>
      <c r="V503" s="165"/>
      <c r="W503" s="446"/>
      <c r="X503" s="456"/>
      <c r="Y503" s="436"/>
      <c r="Z503" s="437"/>
      <c r="AA503" s="560"/>
      <c r="AB503" s="561"/>
      <c r="AC503" s="87"/>
      <c r="AD503" s="466"/>
      <c r="AE503" s="456"/>
      <c r="AF503" s="467"/>
      <c r="AG503" s="87"/>
      <c r="AH503" s="87"/>
      <c r="AI503" s="87"/>
    </row>
    <row r="504" spans="1:35" hidden="1">
      <c r="A504" s="80" t="e">
        <f>"B"&amp;E499</f>
        <v>#N/A</v>
      </c>
      <c r="B504" s="81">
        <v>2</v>
      </c>
      <c r="C504" s="106"/>
      <c r="D504" s="106"/>
      <c r="E504" s="106"/>
      <c r="F504" s="106"/>
      <c r="G504" s="83"/>
      <c r="H504" s="83"/>
      <c r="I504" s="84"/>
      <c r="J504" s="85"/>
      <c r="K504" s="382"/>
      <c r="L504" s="85"/>
      <c r="M504" s="332" t="str">
        <f t="shared" si="133"/>
        <v/>
      </c>
      <c r="N504" s="86"/>
      <c r="O504" s="453" t="str">
        <f t="shared" ref="O504:O512" si="135">IF(OR(G504="",N504=""),"",N504*G504)</f>
        <v/>
      </c>
      <c r="P504" s="538" t="str">
        <f t="shared" ref="P504:P512" si="136">IF(OR(H504="",M504="FUERA DE RANGO"),"",IF(OR(L504&lt;$O$17,L504&gt;$P$17,L504="",H504="NO"),"",IF(OR(N504="",O504=""),"",ROUND(O504,3))))</f>
        <v/>
      </c>
      <c r="Q504" s="539" t="str">
        <f t="shared" si="134"/>
        <v/>
      </c>
      <c r="R504" s="740"/>
      <c r="S504" s="741"/>
      <c r="T504" s="742"/>
      <c r="U504" s="471"/>
      <c r="V504" s="165"/>
      <c r="W504" s="446"/>
      <c r="X504" s="456"/>
      <c r="Y504" s="436"/>
      <c r="Z504" s="437"/>
      <c r="AA504" s="560"/>
      <c r="AB504" s="561"/>
      <c r="AC504" s="87"/>
      <c r="AD504" s="466"/>
      <c r="AE504" s="456"/>
      <c r="AF504" s="467"/>
      <c r="AG504" s="87"/>
      <c r="AH504" s="87"/>
      <c r="AI504" s="87"/>
    </row>
    <row r="505" spans="1:35" hidden="1">
      <c r="A505" s="80" t="e">
        <f>"C"&amp;E499</f>
        <v>#N/A</v>
      </c>
      <c r="B505" s="88">
        <v>3</v>
      </c>
      <c r="C505" s="82"/>
      <c r="D505" s="82"/>
      <c r="E505" s="82"/>
      <c r="F505" s="82"/>
      <c r="G505" s="83"/>
      <c r="H505" s="83"/>
      <c r="I505" s="84"/>
      <c r="J505" s="85"/>
      <c r="K505" s="382"/>
      <c r="L505" s="85"/>
      <c r="M505" s="332" t="str">
        <f t="shared" si="133"/>
        <v/>
      </c>
      <c r="N505" s="86"/>
      <c r="O505" s="453" t="str">
        <f t="shared" si="135"/>
        <v/>
      </c>
      <c r="P505" s="538" t="str">
        <f t="shared" si="136"/>
        <v/>
      </c>
      <c r="Q505" s="539" t="str">
        <f t="shared" si="134"/>
        <v/>
      </c>
      <c r="R505" s="706"/>
      <c r="S505" s="707"/>
      <c r="T505" s="708"/>
      <c r="U505" s="472"/>
      <c r="V505" s="166"/>
      <c r="W505" s="446"/>
      <c r="X505" s="456"/>
      <c r="Y505" s="436"/>
      <c r="Z505" s="437"/>
      <c r="AA505" s="560"/>
      <c r="AB505" s="561"/>
      <c r="AC505" s="87"/>
      <c r="AD505" s="466"/>
      <c r="AE505" s="456"/>
      <c r="AF505" s="467"/>
      <c r="AG505" s="87"/>
      <c r="AH505" s="87"/>
      <c r="AI505" s="87"/>
    </row>
    <row r="506" spans="1:35" hidden="1">
      <c r="A506" s="80" t="e">
        <f>"D"&amp;E499</f>
        <v>#N/A</v>
      </c>
      <c r="B506" s="105">
        <v>4</v>
      </c>
      <c r="C506" s="107"/>
      <c r="D506" s="107"/>
      <c r="E506" s="107"/>
      <c r="F506" s="107"/>
      <c r="G506" s="83"/>
      <c r="H506" s="83"/>
      <c r="I506" s="84"/>
      <c r="J506" s="85"/>
      <c r="K506" s="382"/>
      <c r="L506" s="85"/>
      <c r="M506" s="332" t="str">
        <f t="shared" si="133"/>
        <v/>
      </c>
      <c r="N506" s="86"/>
      <c r="O506" s="453" t="str">
        <f t="shared" si="135"/>
        <v/>
      </c>
      <c r="P506" s="538" t="str">
        <f t="shared" si="136"/>
        <v/>
      </c>
      <c r="Q506" s="539" t="str">
        <f t="shared" si="134"/>
        <v/>
      </c>
      <c r="R506" s="706"/>
      <c r="S506" s="707"/>
      <c r="T506" s="708"/>
      <c r="U506" s="472"/>
      <c r="V506" s="166"/>
      <c r="W506" s="446"/>
      <c r="X506" s="456"/>
      <c r="Y506" s="436"/>
      <c r="Z506" s="437"/>
      <c r="AA506" s="560"/>
      <c r="AB506" s="561"/>
      <c r="AC506" s="87"/>
      <c r="AD506" s="466"/>
      <c r="AE506" s="456"/>
      <c r="AF506" s="467"/>
      <c r="AG506" s="87"/>
      <c r="AH506" s="87"/>
      <c r="AI506" s="87"/>
    </row>
    <row r="507" spans="1:35" hidden="1">
      <c r="A507" s="80" t="e">
        <f>"E"&amp;E499</f>
        <v>#N/A</v>
      </c>
      <c r="B507" s="105">
        <v>5</v>
      </c>
      <c r="C507" s="107"/>
      <c r="D507" s="107"/>
      <c r="E507" s="107"/>
      <c r="F507" s="107"/>
      <c r="G507" s="83"/>
      <c r="H507" s="83"/>
      <c r="I507" s="84"/>
      <c r="J507" s="85"/>
      <c r="K507" s="382"/>
      <c r="L507" s="85"/>
      <c r="M507" s="332" t="str">
        <f t="shared" si="133"/>
        <v/>
      </c>
      <c r="N507" s="86"/>
      <c r="O507" s="453" t="str">
        <f t="shared" si="135"/>
        <v/>
      </c>
      <c r="P507" s="538" t="str">
        <f t="shared" si="136"/>
        <v/>
      </c>
      <c r="Q507" s="539" t="str">
        <f t="shared" si="134"/>
        <v/>
      </c>
      <c r="R507" s="706"/>
      <c r="S507" s="707"/>
      <c r="T507" s="708"/>
      <c r="U507" s="472"/>
      <c r="V507" s="167"/>
      <c r="W507" s="446"/>
      <c r="X507" s="456"/>
      <c r="Y507" s="436"/>
      <c r="Z507" s="437"/>
      <c r="AA507" s="560"/>
      <c r="AB507" s="561"/>
      <c r="AC507" s="87"/>
      <c r="AD507" s="466"/>
      <c r="AE507" s="456"/>
      <c r="AF507" s="467"/>
      <c r="AG507" s="87"/>
      <c r="AH507" s="87"/>
      <c r="AI507" s="87"/>
    </row>
    <row r="508" spans="1:35" hidden="1">
      <c r="A508" s="80" t="e">
        <f>"F"&amp;E499</f>
        <v>#N/A</v>
      </c>
      <c r="B508" s="105">
        <v>6</v>
      </c>
      <c r="C508" s="107"/>
      <c r="D508" s="107"/>
      <c r="E508" s="107"/>
      <c r="F508" s="107"/>
      <c r="G508" s="83"/>
      <c r="H508" s="83"/>
      <c r="I508" s="84"/>
      <c r="J508" s="85"/>
      <c r="K508" s="382"/>
      <c r="L508" s="85"/>
      <c r="M508" s="332" t="str">
        <f t="shared" si="133"/>
        <v/>
      </c>
      <c r="N508" s="86"/>
      <c r="O508" s="453" t="str">
        <f t="shared" si="135"/>
        <v/>
      </c>
      <c r="P508" s="538" t="str">
        <f t="shared" si="136"/>
        <v/>
      </c>
      <c r="Q508" s="539" t="str">
        <f t="shared" si="134"/>
        <v/>
      </c>
      <c r="R508" s="706"/>
      <c r="S508" s="707"/>
      <c r="T508" s="708"/>
      <c r="U508" s="472"/>
      <c r="V508" s="167"/>
      <c r="W508" s="446"/>
      <c r="X508" s="456"/>
      <c r="Y508" s="436"/>
      <c r="Z508" s="437"/>
      <c r="AA508" s="560"/>
      <c r="AB508" s="561"/>
      <c r="AC508" s="87"/>
      <c r="AD508" s="466"/>
      <c r="AE508" s="456"/>
      <c r="AF508" s="467"/>
      <c r="AG508" s="87"/>
      <c r="AH508" s="87"/>
      <c r="AI508" s="87"/>
    </row>
    <row r="509" spans="1:35" hidden="1">
      <c r="A509" s="80" t="e">
        <f>"G"&amp;E499</f>
        <v>#N/A</v>
      </c>
      <c r="B509" s="105">
        <v>7</v>
      </c>
      <c r="C509" s="107"/>
      <c r="D509" s="107"/>
      <c r="E509" s="107"/>
      <c r="F509" s="107"/>
      <c r="G509" s="83"/>
      <c r="H509" s="83"/>
      <c r="I509" s="84"/>
      <c r="J509" s="85"/>
      <c r="K509" s="382"/>
      <c r="L509" s="85"/>
      <c r="M509" s="332" t="str">
        <f t="shared" si="133"/>
        <v/>
      </c>
      <c r="N509" s="86"/>
      <c r="O509" s="86" t="str">
        <f t="shared" si="135"/>
        <v/>
      </c>
      <c r="P509" s="538" t="str">
        <f t="shared" si="136"/>
        <v/>
      </c>
      <c r="Q509" s="539" t="str">
        <f t="shared" si="134"/>
        <v/>
      </c>
      <c r="R509" s="706"/>
      <c r="S509" s="707"/>
      <c r="T509" s="708"/>
      <c r="U509" s="472"/>
      <c r="V509" s="167"/>
      <c r="W509" s="446"/>
      <c r="X509" s="456"/>
      <c r="Y509" s="436"/>
      <c r="Z509" s="437"/>
      <c r="AA509" s="560"/>
      <c r="AB509" s="561"/>
      <c r="AC509" s="87"/>
      <c r="AD509" s="466"/>
      <c r="AE509" s="456"/>
      <c r="AF509" s="467"/>
      <c r="AG509" s="87"/>
      <c r="AH509" s="87"/>
      <c r="AI509" s="87"/>
    </row>
    <row r="510" spans="1:35" hidden="1">
      <c r="A510" s="80" t="e">
        <f>"H"&amp;E499</f>
        <v>#N/A</v>
      </c>
      <c r="B510" s="105">
        <v>8</v>
      </c>
      <c r="C510" s="107"/>
      <c r="D510" s="107"/>
      <c r="E510" s="107"/>
      <c r="F510" s="107"/>
      <c r="G510" s="83"/>
      <c r="H510" s="83"/>
      <c r="I510" s="84"/>
      <c r="J510" s="85"/>
      <c r="K510" s="382"/>
      <c r="L510" s="85"/>
      <c r="M510" s="332" t="str">
        <f t="shared" si="133"/>
        <v/>
      </c>
      <c r="N510" s="453"/>
      <c r="O510" s="86" t="str">
        <f t="shared" si="135"/>
        <v/>
      </c>
      <c r="P510" s="538" t="str">
        <f t="shared" si="136"/>
        <v/>
      </c>
      <c r="Q510" s="539" t="str">
        <f t="shared" si="134"/>
        <v/>
      </c>
      <c r="R510" s="706"/>
      <c r="S510" s="707"/>
      <c r="T510" s="708"/>
      <c r="U510" s="472"/>
      <c r="V510" s="167"/>
      <c r="W510" s="446"/>
      <c r="X510" s="456"/>
      <c r="Y510" s="436"/>
      <c r="Z510" s="437"/>
      <c r="AA510" s="560"/>
      <c r="AB510" s="561"/>
      <c r="AC510" s="87"/>
      <c r="AD510" s="466"/>
      <c r="AE510" s="456"/>
      <c r="AF510" s="467"/>
      <c r="AG510" s="87"/>
      <c r="AH510" s="87"/>
      <c r="AI510" s="87"/>
    </row>
    <row r="511" spans="1:35" hidden="1">
      <c r="A511" s="80" t="e">
        <f>"I"&amp;E499</f>
        <v>#N/A</v>
      </c>
      <c r="B511" s="105">
        <v>9</v>
      </c>
      <c r="C511" s="107"/>
      <c r="D511" s="107"/>
      <c r="E511" s="107"/>
      <c r="F511" s="107"/>
      <c r="G511" s="83"/>
      <c r="H511" s="83"/>
      <c r="I511" s="84"/>
      <c r="J511" s="85"/>
      <c r="K511" s="382"/>
      <c r="L511" s="85"/>
      <c r="M511" s="332" t="str">
        <f t="shared" si="133"/>
        <v/>
      </c>
      <c r="N511" s="453"/>
      <c r="O511" s="86" t="str">
        <f t="shared" si="135"/>
        <v/>
      </c>
      <c r="P511" s="538" t="str">
        <f t="shared" si="136"/>
        <v/>
      </c>
      <c r="Q511" s="539" t="str">
        <f t="shared" si="134"/>
        <v/>
      </c>
      <c r="R511" s="706"/>
      <c r="S511" s="707"/>
      <c r="T511" s="708"/>
      <c r="U511" s="472"/>
      <c r="V511" s="167"/>
      <c r="W511" s="446"/>
      <c r="X511" s="456"/>
      <c r="Y511" s="436"/>
      <c r="Z511" s="437"/>
      <c r="AA511" s="560"/>
      <c r="AB511" s="561"/>
      <c r="AC511" s="87"/>
      <c r="AD511" s="466"/>
      <c r="AE511" s="456"/>
      <c r="AF511" s="467"/>
      <c r="AG511" s="87"/>
      <c r="AH511" s="87"/>
      <c r="AI511" s="87"/>
    </row>
    <row r="512" spans="1:35" hidden="1">
      <c r="A512" s="80" t="e">
        <f>"J"&amp;E499</f>
        <v>#N/A</v>
      </c>
      <c r="B512" s="105">
        <v>10</v>
      </c>
      <c r="C512" s="107"/>
      <c r="D512" s="107"/>
      <c r="E512" s="107"/>
      <c r="F512" s="107"/>
      <c r="G512" s="83"/>
      <c r="H512" s="83"/>
      <c r="I512" s="84"/>
      <c r="J512" s="85"/>
      <c r="K512" s="382"/>
      <c r="L512" s="85"/>
      <c r="M512" s="332" t="str">
        <f t="shared" si="133"/>
        <v/>
      </c>
      <c r="N512" s="453"/>
      <c r="O512" s="86" t="str">
        <f t="shared" si="135"/>
        <v/>
      </c>
      <c r="P512" s="538" t="str">
        <f t="shared" si="136"/>
        <v/>
      </c>
      <c r="Q512" s="539" t="str">
        <f t="shared" si="134"/>
        <v/>
      </c>
      <c r="R512" s="706"/>
      <c r="S512" s="707"/>
      <c r="T512" s="708"/>
      <c r="U512" s="472"/>
      <c r="V512" s="167"/>
      <c r="W512" s="446"/>
      <c r="X512" s="456"/>
      <c r="Y512" s="436"/>
      <c r="Z512" s="437"/>
      <c r="AA512" s="560"/>
      <c r="AB512" s="561"/>
      <c r="AC512" s="87"/>
      <c r="AD512" s="466"/>
      <c r="AE512" s="456"/>
      <c r="AF512" s="467"/>
      <c r="AG512" s="87"/>
      <c r="AH512" s="87"/>
      <c r="AI512" s="87"/>
    </row>
    <row r="513" spans="1:35" ht="16.5" hidden="1" thickBot="1">
      <c r="A513" s="44"/>
      <c r="B513" s="89"/>
      <c r="C513" s="90"/>
      <c r="D513" s="90"/>
      <c r="E513" s="90"/>
      <c r="F513" s="90"/>
      <c r="G513" s="90"/>
      <c r="H513" s="90"/>
      <c r="I513" s="90"/>
      <c r="J513" s="90"/>
      <c r="K513" s="90"/>
      <c r="L513" s="90"/>
      <c r="M513" s="90"/>
      <c r="N513" s="90"/>
      <c r="O513" s="90"/>
      <c r="P513" s="90"/>
      <c r="Q513" s="90"/>
      <c r="R513" s="90"/>
      <c r="S513" s="91"/>
      <c r="T513" s="92"/>
      <c r="U513" s="473"/>
      <c r="W513" s="438"/>
      <c r="X513" s="455"/>
      <c r="Y513" s="439"/>
      <c r="Z513" s="437"/>
      <c r="AA513" s="530"/>
      <c r="AB513" s="563"/>
      <c r="AC513" s="87"/>
      <c r="AD513" s="440"/>
      <c r="AE513" s="441"/>
      <c r="AF513" s="442"/>
      <c r="AG513" s="49"/>
      <c r="AH513" s="87"/>
      <c r="AI513" s="87"/>
    </row>
    <row r="514" spans="1:35" ht="16.5" hidden="1" thickBot="1">
      <c r="A514" s="93"/>
      <c r="B514" s="94"/>
      <c r="C514" s="96"/>
      <c r="D514" s="96"/>
      <c r="E514" s="96"/>
      <c r="F514" s="96"/>
      <c r="G514" s="96"/>
      <c r="H514" s="96"/>
      <c r="I514" s="96"/>
      <c r="J514" s="96"/>
      <c r="K514" s="96"/>
      <c r="L514" s="96"/>
      <c r="M514" s="136"/>
      <c r="N514" s="96"/>
      <c r="O514" s="96"/>
      <c r="P514" s="97"/>
      <c r="Q514" s="97"/>
      <c r="R514" s="98"/>
      <c r="S514" s="95"/>
      <c r="T514" s="99"/>
      <c r="U514" s="469"/>
      <c r="AC514" s="58"/>
      <c r="AG514" s="58"/>
      <c r="AH514" s="87"/>
      <c r="AI514" s="87"/>
    </row>
    <row r="515" spans="1:35" ht="16.5" hidden="1" thickBot="1">
      <c r="B515" s="101"/>
      <c r="C515" s="101"/>
      <c r="D515" s="101"/>
      <c r="E515" s="101"/>
      <c r="F515" s="101"/>
      <c r="G515" s="101"/>
      <c r="H515" s="101"/>
      <c r="I515" s="101"/>
      <c r="J515" s="101"/>
      <c r="K515" s="101"/>
      <c r="L515" s="101"/>
      <c r="M515" s="101"/>
      <c r="N515" s="101"/>
      <c r="O515" s="101"/>
      <c r="P515" s="101"/>
      <c r="Q515" s="101"/>
      <c r="R515" s="101"/>
      <c r="S515" s="101"/>
      <c r="U515" s="50"/>
      <c r="AH515" s="87"/>
      <c r="AI515" s="87"/>
    </row>
    <row r="516" spans="1:35" ht="16.5" hidden="1" customHeight="1" thickBot="1">
      <c r="A516" s="44"/>
      <c r="B516" s="705" t="s">
        <v>74</v>
      </c>
      <c r="C516" s="705"/>
      <c r="D516" s="705"/>
      <c r="E516" s="705"/>
      <c r="F516" s="705"/>
      <c r="G516" s="705"/>
      <c r="H516" s="705"/>
      <c r="I516" s="705"/>
      <c r="J516" s="705"/>
      <c r="K516" s="705"/>
      <c r="L516" s="705"/>
      <c r="M516" s="705"/>
      <c r="N516" s="705"/>
      <c r="O516" s="705"/>
      <c r="P516" s="705"/>
      <c r="Q516" s="705"/>
      <c r="R516" s="705"/>
      <c r="S516" s="705"/>
      <c r="T516" s="705"/>
      <c r="U516" s="108"/>
      <c r="Y516" s="532" t="s">
        <v>341</v>
      </c>
      <c r="AC516" s="49"/>
      <c r="AD516" s="687" t="s">
        <v>302</v>
      </c>
      <c r="AE516" s="688"/>
      <c r="AF516" s="689"/>
      <c r="AG516" s="49"/>
      <c r="AH516" s="87"/>
      <c r="AI516" s="87"/>
    </row>
    <row r="517" spans="1:35" ht="15.75" hidden="1" customHeight="1" thickBot="1">
      <c r="A517" s="218" t="e">
        <f>"K"&amp;E499</f>
        <v>#N/A</v>
      </c>
      <c r="B517" s="701" t="s">
        <v>71</v>
      </c>
      <c r="C517" s="751" t="s">
        <v>102</v>
      </c>
      <c r="D517" s="751"/>
      <c r="E517" s="751"/>
      <c r="F517" s="751"/>
      <c r="G517" s="751"/>
      <c r="H517" s="751"/>
      <c r="I517" s="751"/>
      <c r="J517" s="751"/>
      <c r="K517" s="751"/>
      <c r="L517" s="722" t="s">
        <v>100</v>
      </c>
      <c r="M517" s="747" t="s">
        <v>114</v>
      </c>
      <c r="N517" s="747"/>
      <c r="O517" s="747"/>
      <c r="P517" s="747"/>
      <c r="Q517" s="748"/>
      <c r="R517" s="758" t="s">
        <v>280</v>
      </c>
      <c r="S517" s="748"/>
      <c r="T517" s="762" t="str">
        <f>IF(COUNTIF(AE517:AF517,"VERIFICAR")&gt;0,"VERIFICAR",IF(COUNTIF(AE517:AF517,"NO CUMPLE")&gt;0,"NO CUMPLE","CUMPLE"))</f>
        <v>VERIFICAR</v>
      </c>
      <c r="U517" s="108"/>
      <c r="Y517" s="533" t="e">
        <f>IF(F518="","",IF(F518=1,"INDIVIDUAL","ESTRUCTURA PLURAL"))</f>
        <v>#N/A</v>
      </c>
      <c r="AC517" s="52"/>
      <c r="AD517" s="475" t="s">
        <v>303</v>
      </c>
      <c r="AE517" s="476" t="str">
        <f>IF(COUNTIF(AE503:AE512,"")=10,"VERIFICAR",IF(COUNTIF(AE503:AE512,"SI")&gt;0,"CUMPLE","NO CUMPLE"))</f>
        <v>VERIFICAR</v>
      </c>
      <c r="AF517" s="477" t="str">
        <f>IF(COUNTIF(AF503:AF512,"")=10,"VERIFICAR",IF(COUNTIF(AF503:AF512,"SI")&gt;=$AI$22,"CUMPLE","NO CUMPLE"))</f>
        <v>VERIFICAR</v>
      </c>
      <c r="AG517" s="52"/>
      <c r="AH517" s="87"/>
      <c r="AI517" s="87"/>
    </row>
    <row r="518" spans="1:35" ht="16.5" hidden="1" customHeight="1" thickBot="1">
      <c r="A518" s="218" t="e">
        <f>"L"&amp;E499</f>
        <v>#N/A</v>
      </c>
      <c r="B518" s="702"/>
      <c r="C518" s="751" t="s">
        <v>103</v>
      </c>
      <c r="D518" s="751"/>
      <c r="E518" s="752"/>
      <c r="F518" s="557" t="e">
        <f>IF(VLOOKUP(E499,PROPONENTES!$C$19:$E$218,3,0)="","",VLOOKUP(E499,PROPONENTES!$C$19:$E$218,3,0))</f>
        <v>#N/A</v>
      </c>
      <c r="G518" s="753" t="s">
        <v>104</v>
      </c>
      <c r="H518" s="751"/>
      <c r="I518" s="715" t="e">
        <f>IF(OR(F518="",F518=1),"INTERESADO PERSONA NATURAL O JURIDICA","CONSORCIO O UNION TEMPORAL")</f>
        <v>#N/A</v>
      </c>
      <c r="J518" s="725"/>
      <c r="K518" s="728"/>
      <c r="L518" s="723"/>
      <c r="M518" s="749"/>
      <c r="N518" s="749"/>
      <c r="O518" s="749"/>
      <c r="P518" s="749"/>
      <c r="Q518" s="750"/>
      <c r="R518" s="712"/>
      <c r="S518" s="750"/>
      <c r="T518" s="763"/>
      <c r="U518" s="108"/>
      <c r="Y518" s="534"/>
      <c r="AA518" s="52"/>
      <c r="AB518" s="52"/>
      <c r="AC518" s="52"/>
      <c r="AG518" s="52"/>
      <c r="AH518" s="87"/>
      <c r="AI518" s="87"/>
    </row>
    <row r="519" spans="1:35" ht="56.25" hidden="1" customHeight="1" thickBot="1">
      <c r="A519" s="218" t="e">
        <f>"M"&amp;E499</f>
        <v>#N/A</v>
      </c>
      <c r="B519" s="702"/>
      <c r="C519" s="725" t="s">
        <v>101</v>
      </c>
      <c r="D519" s="716"/>
      <c r="E519" s="558" t="s">
        <v>105</v>
      </c>
      <c r="F519" s="554" t="s">
        <v>87</v>
      </c>
      <c r="G519" s="553" t="s">
        <v>86</v>
      </c>
      <c r="H519" s="559" t="s">
        <v>85</v>
      </c>
      <c r="I519" s="554" t="s">
        <v>252</v>
      </c>
      <c r="J519" s="553" t="str">
        <f>"¿EL INTEGRANTE TIENE UNA PARTICIPACIÓN DEL "&amp;PORCREQUERIDOINT*100&amp;"%?"</f>
        <v>¿EL INTEGRANTE TIENE UNA PARTICIPACIÓN DEL 60%?</v>
      </c>
      <c r="K519" s="554" t="s">
        <v>107</v>
      </c>
      <c r="L519" s="724"/>
      <c r="M519" s="717" t="s">
        <v>115</v>
      </c>
      <c r="N519" s="718"/>
      <c r="O519" s="718"/>
      <c r="P519" s="718"/>
      <c r="Q519" s="223">
        <f>IF(AND(H503="SI",P503&gt;=0),1,0)+IF(AND(H504="SI",P504&gt;=0),1,0)+IF(AND(H505="SI",P505&gt;=0),1,0)+IF(AND(H506="SI",P506&gt;=0),1,0)+IF(AND(H507="SI",P507&gt;=0),1,0)+IF(AND(H508="SI",P508&gt;=0),1,0)+IF(AND(H509="SI",P509&gt;=0),1,0)+IF(AND(H510="SI",P510&gt;=0),1,0)+IF(AND(H511="SI",P511&gt;=0),1,0)+IF(AND(H512="SI",P512&gt;=0),1,0)</f>
        <v>0</v>
      </c>
      <c r="R519" s="759"/>
      <c r="S519" s="761"/>
      <c r="T519" s="764"/>
      <c r="U519" s="219"/>
      <c r="V519" s="464"/>
      <c r="Y519" s="532" t="s">
        <v>342</v>
      </c>
      <c r="AA519" s="550" t="s">
        <v>344</v>
      </c>
      <c r="AB519" s="693" t="s">
        <v>345</v>
      </c>
      <c r="AC519" s="693" t="s">
        <v>346</v>
      </c>
      <c r="AD519" s="685" t="s">
        <v>347</v>
      </c>
      <c r="AE519" s="52"/>
      <c r="AF519" s="52"/>
      <c r="AG519" s="52"/>
      <c r="AH519" s="87"/>
      <c r="AI519" s="87"/>
    </row>
    <row r="520" spans="1:35" ht="15.75" hidden="1" customHeight="1" thickBot="1">
      <c r="A520" s="218" t="e">
        <f>"N"&amp;E499</f>
        <v>#N/A</v>
      </c>
      <c r="B520" s="702"/>
      <c r="C520" s="114">
        <v>1</v>
      </c>
      <c r="D520" s="194" t="e">
        <f>IF(AND(C520&lt;=F518,F518&gt;1,F518&lt;&gt;""),VLOOKUP(VALUE(E499&amp;","&amp;C520),INTEGRANTES!$D$18:$F$235,2,0),"")</f>
        <v>#N/A</v>
      </c>
      <c r="E520" s="211" t="e">
        <f>IF(D520&lt;&gt;"",VLOOKUP(VALUE(E499&amp;","&amp;C520),INTEGRANTES!$D$18:$F$235,3,0),"")</f>
        <v>#N/A</v>
      </c>
      <c r="F520" s="547" t="e">
        <f>IF(D520="","",SUMIF($I503:$I512,D520,$P503:$P512))</f>
        <v>#N/A</v>
      </c>
      <c r="G520" s="333" t="e">
        <f>IF(D520="","",SUMIF($I503:$I512,D520,$M503:$M512))</f>
        <v>#N/A</v>
      </c>
      <c r="H520" s="535" t="e">
        <f t="shared" ref="H520:H525" si="137">IF(D520="","",IF(OR(F520=0,G520=0),"NO APORTA",ROUND($F520/$G520,3)))</f>
        <v>#N/A</v>
      </c>
      <c r="I520" s="212" t="e">
        <f>IF(D520="","",IF(H520="NO APORTA","NO",IF(H520=MAX($H520:$H525),"SI","NO")))</f>
        <v>#N/A</v>
      </c>
      <c r="J520" s="213" t="e">
        <f t="shared" ref="J520:J525" si="138">IF(D520="","",IF(E520&gt;=PORCREQUERIDOINT,"SI","NO"))</f>
        <v>#N/A</v>
      </c>
      <c r="K520" s="200" t="e">
        <f t="shared" ref="K520:K525" si="139">IF(D520="","",IF(AND(I520="SI",J520="SI"),"CUMPLE",IF(AND(I520="NO",OR(J520="SI",J520="NO")),"","NO CUMPLE")))</f>
        <v>#N/A</v>
      </c>
      <c r="L520" s="722" t="s">
        <v>108</v>
      </c>
      <c r="M520" s="726" t="s">
        <v>119</v>
      </c>
      <c r="N520" s="726"/>
      <c r="O520" s="726"/>
      <c r="P520" s="726"/>
      <c r="Q520" s="727"/>
      <c r="R520" s="758" t="s">
        <v>80</v>
      </c>
      <c r="S520" s="747"/>
      <c r="T520" s="748"/>
      <c r="U520" s="219"/>
      <c r="V520" s="464"/>
      <c r="Y520" s="533" t="e">
        <f>IF(Y517="","",IF(Y517="INDIVIDUAL","NO APLICA","VERIFICAR CUADRO"))</f>
        <v>#N/A</v>
      </c>
      <c r="AA520" s="551"/>
      <c r="AB520" s="694"/>
      <c r="AC520" s="694"/>
      <c r="AD520" s="686"/>
      <c r="AE520" s="52"/>
      <c r="AF520" s="52"/>
      <c r="AG520" s="52"/>
      <c r="AH520" s="87"/>
      <c r="AI520" s="87"/>
    </row>
    <row r="521" spans="1:35" ht="27" hidden="1" customHeight="1" thickBot="1">
      <c r="A521" s="218" t="e">
        <f>"O"&amp;E499</f>
        <v>#N/A</v>
      </c>
      <c r="B521" s="702"/>
      <c r="C521" s="114">
        <v>2</v>
      </c>
      <c r="D521" s="194" t="e">
        <f>IF(AND(C521&lt;=F518,F518&lt;&gt;""),VLOOKUP(VALUE(E499&amp;","&amp;C521),INTEGRANTES!$D$18:$F$235,2,0),"")</f>
        <v>#N/A</v>
      </c>
      <c r="E521" s="211" t="e">
        <f>IF(D521&lt;&gt;"",VLOOKUP(VALUE(E499&amp;","&amp;C521),INTEGRANTES!$D$18:$F$235,3,0),"")</f>
        <v>#N/A</v>
      </c>
      <c r="F521" s="547" t="e">
        <f>IF(D521="","",SUMIF($I503:$I512,D521,$P503:$P512))</f>
        <v>#N/A</v>
      </c>
      <c r="G521" s="333" t="e">
        <f>IF(D521="","",SUMIF($I503:$I512,D521,$M503:$M512))</f>
        <v>#N/A</v>
      </c>
      <c r="H521" s="535" t="e">
        <f t="shared" si="137"/>
        <v>#N/A</v>
      </c>
      <c r="I521" s="212" t="e">
        <f>IF(D521="","",IF(H521="NO APORTA","NO",IF(H521=MAX($H520:$H525),"SI","NO")))</f>
        <v>#N/A</v>
      </c>
      <c r="J521" s="213" t="e">
        <f t="shared" si="138"/>
        <v>#N/A</v>
      </c>
      <c r="K521" s="200" t="e">
        <f t="shared" si="139"/>
        <v>#N/A</v>
      </c>
      <c r="L521" s="723"/>
      <c r="M521" s="715" t="s">
        <v>116</v>
      </c>
      <c r="N521" s="716"/>
      <c r="O521" s="556" t="s">
        <v>113</v>
      </c>
      <c r="P521" s="715" t="s">
        <v>117</v>
      </c>
      <c r="Q521" s="728"/>
      <c r="R521" s="759"/>
      <c r="S521" s="760"/>
      <c r="T521" s="761"/>
      <c r="U521" s="219"/>
      <c r="V521" s="464"/>
      <c r="Y521" s="414"/>
      <c r="AA521" s="542" t="e">
        <f>IF(AND(C520&lt;=F518,F518&gt;1,F518&lt;&gt;""),VLOOKUP(VALUE(E499&amp;","&amp;C520),INTEGRANTES!$D$18:$F$235,2,0),"")</f>
        <v>#N/A</v>
      </c>
      <c r="AB521" s="544" t="e">
        <f t="shared" ref="AB521:AB526" si="140">IF(D520="","",IF(OR(F520=0,G520=0),"NO APORTA",ROUND($F520/$G520,3)))</f>
        <v>#N/A</v>
      </c>
      <c r="AC521" s="529"/>
      <c r="AD521" s="200" t="e">
        <f t="shared" ref="AD521:AD526" si="141">IF(OR(AA521="",AB521=""),"",IF(AND(AC521="X",AB521&gt;=EXPREQVTD),"CUMPLE","NO CUMPLE"))</f>
        <v>#N/A</v>
      </c>
      <c r="AE521" s="52"/>
      <c r="AF521" s="52"/>
      <c r="AG521" s="52"/>
      <c r="AH521" s="87"/>
      <c r="AI521" s="87"/>
    </row>
    <row r="522" spans="1:35" ht="16.5" hidden="1" thickBot="1">
      <c r="A522" s="218" t="e">
        <f>"P"&amp;E499</f>
        <v>#N/A</v>
      </c>
      <c r="B522" s="702"/>
      <c r="C522" s="114">
        <v>3</v>
      </c>
      <c r="D522" s="194" t="e">
        <f>IF(AND(C522&lt;=F518,F518&lt;&gt;""),VLOOKUP(VALUE(E499&amp;","&amp;C522),INTEGRANTES!$D$18:$F$235,2,0),"")</f>
        <v>#N/A</v>
      </c>
      <c r="E522" s="211" t="e">
        <f>IF(D522&lt;&gt;"",VLOOKUP(VALUE(E499&amp;","&amp;C522),INTEGRANTES!$D$18:$F$235,3,0),"")</f>
        <v>#N/A</v>
      </c>
      <c r="F522" s="547" t="e">
        <f>IF(D522="","",SUMIF($I503:$I512,D522,$P503:$P512))</f>
        <v>#N/A</v>
      </c>
      <c r="G522" s="333" t="e">
        <f>IF(D522="","",SUMIF($I503:$I512,D522,$M503:$M512))</f>
        <v>#N/A</v>
      </c>
      <c r="H522" s="535" t="e">
        <f t="shared" si="137"/>
        <v>#N/A</v>
      </c>
      <c r="I522" s="212" t="e">
        <f>IF(D522="","",IF(H522="NO APORTA","NO",IF(H522=MAX($H520:$H525),"SI","NO")))</f>
        <v>#N/A</v>
      </c>
      <c r="J522" s="213" t="e">
        <f t="shared" si="138"/>
        <v>#N/A</v>
      </c>
      <c r="K522" s="200" t="e">
        <f t="shared" si="139"/>
        <v>#N/A</v>
      </c>
      <c r="L522" s="724"/>
      <c r="M522" s="729">
        <f>NUMMOD</f>
        <v>1</v>
      </c>
      <c r="N522" s="730"/>
      <c r="O522" s="443">
        <f>IF(M522="","",VLOOKUP(M522,PRESUPUESTOS!$B$16:$H$16,5,FALSE))</f>
        <v>2</v>
      </c>
      <c r="P522" s="713">
        <f>IF(OR(COUNTIF(M503:M512,"")&gt;=10,Q519&lt;NUMMINCONT,OR(T517="NO CUMPLE",T517="VERIFICAR")),0,ROUND(AVERAGE(M503:M512),3))</f>
        <v>0</v>
      </c>
      <c r="Q522" s="714"/>
      <c r="R522" s="458"/>
      <c r="S522" s="459"/>
      <c r="T522" s="460"/>
      <c r="U522" s="219"/>
      <c r="V522" s="464"/>
      <c r="Y522" s="532" t="str">
        <f>"40% * ("&amp;PRESUPUESTOS!$H$13&amp;")"</f>
        <v>40% * (50% PFMO)</v>
      </c>
      <c r="AA522" s="540" t="e">
        <f>IF(AND(C521&lt;=F518,F518&lt;&gt;""),VLOOKUP(VALUE(E499&amp;","&amp;C521),INTEGRANTES!$D$18:$F$235,2,0),"")</f>
        <v>#N/A</v>
      </c>
      <c r="AB522" s="545" t="e">
        <f t="shared" si="140"/>
        <v>#N/A</v>
      </c>
      <c r="AC522" s="529"/>
      <c r="AD522" s="200" t="e">
        <f t="shared" si="141"/>
        <v>#N/A</v>
      </c>
      <c r="AE522" s="52"/>
      <c r="AF522" s="52"/>
      <c r="AG522" s="52"/>
      <c r="AH522" s="87"/>
      <c r="AI522" s="87"/>
    </row>
    <row r="523" spans="1:35" ht="15.75" hidden="1" customHeight="1" thickBot="1">
      <c r="A523" s="218" t="e">
        <f>"Q"&amp;E499</f>
        <v>#N/A</v>
      </c>
      <c r="B523" s="702"/>
      <c r="C523" s="114">
        <v>4</v>
      </c>
      <c r="D523" s="194" t="e">
        <f>IF(AND(C523&lt;=F518,F518&lt;&gt;""),VLOOKUP(VALUE(E499&amp;","&amp;C523),INTEGRANTES!$D$18:$F$235,2,0),"")</f>
        <v>#N/A</v>
      </c>
      <c r="E523" s="211" t="e">
        <f>IF(D523&lt;&gt;"",VLOOKUP(VALUE(E499&amp;","&amp;C523),INTEGRANTES!$D$18:$F$235,3,0),"")</f>
        <v>#N/A</v>
      </c>
      <c r="F523" s="547" t="e">
        <f>IF(D523="","",SUMIF($I503:$I512,D523,$P503:$P512))</f>
        <v>#N/A</v>
      </c>
      <c r="G523" s="333" t="e">
        <f>IF(D523="","",SUMIF($I503:$I512,D523,$M503:$M512))</f>
        <v>#N/A</v>
      </c>
      <c r="H523" s="535" t="e">
        <f t="shared" si="137"/>
        <v>#N/A</v>
      </c>
      <c r="I523" s="212" t="e">
        <f>IF(D523="","",IF(H523="NO APORTA","NO",IF(H523=MAX($H520:$H525),"SI","NO")))</f>
        <v>#N/A</v>
      </c>
      <c r="J523" s="213" t="e">
        <f t="shared" si="138"/>
        <v>#N/A</v>
      </c>
      <c r="K523" s="200" t="e">
        <f t="shared" si="139"/>
        <v>#N/A</v>
      </c>
      <c r="L523" s="720" t="s">
        <v>109</v>
      </c>
      <c r="M523" s="757" t="s">
        <v>120</v>
      </c>
      <c r="N523" s="726"/>
      <c r="O523" s="726"/>
      <c r="P523" s="726"/>
      <c r="Q523" s="727"/>
      <c r="R523" s="458"/>
      <c r="S523" s="459"/>
      <c r="T523" s="460"/>
      <c r="U523" s="219"/>
      <c r="V523" s="464"/>
      <c r="Y523" s="537">
        <f>0.4*PRESUPUESTOS!$H$16</f>
        <v>10.3124</v>
      </c>
      <c r="AA523" s="540" t="e">
        <f>IF(AND(C522&lt;=F518,F518&lt;&gt;""),VLOOKUP(VALUE(E499&amp;","&amp;C522),INTEGRANTES!$D$18:$F$235,2,0),"")</f>
        <v>#N/A</v>
      </c>
      <c r="AB523" s="545" t="e">
        <f t="shared" si="140"/>
        <v>#N/A</v>
      </c>
      <c r="AC523" s="529"/>
      <c r="AD523" s="200" t="e">
        <f t="shared" si="141"/>
        <v>#N/A</v>
      </c>
      <c r="AE523" s="52"/>
      <c r="AF523" s="52"/>
      <c r="AG523" s="52"/>
      <c r="AH523" s="87"/>
      <c r="AI523" s="87"/>
    </row>
    <row r="524" spans="1:35" ht="27" hidden="1" customHeight="1" thickBot="1">
      <c r="A524" s="218" t="e">
        <f>"R"&amp;E499</f>
        <v>#N/A</v>
      </c>
      <c r="B524" s="702"/>
      <c r="C524" s="114">
        <v>5</v>
      </c>
      <c r="D524" s="194" t="e">
        <f>IF(AND(C524&lt;=F518,F518&lt;&gt;""),VLOOKUP(VALUE(E499&amp;","&amp;C524),INTEGRANTES!$D$18:$F$235,2,0),"")</f>
        <v>#N/A</v>
      </c>
      <c r="E524" s="211" t="e">
        <f>IF(D524&lt;&gt;"",VLOOKUP(VALUE(E499&amp;","&amp;C524),INTEGRANTES!$D$18:$F$235,3,0),"")</f>
        <v>#N/A</v>
      </c>
      <c r="F524" s="547" t="e">
        <f>IF(D524="","",SUMIF($I503:$I512,D524,$P503:$P512))</f>
        <v>#N/A</v>
      </c>
      <c r="G524" s="333" t="e">
        <f>IF(D524="","",SUMIF($I503:$I512,D524,$M503:$M512))</f>
        <v>#N/A</v>
      </c>
      <c r="H524" s="535" t="e">
        <f t="shared" si="137"/>
        <v>#N/A</v>
      </c>
      <c r="I524" s="212" t="e">
        <f>IF(D524="","",IF(H524="NO APORTA","NO",IF(H524=MAX($H520:$H525),"SI","NO")))</f>
        <v>#N/A</v>
      </c>
      <c r="J524" s="213" t="e">
        <f t="shared" si="138"/>
        <v>#N/A</v>
      </c>
      <c r="K524" s="200" t="e">
        <f t="shared" si="139"/>
        <v>#N/A</v>
      </c>
      <c r="L524" s="721"/>
      <c r="M524" s="715" t="s">
        <v>116</v>
      </c>
      <c r="N524" s="716"/>
      <c r="O524" s="556" t="str">
        <f>PORCREQUERIDO*100&amp;"% PMFO DEL MÓDULO"</f>
        <v>50% PMFO DEL MÓDULO</v>
      </c>
      <c r="P524" s="715" t="s">
        <v>118</v>
      </c>
      <c r="Q524" s="728"/>
      <c r="R524" s="458"/>
      <c r="S524" s="459"/>
      <c r="T524" s="460"/>
      <c r="U524" s="219"/>
      <c r="V524" s="464"/>
      <c r="Y524" s="414"/>
      <c r="AA524" s="540" t="e">
        <f>IF(AND(C523&lt;=F518,F518&lt;&gt;""),VLOOKUP(VALUE(E499&amp;","&amp;C523),INTEGRANTES!$D$18:$F$235,2,0),"")</f>
        <v>#N/A</v>
      </c>
      <c r="AB524" s="545" t="e">
        <f t="shared" si="140"/>
        <v>#N/A</v>
      </c>
      <c r="AC524" s="529"/>
      <c r="AD524" s="200" t="e">
        <f t="shared" si="141"/>
        <v>#N/A</v>
      </c>
      <c r="AE524" s="52"/>
      <c r="AF524" s="52"/>
      <c r="AG524" s="52"/>
      <c r="AH524" s="87"/>
      <c r="AI524" s="87"/>
    </row>
    <row r="525" spans="1:35" ht="16.5" hidden="1" thickBot="1">
      <c r="A525" s="218" t="e">
        <f>"S"&amp;E499</f>
        <v>#N/A</v>
      </c>
      <c r="B525" s="702"/>
      <c r="C525" s="215">
        <v>6</v>
      </c>
      <c r="D525" s="216" t="e">
        <f>IF(AND(C525&lt;=F518,F518&lt;&gt;""),VLOOKUP(VALUE(E499&amp;","&amp;C525),INTEGRANTES!$D$18:$F$235,2,0),"")</f>
        <v>#N/A</v>
      </c>
      <c r="E525" s="217" t="e">
        <f>IF(D525&lt;&gt;"",VLOOKUP(VALUE(E499&amp;","&amp;C525),INTEGRANTES!$D$18:$F$235,3,0),"")</f>
        <v>#N/A</v>
      </c>
      <c r="F525" s="548" t="e">
        <f>IF(D525="","",SUMIF($I503:$I512,D525,$P503:$P512))</f>
        <v>#N/A</v>
      </c>
      <c r="G525" s="334" t="e">
        <f>IF(D525="","",SUMIF($I503:$I512,D525,$M503:$M512))</f>
        <v>#N/A</v>
      </c>
      <c r="H525" s="536" t="e">
        <f t="shared" si="137"/>
        <v>#N/A</v>
      </c>
      <c r="I525" s="214" t="e">
        <f>IF(D525="","",IF(H525="NO APORTA","NO",IF(H525=MAX($H520:$H525),"SI","NO")))</f>
        <v>#N/A</v>
      </c>
      <c r="J525" s="213" t="e">
        <f t="shared" si="138"/>
        <v>#N/A</v>
      </c>
      <c r="K525" s="200" t="e">
        <f t="shared" si="139"/>
        <v>#N/A</v>
      </c>
      <c r="L525" s="721"/>
      <c r="M525" s="729">
        <f>NUMMOD</f>
        <v>1</v>
      </c>
      <c r="N525" s="730"/>
      <c r="O525" s="443">
        <f>IF(M525="","",ROUND(VLOOKUP(M525,PRESUPUESTOS!$B$16:$H$16,7,FALSE),3))</f>
        <v>25.780999999999999</v>
      </c>
      <c r="P525" s="713">
        <f>IF(OR(COUNTIF(P503:P512,"")&gt;=10,Q519&lt;NUMMINCONT,OR(T517="NO CUMPLE",T517="VERIFICAR")),0,ROUND((SUM(P503:P512)/SUM(M503:M512)),3))</f>
        <v>0</v>
      </c>
      <c r="Q525" s="714"/>
      <c r="R525" s="458"/>
      <c r="S525" s="459"/>
      <c r="T525" s="460"/>
      <c r="U525" s="219"/>
      <c r="V525" s="464"/>
      <c r="Y525" s="532" t="s">
        <v>343</v>
      </c>
      <c r="AA525" s="540" t="e">
        <f>IF(AND(C524&lt;=F518,F518&lt;&gt;""),VLOOKUP(VALUE(E499&amp;","&amp;C524),INTEGRANTES!$D$18:$F$235,2,0),"")</f>
        <v>#N/A</v>
      </c>
      <c r="AB525" s="545" t="e">
        <f t="shared" si="140"/>
        <v>#N/A</v>
      </c>
      <c r="AC525" s="529"/>
      <c r="AD525" s="200" t="e">
        <f t="shared" si="141"/>
        <v>#N/A</v>
      </c>
      <c r="AE525" s="52"/>
      <c r="AF525" s="52"/>
      <c r="AG525" s="52"/>
      <c r="AH525" s="87"/>
      <c r="AI525" s="87"/>
    </row>
    <row r="526" spans="1:35" ht="16.5" hidden="1" customHeight="1" thickBot="1">
      <c r="A526" s="218" t="e">
        <f>"T"&amp;E499</f>
        <v>#N/A</v>
      </c>
      <c r="B526" s="703"/>
      <c r="C526" s="719"/>
      <c r="D526" s="719"/>
      <c r="E526" s="719"/>
      <c r="F526" s="719"/>
      <c r="G526" s="719"/>
      <c r="H526" s="719" t="s">
        <v>110</v>
      </c>
      <c r="I526" s="719"/>
      <c r="J526" s="719"/>
      <c r="K526" s="201" t="str">
        <f>IF(COUNTIF(K520:K525,"")=6,"",IF(COUNTIF(K520:K525,"CUMPLE")&gt;0,"CUMPLE","NO CUMPLE"))</f>
        <v>NO CUMPLE</v>
      </c>
      <c r="L526" s="754"/>
      <c r="M526" s="755"/>
      <c r="N526" s="755"/>
      <c r="O526" s="755"/>
      <c r="P526" s="755"/>
      <c r="Q526" s="756"/>
      <c r="R526" s="461"/>
      <c r="S526" s="462"/>
      <c r="T526" s="463"/>
      <c r="U526" s="219"/>
      <c r="V526" s="464"/>
      <c r="Y526" s="549" t="e">
        <f>IF(Y520="NO APLICA","NO APLICA",IF(COUNTIF(AD521:AD526,"CUMPLE")&gt;0,"CUMPLE","NO CUMPLE"))</f>
        <v>#N/A</v>
      </c>
      <c r="AA526" s="541" t="e">
        <f>IF(AND(C525&lt;=F518,F518&lt;&gt;""),VLOOKUP(VALUE(E499&amp;","&amp;C525),INTEGRANTES!$D$18:$F$235,2,0),"")</f>
        <v>#N/A</v>
      </c>
      <c r="AB526" s="546" t="e">
        <f t="shared" si="140"/>
        <v>#N/A</v>
      </c>
      <c r="AC526" s="543"/>
      <c r="AD526" s="201" t="e">
        <f t="shared" si="141"/>
        <v>#N/A</v>
      </c>
      <c r="AE526" s="52"/>
      <c r="AF526" s="52"/>
      <c r="AG526" s="52"/>
      <c r="AH526" s="87"/>
      <c r="AI526" s="87"/>
    </row>
    <row r="527" spans="1:35" hidden="1">
      <c r="A527" s="103"/>
      <c r="B527" s="206"/>
      <c r="C527" s="206"/>
      <c r="D527" s="206"/>
      <c r="E527" s="206"/>
      <c r="F527" s="206"/>
      <c r="G527" s="206"/>
      <c r="H527" s="206"/>
      <c r="I527" s="104"/>
      <c r="J527" s="206"/>
      <c r="K527" s="113"/>
      <c r="L527" s="113"/>
      <c r="M527" s="113"/>
      <c r="N527" s="222"/>
      <c r="O527" s="113"/>
      <c r="P527" s="113"/>
      <c r="Q527" s="113"/>
      <c r="R527" s="206"/>
      <c r="S527" s="104"/>
      <c r="T527" s="206"/>
      <c r="U527" s="474"/>
      <c r="AH527" s="87"/>
      <c r="AI527" s="87"/>
    </row>
    <row r="528" spans="1:35" hidden="1">
      <c r="H528" s="220"/>
      <c r="AH528" s="87"/>
      <c r="AI528" s="87"/>
    </row>
    <row r="529" spans="1:35" ht="24" hidden="1" thickBot="1">
      <c r="A529" s="61">
        <v>18</v>
      </c>
      <c r="B529" s="704" t="s">
        <v>51</v>
      </c>
      <c r="C529" s="704"/>
      <c r="D529" s="704"/>
      <c r="E529" s="62" t="e">
        <f>VLOOKUP(A529,PROPONENTES!$B$19:$E$218,2,FALSE)</f>
        <v>#N/A</v>
      </c>
      <c r="F529" s="63" t="e">
        <f>VLOOKUP(A529,PROPONENTES!$B$19:$E$218,3,FALSE)</f>
        <v>#N/A</v>
      </c>
      <c r="G529" s="64"/>
      <c r="H529" s="64"/>
      <c r="I529" s="63"/>
      <c r="J529" s="63"/>
      <c r="K529" s="65"/>
      <c r="L529" s="65"/>
      <c r="M529" s="64"/>
      <c r="N529" s="64"/>
      <c r="O529" s="66"/>
      <c r="P529" s="66"/>
      <c r="Q529" s="66"/>
      <c r="R529" s="66"/>
      <c r="S529" s="67"/>
      <c r="T529" s="68"/>
      <c r="U529" s="68"/>
      <c r="AC529" s="68"/>
      <c r="AD529" s="68"/>
      <c r="AE529" s="68"/>
      <c r="AF529" s="68"/>
      <c r="AG529" s="68"/>
      <c r="AH529" s="87"/>
      <c r="AI529" s="87"/>
    </row>
    <row r="530" spans="1:35" ht="15.75" hidden="1" customHeight="1">
      <c r="A530" s="44"/>
      <c r="B530" s="709" t="s">
        <v>59</v>
      </c>
      <c r="C530" s="552" t="s">
        <v>60</v>
      </c>
      <c r="D530" s="70" t="s">
        <v>17</v>
      </c>
      <c r="E530" s="70"/>
      <c r="F530" s="70" t="s">
        <v>61</v>
      </c>
      <c r="G530" s="71"/>
      <c r="H530" s="699" t="s">
        <v>62</v>
      </c>
      <c r="I530" s="699" t="s">
        <v>18</v>
      </c>
      <c r="J530" s="699" t="s">
        <v>63</v>
      </c>
      <c r="K530" s="699" t="s">
        <v>64</v>
      </c>
      <c r="L530" s="699" t="s">
        <v>65</v>
      </c>
      <c r="M530" s="743" t="s">
        <v>66</v>
      </c>
      <c r="N530" s="699" t="s">
        <v>282</v>
      </c>
      <c r="O530" s="745" t="s">
        <v>67</v>
      </c>
      <c r="P530" s="746"/>
      <c r="Q530" s="102" t="s">
        <v>75</v>
      </c>
      <c r="R530" s="731" t="s">
        <v>22</v>
      </c>
      <c r="S530" s="732"/>
      <c r="T530" s="733"/>
      <c r="U530" s="712" t="s">
        <v>298</v>
      </c>
      <c r="W530" s="690" t="s">
        <v>268</v>
      </c>
      <c r="X530" s="691"/>
      <c r="Y530" s="692"/>
      <c r="Z530" s="428"/>
      <c r="AA530" s="697" t="s">
        <v>315</v>
      </c>
      <c r="AB530" s="695" t="s">
        <v>322</v>
      </c>
      <c r="AC530" s="49"/>
      <c r="AD530" s="690" t="s">
        <v>297</v>
      </c>
      <c r="AE530" s="691"/>
      <c r="AF530" s="692"/>
      <c r="AG530" s="49"/>
      <c r="AH530" s="87"/>
      <c r="AI530" s="87"/>
    </row>
    <row r="531" spans="1:35" ht="72" hidden="1">
      <c r="A531" s="44"/>
      <c r="B531" s="710"/>
      <c r="C531" s="553" t="s">
        <v>68</v>
      </c>
      <c r="D531" s="73" t="s">
        <v>3</v>
      </c>
      <c r="E531" s="73" t="s">
        <v>19</v>
      </c>
      <c r="F531" s="73" t="s">
        <v>69</v>
      </c>
      <c r="G531" s="74" t="s">
        <v>70</v>
      </c>
      <c r="H531" s="700"/>
      <c r="I531" s="700"/>
      <c r="J531" s="700"/>
      <c r="K531" s="700"/>
      <c r="L531" s="700"/>
      <c r="M531" s="744"/>
      <c r="N531" s="700"/>
      <c r="O531" s="553" t="s">
        <v>279</v>
      </c>
      <c r="P531" s="73" t="s">
        <v>88</v>
      </c>
      <c r="Q531" s="555" t="s">
        <v>76</v>
      </c>
      <c r="R531" s="734"/>
      <c r="S531" s="735"/>
      <c r="T531" s="736"/>
      <c r="U531" s="712"/>
      <c r="W531" s="429" t="s">
        <v>269</v>
      </c>
      <c r="X531" s="457" t="s">
        <v>278</v>
      </c>
      <c r="Y531" s="430" t="s">
        <v>324</v>
      </c>
      <c r="Z531" s="428"/>
      <c r="AA531" s="698"/>
      <c r="AB531" s="696"/>
      <c r="AC531" s="49"/>
      <c r="AD531" s="429" t="s">
        <v>292</v>
      </c>
      <c r="AE531" s="431" t="s">
        <v>300</v>
      </c>
      <c r="AF531" s="468" t="s">
        <v>301</v>
      </c>
      <c r="AG531" s="49"/>
      <c r="AH531" s="87"/>
      <c r="AI531" s="87"/>
    </row>
    <row r="532" spans="1:35" hidden="1">
      <c r="A532" s="44"/>
      <c r="B532" s="76"/>
      <c r="C532" s="77"/>
      <c r="D532" s="77"/>
      <c r="E532" s="77"/>
      <c r="F532" s="77"/>
      <c r="G532" s="77"/>
      <c r="H532" s="77"/>
      <c r="I532" s="77"/>
      <c r="J532" s="77"/>
      <c r="K532" s="77"/>
      <c r="L532" s="77"/>
      <c r="M532" s="77"/>
      <c r="N532" s="77"/>
      <c r="O532" s="77"/>
      <c r="P532" s="77"/>
      <c r="Q532" s="77"/>
      <c r="R532" s="77"/>
      <c r="S532" s="78"/>
      <c r="T532" s="79"/>
      <c r="U532" s="109"/>
      <c r="V532" s="49"/>
      <c r="W532" s="432"/>
      <c r="X532" s="454"/>
      <c r="Y532" s="433"/>
      <c r="Z532" s="6"/>
      <c r="AA532" s="500"/>
      <c r="AB532" s="562"/>
      <c r="AC532" s="49"/>
      <c r="AD532" s="210"/>
      <c r="AE532" s="434"/>
      <c r="AF532" s="435"/>
      <c r="AG532" s="49"/>
      <c r="AH532" s="87"/>
      <c r="AI532" s="87"/>
    </row>
    <row r="533" spans="1:35" hidden="1">
      <c r="A533" s="80" t="e">
        <f>"A"&amp;E529</f>
        <v>#N/A</v>
      </c>
      <c r="B533" s="81">
        <v>1</v>
      </c>
      <c r="C533" s="82"/>
      <c r="D533" s="82"/>
      <c r="E533" s="82"/>
      <c r="F533" s="82"/>
      <c r="G533" s="83"/>
      <c r="H533" s="83"/>
      <c r="I533" s="84"/>
      <c r="J533" s="85"/>
      <c r="K533" s="382"/>
      <c r="L533" s="85"/>
      <c r="M533" s="332" t="str">
        <f t="shared" ref="M533:M542" si="142">IF(OR(J533="",L533="",H533="NO"),"",IF(OR(J533&gt;$P$17,J533&lt;$O$17,L533&gt;$P$17,AND(J533&lt;$O$17,L533&lt;$O$17)),"FUERA DE RANGO",IF(OR(K533="---",K533=""),IF(J533&gt;=$O$17,ROUND((L533-J533+1)/360*12,3),ROUND((L533-$O$17+1)/360*12,3)),IF(J533&gt;=$O$17,ROUND((L533-J533+1)/360*12-ROUND(K533,3),3),ROUND((L533-$O$17+1)/360*12-ROUND(K533,3),3)))))</f>
        <v/>
      </c>
      <c r="N533" s="86"/>
      <c r="O533" s="453" t="str">
        <f>IF(OR(G533="",N533=""),"",N533*G533)</f>
        <v/>
      </c>
      <c r="P533" s="538" t="str">
        <f>IF(OR(H533="",M533="FUERA DE RANGO"),"",IF(OR(L533&lt;$O$17,L533&gt;$P$17,L533="",H533="NO"),"",IF(OR(N533="",O533=""),"",ROUND(O533,3))))</f>
        <v/>
      </c>
      <c r="Q533" s="539" t="str">
        <f t="shared" ref="Q533:Q542" si="143">IF(AND(H533="SI",P533&lt;&gt;""),ROUND(P533/M533,3),"")</f>
        <v/>
      </c>
      <c r="R533" s="737"/>
      <c r="S533" s="738"/>
      <c r="T533" s="739"/>
      <c r="U533" s="470"/>
      <c r="V533" s="165"/>
      <c r="W533" s="446"/>
      <c r="X533" s="456"/>
      <c r="Y533" s="436"/>
      <c r="Z533" s="437"/>
      <c r="AA533" s="560"/>
      <c r="AB533" s="561"/>
      <c r="AC533" s="87"/>
      <c r="AD533" s="466"/>
      <c r="AE533" s="456"/>
      <c r="AF533" s="467"/>
      <c r="AG533" s="87"/>
      <c r="AH533" s="87"/>
      <c r="AI533" s="87"/>
    </row>
    <row r="534" spans="1:35" hidden="1">
      <c r="A534" s="80" t="e">
        <f>"B"&amp;E529</f>
        <v>#N/A</v>
      </c>
      <c r="B534" s="81">
        <v>2</v>
      </c>
      <c r="C534" s="106"/>
      <c r="D534" s="106"/>
      <c r="E534" s="106"/>
      <c r="F534" s="106"/>
      <c r="G534" s="83"/>
      <c r="H534" s="83"/>
      <c r="I534" s="84"/>
      <c r="J534" s="85"/>
      <c r="K534" s="382"/>
      <c r="L534" s="85"/>
      <c r="M534" s="332" t="str">
        <f t="shared" si="142"/>
        <v/>
      </c>
      <c r="N534" s="86"/>
      <c r="O534" s="453" t="str">
        <f t="shared" ref="O534:O542" si="144">IF(OR(G534="",N534=""),"",N534*G534)</f>
        <v/>
      </c>
      <c r="P534" s="538" t="str">
        <f t="shared" ref="P534:P542" si="145">IF(OR(H534="",M534="FUERA DE RANGO"),"",IF(OR(L534&lt;$O$17,L534&gt;$P$17,L534="",H534="NO"),"",IF(OR(N534="",O534=""),"",ROUND(O534,3))))</f>
        <v/>
      </c>
      <c r="Q534" s="539" t="str">
        <f t="shared" si="143"/>
        <v/>
      </c>
      <c r="R534" s="740"/>
      <c r="S534" s="741"/>
      <c r="T534" s="742"/>
      <c r="U534" s="471"/>
      <c r="V534" s="165"/>
      <c r="W534" s="446"/>
      <c r="X534" s="456"/>
      <c r="Y534" s="436"/>
      <c r="Z534" s="437"/>
      <c r="AA534" s="560"/>
      <c r="AB534" s="561"/>
      <c r="AC534" s="87"/>
      <c r="AD534" s="466"/>
      <c r="AE534" s="456"/>
      <c r="AF534" s="467"/>
      <c r="AG534" s="87"/>
      <c r="AH534" s="87"/>
      <c r="AI534" s="87"/>
    </row>
    <row r="535" spans="1:35" hidden="1">
      <c r="A535" s="80" t="e">
        <f>"C"&amp;E529</f>
        <v>#N/A</v>
      </c>
      <c r="B535" s="88">
        <v>3</v>
      </c>
      <c r="C535" s="82"/>
      <c r="D535" s="82"/>
      <c r="E535" s="82"/>
      <c r="F535" s="82"/>
      <c r="G535" s="83"/>
      <c r="H535" s="83"/>
      <c r="I535" s="84"/>
      <c r="J535" s="85"/>
      <c r="K535" s="382"/>
      <c r="L535" s="85"/>
      <c r="M535" s="332" t="str">
        <f t="shared" si="142"/>
        <v/>
      </c>
      <c r="N535" s="86"/>
      <c r="O535" s="453" t="str">
        <f t="shared" si="144"/>
        <v/>
      </c>
      <c r="P535" s="538" t="str">
        <f t="shared" si="145"/>
        <v/>
      </c>
      <c r="Q535" s="539" t="str">
        <f t="shared" si="143"/>
        <v/>
      </c>
      <c r="R535" s="706"/>
      <c r="S535" s="707"/>
      <c r="T535" s="708"/>
      <c r="U535" s="472"/>
      <c r="V535" s="166"/>
      <c r="W535" s="446"/>
      <c r="X535" s="456"/>
      <c r="Y535" s="436"/>
      <c r="Z535" s="437"/>
      <c r="AA535" s="560"/>
      <c r="AB535" s="561"/>
      <c r="AC535" s="87"/>
      <c r="AD535" s="466"/>
      <c r="AE535" s="456"/>
      <c r="AF535" s="467"/>
      <c r="AG535" s="87"/>
      <c r="AH535" s="87"/>
      <c r="AI535" s="87"/>
    </row>
    <row r="536" spans="1:35" hidden="1">
      <c r="A536" s="80" t="e">
        <f>"D"&amp;E529</f>
        <v>#N/A</v>
      </c>
      <c r="B536" s="105">
        <v>4</v>
      </c>
      <c r="C536" s="107"/>
      <c r="D536" s="107"/>
      <c r="E536" s="107"/>
      <c r="F536" s="107"/>
      <c r="G536" s="83"/>
      <c r="H536" s="83"/>
      <c r="I536" s="84"/>
      <c r="J536" s="85"/>
      <c r="K536" s="382"/>
      <c r="L536" s="85"/>
      <c r="M536" s="332" t="str">
        <f t="shared" si="142"/>
        <v/>
      </c>
      <c r="N536" s="86"/>
      <c r="O536" s="453" t="str">
        <f t="shared" si="144"/>
        <v/>
      </c>
      <c r="P536" s="538" t="str">
        <f t="shared" si="145"/>
        <v/>
      </c>
      <c r="Q536" s="539" t="str">
        <f t="shared" si="143"/>
        <v/>
      </c>
      <c r="R536" s="706"/>
      <c r="S536" s="707"/>
      <c r="T536" s="708"/>
      <c r="U536" s="472"/>
      <c r="V536" s="166"/>
      <c r="W536" s="446"/>
      <c r="X536" s="456"/>
      <c r="Y536" s="436"/>
      <c r="Z536" s="437"/>
      <c r="AA536" s="560"/>
      <c r="AB536" s="561"/>
      <c r="AC536" s="87"/>
      <c r="AD536" s="466"/>
      <c r="AE536" s="456"/>
      <c r="AF536" s="467"/>
      <c r="AG536" s="87"/>
      <c r="AH536" s="87"/>
      <c r="AI536" s="87"/>
    </row>
    <row r="537" spans="1:35" hidden="1">
      <c r="A537" s="80" t="e">
        <f>"E"&amp;E529</f>
        <v>#N/A</v>
      </c>
      <c r="B537" s="105">
        <v>5</v>
      </c>
      <c r="C537" s="107"/>
      <c r="D537" s="107"/>
      <c r="E537" s="107"/>
      <c r="F537" s="107"/>
      <c r="G537" s="83"/>
      <c r="H537" s="83"/>
      <c r="I537" s="84"/>
      <c r="J537" s="85"/>
      <c r="K537" s="382"/>
      <c r="L537" s="85"/>
      <c r="M537" s="332" t="str">
        <f t="shared" si="142"/>
        <v/>
      </c>
      <c r="N537" s="86"/>
      <c r="O537" s="453" t="str">
        <f t="shared" si="144"/>
        <v/>
      </c>
      <c r="P537" s="538" t="str">
        <f t="shared" si="145"/>
        <v/>
      </c>
      <c r="Q537" s="539" t="str">
        <f t="shared" si="143"/>
        <v/>
      </c>
      <c r="R537" s="706"/>
      <c r="S537" s="707"/>
      <c r="T537" s="708"/>
      <c r="U537" s="472"/>
      <c r="V537" s="167"/>
      <c r="W537" s="446"/>
      <c r="X537" s="456"/>
      <c r="Y537" s="436"/>
      <c r="Z537" s="437"/>
      <c r="AA537" s="560"/>
      <c r="AB537" s="561"/>
      <c r="AC537" s="87"/>
      <c r="AD537" s="466"/>
      <c r="AE537" s="456"/>
      <c r="AF537" s="467"/>
      <c r="AG537" s="87"/>
      <c r="AH537" s="87"/>
      <c r="AI537" s="87"/>
    </row>
    <row r="538" spans="1:35" hidden="1">
      <c r="A538" s="80" t="e">
        <f>"F"&amp;E529</f>
        <v>#N/A</v>
      </c>
      <c r="B538" s="105">
        <v>6</v>
      </c>
      <c r="C538" s="107"/>
      <c r="D538" s="107"/>
      <c r="E538" s="107"/>
      <c r="F538" s="107"/>
      <c r="G538" s="83"/>
      <c r="H538" s="83"/>
      <c r="I538" s="84"/>
      <c r="J538" s="85"/>
      <c r="K538" s="382"/>
      <c r="L538" s="85"/>
      <c r="M538" s="332" t="str">
        <f t="shared" si="142"/>
        <v/>
      </c>
      <c r="N538" s="86"/>
      <c r="O538" s="453" t="str">
        <f t="shared" si="144"/>
        <v/>
      </c>
      <c r="P538" s="538" t="str">
        <f t="shared" si="145"/>
        <v/>
      </c>
      <c r="Q538" s="539" t="str">
        <f t="shared" si="143"/>
        <v/>
      </c>
      <c r="R538" s="706"/>
      <c r="S538" s="707"/>
      <c r="T538" s="708"/>
      <c r="U538" s="472"/>
      <c r="V538" s="167"/>
      <c r="W538" s="446"/>
      <c r="X538" s="456"/>
      <c r="Y538" s="436"/>
      <c r="Z538" s="437"/>
      <c r="AA538" s="560"/>
      <c r="AB538" s="561"/>
      <c r="AC538" s="87"/>
      <c r="AD538" s="466"/>
      <c r="AE538" s="456"/>
      <c r="AF538" s="467"/>
      <c r="AG538" s="87"/>
      <c r="AH538" s="87"/>
      <c r="AI538" s="87"/>
    </row>
    <row r="539" spans="1:35" hidden="1">
      <c r="A539" s="80" t="e">
        <f>"G"&amp;E529</f>
        <v>#N/A</v>
      </c>
      <c r="B539" s="105">
        <v>7</v>
      </c>
      <c r="C539" s="107"/>
      <c r="D539" s="107"/>
      <c r="E539" s="107"/>
      <c r="F539" s="107"/>
      <c r="G539" s="83"/>
      <c r="H539" s="83"/>
      <c r="I539" s="84"/>
      <c r="J539" s="85"/>
      <c r="K539" s="382"/>
      <c r="L539" s="85"/>
      <c r="M539" s="332" t="str">
        <f t="shared" si="142"/>
        <v/>
      </c>
      <c r="N539" s="86"/>
      <c r="O539" s="86" t="str">
        <f t="shared" si="144"/>
        <v/>
      </c>
      <c r="P539" s="538" t="str">
        <f t="shared" si="145"/>
        <v/>
      </c>
      <c r="Q539" s="539" t="str">
        <f t="shared" si="143"/>
        <v/>
      </c>
      <c r="R539" s="706"/>
      <c r="S539" s="707"/>
      <c r="T539" s="708"/>
      <c r="U539" s="472"/>
      <c r="V539" s="167"/>
      <c r="W539" s="446"/>
      <c r="X539" s="456"/>
      <c r="Y539" s="436"/>
      <c r="Z539" s="437"/>
      <c r="AA539" s="560"/>
      <c r="AB539" s="561"/>
      <c r="AC539" s="87"/>
      <c r="AD539" s="466"/>
      <c r="AE539" s="456"/>
      <c r="AF539" s="467"/>
      <c r="AG539" s="87"/>
      <c r="AH539" s="87"/>
      <c r="AI539" s="87"/>
    </row>
    <row r="540" spans="1:35" hidden="1">
      <c r="A540" s="80" t="e">
        <f>"H"&amp;E529</f>
        <v>#N/A</v>
      </c>
      <c r="B540" s="105">
        <v>8</v>
      </c>
      <c r="C540" s="107"/>
      <c r="D540" s="107"/>
      <c r="E540" s="107"/>
      <c r="F540" s="107"/>
      <c r="G540" s="83"/>
      <c r="H540" s="83"/>
      <c r="I540" s="84"/>
      <c r="J540" s="85"/>
      <c r="K540" s="382"/>
      <c r="L540" s="85"/>
      <c r="M540" s="332" t="str">
        <f t="shared" si="142"/>
        <v/>
      </c>
      <c r="N540" s="453"/>
      <c r="O540" s="86" t="str">
        <f t="shared" si="144"/>
        <v/>
      </c>
      <c r="P540" s="538" t="str">
        <f t="shared" si="145"/>
        <v/>
      </c>
      <c r="Q540" s="539" t="str">
        <f t="shared" si="143"/>
        <v/>
      </c>
      <c r="R540" s="706"/>
      <c r="S540" s="707"/>
      <c r="T540" s="708"/>
      <c r="U540" s="472"/>
      <c r="V540" s="167"/>
      <c r="W540" s="446"/>
      <c r="X540" s="456"/>
      <c r="Y540" s="436"/>
      <c r="Z540" s="437"/>
      <c r="AA540" s="560"/>
      <c r="AB540" s="561"/>
      <c r="AC540" s="87"/>
      <c r="AD540" s="466"/>
      <c r="AE540" s="456"/>
      <c r="AF540" s="467"/>
      <c r="AG540" s="87"/>
      <c r="AH540" s="87"/>
      <c r="AI540" s="87"/>
    </row>
    <row r="541" spans="1:35" hidden="1">
      <c r="A541" s="80" t="e">
        <f>"I"&amp;E529</f>
        <v>#N/A</v>
      </c>
      <c r="B541" s="105">
        <v>9</v>
      </c>
      <c r="C541" s="107"/>
      <c r="D541" s="107"/>
      <c r="E541" s="107"/>
      <c r="F541" s="107"/>
      <c r="G541" s="83"/>
      <c r="H541" s="83"/>
      <c r="I541" s="84"/>
      <c r="J541" s="85"/>
      <c r="K541" s="382"/>
      <c r="L541" s="85"/>
      <c r="M541" s="332" t="str">
        <f t="shared" si="142"/>
        <v/>
      </c>
      <c r="N541" s="453"/>
      <c r="O541" s="86" t="str">
        <f t="shared" si="144"/>
        <v/>
      </c>
      <c r="P541" s="538" t="str">
        <f t="shared" si="145"/>
        <v/>
      </c>
      <c r="Q541" s="539" t="str">
        <f t="shared" si="143"/>
        <v/>
      </c>
      <c r="R541" s="706"/>
      <c r="S541" s="707"/>
      <c r="T541" s="708"/>
      <c r="U541" s="472"/>
      <c r="V541" s="167"/>
      <c r="W541" s="446"/>
      <c r="X541" s="456"/>
      <c r="Y541" s="436"/>
      <c r="Z541" s="437"/>
      <c r="AA541" s="560"/>
      <c r="AB541" s="561"/>
      <c r="AC541" s="87"/>
      <c r="AD541" s="466"/>
      <c r="AE541" s="456"/>
      <c r="AF541" s="467"/>
      <c r="AG541" s="87"/>
      <c r="AH541" s="87"/>
      <c r="AI541" s="87"/>
    </row>
    <row r="542" spans="1:35" hidden="1">
      <c r="A542" s="80" t="e">
        <f>"J"&amp;E529</f>
        <v>#N/A</v>
      </c>
      <c r="B542" s="105">
        <v>10</v>
      </c>
      <c r="C542" s="107"/>
      <c r="D542" s="107"/>
      <c r="E542" s="107"/>
      <c r="F542" s="107"/>
      <c r="G542" s="83"/>
      <c r="H542" s="83"/>
      <c r="I542" s="84"/>
      <c r="J542" s="85"/>
      <c r="K542" s="382"/>
      <c r="L542" s="85"/>
      <c r="M542" s="332" t="str">
        <f t="shared" si="142"/>
        <v/>
      </c>
      <c r="N542" s="453"/>
      <c r="O542" s="86" t="str">
        <f t="shared" si="144"/>
        <v/>
      </c>
      <c r="P542" s="538" t="str">
        <f t="shared" si="145"/>
        <v/>
      </c>
      <c r="Q542" s="539" t="str">
        <f t="shared" si="143"/>
        <v/>
      </c>
      <c r="R542" s="706"/>
      <c r="S542" s="707"/>
      <c r="T542" s="708"/>
      <c r="U542" s="472"/>
      <c r="V542" s="167"/>
      <c r="W542" s="446"/>
      <c r="X542" s="456"/>
      <c r="Y542" s="436"/>
      <c r="Z542" s="437"/>
      <c r="AA542" s="560"/>
      <c r="AB542" s="561"/>
      <c r="AC542" s="87"/>
      <c r="AD542" s="466"/>
      <c r="AE542" s="456"/>
      <c r="AF542" s="467"/>
      <c r="AG542" s="87"/>
      <c r="AH542" s="87"/>
      <c r="AI542" s="87"/>
    </row>
    <row r="543" spans="1:35" ht="16.5" hidden="1" thickBot="1">
      <c r="A543" s="44"/>
      <c r="B543" s="89"/>
      <c r="C543" s="90"/>
      <c r="D543" s="90"/>
      <c r="E543" s="90"/>
      <c r="F543" s="90"/>
      <c r="G543" s="90"/>
      <c r="H543" s="90"/>
      <c r="I543" s="90"/>
      <c r="J543" s="90"/>
      <c r="K543" s="90"/>
      <c r="L543" s="90"/>
      <c r="M543" s="90"/>
      <c r="N543" s="90"/>
      <c r="O543" s="90"/>
      <c r="P543" s="90"/>
      <c r="Q543" s="90"/>
      <c r="R543" s="90"/>
      <c r="S543" s="91"/>
      <c r="T543" s="92"/>
      <c r="U543" s="473"/>
      <c r="W543" s="438"/>
      <c r="X543" s="455"/>
      <c r="Y543" s="439"/>
      <c r="Z543" s="437"/>
      <c r="AA543" s="530"/>
      <c r="AB543" s="563"/>
      <c r="AC543" s="87"/>
      <c r="AD543" s="440"/>
      <c r="AE543" s="441"/>
      <c r="AF543" s="442"/>
      <c r="AG543" s="49"/>
      <c r="AH543" s="87"/>
      <c r="AI543" s="87"/>
    </row>
    <row r="544" spans="1:35" ht="16.5" hidden="1" thickBot="1">
      <c r="A544" s="93"/>
      <c r="B544" s="94"/>
      <c r="C544" s="96"/>
      <c r="D544" s="96"/>
      <c r="E544" s="96"/>
      <c r="F544" s="96"/>
      <c r="G544" s="96"/>
      <c r="H544" s="96"/>
      <c r="I544" s="96"/>
      <c r="J544" s="96"/>
      <c r="K544" s="96"/>
      <c r="L544" s="96"/>
      <c r="M544" s="136"/>
      <c r="N544" s="96"/>
      <c r="O544" s="96"/>
      <c r="P544" s="97"/>
      <c r="Q544" s="97"/>
      <c r="R544" s="98"/>
      <c r="S544" s="95"/>
      <c r="T544" s="99"/>
      <c r="U544" s="469"/>
      <c r="AC544" s="58"/>
      <c r="AG544" s="58"/>
      <c r="AH544" s="87"/>
      <c r="AI544" s="87"/>
    </row>
    <row r="545" spans="1:35" ht="16.5" hidden="1" thickBot="1">
      <c r="B545" s="101"/>
      <c r="C545" s="101"/>
      <c r="D545" s="101"/>
      <c r="E545" s="101"/>
      <c r="F545" s="101"/>
      <c r="G545" s="101"/>
      <c r="H545" s="101"/>
      <c r="I545" s="101"/>
      <c r="J545" s="101"/>
      <c r="K545" s="101"/>
      <c r="L545" s="101"/>
      <c r="M545" s="101"/>
      <c r="N545" s="101"/>
      <c r="O545" s="101"/>
      <c r="P545" s="101"/>
      <c r="Q545" s="101"/>
      <c r="R545" s="101"/>
      <c r="S545" s="101"/>
      <c r="U545" s="50"/>
      <c r="AH545" s="87"/>
      <c r="AI545" s="87"/>
    </row>
    <row r="546" spans="1:35" ht="16.5" hidden="1" customHeight="1" thickBot="1">
      <c r="A546" s="44"/>
      <c r="B546" s="705" t="s">
        <v>74</v>
      </c>
      <c r="C546" s="705"/>
      <c r="D546" s="705"/>
      <c r="E546" s="705"/>
      <c r="F546" s="705"/>
      <c r="G546" s="705"/>
      <c r="H546" s="705"/>
      <c r="I546" s="705"/>
      <c r="J546" s="705"/>
      <c r="K546" s="705"/>
      <c r="L546" s="705"/>
      <c r="M546" s="705"/>
      <c r="N546" s="705"/>
      <c r="O546" s="705"/>
      <c r="P546" s="705"/>
      <c r="Q546" s="705"/>
      <c r="R546" s="705"/>
      <c r="S546" s="705"/>
      <c r="T546" s="705"/>
      <c r="U546" s="108"/>
      <c r="Y546" s="532" t="s">
        <v>341</v>
      </c>
      <c r="AC546" s="49"/>
      <c r="AD546" s="687" t="s">
        <v>302</v>
      </c>
      <c r="AE546" s="688"/>
      <c r="AF546" s="689"/>
      <c r="AG546" s="49"/>
      <c r="AH546" s="87"/>
      <c r="AI546" s="87"/>
    </row>
    <row r="547" spans="1:35" ht="15.75" hidden="1" customHeight="1" thickBot="1">
      <c r="A547" s="218" t="e">
        <f>"K"&amp;E529</f>
        <v>#N/A</v>
      </c>
      <c r="B547" s="701" t="s">
        <v>71</v>
      </c>
      <c r="C547" s="751" t="s">
        <v>102</v>
      </c>
      <c r="D547" s="751"/>
      <c r="E547" s="751"/>
      <c r="F547" s="751"/>
      <c r="G547" s="751"/>
      <c r="H547" s="751"/>
      <c r="I547" s="751"/>
      <c r="J547" s="751"/>
      <c r="K547" s="751"/>
      <c r="L547" s="722" t="s">
        <v>100</v>
      </c>
      <c r="M547" s="747" t="s">
        <v>114</v>
      </c>
      <c r="N547" s="747"/>
      <c r="O547" s="747"/>
      <c r="P547" s="747"/>
      <c r="Q547" s="748"/>
      <c r="R547" s="758" t="s">
        <v>280</v>
      </c>
      <c r="S547" s="748"/>
      <c r="T547" s="762" t="str">
        <f>IF(COUNTIF(AE547:AF547,"VERIFICAR")&gt;0,"VERIFICAR",IF(COUNTIF(AE547:AF547,"NO CUMPLE")&gt;0,"NO CUMPLE","CUMPLE"))</f>
        <v>VERIFICAR</v>
      </c>
      <c r="U547" s="108"/>
      <c r="Y547" s="533" t="e">
        <f>IF(F548="","",IF(F548=1,"INDIVIDUAL","ESTRUCTURA PLURAL"))</f>
        <v>#N/A</v>
      </c>
      <c r="AC547" s="52"/>
      <c r="AD547" s="475" t="s">
        <v>303</v>
      </c>
      <c r="AE547" s="476" t="str">
        <f>IF(COUNTIF(AE533:AE542,"")=10,"VERIFICAR",IF(COUNTIF(AE533:AE542,"SI")&gt;0,"CUMPLE","NO CUMPLE"))</f>
        <v>VERIFICAR</v>
      </c>
      <c r="AF547" s="477" t="str">
        <f>IF(COUNTIF(AF533:AF542,"")=10,"VERIFICAR",IF(COUNTIF(AF533:AF542,"SI")&gt;=$AI$22,"CUMPLE","NO CUMPLE"))</f>
        <v>VERIFICAR</v>
      </c>
      <c r="AG547" s="52"/>
      <c r="AH547" s="87"/>
      <c r="AI547" s="87"/>
    </row>
    <row r="548" spans="1:35" ht="16.5" hidden="1" customHeight="1" thickBot="1">
      <c r="A548" s="218" t="e">
        <f>"L"&amp;E529</f>
        <v>#N/A</v>
      </c>
      <c r="B548" s="702"/>
      <c r="C548" s="751" t="s">
        <v>103</v>
      </c>
      <c r="D548" s="751"/>
      <c r="E548" s="752"/>
      <c r="F548" s="557" t="e">
        <f>IF(VLOOKUP(E529,PROPONENTES!$C$19:$E$218,3,0)="","",VLOOKUP(E529,PROPONENTES!$C$19:$E$218,3,0))</f>
        <v>#N/A</v>
      </c>
      <c r="G548" s="753" t="s">
        <v>104</v>
      </c>
      <c r="H548" s="751"/>
      <c r="I548" s="715" t="e">
        <f>IF(OR(F548="",F548=1),"INTERESADO PERSONA NATURAL O JURIDICA","CONSORCIO O UNION TEMPORAL")</f>
        <v>#N/A</v>
      </c>
      <c r="J548" s="725"/>
      <c r="K548" s="728"/>
      <c r="L548" s="723"/>
      <c r="M548" s="749"/>
      <c r="N548" s="749"/>
      <c r="O548" s="749"/>
      <c r="P548" s="749"/>
      <c r="Q548" s="750"/>
      <c r="R548" s="712"/>
      <c r="S548" s="750"/>
      <c r="T548" s="763"/>
      <c r="U548" s="108"/>
      <c r="Y548" s="534"/>
      <c r="AA548" s="52"/>
      <c r="AB548" s="52"/>
      <c r="AC548" s="52"/>
      <c r="AG548" s="52"/>
      <c r="AH548" s="87"/>
      <c r="AI548" s="87"/>
    </row>
    <row r="549" spans="1:35" ht="56.25" hidden="1" customHeight="1" thickBot="1">
      <c r="A549" s="218" t="e">
        <f>"M"&amp;E529</f>
        <v>#N/A</v>
      </c>
      <c r="B549" s="702"/>
      <c r="C549" s="725" t="s">
        <v>101</v>
      </c>
      <c r="D549" s="716"/>
      <c r="E549" s="558" t="s">
        <v>105</v>
      </c>
      <c r="F549" s="554" t="s">
        <v>87</v>
      </c>
      <c r="G549" s="553" t="s">
        <v>86</v>
      </c>
      <c r="H549" s="559" t="s">
        <v>85</v>
      </c>
      <c r="I549" s="554" t="s">
        <v>252</v>
      </c>
      <c r="J549" s="553" t="str">
        <f>"¿EL INTEGRANTE TIENE UNA PARTICIPACIÓN DEL "&amp;PORCREQUERIDOINT*100&amp;"%?"</f>
        <v>¿EL INTEGRANTE TIENE UNA PARTICIPACIÓN DEL 60%?</v>
      </c>
      <c r="K549" s="554" t="s">
        <v>107</v>
      </c>
      <c r="L549" s="724"/>
      <c r="M549" s="717" t="s">
        <v>115</v>
      </c>
      <c r="N549" s="718"/>
      <c r="O549" s="718"/>
      <c r="P549" s="718"/>
      <c r="Q549" s="223">
        <f>IF(AND(H533="SI",P533&gt;=0),1,0)+IF(AND(H534="SI",P534&gt;=0),1,0)+IF(AND(H535="SI",P535&gt;=0),1,0)+IF(AND(H536="SI",P536&gt;=0),1,0)+IF(AND(H537="SI",P537&gt;=0),1,0)+IF(AND(H538="SI",P538&gt;=0),1,0)+IF(AND(H539="SI",P539&gt;=0),1,0)+IF(AND(H540="SI",P540&gt;=0),1,0)+IF(AND(H541="SI",P541&gt;=0),1,0)+IF(AND(H542="SI",P542&gt;=0),1,0)</f>
        <v>0</v>
      </c>
      <c r="R549" s="759"/>
      <c r="S549" s="761"/>
      <c r="T549" s="764"/>
      <c r="U549" s="219"/>
      <c r="V549" s="464"/>
      <c r="Y549" s="532" t="s">
        <v>342</v>
      </c>
      <c r="AA549" s="550" t="s">
        <v>344</v>
      </c>
      <c r="AB549" s="693" t="s">
        <v>345</v>
      </c>
      <c r="AC549" s="693" t="s">
        <v>346</v>
      </c>
      <c r="AD549" s="685" t="s">
        <v>347</v>
      </c>
      <c r="AE549" s="52"/>
      <c r="AF549" s="52"/>
      <c r="AG549" s="52"/>
      <c r="AH549" s="87"/>
      <c r="AI549" s="87"/>
    </row>
    <row r="550" spans="1:35" ht="15.75" hidden="1" customHeight="1" thickBot="1">
      <c r="A550" s="218" t="e">
        <f>"N"&amp;E529</f>
        <v>#N/A</v>
      </c>
      <c r="B550" s="702"/>
      <c r="C550" s="114">
        <v>1</v>
      </c>
      <c r="D550" s="194" t="e">
        <f>IF(AND(C550&lt;=F548,F548&gt;1,F548&lt;&gt;""),VLOOKUP(VALUE(E529&amp;","&amp;C550),INTEGRANTES!$D$18:$F$235,2,0),"")</f>
        <v>#N/A</v>
      </c>
      <c r="E550" s="211" t="e">
        <f>IF(D550&lt;&gt;"",VLOOKUP(VALUE(E529&amp;","&amp;C550),INTEGRANTES!$D$18:$F$235,3,0),"")</f>
        <v>#N/A</v>
      </c>
      <c r="F550" s="547" t="e">
        <f>IF(D550="","",SUMIF($I533:$I542,D550,$P533:$P542))</f>
        <v>#N/A</v>
      </c>
      <c r="G550" s="333" t="e">
        <f>IF(D550="","",SUMIF($I533:$I542,D550,$M533:$M542))</f>
        <v>#N/A</v>
      </c>
      <c r="H550" s="535" t="e">
        <f t="shared" ref="H550:H555" si="146">IF(D550="","",IF(OR(F550=0,G550=0),"NO APORTA",ROUND($F550/$G550,3)))</f>
        <v>#N/A</v>
      </c>
      <c r="I550" s="212" t="e">
        <f>IF(D550="","",IF(H550="NO APORTA","NO",IF(H550=MAX($H550:$H555),"SI","NO")))</f>
        <v>#N/A</v>
      </c>
      <c r="J550" s="213" t="e">
        <f t="shared" ref="J550:J555" si="147">IF(D550="","",IF(E550&gt;=PORCREQUERIDOINT,"SI","NO"))</f>
        <v>#N/A</v>
      </c>
      <c r="K550" s="200" t="e">
        <f t="shared" ref="K550:K555" si="148">IF(D550="","",IF(AND(I550="SI",J550="SI"),"CUMPLE",IF(AND(I550="NO",OR(J550="SI",J550="NO")),"","NO CUMPLE")))</f>
        <v>#N/A</v>
      </c>
      <c r="L550" s="722" t="s">
        <v>108</v>
      </c>
      <c r="M550" s="726" t="s">
        <v>119</v>
      </c>
      <c r="N550" s="726"/>
      <c r="O550" s="726"/>
      <c r="P550" s="726"/>
      <c r="Q550" s="727"/>
      <c r="R550" s="758" t="s">
        <v>80</v>
      </c>
      <c r="S550" s="747"/>
      <c r="T550" s="748"/>
      <c r="U550" s="219"/>
      <c r="V550" s="464"/>
      <c r="Y550" s="533" t="e">
        <f>IF(Y547="","",IF(Y547="INDIVIDUAL","NO APLICA","VERIFICAR CUADRO"))</f>
        <v>#N/A</v>
      </c>
      <c r="AA550" s="551"/>
      <c r="AB550" s="694"/>
      <c r="AC550" s="694"/>
      <c r="AD550" s="686"/>
      <c r="AE550" s="52"/>
      <c r="AF550" s="52"/>
      <c r="AG550" s="52"/>
      <c r="AH550" s="87"/>
      <c r="AI550" s="87"/>
    </row>
    <row r="551" spans="1:35" ht="27" hidden="1" customHeight="1" thickBot="1">
      <c r="A551" s="218" t="e">
        <f>"O"&amp;E529</f>
        <v>#N/A</v>
      </c>
      <c r="B551" s="702"/>
      <c r="C551" s="114">
        <v>2</v>
      </c>
      <c r="D551" s="194" t="e">
        <f>IF(AND(C551&lt;=F548,F548&lt;&gt;""),VLOOKUP(VALUE(E529&amp;","&amp;C551),INTEGRANTES!$D$18:$F$235,2,0),"")</f>
        <v>#N/A</v>
      </c>
      <c r="E551" s="211" t="e">
        <f>IF(D551&lt;&gt;"",VLOOKUP(VALUE(E529&amp;","&amp;C551),INTEGRANTES!$D$18:$F$235,3,0),"")</f>
        <v>#N/A</v>
      </c>
      <c r="F551" s="547" t="e">
        <f>IF(D551="","",SUMIF($I533:$I542,D551,$P533:$P542))</f>
        <v>#N/A</v>
      </c>
      <c r="G551" s="333" t="e">
        <f>IF(D551="","",SUMIF($I533:$I542,D551,$M533:$M542))</f>
        <v>#N/A</v>
      </c>
      <c r="H551" s="535" t="e">
        <f t="shared" si="146"/>
        <v>#N/A</v>
      </c>
      <c r="I551" s="212" t="e">
        <f>IF(D551="","",IF(H551="NO APORTA","NO",IF(H551=MAX($H550:$H555),"SI","NO")))</f>
        <v>#N/A</v>
      </c>
      <c r="J551" s="213" t="e">
        <f t="shared" si="147"/>
        <v>#N/A</v>
      </c>
      <c r="K551" s="200" t="e">
        <f t="shared" si="148"/>
        <v>#N/A</v>
      </c>
      <c r="L551" s="723"/>
      <c r="M551" s="715" t="s">
        <v>116</v>
      </c>
      <c r="N551" s="716"/>
      <c r="O551" s="556" t="s">
        <v>113</v>
      </c>
      <c r="P551" s="715" t="s">
        <v>117</v>
      </c>
      <c r="Q551" s="728"/>
      <c r="R551" s="759"/>
      <c r="S551" s="760"/>
      <c r="T551" s="761"/>
      <c r="U551" s="219"/>
      <c r="V551" s="464"/>
      <c r="Y551" s="414"/>
      <c r="AA551" s="542" t="e">
        <f>IF(AND(C550&lt;=F548,F548&gt;1,F548&lt;&gt;""),VLOOKUP(VALUE(E529&amp;","&amp;C550),INTEGRANTES!$D$18:$F$235,2,0),"")</f>
        <v>#N/A</v>
      </c>
      <c r="AB551" s="544" t="e">
        <f t="shared" ref="AB551:AB556" si="149">IF(D550="","",IF(OR(F550=0,G550=0),"NO APORTA",ROUND($F550/$G550,3)))</f>
        <v>#N/A</v>
      </c>
      <c r="AC551" s="529"/>
      <c r="AD551" s="200" t="e">
        <f t="shared" ref="AD551:AD556" si="150">IF(OR(AA551="",AB551=""),"",IF(AND(AC551="X",AB551&gt;=EXPREQVTD),"CUMPLE","NO CUMPLE"))</f>
        <v>#N/A</v>
      </c>
      <c r="AE551" s="52"/>
      <c r="AF551" s="52"/>
      <c r="AG551" s="52"/>
      <c r="AH551" s="87"/>
      <c r="AI551" s="87"/>
    </row>
    <row r="552" spans="1:35" ht="16.5" hidden="1" thickBot="1">
      <c r="A552" s="218" t="e">
        <f>"P"&amp;E529</f>
        <v>#N/A</v>
      </c>
      <c r="B552" s="702"/>
      <c r="C552" s="114">
        <v>3</v>
      </c>
      <c r="D552" s="194" t="e">
        <f>IF(AND(C552&lt;=F548,F548&lt;&gt;""),VLOOKUP(VALUE(E529&amp;","&amp;C552),INTEGRANTES!$D$18:$F$235,2,0),"")</f>
        <v>#N/A</v>
      </c>
      <c r="E552" s="211" t="e">
        <f>IF(D552&lt;&gt;"",VLOOKUP(VALUE(E529&amp;","&amp;C552),INTEGRANTES!$D$18:$F$235,3,0),"")</f>
        <v>#N/A</v>
      </c>
      <c r="F552" s="547" t="e">
        <f>IF(D552="","",SUMIF($I533:$I542,D552,$P533:$P542))</f>
        <v>#N/A</v>
      </c>
      <c r="G552" s="333" t="e">
        <f>IF(D552="","",SUMIF($I533:$I542,D552,$M533:$M542))</f>
        <v>#N/A</v>
      </c>
      <c r="H552" s="535" t="e">
        <f t="shared" si="146"/>
        <v>#N/A</v>
      </c>
      <c r="I552" s="212" t="e">
        <f>IF(D552="","",IF(H552="NO APORTA","NO",IF(H552=MAX($H550:$H555),"SI","NO")))</f>
        <v>#N/A</v>
      </c>
      <c r="J552" s="213" t="e">
        <f t="shared" si="147"/>
        <v>#N/A</v>
      </c>
      <c r="K552" s="200" t="e">
        <f t="shared" si="148"/>
        <v>#N/A</v>
      </c>
      <c r="L552" s="724"/>
      <c r="M552" s="729">
        <f>NUMMOD</f>
        <v>1</v>
      </c>
      <c r="N552" s="730"/>
      <c r="O552" s="443">
        <f>IF(M552="","",VLOOKUP(M552,PRESUPUESTOS!$B$16:$H$16,5,FALSE))</f>
        <v>2</v>
      </c>
      <c r="P552" s="713">
        <f>IF(OR(COUNTIF(M533:M542,"")&gt;=10,Q549&lt;NUMMINCONT,OR(T547="NO CUMPLE",T547="VERIFICAR")),0,ROUND(AVERAGE(M533:M542),3))</f>
        <v>0</v>
      </c>
      <c r="Q552" s="714"/>
      <c r="R552" s="458"/>
      <c r="S552" s="459"/>
      <c r="T552" s="460"/>
      <c r="U552" s="219"/>
      <c r="V552" s="464"/>
      <c r="Y552" s="532" t="str">
        <f>"40% * ("&amp;PRESUPUESTOS!$H$13&amp;")"</f>
        <v>40% * (50% PFMO)</v>
      </c>
      <c r="AA552" s="540" t="e">
        <f>IF(AND(C551&lt;=F548,F548&lt;&gt;""),VLOOKUP(VALUE(E529&amp;","&amp;C551),INTEGRANTES!$D$18:$F$235,2,0),"")</f>
        <v>#N/A</v>
      </c>
      <c r="AB552" s="545" t="e">
        <f t="shared" si="149"/>
        <v>#N/A</v>
      </c>
      <c r="AC552" s="529"/>
      <c r="AD552" s="200" t="e">
        <f t="shared" si="150"/>
        <v>#N/A</v>
      </c>
      <c r="AE552" s="52"/>
      <c r="AF552" s="52"/>
      <c r="AG552" s="52"/>
      <c r="AH552" s="87"/>
      <c r="AI552" s="87"/>
    </row>
    <row r="553" spans="1:35" ht="15.75" hidden="1" customHeight="1" thickBot="1">
      <c r="A553" s="218" t="e">
        <f>"Q"&amp;E529</f>
        <v>#N/A</v>
      </c>
      <c r="B553" s="702"/>
      <c r="C553" s="114">
        <v>4</v>
      </c>
      <c r="D553" s="194" t="e">
        <f>IF(AND(C553&lt;=F548,F548&lt;&gt;""),VLOOKUP(VALUE(E529&amp;","&amp;C553),INTEGRANTES!$D$18:$F$235,2,0),"")</f>
        <v>#N/A</v>
      </c>
      <c r="E553" s="211" t="e">
        <f>IF(D553&lt;&gt;"",VLOOKUP(VALUE(E529&amp;","&amp;C553),INTEGRANTES!$D$18:$F$235,3,0),"")</f>
        <v>#N/A</v>
      </c>
      <c r="F553" s="547" t="e">
        <f>IF(D553="","",SUMIF($I533:$I542,D553,$P533:$P542))</f>
        <v>#N/A</v>
      </c>
      <c r="G553" s="333" t="e">
        <f>IF(D553="","",SUMIF($I533:$I542,D553,$M533:$M542))</f>
        <v>#N/A</v>
      </c>
      <c r="H553" s="535" t="e">
        <f t="shared" si="146"/>
        <v>#N/A</v>
      </c>
      <c r="I553" s="212" t="e">
        <f>IF(D553="","",IF(H553="NO APORTA","NO",IF(H553=MAX($H550:$H555),"SI","NO")))</f>
        <v>#N/A</v>
      </c>
      <c r="J553" s="213" t="e">
        <f t="shared" si="147"/>
        <v>#N/A</v>
      </c>
      <c r="K553" s="200" t="e">
        <f t="shared" si="148"/>
        <v>#N/A</v>
      </c>
      <c r="L553" s="720" t="s">
        <v>109</v>
      </c>
      <c r="M553" s="757" t="s">
        <v>120</v>
      </c>
      <c r="N553" s="726"/>
      <c r="O553" s="726"/>
      <c r="P553" s="726"/>
      <c r="Q553" s="727"/>
      <c r="R553" s="458"/>
      <c r="S553" s="459"/>
      <c r="T553" s="460"/>
      <c r="U553" s="219"/>
      <c r="V553" s="464"/>
      <c r="Y553" s="537">
        <f>0.4*PRESUPUESTOS!$H$16</f>
        <v>10.3124</v>
      </c>
      <c r="AA553" s="540" t="e">
        <f>IF(AND(C552&lt;=F548,F548&lt;&gt;""),VLOOKUP(VALUE(E529&amp;","&amp;C552),INTEGRANTES!$D$18:$F$235,2,0),"")</f>
        <v>#N/A</v>
      </c>
      <c r="AB553" s="545" t="e">
        <f t="shared" si="149"/>
        <v>#N/A</v>
      </c>
      <c r="AC553" s="529"/>
      <c r="AD553" s="200" t="e">
        <f t="shared" si="150"/>
        <v>#N/A</v>
      </c>
      <c r="AE553" s="52"/>
      <c r="AF553" s="52"/>
      <c r="AG553" s="52"/>
      <c r="AH553" s="87"/>
      <c r="AI553" s="87"/>
    </row>
    <row r="554" spans="1:35" ht="27" hidden="1" customHeight="1" thickBot="1">
      <c r="A554" s="218" t="e">
        <f>"R"&amp;E529</f>
        <v>#N/A</v>
      </c>
      <c r="B554" s="702"/>
      <c r="C554" s="114">
        <v>5</v>
      </c>
      <c r="D554" s="194" t="e">
        <f>IF(AND(C554&lt;=F548,F548&lt;&gt;""),VLOOKUP(VALUE(E529&amp;","&amp;C554),INTEGRANTES!$D$18:$F$235,2,0),"")</f>
        <v>#N/A</v>
      </c>
      <c r="E554" s="211" t="e">
        <f>IF(D554&lt;&gt;"",VLOOKUP(VALUE(E529&amp;","&amp;C554),INTEGRANTES!$D$18:$F$235,3,0),"")</f>
        <v>#N/A</v>
      </c>
      <c r="F554" s="547" t="e">
        <f>IF(D554="","",SUMIF($I533:$I542,D554,$P533:$P542))</f>
        <v>#N/A</v>
      </c>
      <c r="G554" s="333" t="e">
        <f>IF(D554="","",SUMIF($I533:$I542,D554,$M533:$M542))</f>
        <v>#N/A</v>
      </c>
      <c r="H554" s="535" t="e">
        <f t="shared" si="146"/>
        <v>#N/A</v>
      </c>
      <c r="I554" s="212" t="e">
        <f>IF(D554="","",IF(H554="NO APORTA","NO",IF(H554=MAX($H550:$H555),"SI","NO")))</f>
        <v>#N/A</v>
      </c>
      <c r="J554" s="213" t="e">
        <f t="shared" si="147"/>
        <v>#N/A</v>
      </c>
      <c r="K554" s="200" t="e">
        <f t="shared" si="148"/>
        <v>#N/A</v>
      </c>
      <c r="L554" s="721"/>
      <c r="M554" s="715" t="s">
        <v>116</v>
      </c>
      <c r="N554" s="716"/>
      <c r="O554" s="556" t="str">
        <f>PORCREQUERIDO*100&amp;"% PMFO DEL MÓDULO"</f>
        <v>50% PMFO DEL MÓDULO</v>
      </c>
      <c r="P554" s="715" t="s">
        <v>118</v>
      </c>
      <c r="Q554" s="728"/>
      <c r="R554" s="458"/>
      <c r="S554" s="459"/>
      <c r="T554" s="460"/>
      <c r="U554" s="219"/>
      <c r="V554" s="464"/>
      <c r="Y554" s="414"/>
      <c r="AA554" s="540" t="e">
        <f>IF(AND(C553&lt;=F548,F548&lt;&gt;""),VLOOKUP(VALUE(E529&amp;","&amp;C553),INTEGRANTES!$D$18:$F$235,2,0),"")</f>
        <v>#N/A</v>
      </c>
      <c r="AB554" s="545" t="e">
        <f t="shared" si="149"/>
        <v>#N/A</v>
      </c>
      <c r="AC554" s="529"/>
      <c r="AD554" s="200" t="e">
        <f t="shared" si="150"/>
        <v>#N/A</v>
      </c>
      <c r="AE554" s="52"/>
      <c r="AF554" s="52"/>
      <c r="AG554" s="52"/>
      <c r="AH554" s="87"/>
      <c r="AI554" s="87"/>
    </row>
    <row r="555" spans="1:35" ht="16.5" hidden="1" thickBot="1">
      <c r="A555" s="218" t="e">
        <f>"S"&amp;E529</f>
        <v>#N/A</v>
      </c>
      <c r="B555" s="702"/>
      <c r="C555" s="215">
        <v>6</v>
      </c>
      <c r="D555" s="216" t="e">
        <f>IF(AND(C555&lt;=F548,F548&lt;&gt;""),VLOOKUP(VALUE(E529&amp;","&amp;C555),INTEGRANTES!$D$18:$F$235,2,0),"")</f>
        <v>#N/A</v>
      </c>
      <c r="E555" s="217" t="e">
        <f>IF(D555&lt;&gt;"",VLOOKUP(VALUE(E529&amp;","&amp;C555),INTEGRANTES!$D$18:$F$235,3,0),"")</f>
        <v>#N/A</v>
      </c>
      <c r="F555" s="548" t="e">
        <f>IF(D555="","",SUMIF($I533:$I542,D555,$P533:$P542))</f>
        <v>#N/A</v>
      </c>
      <c r="G555" s="334" t="e">
        <f>IF(D555="","",SUMIF($I533:$I542,D555,$M533:$M542))</f>
        <v>#N/A</v>
      </c>
      <c r="H555" s="536" t="e">
        <f t="shared" si="146"/>
        <v>#N/A</v>
      </c>
      <c r="I555" s="214" t="e">
        <f>IF(D555="","",IF(H555="NO APORTA","NO",IF(H555=MAX($H550:$H555),"SI","NO")))</f>
        <v>#N/A</v>
      </c>
      <c r="J555" s="213" t="e">
        <f t="shared" si="147"/>
        <v>#N/A</v>
      </c>
      <c r="K555" s="200" t="e">
        <f t="shared" si="148"/>
        <v>#N/A</v>
      </c>
      <c r="L555" s="721"/>
      <c r="M555" s="729">
        <f>NUMMOD</f>
        <v>1</v>
      </c>
      <c r="N555" s="730"/>
      <c r="O555" s="443">
        <f>IF(M555="","",ROUND(VLOOKUP(M555,PRESUPUESTOS!$B$16:$H$16,7,FALSE),3))</f>
        <v>25.780999999999999</v>
      </c>
      <c r="P555" s="713">
        <f>IF(OR(COUNTIF(P533:P542,"")&gt;=10,Q549&lt;NUMMINCONT,OR(T547="NO CUMPLE",T547="VERIFICAR")),0,ROUND((SUM(P533:P542)/SUM(M533:M542)),3))</f>
        <v>0</v>
      </c>
      <c r="Q555" s="714"/>
      <c r="R555" s="458"/>
      <c r="S555" s="459"/>
      <c r="T555" s="460"/>
      <c r="U555" s="219"/>
      <c r="V555" s="464"/>
      <c r="Y555" s="532" t="s">
        <v>343</v>
      </c>
      <c r="AA555" s="540" t="e">
        <f>IF(AND(C554&lt;=F548,F548&lt;&gt;""),VLOOKUP(VALUE(E529&amp;","&amp;C554),INTEGRANTES!$D$18:$F$235,2,0),"")</f>
        <v>#N/A</v>
      </c>
      <c r="AB555" s="545" t="e">
        <f t="shared" si="149"/>
        <v>#N/A</v>
      </c>
      <c r="AC555" s="529"/>
      <c r="AD555" s="200" t="e">
        <f t="shared" si="150"/>
        <v>#N/A</v>
      </c>
      <c r="AE555" s="52"/>
      <c r="AF555" s="52"/>
      <c r="AG555" s="52"/>
      <c r="AH555" s="87"/>
      <c r="AI555" s="87"/>
    </row>
    <row r="556" spans="1:35" ht="16.5" hidden="1" customHeight="1" thickBot="1">
      <c r="A556" s="218" t="e">
        <f>"T"&amp;E529</f>
        <v>#N/A</v>
      </c>
      <c r="B556" s="703"/>
      <c r="C556" s="719"/>
      <c r="D556" s="719"/>
      <c r="E556" s="719"/>
      <c r="F556" s="719"/>
      <c r="G556" s="719"/>
      <c r="H556" s="719" t="s">
        <v>110</v>
      </c>
      <c r="I556" s="719"/>
      <c r="J556" s="719"/>
      <c r="K556" s="201" t="str">
        <f>IF(COUNTIF(K550:K555,"")=6,"",IF(COUNTIF(K550:K555,"CUMPLE")&gt;0,"CUMPLE","NO CUMPLE"))</f>
        <v>NO CUMPLE</v>
      </c>
      <c r="L556" s="754"/>
      <c r="M556" s="755"/>
      <c r="N556" s="755"/>
      <c r="O556" s="755"/>
      <c r="P556" s="755"/>
      <c r="Q556" s="756"/>
      <c r="R556" s="461"/>
      <c r="S556" s="462"/>
      <c r="T556" s="463"/>
      <c r="U556" s="219"/>
      <c r="V556" s="464"/>
      <c r="Y556" s="549" t="e">
        <f>IF(Y550="NO APLICA","NO APLICA",IF(COUNTIF(AD551:AD556,"CUMPLE")&gt;0,"CUMPLE","NO CUMPLE"))</f>
        <v>#N/A</v>
      </c>
      <c r="AA556" s="541" t="e">
        <f>IF(AND(C555&lt;=F548,F548&lt;&gt;""),VLOOKUP(VALUE(E529&amp;","&amp;C555),INTEGRANTES!$D$18:$F$235,2,0),"")</f>
        <v>#N/A</v>
      </c>
      <c r="AB556" s="546" t="e">
        <f t="shared" si="149"/>
        <v>#N/A</v>
      </c>
      <c r="AC556" s="543"/>
      <c r="AD556" s="201" t="e">
        <f t="shared" si="150"/>
        <v>#N/A</v>
      </c>
      <c r="AE556" s="52"/>
      <c r="AF556" s="52"/>
      <c r="AG556" s="52"/>
      <c r="AH556" s="87"/>
      <c r="AI556" s="87"/>
    </row>
    <row r="557" spans="1:35" hidden="1">
      <c r="AH557" s="87"/>
      <c r="AI557" s="87"/>
    </row>
    <row r="558" spans="1:35" hidden="1">
      <c r="AH558" s="87"/>
      <c r="AI558" s="87"/>
    </row>
    <row r="559" spans="1:35" ht="24" hidden="1" customHeight="1" thickBot="1">
      <c r="A559" s="61">
        <v>19</v>
      </c>
      <c r="B559" s="704" t="s">
        <v>51</v>
      </c>
      <c r="C559" s="704"/>
      <c r="D559" s="704"/>
      <c r="E559" s="62" t="e">
        <f>VLOOKUP(A559,PROPONENTES!$B$19:$E$218,2,FALSE)</f>
        <v>#N/A</v>
      </c>
      <c r="F559" s="63" t="e">
        <f>VLOOKUP(A559,PROPONENTES!$B$19:$E$218,3,FALSE)</f>
        <v>#N/A</v>
      </c>
      <c r="G559" s="64"/>
      <c r="H559" s="64"/>
      <c r="I559" s="63"/>
      <c r="J559" s="63"/>
      <c r="K559" s="65"/>
      <c r="L559" s="65"/>
      <c r="M559" s="64"/>
      <c r="N559" s="64"/>
      <c r="O559" s="66"/>
      <c r="P559" s="66"/>
      <c r="Q559" s="66"/>
      <c r="R559" s="66"/>
      <c r="S559" s="67"/>
      <c r="T559" s="68"/>
      <c r="U559" s="68"/>
      <c r="AC559" s="68"/>
      <c r="AD559" s="68"/>
      <c r="AE559" s="68"/>
      <c r="AF559" s="68"/>
      <c r="AG559" s="68"/>
      <c r="AH559" s="87"/>
      <c r="AI559" s="87"/>
    </row>
    <row r="560" spans="1:35" ht="15.75" hidden="1" customHeight="1">
      <c r="A560" s="44"/>
      <c r="B560" s="709" t="s">
        <v>59</v>
      </c>
      <c r="C560" s="552" t="s">
        <v>60</v>
      </c>
      <c r="D560" s="70" t="s">
        <v>17</v>
      </c>
      <c r="E560" s="70"/>
      <c r="F560" s="70" t="s">
        <v>61</v>
      </c>
      <c r="G560" s="71"/>
      <c r="H560" s="699" t="s">
        <v>62</v>
      </c>
      <c r="I560" s="699" t="s">
        <v>18</v>
      </c>
      <c r="J560" s="699" t="s">
        <v>63</v>
      </c>
      <c r="K560" s="699" t="s">
        <v>64</v>
      </c>
      <c r="L560" s="699" t="s">
        <v>65</v>
      </c>
      <c r="M560" s="743" t="s">
        <v>66</v>
      </c>
      <c r="N560" s="699" t="s">
        <v>282</v>
      </c>
      <c r="O560" s="745" t="s">
        <v>67</v>
      </c>
      <c r="P560" s="746"/>
      <c r="Q560" s="102" t="s">
        <v>75</v>
      </c>
      <c r="R560" s="731" t="s">
        <v>22</v>
      </c>
      <c r="S560" s="732"/>
      <c r="T560" s="733"/>
      <c r="U560" s="712" t="s">
        <v>298</v>
      </c>
      <c r="W560" s="690" t="s">
        <v>268</v>
      </c>
      <c r="X560" s="691"/>
      <c r="Y560" s="692"/>
      <c r="Z560" s="428"/>
      <c r="AA560" s="697" t="s">
        <v>315</v>
      </c>
      <c r="AB560" s="695" t="s">
        <v>322</v>
      </c>
      <c r="AC560" s="49"/>
      <c r="AD560" s="690" t="s">
        <v>297</v>
      </c>
      <c r="AE560" s="691"/>
      <c r="AF560" s="692"/>
      <c r="AG560" s="49"/>
      <c r="AH560" s="87"/>
      <c r="AI560" s="87"/>
    </row>
    <row r="561" spans="1:35" ht="72" hidden="1">
      <c r="A561" s="44"/>
      <c r="B561" s="710"/>
      <c r="C561" s="553" t="s">
        <v>68</v>
      </c>
      <c r="D561" s="73" t="s">
        <v>3</v>
      </c>
      <c r="E561" s="73" t="s">
        <v>19</v>
      </c>
      <c r="F561" s="73" t="s">
        <v>69</v>
      </c>
      <c r="G561" s="74" t="s">
        <v>70</v>
      </c>
      <c r="H561" s="700"/>
      <c r="I561" s="700"/>
      <c r="J561" s="700"/>
      <c r="K561" s="700"/>
      <c r="L561" s="700"/>
      <c r="M561" s="744"/>
      <c r="N561" s="700"/>
      <c r="O561" s="553" t="s">
        <v>279</v>
      </c>
      <c r="P561" s="73" t="s">
        <v>88</v>
      </c>
      <c r="Q561" s="555" t="s">
        <v>76</v>
      </c>
      <c r="R561" s="734"/>
      <c r="S561" s="735"/>
      <c r="T561" s="736"/>
      <c r="U561" s="712"/>
      <c r="W561" s="429" t="s">
        <v>269</v>
      </c>
      <c r="X561" s="457" t="s">
        <v>278</v>
      </c>
      <c r="Y561" s="430" t="s">
        <v>324</v>
      </c>
      <c r="Z561" s="428"/>
      <c r="AA561" s="698"/>
      <c r="AB561" s="696"/>
      <c r="AC561" s="49"/>
      <c r="AD561" s="429" t="s">
        <v>292</v>
      </c>
      <c r="AE561" s="431" t="s">
        <v>300</v>
      </c>
      <c r="AF561" s="468" t="s">
        <v>301</v>
      </c>
      <c r="AG561" s="49"/>
      <c r="AH561" s="87"/>
      <c r="AI561" s="87"/>
    </row>
    <row r="562" spans="1:35" hidden="1">
      <c r="A562" s="44"/>
      <c r="B562" s="76"/>
      <c r="C562" s="77"/>
      <c r="D562" s="77"/>
      <c r="E562" s="77"/>
      <c r="F562" s="77"/>
      <c r="G562" s="77"/>
      <c r="H562" s="77"/>
      <c r="I562" s="77"/>
      <c r="J562" s="77"/>
      <c r="K562" s="77"/>
      <c r="L562" s="77"/>
      <c r="M562" s="77"/>
      <c r="N562" s="77"/>
      <c r="O562" s="77"/>
      <c r="P562" s="77"/>
      <c r="Q562" s="77"/>
      <c r="R562" s="77"/>
      <c r="S562" s="78"/>
      <c r="T562" s="79"/>
      <c r="U562" s="109"/>
      <c r="V562" s="49"/>
      <c r="W562" s="432"/>
      <c r="X562" s="454"/>
      <c r="Y562" s="433"/>
      <c r="Z562" s="6"/>
      <c r="AA562" s="500"/>
      <c r="AB562" s="562"/>
      <c r="AC562" s="49"/>
      <c r="AD562" s="210"/>
      <c r="AE562" s="434"/>
      <c r="AF562" s="435"/>
      <c r="AG562" s="49"/>
      <c r="AH562" s="87"/>
      <c r="AI562" s="87"/>
    </row>
    <row r="563" spans="1:35" hidden="1">
      <c r="A563" s="80" t="e">
        <f>"A"&amp;E559</f>
        <v>#N/A</v>
      </c>
      <c r="B563" s="81">
        <v>1</v>
      </c>
      <c r="C563" s="82"/>
      <c r="D563" s="82"/>
      <c r="E563" s="82"/>
      <c r="F563" s="82"/>
      <c r="G563" s="83"/>
      <c r="H563" s="83"/>
      <c r="I563" s="84"/>
      <c r="J563" s="85"/>
      <c r="K563" s="382"/>
      <c r="L563" s="85"/>
      <c r="M563" s="332" t="str">
        <f t="shared" ref="M563:M572" si="151">IF(OR(J563="",L563="",H563="NO"),"",IF(OR(J563&gt;$P$17,J563&lt;$O$17,L563&gt;$P$17,AND(J563&lt;$O$17,L563&lt;$O$17)),"FUERA DE RANGO",IF(OR(K563="---",K563=""),IF(J563&gt;=$O$17,ROUND((L563-J563+1)/360*12,3),ROUND((L563-$O$17+1)/360*12,3)),IF(J563&gt;=$O$17,ROUND((L563-J563+1)/360*12-ROUND(K563,3),3),ROUND((L563-$O$17+1)/360*12-ROUND(K563,3),3)))))</f>
        <v/>
      </c>
      <c r="N563" s="86"/>
      <c r="O563" s="453" t="str">
        <f>IF(OR(G563="",N563=""),"",N563*G563)</f>
        <v/>
      </c>
      <c r="P563" s="538" t="str">
        <f>IF(OR(H563="",M563="FUERA DE RANGO"),"",IF(OR(L563&lt;$O$17,L563&gt;$P$17,L563="",H563="NO"),"",IF(OR(N563="",O563=""),"",ROUND(O563,3))))</f>
        <v/>
      </c>
      <c r="Q563" s="539" t="str">
        <f t="shared" ref="Q563:Q572" si="152">IF(AND(H563="SI",P563&lt;&gt;""),ROUND(P563/M563,3),"")</f>
        <v/>
      </c>
      <c r="R563" s="737"/>
      <c r="S563" s="738"/>
      <c r="T563" s="739"/>
      <c r="U563" s="470"/>
      <c r="V563" s="165"/>
      <c r="W563" s="446"/>
      <c r="X563" s="456"/>
      <c r="Y563" s="436"/>
      <c r="Z563" s="437"/>
      <c r="AA563" s="560"/>
      <c r="AB563" s="561"/>
      <c r="AC563" s="87"/>
      <c r="AD563" s="466"/>
      <c r="AE563" s="456"/>
      <c r="AF563" s="467"/>
      <c r="AG563" s="87"/>
      <c r="AH563" s="87"/>
      <c r="AI563" s="87"/>
    </row>
    <row r="564" spans="1:35" hidden="1">
      <c r="A564" s="80" t="e">
        <f>"B"&amp;E559</f>
        <v>#N/A</v>
      </c>
      <c r="B564" s="81">
        <v>2</v>
      </c>
      <c r="C564" s="106"/>
      <c r="D564" s="106"/>
      <c r="E564" s="106"/>
      <c r="F564" s="106"/>
      <c r="G564" s="83"/>
      <c r="H564" s="83"/>
      <c r="I564" s="84"/>
      <c r="J564" s="85"/>
      <c r="K564" s="382"/>
      <c r="L564" s="85"/>
      <c r="M564" s="332" t="str">
        <f t="shared" si="151"/>
        <v/>
      </c>
      <c r="N564" s="86"/>
      <c r="O564" s="453" t="str">
        <f t="shared" ref="O564:O572" si="153">IF(OR(G564="",N564=""),"",N564*G564)</f>
        <v/>
      </c>
      <c r="P564" s="538" t="str">
        <f t="shared" ref="P564:P572" si="154">IF(OR(H564="",M564="FUERA DE RANGO"),"",IF(OR(L564&lt;$O$17,L564&gt;$P$17,L564="",H564="NO"),"",IF(OR(N564="",O564=""),"",ROUND(O564,3))))</f>
        <v/>
      </c>
      <c r="Q564" s="539" t="str">
        <f t="shared" si="152"/>
        <v/>
      </c>
      <c r="R564" s="740"/>
      <c r="S564" s="741"/>
      <c r="T564" s="742"/>
      <c r="U564" s="471"/>
      <c r="V564" s="165"/>
      <c r="W564" s="446"/>
      <c r="X564" s="456"/>
      <c r="Y564" s="436"/>
      <c r="Z564" s="437"/>
      <c r="AA564" s="560"/>
      <c r="AB564" s="561"/>
      <c r="AC564" s="87"/>
      <c r="AD564" s="466"/>
      <c r="AE564" s="456"/>
      <c r="AF564" s="467"/>
      <c r="AG564" s="87"/>
      <c r="AH564" s="87"/>
      <c r="AI564" s="87"/>
    </row>
    <row r="565" spans="1:35" hidden="1">
      <c r="A565" s="80" t="e">
        <f>"C"&amp;E559</f>
        <v>#N/A</v>
      </c>
      <c r="B565" s="88">
        <v>3</v>
      </c>
      <c r="C565" s="82"/>
      <c r="D565" s="82"/>
      <c r="E565" s="82"/>
      <c r="F565" s="82"/>
      <c r="G565" s="83"/>
      <c r="H565" s="83"/>
      <c r="I565" s="84"/>
      <c r="J565" s="85"/>
      <c r="K565" s="382"/>
      <c r="L565" s="85"/>
      <c r="M565" s="332" t="str">
        <f t="shared" si="151"/>
        <v/>
      </c>
      <c r="N565" s="86"/>
      <c r="O565" s="453" t="str">
        <f t="shared" si="153"/>
        <v/>
      </c>
      <c r="P565" s="538" t="str">
        <f t="shared" si="154"/>
        <v/>
      </c>
      <c r="Q565" s="539" t="str">
        <f t="shared" si="152"/>
        <v/>
      </c>
      <c r="R565" s="706"/>
      <c r="S565" s="707"/>
      <c r="T565" s="708"/>
      <c r="U565" s="472"/>
      <c r="V565" s="166"/>
      <c r="W565" s="446"/>
      <c r="X565" s="456"/>
      <c r="Y565" s="436"/>
      <c r="Z565" s="437"/>
      <c r="AA565" s="560"/>
      <c r="AB565" s="561"/>
      <c r="AC565" s="87"/>
      <c r="AD565" s="466"/>
      <c r="AE565" s="456"/>
      <c r="AF565" s="467"/>
      <c r="AG565" s="87"/>
      <c r="AH565" s="87"/>
      <c r="AI565" s="87"/>
    </row>
    <row r="566" spans="1:35" hidden="1">
      <c r="A566" s="80" t="e">
        <f>"D"&amp;E559</f>
        <v>#N/A</v>
      </c>
      <c r="B566" s="105">
        <v>4</v>
      </c>
      <c r="C566" s="107"/>
      <c r="D566" s="107"/>
      <c r="E566" s="107"/>
      <c r="F566" s="107"/>
      <c r="G566" s="83"/>
      <c r="H566" s="83"/>
      <c r="I566" s="84"/>
      <c r="J566" s="85"/>
      <c r="K566" s="382"/>
      <c r="L566" s="85"/>
      <c r="M566" s="332" t="str">
        <f t="shared" si="151"/>
        <v/>
      </c>
      <c r="N566" s="86"/>
      <c r="O566" s="453" t="str">
        <f t="shared" si="153"/>
        <v/>
      </c>
      <c r="P566" s="538" t="str">
        <f t="shared" si="154"/>
        <v/>
      </c>
      <c r="Q566" s="539" t="str">
        <f t="shared" si="152"/>
        <v/>
      </c>
      <c r="R566" s="706"/>
      <c r="S566" s="707"/>
      <c r="T566" s="708"/>
      <c r="U566" s="472"/>
      <c r="V566" s="166"/>
      <c r="W566" s="446"/>
      <c r="X566" s="456"/>
      <c r="Y566" s="436"/>
      <c r="Z566" s="437"/>
      <c r="AA566" s="560"/>
      <c r="AB566" s="561"/>
      <c r="AC566" s="87"/>
      <c r="AD566" s="466"/>
      <c r="AE566" s="456"/>
      <c r="AF566" s="467"/>
      <c r="AG566" s="87"/>
      <c r="AH566" s="87"/>
      <c r="AI566" s="87"/>
    </row>
    <row r="567" spans="1:35" hidden="1">
      <c r="A567" s="80" t="e">
        <f>"E"&amp;E559</f>
        <v>#N/A</v>
      </c>
      <c r="B567" s="105">
        <v>5</v>
      </c>
      <c r="C567" s="107"/>
      <c r="D567" s="107"/>
      <c r="E567" s="107"/>
      <c r="F567" s="107"/>
      <c r="G567" s="83"/>
      <c r="H567" s="83"/>
      <c r="I567" s="84"/>
      <c r="J567" s="85"/>
      <c r="K567" s="382"/>
      <c r="L567" s="85"/>
      <c r="M567" s="332" t="str">
        <f t="shared" si="151"/>
        <v/>
      </c>
      <c r="N567" s="86"/>
      <c r="O567" s="453" t="str">
        <f t="shared" si="153"/>
        <v/>
      </c>
      <c r="P567" s="538" t="str">
        <f t="shared" si="154"/>
        <v/>
      </c>
      <c r="Q567" s="539" t="str">
        <f t="shared" si="152"/>
        <v/>
      </c>
      <c r="R567" s="706"/>
      <c r="S567" s="707"/>
      <c r="T567" s="708"/>
      <c r="U567" s="472"/>
      <c r="V567" s="167"/>
      <c r="W567" s="446"/>
      <c r="X567" s="456"/>
      <c r="Y567" s="436"/>
      <c r="Z567" s="437"/>
      <c r="AA567" s="560"/>
      <c r="AB567" s="561"/>
      <c r="AC567" s="87"/>
      <c r="AD567" s="466"/>
      <c r="AE567" s="456"/>
      <c r="AF567" s="467"/>
      <c r="AG567" s="87"/>
      <c r="AH567" s="87"/>
      <c r="AI567" s="87"/>
    </row>
    <row r="568" spans="1:35" hidden="1">
      <c r="A568" s="80" t="e">
        <f>"F"&amp;E559</f>
        <v>#N/A</v>
      </c>
      <c r="B568" s="105">
        <v>6</v>
      </c>
      <c r="C568" s="107"/>
      <c r="D568" s="107"/>
      <c r="E568" s="107"/>
      <c r="F568" s="107"/>
      <c r="G568" s="83"/>
      <c r="H568" s="83"/>
      <c r="I568" s="84"/>
      <c r="J568" s="85"/>
      <c r="K568" s="382"/>
      <c r="L568" s="85"/>
      <c r="M568" s="332" t="str">
        <f t="shared" si="151"/>
        <v/>
      </c>
      <c r="N568" s="86"/>
      <c r="O568" s="453" t="str">
        <f t="shared" si="153"/>
        <v/>
      </c>
      <c r="P568" s="538" t="str">
        <f t="shared" si="154"/>
        <v/>
      </c>
      <c r="Q568" s="539" t="str">
        <f t="shared" si="152"/>
        <v/>
      </c>
      <c r="R568" s="706"/>
      <c r="S568" s="707"/>
      <c r="T568" s="708"/>
      <c r="U568" s="472"/>
      <c r="V568" s="167"/>
      <c r="W568" s="446"/>
      <c r="X568" s="456"/>
      <c r="Y568" s="436"/>
      <c r="Z568" s="437"/>
      <c r="AA568" s="560"/>
      <c r="AB568" s="561"/>
      <c r="AC568" s="87"/>
      <c r="AD568" s="466"/>
      <c r="AE568" s="456"/>
      <c r="AF568" s="467"/>
      <c r="AG568" s="87"/>
      <c r="AH568" s="87"/>
      <c r="AI568" s="87"/>
    </row>
    <row r="569" spans="1:35" hidden="1">
      <c r="A569" s="80" t="e">
        <f>"G"&amp;E559</f>
        <v>#N/A</v>
      </c>
      <c r="B569" s="105">
        <v>7</v>
      </c>
      <c r="C569" s="107"/>
      <c r="D569" s="107"/>
      <c r="E569" s="107"/>
      <c r="F569" s="107"/>
      <c r="G569" s="83"/>
      <c r="H569" s="83"/>
      <c r="I569" s="84"/>
      <c r="J569" s="85"/>
      <c r="K569" s="382"/>
      <c r="L569" s="85"/>
      <c r="M569" s="332" t="str">
        <f t="shared" si="151"/>
        <v/>
      </c>
      <c r="N569" s="86"/>
      <c r="O569" s="86" t="str">
        <f t="shared" si="153"/>
        <v/>
      </c>
      <c r="P569" s="538" t="str">
        <f t="shared" si="154"/>
        <v/>
      </c>
      <c r="Q569" s="539" t="str">
        <f t="shared" si="152"/>
        <v/>
      </c>
      <c r="R569" s="706"/>
      <c r="S569" s="707"/>
      <c r="T569" s="708"/>
      <c r="U569" s="472"/>
      <c r="V569" s="167"/>
      <c r="W569" s="446"/>
      <c r="X569" s="456"/>
      <c r="Y569" s="436"/>
      <c r="Z569" s="437"/>
      <c r="AA569" s="560"/>
      <c r="AB569" s="561"/>
      <c r="AC569" s="87"/>
      <c r="AD569" s="466"/>
      <c r="AE569" s="456"/>
      <c r="AF569" s="467"/>
      <c r="AG569" s="87"/>
      <c r="AH569" s="87"/>
      <c r="AI569" s="87"/>
    </row>
    <row r="570" spans="1:35" hidden="1">
      <c r="A570" s="80" t="e">
        <f>"H"&amp;E559</f>
        <v>#N/A</v>
      </c>
      <c r="B570" s="105">
        <v>8</v>
      </c>
      <c r="C570" s="107"/>
      <c r="D570" s="107"/>
      <c r="E570" s="107"/>
      <c r="F570" s="107"/>
      <c r="G570" s="83"/>
      <c r="H570" s="83"/>
      <c r="I570" s="84"/>
      <c r="J570" s="85"/>
      <c r="K570" s="382"/>
      <c r="L570" s="85"/>
      <c r="M570" s="332" t="str">
        <f t="shared" si="151"/>
        <v/>
      </c>
      <c r="N570" s="453"/>
      <c r="O570" s="86" t="str">
        <f t="shared" si="153"/>
        <v/>
      </c>
      <c r="P570" s="538" t="str">
        <f t="shared" si="154"/>
        <v/>
      </c>
      <c r="Q570" s="539" t="str">
        <f t="shared" si="152"/>
        <v/>
      </c>
      <c r="R570" s="706"/>
      <c r="S570" s="707"/>
      <c r="T570" s="708"/>
      <c r="U570" s="472"/>
      <c r="V570" s="167"/>
      <c r="W570" s="446"/>
      <c r="X570" s="456"/>
      <c r="Y570" s="436"/>
      <c r="Z570" s="437"/>
      <c r="AA570" s="560"/>
      <c r="AB570" s="561"/>
      <c r="AC570" s="87"/>
      <c r="AD570" s="466"/>
      <c r="AE570" s="456"/>
      <c r="AF570" s="467"/>
      <c r="AG570" s="87"/>
      <c r="AH570" s="87"/>
      <c r="AI570" s="87"/>
    </row>
    <row r="571" spans="1:35" hidden="1">
      <c r="A571" s="80" t="e">
        <f>"I"&amp;E559</f>
        <v>#N/A</v>
      </c>
      <c r="B571" s="105">
        <v>9</v>
      </c>
      <c r="C571" s="107"/>
      <c r="D571" s="107"/>
      <c r="E571" s="107"/>
      <c r="F571" s="107"/>
      <c r="G571" s="83"/>
      <c r="H571" s="83"/>
      <c r="I571" s="84"/>
      <c r="J571" s="85"/>
      <c r="K571" s="382"/>
      <c r="L571" s="85"/>
      <c r="M571" s="332" t="str">
        <f t="shared" si="151"/>
        <v/>
      </c>
      <c r="N571" s="453"/>
      <c r="O571" s="86" t="str">
        <f t="shared" si="153"/>
        <v/>
      </c>
      <c r="P571" s="538" t="str">
        <f t="shared" si="154"/>
        <v/>
      </c>
      <c r="Q571" s="539" t="str">
        <f t="shared" si="152"/>
        <v/>
      </c>
      <c r="R571" s="706"/>
      <c r="S571" s="707"/>
      <c r="T571" s="708"/>
      <c r="U571" s="472"/>
      <c r="V571" s="167"/>
      <c r="W571" s="446"/>
      <c r="X571" s="456"/>
      <c r="Y571" s="436"/>
      <c r="Z571" s="437"/>
      <c r="AA571" s="560"/>
      <c r="AB571" s="561"/>
      <c r="AC571" s="87"/>
      <c r="AD571" s="466"/>
      <c r="AE571" s="456"/>
      <c r="AF571" s="467"/>
      <c r="AG571" s="87"/>
      <c r="AH571" s="87"/>
      <c r="AI571" s="87"/>
    </row>
    <row r="572" spans="1:35" hidden="1">
      <c r="A572" s="80" t="e">
        <f>"J"&amp;E559</f>
        <v>#N/A</v>
      </c>
      <c r="B572" s="105">
        <v>10</v>
      </c>
      <c r="C572" s="107"/>
      <c r="D572" s="107"/>
      <c r="E572" s="107"/>
      <c r="F572" s="107"/>
      <c r="G572" s="83"/>
      <c r="H572" s="83"/>
      <c r="I572" s="84"/>
      <c r="J572" s="85"/>
      <c r="K572" s="382"/>
      <c r="L572" s="85"/>
      <c r="M572" s="332" t="str">
        <f t="shared" si="151"/>
        <v/>
      </c>
      <c r="N572" s="453"/>
      <c r="O572" s="86" t="str">
        <f t="shared" si="153"/>
        <v/>
      </c>
      <c r="P572" s="538" t="str">
        <f t="shared" si="154"/>
        <v/>
      </c>
      <c r="Q572" s="539" t="str">
        <f t="shared" si="152"/>
        <v/>
      </c>
      <c r="R572" s="706"/>
      <c r="S572" s="707"/>
      <c r="T572" s="708"/>
      <c r="U572" s="472"/>
      <c r="V572" s="167"/>
      <c r="W572" s="446"/>
      <c r="X572" s="456"/>
      <c r="Y572" s="436"/>
      <c r="Z572" s="437"/>
      <c r="AA572" s="560"/>
      <c r="AB572" s="561"/>
      <c r="AC572" s="87"/>
      <c r="AD572" s="466"/>
      <c r="AE572" s="456"/>
      <c r="AF572" s="467"/>
      <c r="AG572" s="87"/>
      <c r="AH572" s="87"/>
      <c r="AI572" s="87"/>
    </row>
    <row r="573" spans="1:35" ht="16.5" hidden="1" thickBot="1">
      <c r="A573" s="44"/>
      <c r="B573" s="89"/>
      <c r="C573" s="90"/>
      <c r="D573" s="90"/>
      <c r="E573" s="90"/>
      <c r="F573" s="90"/>
      <c r="G573" s="90"/>
      <c r="H573" s="90"/>
      <c r="I573" s="90"/>
      <c r="J573" s="90"/>
      <c r="K573" s="90"/>
      <c r="L573" s="90"/>
      <c r="M573" s="90"/>
      <c r="N573" s="90"/>
      <c r="O573" s="90"/>
      <c r="P573" s="90"/>
      <c r="Q573" s="90"/>
      <c r="R573" s="90"/>
      <c r="S573" s="91"/>
      <c r="T573" s="92"/>
      <c r="U573" s="473"/>
      <c r="W573" s="438"/>
      <c r="X573" s="455"/>
      <c r="Y573" s="439"/>
      <c r="Z573" s="437"/>
      <c r="AA573" s="530"/>
      <c r="AB573" s="563"/>
      <c r="AC573" s="87"/>
      <c r="AD573" s="440"/>
      <c r="AE573" s="441"/>
      <c r="AF573" s="442"/>
      <c r="AG573" s="49"/>
      <c r="AH573" s="87"/>
      <c r="AI573" s="87"/>
    </row>
    <row r="574" spans="1:35" ht="16.5" hidden="1" thickBot="1">
      <c r="A574" s="93"/>
      <c r="B574" s="94"/>
      <c r="C574" s="96"/>
      <c r="D574" s="96"/>
      <c r="E574" s="96"/>
      <c r="F574" s="96"/>
      <c r="G574" s="96"/>
      <c r="H574" s="96"/>
      <c r="I574" s="96"/>
      <c r="J574" s="96"/>
      <c r="K574" s="96"/>
      <c r="L574" s="96"/>
      <c r="M574" s="136"/>
      <c r="N574" s="96"/>
      <c r="O574" s="96"/>
      <c r="P574" s="97"/>
      <c r="Q574" s="97"/>
      <c r="R574" s="98"/>
      <c r="S574" s="95"/>
      <c r="T574" s="99"/>
      <c r="U574" s="469"/>
      <c r="AC574" s="58"/>
      <c r="AG574" s="58"/>
      <c r="AH574" s="87"/>
      <c r="AI574" s="87"/>
    </row>
    <row r="575" spans="1:35" ht="16.5" hidden="1" thickBot="1">
      <c r="B575" s="101"/>
      <c r="C575" s="101"/>
      <c r="D575" s="101"/>
      <c r="E575" s="101"/>
      <c r="F575" s="101"/>
      <c r="G575" s="101"/>
      <c r="H575" s="101"/>
      <c r="I575" s="101"/>
      <c r="J575" s="101"/>
      <c r="K575" s="101"/>
      <c r="L575" s="101"/>
      <c r="M575" s="101"/>
      <c r="N575" s="101"/>
      <c r="O575" s="101"/>
      <c r="P575" s="101"/>
      <c r="Q575" s="101"/>
      <c r="R575" s="101"/>
      <c r="S575" s="101"/>
      <c r="U575" s="50"/>
      <c r="AH575" s="87"/>
      <c r="AI575" s="87"/>
    </row>
    <row r="576" spans="1:35" ht="16.5" hidden="1" customHeight="1" thickBot="1">
      <c r="A576" s="44"/>
      <c r="B576" s="705" t="s">
        <v>74</v>
      </c>
      <c r="C576" s="705"/>
      <c r="D576" s="705"/>
      <c r="E576" s="705"/>
      <c r="F576" s="705"/>
      <c r="G576" s="705"/>
      <c r="H576" s="705"/>
      <c r="I576" s="705"/>
      <c r="J576" s="705"/>
      <c r="K576" s="705"/>
      <c r="L576" s="705"/>
      <c r="M576" s="705"/>
      <c r="N576" s="705"/>
      <c r="O576" s="705"/>
      <c r="P576" s="705"/>
      <c r="Q576" s="705"/>
      <c r="R576" s="705"/>
      <c r="S576" s="705"/>
      <c r="T576" s="705"/>
      <c r="U576" s="108"/>
      <c r="Y576" s="532" t="s">
        <v>341</v>
      </c>
      <c r="AC576" s="49"/>
      <c r="AD576" s="687" t="s">
        <v>302</v>
      </c>
      <c r="AE576" s="688"/>
      <c r="AF576" s="689"/>
      <c r="AG576" s="49"/>
      <c r="AH576" s="87"/>
      <c r="AI576" s="87"/>
    </row>
    <row r="577" spans="1:35" ht="15.75" hidden="1" customHeight="1" thickBot="1">
      <c r="A577" s="218" t="e">
        <f>"K"&amp;E559</f>
        <v>#N/A</v>
      </c>
      <c r="B577" s="701" t="s">
        <v>71</v>
      </c>
      <c r="C577" s="751" t="s">
        <v>102</v>
      </c>
      <c r="D577" s="751"/>
      <c r="E577" s="751"/>
      <c r="F577" s="751"/>
      <c r="G577" s="751"/>
      <c r="H577" s="751"/>
      <c r="I577" s="751"/>
      <c r="J577" s="751"/>
      <c r="K577" s="751"/>
      <c r="L577" s="722" t="s">
        <v>100</v>
      </c>
      <c r="M577" s="747" t="s">
        <v>114</v>
      </c>
      <c r="N577" s="747"/>
      <c r="O577" s="747"/>
      <c r="P577" s="747"/>
      <c r="Q577" s="748"/>
      <c r="R577" s="758" t="s">
        <v>280</v>
      </c>
      <c r="S577" s="748"/>
      <c r="T577" s="762" t="str">
        <f>IF(COUNTIF(AE577:AF577,"VERIFICAR")&gt;0,"VERIFICAR",IF(COUNTIF(AE577:AF577,"NO CUMPLE")&gt;0,"NO CUMPLE","CUMPLE"))</f>
        <v>VERIFICAR</v>
      </c>
      <c r="U577" s="108"/>
      <c r="Y577" s="533" t="e">
        <f>IF(F578="","",IF(F578=1,"INDIVIDUAL","ESTRUCTURA PLURAL"))</f>
        <v>#N/A</v>
      </c>
      <c r="AC577" s="52"/>
      <c r="AD577" s="475" t="s">
        <v>303</v>
      </c>
      <c r="AE577" s="476" t="str">
        <f>IF(COUNTIF(AE563:AE572,"")=10,"VERIFICAR",IF(COUNTIF(AE563:AE572,"SI")&gt;0,"CUMPLE","NO CUMPLE"))</f>
        <v>VERIFICAR</v>
      </c>
      <c r="AF577" s="477" t="str">
        <f>IF(COUNTIF(AF563:AF572,"")=10,"VERIFICAR",IF(COUNTIF(AF563:AF572,"SI")&gt;=$AI$22,"CUMPLE","NO CUMPLE"))</f>
        <v>VERIFICAR</v>
      </c>
      <c r="AG577" s="52"/>
      <c r="AH577" s="87"/>
      <c r="AI577" s="87"/>
    </row>
    <row r="578" spans="1:35" ht="16.5" hidden="1" customHeight="1" thickBot="1">
      <c r="A578" s="218" t="e">
        <f>"L"&amp;E559</f>
        <v>#N/A</v>
      </c>
      <c r="B578" s="702"/>
      <c r="C578" s="751" t="s">
        <v>103</v>
      </c>
      <c r="D578" s="751"/>
      <c r="E578" s="752"/>
      <c r="F578" s="557" t="e">
        <f>IF(VLOOKUP(E559,PROPONENTES!$C$19:$E$218,3,0)="","",VLOOKUP(E559,PROPONENTES!$C$19:$E$218,3,0))</f>
        <v>#N/A</v>
      </c>
      <c r="G578" s="753" t="s">
        <v>104</v>
      </c>
      <c r="H578" s="751"/>
      <c r="I578" s="715" t="e">
        <f>IF(OR(F578="",F578=1),"INTERESADO PERSONA NATURAL O JURIDICA","CONSORCIO O UNION TEMPORAL")</f>
        <v>#N/A</v>
      </c>
      <c r="J578" s="725"/>
      <c r="K578" s="728"/>
      <c r="L578" s="723"/>
      <c r="M578" s="749"/>
      <c r="N578" s="749"/>
      <c r="O578" s="749"/>
      <c r="P578" s="749"/>
      <c r="Q578" s="750"/>
      <c r="R578" s="712"/>
      <c r="S578" s="750"/>
      <c r="T578" s="763"/>
      <c r="U578" s="108"/>
      <c r="Y578" s="534"/>
      <c r="AA578" s="52"/>
      <c r="AB578" s="52"/>
      <c r="AC578" s="52"/>
      <c r="AG578" s="52"/>
      <c r="AH578" s="87"/>
      <c r="AI578" s="87"/>
    </row>
    <row r="579" spans="1:35" ht="56.25" hidden="1" customHeight="1" thickBot="1">
      <c r="A579" s="218" t="e">
        <f>"M"&amp;E559</f>
        <v>#N/A</v>
      </c>
      <c r="B579" s="702"/>
      <c r="C579" s="725" t="s">
        <v>101</v>
      </c>
      <c r="D579" s="716"/>
      <c r="E579" s="558" t="s">
        <v>105</v>
      </c>
      <c r="F579" s="554" t="s">
        <v>87</v>
      </c>
      <c r="G579" s="553" t="s">
        <v>86</v>
      </c>
      <c r="H579" s="559" t="s">
        <v>85</v>
      </c>
      <c r="I579" s="554" t="s">
        <v>252</v>
      </c>
      <c r="J579" s="553" t="str">
        <f>"¿EL INTEGRANTE TIENE UNA PARTICIPACIÓN DEL "&amp;PORCREQUERIDOINT*100&amp;"%?"</f>
        <v>¿EL INTEGRANTE TIENE UNA PARTICIPACIÓN DEL 60%?</v>
      </c>
      <c r="K579" s="554" t="s">
        <v>107</v>
      </c>
      <c r="L579" s="724"/>
      <c r="M579" s="717" t="s">
        <v>115</v>
      </c>
      <c r="N579" s="718"/>
      <c r="O579" s="718"/>
      <c r="P579" s="718"/>
      <c r="Q579" s="223">
        <f>IF(AND(H563="SI",P563&gt;=0),1,0)+IF(AND(H564="SI",P564&gt;=0),1,0)+IF(AND(H565="SI",P565&gt;=0),1,0)+IF(AND(H566="SI",P566&gt;=0),1,0)+IF(AND(H567="SI",P567&gt;=0),1,0)+IF(AND(H568="SI",P568&gt;=0),1,0)+IF(AND(H569="SI",P569&gt;=0),1,0)+IF(AND(H570="SI",P570&gt;=0),1,0)+IF(AND(H571="SI",P571&gt;=0),1,0)+IF(AND(H572="SI",P572&gt;=0),1,0)</f>
        <v>0</v>
      </c>
      <c r="R579" s="759"/>
      <c r="S579" s="761"/>
      <c r="T579" s="764"/>
      <c r="U579" s="219"/>
      <c r="V579" s="464"/>
      <c r="Y579" s="532" t="s">
        <v>342</v>
      </c>
      <c r="AA579" s="550" t="s">
        <v>344</v>
      </c>
      <c r="AB579" s="693" t="s">
        <v>345</v>
      </c>
      <c r="AC579" s="693" t="s">
        <v>346</v>
      </c>
      <c r="AD579" s="685" t="s">
        <v>347</v>
      </c>
      <c r="AE579" s="52"/>
      <c r="AF579" s="52"/>
      <c r="AG579" s="52"/>
      <c r="AH579" s="87"/>
      <c r="AI579" s="87"/>
    </row>
    <row r="580" spans="1:35" ht="15.75" hidden="1" customHeight="1" thickBot="1">
      <c r="A580" s="218" t="e">
        <f>"N"&amp;E559</f>
        <v>#N/A</v>
      </c>
      <c r="B580" s="702"/>
      <c r="C580" s="114">
        <v>1</v>
      </c>
      <c r="D580" s="194" t="e">
        <f>IF(AND(C580&lt;=F578,F578&gt;1,F578&lt;&gt;""),VLOOKUP(VALUE(E559&amp;","&amp;C580),INTEGRANTES!$D$18:$F$235,2,0),"")</f>
        <v>#N/A</v>
      </c>
      <c r="E580" s="211" t="e">
        <f>IF(D580&lt;&gt;"",VLOOKUP(VALUE(E559&amp;","&amp;C580),INTEGRANTES!$D$18:$F$235,3,0),"")</f>
        <v>#N/A</v>
      </c>
      <c r="F580" s="547" t="e">
        <f>IF(D580="","",SUMIF($I563:$I572,D580,$P563:$P572))</f>
        <v>#N/A</v>
      </c>
      <c r="G580" s="333" t="e">
        <f>IF(D580="","",SUMIF($I563:$I572,D580,$M563:$M572))</f>
        <v>#N/A</v>
      </c>
      <c r="H580" s="535" t="e">
        <f t="shared" ref="H580:H585" si="155">IF(D580="","",IF(OR(F580=0,G580=0),"NO APORTA",ROUND($F580/$G580,3)))</f>
        <v>#N/A</v>
      </c>
      <c r="I580" s="212" t="e">
        <f>IF(D580="","",IF(H580="NO APORTA","NO",IF(H580=MAX($H580:$H585),"SI","NO")))</f>
        <v>#N/A</v>
      </c>
      <c r="J580" s="213" t="e">
        <f t="shared" ref="J580:J585" si="156">IF(D580="","",IF(E580&gt;=PORCREQUERIDOINT,"SI","NO"))</f>
        <v>#N/A</v>
      </c>
      <c r="K580" s="200" t="e">
        <f t="shared" ref="K580:K585" si="157">IF(D580="","",IF(AND(I580="SI",J580="SI"),"CUMPLE",IF(AND(I580="NO",OR(J580="SI",J580="NO")),"","NO CUMPLE")))</f>
        <v>#N/A</v>
      </c>
      <c r="L580" s="722" t="s">
        <v>108</v>
      </c>
      <c r="M580" s="726" t="s">
        <v>119</v>
      </c>
      <c r="N580" s="726"/>
      <c r="O580" s="726"/>
      <c r="P580" s="726"/>
      <c r="Q580" s="727"/>
      <c r="R580" s="758" t="s">
        <v>80</v>
      </c>
      <c r="S580" s="747"/>
      <c r="T580" s="748"/>
      <c r="U580" s="219"/>
      <c r="V580" s="464"/>
      <c r="Y580" s="533" t="e">
        <f>IF(Y577="","",IF(Y577="INDIVIDUAL","NO APLICA","VERIFICAR CUADRO"))</f>
        <v>#N/A</v>
      </c>
      <c r="AA580" s="551"/>
      <c r="AB580" s="694"/>
      <c r="AC580" s="694"/>
      <c r="AD580" s="686"/>
      <c r="AE580" s="52"/>
      <c r="AF580" s="52"/>
      <c r="AG580" s="52"/>
      <c r="AH580" s="87"/>
      <c r="AI580" s="87"/>
    </row>
    <row r="581" spans="1:35" ht="27" hidden="1" customHeight="1" thickBot="1">
      <c r="A581" s="218" t="e">
        <f>"O"&amp;E559</f>
        <v>#N/A</v>
      </c>
      <c r="B581" s="702"/>
      <c r="C581" s="114">
        <v>2</v>
      </c>
      <c r="D581" s="194" t="e">
        <f>IF(AND(C581&lt;=F578,F578&lt;&gt;""),VLOOKUP(VALUE(E559&amp;","&amp;C581),INTEGRANTES!$D$18:$F$235,2,0),"")</f>
        <v>#N/A</v>
      </c>
      <c r="E581" s="211" t="e">
        <f>IF(D581&lt;&gt;"",VLOOKUP(VALUE(E559&amp;","&amp;C581),INTEGRANTES!$D$18:$F$235,3,0),"")</f>
        <v>#N/A</v>
      </c>
      <c r="F581" s="547" t="e">
        <f>IF(D581="","",SUMIF($I563:$I572,D581,$P563:$P572))</f>
        <v>#N/A</v>
      </c>
      <c r="G581" s="333" t="e">
        <f>IF(D581="","",SUMIF($I563:$I572,D581,$M563:$M572))</f>
        <v>#N/A</v>
      </c>
      <c r="H581" s="535" t="e">
        <f t="shared" si="155"/>
        <v>#N/A</v>
      </c>
      <c r="I581" s="212" t="e">
        <f>IF(D581="","",IF(H581="NO APORTA","NO",IF(H581=MAX($H580:$H585),"SI","NO")))</f>
        <v>#N/A</v>
      </c>
      <c r="J581" s="213" t="e">
        <f t="shared" si="156"/>
        <v>#N/A</v>
      </c>
      <c r="K581" s="200" t="e">
        <f t="shared" si="157"/>
        <v>#N/A</v>
      </c>
      <c r="L581" s="723"/>
      <c r="M581" s="715" t="s">
        <v>116</v>
      </c>
      <c r="N581" s="716"/>
      <c r="O581" s="556" t="s">
        <v>113</v>
      </c>
      <c r="P581" s="715" t="s">
        <v>117</v>
      </c>
      <c r="Q581" s="728"/>
      <c r="R581" s="759"/>
      <c r="S581" s="760"/>
      <c r="T581" s="761"/>
      <c r="U581" s="219"/>
      <c r="V581" s="464"/>
      <c r="Y581" s="414"/>
      <c r="AA581" s="542" t="e">
        <f>IF(AND(C580&lt;=F578,F578&gt;1,F578&lt;&gt;""),VLOOKUP(VALUE(E559&amp;","&amp;C580),INTEGRANTES!$D$18:$F$235,2,0),"")</f>
        <v>#N/A</v>
      </c>
      <c r="AB581" s="544" t="e">
        <f t="shared" ref="AB581:AB586" si="158">IF(D580="","",IF(OR(F580=0,G580=0),"NO APORTA",ROUND($F580/$G580,3)))</f>
        <v>#N/A</v>
      </c>
      <c r="AC581" s="529"/>
      <c r="AD581" s="200" t="e">
        <f t="shared" ref="AD581:AD586" si="159">IF(OR(AA581="",AB581=""),"",IF(AND(AC581="X",AB581&gt;=EXPREQVTD),"CUMPLE","NO CUMPLE"))</f>
        <v>#N/A</v>
      </c>
      <c r="AE581" s="52"/>
      <c r="AF581" s="52"/>
      <c r="AG581" s="52"/>
      <c r="AH581" s="87"/>
      <c r="AI581" s="87"/>
    </row>
    <row r="582" spans="1:35" ht="16.5" hidden="1" thickBot="1">
      <c r="A582" s="218" t="e">
        <f>"P"&amp;E559</f>
        <v>#N/A</v>
      </c>
      <c r="B582" s="702"/>
      <c r="C582" s="114">
        <v>3</v>
      </c>
      <c r="D582" s="194" t="e">
        <f>IF(AND(C582&lt;=F578,F578&lt;&gt;""),VLOOKUP(VALUE(E559&amp;","&amp;C582),INTEGRANTES!$D$18:$F$235,2,0),"")</f>
        <v>#N/A</v>
      </c>
      <c r="E582" s="211" t="e">
        <f>IF(D582&lt;&gt;"",VLOOKUP(VALUE(E559&amp;","&amp;C582),INTEGRANTES!$D$18:$F$235,3,0),"")</f>
        <v>#N/A</v>
      </c>
      <c r="F582" s="547" t="e">
        <f>IF(D582="","",SUMIF($I563:$I572,D582,$P563:$P572))</f>
        <v>#N/A</v>
      </c>
      <c r="G582" s="333" t="e">
        <f>IF(D582="","",SUMIF($I563:$I572,D582,$M563:$M572))</f>
        <v>#N/A</v>
      </c>
      <c r="H582" s="535" t="e">
        <f t="shared" si="155"/>
        <v>#N/A</v>
      </c>
      <c r="I582" s="212" t="e">
        <f>IF(D582="","",IF(H582="NO APORTA","NO",IF(H582=MAX($H580:$H585),"SI","NO")))</f>
        <v>#N/A</v>
      </c>
      <c r="J582" s="213" t="e">
        <f t="shared" si="156"/>
        <v>#N/A</v>
      </c>
      <c r="K582" s="200" t="e">
        <f t="shared" si="157"/>
        <v>#N/A</v>
      </c>
      <c r="L582" s="724"/>
      <c r="M582" s="729">
        <f>NUMMOD</f>
        <v>1</v>
      </c>
      <c r="N582" s="730"/>
      <c r="O582" s="443">
        <f>IF(M582="","",VLOOKUP(M582,PRESUPUESTOS!$B$16:$H$16,5,FALSE))</f>
        <v>2</v>
      </c>
      <c r="P582" s="713">
        <f>IF(OR(COUNTIF(M563:M572,"")&gt;=10,Q579&lt;NUMMINCONT,OR(T577="NO CUMPLE",T577="VERIFICAR")),0,ROUND(AVERAGE(M563:M572),3))</f>
        <v>0</v>
      </c>
      <c r="Q582" s="714"/>
      <c r="R582" s="458"/>
      <c r="S582" s="459"/>
      <c r="T582" s="460"/>
      <c r="U582" s="219"/>
      <c r="V582" s="464"/>
      <c r="Y582" s="532" t="str">
        <f>"40% * ("&amp;PRESUPUESTOS!$H$13&amp;")"</f>
        <v>40% * (50% PFMO)</v>
      </c>
      <c r="AA582" s="540" t="e">
        <f>IF(AND(C581&lt;=F578,F578&lt;&gt;""),VLOOKUP(VALUE(E559&amp;","&amp;C581),INTEGRANTES!$D$18:$F$235,2,0),"")</f>
        <v>#N/A</v>
      </c>
      <c r="AB582" s="545" t="e">
        <f t="shared" si="158"/>
        <v>#N/A</v>
      </c>
      <c r="AC582" s="529"/>
      <c r="AD582" s="200" t="e">
        <f t="shared" si="159"/>
        <v>#N/A</v>
      </c>
      <c r="AE582" s="52"/>
      <c r="AF582" s="52"/>
      <c r="AG582" s="52"/>
      <c r="AH582" s="87"/>
      <c r="AI582" s="87"/>
    </row>
    <row r="583" spans="1:35" ht="15.75" hidden="1" customHeight="1" thickBot="1">
      <c r="A583" s="218" t="e">
        <f>"Q"&amp;E559</f>
        <v>#N/A</v>
      </c>
      <c r="B583" s="702"/>
      <c r="C583" s="114">
        <v>4</v>
      </c>
      <c r="D583" s="194" t="e">
        <f>IF(AND(C583&lt;=F578,F578&lt;&gt;""),VLOOKUP(VALUE(E559&amp;","&amp;C583),INTEGRANTES!$D$18:$F$235,2,0),"")</f>
        <v>#N/A</v>
      </c>
      <c r="E583" s="211" t="e">
        <f>IF(D583&lt;&gt;"",VLOOKUP(VALUE(E559&amp;","&amp;C583),INTEGRANTES!$D$18:$F$235,3,0),"")</f>
        <v>#N/A</v>
      </c>
      <c r="F583" s="547" t="e">
        <f>IF(D583="","",SUMIF($I563:$I572,D583,$P563:$P572))</f>
        <v>#N/A</v>
      </c>
      <c r="G583" s="333" t="e">
        <f>IF(D583="","",SUMIF($I563:$I572,D583,$M563:$M572))</f>
        <v>#N/A</v>
      </c>
      <c r="H583" s="535" t="e">
        <f t="shared" si="155"/>
        <v>#N/A</v>
      </c>
      <c r="I583" s="212" t="e">
        <f>IF(D583="","",IF(H583="NO APORTA","NO",IF(H583=MAX($H580:$H585),"SI","NO")))</f>
        <v>#N/A</v>
      </c>
      <c r="J583" s="213" t="e">
        <f t="shared" si="156"/>
        <v>#N/A</v>
      </c>
      <c r="K583" s="200" t="e">
        <f t="shared" si="157"/>
        <v>#N/A</v>
      </c>
      <c r="L583" s="720" t="s">
        <v>109</v>
      </c>
      <c r="M583" s="757" t="s">
        <v>120</v>
      </c>
      <c r="N583" s="726"/>
      <c r="O583" s="726"/>
      <c r="P583" s="726"/>
      <c r="Q583" s="727"/>
      <c r="R583" s="458"/>
      <c r="S583" s="459"/>
      <c r="T583" s="460"/>
      <c r="U583" s="219"/>
      <c r="V583" s="464"/>
      <c r="Y583" s="537">
        <f>0.4*PRESUPUESTOS!$H$16</f>
        <v>10.3124</v>
      </c>
      <c r="AA583" s="540" t="e">
        <f>IF(AND(C582&lt;=F578,F578&lt;&gt;""),VLOOKUP(VALUE(E559&amp;","&amp;C582),INTEGRANTES!$D$18:$F$235,2,0),"")</f>
        <v>#N/A</v>
      </c>
      <c r="AB583" s="545" t="e">
        <f t="shared" si="158"/>
        <v>#N/A</v>
      </c>
      <c r="AC583" s="529"/>
      <c r="AD583" s="200" t="e">
        <f t="shared" si="159"/>
        <v>#N/A</v>
      </c>
      <c r="AE583" s="52"/>
      <c r="AF583" s="52"/>
      <c r="AG583" s="52"/>
      <c r="AH583" s="87"/>
      <c r="AI583" s="87"/>
    </row>
    <row r="584" spans="1:35" ht="27" hidden="1" customHeight="1" thickBot="1">
      <c r="A584" s="218" t="e">
        <f>"R"&amp;E559</f>
        <v>#N/A</v>
      </c>
      <c r="B584" s="702"/>
      <c r="C584" s="114">
        <v>5</v>
      </c>
      <c r="D584" s="194" t="e">
        <f>IF(AND(C584&lt;=F578,F578&lt;&gt;""),VLOOKUP(VALUE(E559&amp;","&amp;C584),INTEGRANTES!$D$18:$F$235,2,0),"")</f>
        <v>#N/A</v>
      </c>
      <c r="E584" s="211" t="e">
        <f>IF(D584&lt;&gt;"",VLOOKUP(VALUE(E559&amp;","&amp;C584),INTEGRANTES!$D$18:$F$235,3,0),"")</f>
        <v>#N/A</v>
      </c>
      <c r="F584" s="547" t="e">
        <f>IF(D584="","",SUMIF($I563:$I572,D584,$P563:$P572))</f>
        <v>#N/A</v>
      </c>
      <c r="G584" s="333" t="e">
        <f>IF(D584="","",SUMIF($I563:$I572,D584,$M563:$M572))</f>
        <v>#N/A</v>
      </c>
      <c r="H584" s="535" t="e">
        <f t="shared" si="155"/>
        <v>#N/A</v>
      </c>
      <c r="I584" s="212" t="e">
        <f>IF(D584="","",IF(H584="NO APORTA","NO",IF(H584=MAX($H580:$H585),"SI","NO")))</f>
        <v>#N/A</v>
      </c>
      <c r="J584" s="213" t="e">
        <f t="shared" si="156"/>
        <v>#N/A</v>
      </c>
      <c r="K584" s="200" t="e">
        <f t="shared" si="157"/>
        <v>#N/A</v>
      </c>
      <c r="L584" s="721"/>
      <c r="M584" s="715" t="s">
        <v>116</v>
      </c>
      <c r="N584" s="716"/>
      <c r="O584" s="556" t="str">
        <f>PORCREQUERIDO*100&amp;"% PMFO DEL MÓDULO"</f>
        <v>50% PMFO DEL MÓDULO</v>
      </c>
      <c r="P584" s="715" t="s">
        <v>118</v>
      </c>
      <c r="Q584" s="728"/>
      <c r="R584" s="458"/>
      <c r="S584" s="459"/>
      <c r="T584" s="460"/>
      <c r="U584" s="219"/>
      <c r="V584" s="464"/>
      <c r="Y584" s="414"/>
      <c r="AA584" s="540" t="e">
        <f>IF(AND(C583&lt;=F578,F578&lt;&gt;""),VLOOKUP(VALUE(E559&amp;","&amp;C583),INTEGRANTES!$D$18:$F$235,2,0),"")</f>
        <v>#N/A</v>
      </c>
      <c r="AB584" s="545" t="e">
        <f t="shared" si="158"/>
        <v>#N/A</v>
      </c>
      <c r="AC584" s="529"/>
      <c r="AD584" s="200" t="e">
        <f t="shared" si="159"/>
        <v>#N/A</v>
      </c>
      <c r="AE584" s="52"/>
      <c r="AF584" s="52"/>
      <c r="AG584" s="52"/>
      <c r="AH584" s="87"/>
      <c r="AI584" s="87"/>
    </row>
    <row r="585" spans="1:35" ht="16.5" hidden="1" thickBot="1">
      <c r="A585" s="218" t="e">
        <f>"S"&amp;E559</f>
        <v>#N/A</v>
      </c>
      <c r="B585" s="702"/>
      <c r="C585" s="215">
        <v>6</v>
      </c>
      <c r="D585" s="216" t="e">
        <f>IF(AND(C585&lt;=F578,F578&lt;&gt;""),VLOOKUP(VALUE(E559&amp;","&amp;C585),INTEGRANTES!$D$18:$F$235,2,0),"")</f>
        <v>#N/A</v>
      </c>
      <c r="E585" s="217" t="e">
        <f>IF(D585&lt;&gt;"",VLOOKUP(VALUE(E559&amp;","&amp;C585),INTEGRANTES!$D$18:$F$235,3,0),"")</f>
        <v>#N/A</v>
      </c>
      <c r="F585" s="548" t="e">
        <f>IF(D585="","",SUMIF($I563:$I572,D585,$P563:$P572))</f>
        <v>#N/A</v>
      </c>
      <c r="G585" s="334" t="e">
        <f>IF(D585="","",SUMIF($I563:$I572,D585,$M563:$M572))</f>
        <v>#N/A</v>
      </c>
      <c r="H585" s="536" t="e">
        <f t="shared" si="155"/>
        <v>#N/A</v>
      </c>
      <c r="I585" s="214" t="e">
        <f>IF(D585="","",IF(H585="NO APORTA","NO",IF(H585=MAX($H580:$H585),"SI","NO")))</f>
        <v>#N/A</v>
      </c>
      <c r="J585" s="213" t="e">
        <f t="shared" si="156"/>
        <v>#N/A</v>
      </c>
      <c r="K585" s="200" t="e">
        <f t="shared" si="157"/>
        <v>#N/A</v>
      </c>
      <c r="L585" s="721"/>
      <c r="M585" s="729">
        <f>NUMMOD</f>
        <v>1</v>
      </c>
      <c r="N585" s="730"/>
      <c r="O585" s="443">
        <f>IF(M585="","",ROUND(VLOOKUP(M585,PRESUPUESTOS!$B$16:$H$16,7,FALSE),3))</f>
        <v>25.780999999999999</v>
      </c>
      <c r="P585" s="713">
        <f>IF(OR(COUNTIF(P563:P572,"")&gt;=10,Q579&lt;NUMMINCONT,OR(T577="NO CUMPLE",T577="VERIFICAR")),0,ROUND((SUM(P563:P572)/SUM(M563:M572)),3))</f>
        <v>0</v>
      </c>
      <c r="Q585" s="714"/>
      <c r="R585" s="458"/>
      <c r="S585" s="459"/>
      <c r="T585" s="460"/>
      <c r="U585" s="219"/>
      <c r="V585" s="464"/>
      <c r="Y585" s="532" t="s">
        <v>343</v>
      </c>
      <c r="AA585" s="540" t="e">
        <f>IF(AND(C584&lt;=F578,F578&lt;&gt;""),VLOOKUP(VALUE(E559&amp;","&amp;C584),INTEGRANTES!$D$18:$F$235,2,0),"")</f>
        <v>#N/A</v>
      </c>
      <c r="AB585" s="545" t="e">
        <f t="shared" si="158"/>
        <v>#N/A</v>
      </c>
      <c r="AC585" s="529"/>
      <c r="AD585" s="200" t="e">
        <f t="shared" si="159"/>
        <v>#N/A</v>
      </c>
      <c r="AE585" s="52"/>
      <c r="AF585" s="52"/>
      <c r="AG585" s="52"/>
      <c r="AH585" s="87"/>
      <c r="AI585" s="87"/>
    </row>
    <row r="586" spans="1:35" ht="16.5" hidden="1" customHeight="1" thickBot="1">
      <c r="A586" s="218" t="e">
        <f>"T"&amp;E559</f>
        <v>#N/A</v>
      </c>
      <c r="B586" s="703"/>
      <c r="C586" s="719"/>
      <c r="D586" s="719"/>
      <c r="E586" s="719"/>
      <c r="F586" s="719"/>
      <c r="G586" s="719"/>
      <c r="H586" s="719" t="s">
        <v>110</v>
      </c>
      <c r="I586" s="719"/>
      <c r="J586" s="719"/>
      <c r="K586" s="201" t="str">
        <f>IF(COUNTIF(K580:K585,"")=6,"",IF(COUNTIF(K580:K585,"CUMPLE")&gt;0,"CUMPLE","NO CUMPLE"))</f>
        <v>NO CUMPLE</v>
      </c>
      <c r="L586" s="754"/>
      <c r="M586" s="755"/>
      <c r="N586" s="755"/>
      <c r="O586" s="755"/>
      <c r="P586" s="755"/>
      <c r="Q586" s="756"/>
      <c r="R586" s="461"/>
      <c r="S586" s="462"/>
      <c r="T586" s="463"/>
      <c r="U586" s="219"/>
      <c r="V586" s="464"/>
      <c r="Y586" s="549" t="e">
        <f>IF(Y580="NO APLICA","NO APLICA",IF(COUNTIF(AD581:AD586,"CUMPLE")&gt;0,"CUMPLE","NO CUMPLE"))</f>
        <v>#N/A</v>
      </c>
      <c r="AA586" s="541" t="e">
        <f>IF(AND(C585&lt;=F578,F578&lt;&gt;""),VLOOKUP(VALUE(E559&amp;","&amp;C585),INTEGRANTES!$D$18:$F$235,2,0),"")</f>
        <v>#N/A</v>
      </c>
      <c r="AB586" s="546" t="e">
        <f t="shared" si="158"/>
        <v>#N/A</v>
      </c>
      <c r="AC586" s="543"/>
      <c r="AD586" s="201" t="e">
        <f t="shared" si="159"/>
        <v>#N/A</v>
      </c>
      <c r="AE586" s="52"/>
      <c r="AF586" s="52"/>
      <c r="AG586" s="52"/>
      <c r="AH586" s="87"/>
      <c r="AI586" s="87"/>
    </row>
    <row r="587" spans="1:35" hidden="1">
      <c r="A587" s="103"/>
      <c r="B587" s="206"/>
      <c r="C587" s="206"/>
      <c r="D587" s="206"/>
      <c r="E587" s="206"/>
      <c r="F587" s="206"/>
      <c r="G587" s="206"/>
      <c r="H587" s="206"/>
      <c r="I587" s="104"/>
      <c r="J587" s="206"/>
      <c r="K587" s="113"/>
      <c r="L587" s="113"/>
      <c r="M587" s="113"/>
      <c r="N587" s="222"/>
      <c r="O587" s="113"/>
      <c r="P587" s="113"/>
      <c r="Q587" s="113"/>
      <c r="R587" s="206"/>
      <c r="S587" s="104"/>
      <c r="T587" s="206"/>
      <c r="U587" s="474"/>
      <c r="AH587" s="87"/>
      <c r="AI587" s="87"/>
    </row>
    <row r="588" spans="1:35" hidden="1">
      <c r="H588" s="220"/>
      <c r="AH588" s="87"/>
      <c r="AI588" s="87"/>
    </row>
    <row r="589" spans="1:35" ht="24" hidden="1" thickBot="1">
      <c r="A589" s="61">
        <v>20</v>
      </c>
      <c r="B589" s="704" t="s">
        <v>51</v>
      </c>
      <c r="C589" s="704"/>
      <c r="D589" s="704"/>
      <c r="E589" s="62" t="e">
        <f>VLOOKUP(A589,PROPONENTES!$B$19:$E$218,2,FALSE)</f>
        <v>#N/A</v>
      </c>
      <c r="F589" s="63" t="e">
        <f>VLOOKUP(A589,PROPONENTES!$B$19:$E$218,3,FALSE)</f>
        <v>#N/A</v>
      </c>
      <c r="G589" s="64"/>
      <c r="H589" s="64"/>
      <c r="I589" s="63"/>
      <c r="J589" s="63"/>
      <c r="K589" s="65"/>
      <c r="L589" s="65"/>
      <c r="M589" s="64"/>
      <c r="N589" s="64"/>
      <c r="O589" s="66"/>
      <c r="P589" s="66"/>
      <c r="Q589" s="66"/>
      <c r="R589" s="66"/>
      <c r="S589" s="67"/>
      <c r="T589" s="68"/>
      <c r="U589" s="68"/>
      <c r="AC589" s="68"/>
      <c r="AD589" s="68"/>
      <c r="AE589" s="68"/>
      <c r="AF589" s="68"/>
      <c r="AG589" s="68"/>
      <c r="AH589" s="87"/>
      <c r="AI589" s="87"/>
    </row>
    <row r="590" spans="1:35" ht="15.75" hidden="1" customHeight="1">
      <c r="A590" s="44"/>
      <c r="B590" s="709" t="s">
        <v>59</v>
      </c>
      <c r="C590" s="552" t="s">
        <v>60</v>
      </c>
      <c r="D590" s="70" t="s">
        <v>17</v>
      </c>
      <c r="E590" s="70"/>
      <c r="F590" s="70" t="s">
        <v>61</v>
      </c>
      <c r="G590" s="71"/>
      <c r="H590" s="699" t="s">
        <v>62</v>
      </c>
      <c r="I590" s="699" t="s">
        <v>18</v>
      </c>
      <c r="J590" s="699" t="s">
        <v>63</v>
      </c>
      <c r="K590" s="699" t="s">
        <v>64</v>
      </c>
      <c r="L590" s="699" t="s">
        <v>65</v>
      </c>
      <c r="M590" s="743" t="s">
        <v>66</v>
      </c>
      <c r="N590" s="699" t="s">
        <v>282</v>
      </c>
      <c r="O590" s="745" t="s">
        <v>67</v>
      </c>
      <c r="P590" s="746"/>
      <c r="Q590" s="102" t="s">
        <v>75</v>
      </c>
      <c r="R590" s="731" t="s">
        <v>22</v>
      </c>
      <c r="S590" s="732"/>
      <c r="T590" s="733"/>
      <c r="U590" s="712" t="s">
        <v>298</v>
      </c>
      <c r="W590" s="690" t="s">
        <v>268</v>
      </c>
      <c r="X590" s="691"/>
      <c r="Y590" s="692"/>
      <c r="Z590" s="428"/>
      <c r="AA590" s="697" t="s">
        <v>315</v>
      </c>
      <c r="AB590" s="695" t="s">
        <v>322</v>
      </c>
      <c r="AC590" s="49"/>
      <c r="AD590" s="690" t="s">
        <v>297</v>
      </c>
      <c r="AE590" s="691"/>
      <c r="AF590" s="692"/>
      <c r="AG590" s="49"/>
      <c r="AH590" s="87"/>
      <c r="AI590" s="87"/>
    </row>
    <row r="591" spans="1:35" ht="72" hidden="1">
      <c r="A591" s="44"/>
      <c r="B591" s="710"/>
      <c r="C591" s="553" t="s">
        <v>68</v>
      </c>
      <c r="D591" s="73" t="s">
        <v>3</v>
      </c>
      <c r="E591" s="73" t="s">
        <v>19</v>
      </c>
      <c r="F591" s="73" t="s">
        <v>69</v>
      </c>
      <c r="G591" s="74" t="s">
        <v>70</v>
      </c>
      <c r="H591" s="700"/>
      <c r="I591" s="700"/>
      <c r="J591" s="700"/>
      <c r="K591" s="700"/>
      <c r="L591" s="700"/>
      <c r="M591" s="744"/>
      <c r="N591" s="700"/>
      <c r="O591" s="553" t="s">
        <v>279</v>
      </c>
      <c r="P591" s="73" t="s">
        <v>88</v>
      </c>
      <c r="Q591" s="555" t="s">
        <v>76</v>
      </c>
      <c r="R591" s="734"/>
      <c r="S591" s="735"/>
      <c r="T591" s="736"/>
      <c r="U591" s="712"/>
      <c r="W591" s="429" t="s">
        <v>269</v>
      </c>
      <c r="X591" s="457" t="s">
        <v>278</v>
      </c>
      <c r="Y591" s="430" t="s">
        <v>324</v>
      </c>
      <c r="Z591" s="428"/>
      <c r="AA591" s="698"/>
      <c r="AB591" s="696"/>
      <c r="AC591" s="49"/>
      <c r="AD591" s="429" t="s">
        <v>292</v>
      </c>
      <c r="AE591" s="431" t="s">
        <v>300</v>
      </c>
      <c r="AF591" s="468" t="s">
        <v>301</v>
      </c>
      <c r="AG591" s="49"/>
      <c r="AH591" s="87"/>
      <c r="AI591" s="87"/>
    </row>
    <row r="592" spans="1:35" hidden="1">
      <c r="A592" s="44"/>
      <c r="B592" s="76"/>
      <c r="C592" s="77"/>
      <c r="D592" s="77"/>
      <c r="E592" s="77"/>
      <c r="F592" s="77"/>
      <c r="G592" s="77"/>
      <c r="H592" s="77"/>
      <c r="I592" s="77"/>
      <c r="J592" s="77"/>
      <c r="K592" s="77"/>
      <c r="L592" s="77"/>
      <c r="M592" s="77"/>
      <c r="N592" s="77"/>
      <c r="O592" s="77"/>
      <c r="P592" s="77"/>
      <c r="Q592" s="77"/>
      <c r="R592" s="77"/>
      <c r="S592" s="78"/>
      <c r="T592" s="79"/>
      <c r="U592" s="109"/>
      <c r="V592" s="49"/>
      <c r="W592" s="432"/>
      <c r="X592" s="454"/>
      <c r="Y592" s="433"/>
      <c r="Z592" s="6"/>
      <c r="AA592" s="500"/>
      <c r="AB592" s="562"/>
      <c r="AC592" s="49"/>
      <c r="AD592" s="210"/>
      <c r="AE592" s="434"/>
      <c r="AF592" s="435"/>
      <c r="AG592" s="49"/>
      <c r="AH592" s="87"/>
      <c r="AI592" s="87"/>
    </row>
    <row r="593" spans="1:35" hidden="1">
      <c r="A593" s="80" t="e">
        <f>"A"&amp;E589</f>
        <v>#N/A</v>
      </c>
      <c r="B593" s="81">
        <v>1</v>
      </c>
      <c r="C593" s="82"/>
      <c r="D593" s="82"/>
      <c r="E593" s="82"/>
      <c r="F593" s="82"/>
      <c r="G593" s="83"/>
      <c r="H593" s="83"/>
      <c r="I593" s="84"/>
      <c r="J593" s="85"/>
      <c r="K593" s="382"/>
      <c r="L593" s="85"/>
      <c r="M593" s="332" t="str">
        <f t="shared" ref="M593:M602" si="160">IF(OR(J593="",L593="",H593="NO"),"",IF(OR(J593&gt;$P$17,J593&lt;$O$17,L593&gt;$P$17,AND(J593&lt;$O$17,L593&lt;$O$17)),"FUERA DE RANGO",IF(OR(K593="---",K593=""),IF(J593&gt;=$O$17,ROUND((L593-J593+1)/360*12,3),ROUND((L593-$O$17+1)/360*12,3)),IF(J593&gt;=$O$17,ROUND((L593-J593+1)/360*12-ROUND(K593,3),3),ROUND((L593-$O$17+1)/360*12-ROUND(K593,3),3)))))</f>
        <v/>
      </c>
      <c r="N593" s="86"/>
      <c r="O593" s="453" t="str">
        <f>IF(OR(G593="",N593=""),"",N593*G593)</f>
        <v/>
      </c>
      <c r="P593" s="538" t="str">
        <f>IF(OR(H593="",M593="FUERA DE RANGO"),"",IF(OR(L593&lt;$O$17,L593&gt;$P$17,L593="",H593="NO"),"",IF(OR(N593="",O593=""),"",ROUND(O593,3))))</f>
        <v/>
      </c>
      <c r="Q593" s="539" t="str">
        <f t="shared" ref="Q593:Q602" si="161">IF(AND(H593="SI",P593&lt;&gt;""),ROUND(P593/M593,3),"")</f>
        <v/>
      </c>
      <c r="R593" s="737"/>
      <c r="S593" s="738"/>
      <c r="T593" s="739"/>
      <c r="U593" s="470"/>
      <c r="V593" s="165"/>
      <c r="W593" s="446"/>
      <c r="X593" s="456"/>
      <c r="Y593" s="436"/>
      <c r="Z593" s="437"/>
      <c r="AA593" s="560"/>
      <c r="AB593" s="561"/>
      <c r="AC593" s="87"/>
      <c r="AD593" s="466"/>
      <c r="AE593" s="456"/>
      <c r="AF593" s="467"/>
      <c r="AG593" s="87"/>
      <c r="AH593" s="87"/>
      <c r="AI593" s="87"/>
    </row>
    <row r="594" spans="1:35" hidden="1">
      <c r="A594" s="80" t="e">
        <f>"B"&amp;E589</f>
        <v>#N/A</v>
      </c>
      <c r="B594" s="81">
        <v>2</v>
      </c>
      <c r="C594" s="106"/>
      <c r="D594" s="106"/>
      <c r="E594" s="106"/>
      <c r="F594" s="106"/>
      <c r="G594" s="83"/>
      <c r="H594" s="83"/>
      <c r="I594" s="84"/>
      <c r="J594" s="85"/>
      <c r="K594" s="382"/>
      <c r="L594" s="85"/>
      <c r="M594" s="332" t="str">
        <f t="shared" si="160"/>
        <v/>
      </c>
      <c r="N594" s="86"/>
      <c r="O594" s="453" t="str">
        <f t="shared" ref="O594:O602" si="162">IF(OR(G594="",N594=""),"",N594*G594)</f>
        <v/>
      </c>
      <c r="P594" s="538" t="str">
        <f t="shared" ref="P594:P602" si="163">IF(OR(H594="",M594="FUERA DE RANGO"),"",IF(OR(L594&lt;$O$17,L594&gt;$P$17,L594="",H594="NO"),"",IF(OR(N594="",O594=""),"",ROUND(O594,3))))</f>
        <v/>
      </c>
      <c r="Q594" s="539" t="str">
        <f t="shared" si="161"/>
        <v/>
      </c>
      <c r="R594" s="740"/>
      <c r="S594" s="741"/>
      <c r="T594" s="742"/>
      <c r="U594" s="471"/>
      <c r="V594" s="165"/>
      <c r="W594" s="446"/>
      <c r="X594" s="456"/>
      <c r="Y594" s="436"/>
      <c r="Z594" s="437"/>
      <c r="AA594" s="560"/>
      <c r="AB594" s="561"/>
      <c r="AC594" s="87"/>
      <c r="AD594" s="466"/>
      <c r="AE594" s="456"/>
      <c r="AF594" s="467"/>
      <c r="AG594" s="87"/>
      <c r="AH594" s="87"/>
      <c r="AI594" s="87"/>
    </row>
    <row r="595" spans="1:35" hidden="1">
      <c r="A595" s="80" t="e">
        <f>"C"&amp;E589</f>
        <v>#N/A</v>
      </c>
      <c r="B595" s="88">
        <v>3</v>
      </c>
      <c r="C595" s="82"/>
      <c r="D595" s="82"/>
      <c r="E595" s="82"/>
      <c r="F595" s="82"/>
      <c r="G595" s="83"/>
      <c r="H595" s="83"/>
      <c r="I595" s="84"/>
      <c r="J595" s="85"/>
      <c r="K595" s="382"/>
      <c r="L595" s="85"/>
      <c r="M595" s="332" t="str">
        <f t="shared" si="160"/>
        <v/>
      </c>
      <c r="N595" s="86"/>
      <c r="O595" s="453" t="str">
        <f t="shared" si="162"/>
        <v/>
      </c>
      <c r="P595" s="538" t="str">
        <f t="shared" si="163"/>
        <v/>
      </c>
      <c r="Q595" s="539" t="str">
        <f t="shared" si="161"/>
        <v/>
      </c>
      <c r="R595" s="706"/>
      <c r="S595" s="707"/>
      <c r="T595" s="708"/>
      <c r="U595" s="472"/>
      <c r="V595" s="166"/>
      <c r="W595" s="446"/>
      <c r="X595" s="456"/>
      <c r="Y595" s="436"/>
      <c r="Z595" s="437"/>
      <c r="AA595" s="560"/>
      <c r="AB595" s="561"/>
      <c r="AC595" s="87"/>
      <c r="AD595" s="466"/>
      <c r="AE595" s="456"/>
      <c r="AF595" s="467"/>
      <c r="AG595" s="87"/>
      <c r="AH595" s="87"/>
      <c r="AI595" s="87"/>
    </row>
    <row r="596" spans="1:35" hidden="1">
      <c r="A596" s="80" t="e">
        <f>"D"&amp;E589</f>
        <v>#N/A</v>
      </c>
      <c r="B596" s="105">
        <v>4</v>
      </c>
      <c r="C596" s="107"/>
      <c r="D596" s="107"/>
      <c r="E596" s="107"/>
      <c r="F596" s="107"/>
      <c r="G596" s="83"/>
      <c r="H596" s="83"/>
      <c r="I596" s="84"/>
      <c r="J596" s="85"/>
      <c r="K596" s="382"/>
      <c r="L596" s="85"/>
      <c r="M596" s="332" t="str">
        <f t="shared" si="160"/>
        <v/>
      </c>
      <c r="N596" s="86"/>
      <c r="O596" s="453" t="str">
        <f t="shared" si="162"/>
        <v/>
      </c>
      <c r="P596" s="538" t="str">
        <f t="shared" si="163"/>
        <v/>
      </c>
      <c r="Q596" s="539" t="str">
        <f t="shared" si="161"/>
        <v/>
      </c>
      <c r="R596" s="706"/>
      <c r="S596" s="707"/>
      <c r="T596" s="708"/>
      <c r="U596" s="472"/>
      <c r="V596" s="166"/>
      <c r="W596" s="446"/>
      <c r="X596" s="456"/>
      <c r="Y596" s="436"/>
      <c r="Z596" s="437"/>
      <c r="AA596" s="560"/>
      <c r="AB596" s="561"/>
      <c r="AC596" s="87"/>
      <c r="AD596" s="466"/>
      <c r="AE596" s="456"/>
      <c r="AF596" s="467"/>
      <c r="AG596" s="87"/>
      <c r="AH596" s="87"/>
      <c r="AI596" s="87"/>
    </row>
    <row r="597" spans="1:35" hidden="1">
      <c r="A597" s="80" t="e">
        <f>"E"&amp;E589</f>
        <v>#N/A</v>
      </c>
      <c r="B597" s="105">
        <v>5</v>
      </c>
      <c r="C597" s="107"/>
      <c r="D597" s="107"/>
      <c r="E597" s="107"/>
      <c r="F597" s="107"/>
      <c r="G597" s="83"/>
      <c r="H597" s="83"/>
      <c r="I597" s="84"/>
      <c r="J597" s="85"/>
      <c r="K597" s="382"/>
      <c r="L597" s="85"/>
      <c r="M597" s="332" t="str">
        <f t="shared" si="160"/>
        <v/>
      </c>
      <c r="N597" s="86"/>
      <c r="O597" s="453" t="str">
        <f t="shared" si="162"/>
        <v/>
      </c>
      <c r="P597" s="538" t="str">
        <f t="shared" si="163"/>
        <v/>
      </c>
      <c r="Q597" s="539" t="str">
        <f t="shared" si="161"/>
        <v/>
      </c>
      <c r="R597" s="706"/>
      <c r="S597" s="707"/>
      <c r="T597" s="708"/>
      <c r="U597" s="472"/>
      <c r="V597" s="167"/>
      <c r="W597" s="446"/>
      <c r="X597" s="456"/>
      <c r="Y597" s="436"/>
      <c r="Z597" s="437"/>
      <c r="AA597" s="560"/>
      <c r="AB597" s="561"/>
      <c r="AC597" s="87"/>
      <c r="AD597" s="466"/>
      <c r="AE597" s="456"/>
      <c r="AF597" s="467"/>
      <c r="AG597" s="87"/>
      <c r="AH597" s="87"/>
      <c r="AI597" s="87"/>
    </row>
    <row r="598" spans="1:35" hidden="1">
      <c r="A598" s="80" t="e">
        <f>"F"&amp;E589</f>
        <v>#N/A</v>
      </c>
      <c r="B598" s="105">
        <v>6</v>
      </c>
      <c r="C598" s="107"/>
      <c r="D598" s="107"/>
      <c r="E598" s="107"/>
      <c r="F598" s="107"/>
      <c r="G598" s="83"/>
      <c r="H598" s="83"/>
      <c r="I598" s="84"/>
      <c r="J598" s="85"/>
      <c r="K598" s="382"/>
      <c r="L598" s="85"/>
      <c r="M598" s="332" t="str">
        <f t="shared" si="160"/>
        <v/>
      </c>
      <c r="N598" s="86"/>
      <c r="O598" s="453" t="str">
        <f t="shared" si="162"/>
        <v/>
      </c>
      <c r="P598" s="538" t="str">
        <f t="shared" si="163"/>
        <v/>
      </c>
      <c r="Q598" s="539" t="str">
        <f t="shared" si="161"/>
        <v/>
      </c>
      <c r="R598" s="706"/>
      <c r="S598" s="707"/>
      <c r="T598" s="708"/>
      <c r="U598" s="472"/>
      <c r="V598" s="167"/>
      <c r="W598" s="446"/>
      <c r="X598" s="456"/>
      <c r="Y598" s="436"/>
      <c r="Z598" s="437"/>
      <c r="AA598" s="560"/>
      <c r="AB598" s="561"/>
      <c r="AC598" s="87"/>
      <c r="AD598" s="466"/>
      <c r="AE598" s="456"/>
      <c r="AF598" s="467"/>
      <c r="AG598" s="87"/>
      <c r="AH598" s="87"/>
      <c r="AI598" s="87"/>
    </row>
    <row r="599" spans="1:35" hidden="1">
      <c r="A599" s="80" t="e">
        <f>"G"&amp;E589</f>
        <v>#N/A</v>
      </c>
      <c r="B599" s="105">
        <v>7</v>
      </c>
      <c r="C599" s="107"/>
      <c r="D599" s="107"/>
      <c r="E599" s="107"/>
      <c r="F599" s="107"/>
      <c r="G599" s="83"/>
      <c r="H599" s="83"/>
      <c r="I599" s="84"/>
      <c r="J599" s="85"/>
      <c r="K599" s="382"/>
      <c r="L599" s="85"/>
      <c r="M599" s="332" t="str">
        <f t="shared" si="160"/>
        <v/>
      </c>
      <c r="N599" s="86"/>
      <c r="O599" s="86" t="str">
        <f t="shared" si="162"/>
        <v/>
      </c>
      <c r="P599" s="538" t="str">
        <f t="shared" si="163"/>
        <v/>
      </c>
      <c r="Q599" s="539" t="str">
        <f t="shared" si="161"/>
        <v/>
      </c>
      <c r="R599" s="706"/>
      <c r="S599" s="707"/>
      <c r="T599" s="708"/>
      <c r="U599" s="472"/>
      <c r="V599" s="167"/>
      <c r="W599" s="446"/>
      <c r="X599" s="456"/>
      <c r="Y599" s="436"/>
      <c r="Z599" s="437"/>
      <c r="AA599" s="560"/>
      <c r="AB599" s="561"/>
      <c r="AC599" s="87"/>
      <c r="AD599" s="466"/>
      <c r="AE599" s="456"/>
      <c r="AF599" s="467"/>
      <c r="AG599" s="87"/>
      <c r="AH599" s="87"/>
      <c r="AI599" s="87"/>
    </row>
    <row r="600" spans="1:35" hidden="1">
      <c r="A600" s="80" t="e">
        <f>"H"&amp;E589</f>
        <v>#N/A</v>
      </c>
      <c r="B600" s="105">
        <v>8</v>
      </c>
      <c r="C600" s="107"/>
      <c r="D600" s="107"/>
      <c r="E600" s="107"/>
      <c r="F600" s="107"/>
      <c r="G600" s="83"/>
      <c r="H600" s="83"/>
      <c r="I600" s="84"/>
      <c r="J600" s="85"/>
      <c r="K600" s="382"/>
      <c r="L600" s="85"/>
      <c r="M600" s="332" t="str">
        <f t="shared" si="160"/>
        <v/>
      </c>
      <c r="N600" s="453"/>
      <c r="O600" s="86" t="str">
        <f t="shared" si="162"/>
        <v/>
      </c>
      <c r="P600" s="538" t="str">
        <f t="shared" si="163"/>
        <v/>
      </c>
      <c r="Q600" s="539" t="str">
        <f t="shared" si="161"/>
        <v/>
      </c>
      <c r="R600" s="706"/>
      <c r="S600" s="707"/>
      <c r="T600" s="708"/>
      <c r="U600" s="472"/>
      <c r="V600" s="167"/>
      <c r="W600" s="446"/>
      <c r="X600" s="456"/>
      <c r="Y600" s="436"/>
      <c r="Z600" s="437"/>
      <c r="AA600" s="560"/>
      <c r="AB600" s="561"/>
      <c r="AC600" s="87"/>
      <c r="AD600" s="466"/>
      <c r="AE600" s="456"/>
      <c r="AF600" s="467"/>
      <c r="AG600" s="87"/>
      <c r="AH600" s="87"/>
      <c r="AI600" s="87"/>
    </row>
    <row r="601" spans="1:35" hidden="1">
      <c r="A601" s="80" t="e">
        <f>"I"&amp;E589</f>
        <v>#N/A</v>
      </c>
      <c r="B601" s="105">
        <v>9</v>
      </c>
      <c r="C601" s="107"/>
      <c r="D601" s="107"/>
      <c r="E601" s="107"/>
      <c r="F601" s="107"/>
      <c r="G601" s="83"/>
      <c r="H601" s="83"/>
      <c r="I601" s="84"/>
      <c r="J601" s="85"/>
      <c r="K601" s="382"/>
      <c r="L601" s="85"/>
      <c r="M601" s="332" t="str">
        <f t="shared" si="160"/>
        <v/>
      </c>
      <c r="N601" s="453"/>
      <c r="O601" s="86" t="str">
        <f t="shared" si="162"/>
        <v/>
      </c>
      <c r="P601" s="538" t="str">
        <f t="shared" si="163"/>
        <v/>
      </c>
      <c r="Q601" s="539" t="str">
        <f t="shared" si="161"/>
        <v/>
      </c>
      <c r="R601" s="706"/>
      <c r="S601" s="707"/>
      <c r="T601" s="708"/>
      <c r="U601" s="472"/>
      <c r="V601" s="167"/>
      <c r="W601" s="446"/>
      <c r="X601" s="456"/>
      <c r="Y601" s="436"/>
      <c r="Z601" s="437"/>
      <c r="AA601" s="560"/>
      <c r="AB601" s="561"/>
      <c r="AC601" s="87"/>
      <c r="AD601" s="466"/>
      <c r="AE601" s="456"/>
      <c r="AF601" s="467"/>
      <c r="AG601" s="87"/>
      <c r="AH601" s="87"/>
      <c r="AI601" s="87"/>
    </row>
    <row r="602" spans="1:35" hidden="1">
      <c r="A602" s="80" t="e">
        <f>"J"&amp;E589</f>
        <v>#N/A</v>
      </c>
      <c r="B602" s="105">
        <v>10</v>
      </c>
      <c r="C602" s="107"/>
      <c r="D602" s="107"/>
      <c r="E602" s="107"/>
      <c r="F602" s="107"/>
      <c r="G602" s="83"/>
      <c r="H602" s="83"/>
      <c r="I602" s="84"/>
      <c r="J602" s="85"/>
      <c r="K602" s="382"/>
      <c r="L602" s="85"/>
      <c r="M602" s="332" t="str">
        <f t="shared" si="160"/>
        <v/>
      </c>
      <c r="N602" s="453"/>
      <c r="O602" s="86" t="str">
        <f t="shared" si="162"/>
        <v/>
      </c>
      <c r="P602" s="538" t="str">
        <f t="shared" si="163"/>
        <v/>
      </c>
      <c r="Q602" s="539" t="str">
        <f t="shared" si="161"/>
        <v/>
      </c>
      <c r="R602" s="706"/>
      <c r="S602" s="707"/>
      <c r="T602" s="708"/>
      <c r="U602" s="472"/>
      <c r="V602" s="167"/>
      <c r="W602" s="446"/>
      <c r="X602" s="456"/>
      <c r="Y602" s="436"/>
      <c r="Z602" s="437"/>
      <c r="AA602" s="560"/>
      <c r="AB602" s="561"/>
      <c r="AC602" s="87"/>
      <c r="AD602" s="466"/>
      <c r="AE602" s="456"/>
      <c r="AF602" s="467"/>
      <c r="AG602" s="87"/>
      <c r="AH602" s="87"/>
      <c r="AI602" s="87"/>
    </row>
    <row r="603" spans="1:35" ht="16.5" hidden="1" thickBot="1">
      <c r="A603" s="44"/>
      <c r="B603" s="89"/>
      <c r="C603" s="90"/>
      <c r="D603" s="90"/>
      <c r="E603" s="90"/>
      <c r="F603" s="90"/>
      <c r="G603" s="90"/>
      <c r="H603" s="90"/>
      <c r="I603" s="90"/>
      <c r="J603" s="90"/>
      <c r="K603" s="90"/>
      <c r="L603" s="90"/>
      <c r="M603" s="90"/>
      <c r="N603" s="90"/>
      <c r="O603" s="90"/>
      <c r="P603" s="90"/>
      <c r="Q603" s="90"/>
      <c r="R603" s="90"/>
      <c r="S603" s="91"/>
      <c r="T603" s="92"/>
      <c r="U603" s="473"/>
      <c r="W603" s="438"/>
      <c r="X603" s="455"/>
      <c r="Y603" s="439"/>
      <c r="Z603" s="437"/>
      <c r="AA603" s="530"/>
      <c r="AB603" s="563"/>
      <c r="AC603" s="87"/>
      <c r="AD603" s="440"/>
      <c r="AE603" s="441"/>
      <c r="AF603" s="442"/>
      <c r="AG603" s="49"/>
      <c r="AH603" s="87"/>
      <c r="AI603" s="87"/>
    </row>
    <row r="604" spans="1:35" ht="16.5" hidden="1" thickBot="1">
      <c r="A604" s="93"/>
      <c r="B604" s="94"/>
      <c r="C604" s="96"/>
      <c r="D604" s="96"/>
      <c r="E604" s="96"/>
      <c r="F604" s="96"/>
      <c r="G604" s="96"/>
      <c r="H604" s="96"/>
      <c r="I604" s="96"/>
      <c r="J604" s="96"/>
      <c r="K604" s="96"/>
      <c r="L604" s="96"/>
      <c r="M604" s="136"/>
      <c r="N604" s="96"/>
      <c r="O604" s="96"/>
      <c r="P604" s="97"/>
      <c r="Q604" s="97"/>
      <c r="R604" s="98"/>
      <c r="S604" s="95"/>
      <c r="T604" s="99"/>
      <c r="U604" s="469"/>
      <c r="AC604" s="58"/>
      <c r="AG604" s="58"/>
      <c r="AH604" s="87"/>
      <c r="AI604" s="87"/>
    </row>
    <row r="605" spans="1:35" ht="16.5" hidden="1" thickBot="1">
      <c r="B605" s="101"/>
      <c r="C605" s="101"/>
      <c r="D605" s="101"/>
      <c r="E605" s="101"/>
      <c r="F605" s="101"/>
      <c r="G605" s="101"/>
      <c r="H605" s="101"/>
      <c r="I605" s="101"/>
      <c r="J605" s="101"/>
      <c r="K605" s="101"/>
      <c r="L605" s="101"/>
      <c r="M605" s="101"/>
      <c r="N605" s="101"/>
      <c r="O605" s="101"/>
      <c r="P605" s="101"/>
      <c r="Q605" s="101"/>
      <c r="R605" s="101"/>
      <c r="S605" s="101"/>
      <c r="U605" s="50"/>
      <c r="AH605" s="87"/>
      <c r="AI605" s="87"/>
    </row>
    <row r="606" spans="1:35" ht="16.5" hidden="1" customHeight="1" thickBot="1">
      <c r="A606" s="44"/>
      <c r="B606" s="705" t="s">
        <v>74</v>
      </c>
      <c r="C606" s="705"/>
      <c r="D606" s="705"/>
      <c r="E606" s="705"/>
      <c r="F606" s="705"/>
      <c r="G606" s="705"/>
      <c r="H606" s="705"/>
      <c r="I606" s="705"/>
      <c r="J606" s="705"/>
      <c r="K606" s="705"/>
      <c r="L606" s="705"/>
      <c r="M606" s="705"/>
      <c r="N606" s="705"/>
      <c r="O606" s="705"/>
      <c r="P606" s="705"/>
      <c r="Q606" s="705"/>
      <c r="R606" s="705"/>
      <c r="S606" s="705"/>
      <c r="T606" s="705"/>
      <c r="U606" s="108"/>
      <c r="Y606" s="532" t="s">
        <v>341</v>
      </c>
      <c r="AC606" s="49"/>
      <c r="AD606" s="687" t="s">
        <v>302</v>
      </c>
      <c r="AE606" s="688"/>
      <c r="AF606" s="689"/>
      <c r="AG606" s="49"/>
      <c r="AH606" s="87"/>
      <c r="AI606" s="87"/>
    </row>
    <row r="607" spans="1:35" ht="15.75" hidden="1" customHeight="1" thickBot="1">
      <c r="A607" s="218" t="e">
        <f>"K"&amp;E589</f>
        <v>#N/A</v>
      </c>
      <c r="B607" s="701" t="s">
        <v>71</v>
      </c>
      <c r="C607" s="751" t="s">
        <v>102</v>
      </c>
      <c r="D607" s="751"/>
      <c r="E607" s="751"/>
      <c r="F607" s="751"/>
      <c r="G607" s="751"/>
      <c r="H607" s="751"/>
      <c r="I607" s="751"/>
      <c r="J607" s="751"/>
      <c r="K607" s="751"/>
      <c r="L607" s="722" t="s">
        <v>100</v>
      </c>
      <c r="M607" s="747" t="s">
        <v>114</v>
      </c>
      <c r="N607" s="747"/>
      <c r="O607" s="747"/>
      <c r="P607" s="747"/>
      <c r="Q607" s="748"/>
      <c r="R607" s="758" t="s">
        <v>280</v>
      </c>
      <c r="S607" s="748"/>
      <c r="T607" s="762" t="str">
        <f>IF(COUNTIF(AE607:AF607,"VERIFICAR")&gt;0,"VERIFICAR",IF(COUNTIF(AE607:AF607,"NO CUMPLE")&gt;0,"NO CUMPLE","CUMPLE"))</f>
        <v>VERIFICAR</v>
      </c>
      <c r="U607" s="108"/>
      <c r="Y607" s="533" t="e">
        <f>IF(F608="","",IF(F608=1,"INDIVIDUAL","ESTRUCTURA PLURAL"))</f>
        <v>#N/A</v>
      </c>
      <c r="AC607" s="52"/>
      <c r="AD607" s="475" t="s">
        <v>303</v>
      </c>
      <c r="AE607" s="476" t="str">
        <f>IF(COUNTIF(AE593:AE602,"")=10,"VERIFICAR",IF(COUNTIF(AE593:AE602,"SI")&gt;0,"CUMPLE","NO CUMPLE"))</f>
        <v>VERIFICAR</v>
      </c>
      <c r="AF607" s="477" t="str">
        <f>IF(COUNTIF(AF593:AF602,"")=10,"VERIFICAR",IF(COUNTIF(AF593:AF602,"SI")&gt;=$AI$22,"CUMPLE","NO CUMPLE"))</f>
        <v>VERIFICAR</v>
      </c>
      <c r="AG607" s="52"/>
      <c r="AH607" s="87"/>
      <c r="AI607" s="87"/>
    </row>
    <row r="608" spans="1:35" ht="16.5" hidden="1" customHeight="1" thickBot="1">
      <c r="A608" s="218" t="e">
        <f>"L"&amp;E589</f>
        <v>#N/A</v>
      </c>
      <c r="B608" s="702"/>
      <c r="C608" s="751" t="s">
        <v>103</v>
      </c>
      <c r="D608" s="751"/>
      <c r="E608" s="752"/>
      <c r="F608" s="557" t="e">
        <f>IF(VLOOKUP(E589,PROPONENTES!$C$19:$E$218,3,0)="","",VLOOKUP(E589,PROPONENTES!$C$19:$E$218,3,0))</f>
        <v>#N/A</v>
      </c>
      <c r="G608" s="753" t="s">
        <v>104</v>
      </c>
      <c r="H608" s="751"/>
      <c r="I608" s="715" t="e">
        <f>IF(OR(F608="",F608=1),"INTERESADO PERSONA NATURAL O JURIDICA","CONSORCIO O UNION TEMPORAL")</f>
        <v>#N/A</v>
      </c>
      <c r="J608" s="725"/>
      <c r="K608" s="728"/>
      <c r="L608" s="723"/>
      <c r="M608" s="749"/>
      <c r="N608" s="749"/>
      <c r="O608" s="749"/>
      <c r="P608" s="749"/>
      <c r="Q608" s="750"/>
      <c r="R608" s="712"/>
      <c r="S608" s="750"/>
      <c r="T608" s="763"/>
      <c r="U608" s="108"/>
      <c r="Y608" s="534"/>
      <c r="AA608" s="52"/>
      <c r="AB608" s="52"/>
      <c r="AC608" s="52"/>
      <c r="AG608" s="52"/>
      <c r="AH608" s="87"/>
      <c r="AI608" s="87"/>
    </row>
    <row r="609" spans="1:35" ht="56.25" hidden="1" customHeight="1" thickBot="1">
      <c r="A609" s="218" t="e">
        <f>"M"&amp;E589</f>
        <v>#N/A</v>
      </c>
      <c r="B609" s="702"/>
      <c r="C609" s="725" t="s">
        <v>101</v>
      </c>
      <c r="D609" s="716"/>
      <c r="E609" s="558" t="s">
        <v>105</v>
      </c>
      <c r="F609" s="554" t="s">
        <v>87</v>
      </c>
      <c r="G609" s="553" t="s">
        <v>86</v>
      </c>
      <c r="H609" s="559" t="s">
        <v>85</v>
      </c>
      <c r="I609" s="554" t="s">
        <v>252</v>
      </c>
      <c r="J609" s="553" t="str">
        <f>"¿EL INTEGRANTE TIENE UNA PARTICIPACIÓN DEL "&amp;PORCREQUERIDOINT*100&amp;"%?"</f>
        <v>¿EL INTEGRANTE TIENE UNA PARTICIPACIÓN DEL 60%?</v>
      </c>
      <c r="K609" s="554" t="s">
        <v>107</v>
      </c>
      <c r="L609" s="724"/>
      <c r="M609" s="717" t="s">
        <v>115</v>
      </c>
      <c r="N609" s="718"/>
      <c r="O609" s="718"/>
      <c r="P609" s="718"/>
      <c r="Q609" s="223">
        <f>IF(AND(H593="SI",P593&gt;=0),1,0)+IF(AND(H594="SI",P594&gt;=0),1,0)+IF(AND(H595="SI",P595&gt;=0),1,0)+IF(AND(H596="SI",P596&gt;=0),1,0)+IF(AND(H597="SI",P597&gt;=0),1,0)+IF(AND(H598="SI",P598&gt;=0),1,0)+IF(AND(H599="SI",P599&gt;=0),1,0)+IF(AND(H600="SI",P600&gt;=0),1,0)+IF(AND(H601="SI",P601&gt;=0),1,0)+IF(AND(H602="SI",P602&gt;=0),1,0)</f>
        <v>0</v>
      </c>
      <c r="R609" s="759"/>
      <c r="S609" s="761"/>
      <c r="T609" s="764"/>
      <c r="U609" s="219"/>
      <c r="V609" s="464"/>
      <c r="Y609" s="532" t="s">
        <v>342</v>
      </c>
      <c r="AA609" s="550" t="s">
        <v>344</v>
      </c>
      <c r="AB609" s="693" t="s">
        <v>345</v>
      </c>
      <c r="AC609" s="693" t="s">
        <v>346</v>
      </c>
      <c r="AD609" s="685" t="s">
        <v>347</v>
      </c>
      <c r="AE609" s="52"/>
      <c r="AF609" s="52"/>
      <c r="AG609" s="52"/>
      <c r="AH609" s="87"/>
      <c r="AI609" s="87"/>
    </row>
    <row r="610" spans="1:35" ht="15.75" hidden="1" customHeight="1" thickBot="1">
      <c r="A610" s="218" t="e">
        <f>"N"&amp;E589</f>
        <v>#N/A</v>
      </c>
      <c r="B610" s="702"/>
      <c r="C610" s="114">
        <v>1</v>
      </c>
      <c r="D610" s="194" t="e">
        <f>IF(AND(C610&lt;=F608,F608&gt;1,F608&lt;&gt;""),VLOOKUP(VALUE(E589&amp;","&amp;C610),INTEGRANTES!$D$18:$F$235,2,0),"")</f>
        <v>#N/A</v>
      </c>
      <c r="E610" s="211" t="e">
        <f>IF(D610&lt;&gt;"",VLOOKUP(VALUE(E589&amp;","&amp;C610),INTEGRANTES!$D$18:$F$235,3,0),"")</f>
        <v>#N/A</v>
      </c>
      <c r="F610" s="547" t="e">
        <f>IF(D610="","",SUMIF($I593:$I602,D610,$P593:$P602))</f>
        <v>#N/A</v>
      </c>
      <c r="G610" s="333" t="e">
        <f>IF(D610="","",SUMIF($I593:$I602,D610,$M593:$M602))</f>
        <v>#N/A</v>
      </c>
      <c r="H610" s="535" t="e">
        <f t="shared" ref="H610:H615" si="164">IF(D610="","",IF(OR(F610=0,G610=0),"NO APORTA",ROUND($F610/$G610,3)))</f>
        <v>#N/A</v>
      </c>
      <c r="I610" s="212" t="e">
        <f>IF(D610="","",IF(H610="NO APORTA","NO",IF(H610=MAX($H610:$H615),"SI","NO")))</f>
        <v>#N/A</v>
      </c>
      <c r="J610" s="213" t="e">
        <f t="shared" ref="J610:J615" si="165">IF(D610="","",IF(E610&gt;=PORCREQUERIDOINT,"SI","NO"))</f>
        <v>#N/A</v>
      </c>
      <c r="K610" s="200" t="e">
        <f t="shared" ref="K610:K615" si="166">IF(D610="","",IF(AND(I610="SI",J610="SI"),"CUMPLE",IF(AND(I610="NO",OR(J610="SI",J610="NO")),"","NO CUMPLE")))</f>
        <v>#N/A</v>
      </c>
      <c r="L610" s="722" t="s">
        <v>108</v>
      </c>
      <c r="M610" s="726" t="s">
        <v>119</v>
      </c>
      <c r="N610" s="726"/>
      <c r="O610" s="726"/>
      <c r="P610" s="726"/>
      <c r="Q610" s="727"/>
      <c r="R610" s="758" t="s">
        <v>80</v>
      </c>
      <c r="S610" s="747"/>
      <c r="T610" s="748"/>
      <c r="U610" s="219"/>
      <c r="V610" s="464"/>
      <c r="Y610" s="533" t="e">
        <f>IF(Y607="","",IF(Y607="INDIVIDUAL","NO APLICA","VERIFICAR CUADRO"))</f>
        <v>#N/A</v>
      </c>
      <c r="AA610" s="551"/>
      <c r="AB610" s="694"/>
      <c r="AC610" s="694"/>
      <c r="AD610" s="686"/>
      <c r="AE610" s="52"/>
      <c r="AF610" s="52"/>
      <c r="AG610" s="52"/>
      <c r="AH610" s="87"/>
      <c r="AI610" s="87"/>
    </row>
    <row r="611" spans="1:35" ht="27" hidden="1" customHeight="1" thickBot="1">
      <c r="A611" s="218" t="e">
        <f>"O"&amp;E589</f>
        <v>#N/A</v>
      </c>
      <c r="B611" s="702"/>
      <c r="C611" s="114">
        <v>2</v>
      </c>
      <c r="D611" s="194" t="e">
        <f>IF(AND(C611&lt;=F608,F608&lt;&gt;""),VLOOKUP(VALUE(E589&amp;","&amp;C611),INTEGRANTES!$D$18:$F$235,2,0),"")</f>
        <v>#N/A</v>
      </c>
      <c r="E611" s="211" t="e">
        <f>IF(D611&lt;&gt;"",VLOOKUP(VALUE(E589&amp;","&amp;C611),INTEGRANTES!$D$18:$F$235,3,0),"")</f>
        <v>#N/A</v>
      </c>
      <c r="F611" s="547" t="e">
        <f>IF(D611="","",SUMIF($I593:$I602,D611,$P593:$P602))</f>
        <v>#N/A</v>
      </c>
      <c r="G611" s="333" t="e">
        <f>IF(D611="","",SUMIF($I593:$I602,D611,$M593:$M602))</f>
        <v>#N/A</v>
      </c>
      <c r="H611" s="535" t="e">
        <f t="shared" si="164"/>
        <v>#N/A</v>
      </c>
      <c r="I611" s="212" t="e">
        <f>IF(D611="","",IF(H611="NO APORTA","NO",IF(H611=MAX($H610:$H615),"SI","NO")))</f>
        <v>#N/A</v>
      </c>
      <c r="J611" s="213" t="e">
        <f t="shared" si="165"/>
        <v>#N/A</v>
      </c>
      <c r="K611" s="200" t="e">
        <f t="shared" si="166"/>
        <v>#N/A</v>
      </c>
      <c r="L611" s="723"/>
      <c r="M611" s="715" t="s">
        <v>116</v>
      </c>
      <c r="N611" s="716"/>
      <c r="O611" s="556" t="s">
        <v>113</v>
      </c>
      <c r="P611" s="715" t="s">
        <v>117</v>
      </c>
      <c r="Q611" s="728"/>
      <c r="R611" s="759"/>
      <c r="S611" s="760"/>
      <c r="T611" s="761"/>
      <c r="U611" s="219"/>
      <c r="V611" s="464"/>
      <c r="Y611" s="414"/>
      <c r="AA611" s="542" t="e">
        <f>IF(AND(C610&lt;=F608,F608&gt;1,F608&lt;&gt;""),VLOOKUP(VALUE(E589&amp;","&amp;C610),INTEGRANTES!$D$18:$F$235,2,0),"")</f>
        <v>#N/A</v>
      </c>
      <c r="AB611" s="544" t="e">
        <f t="shared" ref="AB611:AB616" si="167">IF(D610="","",IF(OR(F610=0,G610=0),"NO APORTA",ROUND($F610/$G610,3)))</f>
        <v>#N/A</v>
      </c>
      <c r="AC611" s="529"/>
      <c r="AD611" s="200" t="e">
        <f t="shared" ref="AD611:AD616" si="168">IF(OR(AA611="",AB611=""),"",IF(AND(AC611="X",AB611&gt;=EXPREQVTD),"CUMPLE","NO CUMPLE"))</f>
        <v>#N/A</v>
      </c>
      <c r="AE611" s="52"/>
      <c r="AF611" s="52"/>
      <c r="AG611" s="52"/>
      <c r="AH611" s="87"/>
      <c r="AI611" s="87"/>
    </row>
    <row r="612" spans="1:35" ht="16.5" hidden="1" thickBot="1">
      <c r="A612" s="218" t="e">
        <f>"P"&amp;E589</f>
        <v>#N/A</v>
      </c>
      <c r="B612" s="702"/>
      <c r="C612" s="114">
        <v>3</v>
      </c>
      <c r="D612" s="194" t="e">
        <f>IF(AND(C612&lt;=F608,F608&lt;&gt;""),VLOOKUP(VALUE(E589&amp;","&amp;C612),INTEGRANTES!$D$18:$F$235,2,0),"")</f>
        <v>#N/A</v>
      </c>
      <c r="E612" s="211" t="e">
        <f>IF(D612&lt;&gt;"",VLOOKUP(VALUE(E589&amp;","&amp;C612),INTEGRANTES!$D$18:$F$235,3,0),"")</f>
        <v>#N/A</v>
      </c>
      <c r="F612" s="547" t="e">
        <f>IF(D612="","",SUMIF($I593:$I602,D612,$P593:$P602))</f>
        <v>#N/A</v>
      </c>
      <c r="G612" s="333" t="e">
        <f>IF(D612="","",SUMIF($I593:$I602,D612,$M593:$M602))</f>
        <v>#N/A</v>
      </c>
      <c r="H612" s="535" t="e">
        <f t="shared" si="164"/>
        <v>#N/A</v>
      </c>
      <c r="I612" s="212" t="e">
        <f>IF(D612="","",IF(H612="NO APORTA","NO",IF(H612=MAX($H610:$H615),"SI","NO")))</f>
        <v>#N/A</v>
      </c>
      <c r="J612" s="213" t="e">
        <f t="shared" si="165"/>
        <v>#N/A</v>
      </c>
      <c r="K612" s="200" t="e">
        <f t="shared" si="166"/>
        <v>#N/A</v>
      </c>
      <c r="L612" s="724"/>
      <c r="M612" s="729">
        <f>NUMMOD</f>
        <v>1</v>
      </c>
      <c r="N612" s="730"/>
      <c r="O612" s="443">
        <f>IF(M612="","",VLOOKUP(M612,PRESUPUESTOS!$B$16:$H$16,5,FALSE))</f>
        <v>2</v>
      </c>
      <c r="P612" s="713">
        <f>IF(OR(COUNTIF(M593:M602,"")&gt;=10,Q609&lt;NUMMINCONT,OR(T607="NO CUMPLE",T607="VERIFICAR")),0,ROUND(AVERAGE(M593:M602),3))</f>
        <v>0</v>
      </c>
      <c r="Q612" s="714"/>
      <c r="R612" s="458"/>
      <c r="S612" s="459"/>
      <c r="T612" s="460"/>
      <c r="U612" s="219"/>
      <c r="V612" s="464"/>
      <c r="Y612" s="532" t="str">
        <f>"40% * ("&amp;PRESUPUESTOS!$H$13&amp;")"</f>
        <v>40% * (50% PFMO)</v>
      </c>
      <c r="AA612" s="540" t="e">
        <f>IF(AND(C611&lt;=F608,F608&lt;&gt;""),VLOOKUP(VALUE(E589&amp;","&amp;C611),INTEGRANTES!$D$18:$F$235,2,0),"")</f>
        <v>#N/A</v>
      </c>
      <c r="AB612" s="545" t="e">
        <f t="shared" si="167"/>
        <v>#N/A</v>
      </c>
      <c r="AC612" s="529"/>
      <c r="AD612" s="200" t="e">
        <f t="shared" si="168"/>
        <v>#N/A</v>
      </c>
      <c r="AE612" s="52"/>
      <c r="AF612" s="52"/>
      <c r="AG612" s="52"/>
      <c r="AH612" s="87"/>
      <c r="AI612" s="87"/>
    </row>
    <row r="613" spans="1:35" ht="15.75" hidden="1" customHeight="1" thickBot="1">
      <c r="A613" s="218" t="e">
        <f>"Q"&amp;E589</f>
        <v>#N/A</v>
      </c>
      <c r="B613" s="702"/>
      <c r="C613" s="114">
        <v>4</v>
      </c>
      <c r="D613" s="194" t="e">
        <f>IF(AND(C613&lt;=F608,F608&lt;&gt;""),VLOOKUP(VALUE(E589&amp;","&amp;C613),INTEGRANTES!$D$18:$F$235,2,0),"")</f>
        <v>#N/A</v>
      </c>
      <c r="E613" s="211" t="e">
        <f>IF(D613&lt;&gt;"",VLOOKUP(VALUE(E589&amp;","&amp;C613),INTEGRANTES!$D$18:$F$235,3,0),"")</f>
        <v>#N/A</v>
      </c>
      <c r="F613" s="547" t="e">
        <f>IF(D613="","",SUMIF($I593:$I602,D613,$P593:$P602))</f>
        <v>#N/A</v>
      </c>
      <c r="G613" s="333" t="e">
        <f>IF(D613="","",SUMIF($I593:$I602,D613,$M593:$M602))</f>
        <v>#N/A</v>
      </c>
      <c r="H613" s="535" t="e">
        <f t="shared" si="164"/>
        <v>#N/A</v>
      </c>
      <c r="I613" s="212" t="e">
        <f>IF(D613="","",IF(H613="NO APORTA","NO",IF(H613=MAX($H610:$H615),"SI","NO")))</f>
        <v>#N/A</v>
      </c>
      <c r="J613" s="213" t="e">
        <f t="shared" si="165"/>
        <v>#N/A</v>
      </c>
      <c r="K613" s="200" t="e">
        <f t="shared" si="166"/>
        <v>#N/A</v>
      </c>
      <c r="L613" s="720" t="s">
        <v>109</v>
      </c>
      <c r="M613" s="757" t="s">
        <v>120</v>
      </c>
      <c r="N613" s="726"/>
      <c r="O613" s="726"/>
      <c r="P613" s="726"/>
      <c r="Q613" s="727"/>
      <c r="R613" s="458"/>
      <c r="S613" s="459"/>
      <c r="T613" s="460"/>
      <c r="U613" s="219"/>
      <c r="V613" s="464"/>
      <c r="Y613" s="537">
        <f>0.4*PRESUPUESTOS!$H$16</f>
        <v>10.3124</v>
      </c>
      <c r="AA613" s="540" t="e">
        <f>IF(AND(C612&lt;=F608,F608&lt;&gt;""),VLOOKUP(VALUE(E589&amp;","&amp;C612),INTEGRANTES!$D$18:$F$235,2,0),"")</f>
        <v>#N/A</v>
      </c>
      <c r="AB613" s="545" t="e">
        <f t="shared" si="167"/>
        <v>#N/A</v>
      </c>
      <c r="AC613" s="529"/>
      <c r="AD613" s="200" t="e">
        <f t="shared" si="168"/>
        <v>#N/A</v>
      </c>
      <c r="AE613" s="52"/>
      <c r="AF613" s="52"/>
      <c r="AG613" s="52"/>
      <c r="AH613" s="87"/>
      <c r="AI613" s="87"/>
    </row>
    <row r="614" spans="1:35" ht="27" hidden="1" customHeight="1" thickBot="1">
      <c r="A614" s="218" t="e">
        <f>"R"&amp;E589</f>
        <v>#N/A</v>
      </c>
      <c r="B614" s="702"/>
      <c r="C614" s="114">
        <v>5</v>
      </c>
      <c r="D614" s="194" t="e">
        <f>IF(AND(C614&lt;=F608,F608&lt;&gt;""),VLOOKUP(VALUE(E589&amp;","&amp;C614),INTEGRANTES!$D$18:$F$235,2,0),"")</f>
        <v>#N/A</v>
      </c>
      <c r="E614" s="211" t="e">
        <f>IF(D614&lt;&gt;"",VLOOKUP(VALUE(E589&amp;","&amp;C614),INTEGRANTES!$D$18:$F$235,3,0),"")</f>
        <v>#N/A</v>
      </c>
      <c r="F614" s="547" t="e">
        <f>IF(D614="","",SUMIF($I593:$I602,D614,$P593:$P602))</f>
        <v>#N/A</v>
      </c>
      <c r="G614" s="333" t="e">
        <f>IF(D614="","",SUMIF($I593:$I602,D614,$M593:$M602))</f>
        <v>#N/A</v>
      </c>
      <c r="H614" s="535" t="e">
        <f t="shared" si="164"/>
        <v>#N/A</v>
      </c>
      <c r="I614" s="212" t="e">
        <f>IF(D614="","",IF(H614="NO APORTA","NO",IF(H614=MAX($H610:$H615),"SI","NO")))</f>
        <v>#N/A</v>
      </c>
      <c r="J614" s="213" t="e">
        <f t="shared" si="165"/>
        <v>#N/A</v>
      </c>
      <c r="K614" s="200" t="e">
        <f t="shared" si="166"/>
        <v>#N/A</v>
      </c>
      <c r="L614" s="721"/>
      <c r="M614" s="715" t="s">
        <v>116</v>
      </c>
      <c r="N614" s="716"/>
      <c r="O614" s="556" t="str">
        <f>PORCREQUERIDO*100&amp;"% PMFO DEL MÓDULO"</f>
        <v>50% PMFO DEL MÓDULO</v>
      </c>
      <c r="P614" s="715" t="s">
        <v>118</v>
      </c>
      <c r="Q614" s="728"/>
      <c r="R614" s="458"/>
      <c r="S614" s="459"/>
      <c r="T614" s="460"/>
      <c r="U614" s="219"/>
      <c r="V614" s="464"/>
      <c r="Y614" s="414"/>
      <c r="AA614" s="540" t="e">
        <f>IF(AND(C613&lt;=F608,F608&lt;&gt;""),VLOOKUP(VALUE(E589&amp;","&amp;C613),INTEGRANTES!$D$18:$F$235,2,0),"")</f>
        <v>#N/A</v>
      </c>
      <c r="AB614" s="545" t="e">
        <f t="shared" si="167"/>
        <v>#N/A</v>
      </c>
      <c r="AC614" s="529"/>
      <c r="AD614" s="200" t="e">
        <f t="shared" si="168"/>
        <v>#N/A</v>
      </c>
      <c r="AE614" s="52"/>
      <c r="AF614" s="52"/>
      <c r="AG614" s="52"/>
      <c r="AH614" s="87"/>
      <c r="AI614" s="87"/>
    </row>
    <row r="615" spans="1:35" ht="16.5" hidden="1" thickBot="1">
      <c r="A615" s="218" t="e">
        <f>"S"&amp;E589</f>
        <v>#N/A</v>
      </c>
      <c r="B615" s="702"/>
      <c r="C615" s="215">
        <v>6</v>
      </c>
      <c r="D615" s="216" t="e">
        <f>IF(AND(C615&lt;=F608,F608&lt;&gt;""),VLOOKUP(VALUE(E589&amp;","&amp;C615),INTEGRANTES!$D$18:$F$235,2,0),"")</f>
        <v>#N/A</v>
      </c>
      <c r="E615" s="217" t="e">
        <f>IF(D615&lt;&gt;"",VLOOKUP(VALUE(E589&amp;","&amp;C615),INTEGRANTES!$D$18:$F$235,3,0),"")</f>
        <v>#N/A</v>
      </c>
      <c r="F615" s="548" t="e">
        <f>IF(D615="","",SUMIF($I593:$I602,D615,$P593:$P602))</f>
        <v>#N/A</v>
      </c>
      <c r="G615" s="334" t="e">
        <f>IF(D615="","",SUMIF($I593:$I602,D615,$M593:$M602))</f>
        <v>#N/A</v>
      </c>
      <c r="H615" s="536" t="e">
        <f t="shared" si="164"/>
        <v>#N/A</v>
      </c>
      <c r="I615" s="214" t="e">
        <f>IF(D615="","",IF(H615="NO APORTA","NO",IF(H615=MAX($H610:$H615),"SI","NO")))</f>
        <v>#N/A</v>
      </c>
      <c r="J615" s="213" t="e">
        <f t="shared" si="165"/>
        <v>#N/A</v>
      </c>
      <c r="K615" s="200" t="e">
        <f t="shared" si="166"/>
        <v>#N/A</v>
      </c>
      <c r="L615" s="721"/>
      <c r="M615" s="729">
        <f>NUMMOD</f>
        <v>1</v>
      </c>
      <c r="N615" s="730"/>
      <c r="O615" s="443">
        <f>IF(M615="","",ROUND(VLOOKUP(M615,PRESUPUESTOS!$B$16:$H$16,7,FALSE),3))</f>
        <v>25.780999999999999</v>
      </c>
      <c r="P615" s="713">
        <f>IF(OR(COUNTIF(P593:P602,"")&gt;=10,Q609&lt;NUMMINCONT,OR(T607="NO CUMPLE",T607="VERIFICAR")),0,ROUND((SUM(P593:P602)/SUM(M593:M602)),3))</f>
        <v>0</v>
      </c>
      <c r="Q615" s="714"/>
      <c r="R615" s="458"/>
      <c r="S615" s="459"/>
      <c r="T615" s="460"/>
      <c r="U615" s="219"/>
      <c r="V615" s="464"/>
      <c r="Y615" s="532" t="s">
        <v>343</v>
      </c>
      <c r="AA615" s="540" t="e">
        <f>IF(AND(C614&lt;=F608,F608&lt;&gt;""),VLOOKUP(VALUE(E589&amp;","&amp;C614),INTEGRANTES!$D$18:$F$235,2,0),"")</f>
        <v>#N/A</v>
      </c>
      <c r="AB615" s="545" t="e">
        <f t="shared" si="167"/>
        <v>#N/A</v>
      </c>
      <c r="AC615" s="529"/>
      <c r="AD615" s="200" t="e">
        <f t="shared" si="168"/>
        <v>#N/A</v>
      </c>
      <c r="AE615" s="52"/>
      <c r="AF615" s="52"/>
      <c r="AG615" s="52"/>
      <c r="AH615" s="87"/>
      <c r="AI615" s="87"/>
    </row>
    <row r="616" spans="1:35" ht="16.5" hidden="1" customHeight="1" thickBot="1">
      <c r="A616" s="218" t="e">
        <f>"T"&amp;E589</f>
        <v>#N/A</v>
      </c>
      <c r="B616" s="703"/>
      <c r="C616" s="719"/>
      <c r="D616" s="719"/>
      <c r="E616" s="719"/>
      <c r="F616" s="719"/>
      <c r="G616" s="719"/>
      <c r="H616" s="719" t="s">
        <v>110</v>
      </c>
      <c r="I616" s="719"/>
      <c r="J616" s="719"/>
      <c r="K616" s="201" t="str">
        <f>IF(COUNTIF(K610:K615,"")=6,"",IF(COUNTIF(K610:K615,"CUMPLE")&gt;0,"CUMPLE","NO CUMPLE"))</f>
        <v>NO CUMPLE</v>
      </c>
      <c r="L616" s="754"/>
      <c r="M616" s="755"/>
      <c r="N616" s="755"/>
      <c r="O616" s="755"/>
      <c r="P616" s="755"/>
      <c r="Q616" s="756"/>
      <c r="R616" s="461"/>
      <c r="S616" s="462"/>
      <c r="T616" s="463"/>
      <c r="U616" s="219"/>
      <c r="V616" s="464"/>
      <c r="Y616" s="549" t="e">
        <f>IF(Y610="NO APLICA","NO APLICA",IF(COUNTIF(AD611:AD616,"CUMPLE")&gt;0,"CUMPLE","NO CUMPLE"))</f>
        <v>#N/A</v>
      </c>
      <c r="AA616" s="541" t="e">
        <f>IF(AND(C615&lt;=F608,F608&lt;&gt;""),VLOOKUP(VALUE(E589&amp;","&amp;C615),INTEGRANTES!$D$18:$F$235,2,0),"")</f>
        <v>#N/A</v>
      </c>
      <c r="AB616" s="546" t="e">
        <f t="shared" si="167"/>
        <v>#N/A</v>
      </c>
      <c r="AC616" s="543"/>
      <c r="AD616" s="201" t="e">
        <f t="shared" si="168"/>
        <v>#N/A</v>
      </c>
      <c r="AE616" s="52"/>
      <c r="AF616" s="52"/>
      <c r="AG616" s="52"/>
      <c r="AH616" s="87"/>
      <c r="AI616" s="87"/>
    </row>
    <row r="617" spans="1:35" hidden="1">
      <c r="AH617" s="87"/>
      <c r="AI617" s="87"/>
    </row>
    <row r="618" spans="1:35" hidden="1">
      <c r="AH618" s="87"/>
      <c r="AI618" s="87"/>
    </row>
    <row r="619" spans="1:35" ht="24" hidden="1" thickBot="1">
      <c r="A619" s="61">
        <v>21</v>
      </c>
      <c r="B619" s="704" t="s">
        <v>51</v>
      </c>
      <c r="C619" s="704"/>
      <c r="D619" s="704"/>
      <c r="E619" s="62" t="e">
        <f>VLOOKUP(A619,PROPONENTES!$B$19:$E$218,2,FALSE)</f>
        <v>#N/A</v>
      </c>
      <c r="F619" s="63" t="e">
        <f>VLOOKUP(A619,PROPONENTES!$B$19:$E$218,3,FALSE)</f>
        <v>#N/A</v>
      </c>
      <c r="G619" s="64"/>
      <c r="H619" s="64"/>
      <c r="I619" s="63"/>
      <c r="J619" s="63"/>
      <c r="K619" s="65"/>
      <c r="L619" s="65"/>
      <c r="M619" s="64"/>
      <c r="N619" s="64"/>
      <c r="O619" s="66"/>
      <c r="P619" s="66"/>
      <c r="Q619" s="66"/>
      <c r="R619" s="66"/>
      <c r="S619" s="67"/>
      <c r="T619" s="68"/>
      <c r="U619" s="68"/>
      <c r="AC619" s="68"/>
      <c r="AD619" s="68"/>
      <c r="AE619" s="68"/>
      <c r="AF619" s="68"/>
      <c r="AG619" s="68"/>
      <c r="AH619" s="87"/>
      <c r="AI619" s="87"/>
    </row>
    <row r="620" spans="1:35" ht="15.75" hidden="1" customHeight="1">
      <c r="A620" s="44"/>
      <c r="B620" s="709" t="s">
        <v>59</v>
      </c>
      <c r="C620" s="552" t="s">
        <v>60</v>
      </c>
      <c r="D620" s="70" t="s">
        <v>17</v>
      </c>
      <c r="E620" s="70"/>
      <c r="F620" s="70" t="s">
        <v>61</v>
      </c>
      <c r="G620" s="71"/>
      <c r="H620" s="699" t="s">
        <v>62</v>
      </c>
      <c r="I620" s="699" t="s">
        <v>18</v>
      </c>
      <c r="J620" s="699" t="s">
        <v>63</v>
      </c>
      <c r="K620" s="699" t="s">
        <v>64</v>
      </c>
      <c r="L620" s="699" t="s">
        <v>65</v>
      </c>
      <c r="M620" s="743" t="s">
        <v>66</v>
      </c>
      <c r="N620" s="699" t="s">
        <v>282</v>
      </c>
      <c r="O620" s="745" t="s">
        <v>67</v>
      </c>
      <c r="P620" s="746"/>
      <c r="Q620" s="102" t="s">
        <v>75</v>
      </c>
      <c r="R620" s="731" t="s">
        <v>22</v>
      </c>
      <c r="S620" s="732"/>
      <c r="T620" s="733"/>
      <c r="U620" s="712" t="s">
        <v>298</v>
      </c>
      <c r="W620" s="690" t="s">
        <v>268</v>
      </c>
      <c r="X620" s="691"/>
      <c r="Y620" s="692"/>
      <c r="Z620" s="428"/>
      <c r="AA620" s="697" t="s">
        <v>315</v>
      </c>
      <c r="AB620" s="695" t="s">
        <v>322</v>
      </c>
      <c r="AC620" s="49"/>
      <c r="AD620" s="690" t="s">
        <v>297</v>
      </c>
      <c r="AE620" s="691"/>
      <c r="AF620" s="692"/>
      <c r="AG620" s="49"/>
      <c r="AH620" s="87"/>
      <c r="AI620" s="87"/>
    </row>
    <row r="621" spans="1:35" ht="72" hidden="1">
      <c r="A621" s="44"/>
      <c r="B621" s="710"/>
      <c r="C621" s="553" t="s">
        <v>68</v>
      </c>
      <c r="D621" s="73" t="s">
        <v>3</v>
      </c>
      <c r="E621" s="73" t="s">
        <v>19</v>
      </c>
      <c r="F621" s="73" t="s">
        <v>69</v>
      </c>
      <c r="G621" s="74" t="s">
        <v>70</v>
      </c>
      <c r="H621" s="700"/>
      <c r="I621" s="700"/>
      <c r="J621" s="700"/>
      <c r="K621" s="700"/>
      <c r="L621" s="700"/>
      <c r="M621" s="744"/>
      <c r="N621" s="700"/>
      <c r="O621" s="553" t="s">
        <v>279</v>
      </c>
      <c r="P621" s="73" t="s">
        <v>88</v>
      </c>
      <c r="Q621" s="555" t="s">
        <v>76</v>
      </c>
      <c r="R621" s="734"/>
      <c r="S621" s="735"/>
      <c r="T621" s="736"/>
      <c r="U621" s="712"/>
      <c r="W621" s="429" t="s">
        <v>269</v>
      </c>
      <c r="X621" s="457" t="s">
        <v>278</v>
      </c>
      <c r="Y621" s="430" t="s">
        <v>324</v>
      </c>
      <c r="Z621" s="428"/>
      <c r="AA621" s="698"/>
      <c r="AB621" s="696"/>
      <c r="AC621" s="49"/>
      <c r="AD621" s="429" t="s">
        <v>292</v>
      </c>
      <c r="AE621" s="431" t="s">
        <v>300</v>
      </c>
      <c r="AF621" s="468" t="s">
        <v>301</v>
      </c>
      <c r="AG621" s="49"/>
      <c r="AH621" s="87"/>
      <c r="AI621" s="87"/>
    </row>
    <row r="622" spans="1:35" hidden="1">
      <c r="A622" s="44"/>
      <c r="B622" s="76"/>
      <c r="C622" s="77"/>
      <c r="D622" s="77"/>
      <c r="E622" s="77"/>
      <c r="F622" s="77"/>
      <c r="G622" s="77"/>
      <c r="H622" s="77"/>
      <c r="I622" s="77"/>
      <c r="J622" s="77"/>
      <c r="K622" s="77"/>
      <c r="L622" s="77"/>
      <c r="M622" s="77"/>
      <c r="N622" s="77"/>
      <c r="O622" s="77"/>
      <c r="P622" s="77"/>
      <c r="Q622" s="77"/>
      <c r="R622" s="77"/>
      <c r="S622" s="78"/>
      <c r="T622" s="79"/>
      <c r="U622" s="109"/>
      <c r="V622" s="49"/>
      <c r="W622" s="432"/>
      <c r="X622" s="454"/>
      <c r="Y622" s="433"/>
      <c r="Z622" s="6"/>
      <c r="AA622" s="500"/>
      <c r="AB622" s="562"/>
      <c r="AC622" s="49"/>
      <c r="AD622" s="210"/>
      <c r="AE622" s="434"/>
      <c r="AF622" s="435"/>
      <c r="AG622" s="49"/>
      <c r="AH622" s="87"/>
      <c r="AI622" s="87"/>
    </row>
    <row r="623" spans="1:35" hidden="1">
      <c r="A623" s="80" t="e">
        <f>"A"&amp;E619</f>
        <v>#N/A</v>
      </c>
      <c r="B623" s="81">
        <v>1</v>
      </c>
      <c r="C623" s="82"/>
      <c r="D623" s="82"/>
      <c r="E623" s="82"/>
      <c r="F623" s="82"/>
      <c r="G623" s="83"/>
      <c r="H623" s="83"/>
      <c r="I623" s="84"/>
      <c r="J623" s="85"/>
      <c r="K623" s="382"/>
      <c r="L623" s="85"/>
      <c r="M623" s="332" t="str">
        <f t="shared" ref="M623:M632" si="169">IF(OR(J623="",L623="",H623="NO"),"",IF(OR(J623&gt;$P$17,J623&lt;$O$17,L623&gt;$P$17,AND(J623&lt;$O$17,L623&lt;$O$17)),"FUERA DE RANGO",IF(OR(K623="---",K623=""),IF(J623&gt;=$O$17,ROUND((L623-J623+1)/360*12,3),ROUND((L623-$O$17+1)/360*12,3)),IF(J623&gt;=$O$17,ROUND((L623-J623+1)/360*12-ROUND(K623,3),3),ROUND((L623-$O$17+1)/360*12-ROUND(K623,3),3)))))</f>
        <v/>
      </c>
      <c r="N623" s="86"/>
      <c r="O623" s="453" t="str">
        <f>IF(OR(G623="",N623=""),"",N623*G623)</f>
        <v/>
      </c>
      <c r="P623" s="538" t="str">
        <f>IF(OR(H623="",M623="FUERA DE RANGO"),"",IF(OR(L623&lt;$O$17,L623&gt;$P$17,L623="",H623="NO"),"",IF(OR(N623="",O623=""),"",ROUND(O623,3))))</f>
        <v/>
      </c>
      <c r="Q623" s="539" t="str">
        <f t="shared" ref="Q623:Q632" si="170">IF(AND(H623="SI",P623&lt;&gt;""),ROUND(P623/M623,3),"")</f>
        <v/>
      </c>
      <c r="R623" s="737"/>
      <c r="S623" s="738"/>
      <c r="T623" s="739"/>
      <c r="U623" s="470"/>
      <c r="V623" s="165"/>
      <c r="W623" s="446"/>
      <c r="X623" s="456"/>
      <c r="Y623" s="436"/>
      <c r="Z623" s="437"/>
      <c r="AA623" s="560"/>
      <c r="AB623" s="561"/>
      <c r="AC623" s="87"/>
      <c r="AD623" s="466"/>
      <c r="AE623" s="456"/>
      <c r="AF623" s="467"/>
      <c r="AG623" s="87"/>
      <c r="AH623" s="87"/>
      <c r="AI623" s="87"/>
    </row>
    <row r="624" spans="1:35" hidden="1">
      <c r="A624" s="80" t="e">
        <f>"B"&amp;E619</f>
        <v>#N/A</v>
      </c>
      <c r="B624" s="81">
        <v>2</v>
      </c>
      <c r="C624" s="106"/>
      <c r="D624" s="106"/>
      <c r="E624" s="106"/>
      <c r="F624" s="106"/>
      <c r="G624" s="83"/>
      <c r="H624" s="83"/>
      <c r="I624" s="84"/>
      <c r="J624" s="85"/>
      <c r="K624" s="382"/>
      <c r="L624" s="85"/>
      <c r="M624" s="332" t="str">
        <f t="shared" si="169"/>
        <v/>
      </c>
      <c r="N624" s="86"/>
      <c r="O624" s="453" t="str">
        <f t="shared" ref="O624:O632" si="171">IF(OR(G624="",N624=""),"",N624*G624)</f>
        <v/>
      </c>
      <c r="P624" s="538" t="str">
        <f t="shared" ref="P624:P632" si="172">IF(OR(H624="",M624="FUERA DE RANGO"),"",IF(OR(L624&lt;$O$17,L624&gt;$P$17,L624="",H624="NO"),"",IF(OR(N624="",O624=""),"",ROUND(O624,3))))</f>
        <v/>
      </c>
      <c r="Q624" s="539" t="str">
        <f t="shared" si="170"/>
        <v/>
      </c>
      <c r="R624" s="740"/>
      <c r="S624" s="741"/>
      <c r="T624" s="742"/>
      <c r="U624" s="471"/>
      <c r="V624" s="165"/>
      <c r="W624" s="446"/>
      <c r="X624" s="456"/>
      <c r="Y624" s="436"/>
      <c r="Z624" s="437"/>
      <c r="AA624" s="560"/>
      <c r="AB624" s="561"/>
      <c r="AC624" s="87"/>
      <c r="AD624" s="466"/>
      <c r="AE624" s="456"/>
      <c r="AF624" s="467"/>
      <c r="AG624" s="87"/>
      <c r="AH624" s="87"/>
      <c r="AI624" s="87"/>
    </row>
    <row r="625" spans="1:35" hidden="1">
      <c r="A625" s="80" t="e">
        <f>"C"&amp;E619</f>
        <v>#N/A</v>
      </c>
      <c r="B625" s="88">
        <v>3</v>
      </c>
      <c r="C625" s="82"/>
      <c r="D625" s="82"/>
      <c r="E625" s="82"/>
      <c r="F625" s="82"/>
      <c r="G625" s="83"/>
      <c r="H625" s="83"/>
      <c r="I625" s="84"/>
      <c r="J625" s="85"/>
      <c r="K625" s="382"/>
      <c r="L625" s="85"/>
      <c r="M625" s="332" t="str">
        <f t="shared" si="169"/>
        <v/>
      </c>
      <c r="N625" s="86"/>
      <c r="O625" s="453" t="str">
        <f t="shared" si="171"/>
        <v/>
      </c>
      <c r="P625" s="538" t="str">
        <f t="shared" si="172"/>
        <v/>
      </c>
      <c r="Q625" s="539" t="str">
        <f t="shared" si="170"/>
        <v/>
      </c>
      <c r="R625" s="706"/>
      <c r="S625" s="707"/>
      <c r="T625" s="708"/>
      <c r="U625" s="472"/>
      <c r="V625" s="166"/>
      <c r="W625" s="446"/>
      <c r="X625" s="456"/>
      <c r="Y625" s="436"/>
      <c r="Z625" s="437"/>
      <c r="AA625" s="560"/>
      <c r="AB625" s="561"/>
      <c r="AC625" s="87"/>
      <c r="AD625" s="466"/>
      <c r="AE625" s="456"/>
      <c r="AF625" s="467"/>
      <c r="AG625" s="87"/>
      <c r="AH625" s="87"/>
      <c r="AI625" s="87"/>
    </row>
    <row r="626" spans="1:35" hidden="1">
      <c r="A626" s="80" t="e">
        <f>"D"&amp;E619</f>
        <v>#N/A</v>
      </c>
      <c r="B626" s="105">
        <v>4</v>
      </c>
      <c r="C626" s="107"/>
      <c r="D626" s="107"/>
      <c r="E626" s="107"/>
      <c r="F626" s="107"/>
      <c r="G626" s="83"/>
      <c r="H626" s="83"/>
      <c r="I626" s="84"/>
      <c r="J626" s="85"/>
      <c r="K626" s="382"/>
      <c r="L626" s="85"/>
      <c r="M626" s="332" t="str">
        <f t="shared" si="169"/>
        <v/>
      </c>
      <c r="N626" s="86"/>
      <c r="O626" s="453" t="str">
        <f t="shared" si="171"/>
        <v/>
      </c>
      <c r="P626" s="538" t="str">
        <f t="shared" si="172"/>
        <v/>
      </c>
      <c r="Q626" s="539" t="str">
        <f t="shared" si="170"/>
        <v/>
      </c>
      <c r="R626" s="706"/>
      <c r="S626" s="707"/>
      <c r="T626" s="708"/>
      <c r="U626" s="472"/>
      <c r="V626" s="166"/>
      <c r="W626" s="446"/>
      <c r="X626" s="456"/>
      <c r="Y626" s="436"/>
      <c r="Z626" s="437"/>
      <c r="AA626" s="560"/>
      <c r="AB626" s="561"/>
      <c r="AC626" s="87"/>
      <c r="AD626" s="466"/>
      <c r="AE626" s="456"/>
      <c r="AF626" s="467"/>
      <c r="AG626" s="87"/>
      <c r="AH626" s="87"/>
      <c r="AI626" s="87"/>
    </row>
    <row r="627" spans="1:35" hidden="1">
      <c r="A627" s="80" t="e">
        <f>"E"&amp;E619</f>
        <v>#N/A</v>
      </c>
      <c r="B627" s="105">
        <v>5</v>
      </c>
      <c r="C627" s="107"/>
      <c r="D627" s="107"/>
      <c r="E627" s="107"/>
      <c r="F627" s="107"/>
      <c r="G627" s="83"/>
      <c r="H627" s="83"/>
      <c r="I627" s="84"/>
      <c r="J627" s="85"/>
      <c r="K627" s="382"/>
      <c r="L627" s="85"/>
      <c r="M627" s="332" t="str">
        <f t="shared" si="169"/>
        <v/>
      </c>
      <c r="N627" s="86"/>
      <c r="O627" s="453" t="str">
        <f t="shared" si="171"/>
        <v/>
      </c>
      <c r="P627" s="538" t="str">
        <f t="shared" si="172"/>
        <v/>
      </c>
      <c r="Q627" s="539" t="str">
        <f t="shared" si="170"/>
        <v/>
      </c>
      <c r="R627" s="706"/>
      <c r="S627" s="707"/>
      <c r="T627" s="708"/>
      <c r="U627" s="472"/>
      <c r="V627" s="167"/>
      <c r="W627" s="446"/>
      <c r="X627" s="456"/>
      <c r="Y627" s="436"/>
      <c r="Z627" s="437"/>
      <c r="AA627" s="560"/>
      <c r="AB627" s="561"/>
      <c r="AC627" s="87"/>
      <c r="AD627" s="466"/>
      <c r="AE627" s="456"/>
      <c r="AF627" s="467"/>
      <c r="AG627" s="87"/>
      <c r="AH627" s="87"/>
      <c r="AI627" s="87"/>
    </row>
    <row r="628" spans="1:35" hidden="1">
      <c r="A628" s="80" t="e">
        <f>"F"&amp;E619</f>
        <v>#N/A</v>
      </c>
      <c r="B628" s="105">
        <v>6</v>
      </c>
      <c r="C628" s="107"/>
      <c r="D628" s="107"/>
      <c r="E628" s="107"/>
      <c r="F628" s="107"/>
      <c r="G628" s="83"/>
      <c r="H628" s="83"/>
      <c r="I628" s="84"/>
      <c r="J628" s="85"/>
      <c r="K628" s="382"/>
      <c r="L628" s="85"/>
      <c r="M628" s="332" t="str">
        <f t="shared" si="169"/>
        <v/>
      </c>
      <c r="N628" s="86"/>
      <c r="O628" s="453" t="str">
        <f t="shared" si="171"/>
        <v/>
      </c>
      <c r="P628" s="538" t="str">
        <f t="shared" si="172"/>
        <v/>
      </c>
      <c r="Q628" s="539" t="str">
        <f t="shared" si="170"/>
        <v/>
      </c>
      <c r="R628" s="706"/>
      <c r="S628" s="707"/>
      <c r="T628" s="708"/>
      <c r="U628" s="472"/>
      <c r="V628" s="167"/>
      <c r="W628" s="446"/>
      <c r="X628" s="456"/>
      <c r="Y628" s="436"/>
      <c r="Z628" s="437"/>
      <c r="AA628" s="560"/>
      <c r="AB628" s="561"/>
      <c r="AC628" s="87"/>
      <c r="AD628" s="466"/>
      <c r="AE628" s="456"/>
      <c r="AF628" s="467"/>
      <c r="AG628" s="87"/>
      <c r="AH628" s="87"/>
      <c r="AI628" s="87"/>
    </row>
    <row r="629" spans="1:35" hidden="1">
      <c r="A629" s="80" t="e">
        <f>"G"&amp;E619</f>
        <v>#N/A</v>
      </c>
      <c r="B629" s="105">
        <v>7</v>
      </c>
      <c r="C629" s="107"/>
      <c r="D629" s="107"/>
      <c r="E629" s="107"/>
      <c r="F629" s="107"/>
      <c r="G629" s="83"/>
      <c r="H629" s="83"/>
      <c r="I629" s="84"/>
      <c r="J629" s="85"/>
      <c r="K629" s="382"/>
      <c r="L629" s="85"/>
      <c r="M629" s="332" t="str">
        <f t="shared" si="169"/>
        <v/>
      </c>
      <c r="N629" s="86"/>
      <c r="O629" s="86" t="str">
        <f t="shared" si="171"/>
        <v/>
      </c>
      <c r="P629" s="538" t="str">
        <f t="shared" si="172"/>
        <v/>
      </c>
      <c r="Q629" s="539" t="str">
        <f t="shared" si="170"/>
        <v/>
      </c>
      <c r="R629" s="706"/>
      <c r="S629" s="707"/>
      <c r="T629" s="708"/>
      <c r="U629" s="472"/>
      <c r="V629" s="167"/>
      <c r="W629" s="446"/>
      <c r="X629" s="456"/>
      <c r="Y629" s="436"/>
      <c r="Z629" s="437"/>
      <c r="AA629" s="560"/>
      <c r="AB629" s="561"/>
      <c r="AC629" s="87"/>
      <c r="AD629" s="466"/>
      <c r="AE629" s="456"/>
      <c r="AF629" s="467"/>
      <c r="AG629" s="87"/>
      <c r="AH629" s="87"/>
      <c r="AI629" s="87"/>
    </row>
    <row r="630" spans="1:35" hidden="1">
      <c r="A630" s="80" t="e">
        <f>"H"&amp;E619</f>
        <v>#N/A</v>
      </c>
      <c r="B630" s="105">
        <v>8</v>
      </c>
      <c r="C630" s="107"/>
      <c r="D630" s="107"/>
      <c r="E630" s="107"/>
      <c r="F630" s="107"/>
      <c r="G630" s="83"/>
      <c r="H630" s="83"/>
      <c r="I630" s="84"/>
      <c r="J630" s="85"/>
      <c r="K630" s="382"/>
      <c r="L630" s="85"/>
      <c r="M630" s="332" t="str">
        <f t="shared" si="169"/>
        <v/>
      </c>
      <c r="N630" s="453"/>
      <c r="O630" s="86" t="str">
        <f t="shared" si="171"/>
        <v/>
      </c>
      <c r="P630" s="538" t="str">
        <f t="shared" si="172"/>
        <v/>
      </c>
      <c r="Q630" s="539" t="str">
        <f t="shared" si="170"/>
        <v/>
      </c>
      <c r="R630" s="706"/>
      <c r="S630" s="707"/>
      <c r="T630" s="708"/>
      <c r="U630" s="472"/>
      <c r="V630" s="167"/>
      <c r="W630" s="446"/>
      <c r="X630" s="456"/>
      <c r="Y630" s="436"/>
      <c r="Z630" s="437"/>
      <c r="AA630" s="560"/>
      <c r="AB630" s="561"/>
      <c r="AC630" s="87"/>
      <c r="AD630" s="466"/>
      <c r="AE630" s="456"/>
      <c r="AF630" s="467"/>
      <c r="AG630" s="87"/>
      <c r="AH630" s="87"/>
      <c r="AI630" s="87"/>
    </row>
    <row r="631" spans="1:35" hidden="1">
      <c r="A631" s="80" t="e">
        <f>"I"&amp;E619</f>
        <v>#N/A</v>
      </c>
      <c r="B631" s="105">
        <v>9</v>
      </c>
      <c r="C631" s="107"/>
      <c r="D631" s="107"/>
      <c r="E631" s="107"/>
      <c r="F631" s="107"/>
      <c r="G631" s="83"/>
      <c r="H631" s="83"/>
      <c r="I631" s="84"/>
      <c r="J631" s="85"/>
      <c r="K631" s="382"/>
      <c r="L631" s="85"/>
      <c r="M631" s="332" t="str">
        <f t="shared" si="169"/>
        <v/>
      </c>
      <c r="N631" s="453"/>
      <c r="O631" s="86" t="str">
        <f t="shared" si="171"/>
        <v/>
      </c>
      <c r="P631" s="538" t="str">
        <f t="shared" si="172"/>
        <v/>
      </c>
      <c r="Q631" s="539" t="str">
        <f t="shared" si="170"/>
        <v/>
      </c>
      <c r="R631" s="706"/>
      <c r="S631" s="707"/>
      <c r="T631" s="708"/>
      <c r="U631" s="472"/>
      <c r="V631" s="167"/>
      <c r="W631" s="446"/>
      <c r="X631" s="456"/>
      <c r="Y631" s="436"/>
      <c r="Z631" s="437"/>
      <c r="AA631" s="560"/>
      <c r="AB631" s="561"/>
      <c r="AC631" s="87"/>
      <c r="AD631" s="466"/>
      <c r="AE631" s="456"/>
      <c r="AF631" s="467"/>
      <c r="AG631" s="87"/>
      <c r="AH631" s="87"/>
      <c r="AI631" s="87"/>
    </row>
    <row r="632" spans="1:35" hidden="1">
      <c r="A632" s="80" t="e">
        <f>"J"&amp;E619</f>
        <v>#N/A</v>
      </c>
      <c r="B632" s="105">
        <v>10</v>
      </c>
      <c r="C632" s="107"/>
      <c r="D632" s="107"/>
      <c r="E632" s="107"/>
      <c r="F632" s="107"/>
      <c r="G632" s="83"/>
      <c r="H632" s="83"/>
      <c r="I632" s="84"/>
      <c r="J632" s="85"/>
      <c r="K632" s="382"/>
      <c r="L632" s="85"/>
      <c r="M632" s="332" t="str">
        <f t="shared" si="169"/>
        <v/>
      </c>
      <c r="N632" s="453"/>
      <c r="O632" s="86" t="str">
        <f t="shared" si="171"/>
        <v/>
      </c>
      <c r="P632" s="538" t="str">
        <f t="shared" si="172"/>
        <v/>
      </c>
      <c r="Q632" s="539" t="str">
        <f t="shared" si="170"/>
        <v/>
      </c>
      <c r="R632" s="706"/>
      <c r="S632" s="707"/>
      <c r="T632" s="708"/>
      <c r="U632" s="472"/>
      <c r="V632" s="167"/>
      <c r="W632" s="446"/>
      <c r="X632" s="456"/>
      <c r="Y632" s="436"/>
      <c r="Z632" s="437"/>
      <c r="AA632" s="560"/>
      <c r="AB632" s="561"/>
      <c r="AC632" s="87"/>
      <c r="AD632" s="466"/>
      <c r="AE632" s="456"/>
      <c r="AF632" s="467"/>
      <c r="AG632" s="87"/>
      <c r="AH632" s="87"/>
      <c r="AI632" s="87"/>
    </row>
    <row r="633" spans="1:35" ht="16.5" hidden="1" thickBot="1">
      <c r="A633" s="44"/>
      <c r="B633" s="89"/>
      <c r="C633" s="90"/>
      <c r="D633" s="90"/>
      <c r="E633" s="90"/>
      <c r="F633" s="90"/>
      <c r="G633" s="90"/>
      <c r="H633" s="90"/>
      <c r="I633" s="90"/>
      <c r="J633" s="90"/>
      <c r="K633" s="90"/>
      <c r="L633" s="90"/>
      <c r="M633" s="90"/>
      <c r="N633" s="90"/>
      <c r="O633" s="90"/>
      <c r="P633" s="90"/>
      <c r="Q633" s="90"/>
      <c r="R633" s="90"/>
      <c r="S633" s="91"/>
      <c r="T633" s="92"/>
      <c r="U633" s="473"/>
      <c r="W633" s="438"/>
      <c r="X633" s="455"/>
      <c r="Y633" s="439"/>
      <c r="Z633" s="437"/>
      <c r="AA633" s="530"/>
      <c r="AB633" s="563"/>
      <c r="AC633" s="87"/>
      <c r="AD633" s="440"/>
      <c r="AE633" s="441"/>
      <c r="AF633" s="442"/>
      <c r="AG633" s="49"/>
      <c r="AH633" s="87"/>
      <c r="AI633" s="87"/>
    </row>
    <row r="634" spans="1:35" ht="16.5" hidden="1" thickBot="1">
      <c r="A634" s="93"/>
      <c r="B634" s="94"/>
      <c r="C634" s="96"/>
      <c r="D634" s="96"/>
      <c r="E634" s="96"/>
      <c r="F634" s="96"/>
      <c r="G634" s="96"/>
      <c r="H634" s="96"/>
      <c r="I634" s="96"/>
      <c r="J634" s="96"/>
      <c r="K634" s="96"/>
      <c r="L634" s="96"/>
      <c r="M634" s="136"/>
      <c r="N634" s="96"/>
      <c r="O634" s="96"/>
      <c r="P634" s="97"/>
      <c r="Q634" s="97"/>
      <c r="R634" s="98"/>
      <c r="S634" s="95"/>
      <c r="T634" s="99"/>
      <c r="U634" s="469"/>
      <c r="AC634" s="58"/>
      <c r="AG634" s="58"/>
      <c r="AH634" s="87"/>
      <c r="AI634" s="87"/>
    </row>
    <row r="635" spans="1:35" ht="16.5" hidden="1" thickBot="1">
      <c r="B635" s="101"/>
      <c r="C635" s="101"/>
      <c r="D635" s="101"/>
      <c r="E635" s="101"/>
      <c r="F635" s="101"/>
      <c r="G635" s="101"/>
      <c r="H635" s="101"/>
      <c r="I635" s="101"/>
      <c r="J635" s="101"/>
      <c r="K635" s="101"/>
      <c r="L635" s="101"/>
      <c r="M635" s="101"/>
      <c r="N635" s="101"/>
      <c r="O635" s="101"/>
      <c r="P635" s="101"/>
      <c r="Q635" s="101"/>
      <c r="R635" s="101"/>
      <c r="S635" s="101"/>
      <c r="U635" s="50"/>
      <c r="AH635" s="87"/>
      <c r="AI635" s="87"/>
    </row>
    <row r="636" spans="1:35" ht="16.5" hidden="1" customHeight="1" thickBot="1">
      <c r="A636" s="44"/>
      <c r="B636" s="705" t="s">
        <v>74</v>
      </c>
      <c r="C636" s="705"/>
      <c r="D636" s="705"/>
      <c r="E636" s="705"/>
      <c r="F636" s="705"/>
      <c r="G636" s="705"/>
      <c r="H636" s="705"/>
      <c r="I636" s="705"/>
      <c r="J636" s="705"/>
      <c r="K636" s="705"/>
      <c r="L636" s="705"/>
      <c r="M636" s="705"/>
      <c r="N636" s="705"/>
      <c r="O636" s="705"/>
      <c r="P636" s="705"/>
      <c r="Q636" s="705"/>
      <c r="R636" s="705"/>
      <c r="S636" s="705"/>
      <c r="T636" s="705"/>
      <c r="U636" s="108"/>
      <c r="Y636" s="532" t="s">
        <v>341</v>
      </c>
      <c r="AC636" s="49"/>
      <c r="AD636" s="687" t="s">
        <v>302</v>
      </c>
      <c r="AE636" s="688"/>
      <c r="AF636" s="689"/>
      <c r="AG636" s="49"/>
      <c r="AH636" s="87"/>
      <c r="AI636" s="87"/>
    </row>
    <row r="637" spans="1:35" ht="15.75" hidden="1" customHeight="1" thickBot="1">
      <c r="A637" s="218" t="e">
        <f>"K"&amp;E619</f>
        <v>#N/A</v>
      </c>
      <c r="B637" s="701" t="s">
        <v>71</v>
      </c>
      <c r="C637" s="751" t="s">
        <v>102</v>
      </c>
      <c r="D637" s="751"/>
      <c r="E637" s="751"/>
      <c r="F637" s="751"/>
      <c r="G637" s="751"/>
      <c r="H637" s="751"/>
      <c r="I637" s="751"/>
      <c r="J637" s="751"/>
      <c r="K637" s="751"/>
      <c r="L637" s="722" t="s">
        <v>100</v>
      </c>
      <c r="M637" s="747" t="s">
        <v>114</v>
      </c>
      <c r="N637" s="747"/>
      <c r="O637" s="747"/>
      <c r="P637" s="747"/>
      <c r="Q637" s="748"/>
      <c r="R637" s="758" t="s">
        <v>280</v>
      </c>
      <c r="S637" s="748"/>
      <c r="T637" s="762" t="str">
        <f>IF(COUNTIF(AE637:AF637,"VERIFICAR")&gt;0,"VERIFICAR",IF(COUNTIF(AE637:AF637,"NO CUMPLE")&gt;0,"NO CUMPLE","CUMPLE"))</f>
        <v>VERIFICAR</v>
      </c>
      <c r="U637" s="108"/>
      <c r="Y637" s="533" t="e">
        <f>IF(F638="","",IF(F638=1,"INDIVIDUAL","ESTRUCTURA PLURAL"))</f>
        <v>#N/A</v>
      </c>
      <c r="AC637" s="52"/>
      <c r="AD637" s="475" t="s">
        <v>303</v>
      </c>
      <c r="AE637" s="476" t="str">
        <f>IF(COUNTIF(AE623:AE632,"")=10,"VERIFICAR",IF(COUNTIF(AE623:AE632,"SI")&gt;0,"CUMPLE","NO CUMPLE"))</f>
        <v>VERIFICAR</v>
      </c>
      <c r="AF637" s="477" t="str">
        <f>IF(COUNTIF(AF623:AF632,"")=10,"VERIFICAR",IF(COUNTIF(AF623:AF632,"SI")&gt;=$AI$22,"CUMPLE","NO CUMPLE"))</f>
        <v>VERIFICAR</v>
      </c>
      <c r="AG637" s="52"/>
      <c r="AH637" s="87"/>
      <c r="AI637" s="87"/>
    </row>
    <row r="638" spans="1:35" ht="16.5" hidden="1" customHeight="1" thickBot="1">
      <c r="A638" s="218" t="e">
        <f>"L"&amp;E619</f>
        <v>#N/A</v>
      </c>
      <c r="B638" s="702"/>
      <c r="C638" s="751" t="s">
        <v>103</v>
      </c>
      <c r="D638" s="751"/>
      <c r="E638" s="752"/>
      <c r="F638" s="557" t="e">
        <f>IF(VLOOKUP(E619,PROPONENTES!$C$19:$E$218,3,0)="","",VLOOKUP(E619,PROPONENTES!$C$19:$E$218,3,0))</f>
        <v>#N/A</v>
      </c>
      <c r="G638" s="753" t="s">
        <v>104</v>
      </c>
      <c r="H638" s="751"/>
      <c r="I638" s="715" t="e">
        <f>IF(OR(F638="",F638=1),"INTERESADO PERSONA NATURAL O JURIDICA","CONSORCIO O UNION TEMPORAL")</f>
        <v>#N/A</v>
      </c>
      <c r="J638" s="725"/>
      <c r="K638" s="728"/>
      <c r="L638" s="723"/>
      <c r="M638" s="749"/>
      <c r="N638" s="749"/>
      <c r="O638" s="749"/>
      <c r="P638" s="749"/>
      <c r="Q638" s="750"/>
      <c r="R638" s="712"/>
      <c r="S638" s="750"/>
      <c r="T638" s="763"/>
      <c r="U638" s="108"/>
      <c r="Y638" s="534"/>
      <c r="AA638" s="52"/>
      <c r="AB638" s="52"/>
      <c r="AC638" s="52"/>
      <c r="AG638" s="52"/>
      <c r="AH638" s="87"/>
      <c r="AI638" s="87"/>
    </row>
    <row r="639" spans="1:35" ht="56.25" hidden="1" customHeight="1" thickBot="1">
      <c r="A639" s="218" t="e">
        <f>"M"&amp;E619</f>
        <v>#N/A</v>
      </c>
      <c r="B639" s="702"/>
      <c r="C639" s="725" t="s">
        <v>101</v>
      </c>
      <c r="D639" s="716"/>
      <c r="E639" s="558" t="s">
        <v>105</v>
      </c>
      <c r="F639" s="554" t="s">
        <v>87</v>
      </c>
      <c r="G639" s="553" t="s">
        <v>86</v>
      </c>
      <c r="H639" s="559" t="s">
        <v>85</v>
      </c>
      <c r="I639" s="554" t="s">
        <v>252</v>
      </c>
      <c r="J639" s="553" t="str">
        <f>"¿EL INTEGRANTE TIENE UNA PARTICIPACIÓN DEL "&amp;PORCREQUERIDOINT*100&amp;"%?"</f>
        <v>¿EL INTEGRANTE TIENE UNA PARTICIPACIÓN DEL 60%?</v>
      </c>
      <c r="K639" s="554" t="s">
        <v>107</v>
      </c>
      <c r="L639" s="724"/>
      <c r="M639" s="717" t="s">
        <v>115</v>
      </c>
      <c r="N639" s="718"/>
      <c r="O639" s="718"/>
      <c r="P639" s="718"/>
      <c r="Q639" s="223">
        <f>IF(AND(H623="SI",P623&gt;=0),1,0)+IF(AND(H624="SI",P624&gt;=0),1,0)+IF(AND(H625="SI",P625&gt;=0),1,0)+IF(AND(H626="SI",P626&gt;=0),1,0)+IF(AND(H627="SI",P627&gt;=0),1,0)+IF(AND(H628="SI",P628&gt;=0),1,0)+IF(AND(H629="SI",P629&gt;=0),1,0)+IF(AND(H630="SI",P630&gt;=0),1,0)+IF(AND(H631="SI",P631&gt;=0),1,0)+IF(AND(H632="SI",P632&gt;=0),1,0)</f>
        <v>0</v>
      </c>
      <c r="R639" s="759"/>
      <c r="S639" s="761"/>
      <c r="T639" s="764"/>
      <c r="U639" s="219"/>
      <c r="V639" s="464"/>
      <c r="Y639" s="532" t="s">
        <v>342</v>
      </c>
      <c r="AA639" s="550" t="s">
        <v>344</v>
      </c>
      <c r="AB639" s="693" t="s">
        <v>345</v>
      </c>
      <c r="AC639" s="693" t="s">
        <v>346</v>
      </c>
      <c r="AD639" s="685" t="s">
        <v>347</v>
      </c>
      <c r="AE639" s="52"/>
      <c r="AF639" s="52"/>
      <c r="AG639" s="52"/>
      <c r="AH639" s="87"/>
      <c r="AI639" s="87"/>
    </row>
    <row r="640" spans="1:35" ht="15.75" hidden="1" customHeight="1" thickBot="1">
      <c r="A640" s="218" t="e">
        <f>"N"&amp;E619</f>
        <v>#N/A</v>
      </c>
      <c r="B640" s="702"/>
      <c r="C640" s="114">
        <v>1</v>
      </c>
      <c r="D640" s="194" t="e">
        <f>IF(AND(C640&lt;=F638,F638&gt;1,F638&lt;&gt;""),VLOOKUP(VALUE(E619&amp;","&amp;C640),INTEGRANTES!$D$18:$F$235,2,0),"")</f>
        <v>#N/A</v>
      </c>
      <c r="E640" s="211" t="e">
        <f>IF(D640&lt;&gt;"",VLOOKUP(VALUE(E619&amp;","&amp;C640),INTEGRANTES!$D$18:$F$235,3,0),"")</f>
        <v>#N/A</v>
      </c>
      <c r="F640" s="547" t="e">
        <f>IF(D640="","",SUMIF($I623:$I632,D640,$P623:$P632))</f>
        <v>#N/A</v>
      </c>
      <c r="G640" s="333" t="e">
        <f>IF(D640="","",SUMIF($I623:$I632,D640,$M623:$M632))</f>
        <v>#N/A</v>
      </c>
      <c r="H640" s="535" t="e">
        <f t="shared" ref="H640:H645" si="173">IF(D640="","",IF(OR(F640=0,G640=0),"NO APORTA",ROUND($F640/$G640,3)))</f>
        <v>#N/A</v>
      </c>
      <c r="I640" s="212" t="e">
        <f>IF(D640="","",IF(H640="NO APORTA","NO",IF(H640=MAX($H640:$H645),"SI","NO")))</f>
        <v>#N/A</v>
      </c>
      <c r="J640" s="213" t="e">
        <f t="shared" ref="J640:J645" si="174">IF(D640="","",IF(E640&gt;=PORCREQUERIDOINT,"SI","NO"))</f>
        <v>#N/A</v>
      </c>
      <c r="K640" s="200" t="e">
        <f t="shared" ref="K640:K645" si="175">IF(D640="","",IF(AND(I640="SI",J640="SI"),"CUMPLE",IF(AND(I640="NO",OR(J640="SI",J640="NO")),"","NO CUMPLE")))</f>
        <v>#N/A</v>
      </c>
      <c r="L640" s="722" t="s">
        <v>108</v>
      </c>
      <c r="M640" s="726" t="s">
        <v>119</v>
      </c>
      <c r="N640" s="726"/>
      <c r="O640" s="726"/>
      <c r="P640" s="726"/>
      <c r="Q640" s="727"/>
      <c r="R640" s="758" t="s">
        <v>80</v>
      </c>
      <c r="S640" s="747"/>
      <c r="T640" s="748"/>
      <c r="U640" s="219"/>
      <c r="V640" s="464"/>
      <c r="Y640" s="533" t="e">
        <f>IF(Y637="","",IF(Y637="INDIVIDUAL","NO APLICA","VERIFICAR CUADRO"))</f>
        <v>#N/A</v>
      </c>
      <c r="AA640" s="551"/>
      <c r="AB640" s="694"/>
      <c r="AC640" s="694"/>
      <c r="AD640" s="686"/>
      <c r="AE640" s="52"/>
      <c r="AF640" s="52"/>
      <c r="AG640" s="52"/>
      <c r="AH640" s="87"/>
      <c r="AI640" s="87"/>
    </row>
    <row r="641" spans="1:35" ht="27" hidden="1" customHeight="1" thickBot="1">
      <c r="A641" s="218" t="e">
        <f>"O"&amp;E619</f>
        <v>#N/A</v>
      </c>
      <c r="B641" s="702"/>
      <c r="C641" s="114">
        <v>2</v>
      </c>
      <c r="D641" s="194" t="e">
        <f>IF(AND(C641&lt;=F638,F638&lt;&gt;""),VLOOKUP(VALUE(E619&amp;","&amp;C641),INTEGRANTES!$D$18:$F$235,2,0),"")</f>
        <v>#N/A</v>
      </c>
      <c r="E641" s="211" t="e">
        <f>IF(D641&lt;&gt;"",VLOOKUP(VALUE(E619&amp;","&amp;C641),INTEGRANTES!$D$18:$F$235,3,0),"")</f>
        <v>#N/A</v>
      </c>
      <c r="F641" s="547" t="e">
        <f>IF(D641="","",SUMIF($I623:$I632,D641,$P623:$P632))</f>
        <v>#N/A</v>
      </c>
      <c r="G641" s="333" t="e">
        <f>IF(D641="","",SUMIF($I623:$I632,D641,$M623:$M632))</f>
        <v>#N/A</v>
      </c>
      <c r="H641" s="535" t="e">
        <f t="shared" si="173"/>
        <v>#N/A</v>
      </c>
      <c r="I641" s="212" t="e">
        <f>IF(D641="","",IF(H641="NO APORTA","NO",IF(H641=MAX($H640:$H645),"SI","NO")))</f>
        <v>#N/A</v>
      </c>
      <c r="J641" s="213" t="e">
        <f t="shared" si="174"/>
        <v>#N/A</v>
      </c>
      <c r="K641" s="200" t="e">
        <f t="shared" si="175"/>
        <v>#N/A</v>
      </c>
      <c r="L641" s="723"/>
      <c r="M641" s="715" t="s">
        <v>116</v>
      </c>
      <c r="N641" s="716"/>
      <c r="O641" s="556" t="s">
        <v>113</v>
      </c>
      <c r="P641" s="715" t="s">
        <v>117</v>
      </c>
      <c r="Q641" s="728"/>
      <c r="R641" s="759"/>
      <c r="S641" s="760"/>
      <c r="T641" s="761"/>
      <c r="U641" s="219"/>
      <c r="V641" s="464"/>
      <c r="Y641" s="414"/>
      <c r="AA641" s="542" t="e">
        <f>IF(AND(C640&lt;=F638,F638&gt;1,F638&lt;&gt;""),VLOOKUP(VALUE(E619&amp;","&amp;C640),INTEGRANTES!$D$18:$F$235,2,0),"")</f>
        <v>#N/A</v>
      </c>
      <c r="AB641" s="544" t="e">
        <f t="shared" ref="AB641:AB646" si="176">IF(D640="","",IF(OR(F640=0,G640=0),"NO APORTA",ROUND($F640/$G640,3)))</f>
        <v>#N/A</v>
      </c>
      <c r="AC641" s="529"/>
      <c r="AD641" s="200" t="e">
        <f t="shared" ref="AD641:AD646" si="177">IF(OR(AA641="",AB641=""),"",IF(AND(AC641="X",AB641&gt;=EXPREQVTD),"CUMPLE","NO CUMPLE"))</f>
        <v>#N/A</v>
      </c>
      <c r="AE641" s="52"/>
      <c r="AF641" s="52"/>
      <c r="AG641" s="52"/>
      <c r="AH641" s="87"/>
      <c r="AI641" s="87"/>
    </row>
    <row r="642" spans="1:35" ht="16.5" hidden="1" thickBot="1">
      <c r="A642" s="218" t="e">
        <f>"P"&amp;E619</f>
        <v>#N/A</v>
      </c>
      <c r="B642" s="702"/>
      <c r="C642" s="114">
        <v>3</v>
      </c>
      <c r="D642" s="194" t="e">
        <f>IF(AND(C642&lt;=F638,F638&lt;&gt;""),VLOOKUP(VALUE(E619&amp;","&amp;C642),INTEGRANTES!$D$18:$F$235,2,0),"")</f>
        <v>#N/A</v>
      </c>
      <c r="E642" s="211" t="e">
        <f>IF(D642&lt;&gt;"",VLOOKUP(VALUE(E619&amp;","&amp;C642),INTEGRANTES!$D$18:$F$235,3,0),"")</f>
        <v>#N/A</v>
      </c>
      <c r="F642" s="547" t="e">
        <f>IF(D642="","",SUMIF($I623:$I632,D642,$P623:$P632))</f>
        <v>#N/A</v>
      </c>
      <c r="G642" s="333" t="e">
        <f>IF(D642="","",SUMIF($I623:$I632,D642,$M623:$M632))</f>
        <v>#N/A</v>
      </c>
      <c r="H642" s="535" t="e">
        <f t="shared" si="173"/>
        <v>#N/A</v>
      </c>
      <c r="I642" s="212" t="e">
        <f>IF(D642="","",IF(H642="NO APORTA","NO",IF(H642=MAX($H640:$H645),"SI","NO")))</f>
        <v>#N/A</v>
      </c>
      <c r="J642" s="213" t="e">
        <f t="shared" si="174"/>
        <v>#N/A</v>
      </c>
      <c r="K642" s="200" t="e">
        <f t="shared" si="175"/>
        <v>#N/A</v>
      </c>
      <c r="L642" s="724"/>
      <c r="M642" s="729">
        <f>NUMMOD</f>
        <v>1</v>
      </c>
      <c r="N642" s="730"/>
      <c r="O642" s="443">
        <f>IF(M642="","",VLOOKUP(M642,PRESUPUESTOS!$B$16:$H$16,5,FALSE))</f>
        <v>2</v>
      </c>
      <c r="P642" s="713">
        <f>IF(OR(COUNTIF(M623:M632,"")&gt;=10,Q639&lt;NUMMINCONT,OR(T637="NO CUMPLE",T637="VERIFICAR")),0,ROUND(AVERAGE(M623:M632),3))</f>
        <v>0</v>
      </c>
      <c r="Q642" s="714"/>
      <c r="R642" s="458"/>
      <c r="S642" s="459"/>
      <c r="T642" s="460"/>
      <c r="U642" s="219"/>
      <c r="V642" s="464"/>
      <c r="Y642" s="532" t="str">
        <f>"40% * ("&amp;PRESUPUESTOS!$H$13&amp;")"</f>
        <v>40% * (50% PFMO)</v>
      </c>
      <c r="AA642" s="540" t="e">
        <f>IF(AND(C641&lt;=F638,F638&lt;&gt;""),VLOOKUP(VALUE(E619&amp;","&amp;C641),INTEGRANTES!$D$18:$F$235,2,0),"")</f>
        <v>#N/A</v>
      </c>
      <c r="AB642" s="545" t="e">
        <f t="shared" si="176"/>
        <v>#N/A</v>
      </c>
      <c r="AC642" s="529"/>
      <c r="AD642" s="200" t="e">
        <f t="shared" si="177"/>
        <v>#N/A</v>
      </c>
      <c r="AE642" s="52"/>
      <c r="AF642" s="52"/>
      <c r="AG642" s="52"/>
      <c r="AH642" s="87"/>
      <c r="AI642" s="87"/>
    </row>
    <row r="643" spans="1:35" ht="15.75" hidden="1" customHeight="1" thickBot="1">
      <c r="A643" s="218" t="e">
        <f>"Q"&amp;E619</f>
        <v>#N/A</v>
      </c>
      <c r="B643" s="702"/>
      <c r="C643" s="114">
        <v>4</v>
      </c>
      <c r="D643" s="194" t="e">
        <f>IF(AND(C643&lt;=F638,F638&lt;&gt;""),VLOOKUP(VALUE(E619&amp;","&amp;C643),INTEGRANTES!$D$18:$F$235,2,0),"")</f>
        <v>#N/A</v>
      </c>
      <c r="E643" s="211" t="e">
        <f>IF(D643&lt;&gt;"",VLOOKUP(VALUE(E619&amp;","&amp;C643),INTEGRANTES!$D$18:$F$235,3,0),"")</f>
        <v>#N/A</v>
      </c>
      <c r="F643" s="547" t="e">
        <f>IF(D643="","",SUMIF($I623:$I632,D643,$P623:$P632))</f>
        <v>#N/A</v>
      </c>
      <c r="G643" s="333" t="e">
        <f>IF(D643="","",SUMIF($I623:$I632,D643,$M623:$M632))</f>
        <v>#N/A</v>
      </c>
      <c r="H643" s="535" t="e">
        <f t="shared" si="173"/>
        <v>#N/A</v>
      </c>
      <c r="I643" s="212" t="e">
        <f>IF(D643="","",IF(H643="NO APORTA","NO",IF(H643=MAX($H640:$H645),"SI","NO")))</f>
        <v>#N/A</v>
      </c>
      <c r="J643" s="213" t="e">
        <f t="shared" si="174"/>
        <v>#N/A</v>
      </c>
      <c r="K643" s="200" t="e">
        <f t="shared" si="175"/>
        <v>#N/A</v>
      </c>
      <c r="L643" s="720" t="s">
        <v>109</v>
      </c>
      <c r="M643" s="757" t="s">
        <v>120</v>
      </c>
      <c r="N643" s="726"/>
      <c r="O643" s="726"/>
      <c r="P643" s="726"/>
      <c r="Q643" s="727"/>
      <c r="R643" s="458"/>
      <c r="S643" s="459"/>
      <c r="T643" s="460"/>
      <c r="U643" s="219"/>
      <c r="V643" s="464"/>
      <c r="Y643" s="537">
        <f>0.4*PRESUPUESTOS!$H$16</f>
        <v>10.3124</v>
      </c>
      <c r="AA643" s="540" t="e">
        <f>IF(AND(C642&lt;=F638,F638&lt;&gt;""),VLOOKUP(VALUE(E619&amp;","&amp;C642),INTEGRANTES!$D$18:$F$235,2,0),"")</f>
        <v>#N/A</v>
      </c>
      <c r="AB643" s="545" t="e">
        <f t="shared" si="176"/>
        <v>#N/A</v>
      </c>
      <c r="AC643" s="529"/>
      <c r="AD643" s="200" t="e">
        <f t="shared" si="177"/>
        <v>#N/A</v>
      </c>
      <c r="AE643" s="52"/>
      <c r="AF643" s="52"/>
      <c r="AG643" s="52"/>
      <c r="AH643" s="87"/>
      <c r="AI643" s="87"/>
    </row>
    <row r="644" spans="1:35" ht="27" hidden="1" customHeight="1" thickBot="1">
      <c r="A644" s="218" t="e">
        <f>"R"&amp;E619</f>
        <v>#N/A</v>
      </c>
      <c r="B644" s="702"/>
      <c r="C644" s="114">
        <v>5</v>
      </c>
      <c r="D644" s="194" t="e">
        <f>IF(AND(C644&lt;=F638,F638&lt;&gt;""),VLOOKUP(VALUE(E619&amp;","&amp;C644),INTEGRANTES!$D$18:$F$235,2,0),"")</f>
        <v>#N/A</v>
      </c>
      <c r="E644" s="211" t="e">
        <f>IF(D644&lt;&gt;"",VLOOKUP(VALUE(E619&amp;","&amp;C644),INTEGRANTES!$D$18:$F$235,3,0),"")</f>
        <v>#N/A</v>
      </c>
      <c r="F644" s="547" t="e">
        <f>IF(D644="","",SUMIF($I623:$I632,D644,$P623:$P632))</f>
        <v>#N/A</v>
      </c>
      <c r="G644" s="333" t="e">
        <f>IF(D644="","",SUMIF($I623:$I632,D644,$M623:$M632))</f>
        <v>#N/A</v>
      </c>
      <c r="H644" s="535" t="e">
        <f t="shared" si="173"/>
        <v>#N/A</v>
      </c>
      <c r="I644" s="212" t="e">
        <f>IF(D644="","",IF(H644="NO APORTA","NO",IF(H644=MAX($H640:$H645),"SI","NO")))</f>
        <v>#N/A</v>
      </c>
      <c r="J644" s="213" t="e">
        <f t="shared" si="174"/>
        <v>#N/A</v>
      </c>
      <c r="K644" s="200" t="e">
        <f t="shared" si="175"/>
        <v>#N/A</v>
      </c>
      <c r="L644" s="721"/>
      <c r="M644" s="715" t="s">
        <v>116</v>
      </c>
      <c r="N644" s="716"/>
      <c r="O644" s="556" t="str">
        <f>PORCREQUERIDO*100&amp;"% PMFO DEL MÓDULO"</f>
        <v>50% PMFO DEL MÓDULO</v>
      </c>
      <c r="P644" s="715" t="s">
        <v>118</v>
      </c>
      <c r="Q644" s="728"/>
      <c r="R644" s="458"/>
      <c r="S644" s="459"/>
      <c r="T644" s="460"/>
      <c r="U644" s="219"/>
      <c r="V644" s="464"/>
      <c r="Y644" s="414"/>
      <c r="AA644" s="540" t="e">
        <f>IF(AND(C643&lt;=F638,F638&lt;&gt;""),VLOOKUP(VALUE(E619&amp;","&amp;C643),INTEGRANTES!$D$18:$F$235,2,0),"")</f>
        <v>#N/A</v>
      </c>
      <c r="AB644" s="545" t="e">
        <f t="shared" si="176"/>
        <v>#N/A</v>
      </c>
      <c r="AC644" s="529"/>
      <c r="AD644" s="200" t="e">
        <f t="shared" si="177"/>
        <v>#N/A</v>
      </c>
      <c r="AE644" s="52"/>
      <c r="AF644" s="52"/>
      <c r="AG644" s="52"/>
      <c r="AH644" s="87"/>
      <c r="AI644" s="87"/>
    </row>
    <row r="645" spans="1:35" ht="16.5" hidden="1" thickBot="1">
      <c r="A645" s="218" t="e">
        <f>"S"&amp;E619</f>
        <v>#N/A</v>
      </c>
      <c r="B645" s="702"/>
      <c r="C645" s="215">
        <v>6</v>
      </c>
      <c r="D645" s="216" t="e">
        <f>IF(AND(C645&lt;=F638,F638&lt;&gt;""),VLOOKUP(VALUE(E619&amp;","&amp;C645),INTEGRANTES!$D$18:$F$235,2,0),"")</f>
        <v>#N/A</v>
      </c>
      <c r="E645" s="217" t="e">
        <f>IF(D645&lt;&gt;"",VLOOKUP(VALUE(E619&amp;","&amp;C645),INTEGRANTES!$D$18:$F$235,3,0),"")</f>
        <v>#N/A</v>
      </c>
      <c r="F645" s="548" t="e">
        <f>IF(D645="","",SUMIF($I623:$I632,D645,$P623:$P632))</f>
        <v>#N/A</v>
      </c>
      <c r="G645" s="334" t="e">
        <f>IF(D645="","",SUMIF($I623:$I632,D645,$M623:$M632))</f>
        <v>#N/A</v>
      </c>
      <c r="H645" s="536" t="e">
        <f t="shared" si="173"/>
        <v>#N/A</v>
      </c>
      <c r="I645" s="214" t="e">
        <f>IF(D645="","",IF(H645="NO APORTA","NO",IF(H645=MAX($H640:$H645),"SI","NO")))</f>
        <v>#N/A</v>
      </c>
      <c r="J645" s="213" t="e">
        <f t="shared" si="174"/>
        <v>#N/A</v>
      </c>
      <c r="K645" s="200" t="e">
        <f t="shared" si="175"/>
        <v>#N/A</v>
      </c>
      <c r="L645" s="721"/>
      <c r="M645" s="729">
        <f>NUMMOD</f>
        <v>1</v>
      </c>
      <c r="N645" s="730"/>
      <c r="O645" s="443">
        <f>IF(M645="","",ROUND(VLOOKUP(M645,PRESUPUESTOS!$B$16:$H$16,7,FALSE),3))</f>
        <v>25.780999999999999</v>
      </c>
      <c r="P645" s="713">
        <f>IF(OR(COUNTIF(P623:P632,"")&gt;=10,Q639&lt;NUMMINCONT,OR(T637="NO CUMPLE",T637="VERIFICAR")),0,ROUND((SUM(P623:P632)/SUM(M623:M632)),3))</f>
        <v>0</v>
      </c>
      <c r="Q645" s="714"/>
      <c r="R645" s="458"/>
      <c r="S645" s="459"/>
      <c r="T645" s="460"/>
      <c r="U645" s="219"/>
      <c r="V645" s="464"/>
      <c r="Y645" s="532" t="s">
        <v>343</v>
      </c>
      <c r="AA645" s="540" t="e">
        <f>IF(AND(C644&lt;=F638,F638&lt;&gt;""),VLOOKUP(VALUE(E619&amp;","&amp;C644),INTEGRANTES!$D$18:$F$235,2,0),"")</f>
        <v>#N/A</v>
      </c>
      <c r="AB645" s="545" t="e">
        <f t="shared" si="176"/>
        <v>#N/A</v>
      </c>
      <c r="AC645" s="529"/>
      <c r="AD645" s="200" t="e">
        <f t="shared" si="177"/>
        <v>#N/A</v>
      </c>
      <c r="AE645" s="52"/>
      <c r="AF645" s="52"/>
      <c r="AG645" s="52"/>
      <c r="AH645" s="87"/>
      <c r="AI645" s="87"/>
    </row>
    <row r="646" spans="1:35" ht="16.5" hidden="1" customHeight="1" thickBot="1">
      <c r="A646" s="218" t="e">
        <f>"T"&amp;E619</f>
        <v>#N/A</v>
      </c>
      <c r="B646" s="703"/>
      <c r="C646" s="719"/>
      <c r="D646" s="719"/>
      <c r="E646" s="719"/>
      <c r="F646" s="719"/>
      <c r="G646" s="719"/>
      <c r="H646" s="719" t="s">
        <v>110</v>
      </c>
      <c r="I646" s="719"/>
      <c r="J646" s="719"/>
      <c r="K646" s="201" t="str">
        <f>IF(COUNTIF(K640:K645,"")=6,"",IF(COUNTIF(K640:K645,"CUMPLE")&gt;0,"CUMPLE","NO CUMPLE"))</f>
        <v>NO CUMPLE</v>
      </c>
      <c r="L646" s="754"/>
      <c r="M646" s="755"/>
      <c r="N646" s="755"/>
      <c r="O646" s="755"/>
      <c r="P646" s="755"/>
      <c r="Q646" s="756"/>
      <c r="R646" s="461"/>
      <c r="S646" s="462"/>
      <c r="T646" s="463"/>
      <c r="U646" s="219"/>
      <c r="V646" s="464"/>
      <c r="Y646" s="549" t="e">
        <f>IF(Y640="NO APLICA","NO APLICA",IF(COUNTIF(AD641:AD646,"CUMPLE")&gt;0,"CUMPLE","NO CUMPLE"))</f>
        <v>#N/A</v>
      </c>
      <c r="AA646" s="541" t="e">
        <f>IF(AND(C645&lt;=F638,F638&lt;&gt;""),VLOOKUP(VALUE(E619&amp;","&amp;C645),INTEGRANTES!$D$18:$F$235,2,0),"")</f>
        <v>#N/A</v>
      </c>
      <c r="AB646" s="546" t="e">
        <f t="shared" si="176"/>
        <v>#N/A</v>
      </c>
      <c r="AC646" s="543"/>
      <c r="AD646" s="201" t="e">
        <f t="shared" si="177"/>
        <v>#N/A</v>
      </c>
      <c r="AE646" s="52"/>
      <c r="AF646" s="52"/>
      <c r="AG646" s="52"/>
      <c r="AH646" s="87"/>
      <c r="AI646" s="87"/>
    </row>
    <row r="647" spans="1:35" hidden="1">
      <c r="A647" s="103"/>
      <c r="B647" s="206"/>
      <c r="C647" s="206"/>
      <c r="D647" s="206"/>
      <c r="E647" s="206"/>
      <c r="F647" s="206"/>
      <c r="G647" s="206"/>
      <c r="H647" s="206"/>
      <c r="I647" s="104"/>
      <c r="J647" s="206"/>
      <c r="K647" s="113"/>
      <c r="L647" s="113"/>
      <c r="M647" s="113"/>
      <c r="N647" s="222"/>
      <c r="O647" s="113"/>
      <c r="P647" s="113"/>
      <c r="Q647" s="113"/>
      <c r="R647" s="206"/>
      <c r="S647" s="104"/>
      <c r="T647" s="206"/>
      <c r="U647" s="474"/>
      <c r="AH647" s="87"/>
      <c r="AI647" s="87"/>
    </row>
    <row r="648" spans="1:35" hidden="1">
      <c r="H648" s="220"/>
      <c r="AH648" s="87"/>
      <c r="AI648" s="87"/>
    </row>
    <row r="649" spans="1:35" ht="24" hidden="1" thickBot="1">
      <c r="A649" s="61">
        <v>22</v>
      </c>
      <c r="B649" s="704" t="s">
        <v>51</v>
      </c>
      <c r="C649" s="704"/>
      <c r="D649" s="704"/>
      <c r="E649" s="62" t="e">
        <f>VLOOKUP(A649,PROPONENTES!$B$19:$E$218,2,FALSE)</f>
        <v>#N/A</v>
      </c>
      <c r="F649" s="63" t="e">
        <f>VLOOKUP(A649,PROPONENTES!$B$19:$E$218,3,FALSE)</f>
        <v>#N/A</v>
      </c>
      <c r="G649" s="64"/>
      <c r="H649" s="64"/>
      <c r="I649" s="63"/>
      <c r="J649" s="63"/>
      <c r="K649" s="65"/>
      <c r="L649" s="65"/>
      <c r="M649" s="64"/>
      <c r="N649" s="64"/>
      <c r="O649" s="66"/>
      <c r="P649" s="66"/>
      <c r="Q649" s="66"/>
      <c r="R649" s="66"/>
      <c r="S649" s="67"/>
      <c r="T649" s="68"/>
      <c r="U649" s="68"/>
      <c r="AC649" s="68"/>
      <c r="AD649" s="68"/>
      <c r="AE649" s="68"/>
      <c r="AF649" s="68"/>
      <c r="AG649" s="68"/>
      <c r="AH649" s="87"/>
      <c r="AI649" s="87"/>
    </row>
    <row r="650" spans="1:35" ht="15.75" hidden="1" customHeight="1">
      <c r="A650" s="44"/>
      <c r="B650" s="709" t="s">
        <v>59</v>
      </c>
      <c r="C650" s="552" t="s">
        <v>60</v>
      </c>
      <c r="D650" s="70" t="s">
        <v>17</v>
      </c>
      <c r="E650" s="70"/>
      <c r="F650" s="70" t="s">
        <v>61</v>
      </c>
      <c r="G650" s="71"/>
      <c r="H650" s="699" t="s">
        <v>62</v>
      </c>
      <c r="I650" s="699" t="s">
        <v>18</v>
      </c>
      <c r="J650" s="699" t="s">
        <v>63</v>
      </c>
      <c r="K650" s="699" t="s">
        <v>64</v>
      </c>
      <c r="L650" s="699" t="s">
        <v>65</v>
      </c>
      <c r="M650" s="743" t="s">
        <v>66</v>
      </c>
      <c r="N650" s="699" t="s">
        <v>282</v>
      </c>
      <c r="O650" s="745" t="s">
        <v>67</v>
      </c>
      <c r="P650" s="746"/>
      <c r="Q650" s="102" t="s">
        <v>75</v>
      </c>
      <c r="R650" s="731" t="s">
        <v>22</v>
      </c>
      <c r="S650" s="732"/>
      <c r="T650" s="733"/>
      <c r="U650" s="712" t="s">
        <v>298</v>
      </c>
      <c r="W650" s="690" t="s">
        <v>268</v>
      </c>
      <c r="X650" s="691"/>
      <c r="Y650" s="692"/>
      <c r="Z650" s="428"/>
      <c r="AA650" s="697" t="s">
        <v>315</v>
      </c>
      <c r="AB650" s="695" t="s">
        <v>322</v>
      </c>
      <c r="AC650" s="49"/>
      <c r="AD650" s="690" t="s">
        <v>297</v>
      </c>
      <c r="AE650" s="691"/>
      <c r="AF650" s="692"/>
      <c r="AG650" s="49"/>
      <c r="AH650" s="87"/>
      <c r="AI650" s="87"/>
    </row>
    <row r="651" spans="1:35" ht="72" hidden="1">
      <c r="A651" s="44"/>
      <c r="B651" s="710"/>
      <c r="C651" s="553" t="s">
        <v>68</v>
      </c>
      <c r="D651" s="73" t="s">
        <v>3</v>
      </c>
      <c r="E651" s="73" t="s">
        <v>19</v>
      </c>
      <c r="F651" s="73" t="s">
        <v>69</v>
      </c>
      <c r="G651" s="74" t="s">
        <v>70</v>
      </c>
      <c r="H651" s="700"/>
      <c r="I651" s="700"/>
      <c r="J651" s="700"/>
      <c r="K651" s="700"/>
      <c r="L651" s="700"/>
      <c r="M651" s="744"/>
      <c r="N651" s="700"/>
      <c r="O651" s="553" t="s">
        <v>279</v>
      </c>
      <c r="P651" s="73" t="s">
        <v>88</v>
      </c>
      <c r="Q651" s="555" t="s">
        <v>76</v>
      </c>
      <c r="R651" s="734"/>
      <c r="S651" s="735"/>
      <c r="T651" s="736"/>
      <c r="U651" s="712"/>
      <c r="W651" s="429" t="s">
        <v>269</v>
      </c>
      <c r="X651" s="457" t="s">
        <v>278</v>
      </c>
      <c r="Y651" s="430" t="s">
        <v>324</v>
      </c>
      <c r="Z651" s="428"/>
      <c r="AA651" s="698"/>
      <c r="AB651" s="696"/>
      <c r="AC651" s="49"/>
      <c r="AD651" s="429" t="s">
        <v>292</v>
      </c>
      <c r="AE651" s="431" t="s">
        <v>300</v>
      </c>
      <c r="AF651" s="468" t="s">
        <v>301</v>
      </c>
      <c r="AG651" s="49"/>
      <c r="AH651" s="87"/>
      <c r="AI651" s="87"/>
    </row>
    <row r="652" spans="1:35" hidden="1">
      <c r="A652" s="44"/>
      <c r="B652" s="76"/>
      <c r="C652" s="77"/>
      <c r="D652" s="77"/>
      <c r="E652" s="77"/>
      <c r="F652" s="77"/>
      <c r="G652" s="77"/>
      <c r="H652" s="77"/>
      <c r="I652" s="77"/>
      <c r="J652" s="77"/>
      <c r="K652" s="77"/>
      <c r="L652" s="77"/>
      <c r="M652" s="77"/>
      <c r="N652" s="77"/>
      <c r="O652" s="77"/>
      <c r="P652" s="77"/>
      <c r="Q652" s="77"/>
      <c r="R652" s="77"/>
      <c r="S652" s="78"/>
      <c r="T652" s="79"/>
      <c r="U652" s="109"/>
      <c r="V652" s="49"/>
      <c r="W652" s="432"/>
      <c r="X652" s="454"/>
      <c r="Y652" s="433"/>
      <c r="Z652" s="6"/>
      <c r="AA652" s="500"/>
      <c r="AB652" s="562"/>
      <c r="AC652" s="49"/>
      <c r="AD652" s="210"/>
      <c r="AE652" s="434"/>
      <c r="AF652" s="435"/>
      <c r="AG652" s="49"/>
      <c r="AH652" s="87"/>
      <c r="AI652" s="87"/>
    </row>
    <row r="653" spans="1:35" hidden="1">
      <c r="A653" s="80" t="e">
        <f>"A"&amp;E649</f>
        <v>#N/A</v>
      </c>
      <c r="B653" s="81">
        <v>1</v>
      </c>
      <c r="C653" s="82"/>
      <c r="D653" s="82"/>
      <c r="E653" s="82"/>
      <c r="F653" s="82"/>
      <c r="G653" s="83"/>
      <c r="H653" s="83"/>
      <c r="I653" s="84"/>
      <c r="J653" s="85"/>
      <c r="K653" s="382"/>
      <c r="L653" s="85"/>
      <c r="M653" s="332" t="str">
        <f t="shared" ref="M653:M662" si="178">IF(OR(J653="",L653="",H653="NO"),"",IF(OR(J653&gt;$P$17,J653&lt;$O$17,L653&gt;$P$17,AND(J653&lt;$O$17,L653&lt;$O$17)),"FUERA DE RANGO",IF(OR(K653="---",K653=""),IF(J653&gt;=$O$17,ROUND((L653-J653+1)/360*12,3),ROUND((L653-$O$17+1)/360*12,3)),IF(J653&gt;=$O$17,ROUND((L653-J653+1)/360*12-ROUND(K653,3),3),ROUND((L653-$O$17+1)/360*12-ROUND(K653,3),3)))))</f>
        <v/>
      </c>
      <c r="N653" s="86"/>
      <c r="O653" s="453" t="str">
        <f>IF(OR(G653="",N653=""),"",N653*G653)</f>
        <v/>
      </c>
      <c r="P653" s="538" t="str">
        <f>IF(OR(H653="",M653="FUERA DE RANGO"),"",IF(OR(L653&lt;$O$17,L653&gt;$P$17,L653="",H653="NO"),"",IF(OR(N653="",O653=""),"",ROUND(O653,3))))</f>
        <v/>
      </c>
      <c r="Q653" s="539" t="str">
        <f t="shared" ref="Q653:Q662" si="179">IF(AND(H653="SI",P653&lt;&gt;""),ROUND(P653/M653,3),"")</f>
        <v/>
      </c>
      <c r="R653" s="737"/>
      <c r="S653" s="738"/>
      <c r="T653" s="739"/>
      <c r="U653" s="470"/>
      <c r="V653" s="165"/>
      <c r="W653" s="446"/>
      <c r="X653" s="456"/>
      <c r="Y653" s="436"/>
      <c r="Z653" s="437"/>
      <c r="AA653" s="560"/>
      <c r="AB653" s="561"/>
      <c r="AC653" s="87"/>
      <c r="AD653" s="466"/>
      <c r="AE653" s="456"/>
      <c r="AF653" s="467"/>
      <c r="AG653" s="87"/>
      <c r="AH653" s="87"/>
      <c r="AI653" s="87"/>
    </row>
    <row r="654" spans="1:35" hidden="1">
      <c r="A654" s="80" t="e">
        <f>"B"&amp;E649</f>
        <v>#N/A</v>
      </c>
      <c r="B654" s="81">
        <v>2</v>
      </c>
      <c r="C654" s="106"/>
      <c r="D654" s="106"/>
      <c r="E654" s="106"/>
      <c r="F654" s="106"/>
      <c r="G654" s="83"/>
      <c r="H654" s="83"/>
      <c r="I654" s="84"/>
      <c r="J654" s="85"/>
      <c r="K654" s="382"/>
      <c r="L654" s="85"/>
      <c r="M654" s="332" t="str">
        <f t="shared" si="178"/>
        <v/>
      </c>
      <c r="N654" s="86"/>
      <c r="O654" s="453" t="str">
        <f t="shared" ref="O654:O662" si="180">IF(OR(G654="",N654=""),"",N654*G654)</f>
        <v/>
      </c>
      <c r="P654" s="538" t="str">
        <f t="shared" ref="P654:P662" si="181">IF(OR(H654="",M654="FUERA DE RANGO"),"",IF(OR(L654&lt;$O$17,L654&gt;$P$17,L654="",H654="NO"),"",IF(OR(N654="",O654=""),"",ROUND(O654,3))))</f>
        <v/>
      </c>
      <c r="Q654" s="539" t="str">
        <f t="shared" si="179"/>
        <v/>
      </c>
      <c r="R654" s="740"/>
      <c r="S654" s="741"/>
      <c r="T654" s="742"/>
      <c r="U654" s="471"/>
      <c r="V654" s="165"/>
      <c r="W654" s="446"/>
      <c r="X654" s="456"/>
      <c r="Y654" s="436"/>
      <c r="Z654" s="437"/>
      <c r="AA654" s="560"/>
      <c r="AB654" s="561"/>
      <c r="AC654" s="87"/>
      <c r="AD654" s="466"/>
      <c r="AE654" s="456"/>
      <c r="AF654" s="467"/>
      <c r="AG654" s="87"/>
      <c r="AH654" s="87"/>
      <c r="AI654" s="87"/>
    </row>
    <row r="655" spans="1:35" hidden="1">
      <c r="A655" s="80" t="e">
        <f>"C"&amp;E649</f>
        <v>#N/A</v>
      </c>
      <c r="B655" s="88">
        <v>3</v>
      </c>
      <c r="C655" s="82"/>
      <c r="D655" s="82"/>
      <c r="E655" s="82"/>
      <c r="F655" s="82"/>
      <c r="G655" s="83"/>
      <c r="H655" s="83"/>
      <c r="I655" s="84"/>
      <c r="J655" s="85"/>
      <c r="K655" s="382"/>
      <c r="L655" s="85"/>
      <c r="M655" s="332" t="str">
        <f t="shared" si="178"/>
        <v/>
      </c>
      <c r="N655" s="86"/>
      <c r="O655" s="453" t="str">
        <f t="shared" si="180"/>
        <v/>
      </c>
      <c r="P655" s="538" t="str">
        <f t="shared" si="181"/>
        <v/>
      </c>
      <c r="Q655" s="539" t="str">
        <f t="shared" si="179"/>
        <v/>
      </c>
      <c r="R655" s="706"/>
      <c r="S655" s="707"/>
      <c r="T655" s="708"/>
      <c r="U655" s="472"/>
      <c r="V655" s="166"/>
      <c r="W655" s="446"/>
      <c r="X655" s="456"/>
      <c r="Y655" s="436"/>
      <c r="Z655" s="437"/>
      <c r="AA655" s="560"/>
      <c r="AB655" s="561"/>
      <c r="AC655" s="87"/>
      <c r="AD655" s="466"/>
      <c r="AE655" s="456"/>
      <c r="AF655" s="467"/>
      <c r="AG655" s="87"/>
      <c r="AH655" s="87"/>
      <c r="AI655" s="87"/>
    </row>
    <row r="656" spans="1:35" hidden="1">
      <c r="A656" s="80" t="e">
        <f>"D"&amp;E649</f>
        <v>#N/A</v>
      </c>
      <c r="B656" s="105">
        <v>4</v>
      </c>
      <c r="C656" s="107"/>
      <c r="D656" s="107"/>
      <c r="E656" s="107"/>
      <c r="F656" s="107"/>
      <c r="G656" s="83"/>
      <c r="H656" s="83"/>
      <c r="I656" s="84"/>
      <c r="J656" s="85"/>
      <c r="K656" s="382"/>
      <c r="L656" s="85"/>
      <c r="M656" s="332" t="str">
        <f t="shared" si="178"/>
        <v/>
      </c>
      <c r="N656" s="86"/>
      <c r="O656" s="453" t="str">
        <f t="shared" si="180"/>
        <v/>
      </c>
      <c r="P656" s="538" t="str">
        <f t="shared" si="181"/>
        <v/>
      </c>
      <c r="Q656" s="539" t="str">
        <f t="shared" si="179"/>
        <v/>
      </c>
      <c r="R656" s="706"/>
      <c r="S656" s="707"/>
      <c r="T656" s="708"/>
      <c r="U656" s="472"/>
      <c r="V656" s="166"/>
      <c r="W656" s="446"/>
      <c r="X656" s="456"/>
      <c r="Y656" s="436"/>
      <c r="Z656" s="437"/>
      <c r="AA656" s="560"/>
      <c r="AB656" s="561"/>
      <c r="AC656" s="87"/>
      <c r="AD656" s="466"/>
      <c r="AE656" s="456"/>
      <c r="AF656" s="467"/>
      <c r="AG656" s="87"/>
      <c r="AH656" s="87"/>
      <c r="AI656" s="87"/>
    </row>
    <row r="657" spans="1:35" hidden="1">
      <c r="A657" s="80" t="e">
        <f>"E"&amp;E649</f>
        <v>#N/A</v>
      </c>
      <c r="B657" s="105">
        <v>5</v>
      </c>
      <c r="C657" s="107"/>
      <c r="D657" s="107"/>
      <c r="E657" s="107"/>
      <c r="F657" s="107"/>
      <c r="G657" s="83"/>
      <c r="H657" s="83"/>
      <c r="I657" s="84"/>
      <c r="J657" s="85"/>
      <c r="K657" s="382"/>
      <c r="L657" s="85"/>
      <c r="M657" s="332" t="str">
        <f t="shared" si="178"/>
        <v/>
      </c>
      <c r="N657" s="86"/>
      <c r="O657" s="453" t="str">
        <f t="shared" si="180"/>
        <v/>
      </c>
      <c r="P657" s="538" t="str">
        <f t="shared" si="181"/>
        <v/>
      </c>
      <c r="Q657" s="539" t="str">
        <f t="shared" si="179"/>
        <v/>
      </c>
      <c r="R657" s="706"/>
      <c r="S657" s="707"/>
      <c r="T657" s="708"/>
      <c r="U657" s="472"/>
      <c r="V657" s="167"/>
      <c r="W657" s="446"/>
      <c r="X657" s="456"/>
      <c r="Y657" s="436"/>
      <c r="Z657" s="437"/>
      <c r="AA657" s="560"/>
      <c r="AB657" s="561"/>
      <c r="AC657" s="87"/>
      <c r="AD657" s="466"/>
      <c r="AE657" s="456"/>
      <c r="AF657" s="467"/>
      <c r="AG657" s="87"/>
      <c r="AH657" s="87"/>
      <c r="AI657" s="87"/>
    </row>
    <row r="658" spans="1:35" hidden="1">
      <c r="A658" s="80" t="e">
        <f>"F"&amp;E649</f>
        <v>#N/A</v>
      </c>
      <c r="B658" s="105">
        <v>6</v>
      </c>
      <c r="C658" s="107"/>
      <c r="D658" s="107"/>
      <c r="E658" s="107"/>
      <c r="F658" s="107"/>
      <c r="G658" s="83"/>
      <c r="H658" s="83"/>
      <c r="I658" s="84"/>
      <c r="J658" s="85"/>
      <c r="K658" s="382"/>
      <c r="L658" s="85"/>
      <c r="M658" s="332" t="str">
        <f t="shared" si="178"/>
        <v/>
      </c>
      <c r="N658" s="86"/>
      <c r="O658" s="453" t="str">
        <f t="shared" si="180"/>
        <v/>
      </c>
      <c r="P658" s="538" t="str">
        <f t="shared" si="181"/>
        <v/>
      </c>
      <c r="Q658" s="539" t="str">
        <f t="shared" si="179"/>
        <v/>
      </c>
      <c r="R658" s="706"/>
      <c r="S658" s="707"/>
      <c r="T658" s="708"/>
      <c r="U658" s="472"/>
      <c r="V658" s="167"/>
      <c r="W658" s="446"/>
      <c r="X658" s="456"/>
      <c r="Y658" s="436"/>
      <c r="Z658" s="437"/>
      <c r="AA658" s="560"/>
      <c r="AB658" s="561"/>
      <c r="AC658" s="87"/>
      <c r="AD658" s="466"/>
      <c r="AE658" s="456"/>
      <c r="AF658" s="467"/>
      <c r="AG658" s="87"/>
      <c r="AH658" s="87"/>
      <c r="AI658" s="87"/>
    </row>
    <row r="659" spans="1:35" hidden="1">
      <c r="A659" s="80" t="e">
        <f>"G"&amp;E649</f>
        <v>#N/A</v>
      </c>
      <c r="B659" s="105">
        <v>7</v>
      </c>
      <c r="C659" s="107"/>
      <c r="D659" s="107"/>
      <c r="E659" s="107"/>
      <c r="F659" s="107"/>
      <c r="G659" s="83"/>
      <c r="H659" s="83"/>
      <c r="I659" s="84"/>
      <c r="J659" s="85"/>
      <c r="K659" s="382"/>
      <c r="L659" s="85"/>
      <c r="M659" s="332" t="str">
        <f t="shared" si="178"/>
        <v/>
      </c>
      <c r="N659" s="86"/>
      <c r="O659" s="86" t="str">
        <f t="shared" si="180"/>
        <v/>
      </c>
      <c r="P659" s="538" t="str">
        <f t="shared" si="181"/>
        <v/>
      </c>
      <c r="Q659" s="539" t="str">
        <f t="shared" si="179"/>
        <v/>
      </c>
      <c r="R659" s="706"/>
      <c r="S659" s="707"/>
      <c r="T659" s="708"/>
      <c r="U659" s="472"/>
      <c r="V659" s="167"/>
      <c r="W659" s="446"/>
      <c r="X659" s="456"/>
      <c r="Y659" s="436"/>
      <c r="Z659" s="437"/>
      <c r="AA659" s="560"/>
      <c r="AB659" s="561"/>
      <c r="AC659" s="87"/>
      <c r="AD659" s="466"/>
      <c r="AE659" s="456"/>
      <c r="AF659" s="467"/>
      <c r="AG659" s="87"/>
      <c r="AH659" s="87"/>
      <c r="AI659" s="87"/>
    </row>
    <row r="660" spans="1:35" hidden="1">
      <c r="A660" s="80" t="e">
        <f>"H"&amp;E649</f>
        <v>#N/A</v>
      </c>
      <c r="B660" s="105">
        <v>8</v>
      </c>
      <c r="C660" s="107"/>
      <c r="D660" s="107"/>
      <c r="E660" s="107"/>
      <c r="F660" s="107"/>
      <c r="G660" s="83"/>
      <c r="H660" s="83"/>
      <c r="I660" s="84"/>
      <c r="J660" s="85"/>
      <c r="K660" s="382"/>
      <c r="L660" s="85"/>
      <c r="M660" s="332" t="str">
        <f t="shared" si="178"/>
        <v/>
      </c>
      <c r="N660" s="453"/>
      <c r="O660" s="86" t="str">
        <f t="shared" si="180"/>
        <v/>
      </c>
      <c r="P660" s="538" t="str">
        <f t="shared" si="181"/>
        <v/>
      </c>
      <c r="Q660" s="539" t="str">
        <f t="shared" si="179"/>
        <v/>
      </c>
      <c r="R660" s="706"/>
      <c r="S660" s="707"/>
      <c r="T660" s="708"/>
      <c r="U660" s="472"/>
      <c r="V660" s="167"/>
      <c r="W660" s="446"/>
      <c r="X660" s="456"/>
      <c r="Y660" s="436"/>
      <c r="Z660" s="437"/>
      <c r="AA660" s="560"/>
      <c r="AB660" s="561"/>
      <c r="AC660" s="87"/>
      <c r="AD660" s="466"/>
      <c r="AE660" s="456"/>
      <c r="AF660" s="467"/>
      <c r="AG660" s="87"/>
      <c r="AH660" s="87"/>
      <c r="AI660" s="87"/>
    </row>
    <row r="661" spans="1:35" hidden="1">
      <c r="A661" s="80" t="e">
        <f>"I"&amp;E649</f>
        <v>#N/A</v>
      </c>
      <c r="B661" s="105">
        <v>9</v>
      </c>
      <c r="C661" s="107"/>
      <c r="D661" s="107"/>
      <c r="E661" s="107"/>
      <c r="F661" s="107"/>
      <c r="G661" s="83"/>
      <c r="H661" s="83"/>
      <c r="I661" s="84"/>
      <c r="J661" s="85"/>
      <c r="K661" s="382"/>
      <c r="L661" s="85"/>
      <c r="M661" s="332" t="str">
        <f t="shared" si="178"/>
        <v/>
      </c>
      <c r="N661" s="453"/>
      <c r="O661" s="86" t="str">
        <f t="shared" si="180"/>
        <v/>
      </c>
      <c r="P661" s="538" t="str">
        <f t="shared" si="181"/>
        <v/>
      </c>
      <c r="Q661" s="539" t="str">
        <f t="shared" si="179"/>
        <v/>
      </c>
      <c r="R661" s="706"/>
      <c r="S661" s="707"/>
      <c r="T661" s="708"/>
      <c r="U661" s="472"/>
      <c r="V661" s="167"/>
      <c r="W661" s="446"/>
      <c r="X661" s="456"/>
      <c r="Y661" s="436"/>
      <c r="Z661" s="437"/>
      <c r="AA661" s="560"/>
      <c r="AB661" s="561"/>
      <c r="AC661" s="87"/>
      <c r="AD661" s="466"/>
      <c r="AE661" s="456"/>
      <c r="AF661" s="467"/>
      <c r="AG661" s="87"/>
      <c r="AH661" s="87"/>
      <c r="AI661" s="87"/>
    </row>
    <row r="662" spans="1:35" hidden="1">
      <c r="A662" s="80" t="e">
        <f>"J"&amp;E649</f>
        <v>#N/A</v>
      </c>
      <c r="B662" s="105">
        <v>10</v>
      </c>
      <c r="C662" s="107"/>
      <c r="D662" s="107"/>
      <c r="E662" s="107"/>
      <c r="F662" s="107"/>
      <c r="G662" s="83"/>
      <c r="H662" s="83"/>
      <c r="I662" s="84"/>
      <c r="J662" s="85"/>
      <c r="K662" s="382"/>
      <c r="L662" s="85"/>
      <c r="M662" s="332" t="str">
        <f t="shared" si="178"/>
        <v/>
      </c>
      <c r="N662" s="453"/>
      <c r="O662" s="86" t="str">
        <f t="shared" si="180"/>
        <v/>
      </c>
      <c r="P662" s="538" t="str">
        <f t="shared" si="181"/>
        <v/>
      </c>
      <c r="Q662" s="539" t="str">
        <f t="shared" si="179"/>
        <v/>
      </c>
      <c r="R662" s="706"/>
      <c r="S662" s="707"/>
      <c r="T662" s="708"/>
      <c r="U662" s="472"/>
      <c r="V662" s="167"/>
      <c r="W662" s="446"/>
      <c r="X662" s="456"/>
      <c r="Y662" s="436"/>
      <c r="Z662" s="437"/>
      <c r="AA662" s="560"/>
      <c r="AB662" s="561"/>
      <c r="AC662" s="87"/>
      <c r="AD662" s="466"/>
      <c r="AE662" s="456"/>
      <c r="AF662" s="467"/>
      <c r="AG662" s="87"/>
      <c r="AH662" s="87"/>
      <c r="AI662" s="87"/>
    </row>
    <row r="663" spans="1:35" ht="16.5" hidden="1" thickBot="1">
      <c r="A663" s="44"/>
      <c r="B663" s="89"/>
      <c r="C663" s="90"/>
      <c r="D663" s="90"/>
      <c r="E663" s="90"/>
      <c r="F663" s="90"/>
      <c r="G663" s="90"/>
      <c r="H663" s="90"/>
      <c r="I663" s="90"/>
      <c r="J663" s="90"/>
      <c r="K663" s="90"/>
      <c r="L663" s="90"/>
      <c r="M663" s="90"/>
      <c r="N663" s="90"/>
      <c r="O663" s="90"/>
      <c r="P663" s="90"/>
      <c r="Q663" s="90"/>
      <c r="R663" s="90"/>
      <c r="S663" s="91"/>
      <c r="T663" s="92"/>
      <c r="U663" s="473"/>
      <c r="W663" s="438"/>
      <c r="X663" s="455"/>
      <c r="Y663" s="439"/>
      <c r="Z663" s="437"/>
      <c r="AA663" s="530"/>
      <c r="AB663" s="563"/>
      <c r="AC663" s="87"/>
      <c r="AD663" s="440"/>
      <c r="AE663" s="441"/>
      <c r="AF663" s="442"/>
      <c r="AG663" s="49"/>
      <c r="AH663" s="87"/>
      <c r="AI663" s="87"/>
    </row>
    <row r="664" spans="1:35" ht="16.5" hidden="1" thickBot="1">
      <c r="A664" s="93"/>
      <c r="B664" s="94"/>
      <c r="C664" s="96"/>
      <c r="D664" s="96"/>
      <c r="E664" s="96"/>
      <c r="F664" s="96"/>
      <c r="G664" s="96"/>
      <c r="H664" s="96"/>
      <c r="I664" s="96"/>
      <c r="J664" s="96"/>
      <c r="K664" s="96"/>
      <c r="L664" s="96"/>
      <c r="M664" s="136"/>
      <c r="N664" s="96"/>
      <c r="O664" s="96"/>
      <c r="P664" s="97"/>
      <c r="Q664" s="97"/>
      <c r="R664" s="98"/>
      <c r="S664" s="95"/>
      <c r="T664" s="99"/>
      <c r="U664" s="469"/>
      <c r="AC664" s="58"/>
      <c r="AG664" s="58"/>
      <c r="AH664" s="87"/>
      <c r="AI664" s="87"/>
    </row>
    <row r="665" spans="1:35" ht="16.5" hidden="1" thickBot="1">
      <c r="B665" s="101"/>
      <c r="C665" s="101"/>
      <c r="D665" s="101"/>
      <c r="E665" s="101"/>
      <c r="F665" s="101"/>
      <c r="G665" s="101"/>
      <c r="H665" s="101"/>
      <c r="I665" s="101"/>
      <c r="J665" s="101"/>
      <c r="K665" s="101"/>
      <c r="L665" s="101"/>
      <c r="M665" s="101"/>
      <c r="N665" s="101"/>
      <c r="O665" s="101"/>
      <c r="P665" s="101"/>
      <c r="Q665" s="101"/>
      <c r="R665" s="101"/>
      <c r="S665" s="101"/>
      <c r="U665" s="50"/>
      <c r="AH665" s="87"/>
      <c r="AI665" s="87"/>
    </row>
    <row r="666" spans="1:35" ht="16.5" hidden="1" customHeight="1" thickBot="1">
      <c r="A666" s="44"/>
      <c r="B666" s="705" t="s">
        <v>74</v>
      </c>
      <c r="C666" s="705"/>
      <c r="D666" s="705"/>
      <c r="E666" s="705"/>
      <c r="F666" s="705"/>
      <c r="G666" s="705"/>
      <c r="H666" s="705"/>
      <c r="I666" s="705"/>
      <c r="J666" s="705"/>
      <c r="K666" s="705"/>
      <c r="L666" s="705"/>
      <c r="M666" s="705"/>
      <c r="N666" s="705"/>
      <c r="O666" s="705"/>
      <c r="P666" s="705"/>
      <c r="Q666" s="705"/>
      <c r="R666" s="705"/>
      <c r="S666" s="705"/>
      <c r="T666" s="705"/>
      <c r="U666" s="108"/>
      <c r="Y666" s="532" t="s">
        <v>341</v>
      </c>
      <c r="AC666" s="49"/>
      <c r="AD666" s="687" t="s">
        <v>302</v>
      </c>
      <c r="AE666" s="688"/>
      <c r="AF666" s="689"/>
      <c r="AG666" s="49"/>
      <c r="AH666" s="87"/>
      <c r="AI666" s="87"/>
    </row>
    <row r="667" spans="1:35" ht="15.75" hidden="1" customHeight="1" thickBot="1">
      <c r="A667" s="218" t="e">
        <f>"K"&amp;E649</f>
        <v>#N/A</v>
      </c>
      <c r="B667" s="701" t="s">
        <v>71</v>
      </c>
      <c r="C667" s="751" t="s">
        <v>102</v>
      </c>
      <c r="D667" s="751"/>
      <c r="E667" s="751"/>
      <c r="F667" s="751"/>
      <c r="G667" s="751"/>
      <c r="H667" s="751"/>
      <c r="I667" s="751"/>
      <c r="J667" s="751"/>
      <c r="K667" s="751"/>
      <c r="L667" s="722" t="s">
        <v>100</v>
      </c>
      <c r="M667" s="747" t="s">
        <v>114</v>
      </c>
      <c r="N667" s="747"/>
      <c r="O667" s="747"/>
      <c r="P667" s="747"/>
      <c r="Q667" s="748"/>
      <c r="R667" s="758" t="s">
        <v>280</v>
      </c>
      <c r="S667" s="748"/>
      <c r="T667" s="762" t="str">
        <f>IF(COUNTIF(AE667:AF667,"VERIFICAR")&gt;0,"VERIFICAR",IF(COUNTIF(AE667:AF667,"NO CUMPLE")&gt;0,"NO CUMPLE","CUMPLE"))</f>
        <v>VERIFICAR</v>
      </c>
      <c r="U667" s="108"/>
      <c r="Y667" s="533" t="e">
        <f>IF(F668="","",IF(F668=1,"INDIVIDUAL","ESTRUCTURA PLURAL"))</f>
        <v>#N/A</v>
      </c>
      <c r="AC667" s="52"/>
      <c r="AD667" s="475" t="s">
        <v>303</v>
      </c>
      <c r="AE667" s="476" t="str">
        <f>IF(COUNTIF(AE653:AE662,"")=10,"VERIFICAR",IF(COUNTIF(AE653:AE662,"SI")&gt;0,"CUMPLE","NO CUMPLE"))</f>
        <v>VERIFICAR</v>
      </c>
      <c r="AF667" s="477" t="str">
        <f>IF(COUNTIF(AF653:AF662,"")=10,"VERIFICAR",IF(COUNTIF(AF653:AF662,"SI")&gt;=$AI$22,"CUMPLE","NO CUMPLE"))</f>
        <v>VERIFICAR</v>
      </c>
      <c r="AG667" s="52"/>
      <c r="AH667" s="87"/>
      <c r="AI667" s="87"/>
    </row>
    <row r="668" spans="1:35" ht="16.5" hidden="1" customHeight="1" thickBot="1">
      <c r="A668" s="218" t="e">
        <f>"L"&amp;E649</f>
        <v>#N/A</v>
      </c>
      <c r="B668" s="702"/>
      <c r="C668" s="751" t="s">
        <v>103</v>
      </c>
      <c r="D668" s="751"/>
      <c r="E668" s="752"/>
      <c r="F668" s="557" t="e">
        <f>IF(VLOOKUP(E649,PROPONENTES!$C$19:$E$218,3,0)="","",VLOOKUP(E649,PROPONENTES!$C$19:$E$218,3,0))</f>
        <v>#N/A</v>
      </c>
      <c r="G668" s="753" t="s">
        <v>104</v>
      </c>
      <c r="H668" s="751"/>
      <c r="I668" s="715" t="e">
        <f>IF(OR(F668="",F668=1),"INTERESADO PERSONA NATURAL O JURIDICA","CONSORCIO O UNION TEMPORAL")</f>
        <v>#N/A</v>
      </c>
      <c r="J668" s="725"/>
      <c r="K668" s="728"/>
      <c r="L668" s="723"/>
      <c r="M668" s="749"/>
      <c r="N668" s="749"/>
      <c r="O668" s="749"/>
      <c r="P668" s="749"/>
      <c r="Q668" s="750"/>
      <c r="R668" s="712"/>
      <c r="S668" s="750"/>
      <c r="T668" s="763"/>
      <c r="U668" s="108"/>
      <c r="Y668" s="534"/>
      <c r="AA668" s="52"/>
      <c r="AB668" s="52"/>
      <c r="AC668" s="52"/>
      <c r="AG668" s="52"/>
      <c r="AH668" s="87"/>
      <c r="AI668" s="87"/>
    </row>
    <row r="669" spans="1:35" ht="56.25" hidden="1" customHeight="1" thickBot="1">
      <c r="A669" s="218" t="e">
        <f>"M"&amp;E649</f>
        <v>#N/A</v>
      </c>
      <c r="B669" s="702"/>
      <c r="C669" s="725" t="s">
        <v>101</v>
      </c>
      <c r="D669" s="716"/>
      <c r="E669" s="558" t="s">
        <v>105</v>
      </c>
      <c r="F669" s="554" t="s">
        <v>87</v>
      </c>
      <c r="G669" s="553" t="s">
        <v>86</v>
      </c>
      <c r="H669" s="559" t="s">
        <v>85</v>
      </c>
      <c r="I669" s="554" t="s">
        <v>252</v>
      </c>
      <c r="J669" s="553" t="str">
        <f>"¿EL INTEGRANTE TIENE UNA PARTICIPACIÓN DEL "&amp;PORCREQUERIDOINT*100&amp;"%?"</f>
        <v>¿EL INTEGRANTE TIENE UNA PARTICIPACIÓN DEL 60%?</v>
      </c>
      <c r="K669" s="554" t="s">
        <v>107</v>
      </c>
      <c r="L669" s="724"/>
      <c r="M669" s="717" t="s">
        <v>115</v>
      </c>
      <c r="N669" s="718"/>
      <c r="O669" s="718"/>
      <c r="P669" s="718"/>
      <c r="Q669" s="223">
        <f>IF(AND(H653="SI",P653&gt;=0),1,0)+IF(AND(H654="SI",P654&gt;=0),1,0)+IF(AND(H655="SI",P655&gt;=0),1,0)+IF(AND(H656="SI",P656&gt;=0),1,0)+IF(AND(H657="SI",P657&gt;=0),1,0)+IF(AND(H658="SI",P658&gt;=0),1,0)+IF(AND(H659="SI",P659&gt;=0),1,0)+IF(AND(H660="SI",P660&gt;=0),1,0)+IF(AND(H661="SI",P661&gt;=0),1,0)+IF(AND(H662="SI",P662&gt;=0),1,0)</f>
        <v>0</v>
      </c>
      <c r="R669" s="759"/>
      <c r="S669" s="761"/>
      <c r="T669" s="764"/>
      <c r="U669" s="219"/>
      <c r="V669" s="464"/>
      <c r="Y669" s="532" t="s">
        <v>342</v>
      </c>
      <c r="AA669" s="550" t="s">
        <v>344</v>
      </c>
      <c r="AB669" s="693" t="s">
        <v>345</v>
      </c>
      <c r="AC669" s="693" t="s">
        <v>346</v>
      </c>
      <c r="AD669" s="685" t="s">
        <v>347</v>
      </c>
      <c r="AE669" s="52"/>
      <c r="AF669" s="52"/>
      <c r="AG669" s="52"/>
      <c r="AH669" s="87"/>
      <c r="AI669" s="87"/>
    </row>
    <row r="670" spans="1:35" ht="15.75" hidden="1" customHeight="1" thickBot="1">
      <c r="A670" s="218" t="e">
        <f>"N"&amp;E649</f>
        <v>#N/A</v>
      </c>
      <c r="B670" s="702"/>
      <c r="C670" s="114">
        <v>1</v>
      </c>
      <c r="D670" s="194" t="e">
        <f>IF(AND(C670&lt;=F668,F668&gt;1,F668&lt;&gt;""),VLOOKUP(VALUE(E649&amp;","&amp;C670),INTEGRANTES!$D$18:$F$235,2,0),"")</f>
        <v>#N/A</v>
      </c>
      <c r="E670" s="211" t="e">
        <f>IF(D670&lt;&gt;"",VLOOKUP(VALUE(E649&amp;","&amp;C670),INTEGRANTES!$D$18:$F$235,3,0),"")</f>
        <v>#N/A</v>
      </c>
      <c r="F670" s="547" t="e">
        <f>IF(D670="","",SUMIF($I653:$I662,D670,$P653:$P662))</f>
        <v>#N/A</v>
      </c>
      <c r="G670" s="333" t="e">
        <f>IF(D670="","",SUMIF($I653:$I662,D670,$M653:$M662))</f>
        <v>#N/A</v>
      </c>
      <c r="H670" s="535" t="e">
        <f t="shared" ref="H670:H675" si="182">IF(D670="","",IF(OR(F670=0,G670=0),"NO APORTA",ROUND($F670/$G670,3)))</f>
        <v>#N/A</v>
      </c>
      <c r="I670" s="212" t="e">
        <f>IF(D670="","",IF(H670="NO APORTA","NO",IF(H670=MAX($H670:$H675),"SI","NO")))</f>
        <v>#N/A</v>
      </c>
      <c r="J670" s="213" t="e">
        <f t="shared" ref="J670:J675" si="183">IF(D670="","",IF(E670&gt;=PORCREQUERIDOINT,"SI","NO"))</f>
        <v>#N/A</v>
      </c>
      <c r="K670" s="200" t="e">
        <f t="shared" ref="K670:K675" si="184">IF(D670="","",IF(AND(I670="SI",J670="SI"),"CUMPLE",IF(AND(I670="NO",OR(J670="SI",J670="NO")),"","NO CUMPLE")))</f>
        <v>#N/A</v>
      </c>
      <c r="L670" s="722" t="s">
        <v>108</v>
      </c>
      <c r="M670" s="726" t="s">
        <v>119</v>
      </c>
      <c r="N670" s="726"/>
      <c r="O670" s="726"/>
      <c r="P670" s="726"/>
      <c r="Q670" s="727"/>
      <c r="R670" s="758" t="s">
        <v>80</v>
      </c>
      <c r="S670" s="747"/>
      <c r="T670" s="748"/>
      <c r="U670" s="219"/>
      <c r="V670" s="464"/>
      <c r="Y670" s="533" t="e">
        <f>IF(Y667="","",IF(Y667="INDIVIDUAL","NO APLICA","VERIFICAR CUADRO"))</f>
        <v>#N/A</v>
      </c>
      <c r="AA670" s="551"/>
      <c r="AB670" s="694"/>
      <c r="AC670" s="694"/>
      <c r="AD670" s="686"/>
      <c r="AE670" s="52"/>
      <c r="AF670" s="52"/>
      <c r="AG670" s="52"/>
      <c r="AH670" s="87"/>
      <c r="AI670" s="87"/>
    </row>
    <row r="671" spans="1:35" ht="27" hidden="1" customHeight="1" thickBot="1">
      <c r="A671" s="218" t="e">
        <f>"O"&amp;E649</f>
        <v>#N/A</v>
      </c>
      <c r="B671" s="702"/>
      <c r="C671" s="114">
        <v>2</v>
      </c>
      <c r="D671" s="194" t="e">
        <f>IF(AND(C671&lt;=F668,F668&lt;&gt;""),VLOOKUP(VALUE(E649&amp;","&amp;C671),INTEGRANTES!$D$18:$F$235,2,0),"")</f>
        <v>#N/A</v>
      </c>
      <c r="E671" s="211" t="e">
        <f>IF(D671&lt;&gt;"",VLOOKUP(VALUE(E649&amp;","&amp;C671),INTEGRANTES!$D$18:$F$235,3,0),"")</f>
        <v>#N/A</v>
      </c>
      <c r="F671" s="547" t="e">
        <f>IF(D671="","",SUMIF($I653:$I662,D671,$P653:$P662))</f>
        <v>#N/A</v>
      </c>
      <c r="G671" s="333" t="e">
        <f>IF(D671="","",SUMIF($I653:$I662,D671,$M653:$M662))</f>
        <v>#N/A</v>
      </c>
      <c r="H671" s="535" t="e">
        <f t="shared" si="182"/>
        <v>#N/A</v>
      </c>
      <c r="I671" s="212" t="e">
        <f>IF(D671="","",IF(H671="NO APORTA","NO",IF(H671=MAX($H670:$H675),"SI","NO")))</f>
        <v>#N/A</v>
      </c>
      <c r="J671" s="213" t="e">
        <f t="shared" si="183"/>
        <v>#N/A</v>
      </c>
      <c r="K671" s="200" t="e">
        <f t="shared" si="184"/>
        <v>#N/A</v>
      </c>
      <c r="L671" s="723"/>
      <c r="M671" s="715" t="s">
        <v>116</v>
      </c>
      <c r="N671" s="716"/>
      <c r="O671" s="556" t="s">
        <v>113</v>
      </c>
      <c r="P671" s="715" t="s">
        <v>117</v>
      </c>
      <c r="Q671" s="728"/>
      <c r="R671" s="759"/>
      <c r="S671" s="760"/>
      <c r="T671" s="761"/>
      <c r="U671" s="219"/>
      <c r="V671" s="464"/>
      <c r="Y671" s="414"/>
      <c r="AA671" s="542" t="e">
        <f>IF(AND(C670&lt;=F668,F668&gt;1,F668&lt;&gt;""),VLOOKUP(VALUE(E649&amp;","&amp;C670),INTEGRANTES!$D$18:$F$235,2,0),"")</f>
        <v>#N/A</v>
      </c>
      <c r="AB671" s="544" t="e">
        <f t="shared" ref="AB671:AB676" si="185">IF(D670="","",IF(OR(F670=0,G670=0),"NO APORTA",ROUND($F670/$G670,3)))</f>
        <v>#N/A</v>
      </c>
      <c r="AC671" s="529"/>
      <c r="AD671" s="200" t="e">
        <f t="shared" ref="AD671:AD676" si="186">IF(OR(AA671="",AB671=""),"",IF(AND(AC671="X",AB671&gt;=EXPREQVTD),"CUMPLE","NO CUMPLE"))</f>
        <v>#N/A</v>
      </c>
      <c r="AE671" s="52"/>
      <c r="AF671" s="52"/>
      <c r="AG671" s="52"/>
      <c r="AH671" s="87"/>
      <c r="AI671" s="87"/>
    </row>
    <row r="672" spans="1:35" ht="16.5" hidden="1" thickBot="1">
      <c r="A672" s="218" t="e">
        <f>"P"&amp;E649</f>
        <v>#N/A</v>
      </c>
      <c r="B672" s="702"/>
      <c r="C672" s="114">
        <v>3</v>
      </c>
      <c r="D672" s="194" t="e">
        <f>IF(AND(C672&lt;=F668,F668&lt;&gt;""),VLOOKUP(VALUE(E649&amp;","&amp;C672),INTEGRANTES!$D$18:$F$235,2,0),"")</f>
        <v>#N/A</v>
      </c>
      <c r="E672" s="211" t="e">
        <f>IF(D672&lt;&gt;"",VLOOKUP(VALUE(E649&amp;","&amp;C672),INTEGRANTES!$D$18:$F$235,3,0),"")</f>
        <v>#N/A</v>
      </c>
      <c r="F672" s="547" t="e">
        <f>IF(D672="","",SUMIF($I653:$I662,D672,$P653:$P662))</f>
        <v>#N/A</v>
      </c>
      <c r="G672" s="333" t="e">
        <f>IF(D672="","",SUMIF($I653:$I662,D672,$M653:$M662))</f>
        <v>#N/A</v>
      </c>
      <c r="H672" s="535" t="e">
        <f t="shared" si="182"/>
        <v>#N/A</v>
      </c>
      <c r="I672" s="212" t="e">
        <f>IF(D672="","",IF(H672="NO APORTA","NO",IF(H672=MAX($H670:$H675),"SI","NO")))</f>
        <v>#N/A</v>
      </c>
      <c r="J672" s="213" t="e">
        <f t="shared" si="183"/>
        <v>#N/A</v>
      </c>
      <c r="K672" s="200" t="e">
        <f t="shared" si="184"/>
        <v>#N/A</v>
      </c>
      <c r="L672" s="724"/>
      <c r="M672" s="729">
        <f>NUMMOD</f>
        <v>1</v>
      </c>
      <c r="N672" s="730"/>
      <c r="O672" s="443">
        <f>IF(M672="","",VLOOKUP(M672,PRESUPUESTOS!$B$16:$H$16,5,FALSE))</f>
        <v>2</v>
      </c>
      <c r="P672" s="713">
        <f>IF(OR(COUNTIF(M653:M662,"")&gt;=10,Q669&lt;NUMMINCONT,OR(T667="NO CUMPLE",T667="VERIFICAR")),0,ROUND(AVERAGE(M653:M662),3))</f>
        <v>0</v>
      </c>
      <c r="Q672" s="714"/>
      <c r="R672" s="458"/>
      <c r="S672" s="459"/>
      <c r="T672" s="460"/>
      <c r="U672" s="219"/>
      <c r="V672" s="464"/>
      <c r="Y672" s="532" t="str">
        <f>"40% * ("&amp;PRESUPUESTOS!$H$13&amp;")"</f>
        <v>40% * (50% PFMO)</v>
      </c>
      <c r="AA672" s="540" t="e">
        <f>IF(AND(C671&lt;=F668,F668&lt;&gt;""),VLOOKUP(VALUE(E649&amp;","&amp;C671),INTEGRANTES!$D$18:$F$235,2,0),"")</f>
        <v>#N/A</v>
      </c>
      <c r="AB672" s="545" t="e">
        <f t="shared" si="185"/>
        <v>#N/A</v>
      </c>
      <c r="AC672" s="529"/>
      <c r="AD672" s="200" t="e">
        <f t="shared" si="186"/>
        <v>#N/A</v>
      </c>
      <c r="AE672" s="52"/>
      <c r="AF672" s="52"/>
      <c r="AG672" s="52"/>
      <c r="AH672" s="87"/>
      <c r="AI672" s="87"/>
    </row>
    <row r="673" spans="1:35" ht="15.75" hidden="1" customHeight="1" thickBot="1">
      <c r="A673" s="218" t="e">
        <f>"Q"&amp;E649</f>
        <v>#N/A</v>
      </c>
      <c r="B673" s="702"/>
      <c r="C673" s="114">
        <v>4</v>
      </c>
      <c r="D673" s="194" t="e">
        <f>IF(AND(C673&lt;=F668,F668&lt;&gt;""),VLOOKUP(VALUE(E649&amp;","&amp;C673),INTEGRANTES!$D$18:$F$235,2,0),"")</f>
        <v>#N/A</v>
      </c>
      <c r="E673" s="211" t="e">
        <f>IF(D673&lt;&gt;"",VLOOKUP(VALUE(E649&amp;","&amp;C673),INTEGRANTES!$D$18:$F$235,3,0),"")</f>
        <v>#N/A</v>
      </c>
      <c r="F673" s="547" t="e">
        <f>IF(D673="","",SUMIF($I653:$I662,D673,$P653:$P662))</f>
        <v>#N/A</v>
      </c>
      <c r="G673" s="333" t="e">
        <f>IF(D673="","",SUMIF($I653:$I662,D673,$M653:$M662))</f>
        <v>#N/A</v>
      </c>
      <c r="H673" s="535" t="e">
        <f t="shared" si="182"/>
        <v>#N/A</v>
      </c>
      <c r="I673" s="212" t="e">
        <f>IF(D673="","",IF(H673="NO APORTA","NO",IF(H673=MAX($H670:$H675),"SI","NO")))</f>
        <v>#N/A</v>
      </c>
      <c r="J673" s="213" t="e">
        <f t="shared" si="183"/>
        <v>#N/A</v>
      </c>
      <c r="K673" s="200" t="e">
        <f t="shared" si="184"/>
        <v>#N/A</v>
      </c>
      <c r="L673" s="720" t="s">
        <v>109</v>
      </c>
      <c r="M673" s="757" t="s">
        <v>120</v>
      </c>
      <c r="N673" s="726"/>
      <c r="O673" s="726"/>
      <c r="P673" s="726"/>
      <c r="Q673" s="727"/>
      <c r="R673" s="458"/>
      <c r="S673" s="459"/>
      <c r="T673" s="460"/>
      <c r="U673" s="219"/>
      <c r="V673" s="464"/>
      <c r="Y673" s="537">
        <f>0.4*PRESUPUESTOS!$H$16</f>
        <v>10.3124</v>
      </c>
      <c r="AA673" s="540" t="e">
        <f>IF(AND(C672&lt;=F668,F668&lt;&gt;""),VLOOKUP(VALUE(E649&amp;","&amp;C672),INTEGRANTES!$D$18:$F$235,2,0),"")</f>
        <v>#N/A</v>
      </c>
      <c r="AB673" s="545" t="e">
        <f t="shared" si="185"/>
        <v>#N/A</v>
      </c>
      <c r="AC673" s="529"/>
      <c r="AD673" s="200" t="e">
        <f t="shared" si="186"/>
        <v>#N/A</v>
      </c>
      <c r="AE673" s="52"/>
      <c r="AF673" s="52"/>
      <c r="AG673" s="52"/>
      <c r="AH673" s="87"/>
      <c r="AI673" s="87"/>
    </row>
    <row r="674" spans="1:35" ht="27" hidden="1" customHeight="1" thickBot="1">
      <c r="A674" s="218" t="e">
        <f>"R"&amp;E649</f>
        <v>#N/A</v>
      </c>
      <c r="B674" s="702"/>
      <c r="C674" s="114">
        <v>5</v>
      </c>
      <c r="D674" s="194" t="e">
        <f>IF(AND(C674&lt;=F668,F668&lt;&gt;""),VLOOKUP(VALUE(E649&amp;","&amp;C674),INTEGRANTES!$D$18:$F$235,2,0),"")</f>
        <v>#N/A</v>
      </c>
      <c r="E674" s="211" t="e">
        <f>IF(D674&lt;&gt;"",VLOOKUP(VALUE(E649&amp;","&amp;C674),INTEGRANTES!$D$18:$F$235,3,0),"")</f>
        <v>#N/A</v>
      </c>
      <c r="F674" s="547" t="e">
        <f>IF(D674="","",SUMIF($I653:$I662,D674,$P653:$P662))</f>
        <v>#N/A</v>
      </c>
      <c r="G674" s="333" t="e">
        <f>IF(D674="","",SUMIF($I653:$I662,D674,$M653:$M662))</f>
        <v>#N/A</v>
      </c>
      <c r="H674" s="535" t="e">
        <f t="shared" si="182"/>
        <v>#N/A</v>
      </c>
      <c r="I674" s="212" t="e">
        <f>IF(D674="","",IF(H674="NO APORTA","NO",IF(H674=MAX($H670:$H675),"SI","NO")))</f>
        <v>#N/A</v>
      </c>
      <c r="J674" s="213" t="e">
        <f t="shared" si="183"/>
        <v>#N/A</v>
      </c>
      <c r="K674" s="200" t="e">
        <f t="shared" si="184"/>
        <v>#N/A</v>
      </c>
      <c r="L674" s="721"/>
      <c r="M674" s="715" t="s">
        <v>116</v>
      </c>
      <c r="N674" s="716"/>
      <c r="O674" s="556" t="str">
        <f>PORCREQUERIDO*100&amp;"% PMFO DEL MÓDULO"</f>
        <v>50% PMFO DEL MÓDULO</v>
      </c>
      <c r="P674" s="715" t="s">
        <v>118</v>
      </c>
      <c r="Q674" s="728"/>
      <c r="R674" s="458"/>
      <c r="S674" s="459"/>
      <c r="T674" s="460"/>
      <c r="U674" s="219"/>
      <c r="V674" s="464"/>
      <c r="Y674" s="414"/>
      <c r="AA674" s="540" t="e">
        <f>IF(AND(C673&lt;=F668,F668&lt;&gt;""),VLOOKUP(VALUE(E649&amp;","&amp;C673),INTEGRANTES!$D$18:$F$235,2,0),"")</f>
        <v>#N/A</v>
      </c>
      <c r="AB674" s="545" t="e">
        <f t="shared" si="185"/>
        <v>#N/A</v>
      </c>
      <c r="AC674" s="529"/>
      <c r="AD674" s="200" t="e">
        <f t="shared" si="186"/>
        <v>#N/A</v>
      </c>
      <c r="AE674" s="52"/>
      <c r="AF674" s="52"/>
      <c r="AG674" s="52"/>
      <c r="AH674" s="87"/>
      <c r="AI674" s="87"/>
    </row>
    <row r="675" spans="1:35" ht="16.5" hidden="1" thickBot="1">
      <c r="A675" s="218" t="e">
        <f>"S"&amp;E649</f>
        <v>#N/A</v>
      </c>
      <c r="B675" s="702"/>
      <c r="C675" s="215">
        <v>6</v>
      </c>
      <c r="D675" s="216" t="e">
        <f>IF(AND(C675&lt;=F668,F668&lt;&gt;""),VLOOKUP(VALUE(E649&amp;","&amp;C675),INTEGRANTES!$D$18:$F$235,2,0),"")</f>
        <v>#N/A</v>
      </c>
      <c r="E675" s="217" t="e">
        <f>IF(D675&lt;&gt;"",VLOOKUP(VALUE(E649&amp;","&amp;C675),INTEGRANTES!$D$18:$F$235,3,0),"")</f>
        <v>#N/A</v>
      </c>
      <c r="F675" s="548" t="e">
        <f>IF(D675="","",SUMIF($I653:$I662,D675,$P653:$P662))</f>
        <v>#N/A</v>
      </c>
      <c r="G675" s="334" t="e">
        <f>IF(D675="","",SUMIF($I653:$I662,D675,$M653:$M662))</f>
        <v>#N/A</v>
      </c>
      <c r="H675" s="536" t="e">
        <f t="shared" si="182"/>
        <v>#N/A</v>
      </c>
      <c r="I675" s="214" t="e">
        <f>IF(D675="","",IF(H675="NO APORTA","NO",IF(H675=MAX($H670:$H675),"SI","NO")))</f>
        <v>#N/A</v>
      </c>
      <c r="J675" s="213" t="e">
        <f t="shared" si="183"/>
        <v>#N/A</v>
      </c>
      <c r="K675" s="200" t="e">
        <f t="shared" si="184"/>
        <v>#N/A</v>
      </c>
      <c r="L675" s="721"/>
      <c r="M675" s="729">
        <f>NUMMOD</f>
        <v>1</v>
      </c>
      <c r="N675" s="730"/>
      <c r="O675" s="443">
        <f>IF(M675="","",ROUND(VLOOKUP(M675,PRESUPUESTOS!$B$16:$H$16,7,FALSE),3))</f>
        <v>25.780999999999999</v>
      </c>
      <c r="P675" s="713">
        <f>IF(OR(COUNTIF(P653:P662,"")&gt;=10,Q669&lt;NUMMINCONT,OR(T667="NO CUMPLE",T667="VERIFICAR")),0,ROUND((SUM(P653:P662)/SUM(M653:M662)),3))</f>
        <v>0</v>
      </c>
      <c r="Q675" s="714"/>
      <c r="R675" s="458"/>
      <c r="S675" s="459"/>
      <c r="T675" s="460"/>
      <c r="U675" s="219"/>
      <c r="V675" s="464"/>
      <c r="Y675" s="532" t="s">
        <v>343</v>
      </c>
      <c r="AA675" s="540" t="e">
        <f>IF(AND(C674&lt;=F668,F668&lt;&gt;""),VLOOKUP(VALUE(E649&amp;","&amp;C674),INTEGRANTES!$D$18:$F$235,2,0),"")</f>
        <v>#N/A</v>
      </c>
      <c r="AB675" s="545" t="e">
        <f t="shared" si="185"/>
        <v>#N/A</v>
      </c>
      <c r="AC675" s="529"/>
      <c r="AD675" s="200" t="e">
        <f t="shared" si="186"/>
        <v>#N/A</v>
      </c>
      <c r="AE675" s="52"/>
      <c r="AF675" s="52"/>
      <c r="AG675" s="52"/>
      <c r="AH675" s="87"/>
      <c r="AI675" s="87"/>
    </row>
    <row r="676" spans="1:35" ht="16.5" hidden="1" customHeight="1" thickBot="1">
      <c r="A676" s="218" t="e">
        <f>"T"&amp;E649</f>
        <v>#N/A</v>
      </c>
      <c r="B676" s="703"/>
      <c r="C676" s="719"/>
      <c r="D676" s="719"/>
      <c r="E676" s="719"/>
      <c r="F676" s="719"/>
      <c r="G676" s="719"/>
      <c r="H676" s="719" t="s">
        <v>110</v>
      </c>
      <c r="I676" s="719"/>
      <c r="J676" s="719"/>
      <c r="K676" s="201" t="str">
        <f>IF(COUNTIF(K670:K675,"")=6,"",IF(COUNTIF(K670:K675,"CUMPLE")&gt;0,"CUMPLE","NO CUMPLE"))</f>
        <v>NO CUMPLE</v>
      </c>
      <c r="L676" s="754"/>
      <c r="M676" s="755"/>
      <c r="N676" s="755"/>
      <c r="O676" s="755"/>
      <c r="P676" s="755"/>
      <c r="Q676" s="756"/>
      <c r="R676" s="461"/>
      <c r="S676" s="462"/>
      <c r="T676" s="463"/>
      <c r="U676" s="219"/>
      <c r="V676" s="464"/>
      <c r="Y676" s="549" t="e">
        <f>IF(Y670="NO APLICA","NO APLICA",IF(COUNTIF(AD671:AD676,"CUMPLE")&gt;0,"CUMPLE","NO CUMPLE"))</f>
        <v>#N/A</v>
      </c>
      <c r="AA676" s="541" t="e">
        <f>IF(AND(C675&lt;=F668,F668&lt;&gt;""),VLOOKUP(VALUE(E649&amp;","&amp;C675),INTEGRANTES!$D$18:$F$235,2,0),"")</f>
        <v>#N/A</v>
      </c>
      <c r="AB676" s="546" t="e">
        <f t="shared" si="185"/>
        <v>#N/A</v>
      </c>
      <c r="AC676" s="543"/>
      <c r="AD676" s="201" t="e">
        <f t="shared" si="186"/>
        <v>#N/A</v>
      </c>
      <c r="AE676" s="52"/>
      <c r="AF676" s="52"/>
      <c r="AG676" s="52"/>
      <c r="AH676" s="87"/>
      <c r="AI676" s="87"/>
    </row>
    <row r="677" spans="1:35" hidden="1">
      <c r="AH677" s="87"/>
      <c r="AI677" s="87"/>
    </row>
    <row r="678" spans="1:35" hidden="1">
      <c r="AH678" s="87"/>
      <c r="AI678" s="87"/>
    </row>
    <row r="679" spans="1:35" ht="24" hidden="1" thickBot="1">
      <c r="A679" s="61">
        <v>23</v>
      </c>
      <c r="B679" s="704" t="s">
        <v>51</v>
      </c>
      <c r="C679" s="704"/>
      <c r="D679" s="704"/>
      <c r="E679" s="62" t="e">
        <f>VLOOKUP(A679,PROPONENTES!$B$19:$E$218,2,FALSE)</f>
        <v>#N/A</v>
      </c>
      <c r="F679" s="63" t="e">
        <f>VLOOKUP(A679,PROPONENTES!$B$19:$E$218,3,FALSE)</f>
        <v>#N/A</v>
      </c>
      <c r="G679" s="64"/>
      <c r="H679" s="64"/>
      <c r="I679" s="63"/>
      <c r="J679" s="63"/>
      <c r="K679" s="65"/>
      <c r="L679" s="65"/>
      <c r="M679" s="64"/>
      <c r="N679" s="64"/>
      <c r="O679" s="66"/>
      <c r="P679" s="66"/>
      <c r="Q679" s="66"/>
      <c r="R679" s="66"/>
      <c r="S679" s="67"/>
      <c r="T679" s="68"/>
      <c r="U679" s="68"/>
      <c r="AC679" s="68"/>
      <c r="AD679" s="68"/>
      <c r="AE679" s="68"/>
      <c r="AF679" s="68"/>
      <c r="AG679" s="68"/>
      <c r="AH679" s="87"/>
      <c r="AI679" s="87"/>
    </row>
    <row r="680" spans="1:35" ht="15.75" hidden="1" customHeight="1">
      <c r="A680" s="44"/>
      <c r="B680" s="709" t="s">
        <v>59</v>
      </c>
      <c r="C680" s="552" t="s">
        <v>60</v>
      </c>
      <c r="D680" s="70" t="s">
        <v>17</v>
      </c>
      <c r="E680" s="70"/>
      <c r="F680" s="70" t="s">
        <v>61</v>
      </c>
      <c r="G680" s="71"/>
      <c r="H680" s="699" t="s">
        <v>62</v>
      </c>
      <c r="I680" s="699" t="s">
        <v>18</v>
      </c>
      <c r="J680" s="699" t="s">
        <v>63</v>
      </c>
      <c r="K680" s="699" t="s">
        <v>64</v>
      </c>
      <c r="L680" s="699" t="s">
        <v>65</v>
      </c>
      <c r="M680" s="743" t="s">
        <v>66</v>
      </c>
      <c r="N680" s="699" t="s">
        <v>282</v>
      </c>
      <c r="O680" s="745" t="s">
        <v>67</v>
      </c>
      <c r="P680" s="746"/>
      <c r="Q680" s="102" t="s">
        <v>75</v>
      </c>
      <c r="R680" s="731" t="s">
        <v>22</v>
      </c>
      <c r="S680" s="732"/>
      <c r="T680" s="733"/>
      <c r="U680" s="712" t="s">
        <v>298</v>
      </c>
      <c r="W680" s="690" t="s">
        <v>268</v>
      </c>
      <c r="X680" s="691"/>
      <c r="Y680" s="692"/>
      <c r="Z680" s="428"/>
      <c r="AA680" s="697" t="s">
        <v>315</v>
      </c>
      <c r="AB680" s="695" t="s">
        <v>322</v>
      </c>
      <c r="AC680" s="49"/>
      <c r="AD680" s="690" t="s">
        <v>297</v>
      </c>
      <c r="AE680" s="691"/>
      <c r="AF680" s="692"/>
      <c r="AG680" s="49"/>
      <c r="AH680" s="87"/>
      <c r="AI680" s="87"/>
    </row>
    <row r="681" spans="1:35" ht="72" hidden="1">
      <c r="A681" s="44"/>
      <c r="B681" s="710"/>
      <c r="C681" s="553" t="s">
        <v>68</v>
      </c>
      <c r="D681" s="73" t="s">
        <v>3</v>
      </c>
      <c r="E681" s="73" t="s">
        <v>19</v>
      </c>
      <c r="F681" s="73" t="s">
        <v>69</v>
      </c>
      <c r="G681" s="74" t="s">
        <v>70</v>
      </c>
      <c r="H681" s="700"/>
      <c r="I681" s="700"/>
      <c r="J681" s="700"/>
      <c r="K681" s="700"/>
      <c r="L681" s="700"/>
      <c r="M681" s="744"/>
      <c r="N681" s="700"/>
      <c r="O681" s="553" t="s">
        <v>279</v>
      </c>
      <c r="P681" s="73" t="s">
        <v>88</v>
      </c>
      <c r="Q681" s="555" t="s">
        <v>76</v>
      </c>
      <c r="R681" s="734"/>
      <c r="S681" s="735"/>
      <c r="T681" s="736"/>
      <c r="U681" s="712"/>
      <c r="W681" s="429" t="s">
        <v>269</v>
      </c>
      <c r="X681" s="457" t="s">
        <v>278</v>
      </c>
      <c r="Y681" s="430" t="s">
        <v>324</v>
      </c>
      <c r="Z681" s="428"/>
      <c r="AA681" s="698"/>
      <c r="AB681" s="696"/>
      <c r="AC681" s="49"/>
      <c r="AD681" s="429" t="s">
        <v>292</v>
      </c>
      <c r="AE681" s="431" t="s">
        <v>300</v>
      </c>
      <c r="AF681" s="468" t="s">
        <v>301</v>
      </c>
      <c r="AG681" s="49"/>
      <c r="AH681" s="87"/>
      <c r="AI681" s="87"/>
    </row>
    <row r="682" spans="1:35" hidden="1">
      <c r="A682" s="44"/>
      <c r="B682" s="76"/>
      <c r="C682" s="77"/>
      <c r="D682" s="77"/>
      <c r="E682" s="77"/>
      <c r="F682" s="77"/>
      <c r="G682" s="77"/>
      <c r="H682" s="77"/>
      <c r="I682" s="77"/>
      <c r="J682" s="77"/>
      <c r="K682" s="77"/>
      <c r="L682" s="77"/>
      <c r="M682" s="77"/>
      <c r="N682" s="77"/>
      <c r="O682" s="77"/>
      <c r="P682" s="77"/>
      <c r="Q682" s="77"/>
      <c r="R682" s="77"/>
      <c r="S682" s="78"/>
      <c r="T682" s="79"/>
      <c r="U682" s="109"/>
      <c r="V682" s="49"/>
      <c r="W682" s="432"/>
      <c r="X682" s="454"/>
      <c r="Y682" s="433"/>
      <c r="Z682" s="6"/>
      <c r="AA682" s="500"/>
      <c r="AB682" s="562"/>
      <c r="AC682" s="49"/>
      <c r="AD682" s="210"/>
      <c r="AE682" s="434"/>
      <c r="AF682" s="435"/>
      <c r="AG682" s="49"/>
      <c r="AH682" s="87"/>
      <c r="AI682" s="87"/>
    </row>
    <row r="683" spans="1:35" hidden="1">
      <c r="A683" s="80" t="e">
        <f>"A"&amp;E679</f>
        <v>#N/A</v>
      </c>
      <c r="B683" s="81">
        <v>1</v>
      </c>
      <c r="C683" s="82"/>
      <c r="D683" s="82"/>
      <c r="E683" s="82"/>
      <c r="F683" s="82"/>
      <c r="G683" s="83"/>
      <c r="H683" s="83"/>
      <c r="I683" s="84"/>
      <c r="J683" s="85"/>
      <c r="K683" s="382"/>
      <c r="L683" s="85"/>
      <c r="M683" s="332" t="str">
        <f t="shared" ref="M683:M692" si="187">IF(OR(J683="",L683="",H683="NO"),"",IF(OR(J683&gt;$P$17,J683&lt;$O$17,L683&gt;$P$17,AND(J683&lt;$O$17,L683&lt;$O$17)),"FUERA DE RANGO",IF(OR(K683="---",K683=""),IF(J683&gt;=$O$17,ROUND((L683-J683+1)/360*12,3),ROUND((L683-$O$17+1)/360*12,3)),IF(J683&gt;=$O$17,ROUND((L683-J683+1)/360*12-ROUND(K683,3),3),ROUND((L683-$O$17+1)/360*12-ROUND(K683,3),3)))))</f>
        <v/>
      </c>
      <c r="N683" s="86"/>
      <c r="O683" s="453" t="str">
        <f>IF(OR(G683="",N683=""),"",N683*G683)</f>
        <v/>
      </c>
      <c r="P683" s="538" t="str">
        <f>IF(OR(H683="",M683="FUERA DE RANGO"),"",IF(OR(L683&lt;$O$17,L683&gt;$P$17,L683="",H683="NO"),"",IF(OR(N683="",O683=""),"",ROUND(O683,3))))</f>
        <v/>
      </c>
      <c r="Q683" s="539" t="str">
        <f t="shared" ref="Q683:Q692" si="188">IF(AND(H683="SI",P683&lt;&gt;""),ROUND(P683/M683,3),"")</f>
        <v/>
      </c>
      <c r="R683" s="737"/>
      <c r="S683" s="738"/>
      <c r="T683" s="739"/>
      <c r="U683" s="470"/>
      <c r="V683" s="165"/>
      <c r="W683" s="446"/>
      <c r="X683" s="456"/>
      <c r="Y683" s="436"/>
      <c r="Z683" s="437"/>
      <c r="AA683" s="560"/>
      <c r="AB683" s="561"/>
      <c r="AC683" s="87"/>
      <c r="AD683" s="466"/>
      <c r="AE683" s="456"/>
      <c r="AF683" s="467"/>
      <c r="AG683" s="87"/>
      <c r="AH683" s="87"/>
      <c r="AI683" s="87"/>
    </row>
    <row r="684" spans="1:35" hidden="1">
      <c r="A684" s="80" t="e">
        <f>"B"&amp;E679</f>
        <v>#N/A</v>
      </c>
      <c r="B684" s="81">
        <v>2</v>
      </c>
      <c r="C684" s="106"/>
      <c r="D684" s="106"/>
      <c r="E684" s="106"/>
      <c r="F684" s="106"/>
      <c r="G684" s="83"/>
      <c r="H684" s="83"/>
      <c r="I684" s="84"/>
      <c r="J684" s="85"/>
      <c r="K684" s="382"/>
      <c r="L684" s="85"/>
      <c r="M684" s="332" t="str">
        <f t="shared" si="187"/>
        <v/>
      </c>
      <c r="N684" s="86"/>
      <c r="O684" s="453" t="str">
        <f t="shared" ref="O684:O692" si="189">IF(OR(G684="",N684=""),"",N684*G684)</f>
        <v/>
      </c>
      <c r="P684" s="538" t="str">
        <f t="shared" ref="P684:P692" si="190">IF(OR(H684="",M684="FUERA DE RANGO"),"",IF(OR(L684&lt;$O$17,L684&gt;$P$17,L684="",H684="NO"),"",IF(OR(N684="",O684=""),"",ROUND(O684,3))))</f>
        <v/>
      </c>
      <c r="Q684" s="539" t="str">
        <f t="shared" si="188"/>
        <v/>
      </c>
      <c r="R684" s="740"/>
      <c r="S684" s="741"/>
      <c r="T684" s="742"/>
      <c r="U684" s="471"/>
      <c r="V684" s="165"/>
      <c r="W684" s="446"/>
      <c r="X684" s="456"/>
      <c r="Y684" s="436"/>
      <c r="Z684" s="437"/>
      <c r="AA684" s="560"/>
      <c r="AB684" s="561"/>
      <c r="AC684" s="87"/>
      <c r="AD684" s="466"/>
      <c r="AE684" s="456"/>
      <c r="AF684" s="467"/>
      <c r="AG684" s="87"/>
      <c r="AH684" s="87"/>
      <c r="AI684" s="87"/>
    </row>
    <row r="685" spans="1:35" hidden="1">
      <c r="A685" s="80" t="e">
        <f>"C"&amp;E679</f>
        <v>#N/A</v>
      </c>
      <c r="B685" s="88">
        <v>3</v>
      </c>
      <c r="C685" s="82"/>
      <c r="D685" s="82"/>
      <c r="E685" s="82"/>
      <c r="F685" s="82"/>
      <c r="G685" s="83"/>
      <c r="H685" s="83"/>
      <c r="I685" s="84"/>
      <c r="J685" s="85"/>
      <c r="K685" s="382"/>
      <c r="L685" s="85"/>
      <c r="M685" s="332" t="str">
        <f t="shared" si="187"/>
        <v/>
      </c>
      <c r="N685" s="86"/>
      <c r="O685" s="453" t="str">
        <f t="shared" si="189"/>
        <v/>
      </c>
      <c r="P685" s="538" t="str">
        <f t="shared" si="190"/>
        <v/>
      </c>
      <c r="Q685" s="539" t="str">
        <f t="shared" si="188"/>
        <v/>
      </c>
      <c r="R685" s="706"/>
      <c r="S685" s="707"/>
      <c r="T685" s="708"/>
      <c r="U685" s="472"/>
      <c r="V685" s="166"/>
      <c r="W685" s="446"/>
      <c r="X685" s="456"/>
      <c r="Y685" s="436"/>
      <c r="Z685" s="437"/>
      <c r="AA685" s="560"/>
      <c r="AB685" s="561"/>
      <c r="AC685" s="87"/>
      <c r="AD685" s="466"/>
      <c r="AE685" s="456"/>
      <c r="AF685" s="467"/>
      <c r="AG685" s="87"/>
      <c r="AH685" s="87"/>
      <c r="AI685" s="87"/>
    </row>
    <row r="686" spans="1:35" hidden="1">
      <c r="A686" s="80" t="e">
        <f>"D"&amp;E679</f>
        <v>#N/A</v>
      </c>
      <c r="B686" s="105">
        <v>4</v>
      </c>
      <c r="C686" s="107"/>
      <c r="D686" s="107"/>
      <c r="E686" s="107"/>
      <c r="F686" s="107"/>
      <c r="G686" s="83"/>
      <c r="H686" s="83"/>
      <c r="I686" s="84"/>
      <c r="J686" s="85"/>
      <c r="K686" s="382"/>
      <c r="L686" s="85"/>
      <c r="M686" s="332" t="str">
        <f t="shared" si="187"/>
        <v/>
      </c>
      <c r="N686" s="86"/>
      <c r="O686" s="453" t="str">
        <f t="shared" si="189"/>
        <v/>
      </c>
      <c r="P686" s="538" t="str">
        <f t="shared" si="190"/>
        <v/>
      </c>
      <c r="Q686" s="539" t="str">
        <f t="shared" si="188"/>
        <v/>
      </c>
      <c r="R686" s="706"/>
      <c r="S686" s="707"/>
      <c r="T686" s="708"/>
      <c r="U686" s="472"/>
      <c r="V686" s="166"/>
      <c r="W686" s="446"/>
      <c r="X686" s="456"/>
      <c r="Y686" s="436"/>
      <c r="Z686" s="437"/>
      <c r="AA686" s="560"/>
      <c r="AB686" s="561"/>
      <c r="AC686" s="87"/>
      <c r="AD686" s="466"/>
      <c r="AE686" s="456"/>
      <c r="AF686" s="467"/>
      <c r="AG686" s="87"/>
      <c r="AH686" s="87"/>
      <c r="AI686" s="87"/>
    </row>
    <row r="687" spans="1:35" hidden="1">
      <c r="A687" s="80" t="e">
        <f>"E"&amp;E679</f>
        <v>#N/A</v>
      </c>
      <c r="B687" s="105">
        <v>5</v>
      </c>
      <c r="C687" s="107"/>
      <c r="D687" s="107"/>
      <c r="E687" s="107"/>
      <c r="F687" s="107"/>
      <c r="G687" s="83"/>
      <c r="H687" s="83"/>
      <c r="I687" s="84"/>
      <c r="J687" s="85"/>
      <c r="K687" s="382"/>
      <c r="L687" s="85"/>
      <c r="M687" s="332" t="str">
        <f t="shared" si="187"/>
        <v/>
      </c>
      <c r="N687" s="86"/>
      <c r="O687" s="453" t="str">
        <f t="shared" si="189"/>
        <v/>
      </c>
      <c r="P687" s="538" t="str">
        <f t="shared" si="190"/>
        <v/>
      </c>
      <c r="Q687" s="539" t="str">
        <f t="shared" si="188"/>
        <v/>
      </c>
      <c r="R687" s="706"/>
      <c r="S687" s="707"/>
      <c r="T687" s="708"/>
      <c r="U687" s="472"/>
      <c r="V687" s="167"/>
      <c r="W687" s="446"/>
      <c r="X687" s="456"/>
      <c r="Y687" s="436"/>
      <c r="Z687" s="437"/>
      <c r="AA687" s="560"/>
      <c r="AB687" s="561"/>
      <c r="AC687" s="87"/>
      <c r="AD687" s="466"/>
      <c r="AE687" s="456"/>
      <c r="AF687" s="467"/>
      <c r="AG687" s="87"/>
      <c r="AH687" s="87"/>
      <c r="AI687" s="87"/>
    </row>
    <row r="688" spans="1:35" hidden="1">
      <c r="A688" s="80" t="e">
        <f>"F"&amp;E679</f>
        <v>#N/A</v>
      </c>
      <c r="B688" s="105">
        <v>6</v>
      </c>
      <c r="C688" s="107"/>
      <c r="D688" s="107"/>
      <c r="E688" s="107"/>
      <c r="F688" s="107"/>
      <c r="G688" s="83"/>
      <c r="H688" s="83"/>
      <c r="I688" s="84"/>
      <c r="J688" s="85"/>
      <c r="K688" s="382"/>
      <c r="L688" s="85"/>
      <c r="M688" s="332" t="str">
        <f t="shared" si="187"/>
        <v/>
      </c>
      <c r="N688" s="86"/>
      <c r="O688" s="453" t="str">
        <f t="shared" si="189"/>
        <v/>
      </c>
      <c r="P688" s="538" t="str">
        <f t="shared" si="190"/>
        <v/>
      </c>
      <c r="Q688" s="539" t="str">
        <f t="shared" si="188"/>
        <v/>
      </c>
      <c r="R688" s="706"/>
      <c r="S688" s="707"/>
      <c r="T688" s="708"/>
      <c r="U688" s="472"/>
      <c r="V688" s="167"/>
      <c r="W688" s="446"/>
      <c r="X688" s="456"/>
      <c r="Y688" s="436"/>
      <c r="Z688" s="437"/>
      <c r="AA688" s="560"/>
      <c r="AB688" s="561"/>
      <c r="AC688" s="87"/>
      <c r="AD688" s="466"/>
      <c r="AE688" s="456"/>
      <c r="AF688" s="467"/>
      <c r="AG688" s="87"/>
      <c r="AH688" s="87"/>
      <c r="AI688" s="87"/>
    </row>
    <row r="689" spans="1:35" hidden="1">
      <c r="A689" s="80" t="e">
        <f>"G"&amp;E679</f>
        <v>#N/A</v>
      </c>
      <c r="B689" s="105">
        <v>7</v>
      </c>
      <c r="C689" s="107"/>
      <c r="D689" s="107"/>
      <c r="E689" s="107"/>
      <c r="F689" s="107"/>
      <c r="G689" s="83"/>
      <c r="H689" s="83"/>
      <c r="I689" s="84"/>
      <c r="J689" s="85"/>
      <c r="K689" s="382"/>
      <c r="L689" s="85"/>
      <c r="M689" s="332" t="str">
        <f t="shared" si="187"/>
        <v/>
      </c>
      <c r="N689" s="86"/>
      <c r="O689" s="86" t="str">
        <f t="shared" si="189"/>
        <v/>
      </c>
      <c r="P689" s="538" t="str">
        <f t="shared" si="190"/>
        <v/>
      </c>
      <c r="Q689" s="539" t="str">
        <f t="shared" si="188"/>
        <v/>
      </c>
      <c r="R689" s="706"/>
      <c r="S689" s="707"/>
      <c r="T689" s="708"/>
      <c r="U689" s="472"/>
      <c r="V689" s="167"/>
      <c r="W689" s="446"/>
      <c r="X689" s="456"/>
      <c r="Y689" s="436"/>
      <c r="Z689" s="437"/>
      <c r="AA689" s="560"/>
      <c r="AB689" s="561"/>
      <c r="AC689" s="87"/>
      <c r="AD689" s="466"/>
      <c r="AE689" s="456"/>
      <c r="AF689" s="467"/>
      <c r="AG689" s="87"/>
      <c r="AH689" s="87"/>
      <c r="AI689" s="87"/>
    </row>
    <row r="690" spans="1:35" hidden="1">
      <c r="A690" s="80" t="e">
        <f>"H"&amp;E679</f>
        <v>#N/A</v>
      </c>
      <c r="B690" s="105">
        <v>8</v>
      </c>
      <c r="C690" s="107"/>
      <c r="D690" s="107"/>
      <c r="E690" s="107"/>
      <c r="F690" s="107"/>
      <c r="G690" s="83"/>
      <c r="H690" s="83"/>
      <c r="I690" s="84"/>
      <c r="J690" s="85"/>
      <c r="K690" s="382"/>
      <c r="L690" s="85"/>
      <c r="M690" s="332" t="str">
        <f t="shared" si="187"/>
        <v/>
      </c>
      <c r="N690" s="453"/>
      <c r="O690" s="86" t="str">
        <f t="shared" si="189"/>
        <v/>
      </c>
      <c r="P690" s="538" t="str">
        <f t="shared" si="190"/>
        <v/>
      </c>
      <c r="Q690" s="539" t="str">
        <f t="shared" si="188"/>
        <v/>
      </c>
      <c r="R690" s="706"/>
      <c r="S690" s="707"/>
      <c r="T690" s="708"/>
      <c r="U690" s="472"/>
      <c r="V690" s="167"/>
      <c r="W690" s="446"/>
      <c r="X690" s="456"/>
      <c r="Y690" s="436"/>
      <c r="Z690" s="437"/>
      <c r="AA690" s="560"/>
      <c r="AB690" s="561"/>
      <c r="AC690" s="87"/>
      <c r="AD690" s="466"/>
      <c r="AE690" s="456"/>
      <c r="AF690" s="467"/>
      <c r="AG690" s="87"/>
      <c r="AH690" s="87"/>
      <c r="AI690" s="87"/>
    </row>
    <row r="691" spans="1:35" hidden="1">
      <c r="A691" s="80" t="e">
        <f>"I"&amp;E679</f>
        <v>#N/A</v>
      </c>
      <c r="B691" s="105">
        <v>9</v>
      </c>
      <c r="C691" s="107"/>
      <c r="D691" s="107"/>
      <c r="E691" s="107"/>
      <c r="F691" s="107"/>
      <c r="G691" s="83"/>
      <c r="H691" s="83"/>
      <c r="I691" s="84"/>
      <c r="J691" s="85"/>
      <c r="K691" s="382"/>
      <c r="L691" s="85"/>
      <c r="M691" s="332" t="str">
        <f t="shared" si="187"/>
        <v/>
      </c>
      <c r="N691" s="453"/>
      <c r="O691" s="86" t="str">
        <f t="shared" si="189"/>
        <v/>
      </c>
      <c r="P691" s="538" t="str">
        <f t="shared" si="190"/>
        <v/>
      </c>
      <c r="Q691" s="539" t="str">
        <f t="shared" si="188"/>
        <v/>
      </c>
      <c r="R691" s="706"/>
      <c r="S691" s="707"/>
      <c r="T691" s="708"/>
      <c r="U691" s="472"/>
      <c r="V691" s="167"/>
      <c r="W691" s="446"/>
      <c r="X691" s="456"/>
      <c r="Y691" s="436"/>
      <c r="Z691" s="437"/>
      <c r="AA691" s="560"/>
      <c r="AB691" s="561"/>
      <c r="AC691" s="87"/>
      <c r="AD691" s="466"/>
      <c r="AE691" s="456"/>
      <c r="AF691" s="467"/>
      <c r="AG691" s="87"/>
      <c r="AH691" s="87"/>
      <c r="AI691" s="87"/>
    </row>
    <row r="692" spans="1:35" hidden="1">
      <c r="A692" s="80" t="e">
        <f>"J"&amp;E679</f>
        <v>#N/A</v>
      </c>
      <c r="B692" s="105">
        <v>10</v>
      </c>
      <c r="C692" s="107"/>
      <c r="D692" s="107"/>
      <c r="E692" s="107"/>
      <c r="F692" s="107"/>
      <c r="G692" s="83"/>
      <c r="H692" s="83"/>
      <c r="I692" s="84"/>
      <c r="J692" s="85"/>
      <c r="K692" s="382"/>
      <c r="L692" s="85"/>
      <c r="M692" s="332" t="str">
        <f t="shared" si="187"/>
        <v/>
      </c>
      <c r="N692" s="453"/>
      <c r="O692" s="86" t="str">
        <f t="shared" si="189"/>
        <v/>
      </c>
      <c r="P692" s="538" t="str">
        <f t="shared" si="190"/>
        <v/>
      </c>
      <c r="Q692" s="539" t="str">
        <f t="shared" si="188"/>
        <v/>
      </c>
      <c r="R692" s="706"/>
      <c r="S692" s="707"/>
      <c r="T692" s="708"/>
      <c r="U692" s="472"/>
      <c r="V692" s="167"/>
      <c r="W692" s="446"/>
      <c r="X692" s="456"/>
      <c r="Y692" s="436"/>
      <c r="Z692" s="437"/>
      <c r="AA692" s="560"/>
      <c r="AB692" s="561"/>
      <c r="AC692" s="87"/>
      <c r="AD692" s="466"/>
      <c r="AE692" s="456"/>
      <c r="AF692" s="467"/>
      <c r="AG692" s="87"/>
      <c r="AH692" s="87"/>
      <c r="AI692" s="87"/>
    </row>
    <row r="693" spans="1:35" ht="16.5" hidden="1" thickBot="1">
      <c r="A693" s="44"/>
      <c r="B693" s="89"/>
      <c r="C693" s="90"/>
      <c r="D693" s="90"/>
      <c r="E693" s="90"/>
      <c r="F693" s="90"/>
      <c r="G693" s="90"/>
      <c r="H693" s="90"/>
      <c r="I693" s="90"/>
      <c r="J693" s="90"/>
      <c r="K693" s="90"/>
      <c r="L693" s="90"/>
      <c r="M693" s="90"/>
      <c r="N693" s="90"/>
      <c r="O693" s="90"/>
      <c r="P693" s="90"/>
      <c r="Q693" s="90"/>
      <c r="R693" s="90"/>
      <c r="S693" s="91"/>
      <c r="T693" s="92"/>
      <c r="U693" s="473"/>
      <c r="W693" s="438"/>
      <c r="X693" s="455"/>
      <c r="Y693" s="439"/>
      <c r="Z693" s="437"/>
      <c r="AA693" s="530"/>
      <c r="AB693" s="563"/>
      <c r="AC693" s="87"/>
      <c r="AD693" s="440"/>
      <c r="AE693" s="441"/>
      <c r="AF693" s="442"/>
      <c r="AG693" s="49"/>
      <c r="AH693" s="87"/>
      <c r="AI693" s="87"/>
    </row>
    <row r="694" spans="1:35" ht="16.5" hidden="1" thickBot="1">
      <c r="A694" s="93"/>
      <c r="B694" s="94"/>
      <c r="C694" s="96"/>
      <c r="D694" s="96"/>
      <c r="E694" s="96"/>
      <c r="F694" s="96"/>
      <c r="G694" s="96"/>
      <c r="H694" s="96"/>
      <c r="I694" s="96"/>
      <c r="J694" s="96"/>
      <c r="K694" s="96"/>
      <c r="L694" s="96"/>
      <c r="M694" s="136"/>
      <c r="N694" s="96"/>
      <c r="O694" s="96"/>
      <c r="P694" s="97"/>
      <c r="Q694" s="97"/>
      <c r="R694" s="98"/>
      <c r="S694" s="95"/>
      <c r="T694" s="99"/>
      <c r="U694" s="469"/>
      <c r="AC694" s="58"/>
      <c r="AG694" s="58"/>
      <c r="AH694" s="87"/>
      <c r="AI694" s="87"/>
    </row>
    <row r="695" spans="1:35" ht="16.5" hidden="1" thickBot="1">
      <c r="B695" s="101"/>
      <c r="C695" s="101"/>
      <c r="D695" s="101"/>
      <c r="E695" s="101"/>
      <c r="F695" s="101"/>
      <c r="G695" s="101"/>
      <c r="H695" s="101"/>
      <c r="I695" s="101"/>
      <c r="J695" s="101"/>
      <c r="K695" s="101"/>
      <c r="L695" s="101"/>
      <c r="M695" s="101"/>
      <c r="N695" s="101"/>
      <c r="O695" s="101"/>
      <c r="P695" s="101"/>
      <c r="Q695" s="101"/>
      <c r="R695" s="101"/>
      <c r="S695" s="101"/>
      <c r="U695" s="50"/>
      <c r="AH695" s="87"/>
      <c r="AI695" s="87"/>
    </row>
    <row r="696" spans="1:35" ht="16.5" hidden="1" customHeight="1" thickBot="1">
      <c r="A696" s="44"/>
      <c r="B696" s="705" t="s">
        <v>74</v>
      </c>
      <c r="C696" s="705"/>
      <c r="D696" s="705"/>
      <c r="E696" s="705"/>
      <c r="F696" s="705"/>
      <c r="G696" s="705"/>
      <c r="H696" s="705"/>
      <c r="I696" s="705"/>
      <c r="J696" s="705"/>
      <c r="K696" s="705"/>
      <c r="L696" s="705"/>
      <c r="M696" s="705"/>
      <c r="N696" s="705"/>
      <c r="O696" s="705"/>
      <c r="P696" s="705"/>
      <c r="Q696" s="705"/>
      <c r="R696" s="705"/>
      <c r="S696" s="705"/>
      <c r="T696" s="705"/>
      <c r="U696" s="108"/>
      <c r="Y696" s="532" t="s">
        <v>341</v>
      </c>
      <c r="AC696" s="49"/>
      <c r="AD696" s="687" t="s">
        <v>302</v>
      </c>
      <c r="AE696" s="688"/>
      <c r="AF696" s="689"/>
      <c r="AG696" s="49"/>
      <c r="AH696" s="87"/>
      <c r="AI696" s="87"/>
    </row>
    <row r="697" spans="1:35" ht="15.75" hidden="1" customHeight="1" thickBot="1">
      <c r="A697" s="218" t="e">
        <f>"K"&amp;E679</f>
        <v>#N/A</v>
      </c>
      <c r="B697" s="701" t="s">
        <v>71</v>
      </c>
      <c r="C697" s="751" t="s">
        <v>102</v>
      </c>
      <c r="D697" s="751"/>
      <c r="E697" s="751"/>
      <c r="F697" s="751"/>
      <c r="G697" s="751"/>
      <c r="H697" s="751"/>
      <c r="I697" s="751"/>
      <c r="J697" s="751"/>
      <c r="K697" s="751"/>
      <c r="L697" s="722" t="s">
        <v>100</v>
      </c>
      <c r="M697" s="747" t="s">
        <v>114</v>
      </c>
      <c r="N697" s="747"/>
      <c r="O697" s="747"/>
      <c r="P697" s="747"/>
      <c r="Q697" s="748"/>
      <c r="R697" s="758" t="s">
        <v>280</v>
      </c>
      <c r="S697" s="748"/>
      <c r="T697" s="762" t="str">
        <f>IF(COUNTIF(AE697:AF697,"VERIFICAR")&gt;0,"VERIFICAR",IF(COUNTIF(AE697:AF697,"NO CUMPLE")&gt;0,"NO CUMPLE","CUMPLE"))</f>
        <v>VERIFICAR</v>
      </c>
      <c r="U697" s="108"/>
      <c r="Y697" s="533" t="e">
        <f>IF(F698="","",IF(F698=1,"INDIVIDUAL","ESTRUCTURA PLURAL"))</f>
        <v>#N/A</v>
      </c>
      <c r="AC697" s="52"/>
      <c r="AD697" s="475" t="s">
        <v>303</v>
      </c>
      <c r="AE697" s="476" t="str">
        <f>IF(COUNTIF(AE683:AE692,"")=10,"VERIFICAR",IF(COUNTIF(AE683:AE692,"SI")&gt;0,"CUMPLE","NO CUMPLE"))</f>
        <v>VERIFICAR</v>
      </c>
      <c r="AF697" s="477" t="str">
        <f>IF(COUNTIF(AF683:AF692,"")=10,"VERIFICAR",IF(COUNTIF(AF683:AF692,"SI")&gt;=$AI$22,"CUMPLE","NO CUMPLE"))</f>
        <v>VERIFICAR</v>
      </c>
      <c r="AG697" s="52"/>
      <c r="AH697" s="87"/>
      <c r="AI697" s="87"/>
    </row>
    <row r="698" spans="1:35" ht="16.5" hidden="1" customHeight="1" thickBot="1">
      <c r="A698" s="218" t="e">
        <f>"L"&amp;E679</f>
        <v>#N/A</v>
      </c>
      <c r="B698" s="702"/>
      <c r="C698" s="751" t="s">
        <v>103</v>
      </c>
      <c r="D698" s="751"/>
      <c r="E698" s="752"/>
      <c r="F698" s="557" t="e">
        <f>IF(VLOOKUP(E679,PROPONENTES!$C$19:$E$218,3,0)="","",VLOOKUP(E679,PROPONENTES!$C$19:$E$218,3,0))</f>
        <v>#N/A</v>
      </c>
      <c r="G698" s="753" t="s">
        <v>104</v>
      </c>
      <c r="H698" s="751"/>
      <c r="I698" s="715" t="e">
        <f>IF(OR(F698="",F698=1),"INTERESADO PERSONA NATURAL O JURIDICA","CONSORCIO O UNION TEMPORAL")</f>
        <v>#N/A</v>
      </c>
      <c r="J698" s="725"/>
      <c r="K698" s="728"/>
      <c r="L698" s="723"/>
      <c r="M698" s="749"/>
      <c r="N698" s="749"/>
      <c r="O698" s="749"/>
      <c r="P698" s="749"/>
      <c r="Q698" s="750"/>
      <c r="R698" s="712"/>
      <c r="S698" s="750"/>
      <c r="T698" s="763"/>
      <c r="U698" s="108"/>
      <c r="Y698" s="534"/>
      <c r="AA698" s="52"/>
      <c r="AB698" s="52"/>
      <c r="AC698" s="52"/>
      <c r="AG698" s="52"/>
      <c r="AH698" s="87"/>
      <c r="AI698" s="87"/>
    </row>
    <row r="699" spans="1:35" ht="56.25" hidden="1" customHeight="1" thickBot="1">
      <c r="A699" s="218" t="e">
        <f>"M"&amp;E679</f>
        <v>#N/A</v>
      </c>
      <c r="B699" s="702"/>
      <c r="C699" s="725" t="s">
        <v>101</v>
      </c>
      <c r="D699" s="716"/>
      <c r="E699" s="558" t="s">
        <v>105</v>
      </c>
      <c r="F699" s="554" t="s">
        <v>87</v>
      </c>
      <c r="G699" s="553" t="s">
        <v>86</v>
      </c>
      <c r="H699" s="559" t="s">
        <v>85</v>
      </c>
      <c r="I699" s="554" t="s">
        <v>252</v>
      </c>
      <c r="J699" s="553" t="str">
        <f>"¿EL INTEGRANTE TIENE UNA PARTICIPACIÓN DEL "&amp;PORCREQUERIDOINT*100&amp;"%?"</f>
        <v>¿EL INTEGRANTE TIENE UNA PARTICIPACIÓN DEL 60%?</v>
      </c>
      <c r="K699" s="554" t="s">
        <v>107</v>
      </c>
      <c r="L699" s="724"/>
      <c r="M699" s="717" t="s">
        <v>115</v>
      </c>
      <c r="N699" s="718"/>
      <c r="O699" s="718"/>
      <c r="P699" s="718"/>
      <c r="Q699" s="223">
        <f>IF(AND(H683="SI",P683&gt;=0),1,0)+IF(AND(H684="SI",P684&gt;=0),1,0)+IF(AND(H685="SI",P685&gt;=0),1,0)+IF(AND(H686="SI",P686&gt;=0),1,0)+IF(AND(H687="SI",P687&gt;=0),1,0)+IF(AND(H688="SI",P688&gt;=0),1,0)+IF(AND(H689="SI",P689&gt;=0),1,0)+IF(AND(H690="SI",P690&gt;=0),1,0)+IF(AND(H691="SI",P691&gt;=0),1,0)+IF(AND(H692="SI",P692&gt;=0),1,0)</f>
        <v>0</v>
      </c>
      <c r="R699" s="759"/>
      <c r="S699" s="761"/>
      <c r="T699" s="764"/>
      <c r="U699" s="219"/>
      <c r="V699" s="464"/>
      <c r="Y699" s="532" t="s">
        <v>342</v>
      </c>
      <c r="AA699" s="550" t="s">
        <v>344</v>
      </c>
      <c r="AB699" s="693" t="s">
        <v>345</v>
      </c>
      <c r="AC699" s="693" t="s">
        <v>346</v>
      </c>
      <c r="AD699" s="685" t="s">
        <v>347</v>
      </c>
      <c r="AE699" s="52"/>
      <c r="AF699" s="52"/>
      <c r="AG699" s="52"/>
      <c r="AH699" s="87"/>
      <c r="AI699" s="87"/>
    </row>
    <row r="700" spans="1:35" ht="15.75" hidden="1" customHeight="1" thickBot="1">
      <c r="A700" s="218" t="e">
        <f>"N"&amp;E679</f>
        <v>#N/A</v>
      </c>
      <c r="B700" s="702"/>
      <c r="C700" s="114">
        <v>1</v>
      </c>
      <c r="D700" s="194" t="e">
        <f>IF(AND(C700&lt;=F698,F698&gt;1,F698&lt;&gt;""),VLOOKUP(VALUE(E679&amp;","&amp;C700),INTEGRANTES!$D$18:$F$235,2,0),"")</f>
        <v>#N/A</v>
      </c>
      <c r="E700" s="211" t="e">
        <f>IF(D700&lt;&gt;"",VLOOKUP(VALUE(E679&amp;","&amp;C700),INTEGRANTES!$D$18:$F$235,3,0),"")</f>
        <v>#N/A</v>
      </c>
      <c r="F700" s="547" t="e">
        <f>IF(D700="","",SUMIF($I683:$I692,D700,$P683:$P692))</f>
        <v>#N/A</v>
      </c>
      <c r="G700" s="333" t="e">
        <f>IF(D700="","",SUMIF($I683:$I692,D700,$M683:$M692))</f>
        <v>#N/A</v>
      </c>
      <c r="H700" s="535" t="e">
        <f t="shared" ref="H700:H705" si="191">IF(D700="","",IF(OR(F700=0,G700=0),"NO APORTA",ROUND($F700/$G700,3)))</f>
        <v>#N/A</v>
      </c>
      <c r="I700" s="212" t="e">
        <f>IF(D700="","",IF(H700="NO APORTA","NO",IF(H700=MAX($H700:$H705),"SI","NO")))</f>
        <v>#N/A</v>
      </c>
      <c r="J700" s="213" t="e">
        <f t="shared" ref="J700:J705" si="192">IF(D700="","",IF(E700&gt;=PORCREQUERIDOINT,"SI","NO"))</f>
        <v>#N/A</v>
      </c>
      <c r="K700" s="200" t="e">
        <f t="shared" ref="K700:K705" si="193">IF(D700="","",IF(AND(I700="SI",J700="SI"),"CUMPLE",IF(AND(I700="NO",OR(J700="SI",J700="NO")),"","NO CUMPLE")))</f>
        <v>#N/A</v>
      </c>
      <c r="L700" s="722" t="s">
        <v>108</v>
      </c>
      <c r="M700" s="726" t="s">
        <v>119</v>
      </c>
      <c r="N700" s="726"/>
      <c r="O700" s="726"/>
      <c r="P700" s="726"/>
      <c r="Q700" s="727"/>
      <c r="R700" s="758" t="s">
        <v>80</v>
      </c>
      <c r="S700" s="747"/>
      <c r="T700" s="748"/>
      <c r="U700" s="219"/>
      <c r="V700" s="464"/>
      <c r="Y700" s="533" t="e">
        <f>IF(Y697="","",IF(Y697="INDIVIDUAL","NO APLICA","VERIFICAR CUADRO"))</f>
        <v>#N/A</v>
      </c>
      <c r="AA700" s="551"/>
      <c r="AB700" s="694"/>
      <c r="AC700" s="694"/>
      <c r="AD700" s="686"/>
      <c r="AE700" s="52"/>
      <c r="AF700" s="52"/>
      <c r="AG700" s="52"/>
      <c r="AH700" s="87"/>
      <c r="AI700" s="87"/>
    </row>
    <row r="701" spans="1:35" ht="27" hidden="1" customHeight="1" thickBot="1">
      <c r="A701" s="218" t="e">
        <f>"O"&amp;E679</f>
        <v>#N/A</v>
      </c>
      <c r="B701" s="702"/>
      <c r="C701" s="114">
        <v>2</v>
      </c>
      <c r="D701" s="194" t="e">
        <f>IF(AND(C701&lt;=F698,F698&lt;&gt;""),VLOOKUP(VALUE(E679&amp;","&amp;C701),INTEGRANTES!$D$18:$F$235,2,0),"")</f>
        <v>#N/A</v>
      </c>
      <c r="E701" s="211" t="e">
        <f>IF(D701&lt;&gt;"",VLOOKUP(VALUE(E679&amp;","&amp;C701),INTEGRANTES!$D$18:$F$235,3,0),"")</f>
        <v>#N/A</v>
      </c>
      <c r="F701" s="547" t="e">
        <f>IF(D701="","",SUMIF($I683:$I692,D701,$P683:$P692))</f>
        <v>#N/A</v>
      </c>
      <c r="G701" s="333" t="e">
        <f>IF(D701="","",SUMIF($I683:$I692,D701,$M683:$M692))</f>
        <v>#N/A</v>
      </c>
      <c r="H701" s="535" t="e">
        <f t="shared" si="191"/>
        <v>#N/A</v>
      </c>
      <c r="I701" s="212" t="e">
        <f>IF(D701="","",IF(H701="NO APORTA","NO",IF(H701=MAX($H700:$H705),"SI","NO")))</f>
        <v>#N/A</v>
      </c>
      <c r="J701" s="213" t="e">
        <f t="shared" si="192"/>
        <v>#N/A</v>
      </c>
      <c r="K701" s="200" t="e">
        <f t="shared" si="193"/>
        <v>#N/A</v>
      </c>
      <c r="L701" s="723"/>
      <c r="M701" s="715" t="s">
        <v>116</v>
      </c>
      <c r="N701" s="716"/>
      <c r="O701" s="556" t="s">
        <v>113</v>
      </c>
      <c r="P701" s="715" t="s">
        <v>117</v>
      </c>
      <c r="Q701" s="728"/>
      <c r="R701" s="759"/>
      <c r="S701" s="760"/>
      <c r="T701" s="761"/>
      <c r="U701" s="219"/>
      <c r="V701" s="464"/>
      <c r="Y701" s="414"/>
      <c r="AA701" s="542" t="e">
        <f>IF(AND(C700&lt;=F698,F698&gt;1,F698&lt;&gt;""),VLOOKUP(VALUE(E679&amp;","&amp;C700),INTEGRANTES!$D$18:$F$235,2,0),"")</f>
        <v>#N/A</v>
      </c>
      <c r="AB701" s="544" t="e">
        <f t="shared" ref="AB701:AB706" si="194">IF(D700="","",IF(OR(F700=0,G700=0),"NO APORTA",ROUND($F700/$G700,3)))</f>
        <v>#N/A</v>
      </c>
      <c r="AC701" s="529"/>
      <c r="AD701" s="200" t="e">
        <f t="shared" ref="AD701:AD706" si="195">IF(OR(AA701="",AB701=""),"",IF(AND(AC701="X",AB701&gt;=EXPREQVTD),"CUMPLE","NO CUMPLE"))</f>
        <v>#N/A</v>
      </c>
      <c r="AE701" s="52"/>
      <c r="AF701" s="52"/>
      <c r="AG701" s="52"/>
      <c r="AH701" s="87"/>
      <c r="AI701" s="87"/>
    </row>
    <row r="702" spans="1:35" ht="16.5" hidden="1" thickBot="1">
      <c r="A702" s="218" t="e">
        <f>"P"&amp;E679</f>
        <v>#N/A</v>
      </c>
      <c r="B702" s="702"/>
      <c r="C702" s="114">
        <v>3</v>
      </c>
      <c r="D702" s="194" t="e">
        <f>IF(AND(C702&lt;=F698,F698&lt;&gt;""),VLOOKUP(VALUE(E679&amp;","&amp;C702),INTEGRANTES!$D$18:$F$235,2,0),"")</f>
        <v>#N/A</v>
      </c>
      <c r="E702" s="211" t="e">
        <f>IF(D702&lt;&gt;"",VLOOKUP(VALUE(E679&amp;","&amp;C702),INTEGRANTES!$D$18:$F$235,3,0),"")</f>
        <v>#N/A</v>
      </c>
      <c r="F702" s="547" t="e">
        <f>IF(D702="","",SUMIF($I683:$I692,D702,$P683:$P692))</f>
        <v>#N/A</v>
      </c>
      <c r="G702" s="333" t="e">
        <f>IF(D702="","",SUMIF($I683:$I692,D702,$M683:$M692))</f>
        <v>#N/A</v>
      </c>
      <c r="H702" s="535" t="e">
        <f t="shared" si="191"/>
        <v>#N/A</v>
      </c>
      <c r="I702" s="212" t="e">
        <f>IF(D702="","",IF(H702="NO APORTA","NO",IF(H702=MAX($H700:$H705),"SI","NO")))</f>
        <v>#N/A</v>
      </c>
      <c r="J702" s="213" t="e">
        <f t="shared" si="192"/>
        <v>#N/A</v>
      </c>
      <c r="K702" s="200" t="e">
        <f t="shared" si="193"/>
        <v>#N/A</v>
      </c>
      <c r="L702" s="724"/>
      <c r="M702" s="729">
        <f>NUMMOD</f>
        <v>1</v>
      </c>
      <c r="N702" s="730"/>
      <c r="O702" s="443">
        <f>IF(M702="","",VLOOKUP(M702,PRESUPUESTOS!$B$16:$H$16,5,FALSE))</f>
        <v>2</v>
      </c>
      <c r="P702" s="713">
        <f>IF(OR(COUNTIF(M683:M692,"")&gt;=10,Q699&lt;NUMMINCONT,OR(T697="NO CUMPLE",T697="VERIFICAR")),0,ROUND(AVERAGE(M683:M692),3))</f>
        <v>0</v>
      </c>
      <c r="Q702" s="714"/>
      <c r="R702" s="458"/>
      <c r="S702" s="459"/>
      <c r="T702" s="460"/>
      <c r="U702" s="219"/>
      <c r="V702" s="464"/>
      <c r="Y702" s="532" t="str">
        <f>"40% * ("&amp;PRESUPUESTOS!$H$13&amp;")"</f>
        <v>40% * (50% PFMO)</v>
      </c>
      <c r="AA702" s="540" t="e">
        <f>IF(AND(C701&lt;=F698,F698&lt;&gt;""),VLOOKUP(VALUE(E679&amp;","&amp;C701),INTEGRANTES!$D$18:$F$235,2,0),"")</f>
        <v>#N/A</v>
      </c>
      <c r="AB702" s="545" t="e">
        <f t="shared" si="194"/>
        <v>#N/A</v>
      </c>
      <c r="AC702" s="529"/>
      <c r="AD702" s="200" t="e">
        <f t="shared" si="195"/>
        <v>#N/A</v>
      </c>
      <c r="AE702" s="52"/>
      <c r="AF702" s="52"/>
      <c r="AG702" s="52"/>
      <c r="AH702" s="87"/>
      <c r="AI702" s="87"/>
    </row>
    <row r="703" spans="1:35" ht="15.75" hidden="1" customHeight="1" thickBot="1">
      <c r="A703" s="218" t="e">
        <f>"Q"&amp;E679</f>
        <v>#N/A</v>
      </c>
      <c r="B703" s="702"/>
      <c r="C703" s="114">
        <v>4</v>
      </c>
      <c r="D703" s="194" t="e">
        <f>IF(AND(C703&lt;=F698,F698&lt;&gt;""),VLOOKUP(VALUE(E679&amp;","&amp;C703),INTEGRANTES!$D$18:$F$235,2,0),"")</f>
        <v>#N/A</v>
      </c>
      <c r="E703" s="211" t="e">
        <f>IF(D703&lt;&gt;"",VLOOKUP(VALUE(E679&amp;","&amp;C703),INTEGRANTES!$D$18:$F$235,3,0),"")</f>
        <v>#N/A</v>
      </c>
      <c r="F703" s="547" t="e">
        <f>IF(D703="","",SUMIF($I683:$I692,D703,$P683:$P692))</f>
        <v>#N/A</v>
      </c>
      <c r="G703" s="333" t="e">
        <f>IF(D703="","",SUMIF($I683:$I692,D703,$M683:$M692))</f>
        <v>#N/A</v>
      </c>
      <c r="H703" s="535" t="e">
        <f t="shared" si="191"/>
        <v>#N/A</v>
      </c>
      <c r="I703" s="212" t="e">
        <f>IF(D703="","",IF(H703="NO APORTA","NO",IF(H703=MAX($H700:$H705),"SI","NO")))</f>
        <v>#N/A</v>
      </c>
      <c r="J703" s="213" t="e">
        <f t="shared" si="192"/>
        <v>#N/A</v>
      </c>
      <c r="K703" s="200" t="e">
        <f t="shared" si="193"/>
        <v>#N/A</v>
      </c>
      <c r="L703" s="720" t="s">
        <v>109</v>
      </c>
      <c r="M703" s="757" t="s">
        <v>120</v>
      </c>
      <c r="N703" s="726"/>
      <c r="O703" s="726"/>
      <c r="P703" s="726"/>
      <c r="Q703" s="727"/>
      <c r="R703" s="458"/>
      <c r="S703" s="459"/>
      <c r="T703" s="460"/>
      <c r="U703" s="219"/>
      <c r="V703" s="464"/>
      <c r="Y703" s="537">
        <f>0.4*PRESUPUESTOS!$H$16</f>
        <v>10.3124</v>
      </c>
      <c r="AA703" s="540" t="e">
        <f>IF(AND(C702&lt;=F698,F698&lt;&gt;""),VLOOKUP(VALUE(E679&amp;","&amp;C702),INTEGRANTES!$D$18:$F$235,2,0),"")</f>
        <v>#N/A</v>
      </c>
      <c r="AB703" s="545" t="e">
        <f t="shared" si="194"/>
        <v>#N/A</v>
      </c>
      <c r="AC703" s="529"/>
      <c r="AD703" s="200" t="e">
        <f t="shared" si="195"/>
        <v>#N/A</v>
      </c>
      <c r="AE703" s="52"/>
      <c r="AF703" s="52"/>
      <c r="AG703" s="52"/>
      <c r="AH703" s="87"/>
      <c r="AI703" s="87"/>
    </row>
    <row r="704" spans="1:35" ht="27" hidden="1" customHeight="1" thickBot="1">
      <c r="A704" s="218" t="e">
        <f>"R"&amp;E679</f>
        <v>#N/A</v>
      </c>
      <c r="B704" s="702"/>
      <c r="C704" s="114">
        <v>5</v>
      </c>
      <c r="D704" s="194" t="e">
        <f>IF(AND(C704&lt;=F698,F698&lt;&gt;""),VLOOKUP(VALUE(E679&amp;","&amp;C704),INTEGRANTES!$D$18:$F$235,2,0),"")</f>
        <v>#N/A</v>
      </c>
      <c r="E704" s="211" t="e">
        <f>IF(D704&lt;&gt;"",VLOOKUP(VALUE(E679&amp;","&amp;C704),INTEGRANTES!$D$18:$F$235,3,0),"")</f>
        <v>#N/A</v>
      </c>
      <c r="F704" s="547" t="e">
        <f>IF(D704="","",SUMIF($I683:$I692,D704,$P683:$P692))</f>
        <v>#N/A</v>
      </c>
      <c r="G704" s="333" t="e">
        <f>IF(D704="","",SUMIF($I683:$I692,D704,$M683:$M692))</f>
        <v>#N/A</v>
      </c>
      <c r="H704" s="535" t="e">
        <f t="shared" si="191"/>
        <v>#N/A</v>
      </c>
      <c r="I704" s="212" t="e">
        <f>IF(D704="","",IF(H704="NO APORTA","NO",IF(H704=MAX($H700:$H705),"SI","NO")))</f>
        <v>#N/A</v>
      </c>
      <c r="J704" s="213" t="e">
        <f t="shared" si="192"/>
        <v>#N/A</v>
      </c>
      <c r="K704" s="200" t="e">
        <f t="shared" si="193"/>
        <v>#N/A</v>
      </c>
      <c r="L704" s="721"/>
      <c r="M704" s="715" t="s">
        <v>116</v>
      </c>
      <c r="N704" s="716"/>
      <c r="O704" s="556" t="str">
        <f>PORCREQUERIDO*100&amp;"% PMFO DEL MÓDULO"</f>
        <v>50% PMFO DEL MÓDULO</v>
      </c>
      <c r="P704" s="715" t="s">
        <v>118</v>
      </c>
      <c r="Q704" s="728"/>
      <c r="R704" s="458"/>
      <c r="S704" s="459"/>
      <c r="T704" s="460"/>
      <c r="U704" s="219"/>
      <c r="V704" s="464"/>
      <c r="Y704" s="414"/>
      <c r="AA704" s="540" t="e">
        <f>IF(AND(C703&lt;=F698,F698&lt;&gt;""),VLOOKUP(VALUE(E679&amp;","&amp;C703),INTEGRANTES!$D$18:$F$235,2,0),"")</f>
        <v>#N/A</v>
      </c>
      <c r="AB704" s="545" t="e">
        <f t="shared" si="194"/>
        <v>#N/A</v>
      </c>
      <c r="AC704" s="529"/>
      <c r="AD704" s="200" t="e">
        <f t="shared" si="195"/>
        <v>#N/A</v>
      </c>
      <c r="AE704" s="52"/>
      <c r="AF704" s="52"/>
      <c r="AG704" s="52"/>
      <c r="AH704" s="87"/>
      <c r="AI704" s="87"/>
    </row>
    <row r="705" spans="1:35" ht="16.5" hidden="1" thickBot="1">
      <c r="A705" s="218" t="e">
        <f>"S"&amp;E679</f>
        <v>#N/A</v>
      </c>
      <c r="B705" s="702"/>
      <c r="C705" s="215">
        <v>6</v>
      </c>
      <c r="D705" s="216" t="e">
        <f>IF(AND(C705&lt;=F698,F698&lt;&gt;""),VLOOKUP(VALUE(E679&amp;","&amp;C705),INTEGRANTES!$D$18:$F$235,2,0),"")</f>
        <v>#N/A</v>
      </c>
      <c r="E705" s="217" t="e">
        <f>IF(D705&lt;&gt;"",VLOOKUP(VALUE(E679&amp;","&amp;C705),INTEGRANTES!$D$18:$F$235,3,0),"")</f>
        <v>#N/A</v>
      </c>
      <c r="F705" s="548" t="e">
        <f>IF(D705="","",SUMIF($I683:$I692,D705,$P683:$P692))</f>
        <v>#N/A</v>
      </c>
      <c r="G705" s="334" t="e">
        <f>IF(D705="","",SUMIF($I683:$I692,D705,$M683:$M692))</f>
        <v>#N/A</v>
      </c>
      <c r="H705" s="536" t="e">
        <f t="shared" si="191"/>
        <v>#N/A</v>
      </c>
      <c r="I705" s="214" t="e">
        <f>IF(D705="","",IF(H705="NO APORTA","NO",IF(H705=MAX($H700:$H705),"SI","NO")))</f>
        <v>#N/A</v>
      </c>
      <c r="J705" s="213" t="e">
        <f t="shared" si="192"/>
        <v>#N/A</v>
      </c>
      <c r="K705" s="200" t="e">
        <f t="shared" si="193"/>
        <v>#N/A</v>
      </c>
      <c r="L705" s="721"/>
      <c r="M705" s="729">
        <f>NUMMOD</f>
        <v>1</v>
      </c>
      <c r="N705" s="730"/>
      <c r="O705" s="443">
        <f>IF(M705="","",ROUND(VLOOKUP(M705,PRESUPUESTOS!$B$16:$H$16,7,FALSE),3))</f>
        <v>25.780999999999999</v>
      </c>
      <c r="P705" s="713">
        <f>IF(OR(COUNTIF(P683:P692,"")&gt;=10,Q699&lt;NUMMINCONT,OR(T697="NO CUMPLE",T697="VERIFICAR")),0,ROUND((SUM(P683:P692)/SUM(M683:M692)),3))</f>
        <v>0</v>
      </c>
      <c r="Q705" s="714"/>
      <c r="R705" s="458"/>
      <c r="S705" s="459"/>
      <c r="T705" s="460"/>
      <c r="U705" s="219"/>
      <c r="V705" s="464"/>
      <c r="Y705" s="532" t="s">
        <v>343</v>
      </c>
      <c r="AA705" s="540" t="e">
        <f>IF(AND(C704&lt;=F698,F698&lt;&gt;""),VLOOKUP(VALUE(E679&amp;","&amp;C704),INTEGRANTES!$D$18:$F$235,2,0),"")</f>
        <v>#N/A</v>
      </c>
      <c r="AB705" s="545" t="e">
        <f t="shared" si="194"/>
        <v>#N/A</v>
      </c>
      <c r="AC705" s="529"/>
      <c r="AD705" s="200" t="e">
        <f t="shared" si="195"/>
        <v>#N/A</v>
      </c>
      <c r="AE705" s="52"/>
      <c r="AF705" s="52"/>
      <c r="AG705" s="52"/>
      <c r="AH705" s="87"/>
      <c r="AI705" s="87"/>
    </row>
    <row r="706" spans="1:35" ht="16.5" hidden="1" customHeight="1" thickBot="1">
      <c r="A706" s="218" t="e">
        <f>"T"&amp;E679</f>
        <v>#N/A</v>
      </c>
      <c r="B706" s="703"/>
      <c r="C706" s="719"/>
      <c r="D706" s="719"/>
      <c r="E706" s="719"/>
      <c r="F706" s="719"/>
      <c r="G706" s="719"/>
      <c r="H706" s="719" t="s">
        <v>110</v>
      </c>
      <c r="I706" s="719"/>
      <c r="J706" s="719"/>
      <c r="K706" s="201" t="str">
        <f>IF(COUNTIF(K700:K705,"")=6,"",IF(COUNTIF(K700:K705,"CUMPLE")&gt;0,"CUMPLE","NO CUMPLE"))</f>
        <v>NO CUMPLE</v>
      </c>
      <c r="L706" s="754"/>
      <c r="M706" s="755"/>
      <c r="N706" s="755"/>
      <c r="O706" s="755"/>
      <c r="P706" s="755"/>
      <c r="Q706" s="756"/>
      <c r="R706" s="461"/>
      <c r="S706" s="462"/>
      <c r="T706" s="463"/>
      <c r="U706" s="219"/>
      <c r="V706" s="464"/>
      <c r="Y706" s="549" t="e">
        <f>IF(Y700="NO APLICA","NO APLICA",IF(COUNTIF(AD701:AD706,"CUMPLE")&gt;0,"CUMPLE","NO CUMPLE"))</f>
        <v>#N/A</v>
      </c>
      <c r="AA706" s="541" t="e">
        <f>IF(AND(C705&lt;=F698,F698&lt;&gt;""),VLOOKUP(VALUE(E679&amp;","&amp;C705),INTEGRANTES!$D$18:$F$235,2,0),"")</f>
        <v>#N/A</v>
      </c>
      <c r="AB706" s="546" t="e">
        <f t="shared" si="194"/>
        <v>#N/A</v>
      </c>
      <c r="AC706" s="543"/>
      <c r="AD706" s="201" t="e">
        <f t="shared" si="195"/>
        <v>#N/A</v>
      </c>
      <c r="AE706" s="52"/>
      <c r="AF706" s="52"/>
      <c r="AG706" s="52"/>
      <c r="AH706" s="87"/>
      <c r="AI706" s="87"/>
    </row>
    <row r="707" spans="1:35" hidden="1">
      <c r="A707" s="103"/>
      <c r="B707" s="206"/>
      <c r="C707" s="206"/>
      <c r="D707" s="206"/>
      <c r="E707" s="206"/>
      <c r="F707" s="206"/>
      <c r="G707" s="206"/>
      <c r="H707" s="206"/>
      <c r="I707" s="104"/>
      <c r="J707" s="206"/>
      <c r="K707" s="113"/>
      <c r="L707" s="113"/>
      <c r="M707" s="113"/>
      <c r="N707" s="222"/>
      <c r="O707" s="113"/>
      <c r="P707" s="113"/>
      <c r="Q707" s="113"/>
      <c r="R707" s="206"/>
      <c r="S707" s="104"/>
      <c r="T707" s="206"/>
      <c r="U707" s="474"/>
      <c r="AH707" s="87"/>
      <c r="AI707" s="87"/>
    </row>
    <row r="708" spans="1:35" hidden="1">
      <c r="H708" s="220"/>
      <c r="AH708" s="87"/>
      <c r="AI708" s="87"/>
    </row>
    <row r="709" spans="1:35" ht="24" hidden="1" thickBot="1">
      <c r="A709" s="61">
        <v>24</v>
      </c>
      <c r="B709" s="704" t="s">
        <v>51</v>
      </c>
      <c r="C709" s="704"/>
      <c r="D709" s="704"/>
      <c r="E709" s="62" t="e">
        <f>VLOOKUP(A709,PROPONENTES!$B$19:$E$218,2,FALSE)</f>
        <v>#N/A</v>
      </c>
      <c r="F709" s="63" t="e">
        <f>VLOOKUP(A709,PROPONENTES!$B$19:$E$218,3,FALSE)</f>
        <v>#N/A</v>
      </c>
      <c r="G709" s="64"/>
      <c r="H709" s="64"/>
      <c r="I709" s="63"/>
      <c r="J709" s="63"/>
      <c r="K709" s="65"/>
      <c r="L709" s="65"/>
      <c r="M709" s="64"/>
      <c r="N709" s="64"/>
      <c r="O709" s="66"/>
      <c r="P709" s="66"/>
      <c r="Q709" s="66"/>
      <c r="R709" s="66"/>
      <c r="S709" s="67"/>
      <c r="T709" s="68"/>
      <c r="U709" s="68"/>
      <c r="AC709" s="68"/>
      <c r="AD709" s="68"/>
      <c r="AE709" s="68"/>
      <c r="AF709" s="68"/>
      <c r="AG709" s="68"/>
      <c r="AH709" s="87"/>
      <c r="AI709" s="87"/>
    </row>
    <row r="710" spans="1:35" ht="15.75" hidden="1" customHeight="1">
      <c r="A710" s="44"/>
      <c r="B710" s="709" t="s">
        <v>59</v>
      </c>
      <c r="C710" s="552" t="s">
        <v>60</v>
      </c>
      <c r="D710" s="70" t="s">
        <v>17</v>
      </c>
      <c r="E710" s="70"/>
      <c r="F710" s="70" t="s">
        <v>61</v>
      </c>
      <c r="G710" s="71"/>
      <c r="H710" s="699" t="s">
        <v>62</v>
      </c>
      <c r="I710" s="699" t="s">
        <v>18</v>
      </c>
      <c r="J710" s="699" t="s">
        <v>63</v>
      </c>
      <c r="K710" s="699" t="s">
        <v>64</v>
      </c>
      <c r="L710" s="699" t="s">
        <v>65</v>
      </c>
      <c r="M710" s="743" t="s">
        <v>66</v>
      </c>
      <c r="N710" s="699" t="s">
        <v>282</v>
      </c>
      <c r="O710" s="745" t="s">
        <v>67</v>
      </c>
      <c r="P710" s="746"/>
      <c r="Q710" s="102" t="s">
        <v>75</v>
      </c>
      <c r="R710" s="731" t="s">
        <v>22</v>
      </c>
      <c r="S710" s="732"/>
      <c r="T710" s="733"/>
      <c r="U710" s="712" t="s">
        <v>298</v>
      </c>
      <c r="W710" s="690" t="s">
        <v>268</v>
      </c>
      <c r="X710" s="691"/>
      <c r="Y710" s="692"/>
      <c r="Z710" s="428"/>
      <c r="AA710" s="697" t="s">
        <v>315</v>
      </c>
      <c r="AB710" s="695" t="s">
        <v>322</v>
      </c>
      <c r="AC710" s="49"/>
      <c r="AD710" s="690" t="s">
        <v>297</v>
      </c>
      <c r="AE710" s="691"/>
      <c r="AF710" s="692"/>
      <c r="AG710" s="49"/>
      <c r="AH710" s="87"/>
      <c r="AI710" s="87"/>
    </row>
    <row r="711" spans="1:35" ht="72" hidden="1">
      <c r="A711" s="44"/>
      <c r="B711" s="710"/>
      <c r="C711" s="553" t="s">
        <v>68</v>
      </c>
      <c r="D711" s="73" t="s">
        <v>3</v>
      </c>
      <c r="E711" s="73" t="s">
        <v>19</v>
      </c>
      <c r="F711" s="73" t="s">
        <v>69</v>
      </c>
      <c r="G711" s="74" t="s">
        <v>70</v>
      </c>
      <c r="H711" s="700"/>
      <c r="I711" s="700"/>
      <c r="J711" s="700"/>
      <c r="K711" s="700"/>
      <c r="L711" s="700"/>
      <c r="M711" s="744"/>
      <c r="N711" s="700"/>
      <c r="O711" s="553" t="s">
        <v>279</v>
      </c>
      <c r="P711" s="73" t="s">
        <v>88</v>
      </c>
      <c r="Q711" s="555" t="s">
        <v>76</v>
      </c>
      <c r="R711" s="734"/>
      <c r="S711" s="735"/>
      <c r="T711" s="736"/>
      <c r="U711" s="712"/>
      <c r="W711" s="429" t="s">
        <v>269</v>
      </c>
      <c r="X711" s="457" t="s">
        <v>278</v>
      </c>
      <c r="Y711" s="430" t="s">
        <v>324</v>
      </c>
      <c r="Z711" s="428"/>
      <c r="AA711" s="698"/>
      <c r="AB711" s="696"/>
      <c r="AC711" s="49"/>
      <c r="AD711" s="429" t="s">
        <v>292</v>
      </c>
      <c r="AE711" s="431" t="s">
        <v>300</v>
      </c>
      <c r="AF711" s="468" t="s">
        <v>301</v>
      </c>
      <c r="AG711" s="49"/>
      <c r="AH711" s="87"/>
      <c r="AI711" s="87"/>
    </row>
    <row r="712" spans="1:35" hidden="1">
      <c r="A712" s="44"/>
      <c r="B712" s="76"/>
      <c r="C712" s="77"/>
      <c r="D712" s="77"/>
      <c r="E712" s="77"/>
      <c r="F712" s="77"/>
      <c r="G712" s="77"/>
      <c r="H712" s="77"/>
      <c r="I712" s="77"/>
      <c r="J712" s="77"/>
      <c r="K712" s="77"/>
      <c r="L712" s="77"/>
      <c r="M712" s="77"/>
      <c r="N712" s="77"/>
      <c r="O712" s="77"/>
      <c r="P712" s="77"/>
      <c r="Q712" s="77"/>
      <c r="R712" s="77"/>
      <c r="S712" s="78"/>
      <c r="T712" s="79"/>
      <c r="U712" s="109"/>
      <c r="V712" s="49"/>
      <c r="W712" s="432"/>
      <c r="X712" s="454"/>
      <c r="Y712" s="433"/>
      <c r="Z712" s="6"/>
      <c r="AA712" s="500"/>
      <c r="AB712" s="562"/>
      <c r="AC712" s="49"/>
      <c r="AD712" s="210"/>
      <c r="AE712" s="434"/>
      <c r="AF712" s="435"/>
      <c r="AG712" s="49"/>
      <c r="AH712" s="87"/>
      <c r="AI712" s="87"/>
    </row>
    <row r="713" spans="1:35" hidden="1">
      <c r="A713" s="80" t="e">
        <f>"A"&amp;E709</f>
        <v>#N/A</v>
      </c>
      <c r="B713" s="81">
        <v>1</v>
      </c>
      <c r="C713" s="82"/>
      <c r="D713" s="82"/>
      <c r="E713" s="82"/>
      <c r="F713" s="82"/>
      <c r="G713" s="83"/>
      <c r="H713" s="83"/>
      <c r="I713" s="84"/>
      <c r="J713" s="85"/>
      <c r="K713" s="382"/>
      <c r="L713" s="85"/>
      <c r="M713" s="332" t="str">
        <f t="shared" ref="M713:M722" si="196">IF(OR(J713="",L713="",H713="NO"),"",IF(OR(J713&gt;$P$17,J713&lt;$O$17,L713&gt;$P$17,AND(J713&lt;$O$17,L713&lt;$O$17)),"FUERA DE RANGO",IF(OR(K713="---",K713=""),IF(J713&gt;=$O$17,ROUND((L713-J713+1)/360*12,3),ROUND((L713-$O$17+1)/360*12,3)),IF(J713&gt;=$O$17,ROUND((L713-J713+1)/360*12-ROUND(K713,3),3),ROUND((L713-$O$17+1)/360*12-ROUND(K713,3),3)))))</f>
        <v/>
      </c>
      <c r="N713" s="86"/>
      <c r="O713" s="453" t="str">
        <f>IF(OR(G713="",N713=""),"",N713*G713)</f>
        <v/>
      </c>
      <c r="P713" s="538" t="str">
        <f>IF(OR(H713="",M713="FUERA DE RANGO"),"",IF(OR(L713&lt;$O$17,L713&gt;$P$17,L713="",H713="NO"),"",IF(OR(N713="",O713=""),"",ROUND(O713,3))))</f>
        <v/>
      </c>
      <c r="Q713" s="539" t="str">
        <f t="shared" ref="Q713:Q722" si="197">IF(AND(H713="SI",P713&lt;&gt;""),ROUND(P713/M713,3),"")</f>
        <v/>
      </c>
      <c r="R713" s="737"/>
      <c r="S713" s="738"/>
      <c r="T713" s="739"/>
      <c r="U713" s="470"/>
      <c r="V713" s="165"/>
      <c r="W713" s="446"/>
      <c r="X713" s="456"/>
      <c r="Y713" s="436"/>
      <c r="Z713" s="437"/>
      <c r="AA713" s="560"/>
      <c r="AB713" s="561"/>
      <c r="AC713" s="87"/>
      <c r="AD713" s="466"/>
      <c r="AE713" s="456"/>
      <c r="AF713" s="467"/>
      <c r="AG713" s="87"/>
      <c r="AH713" s="87"/>
      <c r="AI713" s="87"/>
    </row>
    <row r="714" spans="1:35" hidden="1">
      <c r="A714" s="80" t="e">
        <f>"B"&amp;E709</f>
        <v>#N/A</v>
      </c>
      <c r="B714" s="81">
        <v>2</v>
      </c>
      <c r="C714" s="106"/>
      <c r="D714" s="106"/>
      <c r="E714" s="106"/>
      <c r="F714" s="106"/>
      <c r="G714" s="83"/>
      <c r="H714" s="83"/>
      <c r="I714" s="84"/>
      <c r="J714" s="85"/>
      <c r="K714" s="382"/>
      <c r="L714" s="85"/>
      <c r="M714" s="332" t="str">
        <f t="shared" si="196"/>
        <v/>
      </c>
      <c r="N714" s="86"/>
      <c r="O714" s="453" t="str">
        <f t="shared" ref="O714:O722" si="198">IF(OR(G714="",N714=""),"",N714*G714)</f>
        <v/>
      </c>
      <c r="P714" s="538" t="str">
        <f t="shared" ref="P714:P722" si="199">IF(OR(H714="",M714="FUERA DE RANGO"),"",IF(OR(L714&lt;$O$17,L714&gt;$P$17,L714="",H714="NO"),"",IF(OR(N714="",O714=""),"",ROUND(O714,3))))</f>
        <v/>
      </c>
      <c r="Q714" s="539" t="str">
        <f t="shared" si="197"/>
        <v/>
      </c>
      <c r="R714" s="740"/>
      <c r="S714" s="741"/>
      <c r="T714" s="742"/>
      <c r="U714" s="471"/>
      <c r="V714" s="165"/>
      <c r="W714" s="446"/>
      <c r="X714" s="456"/>
      <c r="Y714" s="436"/>
      <c r="Z714" s="437"/>
      <c r="AA714" s="560"/>
      <c r="AB714" s="561"/>
      <c r="AC714" s="87"/>
      <c r="AD714" s="466"/>
      <c r="AE714" s="456"/>
      <c r="AF714" s="467"/>
      <c r="AG714" s="87"/>
      <c r="AH714" s="87"/>
      <c r="AI714" s="87"/>
    </row>
    <row r="715" spans="1:35" hidden="1">
      <c r="A715" s="80" t="e">
        <f>"C"&amp;E709</f>
        <v>#N/A</v>
      </c>
      <c r="B715" s="88">
        <v>3</v>
      </c>
      <c r="C715" s="82"/>
      <c r="D715" s="82"/>
      <c r="E715" s="82"/>
      <c r="F715" s="82"/>
      <c r="G715" s="83"/>
      <c r="H715" s="83"/>
      <c r="I715" s="84"/>
      <c r="J715" s="85"/>
      <c r="K715" s="382"/>
      <c r="L715" s="85"/>
      <c r="M715" s="332" t="str">
        <f t="shared" si="196"/>
        <v/>
      </c>
      <c r="N715" s="86"/>
      <c r="O715" s="453" t="str">
        <f t="shared" si="198"/>
        <v/>
      </c>
      <c r="P715" s="538" t="str">
        <f t="shared" si="199"/>
        <v/>
      </c>
      <c r="Q715" s="539" t="str">
        <f t="shared" si="197"/>
        <v/>
      </c>
      <c r="R715" s="706"/>
      <c r="S715" s="707"/>
      <c r="T715" s="708"/>
      <c r="U715" s="472"/>
      <c r="V715" s="166"/>
      <c r="W715" s="446"/>
      <c r="X715" s="456"/>
      <c r="Y715" s="436"/>
      <c r="Z715" s="437"/>
      <c r="AA715" s="560"/>
      <c r="AB715" s="561"/>
      <c r="AC715" s="87"/>
      <c r="AD715" s="466"/>
      <c r="AE715" s="456"/>
      <c r="AF715" s="467"/>
      <c r="AG715" s="87"/>
      <c r="AH715" s="87"/>
      <c r="AI715" s="87"/>
    </row>
    <row r="716" spans="1:35" hidden="1">
      <c r="A716" s="80" t="e">
        <f>"D"&amp;E709</f>
        <v>#N/A</v>
      </c>
      <c r="B716" s="105">
        <v>4</v>
      </c>
      <c r="C716" s="107"/>
      <c r="D716" s="107"/>
      <c r="E716" s="107"/>
      <c r="F716" s="107"/>
      <c r="G716" s="83"/>
      <c r="H716" s="83"/>
      <c r="I716" s="84"/>
      <c r="J716" s="85"/>
      <c r="K716" s="382"/>
      <c r="L716" s="85"/>
      <c r="M716" s="332" t="str">
        <f t="shared" si="196"/>
        <v/>
      </c>
      <c r="N716" s="86"/>
      <c r="O716" s="453" t="str">
        <f t="shared" si="198"/>
        <v/>
      </c>
      <c r="P716" s="538" t="str">
        <f t="shared" si="199"/>
        <v/>
      </c>
      <c r="Q716" s="539" t="str">
        <f t="shared" si="197"/>
        <v/>
      </c>
      <c r="R716" s="706"/>
      <c r="S716" s="707"/>
      <c r="T716" s="708"/>
      <c r="U716" s="472"/>
      <c r="V716" s="166"/>
      <c r="W716" s="446"/>
      <c r="X716" s="456"/>
      <c r="Y716" s="436"/>
      <c r="Z716" s="437"/>
      <c r="AA716" s="560"/>
      <c r="AB716" s="561"/>
      <c r="AC716" s="87"/>
      <c r="AD716" s="466"/>
      <c r="AE716" s="456"/>
      <c r="AF716" s="467"/>
      <c r="AG716" s="87"/>
      <c r="AH716" s="87"/>
      <c r="AI716" s="87"/>
    </row>
    <row r="717" spans="1:35" hidden="1">
      <c r="A717" s="80" t="e">
        <f>"E"&amp;E709</f>
        <v>#N/A</v>
      </c>
      <c r="B717" s="105">
        <v>5</v>
      </c>
      <c r="C717" s="107"/>
      <c r="D717" s="107"/>
      <c r="E717" s="107"/>
      <c r="F717" s="107"/>
      <c r="G717" s="83"/>
      <c r="H717" s="83"/>
      <c r="I717" s="84"/>
      <c r="J717" s="85"/>
      <c r="K717" s="382"/>
      <c r="L717" s="85"/>
      <c r="M717" s="332" t="str">
        <f t="shared" si="196"/>
        <v/>
      </c>
      <c r="N717" s="86"/>
      <c r="O717" s="453" t="str">
        <f t="shared" si="198"/>
        <v/>
      </c>
      <c r="P717" s="538" t="str">
        <f t="shared" si="199"/>
        <v/>
      </c>
      <c r="Q717" s="539" t="str">
        <f t="shared" si="197"/>
        <v/>
      </c>
      <c r="R717" s="706"/>
      <c r="S717" s="707"/>
      <c r="T717" s="708"/>
      <c r="U717" s="472"/>
      <c r="V717" s="167"/>
      <c r="W717" s="446"/>
      <c r="X717" s="456"/>
      <c r="Y717" s="436"/>
      <c r="Z717" s="437"/>
      <c r="AA717" s="560"/>
      <c r="AB717" s="561"/>
      <c r="AC717" s="87"/>
      <c r="AD717" s="466"/>
      <c r="AE717" s="456"/>
      <c r="AF717" s="467"/>
      <c r="AG717" s="87"/>
      <c r="AH717" s="87"/>
      <c r="AI717" s="87"/>
    </row>
    <row r="718" spans="1:35" hidden="1">
      <c r="A718" s="80" t="e">
        <f>"F"&amp;E709</f>
        <v>#N/A</v>
      </c>
      <c r="B718" s="105">
        <v>6</v>
      </c>
      <c r="C718" s="107"/>
      <c r="D718" s="107"/>
      <c r="E718" s="107"/>
      <c r="F718" s="107"/>
      <c r="G718" s="83"/>
      <c r="H718" s="83"/>
      <c r="I718" s="84"/>
      <c r="J718" s="85"/>
      <c r="K718" s="382"/>
      <c r="L718" s="85"/>
      <c r="M718" s="332" t="str">
        <f t="shared" si="196"/>
        <v/>
      </c>
      <c r="N718" s="86"/>
      <c r="O718" s="453" t="str">
        <f t="shared" si="198"/>
        <v/>
      </c>
      <c r="P718" s="538" t="str">
        <f t="shared" si="199"/>
        <v/>
      </c>
      <c r="Q718" s="539" t="str">
        <f t="shared" si="197"/>
        <v/>
      </c>
      <c r="R718" s="706"/>
      <c r="S718" s="707"/>
      <c r="T718" s="708"/>
      <c r="U718" s="472"/>
      <c r="V718" s="167"/>
      <c r="W718" s="446"/>
      <c r="X718" s="456"/>
      <c r="Y718" s="436"/>
      <c r="Z718" s="437"/>
      <c r="AA718" s="560"/>
      <c r="AB718" s="561"/>
      <c r="AC718" s="87"/>
      <c r="AD718" s="466"/>
      <c r="AE718" s="456"/>
      <c r="AF718" s="467"/>
      <c r="AG718" s="87"/>
      <c r="AH718" s="87"/>
      <c r="AI718" s="87"/>
    </row>
    <row r="719" spans="1:35" hidden="1">
      <c r="A719" s="80" t="e">
        <f>"G"&amp;E709</f>
        <v>#N/A</v>
      </c>
      <c r="B719" s="105">
        <v>7</v>
      </c>
      <c r="C719" s="107"/>
      <c r="D719" s="107"/>
      <c r="E719" s="107"/>
      <c r="F719" s="107"/>
      <c r="G719" s="83"/>
      <c r="H719" s="83"/>
      <c r="I719" s="84"/>
      <c r="J719" s="85"/>
      <c r="K719" s="382"/>
      <c r="L719" s="85"/>
      <c r="M719" s="332" t="str">
        <f t="shared" si="196"/>
        <v/>
      </c>
      <c r="N719" s="86"/>
      <c r="O719" s="86" t="str">
        <f t="shared" si="198"/>
        <v/>
      </c>
      <c r="P719" s="538" t="str">
        <f t="shared" si="199"/>
        <v/>
      </c>
      <c r="Q719" s="539" t="str">
        <f t="shared" si="197"/>
        <v/>
      </c>
      <c r="R719" s="706"/>
      <c r="S719" s="707"/>
      <c r="T719" s="708"/>
      <c r="U719" s="472"/>
      <c r="V719" s="167"/>
      <c r="W719" s="446"/>
      <c r="X719" s="456"/>
      <c r="Y719" s="436"/>
      <c r="Z719" s="437"/>
      <c r="AA719" s="560"/>
      <c r="AB719" s="561"/>
      <c r="AC719" s="87"/>
      <c r="AD719" s="466"/>
      <c r="AE719" s="456"/>
      <c r="AF719" s="467"/>
      <c r="AG719" s="87"/>
      <c r="AH719" s="87"/>
      <c r="AI719" s="87"/>
    </row>
    <row r="720" spans="1:35" hidden="1">
      <c r="A720" s="80" t="e">
        <f>"H"&amp;E709</f>
        <v>#N/A</v>
      </c>
      <c r="B720" s="105">
        <v>8</v>
      </c>
      <c r="C720" s="107"/>
      <c r="D720" s="107"/>
      <c r="E720" s="107"/>
      <c r="F720" s="107"/>
      <c r="G720" s="83"/>
      <c r="H720" s="83"/>
      <c r="I720" s="84"/>
      <c r="J720" s="85"/>
      <c r="K720" s="382"/>
      <c r="L720" s="85"/>
      <c r="M720" s="332" t="str">
        <f t="shared" si="196"/>
        <v/>
      </c>
      <c r="N720" s="453"/>
      <c r="O720" s="86" t="str">
        <f t="shared" si="198"/>
        <v/>
      </c>
      <c r="P720" s="538" t="str">
        <f t="shared" si="199"/>
        <v/>
      </c>
      <c r="Q720" s="539" t="str">
        <f t="shared" si="197"/>
        <v/>
      </c>
      <c r="R720" s="706"/>
      <c r="S720" s="707"/>
      <c r="T720" s="708"/>
      <c r="U720" s="472"/>
      <c r="V720" s="167"/>
      <c r="W720" s="446"/>
      <c r="X720" s="456"/>
      <c r="Y720" s="436"/>
      <c r="Z720" s="437"/>
      <c r="AA720" s="560"/>
      <c r="AB720" s="561"/>
      <c r="AC720" s="87"/>
      <c r="AD720" s="466"/>
      <c r="AE720" s="456"/>
      <c r="AF720" s="467"/>
      <c r="AG720" s="87"/>
      <c r="AH720" s="87"/>
      <c r="AI720" s="87"/>
    </row>
    <row r="721" spans="1:35" hidden="1">
      <c r="A721" s="80" t="e">
        <f>"I"&amp;E709</f>
        <v>#N/A</v>
      </c>
      <c r="B721" s="105">
        <v>9</v>
      </c>
      <c r="C721" s="107"/>
      <c r="D721" s="107"/>
      <c r="E721" s="107"/>
      <c r="F721" s="107"/>
      <c r="G721" s="83"/>
      <c r="H721" s="83"/>
      <c r="I721" s="84"/>
      <c r="J721" s="85"/>
      <c r="K721" s="382"/>
      <c r="L721" s="85"/>
      <c r="M721" s="332" t="str">
        <f t="shared" si="196"/>
        <v/>
      </c>
      <c r="N721" s="453"/>
      <c r="O721" s="86" t="str">
        <f t="shared" si="198"/>
        <v/>
      </c>
      <c r="P721" s="538" t="str">
        <f t="shared" si="199"/>
        <v/>
      </c>
      <c r="Q721" s="539" t="str">
        <f t="shared" si="197"/>
        <v/>
      </c>
      <c r="R721" s="706"/>
      <c r="S721" s="707"/>
      <c r="T721" s="708"/>
      <c r="U721" s="472"/>
      <c r="V721" s="167"/>
      <c r="W721" s="446"/>
      <c r="X721" s="456"/>
      <c r="Y721" s="436"/>
      <c r="Z721" s="437"/>
      <c r="AA721" s="560"/>
      <c r="AB721" s="561"/>
      <c r="AC721" s="87"/>
      <c r="AD721" s="466"/>
      <c r="AE721" s="456"/>
      <c r="AF721" s="467"/>
      <c r="AG721" s="87"/>
      <c r="AH721" s="87"/>
      <c r="AI721" s="87"/>
    </row>
    <row r="722" spans="1:35" hidden="1">
      <c r="A722" s="80" t="e">
        <f>"J"&amp;E709</f>
        <v>#N/A</v>
      </c>
      <c r="B722" s="105">
        <v>10</v>
      </c>
      <c r="C722" s="107"/>
      <c r="D722" s="107"/>
      <c r="E722" s="107"/>
      <c r="F722" s="107"/>
      <c r="G722" s="83"/>
      <c r="H722" s="83"/>
      <c r="I722" s="84"/>
      <c r="J722" s="85"/>
      <c r="K722" s="382"/>
      <c r="L722" s="85"/>
      <c r="M722" s="332" t="str">
        <f t="shared" si="196"/>
        <v/>
      </c>
      <c r="N722" s="453"/>
      <c r="O722" s="86" t="str">
        <f t="shared" si="198"/>
        <v/>
      </c>
      <c r="P722" s="538" t="str">
        <f t="shared" si="199"/>
        <v/>
      </c>
      <c r="Q722" s="539" t="str">
        <f t="shared" si="197"/>
        <v/>
      </c>
      <c r="R722" s="706"/>
      <c r="S722" s="707"/>
      <c r="T722" s="708"/>
      <c r="U722" s="472"/>
      <c r="V722" s="167"/>
      <c r="W722" s="446"/>
      <c r="X722" s="456"/>
      <c r="Y722" s="436"/>
      <c r="Z722" s="437"/>
      <c r="AA722" s="560"/>
      <c r="AB722" s="561"/>
      <c r="AC722" s="87"/>
      <c r="AD722" s="466"/>
      <c r="AE722" s="456"/>
      <c r="AF722" s="467"/>
      <c r="AG722" s="87"/>
      <c r="AH722" s="87"/>
      <c r="AI722" s="87"/>
    </row>
    <row r="723" spans="1:35" ht="16.5" hidden="1" thickBot="1">
      <c r="A723" s="44"/>
      <c r="B723" s="89"/>
      <c r="C723" s="90"/>
      <c r="D723" s="90"/>
      <c r="E723" s="90"/>
      <c r="F723" s="90"/>
      <c r="G723" s="90"/>
      <c r="H723" s="90"/>
      <c r="I723" s="90"/>
      <c r="J723" s="90"/>
      <c r="K723" s="90"/>
      <c r="L723" s="90"/>
      <c r="M723" s="90"/>
      <c r="N723" s="90"/>
      <c r="O723" s="90"/>
      <c r="P723" s="90"/>
      <c r="Q723" s="90"/>
      <c r="R723" s="90"/>
      <c r="S723" s="91"/>
      <c r="T723" s="92"/>
      <c r="U723" s="473"/>
      <c r="W723" s="438"/>
      <c r="X723" s="455"/>
      <c r="Y723" s="439"/>
      <c r="Z723" s="437"/>
      <c r="AA723" s="530"/>
      <c r="AB723" s="563"/>
      <c r="AC723" s="87"/>
      <c r="AD723" s="440"/>
      <c r="AE723" s="441"/>
      <c r="AF723" s="442"/>
      <c r="AG723" s="49"/>
      <c r="AH723" s="87"/>
      <c r="AI723" s="87"/>
    </row>
    <row r="724" spans="1:35" ht="16.5" hidden="1" thickBot="1">
      <c r="A724" s="93"/>
      <c r="B724" s="94"/>
      <c r="C724" s="96"/>
      <c r="D724" s="96"/>
      <c r="E724" s="96"/>
      <c r="F724" s="96"/>
      <c r="G724" s="96"/>
      <c r="H724" s="96"/>
      <c r="I724" s="96"/>
      <c r="J724" s="96"/>
      <c r="K724" s="96"/>
      <c r="L724" s="96"/>
      <c r="M724" s="136"/>
      <c r="N724" s="96"/>
      <c r="O724" s="96"/>
      <c r="P724" s="97"/>
      <c r="Q724" s="97"/>
      <c r="R724" s="98"/>
      <c r="S724" s="95"/>
      <c r="T724" s="99"/>
      <c r="U724" s="469"/>
      <c r="AC724" s="58"/>
      <c r="AG724" s="58"/>
      <c r="AH724" s="87"/>
      <c r="AI724" s="87"/>
    </row>
    <row r="725" spans="1:35" ht="16.5" hidden="1" thickBot="1">
      <c r="B725" s="101"/>
      <c r="C725" s="101"/>
      <c r="D725" s="101"/>
      <c r="E725" s="101"/>
      <c r="F725" s="101"/>
      <c r="G725" s="101"/>
      <c r="H725" s="101"/>
      <c r="I725" s="101"/>
      <c r="J725" s="101"/>
      <c r="K725" s="101"/>
      <c r="L725" s="101"/>
      <c r="M725" s="101"/>
      <c r="N725" s="101"/>
      <c r="O725" s="101"/>
      <c r="P725" s="101"/>
      <c r="Q725" s="101"/>
      <c r="R725" s="101"/>
      <c r="S725" s="101"/>
      <c r="U725" s="50"/>
      <c r="AH725" s="87"/>
      <c r="AI725" s="87"/>
    </row>
    <row r="726" spans="1:35" ht="16.5" hidden="1" customHeight="1" thickBot="1">
      <c r="A726" s="44"/>
      <c r="B726" s="705" t="s">
        <v>74</v>
      </c>
      <c r="C726" s="705"/>
      <c r="D726" s="705"/>
      <c r="E726" s="705"/>
      <c r="F726" s="705"/>
      <c r="G726" s="705"/>
      <c r="H726" s="705"/>
      <c r="I726" s="705"/>
      <c r="J726" s="705"/>
      <c r="K726" s="705"/>
      <c r="L726" s="705"/>
      <c r="M726" s="705"/>
      <c r="N726" s="705"/>
      <c r="O726" s="705"/>
      <c r="P726" s="705"/>
      <c r="Q726" s="705"/>
      <c r="R726" s="705"/>
      <c r="S726" s="705"/>
      <c r="T726" s="705"/>
      <c r="U726" s="108"/>
      <c r="Y726" s="532" t="s">
        <v>341</v>
      </c>
      <c r="AC726" s="49"/>
      <c r="AD726" s="687" t="s">
        <v>302</v>
      </c>
      <c r="AE726" s="688"/>
      <c r="AF726" s="689"/>
      <c r="AG726" s="49"/>
      <c r="AH726" s="87"/>
      <c r="AI726" s="87"/>
    </row>
    <row r="727" spans="1:35" ht="15.75" hidden="1" customHeight="1" thickBot="1">
      <c r="A727" s="218" t="e">
        <f>"K"&amp;E709</f>
        <v>#N/A</v>
      </c>
      <c r="B727" s="701" t="s">
        <v>71</v>
      </c>
      <c r="C727" s="751" t="s">
        <v>102</v>
      </c>
      <c r="D727" s="751"/>
      <c r="E727" s="751"/>
      <c r="F727" s="751"/>
      <c r="G727" s="751"/>
      <c r="H727" s="751"/>
      <c r="I727" s="751"/>
      <c r="J727" s="751"/>
      <c r="K727" s="751"/>
      <c r="L727" s="722" t="s">
        <v>100</v>
      </c>
      <c r="M727" s="747" t="s">
        <v>114</v>
      </c>
      <c r="N727" s="747"/>
      <c r="O727" s="747"/>
      <c r="P727" s="747"/>
      <c r="Q727" s="748"/>
      <c r="R727" s="758" t="s">
        <v>280</v>
      </c>
      <c r="S727" s="748"/>
      <c r="T727" s="762" t="str">
        <f>IF(COUNTIF(AE727:AF727,"VERIFICAR")&gt;0,"VERIFICAR",IF(COUNTIF(AE727:AF727,"NO CUMPLE")&gt;0,"NO CUMPLE","CUMPLE"))</f>
        <v>VERIFICAR</v>
      </c>
      <c r="U727" s="108"/>
      <c r="Y727" s="533" t="e">
        <f>IF(F728="","",IF(F728=1,"INDIVIDUAL","ESTRUCTURA PLURAL"))</f>
        <v>#N/A</v>
      </c>
      <c r="AC727" s="52"/>
      <c r="AD727" s="475" t="s">
        <v>303</v>
      </c>
      <c r="AE727" s="476" t="str">
        <f>IF(COUNTIF(AE713:AE722,"")=10,"VERIFICAR",IF(COUNTIF(AE713:AE722,"SI")&gt;0,"CUMPLE","NO CUMPLE"))</f>
        <v>VERIFICAR</v>
      </c>
      <c r="AF727" s="477" t="str">
        <f>IF(COUNTIF(AF713:AF722,"")=10,"VERIFICAR",IF(COUNTIF(AF713:AF722,"SI")&gt;=$AI$22,"CUMPLE","NO CUMPLE"))</f>
        <v>VERIFICAR</v>
      </c>
      <c r="AG727" s="52"/>
      <c r="AH727" s="87"/>
      <c r="AI727" s="87"/>
    </row>
    <row r="728" spans="1:35" ht="16.5" hidden="1" customHeight="1" thickBot="1">
      <c r="A728" s="218" t="e">
        <f>"L"&amp;E709</f>
        <v>#N/A</v>
      </c>
      <c r="B728" s="702"/>
      <c r="C728" s="751" t="s">
        <v>103</v>
      </c>
      <c r="D728" s="751"/>
      <c r="E728" s="752"/>
      <c r="F728" s="557" t="e">
        <f>IF(VLOOKUP(E709,PROPONENTES!$C$19:$E$218,3,0)="","",VLOOKUP(E709,PROPONENTES!$C$19:$E$218,3,0))</f>
        <v>#N/A</v>
      </c>
      <c r="G728" s="753" t="s">
        <v>104</v>
      </c>
      <c r="H728" s="751"/>
      <c r="I728" s="715" t="e">
        <f>IF(OR(F728="",F728=1),"INTERESADO PERSONA NATURAL O JURIDICA","CONSORCIO O UNION TEMPORAL")</f>
        <v>#N/A</v>
      </c>
      <c r="J728" s="725"/>
      <c r="K728" s="728"/>
      <c r="L728" s="723"/>
      <c r="M728" s="749"/>
      <c r="N728" s="749"/>
      <c r="O728" s="749"/>
      <c r="P728" s="749"/>
      <c r="Q728" s="750"/>
      <c r="R728" s="712"/>
      <c r="S728" s="750"/>
      <c r="T728" s="763"/>
      <c r="U728" s="108"/>
      <c r="Y728" s="534"/>
      <c r="AA728" s="52"/>
      <c r="AB728" s="52"/>
      <c r="AC728" s="52"/>
      <c r="AG728" s="52"/>
      <c r="AH728" s="87"/>
      <c r="AI728" s="87"/>
    </row>
    <row r="729" spans="1:35" ht="56.25" hidden="1" customHeight="1" thickBot="1">
      <c r="A729" s="218" t="e">
        <f>"M"&amp;E709</f>
        <v>#N/A</v>
      </c>
      <c r="B729" s="702"/>
      <c r="C729" s="725" t="s">
        <v>101</v>
      </c>
      <c r="D729" s="716"/>
      <c r="E729" s="558" t="s">
        <v>105</v>
      </c>
      <c r="F729" s="554" t="s">
        <v>87</v>
      </c>
      <c r="G729" s="553" t="s">
        <v>86</v>
      </c>
      <c r="H729" s="559" t="s">
        <v>85</v>
      </c>
      <c r="I729" s="554" t="s">
        <v>252</v>
      </c>
      <c r="J729" s="553" t="str">
        <f>"¿EL INTEGRANTE TIENE UNA PARTICIPACIÓN DEL "&amp;PORCREQUERIDOINT*100&amp;"%?"</f>
        <v>¿EL INTEGRANTE TIENE UNA PARTICIPACIÓN DEL 60%?</v>
      </c>
      <c r="K729" s="554" t="s">
        <v>107</v>
      </c>
      <c r="L729" s="724"/>
      <c r="M729" s="717" t="s">
        <v>115</v>
      </c>
      <c r="N729" s="718"/>
      <c r="O729" s="718"/>
      <c r="P729" s="718"/>
      <c r="Q729" s="223">
        <f>IF(AND(H713="SI",P713&gt;=0),1,0)+IF(AND(H714="SI",P714&gt;=0),1,0)+IF(AND(H715="SI",P715&gt;=0),1,0)+IF(AND(H716="SI",P716&gt;=0),1,0)+IF(AND(H717="SI",P717&gt;=0),1,0)+IF(AND(H718="SI",P718&gt;=0),1,0)+IF(AND(H719="SI",P719&gt;=0),1,0)+IF(AND(H720="SI",P720&gt;=0),1,0)+IF(AND(H721="SI",P721&gt;=0),1,0)+IF(AND(H722="SI",P722&gt;=0),1,0)</f>
        <v>0</v>
      </c>
      <c r="R729" s="759"/>
      <c r="S729" s="761"/>
      <c r="T729" s="764"/>
      <c r="U729" s="219"/>
      <c r="V729" s="464"/>
      <c r="Y729" s="532" t="s">
        <v>342</v>
      </c>
      <c r="AA729" s="550" t="s">
        <v>344</v>
      </c>
      <c r="AB729" s="693" t="s">
        <v>345</v>
      </c>
      <c r="AC729" s="693" t="s">
        <v>346</v>
      </c>
      <c r="AD729" s="685" t="s">
        <v>347</v>
      </c>
      <c r="AE729" s="52"/>
      <c r="AF729" s="52"/>
      <c r="AG729" s="52"/>
      <c r="AH729" s="87"/>
      <c r="AI729" s="87"/>
    </row>
    <row r="730" spans="1:35" ht="15.75" hidden="1" customHeight="1" thickBot="1">
      <c r="A730" s="218" t="e">
        <f>"N"&amp;E709</f>
        <v>#N/A</v>
      </c>
      <c r="B730" s="702"/>
      <c r="C730" s="114">
        <v>1</v>
      </c>
      <c r="D730" s="194" t="e">
        <f>IF(AND(C730&lt;=F728,F728&gt;1,F728&lt;&gt;""),VLOOKUP(VALUE(E709&amp;","&amp;C730),INTEGRANTES!$D$18:$F$235,2,0),"")</f>
        <v>#N/A</v>
      </c>
      <c r="E730" s="211" t="e">
        <f>IF(D730&lt;&gt;"",VLOOKUP(VALUE(E709&amp;","&amp;C730),INTEGRANTES!$D$18:$F$235,3,0),"")</f>
        <v>#N/A</v>
      </c>
      <c r="F730" s="547" t="e">
        <f>IF(D730="","",SUMIF($I713:$I722,D730,$P713:$P722))</f>
        <v>#N/A</v>
      </c>
      <c r="G730" s="333" t="e">
        <f>IF(D730="","",SUMIF($I713:$I722,D730,$M713:$M722))</f>
        <v>#N/A</v>
      </c>
      <c r="H730" s="535" t="e">
        <f t="shared" ref="H730:H735" si="200">IF(D730="","",IF(OR(F730=0,G730=0),"NO APORTA",ROUND($F730/$G730,3)))</f>
        <v>#N/A</v>
      </c>
      <c r="I730" s="212" t="e">
        <f>IF(D730="","",IF(H730="NO APORTA","NO",IF(H730=MAX($H730:$H735),"SI","NO")))</f>
        <v>#N/A</v>
      </c>
      <c r="J730" s="213" t="e">
        <f t="shared" ref="J730:J735" si="201">IF(D730="","",IF(E730&gt;=PORCREQUERIDOINT,"SI","NO"))</f>
        <v>#N/A</v>
      </c>
      <c r="K730" s="200" t="e">
        <f t="shared" ref="K730:K735" si="202">IF(D730="","",IF(AND(I730="SI",J730="SI"),"CUMPLE",IF(AND(I730="NO",OR(J730="SI",J730="NO")),"","NO CUMPLE")))</f>
        <v>#N/A</v>
      </c>
      <c r="L730" s="722" t="s">
        <v>108</v>
      </c>
      <c r="M730" s="726" t="s">
        <v>119</v>
      </c>
      <c r="N730" s="726"/>
      <c r="O730" s="726"/>
      <c r="P730" s="726"/>
      <c r="Q730" s="727"/>
      <c r="R730" s="758" t="s">
        <v>80</v>
      </c>
      <c r="S730" s="747"/>
      <c r="T730" s="748"/>
      <c r="U730" s="219"/>
      <c r="V730" s="464"/>
      <c r="Y730" s="533" t="e">
        <f>IF(Y727="","",IF(Y727="INDIVIDUAL","NO APLICA","VERIFICAR CUADRO"))</f>
        <v>#N/A</v>
      </c>
      <c r="AA730" s="551"/>
      <c r="AB730" s="694"/>
      <c r="AC730" s="694"/>
      <c r="AD730" s="686"/>
      <c r="AE730" s="52"/>
      <c r="AF730" s="52"/>
      <c r="AG730" s="52"/>
      <c r="AH730" s="87"/>
      <c r="AI730" s="87"/>
    </row>
    <row r="731" spans="1:35" ht="27" hidden="1" customHeight="1" thickBot="1">
      <c r="A731" s="218" t="e">
        <f>"O"&amp;E709</f>
        <v>#N/A</v>
      </c>
      <c r="B731" s="702"/>
      <c r="C731" s="114">
        <v>2</v>
      </c>
      <c r="D731" s="194" t="e">
        <f>IF(AND(C731&lt;=F728,F728&lt;&gt;""),VLOOKUP(VALUE(E709&amp;","&amp;C731),INTEGRANTES!$D$18:$F$235,2,0),"")</f>
        <v>#N/A</v>
      </c>
      <c r="E731" s="211" t="e">
        <f>IF(D731&lt;&gt;"",VLOOKUP(VALUE(E709&amp;","&amp;C731),INTEGRANTES!$D$18:$F$235,3,0),"")</f>
        <v>#N/A</v>
      </c>
      <c r="F731" s="547" t="e">
        <f>IF(D731="","",SUMIF($I713:$I722,D731,$P713:$P722))</f>
        <v>#N/A</v>
      </c>
      <c r="G731" s="333" t="e">
        <f>IF(D731="","",SUMIF($I713:$I722,D731,$M713:$M722))</f>
        <v>#N/A</v>
      </c>
      <c r="H731" s="535" t="e">
        <f t="shared" si="200"/>
        <v>#N/A</v>
      </c>
      <c r="I731" s="212" t="e">
        <f>IF(D731="","",IF(H731="NO APORTA","NO",IF(H731=MAX($H730:$H735),"SI","NO")))</f>
        <v>#N/A</v>
      </c>
      <c r="J731" s="213" t="e">
        <f t="shared" si="201"/>
        <v>#N/A</v>
      </c>
      <c r="K731" s="200" t="e">
        <f t="shared" si="202"/>
        <v>#N/A</v>
      </c>
      <c r="L731" s="723"/>
      <c r="M731" s="715" t="s">
        <v>116</v>
      </c>
      <c r="N731" s="716"/>
      <c r="O731" s="556" t="s">
        <v>113</v>
      </c>
      <c r="P731" s="715" t="s">
        <v>117</v>
      </c>
      <c r="Q731" s="728"/>
      <c r="R731" s="759"/>
      <c r="S731" s="760"/>
      <c r="T731" s="761"/>
      <c r="U731" s="219"/>
      <c r="V731" s="464"/>
      <c r="Y731" s="414"/>
      <c r="AA731" s="542" t="e">
        <f>IF(AND(C730&lt;=F728,F728&gt;1,F728&lt;&gt;""),VLOOKUP(VALUE(E709&amp;","&amp;C730),INTEGRANTES!$D$18:$F$235,2,0),"")</f>
        <v>#N/A</v>
      </c>
      <c r="AB731" s="544" t="e">
        <f t="shared" ref="AB731:AB736" si="203">IF(D730="","",IF(OR(F730=0,G730=0),"NO APORTA",ROUND($F730/$G730,3)))</f>
        <v>#N/A</v>
      </c>
      <c r="AC731" s="529"/>
      <c r="AD731" s="200" t="e">
        <f t="shared" ref="AD731:AD736" si="204">IF(OR(AA731="",AB731=""),"",IF(AND(AC731="X",AB731&gt;=EXPREQVTD),"CUMPLE","NO CUMPLE"))</f>
        <v>#N/A</v>
      </c>
      <c r="AE731" s="52"/>
      <c r="AF731" s="52"/>
      <c r="AG731" s="52"/>
      <c r="AH731" s="87"/>
      <c r="AI731" s="87"/>
    </row>
    <row r="732" spans="1:35" ht="16.5" hidden="1" thickBot="1">
      <c r="A732" s="218" t="e">
        <f>"P"&amp;E709</f>
        <v>#N/A</v>
      </c>
      <c r="B732" s="702"/>
      <c r="C732" s="114">
        <v>3</v>
      </c>
      <c r="D732" s="194" t="e">
        <f>IF(AND(C732&lt;=F728,F728&lt;&gt;""),VLOOKUP(VALUE(E709&amp;","&amp;C732),INTEGRANTES!$D$18:$F$235,2,0),"")</f>
        <v>#N/A</v>
      </c>
      <c r="E732" s="211" t="e">
        <f>IF(D732&lt;&gt;"",VLOOKUP(VALUE(E709&amp;","&amp;C732),INTEGRANTES!$D$18:$F$235,3,0),"")</f>
        <v>#N/A</v>
      </c>
      <c r="F732" s="547" t="e">
        <f>IF(D732="","",SUMIF($I713:$I722,D732,$P713:$P722))</f>
        <v>#N/A</v>
      </c>
      <c r="G732" s="333" t="e">
        <f>IF(D732="","",SUMIF($I713:$I722,D732,$M713:$M722))</f>
        <v>#N/A</v>
      </c>
      <c r="H732" s="535" t="e">
        <f t="shared" si="200"/>
        <v>#N/A</v>
      </c>
      <c r="I732" s="212" t="e">
        <f>IF(D732="","",IF(H732="NO APORTA","NO",IF(H732=MAX($H730:$H735),"SI","NO")))</f>
        <v>#N/A</v>
      </c>
      <c r="J732" s="213" t="e">
        <f t="shared" si="201"/>
        <v>#N/A</v>
      </c>
      <c r="K732" s="200" t="e">
        <f t="shared" si="202"/>
        <v>#N/A</v>
      </c>
      <c r="L732" s="724"/>
      <c r="M732" s="729">
        <f>NUMMOD</f>
        <v>1</v>
      </c>
      <c r="N732" s="730"/>
      <c r="O732" s="443">
        <f>IF(M732="","",VLOOKUP(M732,PRESUPUESTOS!$B$16:$H$16,5,FALSE))</f>
        <v>2</v>
      </c>
      <c r="P732" s="713">
        <f>IF(OR(COUNTIF(M713:M722,"")&gt;=10,Q729&lt;NUMMINCONT,OR(T727="NO CUMPLE",T727="VERIFICAR")),0,ROUND(AVERAGE(M713:M722),3))</f>
        <v>0</v>
      </c>
      <c r="Q732" s="714"/>
      <c r="R732" s="458"/>
      <c r="S732" s="459"/>
      <c r="T732" s="460"/>
      <c r="U732" s="219"/>
      <c r="V732" s="464"/>
      <c r="Y732" s="532" t="str">
        <f>"40% * ("&amp;PRESUPUESTOS!$H$13&amp;")"</f>
        <v>40% * (50% PFMO)</v>
      </c>
      <c r="AA732" s="540" t="e">
        <f>IF(AND(C731&lt;=F728,F728&lt;&gt;""),VLOOKUP(VALUE(E709&amp;","&amp;C731),INTEGRANTES!$D$18:$F$235,2,0),"")</f>
        <v>#N/A</v>
      </c>
      <c r="AB732" s="545" t="e">
        <f t="shared" si="203"/>
        <v>#N/A</v>
      </c>
      <c r="AC732" s="529"/>
      <c r="AD732" s="200" t="e">
        <f t="shared" si="204"/>
        <v>#N/A</v>
      </c>
      <c r="AE732" s="52"/>
      <c r="AF732" s="52"/>
      <c r="AG732" s="52"/>
      <c r="AH732" s="87"/>
      <c r="AI732" s="87"/>
    </row>
    <row r="733" spans="1:35" ht="15.75" hidden="1" customHeight="1" thickBot="1">
      <c r="A733" s="218" t="e">
        <f>"Q"&amp;E709</f>
        <v>#N/A</v>
      </c>
      <c r="B733" s="702"/>
      <c r="C733" s="114">
        <v>4</v>
      </c>
      <c r="D733" s="194" t="e">
        <f>IF(AND(C733&lt;=F728,F728&lt;&gt;""),VLOOKUP(VALUE(E709&amp;","&amp;C733),INTEGRANTES!$D$18:$F$235,2,0),"")</f>
        <v>#N/A</v>
      </c>
      <c r="E733" s="211" t="e">
        <f>IF(D733&lt;&gt;"",VLOOKUP(VALUE(E709&amp;","&amp;C733),INTEGRANTES!$D$18:$F$235,3,0),"")</f>
        <v>#N/A</v>
      </c>
      <c r="F733" s="547" t="e">
        <f>IF(D733="","",SUMIF($I713:$I722,D733,$P713:$P722))</f>
        <v>#N/A</v>
      </c>
      <c r="G733" s="333" t="e">
        <f>IF(D733="","",SUMIF($I713:$I722,D733,$M713:$M722))</f>
        <v>#N/A</v>
      </c>
      <c r="H733" s="535" t="e">
        <f t="shared" si="200"/>
        <v>#N/A</v>
      </c>
      <c r="I733" s="212" t="e">
        <f>IF(D733="","",IF(H733="NO APORTA","NO",IF(H733=MAX($H730:$H735),"SI","NO")))</f>
        <v>#N/A</v>
      </c>
      <c r="J733" s="213" t="e">
        <f t="shared" si="201"/>
        <v>#N/A</v>
      </c>
      <c r="K733" s="200" t="e">
        <f t="shared" si="202"/>
        <v>#N/A</v>
      </c>
      <c r="L733" s="720" t="s">
        <v>109</v>
      </c>
      <c r="M733" s="757" t="s">
        <v>120</v>
      </c>
      <c r="N733" s="726"/>
      <c r="O733" s="726"/>
      <c r="P733" s="726"/>
      <c r="Q733" s="727"/>
      <c r="R733" s="458"/>
      <c r="S733" s="459"/>
      <c r="T733" s="460"/>
      <c r="U733" s="219"/>
      <c r="V733" s="464"/>
      <c r="Y733" s="537">
        <f>0.4*PRESUPUESTOS!$H$16</f>
        <v>10.3124</v>
      </c>
      <c r="AA733" s="540" t="e">
        <f>IF(AND(C732&lt;=F728,F728&lt;&gt;""),VLOOKUP(VALUE(E709&amp;","&amp;C732),INTEGRANTES!$D$18:$F$235,2,0),"")</f>
        <v>#N/A</v>
      </c>
      <c r="AB733" s="545" t="e">
        <f t="shared" si="203"/>
        <v>#N/A</v>
      </c>
      <c r="AC733" s="529"/>
      <c r="AD733" s="200" t="e">
        <f t="shared" si="204"/>
        <v>#N/A</v>
      </c>
      <c r="AE733" s="52"/>
      <c r="AF733" s="52"/>
      <c r="AG733" s="52"/>
      <c r="AH733" s="87"/>
      <c r="AI733" s="87"/>
    </row>
    <row r="734" spans="1:35" ht="27" hidden="1" customHeight="1" thickBot="1">
      <c r="A734" s="218" t="e">
        <f>"R"&amp;E709</f>
        <v>#N/A</v>
      </c>
      <c r="B734" s="702"/>
      <c r="C734" s="114">
        <v>5</v>
      </c>
      <c r="D734" s="194" t="e">
        <f>IF(AND(C734&lt;=F728,F728&lt;&gt;""),VLOOKUP(VALUE(E709&amp;","&amp;C734),INTEGRANTES!$D$18:$F$235,2,0),"")</f>
        <v>#N/A</v>
      </c>
      <c r="E734" s="211" t="e">
        <f>IF(D734&lt;&gt;"",VLOOKUP(VALUE(E709&amp;","&amp;C734),INTEGRANTES!$D$18:$F$235,3,0),"")</f>
        <v>#N/A</v>
      </c>
      <c r="F734" s="547" t="e">
        <f>IF(D734="","",SUMIF($I713:$I722,D734,$P713:$P722))</f>
        <v>#N/A</v>
      </c>
      <c r="G734" s="333" t="e">
        <f>IF(D734="","",SUMIF($I713:$I722,D734,$M713:$M722))</f>
        <v>#N/A</v>
      </c>
      <c r="H734" s="535" t="e">
        <f t="shared" si="200"/>
        <v>#N/A</v>
      </c>
      <c r="I734" s="212" t="e">
        <f>IF(D734="","",IF(H734="NO APORTA","NO",IF(H734=MAX($H730:$H735),"SI","NO")))</f>
        <v>#N/A</v>
      </c>
      <c r="J734" s="213" t="e">
        <f t="shared" si="201"/>
        <v>#N/A</v>
      </c>
      <c r="K734" s="200" t="e">
        <f t="shared" si="202"/>
        <v>#N/A</v>
      </c>
      <c r="L734" s="721"/>
      <c r="M734" s="715" t="s">
        <v>116</v>
      </c>
      <c r="N734" s="716"/>
      <c r="O734" s="556" t="str">
        <f>PORCREQUERIDO*100&amp;"% PMFO DEL MÓDULO"</f>
        <v>50% PMFO DEL MÓDULO</v>
      </c>
      <c r="P734" s="715" t="s">
        <v>118</v>
      </c>
      <c r="Q734" s="728"/>
      <c r="R734" s="458"/>
      <c r="S734" s="459"/>
      <c r="T734" s="460"/>
      <c r="U734" s="219"/>
      <c r="V734" s="464"/>
      <c r="Y734" s="414"/>
      <c r="AA734" s="540" t="e">
        <f>IF(AND(C733&lt;=F728,F728&lt;&gt;""),VLOOKUP(VALUE(E709&amp;","&amp;C733),INTEGRANTES!$D$18:$F$235,2,0),"")</f>
        <v>#N/A</v>
      </c>
      <c r="AB734" s="545" t="e">
        <f t="shared" si="203"/>
        <v>#N/A</v>
      </c>
      <c r="AC734" s="529"/>
      <c r="AD734" s="200" t="e">
        <f t="shared" si="204"/>
        <v>#N/A</v>
      </c>
      <c r="AE734" s="52"/>
      <c r="AF734" s="52"/>
      <c r="AG734" s="52"/>
      <c r="AH734" s="87"/>
      <c r="AI734" s="87"/>
    </row>
    <row r="735" spans="1:35" ht="16.5" hidden="1" thickBot="1">
      <c r="A735" s="218" t="e">
        <f>"S"&amp;E709</f>
        <v>#N/A</v>
      </c>
      <c r="B735" s="702"/>
      <c r="C735" s="215">
        <v>6</v>
      </c>
      <c r="D735" s="216" t="e">
        <f>IF(AND(C735&lt;=F728,F728&lt;&gt;""),VLOOKUP(VALUE(E709&amp;","&amp;C735),INTEGRANTES!$D$18:$F$235,2,0),"")</f>
        <v>#N/A</v>
      </c>
      <c r="E735" s="217" t="e">
        <f>IF(D735&lt;&gt;"",VLOOKUP(VALUE(E709&amp;","&amp;C735),INTEGRANTES!$D$18:$F$235,3,0),"")</f>
        <v>#N/A</v>
      </c>
      <c r="F735" s="548" t="e">
        <f>IF(D735="","",SUMIF($I713:$I722,D735,$P713:$P722))</f>
        <v>#N/A</v>
      </c>
      <c r="G735" s="334" t="e">
        <f>IF(D735="","",SUMIF($I713:$I722,D735,$M713:$M722))</f>
        <v>#N/A</v>
      </c>
      <c r="H735" s="536" t="e">
        <f t="shared" si="200"/>
        <v>#N/A</v>
      </c>
      <c r="I735" s="214" t="e">
        <f>IF(D735="","",IF(H735="NO APORTA","NO",IF(H735=MAX($H730:$H735),"SI","NO")))</f>
        <v>#N/A</v>
      </c>
      <c r="J735" s="213" t="e">
        <f t="shared" si="201"/>
        <v>#N/A</v>
      </c>
      <c r="K735" s="200" t="e">
        <f t="shared" si="202"/>
        <v>#N/A</v>
      </c>
      <c r="L735" s="721"/>
      <c r="M735" s="729">
        <f>NUMMOD</f>
        <v>1</v>
      </c>
      <c r="N735" s="730"/>
      <c r="O735" s="443">
        <f>IF(M735="","",ROUND(VLOOKUP(M735,PRESUPUESTOS!$B$16:$H$16,7,FALSE),3))</f>
        <v>25.780999999999999</v>
      </c>
      <c r="P735" s="713">
        <f>IF(OR(COUNTIF(P713:P722,"")&gt;=10,Q729&lt;NUMMINCONT,OR(T727="NO CUMPLE",T727="VERIFICAR")),0,ROUND((SUM(P713:P722)/SUM(M713:M722)),3))</f>
        <v>0</v>
      </c>
      <c r="Q735" s="714"/>
      <c r="R735" s="458"/>
      <c r="S735" s="459"/>
      <c r="T735" s="460"/>
      <c r="U735" s="219"/>
      <c r="V735" s="464"/>
      <c r="Y735" s="532" t="s">
        <v>343</v>
      </c>
      <c r="AA735" s="540" t="e">
        <f>IF(AND(C734&lt;=F728,F728&lt;&gt;""),VLOOKUP(VALUE(E709&amp;","&amp;C734),INTEGRANTES!$D$18:$F$235,2,0),"")</f>
        <v>#N/A</v>
      </c>
      <c r="AB735" s="545" t="e">
        <f t="shared" si="203"/>
        <v>#N/A</v>
      </c>
      <c r="AC735" s="529"/>
      <c r="AD735" s="200" t="e">
        <f t="shared" si="204"/>
        <v>#N/A</v>
      </c>
      <c r="AE735" s="52"/>
      <c r="AF735" s="52"/>
      <c r="AG735" s="52"/>
      <c r="AH735" s="87"/>
      <c r="AI735" s="87"/>
    </row>
    <row r="736" spans="1:35" ht="16.5" hidden="1" customHeight="1" thickBot="1">
      <c r="A736" s="218" t="e">
        <f>"T"&amp;E709</f>
        <v>#N/A</v>
      </c>
      <c r="B736" s="703"/>
      <c r="C736" s="719"/>
      <c r="D736" s="719"/>
      <c r="E736" s="719"/>
      <c r="F736" s="719"/>
      <c r="G736" s="719"/>
      <c r="H736" s="719" t="s">
        <v>110</v>
      </c>
      <c r="I736" s="719"/>
      <c r="J736" s="719"/>
      <c r="K736" s="201" t="str">
        <f>IF(COUNTIF(K730:K735,"")=6,"",IF(COUNTIF(K730:K735,"CUMPLE")&gt;0,"CUMPLE","NO CUMPLE"))</f>
        <v>NO CUMPLE</v>
      </c>
      <c r="L736" s="754"/>
      <c r="M736" s="755"/>
      <c r="N736" s="755"/>
      <c r="O736" s="755"/>
      <c r="P736" s="755"/>
      <c r="Q736" s="756"/>
      <c r="R736" s="461"/>
      <c r="S736" s="462"/>
      <c r="T736" s="463"/>
      <c r="U736" s="219"/>
      <c r="V736" s="464"/>
      <c r="Y736" s="549" t="e">
        <f>IF(Y730="NO APLICA","NO APLICA",IF(COUNTIF(AD731:AD736,"CUMPLE")&gt;0,"CUMPLE","NO CUMPLE"))</f>
        <v>#N/A</v>
      </c>
      <c r="AA736" s="541" t="e">
        <f>IF(AND(C735&lt;=F728,F728&lt;&gt;""),VLOOKUP(VALUE(E709&amp;","&amp;C735),INTEGRANTES!$D$18:$F$235,2,0),"")</f>
        <v>#N/A</v>
      </c>
      <c r="AB736" s="546" t="e">
        <f t="shared" si="203"/>
        <v>#N/A</v>
      </c>
      <c r="AC736" s="543"/>
      <c r="AD736" s="201" t="e">
        <f t="shared" si="204"/>
        <v>#N/A</v>
      </c>
      <c r="AE736" s="52"/>
      <c r="AF736" s="52"/>
      <c r="AG736" s="52"/>
      <c r="AH736" s="87"/>
      <c r="AI736" s="87"/>
    </row>
    <row r="737" spans="1:35" hidden="1">
      <c r="AH737" s="87"/>
      <c r="AI737" s="87"/>
    </row>
    <row r="738" spans="1:35" hidden="1">
      <c r="AH738" s="87"/>
      <c r="AI738" s="87"/>
    </row>
    <row r="739" spans="1:35" ht="24" hidden="1" thickBot="1">
      <c r="A739" s="61">
        <v>25</v>
      </c>
      <c r="B739" s="704" t="s">
        <v>51</v>
      </c>
      <c r="C739" s="704"/>
      <c r="D739" s="704"/>
      <c r="E739" s="62" t="e">
        <f>VLOOKUP(A739,PROPONENTES!$B$19:$E$218,2,FALSE)</f>
        <v>#N/A</v>
      </c>
      <c r="F739" s="63" t="e">
        <f>VLOOKUP(A739,PROPONENTES!$B$19:$E$218,3,FALSE)</f>
        <v>#N/A</v>
      </c>
      <c r="G739" s="64"/>
      <c r="H739" s="64"/>
      <c r="I739" s="63"/>
      <c r="J739" s="63"/>
      <c r="K739" s="65"/>
      <c r="L739" s="65"/>
      <c r="M739" s="64"/>
      <c r="N739" s="64"/>
      <c r="O739" s="66"/>
      <c r="P739" s="66"/>
      <c r="Q739" s="66"/>
      <c r="R739" s="66"/>
      <c r="S739" s="67"/>
      <c r="T739" s="68"/>
      <c r="U739" s="68"/>
      <c r="AC739" s="68"/>
      <c r="AD739" s="68"/>
      <c r="AE739" s="68"/>
      <c r="AF739" s="68"/>
      <c r="AG739" s="68"/>
      <c r="AH739" s="87"/>
      <c r="AI739" s="87"/>
    </row>
    <row r="740" spans="1:35" ht="15.75" hidden="1" customHeight="1">
      <c r="A740" s="44"/>
      <c r="B740" s="709" t="s">
        <v>59</v>
      </c>
      <c r="C740" s="552" t="s">
        <v>60</v>
      </c>
      <c r="D740" s="70" t="s">
        <v>17</v>
      </c>
      <c r="E740" s="70"/>
      <c r="F740" s="70" t="s">
        <v>61</v>
      </c>
      <c r="G740" s="71"/>
      <c r="H740" s="699" t="s">
        <v>62</v>
      </c>
      <c r="I740" s="699" t="s">
        <v>18</v>
      </c>
      <c r="J740" s="699" t="s">
        <v>63</v>
      </c>
      <c r="K740" s="699" t="s">
        <v>64</v>
      </c>
      <c r="L740" s="699" t="s">
        <v>65</v>
      </c>
      <c r="M740" s="743" t="s">
        <v>66</v>
      </c>
      <c r="N740" s="699" t="s">
        <v>282</v>
      </c>
      <c r="O740" s="745" t="s">
        <v>67</v>
      </c>
      <c r="P740" s="746"/>
      <c r="Q740" s="102" t="s">
        <v>75</v>
      </c>
      <c r="R740" s="731" t="s">
        <v>22</v>
      </c>
      <c r="S740" s="732"/>
      <c r="T740" s="733"/>
      <c r="U740" s="712" t="s">
        <v>298</v>
      </c>
      <c r="W740" s="690" t="s">
        <v>268</v>
      </c>
      <c r="X740" s="691"/>
      <c r="Y740" s="692"/>
      <c r="Z740" s="428"/>
      <c r="AA740" s="697" t="s">
        <v>315</v>
      </c>
      <c r="AB740" s="695" t="s">
        <v>322</v>
      </c>
      <c r="AC740" s="49"/>
      <c r="AD740" s="690" t="s">
        <v>297</v>
      </c>
      <c r="AE740" s="691"/>
      <c r="AF740" s="692"/>
      <c r="AG740" s="49"/>
      <c r="AH740" s="87"/>
      <c r="AI740" s="87"/>
    </row>
    <row r="741" spans="1:35" ht="72" hidden="1">
      <c r="A741" s="44"/>
      <c r="B741" s="710"/>
      <c r="C741" s="553" t="s">
        <v>68</v>
      </c>
      <c r="D741" s="73" t="s">
        <v>3</v>
      </c>
      <c r="E741" s="73" t="s">
        <v>19</v>
      </c>
      <c r="F741" s="73" t="s">
        <v>69</v>
      </c>
      <c r="G741" s="74" t="s">
        <v>70</v>
      </c>
      <c r="H741" s="700"/>
      <c r="I741" s="700"/>
      <c r="J741" s="700"/>
      <c r="K741" s="700"/>
      <c r="L741" s="700"/>
      <c r="M741" s="744"/>
      <c r="N741" s="700"/>
      <c r="O741" s="553" t="s">
        <v>279</v>
      </c>
      <c r="P741" s="73" t="s">
        <v>88</v>
      </c>
      <c r="Q741" s="555" t="s">
        <v>76</v>
      </c>
      <c r="R741" s="734"/>
      <c r="S741" s="735"/>
      <c r="T741" s="736"/>
      <c r="U741" s="712"/>
      <c r="W741" s="429" t="s">
        <v>269</v>
      </c>
      <c r="X741" s="457" t="s">
        <v>278</v>
      </c>
      <c r="Y741" s="430" t="s">
        <v>324</v>
      </c>
      <c r="Z741" s="428"/>
      <c r="AA741" s="698"/>
      <c r="AB741" s="696"/>
      <c r="AC741" s="49"/>
      <c r="AD741" s="429" t="s">
        <v>292</v>
      </c>
      <c r="AE741" s="431" t="s">
        <v>300</v>
      </c>
      <c r="AF741" s="468" t="s">
        <v>301</v>
      </c>
      <c r="AG741" s="49"/>
      <c r="AH741" s="87"/>
      <c r="AI741" s="87"/>
    </row>
    <row r="742" spans="1:35" hidden="1">
      <c r="A742" s="44"/>
      <c r="B742" s="76"/>
      <c r="C742" s="77"/>
      <c r="D742" s="77"/>
      <c r="E742" s="77"/>
      <c r="F742" s="77"/>
      <c r="G742" s="77"/>
      <c r="H742" s="77"/>
      <c r="I742" s="77"/>
      <c r="J742" s="77"/>
      <c r="K742" s="77"/>
      <c r="L742" s="77"/>
      <c r="M742" s="77"/>
      <c r="N742" s="77"/>
      <c r="O742" s="77"/>
      <c r="P742" s="77"/>
      <c r="Q742" s="77"/>
      <c r="R742" s="77"/>
      <c r="S742" s="78"/>
      <c r="T742" s="79"/>
      <c r="U742" s="109"/>
      <c r="V742" s="49"/>
      <c r="W742" s="432"/>
      <c r="X742" s="454"/>
      <c r="Y742" s="433"/>
      <c r="Z742" s="6"/>
      <c r="AA742" s="500"/>
      <c r="AB742" s="562"/>
      <c r="AC742" s="49"/>
      <c r="AD742" s="210"/>
      <c r="AE742" s="434"/>
      <c r="AF742" s="435"/>
      <c r="AG742" s="49"/>
      <c r="AH742" s="87"/>
      <c r="AI742" s="87"/>
    </row>
    <row r="743" spans="1:35" hidden="1">
      <c r="A743" s="80" t="e">
        <f>"A"&amp;E739</f>
        <v>#N/A</v>
      </c>
      <c r="B743" s="81">
        <v>1</v>
      </c>
      <c r="C743" s="82"/>
      <c r="D743" s="82"/>
      <c r="E743" s="82"/>
      <c r="F743" s="82"/>
      <c r="G743" s="83"/>
      <c r="H743" s="83"/>
      <c r="I743" s="84"/>
      <c r="J743" s="85"/>
      <c r="K743" s="382"/>
      <c r="L743" s="85"/>
      <c r="M743" s="332" t="str">
        <f t="shared" ref="M743:M752" si="205">IF(OR(J743="",L743="",H743="NO"),"",IF(OR(J743&gt;$P$17,J743&lt;$O$17,L743&gt;$P$17,AND(J743&lt;$O$17,L743&lt;$O$17)),"FUERA DE RANGO",IF(OR(K743="---",K743=""),IF(J743&gt;=$O$17,ROUND((L743-J743+1)/360*12,3),ROUND((L743-$O$17+1)/360*12,3)),IF(J743&gt;=$O$17,ROUND((L743-J743+1)/360*12-ROUND(K743,3),3),ROUND((L743-$O$17+1)/360*12-ROUND(K743,3),3)))))</f>
        <v/>
      </c>
      <c r="N743" s="86"/>
      <c r="O743" s="453" t="str">
        <f>IF(OR(G743="",N743=""),"",N743*G743)</f>
        <v/>
      </c>
      <c r="P743" s="538" t="str">
        <f>IF(OR(H743="",M743="FUERA DE RANGO"),"",IF(OR(L743&lt;$O$17,L743&gt;$P$17,L743="",H743="NO"),"",IF(OR(N743="",O743=""),"",ROUND(O743,3))))</f>
        <v/>
      </c>
      <c r="Q743" s="539" t="str">
        <f t="shared" ref="Q743:Q752" si="206">IF(AND(H743="SI",P743&lt;&gt;""),ROUND(P743/M743,3),"")</f>
        <v/>
      </c>
      <c r="R743" s="737"/>
      <c r="S743" s="738"/>
      <c r="T743" s="739"/>
      <c r="U743" s="470"/>
      <c r="V743" s="165"/>
      <c r="W743" s="446"/>
      <c r="X743" s="456"/>
      <c r="Y743" s="436"/>
      <c r="Z743" s="437"/>
      <c r="AA743" s="560"/>
      <c r="AB743" s="561"/>
      <c r="AC743" s="87"/>
      <c r="AD743" s="466"/>
      <c r="AE743" s="456"/>
      <c r="AF743" s="467"/>
      <c r="AG743" s="87"/>
      <c r="AH743" s="87"/>
      <c r="AI743" s="87"/>
    </row>
    <row r="744" spans="1:35" hidden="1">
      <c r="A744" s="80" t="e">
        <f>"B"&amp;E739</f>
        <v>#N/A</v>
      </c>
      <c r="B744" s="81">
        <v>2</v>
      </c>
      <c r="C744" s="106"/>
      <c r="D744" s="106"/>
      <c r="E744" s="106"/>
      <c r="F744" s="106"/>
      <c r="G744" s="83"/>
      <c r="H744" s="83"/>
      <c r="I744" s="84"/>
      <c r="J744" s="85"/>
      <c r="K744" s="382"/>
      <c r="L744" s="85"/>
      <c r="M744" s="332" t="str">
        <f t="shared" si="205"/>
        <v/>
      </c>
      <c r="N744" s="86"/>
      <c r="O744" s="453" t="str">
        <f t="shared" ref="O744:O752" si="207">IF(OR(G744="",N744=""),"",N744*G744)</f>
        <v/>
      </c>
      <c r="P744" s="538" t="str">
        <f t="shared" ref="P744:P752" si="208">IF(OR(H744="",M744="FUERA DE RANGO"),"",IF(OR(L744&lt;$O$17,L744&gt;$P$17,L744="",H744="NO"),"",IF(OR(N744="",O744=""),"",ROUND(O744,3))))</f>
        <v/>
      </c>
      <c r="Q744" s="539" t="str">
        <f t="shared" si="206"/>
        <v/>
      </c>
      <c r="R744" s="740"/>
      <c r="S744" s="741"/>
      <c r="T744" s="742"/>
      <c r="U744" s="471"/>
      <c r="V744" s="165"/>
      <c r="W744" s="446"/>
      <c r="X744" s="456"/>
      <c r="Y744" s="436"/>
      <c r="Z744" s="437"/>
      <c r="AA744" s="560"/>
      <c r="AB744" s="561"/>
      <c r="AC744" s="87"/>
      <c r="AD744" s="466"/>
      <c r="AE744" s="456"/>
      <c r="AF744" s="467"/>
      <c r="AG744" s="87"/>
      <c r="AH744" s="87"/>
      <c r="AI744" s="87"/>
    </row>
    <row r="745" spans="1:35" hidden="1">
      <c r="A745" s="80" t="e">
        <f>"C"&amp;E739</f>
        <v>#N/A</v>
      </c>
      <c r="B745" s="88">
        <v>3</v>
      </c>
      <c r="C745" s="82"/>
      <c r="D745" s="82"/>
      <c r="E745" s="82"/>
      <c r="F745" s="82"/>
      <c r="G745" s="83"/>
      <c r="H745" s="83"/>
      <c r="I745" s="84"/>
      <c r="J745" s="85"/>
      <c r="K745" s="382"/>
      <c r="L745" s="85"/>
      <c r="M745" s="332" t="str">
        <f t="shared" si="205"/>
        <v/>
      </c>
      <c r="N745" s="86"/>
      <c r="O745" s="453" t="str">
        <f t="shared" si="207"/>
        <v/>
      </c>
      <c r="P745" s="538" t="str">
        <f t="shared" si="208"/>
        <v/>
      </c>
      <c r="Q745" s="539" t="str">
        <f t="shared" si="206"/>
        <v/>
      </c>
      <c r="R745" s="706"/>
      <c r="S745" s="707"/>
      <c r="T745" s="708"/>
      <c r="U745" s="472"/>
      <c r="V745" s="166"/>
      <c r="W745" s="446"/>
      <c r="X745" s="456"/>
      <c r="Y745" s="436"/>
      <c r="Z745" s="437"/>
      <c r="AA745" s="560"/>
      <c r="AB745" s="561"/>
      <c r="AC745" s="87"/>
      <c r="AD745" s="466"/>
      <c r="AE745" s="456"/>
      <c r="AF745" s="467"/>
      <c r="AG745" s="87"/>
      <c r="AH745" s="87"/>
      <c r="AI745" s="87"/>
    </row>
    <row r="746" spans="1:35" hidden="1">
      <c r="A746" s="80" t="e">
        <f>"D"&amp;E739</f>
        <v>#N/A</v>
      </c>
      <c r="B746" s="105">
        <v>4</v>
      </c>
      <c r="C746" s="107"/>
      <c r="D746" s="107"/>
      <c r="E746" s="107"/>
      <c r="F746" s="107"/>
      <c r="G746" s="83"/>
      <c r="H746" s="83"/>
      <c r="I746" s="84"/>
      <c r="J746" s="85"/>
      <c r="K746" s="382"/>
      <c r="L746" s="85"/>
      <c r="M746" s="332" t="str">
        <f t="shared" si="205"/>
        <v/>
      </c>
      <c r="N746" s="86"/>
      <c r="O746" s="453" t="str">
        <f t="shared" si="207"/>
        <v/>
      </c>
      <c r="P746" s="538" t="str">
        <f t="shared" si="208"/>
        <v/>
      </c>
      <c r="Q746" s="539" t="str">
        <f t="shared" si="206"/>
        <v/>
      </c>
      <c r="R746" s="706"/>
      <c r="S746" s="707"/>
      <c r="T746" s="708"/>
      <c r="U746" s="472"/>
      <c r="V746" s="166"/>
      <c r="W746" s="446"/>
      <c r="X746" s="456"/>
      <c r="Y746" s="436"/>
      <c r="Z746" s="437"/>
      <c r="AA746" s="560"/>
      <c r="AB746" s="561"/>
      <c r="AC746" s="87"/>
      <c r="AD746" s="466"/>
      <c r="AE746" s="456"/>
      <c r="AF746" s="467"/>
      <c r="AG746" s="87"/>
      <c r="AH746" s="87"/>
      <c r="AI746" s="87"/>
    </row>
    <row r="747" spans="1:35" hidden="1">
      <c r="A747" s="80" t="e">
        <f>"E"&amp;E739</f>
        <v>#N/A</v>
      </c>
      <c r="B747" s="105">
        <v>5</v>
      </c>
      <c r="C747" s="107"/>
      <c r="D747" s="107"/>
      <c r="E747" s="107"/>
      <c r="F747" s="107"/>
      <c r="G747" s="83"/>
      <c r="H747" s="83"/>
      <c r="I747" s="84"/>
      <c r="J747" s="85"/>
      <c r="K747" s="382"/>
      <c r="L747" s="85"/>
      <c r="M747" s="332" t="str">
        <f t="shared" si="205"/>
        <v/>
      </c>
      <c r="N747" s="86"/>
      <c r="O747" s="453" t="str">
        <f t="shared" si="207"/>
        <v/>
      </c>
      <c r="P747" s="538" t="str">
        <f t="shared" si="208"/>
        <v/>
      </c>
      <c r="Q747" s="539" t="str">
        <f t="shared" si="206"/>
        <v/>
      </c>
      <c r="R747" s="706"/>
      <c r="S747" s="707"/>
      <c r="T747" s="708"/>
      <c r="U747" s="472"/>
      <c r="V747" s="167"/>
      <c r="W747" s="446"/>
      <c r="X747" s="456"/>
      <c r="Y747" s="436"/>
      <c r="Z747" s="437"/>
      <c r="AA747" s="560"/>
      <c r="AB747" s="561"/>
      <c r="AC747" s="87"/>
      <c r="AD747" s="466"/>
      <c r="AE747" s="456"/>
      <c r="AF747" s="467"/>
      <c r="AG747" s="87"/>
      <c r="AH747" s="87"/>
      <c r="AI747" s="87"/>
    </row>
    <row r="748" spans="1:35" hidden="1">
      <c r="A748" s="80" t="e">
        <f>"F"&amp;E739</f>
        <v>#N/A</v>
      </c>
      <c r="B748" s="105">
        <v>6</v>
      </c>
      <c r="C748" s="107"/>
      <c r="D748" s="107"/>
      <c r="E748" s="107"/>
      <c r="F748" s="107"/>
      <c r="G748" s="83"/>
      <c r="H748" s="83"/>
      <c r="I748" s="84"/>
      <c r="J748" s="85"/>
      <c r="K748" s="382"/>
      <c r="L748" s="85"/>
      <c r="M748" s="332" t="str">
        <f t="shared" si="205"/>
        <v/>
      </c>
      <c r="N748" s="86"/>
      <c r="O748" s="453" t="str">
        <f t="shared" si="207"/>
        <v/>
      </c>
      <c r="P748" s="538" t="str">
        <f t="shared" si="208"/>
        <v/>
      </c>
      <c r="Q748" s="539" t="str">
        <f t="shared" si="206"/>
        <v/>
      </c>
      <c r="R748" s="706"/>
      <c r="S748" s="707"/>
      <c r="T748" s="708"/>
      <c r="U748" s="472"/>
      <c r="V748" s="167"/>
      <c r="W748" s="446"/>
      <c r="X748" s="456"/>
      <c r="Y748" s="436"/>
      <c r="Z748" s="437"/>
      <c r="AA748" s="560"/>
      <c r="AB748" s="561"/>
      <c r="AC748" s="87"/>
      <c r="AD748" s="466"/>
      <c r="AE748" s="456"/>
      <c r="AF748" s="467"/>
      <c r="AG748" s="87"/>
      <c r="AH748" s="87"/>
      <c r="AI748" s="87"/>
    </row>
    <row r="749" spans="1:35" hidden="1">
      <c r="A749" s="80" t="e">
        <f>"G"&amp;E739</f>
        <v>#N/A</v>
      </c>
      <c r="B749" s="105">
        <v>7</v>
      </c>
      <c r="C749" s="107"/>
      <c r="D749" s="107"/>
      <c r="E749" s="107"/>
      <c r="F749" s="107"/>
      <c r="G749" s="83"/>
      <c r="H749" s="83"/>
      <c r="I749" s="84"/>
      <c r="J749" s="85"/>
      <c r="K749" s="382"/>
      <c r="L749" s="85"/>
      <c r="M749" s="332" t="str">
        <f t="shared" si="205"/>
        <v/>
      </c>
      <c r="N749" s="86"/>
      <c r="O749" s="86" t="str">
        <f t="shared" si="207"/>
        <v/>
      </c>
      <c r="P749" s="538" t="str">
        <f t="shared" si="208"/>
        <v/>
      </c>
      <c r="Q749" s="539" t="str">
        <f t="shared" si="206"/>
        <v/>
      </c>
      <c r="R749" s="706"/>
      <c r="S749" s="707"/>
      <c r="T749" s="708"/>
      <c r="U749" s="472"/>
      <c r="V749" s="167"/>
      <c r="W749" s="446"/>
      <c r="X749" s="456"/>
      <c r="Y749" s="436"/>
      <c r="Z749" s="437"/>
      <c r="AA749" s="560"/>
      <c r="AB749" s="561"/>
      <c r="AC749" s="87"/>
      <c r="AD749" s="466"/>
      <c r="AE749" s="456"/>
      <c r="AF749" s="467"/>
      <c r="AG749" s="87"/>
      <c r="AH749" s="87"/>
      <c r="AI749" s="87"/>
    </row>
    <row r="750" spans="1:35" hidden="1">
      <c r="A750" s="80" t="e">
        <f>"H"&amp;E739</f>
        <v>#N/A</v>
      </c>
      <c r="B750" s="105">
        <v>8</v>
      </c>
      <c r="C750" s="107"/>
      <c r="D750" s="107"/>
      <c r="E750" s="107"/>
      <c r="F750" s="107"/>
      <c r="G750" s="83"/>
      <c r="H750" s="83"/>
      <c r="I750" s="84"/>
      <c r="J750" s="85"/>
      <c r="K750" s="382"/>
      <c r="L750" s="85"/>
      <c r="M750" s="332" t="str">
        <f t="shared" si="205"/>
        <v/>
      </c>
      <c r="N750" s="453"/>
      <c r="O750" s="86" t="str">
        <f t="shared" si="207"/>
        <v/>
      </c>
      <c r="P750" s="538" t="str">
        <f t="shared" si="208"/>
        <v/>
      </c>
      <c r="Q750" s="539" t="str">
        <f t="shared" si="206"/>
        <v/>
      </c>
      <c r="R750" s="706"/>
      <c r="S750" s="707"/>
      <c r="T750" s="708"/>
      <c r="U750" s="472"/>
      <c r="V750" s="167"/>
      <c r="W750" s="446"/>
      <c r="X750" s="456"/>
      <c r="Y750" s="436"/>
      <c r="Z750" s="437"/>
      <c r="AA750" s="560"/>
      <c r="AB750" s="561"/>
      <c r="AC750" s="87"/>
      <c r="AD750" s="466"/>
      <c r="AE750" s="456"/>
      <c r="AF750" s="467"/>
      <c r="AG750" s="87"/>
      <c r="AH750" s="87"/>
      <c r="AI750" s="87"/>
    </row>
    <row r="751" spans="1:35" hidden="1">
      <c r="A751" s="80" t="e">
        <f>"I"&amp;E739</f>
        <v>#N/A</v>
      </c>
      <c r="B751" s="105">
        <v>9</v>
      </c>
      <c r="C751" s="107"/>
      <c r="D751" s="107"/>
      <c r="E751" s="107"/>
      <c r="F751" s="107"/>
      <c r="G751" s="83"/>
      <c r="H751" s="83"/>
      <c r="I751" s="84"/>
      <c r="J751" s="85"/>
      <c r="K751" s="382"/>
      <c r="L751" s="85"/>
      <c r="M751" s="332" t="str">
        <f t="shared" si="205"/>
        <v/>
      </c>
      <c r="N751" s="453"/>
      <c r="O751" s="86" t="str">
        <f t="shared" si="207"/>
        <v/>
      </c>
      <c r="P751" s="538" t="str">
        <f t="shared" si="208"/>
        <v/>
      </c>
      <c r="Q751" s="539" t="str">
        <f t="shared" si="206"/>
        <v/>
      </c>
      <c r="R751" s="706"/>
      <c r="S751" s="707"/>
      <c r="T751" s="708"/>
      <c r="U751" s="472"/>
      <c r="V751" s="167"/>
      <c r="W751" s="446"/>
      <c r="X751" s="456"/>
      <c r="Y751" s="436"/>
      <c r="Z751" s="437"/>
      <c r="AA751" s="560"/>
      <c r="AB751" s="561"/>
      <c r="AC751" s="87"/>
      <c r="AD751" s="466"/>
      <c r="AE751" s="456"/>
      <c r="AF751" s="467"/>
      <c r="AG751" s="87"/>
      <c r="AH751" s="87"/>
      <c r="AI751" s="87"/>
    </row>
    <row r="752" spans="1:35" hidden="1">
      <c r="A752" s="80" t="e">
        <f>"J"&amp;E739</f>
        <v>#N/A</v>
      </c>
      <c r="B752" s="105">
        <v>10</v>
      </c>
      <c r="C752" s="107"/>
      <c r="D752" s="107"/>
      <c r="E752" s="107"/>
      <c r="F752" s="107"/>
      <c r="G752" s="83"/>
      <c r="H752" s="83"/>
      <c r="I752" s="84"/>
      <c r="J752" s="85"/>
      <c r="K752" s="382"/>
      <c r="L752" s="85"/>
      <c r="M752" s="332" t="str">
        <f t="shared" si="205"/>
        <v/>
      </c>
      <c r="N752" s="453"/>
      <c r="O752" s="86" t="str">
        <f t="shared" si="207"/>
        <v/>
      </c>
      <c r="P752" s="538" t="str">
        <f t="shared" si="208"/>
        <v/>
      </c>
      <c r="Q752" s="539" t="str">
        <f t="shared" si="206"/>
        <v/>
      </c>
      <c r="R752" s="706"/>
      <c r="S752" s="707"/>
      <c r="T752" s="708"/>
      <c r="U752" s="472"/>
      <c r="V752" s="167"/>
      <c r="W752" s="446"/>
      <c r="X752" s="456"/>
      <c r="Y752" s="436"/>
      <c r="Z752" s="437"/>
      <c r="AA752" s="560"/>
      <c r="AB752" s="561"/>
      <c r="AC752" s="87"/>
      <c r="AD752" s="466"/>
      <c r="AE752" s="456"/>
      <c r="AF752" s="467"/>
      <c r="AG752" s="87"/>
      <c r="AH752" s="87"/>
      <c r="AI752" s="87"/>
    </row>
    <row r="753" spans="1:35" ht="16.5" hidden="1" thickBot="1">
      <c r="A753" s="44"/>
      <c r="B753" s="89"/>
      <c r="C753" s="90"/>
      <c r="D753" s="90"/>
      <c r="E753" s="90"/>
      <c r="F753" s="90"/>
      <c r="G753" s="90"/>
      <c r="H753" s="90"/>
      <c r="I753" s="90"/>
      <c r="J753" s="90"/>
      <c r="K753" s="90"/>
      <c r="L753" s="90"/>
      <c r="M753" s="90"/>
      <c r="N753" s="90"/>
      <c r="O753" s="90"/>
      <c r="P753" s="90"/>
      <c r="Q753" s="90"/>
      <c r="R753" s="90"/>
      <c r="S753" s="91"/>
      <c r="T753" s="92"/>
      <c r="U753" s="473"/>
      <c r="W753" s="438"/>
      <c r="X753" s="455"/>
      <c r="Y753" s="439"/>
      <c r="Z753" s="437"/>
      <c r="AA753" s="530"/>
      <c r="AB753" s="563"/>
      <c r="AC753" s="87"/>
      <c r="AD753" s="440"/>
      <c r="AE753" s="441"/>
      <c r="AF753" s="442"/>
      <c r="AG753" s="49"/>
      <c r="AH753" s="87"/>
      <c r="AI753" s="87"/>
    </row>
    <row r="754" spans="1:35" ht="16.5" hidden="1" thickBot="1">
      <c r="A754" s="93"/>
      <c r="B754" s="94"/>
      <c r="C754" s="96"/>
      <c r="D754" s="96"/>
      <c r="E754" s="96"/>
      <c r="F754" s="96"/>
      <c r="G754" s="96"/>
      <c r="H754" s="96"/>
      <c r="I754" s="96"/>
      <c r="J754" s="96"/>
      <c r="K754" s="96"/>
      <c r="L754" s="96"/>
      <c r="M754" s="136"/>
      <c r="N754" s="96"/>
      <c r="O754" s="96"/>
      <c r="P754" s="97"/>
      <c r="Q754" s="97"/>
      <c r="R754" s="98"/>
      <c r="S754" s="95"/>
      <c r="T754" s="99"/>
      <c r="U754" s="469"/>
      <c r="AC754" s="58"/>
      <c r="AG754" s="58"/>
      <c r="AH754" s="87"/>
      <c r="AI754" s="87"/>
    </row>
    <row r="755" spans="1:35" ht="16.5" hidden="1" thickBot="1">
      <c r="B755" s="101"/>
      <c r="C755" s="101"/>
      <c r="D755" s="101"/>
      <c r="E755" s="101"/>
      <c r="F755" s="101"/>
      <c r="G755" s="101"/>
      <c r="H755" s="101"/>
      <c r="I755" s="101"/>
      <c r="J755" s="101"/>
      <c r="K755" s="101"/>
      <c r="L755" s="101"/>
      <c r="M755" s="101"/>
      <c r="N755" s="101"/>
      <c r="O755" s="101"/>
      <c r="P755" s="101"/>
      <c r="Q755" s="101"/>
      <c r="R755" s="101"/>
      <c r="S755" s="101"/>
      <c r="U755" s="50"/>
      <c r="AH755" s="87"/>
      <c r="AI755" s="87"/>
    </row>
    <row r="756" spans="1:35" ht="16.5" hidden="1" customHeight="1" thickBot="1">
      <c r="A756" s="44"/>
      <c r="B756" s="705" t="s">
        <v>74</v>
      </c>
      <c r="C756" s="705"/>
      <c r="D756" s="705"/>
      <c r="E756" s="705"/>
      <c r="F756" s="705"/>
      <c r="G756" s="705"/>
      <c r="H756" s="705"/>
      <c r="I756" s="705"/>
      <c r="J756" s="705"/>
      <c r="K756" s="705"/>
      <c r="L756" s="705"/>
      <c r="M756" s="705"/>
      <c r="N756" s="705"/>
      <c r="O756" s="705"/>
      <c r="P756" s="705"/>
      <c r="Q756" s="705"/>
      <c r="R756" s="705"/>
      <c r="S756" s="705"/>
      <c r="T756" s="705"/>
      <c r="U756" s="108"/>
      <c r="Y756" s="532" t="s">
        <v>341</v>
      </c>
      <c r="AC756" s="49"/>
      <c r="AD756" s="687" t="s">
        <v>302</v>
      </c>
      <c r="AE756" s="688"/>
      <c r="AF756" s="689"/>
      <c r="AG756" s="49"/>
      <c r="AH756" s="87"/>
      <c r="AI756" s="87"/>
    </row>
    <row r="757" spans="1:35" ht="15.75" hidden="1" customHeight="1" thickBot="1">
      <c r="A757" s="218" t="e">
        <f>"K"&amp;E739</f>
        <v>#N/A</v>
      </c>
      <c r="B757" s="701" t="s">
        <v>71</v>
      </c>
      <c r="C757" s="751" t="s">
        <v>102</v>
      </c>
      <c r="D757" s="751"/>
      <c r="E757" s="751"/>
      <c r="F757" s="751"/>
      <c r="G757" s="751"/>
      <c r="H757" s="751"/>
      <c r="I757" s="751"/>
      <c r="J757" s="751"/>
      <c r="K757" s="751"/>
      <c r="L757" s="722" t="s">
        <v>100</v>
      </c>
      <c r="M757" s="747" t="s">
        <v>114</v>
      </c>
      <c r="N757" s="747"/>
      <c r="O757" s="747"/>
      <c r="P757" s="747"/>
      <c r="Q757" s="748"/>
      <c r="R757" s="758" t="s">
        <v>280</v>
      </c>
      <c r="S757" s="748"/>
      <c r="T757" s="762" t="str">
        <f>IF(COUNTIF(AE757:AF757,"VERIFICAR")&gt;0,"VERIFICAR",IF(COUNTIF(AE757:AF757,"NO CUMPLE")&gt;0,"NO CUMPLE","CUMPLE"))</f>
        <v>VERIFICAR</v>
      </c>
      <c r="U757" s="108"/>
      <c r="Y757" s="533" t="e">
        <f>IF(F758="","",IF(F758=1,"INDIVIDUAL","ESTRUCTURA PLURAL"))</f>
        <v>#N/A</v>
      </c>
      <c r="AC757" s="52"/>
      <c r="AD757" s="475" t="s">
        <v>303</v>
      </c>
      <c r="AE757" s="476" t="str">
        <f>IF(COUNTIF(AE743:AE752,"")=10,"VERIFICAR",IF(COUNTIF(AE743:AE752,"SI")&gt;0,"CUMPLE","NO CUMPLE"))</f>
        <v>VERIFICAR</v>
      </c>
      <c r="AF757" s="477" t="str">
        <f>IF(COUNTIF(AF743:AF752,"")=10,"VERIFICAR",IF(COUNTIF(AF743:AF752,"SI")&gt;=$AI$22,"CUMPLE","NO CUMPLE"))</f>
        <v>VERIFICAR</v>
      </c>
      <c r="AG757" s="52"/>
      <c r="AH757" s="87"/>
      <c r="AI757" s="87"/>
    </row>
    <row r="758" spans="1:35" ht="16.5" hidden="1" customHeight="1" thickBot="1">
      <c r="A758" s="218" t="e">
        <f>"L"&amp;E739</f>
        <v>#N/A</v>
      </c>
      <c r="B758" s="702"/>
      <c r="C758" s="751" t="s">
        <v>103</v>
      </c>
      <c r="D758" s="751"/>
      <c r="E758" s="752"/>
      <c r="F758" s="557" t="e">
        <f>IF(VLOOKUP(E739,PROPONENTES!$C$19:$E$218,3,0)="","",VLOOKUP(E739,PROPONENTES!$C$19:$E$218,3,0))</f>
        <v>#N/A</v>
      </c>
      <c r="G758" s="753" t="s">
        <v>104</v>
      </c>
      <c r="H758" s="751"/>
      <c r="I758" s="715" t="e">
        <f>IF(OR(F758="",F758=1),"INTERESADO PERSONA NATURAL O JURIDICA","CONSORCIO O UNION TEMPORAL")</f>
        <v>#N/A</v>
      </c>
      <c r="J758" s="725"/>
      <c r="K758" s="728"/>
      <c r="L758" s="723"/>
      <c r="M758" s="749"/>
      <c r="N758" s="749"/>
      <c r="O758" s="749"/>
      <c r="P758" s="749"/>
      <c r="Q758" s="750"/>
      <c r="R758" s="712"/>
      <c r="S758" s="750"/>
      <c r="T758" s="763"/>
      <c r="U758" s="108"/>
      <c r="Y758" s="534"/>
      <c r="AA758" s="52"/>
      <c r="AB758" s="52"/>
      <c r="AC758" s="52"/>
      <c r="AG758" s="52"/>
      <c r="AH758" s="87"/>
      <c r="AI758" s="87"/>
    </row>
    <row r="759" spans="1:35" ht="56.25" hidden="1" customHeight="1" thickBot="1">
      <c r="A759" s="218" t="e">
        <f>"M"&amp;E739</f>
        <v>#N/A</v>
      </c>
      <c r="B759" s="702"/>
      <c r="C759" s="725" t="s">
        <v>101</v>
      </c>
      <c r="D759" s="716"/>
      <c r="E759" s="558" t="s">
        <v>105</v>
      </c>
      <c r="F759" s="554" t="s">
        <v>87</v>
      </c>
      <c r="G759" s="553" t="s">
        <v>86</v>
      </c>
      <c r="H759" s="559" t="s">
        <v>85</v>
      </c>
      <c r="I759" s="554" t="s">
        <v>252</v>
      </c>
      <c r="J759" s="553" t="str">
        <f>"¿EL INTEGRANTE TIENE UNA PARTICIPACIÓN DEL "&amp;PORCREQUERIDOINT*100&amp;"%?"</f>
        <v>¿EL INTEGRANTE TIENE UNA PARTICIPACIÓN DEL 60%?</v>
      </c>
      <c r="K759" s="554" t="s">
        <v>107</v>
      </c>
      <c r="L759" s="724"/>
      <c r="M759" s="717" t="s">
        <v>115</v>
      </c>
      <c r="N759" s="718"/>
      <c r="O759" s="718"/>
      <c r="P759" s="718"/>
      <c r="Q759" s="223">
        <f>IF(AND(H743="SI",P743&gt;=0),1,0)+IF(AND(H744="SI",P744&gt;=0),1,0)+IF(AND(H745="SI",P745&gt;=0),1,0)+IF(AND(H746="SI",P746&gt;=0),1,0)+IF(AND(H747="SI",P747&gt;=0),1,0)+IF(AND(H748="SI",P748&gt;=0),1,0)+IF(AND(H749="SI",P749&gt;=0),1,0)+IF(AND(H750="SI",P750&gt;=0),1,0)+IF(AND(H751="SI",P751&gt;=0),1,0)+IF(AND(H752="SI",P752&gt;=0),1,0)</f>
        <v>0</v>
      </c>
      <c r="R759" s="759"/>
      <c r="S759" s="761"/>
      <c r="T759" s="764"/>
      <c r="U759" s="219"/>
      <c r="V759" s="464"/>
      <c r="Y759" s="532" t="s">
        <v>342</v>
      </c>
      <c r="AA759" s="550" t="s">
        <v>344</v>
      </c>
      <c r="AB759" s="693" t="s">
        <v>345</v>
      </c>
      <c r="AC759" s="693" t="s">
        <v>346</v>
      </c>
      <c r="AD759" s="685" t="s">
        <v>347</v>
      </c>
      <c r="AE759" s="52"/>
      <c r="AF759" s="52"/>
      <c r="AG759" s="52"/>
      <c r="AH759" s="87"/>
      <c r="AI759" s="87"/>
    </row>
    <row r="760" spans="1:35" ht="15.75" hidden="1" customHeight="1" thickBot="1">
      <c r="A760" s="218" t="e">
        <f>"N"&amp;E739</f>
        <v>#N/A</v>
      </c>
      <c r="B760" s="702"/>
      <c r="C760" s="114">
        <v>1</v>
      </c>
      <c r="D760" s="194" t="e">
        <f>IF(AND(C760&lt;=F758,F758&gt;1,F758&lt;&gt;""),VLOOKUP(VALUE(E739&amp;","&amp;C760),INTEGRANTES!$D$18:$F$235,2,0),"")</f>
        <v>#N/A</v>
      </c>
      <c r="E760" s="211" t="e">
        <f>IF(D760&lt;&gt;"",VLOOKUP(VALUE(E739&amp;","&amp;C760),INTEGRANTES!$D$18:$F$235,3,0),"")</f>
        <v>#N/A</v>
      </c>
      <c r="F760" s="547" t="e">
        <f>IF(D760="","",SUMIF($I743:$I752,D760,$P743:$P752))</f>
        <v>#N/A</v>
      </c>
      <c r="G760" s="333" t="e">
        <f>IF(D760="","",SUMIF($I743:$I752,D760,$M743:$M752))</f>
        <v>#N/A</v>
      </c>
      <c r="H760" s="535" t="e">
        <f t="shared" ref="H760:H765" si="209">IF(D760="","",IF(OR(F760=0,G760=0),"NO APORTA",ROUND($F760/$G760,3)))</f>
        <v>#N/A</v>
      </c>
      <c r="I760" s="212" t="e">
        <f>IF(D760="","",IF(H760="NO APORTA","NO",IF(H760=MAX($H760:$H765),"SI","NO")))</f>
        <v>#N/A</v>
      </c>
      <c r="J760" s="213" t="e">
        <f t="shared" ref="J760:J765" si="210">IF(D760="","",IF(E760&gt;=PORCREQUERIDOINT,"SI","NO"))</f>
        <v>#N/A</v>
      </c>
      <c r="K760" s="200" t="e">
        <f t="shared" ref="K760:K765" si="211">IF(D760="","",IF(AND(I760="SI",J760="SI"),"CUMPLE",IF(AND(I760="NO",OR(J760="SI",J760="NO")),"","NO CUMPLE")))</f>
        <v>#N/A</v>
      </c>
      <c r="L760" s="722" t="s">
        <v>108</v>
      </c>
      <c r="M760" s="726" t="s">
        <v>119</v>
      </c>
      <c r="N760" s="726"/>
      <c r="O760" s="726"/>
      <c r="P760" s="726"/>
      <c r="Q760" s="727"/>
      <c r="R760" s="758" t="s">
        <v>80</v>
      </c>
      <c r="S760" s="747"/>
      <c r="T760" s="748"/>
      <c r="U760" s="219"/>
      <c r="V760" s="464"/>
      <c r="Y760" s="533" t="e">
        <f>IF(Y757="","",IF(Y757="INDIVIDUAL","NO APLICA","VERIFICAR CUADRO"))</f>
        <v>#N/A</v>
      </c>
      <c r="AA760" s="551"/>
      <c r="AB760" s="694"/>
      <c r="AC760" s="694"/>
      <c r="AD760" s="686"/>
      <c r="AE760" s="52"/>
      <c r="AF760" s="52"/>
      <c r="AG760" s="52"/>
      <c r="AH760" s="87"/>
      <c r="AI760" s="87"/>
    </row>
    <row r="761" spans="1:35" ht="27" hidden="1" customHeight="1" thickBot="1">
      <c r="A761" s="218" t="e">
        <f>"O"&amp;E739</f>
        <v>#N/A</v>
      </c>
      <c r="B761" s="702"/>
      <c r="C761" s="114">
        <v>2</v>
      </c>
      <c r="D761" s="194" t="e">
        <f>IF(AND(C761&lt;=F758,F758&lt;&gt;""),VLOOKUP(VALUE(E739&amp;","&amp;C761),INTEGRANTES!$D$18:$F$235,2,0),"")</f>
        <v>#N/A</v>
      </c>
      <c r="E761" s="211" t="e">
        <f>IF(D761&lt;&gt;"",VLOOKUP(VALUE(E739&amp;","&amp;C761),INTEGRANTES!$D$18:$F$235,3,0),"")</f>
        <v>#N/A</v>
      </c>
      <c r="F761" s="547" t="e">
        <f>IF(D761="","",SUMIF($I743:$I752,D761,$P743:$P752))</f>
        <v>#N/A</v>
      </c>
      <c r="G761" s="333" t="e">
        <f>IF(D761="","",SUMIF($I743:$I752,D761,$M743:$M752))</f>
        <v>#N/A</v>
      </c>
      <c r="H761" s="535" t="e">
        <f t="shared" si="209"/>
        <v>#N/A</v>
      </c>
      <c r="I761" s="212" t="e">
        <f>IF(D761="","",IF(H761="NO APORTA","NO",IF(H761=MAX($H760:$H765),"SI","NO")))</f>
        <v>#N/A</v>
      </c>
      <c r="J761" s="213" t="e">
        <f t="shared" si="210"/>
        <v>#N/A</v>
      </c>
      <c r="K761" s="200" t="e">
        <f t="shared" si="211"/>
        <v>#N/A</v>
      </c>
      <c r="L761" s="723"/>
      <c r="M761" s="715" t="s">
        <v>116</v>
      </c>
      <c r="N761" s="716"/>
      <c r="O761" s="556" t="s">
        <v>113</v>
      </c>
      <c r="P761" s="715" t="s">
        <v>117</v>
      </c>
      <c r="Q761" s="728"/>
      <c r="R761" s="759"/>
      <c r="S761" s="760"/>
      <c r="T761" s="761"/>
      <c r="U761" s="219"/>
      <c r="V761" s="464"/>
      <c r="Y761" s="414"/>
      <c r="AA761" s="542" t="e">
        <f>IF(AND(C760&lt;=F758,F758&gt;1,F758&lt;&gt;""),VLOOKUP(VALUE(E739&amp;","&amp;C760),INTEGRANTES!$D$18:$F$235,2,0),"")</f>
        <v>#N/A</v>
      </c>
      <c r="AB761" s="544" t="e">
        <f t="shared" ref="AB761:AB766" si="212">IF(D760="","",IF(OR(F760=0,G760=0),"NO APORTA",ROUND($F760/$G760,3)))</f>
        <v>#N/A</v>
      </c>
      <c r="AC761" s="529"/>
      <c r="AD761" s="200" t="e">
        <f t="shared" ref="AD761:AD766" si="213">IF(OR(AA761="",AB761=""),"",IF(AND(AC761="X",AB761&gt;=EXPREQVTD),"CUMPLE","NO CUMPLE"))</f>
        <v>#N/A</v>
      </c>
      <c r="AE761" s="52"/>
      <c r="AF761" s="52"/>
      <c r="AG761" s="52"/>
      <c r="AH761" s="87"/>
      <c r="AI761" s="87"/>
    </row>
    <row r="762" spans="1:35" ht="16.5" hidden="1" thickBot="1">
      <c r="A762" s="218" t="e">
        <f>"P"&amp;E739</f>
        <v>#N/A</v>
      </c>
      <c r="B762" s="702"/>
      <c r="C762" s="114">
        <v>3</v>
      </c>
      <c r="D762" s="194" t="e">
        <f>IF(AND(C762&lt;=F758,F758&lt;&gt;""),VLOOKUP(VALUE(E739&amp;","&amp;C762),INTEGRANTES!$D$18:$F$235,2,0),"")</f>
        <v>#N/A</v>
      </c>
      <c r="E762" s="211" t="e">
        <f>IF(D762&lt;&gt;"",VLOOKUP(VALUE(E739&amp;","&amp;C762),INTEGRANTES!$D$18:$F$235,3,0),"")</f>
        <v>#N/A</v>
      </c>
      <c r="F762" s="547" t="e">
        <f>IF(D762="","",SUMIF($I743:$I752,D762,$P743:$P752))</f>
        <v>#N/A</v>
      </c>
      <c r="G762" s="333" t="e">
        <f>IF(D762="","",SUMIF($I743:$I752,D762,$M743:$M752))</f>
        <v>#N/A</v>
      </c>
      <c r="H762" s="535" t="e">
        <f t="shared" si="209"/>
        <v>#N/A</v>
      </c>
      <c r="I762" s="212" t="e">
        <f>IF(D762="","",IF(H762="NO APORTA","NO",IF(H762=MAX($H760:$H765),"SI","NO")))</f>
        <v>#N/A</v>
      </c>
      <c r="J762" s="213" t="e">
        <f t="shared" si="210"/>
        <v>#N/A</v>
      </c>
      <c r="K762" s="200" t="e">
        <f t="shared" si="211"/>
        <v>#N/A</v>
      </c>
      <c r="L762" s="724"/>
      <c r="M762" s="729">
        <f>NUMMOD</f>
        <v>1</v>
      </c>
      <c r="N762" s="730"/>
      <c r="O762" s="443">
        <f>IF(M762="","",VLOOKUP(M762,PRESUPUESTOS!$B$16:$H$16,5,FALSE))</f>
        <v>2</v>
      </c>
      <c r="P762" s="713">
        <f>IF(OR(COUNTIF(M743:M752,"")&gt;=10,Q759&lt;NUMMINCONT,OR(T757="NO CUMPLE",T757="VERIFICAR")),0,ROUND(AVERAGE(M743:M752),3))</f>
        <v>0</v>
      </c>
      <c r="Q762" s="714"/>
      <c r="R762" s="458"/>
      <c r="S762" s="459"/>
      <c r="T762" s="460"/>
      <c r="U762" s="219"/>
      <c r="V762" s="464"/>
      <c r="Y762" s="532" t="str">
        <f>"40% * ("&amp;PRESUPUESTOS!$H$13&amp;")"</f>
        <v>40% * (50% PFMO)</v>
      </c>
      <c r="AA762" s="540" t="e">
        <f>IF(AND(C761&lt;=F758,F758&lt;&gt;""),VLOOKUP(VALUE(E739&amp;","&amp;C761),INTEGRANTES!$D$18:$F$235,2,0),"")</f>
        <v>#N/A</v>
      </c>
      <c r="AB762" s="545" t="e">
        <f t="shared" si="212"/>
        <v>#N/A</v>
      </c>
      <c r="AC762" s="529"/>
      <c r="AD762" s="200" t="e">
        <f t="shared" si="213"/>
        <v>#N/A</v>
      </c>
      <c r="AE762" s="52"/>
      <c r="AF762" s="52"/>
      <c r="AG762" s="52"/>
      <c r="AH762" s="87"/>
      <c r="AI762" s="87"/>
    </row>
    <row r="763" spans="1:35" ht="15.75" hidden="1" customHeight="1" thickBot="1">
      <c r="A763" s="218" t="e">
        <f>"Q"&amp;E739</f>
        <v>#N/A</v>
      </c>
      <c r="B763" s="702"/>
      <c r="C763" s="114">
        <v>4</v>
      </c>
      <c r="D763" s="194" t="e">
        <f>IF(AND(C763&lt;=F758,F758&lt;&gt;""),VLOOKUP(VALUE(E739&amp;","&amp;C763),INTEGRANTES!$D$18:$F$235,2,0),"")</f>
        <v>#N/A</v>
      </c>
      <c r="E763" s="211" t="e">
        <f>IF(D763&lt;&gt;"",VLOOKUP(VALUE(E739&amp;","&amp;C763),INTEGRANTES!$D$18:$F$235,3,0),"")</f>
        <v>#N/A</v>
      </c>
      <c r="F763" s="547" t="e">
        <f>IF(D763="","",SUMIF($I743:$I752,D763,$P743:$P752))</f>
        <v>#N/A</v>
      </c>
      <c r="G763" s="333" t="e">
        <f>IF(D763="","",SUMIF($I743:$I752,D763,$M743:$M752))</f>
        <v>#N/A</v>
      </c>
      <c r="H763" s="535" t="e">
        <f t="shared" si="209"/>
        <v>#N/A</v>
      </c>
      <c r="I763" s="212" t="e">
        <f>IF(D763="","",IF(H763="NO APORTA","NO",IF(H763=MAX($H760:$H765),"SI","NO")))</f>
        <v>#N/A</v>
      </c>
      <c r="J763" s="213" t="e">
        <f t="shared" si="210"/>
        <v>#N/A</v>
      </c>
      <c r="K763" s="200" t="e">
        <f t="shared" si="211"/>
        <v>#N/A</v>
      </c>
      <c r="L763" s="720" t="s">
        <v>109</v>
      </c>
      <c r="M763" s="757" t="s">
        <v>120</v>
      </c>
      <c r="N763" s="726"/>
      <c r="O763" s="726"/>
      <c r="P763" s="726"/>
      <c r="Q763" s="727"/>
      <c r="R763" s="458"/>
      <c r="S763" s="459"/>
      <c r="T763" s="460"/>
      <c r="U763" s="219"/>
      <c r="V763" s="464"/>
      <c r="Y763" s="537">
        <f>0.4*PRESUPUESTOS!$H$16</f>
        <v>10.3124</v>
      </c>
      <c r="AA763" s="540" t="e">
        <f>IF(AND(C762&lt;=F758,F758&lt;&gt;""),VLOOKUP(VALUE(E739&amp;","&amp;C762),INTEGRANTES!$D$18:$F$235,2,0),"")</f>
        <v>#N/A</v>
      </c>
      <c r="AB763" s="545" t="e">
        <f t="shared" si="212"/>
        <v>#N/A</v>
      </c>
      <c r="AC763" s="529"/>
      <c r="AD763" s="200" t="e">
        <f t="shared" si="213"/>
        <v>#N/A</v>
      </c>
      <c r="AE763" s="52"/>
      <c r="AF763" s="52"/>
      <c r="AG763" s="52"/>
      <c r="AH763" s="87"/>
      <c r="AI763" s="87"/>
    </row>
    <row r="764" spans="1:35" ht="27" hidden="1" customHeight="1" thickBot="1">
      <c r="A764" s="218" t="e">
        <f>"R"&amp;E739</f>
        <v>#N/A</v>
      </c>
      <c r="B764" s="702"/>
      <c r="C764" s="114">
        <v>5</v>
      </c>
      <c r="D764" s="194" t="e">
        <f>IF(AND(C764&lt;=F758,F758&lt;&gt;""),VLOOKUP(VALUE(E739&amp;","&amp;C764),INTEGRANTES!$D$18:$F$235,2,0),"")</f>
        <v>#N/A</v>
      </c>
      <c r="E764" s="211" t="e">
        <f>IF(D764&lt;&gt;"",VLOOKUP(VALUE(E739&amp;","&amp;C764),INTEGRANTES!$D$18:$F$235,3,0),"")</f>
        <v>#N/A</v>
      </c>
      <c r="F764" s="547" t="e">
        <f>IF(D764="","",SUMIF($I743:$I752,D764,$P743:$P752))</f>
        <v>#N/A</v>
      </c>
      <c r="G764" s="333" t="e">
        <f>IF(D764="","",SUMIF($I743:$I752,D764,$M743:$M752))</f>
        <v>#N/A</v>
      </c>
      <c r="H764" s="535" t="e">
        <f t="shared" si="209"/>
        <v>#N/A</v>
      </c>
      <c r="I764" s="212" t="e">
        <f>IF(D764="","",IF(H764="NO APORTA","NO",IF(H764=MAX($H760:$H765),"SI","NO")))</f>
        <v>#N/A</v>
      </c>
      <c r="J764" s="213" t="e">
        <f t="shared" si="210"/>
        <v>#N/A</v>
      </c>
      <c r="K764" s="200" t="e">
        <f t="shared" si="211"/>
        <v>#N/A</v>
      </c>
      <c r="L764" s="721"/>
      <c r="M764" s="715" t="s">
        <v>116</v>
      </c>
      <c r="N764" s="716"/>
      <c r="O764" s="556" t="str">
        <f>PORCREQUERIDO*100&amp;"% PMFO DEL MÓDULO"</f>
        <v>50% PMFO DEL MÓDULO</v>
      </c>
      <c r="P764" s="715" t="s">
        <v>118</v>
      </c>
      <c r="Q764" s="728"/>
      <c r="R764" s="458"/>
      <c r="S764" s="459"/>
      <c r="T764" s="460"/>
      <c r="U764" s="219"/>
      <c r="V764" s="464"/>
      <c r="Y764" s="414"/>
      <c r="AA764" s="540" t="e">
        <f>IF(AND(C763&lt;=F758,F758&lt;&gt;""),VLOOKUP(VALUE(E739&amp;","&amp;C763),INTEGRANTES!$D$18:$F$235,2,0),"")</f>
        <v>#N/A</v>
      </c>
      <c r="AB764" s="545" t="e">
        <f t="shared" si="212"/>
        <v>#N/A</v>
      </c>
      <c r="AC764" s="529"/>
      <c r="AD764" s="200" t="e">
        <f t="shared" si="213"/>
        <v>#N/A</v>
      </c>
      <c r="AE764" s="52"/>
      <c r="AF764" s="52"/>
      <c r="AG764" s="52"/>
      <c r="AH764" s="87"/>
      <c r="AI764" s="87"/>
    </row>
    <row r="765" spans="1:35" ht="16.5" hidden="1" thickBot="1">
      <c r="A765" s="218" t="e">
        <f>"S"&amp;E739</f>
        <v>#N/A</v>
      </c>
      <c r="B765" s="702"/>
      <c r="C765" s="215">
        <v>6</v>
      </c>
      <c r="D765" s="216" t="e">
        <f>IF(AND(C765&lt;=F758,F758&lt;&gt;""),VLOOKUP(VALUE(E739&amp;","&amp;C765),INTEGRANTES!$D$18:$F$235,2,0),"")</f>
        <v>#N/A</v>
      </c>
      <c r="E765" s="217" t="e">
        <f>IF(D765&lt;&gt;"",VLOOKUP(VALUE(E739&amp;","&amp;C765),INTEGRANTES!$D$18:$F$235,3,0),"")</f>
        <v>#N/A</v>
      </c>
      <c r="F765" s="548" t="e">
        <f>IF(D765="","",SUMIF($I743:$I752,D765,$P743:$P752))</f>
        <v>#N/A</v>
      </c>
      <c r="G765" s="334" t="e">
        <f>IF(D765="","",SUMIF($I743:$I752,D765,$M743:$M752))</f>
        <v>#N/A</v>
      </c>
      <c r="H765" s="536" t="e">
        <f t="shared" si="209"/>
        <v>#N/A</v>
      </c>
      <c r="I765" s="214" t="e">
        <f>IF(D765="","",IF(H765="NO APORTA","NO",IF(H765=MAX($H760:$H765),"SI","NO")))</f>
        <v>#N/A</v>
      </c>
      <c r="J765" s="213" t="e">
        <f t="shared" si="210"/>
        <v>#N/A</v>
      </c>
      <c r="K765" s="200" t="e">
        <f t="shared" si="211"/>
        <v>#N/A</v>
      </c>
      <c r="L765" s="721"/>
      <c r="M765" s="729">
        <f>NUMMOD</f>
        <v>1</v>
      </c>
      <c r="N765" s="730"/>
      <c r="O765" s="443">
        <f>IF(M765="","",ROUND(VLOOKUP(M765,PRESUPUESTOS!$B$16:$H$16,7,FALSE),3))</f>
        <v>25.780999999999999</v>
      </c>
      <c r="P765" s="713">
        <f>IF(OR(COUNTIF(P743:P752,"")&gt;=10,Q759&lt;NUMMINCONT,OR(T757="NO CUMPLE",T757="VERIFICAR")),0,ROUND((SUM(P743:P752)/SUM(M743:M752)),3))</f>
        <v>0</v>
      </c>
      <c r="Q765" s="714"/>
      <c r="R765" s="458"/>
      <c r="S765" s="459"/>
      <c r="T765" s="460"/>
      <c r="U765" s="219"/>
      <c r="V765" s="464"/>
      <c r="Y765" s="532" t="s">
        <v>343</v>
      </c>
      <c r="AA765" s="540" t="e">
        <f>IF(AND(C764&lt;=F758,F758&lt;&gt;""),VLOOKUP(VALUE(E739&amp;","&amp;C764),INTEGRANTES!$D$18:$F$235,2,0),"")</f>
        <v>#N/A</v>
      </c>
      <c r="AB765" s="545" t="e">
        <f t="shared" si="212"/>
        <v>#N/A</v>
      </c>
      <c r="AC765" s="529"/>
      <c r="AD765" s="200" t="e">
        <f t="shared" si="213"/>
        <v>#N/A</v>
      </c>
      <c r="AE765" s="52"/>
      <c r="AF765" s="52"/>
      <c r="AG765" s="52"/>
      <c r="AH765" s="87"/>
      <c r="AI765" s="87"/>
    </row>
    <row r="766" spans="1:35" ht="16.5" hidden="1" customHeight="1" thickBot="1">
      <c r="A766" s="218" t="e">
        <f>"T"&amp;E739</f>
        <v>#N/A</v>
      </c>
      <c r="B766" s="703"/>
      <c r="C766" s="719"/>
      <c r="D766" s="719"/>
      <c r="E766" s="719"/>
      <c r="F766" s="719"/>
      <c r="G766" s="719"/>
      <c r="H766" s="719" t="s">
        <v>110</v>
      </c>
      <c r="I766" s="719"/>
      <c r="J766" s="719"/>
      <c r="K766" s="201" t="str">
        <f>IF(COUNTIF(K760:K765,"")=6,"",IF(COUNTIF(K760:K765,"CUMPLE")&gt;0,"CUMPLE","NO CUMPLE"))</f>
        <v>NO CUMPLE</v>
      </c>
      <c r="L766" s="754"/>
      <c r="M766" s="755"/>
      <c r="N766" s="755"/>
      <c r="O766" s="755"/>
      <c r="P766" s="755"/>
      <c r="Q766" s="756"/>
      <c r="R766" s="461"/>
      <c r="S766" s="462"/>
      <c r="T766" s="463"/>
      <c r="U766" s="219"/>
      <c r="V766" s="464"/>
      <c r="Y766" s="549" t="e">
        <f>IF(Y760="NO APLICA","NO APLICA",IF(COUNTIF(AD761:AD766,"CUMPLE")&gt;0,"CUMPLE","NO CUMPLE"))</f>
        <v>#N/A</v>
      </c>
      <c r="AA766" s="541" t="e">
        <f>IF(AND(C765&lt;=F758,F758&lt;&gt;""),VLOOKUP(VALUE(E739&amp;","&amp;C765),INTEGRANTES!$D$18:$F$235,2,0),"")</f>
        <v>#N/A</v>
      </c>
      <c r="AB766" s="546" t="e">
        <f t="shared" si="212"/>
        <v>#N/A</v>
      </c>
      <c r="AC766" s="543"/>
      <c r="AD766" s="201" t="e">
        <f t="shared" si="213"/>
        <v>#N/A</v>
      </c>
      <c r="AE766" s="52"/>
      <c r="AF766" s="52"/>
      <c r="AG766" s="52"/>
      <c r="AH766" s="87"/>
      <c r="AI766" s="87"/>
    </row>
    <row r="767" spans="1:35" hidden="1">
      <c r="A767" s="103"/>
      <c r="B767" s="206"/>
      <c r="C767" s="206"/>
      <c r="D767" s="206"/>
      <c r="E767" s="206"/>
      <c r="F767" s="206"/>
      <c r="G767" s="206"/>
      <c r="H767" s="206"/>
      <c r="I767" s="104"/>
      <c r="J767" s="206"/>
      <c r="K767" s="113"/>
      <c r="L767" s="113"/>
      <c r="M767" s="113"/>
      <c r="N767" s="222"/>
      <c r="O767" s="113"/>
      <c r="P767" s="113"/>
      <c r="Q767" s="113"/>
      <c r="R767" s="206"/>
      <c r="S767" s="104"/>
      <c r="T767" s="206"/>
      <c r="U767" s="474"/>
      <c r="AH767" s="87"/>
      <c r="AI767" s="87"/>
    </row>
    <row r="768" spans="1:35" hidden="1">
      <c r="H768" s="220"/>
      <c r="AH768" s="87"/>
      <c r="AI768" s="87"/>
    </row>
    <row r="769" spans="1:35" ht="24" hidden="1" customHeight="1" thickBot="1">
      <c r="A769" s="61">
        <v>26</v>
      </c>
      <c r="B769" s="704" t="s">
        <v>51</v>
      </c>
      <c r="C769" s="704"/>
      <c r="D769" s="704"/>
      <c r="E769" s="62" t="e">
        <f>VLOOKUP(A769,PROPONENTES!$B$19:$E$218,2,FALSE)</f>
        <v>#N/A</v>
      </c>
      <c r="F769" s="63" t="e">
        <f>VLOOKUP(A769,PROPONENTES!$B$19:$E$218,3,FALSE)</f>
        <v>#N/A</v>
      </c>
      <c r="G769" s="64"/>
      <c r="H769" s="64"/>
      <c r="I769" s="63"/>
      <c r="J769" s="63"/>
      <c r="K769" s="65"/>
      <c r="L769" s="65"/>
      <c r="M769" s="64"/>
      <c r="N769" s="64"/>
      <c r="O769" s="66"/>
      <c r="P769" s="66"/>
      <c r="Q769" s="66"/>
      <c r="R769" s="66"/>
      <c r="S769" s="67"/>
      <c r="T769" s="68"/>
      <c r="U769" s="68"/>
      <c r="AC769" s="68"/>
      <c r="AD769" s="68"/>
      <c r="AE769" s="68"/>
      <c r="AF769" s="68"/>
      <c r="AG769" s="68"/>
      <c r="AH769" s="87"/>
      <c r="AI769" s="87"/>
    </row>
    <row r="770" spans="1:35" ht="15.75" hidden="1" customHeight="1">
      <c r="A770" s="44"/>
      <c r="B770" s="709" t="s">
        <v>59</v>
      </c>
      <c r="C770" s="552" t="s">
        <v>60</v>
      </c>
      <c r="D770" s="70" t="s">
        <v>17</v>
      </c>
      <c r="E770" s="70"/>
      <c r="F770" s="70" t="s">
        <v>61</v>
      </c>
      <c r="G770" s="71"/>
      <c r="H770" s="699" t="s">
        <v>62</v>
      </c>
      <c r="I770" s="699" t="s">
        <v>18</v>
      </c>
      <c r="J770" s="699" t="s">
        <v>63</v>
      </c>
      <c r="K770" s="699" t="s">
        <v>64</v>
      </c>
      <c r="L770" s="699" t="s">
        <v>65</v>
      </c>
      <c r="M770" s="743" t="s">
        <v>66</v>
      </c>
      <c r="N770" s="699" t="s">
        <v>282</v>
      </c>
      <c r="O770" s="745" t="s">
        <v>67</v>
      </c>
      <c r="P770" s="746"/>
      <c r="Q770" s="102" t="s">
        <v>75</v>
      </c>
      <c r="R770" s="731" t="s">
        <v>22</v>
      </c>
      <c r="S770" s="732"/>
      <c r="T770" s="733"/>
      <c r="U770" s="712" t="s">
        <v>298</v>
      </c>
      <c r="W770" s="690" t="s">
        <v>268</v>
      </c>
      <c r="X770" s="691"/>
      <c r="Y770" s="692"/>
      <c r="Z770" s="428"/>
      <c r="AA770" s="697" t="s">
        <v>315</v>
      </c>
      <c r="AB770" s="695" t="s">
        <v>322</v>
      </c>
      <c r="AC770" s="49"/>
      <c r="AD770" s="690" t="s">
        <v>297</v>
      </c>
      <c r="AE770" s="691"/>
      <c r="AF770" s="692"/>
      <c r="AG770" s="49"/>
      <c r="AH770" s="87"/>
      <c r="AI770" s="87"/>
    </row>
    <row r="771" spans="1:35" ht="72" hidden="1">
      <c r="A771" s="44"/>
      <c r="B771" s="710"/>
      <c r="C771" s="553" t="s">
        <v>68</v>
      </c>
      <c r="D771" s="73" t="s">
        <v>3</v>
      </c>
      <c r="E771" s="73" t="s">
        <v>19</v>
      </c>
      <c r="F771" s="73" t="s">
        <v>69</v>
      </c>
      <c r="G771" s="74" t="s">
        <v>70</v>
      </c>
      <c r="H771" s="700"/>
      <c r="I771" s="700"/>
      <c r="J771" s="700"/>
      <c r="K771" s="700"/>
      <c r="L771" s="700"/>
      <c r="M771" s="744"/>
      <c r="N771" s="700"/>
      <c r="O771" s="553" t="s">
        <v>279</v>
      </c>
      <c r="P771" s="73" t="s">
        <v>88</v>
      </c>
      <c r="Q771" s="555" t="s">
        <v>76</v>
      </c>
      <c r="R771" s="734"/>
      <c r="S771" s="735"/>
      <c r="T771" s="736"/>
      <c r="U771" s="712"/>
      <c r="W771" s="429" t="s">
        <v>269</v>
      </c>
      <c r="X771" s="457" t="s">
        <v>278</v>
      </c>
      <c r="Y771" s="430" t="s">
        <v>324</v>
      </c>
      <c r="Z771" s="428"/>
      <c r="AA771" s="698"/>
      <c r="AB771" s="696"/>
      <c r="AC771" s="49"/>
      <c r="AD771" s="429" t="s">
        <v>292</v>
      </c>
      <c r="AE771" s="431" t="s">
        <v>300</v>
      </c>
      <c r="AF771" s="468" t="s">
        <v>301</v>
      </c>
      <c r="AG771" s="49"/>
      <c r="AH771" s="87"/>
      <c r="AI771" s="87"/>
    </row>
    <row r="772" spans="1:35" hidden="1">
      <c r="A772" s="44"/>
      <c r="B772" s="76"/>
      <c r="C772" s="77"/>
      <c r="D772" s="77"/>
      <c r="E772" s="77"/>
      <c r="F772" s="77"/>
      <c r="G772" s="77"/>
      <c r="H772" s="77"/>
      <c r="I772" s="77"/>
      <c r="J772" s="77"/>
      <c r="K772" s="77"/>
      <c r="L772" s="77"/>
      <c r="M772" s="77"/>
      <c r="N772" s="77"/>
      <c r="O772" s="77"/>
      <c r="P772" s="77"/>
      <c r="Q772" s="77"/>
      <c r="R772" s="77"/>
      <c r="S772" s="78"/>
      <c r="T772" s="79"/>
      <c r="U772" s="109"/>
      <c r="V772" s="49"/>
      <c r="W772" s="432"/>
      <c r="X772" s="454"/>
      <c r="Y772" s="433"/>
      <c r="Z772" s="6"/>
      <c r="AA772" s="500"/>
      <c r="AB772" s="562"/>
      <c r="AC772" s="49"/>
      <c r="AD772" s="210"/>
      <c r="AE772" s="434"/>
      <c r="AF772" s="435"/>
      <c r="AG772" s="49"/>
      <c r="AH772" s="87"/>
      <c r="AI772" s="87"/>
    </row>
    <row r="773" spans="1:35" hidden="1">
      <c r="A773" s="80" t="e">
        <f>"A"&amp;E769</f>
        <v>#N/A</v>
      </c>
      <c r="B773" s="81">
        <v>1</v>
      </c>
      <c r="C773" s="82"/>
      <c r="D773" s="82"/>
      <c r="E773" s="82"/>
      <c r="F773" s="82"/>
      <c r="G773" s="83"/>
      <c r="H773" s="83"/>
      <c r="I773" s="84"/>
      <c r="J773" s="85"/>
      <c r="K773" s="382"/>
      <c r="L773" s="85"/>
      <c r="M773" s="332" t="str">
        <f t="shared" ref="M773:M782" si="214">IF(OR(J773="",L773="",H773="NO"),"",IF(OR(J773&gt;$P$17,J773&lt;$O$17,L773&gt;$P$17,AND(J773&lt;$O$17,L773&lt;$O$17)),"FUERA DE RANGO",IF(OR(K773="---",K773=""),IF(J773&gt;=$O$17,ROUND((L773-J773+1)/360*12,3),ROUND((L773-$O$17+1)/360*12,3)),IF(J773&gt;=$O$17,ROUND((L773-J773+1)/360*12-ROUND(K773,3),3),ROUND((L773-$O$17+1)/360*12-ROUND(K773,3),3)))))</f>
        <v/>
      </c>
      <c r="N773" s="86"/>
      <c r="O773" s="453" t="str">
        <f>IF(OR(G773="",N773=""),"",N773*G773)</f>
        <v/>
      </c>
      <c r="P773" s="538" t="str">
        <f>IF(OR(H773="",M773="FUERA DE RANGO"),"",IF(OR(L773&lt;$O$17,L773&gt;$P$17,L773="",H773="NO"),"",IF(OR(N773="",O773=""),"",ROUND(O773,3))))</f>
        <v/>
      </c>
      <c r="Q773" s="539" t="str">
        <f t="shared" ref="Q773:Q782" si="215">IF(AND(H773="SI",P773&lt;&gt;""),ROUND(P773/M773,3),"")</f>
        <v/>
      </c>
      <c r="R773" s="737"/>
      <c r="S773" s="738"/>
      <c r="T773" s="739"/>
      <c r="U773" s="470"/>
      <c r="V773" s="165"/>
      <c r="W773" s="446"/>
      <c r="X773" s="456"/>
      <c r="Y773" s="436"/>
      <c r="Z773" s="437"/>
      <c r="AA773" s="560"/>
      <c r="AB773" s="561"/>
      <c r="AC773" s="87"/>
      <c r="AD773" s="466"/>
      <c r="AE773" s="456"/>
      <c r="AF773" s="467"/>
      <c r="AG773" s="87"/>
      <c r="AH773" s="87"/>
      <c r="AI773" s="87"/>
    </row>
    <row r="774" spans="1:35" hidden="1">
      <c r="A774" s="80" t="e">
        <f>"B"&amp;E769</f>
        <v>#N/A</v>
      </c>
      <c r="B774" s="81">
        <v>2</v>
      </c>
      <c r="C774" s="106"/>
      <c r="D774" s="106"/>
      <c r="E774" s="106"/>
      <c r="F774" s="106"/>
      <c r="G774" s="83"/>
      <c r="H774" s="83"/>
      <c r="I774" s="84"/>
      <c r="J774" s="85"/>
      <c r="K774" s="382"/>
      <c r="L774" s="85"/>
      <c r="M774" s="332" t="str">
        <f t="shared" si="214"/>
        <v/>
      </c>
      <c r="N774" s="86"/>
      <c r="O774" s="453" t="str">
        <f t="shared" ref="O774:O782" si="216">IF(OR(G774="",N774=""),"",N774*G774)</f>
        <v/>
      </c>
      <c r="P774" s="538" t="str">
        <f t="shared" ref="P774:P782" si="217">IF(OR(H774="",M774="FUERA DE RANGO"),"",IF(OR(L774&lt;$O$17,L774&gt;$P$17,L774="",H774="NO"),"",IF(OR(N774="",O774=""),"",ROUND(O774,3))))</f>
        <v/>
      </c>
      <c r="Q774" s="539" t="str">
        <f t="shared" si="215"/>
        <v/>
      </c>
      <c r="R774" s="740"/>
      <c r="S774" s="741"/>
      <c r="T774" s="742"/>
      <c r="U774" s="471"/>
      <c r="V774" s="165"/>
      <c r="W774" s="446"/>
      <c r="X774" s="456"/>
      <c r="Y774" s="436"/>
      <c r="Z774" s="437"/>
      <c r="AA774" s="560"/>
      <c r="AB774" s="561"/>
      <c r="AC774" s="87"/>
      <c r="AD774" s="466"/>
      <c r="AE774" s="456"/>
      <c r="AF774" s="467"/>
      <c r="AG774" s="87"/>
      <c r="AH774" s="87"/>
      <c r="AI774" s="87"/>
    </row>
    <row r="775" spans="1:35" hidden="1">
      <c r="A775" s="80" t="e">
        <f>"C"&amp;E769</f>
        <v>#N/A</v>
      </c>
      <c r="B775" s="88">
        <v>3</v>
      </c>
      <c r="C775" s="82"/>
      <c r="D775" s="82"/>
      <c r="E775" s="82"/>
      <c r="F775" s="82"/>
      <c r="G775" s="83"/>
      <c r="H775" s="83"/>
      <c r="I775" s="84"/>
      <c r="J775" s="85"/>
      <c r="K775" s="382"/>
      <c r="L775" s="85"/>
      <c r="M775" s="332" t="str">
        <f t="shared" si="214"/>
        <v/>
      </c>
      <c r="N775" s="86"/>
      <c r="O775" s="453" t="str">
        <f t="shared" si="216"/>
        <v/>
      </c>
      <c r="P775" s="538" t="str">
        <f t="shared" si="217"/>
        <v/>
      </c>
      <c r="Q775" s="539" t="str">
        <f t="shared" si="215"/>
        <v/>
      </c>
      <c r="R775" s="706"/>
      <c r="S775" s="707"/>
      <c r="T775" s="708"/>
      <c r="U775" s="472"/>
      <c r="V775" s="166"/>
      <c r="W775" s="446"/>
      <c r="X775" s="456"/>
      <c r="Y775" s="436"/>
      <c r="Z775" s="437"/>
      <c r="AA775" s="560"/>
      <c r="AB775" s="561"/>
      <c r="AC775" s="87"/>
      <c r="AD775" s="466"/>
      <c r="AE775" s="456"/>
      <c r="AF775" s="467"/>
      <c r="AG775" s="87"/>
      <c r="AH775" s="87"/>
      <c r="AI775" s="87"/>
    </row>
    <row r="776" spans="1:35" hidden="1">
      <c r="A776" s="80" t="e">
        <f>"D"&amp;E769</f>
        <v>#N/A</v>
      </c>
      <c r="B776" s="105">
        <v>4</v>
      </c>
      <c r="C776" s="107"/>
      <c r="D776" s="107"/>
      <c r="E776" s="107"/>
      <c r="F776" s="107"/>
      <c r="G776" s="83"/>
      <c r="H776" s="83"/>
      <c r="I776" s="84"/>
      <c r="J776" s="85"/>
      <c r="K776" s="382"/>
      <c r="L776" s="85"/>
      <c r="M776" s="332" t="str">
        <f t="shared" si="214"/>
        <v/>
      </c>
      <c r="N776" s="86"/>
      <c r="O776" s="453" t="str">
        <f t="shared" si="216"/>
        <v/>
      </c>
      <c r="P776" s="538" t="str">
        <f t="shared" si="217"/>
        <v/>
      </c>
      <c r="Q776" s="539" t="str">
        <f t="shared" si="215"/>
        <v/>
      </c>
      <c r="R776" s="706"/>
      <c r="S776" s="707"/>
      <c r="T776" s="708"/>
      <c r="U776" s="472"/>
      <c r="V776" s="166"/>
      <c r="W776" s="446"/>
      <c r="X776" s="456"/>
      <c r="Y776" s="436"/>
      <c r="Z776" s="437"/>
      <c r="AA776" s="560"/>
      <c r="AB776" s="561"/>
      <c r="AC776" s="87"/>
      <c r="AD776" s="466"/>
      <c r="AE776" s="456"/>
      <c r="AF776" s="467"/>
      <c r="AG776" s="87"/>
      <c r="AH776" s="87"/>
      <c r="AI776" s="87"/>
    </row>
    <row r="777" spans="1:35" hidden="1">
      <c r="A777" s="80" t="e">
        <f>"E"&amp;E769</f>
        <v>#N/A</v>
      </c>
      <c r="B777" s="105">
        <v>5</v>
      </c>
      <c r="C777" s="107"/>
      <c r="D777" s="107"/>
      <c r="E777" s="107"/>
      <c r="F777" s="107"/>
      <c r="G777" s="83"/>
      <c r="H777" s="83"/>
      <c r="I777" s="84"/>
      <c r="J777" s="85"/>
      <c r="K777" s="382"/>
      <c r="L777" s="85"/>
      <c r="M777" s="332" t="str">
        <f t="shared" si="214"/>
        <v/>
      </c>
      <c r="N777" s="86"/>
      <c r="O777" s="453" t="str">
        <f t="shared" si="216"/>
        <v/>
      </c>
      <c r="P777" s="538" t="str">
        <f t="shared" si="217"/>
        <v/>
      </c>
      <c r="Q777" s="539" t="str">
        <f t="shared" si="215"/>
        <v/>
      </c>
      <c r="R777" s="706"/>
      <c r="S777" s="707"/>
      <c r="T777" s="708"/>
      <c r="U777" s="472"/>
      <c r="V777" s="167"/>
      <c r="W777" s="446"/>
      <c r="X777" s="456"/>
      <c r="Y777" s="436"/>
      <c r="Z777" s="437"/>
      <c r="AA777" s="560"/>
      <c r="AB777" s="561"/>
      <c r="AC777" s="87"/>
      <c r="AD777" s="466"/>
      <c r="AE777" s="456"/>
      <c r="AF777" s="467"/>
      <c r="AG777" s="87"/>
      <c r="AH777" s="87"/>
      <c r="AI777" s="87"/>
    </row>
    <row r="778" spans="1:35" hidden="1">
      <c r="A778" s="80" t="e">
        <f>"F"&amp;E769</f>
        <v>#N/A</v>
      </c>
      <c r="B778" s="105">
        <v>6</v>
      </c>
      <c r="C778" s="107"/>
      <c r="D778" s="107"/>
      <c r="E778" s="107"/>
      <c r="F778" s="107"/>
      <c r="G778" s="83"/>
      <c r="H778" s="83"/>
      <c r="I778" s="84"/>
      <c r="J778" s="85"/>
      <c r="K778" s="382"/>
      <c r="L778" s="85"/>
      <c r="M778" s="332" t="str">
        <f t="shared" si="214"/>
        <v/>
      </c>
      <c r="N778" s="86"/>
      <c r="O778" s="453" t="str">
        <f t="shared" si="216"/>
        <v/>
      </c>
      <c r="P778" s="538" t="str">
        <f t="shared" si="217"/>
        <v/>
      </c>
      <c r="Q778" s="539" t="str">
        <f t="shared" si="215"/>
        <v/>
      </c>
      <c r="R778" s="706"/>
      <c r="S778" s="707"/>
      <c r="T778" s="708"/>
      <c r="U778" s="472"/>
      <c r="V778" s="167"/>
      <c r="W778" s="446"/>
      <c r="X778" s="456"/>
      <c r="Y778" s="436"/>
      <c r="Z778" s="437"/>
      <c r="AA778" s="560"/>
      <c r="AB778" s="561"/>
      <c r="AC778" s="87"/>
      <c r="AD778" s="466"/>
      <c r="AE778" s="456"/>
      <c r="AF778" s="467"/>
      <c r="AG778" s="87"/>
      <c r="AH778" s="87"/>
      <c r="AI778" s="87"/>
    </row>
    <row r="779" spans="1:35" hidden="1">
      <c r="A779" s="80" t="e">
        <f>"G"&amp;E769</f>
        <v>#N/A</v>
      </c>
      <c r="B779" s="105">
        <v>7</v>
      </c>
      <c r="C779" s="107"/>
      <c r="D779" s="107"/>
      <c r="E779" s="107"/>
      <c r="F779" s="107"/>
      <c r="G779" s="83"/>
      <c r="H779" s="83"/>
      <c r="I779" s="84"/>
      <c r="J779" s="85"/>
      <c r="K779" s="382"/>
      <c r="L779" s="85"/>
      <c r="M779" s="332" t="str">
        <f t="shared" si="214"/>
        <v/>
      </c>
      <c r="N779" s="86"/>
      <c r="O779" s="86" t="str">
        <f t="shared" si="216"/>
        <v/>
      </c>
      <c r="P779" s="538" t="str">
        <f t="shared" si="217"/>
        <v/>
      </c>
      <c r="Q779" s="539" t="str">
        <f t="shared" si="215"/>
        <v/>
      </c>
      <c r="R779" s="706"/>
      <c r="S779" s="707"/>
      <c r="T779" s="708"/>
      <c r="U779" s="472"/>
      <c r="V779" s="167"/>
      <c r="W779" s="446"/>
      <c r="X779" s="456"/>
      <c r="Y779" s="436"/>
      <c r="Z779" s="437"/>
      <c r="AA779" s="560"/>
      <c r="AB779" s="561"/>
      <c r="AC779" s="87"/>
      <c r="AD779" s="466"/>
      <c r="AE779" s="456"/>
      <c r="AF779" s="467"/>
      <c r="AG779" s="87"/>
      <c r="AH779" s="87"/>
      <c r="AI779" s="87"/>
    </row>
    <row r="780" spans="1:35" hidden="1">
      <c r="A780" s="80" t="e">
        <f>"H"&amp;E769</f>
        <v>#N/A</v>
      </c>
      <c r="B780" s="105">
        <v>8</v>
      </c>
      <c r="C780" s="107"/>
      <c r="D780" s="107"/>
      <c r="E780" s="107"/>
      <c r="F780" s="107"/>
      <c r="G780" s="83"/>
      <c r="H780" s="83"/>
      <c r="I780" s="84"/>
      <c r="J780" s="85"/>
      <c r="K780" s="382"/>
      <c r="L780" s="85"/>
      <c r="M780" s="332" t="str">
        <f t="shared" si="214"/>
        <v/>
      </c>
      <c r="N780" s="453"/>
      <c r="O780" s="86" t="str">
        <f t="shared" si="216"/>
        <v/>
      </c>
      <c r="P780" s="538" t="str">
        <f t="shared" si="217"/>
        <v/>
      </c>
      <c r="Q780" s="539" t="str">
        <f t="shared" si="215"/>
        <v/>
      </c>
      <c r="R780" s="706"/>
      <c r="S780" s="707"/>
      <c r="T780" s="708"/>
      <c r="U780" s="472"/>
      <c r="V780" s="167"/>
      <c r="W780" s="446"/>
      <c r="X780" s="456"/>
      <c r="Y780" s="436"/>
      <c r="Z780" s="437"/>
      <c r="AA780" s="560"/>
      <c r="AB780" s="561"/>
      <c r="AC780" s="87"/>
      <c r="AD780" s="466"/>
      <c r="AE780" s="456"/>
      <c r="AF780" s="467"/>
      <c r="AG780" s="87"/>
      <c r="AH780" s="87"/>
      <c r="AI780" s="87"/>
    </row>
    <row r="781" spans="1:35" hidden="1">
      <c r="A781" s="80" t="e">
        <f>"I"&amp;E769</f>
        <v>#N/A</v>
      </c>
      <c r="B781" s="105">
        <v>9</v>
      </c>
      <c r="C781" s="107"/>
      <c r="D781" s="107"/>
      <c r="E781" s="107"/>
      <c r="F781" s="107"/>
      <c r="G781" s="83"/>
      <c r="H781" s="83"/>
      <c r="I781" s="84"/>
      <c r="J781" s="85"/>
      <c r="K781" s="382"/>
      <c r="L781" s="85"/>
      <c r="M781" s="332" t="str">
        <f t="shared" si="214"/>
        <v/>
      </c>
      <c r="N781" s="453"/>
      <c r="O781" s="86" t="str">
        <f t="shared" si="216"/>
        <v/>
      </c>
      <c r="P781" s="538" t="str">
        <f t="shared" si="217"/>
        <v/>
      </c>
      <c r="Q781" s="539" t="str">
        <f t="shared" si="215"/>
        <v/>
      </c>
      <c r="R781" s="706"/>
      <c r="S781" s="707"/>
      <c r="T781" s="708"/>
      <c r="U781" s="472"/>
      <c r="V781" s="167"/>
      <c r="W781" s="446"/>
      <c r="X781" s="456"/>
      <c r="Y781" s="436"/>
      <c r="Z781" s="437"/>
      <c r="AA781" s="560"/>
      <c r="AB781" s="561"/>
      <c r="AC781" s="87"/>
      <c r="AD781" s="466"/>
      <c r="AE781" s="456"/>
      <c r="AF781" s="467"/>
      <c r="AG781" s="87"/>
      <c r="AH781" s="87"/>
      <c r="AI781" s="87"/>
    </row>
    <row r="782" spans="1:35" hidden="1">
      <c r="A782" s="80" t="e">
        <f>"J"&amp;E769</f>
        <v>#N/A</v>
      </c>
      <c r="B782" s="105">
        <v>10</v>
      </c>
      <c r="C782" s="107"/>
      <c r="D782" s="107"/>
      <c r="E782" s="107"/>
      <c r="F782" s="107"/>
      <c r="G782" s="83"/>
      <c r="H782" s="83"/>
      <c r="I782" s="84"/>
      <c r="J782" s="85"/>
      <c r="K782" s="382"/>
      <c r="L782" s="85"/>
      <c r="M782" s="332" t="str">
        <f t="shared" si="214"/>
        <v/>
      </c>
      <c r="N782" s="453"/>
      <c r="O782" s="86" t="str">
        <f t="shared" si="216"/>
        <v/>
      </c>
      <c r="P782" s="538" t="str">
        <f t="shared" si="217"/>
        <v/>
      </c>
      <c r="Q782" s="539" t="str">
        <f t="shared" si="215"/>
        <v/>
      </c>
      <c r="R782" s="706"/>
      <c r="S782" s="707"/>
      <c r="T782" s="708"/>
      <c r="U782" s="472"/>
      <c r="V782" s="167"/>
      <c r="W782" s="446"/>
      <c r="X782" s="456"/>
      <c r="Y782" s="436"/>
      <c r="Z782" s="437"/>
      <c r="AA782" s="560"/>
      <c r="AB782" s="561"/>
      <c r="AC782" s="87"/>
      <c r="AD782" s="466"/>
      <c r="AE782" s="456"/>
      <c r="AF782" s="467"/>
      <c r="AG782" s="87"/>
      <c r="AH782" s="87"/>
      <c r="AI782" s="87"/>
    </row>
    <row r="783" spans="1:35" ht="16.5" hidden="1" thickBot="1">
      <c r="A783" s="44"/>
      <c r="B783" s="89"/>
      <c r="C783" s="90"/>
      <c r="D783" s="90"/>
      <c r="E783" s="90"/>
      <c r="F783" s="90"/>
      <c r="G783" s="90"/>
      <c r="H783" s="90"/>
      <c r="I783" s="90"/>
      <c r="J783" s="90"/>
      <c r="K783" s="90"/>
      <c r="L783" s="90"/>
      <c r="M783" s="90"/>
      <c r="N783" s="90"/>
      <c r="O783" s="90"/>
      <c r="P783" s="90"/>
      <c r="Q783" s="90"/>
      <c r="R783" s="90"/>
      <c r="S783" s="91"/>
      <c r="T783" s="92"/>
      <c r="U783" s="473"/>
      <c r="W783" s="438"/>
      <c r="X783" s="455"/>
      <c r="Y783" s="439"/>
      <c r="Z783" s="437"/>
      <c r="AA783" s="530"/>
      <c r="AB783" s="563"/>
      <c r="AC783" s="87"/>
      <c r="AD783" s="440"/>
      <c r="AE783" s="441"/>
      <c r="AF783" s="442"/>
      <c r="AG783" s="49"/>
      <c r="AH783" s="87"/>
      <c r="AI783" s="87"/>
    </row>
    <row r="784" spans="1:35" ht="16.5" hidden="1" thickBot="1">
      <c r="A784" s="93"/>
      <c r="B784" s="94"/>
      <c r="C784" s="96"/>
      <c r="D784" s="96"/>
      <c r="E784" s="96"/>
      <c r="F784" s="96"/>
      <c r="G784" s="96"/>
      <c r="H784" s="96"/>
      <c r="I784" s="96"/>
      <c r="J784" s="96"/>
      <c r="K784" s="96"/>
      <c r="L784" s="96"/>
      <c r="M784" s="136"/>
      <c r="N784" s="96"/>
      <c r="O784" s="96"/>
      <c r="P784" s="97"/>
      <c r="Q784" s="97"/>
      <c r="R784" s="98"/>
      <c r="S784" s="95"/>
      <c r="T784" s="99"/>
      <c r="U784" s="469"/>
      <c r="AC784" s="58"/>
      <c r="AG784" s="58"/>
      <c r="AH784" s="87"/>
      <c r="AI784" s="87"/>
    </row>
    <row r="785" spans="1:35" ht="16.5" hidden="1" customHeight="1" thickBot="1">
      <c r="B785" s="101"/>
      <c r="C785" s="101"/>
      <c r="D785" s="101"/>
      <c r="E785" s="101"/>
      <c r="F785" s="101"/>
      <c r="G785" s="101"/>
      <c r="H785" s="101"/>
      <c r="I785" s="101"/>
      <c r="J785" s="101"/>
      <c r="K785" s="101"/>
      <c r="L785" s="101"/>
      <c r="M785" s="101"/>
      <c r="N785" s="101"/>
      <c r="O785" s="101"/>
      <c r="P785" s="101"/>
      <c r="Q785" s="101"/>
      <c r="R785" s="101"/>
      <c r="S785" s="101"/>
      <c r="U785" s="50"/>
      <c r="AH785" s="87"/>
      <c r="AI785" s="87"/>
    </row>
    <row r="786" spans="1:35" ht="16.5" hidden="1" customHeight="1" thickBot="1">
      <c r="A786" s="44"/>
      <c r="B786" s="705" t="s">
        <v>74</v>
      </c>
      <c r="C786" s="705"/>
      <c r="D786" s="705"/>
      <c r="E786" s="705"/>
      <c r="F786" s="705"/>
      <c r="G786" s="705"/>
      <c r="H786" s="705"/>
      <c r="I786" s="705"/>
      <c r="J786" s="705"/>
      <c r="K786" s="705"/>
      <c r="L786" s="705"/>
      <c r="M786" s="705"/>
      <c r="N786" s="705"/>
      <c r="O786" s="705"/>
      <c r="P786" s="705"/>
      <c r="Q786" s="705"/>
      <c r="R786" s="705"/>
      <c r="S786" s="705"/>
      <c r="T786" s="705"/>
      <c r="U786" s="108"/>
      <c r="Y786" s="532" t="s">
        <v>341</v>
      </c>
      <c r="AC786" s="49"/>
      <c r="AD786" s="687" t="s">
        <v>302</v>
      </c>
      <c r="AE786" s="688"/>
      <c r="AF786" s="689"/>
      <c r="AG786" s="49"/>
      <c r="AH786" s="87"/>
      <c r="AI786" s="87"/>
    </row>
    <row r="787" spans="1:35" ht="15.75" hidden="1" customHeight="1" thickBot="1">
      <c r="A787" s="218" t="e">
        <f>"K"&amp;E769</f>
        <v>#N/A</v>
      </c>
      <c r="B787" s="701" t="s">
        <v>71</v>
      </c>
      <c r="C787" s="751" t="s">
        <v>102</v>
      </c>
      <c r="D787" s="751"/>
      <c r="E787" s="751"/>
      <c r="F787" s="751"/>
      <c r="G787" s="751"/>
      <c r="H787" s="751"/>
      <c r="I787" s="751"/>
      <c r="J787" s="751"/>
      <c r="K787" s="751"/>
      <c r="L787" s="722" t="s">
        <v>100</v>
      </c>
      <c r="M787" s="747" t="s">
        <v>114</v>
      </c>
      <c r="N787" s="747"/>
      <c r="O787" s="747"/>
      <c r="P787" s="747"/>
      <c r="Q787" s="748"/>
      <c r="R787" s="758" t="s">
        <v>280</v>
      </c>
      <c r="S787" s="748"/>
      <c r="T787" s="762" t="str">
        <f>IF(COUNTIF(AE787:AF787,"VERIFICAR")&gt;0,"VERIFICAR",IF(COUNTIF(AE787:AF787,"NO CUMPLE")&gt;0,"NO CUMPLE","CUMPLE"))</f>
        <v>VERIFICAR</v>
      </c>
      <c r="U787" s="108"/>
      <c r="Y787" s="533" t="e">
        <f>IF(F788="","",IF(F788=1,"INDIVIDUAL","ESTRUCTURA PLURAL"))</f>
        <v>#N/A</v>
      </c>
      <c r="AC787" s="52"/>
      <c r="AD787" s="475" t="s">
        <v>303</v>
      </c>
      <c r="AE787" s="476" t="str">
        <f>IF(COUNTIF(AE773:AE782,"")=10,"VERIFICAR",IF(COUNTIF(AE773:AE782,"SI")&gt;0,"CUMPLE","NO CUMPLE"))</f>
        <v>VERIFICAR</v>
      </c>
      <c r="AF787" s="477" t="str">
        <f>IF(COUNTIF(AF773:AF782,"")=10,"VERIFICAR",IF(COUNTIF(AF773:AF782,"SI")&gt;=$AI$22,"CUMPLE","NO CUMPLE"))</f>
        <v>VERIFICAR</v>
      </c>
      <c r="AG787" s="52"/>
      <c r="AH787" s="87"/>
      <c r="AI787" s="87"/>
    </row>
    <row r="788" spans="1:35" ht="16.5" hidden="1" customHeight="1" thickBot="1">
      <c r="A788" s="218" t="e">
        <f>"L"&amp;E769</f>
        <v>#N/A</v>
      </c>
      <c r="B788" s="702"/>
      <c r="C788" s="751" t="s">
        <v>103</v>
      </c>
      <c r="D788" s="751"/>
      <c r="E788" s="752"/>
      <c r="F788" s="557" t="e">
        <f>IF(VLOOKUP(E769,PROPONENTES!$C$19:$E$218,3,0)="","",VLOOKUP(E769,PROPONENTES!$C$19:$E$218,3,0))</f>
        <v>#N/A</v>
      </c>
      <c r="G788" s="753" t="s">
        <v>104</v>
      </c>
      <c r="H788" s="751"/>
      <c r="I788" s="715" t="e">
        <f>IF(OR(F788="",F788=1),"INTERESADO PERSONA NATURAL O JURIDICA","CONSORCIO O UNION TEMPORAL")</f>
        <v>#N/A</v>
      </c>
      <c r="J788" s="725"/>
      <c r="K788" s="728"/>
      <c r="L788" s="723"/>
      <c r="M788" s="749"/>
      <c r="N788" s="749"/>
      <c r="O788" s="749"/>
      <c r="P788" s="749"/>
      <c r="Q788" s="750"/>
      <c r="R788" s="712"/>
      <c r="S788" s="750"/>
      <c r="T788" s="763"/>
      <c r="U788" s="108"/>
      <c r="Y788" s="534"/>
      <c r="AA788" s="52"/>
      <c r="AB788" s="52"/>
      <c r="AC788" s="52"/>
      <c r="AG788" s="52"/>
      <c r="AH788" s="87"/>
      <c r="AI788" s="87"/>
    </row>
    <row r="789" spans="1:35" ht="56.25" hidden="1" customHeight="1" thickBot="1">
      <c r="A789" s="218" t="e">
        <f>"M"&amp;E769</f>
        <v>#N/A</v>
      </c>
      <c r="B789" s="702"/>
      <c r="C789" s="725" t="s">
        <v>101</v>
      </c>
      <c r="D789" s="716"/>
      <c r="E789" s="558" t="s">
        <v>105</v>
      </c>
      <c r="F789" s="554" t="s">
        <v>87</v>
      </c>
      <c r="G789" s="553" t="s">
        <v>86</v>
      </c>
      <c r="H789" s="559" t="s">
        <v>85</v>
      </c>
      <c r="I789" s="554" t="s">
        <v>252</v>
      </c>
      <c r="J789" s="553" t="str">
        <f>"¿EL INTEGRANTE TIENE UNA PARTICIPACIÓN DEL "&amp;PORCREQUERIDOINT*100&amp;"%?"</f>
        <v>¿EL INTEGRANTE TIENE UNA PARTICIPACIÓN DEL 60%?</v>
      </c>
      <c r="K789" s="554" t="s">
        <v>107</v>
      </c>
      <c r="L789" s="724"/>
      <c r="M789" s="717" t="s">
        <v>115</v>
      </c>
      <c r="N789" s="718"/>
      <c r="O789" s="718"/>
      <c r="P789" s="718"/>
      <c r="Q789" s="223">
        <f>IF(AND(H773="SI",P773&gt;=0),1,0)+IF(AND(H774="SI",P774&gt;=0),1,0)+IF(AND(H775="SI",P775&gt;=0),1,0)+IF(AND(H776="SI",P776&gt;=0),1,0)+IF(AND(H777="SI",P777&gt;=0),1,0)+IF(AND(H778="SI",P778&gt;=0),1,0)+IF(AND(H779="SI",P779&gt;=0),1,0)+IF(AND(H780="SI",P780&gt;=0),1,0)+IF(AND(H781="SI",P781&gt;=0),1,0)+IF(AND(H782="SI",P782&gt;=0),1,0)</f>
        <v>0</v>
      </c>
      <c r="R789" s="759"/>
      <c r="S789" s="761"/>
      <c r="T789" s="764"/>
      <c r="U789" s="219"/>
      <c r="V789" s="464"/>
      <c r="Y789" s="532" t="s">
        <v>342</v>
      </c>
      <c r="AA789" s="550" t="s">
        <v>344</v>
      </c>
      <c r="AB789" s="693" t="s">
        <v>345</v>
      </c>
      <c r="AC789" s="693" t="s">
        <v>346</v>
      </c>
      <c r="AD789" s="685" t="s">
        <v>347</v>
      </c>
      <c r="AE789" s="52"/>
      <c r="AF789" s="52"/>
      <c r="AG789" s="52"/>
      <c r="AH789" s="87"/>
      <c r="AI789" s="87"/>
    </row>
    <row r="790" spans="1:35" ht="15.75" hidden="1" customHeight="1" thickBot="1">
      <c r="A790" s="218" t="e">
        <f>"N"&amp;E769</f>
        <v>#N/A</v>
      </c>
      <c r="B790" s="702"/>
      <c r="C790" s="114">
        <v>1</v>
      </c>
      <c r="D790" s="194" t="e">
        <f>IF(AND(C790&lt;=F788,F788&gt;1,F788&lt;&gt;""),VLOOKUP(VALUE(E769&amp;","&amp;C790),INTEGRANTES!$D$18:$F$235,2,0),"")</f>
        <v>#N/A</v>
      </c>
      <c r="E790" s="211" t="e">
        <f>IF(D790&lt;&gt;"",VLOOKUP(VALUE(E769&amp;","&amp;C790),INTEGRANTES!$D$18:$F$235,3,0),"")</f>
        <v>#N/A</v>
      </c>
      <c r="F790" s="547" t="e">
        <f>IF(D790="","",SUMIF($I773:$I782,D790,$P773:$P782))</f>
        <v>#N/A</v>
      </c>
      <c r="G790" s="333" t="e">
        <f>IF(D790="","",SUMIF($I773:$I782,D790,$M773:$M782))</f>
        <v>#N/A</v>
      </c>
      <c r="H790" s="535" t="e">
        <f t="shared" ref="H790:H795" si="218">IF(D790="","",IF(OR(F790=0,G790=0),"NO APORTA",ROUND($F790/$G790,3)))</f>
        <v>#N/A</v>
      </c>
      <c r="I790" s="212" t="e">
        <f>IF(D790="","",IF(H790="NO APORTA","NO",IF(H790=MAX($H790:$H795),"SI","NO")))</f>
        <v>#N/A</v>
      </c>
      <c r="J790" s="213" t="e">
        <f t="shared" ref="J790:J795" si="219">IF(D790="","",IF(E790&gt;=PORCREQUERIDOINT,"SI","NO"))</f>
        <v>#N/A</v>
      </c>
      <c r="K790" s="200" t="e">
        <f t="shared" ref="K790:K795" si="220">IF(D790="","",IF(AND(I790="SI",J790="SI"),"CUMPLE",IF(AND(I790="NO",OR(J790="SI",J790="NO")),"","NO CUMPLE")))</f>
        <v>#N/A</v>
      </c>
      <c r="L790" s="722" t="s">
        <v>108</v>
      </c>
      <c r="M790" s="726" t="s">
        <v>119</v>
      </c>
      <c r="N790" s="726"/>
      <c r="O790" s="726"/>
      <c r="P790" s="726"/>
      <c r="Q790" s="727"/>
      <c r="R790" s="758" t="s">
        <v>80</v>
      </c>
      <c r="S790" s="747"/>
      <c r="T790" s="748"/>
      <c r="U790" s="219"/>
      <c r="V790" s="464"/>
      <c r="Y790" s="533" t="e">
        <f>IF(Y787="","",IF(Y787="INDIVIDUAL","NO APLICA","VERIFICAR CUADRO"))</f>
        <v>#N/A</v>
      </c>
      <c r="AA790" s="551"/>
      <c r="AB790" s="694"/>
      <c r="AC790" s="694"/>
      <c r="AD790" s="686"/>
      <c r="AE790" s="52"/>
      <c r="AF790" s="52"/>
      <c r="AG790" s="52"/>
      <c r="AH790" s="87"/>
      <c r="AI790" s="87"/>
    </row>
    <row r="791" spans="1:35" ht="27" hidden="1" customHeight="1" thickBot="1">
      <c r="A791" s="218" t="e">
        <f>"O"&amp;E769</f>
        <v>#N/A</v>
      </c>
      <c r="B791" s="702"/>
      <c r="C791" s="114">
        <v>2</v>
      </c>
      <c r="D791" s="194" t="e">
        <f>IF(AND(C791&lt;=F788,F788&lt;&gt;""),VLOOKUP(VALUE(E769&amp;","&amp;C791),INTEGRANTES!$D$18:$F$235,2,0),"")</f>
        <v>#N/A</v>
      </c>
      <c r="E791" s="211" t="e">
        <f>IF(D791&lt;&gt;"",VLOOKUP(VALUE(E769&amp;","&amp;C791),INTEGRANTES!$D$18:$F$235,3,0),"")</f>
        <v>#N/A</v>
      </c>
      <c r="F791" s="547" t="e">
        <f>IF(D791="","",SUMIF($I773:$I782,D791,$P773:$P782))</f>
        <v>#N/A</v>
      </c>
      <c r="G791" s="333" t="e">
        <f>IF(D791="","",SUMIF($I773:$I782,D791,$M773:$M782))</f>
        <v>#N/A</v>
      </c>
      <c r="H791" s="535" t="e">
        <f t="shared" si="218"/>
        <v>#N/A</v>
      </c>
      <c r="I791" s="212" t="e">
        <f>IF(D791="","",IF(H791="NO APORTA","NO",IF(H791=MAX($H790:$H795),"SI","NO")))</f>
        <v>#N/A</v>
      </c>
      <c r="J791" s="213" t="e">
        <f t="shared" si="219"/>
        <v>#N/A</v>
      </c>
      <c r="K791" s="200" t="e">
        <f t="shared" si="220"/>
        <v>#N/A</v>
      </c>
      <c r="L791" s="723"/>
      <c r="M791" s="715" t="s">
        <v>116</v>
      </c>
      <c r="N791" s="716"/>
      <c r="O791" s="556" t="s">
        <v>113</v>
      </c>
      <c r="P791" s="715" t="s">
        <v>117</v>
      </c>
      <c r="Q791" s="728"/>
      <c r="R791" s="759"/>
      <c r="S791" s="760"/>
      <c r="T791" s="761"/>
      <c r="U791" s="219"/>
      <c r="V791" s="464"/>
      <c r="Y791" s="414"/>
      <c r="AA791" s="542" t="e">
        <f>IF(AND(C790&lt;=F788,F788&gt;1,F788&lt;&gt;""),VLOOKUP(VALUE(E769&amp;","&amp;C790),INTEGRANTES!$D$18:$F$235,2,0),"")</f>
        <v>#N/A</v>
      </c>
      <c r="AB791" s="544" t="e">
        <f t="shared" ref="AB791:AB796" si="221">IF(D790="","",IF(OR(F790=0,G790=0),"NO APORTA",ROUND($F790/$G790,3)))</f>
        <v>#N/A</v>
      </c>
      <c r="AC791" s="529"/>
      <c r="AD791" s="200" t="e">
        <f t="shared" ref="AD791:AD796" si="222">IF(OR(AA791="",AB791=""),"",IF(AND(AC791="X",AB791&gt;=EXPREQVTD),"CUMPLE","NO CUMPLE"))</f>
        <v>#N/A</v>
      </c>
      <c r="AE791" s="52"/>
      <c r="AF791" s="52"/>
      <c r="AG791" s="52"/>
      <c r="AH791" s="87"/>
      <c r="AI791" s="87"/>
    </row>
    <row r="792" spans="1:35" ht="16.5" hidden="1" thickBot="1">
      <c r="A792" s="218" t="e">
        <f>"P"&amp;E769</f>
        <v>#N/A</v>
      </c>
      <c r="B792" s="702"/>
      <c r="C792" s="114">
        <v>3</v>
      </c>
      <c r="D792" s="194" t="e">
        <f>IF(AND(C792&lt;=F788,F788&lt;&gt;""),VLOOKUP(VALUE(E769&amp;","&amp;C792),INTEGRANTES!$D$18:$F$235,2,0),"")</f>
        <v>#N/A</v>
      </c>
      <c r="E792" s="211" t="e">
        <f>IF(D792&lt;&gt;"",VLOOKUP(VALUE(E769&amp;","&amp;C792),INTEGRANTES!$D$18:$F$235,3,0),"")</f>
        <v>#N/A</v>
      </c>
      <c r="F792" s="547" t="e">
        <f>IF(D792="","",SUMIF($I773:$I782,D792,$P773:$P782))</f>
        <v>#N/A</v>
      </c>
      <c r="G792" s="333" t="e">
        <f>IF(D792="","",SUMIF($I773:$I782,D792,$M773:$M782))</f>
        <v>#N/A</v>
      </c>
      <c r="H792" s="535" t="e">
        <f t="shared" si="218"/>
        <v>#N/A</v>
      </c>
      <c r="I792" s="212" t="e">
        <f>IF(D792="","",IF(H792="NO APORTA","NO",IF(H792=MAX($H790:$H795),"SI","NO")))</f>
        <v>#N/A</v>
      </c>
      <c r="J792" s="213" t="e">
        <f t="shared" si="219"/>
        <v>#N/A</v>
      </c>
      <c r="K792" s="200" t="e">
        <f t="shared" si="220"/>
        <v>#N/A</v>
      </c>
      <c r="L792" s="724"/>
      <c r="M792" s="729">
        <f>NUMMOD</f>
        <v>1</v>
      </c>
      <c r="N792" s="730"/>
      <c r="O792" s="443">
        <f>IF(M792="","",VLOOKUP(M792,PRESUPUESTOS!$B$16:$H$16,5,FALSE))</f>
        <v>2</v>
      </c>
      <c r="P792" s="713">
        <f>IF(OR(COUNTIF(M773:M782,"")&gt;=10,Q789&lt;NUMMINCONT,OR(T787="NO CUMPLE",T787="VERIFICAR")),0,ROUND(AVERAGE(M773:M782),3))</f>
        <v>0</v>
      </c>
      <c r="Q792" s="714"/>
      <c r="R792" s="458"/>
      <c r="S792" s="459"/>
      <c r="T792" s="460"/>
      <c r="U792" s="219"/>
      <c r="V792" s="464"/>
      <c r="Y792" s="532" t="str">
        <f>"40% * ("&amp;PRESUPUESTOS!$H$13&amp;")"</f>
        <v>40% * (50% PFMO)</v>
      </c>
      <c r="AA792" s="540" t="e">
        <f>IF(AND(C791&lt;=F788,F788&lt;&gt;""),VLOOKUP(VALUE(E769&amp;","&amp;C791),INTEGRANTES!$D$18:$F$235,2,0),"")</f>
        <v>#N/A</v>
      </c>
      <c r="AB792" s="545" t="e">
        <f t="shared" si="221"/>
        <v>#N/A</v>
      </c>
      <c r="AC792" s="529"/>
      <c r="AD792" s="200" t="e">
        <f t="shared" si="222"/>
        <v>#N/A</v>
      </c>
      <c r="AE792" s="52"/>
      <c r="AF792" s="52"/>
      <c r="AG792" s="52"/>
      <c r="AH792" s="87"/>
      <c r="AI792" s="87"/>
    </row>
    <row r="793" spans="1:35" ht="15.75" hidden="1" customHeight="1" thickBot="1">
      <c r="A793" s="218" t="e">
        <f>"Q"&amp;E769</f>
        <v>#N/A</v>
      </c>
      <c r="B793" s="702"/>
      <c r="C793" s="114">
        <v>4</v>
      </c>
      <c r="D793" s="194" t="e">
        <f>IF(AND(C793&lt;=F788,F788&lt;&gt;""),VLOOKUP(VALUE(E769&amp;","&amp;C793),INTEGRANTES!$D$18:$F$235,2,0),"")</f>
        <v>#N/A</v>
      </c>
      <c r="E793" s="211" t="e">
        <f>IF(D793&lt;&gt;"",VLOOKUP(VALUE(E769&amp;","&amp;C793),INTEGRANTES!$D$18:$F$235,3,0),"")</f>
        <v>#N/A</v>
      </c>
      <c r="F793" s="547" t="e">
        <f>IF(D793="","",SUMIF($I773:$I782,D793,$P773:$P782))</f>
        <v>#N/A</v>
      </c>
      <c r="G793" s="333" t="e">
        <f>IF(D793="","",SUMIF($I773:$I782,D793,$M773:$M782))</f>
        <v>#N/A</v>
      </c>
      <c r="H793" s="535" t="e">
        <f t="shared" si="218"/>
        <v>#N/A</v>
      </c>
      <c r="I793" s="212" t="e">
        <f>IF(D793="","",IF(H793="NO APORTA","NO",IF(H793=MAX($H790:$H795),"SI","NO")))</f>
        <v>#N/A</v>
      </c>
      <c r="J793" s="213" t="e">
        <f t="shared" si="219"/>
        <v>#N/A</v>
      </c>
      <c r="K793" s="200" t="e">
        <f t="shared" si="220"/>
        <v>#N/A</v>
      </c>
      <c r="L793" s="720" t="s">
        <v>109</v>
      </c>
      <c r="M793" s="757" t="s">
        <v>120</v>
      </c>
      <c r="N793" s="726"/>
      <c r="O793" s="726"/>
      <c r="P793" s="726"/>
      <c r="Q793" s="727"/>
      <c r="R793" s="458"/>
      <c r="S793" s="459"/>
      <c r="T793" s="460"/>
      <c r="U793" s="219"/>
      <c r="V793" s="464"/>
      <c r="Y793" s="537">
        <f>0.4*PRESUPUESTOS!$H$16</f>
        <v>10.3124</v>
      </c>
      <c r="AA793" s="540" t="e">
        <f>IF(AND(C792&lt;=F788,F788&lt;&gt;""),VLOOKUP(VALUE(E769&amp;","&amp;C792),INTEGRANTES!$D$18:$F$235,2,0),"")</f>
        <v>#N/A</v>
      </c>
      <c r="AB793" s="545" t="e">
        <f t="shared" si="221"/>
        <v>#N/A</v>
      </c>
      <c r="AC793" s="529"/>
      <c r="AD793" s="200" t="e">
        <f t="shared" si="222"/>
        <v>#N/A</v>
      </c>
      <c r="AE793" s="52"/>
      <c r="AF793" s="52"/>
      <c r="AG793" s="52"/>
      <c r="AH793" s="87"/>
      <c r="AI793" s="87"/>
    </row>
    <row r="794" spans="1:35" ht="27" hidden="1" customHeight="1" thickBot="1">
      <c r="A794" s="218" t="e">
        <f>"R"&amp;E769</f>
        <v>#N/A</v>
      </c>
      <c r="B794" s="702"/>
      <c r="C794" s="114">
        <v>5</v>
      </c>
      <c r="D794" s="194" t="e">
        <f>IF(AND(C794&lt;=F788,F788&lt;&gt;""),VLOOKUP(VALUE(E769&amp;","&amp;C794),INTEGRANTES!$D$18:$F$235,2,0),"")</f>
        <v>#N/A</v>
      </c>
      <c r="E794" s="211" t="e">
        <f>IF(D794&lt;&gt;"",VLOOKUP(VALUE(E769&amp;","&amp;C794),INTEGRANTES!$D$18:$F$235,3,0),"")</f>
        <v>#N/A</v>
      </c>
      <c r="F794" s="547" t="e">
        <f>IF(D794="","",SUMIF($I773:$I782,D794,$P773:$P782))</f>
        <v>#N/A</v>
      </c>
      <c r="G794" s="333" t="e">
        <f>IF(D794="","",SUMIF($I773:$I782,D794,$M773:$M782))</f>
        <v>#N/A</v>
      </c>
      <c r="H794" s="535" t="e">
        <f t="shared" si="218"/>
        <v>#N/A</v>
      </c>
      <c r="I794" s="212" t="e">
        <f>IF(D794="","",IF(H794="NO APORTA","NO",IF(H794=MAX($H790:$H795),"SI","NO")))</f>
        <v>#N/A</v>
      </c>
      <c r="J794" s="213" t="e">
        <f t="shared" si="219"/>
        <v>#N/A</v>
      </c>
      <c r="K794" s="200" t="e">
        <f t="shared" si="220"/>
        <v>#N/A</v>
      </c>
      <c r="L794" s="721"/>
      <c r="M794" s="715" t="s">
        <v>116</v>
      </c>
      <c r="N794" s="716"/>
      <c r="O794" s="556" t="str">
        <f>PORCREQUERIDO*100&amp;"% PMFO DEL MÓDULO"</f>
        <v>50% PMFO DEL MÓDULO</v>
      </c>
      <c r="P794" s="715" t="s">
        <v>118</v>
      </c>
      <c r="Q794" s="728"/>
      <c r="R794" s="458"/>
      <c r="S794" s="459"/>
      <c r="T794" s="460"/>
      <c r="U794" s="219"/>
      <c r="V794" s="464"/>
      <c r="Y794" s="414"/>
      <c r="AA794" s="540" t="e">
        <f>IF(AND(C793&lt;=F788,F788&lt;&gt;""),VLOOKUP(VALUE(E769&amp;","&amp;C793),INTEGRANTES!$D$18:$F$235,2,0),"")</f>
        <v>#N/A</v>
      </c>
      <c r="AB794" s="545" t="e">
        <f t="shared" si="221"/>
        <v>#N/A</v>
      </c>
      <c r="AC794" s="529"/>
      <c r="AD794" s="200" t="e">
        <f t="shared" si="222"/>
        <v>#N/A</v>
      </c>
      <c r="AE794" s="52"/>
      <c r="AF794" s="52"/>
      <c r="AG794" s="52"/>
      <c r="AH794" s="87"/>
      <c r="AI794" s="87"/>
    </row>
    <row r="795" spans="1:35" ht="16.5" hidden="1" thickBot="1">
      <c r="A795" s="218" t="e">
        <f>"S"&amp;E769</f>
        <v>#N/A</v>
      </c>
      <c r="B795" s="702"/>
      <c r="C795" s="215">
        <v>6</v>
      </c>
      <c r="D795" s="216" t="e">
        <f>IF(AND(C795&lt;=F788,F788&lt;&gt;""),VLOOKUP(VALUE(E769&amp;","&amp;C795),INTEGRANTES!$D$18:$F$235,2,0),"")</f>
        <v>#N/A</v>
      </c>
      <c r="E795" s="217" t="e">
        <f>IF(D795&lt;&gt;"",VLOOKUP(VALUE(E769&amp;","&amp;C795),INTEGRANTES!$D$18:$F$235,3,0),"")</f>
        <v>#N/A</v>
      </c>
      <c r="F795" s="548" t="e">
        <f>IF(D795="","",SUMIF($I773:$I782,D795,$P773:$P782))</f>
        <v>#N/A</v>
      </c>
      <c r="G795" s="334" t="e">
        <f>IF(D795="","",SUMIF($I773:$I782,D795,$M773:$M782))</f>
        <v>#N/A</v>
      </c>
      <c r="H795" s="536" t="e">
        <f t="shared" si="218"/>
        <v>#N/A</v>
      </c>
      <c r="I795" s="214" t="e">
        <f>IF(D795="","",IF(H795="NO APORTA","NO",IF(H795=MAX($H790:$H795),"SI","NO")))</f>
        <v>#N/A</v>
      </c>
      <c r="J795" s="213" t="e">
        <f t="shared" si="219"/>
        <v>#N/A</v>
      </c>
      <c r="K795" s="200" t="e">
        <f t="shared" si="220"/>
        <v>#N/A</v>
      </c>
      <c r="L795" s="721"/>
      <c r="M795" s="729">
        <f>NUMMOD</f>
        <v>1</v>
      </c>
      <c r="N795" s="730"/>
      <c r="O795" s="443">
        <f>IF(M795="","",ROUND(VLOOKUP(M795,PRESUPUESTOS!$B$16:$H$16,7,FALSE),3))</f>
        <v>25.780999999999999</v>
      </c>
      <c r="P795" s="713">
        <f>IF(OR(COUNTIF(P773:P782,"")&gt;=10,Q789&lt;NUMMINCONT,OR(T787="NO CUMPLE",T787="VERIFICAR")),0,ROUND((SUM(P773:P782)/SUM(M773:M782)),3))</f>
        <v>0</v>
      </c>
      <c r="Q795" s="714"/>
      <c r="R795" s="458"/>
      <c r="S795" s="459"/>
      <c r="T795" s="460"/>
      <c r="U795" s="219"/>
      <c r="V795" s="464"/>
      <c r="Y795" s="532" t="s">
        <v>343</v>
      </c>
      <c r="AA795" s="540" t="e">
        <f>IF(AND(C794&lt;=F788,F788&lt;&gt;""),VLOOKUP(VALUE(E769&amp;","&amp;C794),INTEGRANTES!$D$18:$F$235,2,0),"")</f>
        <v>#N/A</v>
      </c>
      <c r="AB795" s="545" t="e">
        <f t="shared" si="221"/>
        <v>#N/A</v>
      </c>
      <c r="AC795" s="529"/>
      <c r="AD795" s="200" t="e">
        <f t="shared" si="222"/>
        <v>#N/A</v>
      </c>
      <c r="AE795" s="52"/>
      <c r="AF795" s="52"/>
      <c r="AG795" s="52"/>
      <c r="AH795" s="87"/>
      <c r="AI795" s="87"/>
    </row>
    <row r="796" spans="1:35" ht="16.5" hidden="1" customHeight="1" thickBot="1">
      <c r="A796" s="218" t="e">
        <f>"T"&amp;E769</f>
        <v>#N/A</v>
      </c>
      <c r="B796" s="703"/>
      <c r="C796" s="719"/>
      <c r="D796" s="719"/>
      <c r="E796" s="719"/>
      <c r="F796" s="719"/>
      <c r="G796" s="719"/>
      <c r="H796" s="719" t="s">
        <v>110</v>
      </c>
      <c r="I796" s="719"/>
      <c r="J796" s="719"/>
      <c r="K796" s="201" t="str">
        <f>IF(COUNTIF(K790:K795,"")=6,"",IF(COUNTIF(K790:K795,"CUMPLE")&gt;0,"CUMPLE","NO CUMPLE"))</f>
        <v>NO CUMPLE</v>
      </c>
      <c r="L796" s="754"/>
      <c r="M796" s="755"/>
      <c r="N796" s="755"/>
      <c r="O796" s="755"/>
      <c r="P796" s="755"/>
      <c r="Q796" s="756"/>
      <c r="R796" s="461"/>
      <c r="S796" s="462"/>
      <c r="T796" s="463"/>
      <c r="U796" s="219"/>
      <c r="V796" s="464"/>
      <c r="Y796" s="549" t="e">
        <f>IF(Y790="NO APLICA","NO APLICA",IF(COUNTIF(AD791:AD796,"CUMPLE")&gt;0,"CUMPLE","NO CUMPLE"))</f>
        <v>#N/A</v>
      </c>
      <c r="AA796" s="541" t="e">
        <f>IF(AND(C795&lt;=F788,F788&lt;&gt;""),VLOOKUP(VALUE(E769&amp;","&amp;C795),INTEGRANTES!$D$18:$F$235,2,0),"")</f>
        <v>#N/A</v>
      </c>
      <c r="AB796" s="546" t="e">
        <f t="shared" si="221"/>
        <v>#N/A</v>
      </c>
      <c r="AC796" s="543"/>
      <c r="AD796" s="201" t="e">
        <f t="shared" si="222"/>
        <v>#N/A</v>
      </c>
      <c r="AE796" s="52"/>
      <c r="AF796" s="52"/>
      <c r="AG796" s="52"/>
      <c r="AH796" s="87"/>
      <c r="AI796" s="87"/>
    </row>
    <row r="797" spans="1:35" hidden="1">
      <c r="AH797" s="87"/>
      <c r="AI797" s="87"/>
    </row>
    <row r="798" spans="1:35" hidden="1">
      <c r="AH798" s="87"/>
      <c r="AI798" s="87"/>
    </row>
    <row r="799" spans="1:35" ht="24" hidden="1" thickBot="1">
      <c r="A799" s="61">
        <v>27</v>
      </c>
      <c r="B799" s="704" t="s">
        <v>51</v>
      </c>
      <c r="C799" s="704"/>
      <c r="D799" s="704"/>
      <c r="E799" s="62" t="e">
        <f>VLOOKUP(A799,PROPONENTES!$B$19:$E$218,2,FALSE)</f>
        <v>#N/A</v>
      </c>
      <c r="F799" s="63" t="e">
        <f>VLOOKUP(A799,PROPONENTES!$B$19:$E$218,3,FALSE)</f>
        <v>#N/A</v>
      </c>
      <c r="G799" s="64"/>
      <c r="H799" s="64"/>
      <c r="I799" s="63"/>
      <c r="J799" s="63"/>
      <c r="K799" s="65"/>
      <c r="L799" s="65"/>
      <c r="M799" s="64"/>
      <c r="N799" s="64"/>
      <c r="O799" s="66"/>
      <c r="P799" s="66"/>
      <c r="Q799" s="66"/>
      <c r="R799" s="66"/>
      <c r="S799" s="67"/>
      <c r="T799" s="68"/>
      <c r="U799" s="68"/>
      <c r="AC799" s="68"/>
      <c r="AD799" s="68"/>
      <c r="AE799" s="68"/>
      <c r="AF799" s="68"/>
      <c r="AG799" s="68"/>
      <c r="AH799" s="87"/>
      <c r="AI799" s="87"/>
    </row>
    <row r="800" spans="1:35" ht="15.75" hidden="1" customHeight="1">
      <c r="A800" s="44"/>
      <c r="B800" s="709" t="s">
        <v>59</v>
      </c>
      <c r="C800" s="552" t="s">
        <v>60</v>
      </c>
      <c r="D800" s="70" t="s">
        <v>17</v>
      </c>
      <c r="E800" s="70"/>
      <c r="F800" s="70" t="s">
        <v>61</v>
      </c>
      <c r="G800" s="71"/>
      <c r="H800" s="699" t="s">
        <v>62</v>
      </c>
      <c r="I800" s="699" t="s">
        <v>18</v>
      </c>
      <c r="J800" s="699" t="s">
        <v>63</v>
      </c>
      <c r="K800" s="699" t="s">
        <v>64</v>
      </c>
      <c r="L800" s="699" t="s">
        <v>65</v>
      </c>
      <c r="M800" s="743" t="s">
        <v>66</v>
      </c>
      <c r="N800" s="699" t="s">
        <v>282</v>
      </c>
      <c r="O800" s="745" t="s">
        <v>67</v>
      </c>
      <c r="P800" s="746"/>
      <c r="Q800" s="102" t="s">
        <v>75</v>
      </c>
      <c r="R800" s="731" t="s">
        <v>22</v>
      </c>
      <c r="S800" s="732"/>
      <c r="T800" s="733"/>
      <c r="U800" s="712" t="s">
        <v>298</v>
      </c>
      <c r="W800" s="690" t="s">
        <v>268</v>
      </c>
      <c r="X800" s="691"/>
      <c r="Y800" s="692"/>
      <c r="Z800" s="428"/>
      <c r="AA800" s="697" t="s">
        <v>315</v>
      </c>
      <c r="AB800" s="695" t="s">
        <v>322</v>
      </c>
      <c r="AC800" s="49"/>
      <c r="AD800" s="690" t="s">
        <v>297</v>
      </c>
      <c r="AE800" s="691"/>
      <c r="AF800" s="692"/>
      <c r="AG800" s="49"/>
      <c r="AH800" s="87"/>
      <c r="AI800" s="87"/>
    </row>
    <row r="801" spans="1:35" ht="72" hidden="1">
      <c r="A801" s="44"/>
      <c r="B801" s="710"/>
      <c r="C801" s="553" t="s">
        <v>68</v>
      </c>
      <c r="D801" s="73" t="s">
        <v>3</v>
      </c>
      <c r="E801" s="73" t="s">
        <v>19</v>
      </c>
      <c r="F801" s="73" t="s">
        <v>69</v>
      </c>
      <c r="G801" s="74" t="s">
        <v>70</v>
      </c>
      <c r="H801" s="700"/>
      <c r="I801" s="700"/>
      <c r="J801" s="700"/>
      <c r="K801" s="700"/>
      <c r="L801" s="700"/>
      <c r="M801" s="744"/>
      <c r="N801" s="700"/>
      <c r="O801" s="553" t="s">
        <v>279</v>
      </c>
      <c r="P801" s="73" t="s">
        <v>88</v>
      </c>
      <c r="Q801" s="555" t="s">
        <v>76</v>
      </c>
      <c r="R801" s="734"/>
      <c r="S801" s="735"/>
      <c r="T801" s="736"/>
      <c r="U801" s="712"/>
      <c r="W801" s="429" t="s">
        <v>269</v>
      </c>
      <c r="X801" s="457" t="s">
        <v>278</v>
      </c>
      <c r="Y801" s="430" t="s">
        <v>324</v>
      </c>
      <c r="Z801" s="428"/>
      <c r="AA801" s="698"/>
      <c r="AB801" s="696"/>
      <c r="AC801" s="49"/>
      <c r="AD801" s="429" t="s">
        <v>292</v>
      </c>
      <c r="AE801" s="431" t="s">
        <v>300</v>
      </c>
      <c r="AF801" s="468" t="s">
        <v>301</v>
      </c>
      <c r="AG801" s="49"/>
      <c r="AH801" s="87"/>
      <c r="AI801" s="87"/>
    </row>
    <row r="802" spans="1:35" hidden="1">
      <c r="A802" s="44"/>
      <c r="B802" s="76"/>
      <c r="C802" s="77"/>
      <c r="D802" s="77"/>
      <c r="E802" s="77"/>
      <c r="F802" s="77"/>
      <c r="G802" s="77"/>
      <c r="H802" s="77"/>
      <c r="I802" s="77"/>
      <c r="J802" s="77"/>
      <c r="K802" s="77"/>
      <c r="L802" s="77"/>
      <c r="M802" s="77"/>
      <c r="N802" s="77"/>
      <c r="O802" s="77"/>
      <c r="P802" s="77"/>
      <c r="Q802" s="77"/>
      <c r="R802" s="77"/>
      <c r="S802" s="78"/>
      <c r="T802" s="79"/>
      <c r="U802" s="109"/>
      <c r="V802" s="49"/>
      <c r="W802" s="432"/>
      <c r="X802" s="454"/>
      <c r="Y802" s="433"/>
      <c r="Z802" s="6"/>
      <c r="AA802" s="500"/>
      <c r="AB802" s="562"/>
      <c r="AC802" s="49"/>
      <c r="AD802" s="210"/>
      <c r="AE802" s="434"/>
      <c r="AF802" s="435"/>
      <c r="AG802" s="49"/>
      <c r="AH802" s="87"/>
      <c r="AI802" s="87"/>
    </row>
    <row r="803" spans="1:35" hidden="1">
      <c r="A803" s="80" t="e">
        <f>"A"&amp;E799</f>
        <v>#N/A</v>
      </c>
      <c r="B803" s="81">
        <v>1</v>
      </c>
      <c r="C803" s="82"/>
      <c r="D803" s="82"/>
      <c r="E803" s="82"/>
      <c r="F803" s="82"/>
      <c r="G803" s="83"/>
      <c r="H803" s="83"/>
      <c r="I803" s="84"/>
      <c r="J803" s="85"/>
      <c r="K803" s="382"/>
      <c r="L803" s="85"/>
      <c r="M803" s="332" t="str">
        <f t="shared" ref="M803:M812" si="223">IF(OR(J803="",L803="",H803="NO"),"",IF(OR(J803&gt;$P$17,J803&lt;$O$17,L803&gt;$P$17,AND(J803&lt;$O$17,L803&lt;$O$17)),"FUERA DE RANGO",IF(OR(K803="---",K803=""),IF(J803&gt;=$O$17,ROUND((L803-J803+1)/360*12,3),ROUND((L803-$O$17+1)/360*12,3)),IF(J803&gt;=$O$17,ROUND((L803-J803+1)/360*12-ROUND(K803,3),3),ROUND((L803-$O$17+1)/360*12-ROUND(K803,3),3)))))</f>
        <v/>
      </c>
      <c r="N803" s="86"/>
      <c r="O803" s="453" t="str">
        <f>IF(OR(G803="",N803=""),"",N803*G803)</f>
        <v/>
      </c>
      <c r="P803" s="538" t="str">
        <f>IF(OR(H803="",M803="FUERA DE RANGO"),"",IF(OR(L803&lt;$O$17,L803&gt;$P$17,L803="",H803="NO"),"",IF(OR(N803="",O803=""),"",ROUND(O803,3))))</f>
        <v/>
      </c>
      <c r="Q803" s="539" t="str">
        <f t="shared" ref="Q803:Q812" si="224">IF(AND(H803="SI",P803&lt;&gt;""),ROUND(P803/M803,3),"")</f>
        <v/>
      </c>
      <c r="R803" s="737"/>
      <c r="S803" s="738"/>
      <c r="T803" s="739"/>
      <c r="U803" s="470"/>
      <c r="V803" s="165"/>
      <c r="W803" s="446"/>
      <c r="X803" s="456"/>
      <c r="Y803" s="436"/>
      <c r="Z803" s="437"/>
      <c r="AA803" s="560"/>
      <c r="AB803" s="561"/>
      <c r="AC803" s="87"/>
      <c r="AD803" s="466"/>
      <c r="AE803" s="456"/>
      <c r="AF803" s="467"/>
      <c r="AG803" s="87"/>
      <c r="AH803" s="87"/>
      <c r="AI803" s="87"/>
    </row>
    <row r="804" spans="1:35" hidden="1">
      <c r="A804" s="80" t="e">
        <f>"B"&amp;E799</f>
        <v>#N/A</v>
      </c>
      <c r="B804" s="81">
        <v>2</v>
      </c>
      <c r="C804" s="106"/>
      <c r="D804" s="106"/>
      <c r="E804" s="106"/>
      <c r="F804" s="106"/>
      <c r="G804" s="83"/>
      <c r="H804" s="83"/>
      <c r="I804" s="84"/>
      <c r="J804" s="85"/>
      <c r="K804" s="382"/>
      <c r="L804" s="85"/>
      <c r="M804" s="332" t="str">
        <f t="shared" si="223"/>
        <v/>
      </c>
      <c r="N804" s="86"/>
      <c r="O804" s="453" t="str">
        <f t="shared" ref="O804:O812" si="225">IF(OR(G804="",N804=""),"",N804*G804)</f>
        <v/>
      </c>
      <c r="P804" s="538" t="str">
        <f t="shared" ref="P804:P812" si="226">IF(OR(H804="",M804="FUERA DE RANGO"),"",IF(OR(L804&lt;$O$17,L804&gt;$P$17,L804="",H804="NO"),"",IF(OR(N804="",O804=""),"",ROUND(O804,3))))</f>
        <v/>
      </c>
      <c r="Q804" s="539" t="str">
        <f t="shared" si="224"/>
        <v/>
      </c>
      <c r="R804" s="740"/>
      <c r="S804" s="741"/>
      <c r="T804" s="742"/>
      <c r="U804" s="471"/>
      <c r="V804" s="165"/>
      <c r="W804" s="446"/>
      <c r="X804" s="456"/>
      <c r="Y804" s="436"/>
      <c r="Z804" s="437"/>
      <c r="AA804" s="560"/>
      <c r="AB804" s="561"/>
      <c r="AC804" s="87"/>
      <c r="AD804" s="466"/>
      <c r="AE804" s="456"/>
      <c r="AF804" s="467"/>
      <c r="AG804" s="87"/>
      <c r="AH804" s="87"/>
      <c r="AI804" s="87"/>
    </row>
    <row r="805" spans="1:35" hidden="1">
      <c r="A805" s="80" t="e">
        <f>"C"&amp;E799</f>
        <v>#N/A</v>
      </c>
      <c r="B805" s="88">
        <v>3</v>
      </c>
      <c r="C805" s="82"/>
      <c r="D805" s="82"/>
      <c r="E805" s="82"/>
      <c r="F805" s="82"/>
      <c r="G805" s="83"/>
      <c r="H805" s="83"/>
      <c r="I805" s="84"/>
      <c r="J805" s="85"/>
      <c r="K805" s="382"/>
      <c r="L805" s="85"/>
      <c r="M805" s="332" t="str">
        <f t="shared" si="223"/>
        <v/>
      </c>
      <c r="N805" s="86"/>
      <c r="O805" s="453" t="str">
        <f t="shared" si="225"/>
        <v/>
      </c>
      <c r="P805" s="538" t="str">
        <f t="shared" si="226"/>
        <v/>
      </c>
      <c r="Q805" s="539" t="str">
        <f t="shared" si="224"/>
        <v/>
      </c>
      <c r="R805" s="706"/>
      <c r="S805" s="707"/>
      <c r="T805" s="708"/>
      <c r="U805" s="472"/>
      <c r="V805" s="166"/>
      <c r="W805" s="446"/>
      <c r="X805" s="456"/>
      <c r="Y805" s="436"/>
      <c r="Z805" s="437"/>
      <c r="AA805" s="560"/>
      <c r="AB805" s="561"/>
      <c r="AC805" s="87"/>
      <c r="AD805" s="466"/>
      <c r="AE805" s="456"/>
      <c r="AF805" s="467"/>
      <c r="AG805" s="87"/>
      <c r="AH805" s="87"/>
      <c r="AI805" s="87"/>
    </row>
    <row r="806" spans="1:35" hidden="1">
      <c r="A806" s="80" t="e">
        <f>"D"&amp;E799</f>
        <v>#N/A</v>
      </c>
      <c r="B806" s="105">
        <v>4</v>
      </c>
      <c r="C806" s="107"/>
      <c r="D806" s="107"/>
      <c r="E806" s="107"/>
      <c r="F806" s="107"/>
      <c r="G806" s="83"/>
      <c r="H806" s="83"/>
      <c r="I806" s="84"/>
      <c r="J806" s="85"/>
      <c r="K806" s="382"/>
      <c r="L806" s="85"/>
      <c r="M806" s="332" t="str">
        <f t="shared" si="223"/>
        <v/>
      </c>
      <c r="N806" s="86"/>
      <c r="O806" s="453" t="str">
        <f t="shared" si="225"/>
        <v/>
      </c>
      <c r="P806" s="538" t="str">
        <f t="shared" si="226"/>
        <v/>
      </c>
      <c r="Q806" s="539" t="str">
        <f t="shared" si="224"/>
        <v/>
      </c>
      <c r="R806" s="706"/>
      <c r="S806" s="707"/>
      <c r="T806" s="708"/>
      <c r="U806" s="472"/>
      <c r="V806" s="166"/>
      <c r="W806" s="446"/>
      <c r="X806" s="456"/>
      <c r="Y806" s="436"/>
      <c r="Z806" s="437"/>
      <c r="AA806" s="560"/>
      <c r="AB806" s="561"/>
      <c r="AC806" s="87"/>
      <c r="AD806" s="466"/>
      <c r="AE806" s="456"/>
      <c r="AF806" s="467"/>
      <c r="AG806" s="87"/>
      <c r="AH806" s="87"/>
      <c r="AI806" s="87"/>
    </row>
    <row r="807" spans="1:35" hidden="1">
      <c r="A807" s="80" t="e">
        <f>"E"&amp;E799</f>
        <v>#N/A</v>
      </c>
      <c r="B807" s="105">
        <v>5</v>
      </c>
      <c r="C807" s="107"/>
      <c r="D807" s="107"/>
      <c r="E807" s="107"/>
      <c r="F807" s="107"/>
      <c r="G807" s="83"/>
      <c r="H807" s="83"/>
      <c r="I807" s="84"/>
      <c r="J807" s="85"/>
      <c r="K807" s="382"/>
      <c r="L807" s="85"/>
      <c r="M807" s="332" t="str">
        <f t="shared" si="223"/>
        <v/>
      </c>
      <c r="N807" s="86"/>
      <c r="O807" s="453" t="str">
        <f t="shared" si="225"/>
        <v/>
      </c>
      <c r="P807" s="538" t="str">
        <f t="shared" si="226"/>
        <v/>
      </c>
      <c r="Q807" s="539" t="str">
        <f t="shared" si="224"/>
        <v/>
      </c>
      <c r="R807" s="706"/>
      <c r="S807" s="707"/>
      <c r="T807" s="708"/>
      <c r="U807" s="472"/>
      <c r="V807" s="167"/>
      <c r="W807" s="446"/>
      <c r="X807" s="456"/>
      <c r="Y807" s="436"/>
      <c r="Z807" s="437"/>
      <c r="AA807" s="560"/>
      <c r="AB807" s="561"/>
      <c r="AC807" s="87"/>
      <c r="AD807" s="466"/>
      <c r="AE807" s="456"/>
      <c r="AF807" s="467"/>
      <c r="AG807" s="87"/>
      <c r="AH807" s="87"/>
      <c r="AI807" s="87"/>
    </row>
    <row r="808" spans="1:35" hidden="1">
      <c r="A808" s="80" t="e">
        <f>"F"&amp;E799</f>
        <v>#N/A</v>
      </c>
      <c r="B808" s="105">
        <v>6</v>
      </c>
      <c r="C808" s="107"/>
      <c r="D808" s="107"/>
      <c r="E808" s="107"/>
      <c r="F808" s="107"/>
      <c r="G808" s="83"/>
      <c r="H808" s="83"/>
      <c r="I808" s="84"/>
      <c r="J808" s="85"/>
      <c r="K808" s="382"/>
      <c r="L808" s="85"/>
      <c r="M808" s="332" t="str">
        <f t="shared" si="223"/>
        <v/>
      </c>
      <c r="N808" s="86"/>
      <c r="O808" s="453" t="str">
        <f t="shared" si="225"/>
        <v/>
      </c>
      <c r="P808" s="538" t="str">
        <f t="shared" si="226"/>
        <v/>
      </c>
      <c r="Q808" s="539" t="str">
        <f t="shared" si="224"/>
        <v/>
      </c>
      <c r="R808" s="706"/>
      <c r="S808" s="707"/>
      <c r="T808" s="708"/>
      <c r="U808" s="472"/>
      <c r="V808" s="167"/>
      <c r="W808" s="446"/>
      <c r="X808" s="456"/>
      <c r="Y808" s="436"/>
      <c r="Z808" s="437"/>
      <c r="AA808" s="560"/>
      <c r="AB808" s="561"/>
      <c r="AC808" s="87"/>
      <c r="AD808" s="466"/>
      <c r="AE808" s="456"/>
      <c r="AF808" s="467"/>
      <c r="AG808" s="87"/>
      <c r="AH808" s="87"/>
      <c r="AI808" s="87"/>
    </row>
    <row r="809" spans="1:35" hidden="1">
      <c r="A809" s="80" t="e">
        <f>"G"&amp;E799</f>
        <v>#N/A</v>
      </c>
      <c r="B809" s="105">
        <v>7</v>
      </c>
      <c r="C809" s="107"/>
      <c r="D809" s="107"/>
      <c r="E809" s="107"/>
      <c r="F809" s="107"/>
      <c r="G809" s="83"/>
      <c r="H809" s="83"/>
      <c r="I809" s="84"/>
      <c r="J809" s="85"/>
      <c r="K809" s="382"/>
      <c r="L809" s="85"/>
      <c r="M809" s="332" t="str">
        <f t="shared" si="223"/>
        <v/>
      </c>
      <c r="N809" s="86"/>
      <c r="O809" s="86" t="str">
        <f t="shared" si="225"/>
        <v/>
      </c>
      <c r="P809" s="538" t="str">
        <f t="shared" si="226"/>
        <v/>
      </c>
      <c r="Q809" s="539" t="str">
        <f t="shared" si="224"/>
        <v/>
      </c>
      <c r="R809" s="706"/>
      <c r="S809" s="707"/>
      <c r="T809" s="708"/>
      <c r="U809" s="472"/>
      <c r="V809" s="167"/>
      <c r="W809" s="446"/>
      <c r="X809" s="456"/>
      <c r="Y809" s="436"/>
      <c r="Z809" s="437"/>
      <c r="AA809" s="560"/>
      <c r="AB809" s="561"/>
      <c r="AC809" s="87"/>
      <c r="AD809" s="466"/>
      <c r="AE809" s="456"/>
      <c r="AF809" s="467"/>
      <c r="AG809" s="87"/>
      <c r="AH809" s="87"/>
      <c r="AI809" s="87"/>
    </row>
    <row r="810" spans="1:35" hidden="1">
      <c r="A810" s="80" t="e">
        <f>"H"&amp;E799</f>
        <v>#N/A</v>
      </c>
      <c r="B810" s="105">
        <v>8</v>
      </c>
      <c r="C810" s="107"/>
      <c r="D810" s="107"/>
      <c r="E810" s="107"/>
      <c r="F810" s="107"/>
      <c r="G810" s="83"/>
      <c r="H810" s="83"/>
      <c r="I810" s="84"/>
      <c r="J810" s="85"/>
      <c r="K810" s="382"/>
      <c r="L810" s="85"/>
      <c r="M810" s="332" t="str">
        <f t="shared" si="223"/>
        <v/>
      </c>
      <c r="N810" s="453"/>
      <c r="O810" s="86" t="str">
        <f t="shared" si="225"/>
        <v/>
      </c>
      <c r="P810" s="538" t="str">
        <f t="shared" si="226"/>
        <v/>
      </c>
      <c r="Q810" s="539" t="str">
        <f t="shared" si="224"/>
        <v/>
      </c>
      <c r="R810" s="706"/>
      <c r="S810" s="707"/>
      <c r="T810" s="708"/>
      <c r="U810" s="472"/>
      <c r="V810" s="167"/>
      <c r="W810" s="446"/>
      <c r="X810" s="456"/>
      <c r="Y810" s="436"/>
      <c r="Z810" s="437"/>
      <c r="AA810" s="560"/>
      <c r="AB810" s="561"/>
      <c r="AC810" s="87"/>
      <c r="AD810" s="466"/>
      <c r="AE810" s="456"/>
      <c r="AF810" s="467"/>
      <c r="AG810" s="87"/>
      <c r="AH810" s="87"/>
      <c r="AI810" s="87"/>
    </row>
    <row r="811" spans="1:35" hidden="1">
      <c r="A811" s="80" t="e">
        <f>"I"&amp;E799</f>
        <v>#N/A</v>
      </c>
      <c r="B811" s="105">
        <v>9</v>
      </c>
      <c r="C811" s="107"/>
      <c r="D811" s="107"/>
      <c r="E811" s="107"/>
      <c r="F811" s="107"/>
      <c r="G811" s="83"/>
      <c r="H811" s="83"/>
      <c r="I811" s="84"/>
      <c r="J811" s="85"/>
      <c r="K811" s="382"/>
      <c r="L811" s="85"/>
      <c r="M811" s="332" t="str">
        <f t="shared" si="223"/>
        <v/>
      </c>
      <c r="N811" s="453"/>
      <c r="O811" s="86" t="str">
        <f t="shared" si="225"/>
        <v/>
      </c>
      <c r="P811" s="538" t="str">
        <f t="shared" si="226"/>
        <v/>
      </c>
      <c r="Q811" s="539" t="str">
        <f t="shared" si="224"/>
        <v/>
      </c>
      <c r="R811" s="706"/>
      <c r="S811" s="707"/>
      <c r="T811" s="708"/>
      <c r="U811" s="472"/>
      <c r="V811" s="167"/>
      <c r="W811" s="446"/>
      <c r="X811" s="456"/>
      <c r="Y811" s="436"/>
      <c r="Z811" s="437"/>
      <c r="AA811" s="560"/>
      <c r="AB811" s="561"/>
      <c r="AC811" s="87"/>
      <c r="AD811" s="466"/>
      <c r="AE811" s="456"/>
      <c r="AF811" s="467"/>
      <c r="AG811" s="87"/>
      <c r="AH811" s="87"/>
      <c r="AI811" s="87"/>
    </row>
    <row r="812" spans="1:35" hidden="1">
      <c r="A812" s="80" t="e">
        <f>"J"&amp;E799</f>
        <v>#N/A</v>
      </c>
      <c r="B812" s="105">
        <v>10</v>
      </c>
      <c r="C812" s="107"/>
      <c r="D812" s="107"/>
      <c r="E812" s="107"/>
      <c r="F812" s="107"/>
      <c r="G812" s="83"/>
      <c r="H812" s="83"/>
      <c r="I812" s="84"/>
      <c r="J812" s="85"/>
      <c r="K812" s="382"/>
      <c r="L812" s="85"/>
      <c r="M812" s="332" t="str">
        <f t="shared" si="223"/>
        <v/>
      </c>
      <c r="N812" s="453"/>
      <c r="O812" s="86" t="str">
        <f t="shared" si="225"/>
        <v/>
      </c>
      <c r="P812" s="538" t="str">
        <f t="shared" si="226"/>
        <v/>
      </c>
      <c r="Q812" s="539" t="str">
        <f t="shared" si="224"/>
        <v/>
      </c>
      <c r="R812" s="706"/>
      <c r="S812" s="707"/>
      <c r="T812" s="708"/>
      <c r="U812" s="472"/>
      <c r="V812" s="167"/>
      <c r="W812" s="446"/>
      <c r="X812" s="456"/>
      <c r="Y812" s="436"/>
      <c r="Z812" s="437"/>
      <c r="AA812" s="560"/>
      <c r="AB812" s="561"/>
      <c r="AC812" s="87"/>
      <c r="AD812" s="466"/>
      <c r="AE812" s="456"/>
      <c r="AF812" s="467"/>
      <c r="AG812" s="87"/>
      <c r="AH812" s="87"/>
      <c r="AI812" s="87"/>
    </row>
    <row r="813" spans="1:35" ht="16.5" hidden="1" thickBot="1">
      <c r="A813" s="44"/>
      <c r="B813" s="89"/>
      <c r="C813" s="90"/>
      <c r="D813" s="90"/>
      <c r="E813" s="90"/>
      <c r="F813" s="90"/>
      <c r="G813" s="90"/>
      <c r="H813" s="90"/>
      <c r="I813" s="90"/>
      <c r="J813" s="90"/>
      <c r="K813" s="90"/>
      <c r="L813" s="90"/>
      <c r="M813" s="90"/>
      <c r="N813" s="90"/>
      <c r="O813" s="90"/>
      <c r="P813" s="90"/>
      <c r="Q813" s="90"/>
      <c r="R813" s="90"/>
      <c r="S813" s="91"/>
      <c r="T813" s="92"/>
      <c r="U813" s="473"/>
      <c r="W813" s="438"/>
      <c r="X813" s="455"/>
      <c r="Y813" s="439"/>
      <c r="Z813" s="437"/>
      <c r="AA813" s="530"/>
      <c r="AB813" s="563"/>
      <c r="AC813" s="87"/>
      <c r="AD813" s="440"/>
      <c r="AE813" s="441"/>
      <c r="AF813" s="442"/>
      <c r="AG813" s="49"/>
      <c r="AH813" s="87"/>
      <c r="AI813" s="87"/>
    </row>
    <row r="814" spans="1:35" ht="16.5" hidden="1" thickBot="1">
      <c r="A814" s="93"/>
      <c r="B814" s="94"/>
      <c r="C814" s="96"/>
      <c r="D814" s="96"/>
      <c r="E814" s="96"/>
      <c r="F814" s="96"/>
      <c r="G814" s="96"/>
      <c r="H814" s="96"/>
      <c r="I814" s="96"/>
      <c r="J814" s="96"/>
      <c r="K814" s="96"/>
      <c r="L814" s="96"/>
      <c r="M814" s="136"/>
      <c r="N814" s="96"/>
      <c r="O814" s="96"/>
      <c r="P814" s="97"/>
      <c r="Q814" s="97"/>
      <c r="R814" s="98"/>
      <c r="S814" s="95"/>
      <c r="T814" s="99"/>
      <c r="U814" s="469"/>
      <c r="AC814" s="58"/>
      <c r="AG814" s="58"/>
      <c r="AH814" s="87"/>
      <c r="AI814" s="87"/>
    </row>
    <row r="815" spans="1:35" ht="16.5" hidden="1" thickBot="1">
      <c r="B815" s="101"/>
      <c r="C815" s="101"/>
      <c r="D815" s="101"/>
      <c r="E815" s="101"/>
      <c r="F815" s="101"/>
      <c r="G815" s="101"/>
      <c r="H815" s="101"/>
      <c r="I815" s="101"/>
      <c r="J815" s="101"/>
      <c r="K815" s="101"/>
      <c r="L815" s="101"/>
      <c r="M815" s="101"/>
      <c r="N815" s="101"/>
      <c r="O815" s="101"/>
      <c r="P815" s="101"/>
      <c r="Q815" s="101"/>
      <c r="R815" s="101"/>
      <c r="S815" s="101"/>
      <c r="U815" s="50"/>
      <c r="AH815" s="87"/>
      <c r="AI815" s="87"/>
    </row>
    <row r="816" spans="1:35" ht="16.5" hidden="1" customHeight="1" thickBot="1">
      <c r="A816" s="44"/>
      <c r="B816" s="705" t="s">
        <v>74</v>
      </c>
      <c r="C816" s="705"/>
      <c r="D816" s="705"/>
      <c r="E816" s="705"/>
      <c r="F816" s="705"/>
      <c r="G816" s="705"/>
      <c r="H816" s="705"/>
      <c r="I816" s="705"/>
      <c r="J816" s="705"/>
      <c r="K816" s="705"/>
      <c r="L816" s="705"/>
      <c r="M816" s="705"/>
      <c r="N816" s="705"/>
      <c r="O816" s="705"/>
      <c r="P816" s="705"/>
      <c r="Q816" s="705"/>
      <c r="R816" s="705"/>
      <c r="S816" s="705"/>
      <c r="T816" s="705"/>
      <c r="U816" s="108"/>
      <c r="Y816" s="532" t="s">
        <v>341</v>
      </c>
      <c r="AC816" s="49"/>
      <c r="AD816" s="687" t="s">
        <v>302</v>
      </c>
      <c r="AE816" s="688"/>
      <c r="AF816" s="689"/>
      <c r="AG816" s="49"/>
      <c r="AH816" s="87"/>
      <c r="AI816" s="87"/>
    </row>
    <row r="817" spans="1:35" ht="15.75" hidden="1" customHeight="1" thickBot="1">
      <c r="A817" s="218" t="e">
        <f>"K"&amp;E799</f>
        <v>#N/A</v>
      </c>
      <c r="B817" s="701" t="s">
        <v>71</v>
      </c>
      <c r="C817" s="751" t="s">
        <v>102</v>
      </c>
      <c r="D817" s="751"/>
      <c r="E817" s="751"/>
      <c r="F817" s="751"/>
      <c r="G817" s="751"/>
      <c r="H817" s="751"/>
      <c r="I817" s="751"/>
      <c r="J817" s="751"/>
      <c r="K817" s="751"/>
      <c r="L817" s="722" t="s">
        <v>100</v>
      </c>
      <c r="M817" s="747" t="s">
        <v>114</v>
      </c>
      <c r="N817" s="747"/>
      <c r="O817" s="747"/>
      <c r="P817" s="747"/>
      <c r="Q817" s="748"/>
      <c r="R817" s="758" t="s">
        <v>280</v>
      </c>
      <c r="S817" s="748"/>
      <c r="T817" s="762" t="str">
        <f>IF(COUNTIF(AE817:AF817,"VERIFICAR")&gt;0,"VERIFICAR",IF(COUNTIF(AE817:AF817,"NO CUMPLE")&gt;0,"NO CUMPLE","CUMPLE"))</f>
        <v>VERIFICAR</v>
      </c>
      <c r="U817" s="108"/>
      <c r="Y817" s="533" t="e">
        <f>IF(F818="","",IF(F818=1,"INDIVIDUAL","ESTRUCTURA PLURAL"))</f>
        <v>#N/A</v>
      </c>
      <c r="AC817" s="52"/>
      <c r="AD817" s="475" t="s">
        <v>303</v>
      </c>
      <c r="AE817" s="476" t="str">
        <f>IF(COUNTIF(AE803:AE812,"")=10,"VERIFICAR",IF(COUNTIF(AE803:AE812,"SI")&gt;0,"CUMPLE","NO CUMPLE"))</f>
        <v>VERIFICAR</v>
      </c>
      <c r="AF817" s="477" t="str">
        <f>IF(COUNTIF(AF803:AF812,"")=10,"VERIFICAR",IF(COUNTIF(AF803:AF812,"SI")&gt;=$AI$22,"CUMPLE","NO CUMPLE"))</f>
        <v>VERIFICAR</v>
      </c>
      <c r="AG817" s="52"/>
      <c r="AH817" s="87"/>
      <c r="AI817" s="87"/>
    </row>
    <row r="818" spans="1:35" ht="16.5" hidden="1" customHeight="1" thickBot="1">
      <c r="A818" s="218" t="e">
        <f>"L"&amp;E799</f>
        <v>#N/A</v>
      </c>
      <c r="B818" s="702"/>
      <c r="C818" s="751" t="s">
        <v>103</v>
      </c>
      <c r="D818" s="751"/>
      <c r="E818" s="752"/>
      <c r="F818" s="557" t="e">
        <f>IF(VLOOKUP(E799,PROPONENTES!$C$19:$E$218,3,0)="","",VLOOKUP(E799,PROPONENTES!$C$19:$E$218,3,0))</f>
        <v>#N/A</v>
      </c>
      <c r="G818" s="753" t="s">
        <v>104</v>
      </c>
      <c r="H818" s="751"/>
      <c r="I818" s="715" t="e">
        <f>IF(OR(F818="",F818=1),"INTERESADO PERSONA NATURAL O JURIDICA","CONSORCIO O UNION TEMPORAL")</f>
        <v>#N/A</v>
      </c>
      <c r="J818" s="725"/>
      <c r="K818" s="728"/>
      <c r="L818" s="723"/>
      <c r="M818" s="749"/>
      <c r="N818" s="749"/>
      <c r="O818" s="749"/>
      <c r="P818" s="749"/>
      <c r="Q818" s="750"/>
      <c r="R818" s="712"/>
      <c r="S818" s="750"/>
      <c r="T818" s="763"/>
      <c r="U818" s="108"/>
      <c r="Y818" s="534"/>
      <c r="AA818" s="52"/>
      <c r="AB818" s="52"/>
      <c r="AC818" s="52"/>
      <c r="AG818" s="52"/>
      <c r="AH818" s="87"/>
      <c r="AI818" s="87"/>
    </row>
    <row r="819" spans="1:35" ht="56.25" hidden="1" customHeight="1" thickBot="1">
      <c r="A819" s="218" t="e">
        <f>"M"&amp;E799</f>
        <v>#N/A</v>
      </c>
      <c r="B819" s="702"/>
      <c r="C819" s="725" t="s">
        <v>101</v>
      </c>
      <c r="D819" s="716"/>
      <c r="E819" s="558" t="s">
        <v>105</v>
      </c>
      <c r="F819" s="554" t="s">
        <v>87</v>
      </c>
      <c r="G819" s="553" t="s">
        <v>86</v>
      </c>
      <c r="H819" s="559" t="s">
        <v>85</v>
      </c>
      <c r="I819" s="554" t="s">
        <v>252</v>
      </c>
      <c r="J819" s="553" t="str">
        <f>"¿EL INTEGRANTE TIENE UNA PARTICIPACIÓN DEL "&amp;PORCREQUERIDOINT*100&amp;"%?"</f>
        <v>¿EL INTEGRANTE TIENE UNA PARTICIPACIÓN DEL 60%?</v>
      </c>
      <c r="K819" s="554" t="s">
        <v>107</v>
      </c>
      <c r="L819" s="724"/>
      <c r="M819" s="717" t="s">
        <v>115</v>
      </c>
      <c r="N819" s="718"/>
      <c r="O819" s="718"/>
      <c r="P819" s="718"/>
      <c r="Q819" s="223">
        <f>IF(AND(H803="SI",P803&gt;=0),1,0)+IF(AND(H804="SI",P804&gt;=0),1,0)+IF(AND(H805="SI",P805&gt;=0),1,0)+IF(AND(H806="SI",P806&gt;=0),1,0)+IF(AND(H807="SI",P807&gt;=0),1,0)+IF(AND(H808="SI",P808&gt;=0),1,0)+IF(AND(H809="SI",P809&gt;=0),1,0)+IF(AND(H810="SI",P810&gt;=0),1,0)+IF(AND(H811="SI",P811&gt;=0),1,0)+IF(AND(H812="SI",P812&gt;=0),1,0)</f>
        <v>0</v>
      </c>
      <c r="R819" s="759"/>
      <c r="S819" s="761"/>
      <c r="T819" s="764"/>
      <c r="U819" s="219"/>
      <c r="V819" s="464"/>
      <c r="Y819" s="532" t="s">
        <v>342</v>
      </c>
      <c r="AA819" s="550" t="s">
        <v>344</v>
      </c>
      <c r="AB819" s="693" t="s">
        <v>345</v>
      </c>
      <c r="AC819" s="693" t="s">
        <v>346</v>
      </c>
      <c r="AD819" s="685" t="s">
        <v>347</v>
      </c>
      <c r="AE819" s="52"/>
      <c r="AF819" s="52"/>
      <c r="AG819" s="52"/>
      <c r="AH819" s="87"/>
      <c r="AI819" s="87"/>
    </row>
    <row r="820" spans="1:35" ht="15.75" hidden="1" customHeight="1" thickBot="1">
      <c r="A820" s="218" t="e">
        <f>"N"&amp;E799</f>
        <v>#N/A</v>
      </c>
      <c r="B820" s="702"/>
      <c r="C820" s="114">
        <v>1</v>
      </c>
      <c r="D820" s="194" t="e">
        <f>IF(AND(C820&lt;=F818,F818&gt;1,F818&lt;&gt;""),VLOOKUP(VALUE(E799&amp;","&amp;C820),INTEGRANTES!$D$18:$F$235,2,0),"")</f>
        <v>#N/A</v>
      </c>
      <c r="E820" s="211" t="e">
        <f>IF(D820&lt;&gt;"",VLOOKUP(VALUE(E799&amp;","&amp;C820),INTEGRANTES!$D$18:$F$235,3,0),"")</f>
        <v>#N/A</v>
      </c>
      <c r="F820" s="547" t="e">
        <f>IF(D820="","",SUMIF($I803:$I812,D820,$P803:$P812))</f>
        <v>#N/A</v>
      </c>
      <c r="G820" s="333" t="e">
        <f>IF(D820="","",SUMIF($I803:$I812,D820,$M803:$M812))</f>
        <v>#N/A</v>
      </c>
      <c r="H820" s="535" t="e">
        <f t="shared" ref="H820:H825" si="227">IF(D820="","",IF(OR(F820=0,G820=0),"NO APORTA",ROUND($F820/$G820,3)))</f>
        <v>#N/A</v>
      </c>
      <c r="I820" s="212" t="e">
        <f>IF(D820="","",IF(H820="NO APORTA","NO",IF(H820=MAX($H820:$H825),"SI","NO")))</f>
        <v>#N/A</v>
      </c>
      <c r="J820" s="213" t="e">
        <f t="shared" ref="J820:J825" si="228">IF(D820="","",IF(E820&gt;=PORCREQUERIDOINT,"SI","NO"))</f>
        <v>#N/A</v>
      </c>
      <c r="K820" s="200" t="e">
        <f t="shared" ref="K820:K825" si="229">IF(D820="","",IF(AND(I820="SI",J820="SI"),"CUMPLE",IF(AND(I820="NO",OR(J820="SI",J820="NO")),"","NO CUMPLE")))</f>
        <v>#N/A</v>
      </c>
      <c r="L820" s="722" t="s">
        <v>108</v>
      </c>
      <c r="M820" s="726" t="s">
        <v>119</v>
      </c>
      <c r="N820" s="726"/>
      <c r="O820" s="726"/>
      <c r="P820" s="726"/>
      <c r="Q820" s="727"/>
      <c r="R820" s="758" t="s">
        <v>80</v>
      </c>
      <c r="S820" s="747"/>
      <c r="T820" s="748"/>
      <c r="U820" s="219"/>
      <c r="V820" s="464"/>
      <c r="Y820" s="533" t="e">
        <f>IF(Y817="","",IF(Y817="INDIVIDUAL","NO APLICA","VERIFICAR CUADRO"))</f>
        <v>#N/A</v>
      </c>
      <c r="AA820" s="551"/>
      <c r="AB820" s="694"/>
      <c r="AC820" s="694"/>
      <c r="AD820" s="686"/>
      <c r="AE820" s="52"/>
      <c r="AF820" s="52"/>
      <c r="AG820" s="52"/>
      <c r="AH820" s="87"/>
      <c r="AI820" s="87"/>
    </row>
    <row r="821" spans="1:35" ht="27" hidden="1" customHeight="1" thickBot="1">
      <c r="A821" s="218" t="e">
        <f>"O"&amp;E799</f>
        <v>#N/A</v>
      </c>
      <c r="B821" s="702"/>
      <c r="C821" s="114">
        <v>2</v>
      </c>
      <c r="D821" s="194" t="e">
        <f>IF(AND(C821&lt;=F818,F818&lt;&gt;""),VLOOKUP(VALUE(E799&amp;","&amp;C821),INTEGRANTES!$D$18:$F$235,2,0),"")</f>
        <v>#N/A</v>
      </c>
      <c r="E821" s="211" t="e">
        <f>IF(D821&lt;&gt;"",VLOOKUP(VALUE(E799&amp;","&amp;C821),INTEGRANTES!$D$18:$F$235,3,0),"")</f>
        <v>#N/A</v>
      </c>
      <c r="F821" s="547" t="e">
        <f>IF(D821="","",SUMIF($I803:$I812,D821,$P803:$P812))</f>
        <v>#N/A</v>
      </c>
      <c r="G821" s="333" t="e">
        <f>IF(D821="","",SUMIF($I803:$I812,D821,$M803:$M812))</f>
        <v>#N/A</v>
      </c>
      <c r="H821" s="535" t="e">
        <f t="shared" si="227"/>
        <v>#N/A</v>
      </c>
      <c r="I821" s="212" t="e">
        <f>IF(D821="","",IF(H821="NO APORTA","NO",IF(H821=MAX($H820:$H825),"SI","NO")))</f>
        <v>#N/A</v>
      </c>
      <c r="J821" s="213" t="e">
        <f t="shared" si="228"/>
        <v>#N/A</v>
      </c>
      <c r="K821" s="200" t="e">
        <f t="shared" si="229"/>
        <v>#N/A</v>
      </c>
      <c r="L821" s="723"/>
      <c r="M821" s="715" t="s">
        <v>116</v>
      </c>
      <c r="N821" s="716"/>
      <c r="O821" s="556" t="s">
        <v>113</v>
      </c>
      <c r="P821" s="715" t="s">
        <v>117</v>
      </c>
      <c r="Q821" s="728"/>
      <c r="R821" s="759"/>
      <c r="S821" s="760"/>
      <c r="T821" s="761"/>
      <c r="U821" s="219"/>
      <c r="V821" s="464"/>
      <c r="Y821" s="414"/>
      <c r="AA821" s="542" t="e">
        <f>IF(AND(C820&lt;=F818,F818&gt;1,F818&lt;&gt;""),VLOOKUP(VALUE(E799&amp;","&amp;C820),INTEGRANTES!$D$18:$F$235,2,0),"")</f>
        <v>#N/A</v>
      </c>
      <c r="AB821" s="544" t="e">
        <f t="shared" ref="AB821:AB826" si="230">IF(D820="","",IF(OR(F820=0,G820=0),"NO APORTA",ROUND($F820/$G820,3)))</f>
        <v>#N/A</v>
      </c>
      <c r="AC821" s="529"/>
      <c r="AD821" s="200" t="e">
        <f t="shared" ref="AD821:AD826" si="231">IF(OR(AA821="",AB821=""),"",IF(AND(AC821="X",AB821&gt;=EXPREQVTD),"CUMPLE","NO CUMPLE"))</f>
        <v>#N/A</v>
      </c>
      <c r="AE821" s="52"/>
      <c r="AF821" s="52"/>
      <c r="AG821" s="52"/>
      <c r="AH821" s="87"/>
      <c r="AI821" s="87"/>
    </row>
    <row r="822" spans="1:35" ht="16.5" hidden="1" thickBot="1">
      <c r="A822" s="218" t="e">
        <f>"P"&amp;E799</f>
        <v>#N/A</v>
      </c>
      <c r="B822" s="702"/>
      <c r="C822" s="114">
        <v>3</v>
      </c>
      <c r="D822" s="194" t="e">
        <f>IF(AND(C822&lt;=F818,F818&lt;&gt;""),VLOOKUP(VALUE(E799&amp;","&amp;C822),INTEGRANTES!$D$18:$F$235,2,0),"")</f>
        <v>#N/A</v>
      </c>
      <c r="E822" s="211" t="e">
        <f>IF(D822&lt;&gt;"",VLOOKUP(VALUE(E799&amp;","&amp;C822),INTEGRANTES!$D$18:$F$235,3,0),"")</f>
        <v>#N/A</v>
      </c>
      <c r="F822" s="547" t="e">
        <f>IF(D822="","",SUMIF($I803:$I812,D822,$P803:$P812))</f>
        <v>#N/A</v>
      </c>
      <c r="G822" s="333" t="e">
        <f>IF(D822="","",SUMIF($I803:$I812,D822,$M803:$M812))</f>
        <v>#N/A</v>
      </c>
      <c r="H822" s="535" t="e">
        <f t="shared" si="227"/>
        <v>#N/A</v>
      </c>
      <c r="I822" s="212" t="e">
        <f>IF(D822="","",IF(H822="NO APORTA","NO",IF(H822=MAX($H820:$H825),"SI","NO")))</f>
        <v>#N/A</v>
      </c>
      <c r="J822" s="213" t="e">
        <f t="shared" si="228"/>
        <v>#N/A</v>
      </c>
      <c r="K822" s="200" t="e">
        <f t="shared" si="229"/>
        <v>#N/A</v>
      </c>
      <c r="L822" s="724"/>
      <c r="M822" s="729">
        <f>NUMMOD</f>
        <v>1</v>
      </c>
      <c r="N822" s="730"/>
      <c r="O822" s="443">
        <f>IF(M822="","",VLOOKUP(M822,PRESUPUESTOS!$B$16:$H$16,5,FALSE))</f>
        <v>2</v>
      </c>
      <c r="P822" s="713">
        <f>IF(OR(COUNTIF(M803:M812,"")&gt;=10,Q819&lt;NUMMINCONT,OR(T817="NO CUMPLE",T817="VERIFICAR")),0,ROUND(AVERAGE(M803:M812),3))</f>
        <v>0</v>
      </c>
      <c r="Q822" s="714"/>
      <c r="R822" s="458"/>
      <c r="S822" s="459"/>
      <c r="T822" s="460"/>
      <c r="U822" s="219"/>
      <c r="V822" s="464"/>
      <c r="Y822" s="532" t="str">
        <f>"40% * ("&amp;PRESUPUESTOS!$H$13&amp;")"</f>
        <v>40% * (50% PFMO)</v>
      </c>
      <c r="AA822" s="540" t="e">
        <f>IF(AND(C821&lt;=F818,F818&lt;&gt;""),VLOOKUP(VALUE(E799&amp;","&amp;C821),INTEGRANTES!$D$18:$F$235,2,0),"")</f>
        <v>#N/A</v>
      </c>
      <c r="AB822" s="545" t="e">
        <f t="shared" si="230"/>
        <v>#N/A</v>
      </c>
      <c r="AC822" s="529"/>
      <c r="AD822" s="200" t="e">
        <f t="shared" si="231"/>
        <v>#N/A</v>
      </c>
      <c r="AE822" s="52"/>
      <c r="AF822" s="52"/>
      <c r="AG822" s="52"/>
      <c r="AH822" s="87"/>
      <c r="AI822" s="87"/>
    </row>
    <row r="823" spans="1:35" ht="15.75" hidden="1" customHeight="1" thickBot="1">
      <c r="A823" s="218" t="e">
        <f>"Q"&amp;E799</f>
        <v>#N/A</v>
      </c>
      <c r="B823" s="702"/>
      <c r="C823" s="114">
        <v>4</v>
      </c>
      <c r="D823" s="194" t="e">
        <f>IF(AND(C823&lt;=F818,F818&lt;&gt;""),VLOOKUP(VALUE(E799&amp;","&amp;C823),INTEGRANTES!$D$18:$F$235,2,0),"")</f>
        <v>#N/A</v>
      </c>
      <c r="E823" s="211" t="e">
        <f>IF(D823&lt;&gt;"",VLOOKUP(VALUE(E799&amp;","&amp;C823),INTEGRANTES!$D$18:$F$235,3,0),"")</f>
        <v>#N/A</v>
      </c>
      <c r="F823" s="547" t="e">
        <f>IF(D823="","",SUMIF($I803:$I812,D823,$P803:$P812))</f>
        <v>#N/A</v>
      </c>
      <c r="G823" s="333" t="e">
        <f>IF(D823="","",SUMIF($I803:$I812,D823,$M803:$M812))</f>
        <v>#N/A</v>
      </c>
      <c r="H823" s="535" t="e">
        <f t="shared" si="227"/>
        <v>#N/A</v>
      </c>
      <c r="I823" s="212" t="e">
        <f>IF(D823="","",IF(H823="NO APORTA","NO",IF(H823=MAX($H820:$H825),"SI","NO")))</f>
        <v>#N/A</v>
      </c>
      <c r="J823" s="213" t="e">
        <f t="shared" si="228"/>
        <v>#N/A</v>
      </c>
      <c r="K823" s="200" t="e">
        <f t="shared" si="229"/>
        <v>#N/A</v>
      </c>
      <c r="L823" s="720" t="s">
        <v>109</v>
      </c>
      <c r="M823" s="757" t="s">
        <v>120</v>
      </c>
      <c r="N823" s="726"/>
      <c r="O823" s="726"/>
      <c r="P823" s="726"/>
      <c r="Q823" s="727"/>
      <c r="R823" s="458"/>
      <c r="S823" s="459"/>
      <c r="T823" s="460"/>
      <c r="U823" s="219"/>
      <c r="V823" s="464"/>
      <c r="Y823" s="537">
        <f>0.4*PRESUPUESTOS!$H$16</f>
        <v>10.3124</v>
      </c>
      <c r="AA823" s="540" t="e">
        <f>IF(AND(C822&lt;=F818,F818&lt;&gt;""),VLOOKUP(VALUE(E799&amp;","&amp;C822),INTEGRANTES!$D$18:$F$235,2,0),"")</f>
        <v>#N/A</v>
      </c>
      <c r="AB823" s="545" t="e">
        <f t="shared" si="230"/>
        <v>#N/A</v>
      </c>
      <c r="AC823" s="529"/>
      <c r="AD823" s="200" t="e">
        <f t="shared" si="231"/>
        <v>#N/A</v>
      </c>
      <c r="AE823" s="52"/>
      <c r="AF823" s="52"/>
      <c r="AG823" s="52"/>
      <c r="AH823" s="87"/>
      <c r="AI823" s="87"/>
    </row>
    <row r="824" spans="1:35" ht="27" hidden="1" customHeight="1" thickBot="1">
      <c r="A824" s="218" t="e">
        <f>"R"&amp;E799</f>
        <v>#N/A</v>
      </c>
      <c r="B824" s="702"/>
      <c r="C824" s="114">
        <v>5</v>
      </c>
      <c r="D824" s="194" t="e">
        <f>IF(AND(C824&lt;=F818,F818&lt;&gt;""),VLOOKUP(VALUE(E799&amp;","&amp;C824),INTEGRANTES!$D$18:$F$235,2,0),"")</f>
        <v>#N/A</v>
      </c>
      <c r="E824" s="211" t="e">
        <f>IF(D824&lt;&gt;"",VLOOKUP(VALUE(E799&amp;","&amp;C824),INTEGRANTES!$D$18:$F$235,3,0),"")</f>
        <v>#N/A</v>
      </c>
      <c r="F824" s="547" t="e">
        <f>IF(D824="","",SUMIF($I803:$I812,D824,$P803:$P812))</f>
        <v>#N/A</v>
      </c>
      <c r="G824" s="333" t="e">
        <f>IF(D824="","",SUMIF($I803:$I812,D824,$M803:$M812))</f>
        <v>#N/A</v>
      </c>
      <c r="H824" s="535" t="e">
        <f t="shared" si="227"/>
        <v>#N/A</v>
      </c>
      <c r="I824" s="212" t="e">
        <f>IF(D824="","",IF(H824="NO APORTA","NO",IF(H824=MAX($H820:$H825),"SI","NO")))</f>
        <v>#N/A</v>
      </c>
      <c r="J824" s="213" t="e">
        <f t="shared" si="228"/>
        <v>#N/A</v>
      </c>
      <c r="K824" s="200" t="e">
        <f t="shared" si="229"/>
        <v>#N/A</v>
      </c>
      <c r="L824" s="721"/>
      <c r="M824" s="715" t="s">
        <v>116</v>
      </c>
      <c r="N824" s="716"/>
      <c r="O824" s="556" t="str">
        <f>PORCREQUERIDO*100&amp;"% PMFO DEL MÓDULO"</f>
        <v>50% PMFO DEL MÓDULO</v>
      </c>
      <c r="P824" s="715" t="s">
        <v>118</v>
      </c>
      <c r="Q824" s="728"/>
      <c r="R824" s="458"/>
      <c r="S824" s="459"/>
      <c r="T824" s="460"/>
      <c r="U824" s="219"/>
      <c r="V824" s="464"/>
      <c r="Y824" s="414"/>
      <c r="AA824" s="540" t="e">
        <f>IF(AND(C823&lt;=F818,F818&lt;&gt;""),VLOOKUP(VALUE(E799&amp;","&amp;C823),INTEGRANTES!$D$18:$F$235,2,0),"")</f>
        <v>#N/A</v>
      </c>
      <c r="AB824" s="545" t="e">
        <f t="shared" si="230"/>
        <v>#N/A</v>
      </c>
      <c r="AC824" s="529"/>
      <c r="AD824" s="200" t="e">
        <f t="shared" si="231"/>
        <v>#N/A</v>
      </c>
      <c r="AE824" s="52"/>
      <c r="AF824" s="52"/>
      <c r="AG824" s="52"/>
      <c r="AH824" s="87"/>
      <c r="AI824" s="87"/>
    </row>
    <row r="825" spans="1:35" ht="16.5" hidden="1" thickBot="1">
      <c r="A825" s="218" t="e">
        <f>"S"&amp;E799</f>
        <v>#N/A</v>
      </c>
      <c r="B825" s="702"/>
      <c r="C825" s="215">
        <v>6</v>
      </c>
      <c r="D825" s="216" t="e">
        <f>IF(AND(C825&lt;=F818,F818&lt;&gt;""),VLOOKUP(VALUE(E799&amp;","&amp;C825),INTEGRANTES!$D$18:$F$235,2,0),"")</f>
        <v>#N/A</v>
      </c>
      <c r="E825" s="217" t="e">
        <f>IF(D825&lt;&gt;"",VLOOKUP(VALUE(E799&amp;","&amp;C825),INTEGRANTES!$D$18:$F$235,3,0),"")</f>
        <v>#N/A</v>
      </c>
      <c r="F825" s="548" t="e">
        <f>IF(D825="","",SUMIF($I803:$I812,D825,$P803:$P812))</f>
        <v>#N/A</v>
      </c>
      <c r="G825" s="334" t="e">
        <f>IF(D825="","",SUMIF($I803:$I812,D825,$M803:$M812))</f>
        <v>#N/A</v>
      </c>
      <c r="H825" s="536" t="e">
        <f t="shared" si="227"/>
        <v>#N/A</v>
      </c>
      <c r="I825" s="214" t="e">
        <f>IF(D825="","",IF(H825="NO APORTA","NO",IF(H825=MAX($H820:$H825),"SI","NO")))</f>
        <v>#N/A</v>
      </c>
      <c r="J825" s="213" t="e">
        <f t="shared" si="228"/>
        <v>#N/A</v>
      </c>
      <c r="K825" s="200" t="e">
        <f t="shared" si="229"/>
        <v>#N/A</v>
      </c>
      <c r="L825" s="721"/>
      <c r="M825" s="729">
        <f>NUMMOD</f>
        <v>1</v>
      </c>
      <c r="N825" s="730"/>
      <c r="O825" s="443">
        <f>IF(M825="","",ROUND(VLOOKUP(M825,PRESUPUESTOS!$B$16:$H$16,7,FALSE),3))</f>
        <v>25.780999999999999</v>
      </c>
      <c r="P825" s="713">
        <f>IF(OR(COUNTIF(P803:P812,"")&gt;=10,Q819&lt;NUMMINCONT,OR(T817="NO CUMPLE",T817="VERIFICAR")),0,ROUND((SUM(P803:P812)/SUM(M803:M812)),3))</f>
        <v>0</v>
      </c>
      <c r="Q825" s="714"/>
      <c r="R825" s="458"/>
      <c r="S825" s="459"/>
      <c r="T825" s="460"/>
      <c r="U825" s="219"/>
      <c r="V825" s="464"/>
      <c r="Y825" s="532" t="s">
        <v>343</v>
      </c>
      <c r="AA825" s="540" t="e">
        <f>IF(AND(C824&lt;=F818,F818&lt;&gt;""),VLOOKUP(VALUE(E799&amp;","&amp;C824),INTEGRANTES!$D$18:$F$235,2,0),"")</f>
        <v>#N/A</v>
      </c>
      <c r="AB825" s="545" t="e">
        <f t="shared" si="230"/>
        <v>#N/A</v>
      </c>
      <c r="AC825" s="529"/>
      <c r="AD825" s="200" t="e">
        <f t="shared" si="231"/>
        <v>#N/A</v>
      </c>
      <c r="AE825" s="52"/>
      <c r="AF825" s="52"/>
      <c r="AG825" s="52"/>
      <c r="AH825" s="87"/>
      <c r="AI825" s="87"/>
    </row>
    <row r="826" spans="1:35" ht="16.5" hidden="1" customHeight="1" thickBot="1">
      <c r="A826" s="218" t="e">
        <f>"T"&amp;E799</f>
        <v>#N/A</v>
      </c>
      <c r="B826" s="703"/>
      <c r="C826" s="719"/>
      <c r="D826" s="719"/>
      <c r="E826" s="719"/>
      <c r="F826" s="719"/>
      <c r="G826" s="719"/>
      <c r="H826" s="719" t="s">
        <v>110</v>
      </c>
      <c r="I826" s="719"/>
      <c r="J826" s="719"/>
      <c r="K826" s="201" t="str">
        <f>IF(COUNTIF(K820:K825,"")=6,"",IF(COUNTIF(K820:K825,"CUMPLE")&gt;0,"CUMPLE","NO CUMPLE"))</f>
        <v>NO CUMPLE</v>
      </c>
      <c r="L826" s="754"/>
      <c r="M826" s="755"/>
      <c r="N826" s="755"/>
      <c r="O826" s="755"/>
      <c r="P826" s="755"/>
      <c r="Q826" s="756"/>
      <c r="R826" s="461"/>
      <c r="S826" s="462"/>
      <c r="T826" s="463"/>
      <c r="U826" s="219"/>
      <c r="V826" s="464"/>
      <c r="Y826" s="549" t="e">
        <f>IF(Y820="NO APLICA","NO APLICA",IF(COUNTIF(AD821:AD826,"CUMPLE")&gt;0,"CUMPLE","NO CUMPLE"))</f>
        <v>#N/A</v>
      </c>
      <c r="AA826" s="541" t="e">
        <f>IF(AND(C825&lt;=F818,F818&lt;&gt;""),VLOOKUP(VALUE(E799&amp;","&amp;C825),INTEGRANTES!$D$18:$F$235,2,0),"")</f>
        <v>#N/A</v>
      </c>
      <c r="AB826" s="546" t="e">
        <f t="shared" si="230"/>
        <v>#N/A</v>
      </c>
      <c r="AC826" s="543"/>
      <c r="AD826" s="201" t="e">
        <f t="shared" si="231"/>
        <v>#N/A</v>
      </c>
      <c r="AE826" s="52"/>
      <c r="AF826" s="52"/>
      <c r="AG826" s="52"/>
      <c r="AH826" s="87"/>
      <c r="AI826" s="87"/>
    </row>
    <row r="827" spans="1:35" hidden="1">
      <c r="A827" s="103"/>
      <c r="B827" s="206"/>
      <c r="C827" s="206"/>
      <c r="D827" s="206"/>
      <c r="E827" s="206"/>
      <c r="F827" s="206"/>
      <c r="G827" s="206"/>
      <c r="H827" s="206"/>
      <c r="I827" s="104"/>
      <c r="J827" s="206"/>
      <c r="K827" s="113"/>
      <c r="L827" s="113"/>
      <c r="M827" s="113"/>
      <c r="N827" s="222"/>
      <c r="O827" s="113"/>
      <c r="P827" s="113"/>
      <c r="Q827" s="113"/>
      <c r="R827" s="206"/>
      <c r="S827" s="104"/>
      <c r="T827" s="206"/>
      <c r="U827" s="474"/>
      <c r="AH827" s="87"/>
      <c r="AI827" s="87"/>
    </row>
    <row r="828" spans="1:35" hidden="1">
      <c r="H828" s="220"/>
      <c r="AH828" s="87"/>
      <c r="AI828" s="87"/>
    </row>
    <row r="829" spans="1:35" ht="24" hidden="1" thickBot="1">
      <c r="A829" s="61">
        <v>28</v>
      </c>
      <c r="B829" s="704" t="s">
        <v>51</v>
      </c>
      <c r="C829" s="704"/>
      <c r="D829" s="704"/>
      <c r="E829" s="62" t="e">
        <f>VLOOKUP(A829,PROPONENTES!$B$19:$E$218,2,FALSE)</f>
        <v>#N/A</v>
      </c>
      <c r="F829" s="63" t="e">
        <f>VLOOKUP(A829,PROPONENTES!$B$19:$E$218,3,FALSE)</f>
        <v>#N/A</v>
      </c>
      <c r="G829" s="64"/>
      <c r="H829" s="64"/>
      <c r="I829" s="63"/>
      <c r="J829" s="63"/>
      <c r="K829" s="65"/>
      <c r="L829" s="65"/>
      <c r="M829" s="64"/>
      <c r="N829" s="64"/>
      <c r="O829" s="66"/>
      <c r="P829" s="66"/>
      <c r="Q829" s="66"/>
      <c r="R829" s="66"/>
      <c r="S829" s="67"/>
      <c r="T829" s="68"/>
      <c r="U829" s="68"/>
      <c r="AC829" s="68"/>
      <c r="AD829" s="68"/>
      <c r="AE829" s="68"/>
      <c r="AF829" s="68"/>
      <c r="AG829" s="68"/>
      <c r="AH829" s="87"/>
      <c r="AI829" s="87"/>
    </row>
    <row r="830" spans="1:35" ht="15.75" hidden="1" customHeight="1">
      <c r="A830" s="44"/>
      <c r="B830" s="709" t="s">
        <v>59</v>
      </c>
      <c r="C830" s="552" t="s">
        <v>60</v>
      </c>
      <c r="D830" s="70" t="s">
        <v>17</v>
      </c>
      <c r="E830" s="70"/>
      <c r="F830" s="70" t="s">
        <v>61</v>
      </c>
      <c r="G830" s="71"/>
      <c r="H830" s="699" t="s">
        <v>62</v>
      </c>
      <c r="I830" s="699" t="s">
        <v>18</v>
      </c>
      <c r="J830" s="699" t="s">
        <v>63</v>
      </c>
      <c r="K830" s="699" t="s">
        <v>64</v>
      </c>
      <c r="L830" s="699" t="s">
        <v>65</v>
      </c>
      <c r="M830" s="743" t="s">
        <v>66</v>
      </c>
      <c r="N830" s="699" t="s">
        <v>282</v>
      </c>
      <c r="O830" s="745" t="s">
        <v>67</v>
      </c>
      <c r="P830" s="746"/>
      <c r="Q830" s="102" t="s">
        <v>75</v>
      </c>
      <c r="R830" s="731" t="s">
        <v>22</v>
      </c>
      <c r="S830" s="732"/>
      <c r="T830" s="733"/>
      <c r="U830" s="712" t="s">
        <v>298</v>
      </c>
      <c r="W830" s="690" t="s">
        <v>268</v>
      </c>
      <c r="X830" s="691"/>
      <c r="Y830" s="692"/>
      <c r="Z830" s="428"/>
      <c r="AA830" s="697" t="s">
        <v>315</v>
      </c>
      <c r="AB830" s="695" t="s">
        <v>322</v>
      </c>
      <c r="AC830" s="49"/>
      <c r="AD830" s="690" t="s">
        <v>297</v>
      </c>
      <c r="AE830" s="691"/>
      <c r="AF830" s="692"/>
      <c r="AG830" s="49"/>
      <c r="AH830" s="87"/>
      <c r="AI830" s="87"/>
    </row>
    <row r="831" spans="1:35" ht="72" hidden="1">
      <c r="A831" s="44"/>
      <c r="B831" s="710"/>
      <c r="C831" s="553" t="s">
        <v>68</v>
      </c>
      <c r="D831" s="73" t="s">
        <v>3</v>
      </c>
      <c r="E831" s="73" t="s">
        <v>19</v>
      </c>
      <c r="F831" s="73" t="s">
        <v>69</v>
      </c>
      <c r="G831" s="74" t="s">
        <v>70</v>
      </c>
      <c r="H831" s="700"/>
      <c r="I831" s="700"/>
      <c r="J831" s="700"/>
      <c r="K831" s="700"/>
      <c r="L831" s="700"/>
      <c r="M831" s="744"/>
      <c r="N831" s="700"/>
      <c r="O831" s="553" t="s">
        <v>279</v>
      </c>
      <c r="P831" s="73" t="s">
        <v>88</v>
      </c>
      <c r="Q831" s="555" t="s">
        <v>76</v>
      </c>
      <c r="R831" s="734"/>
      <c r="S831" s="735"/>
      <c r="T831" s="736"/>
      <c r="U831" s="712"/>
      <c r="W831" s="429" t="s">
        <v>269</v>
      </c>
      <c r="X831" s="457" t="s">
        <v>278</v>
      </c>
      <c r="Y831" s="430" t="s">
        <v>324</v>
      </c>
      <c r="Z831" s="428"/>
      <c r="AA831" s="698"/>
      <c r="AB831" s="696"/>
      <c r="AC831" s="49"/>
      <c r="AD831" s="429" t="s">
        <v>292</v>
      </c>
      <c r="AE831" s="431" t="s">
        <v>300</v>
      </c>
      <c r="AF831" s="468" t="s">
        <v>301</v>
      </c>
      <c r="AG831" s="49"/>
      <c r="AH831" s="87"/>
      <c r="AI831" s="87"/>
    </row>
    <row r="832" spans="1:35" hidden="1">
      <c r="A832" s="44"/>
      <c r="B832" s="76"/>
      <c r="C832" s="77"/>
      <c r="D832" s="77"/>
      <c r="E832" s="77"/>
      <c r="F832" s="77"/>
      <c r="G832" s="77"/>
      <c r="H832" s="77"/>
      <c r="I832" s="77"/>
      <c r="J832" s="77"/>
      <c r="K832" s="77"/>
      <c r="L832" s="77"/>
      <c r="M832" s="77"/>
      <c r="N832" s="77"/>
      <c r="O832" s="77"/>
      <c r="P832" s="77"/>
      <c r="Q832" s="77"/>
      <c r="R832" s="77"/>
      <c r="S832" s="78"/>
      <c r="T832" s="79"/>
      <c r="U832" s="109"/>
      <c r="V832" s="49"/>
      <c r="W832" s="432"/>
      <c r="X832" s="454"/>
      <c r="Y832" s="433"/>
      <c r="Z832" s="6"/>
      <c r="AA832" s="500"/>
      <c r="AB832" s="562"/>
      <c r="AC832" s="49"/>
      <c r="AD832" s="210"/>
      <c r="AE832" s="434"/>
      <c r="AF832" s="435"/>
      <c r="AG832" s="49"/>
      <c r="AH832" s="87"/>
      <c r="AI832" s="87"/>
    </row>
    <row r="833" spans="1:35" hidden="1">
      <c r="A833" s="80" t="e">
        <f>"A"&amp;E829</f>
        <v>#N/A</v>
      </c>
      <c r="B833" s="81">
        <v>1</v>
      </c>
      <c r="C833" s="82"/>
      <c r="D833" s="82"/>
      <c r="E833" s="82"/>
      <c r="F833" s="82"/>
      <c r="G833" s="83"/>
      <c r="H833" s="83"/>
      <c r="I833" s="84"/>
      <c r="J833" s="85"/>
      <c r="K833" s="382"/>
      <c r="L833" s="85"/>
      <c r="M833" s="332" t="str">
        <f t="shared" ref="M833:M842" si="232">IF(OR(J833="",L833="",H833="NO"),"",IF(OR(J833&gt;$P$17,J833&lt;$O$17,L833&gt;$P$17,AND(J833&lt;$O$17,L833&lt;$O$17)),"FUERA DE RANGO",IF(OR(K833="---",K833=""),IF(J833&gt;=$O$17,ROUND((L833-J833+1)/360*12,3),ROUND((L833-$O$17+1)/360*12,3)),IF(J833&gt;=$O$17,ROUND((L833-J833+1)/360*12-ROUND(K833,3),3),ROUND((L833-$O$17+1)/360*12-ROUND(K833,3),3)))))</f>
        <v/>
      </c>
      <c r="N833" s="86"/>
      <c r="O833" s="453" t="str">
        <f>IF(OR(G833="",N833=""),"",N833*G833)</f>
        <v/>
      </c>
      <c r="P833" s="538" t="str">
        <f>IF(OR(H833="",M833="FUERA DE RANGO"),"",IF(OR(L833&lt;$O$17,L833&gt;$P$17,L833="",H833="NO"),"",IF(OR(N833="",O833=""),"",ROUND(O833,3))))</f>
        <v/>
      </c>
      <c r="Q833" s="539" t="str">
        <f t="shared" ref="Q833:Q842" si="233">IF(AND(H833="SI",P833&lt;&gt;""),ROUND(P833/M833,3),"")</f>
        <v/>
      </c>
      <c r="R833" s="737"/>
      <c r="S833" s="738"/>
      <c r="T833" s="739"/>
      <c r="U833" s="470"/>
      <c r="V833" s="165"/>
      <c r="W833" s="446"/>
      <c r="X833" s="456"/>
      <c r="Y833" s="436"/>
      <c r="Z833" s="437"/>
      <c r="AA833" s="560"/>
      <c r="AB833" s="561"/>
      <c r="AC833" s="87"/>
      <c r="AD833" s="466"/>
      <c r="AE833" s="456"/>
      <c r="AF833" s="467"/>
      <c r="AG833" s="87"/>
      <c r="AH833" s="87"/>
      <c r="AI833" s="87"/>
    </row>
    <row r="834" spans="1:35" hidden="1">
      <c r="A834" s="80" t="e">
        <f>"B"&amp;E829</f>
        <v>#N/A</v>
      </c>
      <c r="B834" s="81">
        <v>2</v>
      </c>
      <c r="C834" s="106"/>
      <c r="D834" s="106"/>
      <c r="E834" s="106"/>
      <c r="F834" s="106"/>
      <c r="G834" s="83"/>
      <c r="H834" s="83"/>
      <c r="I834" s="84"/>
      <c r="J834" s="85"/>
      <c r="K834" s="382"/>
      <c r="L834" s="85"/>
      <c r="M834" s="332" t="str">
        <f t="shared" si="232"/>
        <v/>
      </c>
      <c r="N834" s="86"/>
      <c r="O834" s="453" t="str">
        <f t="shared" ref="O834:O842" si="234">IF(OR(G834="",N834=""),"",N834*G834)</f>
        <v/>
      </c>
      <c r="P834" s="538" t="str">
        <f t="shared" ref="P834:P842" si="235">IF(OR(H834="",M834="FUERA DE RANGO"),"",IF(OR(L834&lt;$O$17,L834&gt;$P$17,L834="",H834="NO"),"",IF(OR(N834="",O834=""),"",ROUND(O834,3))))</f>
        <v/>
      </c>
      <c r="Q834" s="539" t="str">
        <f t="shared" si="233"/>
        <v/>
      </c>
      <c r="R834" s="740"/>
      <c r="S834" s="741"/>
      <c r="T834" s="742"/>
      <c r="U834" s="471"/>
      <c r="V834" s="165"/>
      <c r="W834" s="446"/>
      <c r="X834" s="456"/>
      <c r="Y834" s="436"/>
      <c r="Z834" s="437"/>
      <c r="AA834" s="560"/>
      <c r="AB834" s="561"/>
      <c r="AC834" s="87"/>
      <c r="AD834" s="466"/>
      <c r="AE834" s="456"/>
      <c r="AF834" s="467"/>
      <c r="AG834" s="87"/>
      <c r="AH834" s="87"/>
      <c r="AI834" s="87"/>
    </row>
    <row r="835" spans="1:35" hidden="1">
      <c r="A835" s="80" t="e">
        <f>"C"&amp;E829</f>
        <v>#N/A</v>
      </c>
      <c r="B835" s="88">
        <v>3</v>
      </c>
      <c r="C835" s="82"/>
      <c r="D835" s="82"/>
      <c r="E835" s="82"/>
      <c r="F835" s="82"/>
      <c r="G835" s="83"/>
      <c r="H835" s="83"/>
      <c r="I835" s="84"/>
      <c r="J835" s="85"/>
      <c r="K835" s="382"/>
      <c r="L835" s="85"/>
      <c r="M835" s="332" t="str">
        <f t="shared" si="232"/>
        <v/>
      </c>
      <c r="N835" s="86"/>
      <c r="O835" s="453" t="str">
        <f t="shared" si="234"/>
        <v/>
      </c>
      <c r="P835" s="538" t="str">
        <f t="shared" si="235"/>
        <v/>
      </c>
      <c r="Q835" s="539" t="str">
        <f t="shared" si="233"/>
        <v/>
      </c>
      <c r="R835" s="706"/>
      <c r="S835" s="707"/>
      <c r="T835" s="708"/>
      <c r="U835" s="472"/>
      <c r="V835" s="166"/>
      <c r="W835" s="446"/>
      <c r="X835" s="456"/>
      <c r="Y835" s="436"/>
      <c r="Z835" s="437"/>
      <c r="AA835" s="560"/>
      <c r="AB835" s="561"/>
      <c r="AC835" s="87"/>
      <c r="AD835" s="466"/>
      <c r="AE835" s="456"/>
      <c r="AF835" s="467"/>
      <c r="AG835" s="87"/>
      <c r="AH835" s="87"/>
      <c r="AI835" s="87"/>
    </row>
    <row r="836" spans="1:35" hidden="1">
      <c r="A836" s="80" t="e">
        <f>"D"&amp;E829</f>
        <v>#N/A</v>
      </c>
      <c r="B836" s="105">
        <v>4</v>
      </c>
      <c r="C836" s="107"/>
      <c r="D836" s="107"/>
      <c r="E836" s="107"/>
      <c r="F836" s="107"/>
      <c r="G836" s="83"/>
      <c r="H836" s="83"/>
      <c r="I836" s="84"/>
      <c r="J836" s="85"/>
      <c r="K836" s="382"/>
      <c r="L836" s="85"/>
      <c r="M836" s="332" t="str">
        <f t="shared" si="232"/>
        <v/>
      </c>
      <c r="N836" s="86"/>
      <c r="O836" s="453" t="str">
        <f t="shared" si="234"/>
        <v/>
      </c>
      <c r="P836" s="538" t="str">
        <f t="shared" si="235"/>
        <v/>
      </c>
      <c r="Q836" s="539" t="str">
        <f t="shared" si="233"/>
        <v/>
      </c>
      <c r="R836" s="706"/>
      <c r="S836" s="707"/>
      <c r="T836" s="708"/>
      <c r="U836" s="472"/>
      <c r="V836" s="166"/>
      <c r="W836" s="446"/>
      <c r="X836" s="456"/>
      <c r="Y836" s="436"/>
      <c r="Z836" s="437"/>
      <c r="AA836" s="560"/>
      <c r="AB836" s="561"/>
      <c r="AC836" s="87"/>
      <c r="AD836" s="466"/>
      <c r="AE836" s="456"/>
      <c r="AF836" s="467"/>
      <c r="AG836" s="87"/>
      <c r="AH836" s="87"/>
      <c r="AI836" s="87"/>
    </row>
    <row r="837" spans="1:35" hidden="1">
      <c r="A837" s="80" t="e">
        <f>"E"&amp;E829</f>
        <v>#N/A</v>
      </c>
      <c r="B837" s="105">
        <v>5</v>
      </c>
      <c r="C837" s="107"/>
      <c r="D837" s="107"/>
      <c r="E837" s="107"/>
      <c r="F837" s="107"/>
      <c r="G837" s="83"/>
      <c r="H837" s="83"/>
      <c r="I837" s="84"/>
      <c r="J837" s="85"/>
      <c r="K837" s="382"/>
      <c r="L837" s="85"/>
      <c r="M837" s="332" t="str">
        <f t="shared" si="232"/>
        <v/>
      </c>
      <c r="N837" s="86"/>
      <c r="O837" s="453" t="str">
        <f t="shared" si="234"/>
        <v/>
      </c>
      <c r="P837" s="538" t="str">
        <f t="shared" si="235"/>
        <v/>
      </c>
      <c r="Q837" s="539" t="str">
        <f t="shared" si="233"/>
        <v/>
      </c>
      <c r="R837" s="706"/>
      <c r="S837" s="707"/>
      <c r="T837" s="708"/>
      <c r="U837" s="472"/>
      <c r="V837" s="167"/>
      <c r="W837" s="446"/>
      <c r="X837" s="456"/>
      <c r="Y837" s="436"/>
      <c r="Z837" s="437"/>
      <c r="AA837" s="560"/>
      <c r="AB837" s="561"/>
      <c r="AC837" s="87"/>
      <c r="AD837" s="466"/>
      <c r="AE837" s="456"/>
      <c r="AF837" s="467"/>
      <c r="AG837" s="87"/>
      <c r="AH837" s="87"/>
      <c r="AI837" s="87"/>
    </row>
    <row r="838" spans="1:35" hidden="1">
      <c r="A838" s="80" t="e">
        <f>"F"&amp;E829</f>
        <v>#N/A</v>
      </c>
      <c r="B838" s="105">
        <v>6</v>
      </c>
      <c r="C838" s="107"/>
      <c r="D838" s="107"/>
      <c r="E838" s="107"/>
      <c r="F838" s="107"/>
      <c r="G838" s="83"/>
      <c r="H838" s="83"/>
      <c r="I838" s="84"/>
      <c r="J838" s="85"/>
      <c r="K838" s="382"/>
      <c r="L838" s="85"/>
      <c r="M838" s="332" t="str">
        <f t="shared" si="232"/>
        <v/>
      </c>
      <c r="N838" s="86"/>
      <c r="O838" s="453" t="str">
        <f t="shared" si="234"/>
        <v/>
      </c>
      <c r="P838" s="538" t="str">
        <f t="shared" si="235"/>
        <v/>
      </c>
      <c r="Q838" s="539" t="str">
        <f t="shared" si="233"/>
        <v/>
      </c>
      <c r="R838" s="706"/>
      <c r="S838" s="707"/>
      <c r="T838" s="708"/>
      <c r="U838" s="472"/>
      <c r="V838" s="167"/>
      <c r="W838" s="446"/>
      <c r="X838" s="456"/>
      <c r="Y838" s="436"/>
      <c r="Z838" s="437"/>
      <c r="AA838" s="560"/>
      <c r="AB838" s="561"/>
      <c r="AC838" s="87"/>
      <c r="AD838" s="466"/>
      <c r="AE838" s="456"/>
      <c r="AF838" s="467"/>
      <c r="AG838" s="87"/>
      <c r="AH838" s="87"/>
      <c r="AI838" s="87"/>
    </row>
    <row r="839" spans="1:35" hidden="1">
      <c r="A839" s="80" t="e">
        <f>"G"&amp;E829</f>
        <v>#N/A</v>
      </c>
      <c r="B839" s="105">
        <v>7</v>
      </c>
      <c r="C839" s="107"/>
      <c r="D839" s="107"/>
      <c r="E839" s="107"/>
      <c r="F839" s="107"/>
      <c r="G839" s="83"/>
      <c r="H839" s="83"/>
      <c r="I839" s="84"/>
      <c r="J839" s="85"/>
      <c r="K839" s="382"/>
      <c r="L839" s="85"/>
      <c r="M839" s="332" t="str">
        <f t="shared" si="232"/>
        <v/>
      </c>
      <c r="N839" s="86"/>
      <c r="O839" s="86" t="str">
        <f t="shared" si="234"/>
        <v/>
      </c>
      <c r="P839" s="538" t="str">
        <f t="shared" si="235"/>
        <v/>
      </c>
      <c r="Q839" s="539" t="str">
        <f t="shared" si="233"/>
        <v/>
      </c>
      <c r="R839" s="706"/>
      <c r="S839" s="707"/>
      <c r="T839" s="708"/>
      <c r="U839" s="472"/>
      <c r="V839" s="167"/>
      <c r="W839" s="446"/>
      <c r="X839" s="456"/>
      <c r="Y839" s="436"/>
      <c r="Z839" s="437"/>
      <c r="AA839" s="560"/>
      <c r="AB839" s="561"/>
      <c r="AC839" s="87"/>
      <c r="AD839" s="466"/>
      <c r="AE839" s="456"/>
      <c r="AF839" s="467"/>
      <c r="AG839" s="87"/>
      <c r="AH839" s="87"/>
      <c r="AI839" s="87"/>
    </row>
    <row r="840" spans="1:35" hidden="1">
      <c r="A840" s="80" t="e">
        <f>"H"&amp;E829</f>
        <v>#N/A</v>
      </c>
      <c r="B840" s="105">
        <v>8</v>
      </c>
      <c r="C840" s="107"/>
      <c r="D840" s="107"/>
      <c r="E840" s="107"/>
      <c r="F840" s="107"/>
      <c r="G840" s="83"/>
      <c r="H840" s="83"/>
      <c r="I840" s="84"/>
      <c r="J840" s="85"/>
      <c r="K840" s="382"/>
      <c r="L840" s="85"/>
      <c r="M840" s="332" t="str">
        <f t="shared" si="232"/>
        <v/>
      </c>
      <c r="N840" s="453"/>
      <c r="O840" s="86" t="str">
        <f t="shared" si="234"/>
        <v/>
      </c>
      <c r="P840" s="538" t="str">
        <f t="shared" si="235"/>
        <v/>
      </c>
      <c r="Q840" s="539" t="str">
        <f t="shared" si="233"/>
        <v/>
      </c>
      <c r="R840" s="706"/>
      <c r="S840" s="707"/>
      <c r="T840" s="708"/>
      <c r="U840" s="472"/>
      <c r="V840" s="167"/>
      <c r="W840" s="446"/>
      <c r="X840" s="456"/>
      <c r="Y840" s="436"/>
      <c r="Z840" s="437"/>
      <c r="AA840" s="560"/>
      <c r="AB840" s="561"/>
      <c r="AC840" s="87"/>
      <c r="AD840" s="466"/>
      <c r="AE840" s="456"/>
      <c r="AF840" s="467"/>
      <c r="AG840" s="87"/>
      <c r="AH840" s="87"/>
      <c r="AI840" s="87"/>
    </row>
    <row r="841" spans="1:35" hidden="1">
      <c r="A841" s="80" t="e">
        <f>"I"&amp;E829</f>
        <v>#N/A</v>
      </c>
      <c r="B841" s="105">
        <v>9</v>
      </c>
      <c r="C841" s="107"/>
      <c r="D841" s="107"/>
      <c r="E841" s="107"/>
      <c r="F841" s="107"/>
      <c r="G841" s="83"/>
      <c r="H841" s="83"/>
      <c r="I841" s="84"/>
      <c r="J841" s="85"/>
      <c r="K841" s="382"/>
      <c r="L841" s="85"/>
      <c r="M841" s="332" t="str">
        <f t="shared" si="232"/>
        <v/>
      </c>
      <c r="N841" s="453"/>
      <c r="O841" s="86" t="str">
        <f t="shared" si="234"/>
        <v/>
      </c>
      <c r="P841" s="538" t="str">
        <f t="shared" si="235"/>
        <v/>
      </c>
      <c r="Q841" s="539" t="str">
        <f t="shared" si="233"/>
        <v/>
      </c>
      <c r="R841" s="706"/>
      <c r="S841" s="707"/>
      <c r="T841" s="708"/>
      <c r="U841" s="472"/>
      <c r="V841" s="167"/>
      <c r="W841" s="446"/>
      <c r="X841" s="456"/>
      <c r="Y841" s="436"/>
      <c r="Z841" s="437"/>
      <c r="AA841" s="560"/>
      <c r="AB841" s="561"/>
      <c r="AC841" s="87"/>
      <c r="AD841" s="466"/>
      <c r="AE841" s="456"/>
      <c r="AF841" s="467"/>
      <c r="AG841" s="87"/>
      <c r="AH841" s="87"/>
      <c r="AI841" s="87"/>
    </row>
    <row r="842" spans="1:35" hidden="1">
      <c r="A842" s="80" t="e">
        <f>"J"&amp;E829</f>
        <v>#N/A</v>
      </c>
      <c r="B842" s="105">
        <v>10</v>
      </c>
      <c r="C842" s="107"/>
      <c r="D842" s="107"/>
      <c r="E842" s="107"/>
      <c r="F842" s="107"/>
      <c r="G842" s="83"/>
      <c r="H842" s="83"/>
      <c r="I842" s="84"/>
      <c r="J842" s="85"/>
      <c r="K842" s="382"/>
      <c r="L842" s="85"/>
      <c r="M842" s="332" t="str">
        <f t="shared" si="232"/>
        <v/>
      </c>
      <c r="N842" s="453"/>
      <c r="O842" s="86" t="str">
        <f t="shared" si="234"/>
        <v/>
      </c>
      <c r="P842" s="538" t="str">
        <f t="shared" si="235"/>
        <v/>
      </c>
      <c r="Q842" s="539" t="str">
        <f t="shared" si="233"/>
        <v/>
      </c>
      <c r="R842" s="706"/>
      <c r="S842" s="707"/>
      <c r="T842" s="708"/>
      <c r="U842" s="472"/>
      <c r="V842" s="167"/>
      <c r="W842" s="446"/>
      <c r="X842" s="456"/>
      <c r="Y842" s="436"/>
      <c r="Z842" s="437"/>
      <c r="AA842" s="560"/>
      <c r="AB842" s="561"/>
      <c r="AC842" s="87"/>
      <c r="AD842" s="466"/>
      <c r="AE842" s="456"/>
      <c r="AF842" s="467"/>
      <c r="AG842" s="87"/>
      <c r="AH842" s="87"/>
      <c r="AI842" s="87"/>
    </row>
    <row r="843" spans="1:35" ht="16.5" hidden="1" thickBot="1">
      <c r="A843" s="44"/>
      <c r="B843" s="89"/>
      <c r="C843" s="90"/>
      <c r="D843" s="90"/>
      <c r="E843" s="90"/>
      <c r="F843" s="90"/>
      <c r="G843" s="90"/>
      <c r="H843" s="90"/>
      <c r="I843" s="90"/>
      <c r="J843" s="90"/>
      <c r="K843" s="90"/>
      <c r="L843" s="90"/>
      <c r="M843" s="90"/>
      <c r="N843" s="90"/>
      <c r="O843" s="90"/>
      <c r="P843" s="90"/>
      <c r="Q843" s="90"/>
      <c r="R843" s="90"/>
      <c r="S843" s="91"/>
      <c r="T843" s="92"/>
      <c r="U843" s="473"/>
      <c r="W843" s="438"/>
      <c r="X843" s="455"/>
      <c r="Y843" s="439"/>
      <c r="Z843" s="437"/>
      <c r="AA843" s="530"/>
      <c r="AB843" s="563"/>
      <c r="AC843" s="87"/>
      <c r="AD843" s="440"/>
      <c r="AE843" s="441"/>
      <c r="AF843" s="442"/>
      <c r="AG843" s="49"/>
      <c r="AH843" s="87"/>
      <c r="AI843" s="87"/>
    </row>
    <row r="844" spans="1:35" ht="16.5" hidden="1" thickBot="1">
      <c r="A844" s="93"/>
      <c r="B844" s="94"/>
      <c r="C844" s="96"/>
      <c r="D844" s="96"/>
      <c r="E844" s="96"/>
      <c r="F844" s="96"/>
      <c r="G844" s="96"/>
      <c r="H844" s="96"/>
      <c r="I844" s="96"/>
      <c r="J844" s="96"/>
      <c r="K844" s="96"/>
      <c r="L844" s="96"/>
      <c r="M844" s="136"/>
      <c r="N844" s="96"/>
      <c r="O844" s="96"/>
      <c r="P844" s="97"/>
      <c r="Q844" s="97"/>
      <c r="R844" s="98"/>
      <c r="S844" s="95"/>
      <c r="T844" s="99"/>
      <c r="U844" s="469"/>
      <c r="AC844" s="58"/>
      <c r="AG844" s="58"/>
      <c r="AH844" s="87"/>
      <c r="AI844" s="87"/>
    </row>
    <row r="845" spans="1:35" ht="16.5" hidden="1" thickBot="1">
      <c r="B845" s="101"/>
      <c r="C845" s="101"/>
      <c r="D845" s="101"/>
      <c r="E845" s="101"/>
      <c r="F845" s="101"/>
      <c r="G845" s="101"/>
      <c r="H845" s="101"/>
      <c r="I845" s="101"/>
      <c r="J845" s="101"/>
      <c r="K845" s="101"/>
      <c r="L845" s="101"/>
      <c r="M845" s="101"/>
      <c r="N845" s="101"/>
      <c r="O845" s="101"/>
      <c r="P845" s="101"/>
      <c r="Q845" s="101"/>
      <c r="R845" s="101"/>
      <c r="S845" s="101"/>
      <c r="U845" s="50"/>
      <c r="AH845" s="87"/>
      <c r="AI845" s="87"/>
    </row>
    <row r="846" spans="1:35" ht="16.5" hidden="1" customHeight="1" thickBot="1">
      <c r="A846" s="44"/>
      <c r="B846" s="705" t="s">
        <v>74</v>
      </c>
      <c r="C846" s="705"/>
      <c r="D846" s="705"/>
      <c r="E846" s="705"/>
      <c r="F846" s="705"/>
      <c r="G846" s="705"/>
      <c r="H846" s="705"/>
      <c r="I846" s="705"/>
      <c r="J846" s="705"/>
      <c r="K846" s="705"/>
      <c r="L846" s="705"/>
      <c r="M846" s="705"/>
      <c r="N846" s="705"/>
      <c r="O846" s="705"/>
      <c r="P846" s="705"/>
      <c r="Q846" s="705"/>
      <c r="R846" s="705"/>
      <c r="S846" s="705"/>
      <c r="T846" s="705"/>
      <c r="U846" s="108"/>
      <c r="Y846" s="532" t="s">
        <v>341</v>
      </c>
      <c r="AC846" s="49"/>
      <c r="AD846" s="687" t="s">
        <v>302</v>
      </c>
      <c r="AE846" s="688"/>
      <c r="AF846" s="689"/>
      <c r="AG846" s="49"/>
      <c r="AH846" s="87"/>
      <c r="AI846" s="87"/>
    </row>
    <row r="847" spans="1:35" ht="15.75" hidden="1" customHeight="1" thickBot="1">
      <c r="A847" s="218" t="e">
        <f>"K"&amp;E829</f>
        <v>#N/A</v>
      </c>
      <c r="B847" s="701" t="s">
        <v>71</v>
      </c>
      <c r="C847" s="751" t="s">
        <v>102</v>
      </c>
      <c r="D847" s="751"/>
      <c r="E847" s="751"/>
      <c r="F847" s="751"/>
      <c r="G847" s="751"/>
      <c r="H847" s="751"/>
      <c r="I847" s="751"/>
      <c r="J847" s="751"/>
      <c r="K847" s="751"/>
      <c r="L847" s="722" t="s">
        <v>100</v>
      </c>
      <c r="M847" s="747" t="s">
        <v>114</v>
      </c>
      <c r="N847" s="747"/>
      <c r="O847" s="747"/>
      <c r="P847" s="747"/>
      <c r="Q847" s="748"/>
      <c r="R847" s="758" t="s">
        <v>280</v>
      </c>
      <c r="S847" s="748"/>
      <c r="T847" s="762" t="str">
        <f>IF(COUNTIF(AE847:AF847,"VERIFICAR")&gt;0,"VERIFICAR",IF(COUNTIF(AE847:AF847,"NO CUMPLE")&gt;0,"NO CUMPLE","CUMPLE"))</f>
        <v>VERIFICAR</v>
      </c>
      <c r="U847" s="108"/>
      <c r="Y847" s="533" t="e">
        <f>IF(F848="","",IF(F848=1,"INDIVIDUAL","ESTRUCTURA PLURAL"))</f>
        <v>#N/A</v>
      </c>
      <c r="AC847" s="52"/>
      <c r="AD847" s="475" t="s">
        <v>303</v>
      </c>
      <c r="AE847" s="476" t="str">
        <f>IF(COUNTIF(AE833:AE842,"")=10,"VERIFICAR",IF(COUNTIF(AE833:AE842,"SI")&gt;0,"CUMPLE","NO CUMPLE"))</f>
        <v>VERIFICAR</v>
      </c>
      <c r="AF847" s="477" t="str">
        <f>IF(COUNTIF(AF833:AF842,"")=10,"VERIFICAR",IF(COUNTIF(AF833:AF842,"SI")&gt;=$AI$22,"CUMPLE","NO CUMPLE"))</f>
        <v>VERIFICAR</v>
      </c>
      <c r="AG847" s="52"/>
      <c r="AH847" s="87"/>
      <c r="AI847" s="87"/>
    </row>
    <row r="848" spans="1:35" ht="16.5" hidden="1" customHeight="1" thickBot="1">
      <c r="A848" s="218" t="e">
        <f>"L"&amp;E829</f>
        <v>#N/A</v>
      </c>
      <c r="B848" s="702"/>
      <c r="C848" s="751" t="s">
        <v>103</v>
      </c>
      <c r="D848" s="751"/>
      <c r="E848" s="752"/>
      <c r="F848" s="557" t="e">
        <f>IF(VLOOKUP(E829,PROPONENTES!$C$19:$E$218,3,0)="","",VLOOKUP(E829,PROPONENTES!$C$19:$E$218,3,0))</f>
        <v>#N/A</v>
      </c>
      <c r="G848" s="753" t="s">
        <v>104</v>
      </c>
      <c r="H848" s="751"/>
      <c r="I848" s="715" t="e">
        <f>IF(OR(F848="",F848=1),"INTERESADO PERSONA NATURAL O JURIDICA","CONSORCIO O UNION TEMPORAL")</f>
        <v>#N/A</v>
      </c>
      <c r="J848" s="725"/>
      <c r="K848" s="728"/>
      <c r="L848" s="723"/>
      <c r="M848" s="749"/>
      <c r="N848" s="749"/>
      <c r="O848" s="749"/>
      <c r="P848" s="749"/>
      <c r="Q848" s="750"/>
      <c r="R848" s="712"/>
      <c r="S848" s="750"/>
      <c r="T848" s="763"/>
      <c r="U848" s="108"/>
      <c r="Y848" s="534"/>
      <c r="AA848" s="52"/>
      <c r="AB848" s="52"/>
      <c r="AC848" s="52"/>
      <c r="AG848" s="52"/>
      <c r="AH848" s="87"/>
      <c r="AI848" s="87"/>
    </row>
    <row r="849" spans="1:35" ht="56.25" hidden="1" customHeight="1" thickBot="1">
      <c r="A849" s="218" t="e">
        <f>"M"&amp;E829</f>
        <v>#N/A</v>
      </c>
      <c r="B849" s="702"/>
      <c r="C849" s="725" t="s">
        <v>101</v>
      </c>
      <c r="D849" s="716"/>
      <c r="E849" s="558" t="s">
        <v>105</v>
      </c>
      <c r="F849" s="554" t="s">
        <v>87</v>
      </c>
      <c r="G849" s="553" t="s">
        <v>86</v>
      </c>
      <c r="H849" s="559" t="s">
        <v>85</v>
      </c>
      <c r="I849" s="554" t="s">
        <v>252</v>
      </c>
      <c r="J849" s="553" t="str">
        <f>"¿EL INTEGRANTE TIENE UNA PARTICIPACIÓN DEL "&amp;PORCREQUERIDOINT*100&amp;"%?"</f>
        <v>¿EL INTEGRANTE TIENE UNA PARTICIPACIÓN DEL 60%?</v>
      </c>
      <c r="K849" s="554" t="s">
        <v>107</v>
      </c>
      <c r="L849" s="724"/>
      <c r="M849" s="717" t="s">
        <v>115</v>
      </c>
      <c r="N849" s="718"/>
      <c r="O849" s="718"/>
      <c r="P849" s="718"/>
      <c r="Q849" s="223">
        <f>IF(AND(H833="SI",P833&gt;=0),1,0)+IF(AND(H834="SI",P834&gt;=0),1,0)+IF(AND(H835="SI",P835&gt;=0),1,0)+IF(AND(H836="SI",P836&gt;=0),1,0)+IF(AND(H837="SI",P837&gt;=0),1,0)+IF(AND(H838="SI",P838&gt;=0),1,0)+IF(AND(H839="SI",P839&gt;=0),1,0)+IF(AND(H840="SI",P840&gt;=0),1,0)+IF(AND(H841="SI",P841&gt;=0),1,0)+IF(AND(H842="SI",P842&gt;=0),1,0)</f>
        <v>0</v>
      </c>
      <c r="R849" s="759"/>
      <c r="S849" s="761"/>
      <c r="T849" s="764"/>
      <c r="U849" s="219"/>
      <c r="V849" s="464"/>
      <c r="Y849" s="532" t="s">
        <v>342</v>
      </c>
      <c r="AA849" s="550" t="s">
        <v>344</v>
      </c>
      <c r="AB849" s="693" t="s">
        <v>345</v>
      </c>
      <c r="AC849" s="693" t="s">
        <v>346</v>
      </c>
      <c r="AD849" s="685" t="s">
        <v>347</v>
      </c>
      <c r="AE849" s="52"/>
      <c r="AF849" s="52"/>
      <c r="AG849" s="52"/>
      <c r="AH849" s="87"/>
      <c r="AI849" s="87"/>
    </row>
    <row r="850" spans="1:35" ht="15.75" hidden="1" customHeight="1" thickBot="1">
      <c r="A850" s="218" t="e">
        <f>"N"&amp;E829</f>
        <v>#N/A</v>
      </c>
      <c r="B850" s="702"/>
      <c r="C850" s="114">
        <v>1</v>
      </c>
      <c r="D850" s="194" t="e">
        <f>IF(AND(C850&lt;=F848,F848&gt;1,F848&lt;&gt;""),VLOOKUP(VALUE(E829&amp;","&amp;C850),INTEGRANTES!$D$18:$F$235,2,0),"")</f>
        <v>#N/A</v>
      </c>
      <c r="E850" s="211" t="e">
        <f>IF(D850&lt;&gt;"",VLOOKUP(VALUE(E829&amp;","&amp;C850),INTEGRANTES!$D$18:$F$235,3,0),"")</f>
        <v>#N/A</v>
      </c>
      <c r="F850" s="547" t="e">
        <f>IF(D850="","",SUMIF($I833:$I842,D850,$P833:$P842))</f>
        <v>#N/A</v>
      </c>
      <c r="G850" s="333" t="e">
        <f>IF(D850="","",SUMIF($I833:$I842,D850,$M833:$M842))</f>
        <v>#N/A</v>
      </c>
      <c r="H850" s="535" t="e">
        <f t="shared" ref="H850:H855" si="236">IF(D850="","",IF(OR(F850=0,G850=0),"NO APORTA",ROUND($F850/$G850,3)))</f>
        <v>#N/A</v>
      </c>
      <c r="I850" s="212" t="e">
        <f>IF(D850="","",IF(H850="NO APORTA","NO",IF(H850=MAX($H850:$H855),"SI","NO")))</f>
        <v>#N/A</v>
      </c>
      <c r="J850" s="213" t="e">
        <f t="shared" ref="J850:J855" si="237">IF(D850="","",IF(E850&gt;=PORCREQUERIDOINT,"SI","NO"))</f>
        <v>#N/A</v>
      </c>
      <c r="K850" s="200" t="e">
        <f t="shared" ref="K850:K855" si="238">IF(D850="","",IF(AND(I850="SI",J850="SI"),"CUMPLE",IF(AND(I850="NO",OR(J850="SI",J850="NO")),"","NO CUMPLE")))</f>
        <v>#N/A</v>
      </c>
      <c r="L850" s="722" t="s">
        <v>108</v>
      </c>
      <c r="M850" s="726" t="s">
        <v>119</v>
      </c>
      <c r="N850" s="726"/>
      <c r="O850" s="726"/>
      <c r="P850" s="726"/>
      <c r="Q850" s="727"/>
      <c r="R850" s="758" t="s">
        <v>80</v>
      </c>
      <c r="S850" s="747"/>
      <c r="T850" s="748"/>
      <c r="U850" s="219"/>
      <c r="V850" s="464"/>
      <c r="Y850" s="533" t="e">
        <f>IF(Y847="","",IF(Y847="INDIVIDUAL","NO APLICA","VERIFICAR CUADRO"))</f>
        <v>#N/A</v>
      </c>
      <c r="AA850" s="551"/>
      <c r="AB850" s="694"/>
      <c r="AC850" s="694"/>
      <c r="AD850" s="686"/>
      <c r="AE850" s="52"/>
      <c r="AF850" s="52"/>
      <c r="AG850" s="52"/>
      <c r="AH850" s="87"/>
      <c r="AI850" s="87"/>
    </row>
    <row r="851" spans="1:35" ht="27" hidden="1" customHeight="1" thickBot="1">
      <c r="A851" s="218" t="e">
        <f>"O"&amp;E829</f>
        <v>#N/A</v>
      </c>
      <c r="B851" s="702"/>
      <c r="C851" s="114">
        <v>2</v>
      </c>
      <c r="D851" s="194" t="e">
        <f>IF(AND(C851&lt;=F848,F848&lt;&gt;""),VLOOKUP(VALUE(E829&amp;","&amp;C851),INTEGRANTES!$D$18:$F$235,2,0),"")</f>
        <v>#N/A</v>
      </c>
      <c r="E851" s="211" t="e">
        <f>IF(D851&lt;&gt;"",VLOOKUP(VALUE(E829&amp;","&amp;C851),INTEGRANTES!$D$18:$F$235,3,0),"")</f>
        <v>#N/A</v>
      </c>
      <c r="F851" s="547" t="e">
        <f>IF(D851="","",SUMIF($I833:$I842,D851,$P833:$P842))</f>
        <v>#N/A</v>
      </c>
      <c r="G851" s="333" t="e">
        <f>IF(D851="","",SUMIF($I833:$I842,D851,$M833:$M842))</f>
        <v>#N/A</v>
      </c>
      <c r="H851" s="535" t="e">
        <f t="shared" si="236"/>
        <v>#N/A</v>
      </c>
      <c r="I851" s="212" t="e">
        <f>IF(D851="","",IF(H851="NO APORTA","NO",IF(H851=MAX($H850:$H855),"SI","NO")))</f>
        <v>#N/A</v>
      </c>
      <c r="J851" s="213" t="e">
        <f t="shared" si="237"/>
        <v>#N/A</v>
      </c>
      <c r="K851" s="200" t="e">
        <f t="shared" si="238"/>
        <v>#N/A</v>
      </c>
      <c r="L851" s="723"/>
      <c r="M851" s="715" t="s">
        <v>116</v>
      </c>
      <c r="N851" s="716"/>
      <c r="O851" s="556" t="s">
        <v>113</v>
      </c>
      <c r="P851" s="715" t="s">
        <v>117</v>
      </c>
      <c r="Q851" s="728"/>
      <c r="R851" s="759"/>
      <c r="S851" s="760"/>
      <c r="T851" s="761"/>
      <c r="U851" s="219"/>
      <c r="V851" s="464"/>
      <c r="Y851" s="414"/>
      <c r="AA851" s="542" t="e">
        <f>IF(AND(C850&lt;=F848,F848&gt;1,F848&lt;&gt;""),VLOOKUP(VALUE(E829&amp;","&amp;C850),INTEGRANTES!$D$18:$F$235,2,0),"")</f>
        <v>#N/A</v>
      </c>
      <c r="AB851" s="544" t="e">
        <f t="shared" ref="AB851:AB856" si="239">IF(D850="","",IF(OR(F850=0,G850=0),"NO APORTA",ROUND($F850/$G850,3)))</f>
        <v>#N/A</v>
      </c>
      <c r="AC851" s="529"/>
      <c r="AD851" s="200" t="e">
        <f t="shared" ref="AD851:AD856" si="240">IF(OR(AA851="",AB851=""),"",IF(AND(AC851="X",AB851&gt;=EXPREQVTD),"CUMPLE","NO CUMPLE"))</f>
        <v>#N/A</v>
      </c>
      <c r="AE851" s="52"/>
      <c r="AF851" s="52"/>
      <c r="AG851" s="52"/>
      <c r="AH851" s="87"/>
      <c r="AI851" s="87"/>
    </row>
    <row r="852" spans="1:35" ht="16.5" hidden="1" thickBot="1">
      <c r="A852" s="218" t="e">
        <f>"P"&amp;E829</f>
        <v>#N/A</v>
      </c>
      <c r="B852" s="702"/>
      <c r="C852" s="114">
        <v>3</v>
      </c>
      <c r="D852" s="194" t="e">
        <f>IF(AND(C852&lt;=F848,F848&lt;&gt;""),VLOOKUP(VALUE(E829&amp;","&amp;C852),INTEGRANTES!$D$18:$F$235,2,0),"")</f>
        <v>#N/A</v>
      </c>
      <c r="E852" s="211" t="e">
        <f>IF(D852&lt;&gt;"",VLOOKUP(VALUE(E829&amp;","&amp;C852),INTEGRANTES!$D$18:$F$235,3,0),"")</f>
        <v>#N/A</v>
      </c>
      <c r="F852" s="547" t="e">
        <f>IF(D852="","",SUMIF($I833:$I842,D852,$P833:$P842))</f>
        <v>#N/A</v>
      </c>
      <c r="G852" s="333" t="e">
        <f>IF(D852="","",SUMIF($I833:$I842,D852,$M833:$M842))</f>
        <v>#N/A</v>
      </c>
      <c r="H852" s="535" t="e">
        <f t="shared" si="236"/>
        <v>#N/A</v>
      </c>
      <c r="I852" s="212" t="e">
        <f>IF(D852="","",IF(H852="NO APORTA","NO",IF(H852=MAX($H850:$H855),"SI","NO")))</f>
        <v>#N/A</v>
      </c>
      <c r="J852" s="213" t="e">
        <f t="shared" si="237"/>
        <v>#N/A</v>
      </c>
      <c r="K852" s="200" t="e">
        <f t="shared" si="238"/>
        <v>#N/A</v>
      </c>
      <c r="L852" s="724"/>
      <c r="M852" s="729">
        <f>NUMMOD</f>
        <v>1</v>
      </c>
      <c r="N852" s="730"/>
      <c r="O852" s="443">
        <f>IF(M852="","",VLOOKUP(M852,PRESUPUESTOS!$B$16:$H$16,5,FALSE))</f>
        <v>2</v>
      </c>
      <c r="P852" s="713">
        <f>IF(OR(COUNTIF(M833:M842,"")&gt;=10,Q849&lt;NUMMINCONT,OR(T847="NO CUMPLE",T847="VERIFICAR")),0,ROUND(AVERAGE(M833:M842),3))</f>
        <v>0</v>
      </c>
      <c r="Q852" s="714"/>
      <c r="R852" s="458"/>
      <c r="S852" s="459"/>
      <c r="T852" s="460"/>
      <c r="U852" s="219"/>
      <c r="V852" s="464"/>
      <c r="Y852" s="532" t="str">
        <f>"40% * ("&amp;PRESUPUESTOS!$H$13&amp;")"</f>
        <v>40% * (50% PFMO)</v>
      </c>
      <c r="AA852" s="540" t="e">
        <f>IF(AND(C851&lt;=F848,F848&lt;&gt;""),VLOOKUP(VALUE(E829&amp;","&amp;C851),INTEGRANTES!$D$18:$F$235,2,0),"")</f>
        <v>#N/A</v>
      </c>
      <c r="AB852" s="545" t="e">
        <f t="shared" si="239"/>
        <v>#N/A</v>
      </c>
      <c r="AC852" s="529"/>
      <c r="AD852" s="200" t="e">
        <f t="shared" si="240"/>
        <v>#N/A</v>
      </c>
      <c r="AE852" s="52"/>
      <c r="AF852" s="52"/>
      <c r="AG852" s="52"/>
      <c r="AH852" s="87"/>
      <c r="AI852" s="87"/>
    </row>
    <row r="853" spans="1:35" ht="15.75" hidden="1" customHeight="1" thickBot="1">
      <c r="A853" s="218" t="e">
        <f>"Q"&amp;E829</f>
        <v>#N/A</v>
      </c>
      <c r="B853" s="702"/>
      <c r="C853" s="114">
        <v>4</v>
      </c>
      <c r="D853" s="194" t="e">
        <f>IF(AND(C853&lt;=F848,F848&lt;&gt;""),VLOOKUP(VALUE(E829&amp;","&amp;C853),INTEGRANTES!$D$18:$F$235,2,0),"")</f>
        <v>#N/A</v>
      </c>
      <c r="E853" s="211" t="e">
        <f>IF(D853&lt;&gt;"",VLOOKUP(VALUE(E829&amp;","&amp;C853),INTEGRANTES!$D$18:$F$235,3,0),"")</f>
        <v>#N/A</v>
      </c>
      <c r="F853" s="547" t="e">
        <f>IF(D853="","",SUMIF($I833:$I842,D853,$P833:$P842))</f>
        <v>#N/A</v>
      </c>
      <c r="G853" s="333" t="e">
        <f>IF(D853="","",SUMIF($I833:$I842,D853,$M833:$M842))</f>
        <v>#N/A</v>
      </c>
      <c r="H853" s="535" t="e">
        <f t="shared" si="236"/>
        <v>#N/A</v>
      </c>
      <c r="I853" s="212" t="e">
        <f>IF(D853="","",IF(H853="NO APORTA","NO",IF(H853=MAX($H850:$H855),"SI","NO")))</f>
        <v>#N/A</v>
      </c>
      <c r="J853" s="213" t="e">
        <f t="shared" si="237"/>
        <v>#N/A</v>
      </c>
      <c r="K853" s="200" t="e">
        <f t="shared" si="238"/>
        <v>#N/A</v>
      </c>
      <c r="L853" s="720" t="s">
        <v>109</v>
      </c>
      <c r="M853" s="757" t="s">
        <v>120</v>
      </c>
      <c r="N853" s="726"/>
      <c r="O853" s="726"/>
      <c r="P853" s="726"/>
      <c r="Q853" s="727"/>
      <c r="R853" s="458"/>
      <c r="S853" s="459"/>
      <c r="T853" s="460"/>
      <c r="U853" s="219"/>
      <c r="V853" s="464"/>
      <c r="Y853" s="537">
        <f>0.4*PRESUPUESTOS!$H$16</f>
        <v>10.3124</v>
      </c>
      <c r="AA853" s="540" t="e">
        <f>IF(AND(C852&lt;=F848,F848&lt;&gt;""),VLOOKUP(VALUE(E829&amp;","&amp;C852),INTEGRANTES!$D$18:$F$235,2,0),"")</f>
        <v>#N/A</v>
      </c>
      <c r="AB853" s="545" t="e">
        <f t="shared" si="239"/>
        <v>#N/A</v>
      </c>
      <c r="AC853" s="529"/>
      <c r="AD853" s="200" t="e">
        <f t="shared" si="240"/>
        <v>#N/A</v>
      </c>
      <c r="AE853" s="52"/>
      <c r="AF853" s="52"/>
      <c r="AG853" s="52"/>
      <c r="AH853" s="87"/>
      <c r="AI853" s="87"/>
    </row>
    <row r="854" spans="1:35" ht="27" hidden="1" customHeight="1" thickBot="1">
      <c r="A854" s="218" t="e">
        <f>"R"&amp;E829</f>
        <v>#N/A</v>
      </c>
      <c r="B854" s="702"/>
      <c r="C854" s="114">
        <v>5</v>
      </c>
      <c r="D854" s="194" t="e">
        <f>IF(AND(C854&lt;=F848,F848&lt;&gt;""),VLOOKUP(VALUE(E829&amp;","&amp;C854),INTEGRANTES!$D$18:$F$235,2,0),"")</f>
        <v>#N/A</v>
      </c>
      <c r="E854" s="211" t="e">
        <f>IF(D854&lt;&gt;"",VLOOKUP(VALUE(E829&amp;","&amp;C854),INTEGRANTES!$D$18:$F$235,3,0),"")</f>
        <v>#N/A</v>
      </c>
      <c r="F854" s="547" t="e">
        <f>IF(D854="","",SUMIF($I833:$I842,D854,$P833:$P842))</f>
        <v>#N/A</v>
      </c>
      <c r="G854" s="333" t="e">
        <f>IF(D854="","",SUMIF($I833:$I842,D854,$M833:$M842))</f>
        <v>#N/A</v>
      </c>
      <c r="H854" s="535" t="e">
        <f t="shared" si="236"/>
        <v>#N/A</v>
      </c>
      <c r="I854" s="212" t="e">
        <f>IF(D854="","",IF(H854="NO APORTA","NO",IF(H854=MAX($H850:$H855),"SI","NO")))</f>
        <v>#N/A</v>
      </c>
      <c r="J854" s="213" t="e">
        <f t="shared" si="237"/>
        <v>#N/A</v>
      </c>
      <c r="K854" s="200" t="e">
        <f t="shared" si="238"/>
        <v>#N/A</v>
      </c>
      <c r="L854" s="721"/>
      <c r="M854" s="715" t="s">
        <v>116</v>
      </c>
      <c r="N854" s="716"/>
      <c r="O854" s="556" t="str">
        <f>PORCREQUERIDO*100&amp;"% PMFO DEL MÓDULO"</f>
        <v>50% PMFO DEL MÓDULO</v>
      </c>
      <c r="P854" s="715" t="s">
        <v>118</v>
      </c>
      <c r="Q854" s="728"/>
      <c r="R854" s="458"/>
      <c r="S854" s="459"/>
      <c r="T854" s="460"/>
      <c r="U854" s="219"/>
      <c r="V854" s="464"/>
      <c r="Y854" s="414"/>
      <c r="AA854" s="540" t="e">
        <f>IF(AND(C853&lt;=F848,F848&lt;&gt;""),VLOOKUP(VALUE(E829&amp;","&amp;C853),INTEGRANTES!$D$18:$F$235,2,0),"")</f>
        <v>#N/A</v>
      </c>
      <c r="AB854" s="545" t="e">
        <f t="shared" si="239"/>
        <v>#N/A</v>
      </c>
      <c r="AC854" s="529"/>
      <c r="AD854" s="200" t="e">
        <f t="shared" si="240"/>
        <v>#N/A</v>
      </c>
      <c r="AE854" s="52"/>
      <c r="AF854" s="52"/>
      <c r="AG854" s="52"/>
      <c r="AH854" s="87"/>
      <c r="AI854" s="87"/>
    </row>
    <row r="855" spans="1:35" ht="16.5" hidden="1" thickBot="1">
      <c r="A855" s="218" t="e">
        <f>"S"&amp;E829</f>
        <v>#N/A</v>
      </c>
      <c r="B855" s="702"/>
      <c r="C855" s="215">
        <v>6</v>
      </c>
      <c r="D855" s="216" t="e">
        <f>IF(AND(C855&lt;=F848,F848&lt;&gt;""),VLOOKUP(VALUE(E829&amp;","&amp;C855),INTEGRANTES!$D$18:$F$235,2,0),"")</f>
        <v>#N/A</v>
      </c>
      <c r="E855" s="217" t="e">
        <f>IF(D855&lt;&gt;"",VLOOKUP(VALUE(E829&amp;","&amp;C855),INTEGRANTES!$D$18:$F$235,3,0),"")</f>
        <v>#N/A</v>
      </c>
      <c r="F855" s="548" t="e">
        <f>IF(D855="","",SUMIF($I833:$I842,D855,$P833:$P842))</f>
        <v>#N/A</v>
      </c>
      <c r="G855" s="334" t="e">
        <f>IF(D855="","",SUMIF($I833:$I842,D855,$M833:$M842))</f>
        <v>#N/A</v>
      </c>
      <c r="H855" s="536" t="e">
        <f t="shared" si="236"/>
        <v>#N/A</v>
      </c>
      <c r="I855" s="214" t="e">
        <f>IF(D855="","",IF(H855="NO APORTA","NO",IF(H855=MAX($H850:$H855),"SI","NO")))</f>
        <v>#N/A</v>
      </c>
      <c r="J855" s="213" t="e">
        <f t="shared" si="237"/>
        <v>#N/A</v>
      </c>
      <c r="K855" s="200" t="e">
        <f t="shared" si="238"/>
        <v>#N/A</v>
      </c>
      <c r="L855" s="721"/>
      <c r="M855" s="729">
        <f>NUMMOD</f>
        <v>1</v>
      </c>
      <c r="N855" s="730"/>
      <c r="O855" s="443">
        <f>IF(M855="","",ROUND(VLOOKUP(M855,PRESUPUESTOS!$B$16:$H$16,7,FALSE),3))</f>
        <v>25.780999999999999</v>
      </c>
      <c r="P855" s="713">
        <f>IF(OR(COUNTIF(P833:P842,"")&gt;=10,Q849&lt;NUMMINCONT,OR(T847="NO CUMPLE",T847="VERIFICAR")),0,ROUND((SUM(P833:P842)/SUM(M833:M842)),3))</f>
        <v>0</v>
      </c>
      <c r="Q855" s="714"/>
      <c r="R855" s="458"/>
      <c r="S855" s="459"/>
      <c r="T855" s="460"/>
      <c r="U855" s="219"/>
      <c r="V855" s="464"/>
      <c r="Y855" s="532" t="s">
        <v>343</v>
      </c>
      <c r="AA855" s="540" t="e">
        <f>IF(AND(C854&lt;=F848,F848&lt;&gt;""),VLOOKUP(VALUE(E829&amp;","&amp;C854),INTEGRANTES!$D$18:$F$235,2,0),"")</f>
        <v>#N/A</v>
      </c>
      <c r="AB855" s="545" t="e">
        <f t="shared" si="239"/>
        <v>#N/A</v>
      </c>
      <c r="AC855" s="529"/>
      <c r="AD855" s="200" t="e">
        <f t="shared" si="240"/>
        <v>#N/A</v>
      </c>
      <c r="AE855" s="52"/>
      <c r="AF855" s="52"/>
      <c r="AG855" s="52"/>
      <c r="AH855" s="87"/>
      <c r="AI855" s="87"/>
    </row>
    <row r="856" spans="1:35" ht="16.5" hidden="1" customHeight="1" thickBot="1">
      <c r="A856" s="218" t="e">
        <f>"T"&amp;E829</f>
        <v>#N/A</v>
      </c>
      <c r="B856" s="703"/>
      <c r="C856" s="719"/>
      <c r="D856" s="719"/>
      <c r="E856" s="719"/>
      <c r="F856" s="719"/>
      <c r="G856" s="719"/>
      <c r="H856" s="719" t="s">
        <v>110</v>
      </c>
      <c r="I856" s="719"/>
      <c r="J856" s="719"/>
      <c r="K856" s="201" t="str">
        <f>IF(COUNTIF(K850:K855,"")=6,"",IF(COUNTIF(K850:K855,"CUMPLE")&gt;0,"CUMPLE","NO CUMPLE"))</f>
        <v>NO CUMPLE</v>
      </c>
      <c r="L856" s="754"/>
      <c r="M856" s="755"/>
      <c r="N856" s="755"/>
      <c r="O856" s="755"/>
      <c r="P856" s="755"/>
      <c r="Q856" s="756"/>
      <c r="R856" s="461"/>
      <c r="S856" s="462"/>
      <c r="T856" s="463"/>
      <c r="U856" s="219"/>
      <c r="V856" s="464"/>
      <c r="Y856" s="549" t="e">
        <f>IF(Y850="NO APLICA","NO APLICA",IF(COUNTIF(AD851:AD856,"CUMPLE")&gt;0,"CUMPLE","NO CUMPLE"))</f>
        <v>#N/A</v>
      </c>
      <c r="AA856" s="541" t="e">
        <f>IF(AND(C855&lt;=F848,F848&lt;&gt;""),VLOOKUP(VALUE(E829&amp;","&amp;C855),INTEGRANTES!$D$18:$F$235,2,0),"")</f>
        <v>#N/A</v>
      </c>
      <c r="AB856" s="546" t="e">
        <f t="shared" si="239"/>
        <v>#N/A</v>
      </c>
      <c r="AC856" s="543"/>
      <c r="AD856" s="201" t="e">
        <f t="shared" si="240"/>
        <v>#N/A</v>
      </c>
      <c r="AE856" s="52"/>
      <c r="AF856" s="52"/>
      <c r="AG856" s="52"/>
      <c r="AH856" s="87"/>
      <c r="AI856" s="87"/>
    </row>
    <row r="857" spans="1:35" hidden="1">
      <c r="AH857" s="87"/>
      <c r="AI857" s="87"/>
    </row>
    <row r="858" spans="1:35" hidden="1">
      <c r="AH858" s="87"/>
      <c r="AI858" s="87"/>
    </row>
    <row r="859" spans="1:35" ht="24" hidden="1" thickBot="1">
      <c r="A859" s="61">
        <v>29</v>
      </c>
      <c r="B859" s="704" t="s">
        <v>51</v>
      </c>
      <c r="C859" s="704"/>
      <c r="D859" s="704"/>
      <c r="E859" s="62" t="e">
        <f>VLOOKUP(A859,PROPONENTES!$B$19:$E$218,2,FALSE)</f>
        <v>#N/A</v>
      </c>
      <c r="F859" s="63" t="e">
        <f>VLOOKUP(A859,PROPONENTES!$B$19:$E$218,3,FALSE)</f>
        <v>#N/A</v>
      </c>
      <c r="G859" s="64"/>
      <c r="H859" s="64"/>
      <c r="I859" s="63"/>
      <c r="J859" s="63"/>
      <c r="K859" s="65"/>
      <c r="L859" s="65"/>
      <c r="M859" s="64"/>
      <c r="N859" s="64"/>
      <c r="O859" s="66"/>
      <c r="P859" s="66"/>
      <c r="Q859" s="66"/>
      <c r="R859" s="66"/>
      <c r="S859" s="67"/>
      <c r="T859" s="68"/>
      <c r="U859" s="68"/>
      <c r="AC859" s="68"/>
      <c r="AD859" s="68"/>
      <c r="AE859" s="68"/>
      <c r="AF859" s="68"/>
      <c r="AG859" s="68"/>
      <c r="AH859" s="87"/>
      <c r="AI859" s="87"/>
    </row>
    <row r="860" spans="1:35" ht="15.75" hidden="1" customHeight="1">
      <c r="A860" s="44"/>
      <c r="B860" s="709" t="s">
        <v>59</v>
      </c>
      <c r="C860" s="552" t="s">
        <v>60</v>
      </c>
      <c r="D860" s="70" t="s">
        <v>17</v>
      </c>
      <c r="E860" s="70"/>
      <c r="F860" s="70" t="s">
        <v>61</v>
      </c>
      <c r="G860" s="71"/>
      <c r="H860" s="699" t="s">
        <v>62</v>
      </c>
      <c r="I860" s="699" t="s">
        <v>18</v>
      </c>
      <c r="J860" s="699" t="s">
        <v>63</v>
      </c>
      <c r="K860" s="699" t="s">
        <v>64</v>
      </c>
      <c r="L860" s="699" t="s">
        <v>65</v>
      </c>
      <c r="M860" s="743" t="s">
        <v>66</v>
      </c>
      <c r="N860" s="699" t="s">
        <v>282</v>
      </c>
      <c r="O860" s="745" t="s">
        <v>67</v>
      </c>
      <c r="P860" s="746"/>
      <c r="Q860" s="102" t="s">
        <v>75</v>
      </c>
      <c r="R860" s="731" t="s">
        <v>22</v>
      </c>
      <c r="S860" s="732"/>
      <c r="T860" s="733"/>
      <c r="U860" s="712" t="s">
        <v>298</v>
      </c>
      <c r="W860" s="690" t="s">
        <v>268</v>
      </c>
      <c r="X860" s="691"/>
      <c r="Y860" s="692"/>
      <c r="Z860" s="428"/>
      <c r="AA860" s="697" t="s">
        <v>315</v>
      </c>
      <c r="AB860" s="695" t="s">
        <v>322</v>
      </c>
      <c r="AC860" s="49"/>
      <c r="AD860" s="690" t="s">
        <v>297</v>
      </c>
      <c r="AE860" s="691"/>
      <c r="AF860" s="692"/>
      <c r="AG860" s="49"/>
      <c r="AH860" s="87"/>
      <c r="AI860" s="87"/>
    </row>
    <row r="861" spans="1:35" ht="72" hidden="1">
      <c r="A861" s="44"/>
      <c r="B861" s="710"/>
      <c r="C861" s="553" t="s">
        <v>68</v>
      </c>
      <c r="D861" s="73" t="s">
        <v>3</v>
      </c>
      <c r="E861" s="73" t="s">
        <v>19</v>
      </c>
      <c r="F861" s="73" t="s">
        <v>69</v>
      </c>
      <c r="G861" s="74" t="s">
        <v>70</v>
      </c>
      <c r="H861" s="700"/>
      <c r="I861" s="700"/>
      <c r="J861" s="700"/>
      <c r="K861" s="700"/>
      <c r="L861" s="700"/>
      <c r="M861" s="744"/>
      <c r="N861" s="700"/>
      <c r="O861" s="553" t="s">
        <v>279</v>
      </c>
      <c r="P861" s="73" t="s">
        <v>88</v>
      </c>
      <c r="Q861" s="555" t="s">
        <v>76</v>
      </c>
      <c r="R861" s="734"/>
      <c r="S861" s="735"/>
      <c r="T861" s="736"/>
      <c r="U861" s="712"/>
      <c r="W861" s="429" t="s">
        <v>269</v>
      </c>
      <c r="X861" s="457" t="s">
        <v>278</v>
      </c>
      <c r="Y861" s="430" t="s">
        <v>324</v>
      </c>
      <c r="Z861" s="428"/>
      <c r="AA861" s="698"/>
      <c r="AB861" s="696"/>
      <c r="AC861" s="49"/>
      <c r="AD861" s="429" t="s">
        <v>292</v>
      </c>
      <c r="AE861" s="431" t="s">
        <v>300</v>
      </c>
      <c r="AF861" s="468" t="s">
        <v>301</v>
      </c>
      <c r="AG861" s="49"/>
      <c r="AH861" s="87"/>
      <c r="AI861" s="87"/>
    </row>
    <row r="862" spans="1:35" hidden="1">
      <c r="A862" s="44"/>
      <c r="B862" s="76"/>
      <c r="C862" s="77"/>
      <c r="D862" s="77"/>
      <c r="E862" s="77"/>
      <c r="F862" s="77"/>
      <c r="G862" s="77"/>
      <c r="H862" s="77"/>
      <c r="I862" s="77"/>
      <c r="J862" s="77"/>
      <c r="K862" s="77"/>
      <c r="L862" s="77"/>
      <c r="M862" s="77"/>
      <c r="N862" s="77"/>
      <c r="O862" s="77"/>
      <c r="P862" s="77"/>
      <c r="Q862" s="77"/>
      <c r="R862" s="77"/>
      <c r="S862" s="78"/>
      <c r="T862" s="79"/>
      <c r="U862" s="109"/>
      <c r="V862" s="49"/>
      <c r="W862" s="432"/>
      <c r="X862" s="454"/>
      <c r="Y862" s="433"/>
      <c r="Z862" s="6"/>
      <c r="AA862" s="500"/>
      <c r="AB862" s="562"/>
      <c r="AC862" s="49"/>
      <c r="AD862" s="210"/>
      <c r="AE862" s="434"/>
      <c r="AF862" s="435"/>
      <c r="AG862" s="49"/>
      <c r="AH862" s="87"/>
      <c r="AI862" s="87"/>
    </row>
    <row r="863" spans="1:35" hidden="1">
      <c r="A863" s="80" t="e">
        <f>"A"&amp;E859</f>
        <v>#N/A</v>
      </c>
      <c r="B863" s="81">
        <v>1</v>
      </c>
      <c r="C863" s="82"/>
      <c r="D863" s="82"/>
      <c r="E863" s="82"/>
      <c r="F863" s="82"/>
      <c r="G863" s="83"/>
      <c r="H863" s="83"/>
      <c r="I863" s="84"/>
      <c r="J863" s="85"/>
      <c r="K863" s="382"/>
      <c r="L863" s="85"/>
      <c r="M863" s="332" t="str">
        <f t="shared" ref="M863:M872" si="241">IF(OR(J863="",L863="",H863="NO"),"",IF(OR(J863&gt;$P$17,J863&lt;$O$17,L863&gt;$P$17,AND(J863&lt;$O$17,L863&lt;$O$17)),"FUERA DE RANGO",IF(OR(K863="---",K863=""),IF(J863&gt;=$O$17,ROUND((L863-J863+1)/360*12,3),ROUND((L863-$O$17+1)/360*12,3)),IF(J863&gt;=$O$17,ROUND((L863-J863+1)/360*12-ROUND(K863,3),3),ROUND((L863-$O$17+1)/360*12-ROUND(K863,3),3)))))</f>
        <v/>
      </c>
      <c r="N863" s="86"/>
      <c r="O863" s="453" t="str">
        <f>IF(OR(G863="",N863=""),"",N863*G863)</f>
        <v/>
      </c>
      <c r="P863" s="538" t="str">
        <f>IF(OR(H863="",M863="FUERA DE RANGO"),"",IF(OR(L863&lt;$O$17,L863&gt;$P$17,L863="",H863="NO"),"",IF(OR(N863="",O863=""),"",ROUND(O863,3))))</f>
        <v/>
      </c>
      <c r="Q863" s="539" t="str">
        <f t="shared" ref="Q863:Q872" si="242">IF(AND(H863="SI",P863&lt;&gt;""),ROUND(P863/M863,3),"")</f>
        <v/>
      </c>
      <c r="R863" s="737"/>
      <c r="S863" s="738"/>
      <c r="T863" s="739"/>
      <c r="U863" s="470"/>
      <c r="V863" s="165"/>
      <c r="W863" s="446"/>
      <c r="X863" s="456"/>
      <c r="Y863" s="436"/>
      <c r="Z863" s="437"/>
      <c r="AA863" s="560"/>
      <c r="AB863" s="561"/>
      <c r="AC863" s="87"/>
      <c r="AD863" s="466"/>
      <c r="AE863" s="456"/>
      <c r="AF863" s="467"/>
      <c r="AG863" s="87"/>
      <c r="AH863" s="87"/>
      <c r="AI863" s="87"/>
    </row>
    <row r="864" spans="1:35" hidden="1">
      <c r="A864" s="80" t="e">
        <f>"B"&amp;E859</f>
        <v>#N/A</v>
      </c>
      <c r="B864" s="81">
        <v>2</v>
      </c>
      <c r="C864" s="106"/>
      <c r="D864" s="106"/>
      <c r="E864" s="106"/>
      <c r="F864" s="106"/>
      <c r="G864" s="83"/>
      <c r="H864" s="83"/>
      <c r="I864" s="84"/>
      <c r="J864" s="85"/>
      <c r="K864" s="382"/>
      <c r="L864" s="85"/>
      <c r="M864" s="332" t="str">
        <f t="shared" si="241"/>
        <v/>
      </c>
      <c r="N864" s="86"/>
      <c r="O864" s="453" t="str">
        <f t="shared" ref="O864:O872" si="243">IF(OR(G864="",N864=""),"",N864*G864)</f>
        <v/>
      </c>
      <c r="P864" s="538" t="str">
        <f t="shared" ref="P864:P872" si="244">IF(OR(H864="",M864="FUERA DE RANGO"),"",IF(OR(L864&lt;$O$17,L864&gt;$P$17,L864="",H864="NO"),"",IF(OR(N864="",O864=""),"",ROUND(O864,3))))</f>
        <v/>
      </c>
      <c r="Q864" s="539" t="str">
        <f t="shared" si="242"/>
        <v/>
      </c>
      <c r="R864" s="740"/>
      <c r="S864" s="741"/>
      <c r="T864" s="742"/>
      <c r="U864" s="471"/>
      <c r="V864" s="165"/>
      <c r="W864" s="446"/>
      <c r="X864" s="456"/>
      <c r="Y864" s="436"/>
      <c r="Z864" s="437"/>
      <c r="AA864" s="560"/>
      <c r="AB864" s="561"/>
      <c r="AC864" s="87"/>
      <c r="AD864" s="466"/>
      <c r="AE864" s="456"/>
      <c r="AF864" s="467"/>
      <c r="AG864" s="87"/>
      <c r="AH864" s="87"/>
      <c r="AI864" s="87"/>
    </row>
    <row r="865" spans="1:35" hidden="1">
      <c r="A865" s="80" t="e">
        <f>"C"&amp;E859</f>
        <v>#N/A</v>
      </c>
      <c r="B865" s="88">
        <v>3</v>
      </c>
      <c r="C865" s="82"/>
      <c r="D865" s="82"/>
      <c r="E865" s="82"/>
      <c r="F865" s="82"/>
      <c r="G865" s="83"/>
      <c r="H865" s="83"/>
      <c r="I865" s="84"/>
      <c r="J865" s="85"/>
      <c r="K865" s="382"/>
      <c r="L865" s="85"/>
      <c r="M865" s="332" t="str">
        <f t="shared" si="241"/>
        <v/>
      </c>
      <c r="N865" s="86"/>
      <c r="O865" s="453" t="str">
        <f t="shared" si="243"/>
        <v/>
      </c>
      <c r="P865" s="538" t="str">
        <f t="shared" si="244"/>
        <v/>
      </c>
      <c r="Q865" s="539" t="str">
        <f t="shared" si="242"/>
        <v/>
      </c>
      <c r="R865" s="706"/>
      <c r="S865" s="707"/>
      <c r="T865" s="708"/>
      <c r="U865" s="472"/>
      <c r="V865" s="166"/>
      <c r="W865" s="446"/>
      <c r="X865" s="456"/>
      <c r="Y865" s="436"/>
      <c r="Z865" s="437"/>
      <c r="AA865" s="560"/>
      <c r="AB865" s="561"/>
      <c r="AC865" s="87"/>
      <c r="AD865" s="466"/>
      <c r="AE865" s="456"/>
      <c r="AF865" s="467"/>
      <c r="AG865" s="87"/>
      <c r="AH865" s="87"/>
      <c r="AI865" s="87"/>
    </row>
    <row r="866" spans="1:35" hidden="1">
      <c r="A866" s="80" t="e">
        <f>"D"&amp;E859</f>
        <v>#N/A</v>
      </c>
      <c r="B866" s="105">
        <v>4</v>
      </c>
      <c r="C866" s="107"/>
      <c r="D866" s="107"/>
      <c r="E866" s="107"/>
      <c r="F866" s="107"/>
      <c r="G866" s="83"/>
      <c r="H866" s="83"/>
      <c r="I866" s="84"/>
      <c r="J866" s="85"/>
      <c r="K866" s="382"/>
      <c r="L866" s="85"/>
      <c r="M866" s="332" t="str">
        <f t="shared" si="241"/>
        <v/>
      </c>
      <c r="N866" s="86"/>
      <c r="O866" s="453" t="str">
        <f t="shared" si="243"/>
        <v/>
      </c>
      <c r="P866" s="538" t="str">
        <f t="shared" si="244"/>
        <v/>
      </c>
      <c r="Q866" s="539" t="str">
        <f t="shared" si="242"/>
        <v/>
      </c>
      <c r="R866" s="706"/>
      <c r="S866" s="707"/>
      <c r="T866" s="708"/>
      <c r="U866" s="472"/>
      <c r="V866" s="166"/>
      <c r="W866" s="446"/>
      <c r="X866" s="456"/>
      <c r="Y866" s="436"/>
      <c r="Z866" s="437"/>
      <c r="AA866" s="560"/>
      <c r="AB866" s="561"/>
      <c r="AC866" s="87"/>
      <c r="AD866" s="466"/>
      <c r="AE866" s="456"/>
      <c r="AF866" s="467"/>
      <c r="AG866" s="87"/>
      <c r="AH866" s="87"/>
      <c r="AI866" s="87"/>
    </row>
    <row r="867" spans="1:35" hidden="1">
      <c r="A867" s="80" t="e">
        <f>"E"&amp;E859</f>
        <v>#N/A</v>
      </c>
      <c r="B867" s="105">
        <v>5</v>
      </c>
      <c r="C867" s="107"/>
      <c r="D867" s="107"/>
      <c r="E867" s="107"/>
      <c r="F867" s="107"/>
      <c r="G867" s="83"/>
      <c r="H867" s="83"/>
      <c r="I867" s="84"/>
      <c r="J867" s="85"/>
      <c r="K867" s="382"/>
      <c r="L867" s="85"/>
      <c r="M867" s="332" t="str">
        <f t="shared" si="241"/>
        <v/>
      </c>
      <c r="N867" s="86"/>
      <c r="O867" s="453" t="str">
        <f t="shared" si="243"/>
        <v/>
      </c>
      <c r="P867" s="538" t="str">
        <f t="shared" si="244"/>
        <v/>
      </c>
      <c r="Q867" s="539" t="str">
        <f t="shared" si="242"/>
        <v/>
      </c>
      <c r="R867" s="706"/>
      <c r="S867" s="707"/>
      <c r="T867" s="708"/>
      <c r="U867" s="472"/>
      <c r="V867" s="167"/>
      <c r="W867" s="446"/>
      <c r="X867" s="456"/>
      <c r="Y867" s="436"/>
      <c r="Z867" s="437"/>
      <c r="AA867" s="560"/>
      <c r="AB867" s="561"/>
      <c r="AC867" s="87"/>
      <c r="AD867" s="466"/>
      <c r="AE867" s="456"/>
      <c r="AF867" s="467"/>
      <c r="AG867" s="87"/>
      <c r="AH867" s="87"/>
      <c r="AI867" s="87"/>
    </row>
    <row r="868" spans="1:35" hidden="1">
      <c r="A868" s="80" t="e">
        <f>"F"&amp;E859</f>
        <v>#N/A</v>
      </c>
      <c r="B868" s="105">
        <v>6</v>
      </c>
      <c r="C868" s="107"/>
      <c r="D868" s="107"/>
      <c r="E868" s="107"/>
      <c r="F868" s="107"/>
      <c r="G868" s="83"/>
      <c r="H868" s="83"/>
      <c r="I868" s="84"/>
      <c r="J868" s="85"/>
      <c r="K868" s="382"/>
      <c r="L868" s="85"/>
      <c r="M868" s="332" t="str">
        <f t="shared" si="241"/>
        <v/>
      </c>
      <c r="N868" s="86"/>
      <c r="O868" s="453" t="str">
        <f t="shared" si="243"/>
        <v/>
      </c>
      <c r="P868" s="538" t="str">
        <f t="shared" si="244"/>
        <v/>
      </c>
      <c r="Q868" s="539" t="str">
        <f t="shared" si="242"/>
        <v/>
      </c>
      <c r="R868" s="706"/>
      <c r="S868" s="707"/>
      <c r="T868" s="708"/>
      <c r="U868" s="472"/>
      <c r="V868" s="167"/>
      <c r="W868" s="446"/>
      <c r="X868" s="456"/>
      <c r="Y868" s="436"/>
      <c r="Z868" s="437"/>
      <c r="AA868" s="560"/>
      <c r="AB868" s="561"/>
      <c r="AC868" s="87"/>
      <c r="AD868" s="466"/>
      <c r="AE868" s="456"/>
      <c r="AF868" s="467"/>
      <c r="AG868" s="87"/>
      <c r="AH868" s="87"/>
      <c r="AI868" s="87"/>
    </row>
    <row r="869" spans="1:35" hidden="1">
      <c r="A869" s="80" t="e">
        <f>"G"&amp;E859</f>
        <v>#N/A</v>
      </c>
      <c r="B869" s="105">
        <v>7</v>
      </c>
      <c r="C869" s="107"/>
      <c r="D869" s="107"/>
      <c r="E869" s="107"/>
      <c r="F869" s="107"/>
      <c r="G869" s="83"/>
      <c r="H869" s="83"/>
      <c r="I869" s="84"/>
      <c r="J869" s="85"/>
      <c r="K869" s="382"/>
      <c r="L869" s="85"/>
      <c r="M869" s="332" t="str">
        <f t="shared" si="241"/>
        <v/>
      </c>
      <c r="N869" s="86"/>
      <c r="O869" s="86" t="str">
        <f t="shared" si="243"/>
        <v/>
      </c>
      <c r="P869" s="538" t="str">
        <f t="shared" si="244"/>
        <v/>
      </c>
      <c r="Q869" s="539" t="str">
        <f t="shared" si="242"/>
        <v/>
      </c>
      <c r="R869" s="706"/>
      <c r="S869" s="707"/>
      <c r="T869" s="708"/>
      <c r="U869" s="472"/>
      <c r="V869" s="167"/>
      <c r="W869" s="446"/>
      <c r="X869" s="456"/>
      <c r="Y869" s="436"/>
      <c r="Z869" s="437"/>
      <c r="AA869" s="560"/>
      <c r="AB869" s="561"/>
      <c r="AC869" s="87"/>
      <c r="AD869" s="466"/>
      <c r="AE869" s="456"/>
      <c r="AF869" s="467"/>
      <c r="AG869" s="87"/>
      <c r="AH869" s="87"/>
      <c r="AI869" s="87"/>
    </row>
    <row r="870" spans="1:35" hidden="1">
      <c r="A870" s="80" t="e">
        <f>"H"&amp;E859</f>
        <v>#N/A</v>
      </c>
      <c r="B870" s="105">
        <v>8</v>
      </c>
      <c r="C870" s="107"/>
      <c r="D870" s="107"/>
      <c r="E870" s="107"/>
      <c r="F870" s="107"/>
      <c r="G870" s="83"/>
      <c r="H870" s="83"/>
      <c r="I870" s="84"/>
      <c r="J870" s="85"/>
      <c r="K870" s="382"/>
      <c r="L870" s="85"/>
      <c r="M870" s="332" t="str">
        <f t="shared" si="241"/>
        <v/>
      </c>
      <c r="N870" s="453"/>
      <c r="O870" s="86" t="str">
        <f t="shared" si="243"/>
        <v/>
      </c>
      <c r="P870" s="538" t="str">
        <f t="shared" si="244"/>
        <v/>
      </c>
      <c r="Q870" s="539" t="str">
        <f t="shared" si="242"/>
        <v/>
      </c>
      <c r="R870" s="706"/>
      <c r="S870" s="707"/>
      <c r="T870" s="708"/>
      <c r="U870" s="472"/>
      <c r="V870" s="167"/>
      <c r="W870" s="446"/>
      <c r="X870" s="456"/>
      <c r="Y870" s="436"/>
      <c r="Z870" s="437"/>
      <c r="AA870" s="560"/>
      <c r="AB870" s="561"/>
      <c r="AC870" s="87"/>
      <c r="AD870" s="466"/>
      <c r="AE870" s="456"/>
      <c r="AF870" s="467"/>
      <c r="AG870" s="87"/>
      <c r="AH870" s="87"/>
      <c r="AI870" s="87"/>
    </row>
    <row r="871" spans="1:35" hidden="1">
      <c r="A871" s="80" t="e">
        <f>"I"&amp;E859</f>
        <v>#N/A</v>
      </c>
      <c r="B871" s="105">
        <v>9</v>
      </c>
      <c r="C871" s="107"/>
      <c r="D871" s="107"/>
      <c r="E871" s="107"/>
      <c r="F871" s="107"/>
      <c r="G871" s="83"/>
      <c r="H871" s="83"/>
      <c r="I871" s="84"/>
      <c r="J871" s="85"/>
      <c r="K871" s="382"/>
      <c r="L871" s="85"/>
      <c r="M871" s="332" t="str">
        <f t="shared" si="241"/>
        <v/>
      </c>
      <c r="N871" s="453"/>
      <c r="O871" s="86" t="str">
        <f t="shared" si="243"/>
        <v/>
      </c>
      <c r="P871" s="538" t="str">
        <f t="shared" si="244"/>
        <v/>
      </c>
      <c r="Q871" s="539" t="str">
        <f t="shared" si="242"/>
        <v/>
      </c>
      <c r="R871" s="706"/>
      <c r="S871" s="707"/>
      <c r="T871" s="708"/>
      <c r="U871" s="472"/>
      <c r="V871" s="167"/>
      <c r="W871" s="446"/>
      <c r="X871" s="456"/>
      <c r="Y871" s="436"/>
      <c r="Z871" s="437"/>
      <c r="AA871" s="560"/>
      <c r="AB871" s="561"/>
      <c r="AC871" s="87"/>
      <c r="AD871" s="466"/>
      <c r="AE871" s="456"/>
      <c r="AF871" s="467"/>
      <c r="AG871" s="87"/>
      <c r="AH871" s="87"/>
      <c r="AI871" s="87"/>
    </row>
    <row r="872" spans="1:35" hidden="1">
      <c r="A872" s="80" t="e">
        <f>"J"&amp;E859</f>
        <v>#N/A</v>
      </c>
      <c r="B872" s="105">
        <v>10</v>
      </c>
      <c r="C872" s="107"/>
      <c r="D872" s="107"/>
      <c r="E872" s="107"/>
      <c r="F872" s="107"/>
      <c r="G872" s="83"/>
      <c r="H872" s="83"/>
      <c r="I872" s="84"/>
      <c r="J872" s="85"/>
      <c r="K872" s="382"/>
      <c r="L872" s="85"/>
      <c r="M872" s="332" t="str">
        <f t="shared" si="241"/>
        <v/>
      </c>
      <c r="N872" s="453"/>
      <c r="O872" s="86" t="str">
        <f t="shared" si="243"/>
        <v/>
      </c>
      <c r="P872" s="538" t="str">
        <f t="shared" si="244"/>
        <v/>
      </c>
      <c r="Q872" s="539" t="str">
        <f t="shared" si="242"/>
        <v/>
      </c>
      <c r="R872" s="706"/>
      <c r="S872" s="707"/>
      <c r="T872" s="708"/>
      <c r="U872" s="472"/>
      <c r="V872" s="167"/>
      <c r="W872" s="446"/>
      <c r="X872" s="456"/>
      <c r="Y872" s="436"/>
      <c r="Z872" s="437"/>
      <c r="AA872" s="560"/>
      <c r="AB872" s="561"/>
      <c r="AC872" s="87"/>
      <c r="AD872" s="466"/>
      <c r="AE872" s="456"/>
      <c r="AF872" s="467"/>
      <c r="AG872" s="87"/>
      <c r="AH872" s="87"/>
      <c r="AI872" s="87"/>
    </row>
    <row r="873" spans="1:35" ht="16.5" hidden="1" thickBot="1">
      <c r="A873" s="44"/>
      <c r="B873" s="89"/>
      <c r="C873" s="90"/>
      <c r="D873" s="90"/>
      <c r="E873" s="90"/>
      <c r="F873" s="90"/>
      <c r="G873" s="90"/>
      <c r="H873" s="90"/>
      <c r="I873" s="90"/>
      <c r="J873" s="90"/>
      <c r="K873" s="90"/>
      <c r="L873" s="90"/>
      <c r="M873" s="90"/>
      <c r="N873" s="90"/>
      <c r="O873" s="90"/>
      <c r="P873" s="90"/>
      <c r="Q873" s="90"/>
      <c r="R873" s="90"/>
      <c r="S873" s="91"/>
      <c r="T873" s="92"/>
      <c r="U873" s="473"/>
      <c r="W873" s="438"/>
      <c r="X873" s="455"/>
      <c r="Y873" s="439"/>
      <c r="Z873" s="437"/>
      <c r="AA873" s="530"/>
      <c r="AB873" s="563"/>
      <c r="AC873" s="87"/>
      <c r="AD873" s="440"/>
      <c r="AE873" s="441"/>
      <c r="AF873" s="442"/>
      <c r="AG873" s="49"/>
      <c r="AH873" s="87"/>
      <c r="AI873" s="87"/>
    </row>
    <row r="874" spans="1:35" ht="16.5" hidden="1" thickBot="1">
      <c r="A874" s="93"/>
      <c r="B874" s="94"/>
      <c r="C874" s="96"/>
      <c r="D874" s="96"/>
      <c r="E874" s="96"/>
      <c r="F874" s="96"/>
      <c r="G874" s="96"/>
      <c r="H874" s="96"/>
      <c r="I874" s="96"/>
      <c r="J874" s="96"/>
      <c r="K874" s="96"/>
      <c r="L874" s="96"/>
      <c r="M874" s="136"/>
      <c r="N874" s="96"/>
      <c r="O874" s="96"/>
      <c r="P874" s="97"/>
      <c r="Q874" s="97"/>
      <c r="R874" s="98"/>
      <c r="S874" s="95"/>
      <c r="T874" s="99"/>
      <c r="U874" s="469"/>
      <c r="AC874" s="58"/>
      <c r="AG874" s="58"/>
      <c r="AH874" s="87"/>
      <c r="AI874" s="87"/>
    </row>
    <row r="875" spans="1:35" ht="16.5" hidden="1" thickBot="1">
      <c r="B875" s="101"/>
      <c r="C875" s="101"/>
      <c r="D875" s="101"/>
      <c r="E875" s="101"/>
      <c r="F875" s="101"/>
      <c r="G875" s="101"/>
      <c r="H875" s="101"/>
      <c r="I875" s="101"/>
      <c r="J875" s="101"/>
      <c r="K875" s="101"/>
      <c r="L875" s="101"/>
      <c r="M875" s="101"/>
      <c r="N875" s="101"/>
      <c r="O875" s="101"/>
      <c r="P875" s="101"/>
      <c r="Q875" s="101"/>
      <c r="R875" s="101"/>
      <c r="S875" s="101"/>
      <c r="U875" s="50"/>
      <c r="AH875" s="87"/>
      <c r="AI875" s="87"/>
    </row>
    <row r="876" spans="1:35" ht="16.5" hidden="1" customHeight="1" thickBot="1">
      <c r="A876" s="44"/>
      <c r="B876" s="705" t="s">
        <v>74</v>
      </c>
      <c r="C876" s="705"/>
      <c r="D876" s="705"/>
      <c r="E876" s="705"/>
      <c r="F876" s="705"/>
      <c r="G876" s="705"/>
      <c r="H876" s="705"/>
      <c r="I876" s="705"/>
      <c r="J876" s="705"/>
      <c r="K876" s="705"/>
      <c r="L876" s="705"/>
      <c r="M876" s="705"/>
      <c r="N876" s="705"/>
      <c r="O876" s="705"/>
      <c r="P876" s="705"/>
      <c r="Q876" s="705"/>
      <c r="R876" s="705"/>
      <c r="S876" s="705"/>
      <c r="T876" s="705"/>
      <c r="U876" s="108"/>
      <c r="Y876" s="532" t="s">
        <v>341</v>
      </c>
      <c r="AC876" s="49"/>
      <c r="AD876" s="687" t="s">
        <v>302</v>
      </c>
      <c r="AE876" s="688"/>
      <c r="AF876" s="689"/>
      <c r="AG876" s="49"/>
      <c r="AH876" s="87"/>
      <c r="AI876" s="87"/>
    </row>
    <row r="877" spans="1:35" ht="15.75" hidden="1" customHeight="1" thickBot="1">
      <c r="A877" s="218" t="e">
        <f>"K"&amp;E859</f>
        <v>#N/A</v>
      </c>
      <c r="B877" s="701" t="s">
        <v>71</v>
      </c>
      <c r="C877" s="751" t="s">
        <v>102</v>
      </c>
      <c r="D877" s="751"/>
      <c r="E877" s="751"/>
      <c r="F877" s="751"/>
      <c r="G877" s="751"/>
      <c r="H877" s="751"/>
      <c r="I877" s="751"/>
      <c r="J877" s="751"/>
      <c r="K877" s="751"/>
      <c r="L877" s="722" t="s">
        <v>100</v>
      </c>
      <c r="M877" s="747" t="s">
        <v>114</v>
      </c>
      <c r="N877" s="747"/>
      <c r="O877" s="747"/>
      <c r="P877" s="747"/>
      <c r="Q877" s="748"/>
      <c r="R877" s="758" t="s">
        <v>280</v>
      </c>
      <c r="S877" s="748"/>
      <c r="T877" s="762" t="str">
        <f>IF(COUNTIF(AE877:AF877,"VERIFICAR")&gt;0,"VERIFICAR",IF(COUNTIF(AE877:AF877,"NO CUMPLE")&gt;0,"NO CUMPLE","CUMPLE"))</f>
        <v>VERIFICAR</v>
      </c>
      <c r="U877" s="108"/>
      <c r="Y877" s="533" t="e">
        <f>IF(F878="","",IF(F878=1,"INDIVIDUAL","ESTRUCTURA PLURAL"))</f>
        <v>#N/A</v>
      </c>
      <c r="AC877" s="52"/>
      <c r="AD877" s="475" t="s">
        <v>303</v>
      </c>
      <c r="AE877" s="476" t="str">
        <f>IF(COUNTIF(AE863:AE872,"")=10,"VERIFICAR",IF(COUNTIF(AE863:AE872,"SI")&gt;0,"CUMPLE","NO CUMPLE"))</f>
        <v>VERIFICAR</v>
      </c>
      <c r="AF877" s="477" t="str">
        <f>IF(COUNTIF(AF863:AF872,"")=10,"VERIFICAR",IF(COUNTIF(AF863:AF872,"SI")&gt;=$AI$22,"CUMPLE","NO CUMPLE"))</f>
        <v>VERIFICAR</v>
      </c>
      <c r="AG877" s="52"/>
      <c r="AH877" s="87"/>
      <c r="AI877" s="87"/>
    </row>
    <row r="878" spans="1:35" ht="16.5" hidden="1" customHeight="1" thickBot="1">
      <c r="A878" s="218" t="e">
        <f>"L"&amp;E859</f>
        <v>#N/A</v>
      </c>
      <c r="B878" s="702"/>
      <c r="C878" s="751" t="s">
        <v>103</v>
      </c>
      <c r="D878" s="751"/>
      <c r="E878" s="752"/>
      <c r="F878" s="557" t="e">
        <f>IF(VLOOKUP(E859,PROPONENTES!$C$19:$E$218,3,0)="","",VLOOKUP(E859,PROPONENTES!$C$19:$E$218,3,0))</f>
        <v>#N/A</v>
      </c>
      <c r="G878" s="753" t="s">
        <v>104</v>
      </c>
      <c r="H878" s="751"/>
      <c r="I878" s="715" t="e">
        <f>IF(OR(F878="",F878=1),"INTERESADO PERSONA NATURAL O JURIDICA","CONSORCIO O UNION TEMPORAL")</f>
        <v>#N/A</v>
      </c>
      <c r="J878" s="725"/>
      <c r="K878" s="728"/>
      <c r="L878" s="723"/>
      <c r="M878" s="749"/>
      <c r="N878" s="749"/>
      <c r="O878" s="749"/>
      <c r="P878" s="749"/>
      <c r="Q878" s="750"/>
      <c r="R878" s="712"/>
      <c r="S878" s="750"/>
      <c r="T878" s="763"/>
      <c r="U878" s="108"/>
      <c r="Y878" s="534"/>
      <c r="AA878" s="52"/>
      <c r="AB878" s="52"/>
      <c r="AC878" s="52"/>
      <c r="AG878" s="52"/>
      <c r="AH878" s="87"/>
      <c r="AI878" s="87"/>
    </row>
    <row r="879" spans="1:35" ht="56.25" hidden="1" customHeight="1" thickBot="1">
      <c r="A879" s="218" t="e">
        <f>"M"&amp;E859</f>
        <v>#N/A</v>
      </c>
      <c r="B879" s="702"/>
      <c r="C879" s="725" t="s">
        <v>101</v>
      </c>
      <c r="D879" s="716"/>
      <c r="E879" s="558" t="s">
        <v>105</v>
      </c>
      <c r="F879" s="554" t="s">
        <v>87</v>
      </c>
      <c r="G879" s="553" t="s">
        <v>86</v>
      </c>
      <c r="H879" s="559" t="s">
        <v>85</v>
      </c>
      <c r="I879" s="554" t="s">
        <v>252</v>
      </c>
      <c r="J879" s="553" t="str">
        <f>"¿EL INTEGRANTE TIENE UNA PARTICIPACIÓN DEL "&amp;PORCREQUERIDOINT*100&amp;"%?"</f>
        <v>¿EL INTEGRANTE TIENE UNA PARTICIPACIÓN DEL 60%?</v>
      </c>
      <c r="K879" s="554" t="s">
        <v>107</v>
      </c>
      <c r="L879" s="724"/>
      <c r="M879" s="717" t="s">
        <v>115</v>
      </c>
      <c r="N879" s="718"/>
      <c r="O879" s="718"/>
      <c r="P879" s="718"/>
      <c r="Q879" s="223">
        <f>IF(AND(H863="SI",P863&gt;=0),1,0)+IF(AND(H864="SI",P864&gt;=0),1,0)+IF(AND(H865="SI",P865&gt;=0),1,0)+IF(AND(H866="SI",P866&gt;=0),1,0)+IF(AND(H867="SI",P867&gt;=0),1,0)+IF(AND(H868="SI",P868&gt;=0),1,0)+IF(AND(H869="SI",P869&gt;=0),1,0)+IF(AND(H870="SI",P870&gt;=0),1,0)+IF(AND(H871="SI",P871&gt;=0),1,0)+IF(AND(H872="SI",P872&gt;=0),1,0)</f>
        <v>0</v>
      </c>
      <c r="R879" s="759"/>
      <c r="S879" s="761"/>
      <c r="T879" s="764"/>
      <c r="U879" s="219"/>
      <c r="V879" s="464"/>
      <c r="Y879" s="532" t="s">
        <v>342</v>
      </c>
      <c r="AA879" s="550" t="s">
        <v>344</v>
      </c>
      <c r="AB879" s="693" t="s">
        <v>345</v>
      </c>
      <c r="AC879" s="693" t="s">
        <v>346</v>
      </c>
      <c r="AD879" s="685" t="s">
        <v>347</v>
      </c>
      <c r="AE879" s="52"/>
      <c r="AF879" s="52"/>
      <c r="AG879" s="52"/>
      <c r="AH879" s="87"/>
      <c r="AI879" s="87"/>
    </row>
    <row r="880" spans="1:35" ht="15.75" hidden="1" customHeight="1" thickBot="1">
      <c r="A880" s="218" t="e">
        <f>"N"&amp;E859</f>
        <v>#N/A</v>
      </c>
      <c r="B880" s="702"/>
      <c r="C880" s="114">
        <v>1</v>
      </c>
      <c r="D880" s="194" t="e">
        <f>IF(AND(C880&lt;=F878,F878&gt;1,F878&lt;&gt;""),VLOOKUP(VALUE(E859&amp;","&amp;C880),INTEGRANTES!$D$18:$F$235,2,0),"")</f>
        <v>#N/A</v>
      </c>
      <c r="E880" s="211" t="e">
        <f>IF(D880&lt;&gt;"",VLOOKUP(VALUE(E859&amp;","&amp;C880),INTEGRANTES!$D$18:$F$235,3,0),"")</f>
        <v>#N/A</v>
      </c>
      <c r="F880" s="547" t="e">
        <f>IF(D880="","",SUMIF($I863:$I872,D880,$P863:$P872))</f>
        <v>#N/A</v>
      </c>
      <c r="G880" s="333" t="e">
        <f>IF(D880="","",SUMIF($I863:$I872,D880,$M863:$M872))</f>
        <v>#N/A</v>
      </c>
      <c r="H880" s="535" t="e">
        <f t="shared" ref="H880:H885" si="245">IF(D880="","",IF(OR(F880=0,G880=0),"NO APORTA",ROUND($F880/$G880,3)))</f>
        <v>#N/A</v>
      </c>
      <c r="I880" s="212" t="e">
        <f>IF(D880="","",IF(H880="NO APORTA","NO",IF(H880=MAX($H880:$H885),"SI","NO")))</f>
        <v>#N/A</v>
      </c>
      <c r="J880" s="213" t="e">
        <f t="shared" ref="J880:J885" si="246">IF(D880="","",IF(E880&gt;=PORCREQUERIDOINT,"SI","NO"))</f>
        <v>#N/A</v>
      </c>
      <c r="K880" s="200" t="e">
        <f t="shared" ref="K880:K885" si="247">IF(D880="","",IF(AND(I880="SI",J880="SI"),"CUMPLE",IF(AND(I880="NO",OR(J880="SI",J880="NO")),"","NO CUMPLE")))</f>
        <v>#N/A</v>
      </c>
      <c r="L880" s="722" t="s">
        <v>108</v>
      </c>
      <c r="M880" s="726" t="s">
        <v>119</v>
      </c>
      <c r="N880" s="726"/>
      <c r="O880" s="726"/>
      <c r="P880" s="726"/>
      <c r="Q880" s="727"/>
      <c r="R880" s="758" t="s">
        <v>80</v>
      </c>
      <c r="S880" s="747"/>
      <c r="T880" s="748"/>
      <c r="U880" s="219"/>
      <c r="V880" s="464"/>
      <c r="Y880" s="533" t="e">
        <f>IF(Y877="","",IF(Y877="INDIVIDUAL","NO APLICA","VERIFICAR CUADRO"))</f>
        <v>#N/A</v>
      </c>
      <c r="AA880" s="551"/>
      <c r="AB880" s="694"/>
      <c r="AC880" s="694"/>
      <c r="AD880" s="686"/>
      <c r="AE880" s="52"/>
      <c r="AF880" s="52"/>
      <c r="AG880" s="52"/>
      <c r="AH880" s="87"/>
      <c r="AI880" s="87"/>
    </row>
    <row r="881" spans="1:35" ht="27" hidden="1" customHeight="1" thickBot="1">
      <c r="A881" s="218" t="e">
        <f>"O"&amp;E859</f>
        <v>#N/A</v>
      </c>
      <c r="B881" s="702"/>
      <c r="C881" s="114">
        <v>2</v>
      </c>
      <c r="D881" s="194" t="e">
        <f>IF(AND(C881&lt;=F878,F878&lt;&gt;""),VLOOKUP(VALUE(E859&amp;","&amp;C881),INTEGRANTES!$D$18:$F$235,2,0),"")</f>
        <v>#N/A</v>
      </c>
      <c r="E881" s="211" t="e">
        <f>IF(D881&lt;&gt;"",VLOOKUP(VALUE(E859&amp;","&amp;C881),INTEGRANTES!$D$18:$F$235,3,0),"")</f>
        <v>#N/A</v>
      </c>
      <c r="F881" s="547" t="e">
        <f>IF(D881="","",SUMIF($I863:$I872,D881,$P863:$P872))</f>
        <v>#N/A</v>
      </c>
      <c r="G881" s="333" t="e">
        <f>IF(D881="","",SUMIF($I863:$I872,D881,$M863:$M872))</f>
        <v>#N/A</v>
      </c>
      <c r="H881" s="535" t="e">
        <f t="shared" si="245"/>
        <v>#N/A</v>
      </c>
      <c r="I881" s="212" t="e">
        <f>IF(D881="","",IF(H881="NO APORTA","NO",IF(H881=MAX($H880:$H885),"SI","NO")))</f>
        <v>#N/A</v>
      </c>
      <c r="J881" s="213" t="e">
        <f t="shared" si="246"/>
        <v>#N/A</v>
      </c>
      <c r="K881" s="200" t="e">
        <f t="shared" si="247"/>
        <v>#N/A</v>
      </c>
      <c r="L881" s="723"/>
      <c r="M881" s="715" t="s">
        <v>116</v>
      </c>
      <c r="N881" s="716"/>
      <c r="O881" s="556" t="s">
        <v>113</v>
      </c>
      <c r="P881" s="715" t="s">
        <v>117</v>
      </c>
      <c r="Q881" s="728"/>
      <c r="R881" s="759"/>
      <c r="S881" s="760"/>
      <c r="T881" s="761"/>
      <c r="U881" s="219"/>
      <c r="V881" s="464"/>
      <c r="Y881" s="414"/>
      <c r="AA881" s="542" t="e">
        <f>IF(AND(C880&lt;=F878,F878&gt;1,F878&lt;&gt;""),VLOOKUP(VALUE(E859&amp;","&amp;C880),INTEGRANTES!$D$18:$F$235,2,0),"")</f>
        <v>#N/A</v>
      </c>
      <c r="AB881" s="544" t="e">
        <f t="shared" ref="AB881:AB886" si="248">IF(D880="","",IF(OR(F880=0,G880=0),"NO APORTA",ROUND($F880/$G880,3)))</f>
        <v>#N/A</v>
      </c>
      <c r="AC881" s="529"/>
      <c r="AD881" s="200" t="e">
        <f t="shared" ref="AD881:AD886" si="249">IF(OR(AA881="",AB881=""),"",IF(AND(AC881="X",AB881&gt;=EXPREQVTD),"CUMPLE","NO CUMPLE"))</f>
        <v>#N/A</v>
      </c>
      <c r="AE881" s="52"/>
      <c r="AF881" s="52"/>
      <c r="AG881" s="52"/>
      <c r="AH881" s="87"/>
      <c r="AI881" s="87"/>
    </row>
    <row r="882" spans="1:35" ht="16.5" hidden="1" thickBot="1">
      <c r="A882" s="218" t="e">
        <f>"P"&amp;E859</f>
        <v>#N/A</v>
      </c>
      <c r="B882" s="702"/>
      <c r="C882" s="114">
        <v>3</v>
      </c>
      <c r="D882" s="194" t="e">
        <f>IF(AND(C882&lt;=F878,F878&lt;&gt;""),VLOOKUP(VALUE(E859&amp;","&amp;C882),INTEGRANTES!$D$18:$F$235,2,0),"")</f>
        <v>#N/A</v>
      </c>
      <c r="E882" s="211" t="e">
        <f>IF(D882&lt;&gt;"",VLOOKUP(VALUE(E859&amp;","&amp;C882),INTEGRANTES!$D$18:$F$235,3,0),"")</f>
        <v>#N/A</v>
      </c>
      <c r="F882" s="547" t="e">
        <f>IF(D882="","",SUMIF($I863:$I872,D882,$P863:$P872))</f>
        <v>#N/A</v>
      </c>
      <c r="G882" s="333" t="e">
        <f>IF(D882="","",SUMIF($I863:$I872,D882,$M863:$M872))</f>
        <v>#N/A</v>
      </c>
      <c r="H882" s="535" t="e">
        <f t="shared" si="245"/>
        <v>#N/A</v>
      </c>
      <c r="I882" s="212" t="e">
        <f>IF(D882="","",IF(H882="NO APORTA","NO",IF(H882=MAX($H880:$H885),"SI","NO")))</f>
        <v>#N/A</v>
      </c>
      <c r="J882" s="213" t="e">
        <f t="shared" si="246"/>
        <v>#N/A</v>
      </c>
      <c r="K882" s="200" t="e">
        <f t="shared" si="247"/>
        <v>#N/A</v>
      </c>
      <c r="L882" s="724"/>
      <c r="M882" s="729">
        <f>NUMMOD</f>
        <v>1</v>
      </c>
      <c r="N882" s="730"/>
      <c r="O882" s="443">
        <f>IF(M882="","",VLOOKUP(M882,PRESUPUESTOS!$B$16:$H$16,5,FALSE))</f>
        <v>2</v>
      </c>
      <c r="P882" s="713">
        <f>IF(OR(COUNTIF(M863:M872,"")&gt;=10,Q879&lt;NUMMINCONT,OR(T877="NO CUMPLE",T877="VERIFICAR")),0,ROUND(AVERAGE(M863:M872),3))</f>
        <v>0</v>
      </c>
      <c r="Q882" s="714"/>
      <c r="R882" s="458"/>
      <c r="S882" s="459"/>
      <c r="T882" s="460"/>
      <c r="U882" s="219"/>
      <c r="V882" s="464"/>
      <c r="Y882" s="532" t="str">
        <f>"40% * ("&amp;PRESUPUESTOS!$H$13&amp;")"</f>
        <v>40% * (50% PFMO)</v>
      </c>
      <c r="AA882" s="540" t="e">
        <f>IF(AND(C881&lt;=F878,F878&lt;&gt;""),VLOOKUP(VALUE(E859&amp;","&amp;C881),INTEGRANTES!$D$18:$F$235,2,0),"")</f>
        <v>#N/A</v>
      </c>
      <c r="AB882" s="545" t="e">
        <f t="shared" si="248"/>
        <v>#N/A</v>
      </c>
      <c r="AC882" s="529"/>
      <c r="AD882" s="200" t="e">
        <f t="shared" si="249"/>
        <v>#N/A</v>
      </c>
      <c r="AE882" s="52"/>
      <c r="AF882" s="52"/>
      <c r="AG882" s="52"/>
      <c r="AH882" s="87"/>
      <c r="AI882" s="87"/>
    </row>
    <row r="883" spans="1:35" ht="15.75" hidden="1" customHeight="1" thickBot="1">
      <c r="A883" s="218" t="e">
        <f>"Q"&amp;E859</f>
        <v>#N/A</v>
      </c>
      <c r="B883" s="702"/>
      <c r="C883" s="114">
        <v>4</v>
      </c>
      <c r="D883" s="194" t="e">
        <f>IF(AND(C883&lt;=F878,F878&lt;&gt;""),VLOOKUP(VALUE(E859&amp;","&amp;C883),INTEGRANTES!$D$18:$F$235,2,0),"")</f>
        <v>#N/A</v>
      </c>
      <c r="E883" s="211" t="e">
        <f>IF(D883&lt;&gt;"",VLOOKUP(VALUE(E859&amp;","&amp;C883),INTEGRANTES!$D$18:$F$235,3,0),"")</f>
        <v>#N/A</v>
      </c>
      <c r="F883" s="547" t="e">
        <f>IF(D883="","",SUMIF($I863:$I872,D883,$P863:$P872))</f>
        <v>#N/A</v>
      </c>
      <c r="G883" s="333" t="e">
        <f>IF(D883="","",SUMIF($I863:$I872,D883,$M863:$M872))</f>
        <v>#N/A</v>
      </c>
      <c r="H883" s="535" t="e">
        <f t="shared" si="245"/>
        <v>#N/A</v>
      </c>
      <c r="I883" s="212" t="e">
        <f>IF(D883="","",IF(H883="NO APORTA","NO",IF(H883=MAX($H880:$H885),"SI","NO")))</f>
        <v>#N/A</v>
      </c>
      <c r="J883" s="213" t="e">
        <f t="shared" si="246"/>
        <v>#N/A</v>
      </c>
      <c r="K883" s="200" t="e">
        <f t="shared" si="247"/>
        <v>#N/A</v>
      </c>
      <c r="L883" s="720" t="s">
        <v>109</v>
      </c>
      <c r="M883" s="757" t="s">
        <v>120</v>
      </c>
      <c r="N883" s="726"/>
      <c r="O883" s="726"/>
      <c r="P883" s="726"/>
      <c r="Q883" s="727"/>
      <c r="R883" s="458"/>
      <c r="S883" s="459"/>
      <c r="T883" s="460"/>
      <c r="U883" s="219"/>
      <c r="V883" s="464"/>
      <c r="Y883" s="537">
        <f>0.4*PRESUPUESTOS!$H$16</f>
        <v>10.3124</v>
      </c>
      <c r="AA883" s="540" t="e">
        <f>IF(AND(C882&lt;=F878,F878&lt;&gt;""),VLOOKUP(VALUE(E859&amp;","&amp;C882),INTEGRANTES!$D$18:$F$235,2,0),"")</f>
        <v>#N/A</v>
      </c>
      <c r="AB883" s="545" t="e">
        <f t="shared" si="248"/>
        <v>#N/A</v>
      </c>
      <c r="AC883" s="529"/>
      <c r="AD883" s="200" t="e">
        <f t="shared" si="249"/>
        <v>#N/A</v>
      </c>
      <c r="AE883" s="52"/>
      <c r="AF883" s="52"/>
      <c r="AG883" s="52"/>
      <c r="AH883" s="87"/>
      <c r="AI883" s="87"/>
    </row>
    <row r="884" spans="1:35" ht="27" hidden="1" customHeight="1" thickBot="1">
      <c r="A884" s="218" t="e">
        <f>"R"&amp;E859</f>
        <v>#N/A</v>
      </c>
      <c r="B884" s="702"/>
      <c r="C884" s="114">
        <v>5</v>
      </c>
      <c r="D884" s="194" t="e">
        <f>IF(AND(C884&lt;=F878,F878&lt;&gt;""),VLOOKUP(VALUE(E859&amp;","&amp;C884),INTEGRANTES!$D$18:$F$235,2,0),"")</f>
        <v>#N/A</v>
      </c>
      <c r="E884" s="211" t="e">
        <f>IF(D884&lt;&gt;"",VLOOKUP(VALUE(E859&amp;","&amp;C884),INTEGRANTES!$D$18:$F$235,3,0),"")</f>
        <v>#N/A</v>
      </c>
      <c r="F884" s="547" t="e">
        <f>IF(D884="","",SUMIF($I863:$I872,D884,$P863:$P872))</f>
        <v>#N/A</v>
      </c>
      <c r="G884" s="333" t="e">
        <f>IF(D884="","",SUMIF($I863:$I872,D884,$M863:$M872))</f>
        <v>#N/A</v>
      </c>
      <c r="H884" s="535" t="e">
        <f t="shared" si="245"/>
        <v>#N/A</v>
      </c>
      <c r="I884" s="212" t="e">
        <f>IF(D884="","",IF(H884="NO APORTA","NO",IF(H884=MAX($H880:$H885),"SI","NO")))</f>
        <v>#N/A</v>
      </c>
      <c r="J884" s="213" t="e">
        <f t="shared" si="246"/>
        <v>#N/A</v>
      </c>
      <c r="K884" s="200" t="e">
        <f t="shared" si="247"/>
        <v>#N/A</v>
      </c>
      <c r="L884" s="721"/>
      <c r="M884" s="715" t="s">
        <v>116</v>
      </c>
      <c r="N884" s="716"/>
      <c r="O884" s="556" t="str">
        <f>PORCREQUERIDO*100&amp;"% PMFO DEL MÓDULO"</f>
        <v>50% PMFO DEL MÓDULO</v>
      </c>
      <c r="P884" s="715" t="s">
        <v>118</v>
      </c>
      <c r="Q884" s="728"/>
      <c r="R884" s="458"/>
      <c r="S884" s="459"/>
      <c r="T884" s="460"/>
      <c r="U884" s="219"/>
      <c r="V884" s="464"/>
      <c r="Y884" s="414"/>
      <c r="AA884" s="540" t="e">
        <f>IF(AND(C883&lt;=F878,F878&lt;&gt;""),VLOOKUP(VALUE(E859&amp;","&amp;C883),INTEGRANTES!$D$18:$F$235,2,0),"")</f>
        <v>#N/A</v>
      </c>
      <c r="AB884" s="545" t="e">
        <f t="shared" si="248"/>
        <v>#N/A</v>
      </c>
      <c r="AC884" s="529"/>
      <c r="AD884" s="200" t="e">
        <f t="shared" si="249"/>
        <v>#N/A</v>
      </c>
      <c r="AE884" s="52"/>
      <c r="AF884" s="52"/>
      <c r="AG884" s="52"/>
      <c r="AH884" s="87"/>
      <c r="AI884" s="87"/>
    </row>
    <row r="885" spans="1:35" ht="16.5" hidden="1" thickBot="1">
      <c r="A885" s="218" t="e">
        <f>"S"&amp;E859</f>
        <v>#N/A</v>
      </c>
      <c r="B885" s="702"/>
      <c r="C885" s="215">
        <v>6</v>
      </c>
      <c r="D885" s="216" t="e">
        <f>IF(AND(C885&lt;=F878,F878&lt;&gt;""),VLOOKUP(VALUE(E859&amp;","&amp;C885),INTEGRANTES!$D$18:$F$235,2,0),"")</f>
        <v>#N/A</v>
      </c>
      <c r="E885" s="217" t="e">
        <f>IF(D885&lt;&gt;"",VLOOKUP(VALUE(E859&amp;","&amp;C885),INTEGRANTES!$D$18:$F$235,3,0),"")</f>
        <v>#N/A</v>
      </c>
      <c r="F885" s="548" t="e">
        <f>IF(D885="","",SUMIF($I863:$I872,D885,$P863:$P872))</f>
        <v>#N/A</v>
      </c>
      <c r="G885" s="334" t="e">
        <f>IF(D885="","",SUMIF($I863:$I872,D885,$M863:$M872))</f>
        <v>#N/A</v>
      </c>
      <c r="H885" s="536" t="e">
        <f t="shared" si="245"/>
        <v>#N/A</v>
      </c>
      <c r="I885" s="214" t="e">
        <f>IF(D885="","",IF(H885="NO APORTA","NO",IF(H885=MAX($H880:$H885),"SI","NO")))</f>
        <v>#N/A</v>
      </c>
      <c r="J885" s="213" t="e">
        <f t="shared" si="246"/>
        <v>#N/A</v>
      </c>
      <c r="K885" s="200" t="e">
        <f t="shared" si="247"/>
        <v>#N/A</v>
      </c>
      <c r="L885" s="721"/>
      <c r="M885" s="729">
        <f>NUMMOD</f>
        <v>1</v>
      </c>
      <c r="N885" s="730"/>
      <c r="O885" s="443">
        <f>IF(M885="","",ROUND(VLOOKUP(M885,PRESUPUESTOS!$B$16:$H$16,7,FALSE),3))</f>
        <v>25.780999999999999</v>
      </c>
      <c r="P885" s="713">
        <f>IF(OR(COUNTIF(P863:P872,"")&gt;=10,Q879&lt;NUMMINCONT,OR(T877="NO CUMPLE",T877="VERIFICAR")),0,ROUND((SUM(P863:P872)/SUM(M863:M872)),3))</f>
        <v>0</v>
      </c>
      <c r="Q885" s="714"/>
      <c r="R885" s="458"/>
      <c r="S885" s="459"/>
      <c r="T885" s="460"/>
      <c r="U885" s="219"/>
      <c r="V885" s="464"/>
      <c r="Y885" s="532" t="s">
        <v>343</v>
      </c>
      <c r="AA885" s="540" t="e">
        <f>IF(AND(C884&lt;=F878,F878&lt;&gt;""),VLOOKUP(VALUE(E859&amp;","&amp;C884),INTEGRANTES!$D$18:$F$235,2,0),"")</f>
        <v>#N/A</v>
      </c>
      <c r="AB885" s="545" t="e">
        <f t="shared" si="248"/>
        <v>#N/A</v>
      </c>
      <c r="AC885" s="529"/>
      <c r="AD885" s="200" t="e">
        <f t="shared" si="249"/>
        <v>#N/A</v>
      </c>
      <c r="AE885" s="52"/>
      <c r="AF885" s="52"/>
      <c r="AG885" s="52"/>
      <c r="AH885" s="87"/>
      <c r="AI885" s="87"/>
    </row>
    <row r="886" spans="1:35" ht="16.5" hidden="1" customHeight="1" thickBot="1">
      <c r="A886" s="218" t="e">
        <f>"T"&amp;E859</f>
        <v>#N/A</v>
      </c>
      <c r="B886" s="703"/>
      <c r="C886" s="719"/>
      <c r="D886" s="719"/>
      <c r="E886" s="719"/>
      <c r="F886" s="719"/>
      <c r="G886" s="719"/>
      <c r="H886" s="719" t="s">
        <v>110</v>
      </c>
      <c r="I886" s="719"/>
      <c r="J886" s="719"/>
      <c r="K886" s="201" t="str">
        <f>IF(COUNTIF(K880:K885,"")=6,"",IF(COUNTIF(K880:K885,"CUMPLE")&gt;0,"CUMPLE","NO CUMPLE"))</f>
        <v>NO CUMPLE</v>
      </c>
      <c r="L886" s="754"/>
      <c r="M886" s="755"/>
      <c r="N886" s="755"/>
      <c r="O886" s="755"/>
      <c r="P886" s="755"/>
      <c r="Q886" s="756"/>
      <c r="R886" s="461"/>
      <c r="S886" s="462"/>
      <c r="T886" s="463"/>
      <c r="U886" s="219"/>
      <c r="V886" s="464"/>
      <c r="Y886" s="549" t="e">
        <f>IF(Y880="NO APLICA","NO APLICA",IF(COUNTIF(AD881:AD886,"CUMPLE")&gt;0,"CUMPLE","NO CUMPLE"))</f>
        <v>#N/A</v>
      </c>
      <c r="AA886" s="541" t="e">
        <f>IF(AND(C885&lt;=F878,F878&lt;&gt;""),VLOOKUP(VALUE(E859&amp;","&amp;C885),INTEGRANTES!$D$18:$F$235,2,0),"")</f>
        <v>#N/A</v>
      </c>
      <c r="AB886" s="546" t="e">
        <f t="shared" si="248"/>
        <v>#N/A</v>
      </c>
      <c r="AC886" s="543"/>
      <c r="AD886" s="201" t="e">
        <f t="shared" si="249"/>
        <v>#N/A</v>
      </c>
      <c r="AE886" s="52"/>
      <c r="AF886" s="52"/>
      <c r="AG886" s="52"/>
      <c r="AH886" s="87"/>
      <c r="AI886" s="87"/>
    </row>
    <row r="887" spans="1:35" hidden="1">
      <c r="A887" s="103"/>
      <c r="B887" s="206"/>
      <c r="C887" s="206"/>
      <c r="D887" s="206"/>
      <c r="E887" s="206"/>
      <c r="F887" s="206"/>
      <c r="G887" s="206"/>
      <c r="H887" s="206"/>
      <c r="I887" s="104"/>
      <c r="J887" s="206"/>
      <c r="K887" s="113"/>
      <c r="L887" s="113"/>
      <c r="M887" s="113"/>
      <c r="N887" s="222"/>
      <c r="O887" s="113"/>
      <c r="P887" s="113"/>
      <c r="Q887" s="113"/>
      <c r="R887" s="206"/>
      <c r="S887" s="104"/>
      <c r="T887" s="206"/>
      <c r="U887" s="474"/>
      <c r="AH887" s="87"/>
      <c r="AI887" s="87"/>
    </row>
    <row r="888" spans="1:35" hidden="1">
      <c r="H888" s="220"/>
      <c r="AH888" s="87"/>
      <c r="AI888" s="87"/>
    </row>
    <row r="889" spans="1:35" ht="24" hidden="1" thickBot="1">
      <c r="A889" s="61">
        <v>30</v>
      </c>
      <c r="B889" s="704" t="s">
        <v>51</v>
      </c>
      <c r="C889" s="704"/>
      <c r="D889" s="704"/>
      <c r="E889" s="62" t="e">
        <f>VLOOKUP(A889,PROPONENTES!$B$19:$E$218,2,FALSE)</f>
        <v>#N/A</v>
      </c>
      <c r="F889" s="63" t="e">
        <f>VLOOKUP(A889,PROPONENTES!$B$19:$E$218,3,FALSE)</f>
        <v>#N/A</v>
      </c>
      <c r="G889" s="64"/>
      <c r="H889" s="64"/>
      <c r="I889" s="63"/>
      <c r="J889" s="63"/>
      <c r="K889" s="65"/>
      <c r="L889" s="65"/>
      <c r="M889" s="64"/>
      <c r="N889" s="64"/>
      <c r="O889" s="66"/>
      <c r="P889" s="66"/>
      <c r="Q889" s="66"/>
      <c r="R889" s="66"/>
      <c r="S889" s="67"/>
      <c r="T889" s="68"/>
      <c r="U889" s="68"/>
      <c r="AC889" s="68"/>
      <c r="AD889" s="68"/>
      <c r="AE889" s="68"/>
      <c r="AF889" s="68"/>
      <c r="AG889" s="68"/>
      <c r="AH889" s="87"/>
      <c r="AI889" s="87"/>
    </row>
    <row r="890" spans="1:35" ht="15.75" hidden="1" customHeight="1">
      <c r="A890" s="44"/>
      <c r="B890" s="709" t="s">
        <v>59</v>
      </c>
      <c r="C890" s="552" t="s">
        <v>60</v>
      </c>
      <c r="D890" s="70" t="s">
        <v>17</v>
      </c>
      <c r="E890" s="70"/>
      <c r="F890" s="70" t="s">
        <v>61</v>
      </c>
      <c r="G890" s="71"/>
      <c r="H890" s="699" t="s">
        <v>62</v>
      </c>
      <c r="I890" s="699" t="s">
        <v>18</v>
      </c>
      <c r="J890" s="699" t="s">
        <v>63</v>
      </c>
      <c r="K890" s="699" t="s">
        <v>64</v>
      </c>
      <c r="L890" s="699" t="s">
        <v>65</v>
      </c>
      <c r="M890" s="743" t="s">
        <v>66</v>
      </c>
      <c r="N890" s="699" t="s">
        <v>282</v>
      </c>
      <c r="O890" s="745" t="s">
        <v>67</v>
      </c>
      <c r="P890" s="746"/>
      <c r="Q890" s="102" t="s">
        <v>75</v>
      </c>
      <c r="R890" s="731" t="s">
        <v>22</v>
      </c>
      <c r="S890" s="732"/>
      <c r="T890" s="733"/>
      <c r="U890" s="712" t="s">
        <v>298</v>
      </c>
      <c r="W890" s="690" t="s">
        <v>268</v>
      </c>
      <c r="X890" s="691"/>
      <c r="Y890" s="692"/>
      <c r="Z890" s="428"/>
      <c r="AA890" s="697" t="s">
        <v>315</v>
      </c>
      <c r="AB890" s="695" t="s">
        <v>322</v>
      </c>
      <c r="AC890" s="49"/>
      <c r="AD890" s="690" t="s">
        <v>297</v>
      </c>
      <c r="AE890" s="691"/>
      <c r="AF890" s="692"/>
      <c r="AG890" s="49"/>
      <c r="AH890" s="87"/>
      <c r="AI890" s="87"/>
    </row>
    <row r="891" spans="1:35" ht="72" hidden="1">
      <c r="A891" s="44"/>
      <c r="B891" s="710"/>
      <c r="C891" s="553" t="s">
        <v>68</v>
      </c>
      <c r="D891" s="73" t="s">
        <v>3</v>
      </c>
      <c r="E891" s="73" t="s">
        <v>19</v>
      </c>
      <c r="F891" s="73" t="s">
        <v>69</v>
      </c>
      <c r="G891" s="74" t="s">
        <v>70</v>
      </c>
      <c r="H891" s="700"/>
      <c r="I891" s="700"/>
      <c r="J891" s="700"/>
      <c r="K891" s="700"/>
      <c r="L891" s="700"/>
      <c r="M891" s="744"/>
      <c r="N891" s="700"/>
      <c r="O891" s="553" t="s">
        <v>279</v>
      </c>
      <c r="P891" s="73" t="s">
        <v>88</v>
      </c>
      <c r="Q891" s="555" t="s">
        <v>76</v>
      </c>
      <c r="R891" s="734"/>
      <c r="S891" s="735"/>
      <c r="T891" s="736"/>
      <c r="U891" s="712"/>
      <c r="W891" s="429" t="s">
        <v>269</v>
      </c>
      <c r="X891" s="457" t="s">
        <v>278</v>
      </c>
      <c r="Y891" s="430" t="s">
        <v>324</v>
      </c>
      <c r="Z891" s="428"/>
      <c r="AA891" s="698"/>
      <c r="AB891" s="696"/>
      <c r="AC891" s="49"/>
      <c r="AD891" s="429" t="s">
        <v>292</v>
      </c>
      <c r="AE891" s="431" t="s">
        <v>300</v>
      </c>
      <c r="AF891" s="468" t="s">
        <v>301</v>
      </c>
      <c r="AG891" s="49"/>
      <c r="AH891" s="87"/>
      <c r="AI891" s="87"/>
    </row>
    <row r="892" spans="1:35" hidden="1">
      <c r="A892" s="44"/>
      <c r="B892" s="76"/>
      <c r="C892" s="77"/>
      <c r="D892" s="77"/>
      <c r="E892" s="77"/>
      <c r="F892" s="77"/>
      <c r="G892" s="77"/>
      <c r="H892" s="77"/>
      <c r="I892" s="77"/>
      <c r="J892" s="77"/>
      <c r="K892" s="77"/>
      <c r="L892" s="77"/>
      <c r="M892" s="77"/>
      <c r="N892" s="77"/>
      <c r="O892" s="77"/>
      <c r="P892" s="77"/>
      <c r="Q892" s="77"/>
      <c r="R892" s="77"/>
      <c r="S892" s="78"/>
      <c r="T892" s="79"/>
      <c r="U892" s="109"/>
      <c r="V892" s="49"/>
      <c r="W892" s="432"/>
      <c r="X892" s="454"/>
      <c r="Y892" s="433"/>
      <c r="Z892" s="6"/>
      <c r="AA892" s="500"/>
      <c r="AB892" s="562"/>
      <c r="AC892" s="49"/>
      <c r="AD892" s="210"/>
      <c r="AE892" s="434"/>
      <c r="AF892" s="435"/>
      <c r="AG892" s="49"/>
      <c r="AH892" s="87"/>
      <c r="AI892" s="87"/>
    </row>
    <row r="893" spans="1:35" hidden="1">
      <c r="A893" s="80" t="e">
        <f>"A"&amp;E889</f>
        <v>#N/A</v>
      </c>
      <c r="B893" s="81">
        <v>1</v>
      </c>
      <c r="C893" s="82"/>
      <c r="D893" s="82"/>
      <c r="E893" s="82"/>
      <c r="F893" s="82"/>
      <c r="G893" s="83"/>
      <c r="H893" s="83"/>
      <c r="I893" s="84"/>
      <c r="J893" s="85"/>
      <c r="K893" s="382"/>
      <c r="L893" s="85"/>
      <c r="M893" s="332" t="str">
        <f t="shared" ref="M893:M902" si="250">IF(OR(J893="",L893="",H893="NO"),"",IF(OR(J893&gt;$P$17,J893&lt;$O$17,L893&gt;$P$17,AND(J893&lt;$O$17,L893&lt;$O$17)),"FUERA DE RANGO",IF(OR(K893="---",K893=""),IF(J893&gt;=$O$17,ROUND((L893-J893+1)/360*12,3),ROUND((L893-$O$17+1)/360*12,3)),IF(J893&gt;=$O$17,ROUND((L893-J893+1)/360*12-ROUND(K893,3),3),ROUND((L893-$O$17+1)/360*12-ROUND(K893,3),3)))))</f>
        <v/>
      </c>
      <c r="N893" s="86"/>
      <c r="O893" s="453" t="str">
        <f>IF(OR(G893="",N893=""),"",N893*G893)</f>
        <v/>
      </c>
      <c r="P893" s="538" t="str">
        <f>IF(OR(H893="",M893="FUERA DE RANGO"),"",IF(OR(L893&lt;$O$17,L893&gt;$P$17,L893="",H893="NO"),"",IF(OR(N893="",O893=""),"",ROUND(O893,3))))</f>
        <v/>
      </c>
      <c r="Q893" s="539" t="str">
        <f t="shared" ref="Q893:Q902" si="251">IF(AND(H893="SI",P893&lt;&gt;""),ROUND(P893/M893,3),"")</f>
        <v/>
      </c>
      <c r="R893" s="737"/>
      <c r="S893" s="738"/>
      <c r="T893" s="739"/>
      <c r="U893" s="470"/>
      <c r="V893" s="165"/>
      <c r="W893" s="446"/>
      <c r="X893" s="456"/>
      <c r="Y893" s="436"/>
      <c r="Z893" s="437"/>
      <c r="AA893" s="560"/>
      <c r="AB893" s="561"/>
      <c r="AC893" s="87"/>
      <c r="AD893" s="466"/>
      <c r="AE893" s="456"/>
      <c r="AF893" s="467"/>
      <c r="AG893" s="87"/>
      <c r="AH893" s="87"/>
      <c r="AI893" s="87"/>
    </row>
    <row r="894" spans="1:35" hidden="1">
      <c r="A894" s="80" t="e">
        <f>"B"&amp;E889</f>
        <v>#N/A</v>
      </c>
      <c r="B894" s="81">
        <v>2</v>
      </c>
      <c r="C894" s="106"/>
      <c r="D894" s="106"/>
      <c r="E894" s="106"/>
      <c r="F894" s="106"/>
      <c r="G894" s="83"/>
      <c r="H894" s="83"/>
      <c r="I894" s="84"/>
      <c r="J894" s="85"/>
      <c r="K894" s="382"/>
      <c r="L894" s="85"/>
      <c r="M894" s="332" t="str">
        <f t="shared" si="250"/>
        <v/>
      </c>
      <c r="N894" s="86"/>
      <c r="O894" s="453" t="str">
        <f t="shared" ref="O894:O902" si="252">IF(OR(G894="",N894=""),"",N894*G894)</f>
        <v/>
      </c>
      <c r="P894" s="538" t="str">
        <f t="shared" ref="P894:P902" si="253">IF(OR(H894="",M894="FUERA DE RANGO"),"",IF(OR(L894&lt;$O$17,L894&gt;$P$17,L894="",H894="NO"),"",IF(OR(N894="",O894=""),"",ROUND(O894,3))))</f>
        <v/>
      </c>
      <c r="Q894" s="539" t="str">
        <f t="shared" si="251"/>
        <v/>
      </c>
      <c r="R894" s="740"/>
      <c r="S894" s="741"/>
      <c r="T894" s="742"/>
      <c r="U894" s="471"/>
      <c r="V894" s="165"/>
      <c r="W894" s="446"/>
      <c r="X894" s="456"/>
      <c r="Y894" s="436"/>
      <c r="Z894" s="437"/>
      <c r="AA894" s="560"/>
      <c r="AB894" s="561"/>
      <c r="AC894" s="87"/>
      <c r="AD894" s="466"/>
      <c r="AE894" s="456"/>
      <c r="AF894" s="467"/>
      <c r="AG894" s="87"/>
      <c r="AH894" s="87"/>
      <c r="AI894" s="87"/>
    </row>
    <row r="895" spans="1:35" hidden="1">
      <c r="A895" s="80" t="e">
        <f>"C"&amp;E889</f>
        <v>#N/A</v>
      </c>
      <c r="B895" s="88">
        <v>3</v>
      </c>
      <c r="C895" s="82"/>
      <c r="D895" s="82"/>
      <c r="E895" s="82"/>
      <c r="F895" s="82"/>
      <c r="G895" s="83"/>
      <c r="H895" s="83"/>
      <c r="I895" s="84"/>
      <c r="J895" s="85"/>
      <c r="K895" s="382"/>
      <c r="L895" s="85"/>
      <c r="M895" s="332" t="str">
        <f t="shared" si="250"/>
        <v/>
      </c>
      <c r="N895" s="86"/>
      <c r="O895" s="453" t="str">
        <f t="shared" si="252"/>
        <v/>
      </c>
      <c r="P895" s="538" t="str">
        <f t="shared" si="253"/>
        <v/>
      </c>
      <c r="Q895" s="539" t="str">
        <f t="shared" si="251"/>
        <v/>
      </c>
      <c r="R895" s="706"/>
      <c r="S895" s="707"/>
      <c r="T895" s="708"/>
      <c r="U895" s="472"/>
      <c r="V895" s="166"/>
      <c r="W895" s="446"/>
      <c r="X895" s="456"/>
      <c r="Y895" s="436"/>
      <c r="Z895" s="437"/>
      <c r="AA895" s="560"/>
      <c r="AB895" s="561"/>
      <c r="AC895" s="87"/>
      <c r="AD895" s="466"/>
      <c r="AE895" s="456"/>
      <c r="AF895" s="467"/>
      <c r="AG895" s="87"/>
      <c r="AH895" s="87"/>
      <c r="AI895" s="87"/>
    </row>
    <row r="896" spans="1:35" hidden="1">
      <c r="A896" s="80" t="e">
        <f>"D"&amp;E889</f>
        <v>#N/A</v>
      </c>
      <c r="B896" s="105">
        <v>4</v>
      </c>
      <c r="C896" s="107"/>
      <c r="D896" s="107"/>
      <c r="E896" s="107"/>
      <c r="F896" s="107"/>
      <c r="G896" s="83"/>
      <c r="H896" s="83"/>
      <c r="I896" s="84"/>
      <c r="J896" s="85"/>
      <c r="K896" s="382"/>
      <c r="L896" s="85"/>
      <c r="M896" s="332" t="str">
        <f t="shared" si="250"/>
        <v/>
      </c>
      <c r="N896" s="86"/>
      <c r="O896" s="453" t="str">
        <f t="shared" si="252"/>
        <v/>
      </c>
      <c r="P896" s="538" t="str">
        <f t="shared" si="253"/>
        <v/>
      </c>
      <c r="Q896" s="539" t="str">
        <f t="shared" si="251"/>
        <v/>
      </c>
      <c r="R896" s="706"/>
      <c r="S896" s="707"/>
      <c r="T896" s="708"/>
      <c r="U896" s="472"/>
      <c r="V896" s="166"/>
      <c r="W896" s="446"/>
      <c r="X896" s="456"/>
      <c r="Y896" s="436"/>
      <c r="Z896" s="437"/>
      <c r="AA896" s="560"/>
      <c r="AB896" s="561"/>
      <c r="AC896" s="87"/>
      <c r="AD896" s="466"/>
      <c r="AE896" s="456"/>
      <c r="AF896" s="467"/>
      <c r="AG896" s="87"/>
      <c r="AH896" s="87"/>
      <c r="AI896" s="87"/>
    </row>
    <row r="897" spans="1:35" hidden="1">
      <c r="A897" s="80" t="e">
        <f>"E"&amp;E889</f>
        <v>#N/A</v>
      </c>
      <c r="B897" s="105">
        <v>5</v>
      </c>
      <c r="C897" s="107"/>
      <c r="D897" s="107"/>
      <c r="E897" s="107"/>
      <c r="F897" s="107"/>
      <c r="G897" s="83"/>
      <c r="H897" s="83"/>
      <c r="I897" s="84"/>
      <c r="J897" s="85"/>
      <c r="K897" s="382"/>
      <c r="L897" s="85"/>
      <c r="M897" s="332" t="str">
        <f t="shared" si="250"/>
        <v/>
      </c>
      <c r="N897" s="86"/>
      <c r="O897" s="453" t="str">
        <f t="shared" si="252"/>
        <v/>
      </c>
      <c r="P897" s="538" t="str">
        <f t="shared" si="253"/>
        <v/>
      </c>
      <c r="Q897" s="539" t="str">
        <f t="shared" si="251"/>
        <v/>
      </c>
      <c r="R897" s="706"/>
      <c r="S897" s="707"/>
      <c r="T897" s="708"/>
      <c r="U897" s="472"/>
      <c r="V897" s="167"/>
      <c r="W897" s="446"/>
      <c r="X897" s="456"/>
      <c r="Y897" s="436"/>
      <c r="Z897" s="437"/>
      <c r="AA897" s="560"/>
      <c r="AB897" s="561"/>
      <c r="AC897" s="87"/>
      <c r="AD897" s="466"/>
      <c r="AE897" s="456"/>
      <c r="AF897" s="467"/>
      <c r="AG897" s="87"/>
      <c r="AH897" s="87"/>
      <c r="AI897" s="87"/>
    </row>
    <row r="898" spans="1:35" hidden="1">
      <c r="A898" s="80" t="e">
        <f>"F"&amp;E889</f>
        <v>#N/A</v>
      </c>
      <c r="B898" s="105">
        <v>6</v>
      </c>
      <c r="C898" s="107"/>
      <c r="D898" s="107"/>
      <c r="E898" s="107"/>
      <c r="F898" s="107"/>
      <c r="G898" s="83"/>
      <c r="H898" s="83"/>
      <c r="I898" s="84"/>
      <c r="J898" s="85"/>
      <c r="K898" s="382"/>
      <c r="L898" s="85"/>
      <c r="M898" s="332" t="str">
        <f t="shared" si="250"/>
        <v/>
      </c>
      <c r="N898" s="86"/>
      <c r="O898" s="453" t="str">
        <f t="shared" si="252"/>
        <v/>
      </c>
      <c r="P898" s="538" t="str">
        <f t="shared" si="253"/>
        <v/>
      </c>
      <c r="Q898" s="539" t="str">
        <f t="shared" si="251"/>
        <v/>
      </c>
      <c r="R898" s="706"/>
      <c r="S898" s="707"/>
      <c r="T898" s="708"/>
      <c r="U898" s="472"/>
      <c r="V898" s="167"/>
      <c r="W898" s="446"/>
      <c r="X898" s="456"/>
      <c r="Y898" s="436"/>
      <c r="Z898" s="437"/>
      <c r="AA898" s="560"/>
      <c r="AB898" s="561"/>
      <c r="AC898" s="87"/>
      <c r="AD898" s="466"/>
      <c r="AE898" s="456"/>
      <c r="AF898" s="467"/>
      <c r="AG898" s="87"/>
      <c r="AH898" s="87"/>
      <c r="AI898" s="87"/>
    </row>
    <row r="899" spans="1:35" hidden="1">
      <c r="A899" s="80" t="e">
        <f>"G"&amp;E889</f>
        <v>#N/A</v>
      </c>
      <c r="B899" s="105">
        <v>7</v>
      </c>
      <c r="C899" s="107"/>
      <c r="D899" s="107"/>
      <c r="E899" s="107"/>
      <c r="F899" s="107"/>
      <c r="G899" s="83"/>
      <c r="H899" s="83"/>
      <c r="I899" s="84"/>
      <c r="J899" s="85"/>
      <c r="K899" s="382"/>
      <c r="L899" s="85"/>
      <c r="M899" s="332" t="str">
        <f t="shared" si="250"/>
        <v/>
      </c>
      <c r="N899" s="86"/>
      <c r="O899" s="86" t="str">
        <f t="shared" si="252"/>
        <v/>
      </c>
      <c r="P899" s="538" t="str">
        <f t="shared" si="253"/>
        <v/>
      </c>
      <c r="Q899" s="539" t="str">
        <f t="shared" si="251"/>
        <v/>
      </c>
      <c r="R899" s="706"/>
      <c r="S899" s="707"/>
      <c r="T899" s="708"/>
      <c r="U899" s="472"/>
      <c r="V899" s="167"/>
      <c r="W899" s="446"/>
      <c r="X899" s="456"/>
      <c r="Y899" s="436"/>
      <c r="Z899" s="437"/>
      <c r="AA899" s="560"/>
      <c r="AB899" s="561"/>
      <c r="AC899" s="87"/>
      <c r="AD899" s="466"/>
      <c r="AE899" s="456"/>
      <c r="AF899" s="467"/>
      <c r="AG899" s="87"/>
      <c r="AH899" s="87"/>
      <c r="AI899" s="87"/>
    </row>
    <row r="900" spans="1:35" hidden="1">
      <c r="A900" s="80" t="e">
        <f>"H"&amp;E889</f>
        <v>#N/A</v>
      </c>
      <c r="B900" s="105">
        <v>8</v>
      </c>
      <c r="C900" s="107"/>
      <c r="D900" s="107"/>
      <c r="E900" s="107"/>
      <c r="F900" s="107"/>
      <c r="G900" s="83"/>
      <c r="H900" s="83"/>
      <c r="I900" s="84"/>
      <c r="J900" s="85"/>
      <c r="K900" s="382"/>
      <c r="L900" s="85"/>
      <c r="M900" s="332" t="str">
        <f t="shared" si="250"/>
        <v/>
      </c>
      <c r="N900" s="453"/>
      <c r="O900" s="86" t="str">
        <f t="shared" si="252"/>
        <v/>
      </c>
      <c r="P900" s="538" t="str">
        <f t="shared" si="253"/>
        <v/>
      </c>
      <c r="Q900" s="539" t="str">
        <f t="shared" si="251"/>
        <v/>
      </c>
      <c r="R900" s="706"/>
      <c r="S900" s="707"/>
      <c r="T900" s="708"/>
      <c r="U900" s="472"/>
      <c r="V900" s="167"/>
      <c r="W900" s="446"/>
      <c r="X900" s="456"/>
      <c r="Y900" s="436"/>
      <c r="Z900" s="437"/>
      <c r="AA900" s="560"/>
      <c r="AB900" s="561"/>
      <c r="AC900" s="87"/>
      <c r="AD900" s="466"/>
      <c r="AE900" s="456"/>
      <c r="AF900" s="467"/>
      <c r="AG900" s="87"/>
      <c r="AH900" s="87"/>
      <c r="AI900" s="87"/>
    </row>
    <row r="901" spans="1:35" hidden="1">
      <c r="A901" s="80" t="e">
        <f>"I"&amp;E889</f>
        <v>#N/A</v>
      </c>
      <c r="B901" s="105">
        <v>9</v>
      </c>
      <c r="C901" s="107"/>
      <c r="D901" s="107"/>
      <c r="E901" s="107"/>
      <c r="F901" s="107"/>
      <c r="G901" s="83"/>
      <c r="H901" s="83"/>
      <c r="I901" s="84"/>
      <c r="J901" s="85"/>
      <c r="K901" s="382"/>
      <c r="L901" s="85"/>
      <c r="M901" s="332" t="str">
        <f t="shared" si="250"/>
        <v/>
      </c>
      <c r="N901" s="453"/>
      <c r="O901" s="86" t="str">
        <f t="shared" si="252"/>
        <v/>
      </c>
      <c r="P901" s="538" t="str">
        <f t="shared" si="253"/>
        <v/>
      </c>
      <c r="Q901" s="539" t="str">
        <f t="shared" si="251"/>
        <v/>
      </c>
      <c r="R901" s="706"/>
      <c r="S901" s="707"/>
      <c r="T901" s="708"/>
      <c r="U901" s="472"/>
      <c r="V901" s="167"/>
      <c r="W901" s="446"/>
      <c r="X901" s="456"/>
      <c r="Y901" s="436"/>
      <c r="Z901" s="437"/>
      <c r="AA901" s="560"/>
      <c r="AB901" s="561"/>
      <c r="AC901" s="87"/>
      <c r="AD901" s="466"/>
      <c r="AE901" s="456"/>
      <c r="AF901" s="467"/>
      <c r="AG901" s="87"/>
      <c r="AH901" s="87"/>
      <c r="AI901" s="87"/>
    </row>
    <row r="902" spans="1:35" hidden="1">
      <c r="A902" s="80" t="e">
        <f>"J"&amp;E889</f>
        <v>#N/A</v>
      </c>
      <c r="B902" s="105">
        <v>10</v>
      </c>
      <c r="C902" s="107"/>
      <c r="D902" s="107"/>
      <c r="E902" s="107"/>
      <c r="F902" s="107"/>
      <c r="G902" s="83"/>
      <c r="H902" s="83"/>
      <c r="I902" s="84"/>
      <c r="J902" s="85"/>
      <c r="K902" s="382"/>
      <c r="L902" s="85"/>
      <c r="M902" s="332" t="str">
        <f t="shared" si="250"/>
        <v/>
      </c>
      <c r="N902" s="453"/>
      <c r="O902" s="86" t="str">
        <f t="shared" si="252"/>
        <v/>
      </c>
      <c r="P902" s="538" t="str">
        <f t="shared" si="253"/>
        <v/>
      </c>
      <c r="Q902" s="539" t="str">
        <f t="shared" si="251"/>
        <v/>
      </c>
      <c r="R902" s="706"/>
      <c r="S902" s="707"/>
      <c r="T902" s="708"/>
      <c r="U902" s="472"/>
      <c r="V902" s="167"/>
      <c r="W902" s="446"/>
      <c r="X902" s="456"/>
      <c r="Y902" s="436"/>
      <c r="Z902" s="437"/>
      <c r="AA902" s="560"/>
      <c r="AB902" s="561"/>
      <c r="AC902" s="87"/>
      <c r="AD902" s="466"/>
      <c r="AE902" s="456"/>
      <c r="AF902" s="467"/>
      <c r="AG902" s="87"/>
      <c r="AH902" s="87"/>
      <c r="AI902" s="87"/>
    </row>
    <row r="903" spans="1:35" ht="16.5" hidden="1" thickBot="1">
      <c r="A903" s="44"/>
      <c r="B903" s="89"/>
      <c r="C903" s="90"/>
      <c r="D903" s="90"/>
      <c r="E903" s="90"/>
      <c r="F903" s="90"/>
      <c r="G903" s="90"/>
      <c r="H903" s="90"/>
      <c r="I903" s="90"/>
      <c r="J903" s="90"/>
      <c r="K903" s="90"/>
      <c r="L903" s="90"/>
      <c r="M903" s="90"/>
      <c r="N903" s="90"/>
      <c r="O903" s="90"/>
      <c r="P903" s="90"/>
      <c r="Q903" s="90"/>
      <c r="R903" s="90"/>
      <c r="S903" s="91"/>
      <c r="T903" s="92"/>
      <c r="U903" s="473"/>
      <c r="W903" s="438"/>
      <c r="X903" s="455"/>
      <c r="Y903" s="439"/>
      <c r="Z903" s="437"/>
      <c r="AA903" s="530"/>
      <c r="AB903" s="563"/>
      <c r="AC903" s="87"/>
      <c r="AD903" s="440"/>
      <c r="AE903" s="441"/>
      <c r="AF903" s="442"/>
      <c r="AG903" s="49"/>
      <c r="AH903" s="87"/>
      <c r="AI903" s="87"/>
    </row>
    <row r="904" spans="1:35" ht="16.5" hidden="1" thickBot="1">
      <c r="A904" s="93"/>
      <c r="B904" s="94"/>
      <c r="C904" s="96"/>
      <c r="D904" s="96"/>
      <c r="E904" s="96"/>
      <c r="F904" s="96"/>
      <c r="G904" s="96"/>
      <c r="H904" s="96"/>
      <c r="I904" s="96"/>
      <c r="J904" s="96"/>
      <c r="K904" s="96"/>
      <c r="L904" s="96"/>
      <c r="M904" s="136"/>
      <c r="N904" s="96"/>
      <c r="O904" s="96"/>
      <c r="P904" s="97"/>
      <c r="Q904" s="97"/>
      <c r="R904" s="98"/>
      <c r="S904" s="95"/>
      <c r="T904" s="99"/>
      <c r="U904" s="469"/>
      <c r="AC904" s="58"/>
      <c r="AG904" s="58"/>
      <c r="AH904" s="87"/>
      <c r="AI904" s="87"/>
    </row>
    <row r="905" spans="1:35" ht="16.5" hidden="1" thickBot="1">
      <c r="B905" s="101"/>
      <c r="C905" s="101"/>
      <c r="D905" s="101"/>
      <c r="E905" s="101"/>
      <c r="F905" s="101"/>
      <c r="G905" s="101"/>
      <c r="H905" s="101"/>
      <c r="I905" s="101"/>
      <c r="J905" s="101"/>
      <c r="K905" s="101"/>
      <c r="L905" s="101"/>
      <c r="M905" s="101"/>
      <c r="N905" s="101"/>
      <c r="O905" s="101"/>
      <c r="P905" s="101"/>
      <c r="Q905" s="101"/>
      <c r="R905" s="101"/>
      <c r="S905" s="101"/>
      <c r="U905" s="50"/>
      <c r="AH905" s="87"/>
      <c r="AI905" s="87"/>
    </row>
    <row r="906" spans="1:35" ht="16.5" hidden="1" customHeight="1" thickBot="1">
      <c r="A906" s="44"/>
      <c r="B906" s="705" t="s">
        <v>74</v>
      </c>
      <c r="C906" s="705"/>
      <c r="D906" s="705"/>
      <c r="E906" s="705"/>
      <c r="F906" s="705"/>
      <c r="G906" s="705"/>
      <c r="H906" s="705"/>
      <c r="I906" s="705"/>
      <c r="J906" s="705"/>
      <c r="K906" s="705"/>
      <c r="L906" s="705"/>
      <c r="M906" s="705"/>
      <c r="N906" s="705"/>
      <c r="O906" s="705"/>
      <c r="P906" s="705"/>
      <c r="Q906" s="705"/>
      <c r="R906" s="705"/>
      <c r="S906" s="705"/>
      <c r="T906" s="705"/>
      <c r="U906" s="108"/>
      <c r="Y906" s="532" t="s">
        <v>341</v>
      </c>
      <c r="AC906" s="49"/>
      <c r="AD906" s="687" t="s">
        <v>302</v>
      </c>
      <c r="AE906" s="688"/>
      <c r="AF906" s="689"/>
      <c r="AG906" s="49"/>
      <c r="AH906" s="87"/>
      <c r="AI906" s="87"/>
    </row>
    <row r="907" spans="1:35" ht="15.75" hidden="1" customHeight="1" thickBot="1">
      <c r="A907" s="218" t="e">
        <f>"K"&amp;E889</f>
        <v>#N/A</v>
      </c>
      <c r="B907" s="701" t="s">
        <v>71</v>
      </c>
      <c r="C907" s="751" t="s">
        <v>102</v>
      </c>
      <c r="D907" s="751"/>
      <c r="E907" s="751"/>
      <c r="F907" s="751"/>
      <c r="G907" s="751"/>
      <c r="H907" s="751"/>
      <c r="I907" s="751"/>
      <c r="J907" s="751"/>
      <c r="K907" s="751"/>
      <c r="L907" s="722" t="s">
        <v>100</v>
      </c>
      <c r="M907" s="747" t="s">
        <v>114</v>
      </c>
      <c r="N907" s="747"/>
      <c r="O907" s="747"/>
      <c r="P907" s="747"/>
      <c r="Q907" s="748"/>
      <c r="R907" s="758" t="s">
        <v>280</v>
      </c>
      <c r="S907" s="748"/>
      <c r="T907" s="762" t="str">
        <f>IF(COUNTIF(AE907:AF907,"VERIFICAR")&gt;0,"VERIFICAR",IF(COUNTIF(AE907:AF907,"NO CUMPLE")&gt;0,"NO CUMPLE","CUMPLE"))</f>
        <v>VERIFICAR</v>
      </c>
      <c r="U907" s="108"/>
      <c r="Y907" s="533" t="e">
        <f>IF(F908="","",IF(F908=1,"INDIVIDUAL","ESTRUCTURA PLURAL"))</f>
        <v>#N/A</v>
      </c>
      <c r="AC907" s="52"/>
      <c r="AD907" s="475" t="s">
        <v>303</v>
      </c>
      <c r="AE907" s="476" t="str">
        <f>IF(COUNTIF(AE893:AE902,"")=10,"VERIFICAR",IF(COUNTIF(AE893:AE902,"SI")&gt;0,"CUMPLE","NO CUMPLE"))</f>
        <v>VERIFICAR</v>
      </c>
      <c r="AF907" s="477" t="str">
        <f>IF(COUNTIF(AF893:AF902,"")=10,"VERIFICAR",IF(COUNTIF(AF893:AF902,"SI")&gt;=$AI$22,"CUMPLE","NO CUMPLE"))</f>
        <v>VERIFICAR</v>
      </c>
      <c r="AG907" s="52"/>
      <c r="AH907" s="87"/>
      <c r="AI907" s="87"/>
    </row>
    <row r="908" spans="1:35" ht="16.5" hidden="1" customHeight="1" thickBot="1">
      <c r="A908" s="218" t="e">
        <f>"L"&amp;E889</f>
        <v>#N/A</v>
      </c>
      <c r="B908" s="702"/>
      <c r="C908" s="751" t="s">
        <v>103</v>
      </c>
      <c r="D908" s="751"/>
      <c r="E908" s="752"/>
      <c r="F908" s="557" t="e">
        <f>IF(VLOOKUP(E889,PROPONENTES!$C$19:$E$218,3,0)="","",VLOOKUP(E889,PROPONENTES!$C$19:$E$218,3,0))</f>
        <v>#N/A</v>
      </c>
      <c r="G908" s="753" t="s">
        <v>104</v>
      </c>
      <c r="H908" s="751"/>
      <c r="I908" s="715" t="e">
        <f>IF(OR(F908="",F908=1),"INTERESADO PERSONA NATURAL O JURIDICA","CONSORCIO O UNION TEMPORAL")</f>
        <v>#N/A</v>
      </c>
      <c r="J908" s="725"/>
      <c r="K908" s="728"/>
      <c r="L908" s="723"/>
      <c r="M908" s="749"/>
      <c r="N908" s="749"/>
      <c r="O908" s="749"/>
      <c r="P908" s="749"/>
      <c r="Q908" s="750"/>
      <c r="R908" s="712"/>
      <c r="S908" s="750"/>
      <c r="T908" s="763"/>
      <c r="U908" s="108"/>
      <c r="Y908" s="534"/>
      <c r="AA908" s="52"/>
      <c r="AB908" s="52"/>
      <c r="AC908" s="52"/>
      <c r="AG908" s="52"/>
      <c r="AH908" s="87"/>
      <c r="AI908" s="87"/>
    </row>
    <row r="909" spans="1:35" ht="56.25" hidden="1" customHeight="1" thickBot="1">
      <c r="A909" s="218" t="e">
        <f>"M"&amp;E889</f>
        <v>#N/A</v>
      </c>
      <c r="B909" s="702"/>
      <c r="C909" s="725" t="s">
        <v>101</v>
      </c>
      <c r="D909" s="716"/>
      <c r="E909" s="558" t="s">
        <v>105</v>
      </c>
      <c r="F909" s="554" t="s">
        <v>87</v>
      </c>
      <c r="G909" s="553" t="s">
        <v>86</v>
      </c>
      <c r="H909" s="559" t="s">
        <v>85</v>
      </c>
      <c r="I909" s="554" t="s">
        <v>252</v>
      </c>
      <c r="J909" s="553" t="str">
        <f>"¿EL INTEGRANTE TIENE UNA PARTICIPACIÓN DEL "&amp;PORCREQUERIDOINT*100&amp;"%?"</f>
        <v>¿EL INTEGRANTE TIENE UNA PARTICIPACIÓN DEL 60%?</v>
      </c>
      <c r="K909" s="554" t="s">
        <v>107</v>
      </c>
      <c r="L909" s="724"/>
      <c r="M909" s="717" t="s">
        <v>115</v>
      </c>
      <c r="N909" s="718"/>
      <c r="O909" s="718"/>
      <c r="P909" s="718"/>
      <c r="Q909" s="223">
        <f>IF(AND(H893="SI",P893&gt;=0),1,0)+IF(AND(H894="SI",P894&gt;=0),1,0)+IF(AND(H895="SI",P895&gt;=0),1,0)+IF(AND(H896="SI",P896&gt;=0),1,0)+IF(AND(H897="SI",P897&gt;=0),1,0)+IF(AND(H898="SI",P898&gt;=0),1,0)+IF(AND(H899="SI",P899&gt;=0),1,0)+IF(AND(H900="SI",P900&gt;=0),1,0)+IF(AND(H901="SI",P901&gt;=0),1,0)+IF(AND(H902="SI",P902&gt;=0),1,0)</f>
        <v>0</v>
      </c>
      <c r="R909" s="759"/>
      <c r="S909" s="761"/>
      <c r="T909" s="764"/>
      <c r="U909" s="219"/>
      <c r="V909" s="464"/>
      <c r="Y909" s="532" t="s">
        <v>342</v>
      </c>
      <c r="AA909" s="550" t="s">
        <v>344</v>
      </c>
      <c r="AB909" s="693" t="s">
        <v>345</v>
      </c>
      <c r="AC909" s="693" t="s">
        <v>346</v>
      </c>
      <c r="AD909" s="685" t="s">
        <v>347</v>
      </c>
      <c r="AE909" s="52"/>
      <c r="AF909" s="52"/>
      <c r="AG909" s="52"/>
      <c r="AH909" s="87"/>
      <c r="AI909" s="87"/>
    </row>
    <row r="910" spans="1:35" ht="15.75" hidden="1" customHeight="1" thickBot="1">
      <c r="A910" s="218" t="e">
        <f>"N"&amp;E889</f>
        <v>#N/A</v>
      </c>
      <c r="B910" s="702"/>
      <c r="C910" s="114">
        <v>1</v>
      </c>
      <c r="D910" s="194" t="e">
        <f>IF(AND(C910&lt;=F908,F908&gt;1,F908&lt;&gt;""),VLOOKUP(VALUE(E889&amp;","&amp;C910),INTEGRANTES!$D$18:$F$235,2,0),"")</f>
        <v>#N/A</v>
      </c>
      <c r="E910" s="211" t="e">
        <f>IF(D910&lt;&gt;"",VLOOKUP(VALUE(E889&amp;","&amp;C910),INTEGRANTES!$D$18:$F$235,3,0),"")</f>
        <v>#N/A</v>
      </c>
      <c r="F910" s="547" t="e">
        <f>IF(D910="","",SUMIF($I893:$I902,D910,$P893:$P902))</f>
        <v>#N/A</v>
      </c>
      <c r="G910" s="333" t="e">
        <f>IF(D910="","",SUMIF($I893:$I902,D910,$M893:$M902))</f>
        <v>#N/A</v>
      </c>
      <c r="H910" s="535" t="e">
        <f t="shared" ref="H910:H915" si="254">IF(D910="","",IF(OR(F910=0,G910=0),"NO APORTA",ROUND($F910/$G910,3)))</f>
        <v>#N/A</v>
      </c>
      <c r="I910" s="212" t="e">
        <f>IF(D910="","",IF(H910="NO APORTA","NO",IF(H910=MAX($H910:$H915),"SI","NO")))</f>
        <v>#N/A</v>
      </c>
      <c r="J910" s="213" t="e">
        <f t="shared" ref="J910:J915" si="255">IF(D910="","",IF(E910&gt;=PORCREQUERIDOINT,"SI","NO"))</f>
        <v>#N/A</v>
      </c>
      <c r="K910" s="200" t="e">
        <f t="shared" ref="K910:K915" si="256">IF(D910="","",IF(AND(I910="SI",J910="SI"),"CUMPLE",IF(AND(I910="NO",OR(J910="SI",J910="NO")),"","NO CUMPLE")))</f>
        <v>#N/A</v>
      </c>
      <c r="L910" s="722" t="s">
        <v>108</v>
      </c>
      <c r="M910" s="726" t="s">
        <v>119</v>
      </c>
      <c r="N910" s="726"/>
      <c r="O910" s="726"/>
      <c r="P910" s="726"/>
      <c r="Q910" s="727"/>
      <c r="R910" s="758" t="s">
        <v>80</v>
      </c>
      <c r="S910" s="747"/>
      <c r="T910" s="748"/>
      <c r="U910" s="219"/>
      <c r="V910" s="464"/>
      <c r="Y910" s="533" t="e">
        <f>IF(Y907="","",IF(Y907="INDIVIDUAL","NO APLICA","VERIFICAR CUADRO"))</f>
        <v>#N/A</v>
      </c>
      <c r="AA910" s="551"/>
      <c r="AB910" s="694"/>
      <c r="AC910" s="694"/>
      <c r="AD910" s="686"/>
      <c r="AE910" s="52"/>
      <c r="AF910" s="52"/>
      <c r="AG910" s="52"/>
      <c r="AH910" s="87"/>
      <c r="AI910" s="87"/>
    </row>
    <row r="911" spans="1:35" ht="27" hidden="1" customHeight="1" thickBot="1">
      <c r="A911" s="218" t="e">
        <f>"O"&amp;E889</f>
        <v>#N/A</v>
      </c>
      <c r="B911" s="702"/>
      <c r="C911" s="114">
        <v>2</v>
      </c>
      <c r="D911" s="194" t="e">
        <f>IF(AND(C911&lt;=F908,F908&lt;&gt;""),VLOOKUP(VALUE(E889&amp;","&amp;C911),INTEGRANTES!$D$18:$F$235,2,0),"")</f>
        <v>#N/A</v>
      </c>
      <c r="E911" s="211" t="e">
        <f>IF(D911&lt;&gt;"",VLOOKUP(VALUE(E889&amp;","&amp;C911),INTEGRANTES!$D$18:$F$235,3,0),"")</f>
        <v>#N/A</v>
      </c>
      <c r="F911" s="547" t="e">
        <f>IF(D911="","",SUMIF($I893:$I902,D911,$P893:$P902))</f>
        <v>#N/A</v>
      </c>
      <c r="G911" s="333" t="e">
        <f>IF(D911="","",SUMIF($I893:$I902,D911,$M893:$M902))</f>
        <v>#N/A</v>
      </c>
      <c r="H911" s="535" t="e">
        <f t="shared" si="254"/>
        <v>#N/A</v>
      </c>
      <c r="I911" s="212" t="e">
        <f>IF(D911="","",IF(H911="NO APORTA","NO",IF(H911=MAX($H910:$H915),"SI","NO")))</f>
        <v>#N/A</v>
      </c>
      <c r="J911" s="213" t="e">
        <f t="shared" si="255"/>
        <v>#N/A</v>
      </c>
      <c r="K911" s="200" t="e">
        <f t="shared" si="256"/>
        <v>#N/A</v>
      </c>
      <c r="L911" s="723"/>
      <c r="M911" s="715" t="s">
        <v>116</v>
      </c>
      <c r="N911" s="716"/>
      <c r="O911" s="556" t="s">
        <v>113</v>
      </c>
      <c r="P911" s="715" t="s">
        <v>117</v>
      </c>
      <c r="Q911" s="728"/>
      <c r="R911" s="759"/>
      <c r="S911" s="760"/>
      <c r="T911" s="761"/>
      <c r="U911" s="219"/>
      <c r="V911" s="464"/>
      <c r="Y911" s="414"/>
      <c r="AA911" s="542" t="e">
        <f>IF(AND(C910&lt;=F908,F908&gt;1,F908&lt;&gt;""),VLOOKUP(VALUE(E889&amp;","&amp;C910),INTEGRANTES!$D$18:$F$235,2,0),"")</f>
        <v>#N/A</v>
      </c>
      <c r="AB911" s="544" t="e">
        <f t="shared" ref="AB911:AB916" si="257">IF(D910="","",IF(OR(F910=0,G910=0),"NO APORTA",ROUND($F910/$G910,3)))</f>
        <v>#N/A</v>
      </c>
      <c r="AC911" s="529"/>
      <c r="AD911" s="200" t="e">
        <f t="shared" ref="AD911:AD916" si="258">IF(OR(AA911="",AB911=""),"",IF(AND(AC911="X",AB911&gt;=EXPREQVTD),"CUMPLE","NO CUMPLE"))</f>
        <v>#N/A</v>
      </c>
      <c r="AE911" s="52"/>
      <c r="AF911" s="52"/>
      <c r="AG911" s="52"/>
      <c r="AH911" s="87"/>
      <c r="AI911" s="87"/>
    </row>
    <row r="912" spans="1:35" ht="16.5" hidden="1" thickBot="1">
      <c r="A912" s="218" t="e">
        <f>"P"&amp;E889</f>
        <v>#N/A</v>
      </c>
      <c r="B912" s="702"/>
      <c r="C912" s="114">
        <v>3</v>
      </c>
      <c r="D912" s="194" t="e">
        <f>IF(AND(C912&lt;=F908,F908&lt;&gt;""),VLOOKUP(VALUE(E889&amp;","&amp;C912),INTEGRANTES!$D$18:$F$235,2,0),"")</f>
        <v>#N/A</v>
      </c>
      <c r="E912" s="211" t="e">
        <f>IF(D912&lt;&gt;"",VLOOKUP(VALUE(E889&amp;","&amp;C912),INTEGRANTES!$D$18:$F$235,3,0),"")</f>
        <v>#N/A</v>
      </c>
      <c r="F912" s="547" t="e">
        <f>IF(D912="","",SUMIF($I893:$I902,D912,$P893:$P902))</f>
        <v>#N/A</v>
      </c>
      <c r="G912" s="333" t="e">
        <f>IF(D912="","",SUMIF($I893:$I902,D912,$M893:$M902))</f>
        <v>#N/A</v>
      </c>
      <c r="H912" s="535" t="e">
        <f t="shared" si="254"/>
        <v>#N/A</v>
      </c>
      <c r="I912" s="212" t="e">
        <f>IF(D912="","",IF(H912="NO APORTA","NO",IF(H912=MAX($H910:$H915),"SI","NO")))</f>
        <v>#N/A</v>
      </c>
      <c r="J912" s="213" t="e">
        <f t="shared" si="255"/>
        <v>#N/A</v>
      </c>
      <c r="K912" s="200" t="e">
        <f t="shared" si="256"/>
        <v>#N/A</v>
      </c>
      <c r="L912" s="724"/>
      <c r="M912" s="729">
        <f>NUMMOD</f>
        <v>1</v>
      </c>
      <c r="N912" s="730"/>
      <c r="O912" s="443">
        <f>IF(M912="","",VLOOKUP(M912,PRESUPUESTOS!$B$16:$H$16,5,FALSE))</f>
        <v>2</v>
      </c>
      <c r="P912" s="713">
        <f>IF(OR(COUNTIF(M893:M902,"")&gt;=10,Q909&lt;NUMMINCONT,OR(T907="NO CUMPLE",T907="VERIFICAR")),0,ROUND(AVERAGE(M893:M902),3))</f>
        <v>0</v>
      </c>
      <c r="Q912" s="714"/>
      <c r="R912" s="458"/>
      <c r="S912" s="459"/>
      <c r="T912" s="460"/>
      <c r="U912" s="219"/>
      <c r="V912" s="464"/>
      <c r="Y912" s="532" t="str">
        <f>"40% * ("&amp;PRESUPUESTOS!$H$13&amp;")"</f>
        <v>40% * (50% PFMO)</v>
      </c>
      <c r="AA912" s="540" t="e">
        <f>IF(AND(C911&lt;=F908,F908&lt;&gt;""),VLOOKUP(VALUE(E889&amp;","&amp;C911),INTEGRANTES!$D$18:$F$235,2,0),"")</f>
        <v>#N/A</v>
      </c>
      <c r="AB912" s="545" t="e">
        <f t="shared" si="257"/>
        <v>#N/A</v>
      </c>
      <c r="AC912" s="529"/>
      <c r="AD912" s="200" t="e">
        <f t="shared" si="258"/>
        <v>#N/A</v>
      </c>
      <c r="AE912" s="52"/>
      <c r="AF912" s="52"/>
      <c r="AG912" s="52"/>
      <c r="AH912" s="87"/>
      <c r="AI912" s="87"/>
    </row>
    <row r="913" spans="1:35" ht="15.75" hidden="1" customHeight="1" thickBot="1">
      <c r="A913" s="218" t="e">
        <f>"Q"&amp;E889</f>
        <v>#N/A</v>
      </c>
      <c r="B913" s="702"/>
      <c r="C913" s="114">
        <v>4</v>
      </c>
      <c r="D913" s="194" t="e">
        <f>IF(AND(C913&lt;=F908,F908&lt;&gt;""),VLOOKUP(VALUE(E889&amp;","&amp;C913),INTEGRANTES!$D$18:$F$235,2,0),"")</f>
        <v>#N/A</v>
      </c>
      <c r="E913" s="211" t="e">
        <f>IF(D913&lt;&gt;"",VLOOKUP(VALUE(E889&amp;","&amp;C913),INTEGRANTES!$D$18:$F$235,3,0),"")</f>
        <v>#N/A</v>
      </c>
      <c r="F913" s="547" t="e">
        <f>IF(D913="","",SUMIF($I893:$I902,D913,$P893:$P902))</f>
        <v>#N/A</v>
      </c>
      <c r="G913" s="333" t="e">
        <f>IF(D913="","",SUMIF($I893:$I902,D913,$M893:$M902))</f>
        <v>#N/A</v>
      </c>
      <c r="H913" s="535" t="e">
        <f t="shared" si="254"/>
        <v>#N/A</v>
      </c>
      <c r="I913" s="212" t="e">
        <f>IF(D913="","",IF(H913="NO APORTA","NO",IF(H913=MAX($H910:$H915),"SI","NO")))</f>
        <v>#N/A</v>
      </c>
      <c r="J913" s="213" t="e">
        <f t="shared" si="255"/>
        <v>#N/A</v>
      </c>
      <c r="K913" s="200" t="e">
        <f t="shared" si="256"/>
        <v>#N/A</v>
      </c>
      <c r="L913" s="720" t="s">
        <v>109</v>
      </c>
      <c r="M913" s="757" t="s">
        <v>120</v>
      </c>
      <c r="N913" s="726"/>
      <c r="O913" s="726"/>
      <c r="P913" s="726"/>
      <c r="Q913" s="727"/>
      <c r="R913" s="458"/>
      <c r="S913" s="459"/>
      <c r="T913" s="460"/>
      <c r="U913" s="219"/>
      <c r="V913" s="464"/>
      <c r="Y913" s="537">
        <f>0.4*PRESUPUESTOS!$H$16</f>
        <v>10.3124</v>
      </c>
      <c r="AA913" s="540" t="e">
        <f>IF(AND(C912&lt;=F908,F908&lt;&gt;""),VLOOKUP(VALUE(E889&amp;","&amp;C912),INTEGRANTES!$D$18:$F$235,2,0),"")</f>
        <v>#N/A</v>
      </c>
      <c r="AB913" s="545" t="e">
        <f t="shared" si="257"/>
        <v>#N/A</v>
      </c>
      <c r="AC913" s="529"/>
      <c r="AD913" s="200" t="e">
        <f t="shared" si="258"/>
        <v>#N/A</v>
      </c>
      <c r="AE913" s="52"/>
      <c r="AF913" s="52"/>
      <c r="AG913" s="52"/>
      <c r="AH913" s="87"/>
      <c r="AI913" s="87"/>
    </row>
    <row r="914" spans="1:35" ht="27" hidden="1" customHeight="1" thickBot="1">
      <c r="A914" s="218" t="e">
        <f>"R"&amp;E889</f>
        <v>#N/A</v>
      </c>
      <c r="B914" s="702"/>
      <c r="C914" s="114">
        <v>5</v>
      </c>
      <c r="D914" s="194" t="e">
        <f>IF(AND(C914&lt;=F908,F908&lt;&gt;""),VLOOKUP(VALUE(E889&amp;","&amp;C914),INTEGRANTES!$D$18:$F$235,2,0),"")</f>
        <v>#N/A</v>
      </c>
      <c r="E914" s="211" t="e">
        <f>IF(D914&lt;&gt;"",VLOOKUP(VALUE(E889&amp;","&amp;C914),INTEGRANTES!$D$18:$F$235,3,0),"")</f>
        <v>#N/A</v>
      </c>
      <c r="F914" s="547" t="e">
        <f>IF(D914="","",SUMIF($I893:$I902,D914,$P893:$P902))</f>
        <v>#N/A</v>
      </c>
      <c r="G914" s="333" t="e">
        <f>IF(D914="","",SUMIF($I893:$I902,D914,$M893:$M902))</f>
        <v>#N/A</v>
      </c>
      <c r="H914" s="535" t="e">
        <f t="shared" si="254"/>
        <v>#N/A</v>
      </c>
      <c r="I914" s="212" t="e">
        <f>IF(D914="","",IF(H914="NO APORTA","NO",IF(H914=MAX($H910:$H915),"SI","NO")))</f>
        <v>#N/A</v>
      </c>
      <c r="J914" s="213" t="e">
        <f t="shared" si="255"/>
        <v>#N/A</v>
      </c>
      <c r="K914" s="200" t="e">
        <f t="shared" si="256"/>
        <v>#N/A</v>
      </c>
      <c r="L914" s="721"/>
      <c r="M914" s="715" t="s">
        <v>116</v>
      </c>
      <c r="N914" s="716"/>
      <c r="O914" s="556" t="str">
        <f>PORCREQUERIDO*100&amp;"% PMFO DEL MÓDULO"</f>
        <v>50% PMFO DEL MÓDULO</v>
      </c>
      <c r="P914" s="715" t="s">
        <v>118</v>
      </c>
      <c r="Q914" s="728"/>
      <c r="R914" s="458"/>
      <c r="S914" s="459"/>
      <c r="T914" s="460"/>
      <c r="U914" s="219"/>
      <c r="V914" s="464"/>
      <c r="Y914" s="414"/>
      <c r="AA914" s="540" t="e">
        <f>IF(AND(C913&lt;=F908,F908&lt;&gt;""),VLOOKUP(VALUE(E889&amp;","&amp;C913),INTEGRANTES!$D$18:$F$235,2,0),"")</f>
        <v>#N/A</v>
      </c>
      <c r="AB914" s="545" t="e">
        <f t="shared" si="257"/>
        <v>#N/A</v>
      </c>
      <c r="AC914" s="529"/>
      <c r="AD914" s="200" t="e">
        <f t="shared" si="258"/>
        <v>#N/A</v>
      </c>
      <c r="AE914" s="52"/>
      <c r="AF914" s="52"/>
      <c r="AG914" s="52"/>
      <c r="AH914" s="87"/>
      <c r="AI914" s="87"/>
    </row>
    <row r="915" spans="1:35" ht="16.5" hidden="1" thickBot="1">
      <c r="A915" s="218" t="e">
        <f>"S"&amp;E889</f>
        <v>#N/A</v>
      </c>
      <c r="B915" s="702"/>
      <c r="C915" s="215">
        <v>6</v>
      </c>
      <c r="D915" s="216" t="e">
        <f>IF(AND(C915&lt;=F908,F908&lt;&gt;""),VLOOKUP(VALUE(E889&amp;","&amp;C915),INTEGRANTES!$D$18:$F$235,2,0),"")</f>
        <v>#N/A</v>
      </c>
      <c r="E915" s="217" t="e">
        <f>IF(D915&lt;&gt;"",VLOOKUP(VALUE(E889&amp;","&amp;C915),INTEGRANTES!$D$18:$F$235,3,0),"")</f>
        <v>#N/A</v>
      </c>
      <c r="F915" s="548" t="e">
        <f>IF(D915="","",SUMIF($I893:$I902,D915,$P893:$P902))</f>
        <v>#N/A</v>
      </c>
      <c r="G915" s="334" t="e">
        <f>IF(D915="","",SUMIF($I893:$I902,D915,$M893:$M902))</f>
        <v>#N/A</v>
      </c>
      <c r="H915" s="536" t="e">
        <f t="shared" si="254"/>
        <v>#N/A</v>
      </c>
      <c r="I915" s="214" t="e">
        <f>IF(D915="","",IF(H915="NO APORTA","NO",IF(H915=MAX($H910:$H915),"SI","NO")))</f>
        <v>#N/A</v>
      </c>
      <c r="J915" s="213" t="e">
        <f t="shared" si="255"/>
        <v>#N/A</v>
      </c>
      <c r="K915" s="200" t="e">
        <f t="shared" si="256"/>
        <v>#N/A</v>
      </c>
      <c r="L915" s="721"/>
      <c r="M915" s="729">
        <f>NUMMOD</f>
        <v>1</v>
      </c>
      <c r="N915" s="730"/>
      <c r="O915" s="443">
        <f>IF(M915="","",ROUND(VLOOKUP(M915,PRESUPUESTOS!$B$16:$H$16,7,FALSE),3))</f>
        <v>25.780999999999999</v>
      </c>
      <c r="P915" s="713">
        <f>IF(OR(COUNTIF(P893:P902,"")&gt;=10,Q909&lt;NUMMINCONT,OR(T907="NO CUMPLE",T907="VERIFICAR")),0,ROUND((SUM(P893:P902)/SUM(M893:M902)),3))</f>
        <v>0</v>
      </c>
      <c r="Q915" s="714"/>
      <c r="R915" s="458"/>
      <c r="S915" s="459"/>
      <c r="T915" s="460"/>
      <c r="U915" s="219"/>
      <c r="V915" s="464"/>
      <c r="Y915" s="532" t="s">
        <v>343</v>
      </c>
      <c r="AA915" s="540" t="e">
        <f>IF(AND(C914&lt;=F908,F908&lt;&gt;""),VLOOKUP(VALUE(E889&amp;","&amp;C914),INTEGRANTES!$D$18:$F$235,2,0),"")</f>
        <v>#N/A</v>
      </c>
      <c r="AB915" s="545" t="e">
        <f t="shared" si="257"/>
        <v>#N/A</v>
      </c>
      <c r="AC915" s="529"/>
      <c r="AD915" s="200" t="e">
        <f t="shared" si="258"/>
        <v>#N/A</v>
      </c>
      <c r="AE915" s="52"/>
      <c r="AF915" s="52"/>
      <c r="AG915" s="52"/>
      <c r="AH915" s="87"/>
      <c r="AI915" s="87"/>
    </row>
    <row r="916" spans="1:35" ht="16.5" hidden="1" customHeight="1" thickBot="1">
      <c r="A916" s="218" t="e">
        <f>"T"&amp;E889</f>
        <v>#N/A</v>
      </c>
      <c r="B916" s="703"/>
      <c r="C916" s="719"/>
      <c r="D916" s="719"/>
      <c r="E916" s="719"/>
      <c r="F916" s="719"/>
      <c r="G916" s="719"/>
      <c r="H916" s="719" t="s">
        <v>110</v>
      </c>
      <c r="I916" s="719"/>
      <c r="J916" s="719"/>
      <c r="K916" s="201" t="str">
        <f>IF(COUNTIF(K910:K915,"")=6,"",IF(COUNTIF(K910:K915,"CUMPLE")&gt;0,"CUMPLE","NO CUMPLE"))</f>
        <v>NO CUMPLE</v>
      </c>
      <c r="L916" s="754"/>
      <c r="M916" s="755"/>
      <c r="N916" s="755"/>
      <c r="O916" s="755"/>
      <c r="P916" s="755"/>
      <c r="Q916" s="756"/>
      <c r="R916" s="461"/>
      <c r="S916" s="462"/>
      <c r="T916" s="463"/>
      <c r="U916" s="219"/>
      <c r="V916" s="464"/>
      <c r="Y916" s="549" t="e">
        <f>IF(Y910="NO APLICA","NO APLICA",IF(COUNTIF(AD911:AD916,"CUMPLE")&gt;0,"CUMPLE","NO CUMPLE"))</f>
        <v>#N/A</v>
      </c>
      <c r="AA916" s="541" t="e">
        <f>IF(AND(C915&lt;=F908,F908&lt;&gt;""),VLOOKUP(VALUE(E889&amp;","&amp;C915),INTEGRANTES!$D$18:$F$235,2,0),"")</f>
        <v>#N/A</v>
      </c>
      <c r="AB916" s="546" t="e">
        <f t="shared" si="257"/>
        <v>#N/A</v>
      </c>
      <c r="AC916" s="543"/>
      <c r="AD916" s="201" t="e">
        <f t="shared" si="258"/>
        <v>#N/A</v>
      </c>
      <c r="AE916" s="52"/>
      <c r="AF916" s="52"/>
      <c r="AG916" s="52"/>
      <c r="AH916" s="87"/>
      <c r="AI916" s="87"/>
    </row>
    <row r="917" spans="1:35" hidden="1">
      <c r="AH917" s="87"/>
      <c r="AI917" s="87"/>
    </row>
    <row r="918" spans="1:35" hidden="1">
      <c r="AH918" s="87"/>
      <c r="AI918" s="87"/>
    </row>
    <row r="919" spans="1:35" ht="24" hidden="1" thickBot="1">
      <c r="A919" s="61">
        <v>31</v>
      </c>
      <c r="B919" s="704" t="s">
        <v>51</v>
      </c>
      <c r="C919" s="704"/>
      <c r="D919" s="704"/>
      <c r="E919" s="62" t="e">
        <f>VLOOKUP(A919,PROPONENTES!$B$19:$E$218,2,FALSE)</f>
        <v>#N/A</v>
      </c>
      <c r="F919" s="63" t="e">
        <f>VLOOKUP(A919,PROPONENTES!$B$19:$E$218,3,FALSE)</f>
        <v>#N/A</v>
      </c>
      <c r="G919" s="64"/>
      <c r="H919" s="64"/>
      <c r="I919" s="63"/>
      <c r="J919" s="63"/>
      <c r="K919" s="65"/>
      <c r="L919" s="65"/>
      <c r="M919" s="64"/>
      <c r="N919" s="64"/>
      <c r="O919" s="66"/>
      <c r="P919" s="66"/>
      <c r="Q919" s="66"/>
      <c r="R919" s="66"/>
      <c r="S919" s="67"/>
      <c r="T919" s="68"/>
      <c r="U919" s="68"/>
      <c r="AC919" s="68"/>
      <c r="AD919" s="68"/>
      <c r="AE919" s="68"/>
      <c r="AF919" s="68"/>
      <c r="AG919" s="68"/>
      <c r="AH919" s="87"/>
      <c r="AI919" s="87"/>
    </row>
    <row r="920" spans="1:35" ht="15.75" hidden="1" customHeight="1">
      <c r="A920" s="44"/>
      <c r="B920" s="709" t="s">
        <v>59</v>
      </c>
      <c r="C920" s="552" t="s">
        <v>60</v>
      </c>
      <c r="D920" s="70" t="s">
        <v>17</v>
      </c>
      <c r="E920" s="70"/>
      <c r="F920" s="70" t="s">
        <v>61</v>
      </c>
      <c r="G920" s="71"/>
      <c r="H920" s="699" t="s">
        <v>62</v>
      </c>
      <c r="I920" s="699" t="s">
        <v>18</v>
      </c>
      <c r="J920" s="699" t="s">
        <v>63</v>
      </c>
      <c r="K920" s="699" t="s">
        <v>64</v>
      </c>
      <c r="L920" s="699" t="s">
        <v>65</v>
      </c>
      <c r="M920" s="743" t="s">
        <v>66</v>
      </c>
      <c r="N920" s="699" t="s">
        <v>282</v>
      </c>
      <c r="O920" s="745" t="s">
        <v>67</v>
      </c>
      <c r="P920" s="746"/>
      <c r="Q920" s="102" t="s">
        <v>75</v>
      </c>
      <c r="R920" s="731" t="s">
        <v>22</v>
      </c>
      <c r="S920" s="732"/>
      <c r="T920" s="733"/>
      <c r="U920" s="712" t="s">
        <v>298</v>
      </c>
      <c r="W920" s="690" t="s">
        <v>268</v>
      </c>
      <c r="X920" s="691"/>
      <c r="Y920" s="692"/>
      <c r="Z920" s="428"/>
      <c r="AA920" s="697" t="s">
        <v>315</v>
      </c>
      <c r="AB920" s="695" t="s">
        <v>322</v>
      </c>
      <c r="AC920" s="49"/>
      <c r="AD920" s="690" t="s">
        <v>297</v>
      </c>
      <c r="AE920" s="691"/>
      <c r="AF920" s="692"/>
      <c r="AG920" s="49"/>
      <c r="AH920" s="87"/>
      <c r="AI920" s="87"/>
    </row>
    <row r="921" spans="1:35" ht="72" hidden="1">
      <c r="A921" s="44"/>
      <c r="B921" s="710"/>
      <c r="C921" s="553" t="s">
        <v>68</v>
      </c>
      <c r="D921" s="73" t="s">
        <v>3</v>
      </c>
      <c r="E921" s="73" t="s">
        <v>19</v>
      </c>
      <c r="F921" s="73" t="s">
        <v>69</v>
      </c>
      <c r="G921" s="74" t="s">
        <v>70</v>
      </c>
      <c r="H921" s="700"/>
      <c r="I921" s="700"/>
      <c r="J921" s="700"/>
      <c r="K921" s="700"/>
      <c r="L921" s="700"/>
      <c r="M921" s="744"/>
      <c r="N921" s="700"/>
      <c r="O921" s="553" t="s">
        <v>279</v>
      </c>
      <c r="P921" s="73" t="s">
        <v>88</v>
      </c>
      <c r="Q921" s="555" t="s">
        <v>76</v>
      </c>
      <c r="R921" s="734"/>
      <c r="S921" s="735"/>
      <c r="T921" s="736"/>
      <c r="U921" s="712"/>
      <c r="W921" s="429" t="s">
        <v>269</v>
      </c>
      <c r="X921" s="457" t="s">
        <v>278</v>
      </c>
      <c r="Y921" s="430" t="s">
        <v>324</v>
      </c>
      <c r="Z921" s="428"/>
      <c r="AA921" s="698"/>
      <c r="AB921" s="696"/>
      <c r="AC921" s="49"/>
      <c r="AD921" s="429" t="s">
        <v>292</v>
      </c>
      <c r="AE921" s="431" t="s">
        <v>300</v>
      </c>
      <c r="AF921" s="468" t="s">
        <v>301</v>
      </c>
      <c r="AG921" s="49"/>
      <c r="AH921" s="87"/>
      <c r="AI921" s="87"/>
    </row>
    <row r="922" spans="1:35" hidden="1">
      <c r="A922" s="44"/>
      <c r="B922" s="76"/>
      <c r="C922" s="77"/>
      <c r="D922" s="77"/>
      <c r="E922" s="77"/>
      <c r="F922" s="77"/>
      <c r="G922" s="77"/>
      <c r="H922" s="77"/>
      <c r="I922" s="77"/>
      <c r="J922" s="77"/>
      <c r="K922" s="77"/>
      <c r="L922" s="77"/>
      <c r="M922" s="77"/>
      <c r="N922" s="77"/>
      <c r="O922" s="77"/>
      <c r="P922" s="77"/>
      <c r="Q922" s="77"/>
      <c r="R922" s="77"/>
      <c r="S922" s="78"/>
      <c r="T922" s="79"/>
      <c r="U922" s="109"/>
      <c r="V922" s="49"/>
      <c r="W922" s="432"/>
      <c r="X922" s="454"/>
      <c r="Y922" s="433"/>
      <c r="Z922" s="6"/>
      <c r="AA922" s="500"/>
      <c r="AB922" s="562"/>
      <c r="AC922" s="49"/>
      <c r="AD922" s="210"/>
      <c r="AE922" s="434"/>
      <c r="AF922" s="435"/>
      <c r="AG922" s="49"/>
      <c r="AH922" s="87"/>
      <c r="AI922" s="87"/>
    </row>
    <row r="923" spans="1:35" hidden="1">
      <c r="A923" s="80" t="e">
        <f>"A"&amp;E919</f>
        <v>#N/A</v>
      </c>
      <c r="B923" s="81">
        <v>1</v>
      </c>
      <c r="C923" s="82"/>
      <c r="D923" s="82"/>
      <c r="E923" s="82"/>
      <c r="F923" s="82"/>
      <c r="G923" s="83"/>
      <c r="H923" s="83"/>
      <c r="I923" s="84"/>
      <c r="J923" s="85"/>
      <c r="K923" s="382"/>
      <c r="L923" s="85"/>
      <c r="M923" s="332" t="str">
        <f t="shared" ref="M923:M932" si="259">IF(OR(J923="",L923="",H923="NO"),"",IF(OR(J923&gt;$P$17,J923&lt;$O$17,L923&gt;$P$17,AND(J923&lt;$O$17,L923&lt;$O$17)),"FUERA DE RANGO",IF(OR(K923="---",K923=""),IF(J923&gt;=$O$17,ROUND((L923-J923+1)/360*12,3),ROUND((L923-$O$17+1)/360*12,3)),IF(J923&gt;=$O$17,ROUND((L923-J923+1)/360*12-ROUND(K923,3),3),ROUND((L923-$O$17+1)/360*12-ROUND(K923,3),3)))))</f>
        <v/>
      </c>
      <c r="N923" s="86"/>
      <c r="O923" s="453" t="str">
        <f>IF(OR(G923="",N923=""),"",N923*G923)</f>
        <v/>
      </c>
      <c r="P923" s="538" t="str">
        <f>IF(OR(H923="",M923="FUERA DE RANGO"),"",IF(OR(L923&lt;$O$17,L923&gt;$P$17,L923="",H923="NO"),"",IF(OR(N923="",O923=""),"",ROUND(O923,3))))</f>
        <v/>
      </c>
      <c r="Q923" s="539" t="str">
        <f t="shared" ref="Q923:Q932" si="260">IF(AND(H923="SI",P923&lt;&gt;""),ROUND(P923/M923,3),"")</f>
        <v/>
      </c>
      <c r="R923" s="737"/>
      <c r="S923" s="738"/>
      <c r="T923" s="739"/>
      <c r="U923" s="470"/>
      <c r="V923" s="165"/>
      <c r="W923" s="446"/>
      <c r="X923" s="456"/>
      <c r="Y923" s="436"/>
      <c r="Z923" s="437"/>
      <c r="AA923" s="560"/>
      <c r="AB923" s="561"/>
      <c r="AC923" s="87"/>
      <c r="AD923" s="466"/>
      <c r="AE923" s="456"/>
      <c r="AF923" s="467"/>
      <c r="AG923" s="87"/>
      <c r="AH923" s="87"/>
      <c r="AI923" s="87"/>
    </row>
    <row r="924" spans="1:35" hidden="1">
      <c r="A924" s="80" t="e">
        <f>"B"&amp;E919</f>
        <v>#N/A</v>
      </c>
      <c r="B924" s="81">
        <v>2</v>
      </c>
      <c r="C924" s="106"/>
      <c r="D924" s="106"/>
      <c r="E924" s="106"/>
      <c r="F924" s="106"/>
      <c r="G924" s="83"/>
      <c r="H924" s="83"/>
      <c r="I924" s="84"/>
      <c r="J924" s="85"/>
      <c r="K924" s="382"/>
      <c r="L924" s="85"/>
      <c r="M924" s="332" t="str">
        <f t="shared" si="259"/>
        <v/>
      </c>
      <c r="N924" s="86"/>
      <c r="O924" s="453" t="str">
        <f t="shared" ref="O924:O932" si="261">IF(OR(G924="",N924=""),"",N924*G924)</f>
        <v/>
      </c>
      <c r="P924" s="538" t="str">
        <f t="shared" ref="P924:P932" si="262">IF(OR(H924="",M924="FUERA DE RANGO"),"",IF(OR(L924&lt;$O$17,L924&gt;$P$17,L924="",H924="NO"),"",IF(OR(N924="",O924=""),"",ROUND(O924,3))))</f>
        <v/>
      </c>
      <c r="Q924" s="539" t="str">
        <f t="shared" si="260"/>
        <v/>
      </c>
      <c r="R924" s="740"/>
      <c r="S924" s="741"/>
      <c r="T924" s="742"/>
      <c r="U924" s="471"/>
      <c r="V924" s="165"/>
      <c r="W924" s="446"/>
      <c r="X924" s="456"/>
      <c r="Y924" s="436"/>
      <c r="Z924" s="437"/>
      <c r="AA924" s="560"/>
      <c r="AB924" s="561"/>
      <c r="AC924" s="87"/>
      <c r="AD924" s="466"/>
      <c r="AE924" s="456"/>
      <c r="AF924" s="467"/>
      <c r="AG924" s="87"/>
      <c r="AH924" s="87"/>
      <c r="AI924" s="87"/>
    </row>
    <row r="925" spans="1:35" hidden="1">
      <c r="A925" s="80" t="e">
        <f>"C"&amp;E919</f>
        <v>#N/A</v>
      </c>
      <c r="B925" s="88">
        <v>3</v>
      </c>
      <c r="C925" s="82"/>
      <c r="D925" s="82"/>
      <c r="E925" s="82"/>
      <c r="F925" s="82"/>
      <c r="G925" s="83"/>
      <c r="H925" s="83"/>
      <c r="I925" s="84"/>
      <c r="J925" s="85"/>
      <c r="K925" s="382"/>
      <c r="L925" s="85"/>
      <c r="M925" s="332" t="str">
        <f t="shared" si="259"/>
        <v/>
      </c>
      <c r="N925" s="86"/>
      <c r="O925" s="453" t="str">
        <f t="shared" si="261"/>
        <v/>
      </c>
      <c r="P925" s="538" t="str">
        <f t="shared" si="262"/>
        <v/>
      </c>
      <c r="Q925" s="539" t="str">
        <f t="shared" si="260"/>
        <v/>
      </c>
      <c r="R925" s="706"/>
      <c r="S925" s="707"/>
      <c r="T925" s="708"/>
      <c r="U925" s="472"/>
      <c r="V925" s="166"/>
      <c r="W925" s="446"/>
      <c r="X925" s="456"/>
      <c r="Y925" s="436"/>
      <c r="Z925" s="437"/>
      <c r="AA925" s="560"/>
      <c r="AB925" s="561"/>
      <c r="AC925" s="87"/>
      <c r="AD925" s="466"/>
      <c r="AE925" s="456"/>
      <c r="AF925" s="467"/>
      <c r="AG925" s="87"/>
      <c r="AH925" s="87"/>
      <c r="AI925" s="87"/>
    </row>
    <row r="926" spans="1:35" hidden="1">
      <c r="A926" s="80" t="e">
        <f>"D"&amp;E919</f>
        <v>#N/A</v>
      </c>
      <c r="B926" s="105">
        <v>4</v>
      </c>
      <c r="C926" s="107"/>
      <c r="D926" s="107"/>
      <c r="E926" s="107"/>
      <c r="F926" s="107"/>
      <c r="G926" s="83"/>
      <c r="H926" s="83"/>
      <c r="I926" s="84"/>
      <c r="J926" s="85"/>
      <c r="K926" s="382"/>
      <c r="L926" s="85"/>
      <c r="M926" s="332" t="str">
        <f t="shared" si="259"/>
        <v/>
      </c>
      <c r="N926" s="86"/>
      <c r="O926" s="453" t="str">
        <f t="shared" si="261"/>
        <v/>
      </c>
      <c r="P926" s="538" t="str">
        <f t="shared" si="262"/>
        <v/>
      </c>
      <c r="Q926" s="539" t="str">
        <f t="shared" si="260"/>
        <v/>
      </c>
      <c r="R926" s="706"/>
      <c r="S926" s="707"/>
      <c r="T926" s="708"/>
      <c r="U926" s="472"/>
      <c r="V926" s="166"/>
      <c r="W926" s="446"/>
      <c r="X926" s="456"/>
      <c r="Y926" s="436"/>
      <c r="Z926" s="437"/>
      <c r="AA926" s="560"/>
      <c r="AB926" s="561"/>
      <c r="AC926" s="87"/>
      <c r="AD926" s="466"/>
      <c r="AE926" s="456"/>
      <c r="AF926" s="467"/>
      <c r="AG926" s="87"/>
      <c r="AH926" s="87"/>
      <c r="AI926" s="87"/>
    </row>
    <row r="927" spans="1:35" hidden="1">
      <c r="A927" s="80" t="e">
        <f>"E"&amp;E919</f>
        <v>#N/A</v>
      </c>
      <c r="B927" s="105">
        <v>5</v>
      </c>
      <c r="C927" s="107"/>
      <c r="D927" s="107"/>
      <c r="E927" s="107"/>
      <c r="F927" s="107"/>
      <c r="G927" s="83"/>
      <c r="H927" s="83"/>
      <c r="I927" s="84"/>
      <c r="J927" s="85"/>
      <c r="K927" s="382"/>
      <c r="L927" s="85"/>
      <c r="M927" s="332" t="str">
        <f t="shared" si="259"/>
        <v/>
      </c>
      <c r="N927" s="86"/>
      <c r="O927" s="453" t="str">
        <f t="shared" si="261"/>
        <v/>
      </c>
      <c r="P927" s="538" t="str">
        <f t="shared" si="262"/>
        <v/>
      </c>
      <c r="Q927" s="539" t="str">
        <f t="shared" si="260"/>
        <v/>
      </c>
      <c r="R927" s="706"/>
      <c r="S927" s="707"/>
      <c r="T927" s="708"/>
      <c r="U927" s="472"/>
      <c r="V927" s="167"/>
      <c r="W927" s="446"/>
      <c r="X927" s="456"/>
      <c r="Y927" s="436"/>
      <c r="Z927" s="437"/>
      <c r="AA927" s="560"/>
      <c r="AB927" s="561"/>
      <c r="AC927" s="87"/>
      <c r="AD927" s="466"/>
      <c r="AE927" s="456"/>
      <c r="AF927" s="467"/>
      <c r="AG927" s="87"/>
      <c r="AH927" s="87"/>
      <c r="AI927" s="87"/>
    </row>
    <row r="928" spans="1:35" hidden="1">
      <c r="A928" s="80" t="e">
        <f>"F"&amp;E919</f>
        <v>#N/A</v>
      </c>
      <c r="B928" s="105">
        <v>6</v>
      </c>
      <c r="C928" s="107"/>
      <c r="D928" s="107"/>
      <c r="E928" s="107"/>
      <c r="F928" s="107"/>
      <c r="G928" s="83"/>
      <c r="H928" s="83"/>
      <c r="I928" s="84"/>
      <c r="J928" s="85"/>
      <c r="K928" s="382"/>
      <c r="L928" s="85"/>
      <c r="M928" s="332" t="str">
        <f t="shared" si="259"/>
        <v/>
      </c>
      <c r="N928" s="86"/>
      <c r="O928" s="453" t="str">
        <f t="shared" si="261"/>
        <v/>
      </c>
      <c r="P928" s="538" t="str">
        <f t="shared" si="262"/>
        <v/>
      </c>
      <c r="Q928" s="539" t="str">
        <f t="shared" si="260"/>
        <v/>
      </c>
      <c r="R928" s="706"/>
      <c r="S928" s="707"/>
      <c r="T928" s="708"/>
      <c r="U928" s="472"/>
      <c r="V928" s="167"/>
      <c r="W928" s="446"/>
      <c r="X928" s="456"/>
      <c r="Y928" s="436"/>
      <c r="Z928" s="437"/>
      <c r="AA928" s="560"/>
      <c r="AB928" s="561"/>
      <c r="AC928" s="87"/>
      <c r="AD928" s="466"/>
      <c r="AE928" s="456"/>
      <c r="AF928" s="467"/>
      <c r="AG928" s="87"/>
      <c r="AH928" s="87"/>
      <c r="AI928" s="87"/>
    </row>
    <row r="929" spans="1:35" hidden="1">
      <c r="A929" s="80" t="e">
        <f>"G"&amp;E919</f>
        <v>#N/A</v>
      </c>
      <c r="B929" s="105">
        <v>7</v>
      </c>
      <c r="C929" s="107"/>
      <c r="D929" s="107"/>
      <c r="E929" s="107"/>
      <c r="F929" s="107"/>
      <c r="G929" s="83"/>
      <c r="H929" s="83"/>
      <c r="I929" s="84"/>
      <c r="J929" s="85"/>
      <c r="K929" s="382"/>
      <c r="L929" s="85"/>
      <c r="M929" s="332" t="str">
        <f t="shared" si="259"/>
        <v/>
      </c>
      <c r="N929" s="86"/>
      <c r="O929" s="86" t="str">
        <f t="shared" si="261"/>
        <v/>
      </c>
      <c r="P929" s="538" t="str">
        <f t="shared" si="262"/>
        <v/>
      </c>
      <c r="Q929" s="539" t="str">
        <f t="shared" si="260"/>
        <v/>
      </c>
      <c r="R929" s="706"/>
      <c r="S929" s="707"/>
      <c r="T929" s="708"/>
      <c r="U929" s="472"/>
      <c r="V929" s="167"/>
      <c r="W929" s="446"/>
      <c r="X929" s="456"/>
      <c r="Y929" s="436"/>
      <c r="Z929" s="437"/>
      <c r="AA929" s="560"/>
      <c r="AB929" s="561"/>
      <c r="AC929" s="87"/>
      <c r="AD929" s="466"/>
      <c r="AE929" s="456"/>
      <c r="AF929" s="467"/>
      <c r="AG929" s="87"/>
      <c r="AH929" s="87"/>
      <c r="AI929" s="87"/>
    </row>
    <row r="930" spans="1:35" hidden="1">
      <c r="A930" s="80" t="e">
        <f>"H"&amp;E919</f>
        <v>#N/A</v>
      </c>
      <c r="B930" s="105">
        <v>8</v>
      </c>
      <c r="C930" s="107"/>
      <c r="D930" s="107"/>
      <c r="E930" s="107"/>
      <c r="F930" s="107"/>
      <c r="G930" s="83"/>
      <c r="H930" s="83"/>
      <c r="I930" s="84"/>
      <c r="J930" s="85"/>
      <c r="K930" s="382"/>
      <c r="L930" s="85"/>
      <c r="M930" s="332" t="str">
        <f t="shared" si="259"/>
        <v/>
      </c>
      <c r="N930" s="453"/>
      <c r="O930" s="86" t="str">
        <f t="shared" si="261"/>
        <v/>
      </c>
      <c r="P930" s="538" t="str">
        <f t="shared" si="262"/>
        <v/>
      </c>
      <c r="Q930" s="539" t="str">
        <f t="shared" si="260"/>
        <v/>
      </c>
      <c r="R930" s="706"/>
      <c r="S930" s="707"/>
      <c r="T930" s="708"/>
      <c r="U930" s="472"/>
      <c r="V930" s="167"/>
      <c r="W930" s="446"/>
      <c r="X930" s="456"/>
      <c r="Y930" s="436"/>
      <c r="Z930" s="437"/>
      <c r="AA930" s="560"/>
      <c r="AB930" s="561"/>
      <c r="AC930" s="87"/>
      <c r="AD930" s="466"/>
      <c r="AE930" s="456"/>
      <c r="AF930" s="467"/>
      <c r="AG930" s="87"/>
      <c r="AH930" s="87"/>
      <c r="AI930" s="87"/>
    </row>
    <row r="931" spans="1:35" hidden="1">
      <c r="A931" s="80" t="e">
        <f>"I"&amp;E919</f>
        <v>#N/A</v>
      </c>
      <c r="B931" s="105">
        <v>9</v>
      </c>
      <c r="C931" s="107"/>
      <c r="D931" s="107"/>
      <c r="E931" s="107"/>
      <c r="F931" s="107"/>
      <c r="G931" s="83"/>
      <c r="H931" s="83"/>
      <c r="I931" s="84"/>
      <c r="J931" s="85"/>
      <c r="K931" s="382"/>
      <c r="L931" s="85"/>
      <c r="M931" s="332" t="str">
        <f t="shared" si="259"/>
        <v/>
      </c>
      <c r="N931" s="453"/>
      <c r="O931" s="86" t="str">
        <f t="shared" si="261"/>
        <v/>
      </c>
      <c r="P931" s="538" t="str">
        <f t="shared" si="262"/>
        <v/>
      </c>
      <c r="Q931" s="539" t="str">
        <f t="shared" si="260"/>
        <v/>
      </c>
      <c r="R931" s="706"/>
      <c r="S931" s="707"/>
      <c r="T931" s="708"/>
      <c r="U931" s="472"/>
      <c r="V931" s="167"/>
      <c r="W931" s="446"/>
      <c r="X931" s="456"/>
      <c r="Y931" s="436"/>
      <c r="Z931" s="437"/>
      <c r="AA931" s="560"/>
      <c r="AB931" s="561"/>
      <c r="AC931" s="87"/>
      <c r="AD931" s="466"/>
      <c r="AE931" s="456"/>
      <c r="AF931" s="467"/>
      <c r="AG931" s="87"/>
      <c r="AH931" s="87"/>
      <c r="AI931" s="87"/>
    </row>
    <row r="932" spans="1:35" hidden="1">
      <c r="A932" s="80" t="e">
        <f>"J"&amp;E919</f>
        <v>#N/A</v>
      </c>
      <c r="B932" s="105">
        <v>10</v>
      </c>
      <c r="C932" s="107"/>
      <c r="D932" s="107"/>
      <c r="E932" s="107"/>
      <c r="F932" s="107"/>
      <c r="G932" s="83"/>
      <c r="H932" s="83"/>
      <c r="I932" s="84"/>
      <c r="J932" s="85"/>
      <c r="K932" s="382"/>
      <c r="L932" s="85"/>
      <c r="M932" s="332" t="str">
        <f t="shared" si="259"/>
        <v/>
      </c>
      <c r="N932" s="453"/>
      <c r="O932" s="86" t="str">
        <f t="shared" si="261"/>
        <v/>
      </c>
      <c r="P932" s="538" t="str">
        <f t="shared" si="262"/>
        <v/>
      </c>
      <c r="Q932" s="539" t="str">
        <f t="shared" si="260"/>
        <v/>
      </c>
      <c r="R932" s="706"/>
      <c r="S932" s="707"/>
      <c r="T932" s="708"/>
      <c r="U932" s="472"/>
      <c r="V932" s="167"/>
      <c r="W932" s="446"/>
      <c r="X932" s="456"/>
      <c r="Y932" s="436"/>
      <c r="Z932" s="437"/>
      <c r="AA932" s="560"/>
      <c r="AB932" s="561"/>
      <c r="AC932" s="87"/>
      <c r="AD932" s="466"/>
      <c r="AE932" s="456"/>
      <c r="AF932" s="467"/>
      <c r="AG932" s="87"/>
      <c r="AH932" s="87"/>
      <c r="AI932" s="87"/>
    </row>
    <row r="933" spans="1:35" ht="16.5" hidden="1" thickBot="1">
      <c r="A933" s="44"/>
      <c r="B933" s="89"/>
      <c r="C933" s="90"/>
      <c r="D933" s="90"/>
      <c r="E933" s="90"/>
      <c r="F933" s="90"/>
      <c r="G933" s="90"/>
      <c r="H933" s="90"/>
      <c r="I933" s="90"/>
      <c r="J933" s="90"/>
      <c r="K933" s="90"/>
      <c r="L933" s="90"/>
      <c r="M933" s="90"/>
      <c r="N933" s="90"/>
      <c r="O933" s="90"/>
      <c r="P933" s="90"/>
      <c r="Q933" s="90"/>
      <c r="R933" s="90"/>
      <c r="S933" s="91"/>
      <c r="T933" s="92"/>
      <c r="U933" s="473"/>
      <c r="W933" s="438"/>
      <c r="X933" s="455"/>
      <c r="Y933" s="439"/>
      <c r="Z933" s="437"/>
      <c r="AA933" s="530"/>
      <c r="AB933" s="563"/>
      <c r="AC933" s="87"/>
      <c r="AD933" s="440"/>
      <c r="AE933" s="441"/>
      <c r="AF933" s="442"/>
      <c r="AG933" s="49"/>
      <c r="AH933" s="87"/>
      <c r="AI933" s="87"/>
    </row>
    <row r="934" spans="1:35" ht="16.5" hidden="1" thickBot="1">
      <c r="A934" s="93"/>
      <c r="B934" s="94"/>
      <c r="C934" s="96"/>
      <c r="D934" s="96"/>
      <c r="E934" s="96"/>
      <c r="F934" s="96"/>
      <c r="G934" s="96"/>
      <c r="H934" s="96"/>
      <c r="I934" s="96"/>
      <c r="J934" s="96"/>
      <c r="K934" s="96"/>
      <c r="L934" s="96"/>
      <c r="M934" s="136"/>
      <c r="N934" s="96"/>
      <c r="O934" s="96"/>
      <c r="P934" s="97"/>
      <c r="Q934" s="97"/>
      <c r="R934" s="98"/>
      <c r="S934" s="95"/>
      <c r="T934" s="99"/>
      <c r="U934" s="469"/>
      <c r="AC934" s="58"/>
      <c r="AG934" s="58"/>
      <c r="AH934" s="87"/>
      <c r="AI934" s="87"/>
    </row>
    <row r="935" spans="1:35" ht="16.5" hidden="1" thickBot="1">
      <c r="B935" s="101"/>
      <c r="C935" s="101"/>
      <c r="D935" s="101"/>
      <c r="E935" s="101"/>
      <c r="F935" s="101"/>
      <c r="G935" s="101"/>
      <c r="H935" s="101"/>
      <c r="I935" s="101"/>
      <c r="J935" s="101"/>
      <c r="K935" s="101"/>
      <c r="L935" s="101"/>
      <c r="M935" s="101"/>
      <c r="N935" s="101"/>
      <c r="O935" s="101"/>
      <c r="P935" s="101"/>
      <c r="Q935" s="101"/>
      <c r="R935" s="101"/>
      <c r="S935" s="101"/>
      <c r="U935" s="50"/>
      <c r="AH935" s="87"/>
      <c r="AI935" s="87"/>
    </row>
    <row r="936" spans="1:35" ht="16.5" hidden="1" customHeight="1" thickBot="1">
      <c r="A936" s="44"/>
      <c r="B936" s="705" t="s">
        <v>74</v>
      </c>
      <c r="C936" s="705"/>
      <c r="D936" s="705"/>
      <c r="E936" s="705"/>
      <c r="F936" s="705"/>
      <c r="G936" s="705"/>
      <c r="H936" s="705"/>
      <c r="I936" s="705"/>
      <c r="J936" s="705"/>
      <c r="K936" s="705"/>
      <c r="L936" s="705"/>
      <c r="M936" s="705"/>
      <c r="N936" s="705"/>
      <c r="O936" s="705"/>
      <c r="P936" s="705"/>
      <c r="Q936" s="705"/>
      <c r="R936" s="705"/>
      <c r="S936" s="705"/>
      <c r="T936" s="705"/>
      <c r="U936" s="108"/>
      <c r="Y936" s="532" t="s">
        <v>341</v>
      </c>
      <c r="AC936" s="49"/>
      <c r="AD936" s="687" t="s">
        <v>302</v>
      </c>
      <c r="AE936" s="688"/>
      <c r="AF936" s="689"/>
      <c r="AG936" s="49"/>
      <c r="AH936" s="87"/>
      <c r="AI936" s="87"/>
    </row>
    <row r="937" spans="1:35" ht="15.75" hidden="1" customHeight="1" thickBot="1">
      <c r="A937" s="218" t="e">
        <f>"K"&amp;E919</f>
        <v>#N/A</v>
      </c>
      <c r="B937" s="701" t="s">
        <v>71</v>
      </c>
      <c r="C937" s="751" t="s">
        <v>102</v>
      </c>
      <c r="D937" s="751"/>
      <c r="E937" s="751"/>
      <c r="F937" s="751"/>
      <c r="G937" s="751"/>
      <c r="H937" s="751"/>
      <c r="I937" s="751"/>
      <c r="J937" s="751"/>
      <c r="K937" s="751"/>
      <c r="L937" s="722" t="s">
        <v>100</v>
      </c>
      <c r="M937" s="747" t="s">
        <v>114</v>
      </c>
      <c r="N937" s="747"/>
      <c r="O937" s="747"/>
      <c r="P937" s="747"/>
      <c r="Q937" s="748"/>
      <c r="R937" s="758" t="s">
        <v>280</v>
      </c>
      <c r="S937" s="748"/>
      <c r="T937" s="762" t="str">
        <f>IF(COUNTIF(AE937:AF937,"VERIFICAR")&gt;0,"VERIFICAR",IF(COUNTIF(AE937:AF937,"NO CUMPLE")&gt;0,"NO CUMPLE","CUMPLE"))</f>
        <v>VERIFICAR</v>
      </c>
      <c r="U937" s="108"/>
      <c r="Y937" s="533" t="e">
        <f>IF(F938="","",IF(F938=1,"INDIVIDUAL","ESTRUCTURA PLURAL"))</f>
        <v>#N/A</v>
      </c>
      <c r="AC937" s="52"/>
      <c r="AD937" s="475" t="s">
        <v>303</v>
      </c>
      <c r="AE937" s="476" t="str">
        <f>IF(COUNTIF(AE923:AE932,"")=10,"VERIFICAR",IF(COUNTIF(AE923:AE932,"SI")&gt;0,"CUMPLE","NO CUMPLE"))</f>
        <v>VERIFICAR</v>
      </c>
      <c r="AF937" s="477" t="str">
        <f>IF(COUNTIF(AF923:AF932,"")=10,"VERIFICAR",IF(COUNTIF(AF923:AF932,"SI")&gt;=$AI$22,"CUMPLE","NO CUMPLE"))</f>
        <v>VERIFICAR</v>
      </c>
      <c r="AG937" s="52"/>
      <c r="AH937" s="87"/>
      <c r="AI937" s="87"/>
    </row>
    <row r="938" spans="1:35" ht="16.5" hidden="1" customHeight="1" thickBot="1">
      <c r="A938" s="218" t="e">
        <f>"L"&amp;E919</f>
        <v>#N/A</v>
      </c>
      <c r="B938" s="702"/>
      <c r="C938" s="751" t="s">
        <v>103</v>
      </c>
      <c r="D938" s="751"/>
      <c r="E938" s="752"/>
      <c r="F938" s="557" t="e">
        <f>IF(VLOOKUP(E919,PROPONENTES!$C$19:$E$218,3,0)="","",VLOOKUP(E919,PROPONENTES!$C$19:$E$218,3,0))</f>
        <v>#N/A</v>
      </c>
      <c r="G938" s="753" t="s">
        <v>104</v>
      </c>
      <c r="H938" s="751"/>
      <c r="I938" s="715" t="e">
        <f>IF(OR(F938="",F938=1),"INTERESADO PERSONA NATURAL O JURIDICA","CONSORCIO O UNION TEMPORAL")</f>
        <v>#N/A</v>
      </c>
      <c r="J938" s="725"/>
      <c r="K938" s="728"/>
      <c r="L938" s="723"/>
      <c r="M938" s="749"/>
      <c r="N938" s="749"/>
      <c r="O938" s="749"/>
      <c r="P938" s="749"/>
      <c r="Q938" s="750"/>
      <c r="R938" s="712"/>
      <c r="S938" s="750"/>
      <c r="T938" s="763"/>
      <c r="U938" s="108"/>
      <c r="Y938" s="534"/>
      <c r="AA938" s="52"/>
      <c r="AB938" s="52"/>
      <c r="AC938" s="52"/>
      <c r="AG938" s="52"/>
      <c r="AH938" s="87"/>
      <c r="AI938" s="87"/>
    </row>
    <row r="939" spans="1:35" ht="56.25" hidden="1" customHeight="1" thickBot="1">
      <c r="A939" s="218" t="e">
        <f>"M"&amp;E919</f>
        <v>#N/A</v>
      </c>
      <c r="B939" s="702"/>
      <c r="C939" s="725" t="s">
        <v>101</v>
      </c>
      <c r="D939" s="716"/>
      <c r="E939" s="558" t="s">
        <v>105</v>
      </c>
      <c r="F939" s="554" t="s">
        <v>87</v>
      </c>
      <c r="G939" s="553" t="s">
        <v>86</v>
      </c>
      <c r="H939" s="559" t="s">
        <v>85</v>
      </c>
      <c r="I939" s="554" t="s">
        <v>252</v>
      </c>
      <c r="J939" s="553" t="str">
        <f>"¿EL INTEGRANTE TIENE UNA PARTICIPACIÓN DEL "&amp;PORCREQUERIDOINT*100&amp;"%?"</f>
        <v>¿EL INTEGRANTE TIENE UNA PARTICIPACIÓN DEL 60%?</v>
      </c>
      <c r="K939" s="554" t="s">
        <v>107</v>
      </c>
      <c r="L939" s="724"/>
      <c r="M939" s="717" t="s">
        <v>115</v>
      </c>
      <c r="N939" s="718"/>
      <c r="O939" s="718"/>
      <c r="P939" s="718"/>
      <c r="Q939" s="223">
        <f>IF(AND(H923="SI",P923&gt;=0),1,0)+IF(AND(H924="SI",P924&gt;=0),1,0)+IF(AND(H925="SI",P925&gt;=0),1,0)+IF(AND(H926="SI",P926&gt;=0),1,0)+IF(AND(H927="SI",P927&gt;=0),1,0)+IF(AND(H928="SI",P928&gt;=0),1,0)+IF(AND(H929="SI",P929&gt;=0),1,0)+IF(AND(H930="SI",P930&gt;=0),1,0)+IF(AND(H931="SI",P931&gt;=0),1,0)+IF(AND(H932="SI",P932&gt;=0),1,0)</f>
        <v>0</v>
      </c>
      <c r="R939" s="759"/>
      <c r="S939" s="761"/>
      <c r="T939" s="764"/>
      <c r="U939" s="219"/>
      <c r="V939" s="464"/>
      <c r="Y939" s="532" t="s">
        <v>342</v>
      </c>
      <c r="AA939" s="550" t="s">
        <v>344</v>
      </c>
      <c r="AB939" s="693" t="s">
        <v>345</v>
      </c>
      <c r="AC939" s="693" t="s">
        <v>346</v>
      </c>
      <c r="AD939" s="685" t="s">
        <v>347</v>
      </c>
      <c r="AE939" s="52"/>
      <c r="AF939" s="52"/>
      <c r="AG939" s="52"/>
      <c r="AH939" s="87"/>
      <c r="AI939" s="87"/>
    </row>
    <row r="940" spans="1:35" ht="15.75" hidden="1" customHeight="1" thickBot="1">
      <c r="A940" s="218" t="e">
        <f>"N"&amp;E919</f>
        <v>#N/A</v>
      </c>
      <c r="B940" s="702"/>
      <c r="C940" s="114">
        <v>1</v>
      </c>
      <c r="D940" s="194" t="e">
        <f>IF(AND(C940&lt;=F938,F938&gt;1,F938&lt;&gt;""),VLOOKUP(VALUE(E919&amp;","&amp;C940),INTEGRANTES!$D$18:$F$235,2,0),"")</f>
        <v>#N/A</v>
      </c>
      <c r="E940" s="211" t="e">
        <f>IF(D940&lt;&gt;"",VLOOKUP(VALUE(E919&amp;","&amp;C940),INTEGRANTES!$D$18:$F$235,3,0),"")</f>
        <v>#N/A</v>
      </c>
      <c r="F940" s="547" t="e">
        <f>IF(D940="","",SUMIF($I923:$I932,D940,$P923:$P932))</f>
        <v>#N/A</v>
      </c>
      <c r="G940" s="333" t="e">
        <f>IF(D940="","",SUMIF($I923:$I932,D940,$M923:$M932))</f>
        <v>#N/A</v>
      </c>
      <c r="H940" s="535" t="e">
        <f t="shared" ref="H940:H945" si="263">IF(D940="","",IF(OR(F940=0,G940=0),"NO APORTA",ROUND($F940/$G940,3)))</f>
        <v>#N/A</v>
      </c>
      <c r="I940" s="212" t="e">
        <f>IF(D940="","",IF(H940="NO APORTA","NO",IF(H940=MAX($H940:$H945),"SI","NO")))</f>
        <v>#N/A</v>
      </c>
      <c r="J940" s="213" t="e">
        <f t="shared" ref="J940:J945" si="264">IF(D940="","",IF(E940&gt;=PORCREQUERIDOINT,"SI","NO"))</f>
        <v>#N/A</v>
      </c>
      <c r="K940" s="200" t="e">
        <f t="shared" ref="K940:K945" si="265">IF(D940="","",IF(AND(I940="SI",J940="SI"),"CUMPLE",IF(AND(I940="NO",OR(J940="SI",J940="NO")),"","NO CUMPLE")))</f>
        <v>#N/A</v>
      </c>
      <c r="L940" s="722" t="s">
        <v>108</v>
      </c>
      <c r="M940" s="726" t="s">
        <v>119</v>
      </c>
      <c r="N940" s="726"/>
      <c r="O940" s="726"/>
      <c r="P940" s="726"/>
      <c r="Q940" s="727"/>
      <c r="R940" s="758" t="s">
        <v>80</v>
      </c>
      <c r="S940" s="747"/>
      <c r="T940" s="748"/>
      <c r="U940" s="219"/>
      <c r="V940" s="464"/>
      <c r="Y940" s="533" t="e">
        <f>IF(Y937="","",IF(Y937="INDIVIDUAL","NO APLICA","VERIFICAR CUADRO"))</f>
        <v>#N/A</v>
      </c>
      <c r="AA940" s="551"/>
      <c r="AB940" s="694"/>
      <c r="AC940" s="694"/>
      <c r="AD940" s="686"/>
      <c r="AE940" s="52"/>
      <c r="AF940" s="52"/>
      <c r="AG940" s="52"/>
      <c r="AH940" s="87"/>
      <c r="AI940" s="87"/>
    </row>
    <row r="941" spans="1:35" ht="27" hidden="1" customHeight="1" thickBot="1">
      <c r="A941" s="218" t="e">
        <f>"O"&amp;E919</f>
        <v>#N/A</v>
      </c>
      <c r="B941" s="702"/>
      <c r="C941" s="114">
        <v>2</v>
      </c>
      <c r="D941" s="194" t="e">
        <f>IF(AND(C941&lt;=F938,F938&lt;&gt;""),VLOOKUP(VALUE(E919&amp;","&amp;C941),INTEGRANTES!$D$18:$F$235,2,0),"")</f>
        <v>#N/A</v>
      </c>
      <c r="E941" s="211" t="e">
        <f>IF(D941&lt;&gt;"",VLOOKUP(VALUE(E919&amp;","&amp;C941),INTEGRANTES!$D$18:$F$235,3,0),"")</f>
        <v>#N/A</v>
      </c>
      <c r="F941" s="547" t="e">
        <f>IF(D941="","",SUMIF($I923:$I932,D941,$P923:$P932))</f>
        <v>#N/A</v>
      </c>
      <c r="G941" s="333" t="e">
        <f>IF(D941="","",SUMIF($I923:$I932,D941,$M923:$M932))</f>
        <v>#N/A</v>
      </c>
      <c r="H941" s="535" t="e">
        <f t="shared" si="263"/>
        <v>#N/A</v>
      </c>
      <c r="I941" s="212" t="e">
        <f>IF(D941="","",IF(H941="NO APORTA","NO",IF(H941=MAX($H940:$H945),"SI","NO")))</f>
        <v>#N/A</v>
      </c>
      <c r="J941" s="213" t="e">
        <f t="shared" si="264"/>
        <v>#N/A</v>
      </c>
      <c r="K941" s="200" t="e">
        <f t="shared" si="265"/>
        <v>#N/A</v>
      </c>
      <c r="L941" s="723"/>
      <c r="M941" s="715" t="s">
        <v>116</v>
      </c>
      <c r="N941" s="716"/>
      <c r="O941" s="556" t="s">
        <v>113</v>
      </c>
      <c r="P941" s="715" t="s">
        <v>117</v>
      </c>
      <c r="Q941" s="728"/>
      <c r="R941" s="759"/>
      <c r="S941" s="760"/>
      <c r="T941" s="761"/>
      <c r="U941" s="219"/>
      <c r="V941" s="464"/>
      <c r="Y941" s="414"/>
      <c r="AA941" s="542" t="e">
        <f>IF(AND(C940&lt;=F938,F938&gt;1,F938&lt;&gt;""),VLOOKUP(VALUE(E919&amp;","&amp;C940),INTEGRANTES!$D$18:$F$235,2,0),"")</f>
        <v>#N/A</v>
      </c>
      <c r="AB941" s="544" t="e">
        <f t="shared" ref="AB941:AB946" si="266">IF(D940="","",IF(OR(F940=0,G940=0),"NO APORTA",ROUND($F940/$G940,3)))</f>
        <v>#N/A</v>
      </c>
      <c r="AC941" s="529"/>
      <c r="AD941" s="200" t="e">
        <f t="shared" ref="AD941:AD946" si="267">IF(OR(AA941="",AB941=""),"",IF(AND(AC941="X",AB941&gt;=EXPREQVTD),"CUMPLE","NO CUMPLE"))</f>
        <v>#N/A</v>
      </c>
      <c r="AE941" s="52"/>
      <c r="AF941" s="52"/>
      <c r="AG941" s="52"/>
      <c r="AH941" s="87"/>
      <c r="AI941" s="87"/>
    </row>
    <row r="942" spans="1:35" ht="16.5" hidden="1" thickBot="1">
      <c r="A942" s="218" t="e">
        <f>"P"&amp;E919</f>
        <v>#N/A</v>
      </c>
      <c r="B942" s="702"/>
      <c r="C942" s="114">
        <v>3</v>
      </c>
      <c r="D942" s="194" t="e">
        <f>IF(AND(C942&lt;=F938,F938&lt;&gt;""),VLOOKUP(VALUE(E919&amp;","&amp;C942),INTEGRANTES!$D$18:$F$235,2,0),"")</f>
        <v>#N/A</v>
      </c>
      <c r="E942" s="211" t="e">
        <f>IF(D942&lt;&gt;"",VLOOKUP(VALUE(E919&amp;","&amp;C942),INTEGRANTES!$D$18:$F$235,3,0),"")</f>
        <v>#N/A</v>
      </c>
      <c r="F942" s="547" t="e">
        <f>IF(D942="","",SUMIF($I923:$I932,D942,$P923:$P932))</f>
        <v>#N/A</v>
      </c>
      <c r="G942" s="333" t="e">
        <f>IF(D942="","",SUMIF($I923:$I932,D942,$M923:$M932))</f>
        <v>#N/A</v>
      </c>
      <c r="H942" s="535" t="e">
        <f t="shared" si="263"/>
        <v>#N/A</v>
      </c>
      <c r="I942" s="212" t="e">
        <f>IF(D942="","",IF(H942="NO APORTA","NO",IF(H942=MAX($H940:$H945),"SI","NO")))</f>
        <v>#N/A</v>
      </c>
      <c r="J942" s="213" t="e">
        <f t="shared" si="264"/>
        <v>#N/A</v>
      </c>
      <c r="K942" s="200" t="e">
        <f t="shared" si="265"/>
        <v>#N/A</v>
      </c>
      <c r="L942" s="724"/>
      <c r="M942" s="729">
        <f>NUMMOD</f>
        <v>1</v>
      </c>
      <c r="N942" s="730"/>
      <c r="O942" s="443">
        <f>IF(M942="","",VLOOKUP(M942,PRESUPUESTOS!$B$16:$H$16,5,FALSE))</f>
        <v>2</v>
      </c>
      <c r="P942" s="713">
        <f>IF(OR(COUNTIF(M923:M932,"")&gt;=10,Q939&lt;NUMMINCONT,OR(T937="NO CUMPLE",T937="VERIFICAR")),0,ROUND(AVERAGE(M923:M932),3))</f>
        <v>0</v>
      </c>
      <c r="Q942" s="714"/>
      <c r="R942" s="458"/>
      <c r="S942" s="459"/>
      <c r="T942" s="460"/>
      <c r="U942" s="219"/>
      <c r="V942" s="464"/>
      <c r="Y942" s="532" t="str">
        <f>"40% * ("&amp;PRESUPUESTOS!$H$13&amp;")"</f>
        <v>40% * (50% PFMO)</v>
      </c>
      <c r="AA942" s="540" t="e">
        <f>IF(AND(C941&lt;=F938,F938&lt;&gt;""),VLOOKUP(VALUE(E919&amp;","&amp;C941),INTEGRANTES!$D$18:$F$235,2,0),"")</f>
        <v>#N/A</v>
      </c>
      <c r="AB942" s="545" t="e">
        <f t="shared" si="266"/>
        <v>#N/A</v>
      </c>
      <c r="AC942" s="529"/>
      <c r="AD942" s="200" t="e">
        <f t="shared" si="267"/>
        <v>#N/A</v>
      </c>
      <c r="AE942" s="52"/>
      <c r="AF942" s="52"/>
      <c r="AG942" s="52"/>
      <c r="AH942" s="87"/>
      <c r="AI942" s="87"/>
    </row>
    <row r="943" spans="1:35" ht="15.75" hidden="1" customHeight="1" thickBot="1">
      <c r="A943" s="218" t="e">
        <f>"Q"&amp;E919</f>
        <v>#N/A</v>
      </c>
      <c r="B943" s="702"/>
      <c r="C943" s="114">
        <v>4</v>
      </c>
      <c r="D943" s="194" t="e">
        <f>IF(AND(C943&lt;=F938,F938&lt;&gt;""),VLOOKUP(VALUE(E919&amp;","&amp;C943),INTEGRANTES!$D$18:$F$235,2,0),"")</f>
        <v>#N/A</v>
      </c>
      <c r="E943" s="211" t="e">
        <f>IF(D943&lt;&gt;"",VLOOKUP(VALUE(E919&amp;","&amp;C943),INTEGRANTES!$D$18:$F$235,3,0),"")</f>
        <v>#N/A</v>
      </c>
      <c r="F943" s="547" t="e">
        <f>IF(D943="","",SUMIF($I923:$I932,D943,$P923:$P932))</f>
        <v>#N/A</v>
      </c>
      <c r="G943" s="333" t="e">
        <f>IF(D943="","",SUMIF($I923:$I932,D943,$M923:$M932))</f>
        <v>#N/A</v>
      </c>
      <c r="H943" s="535" t="e">
        <f t="shared" si="263"/>
        <v>#N/A</v>
      </c>
      <c r="I943" s="212" t="e">
        <f>IF(D943="","",IF(H943="NO APORTA","NO",IF(H943=MAX($H940:$H945),"SI","NO")))</f>
        <v>#N/A</v>
      </c>
      <c r="J943" s="213" t="e">
        <f t="shared" si="264"/>
        <v>#N/A</v>
      </c>
      <c r="K943" s="200" t="e">
        <f t="shared" si="265"/>
        <v>#N/A</v>
      </c>
      <c r="L943" s="720" t="s">
        <v>109</v>
      </c>
      <c r="M943" s="757" t="s">
        <v>120</v>
      </c>
      <c r="N943" s="726"/>
      <c r="O943" s="726"/>
      <c r="P943" s="726"/>
      <c r="Q943" s="727"/>
      <c r="R943" s="458"/>
      <c r="S943" s="459"/>
      <c r="T943" s="460"/>
      <c r="U943" s="219"/>
      <c r="V943" s="464"/>
      <c r="Y943" s="537">
        <f>0.4*PRESUPUESTOS!$H$16</f>
        <v>10.3124</v>
      </c>
      <c r="AA943" s="540" t="e">
        <f>IF(AND(C942&lt;=F938,F938&lt;&gt;""),VLOOKUP(VALUE(E919&amp;","&amp;C942),INTEGRANTES!$D$18:$F$235,2,0),"")</f>
        <v>#N/A</v>
      </c>
      <c r="AB943" s="545" t="e">
        <f t="shared" si="266"/>
        <v>#N/A</v>
      </c>
      <c r="AC943" s="529"/>
      <c r="AD943" s="200" t="e">
        <f t="shared" si="267"/>
        <v>#N/A</v>
      </c>
      <c r="AE943" s="52"/>
      <c r="AF943" s="52"/>
      <c r="AG943" s="52"/>
      <c r="AH943" s="87"/>
      <c r="AI943" s="87"/>
    </row>
    <row r="944" spans="1:35" ht="27" hidden="1" customHeight="1" thickBot="1">
      <c r="A944" s="218" t="e">
        <f>"R"&amp;E919</f>
        <v>#N/A</v>
      </c>
      <c r="B944" s="702"/>
      <c r="C944" s="114">
        <v>5</v>
      </c>
      <c r="D944" s="194" t="e">
        <f>IF(AND(C944&lt;=F938,F938&lt;&gt;""),VLOOKUP(VALUE(E919&amp;","&amp;C944),INTEGRANTES!$D$18:$F$235,2,0),"")</f>
        <v>#N/A</v>
      </c>
      <c r="E944" s="211" t="e">
        <f>IF(D944&lt;&gt;"",VLOOKUP(VALUE(E919&amp;","&amp;C944),INTEGRANTES!$D$18:$F$235,3,0),"")</f>
        <v>#N/A</v>
      </c>
      <c r="F944" s="547" t="e">
        <f>IF(D944="","",SUMIF($I923:$I932,D944,$P923:$P932))</f>
        <v>#N/A</v>
      </c>
      <c r="G944" s="333" t="e">
        <f>IF(D944="","",SUMIF($I923:$I932,D944,$M923:$M932))</f>
        <v>#N/A</v>
      </c>
      <c r="H944" s="535" t="e">
        <f t="shared" si="263"/>
        <v>#N/A</v>
      </c>
      <c r="I944" s="212" t="e">
        <f>IF(D944="","",IF(H944="NO APORTA","NO",IF(H944=MAX($H940:$H945),"SI","NO")))</f>
        <v>#N/A</v>
      </c>
      <c r="J944" s="213" t="e">
        <f t="shared" si="264"/>
        <v>#N/A</v>
      </c>
      <c r="K944" s="200" t="e">
        <f t="shared" si="265"/>
        <v>#N/A</v>
      </c>
      <c r="L944" s="721"/>
      <c r="M944" s="715" t="s">
        <v>116</v>
      </c>
      <c r="N944" s="716"/>
      <c r="O944" s="556" t="str">
        <f>PORCREQUERIDO*100&amp;"% PMFO DEL MÓDULO"</f>
        <v>50% PMFO DEL MÓDULO</v>
      </c>
      <c r="P944" s="715" t="s">
        <v>118</v>
      </c>
      <c r="Q944" s="728"/>
      <c r="R944" s="458"/>
      <c r="S944" s="459"/>
      <c r="T944" s="460"/>
      <c r="U944" s="219"/>
      <c r="V944" s="464"/>
      <c r="Y944" s="414"/>
      <c r="AA944" s="540" t="e">
        <f>IF(AND(C943&lt;=F938,F938&lt;&gt;""),VLOOKUP(VALUE(E919&amp;","&amp;C943),INTEGRANTES!$D$18:$F$235,2,0),"")</f>
        <v>#N/A</v>
      </c>
      <c r="AB944" s="545" t="e">
        <f t="shared" si="266"/>
        <v>#N/A</v>
      </c>
      <c r="AC944" s="529"/>
      <c r="AD944" s="200" t="e">
        <f t="shared" si="267"/>
        <v>#N/A</v>
      </c>
      <c r="AE944" s="52"/>
      <c r="AF944" s="52"/>
      <c r="AG944" s="52"/>
      <c r="AH944" s="87"/>
      <c r="AI944" s="87"/>
    </row>
    <row r="945" spans="1:35" ht="16.5" hidden="1" thickBot="1">
      <c r="A945" s="218" t="e">
        <f>"S"&amp;E919</f>
        <v>#N/A</v>
      </c>
      <c r="B945" s="702"/>
      <c r="C945" s="215">
        <v>6</v>
      </c>
      <c r="D945" s="216" t="e">
        <f>IF(AND(C945&lt;=F938,F938&lt;&gt;""),VLOOKUP(VALUE(E919&amp;","&amp;C945),INTEGRANTES!$D$18:$F$235,2,0),"")</f>
        <v>#N/A</v>
      </c>
      <c r="E945" s="217" t="e">
        <f>IF(D945&lt;&gt;"",VLOOKUP(VALUE(E919&amp;","&amp;C945),INTEGRANTES!$D$18:$F$235,3,0),"")</f>
        <v>#N/A</v>
      </c>
      <c r="F945" s="548" t="e">
        <f>IF(D945="","",SUMIF($I923:$I932,D945,$P923:$P932))</f>
        <v>#N/A</v>
      </c>
      <c r="G945" s="334" t="e">
        <f>IF(D945="","",SUMIF($I923:$I932,D945,$M923:$M932))</f>
        <v>#N/A</v>
      </c>
      <c r="H945" s="536" t="e">
        <f t="shared" si="263"/>
        <v>#N/A</v>
      </c>
      <c r="I945" s="214" t="e">
        <f>IF(D945="","",IF(H945="NO APORTA","NO",IF(H945=MAX($H940:$H945),"SI","NO")))</f>
        <v>#N/A</v>
      </c>
      <c r="J945" s="213" t="e">
        <f t="shared" si="264"/>
        <v>#N/A</v>
      </c>
      <c r="K945" s="200" t="e">
        <f t="shared" si="265"/>
        <v>#N/A</v>
      </c>
      <c r="L945" s="721"/>
      <c r="M945" s="729">
        <f>NUMMOD</f>
        <v>1</v>
      </c>
      <c r="N945" s="730"/>
      <c r="O945" s="443">
        <f>IF(M945="","",ROUND(VLOOKUP(M945,PRESUPUESTOS!$B$16:$H$16,7,FALSE),3))</f>
        <v>25.780999999999999</v>
      </c>
      <c r="P945" s="713">
        <f>IF(OR(COUNTIF(P923:P932,"")&gt;=10,Q939&lt;NUMMINCONT,OR(T937="NO CUMPLE",T937="VERIFICAR")),0,ROUND((SUM(P923:P932)/SUM(M923:M932)),3))</f>
        <v>0</v>
      </c>
      <c r="Q945" s="714"/>
      <c r="R945" s="458"/>
      <c r="S945" s="459"/>
      <c r="T945" s="460"/>
      <c r="U945" s="219"/>
      <c r="V945" s="464"/>
      <c r="Y945" s="532" t="s">
        <v>343</v>
      </c>
      <c r="AA945" s="540" t="e">
        <f>IF(AND(C944&lt;=F938,F938&lt;&gt;""),VLOOKUP(VALUE(E919&amp;","&amp;C944),INTEGRANTES!$D$18:$F$235,2,0),"")</f>
        <v>#N/A</v>
      </c>
      <c r="AB945" s="545" t="e">
        <f t="shared" si="266"/>
        <v>#N/A</v>
      </c>
      <c r="AC945" s="529"/>
      <c r="AD945" s="200" t="e">
        <f t="shared" si="267"/>
        <v>#N/A</v>
      </c>
      <c r="AE945" s="52"/>
      <c r="AF945" s="52"/>
      <c r="AG945" s="52"/>
      <c r="AH945" s="87"/>
      <c r="AI945" s="87"/>
    </row>
    <row r="946" spans="1:35" ht="16.5" hidden="1" customHeight="1" thickBot="1">
      <c r="A946" s="218" t="e">
        <f>"T"&amp;E919</f>
        <v>#N/A</v>
      </c>
      <c r="B946" s="703"/>
      <c r="C946" s="719"/>
      <c r="D946" s="719"/>
      <c r="E946" s="719"/>
      <c r="F946" s="719"/>
      <c r="G946" s="719"/>
      <c r="H946" s="719" t="s">
        <v>110</v>
      </c>
      <c r="I946" s="719"/>
      <c r="J946" s="719"/>
      <c r="K946" s="201" t="str">
        <f>IF(COUNTIF(K940:K945,"")=6,"",IF(COUNTIF(K940:K945,"CUMPLE")&gt;0,"CUMPLE","NO CUMPLE"))</f>
        <v>NO CUMPLE</v>
      </c>
      <c r="L946" s="754"/>
      <c r="M946" s="755"/>
      <c r="N946" s="755"/>
      <c r="O946" s="755"/>
      <c r="P946" s="755"/>
      <c r="Q946" s="756"/>
      <c r="R946" s="461"/>
      <c r="S946" s="462"/>
      <c r="T946" s="463"/>
      <c r="U946" s="219"/>
      <c r="V946" s="464"/>
      <c r="Y946" s="549" t="e">
        <f>IF(Y940="NO APLICA","NO APLICA",IF(COUNTIF(AD941:AD946,"CUMPLE")&gt;0,"CUMPLE","NO CUMPLE"))</f>
        <v>#N/A</v>
      </c>
      <c r="AA946" s="541" t="e">
        <f>IF(AND(C945&lt;=F938,F938&lt;&gt;""),VLOOKUP(VALUE(E919&amp;","&amp;C945),INTEGRANTES!$D$18:$F$235,2,0),"")</f>
        <v>#N/A</v>
      </c>
      <c r="AB946" s="546" t="e">
        <f t="shared" si="266"/>
        <v>#N/A</v>
      </c>
      <c r="AC946" s="543"/>
      <c r="AD946" s="201" t="e">
        <f t="shared" si="267"/>
        <v>#N/A</v>
      </c>
      <c r="AE946" s="52"/>
      <c r="AF946" s="52"/>
      <c r="AG946" s="52"/>
      <c r="AH946" s="87"/>
      <c r="AI946" s="87"/>
    </row>
    <row r="947" spans="1:35" hidden="1">
      <c r="A947" s="103"/>
      <c r="B947" s="206"/>
      <c r="C947" s="206"/>
      <c r="D947" s="206"/>
      <c r="E947" s="206"/>
      <c r="F947" s="206"/>
      <c r="G947" s="206"/>
      <c r="H947" s="206"/>
      <c r="I947" s="104"/>
      <c r="J947" s="206"/>
      <c r="K947" s="113"/>
      <c r="L947" s="113"/>
      <c r="M947" s="113"/>
      <c r="N947" s="222"/>
      <c r="O947" s="113"/>
      <c r="P947" s="113"/>
      <c r="Q947" s="113"/>
      <c r="R947" s="206"/>
      <c r="S947" s="104"/>
      <c r="T947" s="206"/>
      <c r="U947" s="474"/>
      <c r="AH947" s="87"/>
      <c r="AI947" s="87"/>
    </row>
    <row r="948" spans="1:35" hidden="1">
      <c r="H948" s="220"/>
      <c r="AH948" s="87"/>
      <c r="AI948" s="87"/>
    </row>
    <row r="949" spans="1:35" ht="24" hidden="1" thickBot="1">
      <c r="A949" s="61">
        <v>32</v>
      </c>
      <c r="B949" s="704" t="s">
        <v>51</v>
      </c>
      <c r="C949" s="704"/>
      <c r="D949" s="704"/>
      <c r="E949" s="62" t="e">
        <f>VLOOKUP(A949,PROPONENTES!$B$19:$E$218,2,FALSE)</f>
        <v>#N/A</v>
      </c>
      <c r="F949" s="63" t="e">
        <f>VLOOKUP(A949,PROPONENTES!$B$19:$E$218,3,FALSE)</f>
        <v>#N/A</v>
      </c>
      <c r="G949" s="64"/>
      <c r="H949" s="64"/>
      <c r="I949" s="63"/>
      <c r="J949" s="63"/>
      <c r="K949" s="65"/>
      <c r="L949" s="65"/>
      <c r="M949" s="64"/>
      <c r="N949" s="64"/>
      <c r="O949" s="66"/>
      <c r="P949" s="66"/>
      <c r="Q949" s="66"/>
      <c r="R949" s="66"/>
      <c r="S949" s="67"/>
      <c r="T949" s="68"/>
      <c r="U949" s="68"/>
      <c r="AC949" s="68"/>
      <c r="AD949" s="68"/>
      <c r="AE949" s="68"/>
      <c r="AF949" s="68"/>
      <c r="AG949" s="68"/>
      <c r="AH949" s="87"/>
      <c r="AI949" s="87"/>
    </row>
    <row r="950" spans="1:35" ht="15.75" hidden="1" customHeight="1">
      <c r="A950" s="44"/>
      <c r="B950" s="709" t="s">
        <v>59</v>
      </c>
      <c r="C950" s="552" t="s">
        <v>60</v>
      </c>
      <c r="D950" s="70" t="s">
        <v>17</v>
      </c>
      <c r="E950" s="70"/>
      <c r="F950" s="70" t="s">
        <v>61</v>
      </c>
      <c r="G950" s="71"/>
      <c r="H950" s="699" t="s">
        <v>62</v>
      </c>
      <c r="I950" s="699" t="s">
        <v>18</v>
      </c>
      <c r="J950" s="699" t="s">
        <v>63</v>
      </c>
      <c r="K950" s="699" t="s">
        <v>64</v>
      </c>
      <c r="L950" s="699" t="s">
        <v>65</v>
      </c>
      <c r="M950" s="743" t="s">
        <v>66</v>
      </c>
      <c r="N950" s="699" t="s">
        <v>282</v>
      </c>
      <c r="O950" s="745" t="s">
        <v>67</v>
      </c>
      <c r="P950" s="746"/>
      <c r="Q950" s="102" t="s">
        <v>75</v>
      </c>
      <c r="R950" s="731" t="s">
        <v>22</v>
      </c>
      <c r="S950" s="732"/>
      <c r="T950" s="733"/>
      <c r="U950" s="712" t="s">
        <v>298</v>
      </c>
      <c r="W950" s="690" t="s">
        <v>268</v>
      </c>
      <c r="X950" s="691"/>
      <c r="Y950" s="692"/>
      <c r="Z950" s="428"/>
      <c r="AA950" s="697" t="s">
        <v>315</v>
      </c>
      <c r="AB950" s="695" t="s">
        <v>322</v>
      </c>
      <c r="AC950" s="49"/>
      <c r="AD950" s="690" t="s">
        <v>297</v>
      </c>
      <c r="AE950" s="691"/>
      <c r="AF950" s="692"/>
      <c r="AG950" s="49"/>
      <c r="AH950" s="87"/>
      <c r="AI950" s="87"/>
    </row>
    <row r="951" spans="1:35" ht="72" hidden="1">
      <c r="A951" s="44"/>
      <c r="B951" s="710"/>
      <c r="C951" s="553" t="s">
        <v>68</v>
      </c>
      <c r="D951" s="73" t="s">
        <v>3</v>
      </c>
      <c r="E951" s="73" t="s">
        <v>19</v>
      </c>
      <c r="F951" s="73" t="s">
        <v>69</v>
      </c>
      <c r="G951" s="74" t="s">
        <v>70</v>
      </c>
      <c r="H951" s="700"/>
      <c r="I951" s="700"/>
      <c r="J951" s="700"/>
      <c r="K951" s="700"/>
      <c r="L951" s="700"/>
      <c r="M951" s="744"/>
      <c r="N951" s="700"/>
      <c r="O951" s="553" t="s">
        <v>279</v>
      </c>
      <c r="P951" s="73" t="s">
        <v>88</v>
      </c>
      <c r="Q951" s="555" t="s">
        <v>76</v>
      </c>
      <c r="R951" s="734"/>
      <c r="S951" s="735"/>
      <c r="T951" s="736"/>
      <c r="U951" s="712"/>
      <c r="W951" s="429" t="s">
        <v>269</v>
      </c>
      <c r="X951" s="457" t="s">
        <v>278</v>
      </c>
      <c r="Y951" s="430" t="s">
        <v>324</v>
      </c>
      <c r="Z951" s="428"/>
      <c r="AA951" s="698"/>
      <c r="AB951" s="696"/>
      <c r="AC951" s="49"/>
      <c r="AD951" s="429" t="s">
        <v>292</v>
      </c>
      <c r="AE951" s="431" t="s">
        <v>300</v>
      </c>
      <c r="AF951" s="468" t="s">
        <v>301</v>
      </c>
      <c r="AG951" s="49"/>
      <c r="AH951" s="87"/>
      <c r="AI951" s="87"/>
    </row>
    <row r="952" spans="1:35" hidden="1">
      <c r="A952" s="44"/>
      <c r="B952" s="76"/>
      <c r="C952" s="77"/>
      <c r="D952" s="77"/>
      <c r="E952" s="77"/>
      <c r="F952" s="77"/>
      <c r="G952" s="77"/>
      <c r="H952" s="77"/>
      <c r="I952" s="77"/>
      <c r="J952" s="77"/>
      <c r="K952" s="77"/>
      <c r="L952" s="77"/>
      <c r="M952" s="77"/>
      <c r="N952" s="77"/>
      <c r="O952" s="77"/>
      <c r="P952" s="77"/>
      <c r="Q952" s="77"/>
      <c r="R952" s="77"/>
      <c r="S952" s="78"/>
      <c r="T952" s="79"/>
      <c r="U952" s="109"/>
      <c r="V952" s="49"/>
      <c r="W952" s="432"/>
      <c r="X952" s="454"/>
      <c r="Y952" s="433"/>
      <c r="Z952" s="6"/>
      <c r="AA952" s="500"/>
      <c r="AB952" s="562"/>
      <c r="AC952" s="49"/>
      <c r="AD952" s="210"/>
      <c r="AE952" s="434"/>
      <c r="AF952" s="435"/>
      <c r="AG952" s="49"/>
      <c r="AH952" s="87"/>
      <c r="AI952" s="87"/>
    </row>
    <row r="953" spans="1:35" hidden="1">
      <c r="A953" s="80" t="e">
        <f>"A"&amp;E949</f>
        <v>#N/A</v>
      </c>
      <c r="B953" s="81">
        <v>1</v>
      </c>
      <c r="C953" s="82"/>
      <c r="D953" s="82"/>
      <c r="E953" s="82"/>
      <c r="F953" s="82"/>
      <c r="G953" s="83"/>
      <c r="H953" s="83"/>
      <c r="I953" s="84"/>
      <c r="J953" s="85"/>
      <c r="K953" s="382"/>
      <c r="L953" s="85"/>
      <c r="M953" s="332" t="str">
        <f t="shared" ref="M953:M962" si="268">IF(OR(J953="",L953="",H953="NO"),"",IF(OR(J953&gt;$P$17,J953&lt;$O$17,L953&gt;$P$17,AND(J953&lt;$O$17,L953&lt;$O$17)),"FUERA DE RANGO",IF(OR(K953="---",K953=""),IF(J953&gt;=$O$17,ROUND((L953-J953+1)/360*12,3),ROUND((L953-$O$17+1)/360*12,3)),IF(J953&gt;=$O$17,ROUND((L953-J953+1)/360*12-ROUND(K953,3),3),ROUND((L953-$O$17+1)/360*12-ROUND(K953,3),3)))))</f>
        <v/>
      </c>
      <c r="N953" s="86"/>
      <c r="O953" s="453" t="str">
        <f>IF(OR(G953="",N953=""),"",N953*G953)</f>
        <v/>
      </c>
      <c r="P953" s="538" t="str">
        <f>IF(OR(H953="",M953="FUERA DE RANGO"),"",IF(OR(L953&lt;$O$17,L953&gt;$P$17,L953="",H953="NO"),"",IF(OR(N953="",O953=""),"",ROUND(O953,3))))</f>
        <v/>
      </c>
      <c r="Q953" s="539" t="str">
        <f t="shared" ref="Q953:Q962" si="269">IF(AND(H953="SI",P953&lt;&gt;""),ROUND(P953/M953,3),"")</f>
        <v/>
      </c>
      <c r="R953" s="737"/>
      <c r="S953" s="738"/>
      <c r="T953" s="739"/>
      <c r="U953" s="470"/>
      <c r="V953" s="165"/>
      <c r="W953" s="446"/>
      <c r="X953" s="456"/>
      <c r="Y953" s="436"/>
      <c r="Z953" s="437"/>
      <c r="AA953" s="560"/>
      <c r="AB953" s="561"/>
      <c r="AC953" s="87"/>
      <c r="AD953" s="466"/>
      <c r="AE953" s="456"/>
      <c r="AF953" s="467"/>
      <c r="AG953" s="87"/>
      <c r="AH953" s="87"/>
      <c r="AI953" s="87"/>
    </row>
    <row r="954" spans="1:35" hidden="1">
      <c r="A954" s="80" t="e">
        <f>"B"&amp;E949</f>
        <v>#N/A</v>
      </c>
      <c r="B954" s="81">
        <v>2</v>
      </c>
      <c r="C954" s="106"/>
      <c r="D954" s="106"/>
      <c r="E954" s="106"/>
      <c r="F954" s="106"/>
      <c r="G954" s="83"/>
      <c r="H954" s="83"/>
      <c r="I954" s="84"/>
      <c r="J954" s="85"/>
      <c r="K954" s="382"/>
      <c r="L954" s="85"/>
      <c r="M954" s="332" t="str">
        <f t="shared" si="268"/>
        <v/>
      </c>
      <c r="N954" s="86"/>
      <c r="O954" s="453" t="str">
        <f t="shared" ref="O954:O962" si="270">IF(OR(G954="",N954=""),"",N954*G954)</f>
        <v/>
      </c>
      <c r="P954" s="538" t="str">
        <f t="shared" ref="P954:P962" si="271">IF(OR(H954="",M954="FUERA DE RANGO"),"",IF(OR(L954&lt;$O$17,L954&gt;$P$17,L954="",H954="NO"),"",IF(OR(N954="",O954=""),"",ROUND(O954,3))))</f>
        <v/>
      </c>
      <c r="Q954" s="539" t="str">
        <f t="shared" si="269"/>
        <v/>
      </c>
      <c r="R954" s="740"/>
      <c r="S954" s="741"/>
      <c r="T954" s="742"/>
      <c r="U954" s="471"/>
      <c r="V954" s="165"/>
      <c r="W954" s="446"/>
      <c r="X954" s="456"/>
      <c r="Y954" s="436"/>
      <c r="Z954" s="437"/>
      <c r="AA954" s="560"/>
      <c r="AB954" s="561"/>
      <c r="AC954" s="87"/>
      <c r="AD954" s="466"/>
      <c r="AE954" s="456"/>
      <c r="AF954" s="467"/>
      <c r="AG954" s="87"/>
      <c r="AH954" s="87"/>
      <c r="AI954" s="87"/>
    </row>
    <row r="955" spans="1:35" hidden="1">
      <c r="A955" s="80" t="e">
        <f>"C"&amp;E949</f>
        <v>#N/A</v>
      </c>
      <c r="B955" s="88">
        <v>3</v>
      </c>
      <c r="C955" s="82"/>
      <c r="D955" s="82"/>
      <c r="E955" s="82"/>
      <c r="F955" s="82"/>
      <c r="G955" s="83"/>
      <c r="H955" s="83"/>
      <c r="I955" s="84"/>
      <c r="J955" s="85"/>
      <c r="K955" s="382"/>
      <c r="L955" s="85"/>
      <c r="M955" s="332" t="str">
        <f t="shared" si="268"/>
        <v/>
      </c>
      <c r="N955" s="86"/>
      <c r="O955" s="453" t="str">
        <f t="shared" si="270"/>
        <v/>
      </c>
      <c r="P955" s="538" t="str">
        <f t="shared" si="271"/>
        <v/>
      </c>
      <c r="Q955" s="539" t="str">
        <f t="shared" si="269"/>
        <v/>
      </c>
      <c r="R955" s="706"/>
      <c r="S955" s="707"/>
      <c r="T955" s="708"/>
      <c r="U955" s="472"/>
      <c r="V955" s="166"/>
      <c r="W955" s="446"/>
      <c r="X955" s="456"/>
      <c r="Y955" s="436"/>
      <c r="Z955" s="437"/>
      <c r="AA955" s="560"/>
      <c r="AB955" s="561"/>
      <c r="AC955" s="87"/>
      <c r="AD955" s="466"/>
      <c r="AE955" s="456"/>
      <c r="AF955" s="467"/>
      <c r="AG955" s="87"/>
      <c r="AH955" s="87"/>
      <c r="AI955" s="87"/>
    </row>
    <row r="956" spans="1:35" hidden="1">
      <c r="A956" s="80" t="e">
        <f>"D"&amp;E949</f>
        <v>#N/A</v>
      </c>
      <c r="B956" s="105">
        <v>4</v>
      </c>
      <c r="C956" s="107"/>
      <c r="D956" s="107"/>
      <c r="E956" s="107"/>
      <c r="F956" s="107"/>
      <c r="G956" s="83"/>
      <c r="H956" s="83"/>
      <c r="I956" s="84"/>
      <c r="J956" s="85"/>
      <c r="K956" s="382"/>
      <c r="L956" s="85"/>
      <c r="M956" s="332" t="str">
        <f t="shared" si="268"/>
        <v/>
      </c>
      <c r="N956" s="86"/>
      <c r="O956" s="453" t="str">
        <f t="shared" si="270"/>
        <v/>
      </c>
      <c r="P956" s="538" t="str">
        <f t="shared" si="271"/>
        <v/>
      </c>
      <c r="Q956" s="539" t="str">
        <f t="shared" si="269"/>
        <v/>
      </c>
      <c r="R956" s="706"/>
      <c r="S956" s="707"/>
      <c r="T956" s="708"/>
      <c r="U956" s="472"/>
      <c r="V956" s="166"/>
      <c r="W956" s="446"/>
      <c r="X956" s="456"/>
      <c r="Y956" s="436"/>
      <c r="Z956" s="437"/>
      <c r="AA956" s="560"/>
      <c r="AB956" s="561"/>
      <c r="AC956" s="87"/>
      <c r="AD956" s="466"/>
      <c r="AE956" s="456"/>
      <c r="AF956" s="467"/>
      <c r="AG956" s="87"/>
      <c r="AH956" s="87"/>
      <c r="AI956" s="87"/>
    </row>
    <row r="957" spans="1:35" hidden="1">
      <c r="A957" s="80" t="e">
        <f>"E"&amp;E949</f>
        <v>#N/A</v>
      </c>
      <c r="B957" s="105">
        <v>5</v>
      </c>
      <c r="C957" s="107"/>
      <c r="D957" s="107"/>
      <c r="E957" s="107"/>
      <c r="F957" s="107"/>
      <c r="G957" s="83"/>
      <c r="H957" s="83"/>
      <c r="I957" s="84"/>
      <c r="J957" s="85"/>
      <c r="K957" s="382"/>
      <c r="L957" s="85"/>
      <c r="M957" s="332" t="str">
        <f t="shared" si="268"/>
        <v/>
      </c>
      <c r="N957" s="86"/>
      <c r="O957" s="453" t="str">
        <f t="shared" si="270"/>
        <v/>
      </c>
      <c r="P957" s="538" t="str">
        <f t="shared" si="271"/>
        <v/>
      </c>
      <c r="Q957" s="539" t="str">
        <f t="shared" si="269"/>
        <v/>
      </c>
      <c r="R957" s="706"/>
      <c r="S957" s="707"/>
      <c r="T957" s="708"/>
      <c r="U957" s="472"/>
      <c r="V957" s="167"/>
      <c r="W957" s="446"/>
      <c r="X957" s="456"/>
      <c r="Y957" s="436"/>
      <c r="Z957" s="437"/>
      <c r="AA957" s="560"/>
      <c r="AB957" s="561"/>
      <c r="AC957" s="87"/>
      <c r="AD957" s="466"/>
      <c r="AE957" s="456"/>
      <c r="AF957" s="467"/>
      <c r="AG957" s="87"/>
      <c r="AH957" s="87"/>
      <c r="AI957" s="87"/>
    </row>
    <row r="958" spans="1:35" hidden="1">
      <c r="A958" s="80" t="e">
        <f>"F"&amp;E949</f>
        <v>#N/A</v>
      </c>
      <c r="B958" s="105">
        <v>6</v>
      </c>
      <c r="C958" s="107"/>
      <c r="D958" s="107"/>
      <c r="E958" s="107"/>
      <c r="F958" s="107"/>
      <c r="G958" s="83"/>
      <c r="H958" s="83"/>
      <c r="I958" s="84"/>
      <c r="J958" s="85"/>
      <c r="K958" s="382"/>
      <c r="L958" s="85"/>
      <c r="M958" s="332" t="str">
        <f t="shared" si="268"/>
        <v/>
      </c>
      <c r="N958" s="86"/>
      <c r="O958" s="453" t="str">
        <f t="shared" si="270"/>
        <v/>
      </c>
      <c r="P958" s="538" t="str">
        <f t="shared" si="271"/>
        <v/>
      </c>
      <c r="Q958" s="539" t="str">
        <f t="shared" si="269"/>
        <v/>
      </c>
      <c r="R958" s="706"/>
      <c r="S958" s="707"/>
      <c r="T958" s="708"/>
      <c r="U958" s="472"/>
      <c r="V958" s="167"/>
      <c r="W958" s="446"/>
      <c r="X958" s="456"/>
      <c r="Y958" s="436"/>
      <c r="Z958" s="437"/>
      <c r="AA958" s="560"/>
      <c r="AB958" s="561"/>
      <c r="AC958" s="87"/>
      <c r="AD958" s="466"/>
      <c r="AE958" s="456"/>
      <c r="AF958" s="467"/>
      <c r="AG958" s="87"/>
      <c r="AH958" s="87"/>
      <c r="AI958" s="87"/>
    </row>
    <row r="959" spans="1:35" hidden="1">
      <c r="A959" s="80" t="e">
        <f>"G"&amp;E949</f>
        <v>#N/A</v>
      </c>
      <c r="B959" s="105">
        <v>7</v>
      </c>
      <c r="C959" s="107"/>
      <c r="D959" s="107"/>
      <c r="E959" s="107"/>
      <c r="F959" s="107"/>
      <c r="G959" s="83"/>
      <c r="H959" s="83"/>
      <c r="I959" s="84"/>
      <c r="J959" s="85"/>
      <c r="K959" s="382"/>
      <c r="L959" s="85"/>
      <c r="M959" s="332" t="str">
        <f t="shared" si="268"/>
        <v/>
      </c>
      <c r="N959" s="86"/>
      <c r="O959" s="86" t="str">
        <f t="shared" si="270"/>
        <v/>
      </c>
      <c r="P959" s="538" t="str">
        <f t="shared" si="271"/>
        <v/>
      </c>
      <c r="Q959" s="539" t="str">
        <f t="shared" si="269"/>
        <v/>
      </c>
      <c r="R959" s="706"/>
      <c r="S959" s="707"/>
      <c r="T959" s="708"/>
      <c r="U959" s="472"/>
      <c r="V959" s="167"/>
      <c r="W959" s="446"/>
      <c r="X959" s="456"/>
      <c r="Y959" s="436"/>
      <c r="Z959" s="437"/>
      <c r="AA959" s="560"/>
      <c r="AB959" s="561"/>
      <c r="AC959" s="87"/>
      <c r="AD959" s="466"/>
      <c r="AE959" s="456"/>
      <c r="AF959" s="467"/>
      <c r="AG959" s="87"/>
      <c r="AH959" s="87"/>
      <c r="AI959" s="87"/>
    </row>
    <row r="960" spans="1:35" hidden="1">
      <c r="A960" s="80" t="e">
        <f>"H"&amp;E949</f>
        <v>#N/A</v>
      </c>
      <c r="B960" s="105">
        <v>8</v>
      </c>
      <c r="C960" s="107"/>
      <c r="D960" s="107"/>
      <c r="E960" s="107"/>
      <c r="F960" s="107"/>
      <c r="G960" s="83"/>
      <c r="H960" s="83"/>
      <c r="I960" s="84"/>
      <c r="J960" s="85"/>
      <c r="K960" s="382"/>
      <c r="L960" s="85"/>
      <c r="M960" s="332" t="str">
        <f t="shared" si="268"/>
        <v/>
      </c>
      <c r="N960" s="453"/>
      <c r="O960" s="86" t="str">
        <f t="shared" si="270"/>
        <v/>
      </c>
      <c r="P960" s="538" t="str">
        <f t="shared" si="271"/>
        <v/>
      </c>
      <c r="Q960" s="539" t="str">
        <f t="shared" si="269"/>
        <v/>
      </c>
      <c r="R960" s="706"/>
      <c r="S960" s="707"/>
      <c r="T960" s="708"/>
      <c r="U960" s="472"/>
      <c r="V960" s="167"/>
      <c r="W960" s="446"/>
      <c r="X960" s="456"/>
      <c r="Y960" s="436"/>
      <c r="Z960" s="437"/>
      <c r="AA960" s="560"/>
      <c r="AB960" s="561"/>
      <c r="AC960" s="87"/>
      <c r="AD960" s="466"/>
      <c r="AE960" s="456"/>
      <c r="AF960" s="467"/>
      <c r="AG960" s="87"/>
      <c r="AH960" s="87"/>
      <c r="AI960" s="87"/>
    </row>
    <row r="961" spans="1:35" hidden="1">
      <c r="A961" s="80" t="e">
        <f>"I"&amp;E949</f>
        <v>#N/A</v>
      </c>
      <c r="B961" s="105">
        <v>9</v>
      </c>
      <c r="C961" s="107"/>
      <c r="D961" s="107"/>
      <c r="E961" s="107"/>
      <c r="F961" s="107"/>
      <c r="G961" s="83"/>
      <c r="H961" s="83"/>
      <c r="I961" s="84"/>
      <c r="J961" s="85"/>
      <c r="K961" s="382"/>
      <c r="L961" s="85"/>
      <c r="M961" s="332" t="str">
        <f t="shared" si="268"/>
        <v/>
      </c>
      <c r="N961" s="453"/>
      <c r="O961" s="86" t="str">
        <f t="shared" si="270"/>
        <v/>
      </c>
      <c r="P961" s="538" t="str">
        <f t="shared" si="271"/>
        <v/>
      </c>
      <c r="Q961" s="539" t="str">
        <f t="shared" si="269"/>
        <v/>
      </c>
      <c r="R961" s="706"/>
      <c r="S961" s="707"/>
      <c r="T961" s="708"/>
      <c r="U961" s="472"/>
      <c r="V961" s="167"/>
      <c r="W961" s="446"/>
      <c r="X961" s="456"/>
      <c r="Y961" s="436"/>
      <c r="Z961" s="437"/>
      <c r="AA961" s="560"/>
      <c r="AB961" s="561"/>
      <c r="AC961" s="87"/>
      <c r="AD961" s="466"/>
      <c r="AE961" s="456"/>
      <c r="AF961" s="467"/>
      <c r="AG961" s="87"/>
      <c r="AH961" s="87"/>
      <c r="AI961" s="87"/>
    </row>
    <row r="962" spans="1:35" hidden="1">
      <c r="A962" s="80" t="e">
        <f>"J"&amp;E949</f>
        <v>#N/A</v>
      </c>
      <c r="B962" s="105">
        <v>10</v>
      </c>
      <c r="C962" s="107"/>
      <c r="D962" s="107"/>
      <c r="E962" s="107"/>
      <c r="F962" s="107"/>
      <c r="G962" s="83"/>
      <c r="H962" s="83"/>
      <c r="I962" s="84"/>
      <c r="J962" s="85"/>
      <c r="K962" s="382"/>
      <c r="L962" s="85"/>
      <c r="M962" s="332" t="str">
        <f t="shared" si="268"/>
        <v/>
      </c>
      <c r="N962" s="453"/>
      <c r="O962" s="86" t="str">
        <f t="shared" si="270"/>
        <v/>
      </c>
      <c r="P962" s="538" t="str">
        <f t="shared" si="271"/>
        <v/>
      </c>
      <c r="Q962" s="539" t="str">
        <f t="shared" si="269"/>
        <v/>
      </c>
      <c r="R962" s="706"/>
      <c r="S962" s="707"/>
      <c r="T962" s="708"/>
      <c r="U962" s="472"/>
      <c r="V962" s="167"/>
      <c r="W962" s="446"/>
      <c r="X962" s="456"/>
      <c r="Y962" s="436"/>
      <c r="Z962" s="437"/>
      <c r="AA962" s="560"/>
      <c r="AB962" s="561"/>
      <c r="AC962" s="87"/>
      <c r="AD962" s="466"/>
      <c r="AE962" s="456"/>
      <c r="AF962" s="467"/>
      <c r="AG962" s="87"/>
      <c r="AH962" s="87"/>
      <c r="AI962" s="87"/>
    </row>
    <row r="963" spans="1:35" ht="16.5" hidden="1" thickBot="1">
      <c r="A963" s="44"/>
      <c r="B963" s="89"/>
      <c r="C963" s="90"/>
      <c r="D963" s="90"/>
      <c r="E963" s="90"/>
      <c r="F963" s="90"/>
      <c r="G963" s="90"/>
      <c r="H963" s="90"/>
      <c r="I963" s="90"/>
      <c r="J963" s="90"/>
      <c r="K963" s="90"/>
      <c r="L963" s="90"/>
      <c r="M963" s="90"/>
      <c r="N963" s="90"/>
      <c r="O963" s="90"/>
      <c r="P963" s="90"/>
      <c r="Q963" s="90"/>
      <c r="R963" s="90"/>
      <c r="S963" s="91"/>
      <c r="T963" s="92"/>
      <c r="U963" s="473"/>
      <c r="W963" s="438"/>
      <c r="X963" s="455"/>
      <c r="Y963" s="439"/>
      <c r="Z963" s="437"/>
      <c r="AA963" s="530"/>
      <c r="AB963" s="563"/>
      <c r="AC963" s="87"/>
      <c r="AD963" s="440"/>
      <c r="AE963" s="441"/>
      <c r="AF963" s="442"/>
      <c r="AG963" s="49"/>
      <c r="AH963" s="87"/>
      <c r="AI963" s="87"/>
    </row>
    <row r="964" spans="1:35" ht="16.5" hidden="1" thickBot="1">
      <c r="A964" s="93"/>
      <c r="B964" s="94"/>
      <c r="C964" s="96"/>
      <c r="D964" s="96"/>
      <c r="E964" s="96"/>
      <c r="F964" s="96"/>
      <c r="G964" s="96"/>
      <c r="H964" s="96"/>
      <c r="I964" s="96"/>
      <c r="J964" s="96"/>
      <c r="K964" s="96"/>
      <c r="L964" s="96"/>
      <c r="M964" s="136"/>
      <c r="N964" s="96"/>
      <c r="O964" s="96"/>
      <c r="P964" s="97"/>
      <c r="Q964" s="97"/>
      <c r="R964" s="98"/>
      <c r="S964" s="95"/>
      <c r="T964" s="99"/>
      <c r="U964" s="469"/>
      <c r="AC964" s="58"/>
      <c r="AG964" s="58"/>
      <c r="AH964" s="87"/>
      <c r="AI964" s="87"/>
    </row>
    <row r="965" spans="1:35" ht="16.5" hidden="1" thickBot="1">
      <c r="B965" s="101"/>
      <c r="C965" s="101"/>
      <c r="D965" s="101"/>
      <c r="E965" s="101"/>
      <c r="F965" s="101"/>
      <c r="G965" s="101"/>
      <c r="H965" s="101"/>
      <c r="I965" s="101"/>
      <c r="J965" s="101"/>
      <c r="K965" s="101"/>
      <c r="L965" s="101"/>
      <c r="M965" s="101"/>
      <c r="N965" s="101"/>
      <c r="O965" s="101"/>
      <c r="P965" s="101"/>
      <c r="Q965" s="101"/>
      <c r="R965" s="101"/>
      <c r="S965" s="101"/>
      <c r="U965" s="50"/>
      <c r="AH965" s="87"/>
      <c r="AI965" s="87"/>
    </row>
    <row r="966" spans="1:35" ht="16.5" hidden="1" customHeight="1" thickBot="1">
      <c r="A966" s="44"/>
      <c r="B966" s="705" t="s">
        <v>74</v>
      </c>
      <c r="C966" s="705"/>
      <c r="D966" s="705"/>
      <c r="E966" s="705"/>
      <c r="F966" s="705"/>
      <c r="G966" s="705"/>
      <c r="H966" s="705"/>
      <c r="I966" s="705"/>
      <c r="J966" s="705"/>
      <c r="K966" s="705"/>
      <c r="L966" s="705"/>
      <c r="M966" s="705"/>
      <c r="N966" s="705"/>
      <c r="O966" s="705"/>
      <c r="P966" s="705"/>
      <c r="Q966" s="705"/>
      <c r="R966" s="705"/>
      <c r="S966" s="705"/>
      <c r="T966" s="705"/>
      <c r="U966" s="108"/>
      <c r="Y966" s="532" t="s">
        <v>341</v>
      </c>
      <c r="AC966" s="49"/>
      <c r="AD966" s="687" t="s">
        <v>302</v>
      </c>
      <c r="AE966" s="688"/>
      <c r="AF966" s="689"/>
      <c r="AG966" s="49"/>
      <c r="AH966" s="87"/>
      <c r="AI966" s="87"/>
    </row>
    <row r="967" spans="1:35" ht="15.75" hidden="1" customHeight="1" thickBot="1">
      <c r="A967" s="218" t="e">
        <f>"K"&amp;E949</f>
        <v>#N/A</v>
      </c>
      <c r="B967" s="701" t="s">
        <v>71</v>
      </c>
      <c r="C967" s="751" t="s">
        <v>102</v>
      </c>
      <c r="D967" s="751"/>
      <c r="E967" s="751"/>
      <c r="F967" s="751"/>
      <c r="G967" s="751"/>
      <c r="H967" s="751"/>
      <c r="I967" s="751"/>
      <c r="J967" s="751"/>
      <c r="K967" s="751"/>
      <c r="L967" s="722" t="s">
        <v>100</v>
      </c>
      <c r="M967" s="747" t="s">
        <v>114</v>
      </c>
      <c r="N967" s="747"/>
      <c r="O967" s="747"/>
      <c r="P967" s="747"/>
      <c r="Q967" s="748"/>
      <c r="R967" s="758" t="s">
        <v>280</v>
      </c>
      <c r="S967" s="748"/>
      <c r="T967" s="762" t="str">
        <f>IF(COUNTIF(AE967:AF967,"VERIFICAR")&gt;0,"VERIFICAR",IF(COUNTIF(AE967:AF967,"NO CUMPLE")&gt;0,"NO CUMPLE","CUMPLE"))</f>
        <v>VERIFICAR</v>
      </c>
      <c r="U967" s="108"/>
      <c r="Y967" s="533" t="e">
        <f>IF(F968="","",IF(F968=1,"INDIVIDUAL","ESTRUCTURA PLURAL"))</f>
        <v>#N/A</v>
      </c>
      <c r="AC967" s="52"/>
      <c r="AD967" s="475" t="s">
        <v>303</v>
      </c>
      <c r="AE967" s="476" t="str">
        <f>IF(COUNTIF(AE953:AE962,"")=10,"VERIFICAR",IF(COUNTIF(AE953:AE962,"SI")&gt;0,"CUMPLE","NO CUMPLE"))</f>
        <v>VERIFICAR</v>
      </c>
      <c r="AF967" s="477" t="str">
        <f>IF(COUNTIF(AF953:AF962,"")=10,"VERIFICAR",IF(COUNTIF(AF953:AF962,"SI")&gt;=$AI$22,"CUMPLE","NO CUMPLE"))</f>
        <v>VERIFICAR</v>
      </c>
      <c r="AG967" s="52"/>
      <c r="AH967" s="87"/>
      <c r="AI967" s="87"/>
    </row>
    <row r="968" spans="1:35" ht="16.5" hidden="1" customHeight="1" thickBot="1">
      <c r="A968" s="218" t="e">
        <f>"L"&amp;E949</f>
        <v>#N/A</v>
      </c>
      <c r="B968" s="702"/>
      <c r="C968" s="751" t="s">
        <v>103</v>
      </c>
      <c r="D968" s="751"/>
      <c r="E968" s="752"/>
      <c r="F968" s="557" t="e">
        <f>IF(VLOOKUP(E949,PROPONENTES!$C$19:$E$218,3,0)="","",VLOOKUP(E949,PROPONENTES!$C$19:$E$218,3,0))</f>
        <v>#N/A</v>
      </c>
      <c r="G968" s="753" t="s">
        <v>104</v>
      </c>
      <c r="H968" s="751"/>
      <c r="I968" s="715" t="e">
        <f>IF(OR(F968="",F968=1),"INTERESADO PERSONA NATURAL O JURIDICA","CONSORCIO O UNION TEMPORAL")</f>
        <v>#N/A</v>
      </c>
      <c r="J968" s="725"/>
      <c r="K968" s="728"/>
      <c r="L968" s="723"/>
      <c r="M968" s="749"/>
      <c r="N968" s="749"/>
      <c r="O968" s="749"/>
      <c r="P968" s="749"/>
      <c r="Q968" s="750"/>
      <c r="R968" s="712"/>
      <c r="S968" s="750"/>
      <c r="T968" s="763"/>
      <c r="U968" s="108"/>
      <c r="Y968" s="534"/>
      <c r="AA968" s="52"/>
      <c r="AB968" s="52"/>
      <c r="AC968" s="52"/>
      <c r="AG968" s="52"/>
      <c r="AH968" s="87"/>
      <c r="AI968" s="87"/>
    </row>
    <row r="969" spans="1:35" ht="56.25" hidden="1" customHeight="1" thickBot="1">
      <c r="A969" s="218" t="e">
        <f>"M"&amp;E949</f>
        <v>#N/A</v>
      </c>
      <c r="B969" s="702"/>
      <c r="C969" s="725" t="s">
        <v>101</v>
      </c>
      <c r="D969" s="716"/>
      <c r="E969" s="558" t="s">
        <v>105</v>
      </c>
      <c r="F969" s="554" t="s">
        <v>87</v>
      </c>
      <c r="G969" s="553" t="s">
        <v>86</v>
      </c>
      <c r="H969" s="559" t="s">
        <v>85</v>
      </c>
      <c r="I969" s="554" t="s">
        <v>252</v>
      </c>
      <c r="J969" s="553" t="str">
        <f>"¿EL INTEGRANTE TIENE UNA PARTICIPACIÓN DEL "&amp;PORCREQUERIDOINT*100&amp;"%?"</f>
        <v>¿EL INTEGRANTE TIENE UNA PARTICIPACIÓN DEL 60%?</v>
      </c>
      <c r="K969" s="554" t="s">
        <v>107</v>
      </c>
      <c r="L969" s="724"/>
      <c r="M969" s="717" t="s">
        <v>115</v>
      </c>
      <c r="N969" s="718"/>
      <c r="O969" s="718"/>
      <c r="P969" s="718"/>
      <c r="Q969" s="223">
        <f>IF(AND(H953="SI",P953&gt;=0),1,0)+IF(AND(H954="SI",P954&gt;=0),1,0)+IF(AND(H955="SI",P955&gt;=0),1,0)+IF(AND(H956="SI",P956&gt;=0),1,0)+IF(AND(H957="SI",P957&gt;=0),1,0)+IF(AND(H958="SI",P958&gt;=0),1,0)+IF(AND(H959="SI",P959&gt;=0),1,0)+IF(AND(H960="SI",P960&gt;=0),1,0)+IF(AND(H961="SI",P961&gt;=0),1,0)+IF(AND(H962="SI",P962&gt;=0),1,0)</f>
        <v>0</v>
      </c>
      <c r="R969" s="759"/>
      <c r="S969" s="761"/>
      <c r="T969" s="764"/>
      <c r="U969" s="219"/>
      <c r="V969" s="464"/>
      <c r="Y969" s="532" t="s">
        <v>342</v>
      </c>
      <c r="AA969" s="550" t="s">
        <v>344</v>
      </c>
      <c r="AB969" s="693" t="s">
        <v>345</v>
      </c>
      <c r="AC969" s="693" t="s">
        <v>346</v>
      </c>
      <c r="AD969" s="685" t="s">
        <v>347</v>
      </c>
      <c r="AE969" s="52"/>
      <c r="AF969" s="52"/>
      <c r="AG969" s="52"/>
      <c r="AH969" s="87"/>
      <c r="AI969" s="87"/>
    </row>
    <row r="970" spans="1:35" ht="15.75" hidden="1" customHeight="1" thickBot="1">
      <c r="A970" s="218" t="e">
        <f>"N"&amp;E949</f>
        <v>#N/A</v>
      </c>
      <c r="B970" s="702"/>
      <c r="C970" s="114">
        <v>1</v>
      </c>
      <c r="D970" s="194" t="e">
        <f>IF(AND(C970&lt;=F968,F968&gt;1,F968&lt;&gt;""),VLOOKUP(VALUE(E949&amp;","&amp;C970),INTEGRANTES!$D$18:$F$235,2,0),"")</f>
        <v>#N/A</v>
      </c>
      <c r="E970" s="211" t="e">
        <f>IF(D970&lt;&gt;"",VLOOKUP(VALUE(E949&amp;","&amp;C970),INTEGRANTES!$D$18:$F$235,3,0),"")</f>
        <v>#N/A</v>
      </c>
      <c r="F970" s="547" t="e">
        <f>IF(D970="","",SUMIF($I953:$I962,D970,$P953:$P962))</f>
        <v>#N/A</v>
      </c>
      <c r="G970" s="333" t="e">
        <f>IF(D970="","",SUMIF($I953:$I962,D970,$M953:$M962))</f>
        <v>#N/A</v>
      </c>
      <c r="H970" s="535" t="e">
        <f t="shared" ref="H970:H975" si="272">IF(D970="","",IF(OR(F970=0,G970=0),"NO APORTA",ROUND($F970/$G970,3)))</f>
        <v>#N/A</v>
      </c>
      <c r="I970" s="212" t="e">
        <f>IF(D970="","",IF(H970="NO APORTA","NO",IF(H970=MAX($H970:$H975),"SI","NO")))</f>
        <v>#N/A</v>
      </c>
      <c r="J970" s="213" t="e">
        <f t="shared" ref="J970:J975" si="273">IF(D970="","",IF(E970&gt;=PORCREQUERIDOINT,"SI","NO"))</f>
        <v>#N/A</v>
      </c>
      <c r="K970" s="200" t="e">
        <f t="shared" ref="K970:K975" si="274">IF(D970="","",IF(AND(I970="SI",J970="SI"),"CUMPLE",IF(AND(I970="NO",OR(J970="SI",J970="NO")),"","NO CUMPLE")))</f>
        <v>#N/A</v>
      </c>
      <c r="L970" s="722" t="s">
        <v>108</v>
      </c>
      <c r="M970" s="726" t="s">
        <v>119</v>
      </c>
      <c r="N970" s="726"/>
      <c r="O970" s="726"/>
      <c r="P970" s="726"/>
      <c r="Q970" s="727"/>
      <c r="R970" s="758" t="s">
        <v>80</v>
      </c>
      <c r="S970" s="747"/>
      <c r="T970" s="748"/>
      <c r="U970" s="219"/>
      <c r="V970" s="464"/>
      <c r="Y970" s="533" t="e">
        <f>IF(Y967="","",IF(Y967="INDIVIDUAL","NO APLICA","VERIFICAR CUADRO"))</f>
        <v>#N/A</v>
      </c>
      <c r="AA970" s="551"/>
      <c r="AB970" s="694"/>
      <c r="AC970" s="694"/>
      <c r="AD970" s="686"/>
      <c r="AE970" s="52"/>
      <c r="AF970" s="52"/>
      <c r="AG970" s="52"/>
      <c r="AH970" s="87"/>
      <c r="AI970" s="87"/>
    </row>
    <row r="971" spans="1:35" ht="27" hidden="1" customHeight="1" thickBot="1">
      <c r="A971" s="218" t="e">
        <f>"O"&amp;E949</f>
        <v>#N/A</v>
      </c>
      <c r="B971" s="702"/>
      <c r="C971" s="114">
        <v>2</v>
      </c>
      <c r="D971" s="194" t="e">
        <f>IF(AND(C971&lt;=F968,F968&lt;&gt;""),VLOOKUP(VALUE(E949&amp;","&amp;C971),INTEGRANTES!$D$18:$F$235,2,0),"")</f>
        <v>#N/A</v>
      </c>
      <c r="E971" s="211" t="e">
        <f>IF(D971&lt;&gt;"",VLOOKUP(VALUE(E949&amp;","&amp;C971),INTEGRANTES!$D$18:$F$235,3,0),"")</f>
        <v>#N/A</v>
      </c>
      <c r="F971" s="547" t="e">
        <f>IF(D971="","",SUMIF($I953:$I962,D971,$P953:$P962))</f>
        <v>#N/A</v>
      </c>
      <c r="G971" s="333" t="e">
        <f>IF(D971="","",SUMIF($I953:$I962,D971,$M953:$M962))</f>
        <v>#N/A</v>
      </c>
      <c r="H971" s="535" t="e">
        <f t="shared" si="272"/>
        <v>#N/A</v>
      </c>
      <c r="I971" s="212" t="e">
        <f>IF(D971="","",IF(H971="NO APORTA","NO",IF(H971=MAX($H970:$H975),"SI","NO")))</f>
        <v>#N/A</v>
      </c>
      <c r="J971" s="213" t="e">
        <f t="shared" si="273"/>
        <v>#N/A</v>
      </c>
      <c r="K971" s="200" t="e">
        <f t="shared" si="274"/>
        <v>#N/A</v>
      </c>
      <c r="L971" s="723"/>
      <c r="M971" s="715" t="s">
        <v>116</v>
      </c>
      <c r="N971" s="716"/>
      <c r="O971" s="556" t="s">
        <v>113</v>
      </c>
      <c r="P971" s="715" t="s">
        <v>117</v>
      </c>
      <c r="Q971" s="728"/>
      <c r="R971" s="759"/>
      <c r="S971" s="760"/>
      <c r="T971" s="761"/>
      <c r="U971" s="219"/>
      <c r="V971" s="464"/>
      <c r="Y971" s="414"/>
      <c r="AA971" s="542" t="e">
        <f>IF(AND(C970&lt;=F968,F968&gt;1,F968&lt;&gt;""),VLOOKUP(VALUE(E949&amp;","&amp;C970),INTEGRANTES!$D$18:$F$235,2,0),"")</f>
        <v>#N/A</v>
      </c>
      <c r="AB971" s="544" t="e">
        <f t="shared" ref="AB971:AB976" si="275">IF(D970="","",IF(OR(F970=0,G970=0),"NO APORTA",ROUND($F970/$G970,3)))</f>
        <v>#N/A</v>
      </c>
      <c r="AC971" s="529"/>
      <c r="AD971" s="200" t="e">
        <f t="shared" ref="AD971:AD976" si="276">IF(OR(AA971="",AB971=""),"",IF(AND(AC971="X",AB971&gt;=EXPREQVTD),"CUMPLE","NO CUMPLE"))</f>
        <v>#N/A</v>
      </c>
      <c r="AE971" s="52"/>
      <c r="AF971" s="52"/>
      <c r="AG971" s="52"/>
      <c r="AH971" s="87"/>
      <c r="AI971" s="87"/>
    </row>
    <row r="972" spans="1:35" ht="16.5" hidden="1" thickBot="1">
      <c r="A972" s="218" t="e">
        <f>"P"&amp;E949</f>
        <v>#N/A</v>
      </c>
      <c r="B972" s="702"/>
      <c r="C972" s="114">
        <v>3</v>
      </c>
      <c r="D972" s="194" t="e">
        <f>IF(AND(C972&lt;=F968,F968&lt;&gt;""),VLOOKUP(VALUE(E949&amp;","&amp;C972),INTEGRANTES!$D$18:$F$235,2,0),"")</f>
        <v>#N/A</v>
      </c>
      <c r="E972" s="211" t="e">
        <f>IF(D972&lt;&gt;"",VLOOKUP(VALUE(E949&amp;","&amp;C972),INTEGRANTES!$D$18:$F$235,3,0),"")</f>
        <v>#N/A</v>
      </c>
      <c r="F972" s="547" t="e">
        <f>IF(D972="","",SUMIF($I953:$I962,D972,$P953:$P962))</f>
        <v>#N/A</v>
      </c>
      <c r="G972" s="333" t="e">
        <f>IF(D972="","",SUMIF($I953:$I962,D972,$M953:$M962))</f>
        <v>#N/A</v>
      </c>
      <c r="H972" s="535" t="e">
        <f t="shared" si="272"/>
        <v>#N/A</v>
      </c>
      <c r="I972" s="212" t="e">
        <f>IF(D972="","",IF(H972="NO APORTA","NO",IF(H972=MAX($H970:$H975),"SI","NO")))</f>
        <v>#N/A</v>
      </c>
      <c r="J972" s="213" t="e">
        <f t="shared" si="273"/>
        <v>#N/A</v>
      </c>
      <c r="K972" s="200" t="e">
        <f t="shared" si="274"/>
        <v>#N/A</v>
      </c>
      <c r="L972" s="724"/>
      <c r="M972" s="729">
        <f>NUMMOD</f>
        <v>1</v>
      </c>
      <c r="N972" s="730"/>
      <c r="O972" s="443">
        <f>IF(M972="","",VLOOKUP(M972,PRESUPUESTOS!$B$16:$H$16,5,FALSE))</f>
        <v>2</v>
      </c>
      <c r="P972" s="713">
        <f>IF(OR(COUNTIF(M953:M962,"")&gt;=10,Q969&lt;NUMMINCONT,OR(T967="NO CUMPLE",T967="VERIFICAR")),0,ROUND(AVERAGE(M953:M962),3))</f>
        <v>0</v>
      </c>
      <c r="Q972" s="714"/>
      <c r="R972" s="458"/>
      <c r="S972" s="459"/>
      <c r="T972" s="460"/>
      <c r="U972" s="219"/>
      <c r="V972" s="464"/>
      <c r="Y972" s="532" t="str">
        <f>"40% * ("&amp;PRESUPUESTOS!$H$13&amp;")"</f>
        <v>40% * (50% PFMO)</v>
      </c>
      <c r="AA972" s="540" t="e">
        <f>IF(AND(C971&lt;=F968,F968&lt;&gt;""),VLOOKUP(VALUE(E949&amp;","&amp;C971),INTEGRANTES!$D$18:$F$235,2,0),"")</f>
        <v>#N/A</v>
      </c>
      <c r="AB972" s="545" t="e">
        <f t="shared" si="275"/>
        <v>#N/A</v>
      </c>
      <c r="AC972" s="529"/>
      <c r="AD972" s="200" t="e">
        <f t="shared" si="276"/>
        <v>#N/A</v>
      </c>
      <c r="AE972" s="52"/>
      <c r="AF972" s="52"/>
      <c r="AG972" s="52"/>
      <c r="AH972" s="87"/>
      <c r="AI972" s="87"/>
    </row>
    <row r="973" spans="1:35" ht="15.75" hidden="1" customHeight="1" thickBot="1">
      <c r="A973" s="218" t="e">
        <f>"Q"&amp;E949</f>
        <v>#N/A</v>
      </c>
      <c r="B973" s="702"/>
      <c r="C973" s="114">
        <v>4</v>
      </c>
      <c r="D973" s="194" t="e">
        <f>IF(AND(C973&lt;=F968,F968&lt;&gt;""),VLOOKUP(VALUE(E949&amp;","&amp;C973),INTEGRANTES!$D$18:$F$235,2,0),"")</f>
        <v>#N/A</v>
      </c>
      <c r="E973" s="211" t="e">
        <f>IF(D973&lt;&gt;"",VLOOKUP(VALUE(E949&amp;","&amp;C973),INTEGRANTES!$D$18:$F$235,3,0),"")</f>
        <v>#N/A</v>
      </c>
      <c r="F973" s="547" t="e">
        <f>IF(D973="","",SUMIF($I953:$I962,D973,$P953:$P962))</f>
        <v>#N/A</v>
      </c>
      <c r="G973" s="333" t="e">
        <f>IF(D973="","",SUMIF($I953:$I962,D973,$M953:$M962))</f>
        <v>#N/A</v>
      </c>
      <c r="H973" s="535" t="e">
        <f t="shared" si="272"/>
        <v>#N/A</v>
      </c>
      <c r="I973" s="212" t="e">
        <f>IF(D973="","",IF(H973="NO APORTA","NO",IF(H973=MAX($H970:$H975),"SI","NO")))</f>
        <v>#N/A</v>
      </c>
      <c r="J973" s="213" t="e">
        <f t="shared" si="273"/>
        <v>#N/A</v>
      </c>
      <c r="K973" s="200" t="e">
        <f t="shared" si="274"/>
        <v>#N/A</v>
      </c>
      <c r="L973" s="720" t="s">
        <v>109</v>
      </c>
      <c r="M973" s="757" t="s">
        <v>120</v>
      </c>
      <c r="N973" s="726"/>
      <c r="O973" s="726"/>
      <c r="P973" s="726"/>
      <c r="Q973" s="727"/>
      <c r="R973" s="458"/>
      <c r="S973" s="459"/>
      <c r="T973" s="460"/>
      <c r="U973" s="219"/>
      <c r="V973" s="464"/>
      <c r="Y973" s="537">
        <f>0.4*PRESUPUESTOS!$H$16</f>
        <v>10.3124</v>
      </c>
      <c r="AA973" s="540" t="e">
        <f>IF(AND(C972&lt;=F968,F968&lt;&gt;""),VLOOKUP(VALUE(E949&amp;","&amp;C972),INTEGRANTES!$D$18:$F$235,2,0),"")</f>
        <v>#N/A</v>
      </c>
      <c r="AB973" s="545" t="e">
        <f t="shared" si="275"/>
        <v>#N/A</v>
      </c>
      <c r="AC973" s="529"/>
      <c r="AD973" s="200" t="e">
        <f t="shared" si="276"/>
        <v>#N/A</v>
      </c>
      <c r="AE973" s="52"/>
      <c r="AF973" s="52"/>
      <c r="AG973" s="52"/>
      <c r="AH973" s="87"/>
      <c r="AI973" s="87"/>
    </row>
    <row r="974" spans="1:35" ht="27" hidden="1" customHeight="1" thickBot="1">
      <c r="A974" s="218" t="e">
        <f>"R"&amp;E949</f>
        <v>#N/A</v>
      </c>
      <c r="B974" s="702"/>
      <c r="C974" s="114">
        <v>5</v>
      </c>
      <c r="D974" s="194" t="e">
        <f>IF(AND(C974&lt;=F968,F968&lt;&gt;""),VLOOKUP(VALUE(E949&amp;","&amp;C974),INTEGRANTES!$D$18:$F$235,2,0),"")</f>
        <v>#N/A</v>
      </c>
      <c r="E974" s="211" t="e">
        <f>IF(D974&lt;&gt;"",VLOOKUP(VALUE(E949&amp;","&amp;C974),INTEGRANTES!$D$18:$F$235,3,0),"")</f>
        <v>#N/A</v>
      </c>
      <c r="F974" s="547" t="e">
        <f>IF(D974="","",SUMIF($I953:$I962,D974,$P953:$P962))</f>
        <v>#N/A</v>
      </c>
      <c r="G974" s="333" t="e">
        <f>IF(D974="","",SUMIF($I953:$I962,D974,$M953:$M962))</f>
        <v>#N/A</v>
      </c>
      <c r="H974" s="535" t="e">
        <f t="shared" si="272"/>
        <v>#N/A</v>
      </c>
      <c r="I974" s="212" t="e">
        <f>IF(D974="","",IF(H974="NO APORTA","NO",IF(H974=MAX($H970:$H975),"SI","NO")))</f>
        <v>#N/A</v>
      </c>
      <c r="J974" s="213" t="e">
        <f t="shared" si="273"/>
        <v>#N/A</v>
      </c>
      <c r="K974" s="200" t="e">
        <f t="shared" si="274"/>
        <v>#N/A</v>
      </c>
      <c r="L974" s="721"/>
      <c r="M974" s="715" t="s">
        <v>116</v>
      </c>
      <c r="N974" s="716"/>
      <c r="O974" s="556" t="str">
        <f>PORCREQUERIDO*100&amp;"% PMFO DEL MÓDULO"</f>
        <v>50% PMFO DEL MÓDULO</v>
      </c>
      <c r="P974" s="715" t="s">
        <v>118</v>
      </c>
      <c r="Q974" s="728"/>
      <c r="R974" s="458"/>
      <c r="S974" s="459"/>
      <c r="T974" s="460"/>
      <c r="U974" s="219"/>
      <c r="V974" s="464"/>
      <c r="Y974" s="414"/>
      <c r="AA974" s="540" t="e">
        <f>IF(AND(C973&lt;=F968,F968&lt;&gt;""),VLOOKUP(VALUE(E949&amp;","&amp;C973),INTEGRANTES!$D$18:$F$235,2,0),"")</f>
        <v>#N/A</v>
      </c>
      <c r="AB974" s="545" t="e">
        <f t="shared" si="275"/>
        <v>#N/A</v>
      </c>
      <c r="AC974" s="529"/>
      <c r="AD974" s="200" t="e">
        <f t="shared" si="276"/>
        <v>#N/A</v>
      </c>
      <c r="AE974" s="52"/>
      <c r="AF974" s="52"/>
      <c r="AG974" s="52"/>
      <c r="AH974" s="87"/>
      <c r="AI974" s="87"/>
    </row>
    <row r="975" spans="1:35" ht="16.5" hidden="1" thickBot="1">
      <c r="A975" s="218" t="e">
        <f>"S"&amp;E949</f>
        <v>#N/A</v>
      </c>
      <c r="B975" s="702"/>
      <c r="C975" s="215">
        <v>6</v>
      </c>
      <c r="D975" s="216" t="e">
        <f>IF(AND(C975&lt;=F968,F968&lt;&gt;""),VLOOKUP(VALUE(E949&amp;","&amp;C975),INTEGRANTES!$D$18:$F$235,2,0),"")</f>
        <v>#N/A</v>
      </c>
      <c r="E975" s="217" t="e">
        <f>IF(D975&lt;&gt;"",VLOOKUP(VALUE(E949&amp;","&amp;C975),INTEGRANTES!$D$18:$F$235,3,0),"")</f>
        <v>#N/A</v>
      </c>
      <c r="F975" s="548" t="e">
        <f>IF(D975="","",SUMIF($I953:$I962,D975,$P953:$P962))</f>
        <v>#N/A</v>
      </c>
      <c r="G975" s="334" t="e">
        <f>IF(D975="","",SUMIF($I953:$I962,D975,$M953:$M962))</f>
        <v>#N/A</v>
      </c>
      <c r="H975" s="536" t="e">
        <f t="shared" si="272"/>
        <v>#N/A</v>
      </c>
      <c r="I975" s="214" t="e">
        <f>IF(D975="","",IF(H975="NO APORTA","NO",IF(H975=MAX($H970:$H975),"SI","NO")))</f>
        <v>#N/A</v>
      </c>
      <c r="J975" s="213" t="e">
        <f t="shared" si="273"/>
        <v>#N/A</v>
      </c>
      <c r="K975" s="200" t="e">
        <f t="shared" si="274"/>
        <v>#N/A</v>
      </c>
      <c r="L975" s="721"/>
      <c r="M975" s="729">
        <f>NUMMOD</f>
        <v>1</v>
      </c>
      <c r="N975" s="730"/>
      <c r="O975" s="443">
        <f>IF(M975="","",ROUND(VLOOKUP(M975,PRESUPUESTOS!$B$16:$H$16,7,FALSE),3))</f>
        <v>25.780999999999999</v>
      </c>
      <c r="P975" s="713">
        <f>IF(OR(COUNTIF(P953:P962,"")&gt;=10,Q969&lt;NUMMINCONT,OR(T967="NO CUMPLE",T967="VERIFICAR")),0,ROUND((SUM(P953:P962)/SUM(M953:M962)),3))</f>
        <v>0</v>
      </c>
      <c r="Q975" s="714"/>
      <c r="R975" s="458"/>
      <c r="S975" s="459"/>
      <c r="T975" s="460"/>
      <c r="U975" s="219"/>
      <c r="V975" s="464"/>
      <c r="Y975" s="532" t="s">
        <v>343</v>
      </c>
      <c r="AA975" s="540" t="e">
        <f>IF(AND(C974&lt;=F968,F968&lt;&gt;""),VLOOKUP(VALUE(E949&amp;","&amp;C974),INTEGRANTES!$D$18:$F$235,2,0),"")</f>
        <v>#N/A</v>
      </c>
      <c r="AB975" s="545" t="e">
        <f t="shared" si="275"/>
        <v>#N/A</v>
      </c>
      <c r="AC975" s="529"/>
      <c r="AD975" s="200" t="e">
        <f t="shared" si="276"/>
        <v>#N/A</v>
      </c>
      <c r="AE975" s="52"/>
      <c r="AF975" s="52"/>
      <c r="AG975" s="52"/>
      <c r="AH975" s="87"/>
      <c r="AI975" s="87"/>
    </row>
    <row r="976" spans="1:35" ht="16.5" hidden="1" customHeight="1" thickBot="1">
      <c r="A976" s="218" t="e">
        <f>"T"&amp;E949</f>
        <v>#N/A</v>
      </c>
      <c r="B976" s="703"/>
      <c r="C976" s="719"/>
      <c r="D976" s="719"/>
      <c r="E976" s="719"/>
      <c r="F976" s="719"/>
      <c r="G976" s="719"/>
      <c r="H976" s="719" t="s">
        <v>110</v>
      </c>
      <c r="I976" s="719"/>
      <c r="J976" s="719"/>
      <c r="K976" s="201" t="str">
        <f>IF(COUNTIF(K970:K975,"")=6,"",IF(COUNTIF(K970:K975,"CUMPLE")&gt;0,"CUMPLE","NO CUMPLE"))</f>
        <v>NO CUMPLE</v>
      </c>
      <c r="L976" s="754"/>
      <c r="M976" s="755"/>
      <c r="N976" s="755"/>
      <c r="O976" s="755"/>
      <c r="P976" s="755"/>
      <c r="Q976" s="756"/>
      <c r="R976" s="461"/>
      <c r="S976" s="462"/>
      <c r="T976" s="463"/>
      <c r="U976" s="219"/>
      <c r="V976" s="464"/>
      <c r="Y976" s="549" t="e">
        <f>IF(Y970="NO APLICA","NO APLICA",IF(COUNTIF(AD971:AD976,"CUMPLE")&gt;0,"CUMPLE","NO CUMPLE"))</f>
        <v>#N/A</v>
      </c>
      <c r="AA976" s="541" t="e">
        <f>IF(AND(C975&lt;=F968,F968&lt;&gt;""),VLOOKUP(VALUE(E949&amp;","&amp;C975),INTEGRANTES!$D$18:$F$235,2,0),"")</f>
        <v>#N/A</v>
      </c>
      <c r="AB976" s="546" t="e">
        <f t="shared" si="275"/>
        <v>#N/A</v>
      </c>
      <c r="AC976" s="543"/>
      <c r="AD976" s="201" t="e">
        <f t="shared" si="276"/>
        <v>#N/A</v>
      </c>
      <c r="AE976" s="52"/>
      <c r="AF976" s="52"/>
      <c r="AG976" s="52"/>
      <c r="AH976" s="87"/>
      <c r="AI976" s="87"/>
    </row>
    <row r="977" spans="1:35" hidden="1">
      <c r="AH977" s="87"/>
      <c r="AI977" s="87"/>
    </row>
    <row r="978" spans="1:35" hidden="1">
      <c r="AH978" s="87"/>
      <c r="AI978" s="87"/>
    </row>
    <row r="979" spans="1:35" ht="24" hidden="1" thickBot="1">
      <c r="A979" s="61">
        <v>33</v>
      </c>
      <c r="B979" s="704" t="s">
        <v>51</v>
      </c>
      <c r="C979" s="704"/>
      <c r="D979" s="704"/>
      <c r="E979" s="62" t="e">
        <f>VLOOKUP(A979,PROPONENTES!$B$19:$E$218,2,FALSE)</f>
        <v>#N/A</v>
      </c>
      <c r="F979" s="63" t="e">
        <f>VLOOKUP(A979,PROPONENTES!$B$19:$E$218,3,FALSE)</f>
        <v>#N/A</v>
      </c>
      <c r="G979" s="64"/>
      <c r="H979" s="64"/>
      <c r="I979" s="63"/>
      <c r="J979" s="63"/>
      <c r="K979" s="65"/>
      <c r="L979" s="65"/>
      <c r="M979" s="64"/>
      <c r="N979" s="64"/>
      <c r="O979" s="66"/>
      <c r="P979" s="66"/>
      <c r="Q979" s="66"/>
      <c r="R979" s="66"/>
      <c r="S979" s="67"/>
      <c r="T979" s="68"/>
      <c r="U979" s="68"/>
      <c r="AC979" s="68"/>
      <c r="AD979" s="68"/>
      <c r="AE979" s="68"/>
      <c r="AF979" s="68"/>
      <c r="AG979" s="68"/>
      <c r="AH979" s="87"/>
      <c r="AI979" s="87"/>
    </row>
    <row r="980" spans="1:35" ht="15.75" hidden="1" customHeight="1">
      <c r="A980" s="44"/>
      <c r="B980" s="709" t="s">
        <v>59</v>
      </c>
      <c r="C980" s="552" t="s">
        <v>60</v>
      </c>
      <c r="D980" s="70" t="s">
        <v>17</v>
      </c>
      <c r="E980" s="70"/>
      <c r="F980" s="70" t="s">
        <v>61</v>
      </c>
      <c r="G980" s="71"/>
      <c r="H980" s="699" t="s">
        <v>62</v>
      </c>
      <c r="I980" s="699" t="s">
        <v>18</v>
      </c>
      <c r="J980" s="699" t="s">
        <v>63</v>
      </c>
      <c r="K980" s="699" t="s">
        <v>64</v>
      </c>
      <c r="L980" s="699" t="s">
        <v>65</v>
      </c>
      <c r="M980" s="743" t="s">
        <v>66</v>
      </c>
      <c r="N980" s="699" t="s">
        <v>282</v>
      </c>
      <c r="O980" s="745" t="s">
        <v>67</v>
      </c>
      <c r="P980" s="746"/>
      <c r="Q980" s="102" t="s">
        <v>75</v>
      </c>
      <c r="R980" s="731" t="s">
        <v>22</v>
      </c>
      <c r="S980" s="732"/>
      <c r="T980" s="733"/>
      <c r="U980" s="712" t="s">
        <v>298</v>
      </c>
      <c r="W980" s="690" t="s">
        <v>268</v>
      </c>
      <c r="X980" s="691"/>
      <c r="Y980" s="692"/>
      <c r="Z980" s="428"/>
      <c r="AA980" s="697" t="s">
        <v>315</v>
      </c>
      <c r="AB980" s="695" t="s">
        <v>322</v>
      </c>
      <c r="AC980" s="49"/>
      <c r="AD980" s="690" t="s">
        <v>297</v>
      </c>
      <c r="AE980" s="691"/>
      <c r="AF980" s="692"/>
      <c r="AG980" s="49"/>
      <c r="AH980" s="87"/>
      <c r="AI980" s="87"/>
    </row>
    <row r="981" spans="1:35" ht="72" hidden="1">
      <c r="A981" s="44"/>
      <c r="B981" s="710"/>
      <c r="C981" s="553" t="s">
        <v>68</v>
      </c>
      <c r="D981" s="73" t="s">
        <v>3</v>
      </c>
      <c r="E981" s="73" t="s">
        <v>19</v>
      </c>
      <c r="F981" s="73" t="s">
        <v>69</v>
      </c>
      <c r="G981" s="74" t="s">
        <v>70</v>
      </c>
      <c r="H981" s="700"/>
      <c r="I981" s="700"/>
      <c r="J981" s="700"/>
      <c r="K981" s="700"/>
      <c r="L981" s="700"/>
      <c r="M981" s="744"/>
      <c r="N981" s="700"/>
      <c r="O981" s="553" t="s">
        <v>279</v>
      </c>
      <c r="P981" s="73" t="s">
        <v>88</v>
      </c>
      <c r="Q981" s="555" t="s">
        <v>76</v>
      </c>
      <c r="R981" s="734"/>
      <c r="S981" s="735"/>
      <c r="T981" s="736"/>
      <c r="U981" s="712"/>
      <c r="W981" s="429" t="s">
        <v>269</v>
      </c>
      <c r="X981" s="457" t="s">
        <v>278</v>
      </c>
      <c r="Y981" s="430" t="s">
        <v>324</v>
      </c>
      <c r="Z981" s="428"/>
      <c r="AA981" s="698"/>
      <c r="AB981" s="696"/>
      <c r="AC981" s="49"/>
      <c r="AD981" s="429" t="s">
        <v>292</v>
      </c>
      <c r="AE981" s="431" t="s">
        <v>300</v>
      </c>
      <c r="AF981" s="468" t="s">
        <v>301</v>
      </c>
      <c r="AG981" s="49"/>
      <c r="AH981" s="87"/>
      <c r="AI981" s="87"/>
    </row>
    <row r="982" spans="1:35" hidden="1">
      <c r="A982" s="44"/>
      <c r="B982" s="76"/>
      <c r="C982" s="77"/>
      <c r="D982" s="77"/>
      <c r="E982" s="77"/>
      <c r="F982" s="77"/>
      <c r="G982" s="77"/>
      <c r="H982" s="77"/>
      <c r="I982" s="77"/>
      <c r="J982" s="77"/>
      <c r="K982" s="77"/>
      <c r="L982" s="77"/>
      <c r="M982" s="77"/>
      <c r="N982" s="77"/>
      <c r="O982" s="77"/>
      <c r="P982" s="77"/>
      <c r="Q982" s="77"/>
      <c r="R982" s="77"/>
      <c r="S982" s="78"/>
      <c r="T982" s="79"/>
      <c r="U982" s="109"/>
      <c r="V982" s="49"/>
      <c r="W982" s="432"/>
      <c r="X982" s="454"/>
      <c r="Y982" s="433"/>
      <c r="Z982" s="6"/>
      <c r="AA982" s="500"/>
      <c r="AB982" s="562"/>
      <c r="AC982" s="49"/>
      <c r="AD982" s="210"/>
      <c r="AE982" s="434"/>
      <c r="AF982" s="435"/>
      <c r="AG982" s="49"/>
      <c r="AH982" s="87"/>
      <c r="AI982" s="87"/>
    </row>
    <row r="983" spans="1:35" hidden="1">
      <c r="A983" s="80" t="e">
        <f>"A"&amp;E979</f>
        <v>#N/A</v>
      </c>
      <c r="B983" s="81">
        <v>1</v>
      </c>
      <c r="C983" s="82"/>
      <c r="D983" s="82"/>
      <c r="E983" s="82"/>
      <c r="F983" s="82"/>
      <c r="G983" s="83"/>
      <c r="H983" s="83"/>
      <c r="I983" s="84"/>
      <c r="J983" s="85"/>
      <c r="K983" s="382"/>
      <c r="L983" s="85"/>
      <c r="M983" s="332" t="str">
        <f t="shared" ref="M983:M992" si="277">IF(OR(J983="",L983="",H983="NO"),"",IF(OR(J983&gt;$P$17,J983&lt;$O$17,L983&gt;$P$17,AND(J983&lt;$O$17,L983&lt;$O$17)),"FUERA DE RANGO",IF(OR(K983="---",K983=""),IF(J983&gt;=$O$17,ROUND((L983-J983+1)/360*12,3),ROUND((L983-$O$17+1)/360*12,3)),IF(J983&gt;=$O$17,ROUND((L983-J983+1)/360*12-ROUND(K983,3),3),ROUND((L983-$O$17+1)/360*12-ROUND(K983,3),3)))))</f>
        <v/>
      </c>
      <c r="N983" s="86"/>
      <c r="O983" s="453" t="str">
        <f>IF(OR(G983="",N983=""),"",N983*G983)</f>
        <v/>
      </c>
      <c r="P983" s="538" t="str">
        <f>IF(OR(H983="",M983="FUERA DE RANGO"),"",IF(OR(L983&lt;$O$17,L983&gt;$P$17,L983="",H983="NO"),"",IF(OR(N983="",O983=""),"",ROUND(O983,3))))</f>
        <v/>
      </c>
      <c r="Q983" s="539" t="str">
        <f t="shared" ref="Q983:Q992" si="278">IF(AND(H983="SI",P983&lt;&gt;""),ROUND(P983/M983,3),"")</f>
        <v/>
      </c>
      <c r="R983" s="737"/>
      <c r="S983" s="738"/>
      <c r="T983" s="739"/>
      <c r="U983" s="470"/>
      <c r="V983" s="165"/>
      <c r="W983" s="446"/>
      <c r="X983" s="456"/>
      <c r="Y983" s="436"/>
      <c r="Z983" s="437"/>
      <c r="AA983" s="560"/>
      <c r="AB983" s="561"/>
      <c r="AC983" s="87"/>
      <c r="AD983" s="466"/>
      <c r="AE983" s="456"/>
      <c r="AF983" s="467"/>
      <c r="AG983" s="87"/>
      <c r="AH983" s="87"/>
      <c r="AI983" s="87"/>
    </row>
    <row r="984" spans="1:35" hidden="1">
      <c r="A984" s="80" t="e">
        <f>"B"&amp;E979</f>
        <v>#N/A</v>
      </c>
      <c r="B984" s="81">
        <v>2</v>
      </c>
      <c r="C984" s="106"/>
      <c r="D984" s="106"/>
      <c r="E984" s="106"/>
      <c r="F984" s="106"/>
      <c r="G984" s="83"/>
      <c r="H984" s="83"/>
      <c r="I984" s="84"/>
      <c r="J984" s="85"/>
      <c r="K984" s="382"/>
      <c r="L984" s="85"/>
      <c r="M984" s="332" t="str">
        <f t="shared" si="277"/>
        <v/>
      </c>
      <c r="N984" s="86"/>
      <c r="O984" s="453" t="str">
        <f t="shared" ref="O984:O992" si="279">IF(OR(G984="",N984=""),"",N984*G984)</f>
        <v/>
      </c>
      <c r="P984" s="538" t="str">
        <f t="shared" ref="P984:P992" si="280">IF(OR(H984="",M984="FUERA DE RANGO"),"",IF(OR(L984&lt;$O$17,L984&gt;$P$17,L984="",H984="NO"),"",IF(OR(N984="",O984=""),"",ROUND(O984,3))))</f>
        <v/>
      </c>
      <c r="Q984" s="539" t="str">
        <f t="shared" si="278"/>
        <v/>
      </c>
      <c r="R984" s="740"/>
      <c r="S984" s="741"/>
      <c r="T984" s="742"/>
      <c r="U984" s="471"/>
      <c r="V984" s="165"/>
      <c r="W984" s="446"/>
      <c r="X984" s="456"/>
      <c r="Y984" s="436"/>
      <c r="Z984" s="437"/>
      <c r="AA984" s="560"/>
      <c r="AB984" s="561"/>
      <c r="AC984" s="87"/>
      <c r="AD984" s="466"/>
      <c r="AE984" s="456"/>
      <c r="AF984" s="467"/>
      <c r="AG984" s="87"/>
      <c r="AH984" s="87"/>
      <c r="AI984" s="87"/>
    </row>
    <row r="985" spans="1:35" hidden="1">
      <c r="A985" s="80" t="e">
        <f>"C"&amp;E979</f>
        <v>#N/A</v>
      </c>
      <c r="B985" s="88">
        <v>3</v>
      </c>
      <c r="C985" s="82"/>
      <c r="D985" s="82"/>
      <c r="E985" s="82"/>
      <c r="F985" s="82"/>
      <c r="G985" s="83"/>
      <c r="H985" s="83"/>
      <c r="I985" s="84"/>
      <c r="J985" s="85"/>
      <c r="K985" s="382"/>
      <c r="L985" s="85"/>
      <c r="M985" s="332" t="str">
        <f t="shared" si="277"/>
        <v/>
      </c>
      <c r="N985" s="86"/>
      <c r="O985" s="453" t="str">
        <f t="shared" si="279"/>
        <v/>
      </c>
      <c r="P985" s="538" t="str">
        <f t="shared" si="280"/>
        <v/>
      </c>
      <c r="Q985" s="539" t="str">
        <f t="shared" si="278"/>
        <v/>
      </c>
      <c r="R985" s="706"/>
      <c r="S985" s="707"/>
      <c r="T985" s="708"/>
      <c r="U985" s="472"/>
      <c r="V985" s="166"/>
      <c r="W985" s="446"/>
      <c r="X985" s="456"/>
      <c r="Y985" s="436"/>
      <c r="Z985" s="437"/>
      <c r="AA985" s="560"/>
      <c r="AB985" s="561"/>
      <c r="AC985" s="87"/>
      <c r="AD985" s="466"/>
      <c r="AE985" s="456"/>
      <c r="AF985" s="467"/>
      <c r="AG985" s="87"/>
      <c r="AH985" s="87"/>
      <c r="AI985" s="87"/>
    </row>
    <row r="986" spans="1:35" hidden="1">
      <c r="A986" s="80" t="e">
        <f>"D"&amp;E979</f>
        <v>#N/A</v>
      </c>
      <c r="B986" s="105">
        <v>4</v>
      </c>
      <c r="C986" s="107"/>
      <c r="D986" s="107"/>
      <c r="E986" s="107"/>
      <c r="F986" s="107"/>
      <c r="G986" s="83"/>
      <c r="H986" s="83"/>
      <c r="I986" s="84"/>
      <c r="J986" s="85"/>
      <c r="K986" s="382"/>
      <c r="L986" s="85"/>
      <c r="M986" s="332" t="str">
        <f t="shared" si="277"/>
        <v/>
      </c>
      <c r="N986" s="86"/>
      <c r="O986" s="453" t="str">
        <f t="shared" si="279"/>
        <v/>
      </c>
      <c r="P986" s="538" t="str">
        <f t="shared" si="280"/>
        <v/>
      </c>
      <c r="Q986" s="539" t="str">
        <f t="shared" si="278"/>
        <v/>
      </c>
      <c r="R986" s="706"/>
      <c r="S986" s="707"/>
      <c r="T986" s="708"/>
      <c r="U986" s="472"/>
      <c r="V986" s="166"/>
      <c r="W986" s="446"/>
      <c r="X986" s="456"/>
      <c r="Y986" s="436"/>
      <c r="Z986" s="437"/>
      <c r="AA986" s="560"/>
      <c r="AB986" s="561"/>
      <c r="AC986" s="87"/>
      <c r="AD986" s="466"/>
      <c r="AE986" s="456"/>
      <c r="AF986" s="467"/>
      <c r="AG986" s="87"/>
      <c r="AH986" s="87"/>
      <c r="AI986" s="87"/>
    </row>
    <row r="987" spans="1:35" hidden="1">
      <c r="A987" s="80" t="e">
        <f>"E"&amp;E979</f>
        <v>#N/A</v>
      </c>
      <c r="B987" s="105">
        <v>5</v>
      </c>
      <c r="C987" s="107"/>
      <c r="D987" s="107"/>
      <c r="E987" s="107"/>
      <c r="F987" s="107"/>
      <c r="G987" s="83"/>
      <c r="H987" s="83"/>
      <c r="I987" s="84"/>
      <c r="J987" s="85"/>
      <c r="K987" s="382"/>
      <c r="L987" s="85"/>
      <c r="M987" s="332" t="str">
        <f t="shared" si="277"/>
        <v/>
      </c>
      <c r="N987" s="86"/>
      <c r="O987" s="453" t="str">
        <f t="shared" si="279"/>
        <v/>
      </c>
      <c r="P987" s="538" t="str">
        <f t="shared" si="280"/>
        <v/>
      </c>
      <c r="Q987" s="539" t="str">
        <f t="shared" si="278"/>
        <v/>
      </c>
      <c r="R987" s="706"/>
      <c r="S987" s="707"/>
      <c r="T987" s="708"/>
      <c r="U987" s="472"/>
      <c r="V987" s="167"/>
      <c r="W987" s="446"/>
      <c r="X987" s="456"/>
      <c r="Y987" s="436"/>
      <c r="Z987" s="437"/>
      <c r="AA987" s="560"/>
      <c r="AB987" s="561"/>
      <c r="AC987" s="87"/>
      <c r="AD987" s="466"/>
      <c r="AE987" s="456"/>
      <c r="AF987" s="467"/>
      <c r="AG987" s="87"/>
      <c r="AH987" s="87"/>
      <c r="AI987" s="87"/>
    </row>
    <row r="988" spans="1:35" hidden="1">
      <c r="A988" s="80" t="e">
        <f>"F"&amp;E979</f>
        <v>#N/A</v>
      </c>
      <c r="B988" s="105">
        <v>6</v>
      </c>
      <c r="C988" s="107"/>
      <c r="D988" s="107"/>
      <c r="E988" s="107"/>
      <c r="F988" s="107"/>
      <c r="G988" s="83"/>
      <c r="H988" s="83"/>
      <c r="I988" s="84"/>
      <c r="J988" s="85"/>
      <c r="K988" s="382"/>
      <c r="L988" s="85"/>
      <c r="M988" s="332" t="str">
        <f t="shared" si="277"/>
        <v/>
      </c>
      <c r="N988" s="86"/>
      <c r="O988" s="453" t="str">
        <f t="shared" si="279"/>
        <v/>
      </c>
      <c r="P988" s="538" t="str">
        <f t="shared" si="280"/>
        <v/>
      </c>
      <c r="Q988" s="539" t="str">
        <f t="shared" si="278"/>
        <v/>
      </c>
      <c r="R988" s="706"/>
      <c r="S988" s="707"/>
      <c r="T988" s="708"/>
      <c r="U988" s="472"/>
      <c r="V988" s="167"/>
      <c r="W988" s="446"/>
      <c r="X988" s="456"/>
      <c r="Y988" s="436"/>
      <c r="Z988" s="437"/>
      <c r="AA988" s="560"/>
      <c r="AB988" s="561"/>
      <c r="AC988" s="87"/>
      <c r="AD988" s="466"/>
      <c r="AE988" s="456"/>
      <c r="AF988" s="467"/>
      <c r="AG988" s="87"/>
      <c r="AH988" s="87"/>
      <c r="AI988" s="87"/>
    </row>
    <row r="989" spans="1:35" hidden="1">
      <c r="A989" s="80" t="e">
        <f>"G"&amp;E979</f>
        <v>#N/A</v>
      </c>
      <c r="B989" s="105">
        <v>7</v>
      </c>
      <c r="C989" s="107"/>
      <c r="D989" s="107"/>
      <c r="E989" s="107"/>
      <c r="F989" s="107"/>
      <c r="G989" s="83"/>
      <c r="H989" s="83"/>
      <c r="I989" s="84"/>
      <c r="J989" s="85"/>
      <c r="K989" s="382"/>
      <c r="L989" s="85"/>
      <c r="M989" s="332" t="str">
        <f t="shared" si="277"/>
        <v/>
      </c>
      <c r="N989" s="86"/>
      <c r="O989" s="86" t="str">
        <f t="shared" si="279"/>
        <v/>
      </c>
      <c r="P989" s="538" t="str">
        <f t="shared" si="280"/>
        <v/>
      </c>
      <c r="Q989" s="539" t="str">
        <f t="shared" si="278"/>
        <v/>
      </c>
      <c r="R989" s="706"/>
      <c r="S989" s="707"/>
      <c r="T989" s="708"/>
      <c r="U989" s="472"/>
      <c r="V989" s="167"/>
      <c r="W989" s="446"/>
      <c r="X989" s="456"/>
      <c r="Y989" s="436"/>
      <c r="Z989" s="437"/>
      <c r="AA989" s="560"/>
      <c r="AB989" s="561"/>
      <c r="AC989" s="87"/>
      <c r="AD989" s="466"/>
      <c r="AE989" s="456"/>
      <c r="AF989" s="467"/>
      <c r="AG989" s="87"/>
      <c r="AH989" s="87"/>
      <c r="AI989" s="87"/>
    </row>
    <row r="990" spans="1:35" hidden="1">
      <c r="A990" s="80" t="e">
        <f>"H"&amp;E979</f>
        <v>#N/A</v>
      </c>
      <c r="B990" s="105">
        <v>8</v>
      </c>
      <c r="C990" s="107"/>
      <c r="D990" s="107"/>
      <c r="E990" s="107"/>
      <c r="F990" s="107"/>
      <c r="G990" s="83"/>
      <c r="H990" s="83"/>
      <c r="I990" s="84"/>
      <c r="J990" s="85"/>
      <c r="K990" s="382"/>
      <c r="L990" s="85"/>
      <c r="M990" s="332" t="str">
        <f t="shared" si="277"/>
        <v/>
      </c>
      <c r="N990" s="453"/>
      <c r="O990" s="86" t="str">
        <f t="shared" si="279"/>
        <v/>
      </c>
      <c r="P990" s="538" t="str">
        <f t="shared" si="280"/>
        <v/>
      </c>
      <c r="Q990" s="539" t="str">
        <f t="shared" si="278"/>
        <v/>
      </c>
      <c r="R990" s="706"/>
      <c r="S990" s="707"/>
      <c r="T990" s="708"/>
      <c r="U990" s="472"/>
      <c r="V990" s="167"/>
      <c r="W990" s="446"/>
      <c r="X990" s="456"/>
      <c r="Y990" s="436"/>
      <c r="Z990" s="437"/>
      <c r="AA990" s="560"/>
      <c r="AB990" s="561"/>
      <c r="AC990" s="87"/>
      <c r="AD990" s="466"/>
      <c r="AE990" s="456"/>
      <c r="AF990" s="467"/>
      <c r="AG990" s="87"/>
      <c r="AH990" s="87"/>
      <c r="AI990" s="87"/>
    </row>
    <row r="991" spans="1:35" hidden="1">
      <c r="A991" s="80" t="e">
        <f>"I"&amp;E979</f>
        <v>#N/A</v>
      </c>
      <c r="B991" s="105">
        <v>9</v>
      </c>
      <c r="C991" s="107"/>
      <c r="D991" s="107"/>
      <c r="E991" s="107"/>
      <c r="F991" s="107"/>
      <c r="G991" s="83"/>
      <c r="H991" s="83"/>
      <c r="I991" s="84"/>
      <c r="J991" s="85"/>
      <c r="K991" s="382"/>
      <c r="L991" s="85"/>
      <c r="M991" s="332" t="str">
        <f t="shared" si="277"/>
        <v/>
      </c>
      <c r="N991" s="453"/>
      <c r="O991" s="86" t="str">
        <f t="shared" si="279"/>
        <v/>
      </c>
      <c r="P991" s="538" t="str">
        <f t="shared" si="280"/>
        <v/>
      </c>
      <c r="Q991" s="539" t="str">
        <f t="shared" si="278"/>
        <v/>
      </c>
      <c r="R991" s="706"/>
      <c r="S991" s="707"/>
      <c r="T991" s="708"/>
      <c r="U991" s="472"/>
      <c r="V991" s="167"/>
      <c r="W991" s="446"/>
      <c r="X991" s="456"/>
      <c r="Y991" s="436"/>
      <c r="Z991" s="437"/>
      <c r="AA991" s="560"/>
      <c r="AB991" s="561"/>
      <c r="AC991" s="87"/>
      <c r="AD991" s="466"/>
      <c r="AE991" s="456"/>
      <c r="AF991" s="467"/>
      <c r="AG991" s="87"/>
      <c r="AH991" s="87"/>
      <c r="AI991" s="87"/>
    </row>
    <row r="992" spans="1:35" hidden="1">
      <c r="A992" s="80" t="e">
        <f>"J"&amp;E979</f>
        <v>#N/A</v>
      </c>
      <c r="B992" s="105">
        <v>10</v>
      </c>
      <c r="C992" s="107"/>
      <c r="D992" s="107"/>
      <c r="E992" s="107"/>
      <c r="F992" s="107"/>
      <c r="G992" s="83"/>
      <c r="H992" s="83"/>
      <c r="I992" s="84"/>
      <c r="J992" s="85"/>
      <c r="K992" s="382"/>
      <c r="L992" s="85"/>
      <c r="M992" s="332" t="str">
        <f t="shared" si="277"/>
        <v/>
      </c>
      <c r="N992" s="453"/>
      <c r="O992" s="86" t="str">
        <f t="shared" si="279"/>
        <v/>
      </c>
      <c r="P992" s="538" t="str">
        <f t="shared" si="280"/>
        <v/>
      </c>
      <c r="Q992" s="539" t="str">
        <f t="shared" si="278"/>
        <v/>
      </c>
      <c r="R992" s="706"/>
      <c r="S992" s="707"/>
      <c r="T992" s="708"/>
      <c r="U992" s="472"/>
      <c r="V992" s="167"/>
      <c r="W992" s="446"/>
      <c r="X992" s="456"/>
      <c r="Y992" s="436"/>
      <c r="Z992" s="437"/>
      <c r="AA992" s="560"/>
      <c r="AB992" s="561"/>
      <c r="AC992" s="87"/>
      <c r="AD992" s="466"/>
      <c r="AE992" s="456"/>
      <c r="AF992" s="467"/>
      <c r="AG992" s="87"/>
      <c r="AH992" s="87"/>
      <c r="AI992" s="87"/>
    </row>
    <row r="993" spans="1:35" ht="16.5" hidden="1" thickBot="1">
      <c r="A993" s="44"/>
      <c r="B993" s="89"/>
      <c r="C993" s="90"/>
      <c r="D993" s="90"/>
      <c r="E993" s="90"/>
      <c r="F993" s="90"/>
      <c r="G993" s="90"/>
      <c r="H993" s="90"/>
      <c r="I993" s="90"/>
      <c r="J993" s="90"/>
      <c r="K993" s="90"/>
      <c r="L993" s="90"/>
      <c r="M993" s="90"/>
      <c r="N993" s="90"/>
      <c r="O993" s="90"/>
      <c r="P993" s="90"/>
      <c r="Q993" s="90"/>
      <c r="R993" s="90"/>
      <c r="S993" s="91"/>
      <c r="T993" s="92"/>
      <c r="U993" s="473"/>
      <c r="W993" s="438"/>
      <c r="X993" s="455"/>
      <c r="Y993" s="439"/>
      <c r="Z993" s="437"/>
      <c r="AA993" s="530"/>
      <c r="AB993" s="563"/>
      <c r="AC993" s="87"/>
      <c r="AD993" s="440"/>
      <c r="AE993" s="441"/>
      <c r="AF993" s="442"/>
      <c r="AG993" s="49"/>
      <c r="AH993" s="87"/>
      <c r="AI993" s="87"/>
    </row>
    <row r="994" spans="1:35" ht="16.5" hidden="1" thickBot="1">
      <c r="A994" s="93"/>
      <c r="B994" s="94"/>
      <c r="C994" s="96"/>
      <c r="D994" s="96"/>
      <c r="E994" s="96"/>
      <c r="F994" s="96"/>
      <c r="G994" s="96"/>
      <c r="H994" s="96"/>
      <c r="I994" s="96"/>
      <c r="J994" s="96"/>
      <c r="K994" s="96"/>
      <c r="L994" s="96"/>
      <c r="M994" s="136"/>
      <c r="N994" s="96"/>
      <c r="O994" s="96"/>
      <c r="P994" s="97"/>
      <c r="Q994" s="97"/>
      <c r="R994" s="98"/>
      <c r="S994" s="95"/>
      <c r="T994" s="99"/>
      <c r="U994" s="469"/>
      <c r="AC994" s="58"/>
      <c r="AG994" s="58"/>
      <c r="AH994" s="87"/>
      <c r="AI994" s="87"/>
    </row>
    <row r="995" spans="1:35" ht="16.5" hidden="1" thickBot="1">
      <c r="B995" s="101"/>
      <c r="C995" s="101"/>
      <c r="D995" s="101"/>
      <c r="E995" s="101"/>
      <c r="F995" s="101"/>
      <c r="G995" s="101"/>
      <c r="H995" s="101"/>
      <c r="I995" s="101"/>
      <c r="J995" s="101"/>
      <c r="K995" s="101"/>
      <c r="L995" s="101"/>
      <c r="M995" s="101"/>
      <c r="N995" s="101"/>
      <c r="O995" s="101"/>
      <c r="P995" s="101"/>
      <c r="Q995" s="101"/>
      <c r="R995" s="101"/>
      <c r="S995" s="101"/>
      <c r="U995" s="50"/>
      <c r="AH995" s="87"/>
      <c r="AI995" s="87"/>
    </row>
    <row r="996" spans="1:35" ht="16.5" hidden="1" customHeight="1" thickBot="1">
      <c r="A996" s="44"/>
      <c r="B996" s="705" t="s">
        <v>74</v>
      </c>
      <c r="C996" s="705"/>
      <c r="D996" s="705"/>
      <c r="E996" s="705"/>
      <c r="F996" s="705"/>
      <c r="G996" s="705"/>
      <c r="H996" s="705"/>
      <c r="I996" s="705"/>
      <c r="J996" s="705"/>
      <c r="K996" s="705"/>
      <c r="L996" s="705"/>
      <c r="M996" s="705"/>
      <c r="N996" s="705"/>
      <c r="O996" s="705"/>
      <c r="P996" s="705"/>
      <c r="Q996" s="705"/>
      <c r="R996" s="705"/>
      <c r="S996" s="705"/>
      <c r="T996" s="705"/>
      <c r="U996" s="108"/>
      <c r="Y996" s="532" t="s">
        <v>341</v>
      </c>
      <c r="AC996" s="49"/>
      <c r="AD996" s="687" t="s">
        <v>302</v>
      </c>
      <c r="AE996" s="688"/>
      <c r="AF996" s="689"/>
      <c r="AG996" s="49"/>
      <c r="AH996" s="87"/>
      <c r="AI996" s="87"/>
    </row>
    <row r="997" spans="1:35" ht="15.75" hidden="1" customHeight="1" thickBot="1">
      <c r="A997" s="218" t="e">
        <f>"K"&amp;E979</f>
        <v>#N/A</v>
      </c>
      <c r="B997" s="701" t="s">
        <v>71</v>
      </c>
      <c r="C997" s="751" t="s">
        <v>102</v>
      </c>
      <c r="D997" s="751"/>
      <c r="E997" s="751"/>
      <c r="F997" s="751"/>
      <c r="G997" s="751"/>
      <c r="H997" s="751"/>
      <c r="I997" s="751"/>
      <c r="J997" s="751"/>
      <c r="K997" s="751"/>
      <c r="L997" s="722" t="s">
        <v>100</v>
      </c>
      <c r="M997" s="747" t="s">
        <v>114</v>
      </c>
      <c r="N997" s="747"/>
      <c r="O997" s="747"/>
      <c r="P997" s="747"/>
      <c r="Q997" s="748"/>
      <c r="R997" s="758" t="s">
        <v>280</v>
      </c>
      <c r="S997" s="748"/>
      <c r="T997" s="762" t="str">
        <f>IF(COUNTIF(AE997:AF997,"VERIFICAR")&gt;0,"VERIFICAR",IF(COUNTIF(AE997:AF997,"NO CUMPLE")&gt;0,"NO CUMPLE","CUMPLE"))</f>
        <v>VERIFICAR</v>
      </c>
      <c r="U997" s="108"/>
      <c r="Y997" s="533" t="e">
        <f>IF(F998="","",IF(F998=1,"INDIVIDUAL","ESTRUCTURA PLURAL"))</f>
        <v>#N/A</v>
      </c>
      <c r="AC997" s="52"/>
      <c r="AD997" s="475" t="s">
        <v>303</v>
      </c>
      <c r="AE997" s="476" t="str">
        <f>IF(COUNTIF(AE983:AE992,"")=10,"VERIFICAR",IF(COUNTIF(AE983:AE992,"SI")&gt;0,"CUMPLE","NO CUMPLE"))</f>
        <v>VERIFICAR</v>
      </c>
      <c r="AF997" s="477" t="str">
        <f>IF(COUNTIF(AF983:AF992,"")=10,"VERIFICAR",IF(COUNTIF(AF983:AF992,"SI")&gt;=$AI$22,"CUMPLE","NO CUMPLE"))</f>
        <v>VERIFICAR</v>
      </c>
      <c r="AG997" s="52"/>
      <c r="AH997" s="87"/>
      <c r="AI997" s="87"/>
    </row>
    <row r="998" spans="1:35" ht="16.5" hidden="1" customHeight="1" thickBot="1">
      <c r="A998" s="218" t="e">
        <f>"L"&amp;E979</f>
        <v>#N/A</v>
      </c>
      <c r="B998" s="702"/>
      <c r="C998" s="751" t="s">
        <v>103</v>
      </c>
      <c r="D998" s="751"/>
      <c r="E998" s="752"/>
      <c r="F998" s="557" t="e">
        <f>IF(VLOOKUP(E979,PROPONENTES!$C$19:$E$218,3,0)="","",VLOOKUP(E979,PROPONENTES!$C$19:$E$218,3,0))</f>
        <v>#N/A</v>
      </c>
      <c r="G998" s="753" t="s">
        <v>104</v>
      </c>
      <c r="H998" s="751"/>
      <c r="I998" s="715" t="e">
        <f>IF(OR(F998="",F998=1),"INTERESADO PERSONA NATURAL O JURIDICA","CONSORCIO O UNION TEMPORAL")</f>
        <v>#N/A</v>
      </c>
      <c r="J998" s="725"/>
      <c r="K998" s="728"/>
      <c r="L998" s="723"/>
      <c r="M998" s="749"/>
      <c r="N998" s="749"/>
      <c r="O998" s="749"/>
      <c r="P998" s="749"/>
      <c r="Q998" s="750"/>
      <c r="R998" s="712"/>
      <c r="S998" s="750"/>
      <c r="T998" s="763"/>
      <c r="U998" s="108"/>
      <c r="Y998" s="534"/>
      <c r="AA998" s="52"/>
      <c r="AB998" s="52"/>
      <c r="AC998" s="52"/>
      <c r="AG998" s="52"/>
      <c r="AH998" s="87"/>
      <c r="AI998" s="87"/>
    </row>
    <row r="999" spans="1:35" ht="56.25" hidden="1" customHeight="1" thickBot="1">
      <c r="A999" s="218" t="e">
        <f>"M"&amp;E979</f>
        <v>#N/A</v>
      </c>
      <c r="B999" s="702"/>
      <c r="C999" s="725" t="s">
        <v>101</v>
      </c>
      <c r="D999" s="716"/>
      <c r="E999" s="558" t="s">
        <v>105</v>
      </c>
      <c r="F999" s="554" t="s">
        <v>87</v>
      </c>
      <c r="G999" s="553" t="s">
        <v>86</v>
      </c>
      <c r="H999" s="559" t="s">
        <v>85</v>
      </c>
      <c r="I999" s="554" t="s">
        <v>252</v>
      </c>
      <c r="J999" s="553" t="str">
        <f>"¿EL INTEGRANTE TIENE UNA PARTICIPACIÓN DEL "&amp;PORCREQUERIDOINT*100&amp;"%?"</f>
        <v>¿EL INTEGRANTE TIENE UNA PARTICIPACIÓN DEL 60%?</v>
      </c>
      <c r="K999" s="554" t="s">
        <v>107</v>
      </c>
      <c r="L999" s="724"/>
      <c r="M999" s="717" t="s">
        <v>115</v>
      </c>
      <c r="N999" s="718"/>
      <c r="O999" s="718"/>
      <c r="P999" s="718"/>
      <c r="Q999" s="223">
        <f>IF(AND(H983="SI",P983&gt;=0),1,0)+IF(AND(H984="SI",P984&gt;=0),1,0)+IF(AND(H985="SI",P985&gt;=0),1,0)+IF(AND(H986="SI",P986&gt;=0),1,0)+IF(AND(H987="SI",P987&gt;=0),1,0)+IF(AND(H988="SI",P988&gt;=0),1,0)+IF(AND(H989="SI",P989&gt;=0),1,0)+IF(AND(H990="SI",P990&gt;=0),1,0)+IF(AND(H991="SI",P991&gt;=0),1,0)+IF(AND(H992="SI",P992&gt;=0),1,0)</f>
        <v>0</v>
      </c>
      <c r="R999" s="759"/>
      <c r="S999" s="761"/>
      <c r="T999" s="764"/>
      <c r="U999" s="219"/>
      <c r="V999" s="464"/>
      <c r="Y999" s="532" t="s">
        <v>342</v>
      </c>
      <c r="AA999" s="550" t="s">
        <v>344</v>
      </c>
      <c r="AB999" s="693" t="s">
        <v>345</v>
      </c>
      <c r="AC999" s="693" t="s">
        <v>346</v>
      </c>
      <c r="AD999" s="685" t="s">
        <v>347</v>
      </c>
      <c r="AE999" s="52"/>
      <c r="AF999" s="52"/>
      <c r="AG999" s="52"/>
      <c r="AH999" s="87"/>
      <c r="AI999" s="87"/>
    </row>
    <row r="1000" spans="1:35" ht="15.75" hidden="1" customHeight="1" thickBot="1">
      <c r="A1000" s="218" t="e">
        <f>"N"&amp;E979</f>
        <v>#N/A</v>
      </c>
      <c r="B1000" s="702"/>
      <c r="C1000" s="114">
        <v>1</v>
      </c>
      <c r="D1000" s="194" t="e">
        <f>IF(AND(C1000&lt;=F998,F998&gt;1,F998&lt;&gt;""),VLOOKUP(VALUE(E979&amp;","&amp;C1000),INTEGRANTES!$D$18:$F$235,2,0),"")</f>
        <v>#N/A</v>
      </c>
      <c r="E1000" s="211" t="e">
        <f>IF(D1000&lt;&gt;"",VLOOKUP(VALUE(E979&amp;","&amp;C1000),INTEGRANTES!$D$18:$F$235,3,0),"")</f>
        <v>#N/A</v>
      </c>
      <c r="F1000" s="547" t="e">
        <f>IF(D1000="","",SUMIF($I983:$I992,D1000,$P983:$P992))</f>
        <v>#N/A</v>
      </c>
      <c r="G1000" s="333" t="e">
        <f>IF(D1000="","",SUMIF($I983:$I992,D1000,$M983:$M992))</f>
        <v>#N/A</v>
      </c>
      <c r="H1000" s="535" t="e">
        <f t="shared" ref="H1000:H1005" si="281">IF(D1000="","",IF(OR(F1000=0,G1000=0),"NO APORTA",ROUND($F1000/$G1000,3)))</f>
        <v>#N/A</v>
      </c>
      <c r="I1000" s="212" t="e">
        <f>IF(D1000="","",IF(H1000="NO APORTA","NO",IF(H1000=MAX($H1000:$H1005),"SI","NO")))</f>
        <v>#N/A</v>
      </c>
      <c r="J1000" s="213" t="e">
        <f t="shared" ref="J1000:J1005" si="282">IF(D1000="","",IF(E1000&gt;=PORCREQUERIDOINT,"SI","NO"))</f>
        <v>#N/A</v>
      </c>
      <c r="K1000" s="200" t="e">
        <f t="shared" ref="K1000:K1005" si="283">IF(D1000="","",IF(AND(I1000="SI",J1000="SI"),"CUMPLE",IF(AND(I1000="NO",OR(J1000="SI",J1000="NO")),"","NO CUMPLE")))</f>
        <v>#N/A</v>
      </c>
      <c r="L1000" s="722" t="s">
        <v>108</v>
      </c>
      <c r="M1000" s="726" t="s">
        <v>119</v>
      </c>
      <c r="N1000" s="726"/>
      <c r="O1000" s="726"/>
      <c r="P1000" s="726"/>
      <c r="Q1000" s="727"/>
      <c r="R1000" s="758" t="s">
        <v>80</v>
      </c>
      <c r="S1000" s="747"/>
      <c r="T1000" s="748"/>
      <c r="U1000" s="219"/>
      <c r="V1000" s="464"/>
      <c r="Y1000" s="533" t="e">
        <f>IF(Y997="","",IF(Y997="INDIVIDUAL","NO APLICA","VERIFICAR CUADRO"))</f>
        <v>#N/A</v>
      </c>
      <c r="AA1000" s="551"/>
      <c r="AB1000" s="694"/>
      <c r="AC1000" s="694"/>
      <c r="AD1000" s="686"/>
      <c r="AE1000" s="52"/>
      <c r="AF1000" s="52"/>
      <c r="AG1000" s="52"/>
      <c r="AH1000" s="87"/>
      <c r="AI1000" s="87"/>
    </row>
    <row r="1001" spans="1:35" ht="27" hidden="1" customHeight="1" thickBot="1">
      <c r="A1001" s="218" t="e">
        <f>"O"&amp;E979</f>
        <v>#N/A</v>
      </c>
      <c r="B1001" s="702"/>
      <c r="C1001" s="114">
        <v>2</v>
      </c>
      <c r="D1001" s="194" t="e">
        <f>IF(AND(C1001&lt;=F998,F998&lt;&gt;""),VLOOKUP(VALUE(E979&amp;","&amp;C1001),INTEGRANTES!$D$18:$F$235,2,0),"")</f>
        <v>#N/A</v>
      </c>
      <c r="E1001" s="211" t="e">
        <f>IF(D1001&lt;&gt;"",VLOOKUP(VALUE(E979&amp;","&amp;C1001),INTEGRANTES!$D$18:$F$235,3,0),"")</f>
        <v>#N/A</v>
      </c>
      <c r="F1001" s="547" t="e">
        <f>IF(D1001="","",SUMIF($I983:$I992,D1001,$P983:$P992))</f>
        <v>#N/A</v>
      </c>
      <c r="G1001" s="333" t="e">
        <f>IF(D1001="","",SUMIF($I983:$I992,D1001,$M983:$M992))</f>
        <v>#N/A</v>
      </c>
      <c r="H1001" s="535" t="e">
        <f t="shared" si="281"/>
        <v>#N/A</v>
      </c>
      <c r="I1001" s="212" t="e">
        <f>IF(D1001="","",IF(H1001="NO APORTA","NO",IF(H1001=MAX($H1000:$H1005),"SI","NO")))</f>
        <v>#N/A</v>
      </c>
      <c r="J1001" s="213" t="e">
        <f t="shared" si="282"/>
        <v>#N/A</v>
      </c>
      <c r="K1001" s="200" t="e">
        <f t="shared" si="283"/>
        <v>#N/A</v>
      </c>
      <c r="L1001" s="723"/>
      <c r="M1001" s="715" t="s">
        <v>116</v>
      </c>
      <c r="N1001" s="716"/>
      <c r="O1001" s="556" t="s">
        <v>113</v>
      </c>
      <c r="P1001" s="715" t="s">
        <v>117</v>
      </c>
      <c r="Q1001" s="728"/>
      <c r="R1001" s="759"/>
      <c r="S1001" s="760"/>
      <c r="T1001" s="761"/>
      <c r="U1001" s="219"/>
      <c r="V1001" s="464"/>
      <c r="Y1001" s="414"/>
      <c r="AA1001" s="542" t="e">
        <f>IF(AND(C1000&lt;=F998,F998&gt;1,F998&lt;&gt;""),VLOOKUP(VALUE(E979&amp;","&amp;C1000),INTEGRANTES!$D$18:$F$235,2,0),"")</f>
        <v>#N/A</v>
      </c>
      <c r="AB1001" s="544" t="e">
        <f t="shared" ref="AB1001:AB1006" si="284">IF(D1000="","",IF(OR(F1000=0,G1000=0),"NO APORTA",ROUND($F1000/$G1000,3)))</f>
        <v>#N/A</v>
      </c>
      <c r="AC1001" s="529"/>
      <c r="AD1001" s="200" t="e">
        <f t="shared" ref="AD1001:AD1006" si="285">IF(OR(AA1001="",AB1001=""),"",IF(AND(AC1001="X",AB1001&gt;=EXPREQVTD),"CUMPLE","NO CUMPLE"))</f>
        <v>#N/A</v>
      </c>
      <c r="AE1001" s="52"/>
      <c r="AF1001" s="52"/>
      <c r="AG1001" s="52"/>
      <c r="AH1001" s="87"/>
      <c r="AI1001" s="87"/>
    </row>
    <row r="1002" spans="1:35" ht="16.5" hidden="1" thickBot="1">
      <c r="A1002" s="218" t="e">
        <f>"P"&amp;E979</f>
        <v>#N/A</v>
      </c>
      <c r="B1002" s="702"/>
      <c r="C1002" s="114">
        <v>3</v>
      </c>
      <c r="D1002" s="194" t="e">
        <f>IF(AND(C1002&lt;=F998,F998&lt;&gt;""),VLOOKUP(VALUE(E979&amp;","&amp;C1002),INTEGRANTES!$D$18:$F$235,2,0),"")</f>
        <v>#N/A</v>
      </c>
      <c r="E1002" s="211" t="e">
        <f>IF(D1002&lt;&gt;"",VLOOKUP(VALUE(E979&amp;","&amp;C1002),INTEGRANTES!$D$18:$F$235,3,0),"")</f>
        <v>#N/A</v>
      </c>
      <c r="F1002" s="547" t="e">
        <f>IF(D1002="","",SUMIF($I983:$I992,D1002,$P983:$P992))</f>
        <v>#N/A</v>
      </c>
      <c r="G1002" s="333" t="e">
        <f>IF(D1002="","",SUMIF($I983:$I992,D1002,$M983:$M992))</f>
        <v>#N/A</v>
      </c>
      <c r="H1002" s="535" t="e">
        <f t="shared" si="281"/>
        <v>#N/A</v>
      </c>
      <c r="I1002" s="212" t="e">
        <f>IF(D1002="","",IF(H1002="NO APORTA","NO",IF(H1002=MAX($H1000:$H1005),"SI","NO")))</f>
        <v>#N/A</v>
      </c>
      <c r="J1002" s="213" t="e">
        <f t="shared" si="282"/>
        <v>#N/A</v>
      </c>
      <c r="K1002" s="200" t="e">
        <f t="shared" si="283"/>
        <v>#N/A</v>
      </c>
      <c r="L1002" s="724"/>
      <c r="M1002" s="729">
        <f>NUMMOD</f>
        <v>1</v>
      </c>
      <c r="N1002" s="730"/>
      <c r="O1002" s="443">
        <f>IF(M1002="","",VLOOKUP(M1002,PRESUPUESTOS!$B$16:$H$16,5,FALSE))</f>
        <v>2</v>
      </c>
      <c r="P1002" s="713">
        <f>IF(OR(COUNTIF(M983:M992,"")&gt;=10,Q999&lt;NUMMINCONT,OR(T997="NO CUMPLE",T997="VERIFICAR")),0,ROUND(AVERAGE(M983:M992),3))</f>
        <v>0</v>
      </c>
      <c r="Q1002" s="714"/>
      <c r="R1002" s="458"/>
      <c r="S1002" s="459"/>
      <c r="T1002" s="460"/>
      <c r="U1002" s="219"/>
      <c r="V1002" s="464"/>
      <c r="Y1002" s="532" t="str">
        <f>"40% * ("&amp;PRESUPUESTOS!$H$13&amp;")"</f>
        <v>40% * (50% PFMO)</v>
      </c>
      <c r="AA1002" s="540" t="e">
        <f>IF(AND(C1001&lt;=F998,F998&lt;&gt;""),VLOOKUP(VALUE(E979&amp;","&amp;C1001),INTEGRANTES!$D$18:$F$235,2,0),"")</f>
        <v>#N/A</v>
      </c>
      <c r="AB1002" s="545" t="e">
        <f t="shared" si="284"/>
        <v>#N/A</v>
      </c>
      <c r="AC1002" s="529"/>
      <c r="AD1002" s="200" t="e">
        <f t="shared" si="285"/>
        <v>#N/A</v>
      </c>
      <c r="AE1002" s="52"/>
      <c r="AF1002" s="52"/>
      <c r="AG1002" s="52"/>
      <c r="AH1002" s="87"/>
      <c r="AI1002" s="87"/>
    </row>
    <row r="1003" spans="1:35" ht="15.75" hidden="1" customHeight="1" thickBot="1">
      <c r="A1003" s="218" t="e">
        <f>"Q"&amp;E979</f>
        <v>#N/A</v>
      </c>
      <c r="B1003" s="702"/>
      <c r="C1003" s="114">
        <v>4</v>
      </c>
      <c r="D1003" s="194" t="e">
        <f>IF(AND(C1003&lt;=F998,F998&lt;&gt;""),VLOOKUP(VALUE(E979&amp;","&amp;C1003),INTEGRANTES!$D$18:$F$235,2,0),"")</f>
        <v>#N/A</v>
      </c>
      <c r="E1003" s="211" t="e">
        <f>IF(D1003&lt;&gt;"",VLOOKUP(VALUE(E979&amp;","&amp;C1003),INTEGRANTES!$D$18:$F$235,3,0),"")</f>
        <v>#N/A</v>
      </c>
      <c r="F1003" s="547" t="e">
        <f>IF(D1003="","",SUMIF($I983:$I992,D1003,$P983:$P992))</f>
        <v>#N/A</v>
      </c>
      <c r="G1003" s="333" t="e">
        <f>IF(D1003="","",SUMIF($I983:$I992,D1003,$M983:$M992))</f>
        <v>#N/A</v>
      </c>
      <c r="H1003" s="535" t="e">
        <f t="shared" si="281"/>
        <v>#N/A</v>
      </c>
      <c r="I1003" s="212" t="e">
        <f>IF(D1003="","",IF(H1003="NO APORTA","NO",IF(H1003=MAX($H1000:$H1005),"SI","NO")))</f>
        <v>#N/A</v>
      </c>
      <c r="J1003" s="213" t="e">
        <f t="shared" si="282"/>
        <v>#N/A</v>
      </c>
      <c r="K1003" s="200" t="e">
        <f t="shared" si="283"/>
        <v>#N/A</v>
      </c>
      <c r="L1003" s="720" t="s">
        <v>109</v>
      </c>
      <c r="M1003" s="757" t="s">
        <v>120</v>
      </c>
      <c r="N1003" s="726"/>
      <c r="O1003" s="726"/>
      <c r="P1003" s="726"/>
      <c r="Q1003" s="727"/>
      <c r="R1003" s="458"/>
      <c r="S1003" s="459"/>
      <c r="T1003" s="460"/>
      <c r="U1003" s="219"/>
      <c r="V1003" s="464"/>
      <c r="Y1003" s="537">
        <f>0.4*PRESUPUESTOS!$H$16</f>
        <v>10.3124</v>
      </c>
      <c r="AA1003" s="540" t="e">
        <f>IF(AND(C1002&lt;=F998,F998&lt;&gt;""),VLOOKUP(VALUE(E979&amp;","&amp;C1002),INTEGRANTES!$D$18:$F$235,2,0),"")</f>
        <v>#N/A</v>
      </c>
      <c r="AB1003" s="545" t="e">
        <f t="shared" si="284"/>
        <v>#N/A</v>
      </c>
      <c r="AC1003" s="529"/>
      <c r="AD1003" s="200" t="e">
        <f t="shared" si="285"/>
        <v>#N/A</v>
      </c>
      <c r="AE1003" s="52"/>
      <c r="AF1003" s="52"/>
      <c r="AG1003" s="52"/>
      <c r="AH1003" s="87"/>
      <c r="AI1003" s="87"/>
    </row>
    <row r="1004" spans="1:35" ht="27" hidden="1" customHeight="1" thickBot="1">
      <c r="A1004" s="218" t="e">
        <f>"R"&amp;E979</f>
        <v>#N/A</v>
      </c>
      <c r="B1004" s="702"/>
      <c r="C1004" s="114">
        <v>5</v>
      </c>
      <c r="D1004" s="194" t="e">
        <f>IF(AND(C1004&lt;=F998,F998&lt;&gt;""),VLOOKUP(VALUE(E979&amp;","&amp;C1004),INTEGRANTES!$D$18:$F$235,2,0),"")</f>
        <v>#N/A</v>
      </c>
      <c r="E1004" s="211" t="e">
        <f>IF(D1004&lt;&gt;"",VLOOKUP(VALUE(E979&amp;","&amp;C1004),INTEGRANTES!$D$18:$F$235,3,0),"")</f>
        <v>#N/A</v>
      </c>
      <c r="F1004" s="547" t="e">
        <f>IF(D1004="","",SUMIF($I983:$I992,D1004,$P983:$P992))</f>
        <v>#N/A</v>
      </c>
      <c r="G1004" s="333" t="e">
        <f>IF(D1004="","",SUMIF($I983:$I992,D1004,$M983:$M992))</f>
        <v>#N/A</v>
      </c>
      <c r="H1004" s="535" t="e">
        <f t="shared" si="281"/>
        <v>#N/A</v>
      </c>
      <c r="I1004" s="212" t="e">
        <f>IF(D1004="","",IF(H1004="NO APORTA","NO",IF(H1004=MAX($H1000:$H1005),"SI","NO")))</f>
        <v>#N/A</v>
      </c>
      <c r="J1004" s="213" t="e">
        <f t="shared" si="282"/>
        <v>#N/A</v>
      </c>
      <c r="K1004" s="200" t="e">
        <f t="shared" si="283"/>
        <v>#N/A</v>
      </c>
      <c r="L1004" s="721"/>
      <c r="M1004" s="715" t="s">
        <v>116</v>
      </c>
      <c r="N1004" s="716"/>
      <c r="O1004" s="556" t="str">
        <f>PORCREQUERIDO*100&amp;"% PMFO DEL MÓDULO"</f>
        <v>50% PMFO DEL MÓDULO</v>
      </c>
      <c r="P1004" s="715" t="s">
        <v>118</v>
      </c>
      <c r="Q1004" s="728"/>
      <c r="R1004" s="458"/>
      <c r="S1004" s="459"/>
      <c r="T1004" s="460"/>
      <c r="U1004" s="219"/>
      <c r="V1004" s="464"/>
      <c r="Y1004" s="414"/>
      <c r="AA1004" s="540" t="e">
        <f>IF(AND(C1003&lt;=F998,F998&lt;&gt;""),VLOOKUP(VALUE(E979&amp;","&amp;C1003),INTEGRANTES!$D$18:$F$235,2,0),"")</f>
        <v>#N/A</v>
      </c>
      <c r="AB1004" s="545" t="e">
        <f t="shared" si="284"/>
        <v>#N/A</v>
      </c>
      <c r="AC1004" s="529"/>
      <c r="AD1004" s="200" t="e">
        <f t="shared" si="285"/>
        <v>#N/A</v>
      </c>
      <c r="AE1004" s="52"/>
      <c r="AF1004" s="52"/>
      <c r="AG1004" s="52"/>
      <c r="AH1004" s="87"/>
      <c r="AI1004" s="87"/>
    </row>
    <row r="1005" spans="1:35" ht="16.5" hidden="1" thickBot="1">
      <c r="A1005" s="218" t="e">
        <f>"S"&amp;E979</f>
        <v>#N/A</v>
      </c>
      <c r="B1005" s="702"/>
      <c r="C1005" s="215">
        <v>6</v>
      </c>
      <c r="D1005" s="216" t="e">
        <f>IF(AND(C1005&lt;=F998,F998&lt;&gt;""),VLOOKUP(VALUE(E979&amp;","&amp;C1005),INTEGRANTES!$D$18:$F$235,2,0),"")</f>
        <v>#N/A</v>
      </c>
      <c r="E1005" s="217" t="e">
        <f>IF(D1005&lt;&gt;"",VLOOKUP(VALUE(E979&amp;","&amp;C1005),INTEGRANTES!$D$18:$F$235,3,0),"")</f>
        <v>#N/A</v>
      </c>
      <c r="F1005" s="548" t="e">
        <f>IF(D1005="","",SUMIF($I983:$I992,D1005,$P983:$P992))</f>
        <v>#N/A</v>
      </c>
      <c r="G1005" s="334" t="e">
        <f>IF(D1005="","",SUMIF($I983:$I992,D1005,$M983:$M992))</f>
        <v>#N/A</v>
      </c>
      <c r="H1005" s="536" t="e">
        <f t="shared" si="281"/>
        <v>#N/A</v>
      </c>
      <c r="I1005" s="214" t="e">
        <f>IF(D1005="","",IF(H1005="NO APORTA","NO",IF(H1005=MAX($H1000:$H1005),"SI","NO")))</f>
        <v>#N/A</v>
      </c>
      <c r="J1005" s="213" t="e">
        <f t="shared" si="282"/>
        <v>#N/A</v>
      </c>
      <c r="K1005" s="200" t="e">
        <f t="shared" si="283"/>
        <v>#N/A</v>
      </c>
      <c r="L1005" s="721"/>
      <c r="M1005" s="729">
        <f>NUMMOD</f>
        <v>1</v>
      </c>
      <c r="N1005" s="730"/>
      <c r="O1005" s="443">
        <f>IF(M1005="","",ROUND(VLOOKUP(M1005,PRESUPUESTOS!$B$16:$H$16,7,FALSE),3))</f>
        <v>25.780999999999999</v>
      </c>
      <c r="P1005" s="713">
        <f>IF(OR(COUNTIF(P983:P992,"")&gt;=10,Q999&lt;NUMMINCONT,OR(T997="NO CUMPLE",T997="VERIFICAR")),0,ROUND((SUM(P983:P992)/SUM(M983:M992)),3))</f>
        <v>0</v>
      </c>
      <c r="Q1005" s="714"/>
      <c r="R1005" s="458"/>
      <c r="S1005" s="459"/>
      <c r="T1005" s="460"/>
      <c r="U1005" s="219"/>
      <c r="V1005" s="464"/>
      <c r="Y1005" s="532" t="s">
        <v>343</v>
      </c>
      <c r="AA1005" s="540" t="e">
        <f>IF(AND(C1004&lt;=F998,F998&lt;&gt;""),VLOOKUP(VALUE(E979&amp;","&amp;C1004),INTEGRANTES!$D$18:$F$235,2,0),"")</f>
        <v>#N/A</v>
      </c>
      <c r="AB1005" s="545" t="e">
        <f t="shared" si="284"/>
        <v>#N/A</v>
      </c>
      <c r="AC1005" s="529"/>
      <c r="AD1005" s="200" t="e">
        <f t="shared" si="285"/>
        <v>#N/A</v>
      </c>
      <c r="AE1005" s="52"/>
      <c r="AF1005" s="52"/>
      <c r="AG1005" s="52"/>
      <c r="AH1005" s="87"/>
      <c r="AI1005" s="87"/>
    </row>
    <row r="1006" spans="1:35" ht="16.5" hidden="1" customHeight="1" thickBot="1">
      <c r="A1006" s="218" t="e">
        <f>"T"&amp;E979</f>
        <v>#N/A</v>
      </c>
      <c r="B1006" s="703"/>
      <c r="C1006" s="719"/>
      <c r="D1006" s="719"/>
      <c r="E1006" s="719"/>
      <c r="F1006" s="719"/>
      <c r="G1006" s="719"/>
      <c r="H1006" s="719" t="s">
        <v>110</v>
      </c>
      <c r="I1006" s="719"/>
      <c r="J1006" s="719"/>
      <c r="K1006" s="201" t="str">
        <f>IF(COUNTIF(K1000:K1005,"")=6,"",IF(COUNTIF(K1000:K1005,"CUMPLE")&gt;0,"CUMPLE","NO CUMPLE"))</f>
        <v>NO CUMPLE</v>
      </c>
      <c r="L1006" s="754"/>
      <c r="M1006" s="755"/>
      <c r="N1006" s="755"/>
      <c r="O1006" s="755"/>
      <c r="P1006" s="755"/>
      <c r="Q1006" s="756"/>
      <c r="R1006" s="461"/>
      <c r="S1006" s="462"/>
      <c r="T1006" s="463"/>
      <c r="U1006" s="219"/>
      <c r="V1006" s="464"/>
      <c r="Y1006" s="549" t="e">
        <f>IF(Y1000="NO APLICA","NO APLICA",IF(COUNTIF(AD1001:AD1006,"CUMPLE")&gt;0,"CUMPLE","NO CUMPLE"))</f>
        <v>#N/A</v>
      </c>
      <c r="AA1006" s="541" t="e">
        <f>IF(AND(C1005&lt;=F998,F998&lt;&gt;""),VLOOKUP(VALUE(E979&amp;","&amp;C1005),INTEGRANTES!$D$18:$F$235,2,0),"")</f>
        <v>#N/A</v>
      </c>
      <c r="AB1006" s="546" t="e">
        <f t="shared" si="284"/>
        <v>#N/A</v>
      </c>
      <c r="AC1006" s="543"/>
      <c r="AD1006" s="201" t="e">
        <f t="shared" si="285"/>
        <v>#N/A</v>
      </c>
      <c r="AE1006" s="52"/>
      <c r="AF1006" s="52"/>
      <c r="AG1006" s="52"/>
      <c r="AH1006" s="87"/>
      <c r="AI1006" s="87"/>
    </row>
    <row r="1007" spans="1:35" hidden="1">
      <c r="A1007" s="103"/>
      <c r="B1007" s="206"/>
      <c r="C1007" s="206"/>
      <c r="D1007" s="206"/>
      <c r="E1007" s="206"/>
      <c r="F1007" s="206"/>
      <c r="G1007" s="206"/>
      <c r="H1007" s="206"/>
      <c r="I1007" s="104"/>
      <c r="J1007" s="206"/>
      <c r="K1007" s="113"/>
      <c r="L1007" s="113"/>
      <c r="M1007" s="113"/>
      <c r="N1007" s="222"/>
      <c r="O1007" s="113"/>
      <c r="P1007" s="113"/>
      <c r="Q1007" s="113"/>
      <c r="R1007" s="206"/>
      <c r="S1007" s="104"/>
      <c r="T1007" s="206"/>
      <c r="U1007" s="474"/>
      <c r="AH1007" s="87"/>
      <c r="AI1007" s="87"/>
    </row>
    <row r="1008" spans="1:35" hidden="1">
      <c r="H1008" s="220"/>
      <c r="AH1008" s="87"/>
      <c r="AI1008" s="87"/>
    </row>
    <row r="1009" spans="1:35" ht="24" hidden="1" thickBot="1">
      <c r="A1009" s="61">
        <v>34</v>
      </c>
      <c r="B1009" s="704" t="s">
        <v>51</v>
      </c>
      <c r="C1009" s="704"/>
      <c r="D1009" s="704"/>
      <c r="E1009" s="62" t="e">
        <f>VLOOKUP(A1009,PROPONENTES!$B$19:$E$218,2,FALSE)</f>
        <v>#N/A</v>
      </c>
      <c r="F1009" s="63" t="e">
        <f>VLOOKUP(A1009,PROPONENTES!$B$19:$E$218,3,FALSE)</f>
        <v>#N/A</v>
      </c>
      <c r="G1009" s="64"/>
      <c r="H1009" s="64"/>
      <c r="I1009" s="63"/>
      <c r="J1009" s="63"/>
      <c r="K1009" s="65"/>
      <c r="L1009" s="65"/>
      <c r="M1009" s="64"/>
      <c r="N1009" s="64"/>
      <c r="O1009" s="66"/>
      <c r="P1009" s="66"/>
      <c r="Q1009" s="66"/>
      <c r="R1009" s="66"/>
      <c r="S1009" s="67"/>
      <c r="T1009" s="68"/>
      <c r="U1009" s="68"/>
      <c r="AC1009" s="68"/>
      <c r="AD1009" s="68"/>
      <c r="AE1009" s="68"/>
      <c r="AF1009" s="68"/>
      <c r="AG1009" s="68"/>
      <c r="AH1009" s="87"/>
      <c r="AI1009" s="87"/>
    </row>
    <row r="1010" spans="1:35" ht="15.75" hidden="1" customHeight="1">
      <c r="A1010" s="44"/>
      <c r="B1010" s="709" t="s">
        <v>59</v>
      </c>
      <c r="C1010" s="552" t="s">
        <v>60</v>
      </c>
      <c r="D1010" s="70" t="s">
        <v>17</v>
      </c>
      <c r="E1010" s="70"/>
      <c r="F1010" s="70" t="s">
        <v>61</v>
      </c>
      <c r="G1010" s="71"/>
      <c r="H1010" s="699" t="s">
        <v>62</v>
      </c>
      <c r="I1010" s="699" t="s">
        <v>18</v>
      </c>
      <c r="J1010" s="699" t="s">
        <v>63</v>
      </c>
      <c r="K1010" s="699" t="s">
        <v>64</v>
      </c>
      <c r="L1010" s="699" t="s">
        <v>65</v>
      </c>
      <c r="M1010" s="743" t="s">
        <v>66</v>
      </c>
      <c r="N1010" s="699" t="s">
        <v>282</v>
      </c>
      <c r="O1010" s="745" t="s">
        <v>67</v>
      </c>
      <c r="P1010" s="746"/>
      <c r="Q1010" s="102" t="s">
        <v>75</v>
      </c>
      <c r="R1010" s="731" t="s">
        <v>22</v>
      </c>
      <c r="S1010" s="732"/>
      <c r="T1010" s="733"/>
      <c r="U1010" s="712" t="s">
        <v>298</v>
      </c>
      <c r="W1010" s="690" t="s">
        <v>268</v>
      </c>
      <c r="X1010" s="691"/>
      <c r="Y1010" s="692"/>
      <c r="Z1010" s="428"/>
      <c r="AA1010" s="697" t="s">
        <v>315</v>
      </c>
      <c r="AB1010" s="695" t="s">
        <v>322</v>
      </c>
      <c r="AC1010" s="49"/>
      <c r="AD1010" s="690" t="s">
        <v>297</v>
      </c>
      <c r="AE1010" s="691"/>
      <c r="AF1010" s="692"/>
      <c r="AG1010" s="49"/>
      <c r="AH1010" s="87"/>
      <c r="AI1010" s="87"/>
    </row>
    <row r="1011" spans="1:35" ht="72" hidden="1">
      <c r="A1011" s="44"/>
      <c r="B1011" s="710"/>
      <c r="C1011" s="553" t="s">
        <v>68</v>
      </c>
      <c r="D1011" s="73" t="s">
        <v>3</v>
      </c>
      <c r="E1011" s="73" t="s">
        <v>19</v>
      </c>
      <c r="F1011" s="73" t="s">
        <v>69</v>
      </c>
      <c r="G1011" s="74" t="s">
        <v>70</v>
      </c>
      <c r="H1011" s="700"/>
      <c r="I1011" s="700"/>
      <c r="J1011" s="700"/>
      <c r="K1011" s="700"/>
      <c r="L1011" s="700"/>
      <c r="M1011" s="744"/>
      <c r="N1011" s="700"/>
      <c r="O1011" s="553" t="s">
        <v>279</v>
      </c>
      <c r="P1011" s="73" t="s">
        <v>88</v>
      </c>
      <c r="Q1011" s="555" t="s">
        <v>76</v>
      </c>
      <c r="R1011" s="734"/>
      <c r="S1011" s="735"/>
      <c r="T1011" s="736"/>
      <c r="U1011" s="712"/>
      <c r="W1011" s="429" t="s">
        <v>269</v>
      </c>
      <c r="X1011" s="457" t="s">
        <v>278</v>
      </c>
      <c r="Y1011" s="430" t="s">
        <v>324</v>
      </c>
      <c r="Z1011" s="428"/>
      <c r="AA1011" s="698"/>
      <c r="AB1011" s="696"/>
      <c r="AC1011" s="49"/>
      <c r="AD1011" s="429" t="s">
        <v>292</v>
      </c>
      <c r="AE1011" s="431" t="s">
        <v>300</v>
      </c>
      <c r="AF1011" s="468" t="s">
        <v>301</v>
      </c>
      <c r="AG1011" s="49"/>
      <c r="AH1011" s="87"/>
      <c r="AI1011" s="87"/>
    </row>
    <row r="1012" spans="1:35" hidden="1">
      <c r="A1012" s="44"/>
      <c r="B1012" s="76"/>
      <c r="C1012" s="77"/>
      <c r="D1012" s="77"/>
      <c r="E1012" s="77"/>
      <c r="F1012" s="77"/>
      <c r="G1012" s="77"/>
      <c r="H1012" s="77"/>
      <c r="I1012" s="77"/>
      <c r="J1012" s="77"/>
      <c r="K1012" s="77"/>
      <c r="L1012" s="77"/>
      <c r="M1012" s="77"/>
      <c r="N1012" s="77"/>
      <c r="O1012" s="77"/>
      <c r="P1012" s="77"/>
      <c r="Q1012" s="77"/>
      <c r="R1012" s="77"/>
      <c r="S1012" s="78"/>
      <c r="T1012" s="79"/>
      <c r="U1012" s="109"/>
      <c r="V1012" s="49"/>
      <c r="W1012" s="432"/>
      <c r="X1012" s="454"/>
      <c r="Y1012" s="433"/>
      <c r="Z1012" s="6"/>
      <c r="AA1012" s="500"/>
      <c r="AB1012" s="562"/>
      <c r="AC1012" s="49"/>
      <c r="AD1012" s="210"/>
      <c r="AE1012" s="434"/>
      <c r="AF1012" s="435"/>
      <c r="AG1012" s="49"/>
      <c r="AH1012" s="87"/>
      <c r="AI1012" s="87"/>
    </row>
    <row r="1013" spans="1:35" hidden="1">
      <c r="A1013" s="80" t="e">
        <f>"A"&amp;E1009</f>
        <v>#N/A</v>
      </c>
      <c r="B1013" s="81">
        <v>1</v>
      </c>
      <c r="C1013" s="82"/>
      <c r="D1013" s="82"/>
      <c r="E1013" s="82"/>
      <c r="F1013" s="82"/>
      <c r="G1013" s="83"/>
      <c r="H1013" s="83"/>
      <c r="I1013" s="84"/>
      <c r="J1013" s="85"/>
      <c r="K1013" s="382"/>
      <c r="L1013" s="85"/>
      <c r="M1013" s="332" t="str">
        <f t="shared" ref="M1013:M1022" si="286">IF(OR(J1013="",L1013="",H1013="NO"),"",IF(OR(J1013&gt;$P$17,J1013&lt;$O$17,L1013&gt;$P$17,AND(J1013&lt;$O$17,L1013&lt;$O$17)),"FUERA DE RANGO",IF(OR(K1013="---",K1013=""),IF(J1013&gt;=$O$17,ROUND((L1013-J1013+1)/360*12,3),ROUND((L1013-$O$17+1)/360*12,3)),IF(J1013&gt;=$O$17,ROUND((L1013-J1013+1)/360*12-ROUND(K1013,3),3),ROUND((L1013-$O$17+1)/360*12-ROUND(K1013,3),3)))))</f>
        <v/>
      </c>
      <c r="N1013" s="86"/>
      <c r="O1013" s="453" t="str">
        <f>IF(OR(G1013="",N1013=""),"",N1013*G1013)</f>
        <v/>
      </c>
      <c r="P1013" s="538" t="str">
        <f>IF(OR(H1013="",M1013="FUERA DE RANGO"),"",IF(OR(L1013&lt;$O$17,L1013&gt;$P$17,L1013="",H1013="NO"),"",IF(OR(N1013="",O1013=""),"",ROUND(O1013,3))))</f>
        <v/>
      </c>
      <c r="Q1013" s="539" t="str">
        <f t="shared" ref="Q1013:Q1022" si="287">IF(AND(H1013="SI",P1013&lt;&gt;""),ROUND(P1013/M1013,3),"")</f>
        <v/>
      </c>
      <c r="R1013" s="737"/>
      <c r="S1013" s="738"/>
      <c r="T1013" s="739"/>
      <c r="U1013" s="470"/>
      <c r="V1013" s="165"/>
      <c r="W1013" s="446"/>
      <c r="X1013" s="456"/>
      <c r="Y1013" s="436"/>
      <c r="Z1013" s="437"/>
      <c r="AA1013" s="560"/>
      <c r="AB1013" s="561"/>
      <c r="AC1013" s="87"/>
      <c r="AD1013" s="466"/>
      <c r="AE1013" s="456"/>
      <c r="AF1013" s="467"/>
      <c r="AG1013" s="87"/>
      <c r="AH1013" s="87"/>
      <c r="AI1013" s="87"/>
    </row>
    <row r="1014" spans="1:35" hidden="1">
      <c r="A1014" s="80" t="e">
        <f>"B"&amp;E1009</f>
        <v>#N/A</v>
      </c>
      <c r="B1014" s="81">
        <v>2</v>
      </c>
      <c r="C1014" s="106"/>
      <c r="D1014" s="106"/>
      <c r="E1014" s="106"/>
      <c r="F1014" s="106"/>
      <c r="G1014" s="83"/>
      <c r="H1014" s="83"/>
      <c r="I1014" s="84"/>
      <c r="J1014" s="85"/>
      <c r="K1014" s="382"/>
      <c r="L1014" s="85"/>
      <c r="M1014" s="332" t="str">
        <f t="shared" si="286"/>
        <v/>
      </c>
      <c r="N1014" s="86"/>
      <c r="O1014" s="453" t="str">
        <f t="shared" ref="O1014:O1022" si="288">IF(OR(G1014="",N1014=""),"",N1014*G1014)</f>
        <v/>
      </c>
      <c r="P1014" s="538" t="str">
        <f t="shared" ref="P1014:P1022" si="289">IF(OR(H1014="",M1014="FUERA DE RANGO"),"",IF(OR(L1014&lt;$O$17,L1014&gt;$P$17,L1014="",H1014="NO"),"",IF(OR(N1014="",O1014=""),"",ROUND(O1014,3))))</f>
        <v/>
      </c>
      <c r="Q1014" s="539" t="str">
        <f t="shared" si="287"/>
        <v/>
      </c>
      <c r="R1014" s="740"/>
      <c r="S1014" s="741"/>
      <c r="T1014" s="742"/>
      <c r="U1014" s="471"/>
      <c r="V1014" s="165"/>
      <c r="W1014" s="446"/>
      <c r="X1014" s="456"/>
      <c r="Y1014" s="436"/>
      <c r="Z1014" s="437"/>
      <c r="AA1014" s="560"/>
      <c r="AB1014" s="561"/>
      <c r="AC1014" s="87"/>
      <c r="AD1014" s="466"/>
      <c r="AE1014" s="456"/>
      <c r="AF1014" s="467"/>
      <c r="AG1014" s="87"/>
      <c r="AH1014" s="87"/>
      <c r="AI1014" s="87"/>
    </row>
    <row r="1015" spans="1:35" hidden="1">
      <c r="A1015" s="80" t="e">
        <f>"C"&amp;E1009</f>
        <v>#N/A</v>
      </c>
      <c r="B1015" s="88">
        <v>3</v>
      </c>
      <c r="C1015" s="82"/>
      <c r="D1015" s="82"/>
      <c r="E1015" s="82"/>
      <c r="F1015" s="82"/>
      <c r="G1015" s="83"/>
      <c r="H1015" s="83"/>
      <c r="I1015" s="84"/>
      <c r="J1015" s="85"/>
      <c r="K1015" s="382"/>
      <c r="L1015" s="85"/>
      <c r="M1015" s="332" t="str">
        <f t="shared" si="286"/>
        <v/>
      </c>
      <c r="N1015" s="86"/>
      <c r="O1015" s="453" t="str">
        <f t="shared" si="288"/>
        <v/>
      </c>
      <c r="P1015" s="538" t="str">
        <f t="shared" si="289"/>
        <v/>
      </c>
      <c r="Q1015" s="539" t="str">
        <f t="shared" si="287"/>
        <v/>
      </c>
      <c r="R1015" s="706"/>
      <c r="S1015" s="707"/>
      <c r="T1015" s="708"/>
      <c r="U1015" s="472"/>
      <c r="V1015" s="166"/>
      <c r="W1015" s="446"/>
      <c r="X1015" s="456"/>
      <c r="Y1015" s="436"/>
      <c r="Z1015" s="437"/>
      <c r="AA1015" s="560"/>
      <c r="AB1015" s="561"/>
      <c r="AC1015" s="87"/>
      <c r="AD1015" s="466"/>
      <c r="AE1015" s="456"/>
      <c r="AF1015" s="467"/>
      <c r="AG1015" s="87"/>
      <c r="AH1015" s="87"/>
      <c r="AI1015" s="87"/>
    </row>
    <row r="1016" spans="1:35" hidden="1">
      <c r="A1016" s="80" t="e">
        <f>"D"&amp;E1009</f>
        <v>#N/A</v>
      </c>
      <c r="B1016" s="105">
        <v>4</v>
      </c>
      <c r="C1016" s="107"/>
      <c r="D1016" s="107"/>
      <c r="E1016" s="107"/>
      <c r="F1016" s="107"/>
      <c r="G1016" s="83"/>
      <c r="H1016" s="83"/>
      <c r="I1016" s="84"/>
      <c r="J1016" s="85"/>
      <c r="K1016" s="382"/>
      <c r="L1016" s="85"/>
      <c r="M1016" s="332" t="str">
        <f t="shared" si="286"/>
        <v/>
      </c>
      <c r="N1016" s="86"/>
      <c r="O1016" s="453" t="str">
        <f t="shared" si="288"/>
        <v/>
      </c>
      <c r="P1016" s="538" t="str">
        <f t="shared" si="289"/>
        <v/>
      </c>
      <c r="Q1016" s="539" t="str">
        <f t="shared" si="287"/>
        <v/>
      </c>
      <c r="R1016" s="706"/>
      <c r="S1016" s="707"/>
      <c r="T1016" s="708"/>
      <c r="U1016" s="472"/>
      <c r="V1016" s="166"/>
      <c r="W1016" s="446"/>
      <c r="X1016" s="456"/>
      <c r="Y1016" s="436"/>
      <c r="Z1016" s="437"/>
      <c r="AA1016" s="560"/>
      <c r="AB1016" s="561"/>
      <c r="AC1016" s="87"/>
      <c r="AD1016" s="466"/>
      <c r="AE1016" s="456"/>
      <c r="AF1016" s="467"/>
      <c r="AG1016" s="87"/>
      <c r="AH1016" s="87"/>
      <c r="AI1016" s="87"/>
    </row>
    <row r="1017" spans="1:35" hidden="1">
      <c r="A1017" s="80" t="e">
        <f>"E"&amp;E1009</f>
        <v>#N/A</v>
      </c>
      <c r="B1017" s="105">
        <v>5</v>
      </c>
      <c r="C1017" s="107"/>
      <c r="D1017" s="107"/>
      <c r="E1017" s="107"/>
      <c r="F1017" s="107"/>
      <c r="G1017" s="83"/>
      <c r="H1017" s="83"/>
      <c r="I1017" s="84"/>
      <c r="J1017" s="85"/>
      <c r="K1017" s="382"/>
      <c r="L1017" s="85"/>
      <c r="M1017" s="332" t="str">
        <f t="shared" si="286"/>
        <v/>
      </c>
      <c r="N1017" s="86"/>
      <c r="O1017" s="453" t="str">
        <f t="shared" si="288"/>
        <v/>
      </c>
      <c r="P1017" s="538" t="str">
        <f t="shared" si="289"/>
        <v/>
      </c>
      <c r="Q1017" s="539" t="str">
        <f t="shared" si="287"/>
        <v/>
      </c>
      <c r="R1017" s="706"/>
      <c r="S1017" s="707"/>
      <c r="T1017" s="708"/>
      <c r="U1017" s="472"/>
      <c r="V1017" s="167"/>
      <c r="W1017" s="446"/>
      <c r="X1017" s="456"/>
      <c r="Y1017" s="436"/>
      <c r="Z1017" s="437"/>
      <c r="AA1017" s="560"/>
      <c r="AB1017" s="561"/>
      <c r="AC1017" s="87"/>
      <c r="AD1017" s="466"/>
      <c r="AE1017" s="456"/>
      <c r="AF1017" s="467"/>
      <c r="AG1017" s="87"/>
      <c r="AH1017" s="87"/>
      <c r="AI1017" s="87"/>
    </row>
    <row r="1018" spans="1:35" hidden="1">
      <c r="A1018" s="80" t="e">
        <f>"F"&amp;E1009</f>
        <v>#N/A</v>
      </c>
      <c r="B1018" s="105">
        <v>6</v>
      </c>
      <c r="C1018" s="107"/>
      <c r="D1018" s="107"/>
      <c r="E1018" s="107"/>
      <c r="F1018" s="107"/>
      <c r="G1018" s="83"/>
      <c r="H1018" s="83"/>
      <c r="I1018" s="84"/>
      <c r="J1018" s="85"/>
      <c r="K1018" s="382"/>
      <c r="L1018" s="85"/>
      <c r="M1018" s="332" t="str">
        <f t="shared" si="286"/>
        <v/>
      </c>
      <c r="N1018" s="86"/>
      <c r="O1018" s="453" t="str">
        <f t="shared" si="288"/>
        <v/>
      </c>
      <c r="P1018" s="538" t="str">
        <f t="shared" si="289"/>
        <v/>
      </c>
      <c r="Q1018" s="539" t="str">
        <f t="shared" si="287"/>
        <v/>
      </c>
      <c r="R1018" s="706"/>
      <c r="S1018" s="707"/>
      <c r="T1018" s="708"/>
      <c r="U1018" s="472"/>
      <c r="V1018" s="167"/>
      <c r="W1018" s="446"/>
      <c r="X1018" s="456"/>
      <c r="Y1018" s="436"/>
      <c r="Z1018" s="437"/>
      <c r="AA1018" s="560"/>
      <c r="AB1018" s="561"/>
      <c r="AC1018" s="87"/>
      <c r="AD1018" s="466"/>
      <c r="AE1018" s="456"/>
      <c r="AF1018" s="467"/>
      <c r="AG1018" s="87"/>
      <c r="AH1018" s="87"/>
      <c r="AI1018" s="87"/>
    </row>
    <row r="1019" spans="1:35" hidden="1">
      <c r="A1019" s="80" t="e">
        <f>"G"&amp;E1009</f>
        <v>#N/A</v>
      </c>
      <c r="B1019" s="105">
        <v>7</v>
      </c>
      <c r="C1019" s="107"/>
      <c r="D1019" s="107"/>
      <c r="E1019" s="107"/>
      <c r="F1019" s="107"/>
      <c r="G1019" s="83"/>
      <c r="H1019" s="83"/>
      <c r="I1019" s="84"/>
      <c r="J1019" s="85"/>
      <c r="K1019" s="382"/>
      <c r="L1019" s="85"/>
      <c r="M1019" s="332" t="str">
        <f t="shared" si="286"/>
        <v/>
      </c>
      <c r="N1019" s="86"/>
      <c r="O1019" s="86" t="str">
        <f t="shared" si="288"/>
        <v/>
      </c>
      <c r="P1019" s="538" t="str">
        <f t="shared" si="289"/>
        <v/>
      </c>
      <c r="Q1019" s="539" t="str">
        <f t="shared" si="287"/>
        <v/>
      </c>
      <c r="R1019" s="706"/>
      <c r="S1019" s="707"/>
      <c r="T1019" s="708"/>
      <c r="U1019" s="472"/>
      <c r="V1019" s="167"/>
      <c r="W1019" s="446"/>
      <c r="X1019" s="456"/>
      <c r="Y1019" s="436"/>
      <c r="Z1019" s="437"/>
      <c r="AA1019" s="560"/>
      <c r="AB1019" s="561"/>
      <c r="AC1019" s="87"/>
      <c r="AD1019" s="466"/>
      <c r="AE1019" s="456"/>
      <c r="AF1019" s="467"/>
      <c r="AG1019" s="87"/>
      <c r="AH1019" s="87"/>
      <c r="AI1019" s="87"/>
    </row>
    <row r="1020" spans="1:35" hidden="1">
      <c r="A1020" s="80" t="e">
        <f>"H"&amp;E1009</f>
        <v>#N/A</v>
      </c>
      <c r="B1020" s="105">
        <v>8</v>
      </c>
      <c r="C1020" s="107"/>
      <c r="D1020" s="107"/>
      <c r="E1020" s="107"/>
      <c r="F1020" s="107"/>
      <c r="G1020" s="83"/>
      <c r="H1020" s="83"/>
      <c r="I1020" s="84"/>
      <c r="J1020" s="85"/>
      <c r="K1020" s="382"/>
      <c r="L1020" s="85"/>
      <c r="M1020" s="332" t="str">
        <f t="shared" si="286"/>
        <v/>
      </c>
      <c r="N1020" s="453"/>
      <c r="O1020" s="86" t="str">
        <f t="shared" si="288"/>
        <v/>
      </c>
      <c r="P1020" s="538" t="str">
        <f t="shared" si="289"/>
        <v/>
      </c>
      <c r="Q1020" s="539" t="str">
        <f t="shared" si="287"/>
        <v/>
      </c>
      <c r="R1020" s="706"/>
      <c r="S1020" s="707"/>
      <c r="T1020" s="708"/>
      <c r="U1020" s="472"/>
      <c r="V1020" s="167"/>
      <c r="W1020" s="446"/>
      <c r="X1020" s="456"/>
      <c r="Y1020" s="436"/>
      <c r="Z1020" s="437"/>
      <c r="AA1020" s="560"/>
      <c r="AB1020" s="561"/>
      <c r="AC1020" s="87"/>
      <c r="AD1020" s="466"/>
      <c r="AE1020" s="456"/>
      <c r="AF1020" s="467"/>
      <c r="AG1020" s="87"/>
      <c r="AH1020" s="87"/>
      <c r="AI1020" s="87"/>
    </row>
    <row r="1021" spans="1:35" hidden="1">
      <c r="A1021" s="80" t="e">
        <f>"I"&amp;E1009</f>
        <v>#N/A</v>
      </c>
      <c r="B1021" s="105">
        <v>9</v>
      </c>
      <c r="C1021" s="107"/>
      <c r="D1021" s="107"/>
      <c r="E1021" s="107"/>
      <c r="F1021" s="107"/>
      <c r="G1021" s="83"/>
      <c r="H1021" s="83"/>
      <c r="I1021" s="84"/>
      <c r="J1021" s="85"/>
      <c r="K1021" s="382"/>
      <c r="L1021" s="85"/>
      <c r="M1021" s="332" t="str">
        <f t="shared" si="286"/>
        <v/>
      </c>
      <c r="N1021" s="453"/>
      <c r="O1021" s="86" t="str">
        <f t="shared" si="288"/>
        <v/>
      </c>
      <c r="P1021" s="538" t="str">
        <f t="shared" si="289"/>
        <v/>
      </c>
      <c r="Q1021" s="539" t="str">
        <f t="shared" si="287"/>
        <v/>
      </c>
      <c r="R1021" s="706"/>
      <c r="S1021" s="707"/>
      <c r="T1021" s="708"/>
      <c r="U1021" s="472"/>
      <c r="V1021" s="167"/>
      <c r="W1021" s="446"/>
      <c r="X1021" s="456"/>
      <c r="Y1021" s="436"/>
      <c r="Z1021" s="437"/>
      <c r="AA1021" s="560"/>
      <c r="AB1021" s="561"/>
      <c r="AC1021" s="87"/>
      <c r="AD1021" s="466"/>
      <c r="AE1021" s="456"/>
      <c r="AF1021" s="467"/>
      <c r="AG1021" s="87"/>
      <c r="AH1021" s="87"/>
      <c r="AI1021" s="87"/>
    </row>
    <row r="1022" spans="1:35" hidden="1">
      <c r="A1022" s="80" t="e">
        <f>"J"&amp;E1009</f>
        <v>#N/A</v>
      </c>
      <c r="B1022" s="105">
        <v>10</v>
      </c>
      <c r="C1022" s="107"/>
      <c r="D1022" s="107"/>
      <c r="E1022" s="107"/>
      <c r="F1022" s="107"/>
      <c r="G1022" s="83"/>
      <c r="H1022" s="83"/>
      <c r="I1022" s="84"/>
      <c r="J1022" s="85"/>
      <c r="K1022" s="382"/>
      <c r="L1022" s="85"/>
      <c r="M1022" s="332" t="str">
        <f t="shared" si="286"/>
        <v/>
      </c>
      <c r="N1022" s="453"/>
      <c r="O1022" s="86" t="str">
        <f t="shared" si="288"/>
        <v/>
      </c>
      <c r="P1022" s="538" t="str">
        <f t="shared" si="289"/>
        <v/>
      </c>
      <c r="Q1022" s="539" t="str">
        <f t="shared" si="287"/>
        <v/>
      </c>
      <c r="R1022" s="706"/>
      <c r="S1022" s="707"/>
      <c r="T1022" s="708"/>
      <c r="U1022" s="472"/>
      <c r="V1022" s="167"/>
      <c r="W1022" s="446"/>
      <c r="X1022" s="456"/>
      <c r="Y1022" s="436"/>
      <c r="Z1022" s="437"/>
      <c r="AA1022" s="560"/>
      <c r="AB1022" s="561"/>
      <c r="AC1022" s="87"/>
      <c r="AD1022" s="466"/>
      <c r="AE1022" s="456"/>
      <c r="AF1022" s="467"/>
      <c r="AG1022" s="87"/>
      <c r="AH1022" s="87"/>
      <c r="AI1022" s="87"/>
    </row>
    <row r="1023" spans="1:35" ht="16.5" hidden="1" thickBot="1">
      <c r="A1023" s="44"/>
      <c r="B1023" s="89"/>
      <c r="C1023" s="90"/>
      <c r="D1023" s="90"/>
      <c r="E1023" s="90"/>
      <c r="F1023" s="90"/>
      <c r="G1023" s="90"/>
      <c r="H1023" s="90"/>
      <c r="I1023" s="90"/>
      <c r="J1023" s="90"/>
      <c r="K1023" s="90"/>
      <c r="L1023" s="90"/>
      <c r="M1023" s="90"/>
      <c r="N1023" s="90"/>
      <c r="O1023" s="90"/>
      <c r="P1023" s="90"/>
      <c r="Q1023" s="90"/>
      <c r="R1023" s="90"/>
      <c r="S1023" s="91"/>
      <c r="T1023" s="92"/>
      <c r="U1023" s="473"/>
      <c r="W1023" s="438"/>
      <c r="X1023" s="455"/>
      <c r="Y1023" s="439"/>
      <c r="Z1023" s="437"/>
      <c r="AA1023" s="530"/>
      <c r="AB1023" s="563"/>
      <c r="AC1023" s="87"/>
      <c r="AD1023" s="440"/>
      <c r="AE1023" s="441"/>
      <c r="AF1023" s="442"/>
      <c r="AG1023" s="49"/>
      <c r="AH1023" s="87"/>
      <c r="AI1023" s="87"/>
    </row>
    <row r="1024" spans="1:35" ht="16.5" hidden="1" thickBot="1">
      <c r="A1024" s="93"/>
      <c r="B1024" s="94"/>
      <c r="C1024" s="96"/>
      <c r="D1024" s="96"/>
      <c r="E1024" s="96"/>
      <c r="F1024" s="96"/>
      <c r="G1024" s="96"/>
      <c r="H1024" s="96"/>
      <c r="I1024" s="96"/>
      <c r="J1024" s="96"/>
      <c r="K1024" s="96"/>
      <c r="L1024" s="96"/>
      <c r="M1024" s="136"/>
      <c r="N1024" s="96"/>
      <c r="O1024" s="96"/>
      <c r="P1024" s="97"/>
      <c r="Q1024" s="97"/>
      <c r="R1024" s="98"/>
      <c r="S1024" s="95"/>
      <c r="T1024" s="99"/>
      <c r="U1024" s="469"/>
      <c r="AC1024" s="58"/>
      <c r="AG1024" s="58"/>
      <c r="AH1024" s="87"/>
      <c r="AI1024" s="87"/>
    </row>
    <row r="1025" spans="1:35" ht="16.5" hidden="1" thickBot="1">
      <c r="B1025" s="101"/>
      <c r="C1025" s="101"/>
      <c r="D1025" s="101"/>
      <c r="E1025" s="101"/>
      <c r="F1025" s="101"/>
      <c r="G1025" s="101"/>
      <c r="H1025" s="101"/>
      <c r="I1025" s="101"/>
      <c r="J1025" s="101"/>
      <c r="K1025" s="101"/>
      <c r="L1025" s="101"/>
      <c r="M1025" s="101"/>
      <c r="N1025" s="101"/>
      <c r="O1025" s="101"/>
      <c r="P1025" s="101"/>
      <c r="Q1025" s="101"/>
      <c r="R1025" s="101"/>
      <c r="S1025" s="101"/>
      <c r="U1025" s="50"/>
      <c r="AH1025" s="87"/>
      <c r="AI1025" s="87"/>
    </row>
    <row r="1026" spans="1:35" ht="16.5" hidden="1" customHeight="1" thickBot="1">
      <c r="A1026" s="44"/>
      <c r="B1026" s="705" t="s">
        <v>74</v>
      </c>
      <c r="C1026" s="705"/>
      <c r="D1026" s="705"/>
      <c r="E1026" s="705"/>
      <c r="F1026" s="705"/>
      <c r="G1026" s="705"/>
      <c r="H1026" s="705"/>
      <c r="I1026" s="705"/>
      <c r="J1026" s="705"/>
      <c r="K1026" s="705"/>
      <c r="L1026" s="705"/>
      <c r="M1026" s="705"/>
      <c r="N1026" s="705"/>
      <c r="O1026" s="705"/>
      <c r="P1026" s="705"/>
      <c r="Q1026" s="705"/>
      <c r="R1026" s="705"/>
      <c r="S1026" s="705"/>
      <c r="T1026" s="705"/>
      <c r="U1026" s="108"/>
      <c r="Y1026" s="532" t="s">
        <v>341</v>
      </c>
      <c r="AC1026" s="49"/>
      <c r="AD1026" s="687" t="s">
        <v>302</v>
      </c>
      <c r="AE1026" s="688"/>
      <c r="AF1026" s="689"/>
      <c r="AG1026" s="49"/>
      <c r="AH1026" s="87"/>
      <c r="AI1026" s="87"/>
    </row>
    <row r="1027" spans="1:35" ht="15.75" hidden="1" customHeight="1" thickBot="1">
      <c r="A1027" s="218" t="e">
        <f>"K"&amp;E1009</f>
        <v>#N/A</v>
      </c>
      <c r="B1027" s="701" t="s">
        <v>71</v>
      </c>
      <c r="C1027" s="751" t="s">
        <v>102</v>
      </c>
      <c r="D1027" s="751"/>
      <c r="E1027" s="751"/>
      <c r="F1027" s="751"/>
      <c r="G1027" s="751"/>
      <c r="H1027" s="751"/>
      <c r="I1027" s="751"/>
      <c r="J1027" s="751"/>
      <c r="K1027" s="751"/>
      <c r="L1027" s="722" t="s">
        <v>100</v>
      </c>
      <c r="M1027" s="747" t="s">
        <v>114</v>
      </c>
      <c r="N1027" s="747"/>
      <c r="O1027" s="747"/>
      <c r="P1027" s="747"/>
      <c r="Q1027" s="748"/>
      <c r="R1027" s="758" t="s">
        <v>280</v>
      </c>
      <c r="S1027" s="748"/>
      <c r="T1027" s="762" t="str">
        <f>IF(COUNTIF(AE1027:AF1027,"VERIFICAR")&gt;0,"VERIFICAR",IF(COUNTIF(AE1027:AF1027,"NO CUMPLE")&gt;0,"NO CUMPLE","CUMPLE"))</f>
        <v>VERIFICAR</v>
      </c>
      <c r="U1027" s="108"/>
      <c r="Y1027" s="533" t="e">
        <f>IF(F1028="","",IF(F1028=1,"INDIVIDUAL","ESTRUCTURA PLURAL"))</f>
        <v>#N/A</v>
      </c>
      <c r="AC1027" s="52"/>
      <c r="AD1027" s="475" t="s">
        <v>303</v>
      </c>
      <c r="AE1027" s="476" t="str">
        <f>IF(COUNTIF(AE1013:AE1022,"")=10,"VERIFICAR",IF(COUNTIF(AE1013:AE1022,"SI")&gt;0,"CUMPLE","NO CUMPLE"))</f>
        <v>VERIFICAR</v>
      </c>
      <c r="AF1027" s="477" t="str">
        <f>IF(COUNTIF(AF1013:AF1022,"")=10,"VERIFICAR",IF(COUNTIF(AF1013:AF1022,"SI")&gt;=$AI$22,"CUMPLE","NO CUMPLE"))</f>
        <v>VERIFICAR</v>
      </c>
      <c r="AG1027" s="52"/>
      <c r="AH1027" s="87"/>
      <c r="AI1027" s="87"/>
    </row>
    <row r="1028" spans="1:35" ht="16.5" hidden="1" customHeight="1" thickBot="1">
      <c r="A1028" s="218" t="e">
        <f>"L"&amp;E1009</f>
        <v>#N/A</v>
      </c>
      <c r="B1028" s="702"/>
      <c r="C1028" s="751" t="s">
        <v>103</v>
      </c>
      <c r="D1028" s="751"/>
      <c r="E1028" s="752"/>
      <c r="F1028" s="557" t="e">
        <f>IF(VLOOKUP(E1009,PROPONENTES!$C$19:$E$218,3,0)="","",VLOOKUP(E1009,PROPONENTES!$C$19:$E$218,3,0))</f>
        <v>#N/A</v>
      </c>
      <c r="G1028" s="753" t="s">
        <v>104</v>
      </c>
      <c r="H1028" s="751"/>
      <c r="I1028" s="715" t="e">
        <f>IF(OR(F1028="",F1028=1),"INTERESADO PERSONA NATURAL O JURIDICA","CONSORCIO O UNION TEMPORAL")</f>
        <v>#N/A</v>
      </c>
      <c r="J1028" s="725"/>
      <c r="K1028" s="728"/>
      <c r="L1028" s="723"/>
      <c r="M1028" s="749"/>
      <c r="N1028" s="749"/>
      <c r="O1028" s="749"/>
      <c r="P1028" s="749"/>
      <c r="Q1028" s="750"/>
      <c r="R1028" s="712"/>
      <c r="S1028" s="750"/>
      <c r="T1028" s="763"/>
      <c r="U1028" s="108"/>
      <c r="Y1028" s="534"/>
      <c r="AA1028" s="52"/>
      <c r="AB1028" s="52"/>
      <c r="AC1028" s="52"/>
      <c r="AG1028" s="52"/>
      <c r="AH1028" s="87"/>
      <c r="AI1028" s="87"/>
    </row>
    <row r="1029" spans="1:35" ht="56.25" hidden="1" customHeight="1" thickBot="1">
      <c r="A1029" s="218" t="e">
        <f>"M"&amp;E1009</f>
        <v>#N/A</v>
      </c>
      <c r="B1029" s="702"/>
      <c r="C1029" s="725" t="s">
        <v>101</v>
      </c>
      <c r="D1029" s="716"/>
      <c r="E1029" s="558" t="s">
        <v>105</v>
      </c>
      <c r="F1029" s="554" t="s">
        <v>87</v>
      </c>
      <c r="G1029" s="553" t="s">
        <v>86</v>
      </c>
      <c r="H1029" s="559" t="s">
        <v>85</v>
      </c>
      <c r="I1029" s="554" t="s">
        <v>252</v>
      </c>
      <c r="J1029" s="553" t="str">
        <f>"¿EL INTEGRANTE TIENE UNA PARTICIPACIÓN DEL "&amp;PORCREQUERIDOINT*100&amp;"%?"</f>
        <v>¿EL INTEGRANTE TIENE UNA PARTICIPACIÓN DEL 60%?</v>
      </c>
      <c r="K1029" s="554" t="s">
        <v>107</v>
      </c>
      <c r="L1029" s="724"/>
      <c r="M1029" s="717" t="s">
        <v>115</v>
      </c>
      <c r="N1029" s="718"/>
      <c r="O1029" s="718"/>
      <c r="P1029" s="718"/>
      <c r="Q1029" s="223">
        <f>IF(AND(H1013="SI",P1013&gt;=0),1,0)+IF(AND(H1014="SI",P1014&gt;=0),1,0)+IF(AND(H1015="SI",P1015&gt;=0),1,0)+IF(AND(H1016="SI",P1016&gt;=0),1,0)+IF(AND(H1017="SI",P1017&gt;=0),1,0)+IF(AND(H1018="SI",P1018&gt;=0),1,0)+IF(AND(H1019="SI",P1019&gt;=0),1,0)+IF(AND(H1020="SI",P1020&gt;=0),1,0)+IF(AND(H1021="SI",P1021&gt;=0),1,0)+IF(AND(H1022="SI",P1022&gt;=0),1,0)</f>
        <v>0</v>
      </c>
      <c r="R1029" s="759"/>
      <c r="S1029" s="761"/>
      <c r="T1029" s="764"/>
      <c r="U1029" s="219"/>
      <c r="V1029" s="464"/>
      <c r="Y1029" s="532" t="s">
        <v>342</v>
      </c>
      <c r="AA1029" s="550" t="s">
        <v>344</v>
      </c>
      <c r="AB1029" s="693" t="s">
        <v>345</v>
      </c>
      <c r="AC1029" s="693" t="s">
        <v>346</v>
      </c>
      <c r="AD1029" s="685" t="s">
        <v>347</v>
      </c>
      <c r="AE1029" s="52"/>
      <c r="AF1029" s="52"/>
      <c r="AG1029" s="52"/>
      <c r="AH1029" s="87"/>
      <c r="AI1029" s="87"/>
    </row>
    <row r="1030" spans="1:35" ht="15.75" hidden="1" customHeight="1" thickBot="1">
      <c r="A1030" s="218" t="e">
        <f>"N"&amp;E1009</f>
        <v>#N/A</v>
      </c>
      <c r="B1030" s="702"/>
      <c r="C1030" s="114">
        <v>1</v>
      </c>
      <c r="D1030" s="194" t="e">
        <f>IF(AND(C1030&lt;=F1028,F1028&gt;1,F1028&lt;&gt;""),VLOOKUP(VALUE(E1009&amp;","&amp;C1030),INTEGRANTES!$D$18:$F$235,2,0),"")</f>
        <v>#N/A</v>
      </c>
      <c r="E1030" s="211" t="e">
        <f>IF(D1030&lt;&gt;"",VLOOKUP(VALUE(E1009&amp;","&amp;C1030),INTEGRANTES!$D$18:$F$235,3,0),"")</f>
        <v>#N/A</v>
      </c>
      <c r="F1030" s="547" t="e">
        <f>IF(D1030="","",SUMIF($I1013:$I1022,D1030,$P1013:$P1022))</f>
        <v>#N/A</v>
      </c>
      <c r="G1030" s="333" t="e">
        <f>IF(D1030="","",SUMIF($I1013:$I1022,D1030,$M1013:$M1022))</f>
        <v>#N/A</v>
      </c>
      <c r="H1030" s="535" t="e">
        <f t="shared" ref="H1030:H1035" si="290">IF(D1030="","",IF(OR(F1030=0,G1030=0),"NO APORTA",ROUND($F1030/$G1030,3)))</f>
        <v>#N/A</v>
      </c>
      <c r="I1030" s="212" t="e">
        <f>IF(D1030="","",IF(H1030="NO APORTA","NO",IF(H1030=MAX($H1030:$H1035),"SI","NO")))</f>
        <v>#N/A</v>
      </c>
      <c r="J1030" s="213" t="e">
        <f t="shared" ref="J1030:J1035" si="291">IF(D1030="","",IF(E1030&gt;=PORCREQUERIDOINT,"SI","NO"))</f>
        <v>#N/A</v>
      </c>
      <c r="K1030" s="200" t="e">
        <f t="shared" ref="K1030:K1035" si="292">IF(D1030="","",IF(AND(I1030="SI",J1030="SI"),"CUMPLE",IF(AND(I1030="NO",OR(J1030="SI",J1030="NO")),"","NO CUMPLE")))</f>
        <v>#N/A</v>
      </c>
      <c r="L1030" s="722" t="s">
        <v>108</v>
      </c>
      <c r="M1030" s="726" t="s">
        <v>119</v>
      </c>
      <c r="N1030" s="726"/>
      <c r="O1030" s="726"/>
      <c r="P1030" s="726"/>
      <c r="Q1030" s="727"/>
      <c r="R1030" s="758" t="s">
        <v>80</v>
      </c>
      <c r="S1030" s="747"/>
      <c r="T1030" s="748"/>
      <c r="U1030" s="219"/>
      <c r="V1030" s="464"/>
      <c r="Y1030" s="533" t="e">
        <f>IF(Y1027="","",IF(Y1027="INDIVIDUAL","NO APLICA","VERIFICAR CUADRO"))</f>
        <v>#N/A</v>
      </c>
      <c r="AA1030" s="551"/>
      <c r="AB1030" s="694"/>
      <c r="AC1030" s="694"/>
      <c r="AD1030" s="686"/>
      <c r="AE1030" s="52"/>
      <c r="AF1030" s="52"/>
      <c r="AG1030" s="52"/>
      <c r="AH1030" s="87"/>
      <c r="AI1030" s="87"/>
    </row>
    <row r="1031" spans="1:35" ht="27" hidden="1" customHeight="1" thickBot="1">
      <c r="A1031" s="218" t="e">
        <f>"O"&amp;E1009</f>
        <v>#N/A</v>
      </c>
      <c r="B1031" s="702"/>
      <c r="C1031" s="114">
        <v>2</v>
      </c>
      <c r="D1031" s="194" t="e">
        <f>IF(AND(C1031&lt;=F1028,F1028&lt;&gt;""),VLOOKUP(VALUE(E1009&amp;","&amp;C1031),INTEGRANTES!$D$18:$F$235,2,0),"")</f>
        <v>#N/A</v>
      </c>
      <c r="E1031" s="211" t="e">
        <f>IF(D1031&lt;&gt;"",VLOOKUP(VALUE(E1009&amp;","&amp;C1031),INTEGRANTES!$D$18:$F$235,3,0),"")</f>
        <v>#N/A</v>
      </c>
      <c r="F1031" s="547" t="e">
        <f>IF(D1031="","",SUMIF($I1013:$I1022,D1031,$P1013:$P1022))</f>
        <v>#N/A</v>
      </c>
      <c r="G1031" s="333" t="e">
        <f>IF(D1031="","",SUMIF($I1013:$I1022,D1031,$M1013:$M1022))</f>
        <v>#N/A</v>
      </c>
      <c r="H1031" s="535" t="e">
        <f t="shared" si="290"/>
        <v>#N/A</v>
      </c>
      <c r="I1031" s="212" t="e">
        <f>IF(D1031="","",IF(H1031="NO APORTA","NO",IF(H1031=MAX($H1030:$H1035),"SI","NO")))</f>
        <v>#N/A</v>
      </c>
      <c r="J1031" s="213" t="e">
        <f t="shared" si="291"/>
        <v>#N/A</v>
      </c>
      <c r="K1031" s="200" t="e">
        <f t="shared" si="292"/>
        <v>#N/A</v>
      </c>
      <c r="L1031" s="723"/>
      <c r="M1031" s="715" t="s">
        <v>116</v>
      </c>
      <c r="N1031" s="716"/>
      <c r="O1031" s="556" t="s">
        <v>113</v>
      </c>
      <c r="P1031" s="715" t="s">
        <v>117</v>
      </c>
      <c r="Q1031" s="728"/>
      <c r="R1031" s="759"/>
      <c r="S1031" s="760"/>
      <c r="T1031" s="761"/>
      <c r="U1031" s="219"/>
      <c r="V1031" s="464"/>
      <c r="Y1031" s="414"/>
      <c r="AA1031" s="542" t="e">
        <f>IF(AND(C1030&lt;=F1028,F1028&gt;1,F1028&lt;&gt;""),VLOOKUP(VALUE(E1009&amp;","&amp;C1030),INTEGRANTES!$D$18:$F$235,2,0),"")</f>
        <v>#N/A</v>
      </c>
      <c r="AB1031" s="544" t="e">
        <f t="shared" ref="AB1031:AB1036" si="293">IF(D1030="","",IF(OR(F1030=0,G1030=0),"NO APORTA",ROUND($F1030/$G1030,3)))</f>
        <v>#N/A</v>
      </c>
      <c r="AC1031" s="529"/>
      <c r="AD1031" s="200" t="e">
        <f t="shared" ref="AD1031:AD1036" si="294">IF(OR(AA1031="",AB1031=""),"",IF(AND(AC1031="X",AB1031&gt;=EXPREQVTD),"CUMPLE","NO CUMPLE"))</f>
        <v>#N/A</v>
      </c>
      <c r="AE1031" s="52"/>
      <c r="AF1031" s="52"/>
      <c r="AG1031" s="52"/>
      <c r="AH1031" s="87"/>
      <c r="AI1031" s="87"/>
    </row>
    <row r="1032" spans="1:35" ht="16.5" hidden="1" thickBot="1">
      <c r="A1032" s="218" t="e">
        <f>"P"&amp;E1009</f>
        <v>#N/A</v>
      </c>
      <c r="B1032" s="702"/>
      <c r="C1032" s="114">
        <v>3</v>
      </c>
      <c r="D1032" s="194" t="e">
        <f>IF(AND(C1032&lt;=F1028,F1028&lt;&gt;""),VLOOKUP(VALUE(E1009&amp;","&amp;C1032),INTEGRANTES!$D$18:$F$235,2,0),"")</f>
        <v>#N/A</v>
      </c>
      <c r="E1032" s="211" t="e">
        <f>IF(D1032&lt;&gt;"",VLOOKUP(VALUE(E1009&amp;","&amp;C1032),INTEGRANTES!$D$18:$F$235,3,0),"")</f>
        <v>#N/A</v>
      </c>
      <c r="F1032" s="547" t="e">
        <f>IF(D1032="","",SUMIF($I1013:$I1022,D1032,$P1013:$P1022))</f>
        <v>#N/A</v>
      </c>
      <c r="G1032" s="333" t="e">
        <f>IF(D1032="","",SUMIF($I1013:$I1022,D1032,$M1013:$M1022))</f>
        <v>#N/A</v>
      </c>
      <c r="H1032" s="535" t="e">
        <f t="shared" si="290"/>
        <v>#N/A</v>
      </c>
      <c r="I1032" s="212" t="e">
        <f>IF(D1032="","",IF(H1032="NO APORTA","NO",IF(H1032=MAX($H1030:$H1035),"SI","NO")))</f>
        <v>#N/A</v>
      </c>
      <c r="J1032" s="213" t="e">
        <f t="shared" si="291"/>
        <v>#N/A</v>
      </c>
      <c r="K1032" s="200" t="e">
        <f t="shared" si="292"/>
        <v>#N/A</v>
      </c>
      <c r="L1032" s="724"/>
      <c r="M1032" s="729">
        <f>NUMMOD</f>
        <v>1</v>
      </c>
      <c r="N1032" s="730"/>
      <c r="O1032" s="443">
        <f>IF(M1032="","",VLOOKUP(M1032,PRESUPUESTOS!$B$16:$H$16,5,FALSE))</f>
        <v>2</v>
      </c>
      <c r="P1032" s="713">
        <f>IF(OR(COUNTIF(M1013:M1022,"")&gt;=10,Q1029&lt;NUMMINCONT,OR(T1027="NO CUMPLE",T1027="VERIFICAR")),0,ROUND(AVERAGE(M1013:M1022),3))</f>
        <v>0</v>
      </c>
      <c r="Q1032" s="714"/>
      <c r="R1032" s="458"/>
      <c r="S1032" s="459"/>
      <c r="T1032" s="460"/>
      <c r="U1032" s="219"/>
      <c r="V1032" s="464"/>
      <c r="Y1032" s="532" t="str">
        <f>"40% * ("&amp;PRESUPUESTOS!$H$13&amp;")"</f>
        <v>40% * (50% PFMO)</v>
      </c>
      <c r="AA1032" s="540" t="e">
        <f>IF(AND(C1031&lt;=F1028,F1028&lt;&gt;""),VLOOKUP(VALUE(E1009&amp;","&amp;C1031),INTEGRANTES!$D$18:$F$235,2,0),"")</f>
        <v>#N/A</v>
      </c>
      <c r="AB1032" s="545" t="e">
        <f t="shared" si="293"/>
        <v>#N/A</v>
      </c>
      <c r="AC1032" s="529"/>
      <c r="AD1032" s="200" t="e">
        <f t="shared" si="294"/>
        <v>#N/A</v>
      </c>
      <c r="AE1032" s="52"/>
      <c r="AF1032" s="52"/>
      <c r="AG1032" s="52"/>
      <c r="AH1032" s="87"/>
      <c r="AI1032" s="87"/>
    </row>
    <row r="1033" spans="1:35" ht="15.75" hidden="1" customHeight="1" thickBot="1">
      <c r="A1033" s="218" t="e">
        <f>"Q"&amp;E1009</f>
        <v>#N/A</v>
      </c>
      <c r="B1033" s="702"/>
      <c r="C1033" s="114">
        <v>4</v>
      </c>
      <c r="D1033" s="194" t="e">
        <f>IF(AND(C1033&lt;=F1028,F1028&lt;&gt;""),VLOOKUP(VALUE(E1009&amp;","&amp;C1033),INTEGRANTES!$D$18:$F$235,2,0),"")</f>
        <v>#N/A</v>
      </c>
      <c r="E1033" s="211" t="e">
        <f>IF(D1033&lt;&gt;"",VLOOKUP(VALUE(E1009&amp;","&amp;C1033),INTEGRANTES!$D$18:$F$235,3,0),"")</f>
        <v>#N/A</v>
      </c>
      <c r="F1033" s="547" t="e">
        <f>IF(D1033="","",SUMIF($I1013:$I1022,D1033,$P1013:$P1022))</f>
        <v>#N/A</v>
      </c>
      <c r="G1033" s="333" t="e">
        <f>IF(D1033="","",SUMIF($I1013:$I1022,D1033,$M1013:$M1022))</f>
        <v>#N/A</v>
      </c>
      <c r="H1033" s="535" t="e">
        <f t="shared" si="290"/>
        <v>#N/A</v>
      </c>
      <c r="I1033" s="212" t="e">
        <f>IF(D1033="","",IF(H1033="NO APORTA","NO",IF(H1033=MAX($H1030:$H1035),"SI","NO")))</f>
        <v>#N/A</v>
      </c>
      <c r="J1033" s="213" t="e">
        <f t="shared" si="291"/>
        <v>#N/A</v>
      </c>
      <c r="K1033" s="200" t="e">
        <f t="shared" si="292"/>
        <v>#N/A</v>
      </c>
      <c r="L1033" s="720" t="s">
        <v>109</v>
      </c>
      <c r="M1033" s="757" t="s">
        <v>120</v>
      </c>
      <c r="N1033" s="726"/>
      <c r="O1033" s="726"/>
      <c r="P1033" s="726"/>
      <c r="Q1033" s="727"/>
      <c r="R1033" s="458"/>
      <c r="S1033" s="459"/>
      <c r="T1033" s="460"/>
      <c r="U1033" s="219"/>
      <c r="V1033" s="464"/>
      <c r="Y1033" s="537">
        <f>0.4*PRESUPUESTOS!$H$16</f>
        <v>10.3124</v>
      </c>
      <c r="AA1033" s="540" t="e">
        <f>IF(AND(C1032&lt;=F1028,F1028&lt;&gt;""),VLOOKUP(VALUE(E1009&amp;","&amp;C1032),INTEGRANTES!$D$18:$F$235,2,0),"")</f>
        <v>#N/A</v>
      </c>
      <c r="AB1033" s="545" t="e">
        <f t="shared" si="293"/>
        <v>#N/A</v>
      </c>
      <c r="AC1033" s="529"/>
      <c r="AD1033" s="200" t="e">
        <f t="shared" si="294"/>
        <v>#N/A</v>
      </c>
      <c r="AE1033" s="52"/>
      <c r="AF1033" s="52"/>
      <c r="AG1033" s="52"/>
      <c r="AH1033" s="87"/>
      <c r="AI1033" s="87"/>
    </row>
    <row r="1034" spans="1:35" ht="27" hidden="1" customHeight="1" thickBot="1">
      <c r="A1034" s="218" t="e">
        <f>"R"&amp;E1009</f>
        <v>#N/A</v>
      </c>
      <c r="B1034" s="702"/>
      <c r="C1034" s="114">
        <v>5</v>
      </c>
      <c r="D1034" s="194" t="e">
        <f>IF(AND(C1034&lt;=F1028,F1028&lt;&gt;""),VLOOKUP(VALUE(E1009&amp;","&amp;C1034),INTEGRANTES!$D$18:$F$235,2,0),"")</f>
        <v>#N/A</v>
      </c>
      <c r="E1034" s="211" t="e">
        <f>IF(D1034&lt;&gt;"",VLOOKUP(VALUE(E1009&amp;","&amp;C1034),INTEGRANTES!$D$18:$F$235,3,0),"")</f>
        <v>#N/A</v>
      </c>
      <c r="F1034" s="547" t="e">
        <f>IF(D1034="","",SUMIF($I1013:$I1022,D1034,$P1013:$P1022))</f>
        <v>#N/A</v>
      </c>
      <c r="G1034" s="333" t="e">
        <f>IF(D1034="","",SUMIF($I1013:$I1022,D1034,$M1013:$M1022))</f>
        <v>#N/A</v>
      </c>
      <c r="H1034" s="535" t="e">
        <f t="shared" si="290"/>
        <v>#N/A</v>
      </c>
      <c r="I1034" s="212" t="e">
        <f>IF(D1034="","",IF(H1034="NO APORTA","NO",IF(H1034=MAX($H1030:$H1035),"SI","NO")))</f>
        <v>#N/A</v>
      </c>
      <c r="J1034" s="213" t="e">
        <f t="shared" si="291"/>
        <v>#N/A</v>
      </c>
      <c r="K1034" s="200" t="e">
        <f t="shared" si="292"/>
        <v>#N/A</v>
      </c>
      <c r="L1034" s="721"/>
      <c r="M1034" s="715" t="s">
        <v>116</v>
      </c>
      <c r="N1034" s="716"/>
      <c r="O1034" s="556" t="str">
        <f>PORCREQUERIDO*100&amp;"% PMFO DEL MÓDULO"</f>
        <v>50% PMFO DEL MÓDULO</v>
      </c>
      <c r="P1034" s="715" t="s">
        <v>118</v>
      </c>
      <c r="Q1034" s="728"/>
      <c r="R1034" s="458"/>
      <c r="S1034" s="459"/>
      <c r="T1034" s="460"/>
      <c r="U1034" s="219"/>
      <c r="V1034" s="464"/>
      <c r="Y1034" s="414"/>
      <c r="AA1034" s="540" t="e">
        <f>IF(AND(C1033&lt;=F1028,F1028&lt;&gt;""),VLOOKUP(VALUE(E1009&amp;","&amp;C1033),INTEGRANTES!$D$18:$F$235,2,0),"")</f>
        <v>#N/A</v>
      </c>
      <c r="AB1034" s="545" t="e">
        <f t="shared" si="293"/>
        <v>#N/A</v>
      </c>
      <c r="AC1034" s="529"/>
      <c r="AD1034" s="200" t="e">
        <f t="shared" si="294"/>
        <v>#N/A</v>
      </c>
      <c r="AE1034" s="52"/>
      <c r="AF1034" s="52"/>
      <c r="AG1034" s="52"/>
      <c r="AH1034" s="87"/>
      <c r="AI1034" s="87"/>
    </row>
    <row r="1035" spans="1:35" ht="16.5" hidden="1" thickBot="1">
      <c r="A1035" s="218" t="e">
        <f>"S"&amp;E1009</f>
        <v>#N/A</v>
      </c>
      <c r="B1035" s="702"/>
      <c r="C1035" s="215">
        <v>6</v>
      </c>
      <c r="D1035" s="216" t="e">
        <f>IF(AND(C1035&lt;=F1028,F1028&lt;&gt;""),VLOOKUP(VALUE(E1009&amp;","&amp;C1035),INTEGRANTES!$D$18:$F$235,2,0),"")</f>
        <v>#N/A</v>
      </c>
      <c r="E1035" s="217" t="e">
        <f>IF(D1035&lt;&gt;"",VLOOKUP(VALUE(E1009&amp;","&amp;C1035),INTEGRANTES!$D$18:$F$235,3,0),"")</f>
        <v>#N/A</v>
      </c>
      <c r="F1035" s="548" t="e">
        <f>IF(D1035="","",SUMIF($I1013:$I1022,D1035,$P1013:$P1022))</f>
        <v>#N/A</v>
      </c>
      <c r="G1035" s="334" t="e">
        <f>IF(D1035="","",SUMIF($I1013:$I1022,D1035,$M1013:$M1022))</f>
        <v>#N/A</v>
      </c>
      <c r="H1035" s="536" t="e">
        <f t="shared" si="290"/>
        <v>#N/A</v>
      </c>
      <c r="I1035" s="214" t="e">
        <f>IF(D1035="","",IF(H1035="NO APORTA","NO",IF(H1035=MAX($H1030:$H1035),"SI","NO")))</f>
        <v>#N/A</v>
      </c>
      <c r="J1035" s="213" t="e">
        <f t="shared" si="291"/>
        <v>#N/A</v>
      </c>
      <c r="K1035" s="200" t="e">
        <f t="shared" si="292"/>
        <v>#N/A</v>
      </c>
      <c r="L1035" s="721"/>
      <c r="M1035" s="729">
        <f>NUMMOD</f>
        <v>1</v>
      </c>
      <c r="N1035" s="730"/>
      <c r="O1035" s="443">
        <f>IF(M1035="","",ROUND(VLOOKUP(M1035,PRESUPUESTOS!$B$16:$H$16,7,FALSE),3))</f>
        <v>25.780999999999999</v>
      </c>
      <c r="P1035" s="713">
        <f>IF(OR(COUNTIF(P1013:P1022,"")&gt;=10,Q1029&lt;NUMMINCONT,OR(T1027="NO CUMPLE",T1027="VERIFICAR")),0,ROUND((SUM(P1013:P1022)/SUM(M1013:M1022)),3))</f>
        <v>0</v>
      </c>
      <c r="Q1035" s="714"/>
      <c r="R1035" s="458"/>
      <c r="S1035" s="459"/>
      <c r="T1035" s="460"/>
      <c r="U1035" s="219"/>
      <c r="V1035" s="464"/>
      <c r="Y1035" s="532" t="s">
        <v>343</v>
      </c>
      <c r="AA1035" s="540" t="e">
        <f>IF(AND(C1034&lt;=F1028,F1028&lt;&gt;""),VLOOKUP(VALUE(E1009&amp;","&amp;C1034),INTEGRANTES!$D$18:$F$235,2,0),"")</f>
        <v>#N/A</v>
      </c>
      <c r="AB1035" s="545" t="e">
        <f t="shared" si="293"/>
        <v>#N/A</v>
      </c>
      <c r="AC1035" s="529"/>
      <c r="AD1035" s="200" t="e">
        <f t="shared" si="294"/>
        <v>#N/A</v>
      </c>
      <c r="AE1035" s="52"/>
      <c r="AF1035" s="52"/>
      <c r="AG1035" s="52"/>
      <c r="AH1035" s="87"/>
      <c r="AI1035" s="87"/>
    </row>
    <row r="1036" spans="1:35" ht="16.5" hidden="1" customHeight="1" thickBot="1">
      <c r="A1036" s="218" t="e">
        <f>"T"&amp;E1009</f>
        <v>#N/A</v>
      </c>
      <c r="B1036" s="703"/>
      <c r="C1036" s="719"/>
      <c r="D1036" s="719"/>
      <c r="E1036" s="719"/>
      <c r="F1036" s="719"/>
      <c r="G1036" s="719"/>
      <c r="H1036" s="719" t="s">
        <v>110</v>
      </c>
      <c r="I1036" s="719"/>
      <c r="J1036" s="719"/>
      <c r="K1036" s="201" t="str">
        <f>IF(COUNTIF(K1030:K1035,"")=6,"",IF(COUNTIF(K1030:K1035,"CUMPLE")&gt;0,"CUMPLE","NO CUMPLE"))</f>
        <v>NO CUMPLE</v>
      </c>
      <c r="L1036" s="754"/>
      <c r="M1036" s="755"/>
      <c r="N1036" s="755"/>
      <c r="O1036" s="755"/>
      <c r="P1036" s="755"/>
      <c r="Q1036" s="756"/>
      <c r="R1036" s="461"/>
      <c r="S1036" s="462"/>
      <c r="T1036" s="463"/>
      <c r="U1036" s="219"/>
      <c r="V1036" s="464"/>
      <c r="Y1036" s="549" t="e">
        <f>IF(Y1030="NO APLICA","NO APLICA",IF(COUNTIF(AD1031:AD1036,"CUMPLE")&gt;0,"CUMPLE","NO CUMPLE"))</f>
        <v>#N/A</v>
      </c>
      <c r="AA1036" s="541" t="e">
        <f>IF(AND(C1035&lt;=F1028,F1028&lt;&gt;""),VLOOKUP(VALUE(E1009&amp;","&amp;C1035),INTEGRANTES!$D$18:$F$235,2,0),"")</f>
        <v>#N/A</v>
      </c>
      <c r="AB1036" s="546" t="e">
        <f t="shared" si="293"/>
        <v>#N/A</v>
      </c>
      <c r="AC1036" s="543"/>
      <c r="AD1036" s="201" t="e">
        <f t="shared" si="294"/>
        <v>#N/A</v>
      </c>
      <c r="AE1036" s="52"/>
      <c r="AF1036" s="52"/>
      <c r="AG1036" s="52"/>
      <c r="AH1036" s="87"/>
      <c r="AI1036" s="87"/>
    </row>
    <row r="1037" spans="1:35" hidden="1">
      <c r="AH1037" s="87"/>
      <c r="AI1037" s="87"/>
    </row>
    <row r="1038" spans="1:35" hidden="1">
      <c r="AH1038" s="87"/>
      <c r="AI1038" s="87"/>
    </row>
    <row r="1039" spans="1:35" ht="24" hidden="1" thickBot="1">
      <c r="A1039" s="61">
        <v>35</v>
      </c>
      <c r="B1039" s="704" t="s">
        <v>51</v>
      </c>
      <c r="C1039" s="704"/>
      <c r="D1039" s="704"/>
      <c r="E1039" s="62" t="e">
        <f>VLOOKUP(A1039,PROPONENTES!$B$19:$E$218,2,FALSE)</f>
        <v>#N/A</v>
      </c>
      <c r="F1039" s="63" t="e">
        <f>VLOOKUP(A1039,PROPONENTES!$B$19:$E$218,3,FALSE)</f>
        <v>#N/A</v>
      </c>
      <c r="G1039" s="64"/>
      <c r="H1039" s="64"/>
      <c r="I1039" s="63"/>
      <c r="J1039" s="63"/>
      <c r="K1039" s="65"/>
      <c r="L1039" s="65"/>
      <c r="M1039" s="64"/>
      <c r="N1039" s="64"/>
      <c r="O1039" s="66"/>
      <c r="P1039" s="66"/>
      <c r="Q1039" s="66"/>
      <c r="R1039" s="66"/>
      <c r="S1039" s="67"/>
      <c r="T1039" s="68"/>
      <c r="U1039" s="68"/>
      <c r="AC1039" s="68"/>
      <c r="AD1039" s="68"/>
      <c r="AE1039" s="68"/>
      <c r="AF1039" s="68"/>
      <c r="AG1039" s="68"/>
      <c r="AH1039" s="87"/>
      <c r="AI1039" s="87"/>
    </row>
    <row r="1040" spans="1:35" ht="15.75" hidden="1" customHeight="1">
      <c r="A1040" s="44"/>
      <c r="B1040" s="709" t="s">
        <v>59</v>
      </c>
      <c r="C1040" s="552" t="s">
        <v>60</v>
      </c>
      <c r="D1040" s="70" t="s">
        <v>17</v>
      </c>
      <c r="E1040" s="70"/>
      <c r="F1040" s="70" t="s">
        <v>61</v>
      </c>
      <c r="G1040" s="71"/>
      <c r="H1040" s="699" t="s">
        <v>62</v>
      </c>
      <c r="I1040" s="699" t="s">
        <v>18</v>
      </c>
      <c r="J1040" s="699" t="s">
        <v>63</v>
      </c>
      <c r="K1040" s="699" t="s">
        <v>64</v>
      </c>
      <c r="L1040" s="699" t="s">
        <v>65</v>
      </c>
      <c r="M1040" s="743" t="s">
        <v>66</v>
      </c>
      <c r="N1040" s="699" t="s">
        <v>282</v>
      </c>
      <c r="O1040" s="745" t="s">
        <v>67</v>
      </c>
      <c r="P1040" s="746"/>
      <c r="Q1040" s="102" t="s">
        <v>75</v>
      </c>
      <c r="R1040" s="731" t="s">
        <v>22</v>
      </c>
      <c r="S1040" s="732"/>
      <c r="T1040" s="733"/>
      <c r="U1040" s="712" t="s">
        <v>298</v>
      </c>
      <c r="W1040" s="690" t="s">
        <v>268</v>
      </c>
      <c r="X1040" s="691"/>
      <c r="Y1040" s="692"/>
      <c r="Z1040" s="428"/>
      <c r="AA1040" s="697" t="s">
        <v>315</v>
      </c>
      <c r="AB1040" s="695" t="s">
        <v>322</v>
      </c>
      <c r="AC1040" s="49"/>
      <c r="AD1040" s="690" t="s">
        <v>297</v>
      </c>
      <c r="AE1040" s="691"/>
      <c r="AF1040" s="692"/>
      <c r="AG1040" s="49"/>
      <c r="AH1040" s="87"/>
      <c r="AI1040" s="87"/>
    </row>
    <row r="1041" spans="1:35" ht="72" hidden="1">
      <c r="A1041" s="44"/>
      <c r="B1041" s="710"/>
      <c r="C1041" s="553" t="s">
        <v>68</v>
      </c>
      <c r="D1041" s="73" t="s">
        <v>3</v>
      </c>
      <c r="E1041" s="73" t="s">
        <v>19</v>
      </c>
      <c r="F1041" s="73" t="s">
        <v>69</v>
      </c>
      <c r="G1041" s="74" t="s">
        <v>70</v>
      </c>
      <c r="H1041" s="700"/>
      <c r="I1041" s="700"/>
      <c r="J1041" s="700"/>
      <c r="K1041" s="700"/>
      <c r="L1041" s="700"/>
      <c r="M1041" s="744"/>
      <c r="N1041" s="700"/>
      <c r="O1041" s="553" t="s">
        <v>279</v>
      </c>
      <c r="P1041" s="73" t="s">
        <v>88</v>
      </c>
      <c r="Q1041" s="555" t="s">
        <v>76</v>
      </c>
      <c r="R1041" s="734"/>
      <c r="S1041" s="735"/>
      <c r="T1041" s="736"/>
      <c r="U1041" s="712"/>
      <c r="W1041" s="429" t="s">
        <v>269</v>
      </c>
      <c r="X1041" s="457" t="s">
        <v>278</v>
      </c>
      <c r="Y1041" s="430" t="s">
        <v>324</v>
      </c>
      <c r="Z1041" s="428"/>
      <c r="AA1041" s="698"/>
      <c r="AB1041" s="696"/>
      <c r="AC1041" s="49"/>
      <c r="AD1041" s="429" t="s">
        <v>292</v>
      </c>
      <c r="AE1041" s="431" t="s">
        <v>300</v>
      </c>
      <c r="AF1041" s="468" t="s">
        <v>301</v>
      </c>
      <c r="AG1041" s="49"/>
      <c r="AH1041" s="87"/>
      <c r="AI1041" s="87"/>
    </row>
    <row r="1042" spans="1:35" hidden="1">
      <c r="A1042" s="44"/>
      <c r="B1042" s="76"/>
      <c r="C1042" s="77"/>
      <c r="D1042" s="77"/>
      <c r="E1042" s="77"/>
      <c r="F1042" s="77"/>
      <c r="G1042" s="77"/>
      <c r="H1042" s="77"/>
      <c r="I1042" s="77"/>
      <c r="J1042" s="77"/>
      <c r="K1042" s="77"/>
      <c r="L1042" s="77"/>
      <c r="M1042" s="77"/>
      <c r="N1042" s="77"/>
      <c r="O1042" s="77"/>
      <c r="P1042" s="77"/>
      <c r="Q1042" s="77"/>
      <c r="R1042" s="77"/>
      <c r="S1042" s="78"/>
      <c r="T1042" s="79"/>
      <c r="U1042" s="109"/>
      <c r="V1042" s="49"/>
      <c r="W1042" s="432"/>
      <c r="X1042" s="454"/>
      <c r="Y1042" s="433"/>
      <c r="Z1042" s="6"/>
      <c r="AA1042" s="500"/>
      <c r="AB1042" s="562"/>
      <c r="AC1042" s="49"/>
      <c r="AD1042" s="210"/>
      <c r="AE1042" s="434"/>
      <c r="AF1042" s="435"/>
      <c r="AG1042" s="49"/>
      <c r="AH1042" s="87"/>
      <c r="AI1042" s="87"/>
    </row>
    <row r="1043" spans="1:35" hidden="1">
      <c r="A1043" s="80" t="e">
        <f>"A"&amp;E1039</f>
        <v>#N/A</v>
      </c>
      <c r="B1043" s="81">
        <v>1</v>
      </c>
      <c r="C1043" s="82"/>
      <c r="D1043" s="82"/>
      <c r="E1043" s="82"/>
      <c r="F1043" s="82"/>
      <c r="G1043" s="83"/>
      <c r="H1043" s="83"/>
      <c r="I1043" s="84"/>
      <c r="J1043" s="85"/>
      <c r="K1043" s="382"/>
      <c r="L1043" s="85"/>
      <c r="M1043" s="332" t="str">
        <f t="shared" ref="M1043:M1052" si="295">IF(OR(J1043="",L1043="",H1043="NO"),"",IF(OR(J1043&gt;$P$17,J1043&lt;$O$17,L1043&gt;$P$17,AND(J1043&lt;$O$17,L1043&lt;$O$17)),"FUERA DE RANGO",IF(OR(K1043="---",K1043=""),IF(J1043&gt;=$O$17,ROUND((L1043-J1043+1)/360*12,3),ROUND((L1043-$O$17+1)/360*12,3)),IF(J1043&gt;=$O$17,ROUND((L1043-J1043+1)/360*12-ROUND(K1043,3),3),ROUND((L1043-$O$17+1)/360*12-ROUND(K1043,3),3)))))</f>
        <v/>
      </c>
      <c r="N1043" s="86"/>
      <c r="O1043" s="453" t="str">
        <f>IF(OR(G1043="",N1043=""),"",N1043*G1043)</f>
        <v/>
      </c>
      <c r="P1043" s="538" t="str">
        <f>IF(OR(H1043="",M1043="FUERA DE RANGO"),"",IF(OR(L1043&lt;$O$17,L1043&gt;$P$17,L1043="",H1043="NO"),"",IF(OR(N1043="",O1043=""),"",ROUND(O1043,3))))</f>
        <v/>
      </c>
      <c r="Q1043" s="539" t="str">
        <f t="shared" ref="Q1043:Q1052" si="296">IF(AND(H1043="SI",P1043&lt;&gt;""),ROUND(P1043/M1043,3),"")</f>
        <v/>
      </c>
      <c r="R1043" s="737"/>
      <c r="S1043" s="738"/>
      <c r="T1043" s="739"/>
      <c r="U1043" s="470"/>
      <c r="V1043" s="165"/>
      <c r="W1043" s="446"/>
      <c r="X1043" s="456"/>
      <c r="Y1043" s="436"/>
      <c r="Z1043" s="437"/>
      <c r="AA1043" s="560"/>
      <c r="AB1043" s="561"/>
      <c r="AC1043" s="87"/>
      <c r="AD1043" s="466"/>
      <c r="AE1043" s="456"/>
      <c r="AF1043" s="467"/>
      <c r="AG1043" s="87"/>
      <c r="AH1043" s="87"/>
      <c r="AI1043" s="87"/>
    </row>
    <row r="1044" spans="1:35" hidden="1">
      <c r="A1044" s="80" t="e">
        <f>"B"&amp;E1039</f>
        <v>#N/A</v>
      </c>
      <c r="B1044" s="81">
        <v>2</v>
      </c>
      <c r="C1044" s="106"/>
      <c r="D1044" s="106"/>
      <c r="E1044" s="106"/>
      <c r="F1044" s="106"/>
      <c r="G1044" s="83"/>
      <c r="H1044" s="83"/>
      <c r="I1044" s="84"/>
      <c r="J1044" s="85"/>
      <c r="K1044" s="382"/>
      <c r="L1044" s="85"/>
      <c r="M1044" s="332" t="str">
        <f t="shared" si="295"/>
        <v/>
      </c>
      <c r="N1044" s="86"/>
      <c r="O1044" s="453" t="str">
        <f t="shared" ref="O1044:O1052" si="297">IF(OR(G1044="",N1044=""),"",N1044*G1044)</f>
        <v/>
      </c>
      <c r="P1044" s="538" t="str">
        <f t="shared" ref="P1044:P1052" si="298">IF(OR(H1044="",M1044="FUERA DE RANGO"),"",IF(OR(L1044&lt;$O$17,L1044&gt;$P$17,L1044="",H1044="NO"),"",IF(OR(N1044="",O1044=""),"",ROUND(O1044,3))))</f>
        <v/>
      </c>
      <c r="Q1044" s="539" t="str">
        <f t="shared" si="296"/>
        <v/>
      </c>
      <c r="R1044" s="740"/>
      <c r="S1044" s="741"/>
      <c r="T1044" s="742"/>
      <c r="U1044" s="471"/>
      <c r="V1044" s="165"/>
      <c r="W1044" s="446"/>
      <c r="X1044" s="456"/>
      <c r="Y1044" s="436"/>
      <c r="Z1044" s="437"/>
      <c r="AA1044" s="560"/>
      <c r="AB1044" s="561"/>
      <c r="AC1044" s="87"/>
      <c r="AD1044" s="466"/>
      <c r="AE1044" s="456"/>
      <c r="AF1044" s="467"/>
      <c r="AG1044" s="87"/>
      <c r="AH1044" s="87"/>
      <c r="AI1044" s="87"/>
    </row>
    <row r="1045" spans="1:35" hidden="1">
      <c r="A1045" s="80" t="e">
        <f>"C"&amp;E1039</f>
        <v>#N/A</v>
      </c>
      <c r="B1045" s="88">
        <v>3</v>
      </c>
      <c r="C1045" s="82"/>
      <c r="D1045" s="82"/>
      <c r="E1045" s="82"/>
      <c r="F1045" s="82"/>
      <c r="G1045" s="83"/>
      <c r="H1045" s="83"/>
      <c r="I1045" s="84"/>
      <c r="J1045" s="85"/>
      <c r="K1045" s="382"/>
      <c r="L1045" s="85"/>
      <c r="M1045" s="332" t="str">
        <f t="shared" si="295"/>
        <v/>
      </c>
      <c r="N1045" s="86"/>
      <c r="O1045" s="453" t="str">
        <f t="shared" si="297"/>
        <v/>
      </c>
      <c r="P1045" s="538" t="str">
        <f t="shared" si="298"/>
        <v/>
      </c>
      <c r="Q1045" s="539" t="str">
        <f t="shared" si="296"/>
        <v/>
      </c>
      <c r="R1045" s="706"/>
      <c r="S1045" s="707"/>
      <c r="T1045" s="708"/>
      <c r="U1045" s="472"/>
      <c r="V1045" s="166"/>
      <c r="W1045" s="446"/>
      <c r="X1045" s="456"/>
      <c r="Y1045" s="436"/>
      <c r="Z1045" s="437"/>
      <c r="AA1045" s="560"/>
      <c r="AB1045" s="561"/>
      <c r="AC1045" s="87"/>
      <c r="AD1045" s="466"/>
      <c r="AE1045" s="456"/>
      <c r="AF1045" s="467"/>
      <c r="AG1045" s="87"/>
      <c r="AH1045" s="87"/>
      <c r="AI1045" s="87"/>
    </row>
    <row r="1046" spans="1:35" hidden="1">
      <c r="A1046" s="80" t="e">
        <f>"D"&amp;E1039</f>
        <v>#N/A</v>
      </c>
      <c r="B1046" s="105">
        <v>4</v>
      </c>
      <c r="C1046" s="107"/>
      <c r="D1046" s="107"/>
      <c r="E1046" s="107"/>
      <c r="F1046" s="107"/>
      <c r="G1046" s="83"/>
      <c r="H1046" s="83"/>
      <c r="I1046" s="84"/>
      <c r="J1046" s="85"/>
      <c r="K1046" s="382"/>
      <c r="L1046" s="85"/>
      <c r="M1046" s="332" t="str">
        <f t="shared" si="295"/>
        <v/>
      </c>
      <c r="N1046" s="86"/>
      <c r="O1046" s="453" t="str">
        <f t="shared" si="297"/>
        <v/>
      </c>
      <c r="P1046" s="538" t="str">
        <f t="shared" si="298"/>
        <v/>
      </c>
      <c r="Q1046" s="539" t="str">
        <f t="shared" si="296"/>
        <v/>
      </c>
      <c r="R1046" s="706"/>
      <c r="S1046" s="707"/>
      <c r="T1046" s="708"/>
      <c r="U1046" s="472"/>
      <c r="V1046" s="166"/>
      <c r="W1046" s="446"/>
      <c r="X1046" s="456"/>
      <c r="Y1046" s="436"/>
      <c r="Z1046" s="437"/>
      <c r="AA1046" s="560"/>
      <c r="AB1046" s="561"/>
      <c r="AC1046" s="87"/>
      <c r="AD1046" s="466"/>
      <c r="AE1046" s="456"/>
      <c r="AF1046" s="467"/>
      <c r="AG1046" s="87"/>
      <c r="AH1046" s="87"/>
      <c r="AI1046" s="87"/>
    </row>
    <row r="1047" spans="1:35" hidden="1">
      <c r="A1047" s="80" t="e">
        <f>"E"&amp;E1039</f>
        <v>#N/A</v>
      </c>
      <c r="B1047" s="105">
        <v>5</v>
      </c>
      <c r="C1047" s="107"/>
      <c r="D1047" s="107"/>
      <c r="E1047" s="107"/>
      <c r="F1047" s="107"/>
      <c r="G1047" s="83"/>
      <c r="H1047" s="83"/>
      <c r="I1047" s="84"/>
      <c r="J1047" s="85"/>
      <c r="K1047" s="382"/>
      <c r="L1047" s="85"/>
      <c r="M1047" s="332" t="str">
        <f t="shared" si="295"/>
        <v/>
      </c>
      <c r="N1047" s="86"/>
      <c r="O1047" s="453" t="str">
        <f t="shared" si="297"/>
        <v/>
      </c>
      <c r="P1047" s="538" t="str">
        <f t="shared" si="298"/>
        <v/>
      </c>
      <c r="Q1047" s="539" t="str">
        <f t="shared" si="296"/>
        <v/>
      </c>
      <c r="R1047" s="706"/>
      <c r="S1047" s="707"/>
      <c r="T1047" s="708"/>
      <c r="U1047" s="472"/>
      <c r="V1047" s="167"/>
      <c r="W1047" s="446"/>
      <c r="X1047" s="456"/>
      <c r="Y1047" s="436"/>
      <c r="Z1047" s="437"/>
      <c r="AA1047" s="560"/>
      <c r="AB1047" s="561"/>
      <c r="AC1047" s="87"/>
      <c r="AD1047" s="466"/>
      <c r="AE1047" s="456"/>
      <c r="AF1047" s="467"/>
      <c r="AG1047" s="87"/>
      <c r="AH1047" s="87"/>
      <c r="AI1047" s="87"/>
    </row>
    <row r="1048" spans="1:35" hidden="1">
      <c r="A1048" s="80" t="e">
        <f>"F"&amp;E1039</f>
        <v>#N/A</v>
      </c>
      <c r="B1048" s="105">
        <v>6</v>
      </c>
      <c r="C1048" s="107"/>
      <c r="D1048" s="107"/>
      <c r="E1048" s="107"/>
      <c r="F1048" s="107"/>
      <c r="G1048" s="83"/>
      <c r="H1048" s="83"/>
      <c r="I1048" s="84"/>
      <c r="J1048" s="85"/>
      <c r="K1048" s="382"/>
      <c r="L1048" s="85"/>
      <c r="M1048" s="332" t="str">
        <f t="shared" si="295"/>
        <v/>
      </c>
      <c r="N1048" s="86"/>
      <c r="O1048" s="453" t="str">
        <f t="shared" si="297"/>
        <v/>
      </c>
      <c r="P1048" s="538" t="str">
        <f t="shared" si="298"/>
        <v/>
      </c>
      <c r="Q1048" s="539" t="str">
        <f t="shared" si="296"/>
        <v/>
      </c>
      <c r="R1048" s="706"/>
      <c r="S1048" s="707"/>
      <c r="T1048" s="708"/>
      <c r="U1048" s="472"/>
      <c r="V1048" s="167"/>
      <c r="W1048" s="446"/>
      <c r="X1048" s="456"/>
      <c r="Y1048" s="436"/>
      <c r="Z1048" s="437"/>
      <c r="AA1048" s="560"/>
      <c r="AB1048" s="561"/>
      <c r="AC1048" s="87"/>
      <c r="AD1048" s="466"/>
      <c r="AE1048" s="456"/>
      <c r="AF1048" s="467"/>
      <c r="AG1048" s="87"/>
      <c r="AH1048" s="87"/>
      <c r="AI1048" s="87"/>
    </row>
    <row r="1049" spans="1:35" hidden="1">
      <c r="A1049" s="80" t="e">
        <f>"G"&amp;E1039</f>
        <v>#N/A</v>
      </c>
      <c r="B1049" s="105">
        <v>7</v>
      </c>
      <c r="C1049" s="107"/>
      <c r="D1049" s="107"/>
      <c r="E1049" s="107"/>
      <c r="F1049" s="107"/>
      <c r="G1049" s="83"/>
      <c r="H1049" s="83"/>
      <c r="I1049" s="84"/>
      <c r="J1049" s="85"/>
      <c r="K1049" s="382"/>
      <c r="L1049" s="85"/>
      <c r="M1049" s="332" t="str">
        <f t="shared" si="295"/>
        <v/>
      </c>
      <c r="N1049" s="86"/>
      <c r="O1049" s="86" t="str">
        <f t="shared" si="297"/>
        <v/>
      </c>
      <c r="P1049" s="538" t="str">
        <f t="shared" si="298"/>
        <v/>
      </c>
      <c r="Q1049" s="539" t="str">
        <f t="shared" si="296"/>
        <v/>
      </c>
      <c r="R1049" s="706"/>
      <c r="S1049" s="707"/>
      <c r="T1049" s="708"/>
      <c r="U1049" s="472"/>
      <c r="V1049" s="167"/>
      <c r="W1049" s="446"/>
      <c r="X1049" s="456"/>
      <c r="Y1049" s="436"/>
      <c r="Z1049" s="437"/>
      <c r="AA1049" s="560"/>
      <c r="AB1049" s="561"/>
      <c r="AC1049" s="87"/>
      <c r="AD1049" s="466"/>
      <c r="AE1049" s="456"/>
      <c r="AF1049" s="467"/>
      <c r="AG1049" s="87"/>
      <c r="AH1049" s="87"/>
      <c r="AI1049" s="87"/>
    </row>
    <row r="1050" spans="1:35" hidden="1">
      <c r="A1050" s="80" t="e">
        <f>"H"&amp;E1039</f>
        <v>#N/A</v>
      </c>
      <c r="B1050" s="105">
        <v>8</v>
      </c>
      <c r="C1050" s="107"/>
      <c r="D1050" s="107"/>
      <c r="E1050" s="107"/>
      <c r="F1050" s="107"/>
      <c r="G1050" s="83"/>
      <c r="H1050" s="83"/>
      <c r="I1050" s="84"/>
      <c r="J1050" s="85"/>
      <c r="K1050" s="382"/>
      <c r="L1050" s="85"/>
      <c r="M1050" s="332" t="str">
        <f t="shared" si="295"/>
        <v/>
      </c>
      <c r="N1050" s="453"/>
      <c r="O1050" s="86" t="str">
        <f t="shared" si="297"/>
        <v/>
      </c>
      <c r="P1050" s="538" t="str">
        <f t="shared" si="298"/>
        <v/>
      </c>
      <c r="Q1050" s="539" t="str">
        <f t="shared" si="296"/>
        <v/>
      </c>
      <c r="R1050" s="706"/>
      <c r="S1050" s="707"/>
      <c r="T1050" s="708"/>
      <c r="U1050" s="472"/>
      <c r="V1050" s="167"/>
      <c r="W1050" s="446"/>
      <c r="X1050" s="456"/>
      <c r="Y1050" s="436"/>
      <c r="Z1050" s="437"/>
      <c r="AA1050" s="560"/>
      <c r="AB1050" s="561"/>
      <c r="AC1050" s="87"/>
      <c r="AD1050" s="466"/>
      <c r="AE1050" s="456"/>
      <c r="AF1050" s="467"/>
      <c r="AG1050" s="87"/>
      <c r="AH1050" s="87"/>
      <c r="AI1050" s="87"/>
    </row>
    <row r="1051" spans="1:35" hidden="1">
      <c r="A1051" s="80" t="e">
        <f>"I"&amp;E1039</f>
        <v>#N/A</v>
      </c>
      <c r="B1051" s="105">
        <v>9</v>
      </c>
      <c r="C1051" s="107"/>
      <c r="D1051" s="107"/>
      <c r="E1051" s="107"/>
      <c r="F1051" s="107"/>
      <c r="G1051" s="83"/>
      <c r="H1051" s="83"/>
      <c r="I1051" s="84"/>
      <c r="J1051" s="85"/>
      <c r="K1051" s="382"/>
      <c r="L1051" s="85"/>
      <c r="M1051" s="332" t="str">
        <f t="shared" si="295"/>
        <v/>
      </c>
      <c r="N1051" s="453"/>
      <c r="O1051" s="86" t="str">
        <f t="shared" si="297"/>
        <v/>
      </c>
      <c r="P1051" s="538" t="str">
        <f t="shared" si="298"/>
        <v/>
      </c>
      <c r="Q1051" s="539" t="str">
        <f t="shared" si="296"/>
        <v/>
      </c>
      <c r="R1051" s="706"/>
      <c r="S1051" s="707"/>
      <c r="T1051" s="708"/>
      <c r="U1051" s="472"/>
      <c r="V1051" s="167"/>
      <c r="W1051" s="446"/>
      <c r="X1051" s="456"/>
      <c r="Y1051" s="436"/>
      <c r="Z1051" s="437"/>
      <c r="AA1051" s="560"/>
      <c r="AB1051" s="561"/>
      <c r="AC1051" s="87"/>
      <c r="AD1051" s="466"/>
      <c r="AE1051" s="456"/>
      <c r="AF1051" s="467"/>
      <c r="AG1051" s="87"/>
      <c r="AH1051" s="87"/>
      <c r="AI1051" s="87"/>
    </row>
    <row r="1052" spans="1:35" hidden="1">
      <c r="A1052" s="80" t="e">
        <f>"J"&amp;E1039</f>
        <v>#N/A</v>
      </c>
      <c r="B1052" s="105">
        <v>10</v>
      </c>
      <c r="C1052" s="107"/>
      <c r="D1052" s="107"/>
      <c r="E1052" s="107"/>
      <c r="F1052" s="107"/>
      <c r="G1052" s="83"/>
      <c r="H1052" s="83"/>
      <c r="I1052" s="84"/>
      <c r="J1052" s="85"/>
      <c r="K1052" s="382"/>
      <c r="L1052" s="85"/>
      <c r="M1052" s="332" t="str">
        <f t="shared" si="295"/>
        <v/>
      </c>
      <c r="N1052" s="453"/>
      <c r="O1052" s="86" t="str">
        <f t="shared" si="297"/>
        <v/>
      </c>
      <c r="P1052" s="538" t="str">
        <f t="shared" si="298"/>
        <v/>
      </c>
      <c r="Q1052" s="539" t="str">
        <f t="shared" si="296"/>
        <v/>
      </c>
      <c r="R1052" s="706"/>
      <c r="S1052" s="707"/>
      <c r="T1052" s="708"/>
      <c r="U1052" s="472"/>
      <c r="V1052" s="167"/>
      <c r="W1052" s="446"/>
      <c r="X1052" s="456"/>
      <c r="Y1052" s="436"/>
      <c r="Z1052" s="437"/>
      <c r="AA1052" s="560"/>
      <c r="AB1052" s="561"/>
      <c r="AC1052" s="87"/>
      <c r="AD1052" s="466"/>
      <c r="AE1052" s="456"/>
      <c r="AF1052" s="467"/>
      <c r="AG1052" s="87"/>
      <c r="AH1052" s="87"/>
      <c r="AI1052" s="87"/>
    </row>
    <row r="1053" spans="1:35" ht="16.5" hidden="1" thickBot="1">
      <c r="A1053" s="44"/>
      <c r="B1053" s="89"/>
      <c r="C1053" s="90"/>
      <c r="D1053" s="90"/>
      <c r="E1053" s="90"/>
      <c r="F1053" s="90"/>
      <c r="G1053" s="90"/>
      <c r="H1053" s="90"/>
      <c r="I1053" s="90"/>
      <c r="J1053" s="90"/>
      <c r="K1053" s="90"/>
      <c r="L1053" s="90"/>
      <c r="M1053" s="90"/>
      <c r="N1053" s="90"/>
      <c r="O1053" s="90"/>
      <c r="P1053" s="90"/>
      <c r="Q1053" s="90"/>
      <c r="R1053" s="90"/>
      <c r="S1053" s="91"/>
      <c r="T1053" s="92"/>
      <c r="U1053" s="473"/>
      <c r="W1053" s="438"/>
      <c r="X1053" s="455"/>
      <c r="Y1053" s="439"/>
      <c r="Z1053" s="437"/>
      <c r="AA1053" s="530"/>
      <c r="AB1053" s="563"/>
      <c r="AC1053" s="87"/>
      <c r="AD1053" s="440"/>
      <c r="AE1053" s="441"/>
      <c r="AF1053" s="442"/>
      <c r="AG1053" s="49"/>
      <c r="AH1053" s="87"/>
      <c r="AI1053" s="87"/>
    </row>
    <row r="1054" spans="1:35" ht="16.5" hidden="1" thickBot="1">
      <c r="A1054" s="93"/>
      <c r="B1054" s="94"/>
      <c r="C1054" s="96"/>
      <c r="D1054" s="96"/>
      <c r="E1054" s="96"/>
      <c r="F1054" s="96"/>
      <c r="G1054" s="96"/>
      <c r="H1054" s="96"/>
      <c r="I1054" s="96"/>
      <c r="J1054" s="96"/>
      <c r="K1054" s="96"/>
      <c r="L1054" s="96"/>
      <c r="M1054" s="136"/>
      <c r="N1054" s="96"/>
      <c r="O1054" s="96"/>
      <c r="P1054" s="97"/>
      <c r="Q1054" s="97"/>
      <c r="R1054" s="98"/>
      <c r="S1054" s="95"/>
      <c r="T1054" s="99"/>
      <c r="U1054" s="469"/>
      <c r="AC1054" s="58"/>
      <c r="AG1054" s="58"/>
      <c r="AH1054" s="87"/>
      <c r="AI1054" s="87"/>
    </row>
    <row r="1055" spans="1:35" ht="16.5" hidden="1" thickBot="1">
      <c r="B1055" s="101"/>
      <c r="C1055" s="101"/>
      <c r="D1055" s="101"/>
      <c r="E1055" s="101"/>
      <c r="F1055" s="101"/>
      <c r="G1055" s="101"/>
      <c r="H1055" s="101"/>
      <c r="I1055" s="101"/>
      <c r="J1055" s="101"/>
      <c r="K1055" s="101"/>
      <c r="L1055" s="101"/>
      <c r="M1055" s="101"/>
      <c r="N1055" s="101"/>
      <c r="O1055" s="101"/>
      <c r="P1055" s="101"/>
      <c r="Q1055" s="101"/>
      <c r="R1055" s="101"/>
      <c r="S1055" s="101"/>
      <c r="U1055" s="50"/>
      <c r="AH1055" s="87"/>
      <c r="AI1055" s="87"/>
    </row>
    <row r="1056" spans="1:35" ht="16.5" hidden="1" customHeight="1" thickBot="1">
      <c r="A1056" s="44"/>
      <c r="B1056" s="705" t="s">
        <v>74</v>
      </c>
      <c r="C1056" s="705"/>
      <c r="D1056" s="705"/>
      <c r="E1056" s="705"/>
      <c r="F1056" s="705"/>
      <c r="G1056" s="705"/>
      <c r="H1056" s="705"/>
      <c r="I1056" s="705"/>
      <c r="J1056" s="705"/>
      <c r="K1056" s="705"/>
      <c r="L1056" s="705"/>
      <c r="M1056" s="705"/>
      <c r="N1056" s="705"/>
      <c r="O1056" s="705"/>
      <c r="P1056" s="705"/>
      <c r="Q1056" s="705"/>
      <c r="R1056" s="705"/>
      <c r="S1056" s="705"/>
      <c r="T1056" s="705"/>
      <c r="U1056" s="108"/>
      <c r="Y1056" s="532" t="s">
        <v>341</v>
      </c>
      <c r="AC1056" s="49"/>
      <c r="AD1056" s="687" t="s">
        <v>302</v>
      </c>
      <c r="AE1056" s="688"/>
      <c r="AF1056" s="689"/>
      <c r="AG1056" s="49"/>
      <c r="AH1056" s="87"/>
      <c r="AI1056" s="87"/>
    </row>
    <row r="1057" spans="1:35" ht="15.75" hidden="1" customHeight="1" thickBot="1">
      <c r="A1057" s="218" t="e">
        <f>"K"&amp;E1039</f>
        <v>#N/A</v>
      </c>
      <c r="B1057" s="701" t="s">
        <v>71</v>
      </c>
      <c r="C1057" s="751" t="s">
        <v>102</v>
      </c>
      <c r="D1057" s="751"/>
      <c r="E1057" s="751"/>
      <c r="F1057" s="751"/>
      <c r="G1057" s="751"/>
      <c r="H1057" s="751"/>
      <c r="I1057" s="751"/>
      <c r="J1057" s="751"/>
      <c r="K1057" s="751"/>
      <c r="L1057" s="722" t="s">
        <v>100</v>
      </c>
      <c r="M1057" s="747" t="s">
        <v>114</v>
      </c>
      <c r="N1057" s="747"/>
      <c r="O1057" s="747"/>
      <c r="P1057" s="747"/>
      <c r="Q1057" s="748"/>
      <c r="R1057" s="758" t="s">
        <v>280</v>
      </c>
      <c r="S1057" s="748"/>
      <c r="T1057" s="762" t="str">
        <f>IF(COUNTIF(AE1057:AF1057,"VERIFICAR")&gt;0,"VERIFICAR",IF(COUNTIF(AE1057:AF1057,"NO CUMPLE")&gt;0,"NO CUMPLE","CUMPLE"))</f>
        <v>VERIFICAR</v>
      </c>
      <c r="U1057" s="108"/>
      <c r="Y1057" s="533" t="e">
        <f>IF(F1058="","",IF(F1058=1,"INDIVIDUAL","ESTRUCTURA PLURAL"))</f>
        <v>#N/A</v>
      </c>
      <c r="AC1057" s="52"/>
      <c r="AD1057" s="475" t="s">
        <v>303</v>
      </c>
      <c r="AE1057" s="476" t="str">
        <f>IF(COUNTIF(AE1043:AE1052,"")=10,"VERIFICAR",IF(COUNTIF(AE1043:AE1052,"SI")&gt;0,"CUMPLE","NO CUMPLE"))</f>
        <v>VERIFICAR</v>
      </c>
      <c r="AF1057" s="477" t="str">
        <f>IF(COUNTIF(AF1043:AF1052,"")=10,"VERIFICAR",IF(COUNTIF(AF1043:AF1052,"SI")&gt;=$AI$22,"CUMPLE","NO CUMPLE"))</f>
        <v>VERIFICAR</v>
      </c>
      <c r="AG1057" s="52"/>
      <c r="AH1057" s="87"/>
      <c r="AI1057" s="87"/>
    </row>
    <row r="1058" spans="1:35" ht="16.5" hidden="1" customHeight="1" thickBot="1">
      <c r="A1058" s="218" t="e">
        <f>"L"&amp;E1039</f>
        <v>#N/A</v>
      </c>
      <c r="B1058" s="702"/>
      <c r="C1058" s="751" t="s">
        <v>103</v>
      </c>
      <c r="D1058" s="751"/>
      <c r="E1058" s="752"/>
      <c r="F1058" s="557" t="e">
        <f>IF(VLOOKUP(E1039,PROPONENTES!$C$19:$E$218,3,0)="","",VLOOKUP(E1039,PROPONENTES!$C$19:$E$218,3,0))</f>
        <v>#N/A</v>
      </c>
      <c r="G1058" s="753" t="s">
        <v>104</v>
      </c>
      <c r="H1058" s="751"/>
      <c r="I1058" s="715" t="e">
        <f>IF(OR(F1058="",F1058=1),"INTERESADO PERSONA NATURAL O JURIDICA","CONSORCIO O UNION TEMPORAL")</f>
        <v>#N/A</v>
      </c>
      <c r="J1058" s="725"/>
      <c r="K1058" s="728"/>
      <c r="L1058" s="723"/>
      <c r="M1058" s="749"/>
      <c r="N1058" s="749"/>
      <c r="O1058" s="749"/>
      <c r="P1058" s="749"/>
      <c r="Q1058" s="750"/>
      <c r="R1058" s="712"/>
      <c r="S1058" s="750"/>
      <c r="T1058" s="763"/>
      <c r="U1058" s="108"/>
      <c r="Y1058" s="534"/>
      <c r="AA1058" s="52"/>
      <c r="AB1058" s="52"/>
      <c r="AC1058" s="52"/>
      <c r="AG1058" s="52"/>
      <c r="AH1058" s="87"/>
      <c r="AI1058" s="87"/>
    </row>
    <row r="1059" spans="1:35" ht="56.25" hidden="1" customHeight="1" thickBot="1">
      <c r="A1059" s="218" t="e">
        <f>"M"&amp;E1039</f>
        <v>#N/A</v>
      </c>
      <c r="B1059" s="702"/>
      <c r="C1059" s="725" t="s">
        <v>101</v>
      </c>
      <c r="D1059" s="716"/>
      <c r="E1059" s="558" t="s">
        <v>105</v>
      </c>
      <c r="F1059" s="554" t="s">
        <v>87</v>
      </c>
      <c r="G1059" s="553" t="s">
        <v>86</v>
      </c>
      <c r="H1059" s="559" t="s">
        <v>85</v>
      </c>
      <c r="I1059" s="554" t="s">
        <v>252</v>
      </c>
      <c r="J1059" s="553" t="str">
        <f>"¿EL INTEGRANTE TIENE UNA PARTICIPACIÓN DEL "&amp;PORCREQUERIDOINT*100&amp;"%?"</f>
        <v>¿EL INTEGRANTE TIENE UNA PARTICIPACIÓN DEL 60%?</v>
      </c>
      <c r="K1059" s="554" t="s">
        <v>107</v>
      </c>
      <c r="L1059" s="724"/>
      <c r="M1059" s="717" t="s">
        <v>115</v>
      </c>
      <c r="N1059" s="718"/>
      <c r="O1059" s="718"/>
      <c r="P1059" s="718"/>
      <c r="Q1059" s="223">
        <f>IF(AND(H1043="SI",P1043&gt;=0),1,0)+IF(AND(H1044="SI",P1044&gt;=0),1,0)+IF(AND(H1045="SI",P1045&gt;=0),1,0)+IF(AND(H1046="SI",P1046&gt;=0),1,0)+IF(AND(H1047="SI",P1047&gt;=0),1,0)+IF(AND(H1048="SI",P1048&gt;=0),1,0)+IF(AND(H1049="SI",P1049&gt;=0),1,0)+IF(AND(H1050="SI",P1050&gt;=0),1,0)+IF(AND(H1051="SI",P1051&gt;=0),1,0)+IF(AND(H1052="SI",P1052&gt;=0),1,0)</f>
        <v>0</v>
      </c>
      <c r="R1059" s="759"/>
      <c r="S1059" s="761"/>
      <c r="T1059" s="764"/>
      <c r="U1059" s="219"/>
      <c r="V1059" s="464"/>
      <c r="Y1059" s="532" t="s">
        <v>342</v>
      </c>
      <c r="AA1059" s="550" t="s">
        <v>344</v>
      </c>
      <c r="AB1059" s="693" t="s">
        <v>345</v>
      </c>
      <c r="AC1059" s="693" t="s">
        <v>346</v>
      </c>
      <c r="AD1059" s="685" t="s">
        <v>347</v>
      </c>
      <c r="AE1059" s="52"/>
      <c r="AF1059" s="52"/>
      <c r="AG1059" s="52"/>
      <c r="AH1059" s="87"/>
      <c r="AI1059" s="87"/>
    </row>
    <row r="1060" spans="1:35" ht="15.75" hidden="1" customHeight="1" thickBot="1">
      <c r="A1060" s="218" t="e">
        <f>"N"&amp;E1039</f>
        <v>#N/A</v>
      </c>
      <c r="B1060" s="702"/>
      <c r="C1060" s="114">
        <v>1</v>
      </c>
      <c r="D1060" s="194" t="e">
        <f>IF(AND(C1060&lt;=F1058,F1058&gt;1,F1058&lt;&gt;""),VLOOKUP(VALUE(E1039&amp;","&amp;C1060),INTEGRANTES!$D$18:$F$235,2,0),"")</f>
        <v>#N/A</v>
      </c>
      <c r="E1060" s="211" t="e">
        <f>IF(D1060&lt;&gt;"",VLOOKUP(VALUE(E1039&amp;","&amp;C1060),INTEGRANTES!$D$18:$F$235,3,0),"")</f>
        <v>#N/A</v>
      </c>
      <c r="F1060" s="547" t="e">
        <f>IF(D1060="","",SUMIF($I1043:$I1052,D1060,$P1043:$P1052))</f>
        <v>#N/A</v>
      </c>
      <c r="G1060" s="333" t="e">
        <f>IF(D1060="","",SUMIF($I1043:$I1052,D1060,$M1043:$M1052))</f>
        <v>#N/A</v>
      </c>
      <c r="H1060" s="535" t="e">
        <f t="shared" ref="H1060:H1065" si="299">IF(D1060="","",IF(OR(F1060=0,G1060=0),"NO APORTA",ROUND($F1060/$G1060,3)))</f>
        <v>#N/A</v>
      </c>
      <c r="I1060" s="212" t="e">
        <f>IF(D1060="","",IF(H1060="NO APORTA","NO",IF(H1060=MAX($H1060:$H1065),"SI","NO")))</f>
        <v>#N/A</v>
      </c>
      <c r="J1060" s="213" t="e">
        <f t="shared" ref="J1060:J1065" si="300">IF(D1060="","",IF(E1060&gt;=PORCREQUERIDOINT,"SI","NO"))</f>
        <v>#N/A</v>
      </c>
      <c r="K1060" s="200" t="e">
        <f t="shared" ref="K1060:K1065" si="301">IF(D1060="","",IF(AND(I1060="SI",J1060="SI"),"CUMPLE",IF(AND(I1060="NO",OR(J1060="SI",J1060="NO")),"","NO CUMPLE")))</f>
        <v>#N/A</v>
      </c>
      <c r="L1060" s="722" t="s">
        <v>108</v>
      </c>
      <c r="M1060" s="726" t="s">
        <v>119</v>
      </c>
      <c r="N1060" s="726"/>
      <c r="O1060" s="726"/>
      <c r="P1060" s="726"/>
      <c r="Q1060" s="727"/>
      <c r="R1060" s="758" t="s">
        <v>80</v>
      </c>
      <c r="S1060" s="747"/>
      <c r="T1060" s="748"/>
      <c r="U1060" s="219"/>
      <c r="V1060" s="464"/>
      <c r="Y1060" s="533" t="e">
        <f>IF(Y1057="","",IF(Y1057="INDIVIDUAL","NO APLICA","VERIFICAR CUADRO"))</f>
        <v>#N/A</v>
      </c>
      <c r="AA1060" s="551"/>
      <c r="AB1060" s="694"/>
      <c r="AC1060" s="694"/>
      <c r="AD1060" s="686"/>
      <c r="AE1060" s="52"/>
      <c r="AF1060" s="52"/>
      <c r="AG1060" s="52"/>
      <c r="AH1060" s="87"/>
      <c r="AI1060" s="87"/>
    </row>
    <row r="1061" spans="1:35" ht="27" hidden="1" customHeight="1" thickBot="1">
      <c r="A1061" s="218" t="e">
        <f>"O"&amp;E1039</f>
        <v>#N/A</v>
      </c>
      <c r="B1061" s="702"/>
      <c r="C1061" s="114">
        <v>2</v>
      </c>
      <c r="D1061" s="194" t="e">
        <f>IF(AND(C1061&lt;=F1058,F1058&lt;&gt;""),VLOOKUP(VALUE(E1039&amp;","&amp;C1061),INTEGRANTES!$D$18:$F$235,2,0),"")</f>
        <v>#N/A</v>
      </c>
      <c r="E1061" s="211" t="e">
        <f>IF(D1061&lt;&gt;"",VLOOKUP(VALUE(E1039&amp;","&amp;C1061),INTEGRANTES!$D$18:$F$235,3,0),"")</f>
        <v>#N/A</v>
      </c>
      <c r="F1061" s="547" t="e">
        <f>IF(D1061="","",SUMIF($I1043:$I1052,D1061,$P1043:$P1052))</f>
        <v>#N/A</v>
      </c>
      <c r="G1061" s="333" t="e">
        <f>IF(D1061="","",SUMIF($I1043:$I1052,D1061,$M1043:$M1052))</f>
        <v>#N/A</v>
      </c>
      <c r="H1061" s="535" t="e">
        <f t="shared" si="299"/>
        <v>#N/A</v>
      </c>
      <c r="I1061" s="212" t="e">
        <f>IF(D1061="","",IF(H1061="NO APORTA","NO",IF(H1061=MAX($H1060:$H1065),"SI","NO")))</f>
        <v>#N/A</v>
      </c>
      <c r="J1061" s="213" t="e">
        <f t="shared" si="300"/>
        <v>#N/A</v>
      </c>
      <c r="K1061" s="200" t="e">
        <f t="shared" si="301"/>
        <v>#N/A</v>
      </c>
      <c r="L1061" s="723"/>
      <c r="M1061" s="715" t="s">
        <v>116</v>
      </c>
      <c r="N1061" s="716"/>
      <c r="O1061" s="556" t="s">
        <v>113</v>
      </c>
      <c r="P1061" s="715" t="s">
        <v>117</v>
      </c>
      <c r="Q1061" s="728"/>
      <c r="R1061" s="759"/>
      <c r="S1061" s="760"/>
      <c r="T1061" s="761"/>
      <c r="U1061" s="219"/>
      <c r="V1061" s="464"/>
      <c r="Y1061" s="414"/>
      <c r="AA1061" s="542" t="e">
        <f>IF(AND(C1060&lt;=F1058,F1058&gt;1,F1058&lt;&gt;""),VLOOKUP(VALUE(E1039&amp;","&amp;C1060),INTEGRANTES!$D$18:$F$235,2,0),"")</f>
        <v>#N/A</v>
      </c>
      <c r="AB1061" s="544" t="e">
        <f t="shared" ref="AB1061:AB1066" si="302">IF(D1060="","",IF(OR(F1060=0,G1060=0),"NO APORTA",ROUND($F1060/$G1060,3)))</f>
        <v>#N/A</v>
      </c>
      <c r="AC1061" s="529"/>
      <c r="AD1061" s="200" t="e">
        <f t="shared" ref="AD1061:AD1066" si="303">IF(OR(AA1061="",AB1061=""),"",IF(AND(AC1061="X",AB1061&gt;=EXPREQVTD),"CUMPLE","NO CUMPLE"))</f>
        <v>#N/A</v>
      </c>
      <c r="AE1061" s="52"/>
      <c r="AF1061" s="52"/>
      <c r="AG1061" s="52"/>
      <c r="AH1061" s="87"/>
      <c r="AI1061" s="87"/>
    </row>
    <row r="1062" spans="1:35" ht="16.5" hidden="1" thickBot="1">
      <c r="A1062" s="218" t="e">
        <f>"P"&amp;E1039</f>
        <v>#N/A</v>
      </c>
      <c r="B1062" s="702"/>
      <c r="C1062" s="114">
        <v>3</v>
      </c>
      <c r="D1062" s="194" t="e">
        <f>IF(AND(C1062&lt;=F1058,F1058&lt;&gt;""),VLOOKUP(VALUE(E1039&amp;","&amp;C1062),INTEGRANTES!$D$18:$F$235,2,0),"")</f>
        <v>#N/A</v>
      </c>
      <c r="E1062" s="211" t="e">
        <f>IF(D1062&lt;&gt;"",VLOOKUP(VALUE(E1039&amp;","&amp;C1062),INTEGRANTES!$D$18:$F$235,3,0),"")</f>
        <v>#N/A</v>
      </c>
      <c r="F1062" s="547" t="e">
        <f>IF(D1062="","",SUMIF($I1043:$I1052,D1062,$P1043:$P1052))</f>
        <v>#N/A</v>
      </c>
      <c r="G1062" s="333" t="e">
        <f>IF(D1062="","",SUMIF($I1043:$I1052,D1062,$M1043:$M1052))</f>
        <v>#N/A</v>
      </c>
      <c r="H1062" s="535" t="e">
        <f t="shared" si="299"/>
        <v>#N/A</v>
      </c>
      <c r="I1062" s="212" t="e">
        <f>IF(D1062="","",IF(H1062="NO APORTA","NO",IF(H1062=MAX($H1060:$H1065),"SI","NO")))</f>
        <v>#N/A</v>
      </c>
      <c r="J1062" s="213" t="e">
        <f t="shared" si="300"/>
        <v>#N/A</v>
      </c>
      <c r="K1062" s="200" t="e">
        <f t="shared" si="301"/>
        <v>#N/A</v>
      </c>
      <c r="L1062" s="724"/>
      <c r="M1062" s="729">
        <f>NUMMOD</f>
        <v>1</v>
      </c>
      <c r="N1062" s="730"/>
      <c r="O1062" s="443">
        <f>IF(M1062="","",VLOOKUP(M1062,PRESUPUESTOS!$B$16:$H$16,5,FALSE))</f>
        <v>2</v>
      </c>
      <c r="P1062" s="713">
        <f>IF(OR(COUNTIF(M1043:M1052,"")&gt;=10,Q1059&lt;NUMMINCONT,OR(T1057="NO CUMPLE",T1057="VERIFICAR")),0,ROUND(AVERAGE(M1043:M1052),3))</f>
        <v>0</v>
      </c>
      <c r="Q1062" s="714"/>
      <c r="R1062" s="458"/>
      <c r="S1062" s="459"/>
      <c r="T1062" s="460"/>
      <c r="U1062" s="219"/>
      <c r="V1062" s="464"/>
      <c r="Y1062" s="532" t="str">
        <f>"40% * ("&amp;PRESUPUESTOS!$H$13&amp;")"</f>
        <v>40% * (50% PFMO)</v>
      </c>
      <c r="AA1062" s="540" t="e">
        <f>IF(AND(C1061&lt;=F1058,F1058&lt;&gt;""),VLOOKUP(VALUE(E1039&amp;","&amp;C1061),INTEGRANTES!$D$18:$F$235,2,0),"")</f>
        <v>#N/A</v>
      </c>
      <c r="AB1062" s="545" t="e">
        <f t="shared" si="302"/>
        <v>#N/A</v>
      </c>
      <c r="AC1062" s="529"/>
      <c r="AD1062" s="200" t="e">
        <f t="shared" si="303"/>
        <v>#N/A</v>
      </c>
      <c r="AE1062" s="52"/>
      <c r="AF1062" s="52"/>
      <c r="AG1062" s="52"/>
      <c r="AH1062" s="87"/>
      <c r="AI1062" s="87"/>
    </row>
    <row r="1063" spans="1:35" ht="15.75" hidden="1" customHeight="1" thickBot="1">
      <c r="A1063" s="218" t="e">
        <f>"Q"&amp;E1039</f>
        <v>#N/A</v>
      </c>
      <c r="B1063" s="702"/>
      <c r="C1063" s="114">
        <v>4</v>
      </c>
      <c r="D1063" s="194" t="e">
        <f>IF(AND(C1063&lt;=F1058,F1058&lt;&gt;""),VLOOKUP(VALUE(E1039&amp;","&amp;C1063),INTEGRANTES!$D$18:$F$235,2,0),"")</f>
        <v>#N/A</v>
      </c>
      <c r="E1063" s="211" t="e">
        <f>IF(D1063&lt;&gt;"",VLOOKUP(VALUE(E1039&amp;","&amp;C1063),INTEGRANTES!$D$18:$F$235,3,0),"")</f>
        <v>#N/A</v>
      </c>
      <c r="F1063" s="547" t="e">
        <f>IF(D1063="","",SUMIF($I1043:$I1052,D1063,$P1043:$P1052))</f>
        <v>#N/A</v>
      </c>
      <c r="G1063" s="333" t="e">
        <f>IF(D1063="","",SUMIF($I1043:$I1052,D1063,$M1043:$M1052))</f>
        <v>#N/A</v>
      </c>
      <c r="H1063" s="535" t="e">
        <f t="shared" si="299"/>
        <v>#N/A</v>
      </c>
      <c r="I1063" s="212" t="e">
        <f>IF(D1063="","",IF(H1063="NO APORTA","NO",IF(H1063=MAX($H1060:$H1065),"SI","NO")))</f>
        <v>#N/A</v>
      </c>
      <c r="J1063" s="213" t="e">
        <f t="shared" si="300"/>
        <v>#N/A</v>
      </c>
      <c r="K1063" s="200" t="e">
        <f t="shared" si="301"/>
        <v>#N/A</v>
      </c>
      <c r="L1063" s="720" t="s">
        <v>109</v>
      </c>
      <c r="M1063" s="757" t="s">
        <v>120</v>
      </c>
      <c r="N1063" s="726"/>
      <c r="O1063" s="726"/>
      <c r="P1063" s="726"/>
      <c r="Q1063" s="727"/>
      <c r="R1063" s="458"/>
      <c r="S1063" s="459"/>
      <c r="T1063" s="460"/>
      <c r="U1063" s="219"/>
      <c r="V1063" s="464"/>
      <c r="Y1063" s="537">
        <f>0.4*PRESUPUESTOS!$H$16</f>
        <v>10.3124</v>
      </c>
      <c r="AA1063" s="540" t="e">
        <f>IF(AND(C1062&lt;=F1058,F1058&lt;&gt;""),VLOOKUP(VALUE(E1039&amp;","&amp;C1062),INTEGRANTES!$D$18:$F$235,2,0),"")</f>
        <v>#N/A</v>
      </c>
      <c r="AB1063" s="545" t="e">
        <f t="shared" si="302"/>
        <v>#N/A</v>
      </c>
      <c r="AC1063" s="529"/>
      <c r="AD1063" s="200" t="e">
        <f t="shared" si="303"/>
        <v>#N/A</v>
      </c>
      <c r="AE1063" s="52"/>
      <c r="AF1063" s="52"/>
      <c r="AG1063" s="52"/>
      <c r="AH1063" s="87"/>
      <c r="AI1063" s="87"/>
    </row>
    <row r="1064" spans="1:35" ht="27" hidden="1" customHeight="1" thickBot="1">
      <c r="A1064" s="218" t="e">
        <f>"R"&amp;E1039</f>
        <v>#N/A</v>
      </c>
      <c r="B1064" s="702"/>
      <c r="C1064" s="114">
        <v>5</v>
      </c>
      <c r="D1064" s="194" t="e">
        <f>IF(AND(C1064&lt;=F1058,F1058&lt;&gt;""),VLOOKUP(VALUE(E1039&amp;","&amp;C1064),INTEGRANTES!$D$18:$F$235,2,0),"")</f>
        <v>#N/A</v>
      </c>
      <c r="E1064" s="211" t="e">
        <f>IF(D1064&lt;&gt;"",VLOOKUP(VALUE(E1039&amp;","&amp;C1064),INTEGRANTES!$D$18:$F$235,3,0),"")</f>
        <v>#N/A</v>
      </c>
      <c r="F1064" s="547" t="e">
        <f>IF(D1064="","",SUMIF($I1043:$I1052,D1064,$P1043:$P1052))</f>
        <v>#N/A</v>
      </c>
      <c r="G1064" s="333" t="e">
        <f>IF(D1064="","",SUMIF($I1043:$I1052,D1064,$M1043:$M1052))</f>
        <v>#N/A</v>
      </c>
      <c r="H1064" s="535" t="e">
        <f t="shared" si="299"/>
        <v>#N/A</v>
      </c>
      <c r="I1064" s="212" t="e">
        <f>IF(D1064="","",IF(H1064="NO APORTA","NO",IF(H1064=MAX($H1060:$H1065),"SI","NO")))</f>
        <v>#N/A</v>
      </c>
      <c r="J1064" s="213" t="e">
        <f t="shared" si="300"/>
        <v>#N/A</v>
      </c>
      <c r="K1064" s="200" t="e">
        <f t="shared" si="301"/>
        <v>#N/A</v>
      </c>
      <c r="L1064" s="721"/>
      <c r="M1064" s="715" t="s">
        <v>116</v>
      </c>
      <c r="N1064" s="716"/>
      <c r="O1064" s="556" t="str">
        <f>PORCREQUERIDO*100&amp;"% PMFO DEL MÓDULO"</f>
        <v>50% PMFO DEL MÓDULO</v>
      </c>
      <c r="P1064" s="715" t="s">
        <v>118</v>
      </c>
      <c r="Q1064" s="728"/>
      <c r="R1064" s="458"/>
      <c r="S1064" s="459"/>
      <c r="T1064" s="460"/>
      <c r="U1064" s="219"/>
      <c r="V1064" s="464"/>
      <c r="Y1064" s="414"/>
      <c r="AA1064" s="540" t="e">
        <f>IF(AND(C1063&lt;=F1058,F1058&lt;&gt;""),VLOOKUP(VALUE(E1039&amp;","&amp;C1063),INTEGRANTES!$D$18:$F$235,2,0),"")</f>
        <v>#N/A</v>
      </c>
      <c r="AB1064" s="545" t="e">
        <f t="shared" si="302"/>
        <v>#N/A</v>
      </c>
      <c r="AC1064" s="529"/>
      <c r="AD1064" s="200" t="e">
        <f t="shared" si="303"/>
        <v>#N/A</v>
      </c>
      <c r="AE1064" s="52"/>
      <c r="AF1064" s="52"/>
      <c r="AG1064" s="52"/>
      <c r="AH1064" s="87"/>
      <c r="AI1064" s="87"/>
    </row>
    <row r="1065" spans="1:35" ht="16.5" hidden="1" thickBot="1">
      <c r="A1065" s="218" t="e">
        <f>"S"&amp;E1039</f>
        <v>#N/A</v>
      </c>
      <c r="B1065" s="702"/>
      <c r="C1065" s="215">
        <v>6</v>
      </c>
      <c r="D1065" s="216" t="e">
        <f>IF(AND(C1065&lt;=F1058,F1058&lt;&gt;""),VLOOKUP(VALUE(E1039&amp;","&amp;C1065),INTEGRANTES!$D$18:$F$235,2,0),"")</f>
        <v>#N/A</v>
      </c>
      <c r="E1065" s="217" t="e">
        <f>IF(D1065&lt;&gt;"",VLOOKUP(VALUE(E1039&amp;","&amp;C1065),INTEGRANTES!$D$18:$F$235,3,0),"")</f>
        <v>#N/A</v>
      </c>
      <c r="F1065" s="548" t="e">
        <f>IF(D1065="","",SUMIF($I1043:$I1052,D1065,$P1043:$P1052))</f>
        <v>#N/A</v>
      </c>
      <c r="G1065" s="334" t="e">
        <f>IF(D1065="","",SUMIF($I1043:$I1052,D1065,$M1043:$M1052))</f>
        <v>#N/A</v>
      </c>
      <c r="H1065" s="536" t="e">
        <f t="shared" si="299"/>
        <v>#N/A</v>
      </c>
      <c r="I1065" s="214" t="e">
        <f>IF(D1065="","",IF(H1065="NO APORTA","NO",IF(H1065=MAX($H1060:$H1065),"SI","NO")))</f>
        <v>#N/A</v>
      </c>
      <c r="J1065" s="213" t="e">
        <f t="shared" si="300"/>
        <v>#N/A</v>
      </c>
      <c r="K1065" s="200" t="e">
        <f t="shared" si="301"/>
        <v>#N/A</v>
      </c>
      <c r="L1065" s="721"/>
      <c r="M1065" s="729">
        <f>NUMMOD</f>
        <v>1</v>
      </c>
      <c r="N1065" s="730"/>
      <c r="O1065" s="443">
        <f>IF(M1065="","",ROUND(VLOOKUP(M1065,PRESUPUESTOS!$B$16:$H$16,7,FALSE),3))</f>
        <v>25.780999999999999</v>
      </c>
      <c r="P1065" s="713">
        <f>IF(OR(COUNTIF(P1043:P1052,"")&gt;=10,Q1059&lt;NUMMINCONT,OR(T1057="NO CUMPLE",T1057="VERIFICAR")),0,ROUND((SUM(P1043:P1052)/SUM(M1043:M1052)),3))</f>
        <v>0</v>
      </c>
      <c r="Q1065" s="714"/>
      <c r="R1065" s="458"/>
      <c r="S1065" s="459"/>
      <c r="T1065" s="460"/>
      <c r="U1065" s="219"/>
      <c r="V1065" s="464"/>
      <c r="Y1065" s="532" t="s">
        <v>343</v>
      </c>
      <c r="AA1065" s="540" t="e">
        <f>IF(AND(C1064&lt;=F1058,F1058&lt;&gt;""),VLOOKUP(VALUE(E1039&amp;","&amp;C1064),INTEGRANTES!$D$18:$F$235,2,0),"")</f>
        <v>#N/A</v>
      </c>
      <c r="AB1065" s="545" t="e">
        <f t="shared" si="302"/>
        <v>#N/A</v>
      </c>
      <c r="AC1065" s="529"/>
      <c r="AD1065" s="200" t="e">
        <f t="shared" si="303"/>
        <v>#N/A</v>
      </c>
      <c r="AE1065" s="52"/>
      <c r="AF1065" s="52"/>
      <c r="AG1065" s="52"/>
      <c r="AH1065" s="87"/>
      <c r="AI1065" s="87"/>
    </row>
    <row r="1066" spans="1:35" ht="16.5" hidden="1" customHeight="1" thickBot="1">
      <c r="A1066" s="218" t="e">
        <f>"T"&amp;E1039</f>
        <v>#N/A</v>
      </c>
      <c r="B1066" s="703"/>
      <c r="C1066" s="719"/>
      <c r="D1066" s="719"/>
      <c r="E1066" s="719"/>
      <c r="F1066" s="719"/>
      <c r="G1066" s="719"/>
      <c r="H1066" s="719" t="s">
        <v>110</v>
      </c>
      <c r="I1066" s="719"/>
      <c r="J1066" s="719"/>
      <c r="K1066" s="201" t="str">
        <f>IF(COUNTIF(K1060:K1065,"")=6,"",IF(COUNTIF(K1060:K1065,"CUMPLE")&gt;0,"CUMPLE","NO CUMPLE"))</f>
        <v>NO CUMPLE</v>
      </c>
      <c r="L1066" s="754"/>
      <c r="M1066" s="755"/>
      <c r="N1066" s="755"/>
      <c r="O1066" s="755"/>
      <c r="P1066" s="755"/>
      <c r="Q1066" s="756"/>
      <c r="R1066" s="461"/>
      <c r="S1066" s="462"/>
      <c r="T1066" s="463"/>
      <c r="U1066" s="219"/>
      <c r="V1066" s="464"/>
      <c r="Y1066" s="549" t="e">
        <f>IF(Y1060="NO APLICA","NO APLICA",IF(COUNTIF(AD1061:AD1066,"CUMPLE")&gt;0,"CUMPLE","NO CUMPLE"))</f>
        <v>#N/A</v>
      </c>
      <c r="AA1066" s="541" t="e">
        <f>IF(AND(C1065&lt;=F1058,F1058&lt;&gt;""),VLOOKUP(VALUE(E1039&amp;","&amp;C1065),INTEGRANTES!$D$18:$F$235,2,0),"")</f>
        <v>#N/A</v>
      </c>
      <c r="AB1066" s="546" t="e">
        <f t="shared" si="302"/>
        <v>#N/A</v>
      </c>
      <c r="AC1066" s="543"/>
      <c r="AD1066" s="201" t="e">
        <f t="shared" si="303"/>
        <v>#N/A</v>
      </c>
      <c r="AE1066" s="52"/>
      <c r="AF1066" s="52"/>
      <c r="AG1066" s="52"/>
      <c r="AH1066" s="87"/>
      <c r="AI1066" s="87"/>
    </row>
    <row r="1067" spans="1:35" hidden="1">
      <c r="A1067" s="103"/>
      <c r="B1067" s="206"/>
      <c r="C1067" s="206"/>
      <c r="D1067" s="206"/>
      <c r="E1067" s="206"/>
      <c r="F1067" s="206"/>
      <c r="G1067" s="206"/>
      <c r="H1067" s="206"/>
      <c r="I1067" s="104"/>
      <c r="J1067" s="206"/>
      <c r="K1067" s="113"/>
      <c r="L1067" s="113"/>
      <c r="M1067" s="113"/>
      <c r="N1067" s="222"/>
      <c r="O1067" s="113"/>
      <c r="P1067" s="113"/>
      <c r="Q1067" s="113"/>
      <c r="R1067" s="206"/>
      <c r="S1067" s="104"/>
      <c r="T1067" s="206"/>
      <c r="U1067" s="474"/>
      <c r="AH1067" s="87"/>
      <c r="AI1067" s="87"/>
    </row>
    <row r="1068" spans="1:35" hidden="1">
      <c r="H1068" s="220"/>
      <c r="AH1068" s="87"/>
      <c r="AI1068" s="87"/>
    </row>
    <row r="1069" spans="1:35" ht="24" hidden="1" thickBot="1">
      <c r="A1069" s="61">
        <v>36</v>
      </c>
      <c r="B1069" s="704" t="s">
        <v>51</v>
      </c>
      <c r="C1069" s="704"/>
      <c r="D1069" s="704"/>
      <c r="E1069" s="62" t="e">
        <f>VLOOKUP(A1069,PROPONENTES!$B$19:$E$218,2,FALSE)</f>
        <v>#N/A</v>
      </c>
      <c r="F1069" s="63" t="e">
        <f>VLOOKUP(A1069,PROPONENTES!$B$19:$E$218,3,FALSE)</f>
        <v>#N/A</v>
      </c>
      <c r="G1069" s="64"/>
      <c r="H1069" s="64"/>
      <c r="I1069" s="63"/>
      <c r="J1069" s="63"/>
      <c r="K1069" s="65"/>
      <c r="L1069" s="65"/>
      <c r="M1069" s="64"/>
      <c r="N1069" s="64"/>
      <c r="O1069" s="66"/>
      <c r="P1069" s="66"/>
      <c r="Q1069" s="66"/>
      <c r="R1069" s="66"/>
      <c r="S1069" s="67"/>
      <c r="T1069" s="68"/>
      <c r="U1069" s="68"/>
      <c r="AC1069" s="68"/>
      <c r="AD1069" s="68"/>
      <c r="AE1069" s="68"/>
      <c r="AF1069" s="68"/>
      <c r="AG1069" s="68"/>
      <c r="AH1069" s="87"/>
      <c r="AI1069" s="87"/>
    </row>
    <row r="1070" spans="1:35" ht="15.75" hidden="1" customHeight="1">
      <c r="A1070" s="44"/>
      <c r="B1070" s="709" t="s">
        <v>59</v>
      </c>
      <c r="C1070" s="552" t="s">
        <v>60</v>
      </c>
      <c r="D1070" s="70" t="s">
        <v>17</v>
      </c>
      <c r="E1070" s="70"/>
      <c r="F1070" s="70" t="s">
        <v>61</v>
      </c>
      <c r="G1070" s="71"/>
      <c r="H1070" s="699" t="s">
        <v>62</v>
      </c>
      <c r="I1070" s="699" t="s">
        <v>18</v>
      </c>
      <c r="J1070" s="699" t="s">
        <v>63</v>
      </c>
      <c r="K1070" s="699" t="s">
        <v>64</v>
      </c>
      <c r="L1070" s="699" t="s">
        <v>65</v>
      </c>
      <c r="M1070" s="743" t="s">
        <v>66</v>
      </c>
      <c r="N1070" s="699" t="s">
        <v>282</v>
      </c>
      <c r="O1070" s="745" t="s">
        <v>67</v>
      </c>
      <c r="P1070" s="746"/>
      <c r="Q1070" s="102" t="s">
        <v>75</v>
      </c>
      <c r="R1070" s="731" t="s">
        <v>22</v>
      </c>
      <c r="S1070" s="732"/>
      <c r="T1070" s="733"/>
      <c r="U1070" s="712" t="s">
        <v>298</v>
      </c>
      <c r="W1070" s="690" t="s">
        <v>268</v>
      </c>
      <c r="X1070" s="691"/>
      <c r="Y1070" s="692"/>
      <c r="Z1070" s="428"/>
      <c r="AA1070" s="697" t="s">
        <v>315</v>
      </c>
      <c r="AB1070" s="695" t="s">
        <v>322</v>
      </c>
      <c r="AC1070" s="49"/>
      <c r="AD1070" s="690" t="s">
        <v>297</v>
      </c>
      <c r="AE1070" s="691"/>
      <c r="AF1070" s="692"/>
      <c r="AG1070" s="49"/>
      <c r="AH1070" s="87"/>
      <c r="AI1070" s="87"/>
    </row>
    <row r="1071" spans="1:35" ht="72" hidden="1">
      <c r="A1071" s="44"/>
      <c r="B1071" s="710"/>
      <c r="C1071" s="553" t="s">
        <v>68</v>
      </c>
      <c r="D1071" s="73" t="s">
        <v>3</v>
      </c>
      <c r="E1071" s="73" t="s">
        <v>19</v>
      </c>
      <c r="F1071" s="73" t="s">
        <v>69</v>
      </c>
      <c r="G1071" s="74" t="s">
        <v>70</v>
      </c>
      <c r="H1071" s="700"/>
      <c r="I1071" s="700"/>
      <c r="J1071" s="700"/>
      <c r="K1071" s="700"/>
      <c r="L1071" s="700"/>
      <c r="M1071" s="744"/>
      <c r="N1071" s="700"/>
      <c r="O1071" s="553" t="s">
        <v>279</v>
      </c>
      <c r="P1071" s="73" t="s">
        <v>88</v>
      </c>
      <c r="Q1071" s="555" t="s">
        <v>76</v>
      </c>
      <c r="R1071" s="734"/>
      <c r="S1071" s="735"/>
      <c r="T1071" s="736"/>
      <c r="U1071" s="712"/>
      <c r="W1071" s="429" t="s">
        <v>269</v>
      </c>
      <c r="X1071" s="457" t="s">
        <v>278</v>
      </c>
      <c r="Y1071" s="430" t="s">
        <v>324</v>
      </c>
      <c r="Z1071" s="428"/>
      <c r="AA1071" s="698"/>
      <c r="AB1071" s="696"/>
      <c r="AC1071" s="49"/>
      <c r="AD1071" s="429" t="s">
        <v>292</v>
      </c>
      <c r="AE1071" s="431" t="s">
        <v>300</v>
      </c>
      <c r="AF1071" s="468" t="s">
        <v>301</v>
      </c>
      <c r="AG1071" s="49"/>
      <c r="AH1071" s="87"/>
      <c r="AI1071" s="87"/>
    </row>
    <row r="1072" spans="1:35" hidden="1">
      <c r="A1072" s="44"/>
      <c r="B1072" s="76"/>
      <c r="C1072" s="77"/>
      <c r="D1072" s="77"/>
      <c r="E1072" s="77"/>
      <c r="F1072" s="77"/>
      <c r="G1072" s="77"/>
      <c r="H1072" s="77"/>
      <c r="I1072" s="77"/>
      <c r="J1072" s="77"/>
      <c r="K1072" s="77"/>
      <c r="L1072" s="77"/>
      <c r="M1072" s="77"/>
      <c r="N1072" s="77"/>
      <c r="O1072" s="77"/>
      <c r="P1072" s="77"/>
      <c r="Q1072" s="77"/>
      <c r="R1072" s="77"/>
      <c r="S1072" s="78"/>
      <c r="T1072" s="79"/>
      <c r="U1072" s="109"/>
      <c r="V1072" s="49"/>
      <c r="W1072" s="432"/>
      <c r="X1072" s="454"/>
      <c r="Y1072" s="433"/>
      <c r="Z1072" s="6"/>
      <c r="AA1072" s="500"/>
      <c r="AB1072" s="562"/>
      <c r="AC1072" s="49"/>
      <c r="AD1072" s="210"/>
      <c r="AE1072" s="434"/>
      <c r="AF1072" s="435"/>
      <c r="AG1072" s="49"/>
      <c r="AH1072" s="87"/>
      <c r="AI1072" s="87"/>
    </row>
    <row r="1073" spans="1:35" hidden="1">
      <c r="A1073" s="80" t="e">
        <f>"A"&amp;E1069</f>
        <v>#N/A</v>
      </c>
      <c r="B1073" s="81">
        <v>1</v>
      </c>
      <c r="C1073" s="82"/>
      <c r="D1073" s="82"/>
      <c r="E1073" s="82"/>
      <c r="F1073" s="82"/>
      <c r="G1073" s="83"/>
      <c r="H1073" s="83"/>
      <c r="I1073" s="84"/>
      <c r="J1073" s="85"/>
      <c r="K1073" s="382"/>
      <c r="L1073" s="85"/>
      <c r="M1073" s="332" t="str">
        <f t="shared" ref="M1073:M1082" si="304">IF(OR(J1073="",L1073="",H1073="NO"),"",IF(OR(J1073&gt;$P$17,J1073&lt;$O$17,L1073&gt;$P$17,AND(J1073&lt;$O$17,L1073&lt;$O$17)),"FUERA DE RANGO",IF(OR(K1073="---",K1073=""),IF(J1073&gt;=$O$17,ROUND((L1073-J1073+1)/360*12,3),ROUND((L1073-$O$17+1)/360*12,3)),IF(J1073&gt;=$O$17,ROUND((L1073-J1073+1)/360*12-ROUND(K1073,3),3),ROUND((L1073-$O$17+1)/360*12-ROUND(K1073,3),3)))))</f>
        <v/>
      </c>
      <c r="N1073" s="86"/>
      <c r="O1073" s="453" t="str">
        <f>IF(OR(G1073="",N1073=""),"",N1073*G1073)</f>
        <v/>
      </c>
      <c r="P1073" s="538" t="str">
        <f>IF(OR(H1073="",M1073="FUERA DE RANGO"),"",IF(OR(L1073&lt;$O$17,L1073&gt;$P$17,L1073="",H1073="NO"),"",IF(OR(N1073="",O1073=""),"",ROUND(O1073,3))))</f>
        <v/>
      </c>
      <c r="Q1073" s="539" t="str">
        <f t="shared" ref="Q1073:Q1082" si="305">IF(AND(H1073="SI",P1073&lt;&gt;""),ROUND(P1073/M1073,3),"")</f>
        <v/>
      </c>
      <c r="R1073" s="737"/>
      <c r="S1073" s="738"/>
      <c r="T1073" s="739"/>
      <c r="U1073" s="470"/>
      <c r="V1073" s="165"/>
      <c r="W1073" s="446"/>
      <c r="X1073" s="456"/>
      <c r="Y1073" s="436"/>
      <c r="Z1073" s="437"/>
      <c r="AA1073" s="560"/>
      <c r="AB1073" s="561"/>
      <c r="AC1073" s="87"/>
      <c r="AD1073" s="466"/>
      <c r="AE1073" s="456"/>
      <c r="AF1073" s="467"/>
      <c r="AG1073" s="87"/>
      <c r="AH1073" s="87"/>
      <c r="AI1073" s="87"/>
    </row>
    <row r="1074" spans="1:35" hidden="1">
      <c r="A1074" s="80" t="e">
        <f>"B"&amp;E1069</f>
        <v>#N/A</v>
      </c>
      <c r="B1074" s="81">
        <v>2</v>
      </c>
      <c r="C1074" s="106"/>
      <c r="D1074" s="106"/>
      <c r="E1074" s="106"/>
      <c r="F1074" s="106"/>
      <c r="G1074" s="83"/>
      <c r="H1074" s="83"/>
      <c r="I1074" s="84"/>
      <c r="J1074" s="85"/>
      <c r="K1074" s="382"/>
      <c r="L1074" s="85"/>
      <c r="M1074" s="332" t="str">
        <f t="shared" si="304"/>
        <v/>
      </c>
      <c r="N1074" s="86"/>
      <c r="O1074" s="453" t="str">
        <f t="shared" ref="O1074:O1082" si="306">IF(OR(G1074="",N1074=""),"",N1074*G1074)</f>
        <v/>
      </c>
      <c r="P1074" s="538" t="str">
        <f t="shared" ref="P1074:P1082" si="307">IF(OR(H1074="",M1074="FUERA DE RANGO"),"",IF(OR(L1074&lt;$O$17,L1074&gt;$P$17,L1074="",H1074="NO"),"",IF(OR(N1074="",O1074=""),"",ROUND(O1074,3))))</f>
        <v/>
      </c>
      <c r="Q1074" s="539" t="str">
        <f t="shared" si="305"/>
        <v/>
      </c>
      <c r="R1074" s="740"/>
      <c r="S1074" s="741"/>
      <c r="T1074" s="742"/>
      <c r="U1074" s="471"/>
      <c r="V1074" s="165"/>
      <c r="W1074" s="446"/>
      <c r="X1074" s="456"/>
      <c r="Y1074" s="436"/>
      <c r="Z1074" s="437"/>
      <c r="AA1074" s="560"/>
      <c r="AB1074" s="561"/>
      <c r="AC1074" s="87"/>
      <c r="AD1074" s="466"/>
      <c r="AE1074" s="456"/>
      <c r="AF1074" s="467"/>
      <c r="AG1074" s="87"/>
      <c r="AH1074" s="87"/>
      <c r="AI1074" s="87"/>
    </row>
    <row r="1075" spans="1:35" hidden="1">
      <c r="A1075" s="80" t="e">
        <f>"C"&amp;E1069</f>
        <v>#N/A</v>
      </c>
      <c r="B1075" s="88">
        <v>3</v>
      </c>
      <c r="C1075" s="82"/>
      <c r="D1075" s="82"/>
      <c r="E1075" s="82"/>
      <c r="F1075" s="82"/>
      <c r="G1075" s="83"/>
      <c r="H1075" s="83"/>
      <c r="I1075" s="84"/>
      <c r="J1075" s="85"/>
      <c r="K1075" s="382"/>
      <c r="L1075" s="85"/>
      <c r="M1075" s="332" t="str">
        <f t="shared" si="304"/>
        <v/>
      </c>
      <c r="N1075" s="86"/>
      <c r="O1075" s="453" t="str">
        <f t="shared" si="306"/>
        <v/>
      </c>
      <c r="P1075" s="538" t="str">
        <f t="shared" si="307"/>
        <v/>
      </c>
      <c r="Q1075" s="539" t="str">
        <f t="shared" si="305"/>
        <v/>
      </c>
      <c r="R1075" s="706"/>
      <c r="S1075" s="707"/>
      <c r="T1075" s="708"/>
      <c r="U1075" s="472"/>
      <c r="V1075" s="166"/>
      <c r="W1075" s="446"/>
      <c r="X1075" s="456"/>
      <c r="Y1075" s="436"/>
      <c r="Z1075" s="437"/>
      <c r="AA1075" s="560"/>
      <c r="AB1075" s="561"/>
      <c r="AC1075" s="87"/>
      <c r="AD1075" s="466"/>
      <c r="AE1075" s="456"/>
      <c r="AF1075" s="467"/>
      <c r="AG1075" s="87"/>
      <c r="AH1075" s="87"/>
      <c r="AI1075" s="87"/>
    </row>
    <row r="1076" spans="1:35" hidden="1">
      <c r="A1076" s="80" t="e">
        <f>"D"&amp;E1069</f>
        <v>#N/A</v>
      </c>
      <c r="B1076" s="105">
        <v>4</v>
      </c>
      <c r="C1076" s="107"/>
      <c r="D1076" s="107"/>
      <c r="E1076" s="107"/>
      <c r="F1076" s="107"/>
      <c r="G1076" s="83"/>
      <c r="H1076" s="83"/>
      <c r="I1076" s="84"/>
      <c r="J1076" s="85"/>
      <c r="K1076" s="382"/>
      <c r="L1076" s="85"/>
      <c r="M1076" s="332" t="str">
        <f t="shared" si="304"/>
        <v/>
      </c>
      <c r="N1076" s="86"/>
      <c r="O1076" s="453" t="str">
        <f t="shared" si="306"/>
        <v/>
      </c>
      <c r="P1076" s="538" t="str">
        <f t="shared" si="307"/>
        <v/>
      </c>
      <c r="Q1076" s="539" t="str">
        <f t="shared" si="305"/>
        <v/>
      </c>
      <c r="R1076" s="706"/>
      <c r="S1076" s="707"/>
      <c r="T1076" s="708"/>
      <c r="U1076" s="472"/>
      <c r="V1076" s="166"/>
      <c r="W1076" s="446"/>
      <c r="X1076" s="456"/>
      <c r="Y1076" s="436"/>
      <c r="Z1076" s="437"/>
      <c r="AA1076" s="560"/>
      <c r="AB1076" s="561"/>
      <c r="AC1076" s="87"/>
      <c r="AD1076" s="466"/>
      <c r="AE1076" s="456"/>
      <c r="AF1076" s="467"/>
      <c r="AG1076" s="87"/>
      <c r="AH1076" s="87"/>
      <c r="AI1076" s="87"/>
    </row>
    <row r="1077" spans="1:35" hidden="1">
      <c r="A1077" s="80" t="e">
        <f>"E"&amp;E1069</f>
        <v>#N/A</v>
      </c>
      <c r="B1077" s="105">
        <v>5</v>
      </c>
      <c r="C1077" s="107"/>
      <c r="D1077" s="107"/>
      <c r="E1077" s="107"/>
      <c r="F1077" s="107"/>
      <c r="G1077" s="83"/>
      <c r="H1077" s="83"/>
      <c r="I1077" s="84"/>
      <c r="J1077" s="85"/>
      <c r="K1077" s="382"/>
      <c r="L1077" s="85"/>
      <c r="M1077" s="332" t="str">
        <f t="shared" si="304"/>
        <v/>
      </c>
      <c r="N1077" s="86"/>
      <c r="O1077" s="453" t="str">
        <f t="shared" si="306"/>
        <v/>
      </c>
      <c r="P1077" s="538" t="str">
        <f t="shared" si="307"/>
        <v/>
      </c>
      <c r="Q1077" s="539" t="str">
        <f t="shared" si="305"/>
        <v/>
      </c>
      <c r="R1077" s="706"/>
      <c r="S1077" s="707"/>
      <c r="T1077" s="708"/>
      <c r="U1077" s="472"/>
      <c r="V1077" s="167"/>
      <c r="W1077" s="446"/>
      <c r="X1077" s="456"/>
      <c r="Y1077" s="436"/>
      <c r="Z1077" s="437"/>
      <c r="AA1077" s="560"/>
      <c r="AB1077" s="561"/>
      <c r="AC1077" s="87"/>
      <c r="AD1077" s="466"/>
      <c r="AE1077" s="456"/>
      <c r="AF1077" s="467"/>
      <c r="AG1077" s="87"/>
      <c r="AH1077" s="87"/>
      <c r="AI1077" s="87"/>
    </row>
    <row r="1078" spans="1:35" hidden="1">
      <c r="A1078" s="80" t="e">
        <f>"F"&amp;E1069</f>
        <v>#N/A</v>
      </c>
      <c r="B1078" s="105">
        <v>6</v>
      </c>
      <c r="C1078" s="107"/>
      <c r="D1078" s="107"/>
      <c r="E1078" s="107"/>
      <c r="F1078" s="107"/>
      <c r="G1078" s="83"/>
      <c r="H1078" s="83"/>
      <c r="I1078" s="84"/>
      <c r="J1078" s="85"/>
      <c r="K1078" s="382"/>
      <c r="L1078" s="85"/>
      <c r="M1078" s="332" t="str">
        <f t="shared" si="304"/>
        <v/>
      </c>
      <c r="N1078" s="86"/>
      <c r="O1078" s="453" t="str">
        <f t="shared" si="306"/>
        <v/>
      </c>
      <c r="P1078" s="538" t="str">
        <f t="shared" si="307"/>
        <v/>
      </c>
      <c r="Q1078" s="539" t="str">
        <f t="shared" si="305"/>
        <v/>
      </c>
      <c r="R1078" s="706"/>
      <c r="S1078" s="707"/>
      <c r="T1078" s="708"/>
      <c r="U1078" s="472"/>
      <c r="V1078" s="167"/>
      <c r="W1078" s="446"/>
      <c r="X1078" s="456"/>
      <c r="Y1078" s="436"/>
      <c r="Z1078" s="437"/>
      <c r="AA1078" s="560"/>
      <c r="AB1078" s="561"/>
      <c r="AC1078" s="87"/>
      <c r="AD1078" s="466"/>
      <c r="AE1078" s="456"/>
      <c r="AF1078" s="467"/>
      <c r="AG1078" s="87"/>
      <c r="AH1078" s="87"/>
      <c r="AI1078" s="87"/>
    </row>
    <row r="1079" spans="1:35" hidden="1">
      <c r="A1079" s="80" t="e">
        <f>"G"&amp;E1069</f>
        <v>#N/A</v>
      </c>
      <c r="B1079" s="105">
        <v>7</v>
      </c>
      <c r="C1079" s="107"/>
      <c r="D1079" s="107"/>
      <c r="E1079" s="107"/>
      <c r="F1079" s="107"/>
      <c r="G1079" s="83"/>
      <c r="H1079" s="83"/>
      <c r="I1079" s="84"/>
      <c r="J1079" s="85"/>
      <c r="K1079" s="382"/>
      <c r="L1079" s="85"/>
      <c r="M1079" s="332" t="str">
        <f t="shared" si="304"/>
        <v/>
      </c>
      <c r="N1079" s="86"/>
      <c r="O1079" s="86" t="str">
        <f t="shared" si="306"/>
        <v/>
      </c>
      <c r="P1079" s="538" t="str">
        <f t="shared" si="307"/>
        <v/>
      </c>
      <c r="Q1079" s="539" t="str">
        <f t="shared" si="305"/>
        <v/>
      </c>
      <c r="R1079" s="706"/>
      <c r="S1079" s="707"/>
      <c r="T1079" s="708"/>
      <c r="U1079" s="472"/>
      <c r="V1079" s="167"/>
      <c r="W1079" s="446"/>
      <c r="X1079" s="456"/>
      <c r="Y1079" s="436"/>
      <c r="Z1079" s="437"/>
      <c r="AA1079" s="560"/>
      <c r="AB1079" s="561"/>
      <c r="AC1079" s="87"/>
      <c r="AD1079" s="466"/>
      <c r="AE1079" s="456"/>
      <c r="AF1079" s="467"/>
      <c r="AG1079" s="87"/>
      <c r="AH1079" s="87"/>
      <c r="AI1079" s="87"/>
    </row>
    <row r="1080" spans="1:35" hidden="1">
      <c r="A1080" s="80" t="e">
        <f>"H"&amp;E1069</f>
        <v>#N/A</v>
      </c>
      <c r="B1080" s="105">
        <v>8</v>
      </c>
      <c r="C1080" s="107"/>
      <c r="D1080" s="107"/>
      <c r="E1080" s="107"/>
      <c r="F1080" s="107"/>
      <c r="G1080" s="83"/>
      <c r="H1080" s="83"/>
      <c r="I1080" s="84"/>
      <c r="J1080" s="85"/>
      <c r="K1080" s="382"/>
      <c r="L1080" s="85"/>
      <c r="M1080" s="332" t="str">
        <f t="shared" si="304"/>
        <v/>
      </c>
      <c r="N1080" s="453"/>
      <c r="O1080" s="86" t="str">
        <f t="shared" si="306"/>
        <v/>
      </c>
      <c r="P1080" s="538" t="str">
        <f t="shared" si="307"/>
        <v/>
      </c>
      <c r="Q1080" s="539" t="str">
        <f t="shared" si="305"/>
        <v/>
      </c>
      <c r="R1080" s="706"/>
      <c r="S1080" s="707"/>
      <c r="T1080" s="708"/>
      <c r="U1080" s="472"/>
      <c r="V1080" s="167"/>
      <c r="W1080" s="446"/>
      <c r="X1080" s="456"/>
      <c r="Y1080" s="436"/>
      <c r="Z1080" s="437"/>
      <c r="AA1080" s="560"/>
      <c r="AB1080" s="561"/>
      <c r="AC1080" s="87"/>
      <c r="AD1080" s="466"/>
      <c r="AE1080" s="456"/>
      <c r="AF1080" s="467"/>
      <c r="AG1080" s="87"/>
      <c r="AH1080" s="87"/>
      <c r="AI1080" s="87"/>
    </row>
    <row r="1081" spans="1:35" hidden="1">
      <c r="A1081" s="80" t="e">
        <f>"I"&amp;E1069</f>
        <v>#N/A</v>
      </c>
      <c r="B1081" s="105">
        <v>9</v>
      </c>
      <c r="C1081" s="107"/>
      <c r="D1081" s="107"/>
      <c r="E1081" s="107"/>
      <c r="F1081" s="107"/>
      <c r="G1081" s="83"/>
      <c r="H1081" s="83"/>
      <c r="I1081" s="84"/>
      <c r="J1081" s="85"/>
      <c r="K1081" s="382"/>
      <c r="L1081" s="85"/>
      <c r="M1081" s="332" t="str">
        <f t="shared" si="304"/>
        <v/>
      </c>
      <c r="N1081" s="453"/>
      <c r="O1081" s="86" t="str">
        <f t="shared" si="306"/>
        <v/>
      </c>
      <c r="P1081" s="538" t="str">
        <f t="shared" si="307"/>
        <v/>
      </c>
      <c r="Q1081" s="539" t="str">
        <f t="shared" si="305"/>
        <v/>
      </c>
      <c r="R1081" s="706"/>
      <c r="S1081" s="707"/>
      <c r="T1081" s="708"/>
      <c r="U1081" s="472"/>
      <c r="V1081" s="167"/>
      <c r="W1081" s="446"/>
      <c r="X1081" s="456"/>
      <c r="Y1081" s="436"/>
      <c r="Z1081" s="437"/>
      <c r="AA1081" s="560"/>
      <c r="AB1081" s="561"/>
      <c r="AC1081" s="87"/>
      <c r="AD1081" s="466"/>
      <c r="AE1081" s="456"/>
      <c r="AF1081" s="467"/>
      <c r="AG1081" s="87"/>
      <c r="AH1081" s="87"/>
      <c r="AI1081" s="87"/>
    </row>
    <row r="1082" spans="1:35" hidden="1">
      <c r="A1082" s="80" t="e">
        <f>"J"&amp;E1069</f>
        <v>#N/A</v>
      </c>
      <c r="B1082" s="105">
        <v>10</v>
      </c>
      <c r="C1082" s="107"/>
      <c r="D1082" s="107"/>
      <c r="E1082" s="107"/>
      <c r="F1082" s="107"/>
      <c r="G1082" s="83"/>
      <c r="H1082" s="83"/>
      <c r="I1082" s="84"/>
      <c r="J1082" s="85"/>
      <c r="K1082" s="382"/>
      <c r="L1082" s="85"/>
      <c r="M1082" s="332" t="str">
        <f t="shared" si="304"/>
        <v/>
      </c>
      <c r="N1082" s="453"/>
      <c r="O1082" s="86" t="str">
        <f t="shared" si="306"/>
        <v/>
      </c>
      <c r="P1082" s="538" t="str">
        <f t="shared" si="307"/>
        <v/>
      </c>
      <c r="Q1082" s="539" t="str">
        <f t="shared" si="305"/>
        <v/>
      </c>
      <c r="R1082" s="706"/>
      <c r="S1082" s="707"/>
      <c r="T1082" s="708"/>
      <c r="U1082" s="472"/>
      <c r="V1082" s="167"/>
      <c r="W1082" s="446"/>
      <c r="X1082" s="456"/>
      <c r="Y1082" s="436"/>
      <c r="Z1082" s="437"/>
      <c r="AA1082" s="560"/>
      <c r="AB1082" s="561"/>
      <c r="AC1082" s="87"/>
      <c r="AD1082" s="466"/>
      <c r="AE1082" s="456"/>
      <c r="AF1082" s="467"/>
      <c r="AG1082" s="87"/>
      <c r="AH1082" s="87"/>
      <c r="AI1082" s="87"/>
    </row>
    <row r="1083" spans="1:35" ht="16.5" hidden="1" thickBot="1">
      <c r="A1083" s="44"/>
      <c r="B1083" s="89"/>
      <c r="C1083" s="90"/>
      <c r="D1083" s="90"/>
      <c r="E1083" s="90"/>
      <c r="F1083" s="90"/>
      <c r="G1083" s="90"/>
      <c r="H1083" s="90"/>
      <c r="I1083" s="90"/>
      <c r="J1083" s="90"/>
      <c r="K1083" s="90"/>
      <c r="L1083" s="90"/>
      <c r="M1083" s="90"/>
      <c r="N1083" s="90"/>
      <c r="O1083" s="90"/>
      <c r="P1083" s="90"/>
      <c r="Q1083" s="90"/>
      <c r="R1083" s="90"/>
      <c r="S1083" s="91"/>
      <c r="T1083" s="92"/>
      <c r="U1083" s="473"/>
      <c r="W1083" s="438"/>
      <c r="X1083" s="455"/>
      <c r="Y1083" s="439"/>
      <c r="Z1083" s="437"/>
      <c r="AA1083" s="530"/>
      <c r="AB1083" s="563"/>
      <c r="AC1083" s="87"/>
      <c r="AD1083" s="440"/>
      <c r="AE1083" s="441"/>
      <c r="AF1083" s="442"/>
      <c r="AG1083" s="49"/>
      <c r="AH1083" s="87"/>
      <c r="AI1083" s="87"/>
    </row>
    <row r="1084" spans="1:35" ht="16.5" hidden="1" thickBot="1">
      <c r="A1084" s="93"/>
      <c r="B1084" s="94"/>
      <c r="C1084" s="96"/>
      <c r="D1084" s="96"/>
      <c r="E1084" s="96"/>
      <c r="F1084" s="96"/>
      <c r="G1084" s="96"/>
      <c r="H1084" s="96"/>
      <c r="I1084" s="96"/>
      <c r="J1084" s="96"/>
      <c r="K1084" s="96"/>
      <c r="L1084" s="96"/>
      <c r="M1084" s="136"/>
      <c r="N1084" s="96"/>
      <c r="O1084" s="96"/>
      <c r="P1084" s="97"/>
      <c r="Q1084" s="97"/>
      <c r="R1084" s="98"/>
      <c r="S1084" s="95"/>
      <c r="T1084" s="99"/>
      <c r="U1084" s="469"/>
      <c r="AC1084" s="58"/>
      <c r="AG1084" s="58"/>
      <c r="AH1084" s="87"/>
      <c r="AI1084" s="87"/>
    </row>
    <row r="1085" spans="1:35" ht="16.5" hidden="1" thickBot="1">
      <c r="B1085" s="101"/>
      <c r="C1085" s="101"/>
      <c r="D1085" s="101"/>
      <c r="E1085" s="101"/>
      <c r="F1085" s="101"/>
      <c r="G1085" s="101"/>
      <c r="H1085" s="101"/>
      <c r="I1085" s="101"/>
      <c r="J1085" s="101"/>
      <c r="K1085" s="101"/>
      <c r="L1085" s="101"/>
      <c r="M1085" s="101"/>
      <c r="N1085" s="101"/>
      <c r="O1085" s="101"/>
      <c r="P1085" s="101"/>
      <c r="Q1085" s="101"/>
      <c r="R1085" s="101"/>
      <c r="S1085" s="101"/>
      <c r="U1085" s="50"/>
      <c r="AH1085" s="87"/>
      <c r="AI1085" s="87"/>
    </row>
    <row r="1086" spans="1:35" ht="16.5" hidden="1" customHeight="1" thickBot="1">
      <c r="A1086" s="44"/>
      <c r="B1086" s="705" t="s">
        <v>74</v>
      </c>
      <c r="C1086" s="705"/>
      <c r="D1086" s="705"/>
      <c r="E1086" s="705"/>
      <c r="F1086" s="705"/>
      <c r="G1086" s="705"/>
      <c r="H1086" s="705"/>
      <c r="I1086" s="705"/>
      <c r="J1086" s="705"/>
      <c r="K1086" s="705"/>
      <c r="L1086" s="705"/>
      <c r="M1086" s="705"/>
      <c r="N1086" s="705"/>
      <c r="O1086" s="705"/>
      <c r="P1086" s="705"/>
      <c r="Q1086" s="705"/>
      <c r="R1086" s="705"/>
      <c r="S1086" s="705"/>
      <c r="T1086" s="705"/>
      <c r="U1086" s="108"/>
      <c r="Y1086" s="532" t="s">
        <v>341</v>
      </c>
      <c r="AC1086" s="49"/>
      <c r="AD1086" s="687" t="s">
        <v>302</v>
      </c>
      <c r="AE1086" s="688"/>
      <c r="AF1086" s="689"/>
      <c r="AG1086" s="49"/>
      <c r="AH1086" s="87"/>
      <c r="AI1086" s="87"/>
    </row>
    <row r="1087" spans="1:35" ht="15.75" hidden="1" customHeight="1" thickBot="1">
      <c r="A1087" s="218" t="e">
        <f>"K"&amp;E1069</f>
        <v>#N/A</v>
      </c>
      <c r="B1087" s="701" t="s">
        <v>71</v>
      </c>
      <c r="C1087" s="751" t="s">
        <v>102</v>
      </c>
      <c r="D1087" s="751"/>
      <c r="E1087" s="751"/>
      <c r="F1087" s="751"/>
      <c r="G1087" s="751"/>
      <c r="H1087" s="751"/>
      <c r="I1087" s="751"/>
      <c r="J1087" s="751"/>
      <c r="K1087" s="751"/>
      <c r="L1087" s="722" t="s">
        <v>100</v>
      </c>
      <c r="M1087" s="747" t="s">
        <v>114</v>
      </c>
      <c r="N1087" s="747"/>
      <c r="O1087" s="747"/>
      <c r="P1087" s="747"/>
      <c r="Q1087" s="748"/>
      <c r="R1087" s="758" t="s">
        <v>280</v>
      </c>
      <c r="S1087" s="748"/>
      <c r="T1087" s="762" t="str">
        <f>IF(COUNTIF(AE1087:AF1087,"VERIFICAR")&gt;0,"VERIFICAR",IF(COUNTIF(AE1087:AF1087,"NO CUMPLE")&gt;0,"NO CUMPLE","CUMPLE"))</f>
        <v>VERIFICAR</v>
      </c>
      <c r="U1087" s="108"/>
      <c r="Y1087" s="533" t="e">
        <f>IF(F1088="","",IF(F1088=1,"INDIVIDUAL","ESTRUCTURA PLURAL"))</f>
        <v>#N/A</v>
      </c>
      <c r="AC1087" s="52"/>
      <c r="AD1087" s="475" t="s">
        <v>303</v>
      </c>
      <c r="AE1087" s="476" t="str">
        <f>IF(COUNTIF(AE1073:AE1082,"")=10,"VERIFICAR",IF(COUNTIF(AE1073:AE1082,"SI")&gt;0,"CUMPLE","NO CUMPLE"))</f>
        <v>VERIFICAR</v>
      </c>
      <c r="AF1087" s="477" t="str">
        <f>IF(COUNTIF(AF1073:AF1082,"")=10,"VERIFICAR",IF(COUNTIF(AF1073:AF1082,"SI")&gt;=$AI$22,"CUMPLE","NO CUMPLE"))</f>
        <v>VERIFICAR</v>
      </c>
      <c r="AG1087" s="52"/>
      <c r="AH1087" s="87"/>
      <c r="AI1087" s="87"/>
    </row>
    <row r="1088" spans="1:35" ht="16.5" hidden="1" customHeight="1" thickBot="1">
      <c r="A1088" s="218" t="e">
        <f>"L"&amp;E1069</f>
        <v>#N/A</v>
      </c>
      <c r="B1088" s="702"/>
      <c r="C1088" s="751" t="s">
        <v>103</v>
      </c>
      <c r="D1088" s="751"/>
      <c r="E1088" s="752"/>
      <c r="F1088" s="557" t="e">
        <f>IF(VLOOKUP(E1069,PROPONENTES!$C$19:$E$218,3,0)="","",VLOOKUP(E1069,PROPONENTES!$C$19:$E$218,3,0))</f>
        <v>#N/A</v>
      </c>
      <c r="G1088" s="753" t="s">
        <v>104</v>
      </c>
      <c r="H1088" s="751"/>
      <c r="I1088" s="715" t="e">
        <f>IF(OR(F1088="",F1088=1),"INTERESADO PERSONA NATURAL O JURIDICA","CONSORCIO O UNION TEMPORAL")</f>
        <v>#N/A</v>
      </c>
      <c r="J1088" s="725"/>
      <c r="K1088" s="728"/>
      <c r="L1088" s="723"/>
      <c r="M1088" s="749"/>
      <c r="N1088" s="749"/>
      <c r="O1088" s="749"/>
      <c r="P1088" s="749"/>
      <c r="Q1088" s="750"/>
      <c r="R1088" s="712"/>
      <c r="S1088" s="750"/>
      <c r="T1088" s="763"/>
      <c r="U1088" s="108"/>
      <c r="Y1088" s="534"/>
      <c r="AA1088" s="52"/>
      <c r="AB1088" s="52"/>
      <c r="AC1088" s="52"/>
      <c r="AG1088" s="52"/>
      <c r="AH1088" s="87"/>
      <c r="AI1088" s="87"/>
    </row>
    <row r="1089" spans="1:35" ht="56.25" hidden="1" customHeight="1" thickBot="1">
      <c r="A1089" s="218" t="e">
        <f>"M"&amp;E1069</f>
        <v>#N/A</v>
      </c>
      <c r="B1089" s="702"/>
      <c r="C1089" s="725" t="s">
        <v>101</v>
      </c>
      <c r="D1089" s="716"/>
      <c r="E1089" s="558" t="s">
        <v>105</v>
      </c>
      <c r="F1089" s="554" t="s">
        <v>87</v>
      </c>
      <c r="G1089" s="553" t="s">
        <v>86</v>
      </c>
      <c r="H1089" s="559" t="s">
        <v>85</v>
      </c>
      <c r="I1089" s="554" t="s">
        <v>252</v>
      </c>
      <c r="J1089" s="553" t="str">
        <f>"¿EL INTEGRANTE TIENE UNA PARTICIPACIÓN DEL "&amp;PORCREQUERIDOINT*100&amp;"%?"</f>
        <v>¿EL INTEGRANTE TIENE UNA PARTICIPACIÓN DEL 60%?</v>
      </c>
      <c r="K1089" s="554" t="s">
        <v>107</v>
      </c>
      <c r="L1089" s="724"/>
      <c r="M1089" s="717" t="s">
        <v>115</v>
      </c>
      <c r="N1089" s="718"/>
      <c r="O1089" s="718"/>
      <c r="P1089" s="718"/>
      <c r="Q1089" s="223">
        <f>IF(AND(H1073="SI",P1073&gt;=0),1,0)+IF(AND(H1074="SI",P1074&gt;=0),1,0)+IF(AND(H1075="SI",P1075&gt;=0),1,0)+IF(AND(H1076="SI",P1076&gt;=0),1,0)+IF(AND(H1077="SI",P1077&gt;=0),1,0)+IF(AND(H1078="SI",P1078&gt;=0),1,0)+IF(AND(H1079="SI",P1079&gt;=0),1,0)+IF(AND(H1080="SI",P1080&gt;=0),1,0)+IF(AND(H1081="SI",P1081&gt;=0),1,0)+IF(AND(H1082="SI",P1082&gt;=0),1,0)</f>
        <v>0</v>
      </c>
      <c r="R1089" s="759"/>
      <c r="S1089" s="761"/>
      <c r="T1089" s="764"/>
      <c r="U1089" s="219"/>
      <c r="V1089" s="464"/>
      <c r="Y1089" s="532" t="s">
        <v>342</v>
      </c>
      <c r="AA1089" s="550" t="s">
        <v>344</v>
      </c>
      <c r="AB1089" s="693" t="s">
        <v>345</v>
      </c>
      <c r="AC1089" s="693" t="s">
        <v>346</v>
      </c>
      <c r="AD1089" s="685" t="s">
        <v>347</v>
      </c>
      <c r="AE1089" s="52"/>
      <c r="AF1089" s="52"/>
      <c r="AG1089" s="52"/>
      <c r="AH1089" s="87"/>
      <c r="AI1089" s="87"/>
    </row>
    <row r="1090" spans="1:35" ht="15.75" hidden="1" customHeight="1" thickBot="1">
      <c r="A1090" s="218" t="e">
        <f>"N"&amp;E1069</f>
        <v>#N/A</v>
      </c>
      <c r="B1090" s="702"/>
      <c r="C1090" s="114">
        <v>1</v>
      </c>
      <c r="D1090" s="194" t="e">
        <f>IF(AND(C1090&lt;=F1088,F1088&gt;1,F1088&lt;&gt;""),VLOOKUP(VALUE(E1069&amp;","&amp;C1090),INTEGRANTES!$D$18:$F$235,2,0),"")</f>
        <v>#N/A</v>
      </c>
      <c r="E1090" s="211" t="e">
        <f>IF(D1090&lt;&gt;"",VLOOKUP(VALUE(E1069&amp;","&amp;C1090),INTEGRANTES!$D$18:$F$235,3,0),"")</f>
        <v>#N/A</v>
      </c>
      <c r="F1090" s="547" t="e">
        <f>IF(D1090="","",SUMIF($I1073:$I1082,D1090,$P1073:$P1082))</f>
        <v>#N/A</v>
      </c>
      <c r="G1090" s="333" t="e">
        <f>IF(D1090="","",SUMIF($I1073:$I1082,D1090,$M1073:$M1082))</f>
        <v>#N/A</v>
      </c>
      <c r="H1090" s="535" t="e">
        <f t="shared" ref="H1090:H1095" si="308">IF(D1090="","",IF(OR(F1090=0,G1090=0),"NO APORTA",ROUND($F1090/$G1090,3)))</f>
        <v>#N/A</v>
      </c>
      <c r="I1090" s="212" t="e">
        <f>IF(D1090="","",IF(H1090="NO APORTA","NO",IF(H1090=MAX($H1090:$H1095),"SI","NO")))</f>
        <v>#N/A</v>
      </c>
      <c r="J1090" s="213" t="e">
        <f t="shared" ref="J1090:J1095" si="309">IF(D1090="","",IF(E1090&gt;=PORCREQUERIDOINT,"SI","NO"))</f>
        <v>#N/A</v>
      </c>
      <c r="K1090" s="200" t="e">
        <f t="shared" ref="K1090:K1095" si="310">IF(D1090="","",IF(AND(I1090="SI",J1090="SI"),"CUMPLE",IF(AND(I1090="NO",OR(J1090="SI",J1090="NO")),"","NO CUMPLE")))</f>
        <v>#N/A</v>
      </c>
      <c r="L1090" s="722" t="s">
        <v>108</v>
      </c>
      <c r="M1090" s="726" t="s">
        <v>119</v>
      </c>
      <c r="N1090" s="726"/>
      <c r="O1090" s="726"/>
      <c r="P1090" s="726"/>
      <c r="Q1090" s="727"/>
      <c r="R1090" s="758" t="s">
        <v>80</v>
      </c>
      <c r="S1090" s="747"/>
      <c r="T1090" s="748"/>
      <c r="U1090" s="219"/>
      <c r="V1090" s="464"/>
      <c r="Y1090" s="533" t="e">
        <f>IF(Y1087="","",IF(Y1087="INDIVIDUAL","NO APLICA","VERIFICAR CUADRO"))</f>
        <v>#N/A</v>
      </c>
      <c r="AA1090" s="551"/>
      <c r="AB1090" s="694"/>
      <c r="AC1090" s="694"/>
      <c r="AD1090" s="686"/>
      <c r="AE1090" s="52"/>
      <c r="AF1090" s="52"/>
      <c r="AG1090" s="52"/>
      <c r="AH1090" s="87"/>
      <c r="AI1090" s="87"/>
    </row>
    <row r="1091" spans="1:35" ht="27" hidden="1" customHeight="1" thickBot="1">
      <c r="A1091" s="218" t="e">
        <f>"O"&amp;E1069</f>
        <v>#N/A</v>
      </c>
      <c r="B1091" s="702"/>
      <c r="C1091" s="114">
        <v>2</v>
      </c>
      <c r="D1091" s="194" t="e">
        <f>IF(AND(C1091&lt;=F1088,F1088&lt;&gt;""),VLOOKUP(VALUE(E1069&amp;","&amp;C1091),INTEGRANTES!$D$18:$F$235,2,0),"")</f>
        <v>#N/A</v>
      </c>
      <c r="E1091" s="211" t="e">
        <f>IF(D1091&lt;&gt;"",VLOOKUP(VALUE(E1069&amp;","&amp;C1091),INTEGRANTES!$D$18:$F$235,3,0),"")</f>
        <v>#N/A</v>
      </c>
      <c r="F1091" s="547" t="e">
        <f>IF(D1091="","",SUMIF($I1073:$I1082,D1091,$P1073:$P1082))</f>
        <v>#N/A</v>
      </c>
      <c r="G1091" s="333" t="e">
        <f>IF(D1091="","",SUMIF($I1073:$I1082,D1091,$M1073:$M1082))</f>
        <v>#N/A</v>
      </c>
      <c r="H1091" s="535" t="e">
        <f t="shared" si="308"/>
        <v>#N/A</v>
      </c>
      <c r="I1091" s="212" t="e">
        <f>IF(D1091="","",IF(H1091="NO APORTA","NO",IF(H1091=MAX($H1090:$H1095),"SI","NO")))</f>
        <v>#N/A</v>
      </c>
      <c r="J1091" s="213" t="e">
        <f t="shared" si="309"/>
        <v>#N/A</v>
      </c>
      <c r="K1091" s="200" t="e">
        <f t="shared" si="310"/>
        <v>#N/A</v>
      </c>
      <c r="L1091" s="723"/>
      <c r="M1091" s="715" t="s">
        <v>116</v>
      </c>
      <c r="N1091" s="716"/>
      <c r="O1091" s="556" t="s">
        <v>113</v>
      </c>
      <c r="P1091" s="715" t="s">
        <v>117</v>
      </c>
      <c r="Q1091" s="728"/>
      <c r="R1091" s="759"/>
      <c r="S1091" s="760"/>
      <c r="T1091" s="761"/>
      <c r="U1091" s="219"/>
      <c r="V1091" s="464"/>
      <c r="Y1091" s="414"/>
      <c r="AA1091" s="542" t="e">
        <f>IF(AND(C1090&lt;=F1088,F1088&gt;1,F1088&lt;&gt;""),VLOOKUP(VALUE(E1069&amp;","&amp;C1090),INTEGRANTES!$D$18:$F$235,2,0),"")</f>
        <v>#N/A</v>
      </c>
      <c r="AB1091" s="544" t="e">
        <f t="shared" ref="AB1091:AB1096" si="311">IF(D1090="","",IF(OR(F1090=0,G1090=0),"NO APORTA",ROUND($F1090/$G1090,3)))</f>
        <v>#N/A</v>
      </c>
      <c r="AC1091" s="529"/>
      <c r="AD1091" s="200" t="e">
        <f t="shared" ref="AD1091:AD1096" si="312">IF(OR(AA1091="",AB1091=""),"",IF(AND(AC1091="X",AB1091&gt;=EXPREQVTD),"CUMPLE","NO CUMPLE"))</f>
        <v>#N/A</v>
      </c>
      <c r="AE1091" s="52"/>
      <c r="AF1091" s="52"/>
      <c r="AG1091" s="52"/>
      <c r="AH1091" s="87"/>
      <c r="AI1091" s="87"/>
    </row>
    <row r="1092" spans="1:35" ht="16.5" hidden="1" thickBot="1">
      <c r="A1092" s="218" t="e">
        <f>"P"&amp;E1069</f>
        <v>#N/A</v>
      </c>
      <c r="B1092" s="702"/>
      <c r="C1092" s="114">
        <v>3</v>
      </c>
      <c r="D1092" s="194" t="e">
        <f>IF(AND(C1092&lt;=F1088,F1088&lt;&gt;""),VLOOKUP(VALUE(E1069&amp;","&amp;C1092),INTEGRANTES!$D$18:$F$235,2,0),"")</f>
        <v>#N/A</v>
      </c>
      <c r="E1092" s="211" t="e">
        <f>IF(D1092&lt;&gt;"",VLOOKUP(VALUE(E1069&amp;","&amp;C1092),INTEGRANTES!$D$18:$F$235,3,0),"")</f>
        <v>#N/A</v>
      </c>
      <c r="F1092" s="547" t="e">
        <f>IF(D1092="","",SUMIF($I1073:$I1082,D1092,$P1073:$P1082))</f>
        <v>#N/A</v>
      </c>
      <c r="G1092" s="333" t="e">
        <f>IF(D1092="","",SUMIF($I1073:$I1082,D1092,$M1073:$M1082))</f>
        <v>#N/A</v>
      </c>
      <c r="H1092" s="535" t="e">
        <f t="shared" si="308"/>
        <v>#N/A</v>
      </c>
      <c r="I1092" s="212" t="e">
        <f>IF(D1092="","",IF(H1092="NO APORTA","NO",IF(H1092=MAX($H1090:$H1095),"SI","NO")))</f>
        <v>#N/A</v>
      </c>
      <c r="J1092" s="213" t="e">
        <f t="shared" si="309"/>
        <v>#N/A</v>
      </c>
      <c r="K1092" s="200" t="e">
        <f t="shared" si="310"/>
        <v>#N/A</v>
      </c>
      <c r="L1092" s="724"/>
      <c r="M1092" s="729">
        <f>NUMMOD</f>
        <v>1</v>
      </c>
      <c r="N1092" s="730"/>
      <c r="O1092" s="443">
        <f>IF(M1092="","",VLOOKUP(M1092,PRESUPUESTOS!$B$16:$H$16,5,FALSE))</f>
        <v>2</v>
      </c>
      <c r="P1092" s="713">
        <f>IF(OR(COUNTIF(M1073:M1082,"")&gt;=10,Q1089&lt;NUMMINCONT,OR(T1087="NO CUMPLE",T1087="VERIFICAR")),0,ROUND(AVERAGE(M1073:M1082),3))</f>
        <v>0</v>
      </c>
      <c r="Q1092" s="714"/>
      <c r="R1092" s="458"/>
      <c r="S1092" s="459"/>
      <c r="T1092" s="460"/>
      <c r="U1092" s="219"/>
      <c r="V1092" s="464"/>
      <c r="Y1092" s="532" t="str">
        <f>"40% * ("&amp;PRESUPUESTOS!$H$13&amp;")"</f>
        <v>40% * (50% PFMO)</v>
      </c>
      <c r="AA1092" s="540" t="e">
        <f>IF(AND(C1091&lt;=F1088,F1088&lt;&gt;""),VLOOKUP(VALUE(E1069&amp;","&amp;C1091),INTEGRANTES!$D$18:$F$235,2,0),"")</f>
        <v>#N/A</v>
      </c>
      <c r="AB1092" s="545" t="e">
        <f t="shared" si="311"/>
        <v>#N/A</v>
      </c>
      <c r="AC1092" s="529"/>
      <c r="AD1092" s="200" t="e">
        <f t="shared" si="312"/>
        <v>#N/A</v>
      </c>
      <c r="AE1092" s="52"/>
      <c r="AF1092" s="52"/>
      <c r="AG1092" s="52"/>
      <c r="AH1092" s="87"/>
      <c r="AI1092" s="87"/>
    </row>
    <row r="1093" spans="1:35" ht="15.75" hidden="1" customHeight="1" thickBot="1">
      <c r="A1093" s="218" t="e">
        <f>"Q"&amp;E1069</f>
        <v>#N/A</v>
      </c>
      <c r="B1093" s="702"/>
      <c r="C1093" s="114">
        <v>4</v>
      </c>
      <c r="D1093" s="194" t="e">
        <f>IF(AND(C1093&lt;=F1088,F1088&lt;&gt;""),VLOOKUP(VALUE(E1069&amp;","&amp;C1093),INTEGRANTES!$D$18:$F$235,2,0),"")</f>
        <v>#N/A</v>
      </c>
      <c r="E1093" s="211" t="e">
        <f>IF(D1093&lt;&gt;"",VLOOKUP(VALUE(E1069&amp;","&amp;C1093),INTEGRANTES!$D$18:$F$235,3,0),"")</f>
        <v>#N/A</v>
      </c>
      <c r="F1093" s="547" t="e">
        <f>IF(D1093="","",SUMIF($I1073:$I1082,D1093,$P1073:$P1082))</f>
        <v>#N/A</v>
      </c>
      <c r="G1093" s="333" t="e">
        <f>IF(D1093="","",SUMIF($I1073:$I1082,D1093,$M1073:$M1082))</f>
        <v>#N/A</v>
      </c>
      <c r="H1093" s="535" t="e">
        <f t="shared" si="308"/>
        <v>#N/A</v>
      </c>
      <c r="I1093" s="212" t="e">
        <f>IF(D1093="","",IF(H1093="NO APORTA","NO",IF(H1093=MAX($H1090:$H1095),"SI","NO")))</f>
        <v>#N/A</v>
      </c>
      <c r="J1093" s="213" t="e">
        <f t="shared" si="309"/>
        <v>#N/A</v>
      </c>
      <c r="K1093" s="200" t="e">
        <f t="shared" si="310"/>
        <v>#N/A</v>
      </c>
      <c r="L1093" s="720" t="s">
        <v>109</v>
      </c>
      <c r="M1093" s="757" t="s">
        <v>120</v>
      </c>
      <c r="N1093" s="726"/>
      <c r="O1093" s="726"/>
      <c r="P1093" s="726"/>
      <c r="Q1093" s="727"/>
      <c r="R1093" s="458"/>
      <c r="S1093" s="459"/>
      <c r="T1093" s="460"/>
      <c r="U1093" s="219"/>
      <c r="V1093" s="464"/>
      <c r="Y1093" s="537">
        <f>0.4*PRESUPUESTOS!$H$16</f>
        <v>10.3124</v>
      </c>
      <c r="AA1093" s="540" t="e">
        <f>IF(AND(C1092&lt;=F1088,F1088&lt;&gt;""),VLOOKUP(VALUE(E1069&amp;","&amp;C1092),INTEGRANTES!$D$18:$F$235,2,0),"")</f>
        <v>#N/A</v>
      </c>
      <c r="AB1093" s="545" t="e">
        <f t="shared" si="311"/>
        <v>#N/A</v>
      </c>
      <c r="AC1093" s="529"/>
      <c r="AD1093" s="200" t="e">
        <f t="shared" si="312"/>
        <v>#N/A</v>
      </c>
      <c r="AE1093" s="52"/>
      <c r="AF1093" s="52"/>
      <c r="AG1093" s="52"/>
      <c r="AH1093" s="87"/>
      <c r="AI1093" s="87"/>
    </row>
    <row r="1094" spans="1:35" ht="27" hidden="1" customHeight="1" thickBot="1">
      <c r="A1094" s="218" t="e">
        <f>"R"&amp;E1069</f>
        <v>#N/A</v>
      </c>
      <c r="B1094" s="702"/>
      <c r="C1094" s="114">
        <v>5</v>
      </c>
      <c r="D1094" s="194" t="e">
        <f>IF(AND(C1094&lt;=F1088,F1088&lt;&gt;""),VLOOKUP(VALUE(E1069&amp;","&amp;C1094),INTEGRANTES!$D$18:$F$235,2,0),"")</f>
        <v>#N/A</v>
      </c>
      <c r="E1094" s="211" t="e">
        <f>IF(D1094&lt;&gt;"",VLOOKUP(VALUE(E1069&amp;","&amp;C1094),INTEGRANTES!$D$18:$F$235,3,0),"")</f>
        <v>#N/A</v>
      </c>
      <c r="F1094" s="547" t="e">
        <f>IF(D1094="","",SUMIF($I1073:$I1082,D1094,$P1073:$P1082))</f>
        <v>#N/A</v>
      </c>
      <c r="G1094" s="333" t="e">
        <f>IF(D1094="","",SUMIF($I1073:$I1082,D1094,$M1073:$M1082))</f>
        <v>#N/A</v>
      </c>
      <c r="H1094" s="535" t="e">
        <f t="shared" si="308"/>
        <v>#N/A</v>
      </c>
      <c r="I1094" s="212" t="e">
        <f>IF(D1094="","",IF(H1094="NO APORTA","NO",IF(H1094=MAX($H1090:$H1095),"SI","NO")))</f>
        <v>#N/A</v>
      </c>
      <c r="J1094" s="213" t="e">
        <f t="shared" si="309"/>
        <v>#N/A</v>
      </c>
      <c r="K1094" s="200" t="e">
        <f t="shared" si="310"/>
        <v>#N/A</v>
      </c>
      <c r="L1094" s="721"/>
      <c r="M1094" s="715" t="s">
        <v>116</v>
      </c>
      <c r="N1094" s="716"/>
      <c r="O1094" s="556" t="str">
        <f>PORCREQUERIDO*100&amp;"% PMFO DEL MÓDULO"</f>
        <v>50% PMFO DEL MÓDULO</v>
      </c>
      <c r="P1094" s="715" t="s">
        <v>118</v>
      </c>
      <c r="Q1094" s="728"/>
      <c r="R1094" s="458"/>
      <c r="S1094" s="459"/>
      <c r="T1094" s="460"/>
      <c r="U1094" s="219"/>
      <c r="V1094" s="464"/>
      <c r="Y1094" s="414"/>
      <c r="AA1094" s="540" t="e">
        <f>IF(AND(C1093&lt;=F1088,F1088&lt;&gt;""),VLOOKUP(VALUE(E1069&amp;","&amp;C1093),INTEGRANTES!$D$18:$F$235,2,0),"")</f>
        <v>#N/A</v>
      </c>
      <c r="AB1094" s="545" t="e">
        <f t="shared" si="311"/>
        <v>#N/A</v>
      </c>
      <c r="AC1094" s="529"/>
      <c r="AD1094" s="200" t="e">
        <f t="shared" si="312"/>
        <v>#N/A</v>
      </c>
      <c r="AE1094" s="52"/>
      <c r="AF1094" s="52"/>
      <c r="AG1094" s="52"/>
      <c r="AH1094" s="87"/>
      <c r="AI1094" s="87"/>
    </row>
    <row r="1095" spans="1:35" ht="16.5" hidden="1" thickBot="1">
      <c r="A1095" s="218" t="e">
        <f>"S"&amp;E1069</f>
        <v>#N/A</v>
      </c>
      <c r="B1095" s="702"/>
      <c r="C1095" s="215">
        <v>6</v>
      </c>
      <c r="D1095" s="216" t="e">
        <f>IF(AND(C1095&lt;=F1088,F1088&lt;&gt;""),VLOOKUP(VALUE(E1069&amp;","&amp;C1095),INTEGRANTES!$D$18:$F$235,2,0),"")</f>
        <v>#N/A</v>
      </c>
      <c r="E1095" s="217" t="e">
        <f>IF(D1095&lt;&gt;"",VLOOKUP(VALUE(E1069&amp;","&amp;C1095),INTEGRANTES!$D$18:$F$235,3,0),"")</f>
        <v>#N/A</v>
      </c>
      <c r="F1095" s="548" t="e">
        <f>IF(D1095="","",SUMIF($I1073:$I1082,D1095,$P1073:$P1082))</f>
        <v>#N/A</v>
      </c>
      <c r="G1095" s="334" t="e">
        <f>IF(D1095="","",SUMIF($I1073:$I1082,D1095,$M1073:$M1082))</f>
        <v>#N/A</v>
      </c>
      <c r="H1095" s="536" t="e">
        <f t="shared" si="308"/>
        <v>#N/A</v>
      </c>
      <c r="I1095" s="214" t="e">
        <f>IF(D1095="","",IF(H1095="NO APORTA","NO",IF(H1095=MAX($H1090:$H1095),"SI","NO")))</f>
        <v>#N/A</v>
      </c>
      <c r="J1095" s="213" t="e">
        <f t="shared" si="309"/>
        <v>#N/A</v>
      </c>
      <c r="K1095" s="200" t="e">
        <f t="shared" si="310"/>
        <v>#N/A</v>
      </c>
      <c r="L1095" s="721"/>
      <c r="M1095" s="729">
        <f>NUMMOD</f>
        <v>1</v>
      </c>
      <c r="N1095" s="730"/>
      <c r="O1095" s="443">
        <f>IF(M1095="","",ROUND(VLOOKUP(M1095,PRESUPUESTOS!$B$16:$H$16,7,FALSE),3))</f>
        <v>25.780999999999999</v>
      </c>
      <c r="P1095" s="713">
        <f>IF(OR(COUNTIF(P1073:P1082,"")&gt;=10,Q1089&lt;NUMMINCONT,OR(T1087="NO CUMPLE",T1087="VERIFICAR")),0,ROUND((SUM(P1073:P1082)/SUM(M1073:M1082)),3))</f>
        <v>0</v>
      </c>
      <c r="Q1095" s="714"/>
      <c r="R1095" s="458"/>
      <c r="S1095" s="459"/>
      <c r="T1095" s="460"/>
      <c r="U1095" s="219"/>
      <c r="V1095" s="464"/>
      <c r="Y1095" s="532" t="s">
        <v>343</v>
      </c>
      <c r="AA1095" s="540" t="e">
        <f>IF(AND(C1094&lt;=F1088,F1088&lt;&gt;""),VLOOKUP(VALUE(E1069&amp;","&amp;C1094),INTEGRANTES!$D$18:$F$235,2,0),"")</f>
        <v>#N/A</v>
      </c>
      <c r="AB1095" s="545" t="e">
        <f t="shared" si="311"/>
        <v>#N/A</v>
      </c>
      <c r="AC1095" s="529"/>
      <c r="AD1095" s="200" t="e">
        <f t="shared" si="312"/>
        <v>#N/A</v>
      </c>
      <c r="AE1095" s="52"/>
      <c r="AF1095" s="52"/>
      <c r="AG1095" s="52"/>
      <c r="AH1095" s="87"/>
      <c r="AI1095" s="87"/>
    </row>
    <row r="1096" spans="1:35" ht="16.5" hidden="1" customHeight="1" thickBot="1">
      <c r="A1096" s="218" t="e">
        <f>"T"&amp;E1069</f>
        <v>#N/A</v>
      </c>
      <c r="B1096" s="703"/>
      <c r="C1096" s="719"/>
      <c r="D1096" s="719"/>
      <c r="E1096" s="719"/>
      <c r="F1096" s="719"/>
      <c r="G1096" s="719"/>
      <c r="H1096" s="719" t="s">
        <v>110</v>
      </c>
      <c r="I1096" s="719"/>
      <c r="J1096" s="719"/>
      <c r="K1096" s="201" t="str">
        <f>IF(COUNTIF(K1090:K1095,"")=6,"",IF(COUNTIF(K1090:K1095,"CUMPLE")&gt;0,"CUMPLE","NO CUMPLE"))</f>
        <v>NO CUMPLE</v>
      </c>
      <c r="L1096" s="754"/>
      <c r="M1096" s="755"/>
      <c r="N1096" s="755"/>
      <c r="O1096" s="755"/>
      <c r="P1096" s="755"/>
      <c r="Q1096" s="756"/>
      <c r="R1096" s="461"/>
      <c r="S1096" s="462"/>
      <c r="T1096" s="463"/>
      <c r="U1096" s="219"/>
      <c r="V1096" s="464"/>
      <c r="Y1096" s="549" t="e">
        <f>IF(Y1090="NO APLICA","NO APLICA",IF(COUNTIF(AD1091:AD1096,"CUMPLE")&gt;0,"CUMPLE","NO CUMPLE"))</f>
        <v>#N/A</v>
      </c>
      <c r="AA1096" s="541" t="e">
        <f>IF(AND(C1095&lt;=F1088,F1088&lt;&gt;""),VLOOKUP(VALUE(E1069&amp;","&amp;C1095),INTEGRANTES!$D$18:$F$235,2,0),"")</f>
        <v>#N/A</v>
      </c>
      <c r="AB1096" s="546" t="e">
        <f t="shared" si="311"/>
        <v>#N/A</v>
      </c>
      <c r="AC1096" s="543"/>
      <c r="AD1096" s="201" t="e">
        <f t="shared" si="312"/>
        <v>#N/A</v>
      </c>
      <c r="AE1096" s="52"/>
      <c r="AF1096" s="52"/>
      <c r="AG1096" s="52"/>
      <c r="AH1096" s="87"/>
      <c r="AI1096" s="87"/>
    </row>
    <row r="1097" spans="1:35" hidden="1">
      <c r="AH1097" s="87"/>
      <c r="AI1097" s="87"/>
    </row>
    <row r="1098" spans="1:35" hidden="1">
      <c r="AH1098" s="87"/>
      <c r="AI1098" s="87"/>
    </row>
    <row r="1099" spans="1:35" ht="24" hidden="1" thickBot="1">
      <c r="A1099" s="61">
        <v>37</v>
      </c>
      <c r="B1099" s="704" t="s">
        <v>51</v>
      </c>
      <c r="C1099" s="704"/>
      <c r="D1099" s="704"/>
      <c r="E1099" s="62" t="e">
        <f>VLOOKUP(A1099,PROPONENTES!$B$19:$E$218,2,FALSE)</f>
        <v>#N/A</v>
      </c>
      <c r="F1099" s="63" t="e">
        <f>VLOOKUP(A1099,PROPONENTES!$B$19:$E$218,3,FALSE)</f>
        <v>#N/A</v>
      </c>
      <c r="G1099" s="64"/>
      <c r="H1099" s="64"/>
      <c r="I1099" s="63"/>
      <c r="J1099" s="63"/>
      <c r="K1099" s="65"/>
      <c r="L1099" s="65"/>
      <c r="M1099" s="64"/>
      <c r="N1099" s="64"/>
      <c r="O1099" s="66"/>
      <c r="P1099" s="66"/>
      <c r="Q1099" s="66"/>
      <c r="R1099" s="66"/>
      <c r="S1099" s="67"/>
      <c r="T1099" s="68"/>
      <c r="U1099" s="68"/>
      <c r="AC1099" s="68"/>
      <c r="AD1099" s="68"/>
      <c r="AE1099" s="68"/>
      <c r="AF1099" s="68"/>
      <c r="AG1099" s="68"/>
      <c r="AH1099" s="87"/>
      <c r="AI1099" s="87"/>
    </row>
    <row r="1100" spans="1:35" ht="15.75" hidden="1" customHeight="1">
      <c r="A1100" s="44"/>
      <c r="B1100" s="709" t="s">
        <v>59</v>
      </c>
      <c r="C1100" s="552" t="s">
        <v>60</v>
      </c>
      <c r="D1100" s="70" t="s">
        <v>17</v>
      </c>
      <c r="E1100" s="70"/>
      <c r="F1100" s="70" t="s">
        <v>61</v>
      </c>
      <c r="G1100" s="71"/>
      <c r="H1100" s="699" t="s">
        <v>62</v>
      </c>
      <c r="I1100" s="699" t="s">
        <v>18</v>
      </c>
      <c r="J1100" s="699" t="s">
        <v>63</v>
      </c>
      <c r="K1100" s="699" t="s">
        <v>64</v>
      </c>
      <c r="L1100" s="699" t="s">
        <v>65</v>
      </c>
      <c r="M1100" s="743" t="s">
        <v>66</v>
      </c>
      <c r="N1100" s="699" t="s">
        <v>282</v>
      </c>
      <c r="O1100" s="745" t="s">
        <v>67</v>
      </c>
      <c r="P1100" s="746"/>
      <c r="Q1100" s="102" t="s">
        <v>75</v>
      </c>
      <c r="R1100" s="731" t="s">
        <v>22</v>
      </c>
      <c r="S1100" s="732"/>
      <c r="T1100" s="733"/>
      <c r="U1100" s="712" t="s">
        <v>298</v>
      </c>
      <c r="W1100" s="690" t="s">
        <v>268</v>
      </c>
      <c r="X1100" s="691"/>
      <c r="Y1100" s="692"/>
      <c r="Z1100" s="428"/>
      <c r="AA1100" s="697" t="s">
        <v>315</v>
      </c>
      <c r="AB1100" s="695" t="s">
        <v>322</v>
      </c>
      <c r="AC1100" s="49"/>
      <c r="AD1100" s="690" t="s">
        <v>297</v>
      </c>
      <c r="AE1100" s="691"/>
      <c r="AF1100" s="692"/>
      <c r="AG1100" s="49"/>
      <c r="AH1100" s="87"/>
      <c r="AI1100" s="87"/>
    </row>
    <row r="1101" spans="1:35" ht="72" hidden="1">
      <c r="A1101" s="44"/>
      <c r="B1101" s="710"/>
      <c r="C1101" s="553" t="s">
        <v>68</v>
      </c>
      <c r="D1101" s="73" t="s">
        <v>3</v>
      </c>
      <c r="E1101" s="73" t="s">
        <v>19</v>
      </c>
      <c r="F1101" s="73" t="s">
        <v>69</v>
      </c>
      <c r="G1101" s="74" t="s">
        <v>70</v>
      </c>
      <c r="H1101" s="700"/>
      <c r="I1101" s="700"/>
      <c r="J1101" s="700"/>
      <c r="K1101" s="700"/>
      <c r="L1101" s="700"/>
      <c r="M1101" s="744"/>
      <c r="N1101" s="700"/>
      <c r="O1101" s="553" t="s">
        <v>279</v>
      </c>
      <c r="P1101" s="73" t="s">
        <v>88</v>
      </c>
      <c r="Q1101" s="555" t="s">
        <v>76</v>
      </c>
      <c r="R1101" s="734"/>
      <c r="S1101" s="735"/>
      <c r="T1101" s="736"/>
      <c r="U1101" s="712"/>
      <c r="W1101" s="429" t="s">
        <v>269</v>
      </c>
      <c r="X1101" s="457" t="s">
        <v>278</v>
      </c>
      <c r="Y1101" s="430" t="s">
        <v>324</v>
      </c>
      <c r="Z1101" s="428"/>
      <c r="AA1101" s="698"/>
      <c r="AB1101" s="696"/>
      <c r="AC1101" s="49"/>
      <c r="AD1101" s="429" t="s">
        <v>292</v>
      </c>
      <c r="AE1101" s="431" t="s">
        <v>300</v>
      </c>
      <c r="AF1101" s="468" t="s">
        <v>301</v>
      </c>
      <c r="AG1101" s="49"/>
      <c r="AH1101" s="87"/>
      <c r="AI1101" s="87"/>
    </row>
    <row r="1102" spans="1:35" hidden="1">
      <c r="A1102" s="44"/>
      <c r="B1102" s="76"/>
      <c r="C1102" s="77"/>
      <c r="D1102" s="77"/>
      <c r="E1102" s="77"/>
      <c r="F1102" s="77"/>
      <c r="G1102" s="77"/>
      <c r="H1102" s="77"/>
      <c r="I1102" s="77"/>
      <c r="J1102" s="77"/>
      <c r="K1102" s="77"/>
      <c r="L1102" s="77"/>
      <c r="M1102" s="77"/>
      <c r="N1102" s="77"/>
      <c r="O1102" s="77"/>
      <c r="P1102" s="77"/>
      <c r="Q1102" s="77"/>
      <c r="R1102" s="77"/>
      <c r="S1102" s="78"/>
      <c r="T1102" s="79"/>
      <c r="U1102" s="109"/>
      <c r="V1102" s="49"/>
      <c r="W1102" s="432"/>
      <c r="X1102" s="454"/>
      <c r="Y1102" s="433"/>
      <c r="Z1102" s="6"/>
      <c r="AA1102" s="500"/>
      <c r="AB1102" s="562"/>
      <c r="AC1102" s="49"/>
      <c r="AD1102" s="210"/>
      <c r="AE1102" s="434"/>
      <c r="AF1102" s="435"/>
      <c r="AG1102" s="49"/>
      <c r="AH1102" s="87"/>
      <c r="AI1102" s="87"/>
    </row>
    <row r="1103" spans="1:35" hidden="1">
      <c r="A1103" s="80" t="e">
        <f>"A"&amp;E1099</f>
        <v>#N/A</v>
      </c>
      <c r="B1103" s="81">
        <v>1</v>
      </c>
      <c r="C1103" s="82"/>
      <c r="D1103" s="82"/>
      <c r="E1103" s="82"/>
      <c r="F1103" s="82"/>
      <c r="G1103" s="83"/>
      <c r="H1103" s="83"/>
      <c r="I1103" s="84"/>
      <c r="J1103" s="85"/>
      <c r="K1103" s="382"/>
      <c r="L1103" s="85"/>
      <c r="M1103" s="332" t="str">
        <f t="shared" ref="M1103:M1112" si="313">IF(OR(J1103="",L1103="",H1103="NO"),"",IF(OR(J1103&gt;$P$17,J1103&lt;$O$17,L1103&gt;$P$17,AND(J1103&lt;$O$17,L1103&lt;$O$17)),"FUERA DE RANGO",IF(OR(K1103="---",K1103=""),IF(J1103&gt;=$O$17,ROUND((L1103-J1103+1)/360*12,3),ROUND((L1103-$O$17+1)/360*12,3)),IF(J1103&gt;=$O$17,ROUND((L1103-J1103+1)/360*12-ROUND(K1103,3),3),ROUND((L1103-$O$17+1)/360*12-ROUND(K1103,3),3)))))</f>
        <v/>
      </c>
      <c r="N1103" s="86"/>
      <c r="O1103" s="453" t="str">
        <f>IF(OR(G1103="",N1103=""),"",N1103*G1103)</f>
        <v/>
      </c>
      <c r="P1103" s="538" t="str">
        <f>IF(OR(H1103="",M1103="FUERA DE RANGO"),"",IF(OR(L1103&lt;$O$17,L1103&gt;$P$17,L1103="",H1103="NO"),"",IF(OR(N1103="",O1103=""),"",ROUND(O1103,3))))</f>
        <v/>
      </c>
      <c r="Q1103" s="539" t="str">
        <f t="shared" ref="Q1103:Q1112" si="314">IF(AND(H1103="SI",P1103&lt;&gt;""),ROUND(P1103/M1103,3),"")</f>
        <v/>
      </c>
      <c r="R1103" s="737"/>
      <c r="S1103" s="738"/>
      <c r="T1103" s="739"/>
      <c r="U1103" s="470"/>
      <c r="V1103" s="165"/>
      <c r="W1103" s="446"/>
      <c r="X1103" s="456"/>
      <c r="Y1103" s="436"/>
      <c r="Z1103" s="437"/>
      <c r="AA1103" s="560"/>
      <c r="AB1103" s="561"/>
      <c r="AC1103" s="87"/>
      <c r="AD1103" s="466"/>
      <c r="AE1103" s="456"/>
      <c r="AF1103" s="467"/>
      <c r="AG1103" s="87"/>
      <c r="AH1103" s="87"/>
      <c r="AI1103" s="87"/>
    </row>
    <row r="1104" spans="1:35" hidden="1">
      <c r="A1104" s="80" t="e">
        <f>"B"&amp;E1099</f>
        <v>#N/A</v>
      </c>
      <c r="B1104" s="81">
        <v>2</v>
      </c>
      <c r="C1104" s="106"/>
      <c r="D1104" s="106"/>
      <c r="E1104" s="106"/>
      <c r="F1104" s="106"/>
      <c r="G1104" s="83"/>
      <c r="H1104" s="83"/>
      <c r="I1104" s="84"/>
      <c r="J1104" s="85"/>
      <c r="K1104" s="382"/>
      <c r="L1104" s="85"/>
      <c r="M1104" s="332" t="str">
        <f t="shared" si="313"/>
        <v/>
      </c>
      <c r="N1104" s="86"/>
      <c r="O1104" s="453" t="str">
        <f t="shared" ref="O1104:O1112" si="315">IF(OR(G1104="",N1104=""),"",N1104*G1104)</f>
        <v/>
      </c>
      <c r="P1104" s="538" t="str">
        <f t="shared" ref="P1104:P1112" si="316">IF(OR(H1104="",M1104="FUERA DE RANGO"),"",IF(OR(L1104&lt;$O$17,L1104&gt;$P$17,L1104="",H1104="NO"),"",IF(OR(N1104="",O1104=""),"",ROUND(O1104,3))))</f>
        <v/>
      </c>
      <c r="Q1104" s="539" t="str">
        <f t="shared" si="314"/>
        <v/>
      </c>
      <c r="R1104" s="740"/>
      <c r="S1104" s="741"/>
      <c r="T1104" s="742"/>
      <c r="U1104" s="471"/>
      <c r="V1104" s="165"/>
      <c r="W1104" s="446"/>
      <c r="X1104" s="456"/>
      <c r="Y1104" s="436"/>
      <c r="Z1104" s="437"/>
      <c r="AA1104" s="560"/>
      <c r="AB1104" s="561"/>
      <c r="AC1104" s="87"/>
      <c r="AD1104" s="466"/>
      <c r="AE1104" s="456"/>
      <c r="AF1104" s="467"/>
      <c r="AG1104" s="87"/>
      <c r="AH1104" s="87"/>
      <c r="AI1104" s="87"/>
    </row>
    <row r="1105" spans="1:35" hidden="1">
      <c r="A1105" s="80" t="e">
        <f>"C"&amp;E1099</f>
        <v>#N/A</v>
      </c>
      <c r="B1105" s="88">
        <v>3</v>
      </c>
      <c r="C1105" s="82"/>
      <c r="D1105" s="82"/>
      <c r="E1105" s="82"/>
      <c r="F1105" s="82"/>
      <c r="G1105" s="83"/>
      <c r="H1105" s="83"/>
      <c r="I1105" s="84"/>
      <c r="J1105" s="85"/>
      <c r="K1105" s="382"/>
      <c r="L1105" s="85"/>
      <c r="M1105" s="332" t="str">
        <f t="shared" si="313"/>
        <v/>
      </c>
      <c r="N1105" s="86"/>
      <c r="O1105" s="453" t="str">
        <f t="shared" si="315"/>
        <v/>
      </c>
      <c r="P1105" s="538" t="str">
        <f t="shared" si="316"/>
        <v/>
      </c>
      <c r="Q1105" s="539" t="str">
        <f t="shared" si="314"/>
        <v/>
      </c>
      <c r="R1105" s="706"/>
      <c r="S1105" s="707"/>
      <c r="T1105" s="708"/>
      <c r="U1105" s="472"/>
      <c r="V1105" s="166"/>
      <c r="W1105" s="446"/>
      <c r="X1105" s="456"/>
      <c r="Y1105" s="436"/>
      <c r="Z1105" s="437"/>
      <c r="AA1105" s="560"/>
      <c r="AB1105" s="561"/>
      <c r="AC1105" s="87"/>
      <c r="AD1105" s="466"/>
      <c r="AE1105" s="456"/>
      <c r="AF1105" s="467"/>
      <c r="AG1105" s="87"/>
      <c r="AH1105" s="87"/>
      <c r="AI1105" s="87"/>
    </row>
    <row r="1106" spans="1:35" hidden="1">
      <c r="A1106" s="80" t="e">
        <f>"D"&amp;E1099</f>
        <v>#N/A</v>
      </c>
      <c r="B1106" s="105">
        <v>4</v>
      </c>
      <c r="C1106" s="107"/>
      <c r="D1106" s="107"/>
      <c r="E1106" s="107"/>
      <c r="F1106" s="107"/>
      <c r="G1106" s="83"/>
      <c r="H1106" s="83"/>
      <c r="I1106" s="84"/>
      <c r="J1106" s="85"/>
      <c r="K1106" s="382"/>
      <c r="L1106" s="85"/>
      <c r="M1106" s="332" t="str">
        <f t="shared" si="313"/>
        <v/>
      </c>
      <c r="N1106" s="86"/>
      <c r="O1106" s="453" t="str">
        <f t="shared" si="315"/>
        <v/>
      </c>
      <c r="P1106" s="538" t="str">
        <f t="shared" si="316"/>
        <v/>
      </c>
      <c r="Q1106" s="539" t="str">
        <f t="shared" si="314"/>
        <v/>
      </c>
      <c r="R1106" s="706"/>
      <c r="S1106" s="707"/>
      <c r="T1106" s="708"/>
      <c r="U1106" s="472"/>
      <c r="V1106" s="166"/>
      <c r="W1106" s="446"/>
      <c r="X1106" s="456"/>
      <c r="Y1106" s="436"/>
      <c r="Z1106" s="437"/>
      <c r="AA1106" s="560"/>
      <c r="AB1106" s="561"/>
      <c r="AC1106" s="87"/>
      <c r="AD1106" s="466"/>
      <c r="AE1106" s="456"/>
      <c r="AF1106" s="467"/>
      <c r="AG1106" s="87"/>
      <c r="AH1106" s="87"/>
      <c r="AI1106" s="87"/>
    </row>
    <row r="1107" spans="1:35" hidden="1">
      <c r="A1107" s="80" t="e">
        <f>"E"&amp;E1099</f>
        <v>#N/A</v>
      </c>
      <c r="B1107" s="105">
        <v>5</v>
      </c>
      <c r="C1107" s="107"/>
      <c r="D1107" s="107"/>
      <c r="E1107" s="107"/>
      <c r="F1107" s="107"/>
      <c r="G1107" s="83"/>
      <c r="H1107" s="83"/>
      <c r="I1107" s="84"/>
      <c r="J1107" s="85"/>
      <c r="K1107" s="382"/>
      <c r="L1107" s="85"/>
      <c r="M1107" s="332" t="str">
        <f t="shared" si="313"/>
        <v/>
      </c>
      <c r="N1107" s="86"/>
      <c r="O1107" s="453" t="str">
        <f t="shared" si="315"/>
        <v/>
      </c>
      <c r="P1107" s="538" t="str">
        <f t="shared" si="316"/>
        <v/>
      </c>
      <c r="Q1107" s="539" t="str">
        <f t="shared" si="314"/>
        <v/>
      </c>
      <c r="R1107" s="706"/>
      <c r="S1107" s="707"/>
      <c r="T1107" s="708"/>
      <c r="U1107" s="472"/>
      <c r="V1107" s="167"/>
      <c r="W1107" s="446"/>
      <c r="X1107" s="456"/>
      <c r="Y1107" s="436"/>
      <c r="Z1107" s="437"/>
      <c r="AA1107" s="560"/>
      <c r="AB1107" s="561"/>
      <c r="AC1107" s="87"/>
      <c r="AD1107" s="466"/>
      <c r="AE1107" s="456"/>
      <c r="AF1107" s="467"/>
      <c r="AG1107" s="87"/>
      <c r="AH1107" s="87"/>
      <c r="AI1107" s="87"/>
    </row>
    <row r="1108" spans="1:35" hidden="1">
      <c r="A1108" s="80" t="e">
        <f>"F"&amp;E1099</f>
        <v>#N/A</v>
      </c>
      <c r="B1108" s="105">
        <v>6</v>
      </c>
      <c r="C1108" s="107"/>
      <c r="D1108" s="107"/>
      <c r="E1108" s="107"/>
      <c r="F1108" s="107"/>
      <c r="G1108" s="83"/>
      <c r="H1108" s="83"/>
      <c r="I1108" s="84"/>
      <c r="J1108" s="85"/>
      <c r="K1108" s="382"/>
      <c r="L1108" s="85"/>
      <c r="M1108" s="332" t="str">
        <f t="shared" si="313"/>
        <v/>
      </c>
      <c r="N1108" s="86"/>
      <c r="O1108" s="453" t="str">
        <f t="shared" si="315"/>
        <v/>
      </c>
      <c r="P1108" s="538" t="str">
        <f t="shared" si="316"/>
        <v/>
      </c>
      <c r="Q1108" s="539" t="str">
        <f t="shared" si="314"/>
        <v/>
      </c>
      <c r="R1108" s="706"/>
      <c r="S1108" s="707"/>
      <c r="T1108" s="708"/>
      <c r="U1108" s="472"/>
      <c r="V1108" s="167"/>
      <c r="W1108" s="446"/>
      <c r="X1108" s="456"/>
      <c r="Y1108" s="436"/>
      <c r="Z1108" s="437"/>
      <c r="AA1108" s="560"/>
      <c r="AB1108" s="561"/>
      <c r="AC1108" s="87"/>
      <c r="AD1108" s="466"/>
      <c r="AE1108" s="456"/>
      <c r="AF1108" s="467"/>
      <c r="AG1108" s="87"/>
      <c r="AH1108" s="87"/>
      <c r="AI1108" s="87"/>
    </row>
    <row r="1109" spans="1:35" hidden="1">
      <c r="A1109" s="80" t="e">
        <f>"G"&amp;E1099</f>
        <v>#N/A</v>
      </c>
      <c r="B1109" s="105">
        <v>7</v>
      </c>
      <c r="C1109" s="107"/>
      <c r="D1109" s="107"/>
      <c r="E1109" s="107"/>
      <c r="F1109" s="107"/>
      <c r="G1109" s="83"/>
      <c r="H1109" s="83"/>
      <c r="I1109" s="84"/>
      <c r="J1109" s="85"/>
      <c r="K1109" s="382"/>
      <c r="L1109" s="85"/>
      <c r="M1109" s="332" t="str">
        <f t="shared" si="313"/>
        <v/>
      </c>
      <c r="N1109" s="86"/>
      <c r="O1109" s="86" t="str">
        <f t="shared" si="315"/>
        <v/>
      </c>
      <c r="P1109" s="538" t="str">
        <f t="shared" si="316"/>
        <v/>
      </c>
      <c r="Q1109" s="539" t="str">
        <f t="shared" si="314"/>
        <v/>
      </c>
      <c r="R1109" s="706"/>
      <c r="S1109" s="707"/>
      <c r="T1109" s="708"/>
      <c r="U1109" s="472"/>
      <c r="V1109" s="167"/>
      <c r="W1109" s="446"/>
      <c r="X1109" s="456"/>
      <c r="Y1109" s="436"/>
      <c r="Z1109" s="437"/>
      <c r="AA1109" s="560"/>
      <c r="AB1109" s="561"/>
      <c r="AC1109" s="87"/>
      <c r="AD1109" s="466"/>
      <c r="AE1109" s="456"/>
      <c r="AF1109" s="467"/>
      <c r="AG1109" s="87"/>
      <c r="AH1109" s="87"/>
      <c r="AI1109" s="87"/>
    </row>
    <row r="1110" spans="1:35" hidden="1">
      <c r="A1110" s="80" t="e">
        <f>"H"&amp;E1099</f>
        <v>#N/A</v>
      </c>
      <c r="B1110" s="105">
        <v>8</v>
      </c>
      <c r="C1110" s="107"/>
      <c r="D1110" s="107"/>
      <c r="E1110" s="107"/>
      <c r="F1110" s="107"/>
      <c r="G1110" s="83"/>
      <c r="H1110" s="83"/>
      <c r="I1110" s="84"/>
      <c r="J1110" s="85"/>
      <c r="K1110" s="382"/>
      <c r="L1110" s="85"/>
      <c r="M1110" s="332" t="str">
        <f t="shared" si="313"/>
        <v/>
      </c>
      <c r="N1110" s="453"/>
      <c r="O1110" s="86" t="str">
        <f t="shared" si="315"/>
        <v/>
      </c>
      <c r="P1110" s="538" t="str">
        <f t="shared" si="316"/>
        <v/>
      </c>
      <c r="Q1110" s="539" t="str">
        <f t="shared" si="314"/>
        <v/>
      </c>
      <c r="R1110" s="706"/>
      <c r="S1110" s="707"/>
      <c r="T1110" s="708"/>
      <c r="U1110" s="472"/>
      <c r="V1110" s="167"/>
      <c r="W1110" s="446"/>
      <c r="X1110" s="456"/>
      <c r="Y1110" s="436"/>
      <c r="Z1110" s="437"/>
      <c r="AA1110" s="560"/>
      <c r="AB1110" s="561"/>
      <c r="AC1110" s="87"/>
      <c r="AD1110" s="466"/>
      <c r="AE1110" s="456"/>
      <c r="AF1110" s="467"/>
      <c r="AG1110" s="87"/>
      <c r="AH1110" s="87"/>
      <c r="AI1110" s="87"/>
    </row>
    <row r="1111" spans="1:35" hidden="1">
      <c r="A1111" s="80" t="e">
        <f>"I"&amp;E1099</f>
        <v>#N/A</v>
      </c>
      <c r="B1111" s="105">
        <v>9</v>
      </c>
      <c r="C1111" s="107"/>
      <c r="D1111" s="107"/>
      <c r="E1111" s="107"/>
      <c r="F1111" s="107"/>
      <c r="G1111" s="83"/>
      <c r="H1111" s="83"/>
      <c r="I1111" s="84"/>
      <c r="J1111" s="85"/>
      <c r="K1111" s="382"/>
      <c r="L1111" s="85"/>
      <c r="M1111" s="332" t="str">
        <f t="shared" si="313"/>
        <v/>
      </c>
      <c r="N1111" s="453"/>
      <c r="O1111" s="86" t="str">
        <f t="shared" si="315"/>
        <v/>
      </c>
      <c r="P1111" s="538" t="str">
        <f t="shared" si="316"/>
        <v/>
      </c>
      <c r="Q1111" s="539" t="str">
        <f t="shared" si="314"/>
        <v/>
      </c>
      <c r="R1111" s="706"/>
      <c r="S1111" s="707"/>
      <c r="T1111" s="708"/>
      <c r="U1111" s="472"/>
      <c r="V1111" s="167"/>
      <c r="W1111" s="446"/>
      <c r="X1111" s="456"/>
      <c r="Y1111" s="436"/>
      <c r="Z1111" s="437"/>
      <c r="AA1111" s="560"/>
      <c r="AB1111" s="561"/>
      <c r="AC1111" s="87"/>
      <c r="AD1111" s="466"/>
      <c r="AE1111" s="456"/>
      <c r="AF1111" s="467"/>
      <c r="AG1111" s="87"/>
      <c r="AH1111" s="87"/>
      <c r="AI1111" s="87"/>
    </row>
    <row r="1112" spans="1:35" hidden="1">
      <c r="A1112" s="80" t="e">
        <f>"J"&amp;E1099</f>
        <v>#N/A</v>
      </c>
      <c r="B1112" s="105">
        <v>10</v>
      </c>
      <c r="C1112" s="107"/>
      <c r="D1112" s="107"/>
      <c r="E1112" s="107"/>
      <c r="F1112" s="107"/>
      <c r="G1112" s="83"/>
      <c r="H1112" s="83"/>
      <c r="I1112" s="84"/>
      <c r="J1112" s="85"/>
      <c r="K1112" s="382"/>
      <c r="L1112" s="85"/>
      <c r="M1112" s="332" t="str">
        <f t="shared" si="313"/>
        <v/>
      </c>
      <c r="N1112" s="453"/>
      <c r="O1112" s="86" t="str">
        <f t="shared" si="315"/>
        <v/>
      </c>
      <c r="P1112" s="538" t="str">
        <f t="shared" si="316"/>
        <v/>
      </c>
      <c r="Q1112" s="539" t="str">
        <f t="shared" si="314"/>
        <v/>
      </c>
      <c r="R1112" s="706"/>
      <c r="S1112" s="707"/>
      <c r="T1112" s="708"/>
      <c r="U1112" s="472"/>
      <c r="V1112" s="167"/>
      <c r="W1112" s="446"/>
      <c r="X1112" s="456"/>
      <c r="Y1112" s="436"/>
      <c r="Z1112" s="437"/>
      <c r="AA1112" s="560"/>
      <c r="AB1112" s="561"/>
      <c r="AC1112" s="87"/>
      <c r="AD1112" s="466"/>
      <c r="AE1112" s="456"/>
      <c r="AF1112" s="467"/>
      <c r="AG1112" s="87"/>
      <c r="AH1112" s="87"/>
      <c r="AI1112" s="87"/>
    </row>
    <row r="1113" spans="1:35" ht="16.5" hidden="1" thickBot="1">
      <c r="A1113" s="44"/>
      <c r="B1113" s="89"/>
      <c r="C1113" s="90"/>
      <c r="D1113" s="90"/>
      <c r="E1113" s="90"/>
      <c r="F1113" s="90"/>
      <c r="G1113" s="90"/>
      <c r="H1113" s="90"/>
      <c r="I1113" s="90"/>
      <c r="J1113" s="90"/>
      <c r="K1113" s="90"/>
      <c r="L1113" s="90"/>
      <c r="M1113" s="90"/>
      <c r="N1113" s="90"/>
      <c r="O1113" s="90"/>
      <c r="P1113" s="90"/>
      <c r="Q1113" s="90"/>
      <c r="R1113" s="90"/>
      <c r="S1113" s="91"/>
      <c r="T1113" s="92"/>
      <c r="U1113" s="473"/>
      <c r="W1113" s="438"/>
      <c r="X1113" s="455"/>
      <c r="Y1113" s="439"/>
      <c r="Z1113" s="437"/>
      <c r="AA1113" s="530"/>
      <c r="AB1113" s="563"/>
      <c r="AC1113" s="87"/>
      <c r="AD1113" s="440"/>
      <c r="AE1113" s="441"/>
      <c r="AF1113" s="442"/>
      <c r="AG1113" s="49"/>
      <c r="AH1113" s="87"/>
      <c r="AI1113" s="87"/>
    </row>
    <row r="1114" spans="1:35" ht="16.5" hidden="1" thickBot="1">
      <c r="A1114" s="93"/>
      <c r="B1114" s="94"/>
      <c r="C1114" s="96"/>
      <c r="D1114" s="96"/>
      <c r="E1114" s="96"/>
      <c r="F1114" s="96"/>
      <c r="G1114" s="96"/>
      <c r="H1114" s="96"/>
      <c r="I1114" s="96"/>
      <c r="J1114" s="96"/>
      <c r="K1114" s="96"/>
      <c r="L1114" s="96"/>
      <c r="M1114" s="136"/>
      <c r="N1114" s="96"/>
      <c r="O1114" s="96"/>
      <c r="P1114" s="97"/>
      <c r="Q1114" s="97"/>
      <c r="R1114" s="98"/>
      <c r="S1114" s="95"/>
      <c r="T1114" s="99"/>
      <c r="U1114" s="469"/>
      <c r="AC1114" s="58"/>
      <c r="AG1114" s="58"/>
      <c r="AH1114" s="87"/>
      <c r="AI1114" s="87"/>
    </row>
    <row r="1115" spans="1:35" ht="16.5" hidden="1" thickBot="1">
      <c r="B1115" s="101"/>
      <c r="C1115" s="101"/>
      <c r="D1115" s="101"/>
      <c r="E1115" s="101"/>
      <c r="F1115" s="101"/>
      <c r="G1115" s="101"/>
      <c r="H1115" s="101"/>
      <c r="I1115" s="101"/>
      <c r="J1115" s="101"/>
      <c r="K1115" s="101"/>
      <c r="L1115" s="101"/>
      <c r="M1115" s="101"/>
      <c r="N1115" s="101"/>
      <c r="O1115" s="101"/>
      <c r="P1115" s="101"/>
      <c r="Q1115" s="101"/>
      <c r="R1115" s="101"/>
      <c r="S1115" s="101"/>
      <c r="U1115" s="50"/>
      <c r="AH1115" s="87"/>
      <c r="AI1115" s="87"/>
    </row>
    <row r="1116" spans="1:35" ht="16.5" hidden="1" customHeight="1" thickBot="1">
      <c r="A1116" s="44"/>
      <c r="B1116" s="705" t="s">
        <v>74</v>
      </c>
      <c r="C1116" s="705"/>
      <c r="D1116" s="705"/>
      <c r="E1116" s="705"/>
      <c r="F1116" s="705"/>
      <c r="G1116" s="705"/>
      <c r="H1116" s="705"/>
      <c r="I1116" s="705"/>
      <c r="J1116" s="705"/>
      <c r="K1116" s="705"/>
      <c r="L1116" s="705"/>
      <c r="M1116" s="705"/>
      <c r="N1116" s="705"/>
      <c r="O1116" s="705"/>
      <c r="P1116" s="705"/>
      <c r="Q1116" s="705"/>
      <c r="R1116" s="705"/>
      <c r="S1116" s="705"/>
      <c r="T1116" s="705"/>
      <c r="U1116" s="108"/>
      <c r="Y1116" s="532" t="s">
        <v>341</v>
      </c>
      <c r="AC1116" s="49"/>
      <c r="AD1116" s="687" t="s">
        <v>302</v>
      </c>
      <c r="AE1116" s="688"/>
      <c r="AF1116" s="689"/>
      <c r="AG1116" s="49"/>
      <c r="AH1116" s="87"/>
      <c r="AI1116" s="87"/>
    </row>
    <row r="1117" spans="1:35" ht="15.75" hidden="1" customHeight="1" thickBot="1">
      <c r="A1117" s="218" t="e">
        <f>"K"&amp;E1099</f>
        <v>#N/A</v>
      </c>
      <c r="B1117" s="701" t="s">
        <v>71</v>
      </c>
      <c r="C1117" s="751" t="s">
        <v>102</v>
      </c>
      <c r="D1117" s="751"/>
      <c r="E1117" s="751"/>
      <c r="F1117" s="751"/>
      <c r="G1117" s="751"/>
      <c r="H1117" s="751"/>
      <c r="I1117" s="751"/>
      <c r="J1117" s="751"/>
      <c r="K1117" s="751"/>
      <c r="L1117" s="722" t="s">
        <v>100</v>
      </c>
      <c r="M1117" s="747" t="s">
        <v>114</v>
      </c>
      <c r="N1117" s="747"/>
      <c r="O1117" s="747"/>
      <c r="P1117" s="747"/>
      <c r="Q1117" s="748"/>
      <c r="R1117" s="758" t="s">
        <v>280</v>
      </c>
      <c r="S1117" s="748"/>
      <c r="T1117" s="762" t="str">
        <f>IF(COUNTIF(AE1117:AF1117,"VERIFICAR")&gt;0,"VERIFICAR",IF(COUNTIF(AE1117:AF1117,"NO CUMPLE")&gt;0,"NO CUMPLE","CUMPLE"))</f>
        <v>VERIFICAR</v>
      </c>
      <c r="U1117" s="108"/>
      <c r="Y1117" s="533" t="e">
        <f>IF(F1118="","",IF(F1118=1,"INDIVIDUAL","ESTRUCTURA PLURAL"))</f>
        <v>#N/A</v>
      </c>
      <c r="AC1117" s="52"/>
      <c r="AD1117" s="475" t="s">
        <v>303</v>
      </c>
      <c r="AE1117" s="476" t="str">
        <f>IF(COUNTIF(AE1103:AE1112,"")=10,"VERIFICAR",IF(COUNTIF(AE1103:AE1112,"SI")&gt;0,"CUMPLE","NO CUMPLE"))</f>
        <v>VERIFICAR</v>
      </c>
      <c r="AF1117" s="477" t="str">
        <f>IF(COUNTIF(AF1103:AF1112,"")=10,"VERIFICAR",IF(COUNTIF(AF1103:AF1112,"SI")&gt;=$AI$22,"CUMPLE","NO CUMPLE"))</f>
        <v>VERIFICAR</v>
      </c>
      <c r="AG1117" s="52"/>
      <c r="AH1117" s="87"/>
      <c r="AI1117" s="87"/>
    </row>
    <row r="1118" spans="1:35" ht="16.5" hidden="1" customHeight="1" thickBot="1">
      <c r="A1118" s="218" t="e">
        <f>"L"&amp;E1099</f>
        <v>#N/A</v>
      </c>
      <c r="B1118" s="702"/>
      <c r="C1118" s="751" t="s">
        <v>103</v>
      </c>
      <c r="D1118" s="751"/>
      <c r="E1118" s="752"/>
      <c r="F1118" s="557" t="e">
        <f>IF(VLOOKUP(E1099,PROPONENTES!$C$19:$E$218,3,0)="","",VLOOKUP(E1099,PROPONENTES!$C$19:$E$218,3,0))</f>
        <v>#N/A</v>
      </c>
      <c r="G1118" s="753" t="s">
        <v>104</v>
      </c>
      <c r="H1118" s="751"/>
      <c r="I1118" s="715" t="e">
        <f>IF(OR(F1118="",F1118=1),"INTERESADO PERSONA NATURAL O JURIDICA","CONSORCIO O UNION TEMPORAL")</f>
        <v>#N/A</v>
      </c>
      <c r="J1118" s="725"/>
      <c r="K1118" s="728"/>
      <c r="L1118" s="723"/>
      <c r="M1118" s="749"/>
      <c r="N1118" s="749"/>
      <c r="O1118" s="749"/>
      <c r="P1118" s="749"/>
      <c r="Q1118" s="750"/>
      <c r="R1118" s="712"/>
      <c r="S1118" s="750"/>
      <c r="T1118" s="763"/>
      <c r="U1118" s="108"/>
      <c r="Y1118" s="534"/>
      <c r="AA1118" s="52"/>
      <c r="AB1118" s="52"/>
      <c r="AC1118" s="52"/>
      <c r="AG1118" s="52"/>
      <c r="AH1118" s="87"/>
      <c r="AI1118" s="87"/>
    </row>
    <row r="1119" spans="1:35" ht="56.25" hidden="1" customHeight="1" thickBot="1">
      <c r="A1119" s="218" t="e">
        <f>"M"&amp;E1099</f>
        <v>#N/A</v>
      </c>
      <c r="B1119" s="702"/>
      <c r="C1119" s="725" t="s">
        <v>101</v>
      </c>
      <c r="D1119" s="716"/>
      <c r="E1119" s="558" t="s">
        <v>105</v>
      </c>
      <c r="F1119" s="554" t="s">
        <v>87</v>
      </c>
      <c r="G1119" s="553" t="s">
        <v>86</v>
      </c>
      <c r="H1119" s="559" t="s">
        <v>85</v>
      </c>
      <c r="I1119" s="554" t="s">
        <v>252</v>
      </c>
      <c r="J1119" s="553" t="str">
        <f>"¿EL INTEGRANTE TIENE UNA PARTICIPACIÓN DEL "&amp;PORCREQUERIDOINT*100&amp;"%?"</f>
        <v>¿EL INTEGRANTE TIENE UNA PARTICIPACIÓN DEL 60%?</v>
      </c>
      <c r="K1119" s="554" t="s">
        <v>107</v>
      </c>
      <c r="L1119" s="724"/>
      <c r="M1119" s="717" t="s">
        <v>115</v>
      </c>
      <c r="N1119" s="718"/>
      <c r="O1119" s="718"/>
      <c r="P1119" s="718"/>
      <c r="Q1119" s="223">
        <f>IF(AND(H1103="SI",P1103&gt;=0),1,0)+IF(AND(H1104="SI",P1104&gt;=0),1,0)+IF(AND(H1105="SI",P1105&gt;=0),1,0)+IF(AND(H1106="SI",P1106&gt;=0),1,0)+IF(AND(H1107="SI",P1107&gt;=0),1,0)+IF(AND(H1108="SI",P1108&gt;=0),1,0)+IF(AND(H1109="SI",P1109&gt;=0),1,0)+IF(AND(H1110="SI",P1110&gt;=0),1,0)+IF(AND(H1111="SI",P1111&gt;=0),1,0)+IF(AND(H1112="SI",P1112&gt;=0),1,0)</f>
        <v>0</v>
      </c>
      <c r="R1119" s="759"/>
      <c r="S1119" s="761"/>
      <c r="T1119" s="764"/>
      <c r="U1119" s="219"/>
      <c r="V1119" s="464"/>
      <c r="Y1119" s="532" t="s">
        <v>342</v>
      </c>
      <c r="AA1119" s="550" t="s">
        <v>344</v>
      </c>
      <c r="AB1119" s="693" t="s">
        <v>345</v>
      </c>
      <c r="AC1119" s="693" t="s">
        <v>346</v>
      </c>
      <c r="AD1119" s="685" t="s">
        <v>347</v>
      </c>
      <c r="AE1119" s="52"/>
      <c r="AF1119" s="52"/>
      <c r="AG1119" s="52"/>
      <c r="AH1119" s="87"/>
      <c r="AI1119" s="87"/>
    </row>
    <row r="1120" spans="1:35" ht="15.75" hidden="1" customHeight="1" thickBot="1">
      <c r="A1120" s="218" t="e">
        <f>"N"&amp;E1099</f>
        <v>#N/A</v>
      </c>
      <c r="B1120" s="702"/>
      <c r="C1120" s="114">
        <v>1</v>
      </c>
      <c r="D1120" s="194" t="e">
        <f>IF(AND(C1120&lt;=F1118,F1118&gt;1,F1118&lt;&gt;""),VLOOKUP(VALUE(E1099&amp;","&amp;C1120),INTEGRANTES!$D$18:$F$235,2,0),"")</f>
        <v>#N/A</v>
      </c>
      <c r="E1120" s="211" t="e">
        <f>IF(D1120&lt;&gt;"",VLOOKUP(VALUE(E1099&amp;","&amp;C1120),INTEGRANTES!$D$18:$F$235,3,0),"")</f>
        <v>#N/A</v>
      </c>
      <c r="F1120" s="547" t="e">
        <f>IF(D1120="","",SUMIF($I1103:$I1112,D1120,$P1103:$P1112))</f>
        <v>#N/A</v>
      </c>
      <c r="G1120" s="333" t="e">
        <f>IF(D1120="","",SUMIF($I1103:$I1112,D1120,$M1103:$M1112))</f>
        <v>#N/A</v>
      </c>
      <c r="H1120" s="535" t="e">
        <f t="shared" ref="H1120:H1125" si="317">IF(D1120="","",IF(OR(F1120=0,G1120=0),"NO APORTA",ROUND($F1120/$G1120,3)))</f>
        <v>#N/A</v>
      </c>
      <c r="I1120" s="212" t="e">
        <f>IF(D1120="","",IF(H1120="NO APORTA","NO",IF(H1120=MAX($H1120:$H1125),"SI","NO")))</f>
        <v>#N/A</v>
      </c>
      <c r="J1120" s="213" t="e">
        <f t="shared" ref="J1120:J1125" si="318">IF(D1120="","",IF(E1120&gt;=PORCREQUERIDOINT,"SI","NO"))</f>
        <v>#N/A</v>
      </c>
      <c r="K1120" s="200" t="e">
        <f t="shared" ref="K1120:K1125" si="319">IF(D1120="","",IF(AND(I1120="SI",J1120="SI"),"CUMPLE",IF(AND(I1120="NO",OR(J1120="SI",J1120="NO")),"","NO CUMPLE")))</f>
        <v>#N/A</v>
      </c>
      <c r="L1120" s="722" t="s">
        <v>108</v>
      </c>
      <c r="M1120" s="726" t="s">
        <v>119</v>
      </c>
      <c r="N1120" s="726"/>
      <c r="O1120" s="726"/>
      <c r="P1120" s="726"/>
      <c r="Q1120" s="727"/>
      <c r="R1120" s="758" t="s">
        <v>80</v>
      </c>
      <c r="S1120" s="747"/>
      <c r="T1120" s="748"/>
      <c r="U1120" s="219"/>
      <c r="V1120" s="464"/>
      <c r="Y1120" s="533" t="e">
        <f>IF(Y1117="","",IF(Y1117="INDIVIDUAL","NO APLICA","VERIFICAR CUADRO"))</f>
        <v>#N/A</v>
      </c>
      <c r="AA1120" s="551"/>
      <c r="AB1120" s="694"/>
      <c r="AC1120" s="694"/>
      <c r="AD1120" s="686"/>
      <c r="AE1120" s="52"/>
      <c r="AF1120" s="52"/>
      <c r="AG1120" s="52"/>
      <c r="AH1120" s="87"/>
      <c r="AI1120" s="87"/>
    </row>
    <row r="1121" spans="1:35" ht="27" hidden="1" customHeight="1" thickBot="1">
      <c r="A1121" s="218" t="e">
        <f>"O"&amp;E1099</f>
        <v>#N/A</v>
      </c>
      <c r="B1121" s="702"/>
      <c r="C1121" s="114">
        <v>2</v>
      </c>
      <c r="D1121" s="194" t="e">
        <f>IF(AND(C1121&lt;=F1118,F1118&lt;&gt;""),VLOOKUP(VALUE(E1099&amp;","&amp;C1121),INTEGRANTES!$D$18:$F$235,2,0),"")</f>
        <v>#N/A</v>
      </c>
      <c r="E1121" s="211" t="e">
        <f>IF(D1121&lt;&gt;"",VLOOKUP(VALUE(E1099&amp;","&amp;C1121),INTEGRANTES!$D$18:$F$235,3,0),"")</f>
        <v>#N/A</v>
      </c>
      <c r="F1121" s="547" t="e">
        <f>IF(D1121="","",SUMIF($I1103:$I1112,D1121,$P1103:$P1112))</f>
        <v>#N/A</v>
      </c>
      <c r="G1121" s="333" t="e">
        <f>IF(D1121="","",SUMIF($I1103:$I1112,D1121,$M1103:$M1112))</f>
        <v>#N/A</v>
      </c>
      <c r="H1121" s="535" t="e">
        <f t="shared" si="317"/>
        <v>#N/A</v>
      </c>
      <c r="I1121" s="212" t="e">
        <f>IF(D1121="","",IF(H1121="NO APORTA","NO",IF(H1121=MAX($H1120:$H1125),"SI","NO")))</f>
        <v>#N/A</v>
      </c>
      <c r="J1121" s="213" t="e">
        <f t="shared" si="318"/>
        <v>#N/A</v>
      </c>
      <c r="K1121" s="200" t="e">
        <f t="shared" si="319"/>
        <v>#N/A</v>
      </c>
      <c r="L1121" s="723"/>
      <c r="M1121" s="715" t="s">
        <v>116</v>
      </c>
      <c r="N1121" s="716"/>
      <c r="O1121" s="556" t="s">
        <v>113</v>
      </c>
      <c r="P1121" s="715" t="s">
        <v>117</v>
      </c>
      <c r="Q1121" s="728"/>
      <c r="R1121" s="759"/>
      <c r="S1121" s="760"/>
      <c r="T1121" s="761"/>
      <c r="U1121" s="219"/>
      <c r="V1121" s="464"/>
      <c r="Y1121" s="414"/>
      <c r="AA1121" s="542" t="e">
        <f>IF(AND(C1120&lt;=F1118,F1118&gt;1,F1118&lt;&gt;""),VLOOKUP(VALUE(E1099&amp;","&amp;C1120),INTEGRANTES!$D$18:$F$235,2,0),"")</f>
        <v>#N/A</v>
      </c>
      <c r="AB1121" s="544" t="e">
        <f t="shared" ref="AB1121:AB1126" si="320">IF(D1120="","",IF(OR(F1120=0,G1120=0),"NO APORTA",ROUND($F1120/$G1120,3)))</f>
        <v>#N/A</v>
      </c>
      <c r="AC1121" s="529"/>
      <c r="AD1121" s="200" t="e">
        <f t="shared" ref="AD1121:AD1126" si="321">IF(OR(AA1121="",AB1121=""),"",IF(AND(AC1121="X",AB1121&gt;=EXPREQVTD),"CUMPLE","NO CUMPLE"))</f>
        <v>#N/A</v>
      </c>
      <c r="AE1121" s="52"/>
      <c r="AF1121" s="52"/>
      <c r="AG1121" s="52"/>
      <c r="AH1121" s="87"/>
      <c r="AI1121" s="87"/>
    </row>
    <row r="1122" spans="1:35" ht="16.5" hidden="1" thickBot="1">
      <c r="A1122" s="218" t="e">
        <f>"P"&amp;E1099</f>
        <v>#N/A</v>
      </c>
      <c r="B1122" s="702"/>
      <c r="C1122" s="114">
        <v>3</v>
      </c>
      <c r="D1122" s="194" t="e">
        <f>IF(AND(C1122&lt;=F1118,F1118&lt;&gt;""),VLOOKUP(VALUE(E1099&amp;","&amp;C1122),INTEGRANTES!$D$18:$F$235,2,0),"")</f>
        <v>#N/A</v>
      </c>
      <c r="E1122" s="211" t="e">
        <f>IF(D1122&lt;&gt;"",VLOOKUP(VALUE(E1099&amp;","&amp;C1122),INTEGRANTES!$D$18:$F$235,3,0),"")</f>
        <v>#N/A</v>
      </c>
      <c r="F1122" s="547" t="e">
        <f>IF(D1122="","",SUMIF($I1103:$I1112,D1122,$P1103:$P1112))</f>
        <v>#N/A</v>
      </c>
      <c r="G1122" s="333" t="e">
        <f>IF(D1122="","",SUMIF($I1103:$I1112,D1122,$M1103:$M1112))</f>
        <v>#N/A</v>
      </c>
      <c r="H1122" s="535" t="e">
        <f t="shared" si="317"/>
        <v>#N/A</v>
      </c>
      <c r="I1122" s="212" t="e">
        <f>IF(D1122="","",IF(H1122="NO APORTA","NO",IF(H1122=MAX($H1120:$H1125),"SI","NO")))</f>
        <v>#N/A</v>
      </c>
      <c r="J1122" s="213" t="e">
        <f t="shared" si="318"/>
        <v>#N/A</v>
      </c>
      <c r="K1122" s="200" t="e">
        <f t="shared" si="319"/>
        <v>#N/A</v>
      </c>
      <c r="L1122" s="724"/>
      <c r="M1122" s="729">
        <f>NUMMOD</f>
        <v>1</v>
      </c>
      <c r="N1122" s="730"/>
      <c r="O1122" s="443">
        <f>IF(M1122="","",VLOOKUP(M1122,PRESUPUESTOS!$B$16:$H$16,5,FALSE))</f>
        <v>2</v>
      </c>
      <c r="P1122" s="713">
        <f>IF(OR(COUNTIF(M1103:M1112,"")&gt;=10,Q1119&lt;NUMMINCONT,OR(T1117="NO CUMPLE",T1117="VERIFICAR")),0,ROUND(AVERAGE(M1103:M1112),3))</f>
        <v>0</v>
      </c>
      <c r="Q1122" s="714"/>
      <c r="R1122" s="458"/>
      <c r="S1122" s="459"/>
      <c r="T1122" s="460"/>
      <c r="U1122" s="219"/>
      <c r="V1122" s="464"/>
      <c r="Y1122" s="532" t="str">
        <f>"40% * ("&amp;PRESUPUESTOS!$H$13&amp;")"</f>
        <v>40% * (50% PFMO)</v>
      </c>
      <c r="AA1122" s="540" t="e">
        <f>IF(AND(C1121&lt;=F1118,F1118&lt;&gt;""),VLOOKUP(VALUE(E1099&amp;","&amp;C1121),INTEGRANTES!$D$18:$F$235,2,0),"")</f>
        <v>#N/A</v>
      </c>
      <c r="AB1122" s="545" t="e">
        <f t="shared" si="320"/>
        <v>#N/A</v>
      </c>
      <c r="AC1122" s="529"/>
      <c r="AD1122" s="200" t="e">
        <f t="shared" si="321"/>
        <v>#N/A</v>
      </c>
      <c r="AE1122" s="52"/>
      <c r="AF1122" s="52"/>
      <c r="AG1122" s="52"/>
      <c r="AH1122" s="87"/>
      <c r="AI1122" s="87"/>
    </row>
    <row r="1123" spans="1:35" ht="15.75" hidden="1" customHeight="1" thickBot="1">
      <c r="A1123" s="218" t="e">
        <f>"Q"&amp;E1099</f>
        <v>#N/A</v>
      </c>
      <c r="B1123" s="702"/>
      <c r="C1123" s="114">
        <v>4</v>
      </c>
      <c r="D1123" s="194" t="e">
        <f>IF(AND(C1123&lt;=F1118,F1118&lt;&gt;""),VLOOKUP(VALUE(E1099&amp;","&amp;C1123),INTEGRANTES!$D$18:$F$235,2,0),"")</f>
        <v>#N/A</v>
      </c>
      <c r="E1123" s="211" t="e">
        <f>IF(D1123&lt;&gt;"",VLOOKUP(VALUE(E1099&amp;","&amp;C1123),INTEGRANTES!$D$18:$F$235,3,0),"")</f>
        <v>#N/A</v>
      </c>
      <c r="F1123" s="547" t="e">
        <f>IF(D1123="","",SUMIF($I1103:$I1112,D1123,$P1103:$P1112))</f>
        <v>#N/A</v>
      </c>
      <c r="G1123" s="333" t="e">
        <f>IF(D1123="","",SUMIF($I1103:$I1112,D1123,$M1103:$M1112))</f>
        <v>#N/A</v>
      </c>
      <c r="H1123" s="535" t="e">
        <f t="shared" si="317"/>
        <v>#N/A</v>
      </c>
      <c r="I1123" s="212" t="e">
        <f>IF(D1123="","",IF(H1123="NO APORTA","NO",IF(H1123=MAX($H1120:$H1125),"SI","NO")))</f>
        <v>#N/A</v>
      </c>
      <c r="J1123" s="213" t="e">
        <f t="shared" si="318"/>
        <v>#N/A</v>
      </c>
      <c r="K1123" s="200" t="e">
        <f t="shared" si="319"/>
        <v>#N/A</v>
      </c>
      <c r="L1123" s="720" t="s">
        <v>109</v>
      </c>
      <c r="M1123" s="757" t="s">
        <v>120</v>
      </c>
      <c r="N1123" s="726"/>
      <c r="O1123" s="726"/>
      <c r="P1123" s="726"/>
      <c r="Q1123" s="727"/>
      <c r="R1123" s="458"/>
      <c r="S1123" s="459"/>
      <c r="T1123" s="460"/>
      <c r="U1123" s="219"/>
      <c r="V1123" s="464"/>
      <c r="Y1123" s="537">
        <f>0.4*PRESUPUESTOS!$H$16</f>
        <v>10.3124</v>
      </c>
      <c r="AA1123" s="540" t="e">
        <f>IF(AND(C1122&lt;=F1118,F1118&lt;&gt;""),VLOOKUP(VALUE(E1099&amp;","&amp;C1122),INTEGRANTES!$D$18:$F$235,2,0),"")</f>
        <v>#N/A</v>
      </c>
      <c r="AB1123" s="545" t="e">
        <f t="shared" si="320"/>
        <v>#N/A</v>
      </c>
      <c r="AC1123" s="529"/>
      <c r="AD1123" s="200" t="e">
        <f t="shared" si="321"/>
        <v>#N/A</v>
      </c>
      <c r="AE1123" s="52"/>
      <c r="AF1123" s="52"/>
      <c r="AG1123" s="52"/>
      <c r="AH1123" s="87"/>
      <c r="AI1123" s="87"/>
    </row>
    <row r="1124" spans="1:35" ht="27" hidden="1" customHeight="1" thickBot="1">
      <c r="A1124" s="218" t="e">
        <f>"R"&amp;E1099</f>
        <v>#N/A</v>
      </c>
      <c r="B1124" s="702"/>
      <c r="C1124" s="114">
        <v>5</v>
      </c>
      <c r="D1124" s="194" t="e">
        <f>IF(AND(C1124&lt;=F1118,F1118&lt;&gt;""),VLOOKUP(VALUE(E1099&amp;","&amp;C1124),INTEGRANTES!$D$18:$F$235,2,0),"")</f>
        <v>#N/A</v>
      </c>
      <c r="E1124" s="211" t="e">
        <f>IF(D1124&lt;&gt;"",VLOOKUP(VALUE(E1099&amp;","&amp;C1124),INTEGRANTES!$D$18:$F$235,3,0),"")</f>
        <v>#N/A</v>
      </c>
      <c r="F1124" s="547" t="e">
        <f>IF(D1124="","",SUMIF($I1103:$I1112,D1124,$P1103:$P1112))</f>
        <v>#N/A</v>
      </c>
      <c r="G1124" s="333" t="e">
        <f>IF(D1124="","",SUMIF($I1103:$I1112,D1124,$M1103:$M1112))</f>
        <v>#N/A</v>
      </c>
      <c r="H1124" s="535" t="e">
        <f t="shared" si="317"/>
        <v>#N/A</v>
      </c>
      <c r="I1124" s="212" t="e">
        <f>IF(D1124="","",IF(H1124="NO APORTA","NO",IF(H1124=MAX($H1120:$H1125),"SI","NO")))</f>
        <v>#N/A</v>
      </c>
      <c r="J1124" s="213" t="e">
        <f t="shared" si="318"/>
        <v>#N/A</v>
      </c>
      <c r="K1124" s="200" t="e">
        <f t="shared" si="319"/>
        <v>#N/A</v>
      </c>
      <c r="L1124" s="721"/>
      <c r="M1124" s="715" t="s">
        <v>116</v>
      </c>
      <c r="N1124" s="716"/>
      <c r="O1124" s="556" t="str">
        <f>PORCREQUERIDO*100&amp;"% PMFO DEL MÓDULO"</f>
        <v>50% PMFO DEL MÓDULO</v>
      </c>
      <c r="P1124" s="715" t="s">
        <v>118</v>
      </c>
      <c r="Q1124" s="728"/>
      <c r="R1124" s="458"/>
      <c r="S1124" s="459"/>
      <c r="T1124" s="460"/>
      <c r="U1124" s="219"/>
      <c r="V1124" s="464"/>
      <c r="Y1124" s="414"/>
      <c r="AA1124" s="540" t="e">
        <f>IF(AND(C1123&lt;=F1118,F1118&lt;&gt;""),VLOOKUP(VALUE(E1099&amp;","&amp;C1123),INTEGRANTES!$D$18:$F$235,2,0),"")</f>
        <v>#N/A</v>
      </c>
      <c r="AB1124" s="545" t="e">
        <f t="shared" si="320"/>
        <v>#N/A</v>
      </c>
      <c r="AC1124" s="529"/>
      <c r="AD1124" s="200" t="e">
        <f t="shared" si="321"/>
        <v>#N/A</v>
      </c>
      <c r="AE1124" s="52"/>
      <c r="AF1124" s="52"/>
      <c r="AG1124" s="52"/>
      <c r="AH1124" s="87"/>
      <c r="AI1124" s="87"/>
    </row>
    <row r="1125" spans="1:35" ht="16.5" hidden="1" thickBot="1">
      <c r="A1125" s="218" t="e">
        <f>"S"&amp;E1099</f>
        <v>#N/A</v>
      </c>
      <c r="B1125" s="702"/>
      <c r="C1125" s="215">
        <v>6</v>
      </c>
      <c r="D1125" s="216" t="e">
        <f>IF(AND(C1125&lt;=F1118,F1118&lt;&gt;""),VLOOKUP(VALUE(E1099&amp;","&amp;C1125),INTEGRANTES!$D$18:$F$235,2,0),"")</f>
        <v>#N/A</v>
      </c>
      <c r="E1125" s="217" t="e">
        <f>IF(D1125&lt;&gt;"",VLOOKUP(VALUE(E1099&amp;","&amp;C1125),INTEGRANTES!$D$18:$F$235,3,0),"")</f>
        <v>#N/A</v>
      </c>
      <c r="F1125" s="548" t="e">
        <f>IF(D1125="","",SUMIF($I1103:$I1112,D1125,$P1103:$P1112))</f>
        <v>#N/A</v>
      </c>
      <c r="G1125" s="334" t="e">
        <f>IF(D1125="","",SUMIF($I1103:$I1112,D1125,$M1103:$M1112))</f>
        <v>#N/A</v>
      </c>
      <c r="H1125" s="536" t="e">
        <f t="shared" si="317"/>
        <v>#N/A</v>
      </c>
      <c r="I1125" s="214" t="e">
        <f>IF(D1125="","",IF(H1125="NO APORTA","NO",IF(H1125=MAX($H1120:$H1125),"SI","NO")))</f>
        <v>#N/A</v>
      </c>
      <c r="J1125" s="213" t="e">
        <f t="shared" si="318"/>
        <v>#N/A</v>
      </c>
      <c r="K1125" s="200" t="e">
        <f t="shared" si="319"/>
        <v>#N/A</v>
      </c>
      <c r="L1125" s="721"/>
      <c r="M1125" s="729">
        <f>NUMMOD</f>
        <v>1</v>
      </c>
      <c r="N1125" s="730"/>
      <c r="O1125" s="443">
        <f>IF(M1125="","",ROUND(VLOOKUP(M1125,PRESUPUESTOS!$B$16:$H$16,7,FALSE),3))</f>
        <v>25.780999999999999</v>
      </c>
      <c r="P1125" s="713">
        <f>IF(OR(COUNTIF(P1103:P1112,"")&gt;=10,Q1119&lt;NUMMINCONT,OR(T1117="NO CUMPLE",T1117="VERIFICAR")),0,ROUND((SUM(P1103:P1112)/SUM(M1103:M1112)),3))</f>
        <v>0</v>
      </c>
      <c r="Q1125" s="714"/>
      <c r="R1125" s="458"/>
      <c r="S1125" s="459"/>
      <c r="T1125" s="460"/>
      <c r="U1125" s="219"/>
      <c r="V1125" s="464"/>
      <c r="Y1125" s="532" t="s">
        <v>343</v>
      </c>
      <c r="AA1125" s="540" t="e">
        <f>IF(AND(C1124&lt;=F1118,F1118&lt;&gt;""),VLOOKUP(VALUE(E1099&amp;","&amp;C1124),INTEGRANTES!$D$18:$F$235,2,0),"")</f>
        <v>#N/A</v>
      </c>
      <c r="AB1125" s="545" t="e">
        <f t="shared" si="320"/>
        <v>#N/A</v>
      </c>
      <c r="AC1125" s="529"/>
      <c r="AD1125" s="200" t="e">
        <f t="shared" si="321"/>
        <v>#N/A</v>
      </c>
      <c r="AE1125" s="52"/>
      <c r="AF1125" s="52"/>
      <c r="AG1125" s="52"/>
      <c r="AH1125" s="87"/>
      <c r="AI1125" s="87"/>
    </row>
    <row r="1126" spans="1:35" ht="16.5" hidden="1" customHeight="1" thickBot="1">
      <c r="A1126" s="218" t="e">
        <f>"T"&amp;E1099</f>
        <v>#N/A</v>
      </c>
      <c r="B1126" s="703"/>
      <c r="C1126" s="719"/>
      <c r="D1126" s="719"/>
      <c r="E1126" s="719"/>
      <c r="F1126" s="719"/>
      <c r="G1126" s="719"/>
      <c r="H1126" s="719" t="s">
        <v>110</v>
      </c>
      <c r="I1126" s="719"/>
      <c r="J1126" s="719"/>
      <c r="K1126" s="201" t="str">
        <f>IF(COUNTIF(K1120:K1125,"")=6,"",IF(COUNTIF(K1120:K1125,"CUMPLE")&gt;0,"CUMPLE","NO CUMPLE"))</f>
        <v>NO CUMPLE</v>
      </c>
      <c r="L1126" s="754"/>
      <c r="M1126" s="755"/>
      <c r="N1126" s="755"/>
      <c r="O1126" s="755"/>
      <c r="P1126" s="755"/>
      <c r="Q1126" s="756"/>
      <c r="R1126" s="461"/>
      <c r="S1126" s="462"/>
      <c r="T1126" s="463"/>
      <c r="U1126" s="219"/>
      <c r="V1126" s="464"/>
      <c r="Y1126" s="549" t="e">
        <f>IF(Y1120="NO APLICA","NO APLICA",IF(COUNTIF(AD1121:AD1126,"CUMPLE")&gt;0,"CUMPLE","NO CUMPLE"))</f>
        <v>#N/A</v>
      </c>
      <c r="AA1126" s="541" t="e">
        <f>IF(AND(C1125&lt;=F1118,F1118&lt;&gt;""),VLOOKUP(VALUE(E1099&amp;","&amp;C1125),INTEGRANTES!$D$18:$F$235,2,0),"")</f>
        <v>#N/A</v>
      </c>
      <c r="AB1126" s="546" t="e">
        <f t="shared" si="320"/>
        <v>#N/A</v>
      </c>
      <c r="AC1126" s="543"/>
      <c r="AD1126" s="201" t="e">
        <f t="shared" si="321"/>
        <v>#N/A</v>
      </c>
      <c r="AE1126" s="52"/>
      <c r="AF1126" s="52"/>
      <c r="AG1126" s="52"/>
      <c r="AH1126" s="87"/>
      <c r="AI1126" s="87"/>
    </row>
    <row r="1127" spans="1:35" hidden="1">
      <c r="A1127" s="103"/>
      <c r="B1127" s="206"/>
      <c r="C1127" s="206"/>
      <c r="D1127" s="206"/>
      <c r="E1127" s="206"/>
      <c r="F1127" s="206"/>
      <c r="G1127" s="206"/>
      <c r="H1127" s="206"/>
      <c r="I1127" s="104"/>
      <c r="J1127" s="206"/>
      <c r="K1127" s="113"/>
      <c r="L1127" s="113"/>
      <c r="M1127" s="113"/>
      <c r="N1127" s="222"/>
      <c r="O1127" s="113"/>
      <c r="P1127" s="113"/>
      <c r="Q1127" s="113"/>
      <c r="R1127" s="206"/>
      <c r="S1127" s="104"/>
      <c r="T1127" s="206"/>
      <c r="U1127" s="474"/>
      <c r="AH1127" s="87"/>
      <c r="AI1127" s="87"/>
    </row>
    <row r="1128" spans="1:35" hidden="1">
      <c r="H1128" s="220"/>
      <c r="AH1128" s="87"/>
      <c r="AI1128" s="87"/>
    </row>
    <row r="1129" spans="1:35" ht="24" hidden="1" thickBot="1">
      <c r="A1129" s="61">
        <v>38</v>
      </c>
      <c r="B1129" s="704" t="s">
        <v>51</v>
      </c>
      <c r="C1129" s="704"/>
      <c r="D1129" s="704"/>
      <c r="E1129" s="62" t="e">
        <f>VLOOKUP(A1129,PROPONENTES!$B$19:$E$218,2,FALSE)</f>
        <v>#N/A</v>
      </c>
      <c r="F1129" s="63" t="e">
        <f>VLOOKUP(A1129,PROPONENTES!$B$19:$E$218,3,FALSE)</f>
        <v>#N/A</v>
      </c>
      <c r="G1129" s="64"/>
      <c r="H1129" s="64"/>
      <c r="I1129" s="63"/>
      <c r="J1129" s="63"/>
      <c r="K1129" s="65"/>
      <c r="L1129" s="65"/>
      <c r="M1129" s="64"/>
      <c r="N1129" s="64"/>
      <c r="O1129" s="66"/>
      <c r="P1129" s="66"/>
      <c r="Q1129" s="66"/>
      <c r="R1129" s="66"/>
      <c r="S1129" s="67"/>
      <c r="T1129" s="68"/>
      <c r="U1129" s="68"/>
      <c r="AC1129" s="68"/>
      <c r="AD1129" s="68"/>
      <c r="AE1129" s="68"/>
      <c r="AF1129" s="68"/>
      <c r="AG1129" s="68"/>
      <c r="AH1129" s="87"/>
      <c r="AI1129" s="87"/>
    </row>
    <row r="1130" spans="1:35" ht="15.75" hidden="1" customHeight="1">
      <c r="A1130" s="44"/>
      <c r="B1130" s="709" t="s">
        <v>59</v>
      </c>
      <c r="C1130" s="552" t="s">
        <v>60</v>
      </c>
      <c r="D1130" s="70" t="s">
        <v>17</v>
      </c>
      <c r="E1130" s="70"/>
      <c r="F1130" s="70" t="s">
        <v>61</v>
      </c>
      <c r="G1130" s="71"/>
      <c r="H1130" s="699" t="s">
        <v>62</v>
      </c>
      <c r="I1130" s="699" t="s">
        <v>18</v>
      </c>
      <c r="J1130" s="699" t="s">
        <v>63</v>
      </c>
      <c r="K1130" s="699" t="s">
        <v>64</v>
      </c>
      <c r="L1130" s="699" t="s">
        <v>65</v>
      </c>
      <c r="M1130" s="743" t="s">
        <v>66</v>
      </c>
      <c r="N1130" s="699" t="s">
        <v>282</v>
      </c>
      <c r="O1130" s="745" t="s">
        <v>67</v>
      </c>
      <c r="P1130" s="746"/>
      <c r="Q1130" s="102" t="s">
        <v>75</v>
      </c>
      <c r="R1130" s="731" t="s">
        <v>22</v>
      </c>
      <c r="S1130" s="732"/>
      <c r="T1130" s="733"/>
      <c r="U1130" s="712" t="s">
        <v>298</v>
      </c>
      <c r="W1130" s="690" t="s">
        <v>268</v>
      </c>
      <c r="X1130" s="691"/>
      <c r="Y1130" s="692"/>
      <c r="Z1130" s="428"/>
      <c r="AA1130" s="697" t="s">
        <v>315</v>
      </c>
      <c r="AB1130" s="695" t="s">
        <v>322</v>
      </c>
      <c r="AC1130" s="49"/>
      <c r="AD1130" s="690" t="s">
        <v>297</v>
      </c>
      <c r="AE1130" s="691"/>
      <c r="AF1130" s="692"/>
      <c r="AG1130" s="49"/>
      <c r="AH1130" s="87"/>
      <c r="AI1130" s="87"/>
    </row>
    <row r="1131" spans="1:35" ht="72" hidden="1">
      <c r="A1131" s="44"/>
      <c r="B1131" s="710"/>
      <c r="C1131" s="553" t="s">
        <v>68</v>
      </c>
      <c r="D1131" s="73" t="s">
        <v>3</v>
      </c>
      <c r="E1131" s="73" t="s">
        <v>19</v>
      </c>
      <c r="F1131" s="73" t="s">
        <v>69</v>
      </c>
      <c r="G1131" s="74" t="s">
        <v>70</v>
      </c>
      <c r="H1131" s="700"/>
      <c r="I1131" s="700"/>
      <c r="J1131" s="700"/>
      <c r="K1131" s="700"/>
      <c r="L1131" s="700"/>
      <c r="M1131" s="744"/>
      <c r="N1131" s="700"/>
      <c r="O1131" s="553" t="s">
        <v>279</v>
      </c>
      <c r="P1131" s="73" t="s">
        <v>88</v>
      </c>
      <c r="Q1131" s="555" t="s">
        <v>76</v>
      </c>
      <c r="R1131" s="734"/>
      <c r="S1131" s="735"/>
      <c r="T1131" s="736"/>
      <c r="U1131" s="712"/>
      <c r="W1131" s="429" t="s">
        <v>269</v>
      </c>
      <c r="X1131" s="457" t="s">
        <v>278</v>
      </c>
      <c r="Y1131" s="430" t="s">
        <v>324</v>
      </c>
      <c r="Z1131" s="428"/>
      <c r="AA1131" s="698"/>
      <c r="AB1131" s="696"/>
      <c r="AC1131" s="49"/>
      <c r="AD1131" s="429" t="s">
        <v>292</v>
      </c>
      <c r="AE1131" s="431" t="s">
        <v>300</v>
      </c>
      <c r="AF1131" s="468" t="s">
        <v>301</v>
      </c>
      <c r="AG1131" s="49"/>
      <c r="AH1131" s="87"/>
      <c r="AI1131" s="87"/>
    </row>
    <row r="1132" spans="1:35" hidden="1">
      <c r="A1132" s="44"/>
      <c r="B1132" s="76"/>
      <c r="C1132" s="77"/>
      <c r="D1132" s="77"/>
      <c r="E1132" s="77"/>
      <c r="F1132" s="77"/>
      <c r="G1132" s="77"/>
      <c r="H1132" s="77"/>
      <c r="I1132" s="77"/>
      <c r="J1132" s="77"/>
      <c r="K1132" s="77"/>
      <c r="L1132" s="77"/>
      <c r="M1132" s="77"/>
      <c r="N1132" s="77"/>
      <c r="O1132" s="77"/>
      <c r="P1132" s="77"/>
      <c r="Q1132" s="77"/>
      <c r="R1132" s="77"/>
      <c r="S1132" s="78"/>
      <c r="T1132" s="79"/>
      <c r="U1132" s="109"/>
      <c r="V1132" s="49"/>
      <c r="W1132" s="432"/>
      <c r="X1132" s="454"/>
      <c r="Y1132" s="433"/>
      <c r="Z1132" s="6"/>
      <c r="AA1132" s="500"/>
      <c r="AB1132" s="562"/>
      <c r="AC1132" s="49"/>
      <c r="AD1132" s="210"/>
      <c r="AE1132" s="434"/>
      <c r="AF1132" s="435"/>
      <c r="AG1132" s="49"/>
      <c r="AH1132" s="87"/>
      <c r="AI1132" s="87"/>
    </row>
    <row r="1133" spans="1:35" hidden="1">
      <c r="A1133" s="80" t="e">
        <f>"A"&amp;E1129</f>
        <v>#N/A</v>
      </c>
      <c r="B1133" s="81">
        <v>1</v>
      </c>
      <c r="C1133" s="82"/>
      <c r="D1133" s="82"/>
      <c r="E1133" s="82"/>
      <c r="F1133" s="82"/>
      <c r="G1133" s="83"/>
      <c r="H1133" s="83"/>
      <c r="I1133" s="84"/>
      <c r="J1133" s="85"/>
      <c r="K1133" s="382"/>
      <c r="L1133" s="85"/>
      <c r="M1133" s="332" t="str">
        <f t="shared" ref="M1133:M1142" si="322">IF(OR(J1133="",L1133="",H1133="NO"),"",IF(OR(J1133&gt;$P$17,J1133&lt;$O$17,L1133&gt;$P$17,AND(J1133&lt;$O$17,L1133&lt;$O$17)),"FUERA DE RANGO",IF(OR(K1133="---",K1133=""),IF(J1133&gt;=$O$17,ROUND((L1133-J1133+1)/360*12,3),ROUND((L1133-$O$17+1)/360*12,3)),IF(J1133&gt;=$O$17,ROUND((L1133-J1133+1)/360*12-ROUND(K1133,3),3),ROUND((L1133-$O$17+1)/360*12-ROUND(K1133,3),3)))))</f>
        <v/>
      </c>
      <c r="N1133" s="86"/>
      <c r="O1133" s="453" t="str">
        <f>IF(OR(G1133="",N1133=""),"",N1133*G1133)</f>
        <v/>
      </c>
      <c r="P1133" s="538" t="str">
        <f>IF(OR(H1133="",M1133="FUERA DE RANGO"),"",IF(OR(L1133&lt;$O$17,L1133&gt;$P$17,L1133="",H1133="NO"),"",IF(OR(N1133="",O1133=""),"",ROUND(O1133,3))))</f>
        <v/>
      </c>
      <c r="Q1133" s="539" t="str">
        <f t="shared" ref="Q1133:Q1142" si="323">IF(AND(H1133="SI",P1133&lt;&gt;""),ROUND(P1133/M1133,3),"")</f>
        <v/>
      </c>
      <c r="R1133" s="737"/>
      <c r="S1133" s="738"/>
      <c r="T1133" s="739"/>
      <c r="U1133" s="470"/>
      <c r="V1133" s="165"/>
      <c r="W1133" s="446"/>
      <c r="X1133" s="456"/>
      <c r="Y1133" s="436"/>
      <c r="Z1133" s="437"/>
      <c r="AA1133" s="560"/>
      <c r="AB1133" s="561"/>
      <c r="AC1133" s="87"/>
      <c r="AD1133" s="466"/>
      <c r="AE1133" s="456"/>
      <c r="AF1133" s="467"/>
      <c r="AG1133" s="87"/>
      <c r="AH1133" s="87"/>
      <c r="AI1133" s="87"/>
    </row>
    <row r="1134" spans="1:35" hidden="1">
      <c r="A1134" s="80" t="e">
        <f>"B"&amp;E1129</f>
        <v>#N/A</v>
      </c>
      <c r="B1134" s="81">
        <v>2</v>
      </c>
      <c r="C1134" s="106"/>
      <c r="D1134" s="106"/>
      <c r="E1134" s="106"/>
      <c r="F1134" s="106"/>
      <c r="G1134" s="83"/>
      <c r="H1134" s="83"/>
      <c r="I1134" s="84"/>
      <c r="J1134" s="85"/>
      <c r="K1134" s="382"/>
      <c r="L1134" s="85"/>
      <c r="M1134" s="332" t="str">
        <f t="shared" si="322"/>
        <v/>
      </c>
      <c r="N1134" s="86"/>
      <c r="O1134" s="453" t="str">
        <f t="shared" ref="O1134:O1142" si="324">IF(OR(G1134="",N1134=""),"",N1134*G1134)</f>
        <v/>
      </c>
      <c r="P1134" s="538" t="str">
        <f t="shared" ref="P1134:P1142" si="325">IF(OR(H1134="",M1134="FUERA DE RANGO"),"",IF(OR(L1134&lt;$O$17,L1134&gt;$P$17,L1134="",H1134="NO"),"",IF(OR(N1134="",O1134=""),"",ROUND(O1134,3))))</f>
        <v/>
      </c>
      <c r="Q1134" s="539" t="str">
        <f t="shared" si="323"/>
        <v/>
      </c>
      <c r="R1134" s="740"/>
      <c r="S1134" s="741"/>
      <c r="T1134" s="742"/>
      <c r="U1134" s="471"/>
      <c r="V1134" s="165"/>
      <c r="W1134" s="446"/>
      <c r="X1134" s="456"/>
      <c r="Y1134" s="436"/>
      <c r="Z1134" s="437"/>
      <c r="AA1134" s="560"/>
      <c r="AB1134" s="561"/>
      <c r="AC1134" s="87"/>
      <c r="AD1134" s="466"/>
      <c r="AE1134" s="456"/>
      <c r="AF1134" s="467"/>
      <c r="AG1134" s="87"/>
      <c r="AH1134" s="87"/>
      <c r="AI1134" s="87"/>
    </row>
    <row r="1135" spans="1:35" hidden="1">
      <c r="A1135" s="80" t="e">
        <f>"C"&amp;E1129</f>
        <v>#N/A</v>
      </c>
      <c r="B1135" s="88">
        <v>3</v>
      </c>
      <c r="C1135" s="82"/>
      <c r="D1135" s="82"/>
      <c r="E1135" s="82"/>
      <c r="F1135" s="82"/>
      <c r="G1135" s="83"/>
      <c r="H1135" s="83"/>
      <c r="I1135" s="84"/>
      <c r="J1135" s="85"/>
      <c r="K1135" s="382"/>
      <c r="L1135" s="85"/>
      <c r="M1135" s="332" t="str">
        <f t="shared" si="322"/>
        <v/>
      </c>
      <c r="N1135" s="86"/>
      <c r="O1135" s="453" t="str">
        <f t="shared" si="324"/>
        <v/>
      </c>
      <c r="P1135" s="538" t="str">
        <f t="shared" si="325"/>
        <v/>
      </c>
      <c r="Q1135" s="539" t="str">
        <f t="shared" si="323"/>
        <v/>
      </c>
      <c r="R1135" s="706"/>
      <c r="S1135" s="707"/>
      <c r="T1135" s="708"/>
      <c r="U1135" s="472"/>
      <c r="V1135" s="166"/>
      <c r="W1135" s="446"/>
      <c r="X1135" s="456"/>
      <c r="Y1135" s="436"/>
      <c r="Z1135" s="437"/>
      <c r="AA1135" s="560"/>
      <c r="AB1135" s="561"/>
      <c r="AC1135" s="87"/>
      <c r="AD1135" s="466"/>
      <c r="AE1135" s="456"/>
      <c r="AF1135" s="467"/>
      <c r="AG1135" s="87"/>
      <c r="AH1135" s="87"/>
      <c r="AI1135" s="87"/>
    </row>
    <row r="1136" spans="1:35" hidden="1">
      <c r="A1136" s="80" t="e">
        <f>"D"&amp;E1129</f>
        <v>#N/A</v>
      </c>
      <c r="B1136" s="105">
        <v>4</v>
      </c>
      <c r="C1136" s="107"/>
      <c r="D1136" s="107"/>
      <c r="E1136" s="107"/>
      <c r="F1136" s="107"/>
      <c r="G1136" s="83"/>
      <c r="H1136" s="83"/>
      <c r="I1136" s="84"/>
      <c r="J1136" s="85"/>
      <c r="K1136" s="382"/>
      <c r="L1136" s="85"/>
      <c r="M1136" s="332" t="str">
        <f t="shared" si="322"/>
        <v/>
      </c>
      <c r="N1136" s="86"/>
      <c r="O1136" s="453" t="str">
        <f t="shared" si="324"/>
        <v/>
      </c>
      <c r="P1136" s="538" t="str">
        <f t="shared" si="325"/>
        <v/>
      </c>
      <c r="Q1136" s="539" t="str">
        <f t="shared" si="323"/>
        <v/>
      </c>
      <c r="R1136" s="706"/>
      <c r="S1136" s="707"/>
      <c r="T1136" s="708"/>
      <c r="U1136" s="472"/>
      <c r="V1136" s="166"/>
      <c r="W1136" s="446"/>
      <c r="X1136" s="456"/>
      <c r="Y1136" s="436"/>
      <c r="Z1136" s="437"/>
      <c r="AA1136" s="560"/>
      <c r="AB1136" s="561"/>
      <c r="AC1136" s="87"/>
      <c r="AD1136" s="466"/>
      <c r="AE1136" s="456"/>
      <c r="AF1136" s="467"/>
      <c r="AG1136" s="87"/>
      <c r="AH1136" s="87"/>
      <c r="AI1136" s="87"/>
    </row>
    <row r="1137" spans="1:35" hidden="1">
      <c r="A1137" s="80" t="e">
        <f>"E"&amp;E1129</f>
        <v>#N/A</v>
      </c>
      <c r="B1137" s="105">
        <v>5</v>
      </c>
      <c r="C1137" s="107"/>
      <c r="D1137" s="107"/>
      <c r="E1137" s="107"/>
      <c r="F1137" s="107"/>
      <c r="G1137" s="83"/>
      <c r="H1137" s="83"/>
      <c r="I1137" s="84"/>
      <c r="J1137" s="85"/>
      <c r="K1137" s="382"/>
      <c r="L1137" s="85"/>
      <c r="M1137" s="332" t="str">
        <f t="shared" si="322"/>
        <v/>
      </c>
      <c r="N1137" s="86"/>
      <c r="O1137" s="453" t="str">
        <f t="shared" si="324"/>
        <v/>
      </c>
      <c r="P1137" s="538" t="str">
        <f t="shared" si="325"/>
        <v/>
      </c>
      <c r="Q1137" s="539" t="str">
        <f t="shared" si="323"/>
        <v/>
      </c>
      <c r="R1137" s="706"/>
      <c r="S1137" s="707"/>
      <c r="T1137" s="708"/>
      <c r="U1137" s="472"/>
      <c r="V1137" s="167"/>
      <c r="W1137" s="446"/>
      <c r="X1137" s="456"/>
      <c r="Y1137" s="436"/>
      <c r="Z1137" s="437"/>
      <c r="AA1137" s="560"/>
      <c r="AB1137" s="561"/>
      <c r="AC1137" s="87"/>
      <c r="AD1137" s="466"/>
      <c r="AE1137" s="456"/>
      <c r="AF1137" s="467"/>
      <c r="AG1137" s="87"/>
      <c r="AH1137" s="87"/>
      <c r="AI1137" s="87"/>
    </row>
    <row r="1138" spans="1:35" hidden="1">
      <c r="A1138" s="80" t="e">
        <f>"F"&amp;E1129</f>
        <v>#N/A</v>
      </c>
      <c r="B1138" s="105">
        <v>6</v>
      </c>
      <c r="C1138" s="107"/>
      <c r="D1138" s="107"/>
      <c r="E1138" s="107"/>
      <c r="F1138" s="107"/>
      <c r="G1138" s="83"/>
      <c r="H1138" s="83"/>
      <c r="I1138" s="84"/>
      <c r="J1138" s="85"/>
      <c r="K1138" s="382"/>
      <c r="L1138" s="85"/>
      <c r="M1138" s="332" t="str">
        <f t="shared" si="322"/>
        <v/>
      </c>
      <c r="N1138" s="86"/>
      <c r="O1138" s="453" t="str">
        <f t="shared" si="324"/>
        <v/>
      </c>
      <c r="P1138" s="538" t="str">
        <f t="shared" si="325"/>
        <v/>
      </c>
      <c r="Q1138" s="539" t="str">
        <f t="shared" si="323"/>
        <v/>
      </c>
      <c r="R1138" s="706"/>
      <c r="S1138" s="707"/>
      <c r="T1138" s="708"/>
      <c r="U1138" s="472"/>
      <c r="V1138" s="167"/>
      <c r="W1138" s="446"/>
      <c r="X1138" s="456"/>
      <c r="Y1138" s="436"/>
      <c r="Z1138" s="437"/>
      <c r="AA1138" s="560"/>
      <c r="AB1138" s="561"/>
      <c r="AC1138" s="87"/>
      <c r="AD1138" s="466"/>
      <c r="AE1138" s="456"/>
      <c r="AF1138" s="467"/>
      <c r="AG1138" s="87"/>
      <c r="AH1138" s="87"/>
      <c r="AI1138" s="87"/>
    </row>
    <row r="1139" spans="1:35" hidden="1">
      <c r="A1139" s="80" t="e">
        <f>"G"&amp;E1129</f>
        <v>#N/A</v>
      </c>
      <c r="B1139" s="105">
        <v>7</v>
      </c>
      <c r="C1139" s="107"/>
      <c r="D1139" s="107"/>
      <c r="E1139" s="107"/>
      <c r="F1139" s="107"/>
      <c r="G1139" s="83"/>
      <c r="H1139" s="83"/>
      <c r="I1139" s="84"/>
      <c r="J1139" s="85"/>
      <c r="K1139" s="382"/>
      <c r="L1139" s="85"/>
      <c r="M1139" s="332" t="str">
        <f t="shared" si="322"/>
        <v/>
      </c>
      <c r="N1139" s="86"/>
      <c r="O1139" s="86" t="str">
        <f t="shared" si="324"/>
        <v/>
      </c>
      <c r="P1139" s="538" t="str">
        <f t="shared" si="325"/>
        <v/>
      </c>
      <c r="Q1139" s="539" t="str">
        <f t="shared" si="323"/>
        <v/>
      </c>
      <c r="R1139" s="706"/>
      <c r="S1139" s="707"/>
      <c r="T1139" s="708"/>
      <c r="U1139" s="472"/>
      <c r="V1139" s="167"/>
      <c r="W1139" s="446"/>
      <c r="X1139" s="456"/>
      <c r="Y1139" s="436"/>
      <c r="Z1139" s="437"/>
      <c r="AA1139" s="560"/>
      <c r="AB1139" s="561"/>
      <c r="AC1139" s="87"/>
      <c r="AD1139" s="466"/>
      <c r="AE1139" s="456"/>
      <c r="AF1139" s="467"/>
      <c r="AG1139" s="87"/>
      <c r="AH1139" s="87"/>
      <c r="AI1139" s="87"/>
    </row>
    <row r="1140" spans="1:35" hidden="1">
      <c r="A1140" s="80" t="e">
        <f>"H"&amp;E1129</f>
        <v>#N/A</v>
      </c>
      <c r="B1140" s="105">
        <v>8</v>
      </c>
      <c r="C1140" s="107"/>
      <c r="D1140" s="107"/>
      <c r="E1140" s="107"/>
      <c r="F1140" s="107"/>
      <c r="G1140" s="83"/>
      <c r="H1140" s="83"/>
      <c r="I1140" s="84"/>
      <c r="J1140" s="85"/>
      <c r="K1140" s="382"/>
      <c r="L1140" s="85"/>
      <c r="M1140" s="332" t="str">
        <f t="shared" si="322"/>
        <v/>
      </c>
      <c r="N1140" s="453"/>
      <c r="O1140" s="86" t="str">
        <f t="shared" si="324"/>
        <v/>
      </c>
      <c r="P1140" s="538" t="str">
        <f t="shared" si="325"/>
        <v/>
      </c>
      <c r="Q1140" s="539" t="str">
        <f t="shared" si="323"/>
        <v/>
      </c>
      <c r="R1140" s="706"/>
      <c r="S1140" s="707"/>
      <c r="T1140" s="708"/>
      <c r="U1140" s="472"/>
      <c r="V1140" s="167"/>
      <c r="W1140" s="446"/>
      <c r="X1140" s="456"/>
      <c r="Y1140" s="436"/>
      <c r="Z1140" s="437"/>
      <c r="AA1140" s="560"/>
      <c r="AB1140" s="561"/>
      <c r="AC1140" s="87"/>
      <c r="AD1140" s="466"/>
      <c r="AE1140" s="456"/>
      <c r="AF1140" s="467"/>
      <c r="AG1140" s="87"/>
      <c r="AH1140" s="87"/>
      <c r="AI1140" s="87"/>
    </row>
    <row r="1141" spans="1:35" hidden="1">
      <c r="A1141" s="80" t="e">
        <f>"I"&amp;E1129</f>
        <v>#N/A</v>
      </c>
      <c r="B1141" s="105">
        <v>9</v>
      </c>
      <c r="C1141" s="107"/>
      <c r="D1141" s="107"/>
      <c r="E1141" s="107"/>
      <c r="F1141" s="107"/>
      <c r="G1141" s="83"/>
      <c r="H1141" s="83"/>
      <c r="I1141" s="84"/>
      <c r="J1141" s="85"/>
      <c r="K1141" s="382"/>
      <c r="L1141" s="85"/>
      <c r="M1141" s="332" t="str">
        <f t="shared" si="322"/>
        <v/>
      </c>
      <c r="N1141" s="453"/>
      <c r="O1141" s="86" t="str">
        <f t="shared" si="324"/>
        <v/>
      </c>
      <c r="P1141" s="538" t="str">
        <f t="shared" si="325"/>
        <v/>
      </c>
      <c r="Q1141" s="539" t="str">
        <f t="shared" si="323"/>
        <v/>
      </c>
      <c r="R1141" s="706"/>
      <c r="S1141" s="707"/>
      <c r="T1141" s="708"/>
      <c r="U1141" s="472"/>
      <c r="V1141" s="167"/>
      <c r="W1141" s="446"/>
      <c r="X1141" s="456"/>
      <c r="Y1141" s="436"/>
      <c r="Z1141" s="437"/>
      <c r="AA1141" s="560"/>
      <c r="AB1141" s="561"/>
      <c r="AC1141" s="87"/>
      <c r="AD1141" s="466"/>
      <c r="AE1141" s="456"/>
      <c r="AF1141" s="467"/>
      <c r="AG1141" s="87"/>
      <c r="AH1141" s="87"/>
      <c r="AI1141" s="87"/>
    </row>
    <row r="1142" spans="1:35" hidden="1">
      <c r="A1142" s="80" t="e">
        <f>"J"&amp;E1129</f>
        <v>#N/A</v>
      </c>
      <c r="B1142" s="105">
        <v>10</v>
      </c>
      <c r="C1142" s="107"/>
      <c r="D1142" s="107"/>
      <c r="E1142" s="107"/>
      <c r="F1142" s="107"/>
      <c r="G1142" s="83"/>
      <c r="H1142" s="83"/>
      <c r="I1142" s="84"/>
      <c r="J1142" s="85"/>
      <c r="K1142" s="382"/>
      <c r="L1142" s="85"/>
      <c r="M1142" s="332" t="str">
        <f t="shared" si="322"/>
        <v/>
      </c>
      <c r="N1142" s="453"/>
      <c r="O1142" s="86" t="str">
        <f t="shared" si="324"/>
        <v/>
      </c>
      <c r="P1142" s="538" t="str">
        <f t="shared" si="325"/>
        <v/>
      </c>
      <c r="Q1142" s="539" t="str">
        <f t="shared" si="323"/>
        <v/>
      </c>
      <c r="R1142" s="706"/>
      <c r="S1142" s="707"/>
      <c r="T1142" s="708"/>
      <c r="U1142" s="472"/>
      <c r="V1142" s="167"/>
      <c r="W1142" s="446"/>
      <c r="X1142" s="456"/>
      <c r="Y1142" s="436"/>
      <c r="Z1142" s="437"/>
      <c r="AA1142" s="560"/>
      <c r="AB1142" s="561"/>
      <c r="AC1142" s="87"/>
      <c r="AD1142" s="466"/>
      <c r="AE1142" s="456"/>
      <c r="AF1142" s="467"/>
      <c r="AG1142" s="87"/>
      <c r="AH1142" s="87"/>
      <c r="AI1142" s="87"/>
    </row>
    <row r="1143" spans="1:35" ht="16.5" hidden="1" thickBot="1">
      <c r="A1143" s="44"/>
      <c r="B1143" s="89"/>
      <c r="C1143" s="90"/>
      <c r="D1143" s="90"/>
      <c r="E1143" s="90"/>
      <c r="F1143" s="90"/>
      <c r="G1143" s="90"/>
      <c r="H1143" s="90"/>
      <c r="I1143" s="90"/>
      <c r="J1143" s="90"/>
      <c r="K1143" s="90"/>
      <c r="L1143" s="90"/>
      <c r="M1143" s="90"/>
      <c r="N1143" s="90"/>
      <c r="O1143" s="90"/>
      <c r="P1143" s="90"/>
      <c r="Q1143" s="90"/>
      <c r="R1143" s="90"/>
      <c r="S1143" s="91"/>
      <c r="T1143" s="92"/>
      <c r="U1143" s="473"/>
      <c r="W1143" s="438"/>
      <c r="X1143" s="455"/>
      <c r="Y1143" s="439"/>
      <c r="Z1143" s="437"/>
      <c r="AA1143" s="530"/>
      <c r="AB1143" s="563"/>
      <c r="AC1143" s="87"/>
      <c r="AD1143" s="440"/>
      <c r="AE1143" s="441"/>
      <c r="AF1143" s="442"/>
      <c r="AG1143" s="49"/>
      <c r="AH1143" s="87"/>
      <c r="AI1143" s="87"/>
    </row>
    <row r="1144" spans="1:35" ht="16.5" hidden="1" thickBot="1">
      <c r="A1144" s="93"/>
      <c r="B1144" s="94"/>
      <c r="C1144" s="96"/>
      <c r="D1144" s="96"/>
      <c r="E1144" s="96"/>
      <c r="F1144" s="96"/>
      <c r="G1144" s="96"/>
      <c r="H1144" s="96"/>
      <c r="I1144" s="96"/>
      <c r="J1144" s="96"/>
      <c r="K1144" s="96"/>
      <c r="L1144" s="96"/>
      <c r="M1144" s="136"/>
      <c r="N1144" s="96"/>
      <c r="O1144" s="96"/>
      <c r="P1144" s="97"/>
      <c r="Q1144" s="97"/>
      <c r="R1144" s="98"/>
      <c r="S1144" s="95"/>
      <c r="T1144" s="99"/>
      <c r="U1144" s="469"/>
      <c r="AC1144" s="58"/>
      <c r="AG1144" s="58"/>
      <c r="AH1144" s="87"/>
      <c r="AI1144" s="87"/>
    </row>
    <row r="1145" spans="1:35" ht="16.5" hidden="1" thickBot="1">
      <c r="B1145" s="101"/>
      <c r="C1145" s="101"/>
      <c r="D1145" s="101"/>
      <c r="E1145" s="101"/>
      <c r="F1145" s="101"/>
      <c r="G1145" s="101"/>
      <c r="H1145" s="101"/>
      <c r="I1145" s="101"/>
      <c r="J1145" s="101"/>
      <c r="K1145" s="101"/>
      <c r="L1145" s="101"/>
      <c r="M1145" s="101"/>
      <c r="N1145" s="101"/>
      <c r="O1145" s="101"/>
      <c r="P1145" s="101"/>
      <c r="Q1145" s="101"/>
      <c r="R1145" s="101"/>
      <c r="S1145" s="101"/>
      <c r="U1145" s="50"/>
      <c r="AH1145" s="87"/>
      <c r="AI1145" s="87"/>
    </row>
    <row r="1146" spans="1:35" ht="16.5" hidden="1" customHeight="1" thickBot="1">
      <c r="A1146" s="44"/>
      <c r="B1146" s="705" t="s">
        <v>74</v>
      </c>
      <c r="C1146" s="705"/>
      <c r="D1146" s="705"/>
      <c r="E1146" s="705"/>
      <c r="F1146" s="705"/>
      <c r="G1146" s="705"/>
      <c r="H1146" s="705"/>
      <c r="I1146" s="705"/>
      <c r="J1146" s="705"/>
      <c r="K1146" s="705"/>
      <c r="L1146" s="705"/>
      <c r="M1146" s="705"/>
      <c r="N1146" s="705"/>
      <c r="O1146" s="705"/>
      <c r="P1146" s="705"/>
      <c r="Q1146" s="705"/>
      <c r="R1146" s="705"/>
      <c r="S1146" s="705"/>
      <c r="T1146" s="705"/>
      <c r="U1146" s="108"/>
      <c r="Y1146" s="532" t="s">
        <v>341</v>
      </c>
      <c r="AC1146" s="49"/>
      <c r="AD1146" s="687" t="s">
        <v>302</v>
      </c>
      <c r="AE1146" s="688"/>
      <c r="AF1146" s="689"/>
      <c r="AG1146" s="49"/>
      <c r="AH1146" s="87"/>
      <c r="AI1146" s="87"/>
    </row>
    <row r="1147" spans="1:35" ht="15.75" hidden="1" customHeight="1" thickBot="1">
      <c r="A1147" s="218" t="e">
        <f>"K"&amp;E1129</f>
        <v>#N/A</v>
      </c>
      <c r="B1147" s="701" t="s">
        <v>71</v>
      </c>
      <c r="C1147" s="751" t="s">
        <v>102</v>
      </c>
      <c r="D1147" s="751"/>
      <c r="E1147" s="751"/>
      <c r="F1147" s="751"/>
      <c r="G1147" s="751"/>
      <c r="H1147" s="751"/>
      <c r="I1147" s="751"/>
      <c r="J1147" s="751"/>
      <c r="K1147" s="751"/>
      <c r="L1147" s="722" t="s">
        <v>100</v>
      </c>
      <c r="M1147" s="747" t="s">
        <v>114</v>
      </c>
      <c r="N1147" s="747"/>
      <c r="O1147" s="747"/>
      <c r="P1147" s="747"/>
      <c r="Q1147" s="748"/>
      <c r="R1147" s="758" t="s">
        <v>280</v>
      </c>
      <c r="S1147" s="748"/>
      <c r="T1147" s="762" t="str">
        <f>IF(COUNTIF(AE1147:AF1147,"VERIFICAR")&gt;0,"VERIFICAR",IF(COUNTIF(AE1147:AF1147,"NO CUMPLE")&gt;0,"NO CUMPLE","CUMPLE"))</f>
        <v>VERIFICAR</v>
      </c>
      <c r="U1147" s="108"/>
      <c r="Y1147" s="533" t="e">
        <f>IF(F1148="","",IF(F1148=1,"INDIVIDUAL","ESTRUCTURA PLURAL"))</f>
        <v>#N/A</v>
      </c>
      <c r="AC1147" s="52"/>
      <c r="AD1147" s="475" t="s">
        <v>303</v>
      </c>
      <c r="AE1147" s="476" t="str">
        <f>IF(COUNTIF(AE1133:AE1142,"")=10,"VERIFICAR",IF(COUNTIF(AE1133:AE1142,"SI")&gt;0,"CUMPLE","NO CUMPLE"))</f>
        <v>VERIFICAR</v>
      </c>
      <c r="AF1147" s="477" t="str">
        <f>IF(COUNTIF(AF1133:AF1142,"")=10,"VERIFICAR",IF(COUNTIF(AF1133:AF1142,"SI")&gt;=$AI$22,"CUMPLE","NO CUMPLE"))</f>
        <v>VERIFICAR</v>
      </c>
      <c r="AG1147" s="52"/>
      <c r="AH1147" s="87"/>
      <c r="AI1147" s="87"/>
    </row>
    <row r="1148" spans="1:35" ht="16.5" hidden="1" customHeight="1" thickBot="1">
      <c r="A1148" s="218" t="e">
        <f>"L"&amp;E1129</f>
        <v>#N/A</v>
      </c>
      <c r="B1148" s="702"/>
      <c r="C1148" s="751" t="s">
        <v>103</v>
      </c>
      <c r="D1148" s="751"/>
      <c r="E1148" s="752"/>
      <c r="F1148" s="557" t="e">
        <f>IF(VLOOKUP(E1129,PROPONENTES!$C$19:$E$218,3,0)="","",VLOOKUP(E1129,PROPONENTES!$C$19:$E$218,3,0))</f>
        <v>#N/A</v>
      </c>
      <c r="G1148" s="753" t="s">
        <v>104</v>
      </c>
      <c r="H1148" s="751"/>
      <c r="I1148" s="715" t="e">
        <f>IF(OR(F1148="",F1148=1),"INTERESADO PERSONA NATURAL O JURIDICA","CONSORCIO O UNION TEMPORAL")</f>
        <v>#N/A</v>
      </c>
      <c r="J1148" s="725"/>
      <c r="K1148" s="728"/>
      <c r="L1148" s="723"/>
      <c r="M1148" s="749"/>
      <c r="N1148" s="749"/>
      <c r="O1148" s="749"/>
      <c r="P1148" s="749"/>
      <c r="Q1148" s="750"/>
      <c r="R1148" s="712"/>
      <c r="S1148" s="750"/>
      <c r="T1148" s="763"/>
      <c r="U1148" s="108"/>
      <c r="Y1148" s="534"/>
      <c r="AA1148" s="52"/>
      <c r="AB1148" s="52"/>
      <c r="AC1148" s="52"/>
      <c r="AG1148" s="52"/>
      <c r="AH1148" s="87"/>
      <c r="AI1148" s="87"/>
    </row>
    <row r="1149" spans="1:35" ht="56.25" hidden="1" customHeight="1" thickBot="1">
      <c r="A1149" s="218" t="e">
        <f>"M"&amp;E1129</f>
        <v>#N/A</v>
      </c>
      <c r="B1149" s="702"/>
      <c r="C1149" s="725" t="s">
        <v>101</v>
      </c>
      <c r="D1149" s="716"/>
      <c r="E1149" s="558" t="s">
        <v>105</v>
      </c>
      <c r="F1149" s="554" t="s">
        <v>87</v>
      </c>
      <c r="G1149" s="553" t="s">
        <v>86</v>
      </c>
      <c r="H1149" s="559" t="s">
        <v>85</v>
      </c>
      <c r="I1149" s="554" t="s">
        <v>252</v>
      </c>
      <c r="J1149" s="553" t="str">
        <f>"¿EL INTEGRANTE TIENE UNA PARTICIPACIÓN DEL "&amp;PORCREQUERIDOINT*100&amp;"%?"</f>
        <v>¿EL INTEGRANTE TIENE UNA PARTICIPACIÓN DEL 60%?</v>
      </c>
      <c r="K1149" s="554" t="s">
        <v>107</v>
      </c>
      <c r="L1149" s="724"/>
      <c r="M1149" s="717" t="s">
        <v>115</v>
      </c>
      <c r="N1149" s="718"/>
      <c r="O1149" s="718"/>
      <c r="P1149" s="718"/>
      <c r="Q1149" s="223">
        <f>IF(AND(H1133="SI",P1133&gt;=0),1,0)+IF(AND(H1134="SI",P1134&gt;=0),1,0)+IF(AND(H1135="SI",P1135&gt;=0),1,0)+IF(AND(H1136="SI",P1136&gt;=0),1,0)+IF(AND(H1137="SI",P1137&gt;=0),1,0)+IF(AND(H1138="SI",P1138&gt;=0),1,0)+IF(AND(H1139="SI",P1139&gt;=0),1,0)+IF(AND(H1140="SI",P1140&gt;=0),1,0)+IF(AND(H1141="SI",P1141&gt;=0),1,0)+IF(AND(H1142="SI",P1142&gt;=0),1,0)</f>
        <v>0</v>
      </c>
      <c r="R1149" s="759"/>
      <c r="S1149" s="761"/>
      <c r="T1149" s="764"/>
      <c r="U1149" s="219"/>
      <c r="V1149" s="464"/>
      <c r="Y1149" s="532" t="s">
        <v>342</v>
      </c>
      <c r="AA1149" s="550" t="s">
        <v>344</v>
      </c>
      <c r="AB1149" s="693" t="s">
        <v>345</v>
      </c>
      <c r="AC1149" s="693" t="s">
        <v>346</v>
      </c>
      <c r="AD1149" s="685" t="s">
        <v>347</v>
      </c>
      <c r="AE1149" s="52"/>
      <c r="AF1149" s="52"/>
      <c r="AG1149" s="52"/>
      <c r="AH1149" s="87"/>
      <c r="AI1149" s="87"/>
    </row>
    <row r="1150" spans="1:35" ht="15.75" hidden="1" customHeight="1" thickBot="1">
      <c r="A1150" s="218" t="e">
        <f>"N"&amp;E1129</f>
        <v>#N/A</v>
      </c>
      <c r="B1150" s="702"/>
      <c r="C1150" s="114">
        <v>1</v>
      </c>
      <c r="D1150" s="194" t="e">
        <f>IF(AND(C1150&lt;=F1148,F1148&gt;1,F1148&lt;&gt;""),VLOOKUP(VALUE(E1129&amp;","&amp;C1150),INTEGRANTES!$D$18:$F$235,2,0),"")</f>
        <v>#N/A</v>
      </c>
      <c r="E1150" s="211" t="e">
        <f>IF(D1150&lt;&gt;"",VLOOKUP(VALUE(E1129&amp;","&amp;C1150),INTEGRANTES!$D$18:$F$235,3,0),"")</f>
        <v>#N/A</v>
      </c>
      <c r="F1150" s="547" t="e">
        <f>IF(D1150="","",SUMIF($I1133:$I1142,D1150,$P1133:$P1142))</f>
        <v>#N/A</v>
      </c>
      <c r="G1150" s="333" t="e">
        <f>IF(D1150="","",SUMIF($I1133:$I1142,D1150,$M1133:$M1142))</f>
        <v>#N/A</v>
      </c>
      <c r="H1150" s="535" t="e">
        <f t="shared" ref="H1150:H1155" si="326">IF(D1150="","",IF(OR(F1150=0,G1150=0),"NO APORTA",ROUND($F1150/$G1150,3)))</f>
        <v>#N/A</v>
      </c>
      <c r="I1150" s="212" t="e">
        <f>IF(D1150="","",IF(H1150="NO APORTA","NO",IF(H1150=MAX($H1150:$H1155),"SI","NO")))</f>
        <v>#N/A</v>
      </c>
      <c r="J1150" s="213" t="e">
        <f t="shared" ref="J1150:J1155" si="327">IF(D1150="","",IF(E1150&gt;=PORCREQUERIDOINT,"SI","NO"))</f>
        <v>#N/A</v>
      </c>
      <c r="K1150" s="200" t="e">
        <f t="shared" ref="K1150:K1155" si="328">IF(D1150="","",IF(AND(I1150="SI",J1150="SI"),"CUMPLE",IF(AND(I1150="NO",OR(J1150="SI",J1150="NO")),"","NO CUMPLE")))</f>
        <v>#N/A</v>
      </c>
      <c r="L1150" s="722" t="s">
        <v>108</v>
      </c>
      <c r="M1150" s="726" t="s">
        <v>119</v>
      </c>
      <c r="N1150" s="726"/>
      <c r="O1150" s="726"/>
      <c r="P1150" s="726"/>
      <c r="Q1150" s="727"/>
      <c r="R1150" s="758" t="s">
        <v>80</v>
      </c>
      <c r="S1150" s="747"/>
      <c r="T1150" s="748"/>
      <c r="U1150" s="219"/>
      <c r="V1150" s="464"/>
      <c r="Y1150" s="533" t="e">
        <f>IF(Y1147="","",IF(Y1147="INDIVIDUAL","NO APLICA","VERIFICAR CUADRO"))</f>
        <v>#N/A</v>
      </c>
      <c r="AA1150" s="551"/>
      <c r="AB1150" s="694"/>
      <c r="AC1150" s="694"/>
      <c r="AD1150" s="686"/>
      <c r="AE1150" s="52"/>
      <c r="AF1150" s="52"/>
      <c r="AG1150" s="52"/>
      <c r="AH1150" s="87"/>
      <c r="AI1150" s="87"/>
    </row>
    <row r="1151" spans="1:35" ht="27" hidden="1" customHeight="1" thickBot="1">
      <c r="A1151" s="218" t="e">
        <f>"O"&amp;E1129</f>
        <v>#N/A</v>
      </c>
      <c r="B1151" s="702"/>
      <c r="C1151" s="114">
        <v>2</v>
      </c>
      <c r="D1151" s="194" t="e">
        <f>IF(AND(C1151&lt;=F1148,F1148&lt;&gt;""),VLOOKUP(VALUE(E1129&amp;","&amp;C1151),INTEGRANTES!$D$18:$F$235,2,0),"")</f>
        <v>#N/A</v>
      </c>
      <c r="E1151" s="211" t="e">
        <f>IF(D1151&lt;&gt;"",VLOOKUP(VALUE(E1129&amp;","&amp;C1151),INTEGRANTES!$D$18:$F$235,3,0),"")</f>
        <v>#N/A</v>
      </c>
      <c r="F1151" s="547" t="e">
        <f>IF(D1151="","",SUMIF($I1133:$I1142,D1151,$P1133:$P1142))</f>
        <v>#N/A</v>
      </c>
      <c r="G1151" s="333" t="e">
        <f>IF(D1151="","",SUMIF($I1133:$I1142,D1151,$M1133:$M1142))</f>
        <v>#N/A</v>
      </c>
      <c r="H1151" s="535" t="e">
        <f t="shared" si="326"/>
        <v>#N/A</v>
      </c>
      <c r="I1151" s="212" t="e">
        <f>IF(D1151="","",IF(H1151="NO APORTA","NO",IF(H1151=MAX($H1150:$H1155),"SI","NO")))</f>
        <v>#N/A</v>
      </c>
      <c r="J1151" s="213" t="e">
        <f t="shared" si="327"/>
        <v>#N/A</v>
      </c>
      <c r="K1151" s="200" t="e">
        <f t="shared" si="328"/>
        <v>#N/A</v>
      </c>
      <c r="L1151" s="723"/>
      <c r="M1151" s="715" t="s">
        <v>116</v>
      </c>
      <c r="N1151" s="716"/>
      <c r="O1151" s="556" t="s">
        <v>113</v>
      </c>
      <c r="P1151" s="715" t="s">
        <v>117</v>
      </c>
      <c r="Q1151" s="728"/>
      <c r="R1151" s="759"/>
      <c r="S1151" s="760"/>
      <c r="T1151" s="761"/>
      <c r="U1151" s="219"/>
      <c r="V1151" s="464"/>
      <c r="Y1151" s="414"/>
      <c r="AA1151" s="542" t="e">
        <f>IF(AND(C1150&lt;=F1148,F1148&gt;1,F1148&lt;&gt;""),VLOOKUP(VALUE(E1129&amp;","&amp;C1150),INTEGRANTES!$D$18:$F$235,2,0),"")</f>
        <v>#N/A</v>
      </c>
      <c r="AB1151" s="544" t="e">
        <f t="shared" ref="AB1151:AB1156" si="329">IF(D1150="","",IF(OR(F1150=0,G1150=0),"NO APORTA",ROUND($F1150/$G1150,3)))</f>
        <v>#N/A</v>
      </c>
      <c r="AC1151" s="529"/>
      <c r="AD1151" s="200" t="e">
        <f t="shared" ref="AD1151:AD1156" si="330">IF(OR(AA1151="",AB1151=""),"",IF(AND(AC1151="X",AB1151&gt;=EXPREQVTD),"CUMPLE","NO CUMPLE"))</f>
        <v>#N/A</v>
      </c>
      <c r="AE1151" s="52"/>
      <c r="AF1151" s="52"/>
      <c r="AG1151" s="52"/>
      <c r="AH1151" s="87"/>
      <c r="AI1151" s="87"/>
    </row>
    <row r="1152" spans="1:35" ht="16.5" hidden="1" thickBot="1">
      <c r="A1152" s="218" t="e">
        <f>"P"&amp;E1129</f>
        <v>#N/A</v>
      </c>
      <c r="B1152" s="702"/>
      <c r="C1152" s="114">
        <v>3</v>
      </c>
      <c r="D1152" s="194" t="e">
        <f>IF(AND(C1152&lt;=F1148,F1148&lt;&gt;""),VLOOKUP(VALUE(E1129&amp;","&amp;C1152),INTEGRANTES!$D$18:$F$235,2,0),"")</f>
        <v>#N/A</v>
      </c>
      <c r="E1152" s="211" t="e">
        <f>IF(D1152&lt;&gt;"",VLOOKUP(VALUE(E1129&amp;","&amp;C1152),INTEGRANTES!$D$18:$F$235,3,0),"")</f>
        <v>#N/A</v>
      </c>
      <c r="F1152" s="547" t="e">
        <f>IF(D1152="","",SUMIF($I1133:$I1142,D1152,$P1133:$P1142))</f>
        <v>#N/A</v>
      </c>
      <c r="G1152" s="333" t="e">
        <f>IF(D1152="","",SUMIF($I1133:$I1142,D1152,$M1133:$M1142))</f>
        <v>#N/A</v>
      </c>
      <c r="H1152" s="535" t="e">
        <f t="shared" si="326"/>
        <v>#N/A</v>
      </c>
      <c r="I1152" s="212" t="e">
        <f>IF(D1152="","",IF(H1152="NO APORTA","NO",IF(H1152=MAX($H1150:$H1155),"SI","NO")))</f>
        <v>#N/A</v>
      </c>
      <c r="J1152" s="213" t="e">
        <f t="shared" si="327"/>
        <v>#N/A</v>
      </c>
      <c r="K1152" s="200" t="e">
        <f t="shared" si="328"/>
        <v>#N/A</v>
      </c>
      <c r="L1152" s="724"/>
      <c r="M1152" s="729">
        <f>NUMMOD</f>
        <v>1</v>
      </c>
      <c r="N1152" s="730"/>
      <c r="O1152" s="443">
        <f>IF(M1152="","",VLOOKUP(M1152,PRESUPUESTOS!$B$16:$H$16,5,FALSE))</f>
        <v>2</v>
      </c>
      <c r="P1152" s="713">
        <f>IF(OR(COUNTIF(M1133:M1142,"")&gt;=10,Q1149&lt;NUMMINCONT,OR(T1147="NO CUMPLE",T1147="VERIFICAR")),0,ROUND(AVERAGE(M1133:M1142),3))</f>
        <v>0</v>
      </c>
      <c r="Q1152" s="714"/>
      <c r="R1152" s="458"/>
      <c r="S1152" s="459"/>
      <c r="T1152" s="460"/>
      <c r="U1152" s="219"/>
      <c r="V1152" s="464"/>
      <c r="Y1152" s="532" t="str">
        <f>"40% * ("&amp;PRESUPUESTOS!$H$13&amp;")"</f>
        <v>40% * (50% PFMO)</v>
      </c>
      <c r="AA1152" s="540" t="e">
        <f>IF(AND(C1151&lt;=F1148,F1148&lt;&gt;""),VLOOKUP(VALUE(E1129&amp;","&amp;C1151),INTEGRANTES!$D$18:$F$235,2,0),"")</f>
        <v>#N/A</v>
      </c>
      <c r="AB1152" s="545" t="e">
        <f t="shared" si="329"/>
        <v>#N/A</v>
      </c>
      <c r="AC1152" s="529"/>
      <c r="AD1152" s="200" t="e">
        <f t="shared" si="330"/>
        <v>#N/A</v>
      </c>
      <c r="AE1152" s="52"/>
      <c r="AF1152" s="52"/>
      <c r="AG1152" s="52"/>
      <c r="AH1152" s="87"/>
      <c r="AI1152" s="87"/>
    </row>
    <row r="1153" spans="1:35" ht="15.75" hidden="1" customHeight="1" thickBot="1">
      <c r="A1153" s="218" t="e">
        <f>"Q"&amp;E1129</f>
        <v>#N/A</v>
      </c>
      <c r="B1153" s="702"/>
      <c r="C1153" s="114">
        <v>4</v>
      </c>
      <c r="D1153" s="194" t="e">
        <f>IF(AND(C1153&lt;=F1148,F1148&lt;&gt;""),VLOOKUP(VALUE(E1129&amp;","&amp;C1153),INTEGRANTES!$D$18:$F$235,2,0),"")</f>
        <v>#N/A</v>
      </c>
      <c r="E1153" s="211" t="e">
        <f>IF(D1153&lt;&gt;"",VLOOKUP(VALUE(E1129&amp;","&amp;C1153),INTEGRANTES!$D$18:$F$235,3,0),"")</f>
        <v>#N/A</v>
      </c>
      <c r="F1153" s="547" t="e">
        <f>IF(D1153="","",SUMIF($I1133:$I1142,D1153,$P1133:$P1142))</f>
        <v>#N/A</v>
      </c>
      <c r="G1153" s="333" t="e">
        <f>IF(D1153="","",SUMIF($I1133:$I1142,D1153,$M1133:$M1142))</f>
        <v>#N/A</v>
      </c>
      <c r="H1153" s="535" t="e">
        <f t="shared" si="326"/>
        <v>#N/A</v>
      </c>
      <c r="I1153" s="212" t="e">
        <f>IF(D1153="","",IF(H1153="NO APORTA","NO",IF(H1153=MAX($H1150:$H1155),"SI","NO")))</f>
        <v>#N/A</v>
      </c>
      <c r="J1153" s="213" t="e">
        <f t="shared" si="327"/>
        <v>#N/A</v>
      </c>
      <c r="K1153" s="200" t="e">
        <f t="shared" si="328"/>
        <v>#N/A</v>
      </c>
      <c r="L1153" s="720" t="s">
        <v>109</v>
      </c>
      <c r="M1153" s="757" t="s">
        <v>120</v>
      </c>
      <c r="N1153" s="726"/>
      <c r="O1153" s="726"/>
      <c r="P1153" s="726"/>
      <c r="Q1153" s="727"/>
      <c r="R1153" s="458"/>
      <c r="S1153" s="459"/>
      <c r="T1153" s="460"/>
      <c r="U1153" s="219"/>
      <c r="V1153" s="464"/>
      <c r="Y1153" s="537">
        <f>0.4*PRESUPUESTOS!$H$16</f>
        <v>10.3124</v>
      </c>
      <c r="AA1153" s="540" t="e">
        <f>IF(AND(C1152&lt;=F1148,F1148&lt;&gt;""),VLOOKUP(VALUE(E1129&amp;","&amp;C1152),INTEGRANTES!$D$18:$F$235,2,0),"")</f>
        <v>#N/A</v>
      </c>
      <c r="AB1153" s="545" t="e">
        <f t="shared" si="329"/>
        <v>#N/A</v>
      </c>
      <c r="AC1153" s="529"/>
      <c r="AD1153" s="200" t="e">
        <f t="shared" si="330"/>
        <v>#N/A</v>
      </c>
      <c r="AE1153" s="52"/>
      <c r="AF1153" s="52"/>
      <c r="AG1153" s="52"/>
      <c r="AH1153" s="87"/>
      <c r="AI1153" s="87"/>
    </row>
    <row r="1154" spans="1:35" ht="27" hidden="1" customHeight="1" thickBot="1">
      <c r="A1154" s="218" t="e">
        <f>"R"&amp;E1129</f>
        <v>#N/A</v>
      </c>
      <c r="B1154" s="702"/>
      <c r="C1154" s="114">
        <v>5</v>
      </c>
      <c r="D1154" s="194" t="e">
        <f>IF(AND(C1154&lt;=F1148,F1148&lt;&gt;""),VLOOKUP(VALUE(E1129&amp;","&amp;C1154),INTEGRANTES!$D$18:$F$235,2,0),"")</f>
        <v>#N/A</v>
      </c>
      <c r="E1154" s="211" t="e">
        <f>IF(D1154&lt;&gt;"",VLOOKUP(VALUE(E1129&amp;","&amp;C1154),INTEGRANTES!$D$18:$F$235,3,0),"")</f>
        <v>#N/A</v>
      </c>
      <c r="F1154" s="547" t="e">
        <f>IF(D1154="","",SUMIF($I1133:$I1142,D1154,$P1133:$P1142))</f>
        <v>#N/A</v>
      </c>
      <c r="G1154" s="333" t="e">
        <f>IF(D1154="","",SUMIF($I1133:$I1142,D1154,$M1133:$M1142))</f>
        <v>#N/A</v>
      </c>
      <c r="H1154" s="535" t="e">
        <f t="shared" si="326"/>
        <v>#N/A</v>
      </c>
      <c r="I1154" s="212" t="e">
        <f>IF(D1154="","",IF(H1154="NO APORTA","NO",IF(H1154=MAX($H1150:$H1155),"SI","NO")))</f>
        <v>#N/A</v>
      </c>
      <c r="J1154" s="213" t="e">
        <f t="shared" si="327"/>
        <v>#N/A</v>
      </c>
      <c r="K1154" s="200" t="e">
        <f t="shared" si="328"/>
        <v>#N/A</v>
      </c>
      <c r="L1154" s="721"/>
      <c r="M1154" s="715" t="s">
        <v>116</v>
      </c>
      <c r="N1154" s="716"/>
      <c r="O1154" s="556" t="str">
        <f>PORCREQUERIDO*100&amp;"% PMFO DEL MÓDULO"</f>
        <v>50% PMFO DEL MÓDULO</v>
      </c>
      <c r="P1154" s="715" t="s">
        <v>118</v>
      </c>
      <c r="Q1154" s="728"/>
      <c r="R1154" s="458"/>
      <c r="S1154" s="459"/>
      <c r="T1154" s="460"/>
      <c r="U1154" s="219"/>
      <c r="V1154" s="464"/>
      <c r="Y1154" s="414"/>
      <c r="AA1154" s="540" t="e">
        <f>IF(AND(C1153&lt;=F1148,F1148&lt;&gt;""),VLOOKUP(VALUE(E1129&amp;","&amp;C1153),INTEGRANTES!$D$18:$F$235,2,0),"")</f>
        <v>#N/A</v>
      </c>
      <c r="AB1154" s="545" t="e">
        <f t="shared" si="329"/>
        <v>#N/A</v>
      </c>
      <c r="AC1154" s="529"/>
      <c r="AD1154" s="200" t="e">
        <f t="shared" si="330"/>
        <v>#N/A</v>
      </c>
      <c r="AE1154" s="52"/>
      <c r="AF1154" s="52"/>
      <c r="AG1154" s="52"/>
      <c r="AH1154" s="87"/>
      <c r="AI1154" s="87"/>
    </row>
    <row r="1155" spans="1:35" ht="16.5" hidden="1" thickBot="1">
      <c r="A1155" s="218" t="e">
        <f>"S"&amp;E1129</f>
        <v>#N/A</v>
      </c>
      <c r="B1155" s="702"/>
      <c r="C1155" s="215">
        <v>6</v>
      </c>
      <c r="D1155" s="216" t="e">
        <f>IF(AND(C1155&lt;=F1148,F1148&lt;&gt;""),VLOOKUP(VALUE(E1129&amp;","&amp;C1155),INTEGRANTES!$D$18:$F$235,2,0),"")</f>
        <v>#N/A</v>
      </c>
      <c r="E1155" s="217" t="e">
        <f>IF(D1155&lt;&gt;"",VLOOKUP(VALUE(E1129&amp;","&amp;C1155),INTEGRANTES!$D$18:$F$235,3,0),"")</f>
        <v>#N/A</v>
      </c>
      <c r="F1155" s="548" t="e">
        <f>IF(D1155="","",SUMIF($I1133:$I1142,D1155,$P1133:$P1142))</f>
        <v>#N/A</v>
      </c>
      <c r="G1155" s="334" t="e">
        <f>IF(D1155="","",SUMIF($I1133:$I1142,D1155,$M1133:$M1142))</f>
        <v>#N/A</v>
      </c>
      <c r="H1155" s="536" t="e">
        <f t="shared" si="326"/>
        <v>#N/A</v>
      </c>
      <c r="I1155" s="214" t="e">
        <f>IF(D1155="","",IF(H1155="NO APORTA","NO",IF(H1155=MAX($H1150:$H1155),"SI","NO")))</f>
        <v>#N/A</v>
      </c>
      <c r="J1155" s="213" t="e">
        <f t="shared" si="327"/>
        <v>#N/A</v>
      </c>
      <c r="K1155" s="200" t="e">
        <f t="shared" si="328"/>
        <v>#N/A</v>
      </c>
      <c r="L1155" s="721"/>
      <c r="M1155" s="729">
        <f>NUMMOD</f>
        <v>1</v>
      </c>
      <c r="N1155" s="730"/>
      <c r="O1155" s="443">
        <f>IF(M1155="","",ROUND(VLOOKUP(M1155,PRESUPUESTOS!$B$16:$H$16,7,FALSE),3))</f>
        <v>25.780999999999999</v>
      </c>
      <c r="P1155" s="713">
        <f>IF(OR(COUNTIF(P1133:P1142,"")&gt;=10,Q1149&lt;NUMMINCONT,OR(T1147="NO CUMPLE",T1147="VERIFICAR")),0,ROUND((SUM(P1133:P1142)/SUM(M1133:M1142)),3))</f>
        <v>0</v>
      </c>
      <c r="Q1155" s="714"/>
      <c r="R1155" s="458"/>
      <c r="S1155" s="459"/>
      <c r="T1155" s="460"/>
      <c r="U1155" s="219"/>
      <c r="V1155" s="464"/>
      <c r="Y1155" s="532" t="s">
        <v>343</v>
      </c>
      <c r="AA1155" s="540" t="e">
        <f>IF(AND(C1154&lt;=F1148,F1148&lt;&gt;""),VLOOKUP(VALUE(E1129&amp;","&amp;C1154),INTEGRANTES!$D$18:$F$235,2,0),"")</f>
        <v>#N/A</v>
      </c>
      <c r="AB1155" s="545" t="e">
        <f t="shared" si="329"/>
        <v>#N/A</v>
      </c>
      <c r="AC1155" s="529"/>
      <c r="AD1155" s="200" t="e">
        <f t="shared" si="330"/>
        <v>#N/A</v>
      </c>
      <c r="AE1155" s="52"/>
      <c r="AF1155" s="52"/>
      <c r="AG1155" s="52"/>
      <c r="AH1155" s="87"/>
      <c r="AI1155" s="87"/>
    </row>
    <row r="1156" spans="1:35" ht="16.5" hidden="1" customHeight="1" thickBot="1">
      <c r="A1156" s="218" t="e">
        <f>"T"&amp;E1129</f>
        <v>#N/A</v>
      </c>
      <c r="B1156" s="703"/>
      <c r="C1156" s="719"/>
      <c r="D1156" s="719"/>
      <c r="E1156" s="719"/>
      <c r="F1156" s="719"/>
      <c r="G1156" s="719"/>
      <c r="H1156" s="719" t="s">
        <v>110</v>
      </c>
      <c r="I1156" s="719"/>
      <c r="J1156" s="719"/>
      <c r="K1156" s="201" t="str">
        <f>IF(COUNTIF(K1150:K1155,"")=6,"",IF(COUNTIF(K1150:K1155,"CUMPLE")&gt;0,"CUMPLE","NO CUMPLE"))</f>
        <v>NO CUMPLE</v>
      </c>
      <c r="L1156" s="754"/>
      <c r="M1156" s="755"/>
      <c r="N1156" s="755"/>
      <c r="O1156" s="755"/>
      <c r="P1156" s="755"/>
      <c r="Q1156" s="756"/>
      <c r="R1156" s="461"/>
      <c r="S1156" s="462"/>
      <c r="T1156" s="463"/>
      <c r="U1156" s="219"/>
      <c r="V1156" s="464"/>
      <c r="Y1156" s="549" t="e">
        <f>IF(Y1150="NO APLICA","NO APLICA",IF(COUNTIF(AD1151:AD1156,"CUMPLE")&gt;0,"CUMPLE","NO CUMPLE"))</f>
        <v>#N/A</v>
      </c>
      <c r="AA1156" s="541" t="e">
        <f>IF(AND(C1155&lt;=F1148,F1148&lt;&gt;""),VLOOKUP(VALUE(E1129&amp;","&amp;C1155),INTEGRANTES!$D$18:$F$235,2,0),"")</f>
        <v>#N/A</v>
      </c>
      <c r="AB1156" s="546" t="e">
        <f t="shared" si="329"/>
        <v>#N/A</v>
      </c>
      <c r="AC1156" s="543"/>
      <c r="AD1156" s="201" t="e">
        <f t="shared" si="330"/>
        <v>#N/A</v>
      </c>
      <c r="AE1156" s="52"/>
      <c r="AF1156" s="52"/>
      <c r="AG1156" s="52"/>
      <c r="AH1156" s="87"/>
      <c r="AI1156" s="87"/>
    </row>
    <row r="1157" spans="1:35" hidden="1">
      <c r="AH1157" s="87"/>
      <c r="AI1157" s="87"/>
    </row>
    <row r="1158" spans="1:35" hidden="1">
      <c r="AH1158" s="87"/>
      <c r="AI1158" s="87"/>
    </row>
    <row r="1159" spans="1:35" ht="24" hidden="1" thickBot="1">
      <c r="A1159" s="61">
        <v>39</v>
      </c>
      <c r="B1159" s="704" t="s">
        <v>51</v>
      </c>
      <c r="C1159" s="704"/>
      <c r="D1159" s="704"/>
      <c r="E1159" s="62" t="e">
        <f>VLOOKUP(A1159,PROPONENTES!$B$19:$E$218,2,FALSE)</f>
        <v>#N/A</v>
      </c>
      <c r="F1159" s="63" t="e">
        <f>VLOOKUP(A1159,PROPONENTES!$B$19:$E$218,3,FALSE)</f>
        <v>#N/A</v>
      </c>
      <c r="G1159" s="64"/>
      <c r="H1159" s="64"/>
      <c r="I1159" s="63"/>
      <c r="J1159" s="63"/>
      <c r="K1159" s="65"/>
      <c r="L1159" s="65"/>
      <c r="M1159" s="64"/>
      <c r="N1159" s="64"/>
      <c r="O1159" s="66"/>
      <c r="P1159" s="66"/>
      <c r="Q1159" s="66"/>
      <c r="R1159" s="66"/>
      <c r="S1159" s="67"/>
      <c r="T1159" s="68"/>
      <c r="U1159" s="68"/>
      <c r="AC1159" s="68"/>
      <c r="AD1159" s="68"/>
      <c r="AE1159" s="68"/>
      <c r="AF1159" s="68"/>
      <c r="AG1159" s="68"/>
      <c r="AH1159" s="87"/>
      <c r="AI1159" s="87"/>
    </row>
    <row r="1160" spans="1:35" ht="15.75" hidden="1" customHeight="1">
      <c r="A1160" s="44"/>
      <c r="B1160" s="709" t="s">
        <v>59</v>
      </c>
      <c r="C1160" s="552" t="s">
        <v>60</v>
      </c>
      <c r="D1160" s="70" t="s">
        <v>17</v>
      </c>
      <c r="E1160" s="70"/>
      <c r="F1160" s="70" t="s">
        <v>61</v>
      </c>
      <c r="G1160" s="71"/>
      <c r="H1160" s="699" t="s">
        <v>62</v>
      </c>
      <c r="I1160" s="699" t="s">
        <v>18</v>
      </c>
      <c r="J1160" s="699" t="s">
        <v>63</v>
      </c>
      <c r="K1160" s="699" t="s">
        <v>64</v>
      </c>
      <c r="L1160" s="699" t="s">
        <v>65</v>
      </c>
      <c r="M1160" s="743" t="s">
        <v>66</v>
      </c>
      <c r="N1160" s="699" t="s">
        <v>282</v>
      </c>
      <c r="O1160" s="745" t="s">
        <v>67</v>
      </c>
      <c r="P1160" s="746"/>
      <c r="Q1160" s="102" t="s">
        <v>75</v>
      </c>
      <c r="R1160" s="731" t="s">
        <v>22</v>
      </c>
      <c r="S1160" s="732"/>
      <c r="T1160" s="733"/>
      <c r="U1160" s="712" t="s">
        <v>298</v>
      </c>
      <c r="W1160" s="690" t="s">
        <v>268</v>
      </c>
      <c r="X1160" s="691"/>
      <c r="Y1160" s="692"/>
      <c r="Z1160" s="428"/>
      <c r="AA1160" s="697" t="s">
        <v>315</v>
      </c>
      <c r="AB1160" s="695" t="s">
        <v>322</v>
      </c>
      <c r="AC1160" s="49"/>
      <c r="AD1160" s="690" t="s">
        <v>297</v>
      </c>
      <c r="AE1160" s="691"/>
      <c r="AF1160" s="692"/>
      <c r="AG1160" s="49"/>
      <c r="AH1160" s="87"/>
      <c r="AI1160" s="87"/>
    </row>
    <row r="1161" spans="1:35" ht="72" hidden="1">
      <c r="A1161" s="44"/>
      <c r="B1161" s="710"/>
      <c r="C1161" s="553" t="s">
        <v>68</v>
      </c>
      <c r="D1161" s="73" t="s">
        <v>3</v>
      </c>
      <c r="E1161" s="73" t="s">
        <v>19</v>
      </c>
      <c r="F1161" s="73" t="s">
        <v>69</v>
      </c>
      <c r="G1161" s="74" t="s">
        <v>70</v>
      </c>
      <c r="H1161" s="700"/>
      <c r="I1161" s="700"/>
      <c r="J1161" s="700"/>
      <c r="K1161" s="700"/>
      <c r="L1161" s="700"/>
      <c r="M1161" s="744"/>
      <c r="N1161" s="700"/>
      <c r="O1161" s="553" t="s">
        <v>279</v>
      </c>
      <c r="P1161" s="73" t="s">
        <v>88</v>
      </c>
      <c r="Q1161" s="555" t="s">
        <v>76</v>
      </c>
      <c r="R1161" s="734"/>
      <c r="S1161" s="735"/>
      <c r="T1161" s="736"/>
      <c r="U1161" s="712"/>
      <c r="W1161" s="429" t="s">
        <v>269</v>
      </c>
      <c r="X1161" s="457" t="s">
        <v>278</v>
      </c>
      <c r="Y1161" s="430" t="s">
        <v>324</v>
      </c>
      <c r="Z1161" s="428"/>
      <c r="AA1161" s="698"/>
      <c r="AB1161" s="696"/>
      <c r="AC1161" s="49"/>
      <c r="AD1161" s="429" t="s">
        <v>292</v>
      </c>
      <c r="AE1161" s="431" t="s">
        <v>300</v>
      </c>
      <c r="AF1161" s="468" t="s">
        <v>301</v>
      </c>
      <c r="AG1161" s="49"/>
      <c r="AH1161" s="87"/>
      <c r="AI1161" s="87"/>
    </row>
    <row r="1162" spans="1:35" hidden="1">
      <c r="A1162" s="44"/>
      <c r="B1162" s="76"/>
      <c r="C1162" s="77"/>
      <c r="D1162" s="77"/>
      <c r="E1162" s="77"/>
      <c r="F1162" s="77"/>
      <c r="G1162" s="77"/>
      <c r="H1162" s="77"/>
      <c r="I1162" s="77"/>
      <c r="J1162" s="77"/>
      <c r="K1162" s="77"/>
      <c r="L1162" s="77"/>
      <c r="M1162" s="77"/>
      <c r="N1162" s="77"/>
      <c r="O1162" s="77"/>
      <c r="P1162" s="77"/>
      <c r="Q1162" s="77"/>
      <c r="R1162" s="77"/>
      <c r="S1162" s="78"/>
      <c r="T1162" s="79"/>
      <c r="U1162" s="109"/>
      <c r="V1162" s="49"/>
      <c r="W1162" s="432"/>
      <c r="X1162" s="454"/>
      <c r="Y1162" s="433"/>
      <c r="Z1162" s="6"/>
      <c r="AA1162" s="500"/>
      <c r="AB1162" s="562"/>
      <c r="AC1162" s="49"/>
      <c r="AD1162" s="210"/>
      <c r="AE1162" s="434"/>
      <c r="AF1162" s="435"/>
      <c r="AG1162" s="49"/>
      <c r="AH1162" s="87"/>
      <c r="AI1162" s="87"/>
    </row>
    <row r="1163" spans="1:35" hidden="1">
      <c r="A1163" s="80" t="e">
        <f>"A"&amp;E1159</f>
        <v>#N/A</v>
      </c>
      <c r="B1163" s="81">
        <v>1</v>
      </c>
      <c r="C1163" s="82"/>
      <c r="D1163" s="82"/>
      <c r="E1163" s="82"/>
      <c r="F1163" s="82"/>
      <c r="G1163" s="83"/>
      <c r="H1163" s="83"/>
      <c r="I1163" s="84"/>
      <c r="J1163" s="85"/>
      <c r="K1163" s="382"/>
      <c r="L1163" s="85"/>
      <c r="M1163" s="332" t="str">
        <f t="shared" ref="M1163:M1172" si="331">IF(OR(J1163="",L1163="",H1163="NO"),"",IF(OR(J1163&gt;$P$17,J1163&lt;$O$17,L1163&gt;$P$17,AND(J1163&lt;$O$17,L1163&lt;$O$17)),"FUERA DE RANGO",IF(OR(K1163="---",K1163=""),IF(J1163&gt;=$O$17,ROUND((L1163-J1163+1)/360*12,3),ROUND((L1163-$O$17+1)/360*12,3)),IF(J1163&gt;=$O$17,ROUND((L1163-J1163+1)/360*12-ROUND(K1163,3),3),ROUND((L1163-$O$17+1)/360*12-ROUND(K1163,3),3)))))</f>
        <v/>
      </c>
      <c r="N1163" s="86"/>
      <c r="O1163" s="453" t="str">
        <f>IF(OR(G1163="",N1163=""),"",N1163*G1163)</f>
        <v/>
      </c>
      <c r="P1163" s="538" t="str">
        <f>IF(OR(H1163="",M1163="FUERA DE RANGO"),"",IF(OR(L1163&lt;$O$17,L1163&gt;$P$17,L1163="",H1163="NO"),"",IF(OR(N1163="",O1163=""),"",ROUND(O1163,3))))</f>
        <v/>
      </c>
      <c r="Q1163" s="539" t="str">
        <f t="shared" ref="Q1163:Q1172" si="332">IF(AND(H1163="SI",P1163&lt;&gt;""),ROUND(P1163/M1163,3),"")</f>
        <v/>
      </c>
      <c r="R1163" s="737"/>
      <c r="S1163" s="738"/>
      <c r="T1163" s="739"/>
      <c r="U1163" s="470"/>
      <c r="V1163" s="165"/>
      <c r="W1163" s="446"/>
      <c r="X1163" s="456"/>
      <c r="Y1163" s="436"/>
      <c r="Z1163" s="437"/>
      <c r="AA1163" s="560"/>
      <c r="AB1163" s="561"/>
      <c r="AC1163" s="87"/>
      <c r="AD1163" s="466"/>
      <c r="AE1163" s="456"/>
      <c r="AF1163" s="467"/>
      <c r="AG1163" s="87"/>
      <c r="AH1163" s="87"/>
      <c r="AI1163" s="87"/>
    </row>
    <row r="1164" spans="1:35" hidden="1">
      <c r="A1164" s="80" t="e">
        <f>"B"&amp;E1159</f>
        <v>#N/A</v>
      </c>
      <c r="B1164" s="81">
        <v>2</v>
      </c>
      <c r="C1164" s="106"/>
      <c r="D1164" s="106"/>
      <c r="E1164" s="106"/>
      <c r="F1164" s="106"/>
      <c r="G1164" s="83"/>
      <c r="H1164" s="83"/>
      <c r="I1164" s="84"/>
      <c r="J1164" s="85"/>
      <c r="K1164" s="382"/>
      <c r="L1164" s="85"/>
      <c r="M1164" s="332" t="str">
        <f t="shared" si="331"/>
        <v/>
      </c>
      <c r="N1164" s="86"/>
      <c r="O1164" s="453" t="str">
        <f t="shared" ref="O1164:O1172" si="333">IF(OR(G1164="",N1164=""),"",N1164*G1164)</f>
        <v/>
      </c>
      <c r="P1164" s="538" t="str">
        <f t="shared" ref="P1164:P1172" si="334">IF(OR(H1164="",M1164="FUERA DE RANGO"),"",IF(OR(L1164&lt;$O$17,L1164&gt;$P$17,L1164="",H1164="NO"),"",IF(OR(N1164="",O1164=""),"",ROUND(O1164,3))))</f>
        <v/>
      </c>
      <c r="Q1164" s="539" t="str">
        <f t="shared" si="332"/>
        <v/>
      </c>
      <c r="R1164" s="740"/>
      <c r="S1164" s="741"/>
      <c r="T1164" s="742"/>
      <c r="U1164" s="471"/>
      <c r="V1164" s="165"/>
      <c r="W1164" s="446"/>
      <c r="X1164" s="456"/>
      <c r="Y1164" s="436"/>
      <c r="Z1164" s="437"/>
      <c r="AA1164" s="560"/>
      <c r="AB1164" s="561"/>
      <c r="AC1164" s="87"/>
      <c r="AD1164" s="466"/>
      <c r="AE1164" s="456"/>
      <c r="AF1164" s="467"/>
      <c r="AG1164" s="87"/>
      <c r="AH1164" s="87"/>
      <c r="AI1164" s="87"/>
    </row>
    <row r="1165" spans="1:35" hidden="1">
      <c r="A1165" s="80" t="e">
        <f>"C"&amp;E1159</f>
        <v>#N/A</v>
      </c>
      <c r="B1165" s="88">
        <v>3</v>
      </c>
      <c r="C1165" s="82"/>
      <c r="D1165" s="82"/>
      <c r="E1165" s="82"/>
      <c r="F1165" s="82"/>
      <c r="G1165" s="83"/>
      <c r="H1165" s="83"/>
      <c r="I1165" s="84"/>
      <c r="J1165" s="85"/>
      <c r="K1165" s="382"/>
      <c r="L1165" s="85"/>
      <c r="M1165" s="332" t="str">
        <f t="shared" si="331"/>
        <v/>
      </c>
      <c r="N1165" s="86"/>
      <c r="O1165" s="453" t="str">
        <f t="shared" si="333"/>
        <v/>
      </c>
      <c r="P1165" s="538" t="str">
        <f t="shared" si="334"/>
        <v/>
      </c>
      <c r="Q1165" s="539" t="str">
        <f t="shared" si="332"/>
        <v/>
      </c>
      <c r="R1165" s="706"/>
      <c r="S1165" s="707"/>
      <c r="T1165" s="708"/>
      <c r="U1165" s="472"/>
      <c r="V1165" s="166"/>
      <c r="W1165" s="446"/>
      <c r="X1165" s="456"/>
      <c r="Y1165" s="436"/>
      <c r="Z1165" s="437"/>
      <c r="AA1165" s="560"/>
      <c r="AB1165" s="561"/>
      <c r="AC1165" s="87"/>
      <c r="AD1165" s="466"/>
      <c r="AE1165" s="456"/>
      <c r="AF1165" s="467"/>
      <c r="AG1165" s="87"/>
      <c r="AH1165" s="87"/>
      <c r="AI1165" s="87"/>
    </row>
    <row r="1166" spans="1:35" hidden="1">
      <c r="A1166" s="80" t="e">
        <f>"D"&amp;E1159</f>
        <v>#N/A</v>
      </c>
      <c r="B1166" s="105">
        <v>4</v>
      </c>
      <c r="C1166" s="107"/>
      <c r="D1166" s="107"/>
      <c r="E1166" s="107"/>
      <c r="F1166" s="107"/>
      <c r="G1166" s="83"/>
      <c r="H1166" s="83"/>
      <c r="I1166" s="84"/>
      <c r="J1166" s="85"/>
      <c r="K1166" s="382"/>
      <c r="L1166" s="85"/>
      <c r="M1166" s="332" t="str">
        <f t="shared" si="331"/>
        <v/>
      </c>
      <c r="N1166" s="86"/>
      <c r="O1166" s="453" t="str">
        <f t="shared" si="333"/>
        <v/>
      </c>
      <c r="P1166" s="538" t="str">
        <f t="shared" si="334"/>
        <v/>
      </c>
      <c r="Q1166" s="539" t="str">
        <f t="shared" si="332"/>
        <v/>
      </c>
      <c r="R1166" s="706"/>
      <c r="S1166" s="707"/>
      <c r="T1166" s="708"/>
      <c r="U1166" s="472"/>
      <c r="V1166" s="166"/>
      <c r="W1166" s="446"/>
      <c r="X1166" s="456"/>
      <c r="Y1166" s="436"/>
      <c r="Z1166" s="437"/>
      <c r="AA1166" s="560"/>
      <c r="AB1166" s="561"/>
      <c r="AC1166" s="87"/>
      <c r="AD1166" s="466"/>
      <c r="AE1166" s="456"/>
      <c r="AF1166" s="467"/>
      <c r="AG1166" s="87"/>
      <c r="AH1166" s="87"/>
      <c r="AI1166" s="87"/>
    </row>
    <row r="1167" spans="1:35" hidden="1">
      <c r="A1167" s="80" t="e">
        <f>"E"&amp;E1159</f>
        <v>#N/A</v>
      </c>
      <c r="B1167" s="105">
        <v>5</v>
      </c>
      <c r="C1167" s="107"/>
      <c r="D1167" s="107"/>
      <c r="E1167" s="107"/>
      <c r="F1167" s="107"/>
      <c r="G1167" s="83"/>
      <c r="H1167" s="83"/>
      <c r="I1167" s="84"/>
      <c r="J1167" s="85"/>
      <c r="K1167" s="382"/>
      <c r="L1167" s="85"/>
      <c r="M1167" s="332" t="str">
        <f t="shared" si="331"/>
        <v/>
      </c>
      <c r="N1167" s="86"/>
      <c r="O1167" s="453" t="str">
        <f t="shared" si="333"/>
        <v/>
      </c>
      <c r="P1167" s="538" t="str">
        <f t="shared" si="334"/>
        <v/>
      </c>
      <c r="Q1167" s="539" t="str">
        <f t="shared" si="332"/>
        <v/>
      </c>
      <c r="R1167" s="706"/>
      <c r="S1167" s="707"/>
      <c r="T1167" s="708"/>
      <c r="U1167" s="472"/>
      <c r="V1167" s="167"/>
      <c r="W1167" s="446"/>
      <c r="X1167" s="456"/>
      <c r="Y1167" s="436"/>
      <c r="Z1167" s="437"/>
      <c r="AA1167" s="560"/>
      <c r="AB1167" s="561"/>
      <c r="AC1167" s="87"/>
      <c r="AD1167" s="466"/>
      <c r="AE1167" s="456"/>
      <c r="AF1167" s="467"/>
      <c r="AG1167" s="87"/>
      <c r="AH1167" s="87"/>
      <c r="AI1167" s="87"/>
    </row>
    <row r="1168" spans="1:35" hidden="1">
      <c r="A1168" s="80" t="e">
        <f>"F"&amp;E1159</f>
        <v>#N/A</v>
      </c>
      <c r="B1168" s="105">
        <v>6</v>
      </c>
      <c r="C1168" s="107"/>
      <c r="D1168" s="107"/>
      <c r="E1168" s="107"/>
      <c r="F1168" s="107"/>
      <c r="G1168" s="83"/>
      <c r="H1168" s="83"/>
      <c r="I1168" s="84"/>
      <c r="J1168" s="85"/>
      <c r="K1168" s="382"/>
      <c r="L1168" s="85"/>
      <c r="M1168" s="332" t="str">
        <f t="shared" si="331"/>
        <v/>
      </c>
      <c r="N1168" s="86"/>
      <c r="O1168" s="453" t="str">
        <f t="shared" si="333"/>
        <v/>
      </c>
      <c r="P1168" s="538" t="str">
        <f t="shared" si="334"/>
        <v/>
      </c>
      <c r="Q1168" s="539" t="str">
        <f t="shared" si="332"/>
        <v/>
      </c>
      <c r="R1168" s="706"/>
      <c r="S1168" s="707"/>
      <c r="T1168" s="708"/>
      <c r="U1168" s="472"/>
      <c r="V1168" s="167"/>
      <c r="W1168" s="446"/>
      <c r="X1168" s="456"/>
      <c r="Y1168" s="436"/>
      <c r="Z1168" s="437"/>
      <c r="AA1168" s="560"/>
      <c r="AB1168" s="561"/>
      <c r="AC1168" s="87"/>
      <c r="AD1168" s="466"/>
      <c r="AE1168" s="456"/>
      <c r="AF1168" s="467"/>
      <c r="AG1168" s="87"/>
      <c r="AH1168" s="87"/>
      <c r="AI1168" s="87"/>
    </row>
    <row r="1169" spans="1:35" hidden="1">
      <c r="A1169" s="80" t="e">
        <f>"G"&amp;E1159</f>
        <v>#N/A</v>
      </c>
      <c r="B1169" s="105">
        <v>7</v>
      </c>
      <c r="C1169" s="107"/>
      <c r="D1169" s="107"/>
      <c r="E1169" s="107"/>
      <c r="F1169" s="107"/>
      <c r="G1169" s="83"/>
      <c r="H1169" s="83"/>
      <c r="I1169" s="84"/>
      <c r="J1169" s="85"/>
      <c r="K1169" s="382"/>
      <c r="L1169" s="85"/>
      <c r="M1169" s="332" t="str">
        <f t="shared" si="331"/>
        <v/>
      </c>
      <c r="N1169" s="86"/>
      <c r="O1169" s="86" t="str">
        <f t="shared" si="333"/>
        <v/>
      </c>
      <c r="P1169" s="538" t="str">
        <f t="shared" si="334"/>
        <v/>
      </c>
      <c r="Q1169" s="539" t="str">
        <f t="shared" si="332"/>
        <v/>
      </c>
      <c r="R1169" s="706"/>
      <c r="S1169" s="707"/>
      <c r="T1169" s="708"/>
      <c r="U1169" s="472"/>
      <c r="V1169" s="167"/>
      <c r="W1169" s="446"/>
      <c r="X1169" s="456"/>
      <c r="Y1169" s="436"/>
      <c r="Z1169" s="437"/>
      <c r="AA1169" s="560"/>
      <c r="AB1169" s="561"/>
      <c r="AC1169" s="87"/>
      <c r="AD1169" s="466"/>
      <c r="AE1169" s="456"/>
      <c r="AF1169" s="467"/>
      <c r="AG1169" s="87"/>
      <c r="AH1169" s="87"/>
      <c r="AI1169" s="87"/>
    </row>
    <row r="1170" spans="1:35" hidden="1">
      <c r="A1170" s="80" t="e">
        <f>"H"&amp;E1159</f>
        <v>#N/A</v>
      </c>
      <c r="B1170" s="105">
        <v>8</v>
      </c>
      <c r="C1170" s="107"/>
      <c r="D1170" s="107"/>
      <c r="E1170" s="107"/>
      <c r="F1170" s="107"/>
      <c r="G1170" s="83"/>
      <c r="H1170" s="83"/>
      <c r="I1170" s="84"/>
      <c r="J1170" s="85"/>
      <c r="K1170" s="382"/>
      <c r="L1170" s="85"/>
      <c r="M1170" s="332" t="str">
        <f t="shared" si="331"/>
        <v/>
      </c>
      <c r="N1170" s="453"/>
      <c r="O1170" s="86" t="str">
        <f t="shared" si="333"/>
        <v/>
      </c>
      <c r="P1170" s="538" t="str">
        <f t="shared" si="334"/>
        <v/>
      </c>
      <c r="Q1170" s="539" t="str">
        <f t="shared" si="332"/>
        <v/>
      </c>
      <c r="R1170" s="706"/>
      <c r="S1170" s="707"/>
      <c r="T1170" s="708"/>
      <c r="U1170" s="472"/>
      <c r="V1170" s="167"/>
      <c r="W1170" s="446"/>
      <c r="X1170" s="456"/>
      <c r="Y1170" s="436"/>
      <c r="Z1170" s="437"/>
      <c r="AA1170" s="560"/>
      <c r="AB1170" s="561"/>
      <c r="AC1170" s="87"/>
      <c r="AD1170" s="466"/>
      <c r="AE1170" s="456"/>
      <c r="AF1170" s="467"/>
      <c r="AG1170" s="87"/>
      <c r="AH1170" s="87"/>
      <c r="AI1170" s="87"/>
    </row>
    <row r="1171" spans="1:35" hidden="1">
      <c r="A1171" s="80" t="e">
        <f>"I"&amp;E1159</f>
        <v>#N/A</v>
      </c>
      <c r="B1171" s="105">
        <v>9</v>
      </c>
      <c r="C1171" s="107"/>
      <c r="D1171" s="107"/>
      <c r="E1171" s="107"/>
      <c r="F1171" s="107"/>
      <c r="G1171" s="83"/>
      <c r="H1171" s="83"/>
      <c r="I1171" s="84"/>
      <c r="J1171" s="85"/>
      <c r="K1171" s="382"/>
      <c r="L1171" s="85"/>
      <c r="M1171" s="332" t="str">
        <f t="shared" si="331"/>
        <v/>
      </c>
      <c r="N1171" s="453"/>
      <c r="O1171" s="86" t="str">
        <f t="shared" si="333"/>
        <v/>
      </c>
      <c r="P1171" s="538" t="str">
        <f t="shared" si="334"/>
        <v/>
      </c>
      <c r="Q1171" s="539" t="str">
        <f t="shared" si="332"/>
        <v/>
      </c>
      <c r="R1171" s="706"/>
      <c r="S1171" s="707"/>
      <c r="T1171" s="708"/>
      <c r="U1171" s="472"/>
      <c r="V1171" s="167"/>
      <c r="W1171" s="446"/>
      <c r="X1171" s="456"/>
      <c r="Y1171" s="436"/>
      <c r="Z1171" s="437"/>
      <c r="AA1171" s="560"/>
      <c r="AB1171" s="561"/>
      <c r="AC1171" s="87"/>
      <c r="AD1171" s="466"/>
      <c r="AE1171" s="456"/>
      <c r="AF1171" s="467"/>
      <c r="AG1171" s="87"/>
      <c r="AH1171" s="87"/>
      <c r="AI1171" s="87"/>
    </row>
    <row r="1172" spans="1:35" hidden="1">
      <c r="A1172" s="80" t="e">
        <f>"J"&amp;E1159</f>
        <v>#N/A</v>
      </c>
      <c r="B1172" s="105">
        <v>10</v>
      </c>
      <c r="C1172" s="107"/>
      <c r="D1172" s="107"/>
      <c r="E1172" s="107"/>
      <c r="F1172" s="107"/>
      <c r="G1172" s="83"/>
      <c r="H1172" s="83"/>
      <c r="I1172" s="84"/>
      <c r="J1172" s="85"/>
      <c r="K1172" s="382"/>
      <c r="L1172" s="85"/>
      <c r="M1172" s="332" t="str">
        <f t="shared" si="331"/>
        <v/>
      </c>
      <c r="N1172" s="453"/>
      <c r="O1172" s="86" t="str">
        <f t="shared" si="333"/>
        <v/>
      </c>
      <c r="P1172" s="538" t="str">
        <f t="shared" si="334"/>
        <v/>
      </c>
      <c r="Q1172" s="539" t="str">
        <f t="shared" si="332"/>
        <v/>
      </c>
      <c r="R1172" s="706"/>
      <c r="S1172" s="707"/>
      <c r="T1172" s="708"/>
      <c r="U1172" s="472"/>
      <c r="V1172" s="167"/>
      <c r="W1172" s="446"/>
      <c r="X1172" s="456"/>
      <c r="Y1172" s="436"/>
      <c r="Z1172" s="437"/>
      <c r="AA1172" s="560"/>
      <c r="AB1172" s="561"/>
      <c r="AC1172" s="87"/>
      <c r="AD1172" s="466"/>
      <c r="AE1172" s="456"/>
      <c r="AF1172" s="467"/>
      <c r="AG1172" s="87"/>
      <c r="AH1172" s="87"/>
      <c r="AI1172" s="87"/>
    </row>
    <row r="1173" spans="1:35" ht="16.5" hidden="1" thickBot="1">
      <c r="A1173" s="44"/>
      <c r="B1173" s="89"/>
      <c r="C1173" s="90"/>
      <c r="D1173" s="90"/>
      <c r="E1173" s="90"/>
      <c r="F1173" s="90"/>
      <c r="G1173" s="90"/>
      <c r="H1173" s="90"/>
      <c r="I1173" s="90"/>
      <c r="J1173" s="90"/>
      <c r="K1173" s="90"/>
      <c r="L1173" s="90"/>
      <c r="M1173" s="90"/>
      <c r="N1173" s="90"/>
      <c r="O1173" s="90"/>
      <c r="P1173" s="90"/>
      <c r="Q1173" s="90"/>
      <c r="R1173" s="90"/>
      <c r="S1173" s="91"/>
      <c r="T1173" s="92"/>
      <c r="U1173" s="473"/>
      <c r="W1173" s="438"/>
      <c r="X1173" s="455"/>
      <c r="Y1173" s="439"/>
      <c r="Z1173" s="437"/>
      <c r="AA1173" s="530"/>
      <c r="AB1173" s="563"/>
      <c r="AC1173" s="87"/>
      <c r="AD1173" s="440"/>
      <c r="AE1173" s="441"/>
      <c r="AF1173" s="442"/>
      <c r="AG1173" s="49"/>
      <c r="AH1173" s="87"/>
      <c r="AI1173" s="87"/>
    </row>
    <row r="1174" spans="1:35" ht="16.5" hidden="1" thickBot="1">
      <c r="A1174" s="93"/>
      <c r="B1174" s="94"/>
      <c r="C1174" s="96"/>
      <c r="D1174" s="96"/>
      <c r="E1174" s="96"/>
      <c r="F1174" s="96"/>
      <c r="G1174" s="96"/>
      <c r="H1174" s="96"/>
      <c r="I1174" s="96"/>
      <c r="J1174" s="96"/>
      <c r="K1174" s="96"/>
      <c r="L1174" s="96"/>
      <c r="M1174" s="136"/>
      <c r="N1174" s="96"/>
      <c r="O1174" s="96"/>
      <c r="P1174" s="97"/>
      <c r="Q1174" s="97"/>
      <c r="R1174" s="98"/>
      <c r="S1174" s="95"/>
      <c r="T1174" s="99"/>
      <c r="U1174" s="469"/>
      <c r="AC1174" s="58"/>
      <c r="AG1174" s="58"/>
      <c r="AH1174" s="87"/>
      <c r="AI1174" s="87"/>
    </row>
    <row r="1175" spans="1:35" ht="16.5" hidden="1" thickBot="1">
      <c r="B1175" s="101"/>
      <c r="C1175" s="101"/>
      <c r="D1175" s="101"/>
      <c r="E1175" s="101"/>
      <c r="F1175" s="101"/>
      <c r="G1175" s="101"/>
      <c r="H1175" s="101"/>
      <c r="I1175" s="101"/>
      <c r="J1175" s="101"/>
      <c r="K1175" s="101"/>
      <c r="L1175" s="101"/>
      <c r="M1175" s="101"/>
      <c r="N1175" s="101"/>
      <c r="O1175" s="101"/>
      <c r="P1175" s="101"/>
      <c r="Q1175" s="101"/>
      <c r="R1175" s="101"/>
      <c r="S1175" s="101"/>
      <c r="U1175" s="50"/>
      <c r="AH1175" s="87"/>
      <c r="AI1175" s="87"/>
    </row>
    <row r="1176" spans="1:35" ht="16.5" hidden="1" customHeight="1" thickBot="1">
      <c r="A1176" s="44"/>
      <c r="B1176" s="705" t="s">
        <v>74</v>
      </c>
      <c r="C1176" s="705"/>
      <c r="D1176" s="705"/>
      <c r="E1176" s="705"/>
      <c r="F1176" s="705"/>
      <c r="G1176" s="705"/>
      <c r="H1176" s="705"/>
      <c r="I1176" s="705"/>
      <c r="J1176" s="705"/>
      <c r="K1176" s="705"/>
      <c r="L1176" s="705"/>
      <c r="M1176" s="705"/>
      <c r="N1176" s="705"/>
      <c r="O1176" s="705"/>
      <c r="P1176" s="705"/>
      <c r="Q1176" s="705"/>
      <c r="R1176" s="705"/>
      <c r="S1176" s="705"/>
      <c r="T1176" s="705"/>
      <c r="U1176" s="108"/>
      <c r="Y1176" s="532" t="s">
        <v>341</v>
      </c>
      <c r="AC1176" s="49"/>
      <c r="AD1176" s="687" t="s">
        <v>302</v>
      </c>
      <c r="AE1176" s="688"/>
      <c r="AF1176" s="689"/>
      <c r="AG1176" s="49"/>
      <c r="AH1176" s="87"/>
      <c r="AI1176" s="87"/>
    </row>
    <row r="1177" spans="1:35" ht="15.75" hidden="1" customHeight="1" thickBot="1">
      <c r="A1177" s="218" t="e">
        <f>"K"&amp;E1159</f>
        <v>#N/A</v>
      </c>
      <c r="B1177" s="701" t="s">
        <v>71</v>
      </c>
      <c r="C1177" s="751" t="s">
        <v>102</v>
      </c>
      <c r="D1177" s="751"/>
      <c r="E1177" s="751"/>
      <c r="F1177" s="751"/>
      <c r="G1177" s="751"/>
      <c r="H1177" s="751"/>
      <c r="I1177" s="751"/>
      <c r="J1177" s="751"/>
      <c r="K1177" s="751"/>
      <c r="L1177" s="722" t="s">
        <v>100</v>
      </c>
      <c r="M1177" s="747" t="s">
        <v>114</v>
      </c>
      <c r="N1177" s="747"/>
      <c r="O1177" s="747"/>
      <c r="P1177" s="747"/>
      <c r="Q1177" s="748"/>
      <c r="R1177" s="758" t="s">
        <v>280</v>
      </c>
      <c r="S1177" s="748"/>
      <c r="T1177" s="762" t="str">
        <f>IF(COUNTIF(AE1177:AF1177,"VERIFICAR")&gt;0,"VERIFICAR",IF(COUNTIF(AE1177:AF1177,"NO CUMPLE")&gt;0,"NO CUMPLE","CUMPLE"))</f>
        <v>VERIFICAR</v>
      </c>
      <c r="U1177" s="108"/>
      <c r="Y1177" s="533" t="e">
        <f>IF(F1178="","",IF(F1178=1,"INDIVIDUAL","ESTRUCTURA PLURAL"))</f>
        <v>#N/A</v>
      </c>
      <c r="AC1177" s="52"/>
      <c r="AD1177" s="475" t="s">
        <v>303</v>
      </c>
      <c r="AE1177" s="476" t="str">
        <f>IF(COUNTIF(AE1163:AE1172,"")=10,"VERIFICAR",IF(COUNTIF(AE1163:AE1172,"SI")&gt;0,"CUMPLE","NO CUMPLE"))</f>
        <v>VERIFICAR</v>
      </c>
      <c r="AF1177" s="477" t="str">
        <f>IF(COUNTIF(AF1163:AF1172,"")=10,"VERIFICAR",IF(COUNTIF(AF1163:AF1172,"SI")&gt;=$AI$22,"CUMPLE","NO CUMPLE"))</f>
        <v>VERIFICAR</v>
      </c>
      <c r="AG1177" s="52"/>
      <c r="AH1177" s="87"/>
      <c r="AI1177" s="87"/>
    </row>
    <row r="1178" spans="1:35" ht="16.5" hidden="1" customHeight="1" thickBot="1">
      <c r="A1178" s="218" t="e">
        <f>"L"&amp;E1159</f>
        <v>#N/A</v>
      </c>
      <c r="B1178" s="702"/>
      <c r="C1178" s="751" t="s">
        <v>103</v>
      </c>
      <c r="D1178" s="751"/>
      <c r="E1178" s="752"/>
      <c r="F1178" s="557" t="e">
        <f>IF(VLOOKUP(E1159,PROPONENTES!$C$19:$E$218,3,0)="","",VLOOKUP(E1159,PROPONENTES!$C$19:$E$218,3,0))</f>
        <v>#N/A</v>
      </c>
      <c r="G1178" s="753" t="s">
        <v>104</v>
      </c>
      <c r="H1178" s="751"/>
      <c r="I1178" s="715" t="e">
        <f>IF(OR(F1178="",F1178=1),"INTERESADO PERSONA NATURAL O JURIDICA","CONSORCIO O UNION TEMPORAL")</f>
        <v>#N/A</v>
      </c>
      <c r="J1178" s="725"/>
      <c r="K1178" s="728"/>
      <c r="L1178" s="723"/>
      <c r="M1178" s="749"/>
      <c r="N1178" s="749"/>
      <c r="O1178" s="749"/>
      <c r="P1178" s="749"/>
      <c r="Q1178" s="750"/>
      <c r="R1178" s="712"/>
      <c r="S1178" s="750"/>
      <c r="T1178" s="763"/>
      <c r="U1178" s="108"/>
      <c r="Y1178" s="534"/>
      <c r="AA1178" s="52"/>
      <c r="AB1178" s="52"/>
      <c r="AC1178" s="52"/>
      <c r="AG1178" s="52"/>
      <c r="AH1178" s="87"/>
      <c r="AI1178" s="87"/>
    </row>
    <row r="1179" spans="1:35" ht="56.25" hidden="1" customHeight="1" thickBot="1">
      <c r="A1179" s="218" t="e">
        <f>"M"&amp;E1159</f>
        <v>#N/A</v>
      </c>
      <c r="B1179" s="702"/>
      <c r="C1179" s="725" t="s">
        <v>101</v>
      </c>
      <c r="D1179" s="716"/>
      <c r="E1179" s="558" t="s">
        <v>105</v>
      </c>
      <c r="F1179" s="554" t="s">
        <v>87</v>
      </c>
      <c r="G1179" s="553" t="s">
        <v>86</v>
      </c>
      <c r="H1179" s="559" t="s">
        <v>85</v>
      </c>
      <c r="I1179" s="554" t="s">
        <v>252</v>
      </c>
      <c r="J1179" s="553" t="str">
        <f>"¿EL INTEGRANTE TIENE UNA PARTICIPACIÓN DEL "&amp;PORCREQUERIDOINT*100&amp;"%?"</f>
        <v>¿EL INTEGRANTE TIENE UNA PARTICIPACIÓN DEL 60%?</v>
      </c>
      <c r="K1179" s="554" t="s">
        <v>107</v>
      </c>
      <c r="L1179" s="724"/>
      <c r="M1179" s="717" t="s">
        <v>115</v>
      </c>
      <c r="N1179" s="718"/>
      <c r="O1179" s="718"/>
      <c r="P1179" s="718"/>
      <c r="Q1179" s="223">
        <f>IF(AND(H1163="SI",P1163&gt;=0),1,0)+IF(AND(H1164="SI",P1164&gt;=0),1,0)+IF(AND(H1165="SI",P1165&gt;=0),1,0)+IF(AND(H1166="SI",P1166&gt;=0),1,0)+IF(AND(H1167="SI",P1167&gt;=0),1,0)+IF(AND(H1168="SI",P1168&gt;=0),1,0)+IF(AND(H1169="SI",P1169&gt;=0),1,0)+IF(AND(H1170="SI",P1170&gt;=0),1,0)+IF(AND(H1171="SI",P1171&gt;=0),1,0)+IF(AND(H1172="SI",P1172&gt;=0),1,0)</f>
        <v>0</v>
      </c>
      <c r="R1179" s="759"/>
      <c r="S1179" s="761"/>
      <c r="T1179" s="764"/>
      <c r="U1179" s="219"/>
      <c r="V1179" s="464"/>
      <c r="Y1179" s="532" t="s">
        <v>342</v>
      </c>
      <c r="AA1179" s="550" t="s">
        <v>344</v>
      </c>
      <c r="AB1179" s="693" t="s">
        <v>345</v>
      </c>
      <c r="AC1179" s="693" t="s">
        <v>346</v>
      </c>
      <c r="AD1179" s="685" t="s">
        <v>347</v>
      </c>
      <c r="AE1179" s="52"/>
      <c r="AF1179" s="52"/>
      <c r="AG1179" s="52"/>
      <c r="AH1179" s="87"/>
      <c r="AI1179" s="87"/>
    </row>
    <row r="1180" spans="1:35" ht="15.75" hidden="1" customHeight="1" thickBot="1">
      <c r="A1180" s="218" t="e">
        <f>"N"&amp;E1159</f>
        <v>#N/A</v>
      </c>
      <c r="B1180" s="702"/>
      <c r="C1180" s="114">
        <v>1</v>
      </c>
      <c r="D1180" s="194" t="e">
        <f>IF(AND(C1180&lt;=F1178,F1178&gt;1,F1178&lt;&gt;""),VLOOKUP(VALUE(E1159&amp;","&amp;C1180),INTEGRANTES!$D$18:$F$235,2,0),"")</f>
        <v>#N/A</v>
      </c>
      <c r="E1180" s="211" t="e">
        <f>IF(D1180&lt;&gt;"",VLOOKUP(VALUE(E1159&amp;","&amp;C1180),INTEGRANTES!$D$18:$F$235,3,0),"")</f>
        <v>#N/A</v>
      </c>
      <c r="F1180" s="547" t="e">
        <f>IF(D1180="","",SUMIF($I1163:$I1172,D1180,$P1163:$P1172))</f>
        <v>#N/A</v>
      </c>
      <c r="G1180" s="333" t="e">
        <f>IF(D1180="","",SUMIF($I1163:$I1172,D1180,$M1163:$M1172))</f>
        <v>#N/A</v>
      </c>
      <c r="H1180" s="535" t="e">
        <f t="shared" ref="H1180:H1185" si="335">IF(D1180="","",IF(OR(F1180=0,G1180=0),"NO APORTA",ROUND($F1180/$G1180,3)))</f>
        <v>#N/A</v>
      </c>
      <c r="I1180" s="212" t="e">
        <f>IF(D1180="","",IF(H1180="NO APORTA","NO",IF(H1180=MAX($H1180:$H1185),"SI","NO")))</f>
        <v>#N/A</v>
      </c>
      <c r="J1180" s="213" t="e">
        <f t="shared" ref="J1180:J1185" si="336">IF(D1180="","",IF(E1180&gt;=PORCREQUERIDOINT,"SI","NO"))</f>
        <v>#N/A</v>
      </c>
      <c r="K1180" s="200" t="e">
        <f t="shared" ref="K1180:K1185" si="337">IF(D1180="","",IF(AND(I1180="SI",J1180="SI"),"CUMPLE",IF(AND(I1180="NO",OR(J1180="SI",J1180="NO")),"","NO CUMPLE")))</f>
        <v>#N/A</v>
      </c>
      <c r="L1180" s="722" t="s">
        <v>108</v>
      </c>
      <c r="M1180" s="726" t="s">
        <v>119</v>
      </c>
      <c r="N1180" s="726"/>
      <c r="O1180" s="726"/>
      <c r="P1180" s="726"/>
      <c r="Q1180" s="727"/>
      <c r="R1180" s="758" t="s">
        <v>80</v>
      </c>
      <c r="S1180" s="747"/>
      <c r="T1180" s="748"/>
      <c r="U1180" s="219"/>
      <c r="V1180" s="464"/>
      <c r="Y1180" s="533" t="e">
        <f>IF(Y1177="","",IF(Y1177="INDIVIDUAL","NO APLICA","VERIFICAR CUADRO"))</f>
        <v>#N/A</v>
      </c>
      <c r="AA1180" s="551"/>
      <c r="AB1180" s="694"/>
      <c r="AC1180" s="694"/>
      <c r="AD1180" s="686"/>
      <c r="AE1180" s="52"/>
      <c r="AF1180" s="52"/>
      <c r="AG1180" s="52"/>
      <c r="AH1180" s="87"/>
      <c r="AI1180" s="87"/>
    </row>
    <row r="1181" spans="1:35" ht="27" hidden="1" customHeight="1" thickBot="1">
      <c r="A1181" s="218" t="e">
        <f>"O"&amp;E1159</f>
        <v>#N/A</v>
      </c>
      <c r="B1181" s="702"/>
      <c r="C1181" s="114">
        <v>2</v>
      </c>
      <c r="D1181" s="194" t="e">
        <f>IF(AND(C1181&lt;=F1178,F1178&lt;&gt;""),VLOOKUP(VALUE(E1159&amp;","&amp;C1181),INTEGRANTES!$D$18:$F$235,2,0),"")</f>
        <v>#N/A</v>
      </c>
      <c r="E1181" s="211" t="e">
        <f>IF(D1181&lt;&gt;"",VLOOKUP(VALUE(E1159&amp;","&amp;C1181),INTEGRANTES!$D$18:$F$235,3,0),"")</f>
        <v>#N/A</v>
      </c>
      <c r="F1181" s="547" t="e">
        <f>IF(D1181="","",SUMIF($I1163:$I1172,D1181,$P1163:$P1172))</f>
        <v>#N/A</v>
      </c>
      <c r="G1181" s="333" t="e">
        <f>IF(D1181="","",SUMIF($I1163:$I1172,D1181,$M1163:$M1172))</f>
        <v>#N/A</v>
      </c>
      <c r="H1181" s="535" t="e">
        <f t="shared" si="335"/>
        <v>#N/A</v>
      </c>
      <c r="I1181" s="212" t="e">
        <f>IF(D1181="","",IF(H1181="NO APORTA","NO",IF(H1181=MAX($H1180:$H1185),"SI","NO")))</f>
        <v>#N/A</v>
      </c>
      <c r="J1181" s="213" t="e">
        <f t="shared" si="336"/>
        <v>#N/A</v>
      </c>
      <c r="K1181" s="200" t="e">
        <f t="shared" si="337"/>
        <v>#N/A</v>
      </c>
      <c r="L1181" s="723"/>
      <c r="M1181" s="715" t="s">
        <v>116</v>
      </c>
      <c r="N1181" s="716"/>
      <c r="O1181" s="556" t="s">
        <v>113</v>
      </c>
      <c r="P1181" s="715" t="s">
        <v>117</v>
      </c>
      <c r="Q1181" s="728"/>
      <c r="R1181" s="759"/>
      <c r="S1181" s="760"/>
      <c r="T1181" s="761"/>
      <c r="U1181" s="219"/>
      <c r="V1181" s="464"/>
      <c r="Y1181" s="414"/>
      <c r="AA1181" s="542" t="e">
        <f>IF(AND(C1180&lt;=F1178,F1178&gt;1,F1178&lt;&gt;""),VLOOKUP(VALUE(E1159&amp;","&amp;C1180),INTEGRANTES!$D$18:$F$235,2,0),"")</f>
        <v>#N/A</v>
      </c>
      <c r="AB1181" s="544" t="e">
        <f t="shared" ref="AB1181:AB1186" si="338">IF(D1180="","",IF(OR(F1180=0,G1180=0),"NO APORTA",ROUND($F1180/$G1180,3)))</f>
        <v>#N/A</v>
      </c>
      <c r="AC1181" s="529"/>
      <c r="AD1181" s="200" t="e">
        <f t="shared" ref="AD1181:AD1186" si="339">IF(OR(AA1181="",AB1181=""),"",IF(AND(AC1181="X",AB1181&gt;=EXPREQVTD),"CUMPLE","NO CUMPLE"))</f>
        <v>#N/A</v>
      </c>
      <c r="AE1181" s="52"/>
      <c r="AF1181" s="52"/>
      <c r="AG1181" s="52"/>
      <c r="AH1181" s="87"/>
      <c r="AI1181" s="87"/>
    </row>
    <row r="1182" spans="1:35" ht="16.5" hidden="1" thickBot="1">
      <c r="A1182" s="218" t="e">
        <f>"P"&amp;E1159</f>
        <v>#N/A</v>
      </c>
      <c r="B1182" s="702"/>
      <c r="C1182" s="114">
        <v>3</v>
      </c>
      <c r="D1182" s="194" t="e">
        <f>IF(AND(C1182&lt;=F1178,F1178&lt;&gt;""),VLOOKUP(VALUE(E1159&amp;","&amp;C1182),INTEGRANTES!$D$18:$F$235,2,0),"")</f>
        <v>#N/A</v>
      </c>
      <c r="E1182" s="211" t="e">
        <f>IF(D1182&lt;&gt;"",VLOOKUP(VALUE(E1159&amp;","&amp;C1182),INTEGRANTES!$D$18:$F$235,3,0),"")</f>
        <v>#N/A</v>
      </c>
      <c r="F1182" s="547" t="e">
        <f>IF(D1182="","",SUMIF($I1163:$I1172,D1182,$P1163:$P1172))</f>
        <v>#N/A</v>
      </c>
      <c r="G1182" s="333" t="e">
        <f>IF(D1182="","",SUMIF($I1163:$I1172,D1182,$M1163:$M1172))</f>
        <v>#N/A</v>
      </c>
      <c r="H1182" s="535" t="e">
        <f t="shared" si="335"/>
        <v>#N/A</v>
      </c>
      <c r="I1182" s="212" t="e">
        <f>IF(D1182="","",IF(H1182="NO APORTA","NO",IF(H1182=MAX($H1180:$H1185),"SI","NO")))</f>
        <v>#N/A</v>
      </c>
      <c r="J1182" s="213" t="e">
        <f t="shared" si="336"/>
        <v>#N/A</v>
      </c>
      <c r="K1182" s="200" t="e">
        <f t="shared" si="337"/>
        <v>#N/A</v>
      </c>
      <c r="L1182" s="724"/>
      <c r="M1182" s="729">
        <f>NUMMOD</f>
        <v>1</v>
      </c>
      <c r="N1182" s="730"/>
      <c r="O1182" s="443">
        <f>IF(M1182="","",VLOOKUP(M1182,PRESUPUESTOS!$B$16:$H$16,5,FALSE))</f>
        <v>2</v>
      </c>
      <c r="P1182" s="713">
        <f>IF(OR(COUNTIF(M1163:M1172,"")&gt;=10,Q1179&lt;NUMMINCONT,OR(T1177="NO CUMPLE",T1177="VERIFICAR")),0,ROUND(AVERAGE(M1163:M1172),3))</f>
        <v>0</v>
      </c>
      <c r="Q1182" s="714"/>
      <c r="R1182" s="458"/>
      <c r="S1182" s="459"/>
      <c r="T1182" s="460"/>
      <c r="U1182" s="219"/>
      <c r="V1182" s="464"/>
      <c r="Y1182" s="532" t="str">
        <f>"40% * ("&amp;PRESUPUESTOS!$H$13&amp;")"</f>
        <v>40% * (50% PFMO)</v>
      </c>
      <c r="AA1182" s="540" t="e">
        <f>IF(AND(C1181&lt;=F1178,F1178&lt;&gt;""),VLOOKUP(VALUE(E1159&amp;","&amp;C1181),INTEGRANTES!$D$18:$F$235,2,0),"")</f>
        <v>#N/A</v>
      </c>
      <c r="AB1182" s="545" t="e">
        <f t="shared" si="338"/>
        <v>#N/A</v>
      </c>
      <c r="AC1182" s="529"/>
      <c r="AD1182" s="200" t="e">
        <f t="shared" si="339"/>
        <v>#N/A</v>
      </c>
      <c r="AE1182" s="52"/>
      <c r="AF1182" s="52"/>
      <c r="AG1182" s="52"/>
      <c r="AH1182" s="87"/>
      <c r="AI1182" s="87"/>
    </row>
    <row r="1183" spans="1:35" ht="15.75" hidden="1" customHeight="1" thickBot="1">
      <c r="A1183" s="218" t="e">
        <f>"Q"&amp;E1159</f>
        <v>#N/A</v>
      </c>
      <c r="B1183" s="702"/>
      <c r="C1183" s="114">
        <v>4</v>
      </c>
      <c r="D1183" s="194" t="e">
        <f>IF(AND(C1183&lt;=F1178,F1178&lt;&gt;""),VLOOKUP(VALUE(E1159&amp;","&amp;C1183),INTEGRANTES!$D$18:$F$235,2,0),"")</f>
        <v>#N/A</v>
      </c>
      <c r="E1183" s="211" t="e">
        <f>IF(D1183&lt;&gt;"",VLOOKUP(VALUE(E1159&amp;","&amp;C1183),INTEGRANTES!$D$18:$F$235,3,0),"")</f>
        <v>#N/A</v>
      </c>
      <c r="F1183" s="547" t="e">
        <f>IF(D1183="","",SUMIF($I1163:$I1172,D1183,$P1163:$P1172))</f>
        <v>#N/A</v>
      </c>
      <c r="G1183" s="333" t="e">
        <f>IF(D1183="","",SUMIF($I1163:$I1172,D1183,$M1163:$M1172))</f>
        <v>#N/A</v>
      </c>
      <c r="H1183" s="535" t="e">
        <f t="shared" si="335"/>
        <v>#N/A</v>
      </c>
      <c r="I1183" s="212" t="e">
        <f>IF(D1183="","",IF(H1183="NO APORTA","NO",IF(H1183=MAX($H1180:$H1185),"SI","NO")))</f>
        <v>#N/A</v>
      </c>
      <c r="J1183" s="213" t="e">
        <f t="shared" si="336"/>
        <v>#N/A</v>
      </c>
      <c r="K1183" s="200" t="e">
        <f t="shared" si="337"/>
        <v>#N/A</v>
      </c>
      <c r="L1183" s="720" t="s">
        <v>109</v>
      </c>
      <c r="M1183" s="757" t="s">
        <v>120</v>
      </c>
      <c r="N1183" s="726"/>
      <c r="O1183" s="726"/>
      <c r="P1183" s="726"/>
      <c r="Q1183" s="727"/>
      <c r="R1183" s="458"/>
      <c r="S1183" s="459"/>
      <c r="T1183" s="460"/>
      <c r="U1183" s="219"/>
      <c r="V1183" s="464"/>
      <c r="Y1183" s="537">
        <f>0.4*PRESUPUESTOS!$H$16</f>
        <v>10.3124</v>
      </c>
      <c r="AA1183" s="540" t="e">
        <f>IF(AND(C1182&lt;=F1178,F1178&lt;&gt;""),VLOOKUP(VALUE(E1159&amp;","&amp;C1182),INTEGRANTES!$D$18:$F$235,2,0),"")</f>
        <v>#N/A</v>
      </c>
      <c r="AB1183" s="545" t="e">
        <f t="shared" si="338"/>
        <v>#N/A</v>
      </c>
      <c r="AC1183" s="529"/>
      <c r="AD1183" s="200" t="e">
        <f t="shared" si="339"/>
        <v>#N/A</v>
      </c>
      <c r="AE1183" s="52"/>
      <c r="AF1183" s="52"/>
      <c r="AG1183" s="52"/>
      <c r="AH1183" s="87"/>
      <c r="AI1183" s="87"/>
    </row>
    <row r="1184" spans="1:35" ht="27" hidden="1" customHeight="1" thickBot="1">
      <c r="A1184" s="218" t="e">
        <f>"R"&amp;E1159</f>
        <v>#N/A</v>
      </c>
      <c r="B1184" s="702"/>
      <c r="C1184" s="114">
        <v>5</v>
      </c>
      <c r="D1184" s="194" t="e">
        <f>IF(AND(C1184&lt;=F1178,F1178&lt;&gt;""),VLOOKUP(VALUE(E1159&amp;","&amp;C1184),INTEGRANTES!$D$18:$F$235,2,0),"")</f>
        <v>#N/A</v>
      </c>
      <c r="E1184" s="211" t="e">
        <f>IF(D1184&lt;&gt;"",VLOOKUP(VALUE(E1159&amp;","&amp;C1184),INTEGRANTES!$D$18:$F$235,3,0),"")</f>
        <v>#N/A</v>
      </c>
      <c r="F1184" s="547" t="e">
        <f>IF(D1184="","",SUMIF($I1163:$I1172,D1184,$P1163:$P1172))</f>
        <v>#N/A</v>
      </c>
      <c r="G1184" s="333" t="e">
        <f>IF(D1184="","",SUMIF($I1163:$I1172,D1184,$M1163:$M1172))</f>
        <v>#N/A</v>
      </c>
      <c r="H1184" s="535" t="e">
        <f t="shared" si="335"/>
        <v>#N/A</v>
      </c>
      <c r="I1184" s="212" t="e">
        <f>IF(D1184="","",IF(H1184="NO APORTA","NO",IF(H1184=MAX($H1180:$H1185),"SI","NO")))</f>
        <v>#N/A</v>
      </c>
      <c r="J1184" s="213" t="e">
        <f t="shared" si="336"/>
        <v>#N/A</v>
      </c>
      <c r="K1184" s="200" t="e">
        <f t="shared" si="337"/>
        <v>#N/A</v>
      </c>
      <c r="L1184" s="721"/>
      <c r="M1184" s="715" t="s">
        <v>116</v>
      </c>
      <c r="N1184" s="716"/>
      <c r="O1184" s="556" t="str">
        <f>PORCREQUERIDO*100&amp;"% PMFO DEL MÓDULO"</f>
        <v>50% PMFO DEL MÓDULO</v>
      </c>
      <c r="P1184" s="715" t="s">
        <v>118</v>
      </c>
      <c r="Q1184" s="728"/>
      <c r="R1184" s="458"/>
      <c r="S1184" s="459"/>
      <c r="T1184" s="460"/>
      <c r="U1184" s="219"/>
      <c r="V1184" s="464"/>
      <c r="Y1184" s="414"/>
      <c r="AA1184" s="540" t="e">
        <f>IF(AND(C1183&lt;=F1178,F1178&lt;&gt;""),VLOOKUP(VALUE(E1159&amp;","&amp;C1183),INTEGRANTES!$D$18:$F$235,2,0),"")</f>
        <v>#N/A</v>
      </c>
      <c r="AB1184" s="545" t="e">
        <f t="shared" si="338"/>
        <v>#N/A</v>
      </c>
      <c r="AC1184" s="529"/>
      <c r="AD1184" s="200" t="e">
        <f t="shared" si="339"/>
        <v>#N/A</v>
      </c>
      <c r="AE1184" s="52"/>
      <c r="AF1184" s="52"/>
      <c r="AG1184" s="52"/>
      <c r="AH1184" s="87"/>
      <c r="AI1184" s="87"/>
    </row>
    <row r="1185" spans="1:35" ht="16.5" hidden="1" thickBot="1">
      <c r="A1185" s="218" t="e">
        <f>"S"&amp;E1159</f>
        <v>#N/A</v>
      </c>
      <c r="B1185" s="702"/>
      <c r="C1185" s="215">
        <v>6</v>
      </c>
      <c r="D1185" s="216" t="e">
        <f>IF(AND(C1185&lt;=F1178,F1178&lt;&gt;""),VLOOKUP(VALUE(E1159&amp;","&amp;C1185),INTEGRANTES!$D$18:$F$235,2,0),"")</f>
        <v>#N/A</v>
      </c>
      <c r="E1185" s="217" t="e">
        <f>IF(D1185&lt;&gt;"",VLOOKUP(VALUE(E1159&amp;","&amp;C1185),INTEGRANTES!$D$18:$F$235,3,0),"")</f>
        <v>#N/A</v>
      </c>
      <c r="F1185" s="548" t="e">
        <f>IF(D1185="","",SUMIF($I1163:$I1172,D1185,$P1163:$P1172))</f>
        <v>#N/A</v>
      </c>
      <c r="G1185" s="334" t="e">
        <f>IF(D1185="","",SUMIF($I1163:$I1172,D1185,$M1163:$M1172))</f>
        <v>#N/A</v>
      </c>
      <c r="H1185" s="536" t="e">
        <f t="shared" si="335"/>
        <v>#N/A</v>
      </c>
      <c r="I1185" s="214" t="e">
        <f>IF(D1185="","",IF(H1185="NO APORTA","NO",IF(H1185=MAX($H1180:$H1185),"SI","NO")))</f>
        <v>#N/A</v>
      </c>
      <c r="J1185" s="213" t="e">
        <f t="shared" si="336"/>
        <v>#N/A</v>
      </c>
      <c r="K1185" s="200" t="e">
        <f t="shared" si="337"/>
        <v>#N/A</v>
      </c>
      <c r="L1185" s="721"/>
      <c r="M1185" s="729">
        <f>NUMMOD</f>
        <v>1</v>
      </c>
      <c r="N1185" s="730"/>
      <c r="O1185" s="443">
        <f>IF(M1185="","",ROUND(VLOOKUP(M1185,PRESUPUESTOS!$B$16:$H$16,7,FALSE),3))</f>
        <v>25.780999999999999</v>
      </c>
      <c r="P1185" s="713">
        <f>IF(OR(COUNTIF(P1163:P1172,"")&gt;=10,Q1179&lt;NUMMINCONT,OR(T1177="NO CUMPLE",T1177="VERIFICAR")),0,ROUND((SUM(P1163:P1172)/SUM(M1163:M1172)),3))</f>
        <v>0</v>
      </c>
      <c r="Q1185" s="714"/>
      <c r="R1185" s="458"/>
      <c r="S1185" s="459"/>
      <c r="T1185" s="460"/>
      <c r="U1185" s="219"/>
      <c r="V1185" s="464"/>
      <c r="Y1185" s="532" t="s">
        <v>343</v>
      </c>
      <c r="AA1185" s="540" t="e">
        <f>IF(AND(C1184&lt;=F1178,F1178&lt;&gt;""),VLOOKUP(VALUE(E1159&amp;","&amp;C1184),INTEGRANTES!$D$18:$F$235,2,0),"")</f>
        <v>#N/A</v>
      </c>
      <c r="AB1185" s="545" t="e">
        <f t="shared" si="338"/>
        <v>#N/A</v>
      </c>
      <c r="AC1185" s="529"/>
      <c r="AD1185" s="200" t="e">
        <f t="shared" si="339"/>
        <v>#N/A</v>
      </c>
      <c r="AE1185" s="52"/>
      <c r="AF1185" s="52"/>
      <c r="AG1185" s="52"/>
      <c r="AH1185" s="87"/>
      <c r="AI1185" s="87"/>
    </row>
    <row r="1186" spans="1:35" ht="16.5" hidden="1" customHeight="1" thickBot="1">
      <c r="A1186" s="218" t="e">
        <f>"T"&amp;E1159</f>
        <v>#N/A</v>
      </c>
      <c r="B1186" s="703"/>
      <c r="C1186" s="719"/>
      <c r="D1186" s="719"/>
      <c r="E1186" s="719"/>
      <c r="F1186" s="719"/>
      <c r="G1186" s="719"/>
      <c r="H1186" s="719" t="s">
        <v>110</v>
      </c>
      <c r="I1186" s="719"/>
      <c r="J1186" s="719"/>
      <c r="K1186" s="201" t="str">
        <f>IF(COUNTIF(K1180:K1185,"")=6,"",IF(COUNTIF(K1180:K1185,"CUMPLE")&gt;0,"CUMPLE","NO CUMPLE"))</f>
        <v>NO CUMPLE</v>
      </c>
      <c r="L1186" s="754"/>
      <c r="M1186" s="755"/>
      <c r="N1186" s="755"/>
      <c r="O1186" s="755"/>
      <c r="P1186" s="755"/>
      <c r="Q1186" s="756"/>
      <c r="R1186" s="461"/>
      <c r="S1186" s="462"/>
      <c r="T1186" s="463"/>
      <c r="U1186" s="219"/>
      <c r="V1186" s="464"/>
      <c r="Y1186" s="549" t="e">
        <f>IF(Y1180="NO APLICA","NO APLICA",IF(COUNTIF(AD1181:AD1186,"CUMPLE")&gt;0,"CUMPLE","NO CUMPLE"))</f>
        <v>#N/A</v>
      </c>
      <c r="AA1186" s="541" t="e">
        <f>IF(AND(C1185&lt;=F1178,F1178&lt;&gt;""),VLOOKUP(VALUE(E1159&amp;","&amp;C1185),INTEGRANTES!$D$18:$F$235,2,0),"")</f>
        <v>#N/A</v>
      </c>
      <c r="AB1186" s="546" t="e">
        <f t="shared" si="338"/>
        <v>#N/A</v>
      </c>
      <c r="AC1186" s="543"/>
      <c r="AD1186" s="201" t="e">
        <f t="shared" si="339"/>
        <v>#N/A</v>
      </c>
      <c r="AE1186" s="52"/>
      <c r="AF1186" s="52"/>
      <c r="AG1186" s="52"/>
      <c r="AH1186" s="87"/>
      <c r="AI1186" s="87"/>
    </row>
    <row r="1187" spans="1:35" hidden="1">
      <c r="A1187" s="103"/>
      <c r="B1187" s="206"/>
      <c r="C1187" s="206"/>
      <c r="D1187" s="206"/>
      <c r="E1187" s="206"/>
      <c r="F1187" s="206"/>
      <c r="G1187" s="206"/>
      <c r="H1187" s="206"/>
      <c r="I1187" s="104"/>
      <c r="J1187" s="206"/>
      <c r="K1187" s="113"/>
      <c r="L1187" s="113"/>
      <c r="M1187" s="113"/>
      <c r="N1187" s="222"/>
      <c r="O1187" s="113"/>
      <c r="P1187" s="113"/>
      <c r="Q1187" s="113"/>
      <c r="R1187" s="206"/>
      <c r="S1187" s="104"/>
      <c r="T1187" s="206"/>
      <c r="U1187" s="474"/>
      <c r="AH1187" s="87"/>
      <c r="AI1187" s="87"/>
    </row>
    <row r="1188" spans="1:35" hidden="1">
      <c r="H1188" s="220"/>
      <c r="AH1188" s="87"/>
      <c r="AI1188" s="87"/>
    </row>
    <row r="1189" spans="1:35" ht="24" hidden="1" thickBot="1">
      <c r="A1189" s="61">
        <v>40</v>
      </c>
      <c r="B1189" s="704" t="s">
        <v>51</v>
      </c>
      <c r="C1189" s="704"/>
      <c r="D1189" s="704"/>
      <c r="E1189" s="62" t="e">
        <f>VLOOKUP(A1189,PROPONENTES!$B$19:$E$218,2,FALSE)</f>
        <v>#N/A</v>
      </c>
      <c r="F1189" s="63" t="e">
        <f>VLOOKUP(A1189,PROPONENTES!$B$19:$E$218,3,FALSE)</f>
        <v>#N/A</v>
      </c>
      <c r="G1189" s="64"/>
      <c r="H1189" s="64"/>
      <c r="I1189" s="63"/>
      <c r="J1189" s="63"/>
      <c r="K1189" s="65"/>
      <c r="L1189" s="65"/>
      <c r="M1189" s="64"/>
      <c r="N1189" s="64"/>
      <c r="O1189" s="66"/>
      <c r="P1189" s="66"/>
      <c r="Q1189" s="66"/>
      <c r="R1189" s="66"/>
      <c r="S1189" s="67"/>
      <c r="T1189" s="68"/>
      <c r="U1189" s="68"/>
      <c r="AC1189" s="68"/>
      <c r="AD1189" s="68"/>
      <c r="AE1189" s="68"/>
      <c r="AF1189" s="68"/>
      <c r="AG1189" s="68"/>
      <c r="AH1189" s="87"/>
      <c r="AI1189" s="87"/>
    </row>
    <row r="1190" spans="1:35" ht="15.75" hidden="1" customHeight="1">
      <c r="A1190" s="44"/>
      <c r="B1190" s="709" t="s">
        <v>59</v>
      </c>
      <c r="C1190" s="552" t="s">
        <v>60</v>
      </c>
      <c r="D1190" s="70" t="s">
        <v>17</v>
      </c>
      <c r="E1190" s="70"/>
      <c r="F1190" s="70" t="s">
        <v>61</v>
      </c>
      <c r="G1190" s="71"/>
      <c r="H1190" s="699" t="s">
        <v>62</v>
      </c>
      <c r="I1190" s="699" t="s">
        <v>18</v>
      </c>
      <c r="J1190" s="699" t="s">
        <v>63</v>
      </c>
      <c r="K1190" s="699" t="s">
        <v>64</v>
      </c>
      <c r="L1190" s="699" t="s">
        <v>65</v>
      </c>
      <c r="M1190" s="743" t="s">
        <v>66</v>
      </c>
      <c r="N1190" s="699" t="s">
        <v>282</v>
      </c>
      <c r="O1190" s="745" t="s">
        <v>67</v>
      </c>
      <c r="P1190" s="746"/>
      <c r="Q1190" s="102" t="s">
        <v>75</v>
      </c>
      <c r="R1190" s="731" t="s">
        <v>22</v>
      </c>
      <c r="S1190" s="732"/>
      <c r="T1190" s="733"/>
      <c r="U1190" s="712" t="s">
        <v>298</v>
      </c>
      <c r="W1190" s="690" t="s">
        <v>268</v>
      </c>
      <c r="X1190" s="691"/>
      <c r="Y1190" s="692"/>
      <c r="Z1190" s="428"/>
      <c r="AA1190" s="697" t="s">
        <v>315</v>
      </c>
      <c r="AB1190" s="695" t="s">
        <v>322</v>
      </c>
      <c r="AC1190" s="49"/>
      <c r="AD1190" s="690" t="s">
        <v>297</v>
      </c>
      <c r="AE1190" s="691"/>
      <c r="AF1190" s="692"/>
      <c r="AG1190" s="49"/>
      <c r="AH1190" s="87"/>
      <c r="AI1190" s="87"/>
    </row>
    <row r="1191" spans="1:35" ht="72" hidden="1">
      <c r="A1191" s="44"/>
      <c r="B1191" s="710"/>
      <c r="C1191" s="553" t="s">
        <v>68</v>
      </c>
      <c r="D1191" s="73" t="s">
        <v>3</v>
      </c>
      <c r="E1191" s="73" t="s">
        <v>19</v>
      </c>
      <c r="F1191" s="73" t="s">
        <v>69</v>
      </c>
      <c r="G1191" s="74" t="s">
        <v>70</v>
      </c>
      <c r="H1191" s="700"/>
      <c r="I1191" s="700"/>
      <c r="J1191" s="700"/>
      <c r="K1191" s="700"/>
      <c r="L1191" s="700"/>
      <c r="M1191" s="744"/>
      <c r="N1191" s="700"/>
      <c r="O1191" s="553" t="s">
        <v>279</v>
      </c>
      <c r="P1191" s="73" t="s">
        <v>88</v>
      </c>
      <c r="Q1191" s="555" t="s">
        <v>76</v>
      </c>
      <c r="R1191" s="734"/>
      <c r="S1191" s="735"/>
      <c r="T1191" s="736"/>
      <c r="U1191" s="712"/>
      <c r="W1191" s="429" t="s">
        <v>269</v>
      </c>
      <c r="X1191" s="457" t="s">
        <v>278</v>
      </c>
      <c r="Y1191" s="430" t="s">
        <v>324</v>
      </c>
      <c r="Z1191" s="428"/>
      <c r="AA1191" s="698"/>
      <c r="AB1191" s="696"/>
      <c r="AC1191" s="49"/>
      <c r="AD1191" s="429" t="s">
        <v>292</v>
      </c>
      <c r="AE1191" s="431" t="s">
        <v>300</v>
      </c>
      <c r="AF1191" s="468" t="s">
        <v>301</v>
      </c>
      <c r="AG1191" s="49"/>
      <c r="AH1191" s="87"/>
      <c r="AI1191" s="87"/>
    </row>
    <row r="1192" spans="1:35" hidden="1">
      <c r="A1192" s="44"/>
      <c r="B1192" s="76"/>
      <c r="C1192" s="77"/>
      <c r="D1192" s="77"/>
      <c r="E1192" s="77"/>
      <c r="F1192" s="77"/>
      <c r="G1192" s="77"/>
      <c r="H1192" s="77"/>
      <c r="I1192" s="77"/>
      <c r="J1192" s="77"/>
      <c r="K1192" s="77"/>
      <c r="L1192" s="77"/>
      <c r="M1192" s="77"/>
      <c r="N1192" s="77"/>
      <c r="O1192" s="77"/>
      <c r="P1192" s="77"/>
      <c r="Q1192" s="77"/>
      <c r="R1192" s="77"/>
      <c r="S1192" s="78"/>
      <c r="T1192" s="79"/>
      <c r="U1192" s="109"/>
      <c r="V1192" s="49"/>
      <c r="W1192" s="432"/>
      <c r="X1192" s="454"/>
      <c r="Y1192" s="433"/>
      <c r="Z1192" s="6"/>
      <c r="AA1192" s="500"/>
      <c r="AB1192" s="562"/>
      <c r="AC1192" s="49"/>
      <c r="AD1192" s="210"/>
      <c r="AE1192" s="434"/>
      <c r="AF1192" s="435"/>
      <c r="AG1192" s="49"/>
      <c r="AH1192" s="87"/>
      <c r="AI1192" s="87"/>
    </row>
    <row r="1193" spans="1:35" hidden="1">
      <c r="A1193" s="80" t="e">
        <f>"A"&amp;E1189</f>
        <v>#N/A</v>
      </c>
      <c r="B1193" s="81">
        <v>1</v>
      </c>
      <c r="C1193" s="82"/>
      <c r="D1193" s="82"/>
      <c r="E1193" s="82"/>
      <c r="F1193" s="82"/>
      <c r="G1193" s="83"/>
      <c r="H1193" s="83"/>
      <c r="I1193" s="84"/>
      <c r="J1193" s="85"/>
      <c r="K1193" s="382"/>
      <c r="L1193" s="85"/>
      <c r="M1193" s="332" t="str">
        <f t="shared" ref="M1193:M1202" si="340">IF(OR(J1193="",L1193="",H1193="NO"),"",IF(OR(J1193&gt;$P$17,J1193&lt;$O$17,L1193&gt;$P$17,AND(J1193&lt;$O$17,L1193&lt;$O$17)),"FUERA DE RANGO",IF(OR(K1193="---",K1193=""),IF(J1193&gt;=$O$17,ROUND((L1193-J1193+1)/360*12,3),ROUND((L1193-$O$17+1)/360*12,3)),IF(J1193&gt;=$O$17,ROUND((L1193-J1193+1)/360*12-ROUND(K1193,3),3),ROUND((L1193-$O$17+1)/360*12-ROUND(K1193,3),3)))))</f>
        <v/>
      </c>
      <c r="N1193" s="86"/>
      <c r="O1193" s="453" t="str">
        <f>IF(OR(G1193="",N1193=""),"",N1193*G1193)</f>
        <v/>
      </c>
      <c r="P1193" s="538" t="str">
        <f>IF(OR(H1193="",M1193="FUERA DE RANGO"),"",IF(OR(L1193&lt;$O$17,L1193&gt;$P$17,L1193="",H1193="NO"),"",IF(OR(N1193="",O1193=""),"",ROUND(O1193,3))))</f>
        <v/>
      </c>
      <c r="Q1193" s="539" t="str">
        <f t="shared" ref="Q1193:Q1202" si="341">IF(AND(H1193="SI",P1193&lt;&gt;""),ROUND(P1193/M1193,3),"")</f>
        <v/>
      </c>
      <c r="R1193" s="737"/>
      <c r="S1193" s="738"/>
      <c r="T1193" s="739"/>
      <c r="U1193" s="470"/>
      <c r="V1193" s="165"/>
      <c r="W1193" s="446"/>
      <c r="X1193" s="456"/>
      <c r="Y1193" s="436"/>
      <c r="Z1193" s="437"/>
      <c r="AA1193" s="560"/>
      <c r="AB1193" s="561"/>
      <c r="AC1193" s="87"/>
      <c r="AD1193" s="466"/>
      <c r="AE1193" s="456"/>
      <c r="AF1193" s="467"/>
      <c r="AG1193" s="87"/>
      <c r="AH1193" s="87"/>
      <c r="AI1193" s="87"/>
    </row>
    <row r="1194" spans="1:35" hidden="1">
      <c r="A1194" s="80" t="e">
        <f>"B"&amp;E1189</f>
        <v>#N/A</v>
      </c>
      <c r="B1194" s="81">
        <v>2</v>
      </c>
      <c r="C1194" s="106"/>
      <c r="D1194" s="106"/>
      <c r="E1194" s="106"/>
      <c r="F1194" s="106"/>
      <c r="G1194" s="83"/>
      <c r="H1194" s="83"/>
      <c r="I1194" s="84"/>
      <c r="J1194" s="85"/>
      <c r="K1194" s="382"/>
      <c r="L1194" s="85"/>
      <c r="M1194" s="332" t="str">
        <f t="shared" si="340"/>
        <v/>
      </c>
      <c r="N1194" s="86"/>
      <c r="O1194" s="453" t="str">
        <f t="shared" ref="O1194:O1202" si="342">IF(OR(G1194="",N1194=""),"",N1194*G1194)</f>
        <v/>
      </c>
      <c r="P1194" s="538" t="str">
        <f t="shared" ref="P1194:P1202" si="343">IF(OR(H1194="",M1194="FUERA DE RANGO"),"",IF(OR(L1194&lt;$O$17,L1194&gt;$P$17,L1194="",H1194="NO"),"",IF(OR(N1194="",O1194=""),"",ROUND(O1194,3))))</f>
        <v/>
      </c>
      <c r="Q1194" s="539" t="str">
        <f t="shared" si="341"/>
        <v/>
      </c>
      <c r="R1194" s="740"/>
      <c r="S1194" s="741"/>
      <c r="T1194" s="742"/>
      <c r="U1194" s="471"/>
      <c r="V1194" s="165"/>
      <c r="W1194" s="446"/>
      <c r="X1194" s="456"/>
      <c r="Y1194" s="436"/>
      <c r="Z1194" s="437"/>
      <c r="AA1194" s="560"/>
      <c r="AB1194" s="561"/>
      <c r="AC1194" s="87"/>
      <c r="AD1194" s="466"/>
      <c r="AE1194" s="456"/>
      <c r="AF1194" s="467"/>
      <c r="AG1194" s="87"/>
      <c r="AH1194" s="87"/>
      <c r="AI1194" s="87"/>
    </row>
    <row r="1195" spans="1:35" hidden="1">
      <c r="A1195" s="80" t="e">
        <f>"C"&amp;E1189</f>
        <v>#N/A</v>
      </c>
      <c r="B1195" s="88">
        <v>3</v>
      </c>
      <c r="C1195" s="82"/>
      <c r="D1195" s="82"/>
      <c r="E1195" s="82"/>
      <c r="F1195" s="82"/>
      <c r="G1195" s="83"/>
      <c r="H1195" s="83"/>
      <c r="I1195" s="84"/>
      <c r="J1195" s="85"/>
      <c r="K1195" s="382"/>
      <c r="L1195" s="85"/>
      <c r="M1195" s="332" t="str">
        <f t="shared" si="340"/>
        <v/>
      </c>
      <c r="N1195" s="86"/>
      <c r="O1195" s="453" t="str">
        <f t="shared" si="342"/>
        <v/>
      </c>
      <c r="P1195" s="538" t="str">
        <f t="shared" si="343"/>
        <v/>
      </c>
      <c r="Q1195" s="539" t="str">
        <f t="shared" si="341"/>
        <v/>
      </c>
      <c r="R1195" s="706"/>
      <c r="S1195" s="707"/>
      <c r="T1195" s="708"/>
      <c r="U1195" s="472"/>
      <c r="V1195" s="166"/>
      <c r="W1195" s="446"/>
      <c r="X1195" s="456"/>
      <c r="Y1195" s="436"/>
      <c r="Z1195" s="437"/>
      <c r="AA1195" s="560"/>
      <c r="AB1195" s="561"/>
      <c r="AC1195" s="87"/>
      <c r="AD1195" s="466"/>
      <c r="AE1195" s="456"/>
      <c r="AF1195" s="467"/>
      <c r="AG1195" s="87"/>
      <c r="AH1195" s="87"/>
      <c r="AI1195" s="87"/>
    </row>
    <row r="1196" spans="1:35" hidden="1">
      <c r="A1196" s="80" t="e">
        <f>"D"&amp;E1189</f>
        <v>#N/A</v>
      </c>
      <c r="B1196" s="105">
        <v>4</v>
      </c>
      <c r="C1196" s="107"/>
      <c r="D1196" s="107"/>
      <c r="E1196" s="107"/>
      <c r="F1196" s="107"/>
      <c r="G1196" s="83"/>
      <c r="H1196" s="83"/>
      <c r="I1196" s="84"/>
      <c r="J1196" s="85"/>
      <c r="K1196" s="382"/>
      <c r="L1196" s="85"/>
      <c r="M1196" s="332" t="str">
        <f t="shared" si="340"/>
        <v/>
      </c>
      <c r="N1196" s="86"/>
      <c r="O1196" s="453" t="str">
        <f t="shared" si="342"/>
        <v/>
      </c>
      <c r="P1196" s="538" t="str">
        <f t="shared" si="343"/>
        <v/>
      </c>
      <c r="Q1196" s="539" t="str">
        <f t="shared" si="341"/>
        <v/>
      </c>
      <c r="R1196" s="706"/>
      <c r="S1196" s="707"/>
      <c r="T1196" s="708"/>
      <c r="U1196" s="472"/>
      <c r="V1196" s="166"/>
      <c r="W1196" s="446"/>
      <c r="X1196" s="456"/>
      <c r="Y1196" s="436"/>
      <c r="Z1196" s="437"/>
      <c r="AA1196" s="560"/>
      <c r="AB1196" s="561"/>
      <c r="AC1196" s="87"/>
      <c r="AD1196" s="466"/>
      <c r="AE1196" s="456"/>
      <c r="AF1196" s="467"/>
      <c r="AG1196" s="87"/>
      <c r="AH1196" s="87"/>
      <c r="AI1196" s="87"/>
    </row>
    <row r="1197" spans="1:35" hidden="1">
      <c r="A1197" s="80" t="e">
        <f>"E"&amp;E1189</f>
        <v>#N/A</v>
      </c>
      <c r="B1197" s="105">
        <v>5</v>
      </c>
      <c r="C1197" s="107"/>
      <c r="D1197" s="107"/>
      <c r="E1197" s="107"/>
      <c r="F1197" s="107"/>
      <c r="G1197" s="83"/>
      <c r="H1197" s="83"/>
      <c r="I1197" s="84"/>
      <c r="J1197" s="85"/>
      <c r="K1197" s="382"/>
      <c r="L1197" s="85"/>
      <c r="M1197" s="332" t="str">
        <f t="shared" si="340"/>
        <v/>
      </c>
      <c r="N1197" s="86"/>
      <c r="O1197" s="453" t="str">
        <f t="shared" si="342"/>
        <v/>
      </c>
      <c r="P1197" s="538" t="str">
        <f t="shared" si="343"/>
        <v/>
      </c>
      <c r="Q1197" s="539" t="str">
        <f t="shared" si="341"/>
        <v/>
      </c>
      <c r="R1197" s="706"/>
      <c r="S1197" s="707"/>
      <c r="T1197" s="708"/>
      <c r="U1197" s="472"/>
      <c r="V1197" s="167"/>
      <c r="W1197" s="446"/>
      <c r="X1197" s="456"/>
      <c r="Y1197" s="436"/>
      <c r="Z1197" s="437"/>
      <c r="AA1197" s="560"/>
      <c r="AB1197" s="561"/>
      <c r="AC1197" s="87"/>
      <c r="AD1197" s="466"/>
      <c r="AE1197" s="456"/>
      <c r="AF1197" s="467"/>
      <c r="AG1197" s="87"/>
      <c r="AH1197" s="87"/>
      <c r="AI1197" s="87"/>
    </row>
    <row r="1198" spans="1:35" hidden="1">
      <c r="A1198" s="80" t="e">
        <f>"F"&amp;E1189</f>
        <v>#N/A</v>
      </c>
      <c r="B1198" s="105">
        <v>6</v>
      </c>
      <c r="C1198" s="107"/>
      <c r="D1198" s="107"/>
      <c r="E1198" s="107"/>
      <c r="F1198" s="107"/>
      <c r="G1198" s="83"/>
      <c r="H1198" s="83"/>
      <c r="I1198" s="84"/>
      <c r="J1198" s="85"/>
      <c r="K1198" s="382"/>
      <c r="L1198" s="85"/>
      <c r="M1198" s="332" t="str">
        <f t="shared" si="340"/>
        <v/>
      </c>
      <c r="N1198" s="86"/>
      <c r="O1198" s="453" t="str">
        <f t="shared" si="342"/>
        <v/>
      </c>
      <c r="P1198" s="538" t="str">
        <f t="shared" si="343"/>
        <v/>
      </c>
      <c r="Q1198" s="539" t="str">
        <f t="shared" si="341"/>
        <v/>
      </c>
      <c r="R1198" s="706"/>
      <c r="S1198" s="707"/>
      <c r="T1198" s="708"/>
      <c r="U1198" s="472"/>
      <c r="V1198" s="167"/>
      <c r="W1198" s="446"/>
      <c r="X1198" s="456"/>
      <c r="Y1198" s="436"/>
      <c r="Z1198" s="437"/>
      <c r="AA1198" s="560"/>
      <c r="AB1198" s="561"/>
      <c r="AC1198" s="87"/>
      <c r="AD1198" s="466"/>
      <c r="AE1198" s="456"/>
      <c r="AF1198" s="467"/>
      <c r="AG1198" s="87"/>
      <c r="AH1198" s="87"/>
      <c r="AI1198" s="87"/>
    </row>
    <row r="1199" spans="1:35" hidden="1">
      <c r="A1199" s="80" t="e">
        <f>"G"&amp;E1189</f>
        <v>#N/A</v>
      </c>
      <c r="B1199" s="105">
        <v>7</v>
      </c>
      <c r="C1199" s="107"/>
      <c r="D1199" s="107"/>
      <c r="E1199" s="107"/>
      <c r="F1199" s="107"/>
      <c r="G1199" s="83"/>
      <c r="H1199" s="83"/>
      <c r="I1199" s="84"/>
      <c r="J1199" s="85"/>
      <c r="K1199" s="382"/>
      <c r="L1199" s="85"/>
      <c r="M1199" s="332" t="str">
        <f t="shared" si="340"/>
        <v/>
      </c>
      <c r="N1199" s="86"/>
      <c r="O1199" s="86" t="str">
        <f t="shared" si="342"/>
        <v/>
      </c>
      <c r="P1199" s="538" t="str">
        <f t="shared" si="343"/>
        <v/>
      </c>
      <c r="Q1199" s="539" t="str">
        <f t="shared" si="341"/>
        <v/>
      </c>
      <c r="R1199" s="706"/>
      <c r="S1199" s="707"/>
      <c r="T1199" s="708"/>
      <c r="U1199" s="472"/>
      <c r="V1199" s="167"/>
      <c r="W1199" s="446"/>
      <c r="X1199" s="456"/>
      <c r="Y1199" s="436"/>
      <c r="Z1199" s="437"/>
      <c r="AA1199" s="560"/>
      <c r="AB1199" s="561"/>
      <c r="AC1199" s="87"/>
      <c r="AD1199" s="466"/>
      <c r="AE1199" s="456"/>
      <c r="AF1199" s="467"/>
      <c r="AG1199" s="87"/>
      <c r="AH1199" s="87"/>
      <c r="AI1199" s="87"/>
    </row>
    <row r="1200" spans="1:35" hidden="1">
      <c r="A1200" s="80" t="e">
        <f>"H"&amp;E1189</f>
        <v>#N/A</v>
      </c>
      <c r="B1200" s="105">
        <v>8</v>
      </c>
      <c r="C1200" s="107"/>
      <c r="D1200" s="107"/>
      <c r="E1200" s="107"/>
      <c r="F1200" s="107"/>
      <c r="G1200" s="83"/>
      <c r="H1200" s="83"/>
      <c r="I1200" s="84"/>
      <c r="J1200" s="85"/>
      <c r="K1200" s="382"/>
      <c r="L1200" s="85"/>
      <c r="M1200" s="332" t="str">
        <f t="shared" si="340"/>
        <v/>
      </c>
      <c r="N1200" s="453"/>
      <c r="O1200" s="86" t="str">
        <f t="shared" si="342"/>
        <v/>
      </c>
      <c r="P1200" s="538" t="str">
        <f t="shared" si="343"/>
        <v/>
      </c>
      <c r="Q1200" s="539" t="str">
        <f t="shared" si="341"/>
        <v/>
      </c>
      <c r="R1200" s="706"/>
      <c r="S1200" s="707"/>
      <c r="T1200" s="708"/>
      <c r="U1200" s="472"/>
      <c r="V1200" s="167"/>
      <c r="W1200" s="446"/>
      <c r="X1200" s="456"/>
      <c r="Y1200" s="436"/>
      <c r="Z1200" s="437"/>
      <c r="AA1200" s="560"/>
      <c r="AB1200" s="561"/>
      <c r="AC1200" s="87"/>
      <c r="AD1200" s="466"/>
      <c r="AE1200" s="456"/>
      <c r="AF1200" s="467"/>
      <c r="AG1200" s="87"/>
      <c r="AH1200" s="87"/>
      <c r="AI1200" s="87"/>
    </row>
    <row r="1201" spans="1:35" hidden="1">
      <c r="A1201" s="80" t="e">
        <f>"I"&amp;E1189</f>
        <v>#N/A</v>
      </c>
      <c r="B1201" s="105">
        <v>9</v>
      </c>
      <c r="C1201" s="107"/>
      <c r="D1201" s="107"/>
      <c r="E1201" s="107"/>
      <c r="F1201" s="107"/>
      <c r="G1201" s="83"/>
      <c r="H1201" s="83"/>
      <c r="I1201" s="84"/>
      <c r="J1201" s="85"/>
      <c r="K1201" s="382"/>
      <c r="L1201" s="85"/>
      <c r="M1201" s="332" t="str">
        <f t="shared" si="340"/>
        <v/>
      </c>
      <c r="N1201" s="453"/>
      <c r="O1201" s="86" t="str">
        <f t="shared" si="342"/>
        <v/>
      </c>
      <c r="P1201" s="538" t="str">
        <f t="shared" si="343"/>
        <v/>
      </c>
      <c r="Q1201" s="539" t="str">
        <f t="shared" si="341"/>
        <v/>
      </c>
      <c r="R1201" s="706"/>
      <c r="S1201" s="707"/>
      <c r="T1201" s="708"/>
      <c r="U1201" s="472"/>
      <c r="V1201" s="167"/>
      <c r="W1201" s="446"/>
      <c r="X1201" s="456"/>
      <c r="Y1201" s="436"/>
      <c r="Z1201" s="437"/>
      <c r="AA1201" s="560"/>
      <c r="AB1201" s="561"/>
      <c r="AC1201" s="87"/>
      <c r="AD1201" s="466"/>
      <c r="AE1201" s="456"/>
      <c r="AF1201" s="467"/>
      <c r="AG1201" s="87"/>
      <c r="AH1201" s="87"/>
      <c r="AI1201" s="87"/>
    </row>
    <row r="1202" spans="1:35" hidden="1">
      <c r="A1202" s="80" t="e">
        <f>"J"&amp;E1189</f>
        <v>#N/A</v>
      </c>
      <c r="B1202" s="105">
        <v>10</v>
      </c>
      <c r="C1202" s="107"/>
      <c r="D1202" s="107"/>
      <c r="E1202" s="107"/>
      <c r="F1202" s="107"/>
      <c r="G1202" s="83"/>
      <c r="H1202" s="83"/>
      <c r="I1202" s="84"/>
      <c r="J1202" s="85"/>
      <c r="K1202" s="382"/>
      <c r="L1202" s="85"/>
      <c r="M1202" s="332" t="str">
        <f t="shared" si="340"/>
        <v/>
      </c>
      <c r="N1202" s="453"/>
      <c r="O1202" s="86" t="str">
        <f t="shared" si="342"/>
        <v/>
      </c>
      <c r="P1202" s="538" t="str">
        <f t="shared" si="343"/>
        <v/>
      </c>
      <c r="Q1202" s="539" t="str">
        <f t="shared" si="341"/>
        <v/>
      </c>
      <c r="R1202" s="706"/>
      <c r="S1202" s="707"/>
      <c r="T1202" s="708"/>
      <c r="U1202" s="472"/>
      <c r="V1202" s="167"/>
      <c r="W1202" s="446"/>
      <c r="X1202" s="456"/>
      <c r="Y1202" s="436"/>
      <c r="Z1202" s="437"/>
      <c r="AA1202" s="560"/>
      <c r="AB1202" s="561"/>
      <c r="AC1202" s="87"/>
      <c r="AD1202" s="466"/>
      <c r="AE1202" s="456"/>
      <c r="AF1202" s="467"/>
      <c r="AG1202" s="87"/>
      <c r="AH1202" s="87"/>
      <c r="AI1202" s="87"/>
    </row>
    <row r="1203" spans="1:35" ht="16.5" hidden="1" thickBot="1">
      <c r="A1203" s="44"/>
      <c r="B1203" s="89"/>
      <c r="C1203" s="90"/>
      <c r="D1203" s="90"/>
      <c r="E1203" s="90"/>
      <c r="F1203" s="90"/>
      <c r="G1203" s="90"/>
      <c r="H1203" s="90"/>
      <c r="I1203" s="90"/>
      <c r="J1203" s="90"/>
      <c r="K1203" s="90"/>
      <c r="L1203" s="90"/>
      <c r="M1203" s="90"/>
      <c r="N1203" s="90"/>
      <c r="O1203" s="90"/>
      <c r="P1203" s="90"/>
      <c r="Q1203" s="90"/>
      <c r="R1203" s="90"/>
      <c r="S1203" s="91"/>
      <c r="T1203" s="92"/>
      <c r="U1203" s="473"/>
      <c r="W1203" s="438"/>
      <c r="X1203" s="455"/>
      <c r="Y1203" s="439"/>
      <c r="Z1203" s="437"/>
      <c r="AA1203" s="530"/>
      <c r="AB1203" s="563"/>
      <c r="AC1203" s="87"/>
      <c r="AD1203" s="440"/>
      <c r="AE1203" s="441"/>
      <c r="AF1203" s="442"/>
      <c r="AG1203" s="49"/>
      <c r="AH1203" s="87"/>
      <c r="AI1203" s="87"/>
    </row>
    <row r="1204" spans="1:35" ht="16.5" hidden="1" thickBot="1">
      <c r="A1204" s="93"/>
      <c r="B1204" s="94"/>
      <c r="C1204" s="96"/>
      <c r="D1204" s="96"/>
      <c r="E1204" s="96"/>
      <c r="F1204" s="96"/>
      <c r="G1204" s="96"/>
      <c r="H1204" s="96"/>
      <c r="I1204" s="96"/>
      <c r="J1204" s="96"/>
      <c r="K1204" s="96"/>
      <c r="L1204" s="96"/>
      <c r="M1204" s="136"/>
      <c r="N1204" s="96"/>
      <c r="O1204" s="96"/>
      <c r="P1204" s="97"/>
      <c r="Q1204" s="97"/>
      <c r="R1204" s="98"/>
      <c r="S1204" s="95"/>
      <c r="T1204" s="99"/>
      <c r="U1204" s="469"/>
      <c r="AC1204" s="58"/>
      <c r="AG1204" s="58"/>
      <c r="AH1204" s="87"/>
      <c r="AI1204" s="87"/>
    </row>
    <row r="1205" spans="1:35" ht="16.5" hidden="1" thickBot="1">
      <c r="B1205" s="101"/>
      <c r="C1205" s="101"/>
      <c r="D1205" s="101"/>
      <c r="E1205" s="101"/>
      <c r="F1205" s="101"/>
      <c r="G1205" s="101"/>
      <c r="H1205" s="101"/>
      <c r="I1205" s="101"/>
      <c r="J1205" s="101"/>
      <c r="K1205" s="101"/>
      <c r="L1205" s="101"/>
      <c r="M1205" s="101"/>
      <c r="N1205" s="101"/>
      <c r="O1205" s="101"/>
      <c r="P1205" s="101"/>
      <c r="Q1205" s="101"/>
      <c r="R1205" s="101"/>
      <c r="S1205" s="101"/>
      <c r="U1205" s="50"/>
      <c r="AH1205" s="87"/>
      <c r="AI1205" s="87"/>
    </row>
    <row r="1206" spans="1:35" ht="16.5" hidden="1" customHeight="1" thickBot="1">
      <c r="A1206" s="44"/>
      <c r="B1206" s="705" t="s">
        <v>74</v>
      </c>
      <c r="C1206" s="705"/>
      <c r="D1206" s="705"/>
      <c r="E1206" s="705"/>
      <c r="F1206" s="705"/>
      <c r="G1206" s="705"/>
      <c r="H1206" s="705"/>
      <c r="I1206" s="705"/>
      <c r="J1206" s="705"/>
      <c r="K1206" s="705"/>
      <c r="L1206" s="705"/>
      <c r="M1206" s="705"/>
      <c r="N1206" s="705"/>
      <c r="O1206" s="705"/>
      <c r="P1206" s="705"/>
      <c r="Q1206" s="705"/>
      <c r="R1206" s="705"/>
      <c r="S1206" s="705"/>
      <c r="T1206" s="705"/>
      <c r="U1206" s="108"/>
      <c r="Y1206" s="532" t="s">
        <v>341</v>
      </c>
      <c r="AC1206" s="49"/>
      <c r="AD1206" s="687" t="s">
        <v>302</v>
      </c>
      <c r="AE1206" s="688"/>
      <c r="AF1206" s="689"/>
      <c r="AG1206" s="49"/>
      <c r="AH1206" s="87"/>
      <c r="AI1206" s="87"/>
    </row>
    <row r="1207" spans="1:35" ht="15.75" hidden="1" customHeight="1" thickBot="1">
      <c r="A1207" s="218" t="e">
        <f>"K"&amp;E1189</f>
        <v>#N/A</v>
      </c>
      <c r="B1207" s="701" t="s">
        <v>71</v>
      </c>
      <c r="C1207" s="751" t="s">
        <v>102</v>
      </c>
      <c r="D1207" s="751"/>
      <c r="E1207" s="751"/>
      <c r="F1207" s="751"/>
      <c r="G1207" s="751"/>
      <c r="H1207" s="751"/>
      <c r="I1207" s="751"/>
      <c r="J1207" s="751"/>
      <c r="K1207" s="751"/>
      <c r="L1207" s="722" t="s">
        <v>100</v>
      </c>
      <c r="M1207" s="747" t="s">
        <v>114</v>
      </c>
      <c r="N1207" s="747"/>
      <c r="O1207" s="747"/>
      <c r="P1207" s="747"/>
      <c r="Q1207" s="748"/>
      <c r="R1207" s="758" t="s">
        <v>280</v>
      </c>
      <c r="S1207" s="748"/>
      <c r="T1207" s="762" t="str">
        <f>IF(COUNTIF(AE1207:AF1207,"VERIFICAR")&gt;0,"VERIFICAR",IF(COUNTIF(AE1207:AF1207,"NO CUMPLE")&gt;0,"NO CUMPLE","CUMPLE"))</f>
        <v>VERIFICAR</v>
      </c>
      <c r="U1207" s="108"/>
      <c r="Y1207" s="533" t="e">
        <f>IF(F1208="","",IF(F1208=1,"INDIVIDUAL","ESTRUCTURA PLURAL"))</f>
        <v>#N/A</v>
      </c>
      <c r="AC1207" s="52"/>
      <c r="AD1207" s="475" t="s">
        <v>303</v>
      </c>
      <c r="AE1207" s="476" t="str">
        <f>IF(COUNTIF(AE1193:AE1202,"")=10,"VERIFICAR",IF(COUNTIF(AE1193:AE1202,"SI")&gt;0,"CUMPLE","NO CUMPLE"))</f>
        <v>VERIFICAR</v>
      </c>
      <c r="AF1207" s="477" t="str">
        <f>IF(COUNTIF(AF1193:AF1202,"")=10,"VERIFICAR",IF(COUNTIF(AF1193:AF1202,"SI")&gt;=$AI$22,"CUMPLE","NO CUMPLE"))</f>
        <v>VERIFICAR</v>
      </c>
      <c r="AG1207" s="52"/>
      <c r="AH1207" s="87"/>
      <c r="AI1207" s="87"/>
    </row>
    <row r="1208" spans="1:35" ht="16.5" hidden="1" customHeight="1" thickBot="1">
      <c r="A1208" s="218" t="e">
        <f>"L"&amp;E1189</f>
        <v>#N/A</v>
      </c>
      <c r="B1208" s="702"/>
      <c r="C1208" s="751" t="s">
        <v>103</v>
      </c>
      <c r="D1208" s="751"/>
      <c r="E1208" s="752"/>
      <c r="F1208" s="557" t="e">
        <f>IF(VLOOKUP(E1189,PROPONENTES!$C$19:$E$218,3,0)="","",VLOOKUP(E1189,PROPONENTES!$C$19:$E$218,3,0))</f>
        <v>#N/A</v>
      </c>
      <c r="G1208" s="753" t="s">
        <v>104</v>
      </c>
      <c r="H1208" s="751"/>
      <c r="I1208" s="715" t="e">
        <f>IF(OR(F1208="",F1208=1),"INTERESADO PERSONA NATURAL O JURIDICA","CONSORCIO O UNION TEMPORAL")</f>
        <v>#N/A</v>
      </c>
      <c r="J1208" s="725"/>
      <c r="K1208" s="728"/>
      <c r="L1208" s="723"/>
      <c r="M1208" s="749"/>
      <c r="N1208" s="749"/>
      <c r="O1208" s="749"/>
      <c r="P1208" s="749"/>
      <c r="Q1208" s="750"/>
      <c r="R1208" s="712"/>
      <c r="S1208" s="750"/>
      <c r="T1208" s="763"/>
      <c r="U1208" s="108"/>
      <c r="Y1208" s="534"/>
      <c r="AA1208" s="52"/>
      <c r="AB1208" s="52"/>
      <c r="AC1208" s="52"/>
      <c r="AG1208" s="52"/>
      <c r="AH1208" s="87"/>
      <c r="AI1208" s="87"/>
    </row>
    <row r="1209" spans="1:35" ht="56.25" hidden="1" customHeight="1" thickBot="1">
      <c r="A1209" s="218" t="e">
        <f>"M"&amp;E1189</f>
        <v>#N/A</v>
      </c>
      <c r="B1209" s="702"/>
      <c r="C1209" s="725" t="s">
        <v>101</v>
      </c>
      <c r="D1209" s="716"/>
      <c r="E1209" s="558" t="s">
        <v>105</v>
      </c>
      <c r="F1209" s="554" t="s">
        <v>87</v>
      </c>
      <c r="G1209" s="553" t="s">
        <v>86</v>
      </c>
      <c r="H1209" s="559" t="s">
        <v>85</v>
      </c>
      <c r="I1209" s="554" t="s">
        <v>252</v>
      </c>
      <c r="J1209" s="553" t="str">
        <f>"¿EL INTEGRANTE TIENE UNA PARTICIPACIÓN DEL "&amp;PORCREQUERIDOINT*100&amp;"%?"</f>
        <v>¿EL INTEGRANTE TIENE UNA PARTICIPACIÓN DEL 60%?</v>
      </c>
      <c r="K1209" s="554" t="s">
        <v>107</v>
      </c>
      <c r="L1209" s="724"/>
      <c r="M1209" s="717" t="s">
        <v>115</v>
      </c>
      <c r="N1209" s="718"/>
      <c r="O1209" s="718"/>
      <c r="P1209" s="718"/>
      <c r="Q1209" s="223">
        <f>IF(AND(H1193="SI",P1193&gt;=0),1,0)+IF(AND(H1194="SI",P1194&gt;=0),1,0)+IF(AND(H1195="SI",P1195&gt;=0),1,0)+IF(AND(H1196="SI",P1196&gt;=0),1,0)+IF(AND(H1197="SI",P1197&gt;=0),1,0)+IF(AND(H1198="SI",P1198&gt;=0),1,0)+IF(AND(H1199="SI",P1199&gt;=0),1,0)+IF(AND(H1200="SI",P1200&gt;=0),1,0)+IF(AND(H1201="SI",P1201&gt;=0),1,0)+IF(AND(H1202="SI",P1202&gt;=0),1,0)</f>
        <v>0</v>
      </c>
      <c r="R1209" s="759"/>
      <c r="S1209" s="761"/>
      <c r="T1209" s="764"/>
      <c r="U1209" s="219"/>
      <c r="V1209" s="464"/>
      <c r="Y1209" s="532" t="s">
        <v>342</v>
      </c>
      <c r="AA1209" s="550" t="s">
        <v>344</v>
      </c>
      <c r="AB1209" s="693" t="s">
        <v>345</v>
      </c>
      <c r="AC1209" s="693" t="s">
        <v>346</v>
      </c>
      <c r="AD1209" s="685" t="s">
        <v>347</v>
      </c>
      <c r="AE1209" s="52"/>
      <c r="AF1209" s="52"/>
      <c r="AG1209" s="52"/>
      <c r="AH1209" s="87"/>
      <c r="AI1209" s="87"/>
    </row>
    <row r="1210" spans="1:35" ht="15.75" hidden="1" customHeight="1" thickBot="1">
      <c r="A1210" s="218" t="e">
        <f>"N"&amp;E1189</f>
        <v>#N/A</v>
      </c>
      <c r="B1210" s="702"/>
      <c r="C1210" s="114">
        <v>1</v>
      </c>
      <c r="D1210" s="194" t="e">
        <f>IF(AND(C1210&lt;=F1208,F1208&gt;1,F1208&lt;&gt;""),VLOOKUP(VALUE(E1189&amp;","&amp;C1210),INTEGRANTES!$D$18:$F$235,2,0),"")</f>
        <v>#N/A</v>
      </c>
      <c r="E1210" s="211" t="e">
        <f>IF(D1210&lt;&gt;"",VLOOKUP(VALUE(E1189&amp;","&amp;C1210),INTEGRANTES!$D$18:$F$235,3,0),"")</f>
        <v>#N/A</v>
      </c>
      <c r="F1210" s="547" t="e">
        <f>IF(D1210="","",SUMIF($I1193:$I1202,D1210,$P1193:$P1202))</f>
        <v>#N/A</v>
      </c>
      <c r="G1210" s="333" t="e">
        <f>IF(D1210="","",SUMIF($I1193:$I1202,D1210,$M1193:$M1202))</f>
        <v>#N/A</v>
      </c>
      <c r="H1210" s="535" t="e">
        <f t="shared" ref="H1210:H1215" si="344">IF(D1210="","",IF(OR(F1210=0,G1210=0),"NO APORTA",ROUND($F1210/$G1210,3)))</f>
        <v>#N/A</v>
      </c>
      <c r="I1210" s="212" t="e">
        <f>IF(D1210="","",IF(H1210="NO APORTA","NO",IF(H1210=MAX($H1210:$H1215),"SI","NO")))</f>
        <v>#N/A</v>
      </c>
      <c r="J1210" s="213" t="e">
        <f t="shared" ref="J1210:J1215" si="345">IF(D1210="","",IF(E1210&gt;=PORCREQUERIDOINT,"SI","NO"))</f>
        <v>#N/A</v>
      </c>
      <c r="K1210" s="200" t="e">
        <f t="shared" ref="K1210:K1215" si="346">IF(D1210="","",IF(AND(I1210="SI",J1210="SI"),"CUMPLE",IF(AND(I1210="NO",OR(J1210="SI",J1210="NO")),"","NO CUMPLE")))</f>
        <v>#N/A</v>
      </c>
      <c r="L1210" s="722" t="s">
        <v>108</v>
      </c>
      <c r="M1210" s="726" t="s">
        <v>119</v>
      </c>
      <c r="N1210" s="726"/>
      <c r="O1210" s="726"/>
      <c r="P1210" s="726"/>
      <c r="Q1210" s="727"/>
      <c r="R1210" s="758" t="s">
        <v>80</v>
      </c>
      <c r="S1210" s="747"/>
      <c r="T1210" s="748"/>
      <c r="U1210" s="219"/>
      <c r="V1210" s="464"/>
      <c r="Y1210" s="533" t="e">
        <f>IF(Y1207="","",IF(Y1207="INDIVIDUAL","NO APLICA","VERIFICAR CUADRO"))</f>
        <v>#N/A</v>
      </c>
      <c r="AA1210" s="551"/>
      <c r="AB1210" s="694"/>
      <c r="AC1210" s="694"/>
      <c r="AD1210" s="686"/>
      <c r="AE1210" s="52"/>
      <c r="AF1210" s="52"/>
      <c r="AG1210" s="52"/>
      <c r="AH1210" s="87"/>
      <c r="AI1210" s="87"/>
    </row>
    <row r="1211" spans="1:35" ht="27" hidden="1" customHeight="1" thickBot="1">
      <c r="A1211" s="218" t="e">
        <f>"O"&amp;E1189</f>
        <v>#N/A</v>
      </c>
      <c r="B1211" s="702"/>
      <c r="C1211" s="114">
        <v>2</v>
      </c>
      <c r="D1211" s="194" t="e">
        <f>IF(AND(C1211&lt;=F1208,F1208&lt;&gt;""),VLOOKUP(VALUE(E1189&amp;","&amp;C1211),INTEGRANTES!$D$18:$F$235,2,0),"")</f>
        <v>#N/A</v>
      </c>
      <c r="E1211" s="211" t="e">
        <f>IF(D1211&lt;&gt;"",VLOOKUP(VALUE(E1189&amp;","&amp;C1211),INTEGRANTES!$D$18:$F$235,3,0),"")</f>
        <v>#N/A</v>
      </c>
      <c r="F1211" s="547" t="e">
        <f>IF(D1211="","",SUMIF($I1193:$I1202,D1211,$P1193:$P1202))</f>
        <v>#N/A</v>
      </c>
      <c r="G1211" s="333" t="e">
        <f>IF(D1211="","",SUMIF($I1193:$I1202,D1211,$M1193:$M1202))</f>
        <v>#N/A</v>
      </c>
      <c r="H1211" s="535" t="e">
        <f t="shared" si="344"/>
        <v>#N/A</v>
      </c>
      <c r="I1211" s="212" t="e">
        <f>IF(D1211="","",IF(H1211="NO APORTA","NO",IF(H1211=MAX($H1210:$H1215),"SI","NO")))</f>
        <v>#N/A</v>
      </c>
      <c r="J1211" s="213" t="e">
        <f t="shared" si="345"/>
        <v>#N/A</v>
      </c>
      <c r="K1211" s="200" t="e">
        <f t="shared" si="346"/>
        <v>#N/A</v>
      </c>
      <c r="L1211" s="723"/>
      <c r="M1211" s="715" t="s">
        <v>116</v>
      </c>
      <c r="N1211" s="716"/>
      <c r="O1211" s="556" t="s">
        <v>113</v>
      </c>
      <c r="P1211" s="715" t="s">
        <v>117</v>
      </c>
      <c r="Q1211" s="728"/>
      <c r="R1211" s="759"/>
      <c r="S1211" s="760"/>
      <c r="T1211" s="761"/>
      <c r="U1211" s="219"/>
      <c r="V1211" s="464"/>
      <c r="Y1211" s="414"/>
      <c r="AA1211" s="542" t="e">
        <f>IF(AND(C1210&lt;=F1208,F1208&gt;1,F1208&lt;&gt;""),VLOOKUP(VALUE(E1189&amp;","&amp;C1210),INTEGRANTES!$D$18:$F$235,2,0),"")</f>
        <v>#N/A</v>
      </c>
      <c r="AB1211" s="544" t="e">
        <f t="shared" ref="AB1211:AB1216" si="347">IF(D1210="","",IF(OR(F1210=0,G1210=0),"NO APORTA",ROUND($F1210/$G1210,3)))</f>
        <v>#N/A</v>
      </c>
      <c r="AC1211" s="529"/>
      <c r="AD1211" s="200" t="e">
        <f t="shared" ref="AD1211:AD1216" si="348">IF(OR(AA1211="",AB1211=""),"",IF(AND(AC1211="X",AB1211&gt;=EXPREQVTD),"CUMPLE","NO CUMPLE"))</f>
        <v>#N/A</v>
      </c>
      <c r="AE1211" s="52"/>
      <c r="AF1211" s="52"/>
      <c r="AG1211" s="52"/>
      <c r="AH1211" s="87"/>
      <c r="AI1211" s="87"/>
    </row>
    <row r="1212" spans="1:35" ht="16.5" hidden="1" thickBot="1">
      <c r="A1212" s="218" t="e">
        <f>"P"&amp;E1189</f>
        <v>#N/A</v>
      </c>
      <c r="B1212" s="702"/>
      <c r="C1212" s="114">
        <v>3</v>
      </c>
      <c r="D1212" s="194" t="e">
        <f>IF(AND(C1212&lt;=F1208,F1208&lt;&gt;""),VLOOKUP(VALUE(E1189&amp;","&amp;C1212),INTEGRANTES!$D$18:$F$235,2,0),"")</f>
        <v>#N/A</v>
      </c>
      <c r="E1212" s="211" t="e">
        <f>IF(D1212&lt;&gt;"",VLOOKUP(VALUE(E1189&amp;","&amp;C1212),INTEGRANTES!$D$18:$F$235,3,0),"")</f>
        <v>#N/A</v>
      </c>
      <c r="F1212" s="547" t="e">
        <f>IF(D1212="","",SUMIF($I1193:$I1202,D1212,$P1193:$P1202))</f>
        <v>#N/A</v>
      </c>
      <c r="G1212" s="333" t="e">
        <f>IF(D1212="","",SUMIF($I1193:$I1202,D1212,$M1193:$M1202))</f>
        <v>#N/A</v>
      </c>
      <c r="H1212" s="535" t="e">
        <f t="shared" si="344"/>
        <v>#N/A</v>
      </c>
      <c r="I1212" s="212" t="e">
        <f>IF(D1212="","",IF(H1212="NO APORTA","NO",IF(H1212=MAX($H1210:$H1215),"SI","NO")))</f>
        <v>#N/A</v>
      </c>
      <c r="J1212" s="213" t="e">
        <f t="shared" si="345"/>
        <v>#N/A</v>
      </c>
      <c r="K1212" s="200" t="e">
        <f t="shared" si="346"/>
        <v>#N/A</v>
      </c>
      <c r="L1212" s="724"/>
      <c r="M1212" s="729">
        <f>NUMMOD</f>
        <v>1</v>
      </c>
      <c r="N1212" s="730"/>
      <c r="O1212" s="443">
        <f>IF(M1212="","",VLOOKUP(M1212,PRESUPUESTOS!$B$16:$H$16,5,FALSE))</f>
        <v>2</v>
      </c>
      <c r="P1212" s="713">
        <f>IF(OR(COUNTIF(M1193:M1202,"")&gt;=10,Q1209&lt;NUMMINCONT,OR(T1207="NO CUMPLE",T1207="VERIFICAR")),0,ROUND(AVERAGE(M1193:M1202),3))</f>
        <v>0</v>
      </c>
      <c r="Q1212" s="714"/>
      <c r="R1212" s="458"/>
      <c r="S1212" s="459"/>
      <c r="T1212" s="460"/>
      <c r="U1212" s="219"/>
      <c r="V1212" s="464"/>
      <c r="Y1212" s="532" t="str">
        <f>"40% * ("&amp;PRESUPUESTOS!$H$13&amp;")"</f>
        <v>40% * (50% PFMO)</v>
      </c>
      <c r="AA1212" s="540" t="e">
        <f>IF(AND(C1211&lt;=F1208,F1208&lt;&gt;""),VLOOKUP(VALUE(E1189&amp;","&amp;C1211),INTEGRANTES!$D$18:$F$235,2,0),"")</f>
        <v>#N/A</v>
      </c>
      <c r="AB1212" s="545" t="e">
        <f t="shared" si="347"/>
        <v>#N/A</v>
      </c>
      <c r="AC1212" s="529"/>
      <c r="AD1212" s="200" t="e">
        <f t="shared" si="348"/>
        <v>#N/A</v>
      </c>
      <c r="AE1212" s="52"/>
      <c r="AF1212" s="52"/>
      <c r="AG1212" s="52"/>
      <c r="AH1212" s="87"/>
      <c r="AI1212" s="87"/>
    </row>
    <row r="1213" spans="1:35" ht="15.75" hidden="1" customHeight="1" thickBot="1">
      <c r="A1213" s="218" t="e">
        <f>"Q"&amp;E1189</f>
        <v>#N/A</v>
      </c>
      <c r="B1213" s="702"/>
      <c r="C1213" s="114">
        <v>4</v>
      </c>
      <c r="D1213" s="194" t="e">
        <f>IF(AND(C1213&lt;=F1208,F1208&lt;&gt;""),VLOOKUP(VALUE(E1189&amp;","&amp;C1213),INTEGRANTES!$D$18:$F$235,2,0),"")</f>
        <v>#N/A</v>
      </c>
      <c r="E1213" s="211" t="e">
        <f>IF(D1213&lt;&gt;"",VLOOKUP(VALUE(E1189&amp;","&amp;C1213),INTEGRANTES!$D$18:$F$235,3,0),"")</f>
        <v>#N/A</v>
      </c>
      <c r="F1213" s="547" t="e">
        <f>IF(D1213="","",SUMIF($I1193:$I1202,D1213,$P1193:$P1202))</f>
        <v>#N/A</v>
      </c>
      <c r="G1213" s="333" t="e">
        <f>IF(D1213="","",SUMIF($I1193:$I1202,D1213,$M1193:$M1202))</f>
        <v>#N/A</v>
      </c>
      <c r="H1213" s="535" t="e">
        <f t="shared" si="344"/>
        <v>#N/A</v>
      </c>
      <c r="I1213" s="212" t="e">
        <f>IF(D1213="","",IF(H1213="NO APORTA","NO",IF(H1213=MAX($H1210:$H1215),"SI","NO")))</f>
        <v>#N/A</v>
      </c>
      <c r="J1213" s="213" t="e">
        <f t="shared" si="345"/>
        <v>#N/A</v>
      </c>
      <c r="K1213" s="200" t="e">
        <f t="shared" si="346"/>
        <v>#N/A</v>
      </c>
      <c r="L1213" s="720" t="s">
        <v>109</v>
      </c>
      <c r="M1213" s="757" t="s">
        <v>120</v>
      </c>
      <c r="N1213" s="726"/>
      <c r="O1213" s="726"/>
      <c r="P1213" s="726"/>
      <c r="Q1213" s="727"/>
      <c r="R1213" s="458"/>
      <c r="S1213" s="459"/>
      <c r="T1213" s="460"/>
      <c r="U1213" s="219"/>
      <c r="V1213" s="464"/>
      <c r="Y1213" s="537">
        <f>0.4*PRESUPUESTOS!$H$16</f>
        <v>10.3124</v>
      </c>
      <c r="AA1213" s="540" t="e">
        <f>IF(AND(C1212&lt;=F1208,F1208&lt;&gt;""),VLOOKUP(VALUE(E1189&amp;","&amp;C1212),INTEGRANTES!$D$18:$F$235,2,0),"")</f>
        <v>#N/A</v>
      </c>
      <c r="AB1213" s="545" t="e">
        <f t="shared" si="347"/>
        <v>#N/A</v>
      </c>
      <c r="AC1213" s="529"/>
      <c r="AD1213" s="200" t="e">
        <f t="shared" si="348"/>
        <v>#N/A</v>
      </c>
      <c r="AE1213" s="52"/>
      <c r="AF1213" s="52"/>
      <c r="AG1213" s="52"/>
      <c r="AH1213" s="87"/>
      <c r="AI1213" s="87"/>
    </row>
    <row r="1214" spans="1:35" ht="27" hidden="1" customHeight="1" thickBot="1">
      <c r="A1214" s="218" t="e">
        <f>"R"&amp;E1189</f>
        <v>#N/A</v>
      </c>
      <c r="B1214" s="702"/>
      <c r="C1214" s="114">
        <v>5</v>
      </c>
      <c r="D1214" s="194" t="e">
        <f>IF(AND(C1214&lt;=F1208,F1208&lt;&gt;""),VLOOKUP(VALUE(E1189&amp;","&amp;C1214),INTEGRANTES!$D$18:$F$235,2,0),"")</f>
        <v>#N/A</v>
      </c>
      <c r="E1214" s="211" t="e">
        <f>IF(D1214&lt;&gt;"",VLOOKUP(VALUE(E1189&amp;","&amp;C1214),INTEGRANTES!$D$18:$F$235,3,0),"")</f>
        <v>#N/A</v>
      </c>
      <c r="F1214" s="547" t="e">
        <f>IF(D1214="","",SUMIF($I1193:$I1202,D1214,$P1193:$P1202))</f>
        <v>#N/A</v>
      </c>
      <c r="G1214" s="333" t="e">
        <f>IF(D1214="","",SUMIF($I1193:$I1202,D1214,$M1193:$M1202))</f>
        <v>#N/A</v>
      </c>
      <c r="H1214" s="535" t="e">
        <f t="shared" si="344"/>
        <v>#N/A</v>
      </c>
      <c r="I1214" s="212" t="e">
        <f>IF(D1214="","",IF(H1214="NO APORTA","NO",IF(H1214=MAX($H1210:$H1215),"SI","NO")))</f>
        <v>#N/A</v>
      </c>
      <c r="J1214" s="213" t="e">
        <f t="shared" si="345"/>
        <v>#N/A</v>
      </c>
      <c r="K1214" s="200" t="e">
        <f t="shared" si="346"/>
        <v>#N/A</v>
      </c>
      <c r="L1214" s="721"/>
      <c r="M1214" s="715" t="s">
        <v>116</v>
      </c>
      <c r="N1214" s="716"/>
      <c r="O1214" s="556" t="str">
        <f>PORCREQUERIDO*100&amp;"% PMFO DEL MÓDULO"</f>
        <v>50% PMFO DEL MÓDULO</v>
      </c>
      <c r="P1214" s="715" t="s">
        <v>118</v>
      </c>
      <c r="Q1214" s="728"/>
      <c r="R1214" s="458"/>
      <c r="S1214" s="459"/>
      <c r="T1214" s="460"/>
      <c r="U1214" s="219"/>
      <c r="V1214" s="464"/>
      <c r="Y1214" s="414"/>
      <c r="AA1214" s="540" t="e">
        <f>IF(AND(C1213&lt;=F1208,F1208&lt;&gt;""),VLOOKUP(VALUE(E1189&amp;","&amp;C1213),INTEGRANTES!$D$18:$F$235,2,0),"")</f>
        <v>#N/A</v>
      </c>
      <c r="AB1214" s="545" t="e">
        <f t="shared" si="347"/>
        <v>#N/A</v>
      </c>
      <c r="AC1214" s="529"/>
      <c r="AD1214" s="200" t="e">
        <f t="shared" si="348"/>
        <v>#N/A</v>
      </c>
      <c r="AE1214" s="52"/>
      <c r="AF1214" s="52"/>
      <c r="AG1214" s="52"/>
      <c r="AH1214" s="87"/>
      <c r="AI1214" s="87"/>
    </row>
    <row r="1215" spans="1:35" ht="16.5" hidden="1" thickBot="1">
      <c r="A1215" s="218" t="e">
        <f>"S"&amp;E1189</f>
        <v>#N/A</v>
      </c>
      <c r="B1215" s="702"/>
      <c r="C1215" s="215">
        <v>6</v>
      </c>
      <c r="D1215" s="216" t="e">
        <f>IF(AND(C1215&lt;=F1208,F1208&lt;&gt;""),VLOOKUP(VALUE(E1189&amp;","&amp;C1215),INTEGRANTES!$D$18:$F$235,2,0),"")</f>
        <v>#N/A</v>
      </c>
      <c r="E1215" s="217" t="e">
        <f>IF(D1215&lt;&gt;"",VLOOKUP(VALUE(E1189&amp;","&amp;C1215),INTEGRANTES!$D$18:$F$235,3,0),"")</f>
        <v>#N/A</v>
      </c>
      <c r="F1215" s="548" t="e">
        <f>IF(D1215="","",SUMIF($I1193:$I1202,D1215,$P1193:$P1202))</f>
        <v>#N/A</v>
      </c>
      <c r="G1215" s="334" t="e">
        <f>IF(D1215="","",SUMIF($I1193:$I1202,D1215,$M1193:$M1202))</f>
        <v>#N/A</v>
      </c>
      <c r="H1215" s="536" t="e">
        <f t="shared" si="344"/>
        <v>#N/A</v>
      </c>
      <c r="I1215" s="214" t="e">
        <f>IF(D1215="","",IF(H1215="NO APORTA","NO",IF(H1215=MAX($H1210:$H1215),"SI","NO")))</f>
        <v>#N/A</v>
      </c>
      <c r="J1215" s="213" t="e">
        <f t="shared" si="345"/>
        <v>#N/A</v>
      </c>
      <c r="K1215" s="200" t="e">
        <f t="shared" si="346"/>
        <v>#N/A</v>
      </c>
      <c r="L1215" s="721"/>
      <c r="M1215" s="729">
        <f>NUMMOD</f>
        <v>1</v>
      </c>
      <c r="N1215" s="730"/>
      <c r="O1215" s="443">
        <f>IF(M1215="","",ROUND(VLOOKUP(M1215,PRESUPUESTOS!$B$16:$H$16,7,FALSE),3))</f>
        <v>25.780999999999999</v>
      </c>
      <c r="P1215" s="713">
        <f>IF(OR(COUNTIF(P1193:P1202,"")&gt;=10,Q1209&lt;NUMMINCONT,OR(T1207="NO CUMPLE",T1207="VERIFICAR")),0,ROUND((SUM(P1193:P1202)/SUM(M1193:M1202)),3))</f>
        <v>0</v>
      </c>
      <c r="Q1215" s="714"/>
      <c r="R1215" s="458"/>
      <c r="S1215" s="459"/>
      <c r="T1215" s="460"/>
      <c r="U1215" s="219"/>
      <c r="V1215" s="464"/>
      <c r="Y1215" s="532" t="s">
        <v>343</v>
      </c>
      <c r="AA1215" s="540" t="e">
        <f>IF(AND(C1214&lt;=F1208,F1208&lt;&gt;""),VLOOKUP(VALUE(E1189&amp;","&amp;C1214),INTEGRANTES!$D$18:$F$235,2,0),"")</f>
        <v>#N/A</v>
      </c>
      <c r="AB1215" s="545" t="e">
        <f t="shared" si="347"/>
        <v>#N/A</v>
      </c>
      <c r="AC1215" s="529"/>
      <c r="AD1215" s="200" t="e">
        <f t="shared" si="348"/>
        <v>#N/A</v>
      </c>
      <c r="AE1215" s="52"/>
      <c r="AF1215" s="52"/>
      <c r="AG1215" s="52"/>
      <c r="AH1215" s="87"/>
      <c r="AI1215" s="87"/>
    </row>
    <row r="1216" spans="1:35" ht="16.5" hidden="1" customHeight="1" thickBot="1">
      <c r="A1216" s="218" t="e">
        <f>"T"&amp;E1189</f>
        <v>#N/A</v>
      </c>
      <c r="B1216" s="703"/>
      <c r="C1216" s="719"/>
      <c r="D1216" s="719"/>
      <c r="E1216" s="719"/>
      <c r="F1216" s="719"/>
      <c r="G1216" s="719"/>
      <c r="H1216" s="719" t="s">
        <v>110</v>
      </c>
      <c r="I1216" s="719"/>
      <c r="J1216" s="719"/>
      <c r="K1216" s="201" t="str">
        <f>IF(COUNTIF(K1210:K1215,"")=6,"",IF(COUNTIF(K1210:K1215,"CUMPLE")&gt;0,"CUMPLE","NO CUMPLE"))</f>
        <v>NO CUMPLE</v>
      </c>
      <c r="L1216" s="754"/>
      <c r="M1216" s="755"/>
      <c r="N1216" s="755"/>
      <c r="O1216" s="755"/>
      <c r="P1216" s="755"/>
      <c r="Q1216" s="756"/>
      <c r="R1216" s="461"/>
      <c r="S1216" s="462"/>
      <c r="T1216" s="463"/>
      <c r="U1216" s="219"/>
      <c r="V1216" s="464"/>
      <c r="Y1216" s="549" t="e">
        <f>IF(Y1210="NO APLICA","NO APLICA",IF(COUNTIF(AD1211:AD1216,"CUMPLE")&gt;0,"CUMPLE","NO CUMPLE"))</f>
        <v>#N/A</v>
      </c>
      <c r="AA1216" s="541" t="e">
        <f>IF(AND(C1215&lt;=F1208,F1208&lt;&gt;""),VLOOKUP(VALUE(E1189&amp;","&amp;C1215),INTEGRANTES!$D$18:$F$235,2,0),"")</f>
        <v>#N/A</v>
      </c>
      <c r="AB1216" s="546" t="e">
        <f t="shared" si="347"/>
        <v>#N/A</v>
      </c>
      <c r="AC1216" s="543"/>
      <c r="AD1216" s="201" t="e">
        <f t="shared" si="348"/>
        <v>#N/A</v>
      </c>
      <c r="AE1216" s="52"/>
      <c r="AF1216" s="52"/>
      <c r="AG1216" s="52"/>
      <c r="AH1216" s="87"/>
      <c r="AI1216" s="87"/>
    </row>
    <row r="1217" spans="1:35" hidden="1">
      <c r="AH1217" s="87"/>
      <c r="AI1217" s="87"/>
    </row>
    <row r="1218" spans="1:35" hidden="1">
      <c r="AH1218" s="87"/>
      <c r="AI1218" s="87"/>
    </row>
    <row r="1219" spans="1:35" ht="24" hidden="1" thickBot="1">
      <c r="A1219" s="61">
        <v>41</v>
      </c>
      <c r="B1219" s="704" t="s">
        <v>51</v>
      </c>
      <c r="C1219" s="704"/>
      <c r="D1219" s="704"/>
      <c r="E1219" s="62" t="e">
        <f>VLOOKUP(A1219,PROPONENTES!$B$19:$E$218,2,FALSE)</f>
        <v>#N/A</v>
      </c>
      <c r="F1219" s="63" t="e">
        <f>VLOOKUP(A1219,PROPONENTES!$B$19:$E$218,3,FALSE)</f>
        <v>#N/A</v>
      </c>
      <c r="G1219" s="64"/>
      <c r="H1219" s="64"/>
      <c r="I1219" s="63"/>
      <c r="J1219" s="63"/>
      <c r="K1219" s="65"/>
      <c r="L1219" s="65"/>
      <c r="M1219" s="64"/>
      <c r="N1219" s="64"/>
      <c r="O1219" s="66"/>
      <c r="P1219" s="66"/>
      <c r="Q1219" s="66"/>
      <c r="R1219" s="66"/>
      <c r="S1219" s="67"/>
      <c r="T1219" s="68"/>
      <c r="U1219" s="68"/>
      <c r="AC1219" s="68"/>
      <c r="AD1219" s="68"/>
      <c r="AE1219" s="68"/>
      <c r="AF1219" s="68"/>
      <c r="AG1219" s="68"/>
      <c r="AH1219" s="87"/>
      <c r="AI1219" s="87"/>
    </row>
    <row r="1220" spans="1:35" ht="15.75" hidden="1" customHeight="1">
      <c r="A1220" s="44"/>
      <c r="B1220" s="709" t="s">
        <v>59</v>
      </c>
      <c r="C1220" s="552" t="s">
        <v>60</v>
      </c>
      <c r="D1220" s="70" t="s">
        <v>17</v>
      </c>
      <c r="E1220" s="70"/>
      <c r="F1220" s="70" t="s">
        <v>61</v>
      </c>
      <c r="G1220" s="71"/>
      <c r="H1220" s="699" t="s">
        <v>62</v>
      </c>
      <c r="I1220" s="699" t="s">
        <v>18</v>
      </c>
      <c r="J1220" s="699" t="s">
        <v>63</v>
      </c>
      <c r="K1220" s="699" t="s">
        <v>64</v>
      </c>
      <c r="L1220" s="699" t="s">
        <v>65</v>
      </c>
      <c r="M1220" s="743" t="s">
        <v>66</v>
      </c>
      <c r="N1220" s="699" t="s">
        <v>282</v>
      </c>
      <c r="O1220" s="745" t="s">
        <v>67</v>
      </c>
      <c r="P1220" s="746"/>
      <c r="Q1220" s="102" t="s">
        <v>75</v>
      </c>
      <c r="R1220" s="731" t="s">
        <v>22</v>
      </c>
      <c r="S1220" s="732"/>
      <c r="T1220" s="733"/>
      <c r="U1220" s="712" t="s">
        <v>298</v>
      </c>
      <c r="W1220" s="690" t="s">
        <v>268</v>
      </c>
      <c r="X1220" s="691"/>
      <c r="Y1220" s="692"/>
      <c r="Z1220" s="428"/>
      <c r="AA1220" s="697" t="s">
        <v>315</v>
      </c>
      <c r="AB1220" s="695" t="s">
        <v>322</v>
      </c>
      <c r="AC1220" s="49"/>
      <c r="AD1220" s="690" t="s">
        <v>297</v>
      </c>
      <c r="AE1220" s="691"/>
      <c r="AF1220" s="692"/>
      <c r="AG1220" s="49"/>
      <c r="AH1220" s="87"/>
      <c r="AI1220" s="87"/>
    </row>
    <row r="1221" spans="1:35" ht="72" hidden="1">
      <c r="A1221" s="44"/>
      <c r="B1221" s="710"/>
      <c r="C1221" s="553" t="s">
        <v>68</v>
      </c>
      <c r="D1221" s="73" t="s">
        <v>3</v>
      </c>
      <c r="E1221" s="73" t="s">
        <v>19</v>
      </c>
      <c r="F1221" s="73" t="s">
        <v>69</v>
      </c>
      <c r="G1221" s="74" t="s">
        <v>70</v>
      </c>
      <c r="H1221" s="700"/>
      <c r="I1221" s="700"/>
      <c r="J1221" s="700"/>
      <c r="K1221" s="700"/>
      <c r="L1221" s="700"/>
      <c r="M1221" s="744"/>
      <c r="N1221" s="700"/>
      <c r="O1221" s="553" t="s">
        <v>279</v>
      </c>
      <c r="P1221" s="73" t="s">
        <v>88</v>
      </c>
      <c r="Q1221" s="555" t="s">
        <v>76</v>
      </c>
      <c r="R1221" s="734"/>
      <c r="S1221" s="735"/>
      <c r="T1221" s="736"/>
      <c r="U1221" s="712"/>
      <c r="W1221" s="429" t="s">
        <v>269</v>
      </c>
      <c r="X1221" s="457" t="s">
        <v>278</v>
      </c>
      <c r="Y1221" s="430" t="s">
        <v>324</v>
      </c>
      <c r="Z1221" s="428"/>
      <c r="AA1221" s="698"/>
      <c r="AB1221" s="696"/>
      <c r="AC1221" s="49"/>
      <c r="AD1221" s="429" t="s">
        <v>292</v>
      </c>
      <c r="AE1221" s="431" t="s">
        <v>300</v>
      </c>
      <c r="AF1221" s="468" t="s">
        <v>301</v>
      </c>
      <c r="AG1221" s="49"/>
      <c r="AH1221" s="87"/>
      <c r="AI1221" s="87"/>
    </row>
    <row r="1222" spans="1:35" hidden="1">
      <c r="A1222" s="44"/>
      <c r="B1222" s="76"/>
      <c r="C1222" s="77"/>
      <c r="D1222" s="77"/>
      <c r="E1222" s="77"/>
      <c r="F1222" s="77"/>
      <c r="G1222" s="77"/>
      <c r="H1222" s="77"/>
      <c r="I1222" s="77"/>
      <c r="J1222" s="77"/>
      <c r="K1222" s="77"/>
      <c r="L1222" s="77"/>
      <c r="M1222" s="77"/>
      <c r="N1222" s="77"/>
      <c r="O1222" s="77"/>
      <c r="P1222" s="77"/>
      <c r="Q1222" s="77"/>
      <c r="R1222" s="77"/>
      <c r="S1222" s="78"/>
      <c r="T1222" s="79"/>
      <c r="U1222" s="109"/>
      <c r="V1222" s="49"/>
      <c r="W1222" s="432"/>
      <c r="X1222" s="454"/>
      <c r="Y1222" s="433"/>
      <c r="Z1222" s="6"/>
      <c r="AA1222" s="500"/>
      <c r="AB1222" s="562"/>
      <c r="AC1222" s="49"/>
      <c r="AD1222" s="210"/>
      <c r="AE1222" s="434"/>
      <c r="AF1222" s="435"/>
      <c r="AG1222" s="49"/>
      <c r="AH1222" s="87"/>
      <c r="AI1222" s="87"/>
    </row>
    <row r="1223" spans="1:35" hidden="1">
      <c r="A1223" s="80" t="e">
        <f>"A"&amp;E1219</f>
        <v>#N/A</v>
      </c>
      <c r="B1223" s="81">
        <v>1</v>
      </c>
      <c r="C1223" s="82"/>
      <c r="D1223" s="82"/>
      <c r="E1223" s="82"/>
      <c r="F1223" s="82"/>
      <c r="G1223" s="83"/>
      <c r="H1223" s="83"/>
      <c r="I1223" s="84"/>
      <c r="J1223" s="85"/>
      <c r="K1223" s="382"/>
      <c r="L1223" s="85"/>
      <c r="M1223" s="332" t="str">
        <f t="shared" ref="M1223:M1232" si="349">IF(OR(J1223="",L1223="",H1223="NO"),"",IF(OR(J1223&gt;$P$17,J1223&lt;$O$17,L1223&gt;$P$17,AND(J1223&lt;$O$17,L1223&lt;$O$17)),"FUERA DE RANGO",IF(OR(K1223="---",K1223=""),IF(J1223&gt;=$O$17,ROUND((L1223-J1223+1)/360*12,3),ROUND((L1223-$O$17+1)/360*12,3)),IF(J1223&gt;=$O$17,ROUND((L1223-J1223+1)/360*12-ROUND(K1223,3),3),ROUND((L1223-$O$17+1)/360*12-ROUND(K1223,3),3)))))</f>
        <v/>
      </c>
      <c r="N1223" s="86"/>
      <c r="O1223" s="453" t="str">
        <f>IF(OR(G1223="",N1223=""),"",N1223*G1223)</f>
        <v/>
      </c>
      <c r="P1223" s="538" t="str">
        <f>IF(OR(H1223="",M1223="FUERA DE RANGO"),"",IF(OR(L1223&lt;$O$17,L1223&gt;$P$17,L1223="",H1223="NO"),"",IF(OR(N1223="",O1223=""),"",ROUND(O1223,3))))</f>
        <v/>
      </c>
      <c r="Q1223" s="539" t="str">
        <f t="shared" ref="Q1223:Q1232" si="350">IF(AND(H1223="SI",P1223&lt;&gt;""),ROUND(P1223/M1223,3),"")</f>
        <v/>
      </c>
      <c r="R1223" s="737"/>
      <c r="S1223" s="738"/>
      <c r="T1223" s="739"/>
      <c r="U1223" s="470"/>
      <c r="V1223" s="165"/>
      <c r="W1223" s="446"/>
      <c r="X1223" s="456"/>
      <c r="Y1223" s="436"/>
      <c r="Z1223" s="437"/>
      <c r="AA1223" s="560"/>
      <c r="AB1223" s="561"/>
      <c r="AC1223" s="87"/>
      <c r="AD1223" s="466"/>
      <c r="AE1223" s="456"/>
      <c r="AF1223" s="467"/>
      <c r="AG1223" s="87"/>
      <c r="AH1223" s="87"/>
      <c r="AI1223" s="87"/>
    </row>
    <row r="1224" spans="1:35" hidden="1">
      <c r="A1224" s="80" t="e">
        <f>"B"&amp;E1219</f>
        <v>#N/A</v>
      </c>
      <c r="B1224" s="81">
        <v>2</v>
      </c>
      <c r="C1224" s="106"/>
      <c r="D1224" s="106"/>
      <c r="E1224" s="106"/>
      <c r="F1224" s="106"/>
      <c r="G1224" s="83"/>
      <c r="H1224" s="83"/>
      <c r="I1224" s="84"/>
      <c r="J1224" s="85"/>
      <c r="K1224" s="382"/>
      <c r="L1224" s="85"/>
      <c r="M1224" s="332" t="str">
        <f t="shared" si="349"/>
        <v/>
      </c>
      <c r="N1224" s="86"/>
      <c r="O1224" s="453" t="str">
        <f t="shared" ref="O1224:O1232" si="351">IF(OR(G1224="",N1224=""),"",N1224*G1224)</f>
        <v/>
      </c>
      <c r="P1224" s="538" t="str">
        <f t="shared" ref="P1224:P1232" si="352">IF(OR(H1224="",M1224="FUERA DE RANGO"),"",IF(OR(L1224&lt;$O$17,L1224&gt;$P$17,L1224="",H1224="NO"),"",IF(OR(N1224="",O1224=""),"",ROUND(O1224,3))))</f>
        <v/>
      </c>
      <c r="Q1224" s="539" t="str">
        <f t="shared" si="350"/>
        <v/>
      </c>
      <c r="R1224" s="740"/>
      <c r="S1224" s="741"/>
      <c r="T1224" s="742"/>
      <c r="U1224" s="471"/>
      <c r="V1224" s="165"/>
      <c r="W1224" s="446"/>
      <c r="X1224" s="456"/>
      <c r="Y1224" s="436"/>
      <c r="Z1224" s="437"/>
      <c r="AA1224" s="560"/>
      <c r="AB1224" s="561"/>
      <c r="AC1224" s="87"/>
      <c r="AD1224" s="466"/>
      <c r="AE1224" s="456"/>
      <c r="AF1224" s="467"/>
      <c r="AG1224" s="87"/>
      <c r="AH1224" s="87"/>
      <c r="AI1224" s="87"/>
    </row>
    <row r="1225" spans="1:35" hidden="1">
      <c r="A1225" s="80" t="e">
        <f>"C"&amp;E1219</f>
        <v>#N/A</v>
      </c>
      <c r="B1225" s="88">
        <v>3</v>
      </c>
      <c r="C1225" s="82"/>
      <c r="D1225" s="82"/>
      <c r="E1225" s="82"/>
      <c r="F1225" s="82"/>
      <c r="G1225" s="83"/>
      <c r="H1225" s="83"/>
      <c r="I1225" s="84"/>
      <c r="J1225" s="85"/>
      <c r="K1225" s="382"/>
      <c r="L1225" s="85"/>
      <c r="M1225" s="332" t="str">
        <f t="shared" si="349"/>
        <v/>
      </c>
      <c r="N1225" s="86"/>
      <c r="O1225" s="453" t="str">
        <f t="shared" si="351"/>
        <v/>
      </c>
      <c r="P1225" s="538" t="str">
        <f t="shared" si="352"/>
        <v/>
      </c>
      <c r="Q1225" s="539" t="str">
        <f t="shared" si="350"/>
        <v/>
      </c>
      <c r="R1225" s="706"/>
      <c r="S1225" s="707"/>
      <c r="T1225" s="708"/>
      <c r="U1225" s="472"/>
      <c r="V1225" s="166"/>
      <c r="W1225" s="446"/>
      <c r="X1225" s="456"/>
      <c r="Y1225" s="436"/>
      <c r="Z1225" s="437"/>
      <c r="AA1225" s="560"/>
      <c r="AB1225" s="561"/>
      <c r="AC1225" s="87"/>
      <c r="AD1225" s="466"/>
      <c r="AE1225" s="456"/>
      <c r="AF1225" s="467"/>
      <c r="AG1225" s="87"/>
      <c r="AH1225" s="87"/>
      <c r="AI1225" s="87"/>
    </row>
    <row r="1226" spans="1:35" hidden="1">
      <c r="A1226" s="80" t="e">
        <f>"D"&amp;E1219</f>
        <v>#N/A</v>
      </c>
      <c r="B1226" s="105">
        <v>4</v>
      </c>
      <c r="C1226" s="107"/>
      <c r="D1226" s="107"/>
      <c r="E1226" s="107"/>
      <c r="F1226" s="107"/>
      <c r="G1226" s="83"/>
      <c r="H1226" s="83"/>
      <c r="I1226" s="84"/>
      <c r="J1226" s="85"/>
      <c r="K1226" s="382"/>
      <c r="L1226" s="85"/>
      <c r="M1226" s="332" t="str">
        <f t="shared" si="349"/>
        <v/>
      </c>
      <c r="N1226" s="86"/>
      <c r="O1226" s="453" t="str">
        <f t="shared" si="351"/>
        <v/>
      </c>
      <c r="P1226" s="538" t="str">
        <f t="shared" si="352"/>
        <v/>
      </c>
      <c r="Q1226" s="539" t="str">
        <f t="shared" si="350"/>
        <v/>
      </c>
      <c r="R1226" s="706"/>
      <c r="S1226" s="707"/>
      <c r="T1226" s="708"/>
      <c r="U1226" s="472"/>
      <c r="V1226" s="166"/>
      <c r="W1226" s="446"/>
      <c r="X1226" s="456"/>
      <c r="Y1226" s="436"/>
      <c r="Z1226" s="437"/>
      <c r="AA1226" s="560"/>
      <c r="AB1226" s="561"/>
      <c r="AC1226" s="87"/>
      <c r="AD1226" s="466"/>
      <c r="AE1226" s="456"/>
      <c r="AF1226" s="467"/>
      <c r="AG1226" s="87"/>
      <c r="AH1226" s="87"/>
      <c r="AI1226" s="87"/>
    </row>
    <row r="1227" spans="1:35" hidden="1">
      <c r="A1227" s="80" t="e">
        <f>"E"&amp;E1219</f>
        <v>#N/A</v>
      </c>
      <c r="B1227" s="105">
        <v>5</v>
      </c>
      <c r="C1227" s="107"/>
      <c r="D1227" s="107"/>
      <c r="E1227" s="107"/>
      <c r="F1227" s="107"/>
      <c r="G1227" s="83"/>
      <c r="H1227" s="83"/>
      <c r="I1227" s="84"/>
      <c r="J1227" s="85"/>
      <c r="K1227" s="382"/>
      <c r="L1227" s="85"/>
      <c r="M1227" s="332" t="str">
        <f t="shared" si="349"/>
        <v/>
      </c>
      <c r="N1227" s="86"/>
      <c r="O1227" s="453" t="str">
        <f t="shared" si="351"/>
        <v/>
      </c>
      <c r="P1227" s="538" t="str">
        <f t="shared" si="352"/>
        <v/>
      </c>
      <c r="Q1227" s="539" t="str">
        <f t="shared" si="350"/>
        <v/>
      </c>
      <c r="R1227" s="706"/>
      <c r="S1227" s="707"/>
      <c r="T1227" s="708"/>
      <c r="U1227" s="472"/>
      <c r="V1227" s="167"/>
      <c r="W1227" s="446"/>
      <c r="X1227" s="456"/>
      <c r="Y1227" s="436"/>
      <c r="Z1227" s="437"/>
      <c r="AA1227" s="560"/>
      <c r="AB1227" s="561"/>
      <c r="AC1227" s="87"/>
      <c r="AD1227" s="466"/>
      <c r="AE1227" s="456"/>
      <c r="AF1227" s="467"/>
      <c r="AG1227" s="87"/>
      <c r="AH1227" s="87"/>
      <c r="AI1227" s="87"/>
    </row>
    <row r="1228" spans="1:35" hidden="1">
      <c r="A1228" s="80" t="e">
        <f>"F"&amp;E1219</f>
        <v>#N/A</v>
      </c>
      <c r="B1228" s="105">
        <v>6</v>
      </c>
      <c r="C1228" s="107"/>
      <c r="D1228" s="107"/>
      <c r="E1228" s="107"/>
      <c r="F1228" s="107"/>
      <c r="G1228" s="83"/>
      <c r="H1228" s="83"/>
      <c r="I1228" s="84"/>
      <c r="J1228" s="85"/>
      <c r="K1228" s="382"/>
      <c r="L1228" s="85"/>
      <c r="M1228" s="332" t="str">
        <f t="shared" si="349"/>
        <v/>
      </c>
      <c r="N1228" s="86"/>
      <c r="O1228" s="453" t="str">
        <f t="shared" si="351"/>
        <v/>
      </c>
      <c r="P1228" s="538" t="str">
        <f t="shared" si="352"/>
        <v/>
      </c>
      <c r="Q1228" s="539" t="str">
        <f t="shared" si="350"/>
        <v/>
      </c>
      <c r="R1228" s="706"/>
      <c r="S1228" s="707"/>
      <c r="T1228" s="708"/>
      <c r="U1228" s="472"/>
      <c r="V1228" s="167"/>
      <c r="W1228" s="446"/>
      <c r="X1228" s="456"/>
      <c r="Y1228" s="436"/>
      <c r="Z1228" s="437"/>
      <c r="AA1228" s="560"/>
      <c r="AB1228" s="561"/>
      <c r="AC1228" s="87"/>
      <c r="AD1228" s="466"/>
      <c r="AE1228" s="456"/>
      <c r="AF1228" s="467"/>
      <c r="AG1228" s="87"/>
      <c r="AH1228" s="87"/>
      <c r="AI1228" s="87"/>
    </row>
    <row r="1229" spans="1:35" hidden="1">
      <c r="A1229" s="80" t="e">
        <f>"G"&amp;E1219</f>
        <v>#N/A</v>
      </c>
      <c r="B1229" s="105">
        <v>7</v>
      </c>
      <c r="C1229" s="107"/>
      <c r="D1229" s="107"/>
      <c r="E1229" s="107"/>
      <c r="F1229" s="107"/>
      <c r="G1229" s="83"/>
      <c r="H1229" s="83"/>
      <c r="I1229" s="84"/>
      <c r="J1229" s="85"/>
      <c r="K1229" s="382"/>
      <c r="L1229" s="85"/>
      <c r="M1229" s="332" t="str">
        <f t="shared" si="349"/>
        <v/>
      </c>
      <c r="N1229" s="86"/>
      <c r="O1229" s="86" t="str">
        <f t="shared" si="351"/>
        <v/>
      </c>
      <c r="P1229" s="538" t="str">
        <f t="shared" si="352"/>
        <v/>
      </c>
      <c r="Q1229" s="539" t="str">
        <f t="shared" si="350"/>
        <v/>
      </c>
      <c r="R1229" s="706"/>
      <c r="S1229" s="707"/>
      <c r="T1229" s="708"/>
      <c r="U1229" s="472"/>
      <c r="V1229" s="167"/>
      <c r="W1229" s="446"/>
      <c r="X1229" s="456"/>
      <c r="Y1229" s="436"/>
      <c r="Z1229" s="437"/>
      <c r="AA1229" s="560"/>
      <c r="AB1229" s="561"/>
      <c r="AC1229" s="87"/>
      <c r="AD1229" s="466"/>
      <c r="AE1229" s="456"/>
      <c r="AF1229" s="467"/>
      <c r="AG1229" s="87"/>
      <c r="AH1229" s="87"/>
      <c r="AI1229" s="87"/>
    </row>
    <row r="1230" spans="1:35" hidden="1">
      <c r="A1230" s="80" t="e">
        <f>"H"&amp;E1219</f>
        <v>#N/A</v>
      </c>
      <c r="B1230" s="105">
        <v>8</v>
      </c>
      <c r="C1230" s="107"/>
      <c r="D1230" s="107"/>
      <c r="E1230" s="107"/>
      <c r="F1230" s="107"/>
      <c r="G1230" s="83"/>
      <c r="H1230" s="83"/>
      <c r="I1230" s="84"/>
      <c r="J1230" s="85"/>
      <c r="K1230" s="382"/>
      <c r="L1230" s="85"/>
      <c r="M1230" s="332" t="str">
        <f t="shared" si="349"/>
        <v/>
      </c>
      <c r="N1230" s="453"/>
      <c r="O1230" s="86" t="str">
        <f t="shared" si="351"/>
        <v/>
      </c>
      <c r="P1230" s="538" t="str">
        <f t="shared" si="352"/>
        <v/>
      </c>
      <c r="Q1230" s="539" t="str">
        <f t="shared" si="350"/>
        <v/>
      </c>
      <c r="R1230" s="706"/>
      <c r="S1230" s="707"/>
      <c r="T1230" s="708"/>
      <c r="U1230" s="472"/>
      <c r="V1230" s="167"/>
      <c r="W1230" s="446"/>
      <c r="X1230" s="456"/>
      <c r="Y1230" s="436"/>
      <c r="Z1230" s="437"/>
      <c r="AA1230" s="560"/>
      <c r="AB1230" s="561"/>
      <c r="AC1230" s="87"/>
      <c r="AD1230" s="466"/>
      <c r="AE1230" s="456"/>
      <c r="AF1230" s="467"/>
      <c r="AG1230" s="87"/>
      <c r="AH1230" s="87"/>
      <c r="AI1230" s="87"/>
    </row>
    <row r="1231" spans="1:35" hidden="1">
      <c r="A1231" s="80" t="e">
        <f>"I"&amp;E1219</f>
        <v>#N/A</v>
      </c>
      <c r="B1231" s="105">
        <v>9</v>
      </c>
      <c r="C1231" s="107"/>
      <c r="D1231" s="107"/>
      <c r="E1231" s="107"/>
      <c r="F1231" s="107"/>
      <c r="G1231" s="83"/>
      <c r="H1231" s="83"/>
      <c r="I1231" s="84"/>
      <c r="J1231" s="85"/>
      <c r="K1231" s="382"/>
      <c r="L1231" s="85"/>
      <c r="M1231" s="332" t="str">
        <f t="shared" si="349"/>
        <v/>
      </c>
      <c r="N1231" s="453"/>
      <c r="O1231" s="86" t="str">
        <f t="shared" si="351"/>
        <v/>
      </c>
      <c r="P1231" s="538" t="str">
        <f t="shared" si="352"/>
        <v/>
      </c>
      <c r="Q1231" s="539" t="str">
        <f t="shared" si="350"/>
        <v/>
      </c>
      <c r="R1231" s="706"/>
      <c r="S1231" s="707"/>
      <c r="T1231" s="708"/>
      <c r="U1231" s="472"/>
      <c r="V1231" s="167"/>
      <c r="W1231" s="446"/>
      <c r="X1231" s="456"/>
      <c r="Y1231" s="436"/>
      <c r="Z1231" s="437"/>
      <c r="AA1231" s="560"/>
      <c r="AB1231" s="561"/>
      <c r="AC1231" s="87"/>
      <c r="AD1231" s="466"/>
      <c r="AE1231" s="456"/>
      <c r="AF1231" s="467"/>
      <c r="AG1231" s="87"/>
      <c r="AH1231" s="87"/>
      <c r="AI1231" s="87"/>
    </row>
    <row r="1232" spans="1:35" hidden="1">
      <c r="A1232" s="80" t="e">
        <f>"J"&amp;E1219</f>
        <v>#N/A</v>
      </c>
      <c r="B1232" s="105">
        <v>10</v>
      </c>
      <c r="C1232" s="107"/>
      <c r="D1232" s="107"/>
      <c r="E1232" s="107"/>
      <c r="F1232" s="107"/>
      <c r="G1232" s="83"/>
      <c r="H1232" s="83"/>
      <c r="I1232" s="84"/>
      <c r="J1232" s="85"/>
      <c r="K1232" s="382"/>
      <c r="L1232" s="85"/>
      <c r="M1232" s="332" t="str">
        <f t="shared" si="349"/>
        <v/>
      </c>
      <c r="N1232" s="453"/>
      <c r="O1232" s="86" t="str">
        <f t="shared" si="351"/>
        <v/>
      </c>
      <c r="P1232" s="538" t="str">
        <f t="shared" si="352"/>
        <v/>
      </c>
      <c r="Q1232" s="539" t="str">
        <f t="shared" si="350"/>
        <v/>
      </c>
      <c r="R1232" s="706"/>
      <c r="S1232" s="707"/>
      <c r="T1232" s="708"/>
      <c r="U1232" s="472"/>
      <c r="V1232" s="167"/>
      <c r="W1232" s="446"/>
      <c r="X1232" s="456"/>
      <c r="Y1232" s="436"/>
      <c r="Z1232" s="437"/>
      <c r="AA1232" s="560"/>
      <c r="AB1232" s="561"/>
      <c r="AC1232" s="87"/>
      <c r="AD1232" s="466"/>
      <c r="AE1232" s="456"/>
      <c r="AF1232" s="467"/>
      <c r="AG1232" s="87"/>
      <c r="AH1232" s="87"/>
      <c r="AI1232" s="87"/>
    </row>
    <row r="1233" spans="1:35" ht="16.5" hidden="1" thickBot="1">
      <c r="A1233" s="44"/>
      <c r="B1233" s="89"/>
      <c r="C1233" s="90"/>
      <c r="D1233" s="90"/>
      <c r="E1233" s="90"/>
      <c r="F1233" s="90"/>
      <c r="G1233" s="90"/>
      <c r="H1233" s="90"/>
      <c r="I1233" s="90"/>
      <c r="J1233" s="90"/>
      <c r="K1233" s="90"/>
      <c r="L1233" s="90"/>
      <c r="M1233" s="90"/>
      <c r="N1233" s="90"/>
      <c r="O1233" s="90"/>
      <c r="P1233" s="90"/>
      <c r="Q1233" s="90"/>
      <c r="R1233" s="90"/>
      <c r="S1233" s="91"/>
      <c r="T1233" s="92"/>
      <c r="U1233" s="473"/>
      <c r="W1233" s="438"/>
      <c r="X1233" s="455"/>
      <c r="Y1233" s="439"/>
      <c r="Z1233" s="437"/>
      <c r="AA1233" s="530"/>
      <c r="AB1233" s="563"/>
      <c r="AC1233" s="87"/>
      <c r="AD1233" s="440"/>
      <c r="AE1233" s="441"/>
      <c r="AF1233" s="442"/>
      <c r="AG1233" s="49"/>
      <c r="AH1233" s="87"/>
      <c r="AI1233" s="87"/>
    </row>
    <row r="1234" spans="1:35" ht="16.5" hidden="1" thickBot="1">
      <c r="A1234" s="93"/>
      <c r="B1234" s="94"/>
      <c r="C1234" s="96"/>
      <c r="D1234" s="96"/>
      <c r="E1234" s="96"/>
      <c r="F1234" s="96"/>
      <c r="G1234" s="96"/>
      <c r="H1234" s="96"/>
      <c r="I1234" s="96"/>
      <c r="J1234" s="96"/>
      <c r="K1234" s="96"/>
      <c r="L1234" s="96"/>
      <c r="M1234" s="136"/>
      <c r="N1234" s="96"/>
      <c r="O1234" s="96"/>
      <c r="P1234" s="97"/>
      <c r="Q1234" s="97"/>
      <c r="R1234" s="98"/>
      <c r="S1234" s="95"/>
      <c r="T1234" s="99"/>
      <c r="U1234" s="469"/>
      <c r="AC1234" s="58"/>
      <c r="AG1234" s="58"/>
      <c r="AH1234" s="87"/>
      <c r="AI1234" s="87"/>
    </row>
    <row r="1235" spans="1:35" ht="16.5" hidden="1" thickBot="1">
      <c r="B1235" s="101"/>
      <c r="C1235" s="101"/>
      <c r="D1235" s="101"/>
      <c r="E1235" s="101"/>
      <c r="F1235" s="101"/>
      <c r="G1235" s="101"/>
      <c r="H1235" s="101"/>
      <c r="I1235" s="101"/>
      <c r="J1235" s="101"/>
      <c r="K1235" s="101"/>
      <c r="L1235" s="101"/>
      <c r="M1235" s="101"/>
      <c r="N1235" s="101"/>
      <c r="O1235" s="101"/>
      <c r="P1235" s="101"/>
      <c r="Q1235" s="101"/>
      <c r="R1235" s="101"/>
      <c r="S1235" s="101"/>
      <c r="U1235" s="50"/>
      <c r="AH1235" s="87"/>
      <c r="AI1235" s="87"/>
    </row>
    <row r="1236" spans="1:35" ht="16.5" hidden="1" customHeight="1" thickBot="1">
      <c r="A1236" s="44"/>
      <c r="B1236" s="705" t="s">
        <v>74</v>
      </c>
      <c r="C1236" s="705"/>
      <c r="D1236" s="705"/>
      <c r="E1236" s="705"/>
      <c r="F1236" s="705"/>
      <c r="G1236" s="705"/>
      <c r="H1236" s="705"/>
      <c r="I1236" s="705"/>
      <c r="J1236" s="705"/>
      <c r="K1236" s="705"/>
      <c r="L1236" s="705"/>
      <c r="M1236" s="705"/>
      <c r="N1236" s="705"/>
      <c r="O1236" s="705"/>
      <c r="P1236" s="705"/>
      <c r="Q1236" s="705"/>
      <c r="R1236" s="705"/>
      <c r="S1236" s="705"/>
      <c r="T1236" s="705"/>
      <c r="U1236" s="108"/>
      <c r="Y1236" s="532" t="s">
        <v>341</v>
      </c>
      <c r="AC1236" s="49"/>
      <c r="AD1236" s="687" t="s">
        <v>302</v>
      </c>
      <c r="AE1236" s="688"/>
      <c r="AF1236" s="689"/>
      <c r="AG1236" s="49"/>
      <c r="AH1236" s="87"/>
      <c r="AI1236" s="87"/>
    </row>
    <row r="1237" spans="1:35" ht="15.75" hidden="1" customHeight="1" thickBot="1">
      <c r="A1237" s="218" t="e">
        <f>"K"&amp;E1219</f>
        <v>#N/A</v>
      </c>
      <c r="B1237" s="701" t="s">
        <v>71</v>
      </c>
      <c r="C1237" s="751" t="s">
        <v>102</v>
      </c>
      <c r="D1237" s="751"/>
      <c r="E1237" s="751"/>
      <c r="F1237" s="751"/>
      <c r="G1237" s="751"/>
      <c r="H1237" s="751"/>
      <c r="I1237" s="751"/>
      <c r="J1237" s="751"/>
      <c r="K1237" s="751"/>
      <c r="L1237" s="722" t="s">
        <v>100</v>
      </c>
      <c r="M1237" s="747" t="s">
        <v>114</v>
      </c>
      <c r="N1237" s="747"/>
      <c r="O1237" s="747"/>
      <c r="P1237" s="747"/>
      <c r="Q1237" s="748"/>
      <c r="R1237" s="758" t="s">
        <v>280</v>
      </c>
      <c r="S1237" s="748"/>
      <c r="T1237" s="762" t="str">
        <f>IF(COUNTIF(AE1237:AF1237,"VERIFICAR")&gt;0,"VERIFICAR",IF(COUNTIF(AE1237:AF1237,"NO CUMPLE")&gt;0,"NO CUMPLE","CUMPLE"))</f>
        <v>VERIFICAR</v>
      </c>
      <c r="U1237" s="108"/>
      <c r="Y1237" s="533" t="e">
        <f>IF(F1238="","",IF(F1238=1,"INDIVIDUAL","ESTRUCTURA PLURAL"))</f>
        <v>#N/A</v>
      </c>
      <c r="AC1237" s="52"/>
      <c r="AD1237" s="475" t="s">
        <v>303</v>
      </c>
      <c r="AE1237" s="476" t="str">
        <f>IF(COUNTIF(AE1223:AE1232,"")=10,"VERIFICAR",IF(COUNTIF(AE1223:AE1232,"SI")&gt;0,"CUMPLE","NO CUMPLE"))</f>
        <v>VERIFICAR</v>
      </c>
      <c r="AF1237" s="477" t="str">
        <f>IF(COUNTIF(AF1223:AF1232,"")=10,"VERIFICAR",IF(COUNTIF(AF1223:AF1232,"SI")&gt;=$AI$22,"CUMPLE","NO CUMPLE"))</f>
        <v>VERIFICAR</v>
      </c>
      <c r="AG1237" s="52"/>
      <c r="AH1237" s="87"/>
      <c r="AI1237" s="87"/>
    </row>
    <row r="1238" spans="1:35" ht="16.5" hidden="1" customHeight="1" thickBot="1">
      <c r="A1238" s="218" t="e">
        <f>"L"&amp;E1219</f>
        <v>#N/A</v>
      </c>
      <c r="B1238" s="702"/>
      <c r="C1238" s="751" t="s">
        <v>103</v>
      </c>
      <c r="D1238" s="751"/>
      <c r="E1238" s="752"/>
      <c r="F1238" s="557" t="e">
        <f>IF(VLOOKUP(E1219,PROPONENTES!$C$19:$E$218,3,0)="","",VLOOKUP(E1219,PROPONENTES!$C$19:$E$218,3,0))</f>
        <v>#N/A</v>
      </c>
      <c r="G1238" s="753" t="s">
        <v>104</v>
      </c>
      <c r="H1238" s="751"/>
      <c r="I1238" s="715" t="e">
        <f>IF(OR(F1238="",F1238=1),"INTERESADO PERSONA NATURAL O JURIDICA","CONSORCIO O UNION TEMPORAL")</f>
        <v>#N/A</v>
      </c>
      <c r="J1238" s="725"/>
      <c r="K1238" s="728"/>
      <c r="L1238" s="723"/>
      <c r="M1238" s="749"/>
      <c r="N1238" s="749"/>
      <c r="O1238" s="749"/>
      <c r="P1238" s="749"/>
      <c r="Q1238" s="750"/>
      <c r="R1238" s="712"/>
      <c r="S1238" s="750"/>
      <c r="T1238" s="763"/>
      <c r="U1238" s="108"/>
      <c r="Y1238" s="534"/>
      <c r="AA1238" s="52"/>
      <c r="AB1238" s="52"/>
      <c r="AC1238" s="52"/>
      <c r="AG1238" s="52"/>
      <c r="AH1238" s="87"/>
      <c r="AI1238" s="87"/>
    </row>
    <row r="1239" spans="1:35" ht="56.25" hidden="1" customHeight="1" thickBot="1">
      <c r="A1239" s="218" t="e">
        <f>"M"&amp;E1219</f>
        <v>#N/A</v>
      </c>
      <c r="B1239" s="702"/>
      <c r="C1239" s="725" t="s">
        <v>101</v>
      </c>
      <c r="D1239" s="716"/>
      <c r="E1239" s="558" t="s">
        <v>105</v>
      </c>
      <c r="F1239" s="554" t="s">
        <v>87</v>
      </c>
      <c r="G1239" s="553" t="s">
        <v>86</v>
      </c>
      <c r="H1239" s="559" t="s">
        <v>85</v>
      </c>
      <c r="I1239" s="554" t="s">
        <v>252</v>
      </c>
      <c r="J1239" s="553" t="str">
        <f>"¿EL INTEGRANTE TIENE UNA PARTICIPACIÓN DEL "&amp;PORCREQUERIDOINT*100&amp;"%?"</f>
        <v>¿EL INTEGRANTE TIENE UNA PARTICIPACIÓN DEL 60%?</v>
      </c>
      <c r="K1239" s="554" t="s">
        <v>107</v>
      </c>
      <c r="L1239" s="724"/>
      <c r="M1239" s="717" t="s">
        <v>115</v>
      </c>
      <c r="N1239" s="718"/>
      <c r="O1239" s="718"/>
      <c r="P1239" s="718"/>
      <c r="Q1239" s="223">
        <f>IF(AND(H1223="SI",P1223&gt;=0),1,0)+IF(AND(H1224="SI",P1224&gt;=0),1,0)+IF(AND(H1225="SI",P1225&gt;=0),1,0)+IF(AND(H1226="SI",P1226&gt;=0),1,0)+IF(AND(H1227="SI",P1227&gt;=0),1,0)+IF(AND(H1228="SI",P1228&gt;=0),1,0)+IF(AND(H1229="SI",P1229&gt;=0),1,0)+IF(AND(H1230="SI",P1230&gt;=0),1,0)+IF(AND(H1231="SI",P1231&gt;=0),1,0)+IF(AND(H1232="SI",P1232&gt;=0),1,0)</f>
        <v>0</v>
      </c>
      <c r="R1239" s="759"/>
      <c r="S1239" s="761"/>
      <c r="T1239" s="764"/>
      <c r="U1239" s="219"/>
      <c r="V1239" s="464"/>
      <c r="Y1239" s="532" t="s">
        <v>342</v>
      </c>
      <c r="AA1239" s="550" t="s">
        <v>344</v>
      </c>
      <c r="AB1239" s="693" t="s">
        <v>345</v>
      </c>
      <c r="AC1239" s="693" t="s">
        <v>346</v>
      </c>
      <c r="AD1239" s="685" t="s">
        <v>347</v>
      </c>
      <c r="AE1239" s="52"/>
      <c r="AF1239" s="52"/>
      <c r="AG1239" s="52"/>
      <c r="AH1239" s="87"/>
      <c r="AI1239" s="87"/>
    </row>
    <row r="1240" spans="1:35" ht="15.75" hidden="1" customHeight="1" thickBot="1">
      <c r="A1240" s="218" t="e">
        <f>"N"&amp;E1219</f>
        <v>#N/A</v>
      </c>
      <c r="B1240" s="702"/>
      <c r="C1240" s="114">
        <v>1</v>
      </c>
      <c r="D1240" s="194" t="e">
        <f>IF(AND(C1240&lt;=F1238,F1238&gt;1,F1238&lt;&gt;""),VLOOKUP(VALUE(E1219&amp;","&amp;C1240),INTEGRANTES!$D$18:$F$235,2,0),"")</f>
        <v>#N/A</v>
      </c>
      <c r="E1240" s="211" t="e">
        <f>IF(D1240&lt;&gt;"",VLOOKUP(VALUE(E1219&amp;","&amp;C1240),INTEGRANTES!$D$18:$F$235,3,0),"")</f>
        <v>#N/A</v>
      </c>
      <c r="F1240" s="547" t="e">
        <f>IF(D1240="","",SUMIF($I1223:$I1232,D1240,$P1223:$P1232))</f>
        <v>#N/A</v>
      </c>
      <c r="G1240" s="333" t="e">
        <f>IF(D1240="","",SUMIF($I1223:$I1232,D1240,$M1223:$M1232))</f>
        <v>#N/A</v>
      </c>
      <c r="H1240" s="535" t="e">
        <f t="shared" ref="H1240:H1245" si="353">IF(D1240="","",IF(OR(F1240=0,G1240=0),"NO APORTA",ROUND($F1240/$G1240,3)))</f>
        <v>#N/A</v>
      </c>
      <c r="I1240" s="212" t="e">
        <f>IF(D1240="","",IF(H1240="NO APORTA","NO",IF(H1240=MAX($H1240:$H1245),"SI","NO")))</f>
        <v>#N/A</v>
      </c>
      <c r="J1240" s="213" t="e">
        <f t="shared" ref="J1240:J1245" si="354">IF(D1240="","",IF(E1240&gt;=PORCREQUERIDOINT,"SI","NO"))</f>
        <v>#N/A</v>
      </c>
      <c r="K1240" s="200" t="e">
        <f t="shared" ref="K1240:K1245" si="355">IF(D1240="","",IF(AND(I1240="SI",J1240="SI"),"CUMPLE",IF(AND(I1240="NO",OR(J1240="SI",J1240="NO")),"","NO CUMPLE")))</f>
        <v>#N/A</v>
      </c>
      <c r="L1240" s="722" t="s">
        <v>108</v>
      </c>
      <c r="M1240" s="726" t="s">
        <v>119</v>
      </c>
      <c r="N1240" s="726"/>
      <c r="O1240" s="726"/>
      <c r="P1240" s="726"/>
      <c r="Q1240" s="727"/>
      <c r="R1240" s="758" t="s">
        <v>80</v>
      </c>
      <c r="S1240" s="747"/>
      <c r="T1240" s="748"/>
      <c r="U1240" s="219"/>
      <c r="V1240" s="464"/>
      <c r="Y1240" s="533" t="e">
        <f>IF(Y1237="","",IF(Y1237="INDIVIDUAL","NO APLICA","VERIFICAR CUADRO"))</f>
        <v>#N/A</v>
      </c>
      <c r="AA1240" s="551"/>
      <c r="AB1240" s="694"/>
      <c r="AC1240" s="694"/>
      <c r="AD1240" s="686"/>
      <c r="AE1240" s="52"/>
      <c r="AF1240" s="52"/>
      <c r="AG1240" s="52"/>
      <c r="AH1240" s="87"/>
      <c r="AI1240" s="87"/>
    </row>
    <row r="1241" spans="1:35" ht="27" hidden="1" customHeight="1" thickBot="1">
      <c r="A1241" s="218" t="e">
        <f>"O"&amp;E1219</f>
        <v>#N/A</v>
      </c>
      <c r="B1241" s="702"/>
      <c r="C1241" s="114">
        <v>2</v>
      </c>
      <c r="D1241" s="194" t="e">
        <f>IF(AND(C1241&lt;=F1238,F1238&lt;&gt;""),VLOOKUP(VALUE(E1219&amp;","&amp;C1241),INTEGRANTES!$D$18:$F$235,2,0),"")</f>
        <v>#N/A</v>
      </c>
      <c r="E1241" s="211" t="e">
        <f>IF(D1241&lt;&gt;"",VLOOKUP(VALUE(E1219&amp;","&amp;C1241),INTEGRANTES!$D$18:$F$235,3,0),"")</f>
        <v>#N/A</v>
      </c>
      <c r="F1241" s="547" t="e">
        <f>IF(D1241="","",SUMIF($I1223:$I1232,D1241,$P1223:$P1232))</f>
        <v>#N/A</v>
      </c>
      <c r="G1241" s="333" t="e">
        <f>IF(D1241="","",SUMIF($I1223:$I1232,D1241,$M1223:$M1232))</f>
        <v>#N/A</v>
      </c>
      <c r="H1241" s="535" t="e">
        <f t="shared" si="353"/>
        <v>#N/A</v>
      </c>
      <c r="I1241" s="212" t="e">
        <f>IF(D1241="","",IF(H1241="NO APORTA","NO",IF(H1241=MAX($H1240:$H1245),"SI","NO")))</f>
        <v>#N/A</v>
      </c>
      <c r="J1241" s="213" t="e">
        <f t="shared" si="354"/>
        <v>#N/A</v>
      </c>
      <c r="K1241" s="200" t="e">
        <f t="shared" si="355"/>
        <v>#N/A</v>
      </c>
      <c r="L1241" s="723"/>
      <c r="M1241" s="715" t="s">
        <v>116</v>
      </c>
      <c r="N1241" s="716"/>
      <c r="O1241" s="556" t="s">
        <v>113</v>
      </c>
      <c r="P1241" s="715" t="s">
        <v>117</v>
      </c>
      <c r="Q1241" s="728"/>
      <c r="R1241" s="759"/>
      <c r="S1241" s="760"/>
      <c r="T1241" s="761"/>
      <c r="U1241" s="219"/>
      <c r="V1241" s="464"/>
      <c r="Y1241" s="414"/>
      <c r="AA1241" s="542" t="e">
        <f>IF(AND(C1240&lt;=F1238,F1238&gt;1,F1238&lt;&gt;""),VLOOKUP(VALUE(E1219&amp;","&amp;C1240),INTEGRANTES!$D$18:$F$235,2,0),"")</f>
        <v>#N/A</v>
      </c>
      <c r="AB1241" s="544" t="e">
        <f t="shared" ref="AB1241:AB1246" si="356">IF(D1240="","",IF(OR(F1240=0,G1240=0),"NO APORTA",ROUND($F1240/$G1240,3)))</f>
        <v>#N/A</v>
      </c>
      <c r="AC1241" s="529"/>
      <c r="AD1241" s="200" t="e">
        <f t="shared" ref="AD1241:AD1246" si="357">IF(OR(AA1241="",AB1241=""),"",IF(AND(AC1241="X",AB1241&gt;=EXPREQVTD),"CUMPLE","NO CUMPLE"))</f>
        <v>#N/A</v>
      </c>
      <c r="AE1241" s="52"/>
      <c r="AF1241" s="52"/>
      <c r="AG1241" s="52"/>
      <c r="AH1241" s="87"/>
      <c r="AI1241" s="87"/>
    </row>
    <row r="1242" spans="1:35" ht="16.5" hidden="1" thickBot="1">
      <c r="A1242" s="218" t="e">
        <f>"P"&amp;E1219</f>
        <v>#N/A</v>
      </c>
      <c r="B1242" s="702"/>
      <c r="C1242" s="114">
        <v>3</v>
      </c>
      <c r="D1242" s="194" t="e">
        <f>IF(AND(C1242&lt;=F1238,F1238&lt;&gt;""),VLOOKUP(VALUE(E1219&amp;","&amp;C1242),INTEGRANTES!$D$18:$F$235,2,0),"")</f>
        <v>#N/A</v>
      </c>
      <c r="E1242" s="211" t="e">
        <f>IF(D1242&lt;&gt;"",VLOOKUP(VALUE(E1219&amp;","&amp;C1242),INTEGRANTES!$D$18:$F$235,3,0),"")</f>
        <v>#N/A</v>
      </c>
      <c r="F1242" s="547" t="e">
        <f>IF(D1242="","",SUMIF($I1223:$I1232,D1242,$P1223:$P1232))</f>
        <v>#N/A</v>
      </c>
      <c r="G1242" s="333" t="e">
        <f>IF(D1242="","",SUMIF($I1223:$I1232,D1242,$M1223:$M1232))</f>
        <v>#N/A</v>
      </c>
      <c r="H1242" s="535" t="e">
        <f t="shared" si="353"/>
        <v>#N/A</v>
      </c>
      <c r="I1242" s="212" t="e">
        <f>IF(D1242="","",IF(H1242="NO APORTA","NO",IF(H1242=MAX($H1240:$H1245),"SI","NO")))</f>
        <v>#N/A</v>
      </c>
      <c r="J1242" s="213" t="e">
        <f t="shared" si="354"/>
        <v>#N/A</v>
      </c>
      <c r="K1242" s="200" t="e">
        <f t="shared" si="355"/>
        <v>#N/A</v>
      </c>
      <c r="L1242" s="724"/>
      <c r="M1242" s="729">
        <f>NUMMOD</f>
        <v>1</v>
      </c>
      <c r="N1242" s="730"/>
      <c r="O1242" s="443">
        <f>IF(M1242="","",VLOOKUP(M1242,PRESUPUESTOS!$B$16:$H$16,5,FALSE))</f>
        <v>2</v>
      </c>
      <c r="P1242" s="713">
        <f>IF(OR(COUNTIF(M1223:M1232,"")&gt;=10,Q1239&lt;NUMMINCONT,OR(T1237="NO CUMPLE",T1237="VERIFICAR")),0,ROUND(AVERAGE(M1223:M1232),3))</f>
        <v>0</v>
      </c>
      <c r="Q1242" s="714"/>
      <c r="R1242" s="458"/>
      <c r="S1242" s="459"/>
      <c r="T1242" s="460"/>
      <c r="U1242" s="219"/>
      <c r="V1242" s="464"/>
      <c r="Y1242" s="532" t="str">
        <f>"40% * ("&amp;PRESUPUESTOS!$H$13&amp;")"</f>
        <v>40% * (50% PFMO)</v>
      </c>
      <c r="AA1242" s="540" t="e">
        <f>IF(AND(C1241&lt;=F1238,F1238&lt;&gt;""),VLOOKUP(VALUE(E1219&amp;","&amp;C1241),INTEGRANTES!$D$18:$F$235,2,0),"")</f>
        <v>#N/A</v>
      </c>
      <c r="AB1242" s="545" t="e">
        <f t="shared" si="356"/>
        <v>#N/A</v>
      </c>
      <c r="AC1242" s="529"/>
      <c r="AD1242" s="200" t="e">
        <f t="shared" si="357"/>
        <v>#N/A</v>
      </c>
      <c r="AE1242" s="52"/>
      <c r="AF1242" s="52"/>
      <c r="AG1242" s="52"/>
      <c r="AH1242" s="87"/>
      <c r="AI1242" s="87"/>
    </row>
    <row r="1243" spans="1:35" ht="15.75" hidden="1" customHeight="1" thickBot="1">
      <c r="A1243" s="218" t="e">
        <f>"Q"&amp;E1219</f>
        <v>#N/A</v>
      </c>
      <c r="B1243" s="702"/>
      <c r="C1243" s="114">
        <v>4</v>
      </c>
      <c r="D1243" s="194" t="e">
        <f>IF(AND(C1243&lt;=F1238,F1238&lt;&gt;""),VLOOKUP(VALUE(E1219&amp;","&amp;C1243),INTEGRANTES!$D$18:$F$235,2,0),"")</f>
        <v>#N/A</v>
      </c>
      <c r="E1243" s="211" t="e">
        <f>IF(D1243&lt;&gt;"",VLOOKUP(VALUE(E1219&amp;","&amp;C1243),INTEGRANTES!$D$18:$F$235,3,0),"")</f>
        <v>#N/A</v>
      </c>
      <c r="F1243" s="547" t="e">
        <f>IF(D1243="","",SUMIF($I1223:$I1232,D1243,$P1223:$P1232))</f>
        <v>#N/A</v>
      </c>
      <c r="G1243" s="333" t="e">
        <f>IF(D1243="","",SUMIF($I1223:$I1232,D1243,$M1223:$M1232))</f>
        <v>#N/A</v>
      </c>
      <c r="H1243" s="535" t="e">
        <f t="shared" si="353"/>
        <v>#N/A</v>
      </c>
      <c r="I1243" s="212" t="e">
        <f>IF(D1243="","",IF(H1243="NO APORTA","NO",IF(H1243=MAX($H1240:$H1245),"SI","NO")))</f>
        <v>#N/A</v>
      </c>
      <c r="J1243" s="213" t="e">
        <f t="shared" si="354"/>
        <v>#N/A</v>
      </c>
      <c r="K1243" s="200" t="e">
        <f t="shared" si="355"/>
        <v>#N/A</v>
      </c>
      <c r="L1243" s="720" t="s">
        <v>109</v>
      </c>
      <c r="M1243" s="757" t="s">
        <v>120</v>
      </c>
      <c r="N1243" s="726"/>
      <c r="O1243" s="726"/>
      <c r="P1243" s="726"/>
      <c r="Q1243" s="727"/>
      <c r="R1243" s="458"/>
      <c r="S1243" s="459"/>
      <c r="T1243" s="460"/>
      <c r="U1243" s="219"/>
      <c r="V1243" s="464"/>
      <c r="Y1243" s="537">
        <f>0.4*PRESUPUESTOS!$H$16</f>
        <v>10.3124</v>
      </c>
      <c r="AA1243" s="540" t="e">
        <f>IF(AND(C1242&lt;=F1238,F1238&lt;&gt;""),VLOOKUP(VALUE(E1219&amp;","&amp;C1242),INTEGRANTES!$D$18:$F$235,2,0),"")</f>
        <v>#N/A</v>
      </c>
      <c r="AB1243" s="545" t="e">
        <f t="shared" si="356"/>
        <v>#N/A</v>
      </c>
      <c r="AC1243" s="529"/>
      <c r="AD1243" s="200" t="e">
        <f t="shared" si="357"/>
        <v>#N/A</v>
      </c>
      <c r="AE1243" s="52"/>
      <c r="AF1243" s="52"/>
      <c r="AG1243" s="52"/>
      <c r="AH1243" s="87"/>
      <c r="AI1243" s="87"/>
    </row>
    <row r="1244" spans="1:35" ht="27" hidden="1" customHeight="1" thickBot="1">
      <c r="A1244" s="218" t="e">
        <f>"R"&amp;E1219</f>
        <v>#N/A</v>
      </c>
      <c r="B1244" s="702"/>
      <c r="C1244" s="114">
        <v>5</v>
      </c>
      <c r="D1244" s="194" t="e">
        <f>IF(AND(C1244&lt;=F1238,F1238&lt;&gt;""),VLOOKUP(VALUE(E1219&amp;","&amp;C1244),INTEGRANTES!$D$18:$F$235,2,0),"")</f>
        <v>#N/A</v>
      </c>
      <c r="E1244" s="211" t="e">
        <f>IF(D1244&lt;&gt;"",VLOOKUP(VALUE(E1219&amp;","&amp;C1244),INTEGRANTES!$D$18:$F$235,3,0),"")</f>
        <v>#N/A</v>
      </c>
      <c r="F1244" s="547" t="e">
        <f>IF(D1244="","",SUMIF($I1223:$I1232,D1244,$P1223:$P1232))</f>
        <v>#N/A</v>
      </c>
      <c r="G1244" s="333" t="e">
        <f>IF(D1244="","",SUMIF($I1223:$I1232,D1244,$M1223:$M1232))</f>
        <v>#N/A</v>
      </c>
      <c r="H1244" s="535" t="e">
        <f t="shared" si="353"/>
        <v>#N/A</v>
      </c>
      <c r="I1244" s="212" t="e">
        <f>IF(D1244="","",IF(H1244="NO APORTA","NO",IF(H1244=MAX($H1240:$H1245),"SI","NO")))</f>
        <v>#N/A</v>
      </c>
      <c r="J1244" s="213" t="e">
        <f t="shared" si="354"/>
        <v>#N/A</v>
      </c>
      <c r="K1244" s="200" t="e">
        <f t="shared" si="355"/>
        <v>#N/A</v>
      </c>
      <c r="L1244" s="721"/>
      <c r="M1244" s="715" t="s">
        <v>116</v>
      </c>
      <c r="N1244" s="716"/>
      <c r="O1244" s="556" t="str">
        <f>PORCREQUERIDO*100&amp;"% PMFO DEL MÓDULO"</f>
        <v>50% PMFO DEL MÓDULO</v>
      </c>
      <c r="P1244" s="715" t="s">
        <v>118</v>
      </c>
      <c r="Q1244" s="728"/>
      <c r="R1244" s="458"/>
      <c r="S1244" s="459"/>
      <c r="T1244" s="460"/>
      <c r="U1244" s="219"/>
      <c r="V1244" s="464"/>
      <c r="Y1244" s="414"/>
      <c r="AA1244" s="540" t="e">
        <f>IF(AND(C1243&lt;=F1238,F1238&lt;&gt;""),VLOOKUP(VALUE(E1219&amp;","&amp;C1243),INTEGRANTES!$D$18:$F$235,2,0),"")</f>
        <v>#N/A</v>
      </c>
      <c r="AB1244" s="545" t="e">
        <f t="shared" si="356"/>
        <v>#N/A</v>
      </c>
      <c r="AC1244" s="529"/>
      <c r="AD1244" s="200" t="e">
        <f t="shared" si="357"/>
        <v>#N/A</v>
      </c>
      <c r="AE1244" s="52"/>
      <c r="AF1244" s="52"/>
      <c r="AG1244" s="52"/>
      <c r="AH1244" s="87"/>
      <c r="AI1244" s="87"/>
    </row>
    <row r="1245" spans="1:35" ht="16.5" hidden="1" thickBot="1">
      <c r="A1245" s="218" t="e">
        <f>"S"&amp;E1219</f>
        <v>#N/A</v>
      </c>
      <c r="B1245" s="702"/>
      <c r="C1245" s="215">
        <v>6</v>
      </c>
      <c r="D1245" s="216" t="e">
        <f>IF(AND(C1245&lt;=F1238,F1238&lt;&gt;""),VLOOKUP(VALUE(E1219&amp;","&amp;C1245),INTEGRANTES!$D$18:$F$235,2,0),"")</f>
        <v>#N/A</v>
      </c>
      <c r="E1245" s="217" t="e">
        <f>IF(D1245&lt;&gt;"",VLOOKUP(VALUE(E1219&amp;","&amp;C1245),INTEGRANTES!$D$18:$F$235,3,0),"")</f>
        <v>#N/A</v>
      </c>
      <c r="F1245" s="548" t="e">
        <f>IF(D1245="","",SUMIF($I1223:$I1232,D1245,$P1223:$P1232))</f>
        <v>#N/A</v>
      </c>
      <c r="G1245" s="334" t="e">
        <f>IF(D1245="","",SUMIF($I1223:$I1232,D1245,$M1223:$M1232))</f>
        <v>#N/A</v>
      </c>
      <c r="H1245" s="536" t="e">
        <f t="shared" si="353"/>
        <v>#N/A</v>
      </c>
      <c r="I1245" s="214" t="e">
        <f>IF(D1245="","",IF(H1245="NO APORTA","NO",IF(H1245=MAX($H1240:$H1245),"SI","NO")))</f>
        <v>#N/A</v>
      </c>
      <c r="J1245" s="213" t="e">
        <f t="shared" si="354"/>
        <v>#N/A</v>
      </c>
      <c r="K1245" s="200" t="e">
        <f t="shared" si="355"/>
        <v>#N/A</v>
      </c>
      <c r="L1245" s="721"/>
      <c r="M1245" s="729">
        <f>NUMMOD</f>
        <v>1</v>
      </c>
      <c r="N1245" s="730"/>
      <c r="O1245" s="443">
        <f>IF(M1245="","",ROUND(VLOOKUP(M1245,PRESUPUESTOS!$B$16:$H$16,7,FALSE),3))</f>
        <v>25.780999999999999</v>
      </c>
      <c r="P1245" s="713">
        <f>IF(OR(COUNTIF(P1223:P1232,"")&gt;=10,Q1239&lt;NUMMINCONT,OR(T1237="NO CUMPLE",T1237="VERIFICAR")),0,ROUND((SUM(P1223:P1232)/SUM(M1223:M1232)),3))</f>
        <v>0</v>
      </c>
      <c r="Q1245" s="714"/>
      <c r="R1245" s="458"/>
      <c r="S1245" s="459"/>
      <c r="T1245" s="460"/>
      <c r="U1245" s="219"/>
      <c r="V1245" s="464"/>
      <c r="Y1245" s="532" t="s">
        <v>343</v>
      </c>
      <c r="AA1245" s="540" t="e">
        <f>IF(AND(C1244&lt;=F1238,F1238&lt;&gt;""),VLOOKUP(VALUE(E1219&amp;","&amp;C1244),INTEGRANTES!$D$18:$F$235,2,0),"")</f>
        <v>#N/A</v>
      </c>
      <c r="AB1245" s="545" t="e">
        <f t="shared" si="356"/>
        <v>#N/A</v>
      </c>
      <c r="AC1245" s="529"/>
      <c r="AD1245" s="200" t="e">
        <f t="shared" si="357"/>
        <v>#N/A</v>
      </c>
      <c r="AE1245" s="52"/>
      <c r="AF1245" s="52"/>
      <c r="AG1245" s="52"/>
      <c r="AH1245" s="87"/>
      <c r="AI1245" s="87"/>
    </row>
    <row r="1246" spans="1:35" ht="16.5" hidden="1" customHeight="1" thickBot="1">
      <c r="A1246" s="218" t="e">
        <f>"T"&amp;E1219</f>
        <v>#N/A</v>
      </c>
      <c r="B1246" s="703"/>
      <c r="C1246" s="719"/>
      <c r="D1246" s="719"/>
      <c r="E1246" s="719"/>
      <c r="F1246" s="719"/>
      <c r="G1246" s="719"/>
      <c r="H1246" s="719" t="s">
        <v>110</v>
      </c>
      <c r="I1246" s="719"/>
      <c r="J1246" s="719"/>
      <c r="K1246" s="201" t="str">
        <f>IF(COUNTIF(K1240:K1245,"")=6,"",IF(COUNTIF(K1240:K1245,"CUMPLE")&gt;0,"CUMPLE","NO CUMPLE"))</f>
        <v>NO CUMPLE</v>
      </c>
      <c r="L1246" s="754"/>
      <c r="M1246" s="755"/>
      <c r="N1246" s="755"/>
      <c r="O1246" s="755"/>
      <c r="P1246" s="755"/>
      <c r="Q1246" s="756"/>
      <c r="R1246" s="461"/>
      <c r="S1246" s="462"/>
      <c r="T1246" s="463"/>
      <c r="U1246" s="219"/>
      <c r="V1246" s="464"/>
      <c r="Y1246" s="549" t="e">
        <f>IF(Y1240="NO APLICA","NO APLICA",IF(COUNTIF(AD1241:AD1246,"CUMPLE")&gt;0,"CUMPLE","NO CUMPLE"))</f>
        <v>#N/A</v>
      </c>
      <c r="AA1246" s="541" t="e">
        <f>IF(AND(C1245&lt;=F1238,F1238&lt;&gt;""),VLOOKUP(VALUE(E1219&amp;","&amp;C1245),INTEGRANTES!$D$18:$F$235,2,0),"")</f>
        <v>#N/A</v>
      </c>
      <c r="AB1246" s="546" t="e">
        <f t="shared" si="356"/>
        <v>#N/A</v>
      </c>
      <c r="AC1246" s="543"/>
      <c r="AD1246" s="201" t="e">
        <f t="shared" si="357"/>
        <v>#N/A</v>
      </c>
      <c r="AE1246" s="52"/>
      <c r="AF1246" s="52"/>
      <c r="AG1246" s="52"/>
      <c r="AH1246" s="87"/>
      <c r="AI1246" s="87"/>
    </row>
    <row r="1247" spans="1:35" hidden="1">
      <c r="A1247" s="103"/>
      <c r="B1247" s="206"/>
      <c r="C1247" s="206"/>
      <c r="D1247" s="206"/>
      <c r="E1247" s="206"/>
      <c r="F1247" s="206"/>
      <c r="G1247" s="206"/>
      <c r="H1247" s="206"/>
      <c r="I1247" s="104"/>
      <c r="J1247" s="206"/>
      <c r="K1247" s="113"/>
      <c r="L1247" s="113"/>
      <c r="M1247" s="113"/>
      <c r="N1247" s="222"/>
      <c r="O1247" s="113"/>
      <c r="P1247" s="113"/>
      <c r="Q1247" s="113"/>
      <c r="R1247" s="206"/>
      <c r="S1247" s="104"/>
      <c r="T1247" s="206"/>
      <c r="U1247" s="474"/>
      <c r="AH1247" s="87"/>
      <c r="AI1247" s="87"/>
    </row>
    <row r="1248" spans="1:35" hidden="1">
      <c r="H1248" s="220"/>
      <c r="AH1248" s="87"/>
      <c r="AI1248" s="87"/>
    </row>
    <row r="1249" spans="1:35" ht="24" hidden="1" thickBot="1">
      <c r="A1249" s="61">
        <v>42</v>
      </c>
      <c r="B1249" s="704" t="s">
        <v>51</v>
      </c>
      <c r="C1249" s="704"/>
      <c r="D1249" s="704"/>
      <c r="E1249" s="62" t="e">
        <f>VLOOKUP(A1249,PROPONENTES!$B$19:$E$218,2,FALSE)</f>
        <v>#N/A</v>
      </c>
      <c r="F1249" s="63" t="e">
        <f>VLOOKUP(A1249,PROPONENTES!$B$19:$E$218,3,FALSE)</f>
        <v>#N/A</v>
      </c>
      <c r="G1249" s="64"/>
      <c r="H1249" s="64"/>
      <c r="I1249" s="63"/>
      <c r="J1249" s="63"/>
      <c r="K1249" s="65"/>
      <c r="L1249" s="65"/>
      <c r="M1249" s="64"/>
      <c r="N1249" s="64"/>
      <c r="O1249" s="66"/>
      <c r="P1249" s="66"/>
      <c r="Q1249" s="66"/>
      <c r="R1249" s="66"/>
      <c r="S1249" s="67"/>
      <c r="T1249" s="68"/>
      <c r="U1249" s="68"/>
      <c r="AC1249" s="68"/>
      <c r="AD1249" s="68"/>
      <c r="AE1249" s="68"/>
      <c r="AF1249" s="68"/>
      <c r="AG1249" s="68"/>
      <c r="AH1249" s="87"/>
      <c r="AI1249" s="87"/>
    </row>
    <row r="1250" spans="1:35" ht="15.75" hidden="1" customHeight="1">
      <c r="A1250" s="44"/>
      <c r="B1250" s="709" t="s">
        <v>59</v>
      </c>
      <c r="C1250" s="552" t="s">
        <v>60</v>
      </c>
      <c r="D1250" s="70" t="s">
        <v>17</v>
      </c>
      <c r="E1250" s="70"/>
      <c r="F1250" s="70" t="s">
        <v>61</v>
      </c>
      <c r="G1250" s="71"/>
      <c r="H1250" s="699" t="s">
        <v>62</v>
      </c>
      <c r="I1250" s="699" t="s">
        <v>18</v>
      </c>
      <c r="J1250" s="699" t="s">
        <v>63</v>
      </c>
      <c r="K1250" s="699" t="s">
        <v>64</v>
      </c>
      <c r="L1250" s="699" t="s">
        <v>65</v>
      </c>
      <c r="M1250" s="743" t="s">
        <v>66</v>
      </c>
      <c r="N1250" s="699" t="s">
        <v>282</v>
      </c>
      <c r="O1250" s="745" t="s">
        <v>67</v>
      </c>
      <c r="P1250" s="746"/>
      <c r="Q1250" s="102" t="s">
        <v>75</v>
      </c>
      <c r="R1250" s="731" t="s">
        <v>22</v>
      </c>
      <c r="S1250" s="732"/>
      <c r="T1250" s="733"/>
      <c r="U1250" s="712" t="s">
        <v>298</v>
      </c>
      <c r="W1250" s="690" t="s">
        <v>268</v>
      </c>
      <c r="X1250" s="691"/>
      <c r="Y1250" s="692"/>
      <c r="Z1250" s="428"/>
      <c r="AA1250" s="697" t="s">
        <v>315</v>
      </c>
      <c r="AB1250" s="695" t="s">
        <v>322</v>
      </c>
      <c r="AC1250" s="49"/>
      <c r="AD1250" s="690" t="s">
        <v>297</v>
      </c>
      <c r="AE1250" s="691"/>
      <c r="AF1250" s="692"/>
      <c r="AG1250" s="49"/>
      <c r="AH1250" s="87"/>
      <c r="AI1250" s="87"/>
    </row>
    <row r="1251" spans="1:35" ht="72" hidden="1">
      <c r="A1251" s="44"/>
      <c r="B1251" s="710"/>
      <c r="C1251" s="553" t="s">
        <v>68</v>
      </c>
      <c r="D1251" s="73" t="s">
        <v>3</v>
      </c>
      <c r="E1251" s="73" t="s">
        <v>19</v>
      </c>
      <c r="F1251" s="73" t="s">
        <v>69</v>
      </c>
      <c r="G1251" s="74" t="s">
        <v>70</v>
      </c>
      <c r="H1251" s="700"/>
      <c r="I1251" s="700"/>
      <c r="J1251" s="700"/>
      <c r="K1251" s="700"/>
      <c r="L1251" s="700"/>
      <c r="M1251" s="744"/>
      <c r="N1251" s="700"/>
      <c r="O1251" s="553" t="s">
        <v>279</v>
      </c>
      <c r="P1251" s="73" t="s">
        <v>88</v>
      </c>
      <c r="Q1251" s="555" t="s">
        <v>76</v>
      </c>
      <c r="R1251" s="734"/>
      <c r="S1251" s="735"/>
      <c r="T1251" s="736"/>
      <c r="U1251" s="712"/>
      <c r="W1251" s="429" t="s">
        <v>269</v>
      </c>
      <c r="X1251" s="457" t="s">
        <v>278</v>
      </c>
      <c r="Y1251" s="430" t="s">
        <v>324</v>
      </c>
      <c r="Z1251" s="428"/>
      <c r="AA1251" s="698"/>
      <c r="AB1251" s="696"/>
      <c r="AC1251" s="49"/>
      <c r="AD1251" s="429" t="s">
        <v>292</v>
      </c>
      <c r="AE1251" s="431" t="s">
        <v>300</v>
      </c>
      <c r="AF1251" s="468" t="s">
        <v>301</v>
      </c>
      <c r="AG1251" s="49"/>
      <c r="AH1251" s="87"/>
      <c r="AI1251" s="87"/>
    </row>
    <row r="1252" spans="1:35" hidden="1">
      <c r="A1252" s="44"/>
      <c r="B1252" s="76"/>
      <c r="C1252" s="77"/>
      <c r="D1252" s="77"/>
      <c r="E1252" s="77"/>
      <c r="F1252" s="77"/>
      <c r="G1252" s="77"/>
      <c r="H1252" s="77"/>
      <c r="I1252" s="77"/>
      <c r="J1252" s="77"/>
      <c r="K1252" s="77"/>
      <c r="L1252" s="77"/>
      <c r="M1252" s="77"/>
      <c r="N1252" s="77"/>
      <c r="O1252" s="77"/>
      <c r="P1252" s="77"/>
      <c r="Q1252" s="77"/>
      <c r="R1252" s="77"/>
      <c r="S1252" s="78"/>
      <c r="T1252" s="79"/>
      <c r="U1252" s="109"/>
      <c r="V1252" s="49"/>
      <c r="W1252" s="432"/>
      <c r="X1252" s="454"/>
      <c r="Y1252" s="433"/>
      <c r="Z1252" s="6"/>
      <c r="AA1252" s="500"/>
      <c r="AB1252" s="562"/>
      <c r="AC1252" s="49"/>
      <c r="AD1252" s="210"/>
      <c r="AE1252" s="434"/>
      <c r="AF1252" s="435"/>
      <c r="AG1252" s="49"/>
      <c r="AH1252" s="87"/>
      <c r="AI1252" s="87"/>
    </row>
    <row r="1253" spans="1:35" hidden="1">
      <c r="A1253" s="80" t="e">
        <f>"A"&amp;E1249</f>
        <v>#N/A</v>
      </c>
      <c r="B1253" s="81">
        <v>1</v>
      </c>
      <c r="C1253" s="82"/>
      <c r="D1253" s="82"/>
      <c r="E1253" s="82"/>
      <c r="F1253" s="82"/>
      <c r="G1253" s="83"/>
      <c r="H1253" s="83"/>
      <c r="I1253" s="84"/>
      <c r="J1253" s="85"/>
      <c r="K1253" s="382"/>
      <c r="L1253" s="85"/>
      <c r="M1253" s="332" t="str">
        <f t="shared" ref="M1253:M1262" si="358">IF(OR(J1253="",L1253="",H1253="NO"),"",IF(OR(J1253&gt;$P$17,J1253&lt;$O$17,L1253&gt;$P$17,AND(J1253&lt;$O$17,L1253&lt;$O$17)),"FUERA DE RANGO",IF(OR(K1253="---",K1253=""),IF(J1253&gt;=$O$17,ROUND((L1253-J1253+1)/360*12,3),ROUND((L1253-$O$17+1)/360*12,3)),IF(J1253&gt;=$O$17,ROUND((L1253-J1253+1)/360*12-ROUND(K1253,3),3),ROUND((L1253-$O$17+1)/360*12-ROUND(K1253,3),3)))))</f>
        <v/>
      </c>
      <c r="N1253" s="86"/>
      <c r="O1253" s="453" t="str">
        <f>IF(OR(G1253="",N1253=""),"",N1253*G1253)</f>
        <v/>
      </c>
      <c r="P1253" s="538" t="str">
        <f>IF(OR(H1253="",M1253="FUERA DE RANGO"),"",IF(OR(L1253&lt;$O$17,L1253&gt;$P$17,L1253="",H1253="NO"),"",IF(OR(N1253="",O1253=""),"",ROUND(O1253,3))))</f>
        <v/>
      </c>
      <c r="Q1253" s="539" t="str">
        <f t="shared" ref="Q1253:Q1262" si="359">IF(AND(H1253="SI",P1253&lt;&gt;""),ROUND(P1253/M1253,3),"")</f>
        <v/>
      </c>
      <c r="R1253" s="737"/>
      <c r="S1253" s="738"/>
      <c r="T1253" s="739"/>
      <c r="U1253" s="470"/>
      <c r="V1253" s="165"/>
      <c r="W1253" s="446"/>
      <c r="X1253" s="456"/>
      <c r="Y1253" s="436"/>
      <c r="Z1253" s="437"/>
      <c r="AA1253" s="560"/>
      <c r="AB1253" s="561"/>
      <c r="AC1253" s="87"/>
      <c r="AD1253" s="466"/>
      <c r="AE1253" s="456"/>
      <c r="AF1253" s="467"/>
      <c r="AG1253" s="87"/>
      <c r="AH1253" s="87"/>
      <c r="AI1253" s="87"/>
    </row>
    <row r="1254" spans="1:35" hidden="1">
      <c r="A1254" s="80" t="e">
        <f>"B"&amp;E1249</f>
        <v>#N/A</v>
      </c>
      <c r="B1254" s="81">
        <v>2</v>
      </c>
      <c r="C1254" s="106"/>
      <c r="D1254" s="106"/>
      <c r="E1254" s="106"/>
      <c r="F1254" s="106"/>
      <c r="G1254" s="83"/>
      <c r="H1254" s="83"/>
      <c r="I1254" s="84"/>
      <c r="J1254" s="85"/>
      <c r="K1254" s="382"/>
      <c r="L1254" s="85"/>
      <c r="M1254" s="332" t="str">
        <f t="shared" si="358"/>
        <v/>
      </c>
      <c r="N1254" s="86"/>
      <c r="O1254" s="453" t="str">
        <f t="shared" ref="O1254:O1262" si="360">IF(OR(G1254="",N1254=""),"",N1254*G1254)</f>
        <v/>
      </c>
      <c r="P1254" s="538" t="str">
        <f t="shared" ref="P1254:P1262" si="361">IF(OR(H1254="",M1254="FUERA DE RANGO"),"",IF(OR(L1254&lt;$O$17,L1254&gt;$P$17,L1254="",H1254="NO"),"",IF(OR(N1254="",O1254=""),"",ROUND(O1254,3))))</f>
        <v/>
      </c>
      <c r="Q1254" s="539" t="str">
        <f t="shared" si="359"/>
        <v/>
      </c>
      <c r="R1254" s="740"/>
      <c r="S1254" s="741"/>
      <c r="T1254" s="742"/>
      <c r="U1254" s="471"/>
      <c r="V1254" s="165"/>
      <c r="W1254" s="446"/>
      <c r="X1254" s="456"/>
      <c r="Y1254" s="436"/>
      <c r="Z1254" s="437"/>
      <c r="AA1254" s="560"/>
      <c r="AB1254" s="561"/>
      <c r="AC1254" s="87"/>
      <c r="AD1254" s="466"/>
      <c r="AE1254" s="456"/>
      <c r="AF1254" s="467"/>
      <c r="AG1254" s="87"/>
      <c r="AH1254" s="87"/>
      <c r="AI1254" s="87"/>
    </row>
    <row r="1255" spans="1:35" hidden="1">
      <c r="A1255" s="80" t="e">
        <f>"C"&amp;E1249</f>
        <v>#N/A</v>
      </c>
      <c r="B1255" s="88">
        <v>3</v>
      </c>
      <c r="C1255" s="82"/>
      <c r="D1255" s="82"/>
      <c r="E1255" s="82"/>
      <c r="F1255" s="82"/>
      <c r="G1255" s="83"/>
      <c r="H1255" s="83"/>
      <c r="I1255" s="84"/>
      <c r="J1255" s="85"/>
      <c r="K1255" s="382"/>
      <c r="L1255" s="85"/>
      <c r="M1255" s="332" t="str">
        <f t="shared" si="358"/>
        <v/>
      </c>
      <c r="N1255" s="86"/>
      <c r="O1255" s="453" t="str">
        <f t="shared" si="360"/>
        <v/>
      </c>
      <c r="P1255" s="538" t="str">
        <f t="shared" si="361"/>
        <v/>
      </c>
      <c r="Q1255" s="539" t="str">
        <f t="shared" si="359"/>
        <v/>
      </c>
      <c r="R1255" s="706"/>
      <c r="S1255" s="707"/>
      <c r="T1255" s="708"/>
      <c r="U1255" s="472"/>
      <c r="V1255" s="166"/>
      <c r="W1255" s="446"/>
      <c r="X1255" s="456"/>
      <c r="Y1255" s="436"/>
      <c r="Z1255" s="437"/>
      <c r="AA1255" s="560"/>
      <c r="AB1255" s="561"/>
      <c r="AC1255" s="87"/>
      <c r="AD1255" s="466"/>
      <c r="AE1255" s="456"/>
      <c r="AF1255" s="467"/>
      <c r="AG1255" s="87"/>
      <c r="AH1255" s="87"/>
      <c r="AI1255" s="87"/>
    </row>
    <row r="1256" spans="1:35" hidden="1">
      <c r="A1256" s="80" t="e">
        <f>"D"&amp;E1249</f>
        <v>#N/A</v>
      </c>
      <c r="B1256" s="105">
        <v>4</v>
      </c>
      <c r="C1256" s="107"/>
      <c r="D1256" s="107"/>
      <c r="E1256" s="107"/>
      <c r="F1256" s="107"/>
      <c r="G1256" s="83"/>
      <c r="H1256" s="83"/>
      <c r="I1256" s="84"/>
      <c r="J1256" s="85"/>
      <c r="K1256" s="382"/>
      <c r="L1256" s="85"/>
      <c r="M1256" s="332" t="str">
        <f t="shared" si="358"/>
        <v/>
      </c>
      <c r="N1256" s="86"/>
      <c r="O1256" s="453" t="str">
        <f t="shared" si="360"/>
        <v/>
      </c>
      <c r="P1256" s="538" t="str">
        <f t="shared" si="361"/>
        <v/>
      </c>
      <c r="Q1256" s="539" t="str">
        <f t="shared" si="359"/>
        <v/>
      </c>
      <c r="R1256" s="706"/>
      <c r="S1256" s="707"/>
      <c r="T1256" s="708"/>
      <c r="U1256" s="472"/>
      <c r="V1256" s="166"/>
      <c r="W1256" s="446"/>
      <c r="X1256" s="456"/>
      <c r="Y1256" s="436"/>
      <c r="Z1256" s="437"/>
      <c r="AA1256" s="560"/>
      <c r="AB1256" s="561"/>
      <c r="AC1256" s="87"/>
      <c r="AD1256" s="466"/>
      <c r="AE1256" s="456"/>
      <c r="AF1256" s="467"/>
      <c r="AG1256" s="87"/>
      <c r="AH1256" s="87"/>
      <c r="AI1256" s="87"/>
    </row>
    <row r="1257" spans="1:35" hidden="1">
      <c r="A1257" s="80" t="e">
        <f>"E"&amp;E1249</f>
        <v>#N/A</v>
      </c>
      <c r="B1257" s="105">
        <v>5</v>
      </c>
      <c r="C1257" s="107"/>
      <c r="D1257" s="107"/>
      <c r="E1257" s="107"/>
      <c r="F1257" s="107"/>
      <c r="G1257" s="83"/>
      <c r="H1257" s="83"/>
      <c r="I1257" s="84"/>
      <c r="J1257" s="85"/>
      <c r="K1257" s="382"/>
      <c r="L1257" s="85"/>
      <c r="M1257" s="332" t="str">
        <f t="shared" si="358"/>
        <v/>
      </c>
      <c r="N1257" s="86"/>
      <c r="O1257" s="453" t="str">
        <f t="shared" si="360"/>
        <v/>
      </c>
      <c r="P1257" s="538" t="str">
        <f t="shared" si="361"/>
        <v/>
      </c>
      <c r="Q1257" s="539" t="str">
        <f t="shared" si="359"/>
        <v/>
      </c>
      <c r="R1257" s="706"/>
      <c r="S1257" s="707"/>
      <c r="T1257" s="708"/>
      <c r="U1257" s="472"/>
      <c r="V1257" s="167"/>
      <c r="W1257" s="446"/>
      <c r="X1257" s="456"/>
      <c r="Y1257" s="436"/>
      <c r="Z1257" s="437"/>
      <c r="AA1257" s="560"/>
      <c r="AB1257" s="561"/>
      <c r="AC1257" s="87"/>
      <c r="AD1257" s="466"/>
      <c r="AE1257" s="456"/>
      <c r="AF1257" s="467"/>
      <c r="AG1257" s="87"/>
      <c r="AH1257" s="87"/>
      <c r="AI1257" s="87"/>
    </row>
    <row r="1258" spans="1:35" hidden="1">
      <c r="A1258" s="80" t="e">
        <f>"F"&amp;E1249</f>
        <v>#N/A</v>
      </c>
      <c r="B1258" s="105">
        <v>6</v>
      </c>
      <c r="C1258" s="107"/>
      <c r="D1258" s="107"/>
      <c r="E1258" s="107"/>
      <c r="F1258" s="107"/>
      <c r="G1258" s="83"/>
      <c r="H1258" s="83"/>
      <c r="I1258" s="84"/>
      <c r="J1258" s="85"/>
      <c r="K1258" s="382"/>
      <c r="L1258" s="85"/>
      <c r="M1258" s="332" t="str">
        <f t="shared" si="358"/>
        <v/>
      </c>
      <c r="N1258" s="86"/>
      <c r="O1258" s="453" t="str">
        <f t="shared" si="360"/>
        <v/>
      </c>
      <c r="P1258" s="538" t="str">
        <f t="shared" si="361"/>
        <v/>
      </c>
      <c r="Q1258" s="539" t="str">
        <f t="shared" si="359"/>
        <v/>
      </c>
      <c r="R1258" s="706"/>
      <c r="S1258" s="707"/>
      <c r="T1258" s="708"/>
      <c r="U1258" s="472"/>
      <c r="V1258" s="167"/>
      <c r="W1258" s="446"/>
      <c r="X1258" s="456"/>
      <c r="Y1258" s="436"/>
      <c r="Z1258" s="437"/>
      <c r="AA1258" s="560"/>
      <c r="AB1258" s="561"/>
      <c r="AC1258" s="87"/>
      <c r="AD1258" s="466"/>
      <c r="AE1258" s="456"/>
      <c r="AF1258" s="467"/>
      <c r="AG1258" s="87"/>
      <c r="AH1258" s="87"/>
      <c r="AI1258" s="87"/>
    </row>
    <row r="1259" spans="1:35" hidden="1">
      <c r="A1259" s="80" t="e">
        <f>"G"&amp;E1249</f>
        <v>#N/A</v>
      </c>
      <c r="B1259" s="105">
        <v>7</v>
      </c>
      <c r="C1259" s="107"/>
      <c r="D1259" s="107"/>
      <c r="E1259" s="107"/>
      <c r="F1259" s="107"/>
      <c r="G1259" s="83"/>
      <c r="H1259" s="83"/>
      <c r="I1259" s="84"/>
      <c r="J1259" s="85"/>
      <c r="K1259" s="382"/>
      <c r="L1259" s="85"/>
      <c r="M1259" s="332" t="str">
        <f t="shared" si="358"/>
        <v/>
      </c>
      <c r="N1259" s="86"/>
      <c r="O1259" s="86" t="str">
        <f t="shared" si="360"/>
        <v/>
      </c>
      <c r="P1259" s="538" t="str">
        <f t="shared" si="361"/>
        <v/>
      </c>
      <c r="Q1259" s="539" t="str">
        <f t="shared" si="359"/>
        <v/>
      </c>
      <c r="R1259" s="706"/>
      <c r="S1259" s="707"/>
      <c r="T1259" s="708"/>
      <c r="U1259" s="472"/>
      <c r="V1259" s="167"/>
      <c r="W1259" s="446"/>
      <c r="X1259" s="456"/>
      <c r="Y1259" s="436"/>
      <c r="Z1259" s="437"/>
      <c r="AA1259" s="560"/>
      <c r="AB1259" s="561"/>
      <c r="AC1259" s="87"/>
      <c r="AD1259" s="466"/>
      <c r="AE1259" s="456"/>
      <c r="AF1259" s="467"/>
      <c r="AG1259" s="87"/>
      <c r="AH1259" s="87"/>
      <c r="AI1259" s="87"/>
    </row>
    <row r="1260" spans="1:35" hidden="1">
      <c r="A1260" s="80" t="e">
        <f>"H"&amp;E1249</f>
        <v>#N/A</v>
      </c>
      <c r="B1260" s="105">
        <v>8</v>
      </c>
      <c r="C1260" s="107"/>
      <c r="D1260" s="107"/>
      <c r="E1260" s="107"/>
      <c r="F1260" s="107"/>
      <c r="G1260" s="83"/>
      <c r="H1260" s="83"/>
      <c r="I1260" s="84"/>
      <c r="J1260" s="85"/>
      <c r="K1260" s="382"/>
      <c r="L1260" s="85"/>
      <c r="M1260" s="332" t="str">
        <f t="shared" si="358"/>
        <v/>
      </c>
      <c r="N1260" s="453"/>
      <c r="O1260" s="86" t="str">
        <f t="shared" si="360"/>
        <v/>
      </c>
      <c r="P1260" s="538" t="str">
        <f t="shared" si="361"/>
        <v/>
      </c>
      <c r="Q1260" s="539" t="str">
        <f t="shared" si="359"/>
        <v/>
      </c>
      <c r="R1260" s="706"/>
      <c r="S1260" s="707"/>
      <c r="T1260" s="708"/>
      <c r="U1260" s="472"/>
      <c r="V1260" s="167"/>
      <c r="W1260" s="446"/>
      <c r="X1260" s="456"/>
      <c r="Y1260" s="436"/>
      <c r="Z1260" s="437"/>
      <c r="AA1260" s="560"/>
      <c r="AB1260" s="561"/>
      <c r="AC1260" s="87"/>
      <c r="AD1260" s="466"/>
      <c r="AE1260" s="456"/>
      <c r="AF1260" s="467"/>
      <c r="AG1260" s="87"/>
      <c r="AH1260" s="87"/>
      <c r="AI1260" s="87"/>
    </row>
    <row r="1261" spans="1:35" hidden="1">
      <c r="A1261" s="80" t="e">
        <f>"I"&amp;E1249</f>
        <v>#N/A</v>
      </c>
      <c r="B1261" s="105">
        <v>9</v>
      </c>
      <c r="C1261" s="107"/>
      <c r="D1261" s="107"/>
      <c r="E1261" s="107"/>
      <c r="F1261" s="107"/>
      <c r="G1261" s="83"/>
      <c r="H1261" s="83"/>
      <c r="I1261" s="84"/>
      <c r="J1261" s="85"/>
      <c r="K1261" s="382"/>
      <c r="L1261" s="85"/>
      <c r="M1261" s="332" t="str">
        <f t="shared" si="358"/>
        <v/>
      </c>
      <c r="N1261" s="453"/>
      <c r="O1261" s="86" t="str">
        <f t="shared" si="360"/>
        <v/>
      </c>
      <c r="P1261" s="538" t="str">
        <f t="shared" si="361"/>
        <v/>
      </c>
      <c r="Q1261" s="539" t="str">
        <f t="shared" si="359"/>
        <v/>
      </c>
      <c r="R1261" s="706"/>
      <c r="S1261" s="707"/>
      <c r="T1261" s="708"/>
      <c r="U1261" s="472"/>
      <c r="V1261" s="167"/>
      <c r="W1261" s="446"/>
      <c r="X1261" s="456"/>
      <c r="Y1261" s="436"/>
      <c r="Z1261" s="437"/>
      <c r="AA1261" s="560"/>
      <c r="AB1261" s="561"/>
      <c r="AC1261" s="87"/>
      <c r="AD1261" s="466"/>
      <c r="AE1261" s="456"/>
      <c r="AF1261" s="467"/>
      <c r="AG1261" s="87"/>
      <c r="AH1261" s="87"/>
      <c r="AI1261" s="87"/>
    </row>
    <row r="1262" spans="1:35" hidden="1">
      <c r="A1262" s="80" t="e">
        <f>"J"&amp;E1249</f>
        <v>#N/A</v>
      </c>
      <c r="B1262" s="105">
        <v>10</v>
      </c>
      <c r="C1262" s="107"/>
      <c r="D1262" s="107"/>
      <c r="E1262" s="107"/>
      <c r="F1262" s="107"/>
      <c r="G1262" s="83"/>
      <c r="H1262" s="83"/>
      <c r="I1262" s="84"/>
      <c r="J1262" s="85"/>
      <c r="K1262" s="382"/>
      <c r="L1262" s="85"/>
      <c r="M1262" s="332" t="str">
        <f t="shared" si="358"/>
        <v/>
      </c>
      <c r="N1262" s="453"/>
      <c r="O1262" s="86" t="str">
        <f t="shared" si="360"/>
        <v/>
      </c>
      <c r="P1262" s="538" t="str">
        <f t="shared" si="361"/>
        <v/>
      </c>
      <c r="Q1262" s="539" t="str">
        <f t="shared" si="359"/>
        <v/>
      </c>
      <c r="R1262" s="706"/>
      <c r="S1262" s="707"/>
      <c r="T1262" s="708"/>
      <c r="U1262" s="472"/>
      <c r="V1262" s="167"/>
      <c r="W1262" s="446"/>
      <c r="X1262" s="456"/>
      <c r="Y1262" s="436"/>
      <c r="Z1262" s="437"/>
      <c r="AA1262" s="560"/>
      <c r="AB1262" s="561"/>
      <c r="AC1262" s="87"/>
      <c r="AD1262" s="466"/>
      <c r="AE1262" s="456"/>
      <c r="AF1262" s="467"/>
      <c r="AG1262" s="87"/>
      <c r="AH1262" s="87"/>
      <c r="AI1262" s="87"/>
    </row>
    <row r="1263" spans="1:35" ht="16.5" hidden="1" thickBot="1">
      <c r="A1263" s="44"/>
      <c r="B1263" s="89"/>
      <c r="C1263" s="90"/>
      <c r="D1263" s="90"/>
      <c r="E1263" s="90"/>
      <c r="F1263" s="90"/>
      <c r="G1263" s="90"/>
      <c r="H1263" s="90"/>
      <c r="I1263" s="90"/>
      <c r="J1263" s="90"/>
      <c r="K1263" s="90"/>
      <c r="L1263" s="90"/>
      <c r="M1263" s="90"/>
      <c r="N1263" s="90"/>
      <c r="O1263" s="90"/>
      <c r="P1263" s="90"/>
      <c r="Q1263" s="90"/>
      <c r="R1263" s="90"/>
      <c r="S1263" s="91"/>
      <c r="T1263" s="92"/>
      <c r="U1263" s="473"/>
      <c r="W1263" s="438"/>
      <c r="X1263" s="455"/>
      <c r="Y1263" s="439"/>
      <c r="Z1263" s="437"/>
      <c r="AA1263" s="530"/>
      <c r="AB1263" s="563"/>
      <c r="AC1263" s="87"/>
      <c r="AD1263" s="440"/>
      <c r="AE1263" s="441"/>
      <c r="AF1263" s="442"/>
      <c r="AG1263" s="49"/>
      <c r="AH1263" s="87"/>
      <c r="AI1263" s="87"/>
    </row>
    <row r="1264" spans="1:35" ht="16.5" hidden="1" thickBot="1">
      <c r="A1264" s="93"/>
      <c r="B1264" s="94"/>
      <c r="C1264" s="96"/>
      <c r="D1264" s="96"/>
      <c r="E1264" s="96"/>
      <c r="F1264" s="96"/>
      <c r="G1264" s="96"/>
      <c r="H1264" s="96"/>
      <c r="I1264" s="96"/>
      <c r="J1264" s="96"/>
      <c r="K1264" s="96"/>
      <c r="L1264" s="96"/>
      <c r="M1264" s="136"/>
      <c r="N1264" s="96"/>
      <c r="O1264" s="96"/>
      <c r="P1264" s="97"/>
      <c r="Q1264" s="97"/>
      <c r="R1264" s="98"/>
      <c r="S1264" s="95"/>
      <c r="T1264" s="99"/>
      <c r="U1264" s="469"/>
      <c r="AC1264" s="58"/>
      <c r="AG1264" s="58"/>
      <c r="AH1264" s="87"/>
      <c r="AI1264" s="87"/>
    </row>
    <row r="1265" spans="1:35" ht="16.5" hidden="1" thickBot="1">
      <c r="B1265" s="101"/>
      <c r="C1265" s="101"/>
      <c r="D1265" s="101"/>
      <c r="E1265" s="101"/>
      <c r="F1265" s="101"/>
      <c r="G1265" s="101"/>
      <c r="H1265" s="101"/>
      <c r="I1265" s="101"/>
      <c r="J1265" s="101"/>
      <c r="K1265" s="101"/>
      <c r="L1265" s="101"/>
      <c r="M1265" s="101"/>
      <c r="N1265" s="101"/>
      <c r="O1265" s="101"/>
      <c r="P1265" s="101"/>
      <c r="Q1265" s="101"/>
      <c r="R1265" s="101"/>
      <c r="S1265" s="101"/>
      <c r="U1265" s="50"/>
      <c r="AH1265" s="87"/>
      <c r="AI1265" s="87"/>
    </row>
    <row r="1266" spans="1:35" ht="16.5" hidden="1" customHeight="1" thickBot="1">
      <c r="A1266" s="44"/>
      <c r="B1266" s="705" t="s">
        <v>74</v>
      </c>
      <c r="C1266" s="705"/>
      <c r="D1266" s="705"/>
      <c r="E1266" s="705"/>
      <c r="F1266" s="705"/>
      <c r="G1266" s="705"/>
      <c r="H1266" s="705"/>
      <c r="I1266" s="705"/>
      <c r="J1266" s="705"/>
      <c r="K1266" s="705"/>
      <c r="L1266" s="705"/>
      <c r="M1266" s="705"/>
      <c r="N1266" s="705"/>
      <c r="O1266" s="705"/>
      <c r="P1266" s="705"/>
      <c r="Q1266" s="705"/>
      <c r="R1266" s="705"/>
      <c r="S1266" s="705"/>
      <c r="T1266" s="705"/>
      <c r="U1266" s="108"/>
      <c r="Y1266" s="532" t="s">
        <v>341</v>
      </c>
      <c r="AC1266" s="49"/>
      <c r="AD1266" s="687" t="s">
        <v>302</v>
      </c>
      <c r="AE1266" s="688"/>
      <c r="AF1266" s="689"/>
      <c r="AG1266" s="49"/>
      <c r="AH1266" s="87"/>
      <c r="AI1266" s="87"/>
    </row>
    <row r="1267" spans="1:35" ht="15.75" hidden="1" customHeight="1" thickBot="1">
      <c r="A1267" s="218" t="e">
        <f>"K"&amp;E1249</f>
        <v>#N/A</v>
      </c>
      <c r="B1267" s="701" t="s">
        <v>71</v>
      </c>
      <c r="C1267" s="751" t="s">
        <v>102</v>
      </c>
      <c r="D1267" s="751"/>
      <c r="E1267" s="751"/>
      <c r="F1267" s="751"/>
      <c r="G1267" s="751"/>
      <c r="H1267" s="751"/>
      <c r="I1267" s="751"/>
      <c r="J1267" s="751"/>
      <c r="K1267" s="751"/>
      <c r="L1267" s="722" t="s">
        <v>100</v>
      </c>
      <c r="M1267" s="747" t="s">
        <v>114</v>
      </c>
      <c r="N1267" s="747"/>
      <c r="O1267" s="747"/>
      <c r="P1267" s="747"/>
      <c r="Q1267" s="748"/>
      <c r="R1267" s="758" t="s">
        <v>280</v>
      </c>
      <c r="S1267" s="748"/>
      <c r="T1267" s="762" t="str">
        <f>IF(COUNTIF(AE1267:AF1267,"VERIFICAR")&gt;0,"VERIFICAR",IF(COUNTIF(AE1267:AF1267,"NO CUMPLE")&gt;0,"NO CUMPLE","CUMPLE"))</f>
        <v>VERIFICAR</v>
      </c>
      <c r="U1267" s="108"/>
      <c r="Y1267" s="533" t="e">
        <f>IF(F1268="","",IF(F1268=1,"INDIVIDUAL","ESTRUCTURA PLURAL"))</f>
        <v>#N/A</v>
      </c>
      <c r="AC1267" s="52"/>
      <c r="AD1267" s="475" t="s">
        <v>303</v>
      </c>
      <c r="AE1267" s="476" t="str">
        <f>IF(COUNTIF(AE1253:AE1262,"")=10,"VERIFICAR",IF(COUNTIF(AE1253:AE1262,"SI")&gt;0,"CUMPLE","NO CUMPLE"))</f>
        <v>VERIFICAR</v>
      </c>
      <c r="AF1267" s="477" t="str">
        <f>IF(COUNTIF(AF1253:AF1262,"")=10,"VERIFICAR",IF(COUNTIF(AF1253:AF1262,"SI")&gt;=$AI$22,"CUMPLE","NO CUMPLE"))</f>
        <v>VERIFICAR</v>
      </c>
      <c r="AG1267" s="52"/>
      <c r="AH1267" s="87"/>
      <c r="AI1267" s="87"/>
    </row>
    <row r="1268" spans="1:35" ht="16.5" hidden="1" customHeight="1" thickBot="1">
      <c r="A1268" s="218" t="e">
        <f>"L"&amp;E1249</f>
        <v>#N/A</v>
      </c>
      <c r="B1268" s="702"/>
      <c r="C1268" s="751" t="s">
        <v>103</v>
      </c>
      <c r="D1268" s="751"/>
      <c r="E1268" s="752"/>
      <c r="F1268" s="557" t="e">
        <f>IF(VLOOKUP(E1249,PROPONENTES!$C$19:$E$218,3,0)="","",VLOOKUP(E1249,PROPONENTES!$C$19:$E$218,3,0))</f>
        <v>#N/A</v>
      </c>
      <c r="G1268" s="753" t="s">
        <v>104</v>
      </c>
      <c r="H1268" s="751"/>
      <c r="I1268" s="715" t="e">
        <f>IF(OR(F1268="",F1268=1),"INTERESADO PERSONA NATURAL O JURIDICA","CONSORCIO O UNION TEMPORAL")</f>
        <v>#N/A</v>
      </c>
      <c r="J1268" s="725"/>
      <c r="K1268" s="728"/>
      <c r="L1268" s="723"/>
      <c r="M1268" s="749"/>
      <c r="N1268" s="749"/>
      <c r="O1268" s="749"/>
      <c r="P1268" s="749"/>
      <c r="Q1268" s="750"/>
      <c r="R1268" s="712"/>
      <c r="S1268" s="750"/>
      <c r="T1268" s="763"/>
      <c r="U1268" s="108"/>
      <c r="Y1268" s="534"/>
      <c r="AA1268" s="52"/>
      <c r="AB1268" s="52"/>
      <c r="AC1268" s="52"/>
      <c r="AG1268" s="52"/>
      <c r="AH1268" s="87"/>
      <c r="AI1268" s="87"/>
    </row>
    <row r="1269" spans="1:35" ht="56.25" hidden="1" customHeight="1" thickBot="1">
      <c r="A1269" s="218" t="e">
        <f>"M"&amp;E1249</f>
        <v>#N/A</v>
      </c>
      <c r="B1269" s="702"/>
      <c r="C1269" s="725" t="s">
        <v>101</v>
      </c>
      <c r="D1269" s="716"/>
      <c r="E1269" s="558" t="s">
        <v>105</v>
      </c>
      <c r="F1269" s="554" t="s">
        <v>87</v>
      </c>
      <c r="G1269" s="553" t="s">
        <v>86</v>
      </c>
      <c r="H1269" s="559" t="s">
        <v>85</v>
      </c>
      <c r="I1269" s="554" t="s">
        <v>252</v>
      </c>
      <c r="J1269" s="553" t="str">
        <f>"¿EL INTEGRANTE TIENE UNA PARTICIPACIÓN DEL "&amp;PORCREQUERIDOINT*100&amp;"%?"</f>
        <v>¿EL INTEGRANTE TIENE UNA PARTICIPACIÓN DEL 60%?</v>
      </c>
      <c r="K1269" s="554" t="s">
        <v>107</v>
      </c>
      <c r="L1269" s="724"/>
      <c r="M1269" s="717" t="s">
        <v>115</v>
      </c>
      <c r="N1269" s="718"/>
      <c r="O1269" s="718"/>
      <c r="P1269" s="718"/>
      <c r="Q1269" s="223">
        <f>IF(AND(H1253="SI",P1253&gt;=0),1,0)+IF(AND(H1254="SI",P1254&gt;=0),1,0)+IF(AND(H1255="SI",P1255&gt;=0),1,0)+IF(AND(H1256="SI",P1256&gt;=0),1,0)+IF(AND(H1257="SI",P1257&gt;=0),1,0)+IF(AND(H1258="SI",P1258&gt;=0),1,0)+IF(AND(H1259="SI",P1259&gt;=0),1,0)+IF(AND(H1260="SI",P1260&gt;=0),1,0)+IF(AND(H1261="SI",P1261&gt;=0),1,0)+IF(AND(H1262="SI",P1262&gt;=0),1,0)</f>
        <v>0</v>
      </c>
      <c r="R1269" s="759"/>
      <c r="S1269" s="761"/>
      <c r="T1269" s="764"/>
      <c r="U1269" s="219"/>
      <c r="V1269" s="464"/>
      <c r="Y1269" s="532" t="s">
        <v>342</v>
      </c>
      <c r="AA1269" s="550" t="s">
        <v>344</v>
      </c>
      <c r="AB1269" s="693" t="s">
        <v>345</v>
      </c>
      <c r="AC1269" s="693" t="s">
        <v>346</v>
      </c>
      <c r="AD1269" s="685" t="s">
        <v>347</v>
      </c>
      <c r="AE1269" s="52"/>
      <c r="AF1269" s="52"/>
      <c r="AG1269" s="52"/>
      <c r="AH1269" s="87"/>
      <c r="AI1269" s="87"/>
    </row>
    <row r="1270" spans="1:35" ht="15.75" hidden="1" customHeight="1" thickBot="1">
      <c r="A1270" s="218" t="e">
        <f>"N"&amp;E1249</f>
        <v>#N/A</v>
      </c>
      <c r="B1270" s="702"/>
      <c r="C1270" s="114">
        <v>1</v>
      </c>
      <c r="D1270" s="194" t="e">
        <f>IF(AND(C1270&lt;=F1268,F1268&gt;1,F1268&lt;&gt;""),VLOOKUP(VALUE(E1249&amp;","&amp;C1270),INTEGRANTES!$D$18:$F$235,2,0),"")</f>
        <v>#N/A</v>
      </c>
      <c r="E1270" s="211" t="e">
        <f>IF(D1270&lt;&gt;"",VLOOKUP(VALUE(E1249&amp;","&amp;C1270),INTEGRANTES!$D$18:$F$235,3,0),"")</f>
        <v>#N/A</v>
      </c>
      <c r="F1270" s="547" t="e">
        <f>IF(D1270="","",SUMIF($I1253:$I1262,D1270,$P1253:$P1262))</f>
        <v>#N/A</v>
      </c>
      <c r="G1270" s="333" t="e">
        <f>IF(D1270="","",SUMIF($I1253:$I1262,D1270,$M1253:$M1262))</f>
        <v>#N/A</v>
      </c>
      <c r="H1270" s="535" t="e">
        <f t="shared" ref="H1270:H1275" si="362">IF(D1270="","",IF(OR(F1270=0,G1270=0),"NO APORTA",ROUND($F1270/$G1270,3)))</f>
        <v>#N/A</v>
      </c>
      <c r="I1270" s="212" t="e">
        <f>IF(D1270="","",IF(H1270="NO APORTA","NO",IF(H1270=MAX($H1270:$H1275),"SI","NO")))</f>
        <v>#N/A</v>
      </c>
      <c r="J1270" s="213" t="e">
        <f t="shared" ref="J1270:J1275" si="363">IF(D1270="","",IF(E1270&gt;=PORCREQUERIDOINT,"SI","NO"))</f>
        <v>#N/A</v>
      </c>
      <c r="K1270" s="200" t="e">
        <f t="shared" ref="K1270:K1275" si="364">IF(D1270="","",IF(AND(I1270="SI",J1270="SI"),"CUMPLE",IF(AND(I1270="NO",OR(J1270="SI",J1270="NO")),"","NO CUMPLE")))</f>
        <v>#N/A</v>
      </c>
      <c r="L1270" s="722" t="s">
        <v>108</v>
      </c>
      <c r="M1270" s="726" t="s">
        <v>119</v>
      </c>
      <c r="N1270" s="726"/>
      <c r="O1270" s="726"/>
      <c r="P1270" s="726"/>
      <c r="Q1270" s="727"/>
      <c r="R1270" s="758" t="s">
        <v>80</v>
      </c>
      <c r="S1270" s="747"/>
      <c r="T1270" s="748"/>
      <c r="U1270" s="219"/>
      <c r="V1270" s="464"/>
      <c r="Y1270" s="533" t="e">
        <f>IF(Y1267="","",IF(Y1267="INDIVIDUAL","NO APLICA","VERIFICAR CUADRO"))</f>
        <v>#N/A</v>
      </c>
      <c r="AA1270" s="551"/>
      <c r="AB1270" s="694"/>
      <c r="AC1270" s="694"/>
      <c r="AD1270" s="686"/>
      <c r="AE1270" s="52"/>
      <c r="AF1270" s="52"/>
      <c r="AG1270" s="52"/>
      <c r="AH1270" s="87"/>
      <c r="AI1270" s="87"/>
    </row>
    <row r="1271" spans="1:35" ht="27" hidden="1" customHeight="1" thickBot="1">
      <c r="A1271" s="218" t="e">
        <f>"O"&amp;E1249</f>
        <v>#N/A</v>
      </c>
      <c r="B1271" s="702"/>
      <c r="C1271" s="114">
        <v>2</v>
      </c>
      <c r="D1271" s="194" t="e">
        <f>IF(AND(C1271&lt;=F1268,F1268&lt;&gt;""),VLOOKUP(VALUE(E1249&amp;","&amp;C1271),INTEGRANTES!$D$18:$F$235,2,0),"")</f>
        <v>#N/A</v>
      </c>
      <c r="E1271" s="211" t="e">
        <f>IF(D1271&lt;&gt;"",VLOOKUP(VALUE(E1249&amp;","&amp;C1271),INTEGRANTES!$D$18:$F$235,3,0),"")</f>
        <v>#N/A</v>
      </c>
      <c r="F1271" s="547" t="e">
        <f>IF(D1271="","",SUMIF($I1253:$I1262,D1271,$P1253:$P1262))</f>
        <v>#N/A</v>
      </c>
      <c r="G1271" s="333" t="e">
        <f>IF(D1271="","",SUMIF($I1253:$I1262,D1271,$M1253:$M1262))</f>
        <v>#N/A</v>
      </c>
      <c r="H1271" s="535" t="e">
        <f t="shared" si="362"/>
        <v>#N/A</v>
      </c>
      <c r="I1271" s="212" t="e">
        <f>IF(D1271="","",IF(H1271="NO APORTA","NO",IF(H1271=MAX($H1270:$H1275),"SI","NO")))</f>
        <v>#N/A</v>
      </c>
      <c r="J1271" s="213" t="e">
        <f t="shared" si="363"/>
        <v>#N/A</v>
      </c>
      <c r="K1271" s="200" t="e">
        <f t="shared" si="364"/>
        <v>#N/A</v>
      </c>
      <c r="L1271" s="723"/>
      <c r="M1271" s="715" t="s">
        <v>116</v>
      </c>
      <c r="N1271" s="716"/>
      <c r="O1271" s="556" t="s">
        <v>113</v>
      </c>
      <c r="P1271" s="715" t="s">
        <v>117</v>
      </c>
      <c r="Q1271" s="728"/>
      <c r="R1271" s="759"/>
      <c r="S1271" s="760"/>
      <c r="T1271" s="761"/>
      <c r="U1271" s="219"/>
      <c r="V1271" s="464"/>
      <c r="Y1271" s="414"/>
      <c r="AA1271" s="542" t="e">
        <f>IF(AND(C1270&lt;=F1268,F1268&gt;1,F1268&lt;&gt;""),VLOOKUP(VALUE(E1249&amp;","&amp;C1270),INTEGRANTES!$D$18:$F$235,2,0),"")</f>
        <v>#N/A</v>
      </c>
      <c r="AB1271" s="544" t="e">
        <f t="shared" ref="AB1271:AB1276" si="365">IF(D1270="","",IF(OR(F1270=0,G1270=0),"NO APORTA",ROUND($F1270/$G1270,3)))</f>
        <v>#N/A</v>
      </c>
      <c r="AC1271" s="529"/>
      <c r="AD1271" s="200" t="e">
        <f t="shared" ref="AD1271:AD1276" si="366">IF(OR(AA1271="",AB1271=""),"",IF(AND(AC1271="X",AB1271&gt;=EXPREQVTD),"CUMPLE","NO CUMPLE"))</f>
        <v>#N/A</v>
      </c>
      <c r="AE1271" s="52"/>
      <c r="AF1271" s="52"/>
      <c r="AG1271" s="52"/>
      <c r="AH1271" s="87"/>
      <c r="AI1271" s="87"/>
    </row>
    <row r="1272" spans="1:35" ht="16.5" hidden="1" thickBot="1">
      <c r="A1272" s="218" t="e">
        <f>"P"&amp;E1249</f>
        <v>#N/A</v>
      </c>
      <c r="B1272" s="702"/>
      <c r="C1272" s="114">
        <v>3</v>
      </c>
      <c r="D1272" s="194" t="e">
        <f>IF(AND(C1272&lt;=F1268,F1268&lt;&gt;""),VLOOKUP(VALUE(E1249&amp;","&amp;C1272),INTEGRANTES!$D$18:$F$235,2,0),"")</f>
        <v>#N/A</v>
      </c>
      <c r="E1272" s="211" t="e">
        <f>IF(D1272&lt;&gt;"",VLOOKUP(VALUE(E1249&amp;","&amp;C1272),INTEGRANTES!$D$18:$F$235,3,0),"")</f>
        <v>#N/A</v>
      </c>
      <c r="F1272" s="547" t="e">
        <f>IF(D1272="","",SUMIF($I1253:$I1262,D1272,$P1253:$P1262))</f>
        <v>#N/A</v>
      </c>
      <c r="G1272" s="333" t="e">
        <f>IF(D1272="","",SUMIF($I1253:$I1262,D1272,$M1253:$M1262))</f>
        <v>#N/A</v>
      </c>
      <c r="H1272" s="535" t="e">
        <f t="shared" si="362"/>
        <v>#N/A</v>
      </c>
      <c r="I1272" s="212" t="e">
        <f>IF(D1272="","",IF(H1272="NO APORTA","NO",IF(H1272=MAX($H1270:$H1275),"SI","NO")))</f>
        <v>#N/A</v>
      </c>
      <c r="J1272" s="213" t="e">
        <f t="shared" si="363"/>
        <v>#N/A</v>
      </c>
      <c r="K1272" s="200" t="e">
        <f t="shared" si="364"/>
        <v>#N/A</v>
      </c>
      <c r="L1272" s="724"/>
      <c r="M1272" s="729">
        <f>NUMMOD</f>
        <v>1</v>
      </c>
      <c r="N1272" s="730"/>
      <c r="O1272" s="443">
        <f>IF(M1272="","",VLOOKUP(M1272,PRESUPUESTOS!$B$16:$H$16,5,FALSE))</f>
        <v>2</v>
      </c>
      <c r="P1272" s="713">
        <f>IF(OR(COUNTIF(M1253:M1262,"")&gt;=10,Q1269&lt;NUMMINCONT,OR(T1267="NO CUMPLE",T1267="VERIFICAR")),0,ROUND(AVERAGE(M1253:M1262),3))</f>
        <v>0</v>
      </c>
      <c r="Q1272" s="714"/>
      <c r="R1272" s="458"/>
      <c r="S1272" s="459"/>
      <c r="T1272" s="460"/>
      <c r="U1272" s="219"/>
      <c r="V1272" s="464"/>
      <c r="Y1272" s="532" t="str">
        <f>"40% * ("&amp;PRESUPUESTOS!$H$13&amp;")"</f>
        <v>40% * (50% PFMO)</v>
      </c>
      <c r="AA1272" s="540" t="e">
        <f>IF(AND(C1271&lt;=F1268,F1268&lt;&gt;""),VLOOKUP(VALUE(E1249&amp;","&amp;C1271),INTEGRANTES!$D$18:$F$235,2,0),"")</f>
        <v>#N/A</v>
      </c>
      <c r="AB1272" s="545" t="e">
        <f t="shared" si="365"/>
        <v>#N/A</v>
      </c>
      <c r="AC1272" s="529"/>
      <c r="AD1272" s="200" t="e">
        <f t="shared" si="366"/>
        <v>#N/A</v>
      </c>
      <c r="AE1272" s="52"/>
      <c r="AF1272" s="52"/>
      <c r="AG1272" s="52"/>
      <c r="AH1272" s="87"/>
      <c r="AI1272" s="87"/>
    </row>
    <row r="1273" spans="1:35" ht="15.75" hidden="1" customHeight="1" thickBot="1">
      <c r="A1273" s="218" t="e">
        <f>"Q"&amp;E1249</f>
        <v>#N/A</v>
      </c>
      <c r="B1273" s="702"/>
      <c r="C1273" s="114">
        <v>4</v>
      </c>
      <c r="D1273" s="194" t="e">
        <f>IF(AND(C1273&lt;=F1268,F1268&lt;&gt;""),VLOOKUP(VALUE(E1249&amp;","&amp;C1273),INTEGRANTES!$D$18:$F$235,2,0),"")</f>
        <v>#N/A</v>
      </c>
      <c r="E1273" s="211" t="e">
        <f>IF(D1273&lt;&gt;"",VLOOKUP(VALUE(E1249&amp;","&amp;C1273),INTEGRANTES!$D$18:$F$235,3,0),"")</f>
        <v>#N/A</v>
      </c>
      <c r="F1273" s="547" t="e">
        <f>IF(D1273="","",SUMIF($I1253:$I1262,D1273,$P1253:$P1262))</f>
        <v>#N/A</v>
      </c>
      <c r="G1273" s="333" t="e">
        <f>IF(D1273="","",SUMIF($I1253:$I1262,D1273,$M1253:$M1262))</f>
        <v>#N/A</v>
      </c>
      <c r="H1273" s="535" t="e">
        <f t="shared" si="362"/>
        <v>#N/A</v>
      </c>
      <c r="I1273" s="212" t="e">
        <f>IF(D1273="","",IF(H1273="NO APORTA","NO",IF(H1273=MAX($H1270:$H1275),"SI","NO")))</f>
        <v>#N/A</v>
      </c>
      <c r="J1273" s="213" t="e">
        <f t="shared" si="363"/>
        <v>#N/A</v>
      </c>
      <c r="K1273" s="200" t="e">
        <f t="shared" si="364"/>
        <v>#N/A</v>
      </c>
      <c r="L1273" s="720" t="s">
        <v>109</v>
      </c>
      <c r="M1273" s="757" t="s">
        <v>120</v>
      </c>
      <c r="N1273" s="726"/>
      <c r="O1273" s="726"/>
      <c r="P1273" s="726"/>
      <c r="Q1273" s="727"/>
      <c r="R1273" s="458"/>
      <c r="S1273" s="459"/>
      <c r="T1273" s="460"/>
      <c r="U1273" s="219"/>
      <c r="V1273" s="464"/>
      <c r="Y1273" s="537">
        <f>0.4*PRESUPUESTOS!$H$16</f>
        <v>10.3124</v>
      </c>
      <c r="AA1273" s="540" t="e">
        <f>IF(AND(C1272&lt;=F1268,F1268&lt;&gt;""),VLOOKUP(VALUE(E1249&amp;","&amp;C1272),INTEGRANTES!$D$18:$F$235,2,0),"")</f>
        <v>#N/A</v>
      </c>
      <c r="AB1273" s="545" t="e">
        <f t="shared" si="365"/>
        <v>#N/A</v>
      </c>
      <c r="AC1273" s="529"/>
      <c r="AD1273" s="200" t="e">
        <f t="shared" si="366"/>
        <v>#N/A</v>
      </c>
      <c r="AE1273" s="52"/>
      <c r="AF1273" s="52"/>
      <c r="AG1273" s="52"/>
      <c r="AH1273" s="87"/>
      <c r="AI1273" s="87"/>
    </row>
    <row r="1274" spans="1:35" ht="27" hidden="1" customHeight="1" thickBot="1">
      <c r="A1274" s="218" t="e">
        <f>"R"&amp;E1249</f>
        <v>#N/A</v>
      </c>
      <c r="B1274" s="702"/>
      <c r="C1274" s="114">
        <v>5</v>
      </c>
      <c r="D1274" s="194" t="e">
        <f>IF(AND(C1274&lt;=F1268,F1268&lt;&gt;""),VLOOKUP(VALUE(E1249&amp;","&amp;C1274),INTEGRANTES!$D$18:$F$235,2,0),"")</f>
        <v>#N/A</v>
      </c>
      <c r="E1274" s="211" t="e">
        <f>IF(D1274&lt;&gt;"",VLOOKUP(VALUE(E1249&amp;","&amp;C1274),INTEGRANTES!$D$18:$F$235,3,0),"")</f>
        <v>#N/A</v>
      </c>
      <c r="F1274" s="547" t="e">
        <f>IF(D1274="","",SUMIF($I1253:$I1262,D1274,$P1253:$P1262))</f>
        <v>#N/A</v>
      </c>
      <c r="G1274" s="333" t="e">
        <f>IF(D1274="","",SUMIF($I1253:$I1262,D1274,$M1253:$M1262))</f>
        <v>#N/A</v>
      </c>
      <c r="H1274" s="535" t="e">
        <f t="shared" si="362"/>
        <v>#N/A</v>
      </c>
      <c r="I1274" s="212" t="e">
        <f>IF(D1274="","",IF(H1274="NO APORTA","NO",IF(H1274=MAX($H1270:$H1275),"SI","NO")))</f>
        <v>#N/A</v>
      </c>
      <c r="J1274" s="213" t="e">
        <f t="shared" si="363"/>
        <v>#N/A</v>
      </c>
      <c r="K1274" s="200" t="e">
        <f t="shared" si="364"/>
        <v>#N/A</v>
      </c>
      <c r="L1274" s="721"/>
      <c r="M1274" s="715" t="s">
        <v>116</v>
      </c>
      <c r="N1274" s="716"/>
      <c r="O1274" s="556" t="str">
        <f>PORCREQUERIDO*100&amp;"% PMFO DEL MÓDULO"</f>
        <v>50% PMFO DEL MÓDULO</v>
      </c>
      <c r="P1274" s="715" t="s">
        <v>118</v>
      </c>
      <c r="Q1274" s="728"/>
      <c r="R1274" s="458"/>
      <c r="S1274" s="459"/>
      <c r="T1274" s="460"/>
      <c r="U1274" s="219"/>
      <c r="V1274" s="464"/>
      <c r="Y1274" s="414"/>
      <c r="AA1274" s="540" t="e">
        <f>IF(AND(C1273&lt;=F1268,F1268&lt;&gt;""),VLOOKUP(VALUE(E1249&amp;","&amp;C1273),INTEGRANTES!$D$18:$F$235,2,0),"")</f>
        <v>#N/A</v>
      </c>
      <c r="AB1274" s="545" t="e">
        <f t="shared" si="365"/>
        <v>#N/A</v>
      </c>
      <c r="AC1274" s="529"/>
      <c r="AD1274" s="200" t="e">
        <f t="shared" si="366"/>
        <v>#N/A</v>
      </c>
      <c r="AE1274" s="52"/>
      <c r="AF1274" s="52"/>
      <c r="AG1274" s="52"/>
      <c r="AH1274" s="87"/>
      <c r="AI1274" s="87"/>
    </row>
    <row r="1275" spans="1:35" ht="16.5" hidden="1" thickBot="1">
      <c r="A1275" s="218" t="e">
        <f>"S"&amp;E1249</f>
        <v>#N/A</v>
      </c>
      <c r="B1275" s="702"/>
      <c r="C1275" s="215">
        <v>6</v>
      </c>
      <c r="D1275" s="216" t="e">
        <f>IF(AND(C1275&lt;=F1268,F1268&lt;&gt;""),VLOOKUP(VALUE(E1249&amp;","&amp;C1275),INTEGRANTES!$D$18:$F$235,2,0),"")</f>
        <v>#N/A</v>
      </c>
      <c r="E1275" s="217" t="e">
        <f>IF(D1275&lt;&gt;"",VLOOKUP(VALUE(E1249&amp;","&amp;C1275),INTEGRANTES!$D$18:$F$235,3,0),"")</f>
        <v>#N/A</v>
      </c>
      <c r="F1275" s="548" t="e">
        <f>IF(D1275="","",SUMIF($I1253:$I1262,D1275,$P1253:$P1262))</f>
        <v>#N/A</v>
      </c>
      <c r="G1275" s="334" t="e">
        <f>IF(D1275="","",SUMIF($I1253:$I1262,D1275,$M1253:$M1262))</f>
        <v>#N/A</v>
      </c>
      <c r="H1275" s="536" t="e">
        <f t="shared" si="362"/>
        <v>#N/A</v>
      </c>
      <c r="I1275" s="214" t="e">
        <f>IF(D1275="","",IF(H1275="NO APORTA","NO",IF(H1275=MAX($H1270:$H1275),"SI","NO")))</f>
        <v>#N/A</v>
      </c>
      <c r="J1275" s="213" t="e">
        <f t="shared" si="363"/>
        <v>#N/A</v>
      </c>
      <c r="K1275" s="200" t="e">
        <f t="shared" si="364"/>
        <v>#N/A</v>
      </c>
      <c r="L1275" s="721"/>
      <c r="M1275" s="729">
        <f>NUMMOD</f>
        <v>1</v>
      </c>
      <c r="N1275" s="730"/>
      <c r="O1275" s="443">
        <f>IF(M1275="","",ROUND(VLOOKUP(M1275,PRESUPUESTOS!$B$16:$H$16,7,FALSE),3))</f>
        <v>25.780999999999999</v>
      </c>
      <c r="P1275" s="713">
        <f>IF(OR(COUNTIF(P1253:P1262,"")&gt;=10,Q1269&lt;NUMMINCONT,OR(T1267="NO CUMPLE",T1267="VERIFICAR")),0,ROUND((SUM(P1253:P1262)/SUM(M1253:M1262)),3))</f>
        <v>0</v>
      </c>
      <c r="Q1275" s="714"/>
      <c r="R1275" s="458"/>
      <c r="S1275" s="459"/>
      <c r="T1275" s="460"/>
      <c r="U1275" s="219"/>
      <c r="V1275" s="464"/>
      <c r="Y1275" s="532" t="s">
        <v>343</v>
      </c>
      <c r="AA1275" s="540" t="e">
        <f>IF(AND(C1274&lt;=F1268,F1268&lt;&gt;""),VLOOKUP(VALUE(E1249&amp;","&amp;C1274),INTEGRANTES!$D$18:$F$235,2,0),"")</f>
        <v>#N/A</v>
      </c>
      <c r="AB1275" s="545" t="e">
        <f t="shared" si="365"/>
        <v>#N/A</v>
      </c>
      <c r="AC1275" s="529"/>
      <c r="AD1275" s="200" t="e">
        <f t="shared" si="366"/>
        <v>#N/A</v>
      </c>
      <c r="AE1275" s="52"/>
      <c r="AF1275" s="52"/>
      <c r="AG1275" s="52"/>
      <c r="AH1275" s="87"/>
      <c r="AI1275" s="87"/>
    </row>
    <row r="1276" spans="1:35" ht="16.5" hidden="1" customHeight="1" thickBot="1">
      <c r="A1276" s="218" t="e">
        <f>"T"&amp;E1249</f>
        <v>#N/A</v>
      </c>
      <c r="B1276" s="703"/>
      <c r="C1276" s="719"/>
      <c r="D1276" s="719"/>
      <c r="E1276" s="719"/>
      <c r="F1276" s="719"/>
      <c r="G1276" s="719"/>
      <c r="H1276" s="719" t="s">
        <v>110</v>
      </c>
      <c r="I1276" s="719"/>
      <c r="J1276" s="719"/>
      <c r="K1276" s="201" t="str">
        <f>IF(COUNTIF(K1270:K1275,"")=6,"",IF(COUNTIF(K1270:K1275,"CUMPLE")&gt;0,"CUMPLE","NO CUMPLE"))</f>
        <v>NO CUMPLE</v>
      </c>
      <c r="L1276" s="754"/>
      <c r="M1276" s="755"/>
      <c r="N1276" s="755"/>
      <c r="O1276" s="755"/>
      <c r="P1276" s="755"/>
      <c r="Q1276" s="756"/>
      <c r="R1276" s="461"/>
      <c r="S1276" s="462"/>
      <c r="T1276" s="463"/>
      <c r="U1276" s="219"/>
      <c r="V1276" s="464"/>
      <c r="Y1276" s="549" t="e">
        <f>IF(Y1270="NO APLICA","NO APLICA",IF(COUNTIF(AD1271:AD1276,"CUMPLE")&gt;0,"CUMPLE","NO CUMPLE"))</f>
        <v>#N/A</v>
      </c>
      <c r="AA1276" s="541" t="e">
        <f>IF(AND(C1275&lt;=F1268,F1268&lt;&gt;""),VLOOKUP(VALUE(E1249&amp;","&amp;C1275),INTEGRANTES!$D$18:$F$235,2,0),"")</f>
        <v>#N/A</v>
      </c>
      <c r="AB1276" s="546" t="e">
        <f t="shared" si="365"/>
        <v>#N/A</v>
      </c>
      <c r="AC1276" s="543"/>
      <c r="AD1276" s="201" t="e">
        <f t="shared" si="366"/>
        <v>#N/A</v>
      </c>
      <c r="AE1276" s="52"/>
      <c r="AF1276" s="52"/>
      <c r="AG1276" s="52"/>
      <c r="AH1276" s="87"/>
      <c r="AI1276" s="87"/>
    </row>
    <row r="1277" spans="1:35" hidden="1">
      <c r="AH1277" s="87"/>
      <c r="AI1277" s="87"/>
    </row>
    <row r="1278" spans="1:35" hidden="1">
      <c r="AH1278" s="87"/>
      <c r="AI1278" s="87"/>
    </row>
    <row r="1279" spans="1:35" ht="24" hidden="1" thickBot="1">
      <c r="A1279" s="61">
        <v>43</v>
      </c>
      <c r="B1279" s="704" t="s">
        <v>51</v>
      </c>
      <c r="C1279" s="704"/>
      <c r="D1279" s="704"/>
      <c r="E1279" s="62" t="e">
        <f>VLOOKUP(A1279,PROPONENTES!$B$19:$E$218,2,FALSE)</f>
        <v>#N/A</v>
      </c>
      <c r="F1279" s="63" t="e">
        <f>VLOOKUP(A1279,PROPONENTES!$B$19:$E$218,3,FALSE)</f>
        <v>#N/A</v>
      </c>
      <c r="G1279" s="64"/>
      <c r="H1279" s="64"/>
      <c r="I1279" s="63"/>
      <c r="J1279" s="63"/>
      <c r="K1279" s="65"/>
      <c r="L1279" s="65"/>
      <c r="M1279" s="64"/>
      <c r="N1279" s="64"/>
      <c r="O1279" s="66"/>
      <c r="P1279" s="66"/>
      <c r="Q1279" s="66"/>
      <c r="R1279" s="66"/>
      <c r="S1279" s="67"/>
      <c r="T1279" s="68"/>
      <c r="U1279" s="68"/>
      <c r="AC1279" s="68"/>
      <c r="AD1279" s="68"/>
      <c r="AE1279" s="68"/>
      <c r="AF1279" s="68"/>
      <c r="AG1279" s="68"/>
      <c r="AH1279" s="87"/>
      <c r="AI1279" s="87"/>
    </row>
    <row r="1280" spans="1:35" ht="15.75" hidden="1" customHeight="1">
      <c r="A1280" s="44"/>
      <c r="B1280" s="709" t="s">
        <v>59</v>
      </c>
      <c r="C1280" s="552" t="s">
        <v>60</v>
      </c>
      <c r="D1280" s="70" t="s">
        <v>17</v>
      </c>
      <c r="E1280" s="70"/>
      <c r="F1280" s="70" t="s">
        <v>61</v>
      </c>
      <c r="G1280" s="71"/>
      <c r="H1280" s="699" t="s">
        <v>62</v>
      </c>
      <c r="I1280" s="699" t="s">
        <v>18</v>
      </c>
      <c r="J1280" s="699" t="s">
        <v>63</v>
      </c>
      <c r="K1280" s="699" t="s">
        <v>64</v>
      </c>
      <c r="L1280" s="699" t="s">
        <v>65</v>
      </c>
      <c r="M1280" s="743" t="s">
        <v>66</v>
      </c>
      <c r="N1280" s="699" t="s">
        <v>282</v>
      </c>
      <c r="O1280" s="745" t="s">
        <v>67</v>
      </c>
      <c r="P1280" s="746"/>
      <c r="Q1280" s="102" t="s">
        <v>75</v>
      </c>
      <c r="R1280" s="731" t="s">
        <v>22</v>
      </c>
      <c r="S1280" s="732"/>
      <c r="T1280" s="733"/>
      <c r="U1280" s="712" t="s">
        <v>298</v>
      </c>
      <c r="W1280" s="690" t="s">
        <v>268</v>
      </c>
      <c r="X1280" s="691"/>
      <c r="Y1280" s="692"/>
      <c r="Z1280" s="428"/>
      <c r="AA1280" s="697" t="s">
        <v>315</v>
      </c>
      <c r="AB1280" s="695" t="s">
        <v>322</v>
      </c>
      <c r="AC1280" s="49"/>
      <c r="AD1280" s="690" t="s">
        <v>297</v>
      </c>
      <c r="AE1280" s="691"/>
      <c r="AF1280" s="692"/>
      <c r="AG1280" s="49"/>
      <c r="AH1280" s="87"/>
      <c r="AI1280" s="87"/>
    </row>
    <row r="1281" spans="1:35" ht="72" hidden="1">
      <c r="A1281" s="44"/>
      <c r="B1281" s="710"/>
      <c r="C1281" s="553" t="s">
        <v>68</v>
      </c>
      <c r="D1281" s="73" t="s">
        <v>3</v>
      </c>
      <c r="E1281" s="73" t="s">
        <v>19</v>
      </c>
      <c r="F1281" s="73" t="s">
        <v>69</v>
      </c>
      <c r="G1281" s="74" t="s">
        <v>70</v>
      </c>
      <c r="H1281" s="700"/>
      <c r="I1281" s="700"/>
      <c r="J1281" s="700"/>
      <c r="K1281" s="700"/>
      <c r="L1281" s="700"/>
      <c r="M1281" s="744"/>
      <c r="N1281" s="700"/>
      <c r="O1281" s="553" t="s">
        <v>279</v>
      </c>
      <c r="P1281" s="73" t="s">
        <v>88</v>
      </c>
      <c r="Q1281" s="555" t="s">
        <v>76</v>
      </c>
      <c r="R1281" s="734"/>
      <c r="S1281" s="735"/>
      <c r="T1281" s="736"/>
      <c r="U1281" s="712"/>
      <c r="W1281" s="429" t="s">
        <v>269</v>
      </c>
      <c r="X1281" s="457" t="s">
        <v>278</v>
      </c>
      <c r="Y1281" s="430" t="s">
        <v>324</v>
      </c>
      <c r="Z1281" s="428"/>
      <c r="AA1281" s="698"/>
      <c r="AB1281" s="696"/>
      <c r="AC1281" s="49"/>
      <c r="AD1281" s="429" t="s">
        <v>292</v>
      </c>
      <c r="AE1281" s="431" t="s">
        <v>300</v>
      </c>
      <c r="AF1281" s="468" t="s">
        <v>301</v>
      </c>
      <c r="AG1281" s="49"/>
      <c r="AH1281" s="87"/>
      <c r="AI1281" s="87"/>
    </row>
    <row r="1282" spans="1:35" hidden="1">
      <c r="A1282" s="44"/>
      <c r="B1282" s="76"/>
      <c r="C1282" s="77"/>
      <c r="D1282" s="77"/>
      <c r="E1282" s="77"/>
      <c r="F1282" s="77"/>
      <c r="G1282" s="77"/>
      <c r="H1282" s="77"/>
      <c r="I1282" s="77"/>
      <c r="J1282" s="77"/>
      <c r="K1282" s="77"/>
      <c r="L1282" s="77"/>
      <c r="M1282" s="77"/>
      <c r="N1282" s="77"/>
      <c r="O1282" s="77"/>
      <c r="P1282" s="77"/>
      <c r="Q1282" s="77"/>
      <c r="R1282" s="77"/>
      <c r="S1282" s="78"/>
      <c r="T1282" s="79"/>
      <c r="U1282" s="109"/>
      <c r="V1282" s="49"/>
      <c r="W1282" s="432"/>
      <c r="X1282" s="454"/>
      <c r="Y1282" s="433"/>
      <c r="Z1282" s="6"/>
      <c r="AA1282" s="500"/>
      <c r="AB1282" s="562"/>
      <c r="AC1282" s="49"/>
      <c r="AD1282" s="210"/>
      <c r="AE1282" s="434"/>
      <c r="AF1282" s="435"/>
      <c r="AG1282" s="49"/>
      <c r="AH1282" s="87"/>
      <c r="AI1282" s="87"/>
    </row>
    <row r="1283" spans="1:35" hidden="1">
      <c r="A1283" s="80" t="e">
        <f>"A"&amp;E1279</f>
        <v>#N/A</v>
      </c>
      <c r="B1283" s="81">
        <v>1</v>
      </c>
      <c r="C1283" s="82"/>
      <c r="D1283" s="82"/>
      <c r="E1283" s="82"/>
      <c r="F1283" s="82"/>
      <c r="G1283" s="83"/>
      <c r="H1283" s="83"/>
      <c r="I1283" s="84"/>
      <c r="J1283" s="85"/>
      <c r="K1283" s="382"/>
      <c r="L1283" s="85"/>
      <c r="M1283" s="332" t="str">
        <f t="shared" ref="M1283:M1292" si="367">IF(OR(J1283="",L1283="",H1283="NO"),"",IF(OR(J1283&gt;$P$17,J1283&lt;$O$17,L1283&gt;$P$17,AND(J1283&lt;$O$17,L1283&lt;$O$17)),"FUERA DE RANGO",IF(OR(K1283="---",K1283=""),IF(J1283&gt;=$O$17,ROUND((L1283-J1283+1)/360*12,3),ROUND((L1283-$O$17+1)/360*12,3)),IF(J1283&gt;=$O$17,ROUND((L1283-J1283+1)/360*12-ROUND(K1283,3),3),ROUND((L1283-$O$17+1)/360*12-ROUND(K1283,3),3)))))</f>
        <v/>
      </c>
      <c r="N1283" s="86"/>
      <c r="O1283" s="453" t="str">
        <f>IF(OR(G1283="",N1283=""),"",N1283*G1283)</f>
        <v/>
      </c>
      <c r="P1283" s="538" t="str">
        <f>IF(OR(H1283="",M1283="FUERA DE RANGO"),"",IF(OR(L1283&lt;$O$17,L1283&gt;$P$17,L1283="",H1283="NO"),"",IF(OR(N1283="",O1283=""),"",ROUND(O1283,3))))</f>
        <v/>
      </c>
      <c r="Q1283" s="539" t="str">
        <f t="shared" ref="Q1283:Q1292" si="368">IF(AND(H1283="SI",P1283&lt;&gt;""),ROUND(P1283/M1283,3),"")</f>
        <v/>
      </c>
      <c r="R1283" s="737"/>
      <c r="S1283" s="738"/>
      <c r="T1283" s="739"/>
      <c r="U1283" s="470"/>
      <c r="V1283" s="165"/>
      <c r="W1283" s="446"/>
      <c r="X1283" s="456"/>
      <c r="Y1283" s="436"/>
      <c r="Z1283" s="437"/>
      <c r="AA1283" s="560"/>
      <c r="AB1283" s="561"/>
      <c r="AC1283" s="87"/>
      <c r="AD1283" s="466"/>
      <c r="AE1283" s="456"/>
      <c r="AF1283" s="467"/>
      <c r="AG1283" s="87"/>
      <c r="AH1283" s="87"/>
      <c r="AI1283" s="87"/>
    </row>
    <row r="1284" spans="1:35" hidden="1">
      <c r="A1284" s="80" t="e">
        <f>"B"&amp;E1279</f>
        <v>#N/A</v>
      </c>
      <c r="B1284" s="81">
        <v>2</v>
      </c>
      <c r="C1284" s="106"/>
      <c r="D1284" s="106"/>
      <c r="E1284" s="106"/>
      <c r="F1284" s="106"/>
      <c r="G1284" s="83"/>
      <c r="H1284" s="83"/>
      <c r="I1284" s="84"/>
      <c r="J1284" s="85"/>
      <c r="K1284" s="382"/>
      <c r="L1284" s="85"/>
      <c r="M1284" s="332" t="str">
        <f t="shared" si="367"/>
        <v/>
      </c>
      <c r="N1284" s="86"/>
      <c r="O1284" s="453" t="str">
        <f t="shared" ref="O1284:O1292" si="369">IF(OR(G1284="",N1284=""),"",N1284*G1284)</f>
        <v/>
      </c>
      <c r="P1284" s="538" t="str">
        <f t="shared" ref="P1284:P1292" si="370">IF(OR(H1284="",M1284="FUERA DE RANGO"),"",IF(OR(L1284&lt;$O$17,L1284&gt;$P$17,L1284="",H1284="NO"),"",IF(OR(N1284="",O1284=""),"",ROUND(O1284,3))))</f>
        <v/>
      </c>
      <c r="Q1284" s="539" t="str">
        <f t="shared" si="368"/>
        <v/>
      </c>
      <c r="R1284" s="740"/>
      <c r="S1284" s="741"/>
      <c r="T1284" s="742"/>
      <c r="U1284" s="471"/>
      <c r="V1284" s="165"/>
      <c r="W1284" s="446"/>
      <c r="X1284" s="456"/>
      <c r="Y1284" s="436"/>
      <c r="Z1284" s="437"/>
      <c r="AA1284" s="560"/>
      <c r="AB1284" s="561"/>
      <c r="AC1284" s="87"/>
      <c r="AD1284" s="466"/>
      <c r="AE1284" s="456"/>
      <c r="AF1284" s="467"/>
      <c r="AG1284" s="87"/>
      <c r="AH1284" s="87"/>
      <c r="AI1284" s="87"/>
    </row>
    <row r="1285" spans="1:35" hidden="1">
      <c r="A1285" s="80" t="e">
        <f>"C"&amp;E1279</f>
        <v>#N/A</v>
      </c>
      <c r="B1285" s="88">
        <v>3</v>
      </c>
      <c r="C1285" s="82"/>
      <c r="D1285" s="82"/>
      <c r="E1285" s="82"/>
      <c r="F1285" s="82"/>
      <c r="G1285" s="83"/>
      <c r="H1285" s="83"/>
      <c r="I1285" s="84"/>
      <c r="J1285" s="85"/>
      <c r="K1285" s="382"/>
      <c r="L1285" s="85"/>
      <c r="M1285" s="332" t="str">
        <f t="shared" si="367"/>
        <v/>
      </c>
      <c r="N1285" s="86"/>
      <c r="O1285" s="453" t="str">
        <f t="shared" si="369"/>
        <v/>
      </c>
      <c r="P1285" s="538" t="str">
        <f t="shared" si="370"/>
        <v/>
      </c>
      <c r="Q1285" s="539" t="str">
        <f t="shared" si="368"/>
        <v/>
      </c>
      <c r="R1285" s="706"/>
      <c r="S1285" s="707"/>
      <c r="T1285" s="708"/>
      <c r="U1285" s="472"/>
      <c r="V1285" s="166"/>
      <c r="W1285" s="446"/>
      <c r="X1285" s="456"/>
      <c r="Y1285" s="436"/>
      <c r="Z1285" s="437"/>
      <c r="AA1285" s="560"/>
      <c r="AB1285" s="561"/>
      <c r="AC1285" s="87"/>
      <c r="AD1285" s="466"/>
      <c r="AE1285" s="456"/>
      <c r="AF1285" s="467"/>
      <c r="AG1285" s="87"/>
      <c r="AH1285" s="87"/>
      <c r="AI1285" s="87"/>
    </row>
    <row r="1286" spans="1:35" hidden="1">
      <c r="A1286" s="80" t="e">
        <f>"D"&amp;E1279</f>
        <v>#N/A</v>
      </c>
      <c r="B1286" s="105">
        <v>4</v>
      </c>
      <c r="C1286" s="107"/>
      <c r="D1286" s="107"/>
      <c r="E1286" s="107"/>
      <c r="F1286" s="107"/>
      <c r="G1286" s="83"/>
      <c r="H1286" s="83"/>
      <c r="I1286" s="84"/>
      <c r="J1286" s="85"/>
      <c r="K1286" s="382"/>
      <c r="L1286" s="85"/>
      <c r="M1286" s="332" t="str">
        <f t="shared" si="367"/>
        <v/>
      </c>
      <c r="N1286" s="86"/>
      <c r="O1286" s="453" t="str">
        <f t="shared" si="369"/>
        <v/>
      </c>
      <c r="P1286" s="538" t="str">
        <f t="shared" si="370"/>
        <v/>
      </c>
      <c r="Q1286" s="539" t="str">
        <f t="shared" si="368"/>
        <v/>
      </c>
      <c r="R1286" s="706"/>
      <c r="S1286" s="707"/>
      <c r="T1286" s="708"/>
      <c r="U1286" s="472"/>
      <c r="V1286" s="166"/>
      <c r="W1286" s="446"/>
      <c r="X1286" s="456"/>
      <c r="Y1286" s="436"/>
      <c r="Z1286" s="437"/>
      <c r="AA1286" s="560"/>
      <c r="AB1286" s="561"/>
      <c r="AC1286" s="87"/>
      <c r="AD1286" s="466"/>
      <c r="AE1286" s="456"/>
      <c r="AF1286" s="467"/>
      <c r="AG1286" s="87"/>
      <c r="AH1286" s="87"/>
      <c r="AI1286" s="87"/>
    </row>
    <row r="1287" spans="1:35" hidden="1">
      <c r="A1287" s="80" t="e">
        <f>"E"&amp;E1279</f>
        <v>#N/A</v>
      </c>
      <c r="B1287" s="105">
        <v>5</v>
      </c>
      <c r="C1287" s="107"/>
      <c r="D1287" s="107"/>
      <c r="E1287" s="107"/>
      <c r="F1287" s="107"/>
      <c r="G1287" s="83"/>
      <c r="H1287" s="83"/>
      <c r="I1287" s="84"/>
      <c r="J1287" s="85"/>
      <c r="K1287" s="382"/>
      <c r="L1287" s="85"/>
      <c r="M1287" s="332" t="str">
        <f t="shared" si="367"/>
        <v/>
      </c>
      <c r="N1287" s="86"/>
      <c r="O1287" s="453" t="str">
        <f t="shared" si="369"/>
        <v/>
      </c>
      <c r="P1287" s="538" t="str">
        <f t="shared" si="370"/>
        <v/>
      </c>
      <c r="Q1287" s="539" t="str">
        <f t="shared" si="368"/>
        <v/>
      </c>
      <c r="R1287" s="706"/>
      <c r="S1287" s="707"/>
      <c r="T1287" s="708"/>
      <c r="U1287" s="472"/>
      <c r="V1287" s="167"/>
      <c r="W1287" s="446"/>
      <c r="X1287" s="456"/>
      <c r="Y1287" s="436"/>
      <c r="Z1287" s="437"/>
      <c r="AA1287" s="560"/>
      <c r="AB1287" s="561"/>
      <c r="AC1287" s="87"/>
      <c r="AD1287" s="466"/>
      <c r="AE1287" s="456"/>
      <c r="AF1287" s="467"/>
      <c r="AG1287" s="87"/>
      <c r="AH1287" s="87"/>
      <c r="AI1287" s="87"/>
    </row>
    <row r="1288" spans="1:35" hidden="1">
      <c r="A1288" s="80" t="e">
        <f>"F"&amp;E1279</f>
        <v>#N/A</v>
      </c>
      <c r="B1288" s="105">
        <v>6</v>
      </c>
      <c r="C1288" s="107"/>
      <c r="D1288" s="107"/>
      <c r="E1288" s="107"/>
      <c r="F1288" s="107"/>
      <c r="G1288" s="83"/>
      <c r="H1288" s="83"/>
      <c r="I1288" s="84"/>
      <c r="J1288" s="85"/>
      <c r="K1288" s="382"/>
      <c r="L1288" s="85"/>
      <c r="M1288" s="332" t="str">
        <f t="shared" si="367"/>
        <v/>
      </c>
      <c r="N1288" s="86"/>
      <c r="O1288" s="453" t="str">
        <f t="shared" si="369"/>
        <v/>
      </c>
      <c r="P1288" s="538" t="str">
        <f t="shared" si="370"/>
        <v/>
      </c>
      <c r="Q1288" s="539" t="str">
        <f t="shared" si="368"/>
        <v/>
      </c>
      <c r="R1288" s="706"/>
      <c r="S1288" s="707"/>
      <c r="T1288" s="708"/>
      <c r="U1288" s="472"/>
      <c r="V1288" s="167"/>
      <c r="W1288" s="446"/>
      <c r="X1288" s="456"/>
      <c r="Y1288" s="436"/>
      <c r="Z1288" s="437"/>
      <c r="AA1288" s="560"/>
      <c r="AB1288" s="561"/>
      <c r="AC1288" s="87"/>
      <c r="AD1288" s="466"/>
      <c r="AE1288" s="456"/>
      <c r="AF1288" s="467"/>
      <c r="AG1288" s="87"/>
      <c r="AH1288" s="87"/>
      <c r="AI1288" s="87"/>
    </row>
    <row r="1289" spans="1:35" hidden="1">
      <c r="A1289" s="80" t="e">
        <f>"G"&amp;E1279</f>
        <v>#N/A</v>
      </c>
      <c r="B1289" s="105">
        <v>7</v>
      </c>
      <c r="C1289" s="107"/>
      <c r="D1289" s="107"/>
      <c r="E1289" s="107"/>
      <c r="F1289" s="107"/>
      <c r="G1289" s="83"/>
      <c r="H1289" s="83"/>
      <c r="I1289" s="84"/>
      <c r="J1289" s="85"/>
      <c r="K1289" s="382"/>
      <c r="L1289" s="85"/>
      <c r="M1289" s="332" t="str">
        <f t="shared" si="367"/>
        <v/>
      </c>
      <c r="N1289" s="86"/>
      <c r="O1289" s="86" t="str">
        <f t="shared" si="369"/>
        <v/>
      </c>
      <c r="P1289" s="538" t="str">
        <f t="shared" si="370"/>
        <v/>
      </c>
      <c r="Q1289" s="539" t="str">
        <f t="shared" si="368"/>
        <v/>
      </c>
      <c r="R1289" s="706"/>
      <c r="S1289" s="707"/>
      <c r="T1289" s="708"/>
      <c r="U1289" s="472"/>
      <c r="V1289" s="167"/>
      <c r="W1289" s="446"/>
      <c r="X1289" s="456"/>
      <c r="Y1289" s="436"/>
      <c r="Z1289" s="437"/>
      <c r="AA1289" s="560"/>
      <c r="AB1289" s="561"/>
      <c r="AC1289" s="87"/>
      <c r="AD1289" s="466"/>
      <c r="AE1289" s="456"/>
      <c r="AF1289" s="467"/>
      <c r="AG1289" s="87"/>
      <c r="AH1289" s="87"/>
      <c r="AI1289" s="87"/>
    </row>
    <row r="1290" spans="1:35" hidden="1">
      <c r="A1290" s="80" t="e">
        <f>"H"&amp;E1279</f>
        <v>#N/A</v>
      </c>
      <c r="B1290" s="105">
        <v>8</v>
      </c>
      <c r="C1290" s="107"/>
      <c r="D1290" s="107"/>
      <c r="E1290" s="107"/>
      <c r="F1290" s="107"/>
      <c r="G1290" s="83"/>
      <c r="H1290" s="83"/>
      <c r="I1290" s="84"/>
      <c r="J1290" s="85"/>
      <c r="K1290" s="382"/>
      <c r="L1290" s="85"/>
      <c r="M1290" s="332" t="str">
        <f t="shared" si="367"/>
        <v/>
      </c>
      <c r="N1290" s="453"/>
      <c r="O1290" s="86" t="str">
        <f t="shared" si="369"/>
        <v/>
      </c>
      <c r="P1290" s="538" t="str">
        <f t="shared" si="370"/>
        <v/>
      </c>
      <c r="Q1290" s="539" t="str">
        <f t="shared" si="368"/>
        <v/>
      </c>
      <c r="R1290" s="706"/>
      <c r="S1290" s="707"/>
      <c r="T1290" s="708"/>
      <c r="U1290" s="472"/>
      <c r="V1290" s="167"/>
      <c r="W1290" s="446"/>
      <c r="X1290" s="456"/>
      <c r="Y1290" s="436"/>
      <c r="Z1290" s="437"/>
      <c r="AA1290" s="560"/>
      <c r="AB1290" s="561"/>
      <c r="AC1290" s="87"/>
      <c r="AD1290" s="466"/>
      <c r="AE1290" s="456"/>
      <c r="AF1290" s="467"/>
      <c r="AG1290" s="87"/>
      <c r="AH1290" s="87"/>
      <c r="AI1290" s="87"/>
    </row>
    <row r="1291" spans="1:35" hidden="1">
      <c r="A1291" s="80" t="e">
        <f>"I"&amp;E1279</f>
        <v>#N/A</v>
      </c>
      <c r="B1291" s="105">
        <v>9</v>
      </c>
      <c r="C1291" s="107"/>
      <c r="D1291" s="107"/>
      <c r="E1291" s="107"/>
      <c r="F1291" s="107"/>
      <c r="G1291" s="83"/>
      <c r="H1291" s="83"/>
      <c r="I1291" s="84"/>
      <c r="J1291" s="85"/>
      <c r="K1291" s="382"/>
      <c r="L1291" s="85"/>
      <c r="M1291" s="332" t="str">
        <f t="shared" si="367"/>
        <v/>
      </c>
      <c r="N1291" s="453"/>
      <c r="O1291" s="86" t="str">
        <f t="shared" si="369"/>
        <v/>
      </c>
      <c r="P1291" s="538" t="str">
        <f t="shared" si="370"/>
        <v/>
      </c>
      <c r="Q1291" s="539" t="str">
        <f t="shared" si="368"/>
        <v/>
      </c>
      <c r="R1291" s="706"/>
      <c r="S1291" s="707"/>
      <c r="T1291" s="708"/>
      <c r="U1291" s="472"/>
      <c r="V1291" s="167"/>
      <c r="W1291" s="446"/>
      <c r="X1291" s="456"/>
      <c r="Y1291" s="436"/>
      <c r="Z1291" s="437"/>
      <c r="AA1291" s="560"/>
      <c r="AB1291" s="561"/>
      <c r="AC1291" s="87"/>
      <c r="AD1291" s="466"/>
      <c r="AE1291" s="456"/>
      <c r="AF1291" s="467"/>
      <c r="AG1291" s="87"/>
      <c r="AH1291" s="87"/>
      <c r="AI1291" s="87"/>
    </row>
    <row r="1292" spans="1:35" hidden="1">
      <c r="A1292" s="80" t="e">
        <f>"J"&amp;E1279</f>
        <v>#N/A</v>
      </c>
      <c r="B1292" s="105">
        <v>10</v>
      </c>
      <c r="C1292" s="107"/>
      <c r="D1292" s="107"/>
      <c r="E1292" s="107"/>
      <c r="F1292" s="107"/>
      <c r="G1292" s="83"/>
      <c r="H1292" s="83"/>
      <c r="I1292" s="84"/>
      <c r="J1292" s="85"/>
      <c r="K1292" s="382"/>
      <c r="L1292" s="85"/>
      <c r="M1292" s="332" t="str">
        <f t="shared" si="367"/>
        <v/>
      </c>
      <c r="N1292" s="453"/>
      <c r="O1292" s="86" t="str">
        <f t="shared" si="369"/>
        <v/>
      </c>
      <c r="P1292" s="538" t="str">
        <f t="shared" si="370"/>
        <v/>
      </c>
      <c r="Q1292" s="539" t="str">
        <f t="shared" si="368"/>
        <v/>
      </c>
      <c r="R1292" s="706"/>
      <c r="S1292" s="707"/>
      <c r="T1292" s="708"/>
      <c r="U1292" s="472"/>
      <c r="V1292" s="167"/>
      <c r="W1292" s="446"/>
      <c r="X1292" s="456"/>
      <c r="Y1292" s="436"/>
      <c r="Z1292" s="437"/>
      <c r="AA1292" s="560"/>
      <c r="AB1292" s="561"/>
      <c r="AC1292" s="87"/>
      <c r="AD1292" s="466"/>
      <c r="AE1292" s="456"/>
      <c r="AF1292" s="467"/>
      <c r="AG1292" s="87"/>
      <c r="AH1292" s="87"/>
      <c r="AI1292" s="87"/>
    </row>
    <row r="1293" spans="1:35" ht="16.5" hidden="1" thickBot="1">
      <c r="A1293" s="44"/>
      <c r="B1293" s="89"/>
      <c r="C1293" s="90"/>
      <c r="D1293" s="90"/>
      <c r="E1293" s="90"/>
      <c r="F1293" s="90"/>
      <c r="G1293" s="90"/>
      <c r="H1293" s="90"/>
      <c r="I1293" s="90"/>
      <c r="J1293" s="90"/>
      <c r="K1293" s="90"/>
      <c r="L1293" s="90"/>
      <c r="M1293" s="90"/>
      <c r="N1293" s="90"/>
      <c r="O1293" s="90"/>
      <c r="P1293" s="90"/>
      <c r="Q1293" s="90"/>
      <c r="R1293" s="90"/>
      <c r="S1293" s="91"/>
      <c r="T1293" s="92"/>
      <c r="U1293" s="473"/>
      <c r="W1293" s="438"/>
      <c r="X1293" s="455"/>
      <c r="Y1293" s="439"/>
      <c r="Z1293" s="437"/>
      <c r="AA1293" s="530"/>
      <c r="AB1293" s="563"/>
      <c r="AC1293" s="87"/>
      <c r="AD1293" s="440"/>
      <c r="AE1293" s="441"/>
      <c r="AF1293" s="442"/>
      <c r="AG1293" s="49"/>
      <c r="AH1293" s="87"/>
      <c r="AI1293" s="87"/>
    </row>
    <row r="1294" spans="1:35" ht="16.5" hidden="1" thickBot="1">
      <c r="A1294" s="93"/>
      <c r="B1294" s="94"/>
      <c r="C1294" s="96"/>
      <c r="D1294" s="96"/>
      <c r="E1294" s="96"/>
      <c r="F1294" s="96"/>
      <c r="G1294" s="96"/>
      <c r="H1294" s="96"/>
      <c r="I1294" s="96"/>
      <c r="J1294" s="96"/>
      <c r="K1294" s="96"/>
      <c r="L1294" s="96"/>
      <c r="M1294" s="136"/>
      <c r="N1294" s="96"/>
      <c r="O1294" s="96"/>
      <c r="P1294" s="97"/>
      <c r="Q1294" s="97"/>
      <c r="R1294" s="98"/>
      <c r="S1294" s="95"/>
      <c r="T1294" s="99"/>
      <c r="U1294" s="469"/>
      <c r="AC1294" s="58"/>
      <c r="AG1294" s="58"/>
      <c r="AH1294" s="87"/>
      <c r="AI1294" s="87"/>
    </row>
    <row r="1295" spans="1:35" ht="16.5" hidden="1" thickBot="1">
      <c r="B1295" s="101"/>
      <c r="C1295" s="101"/>
      <c r="D1295" s="101"/>
      <c r="E1295" s="101"/>
      <c r="F1295" s="101"/>
      <c r="G1295" s="101"/>
      <c r="H1295" s="101"/>
      <c r="I1295" s="101"/>
      <c r="J1295" s="101"/>
      <c r="K1295" s="101"/>
      <c r="L1295" s="101"/>
      <c r="M1295" s="101"/>
      <c r="N1295" s="101"/>
      <c r="O1295" s="101"/>
      <c r="P1295" s="101"/>
      <c r="Q1295" s="101"/>
      <c r="R1295" s="101"/>
      <c r="S1295" s="101"/>
      <c r="U1295" s="50"/>
      <c r="AH1295" s="87"/>
      <c r="AI1295" s="87"/>
    </row>
    <row r="1296" spans="1:35" ht="16.5" hidden="1" customHeight="1" thickBot="1">
      <c r="A1296" s="44"/>
      <c r="B1296" s="705" t="s">
        <v>74</v>
      </c>
      <c r="C1296" s="705"/>
      <c r="D1296" s="705"/>
      <c r="E1296" s="705"/>
      <c r="F1296" s="705"/>
      <c r="G1296" s="705"/>
      <c r="H1296" s="705"/>
      <c r="I1296" s="705"/>
      <c r="J1296" s="705"/>
      <c r="K1296" s="705"/>
      <c r="L1296" s="705"/>
      <c r="M1296" s="705"/>
      <c r="N1296" s="705"/>
      <c r="O1296" s="705"/>
      <c r="P1296" s="705"/>
      <c r="Q1296" s="705"/>
      <c r="R1296" s="705"/>
      <c r="S1296" s="705"/>
      <c r="T1296" s="705"/>
      <c r="U1296" s="108"/>
      <c r="Y1296" s="532" t="s">
        <v>341</v>
      </c>
      <c r="AC1296" s="49"/>
      <c r="AD1296" s="687" t="s">
        <v>302</v>
      </c>
      <c r="AE1296" s="688"/>
      <c r="AF1296" s="689"/>
      <c r="AG1296" s="49"/>
      <c r="AH1296" s="87"/>
      <c r="AI1296" s="87"/>
    </row>
    <row r="1297" spans="1:35" ht="15.75" hidden="1" customHeight="1" thickBot="1">
      <c r="A1297" s="218" t="e">
        <f>"K"&amp;E1279</f>
        <v>#N/A</v>
      </c>
      <c r="B1297" s="701" t="s">
        <v>71</v>
      </c>
      <c r="C1297" s="751" t="s">
        <v>102</v>
      </c>
      <c r="D1297" s="751"/>
      <c r="E1297" s="751"/>
      <c r="F1297" s="751"/>
      <c r="G1297" s="751"/>
      <c r="H1297" s="751"/>
      <c r="I1297" s="751"/>
      <c r="J1297" s="751"/>
      <c r="K1297" s="751"/>
      <c r="L1297" s="722" t="s">
        <v>100</v>
      </c>
      <c r="M1297" s="747" t="s">
        <v>114</v>
      </c>
      <c r="N1297" s="747"/>
      <c r="O1297" s="747"/>
      <c r="P1297" s="747"/>
      <c r="Q1297" s="748"/>
      <c r="R1297" s="758" t="s">
        <v>280</v>
      </c>
      <c r="S1297" s="748"/>
      <c r="T1297" s="762" t="str">
        <f>IF(COUNTIF(AE1297:AF1297,"VERIFICAR")&gt;0,"VERIFICAR",IF(COUNTIF(AE1297:AF1297,"NO CUMPLE")&gt;0,"NO CUMPLE","CUMPLE"))</f>
        <v>VERIFICAR</v>
      </c>
      <c r="U1297" s="108"/>
      <c r="Y1297" s="533" t="e">
        <f>IF(F1298="","",IF(F1298=1,"INDIVIDUAL","ESTRUCTURA PLURAL"))</f>
        <v>#N/A</v>
      </c>
      <c r="AC1297" s="52"/>
      <c r="AD1297" s="475" t="s">
        <v>303</v>
      </c>
      <c r="AE1297" s="476" t="str">
        <f>IF(COUNTIF(AE1283:AE1292,"")=10,"VERIFICAR",IF(COUNTIF(AE1283:AE1292,"SI")&gt;0,"CUMPLE","NO CUMPLE"))</f>
        <v>VERIFICAR</v>
      </c>
      <c r="AF1297" s="477" t="str">
        <f>IF(COUNTIF(AF1283:AF1292,"")=10,"VERIFICAR",IF(COUNTIF(AF1283:AF1292,"SI")&gt;=$AI$22,"CUMPLE","NO CUMPLE"))</f>
        <v>VERIFICAR</v>
      </c>
      <c r="AG1297" s="52"/>
      <c r="AH1297" s="87"/>
      <c r="AI1297" s="87"/>
    </row>
    <row r="1298" spans="1:35" ht="16.5" hidden="1" customHeight="1" thickBot="1">
      <c r="A1298" s="218" t="e">
        <f>"L"&amp;E1279</f>
        <v>#N/A</v>
      </c>
      <c r="B1298" s="702"/>
      <c r="C1298" s="751" t="s">
        <v>103</v>
      </c>
      <c r="D1298" s="751"/>
      <c r="E1298" s="752"/>
      <c r="F1298" s="557" t="e">
        <f>IF(VLOOKUP(E1279,PROPONENTES!$C$19:$E$218,3,0)="","",VLOOKUP(E1279,PROPONENTES!$C$19:$E$218,3,0))</f>
        <v>#N/A</v>
      </c>
      <c r="G1298" s="753" t="s">
        <v>104</v>
      </c>
      <c r="H1298" s="751"/>
      <c r="I1298" s="715" t="e">
        <f>IF(OR(F1298="",F1298=1),"INTERESADO PERSONA NATURAL O JURIDICA","CONSORCIO O UNION TEMPORAL")</f>
        <v>#N/A</v>
      </c>
      <c r="J1298" s="725"/>
      <c r="K1298" s="728"/>
      <c r="L1298" s="723"/>
      <c r="M1298" s="749"/>
      <c r="N1298" s="749"/>
      <c r="O1298" s="749"/>
      <c r="P1298" s="749"/>
      <c r="Q1298" s="750"/>
      <c r="R1298" s="712"/>
      <c r="S1298" s="750"/>
      <c r="T1298" s="763"/>
      <c r="U1298" s="108"/>
      <c r="Y1298" s="534"/>
      <c r="AA1298" s="52"/>
      <c r="AB1298" s="52"/>
      <c r="AC1298" s="52"/>
      <c r="AG1298" s="52"/>
      <c r="AH1298" s="87"/>
      <c r="AI1298" s="87"/>
    </row>
    <row r="1299" spans="1:35" ht="56.25" hidden="1" customHeight="1" thickBot="1">
      <c r="A1299" s="218" t="e">
        <f>"M"&amp;E1279</f>
        <v>#N/A</v>
      </c>
      <c r="B1299" s="702"/>
      <c r="C1299" s="725" t="s">
        <v>101</v>
      </c>
      <c r="D1299" s="716"/>
      <c r="E1299" s="558" t="s">
        <v>105</v>
      </c>
      <c r="F1299" s="554" t="s">
        <v>87</v>
      </c>
      <c r="G1299" s="553" t="s">
        <v>86</v>
      </c>
      <c r="H1299" s="559" t="s">
        <v>85</v>
      </c>
      <c r="I1299" s="554" t="s">
        <v>252</v>
      </c>
      <c r="J1299" s="553" t="str">
        <f>"¿EL INTEGRANTE TIENE UNA PARTICIPACIÓN DEL "&amp;PORCREQUERIDOINT*100&amp;"%?"</f>
        <v>¿EL INTEGRANTE TIENE UNA PARTICIPACIÓN DEL 60%?</v>
      </c>
      <c r="K1299" s="554" t="s">
        <v>107</v>
      </c>
      <c r="L1299" s="724"/>
      <c r="M1299" s="717" t="s">
        <v>115</v>
      </c>
      <c r="N1299" s="718"/>
      <c r="O1299" s="718"/>
      <c r="P1299" s="718"/>
      <c r="Q1299" s="223">
        <f>IF(AND(H1283="SI",P1283&gt;=0),1,0)+IF(AND(H1284="SI",P1284&gt;=0),1,0)+IF(AND(H1285="SI",P1285&gt;=0),1,0)+IF(AND(H1286="SI",P1286&gt;=0),1,0)+IF(AND(H1287="SI",P1287&gt;=0),1,0)+IF(AND(H1288="SI",P1288&gt;=0),1,0)+IF(AND(H1289="SI",P1289&gt;=0),1,0)+IF(AND(H1290="SI",P1290&gt;=0),1,0)+IF(AND(H1291="SI",P1291&gt;=0),1,0)+IF(AND(H1292="SI",P1292&gt;=0),1,0)</f>
        <v>0</v>
      </c>
      <c r="R1299" s="759"/>
      <c r="S1299" s="761"/>
      <c r="T1299" s="764"/>
      <c r="U1299" s="219"/>
      <c r="V1299" s="464"/>
      <c r="Y1299" s="532" t="s">
        <v>342</v>
      </c>
      <c r="AA1299" s="550" t="s">
        <v>344</v>
      </c>
      <c r="AB1299" s="693" t="s">
        <v>345</v>
      </c>
      <c r="AC1299" s="693" t="s">
        <v>346</v>
      </c>
      <c r="AD1299" s="685" t="s">
        <v>347</v>
      </c>
      <c r="AE1299" s="52"/>
      <c r="AF1299" s="52"/>
      <c r="AG1299" s="52"/>
      <c r="AH1299" s="87"/>
      <c r="AI1299" s="87"/>
    </row>
    <row r="1300" spans="1:35" ht="15.75" hidden="1" customHeight="1" thickBot="1">
      <c r="A1300" s="218" t="e">
        <f>"N"&amp;E1279</f>
        <v>#N/A</v>
      </c>
      <c r="B1300" s="702"/>
      <c r="C1300" s="114">
        <v>1</v>
      </c>
      <c r="D1300" s="194" t="e">
        <f>IF(AND(C1300&lt;=F1298,F1298&gt;1,F1298&lt;&gt;""),VLOOKUP(VALUE(E1279&amp;","&amp;C1300),INTEGRANTES!$D$18:$F$235,2,0),"")</f>
        <v>#N/A</v>
      </c>
      <c r="E1300" s="211" t="e">
        <f>IF(D1300&lt;&gt;"",VLOOKUP(VALUE(E1279&amp;","&amp;C1300),INTEGRANTES!$D$18:$F$235,3,0),"")</f>
        <v>#N/A</v>
      </c>
      <c r="F1300" s="547" t="e">
        <f>IF(D1300="","",SUMIF($I1283:$I1292,D1300,$P1283:$P1292))</f>
        <v>#N/A</v>
      </c>
      <c r="G1300" s="333" t="e">
        <f>IF(D1300="","",SUMIF($I1283:$I1292,D1300,$M1283:$M1292))</f>
        <v>#N/A</v>
      </c>
      <c r="H1300" s="535" t="e">
        <f t="shared" ref="H1300:H1305" si="371">IF(D1300="","",IF(OR(F1300=0,G1300=0),"NO APORTA",ROUND($F1300/$G1300,3)))</f>
        <v>#N/A</v>
      </c>
      <c r="I1300" s="212" t="e">
        <f>IF(D1300="","",IF(H1300="NO APORTA","NO",IF(H1300=MAX($H1300:$H1305),"SI","NO")))</f>
        <v>#N/A</v>
      </c>
      <c r="J1300" s="213" t="e">
        <f t="shared" ref="J1300:J1305" si="372">IF(D1300="","",IF(E1300&gt;=PORCREQUERIDOINT,"SI","NO"))</f>
        <v>#N/A</v>
      </c>
      <c r="K1300" s="200" t="e">
        <f t="shared" ref="K1300:K1305" si="373">IF(D1300="","",IF(AND(I1300="SI",J1300="SI"),"CUMPLE",IF(AND(I1300="NO",OR(J1300="SI",J1300="NO")),"","NO CUMPLE")))</f>
        <v>#N/A</v>
      </c>
      <c r="L1300" s="722" t="s">
        <v>108</v>
      </c>
      <c r="M1300" s="726" t="s">
        <v>119</v>
      </c>
      <c r="N1300" s="726"/>
      <c r="O1300" s="726"/>
      <c r="P1300" s="726"/>
      <c r="Q1300" s="727"/>
      <c r="R1300" s="758" t="s">
        <v>80</v>
      </c>
      <c r="S1300" s="747"/>
      <c r="T1300" s="748"/>
      <c r="U1300" s="219"/>
      <c r="V1300" s="464"/>
      <c r="Y1300" s="533" t="e">
        <f>IF(Y1297="","",IF(Y1297="INDIVIDUAL","NO APLICA","VERIFICAR CUADRO"))</f>
        <v>#N/A</v>
      </c>
      <c r="AA1300" s="551"/>
      <c r="AB1300" s="694"/>
      <c r="AC1300" s="694"/>
      <c r="AD1300" s="686"/>
      <c r="AE1300" s="52"/>
      <c r="AF1300" s="52"/>
      <c r="AG1300" s="52"/>
      <c r="AH1300" s="87"/>
      <c r="AI1300" s="87"/>
    </row>
    <row r="1301" spans="1:35" ht="27" hidden="1" customHeight="1" thickBot="1">
      <c r="A1301" s="218" t="e">
        <f>"O"&amp;E1279</f>
        <v>#N/A</v>
      </c>
      <c r="B1301" s="702"/>
      <c r="C1301" s="114">
        <v>2</v>
      </c>
      <c r="D1301" s="194" t="e">
        <f>IF(AND(C1301&lt;=F1298,F1298&lt;&gt;""),VLOOKUP(VALUE(E1279&amp;","&amp;C1301),INTEGRANTES!$D$18:$F$235,2,0),"")</f>
        <v>#N/A</v>
      </c>
      <c r="E1301" s="211" t="e">
        <f>IF(D1301&lt;&gt;"",VLOOKUP(VALUE(E1279&amp;","&amp;C1301),INTEGRANTES!$D$18:$F$235,3,0),"")</f>
        <v>#N/A</v>
      </c>
      <c r="F1301" s="547" t="e">
        <f>IF(D1301="","",SUMIF($I1283:$I1292,D1301,$P1283:$P1292))</f>
        <v>#N/A</v>
      </c>
      <c r="G1301" s="333" t="e">
        <f>IF(D1301="","",SUMIF($I1283:$I1292,D1301,$M1283:$M1292))</f>
        <v>#N/A</v>
      </c>
      <c r="H1301" s="535" t="e">
        <f t="shared" si="371"/>
        <v>#N/A</v>
      </c>
      <c r="I1301" s="212" t="e">
        <f>IF(D1301="","",IF(H1301="NO APORTA","NO",IF(H1301=MAX($H1300:$H1305),"SI","NO")))</f>
        <v>#N/A</v>
      </c>
      <c r="J1301" s="213" t="e">
        <f t="shared" si="372"/>
        <v>#N/A</v>
      </c>
      <c r="K1301" s="200" t="e">
        <f t="shared" si="373"/>
        <v>#N/A</v>
      </c>
      <c r="L1301" s="723"/>
      <c r="M1301" s="715" t="s">
        <v>116</v>
      </c>
      <c r="N1301" s="716"/>
      <c r="O1301" s="556" t="s">
        <v>113</v>
      </c>
      <c r="P1301" s="715" t="s">
        <v>117</v>
      </c>
      <c r="Q1301" s="728"/>
      <c r="R1301" s="759"/>
      <c r="S1301" s="760"/>
      <c r="T1301" s="761"/>
      <c r="U1301" s="219"/>
      <c r="V1301" s="464"/>
      <c r="Y1301" s="414"/>
      <c r="AA1301" s="542" t="e">
        <f>IF(AND(C1300&lt;=F1298,F1298&gt;1,F1298&lt;&gt;""),VLOOKUP(VALUE(E1279&amp;","&amp;C1300),INTEGRANTES!$D$18:$F$235,2,0),"")</f>
        <v>#N/A</v>
      </c>
      <c r="AB1301" s="544" t="e">
        <f t="shared" ref="AB1301:AB1306" si="374">IF(D1300="","",IF(OR(F1300=0,G1300=0),"NO APORTA",ROUND($F1300/$G1300,3)))</f>
        <v>#N/A</v>
      </c>
      <c r="AC1301" s="529"/>
      <c r="AD1301" s="200" t="e">
        <f t="shared" ref="AD1301:AD1306" si="375">IF(OR(AA1301="",AB1301=""),"",IF(AND(AC1301="X",AB1301&gt;=EXPREQVTD),"CUMPLE","NO CUMPLE"))</f>
        <v>#N/A</v>
      </c>
      <c r="AE1301" s="52"/>
      <c r="AF1301" s="52"/>
      <c r="AG1301" s="52"/>
      <c r="AH1301" s="87"/>
      <c r="AI1301" s="87"/>
    </row>
    <row r="1302" spans="1:35" ht="16.5" hidden="1" thickBot="1">
      <c r="A1302" s="218" t="e">
        <f>"P"&amp;E1279</f>
        <v>#N/A</v>
      </c>
      <c r="B1302" s="702"/>
      <c r="C1302" s="114">
        <v>3</v>
      </c>
      <c r="D1302" s="194" t="e">
        <f>IF(AND(C1302&lt;=F1298,F1298&lt;&gt;""),VLOOKUP(VALUE(E1279&amp;","&amp;C1302),INTEGRANTES!$D$18:$F$235,2,0),"")</f>
        <v>#N/A</v>
      </c>
      <c r="E1302" s="211" t="e">
        <f>IF(D1302&lt;&gt;"",VLOOKUP(VALUE(E1279&amp;","&amp;C1302),INTEGRANTES!$D$18:$F$235,3,0),"")</f>
        <v>#N/A</v>
      </c>
      <c r="F1302" s="547" t="e">
        <f>IF(D1302="","",SUMIF($I1283:$I1292,D1302,$P1283:$P1292))</f>
        <v>#N/A</v>
      </c>
      <c r="G1302" s="333" t="e">
        <f>IF(D1302="","",SUMIF($I1283:$I1292,D1302,$M1283:$M1292))</f>
        <v>#N/A</v>
      </c>
      <c r="H1302" s="535" t="e">
        <f t="shared" si="371"/>
        <v>#N/A</v>
      </c>
      <c r="I1302" s="212" t="e">
        <f>IF(D1302="","",IF(H1302="NO APORTA","NO",IF(H1302=MAX($H1300:$H1305),"SI","NO")))</f>
        <v>#N/A</v>
      </c>
      <c r="J1302" s="213" t="e">
        <f t="shared" si="372"/>
        <v>#N/A</v>
      </c>
      <c r="K1302" s="200" t="e">
        <f t="shared" si="373"/>
        <v>#N/A</v>
      </c>
      <c r="L1302" s="724"/>
      <c r="M1302" s="729">
        <f>NUMMOD</f>
        <v>1</v>
      </c>
      <c r="N1302" s="730"/>
      <c r="O1302" s="443">
        <f>IF(M1302="","",VLOOKUP(M1302,PRESUPUESTOS!$B$16:$H$16,5,FALSE))</f>
        <v>2</v>
      </c>
      <c r="P1302" s="713">
        <f>IF(OR(COUNTIF(M1283:M1292,"")&gt;=10,Q1299&lt;NUMMINCONT,OR(T1297="NO CUMPLE",T1297="VERIFICAR")),0,ROUND(AVERAGE(M1283:M1292),3))</f>
        <v>0</v>
      </c>
      <c r="Q1302" s="714"/>
      <c r="R1302" s="458"/>
      <c r="S1302" s="459"/>
      <c r="T1302" s="460"/>
      <c r="U1302" s="219"/>
      <c r="V1302" s="464"/>
      <c r="Y1302" s="532" t="str">
        <f>"40% * ("&amp;PRESUPUESTOS!$H$13&amp;")"</f>
        <v>40% * (50% PFMO)</v>
      </c>
      <c r="AA1302" s="540" t="e">
        <f>IF(AND(C1301&lt;=F1298,F1298&lt;&gt;""),VLOOKUP(VALUE(E1279&amp;","&amp;C1301),INTEGRANTES!$D$18:$F$235,2,0),"")</f>
        <v>#N/A</v>
      </c>
      <c r="AB1302" s="545" t="e">
        <f t="shared" si="374"/>
        <v>#N/A</v>
      </c>
      <c r="AC1302" s="529"/>
      <c r="AD1302" s="200" t="e">
        <f t="shared" si="375"/>
        <v>#N/A</v>
      </c>
      <c r="AE1302" s="52"/>
      <c r="AF1302" s="52"/>
      <c r="AG1302" s="52"/>
      <c r="AH1302" s="87"/>
      <c r="AI1302" s="87"/>
    </row>
    <row r="1303" spans="1:35" ht="15.75" hidden="1" customHeight="1" thickBot="1">
      <c r="A1303" s="218" t="e">
        <f>"Q"&amp;E1279</f>
        <v>#N/A</v>
      </c>
      <c r="B1303" s="702"/>
      <c r="C1303" s="114">
        <v>4</v>
      </c>
      <c r="D1303" s="194" t="e">
        <f>IF(AND(C1303&lt;=F1298,F1298&lt;&gt;""),VLOOKUP(VALUE(E1279&amp;","&amp;C1303),INTEGRANTES!$D$18:$F$235,2,0),"")</f>
        <v>#N/A</v>
      </c>
      <c r="E1303" s="211" t="e">
        <f>IF(D1303&lt;&gt;"",VLOOKUP(VALUE(E1279&amp;","&amp;C1303),INTEGRANTES!$D$18:$F$235,3,0),"")</f>
        <v>#N/A</v>
      </c>
      <c r="F1303" s="547" t="e">
        <f>IF(D1303="","",SUMIF($I1283:$I1292,D1303,$P1283:$P1292))</f>
        <v>#N/A</v>
      </c>
      <c r="G1303" s="333" t="e">
        <f>IF(D1303="","",SUMIF($I1283:$I1292,D1303,$M1283:$M1292))</f>
        <v>#N/A</v>
      </c>
      <c r="H1303" s="535" t="e">
        <f t="shared" si="371"/>
        <v>#N/A</v>
      </c>
      <c r="I1303" s="212" t="e">
        <f>IF(D1303="","",IF(H1303="NO APORTA","NO",IF(H1303=MAX($H1300:$H1305),"SI","NO")))</f>
        <v>#N/A</v>
      </c>
      <c r="J1303" s="213" t="e">
        <f t="shared" si="372"/>
        <v>#N/A</v>
      </c>
      <c r="K1303" s="200" t="e">
        <f t="shared" si="373"/>
        <v>#N/A</v>
      </c>
      <c r="L1303" s="720" t="s">
        <v>109</v>
      </c>
      <c r="M1303" s="757" t="s">
        <v>120</v>
      </c>
      <c r="N1303" s="726"/>
      <c r="O1303" s="726"/>
      <c r="P1303" s="726"/>
      <c r="Q1303" s="727"/>
      <c r="R1303" s="458"/>
      <c r="S1303" s="459"/>
      <c r="T1303" s="460"/>
      <c r="U1303" s="219"/>
      <c r="V1303" s="464"/>
      <c r="Y1303" s="537">
        <f>0.4*PRESUPUESTOS!$H$16</f>
        <v>10.3124</v>
      </c>
      <c r="AA1303" s="540" t="e">
        <f>IF(AND(C1302&lt;=F1298,F1298&lt;&gt;""),VLOOKUP(VALUE(E1279&amp;","&amp;C1302),INTEGRANTES!$D$18:$F$235,2,0),"")</f>
        <v>#N/A</v>
      </c>
      <c r="AB1303" s="545" t="e">
        <f t="shared" si="374"/>
        <v>#N/A</v>
      </c>
      <c r="AC1303" s="529"/>
      <c r="AD1303" s="200" t="e">
        <f t="shared" si="375"/>
        <v>#N/A</v>
      </c>
      <c r="AE1303" s="52"/>
      <c r="AF1303" s="52"/>
      <c r="AG1303" s="52"/>
      <c r="AH1303" s="87"/>
      <c r="AI1303" s="87"/>
    </row>
    <row r="1304" spans="1:35" ht="27" hidden="1" customHeight="1" thickBot="1">
      <c r="A1304" s="218" t="e">
        <f>"R"&amp;E1279</f>
        <v>#N/A</v>
      </c>
      <c r="B1304" s="702"/>
      <c r="C1304" s="114">
        <v>5</v>
      </c>
      <c r="D1304" s="194" t="e">
        <f>IF(AND(C1304&lt;=F1298,F1298&lt;&gt;""),VLOOKUP(VALUE(E1279&amp;","&amp;C1304),INTEGRANTES!$D$18:$F$235,2,0),"")</f>
        <v>#N/A</v>
      </c>
      <c r="E1304" s="211" t="e">
        <f>IF(D1304&lt;&gt;"",VLOOKUP(VALUE(E1279&amp;","&amp;C1304),INTEGRANTES!$D$18:$F$235,3,0),"")</f>
        <v>#N/A</v>
      </c>
      <c r="F1304" s="547" t="e">
        <f>IF(D1304="","",SUMIF($I1283:$I1292,D1304,$P1283:$P1292))</f>
        <v>#N/A</v>
      </c>
      <c r="G1304" s="333" t="e">
        <f>IF(D1304="","",SUMIF($I1283:$I1292,D1304,$M1283:$M1292))</f>
        <v>#N/A</v>
      </c>
      <c r="H1304" s="535" t="e">
        <f t="shared" si="371"/>
        <v>#N/A</v>
      </c>
      <c r="I1304" s="212" t="e">
        <f>IF(D1304="","",IF(H1304="NO APORTA","NO",IF(H1304=MAX($H1300:$H1305),"SI","NO")))</f>
        <v>#N/A</v>
      </c>
      <c r="J1304" s="213" t="e">
        <f t="shared" si="372"/>
        <v>#N/A</v>
      </c>
      <c r="K1304" s="200" t="e">
        <f t="shared" si="373"/>
        <v>#N/A</v>
      </c>
      <c r="L1304" s="721"/>
      <c r="M1304" s="715" t="s">
        <v>116</v>
      </c>
      <c r="N1304" s="716"/>
      <c r="O1304" s="556" t="str">
        <f>PORCREQUERIDO*100&amp;"% PMFO DEL MÓDULO"</f>
        <v>50% PMFO DEL MÓDULO</v>
      </c>
      <c r="P1304" s="715" t="s">
        <v>118</v>
      </c>
      <c r="Q1304" s="728"/>
      <c r="R1304" s="458"/>
      <c r="S1304" s="459"/>
      <c r="T1304" s="460"/>
      <c r="U1304" s="219"/>
      <c r="V1304" s="464"/>
      <c r="Y1304" s="414"/>
      <c r="AA1304" s="540" t="e">
        <f>IF(AND(C1303&lt;=F1298,F1298&lt;&gt;""),VLOOKUP(VALUE(E1279&amp;","&amp;C1303),INTEGRANTES!$D$18:$F$235,2,0),"")</f>
        <v>#N/A</v>
      </c>
      <c r="AB1304" s="545" t="e">
        <f t="shared" si="374"/>
        <v>#N/A</v>
      </c>
      <c r="AC1304" s="529"/>
      <c r="AD1304" s="200" t="e">
        <f t="shared" si="375"/>
        <v>#N/A</v>
      </c>
      <c r="AE1304" s="52"/>
      <c r="AF1304" s="52"/>
      <c r="AG1304" s="52"/>
      <c r="AH1304" s="87"/>
      <c r="AI1304" s="87"/>
    </row>
    <row r="1305" spans="1:35" ht="16.5" hidden="1" thickBot="1">
      <c r="A1305" s="218" t="e">
        <f>"S"&amp;E1279</f>
        <v>#N/A</v>
      </c>
      <c r="B1305" s="702"/>
      <c r="C1305" s="215">
        <v>6</v>
      </c>
      <c r="D1305" s="216" t="e">
        <f>IF(AND(C1305&lt;=F1298,F1298&lt;&gt;""),VLOOKUP(VALUE(E1279&amp;","&amp;C1305),INTEGRANTES!$D$18:$F$235,2,0),"")</f>
        <v>#N/A</v>
      </c>
      <c r="E1305" s="217" t="e">
        <f>IF(D1305&lt;&gt;"",VLOOKUP(VALUE(E1279&amp;","&amp;C1305),INTEGRANTES!$D$18:$F$235,3,0),"")</f>
        <v>#N/A</v>
      </c>
      <c r="F1305" s="548" t="e">
        <f>IF(D1305="","",SUMIF($I1283:$I1292,D1305,$P1283:$P1292))</f>
        <v>#N/A</v>
      </c>
      <c r="G1305" s="334" t="e">
        <f>IF(D1305="","",SUMIF($I1283:$I1292,D1305,$M1283:$M1292))</f>
        <v>#N/A</v>
      </c>
      <c r="H1305" s="536" t="e">
        <f t="shared" si="371"/>
        <v>#N/A</v>
      </c>
      <c r="I1305" s="214" t="e">
        <f>IF(D1305="","",IF(H1305="NO APORTA","NO",IF(H1305=MAX($H1300:$H1305),"SI","NO")))</f>
        <v>#N/A</v>
      </c>
      <c r="J1305" s="213" t="e">
        <f t="shared" si="372"/>
        <v>#N/A</v>
      </c>
      <c r="K1305" s="200" t="e">
        <f t="shared" si="373"/>
        <v>#N/A</v>
      </c>
      <c r="L1305" s="721"/>
      <c r="M1305" s="729">
        <f>NUMMOD</f>
        <v>1</v>
      </c>
      <c r="N1305" s="730"/>
      <c r="O1305" s="443">
        <f>IF(M1305="","",ROUND(VLOOKUP(M1305,PRESUPUESTOS!$B$16:$H$16,7,FALSE),3))</f>
        <v>25.780999999999999</v>
      </c>
      <c r="P1305" s="713">
        <f>IF(OR(COUNTIF(P1283:P1292,"")&gt;=10,Q1299&lt;NUMMINCONT,OR(T1297="NO CUMPLE",T1297="VERIFICAR")),0,ROUND((SUM(P1283:P1292)/SUM(M1283:M1292)),3))</f>
        <v>0</v>
      </c>
      <c r="Q1305" s="714"/>
      <c r="R1305" s="458"/>
      <c r="S1305" s="459"/>
      <c r="T1305" s="460"/>
      <c r="U1305" s="219"/>
      <c r="V1305" s="464"/>
      <c r="Y1305" s="532" t="s">
        <v>343</v>
      </c>
      <c r="AA1305" s="540" t="e">
        <f>IF(AND(C1304&lt;=F1298,F1298&lt;&gt;""),VLOOKUP(VALUE(E1279&amp;","&amp;C1304),INTEGRANTES!$D$18:$F$235,2,0),"")</f>
        <v>#N/A</v>
      </c>
      <c r="AB1305" s="545" t="e">
        <f t="shared" si="374"/>
        <v>#N/A</v>
      </c>
      <c r="AC1305" s="529"/>
      <c r="AD1305" s="200" t="e">
        <f t="shared" si="375"/>
        <v>#N/A</v>
      </c>
      <c r="AE1305" s="52"/>
      <c r="AF1305" s="52"/>
      <c r="AG1305" s="52"/>
      <c r="AH1305" s="87"/>
      <c r="AI1305" s="87"/>
    </row>
    <row r="1306" spans="1:35" ht="16.5" hidden="1" customHeight="1" thickBot="1">
      <c r="A1306" s="218" t="e">
        <f>"T"&amp;E1279</f>
        <v>#N/A</v>
      </c>
      <c r="B1306" s="703"/>
      <c r="C1306" s="719"/>
      <c r="D1306" s="719"/>
      <c r="E1306" s="719"/>
      <c r="F1306" s="719"/>
      <c r="G1306" s="719"/>
      <c r="H1306" s="719" t="s">
        <v>110</v>
      </c>
      <c r="I1306" s="719"/>
      <c r="J1306" s="719"/>
      <c r="K1306" s="201" t="str">
        <f>IF(COUNTIF(K1300:K1305,"")=6,"",IF(COUNTIF(K1300:K1305,"CUMPLE")&gt;0,"CUMPLE","NO CUMPLE"))</f>
        <v>NO CUMPLE</v>
      </c>
      <c r="L1306" s="754"/>
      <c r="M1306" s="755"/>
      <c r="N1306" s="755"/>
      <c r="O1306" s="755"/>
      <c r="P1306" s="755"/>
      <c r="Q1306" s="756"/>
      <c r="R1306" s="461"/>
      <c r="S1306" s="462"/>
      <c r="T1306" s="463"/>
      <c r="U1306" s="219"/>
      <c r="V1306" s="464"/>
      <c r="Y1306" s="549" t="e">
        <f>IF(Y1300="NO APLICA","NO APLICA",IF(COUNTIF(AD1301:AD1306,"CUMPLE")&gt;0,"CUMPLE","NO CUMPLE"))</f>
        <v>#N/A</v>
      </c>
      <c r="AA1306" s="541" t="e">
        <f>IF(AND(C1305&lt;=F1298,F1298&lt;&gt;""),VLOOKUP(VALUE(E1279&amp;","&amp;C1305),INTEGRANTES!$D$18:$F$235,2,0),"")</f>
        <v>#N/A</v>
      </c>
      <c r="AB1306" s="546" t="e">
        <f t="shared" si="374"/>
        <v>#N/A</v>
      </c>
      <c r="AC1306" s="543"/>
      <c r="AD1306" s="201" t="e">
        <f t="shared" si="375"/>
        <v>#N/A</v>
      </c>
      <c r="AE1306" s="52"/>
      <c r="AF1306" s="52"/>
      <c r="AG1306" s="52"/>
      <c r="AH1306" s="87"/>
      <c r="AI1306" s="87"/>
    </row>
    <row r="1307" spans="1:35" hidden="1">
      <c r="A1307" s="103"/>
      <c r="B1307" s="206"/>
      <c r="C1307" s="206"/>
      <c r="D1307" s="206"/>
      <c r="E1307" s="206"/>
      <c r="F1307" s="206"/>
      <c r="G1307" s="206"/>
      <c r="H1307" s="206"/>
      <c r="I1307" s="104"/>
      <c r="J1307" s="206"/>
      <c r="K1307" s="113"/>
      <c r="L1307" s="113"/>
      <c r="M1307" s="113"/>
      <c r="N1307" s="222"/>
      <c r="O1307" s="113"/>
      <c r="P1307" s="113"/>
      <c r="Q1307" s="113"/>
      <c r="R1307" s="206"/>
      <c r="S1307" s="104"/>
      <c r="T1307" s="206"/>
      <c r="U1307" s="474"/>
      <c r="AH1307" s="87"/>
      <c r="AI1307" s="87"/>
    </row>
    <row r="1308" spans="1:35" hidden="1">
      <c r="H1308" s="220"/>
      <c r="AH1308" s="87"/>
      <c r="AI1308" s="87"/>
    </row>
    <row r="1309" spans="1:35" ht="24" hidden="1" thickBot="1">
      <c r="A1309" s="61">
        <v>44</v>
      </c>
      <c r="B1309" s="704" t="s">
        <v>51</v>
      </c>
      <c r="C1309" s="704"/>
      <c r="D1309" s="704"/>
      <c r="E1309" s="62" t="e">
        <f>VLOOKUP(A1309,PROPONENTES!$B$19:$E$218,2,FALSE)</f>
        <v>#N/A</v>
      </c>
      <c r="F1309" s="63" t="e">
        <f>VLOOKUP(A1309,PROPONENTES!$B$19:$E$218,3,FALSE)</f>
        <v>#N/A</v>
      </c>
      <c r="G1309" s="64"/>
      <c r="H1309" s="64"/>
      <c r="I1309" s="63"/>
      <c r="J1309" s="63"/>
      <c r="K1309" s="65"/>
      <c r="L1309" s="65"/>
      <c r="M1309" s="64"/>
      <c r="N1309" s="64"/>
      <c r="O1309" s="66"/>
      <c r="P1309" s="66"/>
      <c r="Q1309" s="66"/>
      <c r="R1309" s="66"/>
      <c r="S1309" s="67"/>
      <c r="T1309" s="68"/>
      <c r="U1309" s="68"/>
      <c r="AC1309" s="68"/>
      <c r="AD1309" s="68"/>
      <c r="AE1309" s="68"/>
      <c r="AF1309" s="68"/>
      <c r="AG1309" s="68"/>
      <c r="AH1309" s="87"/>
      <c r="AI1309" s="87"/>
    </row>
    <row r="1310" spans="1:35" ht="15.75" hidden="1" customHeight="1">
      <c r="A1310" s="44"/>
      <c r="B1310" s="709" t="s">
        <v>59</v>
      </c>
      <c r="C1310" s="552" t="s">
        <v>60</v>
      </c>
      <c r="D1310" s="70" t="s">
        <v>17</v>
      </c>
      <c r="E1310" s="70"/>
      <c r="F1310" s="70" t="s">
        <v>61</v>
      </c>
      <c r="G1310" s="71"/>
      <c r="H1310" s="699" t="s">
        <v>62</v>
      </c>
      <c r="I1310" s="699" t="s">
        <v>18</v>
      </c>
      <c r="J1310" s="699" t="s">
        <v>63</v>
      </c>
      <c r="K1310" s="699" t="s">
        <v>64</v>
      </c>
      <c r="L1310" s="699" t="s">
        <v>65</v>
      </c>
      <c r="M1310" s="743" t="s">
        <v>66</v>
      </c>
      <c r="N1310" s="699" t="s">
        <v>282</v>
      </c>
      <c r="O1310" s="745" t="s">
        <v>67</v>
      </c>
      <c r="P1310" s="746"/>
      <c r="Q1310" s="102" t="s">
        <v>75</v>
      </c>
      <c r="R1310" s="731" t="s">
        <v>22</v>
      </c>
      <c r="S1310" s="732"/>
      <c r="T1310" s="733"/>
      <c r="U1310" s="712" t="s">
        <v>298</v>
      </c>
      <c r="W1310" s="690" t="s">
        <v>268</v>
      </c>
      <c r="X1310" s="691"/>
      <c r="Y1310" s="692"/>
      <c r="Z1310" s="428"/>
      <c r="AA1310" s="697" t="s">
        <v>315</v>
      </c>
      <c r="AB1310" s="695" t="s">
        <v>322</v>
      </c>
      <c r="AC1310" s="49"/>
      <c r="AD1310" s="690" t="s">
        <v>297</v>
      </c>
      <c r="AE1310" s="691"/>
      <c r="AF1310" s="692"/>
      <c r="AG1310" s="49"/>
      <c r="AH1310" s="87"/>
      <c r="AI1310" s="87"/>
    </row>
    <row r="1311" spans="1:35" ht="72" hidden="1">
      <c r="A1311" s="44"/>
      <c r="B1311" s="710"/>
      <c r="C1311" s="553" t="s">
        <v>68</v>
      </c>
      <c r="D1311" s="73" t="s">
        <v>3</v>
      </c>
      <c r="E1311" s="73" t="s">
        <v>19</v>
      </c>
      <c r="F1311" s="73" t="s">
        <v>69</v>
      </c>
      <c r="G1311" s="74" t="s">
        <v>70</v>
      </c>
      <c r="H1311" s="700"/>
      <c r="I1311" s="700"/>
      <c r="J1311" s="700"/>
      <c r="K1311" s="700"/>
      <c r="L1311" s="700"/>
      <c r="M1311" s="744"/>
      <c r="N1311" s="700"/>
      <c r="O1311" s="553" t="s">
        <v>279</v>
      </c>
      <c r="P1311" s="73" t="s">
        <v>88</v>
      </c>
      <c r="Q1311" s="555" t="s">
        <v>76</v>
      </c>
      <c r="R1311" s="734"/>
      <c r="S1311" s="735"/>
      <c r="T1311" s="736"/>
      <c r="U1311" s="712"/>
      <c r="W1311" s="429" t="s">
        <v>269</v>
      </c>
      <c r="X1311" s="457" t="s">
        <v>278</v>
      </c>
      <c r="Y1311" s="430" t="s">
        <v>324</v>
      </c>
      <c r="Z1311" s="428"/>
      <c r="AA1311" s="698"/>
      <c r="AB1311" s="696"/>
      <c r="AC1311" s="49"/>
      <c r="AD1311" s="429" t="s">
        <v>292</v>
      </c>
      <c r="AE1311" s="431" t="s">
        <v>300</v>
      </c>
      <c r="AF1311" s="468" t="s">
        <v>301</v>
      </c>
      <c r="AG1311" s="49"/>
      <c r="AH1311" s="87"/>
      <c r="AI1311" s="87"/>
    </row>
    <row r="1312" spans="1:35" hidden="1">
      <c r="A1312" s="44"/>
      <c r="B1312" s="76"/>
      <c r="C1312" s="77"/>
      <c r="D1312" s="77"/>
      <c r="E1312" s="77"/>
      <c r="F1312" s="77"/>
      <c r="G1312" s="77"/>
      <c r="H1312" s="77"/>
      <c r="I1312" s="77"/>
      <c r="J1312" s="77"/>
      <c r="K1312" s="77"/>
      <c r="L1312" s="77"/>
      <c r="M1312" s="77"/>
      <c r="N1312" s="77"/>
      <c r="O1312" s="77"/>
      <c r="P1312" s="77"/>
      <c r="Q1312" s="77"/>
      <c r="R1312" s="77"/>
      <c r="S1312" s="78"/>
      <c r="T1312" s="79"/>
      <c r="U1312" s="109"/>
      <c r="V1312" s="49"/>
      <c r="W1312" s="432"/>
      <c r="X1312" s="454"/>
      <c r="Y1312" s="433"/>
      <c r="Z1312" s="6"/>
      <c r="AA1312" s="500"/>
      <c r="AB1312" s="562"/>
      <c r="AC1312" s="49"/>
      <c r="AD1312" s="210"/>
      <c r="AE1312" s="434"/>
      <c r="AF1312" s="435"/>
      <c r="AG1312" s="49"/>
      <c r="AH1312" s="87"/>
      <c r="AI1312" s="87"/>
    </row>
    <row r="1313" spans="1:35" hidden="1">
      <c r="A1313" s="80" t="e">
        <f>"A"&amp;E1309</f>
        <v>#N/A</v>
      </c>
      <c r="B1313" s="81">
        <v>1</v>
      </c>
      <c r="C1313" s="82"/>
      <c r="D1313" s="82"/>
      <c r="E1313" s="82"/>
      <c r="F1313" s="82"/>
      <c r="G1313" s="83"/>
      <c r="H1313" s="83"/>
      <c r="I1313" s="84"/>
      <c r="J1313" s="85"/>
      <c r="K1313" s="382"/>
      <c r="L1313" s="85"/>
      <c r="M1313" s="332" t="str">
        <f t="shared" ref="M1313:M1322" si="376">IF(OR(J1313="",L1313="",H1313="NO"),"",IF(OR(J1313&gt;$P$17,J1313&lt;$O$17,L1313&gt;$P$17,AND(J1313&lt;$O$17,L1313&lt;$O$17)),"FUERA DE RANGO",IF(OR(K1313="---",K1313=""),IF(J1313&gt;=$O$17,ROUND((L1313-J1313+1)/360*12,3),ROUND((L1313-$O$17+1)/360*12,3)),IF(J1313&gt;=$O$17,ROUND((L1313-J1313+1)/360*12-ROUND(K1313,3),3),ROUND((L1313-$O$17+1)/360*12-ROUND(K1313,3),3)))))</f>
        <v/>
      </c>
      <c r="N1313" s="86"/>
      <c r="O1313" s="453" t="str">
        <f>IF(OR(G1313="",N1313=""),"",N1313*G1313)</f>
        <v/>
      </c>
      <c r="P1313" s="538" t="str">
        <f>IF(OR(H1313="",M1313="FUERA DE RANGO"),"",IF(OR(L1313&lt;$O$17,L1313&gt;$P$17,L1313="",H1313="NO"),"",IF(OR(N1313="",O1313=""),"",ROUND(O1313,3))))</f>
        <v/>
      </c>
      <c r="Q1313" s="539" t="str">
        <f t="shared" ref="Q1313:Q1322" si="377">IF(AND(H1313="SI",P1313&lt;&gt;""),ROUND(P1313/M1313,3),"")</f>
        <v/>
      </c>
      <c r="R1313" s="737"/>
      <c r="S1313" s="738"/>
      <c r="T1313" s="739"/>
      <c r="U1313" s="470"/>
      <c r="V1313" s="165"/>
      <c r="W1313" s="446"/>
      <c r="X1313" s="456"/>
      <c r="Y1313" s="436"/>
      <c r="Z1313" s="437"/>
      <c r="AA1313" s="560"/>
      <c r="AB1313" s="561"/>
      <c r="AC1313" s="87"/>
      <c r="AD1313" s="466"/>
      <c r="AE1313" s="456"/>
      <c r="AF1313" s="467"/>
      <c r="AG1313" s="87"/>
      <c r="AH1313" s="87"/>
      <c r="AI1313" s="87"/>
    </row>
    <row r="1314" spans="1:35" hidden="1">
      <c r="A1314" s="80" t="e">
        <f>"B"&amp;E1309</f>
        <v>#N/A</v>
      </c>
      <c r="B1314" s="81">
        <v>2</v>
      </c>
      <c r="C1314" s="106"/>
      <c r="D1314" s="106"/>
      <c r="E1314" s="106"/>
      <c r="F1314" s="106"/>
      <c r="G1314" s="83"/>
      <c r="H1314" s="83"/>
      <c r="I1314" s="84"/>
      <c r="J1314" s="85"/>
      <c r="K1314" s="382"/>
      <c r="L1314" s="85"/>
      <c r="M1314" s="332" t="str">
        <f t="shared" si="376"/>
        <v/>
      </c>
      <c r="N1314" s="86"/>
      <c r="O1314" s="453" t="str">
        <f t="shared" ref="O1314:O1322" si="378">IF(OR(G1314="",N1314=""),"",N1314*G1314)</f>
        <v/>
      </c>
      <c r="P1314" s="538" t="str">
        <f t="shared" ref="P1314:P1322" si="379">IF(OR(H1314="",M1314="FUERA DE RANGO"),"",IF(OR(L1314&lt;$O$17,L1314&gt;$P$17,L1314="",H1314="NO"),"",IF(OR(N1314="",O1314=""),"",ROUND(O1314,3))))</f>
        <v/>
      </c>
      <c r="Q1314" s="539" t="str">
        <f t="shared" si="377"/>
        <v/>
      </c>
      <c r="R1314" s="740"/>
      <c r="S1314" s="741"/>
      <c r="T1314" s="742"/>
      <c r="U1314" s="471"/>
      <c r="V1314" s="165"/>
      <c r="W1314" s="446"/>
      <c r="X1314" s="456"/>
      <c r="Y1314" s="436"/>
      <c r="Z1314" s="437"/>
      <c r="AA1314" s="560"/>
      <c r="AB1314" s="561"/>
      <c r="AC1314" s="87"/>
      <c r="AD1314" s="466"/>
      <c r="AE1314" s="456"/>
      <c r="AF1314" s="467"/>
      <c r="AG1314" s="87"/>
      <c r="AH1314" s="87"/>
      <c r="AI1314" s="87"/>
    </row>
    <row r="1315" spans="1:35" hidden="1">
      <c r="A1315" s="80" t="e">
        <f>"C"&amp;E1309</f>
        <v>#N/A</v>
      </c>
      <c r="B1315" s="88">
        <v>3</v>
      </c>
      <c r="C1315" s="82"/>
      <c r="D1315" s="82"/>
      <c r="E1315" s="82"/>
      <c r="F1315" s="82"/>
      <c r="G1315" s="83"/>
      <c r="H1315" s="83"/>
      <c r="I1315" s="84"/>
      <c r="J1315" s="85"/>
      <c r="K1315" s="382"/>
      <c r="L1315" s="85"/>
      <c r="M1315" s="332" t="str">
        <f t="shared" si="376"/>
        <v/>
      </c>
      <c r="N1315" s="86"/>
      <c r="O1315" s="453" t="str">
        <f t="shared" si="378"/>
        <v/>
      </c>
      <c r="P1315" s="538" t="str">
        <f t="shared" si="379"/>
        <v/>
      </c>
      <c r="Q1315" s="539" t="str">
        <f t="shared" si="377"/>
        <v/>
      </c>
      <c r="R1315" s="706"/>
      <c r="S1315" s="707"/>
      <c r="T1315" s="708"/>
      <c r="U1315" s="472"/>
      <c r="V1315" s="166"/>
      <c r="W1315" s="446"/>
      <c r="X1315" s="456"/>
      <c r="Y1315" s="436"/>
      <c r="Z1315" s="437"/>
      <c r="AA1315" s="560"/>
      <c r="AB1315" s="561"/>
      <c r="AC1315" s="87"/>
      <c r="AD1315" s="466"/>
      <c r="AE1315" s="456"/>
      <c r="AF1315" s="467"/>
      <c r="AG1315" s="87"/>
      <c r="AH1315" s="87"/>
      <c r="AI1315" s="87"/>
    </row>
    <row r="1316" spans="1:35" hidden="1">
      <c r="A1316" s="80" t="e">
        <f>"D"&amp;E1309</f>
        <v>#N/A</v>
      </c>
      <c r="B1316" s="105">
        <v>4</v>
      </c>
      <c r="C1316" s="107"/>
      <c r="D1316" s="107"/>
      <c r="E1316" s="107"/>
      <c r="F1316" s="107"/>
      <c r="G1316" s="83"/>
      <c r="H1316" s="83"/>
      <c r="I1316" s="84"/>
      <c r="J1316" s="85"/>
      <c r="K1316" s="382"/>
      <c r="L1316" s="85"/>
      <c r="M1316" s="332" t="str">
        <f t="shared" si="376"/>
        <v/>
      </c>
      <c r="N1316" s="86"/>
      <c r="O1316" s="453" t="str">
        <f t="shared" si="378"/>
        <v/>
      </c>
      <c r="P1316" s="538" t="str">
        <f t="shared" si="379"/>
        <v/>
      </c>
      <c r="Q1316" s="539" t="str">
        <f t="shared" si="377"/>
        <v/>
      </c>
      <c r="R1316" s="706"/>
      <c r="S1316" s="707"/>
      <c r="T1316" s="708"/>
      <c r="U1316" s="472"/>
      <c r="V1316" s="166"/>
      <c r="W1316" s="446"/>
      <c r="X1316" s="456"/>
      <c r="Y1316" s="436"/>
      <c r="Z1316" s="437"/>
      <c r="AA1316" s="560"/>
      <c r="AB1316" s="561"/>
      <c r="AC1316" s="87"/>
      <c r="AD1316" s="466"/>
      <c r="AE1316" s="456"/>
      <c r="AF1316" s="467"/>
      <c r="AG1316" s="87"/>
      <c r="AH1316" s="87"/>
      <c r="AI1316" s="87"/>
    </row>
    <row r="1317" spans="1:35" hidden="1">
      <c r="A1317" s="80" t="e">
        <f>"E"&amp;E1309</f>
        <v>#N/A</v>
      </c>
      <c r="B1317" s="105">
        <v>5</v>
      </c>
      <c r="C1317" s="107"/>
      <c r="D1317" s="107"/>
      <c r="E1317" s="107"/>
      <c r="F1317" s="107"/>
      <c r="G1317" s="83"/>
      <c r="H1317" s="83"/>
      <c r="I1317" s="84"/>
      <c r="J1317" s="85"/>
      <c r="K1317" s="382"/>
      <c r="L1317" s="85"/>
      <c r="M1317" s="332" t="str">
        <f t="shared" si="376"/>
        <v/>
      </c>
      <c r="N1317" s="86"/>
      <c r="O1317" s="453" t="str">
        <f t="shared" si="378"/>
        <v/>
      </c>
      <c r="P1317" s="538" t="str">
        <f t="shared" si="379"/>
        <v/>
      </c>
      <c r="Q1317" s="539" t="str">
        <f t="shared" si="377"/>
        <v/>
      </c>
      <c r="R1317" s="706"/>
      <c r="S1317" s="707"/>
      <c r="T1317" s="708"/>
      <c r="U1317" s="472"/>
      <c r="V1317" s="167"/>
      <c r="W1317" s="446"/>
      <c r="X1317" s="456"/>
      <c r="Y1317" s="436"/>
      <c r="Z1317" s="437"/>
      <c r="AA1317" s="560"/>
      <c r="AB1317" s="561"/>
      <c r="AC1317" s="87"/>
      <c r="AD1317" s="466"/>
      <c r="AE1317" s="456"/>
      <c r="AF1317" s="467"/>
      <c r="AG1317" s="87"/>
      <c r="AH1317" s="87"/>
      <c r="AI1317" s="87"/>
    </row>
    <row r="1318" spans="1:35" hidden="1">
      <c r="A1318" s="80" t="e">
        <f>"F"&amp;E1309</f>
        <v>#N/A</v>
      </c>
      <c r="B1318" s="105">
        <v>6</v>
      </c>
      <c r="C1318" s="107"/>
      <c r="D1318" s="107"/>
      <c r="E1318" s="107"/>
      <c r="F1318" s="107"/>
      <c r="G1318" s="83"/>
      <c r="H1318" s="83"/>
      <c r="I1318" s="84"/>
      <c r="J1318" s="85"/>
      <c r="K1318" s="382"/>
      <c r="L1318" s="85"/>
      <c r="M1318" s="332" t="str">
        <f t="shared" si="376"/>
        <v/>
      </c>
      <c r="N1318" s="86"/>
      <c r="O1318" s="453" t="str">
        <f t="shared" si="378"/>
        <v/>
      </c>
      <c r="P1318" s="538" t="str">
        <f t="shared" si="379"/>
        <v/>
      </c>
      <c r="Q1318" s="539" t="str">
        <f t="shared" si="377"/>
        <v/>
      </c>
      <c r="R1318" s="706"/>
      <c r="S1318" s="707"/>
      <c r="T1318" s="708"/>
      <c r="U1318" s="472"/>
      <c r="V1318" s="167"/>
      <c r="W1318" s="446"/>
      <c r="X1318" s="456"/>
      <c r="Y1318" s="436"/>
      <c r="Z1318" s="437"/>
      <c r="AA1318" s="560"/>
      <c r="AB1318" s="561"/>
      <c r="AC1318" s="87"/>
      <c r="AD1318" s="466"/>
      <c r="AE1318" s="456"/>
      <c r="AF1318" s="467"/>
      <c r="AG1318" s="87"/>
      <c r="AH1318" s="87"/>
      <c r="AI1318" s="87"/>
    </row>
    <row r="1319" spans="1:35" hidden="1">
      <c r="A1319" s="80" t="e">
        <f>"G"&amp;E1309</f>
        <v>#N/A</v>
      </c>
      <c r="B1319" s="105">
        <v>7</v>
      </c>
      <c r="C1319" s="107"/>
      <c r="D1319" s="107"/>
      <c r="E1319" s="107"/>
      <c r="F1319" s="107"/>
      <c r="G1319" s="83"/>
      <c r="H1319" s="83"/>
      <c r="I1319" s="84"/>
      <c r="J1319" s="85"/>
      <c r="K1319" s="382"/>
      <c r="L1319" s="85"/>
      <c r="M1319" s="332" t="str">
        <f t="shared" si="376"/>
        <v/>
      </c>
      <c r="N1319" s="86"/>
      <c r="O1319" s="86" t="str">
        <f t="shared" si="378"/>
        <v/>
      </c>
      <c r="P1319" s="538" t="str">
        <f t="shared" si="379"/>
        <v/>
      </c>
      <c r="Q1319" s="539" t="str">
        <f t="shared" si="377"/>
        <v/>
      </c>
      <c r="R1319" s="706"/>
      <c r="S1319" s="707"/>
      <c r="T1319" s="708"/>
      <c r="U1319" s="472"/>
      <c r="V1319" s="167"/>
      <c r="W1319" s="446"/>
      <c r="X1319" s="456"/>
      <c r="Y1319" s="436"/>
      <c r="Z1319" s="437"/>
      <c r="AA1319" s="560"/>
      <c r="AB1319" s="561"/>
      <c r="AC1319" s="87"/>
      <c r="AD1319" s="466"/>
      <c r="AE1319" s="456"/>
      <c r="AF1319" s="467"/>
      <c r="AG1319" s="87"/>
      <c r="AH1319" s="87"/>
      <c r="AI1319" s="87"/>
    </row>
    <row r="1320" spans="1:35" hidden="1">
      <c r="A1320" s="80" t="e">
        <f>"H"&amp;E1309</f>
        <v>#N/A</v>
      </c>
      <c r="B1320" s="105">
        <v>8</v>
      </c>
      <c r="C1320" s="107"/>
      <c r="D1320" s="107"/>
      <c r="E1320" s="107"/>
      <c r="F1320" s="107"/>
      <c r="G1320" s="83"/>
      <c r="H1320" s="83"/>
      <c r="I1320" s="84"/>
      <c r="J1320" s="85"/>
      <c r="K1320" s="382"/>
      <c r="L1320" s="85"/>
      <c r="M1320" s="332" t="str">
        <f t="shared" si="376"/>
        <v/>
      </c>
      <c r="N1320" s="453"/>
      <c r="O1320" s="86" t="str">
        <f t="shared" si="378"/>
        <v/>
      </c>
      <c r="P1320" s="538" t="str">
        <f t="shared" si="379"/>
        <v/>
      </c>
      <c r="Q1320" s="539" t="str">
        <f t="shared" si="377"/>
        <v/>
      </c>
      <c r="R1320" s="706"/>
      <c r="S1320" s="707"/>
      <c r="T1320" s="708"/>
      <c r="U1320" s="472"/>
      <c r="V1320" s="167"/>
      <c r="W1320" s="446"/>
      <c r="X1320" s="456"/>
      <c r="Y1320" s="436"/>
      <c r="Z1320" s="437"/>
      <c r="AA1320" s="560"/>
      <c r="AB1320" s="561"/>
      <c r="AC1320" s="87"/>
      <c r="AD1320" s="466"/>
      <c r="AE1320" s="456"/>
      <c r="AF1320" s="467"/>
      <c r="AG1320" s="87"/>
      <c r="AH1320" s="87"/>
      <c r="AI1320" s="87"/>
    </row>
    <row r="1321" spans="1:35" hidden="1">
      <c r="A1321" s="80" t="e">
        <f>"I"&amp;E1309</f>
        <v>#N/A</v>
      </c>
      <c r="B1321" s="105">
        <v>9</v>
      </c>
      <c r="C1321" s="107"/>
      <c r="D1321" s="107"/>
      <c r="E1321" s="107"/>
      <c r="F1321" s="107"/>
      <c r="G1321" s="83"/>
      <c r="H1321" s="83"/>
      <c r="I1321" s="84"/>
      <c r="J1321" s="85"/>
      <c r="K1321" s="382"/>
      <c r="L1321" s="85"/>
      <c r="M1321" s="332" t="str">
        <f t="shared" si="376"/>
        <v/>
      </c>
      <c r="N1321" s="453"/>
      <c r="O1321" s="86" t="str">
        <f t="shared" si="378"/>
        <v/>
      </c>
      <c r="P1321" s="538" t="str">
        <f t="shared" si="379"/>
        <v/>
      </c>
      <c r="Q1321" s="539" t="str">
        <f t="shared" si="377"/>
        <v/>
      </c>
      <c r="R1321" s="706"/>
      <c r="S1321" s="707"/>
      <c r="T1321" s="708"/>
      <c r="U1321" s="472"/>
      <c r="V1321" s="167"/>
      <c r="W1321" s="446"/>
      <c r="X1321" s="456"/>
      <c r="Y1321" s="436"/>
      <c r="Z1321" s="437"/>
      <c r="AA1321" s="560"/>
      <c r="AB1321" s="561"/>
      <c r="AC1321" s="87"/>
      <c r="AD1321" s="466"/>
      <c r="AE1321" s="456"/>
      <c r="AF1321" s="467"/>
      <c r="AG1321" s="87"/>
      <c r="AH1321" s="87"/>
      <c r="AI1321" s="87"/>
    </row>
    <row r="1322" spans="1:35" hidden="1">
      <c r="A1322" s="80" t="e">
        <f>"J"&amp;E1309</f>
        <v>#N/A</v>
      </c>
      <c r="B1322" s="105">
        <v>10</v>
      </c>
      <c r="C1322" s="107"/>
      <c r="D1322" s="107"/>
      <c r="E1322" s="107"/>
      <c r="F1322" s="107"/>
      <c r="G1322" s="83"/>
      <c r="H1322" s="83"/>
      <c r="I1322" s="84"/>
      <c r="J1322" s="85"/>
      <c r="K1322" s="382"/>
      <c r="L1322" s="85"/>
      <c r="M1322" s="332" t="str">
        <f t="shared" si="376"/>
        <v/>
      </c>
      <c r="N1322" s="453"/>
      <c r="O1322" s="86" t="str">
        <f t="shared" si="378"/>
        <v/>
      </c>
      <c r="P1322" s="538" t="str">
        <f t="shared" si="379"/>
        <v/>
      </c>
      <c r="Q1322" s="539" t="str">
        <f t="shared" si="377"/>
        <v/>
      </c>
      <c r="R1322" s="706"/>
      <c r="S1322" s="707"/>
      <c r="T1322" s="708"/>
      <c r="U1322" s="472"/>
      <c r="V1322" s="167"/>
      <c r="W1322" s="446"/>
      <c r="X1322" s="456"/>
      <c r="Y1322" s="436"/>
      <c r="Z1322" s="437"/>
      <c r="AA1322" s="560"/>
      <c r="AB1322" s="561"/>
      <c r="AC1322" s="87"/>
      <c r="AD1322" s="466"/>
      <c r="AE1322" s="456"/>
      <c r="AF1322" s="467"/>
      <c r="AG1322" s="87"/>
      <c r="AH1322" s="87"/>
      <c r="AI1322" s="87"/>
    </row>
    <row r="1323" spans="1:35" ht="16.5" hidden="1" thickBot="1">
      <c r="A1323" s="44"/>
      <c r="B1323" s="89"/>
      <c r="C1323" s="90"/>
      <c r="D1323" s="90"/>
      <c r="E1323" s="90"/>
      <c r="F1323" s="90"/>
      <c r="G1323" s="90"/>
      <c r="H1323" s="90"/>
      <c r="I1323" s="90"/>
      <c r="J1323" s="90"/>
      <c r="K1323" s="90"/>
      <c r="L1323" s="90"/>
      <c r="M1323" s="90"/>
      <c r="N1323" s="90"/>
      <c r="O1323" s="90"/>
      <c r="P1323" s="90"/>
      <c r="Q1323" s="90"/>
      <c r="R1323" s="90"/>
      <c r="S1323" s="91"/>
      <c r="T1323" s="92"/>
      <c r="U1323" s="473"/>
      <c r="W1323" s="438"/>
      <c r="X1323" s="455"/>
      <c r="Y1323" s="439"/>
      <c r="Z1323" s="437"/>
      <c r="AA1323" s="530"/>
      <c r="AB1323" s="563"/>
      <c r="AC1323" s="87"/>
      <c r="AD1323" s="440"/>
      <c r="AE1323" s="441"/>
      <c r="AF1323" s="442"/>
      <c r="AG1323" s="49"/>
      <c r="AH1323" s="87"/>
      <c r="AI1323" s="87"/>
    </row>
    <row r="1324" spans="1:35" ht="16.5" hidden="1" thickBot="1">
      <c r="A1324" s="93"/>
      <c r="B1324" s="94"/>
      <c r="C1324" s="96"/>
      <c r="D1324" s="96"/>
      <c r="E1324" s="96"/>
      <c r="F1324" s="96"/>
      <c r="G1324" s="96"/>
      <c r="H1324" s="96"/>
      <c r="I1324" s="96"/>
      <c r="J1324" s="96"/>
      <c r="K1324" s="96"/>
      <c r="L1324" s="96"/>
      <c r="M1324" s="136"/>
      <c r="N1324" s="96"/>
      <c r="O1324" s="96"/>
      <c r="P1324" s="97"/>
      <c r="Q1324" s="97"/>
      <c r="R1324" s="98"/>
      <c r="S1324" s="95"/>
      <c r="T1324" s="99"/>
      <c r="U1324" s="469"/>
      <c r="AC1324" s="58"/>
      <c r="AG1324" s="58"/>
      <c r="AH1324" s="87"/>
      <c r="AI1324" s="87"/>
    </row>
    <row r="1325" spans="1:35" ht="16.5" hidden="1" thickBot="1">
      <c r="B1325" s="101"/>
      <c r="C1325" s="101"/>
      <c r="D1325" s="101"/>
      <c r="E1325" s="101"/>
      <c r="F1325" s="101"/>
      <c r="G1325" s="101"/>
      <c r="H1325" s="101"/>
      <c r="I1325" s="101"/>
      <c r="J1325" s="101"/>
      <c r="K1325" s="101"/>
      <c r="L1325" s="101"/>
      <c r="M1325" s="101"/>
      <c r="N1325" s="101"/>
      <c r="O1325" s="101"/>
      <c r="P1325" s="101"/>
      <c r="Q1325" s="101"/>
      <c r="R1325" s="101"/>
      <c r="S1325" s="101"/>
      <c r="U1325" s="50"/>
      <c r="AH1325" s="87"/>
      <c r="AI1325" s="87"/>
    </row>
    <row r="1326" spans="1:35" ht="16.5" hidden="1" customHeight="1" thickBot="1">
      <c r="A1326" s="44"/>
      <c r="B1326" s="705" t="s">
        <v>74</v>
      </c>
      <c r="C1326" s="705"/>
      <c r="D1326" s="705"/>
      <c r="E1326" s="705"/>
      <c r="F1326" s="705"/>
      <c r="G1326" s="705"/>
      <c r="H1326" s="705"/>
      <c r="I1326" s="705"/>
      <c r="J1326" s="705"/>
      <c r="K1326" s="705"/>
      <c r="L1326" s="705"/>
      <c r="M1326" s="705"/>
      <c r="N1326" s="705"/>
      <c r="O1326" s="705"/>
      <c r="P1326" s="705"/>
      <c r="Q1326" s="705"/>
      <c r="R1326" s="705"/>
      <c r="S1326" s="705"/>
      <c r="T1326" s="705"/>
      <c r="U1326" s="108"/>
      <c r="Y1326" s="532" t="s">
        <v>341</v>
      </c>
      <c r="AC1326" s="49"/>
      <c r="AD1326" s="687" t="s">
        <v>302</v>
      </c>
      <c r="AE1326" s="688"/>
      <c r="AF1326" s="689"/>
      <c r="AG1326" s="49"/>
      <c r="AH1326" s="87"/>
      <c r="AI1326" s="87"/>
    </row>
    <row r="1327" spans="1:35" ht="15.75" hidden="1" customHeight="1" thickBot="1">
      <c r="A1327" s="218" t="e">
        <f>"K"&amp;E1309</f>
        <v>#N/A</v>
      </c>
      <c r="B1327" s="701" t="s">
        <v>71</v>
      </c>
      <c r="C1327" s="751" t="s">
        <v>102</v>
      </c>
      <c r="D1327" s="751"/>
      <c r="E1327" s="751"/>
      <c r="F1327" s="751"/>
      <c r="G1327" s="751"/>
      <c r="H1327" s="751"/>
      <c r="I1327" s="751"/>
      <c r="J1327" s="751"/>
      <c r="K1327" s="751"/>
      <c r="L1327" s="722" t="s">
        <v>100</v>
      </c>
      <c r="M1327" s="747" t="s">
        <v>114</v>
      </c>
      <c r="N1327" s="747"/>
      <c r="O1327" s="747"/>
      <c r="P1327" s="747"/>
      <c r="Q1327" s="748"/>
      <c r="R1327" s="758" t="s">
        <v>280</v>
      </c>
      <c r="S1327" s="748"/>
      <c r="T1327" s="762" t="str">
        <f>IF(COUNTIF(AE1327:AF1327,"VERIFICAR")&gt;0,"VERIFICAR",IF(COUNTIF(AE1327:AF1327,"NO CUMPLE")&gt;0,"NO CUMPLE","CUMPLE"))</f>
        <v>VERIFICAR</v>
      </c>
      <c r="U1327" s="108"/>
      <c r="Y1327" s="533" t="e">
        <f>IF(F1328="","",IF(F1328=1,"INDIVIDUAL","ESTRUCTURA PLURAL"))</f>
        <v>#N/A</v>
      </c>
      <c r="AC1327" s="52"/>
      <c r="AD1327" s="475" t="s">
        <v>303</v>
      </c>
      <c r="AE1327" s="476" t="str">
        <f>IF(COUNTIF(AE1313:AE1322,"")=10,"VERIFICAR",IF(COUNTIF(AE1313:AE1322,"SI")&gt;0,"CUMPLE","NO CUMPLE"))</f>
        <v>VERIFICAR</v>
      </c>
      <c r="AF1327" s="477" t="str">
        <f>IF(COUNTIF(AF1313:AF1322,"")=10,"VERIFICAR",IF(COUNTIF(AF1313:AF1322,"SI")&gt;=$AI$22,"CUMPLE","NO CUMPLE"))</f>
        <v>VERIFICAR</v>
      </c>
      <c r="AG1327" s="52"/>
      <c r="AH1327" s="87"/>
      <c r="AI1327" s="87"/>
    </row>
    <row r="1328" spans="1:35" ht="16.5" hidden="1" customHeight="1" thickBot="1">
      <c r="A1328" s="218" t="e">
        <f>"L"&amp;E1309</f>
        <v>#N/A</v>
      </c>
      <c r="B1328" s="702"/>
      <c r="C1328" s="751" t="s">
        <v>103</v>
      </c>
      <c r="D1328" s="751"/>
      <c r="E1328" s="752"/>
      <c r="F1328" s="557" t="e">
        <f>IF(VLOOKUP(E1309,PROPONENTES!$C$19:$E$218,3,0)="","",VLOOKUP(E1309,PROPONENTES!$C$19:$E$218,3,0))</f>
        <v>#N/A</v>
      </c>
      <c r="G1328" s="753" t="s">
        <v>104</v>
      </c>
      <c r="H1328" s="751"/>
      <c r="I1328" s="715" t="e">
        <f>IF(OR(F1328="",F1328=1),"INTERESADO PERSONA NATURAL O JURIDICA","CONSORCIO O UNION TEMPORAL")</f>
        <v>#N/A</v>
      </c>
      <c r="J1328" s="725"/>
      <c r="K1328" s="728"/>
      <c r="L1328" s="723"/>
      <c r="M1328" s="749"/>
      <c r="N1328" s="749"/>
      <c r="O1328" s="749"/>
      <c r="P1328" s="749"/>
      <c r="Q1328" s="750"/>
      <c r="R1328" s="712"/>
      <c r="S1328" s="750"/>
      <c r="T1328" s="763"/>
      <c r="U1328" s="108"/>
      <c r="Y1328" s="534"/>
      <c r="AA1328" s="52"/>
      <c r="AB1328" s="52"/>
      <c r="AC1328" s="52"/>
      <c r="AG1328" s="52"/>
      <c r="AH1328" s="87"/>
      <c r="AI1328" s="87"/>
    </row>
    <row r="1329" spans="1:35" ht="56.25" hidden="1" customHeight="1" thickBot="1">
      <c r="A1329" s="218" t="e">
        <f>"M"&amp;E1309</f>
        <v>#N/A</v>
      </c>
      <c r="B1329" s="702"/>
      <c r="C1329" s="725" t="s">
        <v>101</v>
      </c>
      <c r="D1329" s="716"/>
      <c r="E1329" s="558" t="s">
        <v>105</v>
      </c>
      <c r="F1329" s="554" t="s">
        <v>87</v>
      </c>
      <c r="G1329" s="553" t="s">
        <v>86</v>
      </c>
      <c r="H1329" s="559" t="s">
        <v>85</v>
      </c>
      <c r="I1329" s="554" t="s">
        <v>252</v>
      </c>
      <c r="J1329" s="553" t="str">
        <f>"¿EL INTEGRANTE TIENE UNA PARTICIPACIÓN DEL "&amp;PORCREQUERIDOINT*100&amp;"%?"</f>
        <v>¿EL INTEGRANTE TIENE UNA PARTICIPACIÓN DEL 60%?</v>
      </c>
      <c r="K1329" s="554" t="s">
        <v>107</v>
      </c>
      <c r="L1329" s="724"/>
      <c r="M1329" s="717" t="s">
        <v>115</v>
      </c>
      <c r="N1329" s="718"/>
      <c r="O1329" s="718"/>
      <c r="P1329" s="718"/>
      <c r="Q1329" s="223">
        <f>IF(AND(H1313="SI",P1313&gt;=0),1,0)+IF(AND(H1314="SI",P1314&gt;=0),1,0)+IF(AND(H1315="SI",P1315&gt;=0),1,0)+IF(AND(H1316="SI",P1316&gt;=0),1,0)+IF(AND(H1317="SI",P1317&gt;=0),1,0)+IF(AND(H1318="SI",P1318&gt;=0),1,0)+IF(AND(H1319="SI",P1319&gt;=0),1,0)+IF(AND(H1320="SI",P1320&gt;=0),1,0)+IF(AND(H1321="SI",P1321&gt;=0),1,0)+IF(AND(H1322="SI",P1322&gt;=0),1,0)</f>
        <v>0</v>
      </c>
      <c r="R1329" s="759"/>
      <c r="S1329" s="761"/>
      <c r="T1329" s="764"/>
      <c r="U1329" s="219"/>
      <c r="V1329" s="464"/>
      <c r="Y1329" s="532" t="s">
        <v>342</v>
      </c>
      <c r="AA1329" s="550" t="s">
        <v>344</v>
      </c>
      <c r="AB1329" s="693" t="s">
        <v>345</v>
      </c>
      <c r="AC1329" s="693" t="s">
        <v>346</v>
      </c>
      <c r="AD1329" s="685" t="s">
        <v>347</v>
      </c>
      <c r="AE1329" s="52"/>
      <c r="AF1329" s="52"/>
      <c r="AG1329" s="52"/>
      <c r="AH1329" s="87"/>
      <c r="AI1329" s="87"/>
    </row>
    <row r="1330" spans="1:35" ht="15.75" hidden="1" customHeight="1" thickBot="1">
      <c r="A1330" s="218" t="e">
        <f>"N"&amp;E1309</f>
        <v>#N/A</v>
      </c>
      <c r="B1330" s="702"/>
      <c r="C1330" s="114">
        <v>1</v>
      </c>
      <c r="D1330" s="194" t="e">
        <f>IF(AND(C1330&lt;=F1328,F1328&gt;1,F1328&lt;&gt;""),VLOOKUP(VALUE(E1309&amp;","&amp;C1330),INTEGRANTES!$D$18:$F$235,2,0),"")</f>
        <v>#N/A</v>
      </c>
      <c r="E1330" s="211" t="e">
        <f>IF(D1330&lt;&gt;"",VLOOKUP(VALUE(E1309&amp;","&amp;C1330),INTEGRANTES!$D$18:$F$235,3,0),"")</f>
        <v>#N/A</v>
      </c>
      <c r="F1330" s="547" t="e">
        <f>IF(D1330="","",SUMIF($I1313:$I1322,D1330,$P1313:$P1322))</f>
        <v>#N/A</v>
      </c>
      <c r="G1330" s="333" t="e">
        <f>IF(D1330="","",SUMIF($I1313:$I1322,D1330,$M1313:$M1322))</f>
        <v>#N/A</v>
      </c>
      <c r="H1330" s="535" t="e">
        <f t="shared" ref="H1330:H1335" si="380">IF(D1330="","",IF(OR(F1330=0,G1330=0),"NO APORTA",ROUND($F1330/$G1330,3)))</f>
        <v>#N/A</v>
      </c>
      <c r="I1330" s="212" t="e">
        <f>IF(D1330="","",IF(H1330="NO APORTA","NO",IF(H1330=MAX($H1330:$H1335),"SI","NO")))</f>
        <v>#N/A</v>
      </c>
      <c r="J1330" s="213" t="e">
        <f t="shared" ref="J1330:J1335" si="381">IF(D1330="","",IF(E1330&gt;=PORCREQUERIDOINT,"SI","NO"))</f>
        <v>#N/A</v>
      </c>
      <c r="K1330" s="200" t="e">
        <f t="shared" ref="K1330:K1335" si="382">IF(D1330="","",IF(AND(I1330="SI",J1330="SI"),"CUMPLE",IF(AND(I1330="NO",OR(J1330="SI",J1330="NO")),"","NO CUMPLE")))</f>
        <v>#N/A</v>
      </c>
      <c r="L1330" s="722" t="s">
        <v>108</v>
      </c>
      <c r="M1330" s="726" t="s">
        <v>119</v>
      </c>
      <c r="N1330" s="726"/>
      <c r="O1330" s="726"/>
      <c r="P1330" s="726"/>
      <c r="Q1330" s="727"/>
      <c r="R1330" s="758" t="s">
        <v>80</v>
      </c>
      <c r="S1330" s="747"/>
      <c r="T1330" s="748"/>
      <c r="U1330" s="219"/>
      <c r="V1330" s="464"/>
      <c r="Y1330" s="533" t="e">
        <f>IF(Y1327="","",IF(Y1327="INDIVIDUAL","NO APLICA","VERIFICAR CUADRO"))</f>
        <v>#N/A</v>
      </c>
      <c r="AA1330" s="551"/>
      <c r="AB1330" s="694"/>
      <c r="AC1330" s="694"/>
      <c r="AD1330" s="686"/>
      <c r="AE1330" s="52"/>
      <c r="AF1330" s="52"/>
      <c r="AG1330" s="52"/>
      <c r="AH1330" s="87"/>
      <c r="AI1330" s="87"/>
    </row>
    <row r="1331" spans="1:35" ht="27" hidden="1" customHeight="1" thickBot="1">
      <c r="A1331" s="218" t="e">
        <f>"O"&amp;E1309</f>
        <v>#N/A</v>
      </c>
      <c r="B1331" s="702"/>
      <c r="C1331" s="114">
        <v>2</v>
      </c>
      <c r="D1331" s="194" t="e">
        <f>IF(AND(C1331&lt;=F1328,F1328&lt;&gt;""),VLOOKUP(VALUE(E1309&amp;","&amp;C1331),INTEGRANTES!$D$18:$F$235,2,0),"")</f>
        <v>#N/A</v>
      </c>
      <c r="E1331" s="211" t="e">
        <f>IF(D1331&lt;&gt;"",VLOOKUP(VALUE(E1309&amp;","&amp;C1331),INTEGRANTES!$D$18:$F$235,3,0),"")</f>
        <v>#N/A</v>
      </c>
      <c r="F1331" s="547" t="e">
        <f>IF(D1331="","",SUMIF($I1313:$I1322,D1331,$P1313:$P1322))</f>
        <v>#N/A</v>
      </c>
      <c r="G1331" s="333" t="e">
        <f>IF(D1331="","",SUMIF($I1313:$I1322,D1331,$M1313:$M1322))</f>
        <v>#N/A</v>
      </c>
      <c r="H1331" s="535" t="e">
        <f t="shared" si="380"/>
        <v>#N/A</v>
      </c>
      <c r="I1331" s="212" t="e">
        <f>IF(D1331="","",IF(H1331="NO APORTA","NO",IF(H1331=MAX($H1330:$H1335),"SI","NO")))</f>
        <v>#N/A</v>
      </c>
      <c r="J1331" s="213" t="e">
        <f t="shared" si="381"/>
        <v>#N/A</v>
      </c>
      <c r="K1331" s="200" t="e">
        <f t="shared" si="382"/>
        <v>#N/A</v>
      </c>
      <c r="L1331" s="723"/>
      <c r="M1331" s="715" t="s">
        <v>116</v>
      </c>
      <c r="N1331" s="716"/>
      <c r="O1331" s="556" t="s">
        <v>113</v>
      </c>
      <c r="P1331" s="715" t="s">
        <v>117</v>
      </c>
      <c r="Q1331" s="728"/>
      <c r="R1331" s="759"/>
      <c r="S1331" s="760"/>
      <c r="T1331" s="761"/>
      <c r="U1331" s="219"/>
      <c r="V1331" s="464"/>
      <c r="Y1331" s="414"/>
      <c r="AA1331" s="542" t="e">
        <f>IF(AND(C1330&lt;=F1328,F1328&gt;1,F1328&lt;&gt;""),VLOOKUP(VALUE(E1309&amp;","&amp;C1330),INTEGRANTES!$D$18:$F$235,2,0),"")</f>
        <v>#N/A</v>
      </c>
      <c r="AB1331" s="544" t="e">
        <f t="shared" ref="AB1331:AB1336" si="383">IF(D1330="","",IF(OR(F1330=0,G1330=0),"NO APORTA",ROUND($F1330/$G1330,3)))</f>
        <v>#N/A</v>
      </c>
      <c r="AC1331" s="529"/>
      <c r="AD1331" s="200" t="e">
        <f t="shared" ref="AD1331:AD1336" si="384">IF(OR(AA1331="",AB1331=""),"",IF(AND(AC1331="X",AB1331&gt;=EXPREQVTD),"CUMPLE","NO CUMPLE"))</f>
        <v>#N/A</v>
      </c>
      <c r="AE1331" s="52"/>
      <c r="AF1331" s="52"/>
      <c r="AG1331" s="52"/>
      <c r="AH1331" s="87"/>
      <c r="AI1331" s="87"/>
    </row>
    <row r="1332" spans="1:35" ht="16.5" hidden="1" thickBot="1">
      <c r="A1332" s="218" t="e">
        <f>"P"&amp;E1309</f>
        <v>#N/A</v>
      </c>
      <c r="B1332" s="702"/>
      <c r="C1332" s="114">
        <v>3</v>
      </c>
      <c r="D1332" s="194" t="e">
        <f>IF(AND(C1332&lt;=F1328,F1328&lt;&gt;""),VLOOKUP(VALUE(E1309&amp;","&amp;C1332),INTEGRANTES!$D$18:$F$235,2,0),"")</f>
        <v>#N/A</v>
      </c>
      <c r="E1332" s="211" t="e">
        <f>IF(D1332&lt;&gt;"",VLOOKUP(VALUE(E1309&amp;","&amp;C1332),INTEGRANTES!$D$18:$F$235,3,0),"")</f>
        <v>#N/A</v>
      </c>
      <c r="F1332" s="547" t="e">
        <f>IF(D1332="","",SUMIF($I1313:$I1322,D1332,$P1313:$P1322))</f>
        <v>#N/A</v>
      </c>
      <c r="G1332" s="333" t="e">
        <f>IF(D1332="","",SUMIF($I1313:$I1322,D1332,$M1313:$M1322))</f>
        <v>#N/A</v>
      </c>
      <c r="H1332" s="535" t="e">
        <f t="shared" si="380"/>
        <v>#N/A</v>
      </c>
      <c r="I1332" s="212" t="e">
        <f>IF(D1332="","",IF(H1332="NO APORTA","NO",IF(H1332=MAX($H1330:$H1335),"SI","NO")))</f>
        <v>#N/A</v>
      </c>
      <c r="J1332" s="213" t="e">
        <f t="shared" si="381"/>
        <v>#N/A</v>
      </c>
      <c r="K1332" s="200" t="e">
        <f t="shared" si="382"/>
        <v>#N/A</v>
      </c>
      <c r="L1332" s="724"/>
      <c r="M1332" s="729">
        <f>NUMMOD</f>
        <v>1</v>
      </c>
      <c r="N1332" s="730"/>
      <c r="O1332" s="443">
        <f>IF(M1332="","",VLOOKUP(M1332,PRESUPUESTOS!$B$16:$H$16,5,FALSE))</f>
        <v>2</v>
      </c>
      <c r="P1332" s="713">
        <f>IF(OR(COUNTIF(M1313:M1322,"")&gt;=10,Q1329&lt;NUMMINCONT,OR(T1327="NO CUMPLE",T1327="VERIFICAR")),0,ROUND(AVERAGE(M1313:M1322),3))</f>
        <v>0</v>
      </c>
      <c r="Q1332" s="714"/>
      <c r="R1332" s="458"/>
      <c r="S1332" s="459"/>
      <c r="T1332" s="460"/>
      <c r="U1332" s="219"/>
      <c r="V1332" s="464"/>
      <c r="Y1332" s="532" t="str">
        <f>"40% * ("&amp;PRESUPUESTOS!$H$13&amp;")"</f>
        <v>40% * (50% PFMO)</v>
      </c>
      <c r="AA1332" s="540" t="e">
        <f>IF(AND(C1331&lt;=F1328,F1328&lt;&gt;""),VLOOKUP(VALUE(E1309&amp;","&amp;C1331),INTEGRANTES!$D$18:$F$235,2,0),"")</f>
        <v>#N/A</v>
      </c>
      <c r="AB1332" s="545" t="e">
        <f t="shared" si="383"/>
        <v>#N/A</v>
      </c>
      <c r="AC1332" s="529"/>
      <c r="AD1332" s="200" t="e">
        <f t="shared" si="384"/>
        <v>#N/A</v>
      </c>
      <c r="AE1332" s="52"/>
      <c r="AF1332" s="52"/>
      <c r="AG1332" s="52"/>
      <c r="AH1332" s="87"/>
      <c r="AI1332" s="87"/>
    </row>
    <row r="1333" spans="1:35" ht="15.75" hidden="1" customHeight="1" thickBot="1">
      <c r="A1333" s="218" t="e">
        <f>"Q"&amp;E1309</f>
        <v>#N/A</v>
      </c>
      <c r="B1333" s="702"/>
      <c r="C1333" s="114">
        <v>4</v>
      </c>
      <c r="D1333" s="194" t="e">
        <f>IF(AND(C1333&lt;=F1328,F1328&lt;&gt;""),VLOOKUP(VALUE(E1309&amp;","&amp;C1333),INTEGRANTES!$D$18:$F$235,2,0),"")</f>
        <v>#N/A</v>
      </c>
      <c r="E1333" s="211" t="e">
        <f>IF(D1333&lt;&gt;"",VLOOKUP(VALUE(E1309&amp;","&amp;C1333),INTEGRANTES!$D$18:$F$235,3,0),"")</f>
        <v>#N/A</v>
      </c>
      <c r="F1333" s="547" t="e">
        <f>IF(D1333="","",SUMIF($I1313:$I1322,D1333,$P1313:$P1322))</f>
        <v>#N/A</v>
      </c>
      <c r="G1333" s="333" t="e">
        <f>IF(D1333="","",SUMIF($I1313:$I1322,D1333,$M1313:$M1322))</f>
        <v>#N/A</v>
      </c>
      <c r="H1333" s="535" t="e">
        <f t="shared" si="380"/>
        <v>#N/A</v>
      </c>
      <c r="I1333" s="212" t="e">
        <f>IF(D1333="","",IF(H1333="NO APORTA","NO",IF(H1333=MAX($H1330:$H1335),"SI","NO")))</f>
        <v>#N/A</v>
      </c>
      <c r="J1333" s="213" t="e">
        <f t="shared" si="381"/>
        <v>#N/A</v>
      </c>
      <c r="K1333" s="200" t="e">
        <f t="shared" si="382"/>
        <v>#N/A</v>
      </c>
      <c r="L1333" s="720" t="s">
        <v>109</v>
      </c>
      <c r="M1333" s="757" t="s">
        <v>120</v>
      </c>
      <c r="N1333" s="726"/>
      <c r="O1333" s="726"/>
      <c r="P1333" s="726"/>
      <c r="Q1333" s="727"/>
      <c r="R1333" s="458"/>
      <c r="S1333" s="459"/>
      <c r="T1333" s="460"/>
      <c r="U1333" s="219"/>
      <c r="V1333" s="464"/>
      <c r="Y1333" s="537">
        <f>0.4*PRESUPUESTOS!$H$16</f>
        <v>10.3124</v>
      </c>
      <c r="AA1333" s="540" t="e">
        <f>IF(AND(C1332&lt;=F1328,F1328&lt;&gt;""),VLOOKUP(VALUE(E1309&amp;","&amp;C1332),INTEGRANTES!$D$18:$F$235,2,0),"")</f>
        <v>#N/A</v>
      </c>
      <c r="AB1333" s="545" t="e">
        <f t="shared" si="383"/>
        <v>#N/A</v>
      </c>
      <c r="AC1333" s="529"/>
      <c r="AD1333" s="200" t="e">
        <f t="shared" si="384"/>
        <v>#N/A</v>
      </c>
      <c r="AE1333" s="52"/>
      <c r="AF1333" s="52"/>
      <c r="AG1333" s="52"/>
      <c r="AH1333" s="87"/>
      <c r="AI1333" s="87"/>
    </row>
    <row r="1334" spans="1:35" ht="27" hidden="1" customHeight="1" thickBot="1">
      <c r="A1334" s="218" t="e">
        <f>"R"&amp;E1309</f>
        <v>#N/A</v>
      </c>
      <c r="B1334" s="702"/>
      <c r="C1334" s="114">
        <v>5</v>
      </c>
      <c r="D1334" s="194" t="e">
        <f>IF(AND(C1334&lt;=F1328,F1328&lt;&gt;""),VLOOKUP(VALUE(E1309&amp;","&amp;C1334),INTEGRANTES!$D$18:$F$235,2,0),"")</f>
        <v>#N/A</v>
      </c>
      <c r="E1334" s="211" t="e">
        <f>IF(D1334&lt;&gt;"",VLOOKUP(VALUE(E1309&amp;","&amp;C1334),INTEGRANTES!$D$18:$F$235,3,0),"")</f>
        <v>#N/A</v>
      </c>
      <c r="F1334" s="547" t="e">
        <f>IF(D1334="","",SUMIF($I1313:$I1322,D1334,$P1313:$P1322))</f>
        <v>#N/A</v>
      </c>
      <c r="G1334" s="333" t="e">
        <f>IF(D1334="","",SUMIF($I1313:$I1322,D1334,$M1313:$M1322))</f>
        <v>#N/A</v>
      </c>
      <c r="H1334" s="535" t="e">
        <f t="shared" si="380"/>
        <v>#N/A</v>
      </c>
      <c r="I1334" s="212" t="e">
        <f>IF(D1334="","",IF(H1334="NO APORTA","NO",IF(H1334=MAX($H1330:$H1335),"SI","NO")))</f>
        <v>#N/A</v>
      </c>
      <c r="J1334" s="213" t="e">
        <f t="shared" si="381"/>
        <v>#N/A</v>
      </c>
      <c r="K1334" s="200" t="e">
        <f t="shared" si="382"/>
        <v>#N/A</v>
      </c>
      <c r="L1334" s="721"/>
      <c r="M1334" s="715" t="s">
        <v>116</v>
      </c>
      <c r="N1334" s="716"/>
      <c r="O1334" s="556" t="str">
        <f>PORCREQUERIDO*100&amp;"% PMFO DEL MÓDULO"</f>
        <v>50% PMFO DEL MÓDULO</v>
      </c>
      <c r="P1334" s="715" t="s">
        <v>118</v>
      </c>
      <c r="Q1334" s="728"/>
      <c r="R1334" s="458"/>
      <c r="S1334" s="459"/>
      <c r="T1334" s="460"/>
      <c r="U1334" s="219"/>
      <c r="V1334" s="464"/>
      <c r="Y1334" s="414"/>
      <c r="AA1334" s="540" t="e">
        <f>IF(AND(C1333&lt;=F1328,F1328&lt;&gt;""),VLOOKUP(VALUE(E1309&amp;","&amp;C1333),INTEGRANTES!$D$18:$F$235,2,0),"")</f>
        <v>#N/A</v>
      </c>
      <c r="AB1334" s="545" t="e">
        <f t="shared" si="383"/>
        <v>#N/A</v>
      </c>
      <c r="AC1334" s="529"/>
      <c r="AD1334" s="200" t="e">
        <f t="shared" si="384"/>
        <v>#N/A</v>
      </c>
      <c r="AE1334" s="52"/>
      <c r="AF1334" s="52"/>
      <c r="AG1334" s="52"/>
      <c r="AH1334" s="87"/>
      <c r="AI1334" s="87"/>
    </row>
    <row r="1335" spans="1:35" ht="16.5" hidden="1" thickBot="1">
      <c r="A1335" s="218" t="e">
        <f>"S"&amp;E1309</f>
        <v>#N/A</v>
      </c>
      <c r="B1335" s="702"/>
      <c r="C1335" s="215">
        <v>6</v>
      </c>
      <c r="D1335" s="216" t="e">
        <f>IF(AND(C1335&lt;=F1328,F1328&lt;&gt;""),VLOOKUP(VALUE(E1309&amp;","&amp;C1335),INTEGRANTES!$D$18:$F$235,2,0),"")</f>
        <v>#N/A</v>
      </c>
      <c r="E1335" s="217" t="e">
        <f>IF(D1335&lt;&gt;"",VLOOKUP(VALUE(E1309&amp;","&amp;C1335),INTEGRANTES!$D$18:$F$235,3,0),"")</f>
        <v>#N/A</v>
      </c>
      <c r="F1335" s="548" t="e">
        <f>IF(D1335="","",SUMIF($I1313:$I1322,D1335,$P1313:$P1322))</f>
        <v>#N/A</v>
      </c>
      <c r="G1335" s="334" t="e">
        <f>IF(D1335="","",SUMIF($I1313:$I1322,D1335,$M1313:$M1322))</f>
        <v>#N/A</v>
      </c>
      <c r="H1335" s="536" t="e">
        <f t="shared" si="380"/>
        <v>#N/A</v>
      </c>
      <c r="I1335" s="214" t="e">
        <f>IF(D1335="","",IF(H1335="NO APORTA","NO",IF(H1335=MAX($H1330:$H1335),"SI","NO")))</f>
        <v>#N/A</v>
      </c>
      <c r="J1335" s="213" t="e">
        <f t="shared" si="381"/>
        <v>#N/A</v>
      </c>
      <c r="K1335" s="200" t="e">
        <f t="shared" si="382"/>
        <v>#N/A</v>
      </c>
      <c r="L1335" s="721"/>
      <c r="M1335" s="729">
        <f>NUMMOD</f>
        <v>1</v>
      </c>
      <c r="N1335" s="730"/>
      <c r="O1335" s="443">
        <f>IF(M1335="","",ROUND(VLOOKUP(M1335,PRESUPUESTOS!$B$16:$H$16,7,FALSE),3))</f>
        <v>25.780999999999999</v>
      </c>
      <c r="P1335" s="713">
        <f>IF(OR(COUNTIF(P1313:P1322,"")&gt;=10,Q1329&lt;NUMMINCONT,OR(T1327="NO CUMPLE",T1327="VERIFICAR")),0,ROUND((SUM(P1313:P1322)/SUM(M1313:M1322)),3))</f>
        <v>0</v>
      </c>
      <c r="Q1335" s="714"/>
      <c r="R1335" s="458"/>
      <c r="S1335" s="459"/>
      <c r="T1335" s="460"/>
      <c r="U1335" s="219"/>
      <c r="V1335" s="464"/>
      <c r="Y1335" s="532" t="s">
        <v>343</v>
      </c>
      <c r="AA1335" s="540" t="e">
        <f>IF(AND(C1334&lt;=F1328,F1328&lt;&gt;""),VLOOKUP(VALUE(E1309&amp;","&amp;C1334),INTEGRANTES!$D$18:$F$235,2,0),"")</f>
        <v>#N/A</v>
      </c>
      <c r="AB1335" s="545" t="e">
        <f t="shared" si="383"/>
        <v>#N/A</v>
      </c>
      <c r="AC1335" s="529"/>
      <c r="AD1335" s="200" t="e">
        <f t="shared" si="384"/>
        <v>#N/A</v>
      </c>
      <c r="AE1335" s="52"/>
      <c r="AF1335" s="52"/>
      <c r="AG1335" s="52"/>
      <c r="AH1335" s="87"/>
      <c r="AI1335" s="87"/>
    </row>
    <row r="1336" spans="1:35" ht="16.5" hidden="1" customHeight="1" thickBot="1">
      <c r="A1336" s="218" t="e">
        <f>"T"&amp;E1309</f>
        <v>#N/A</v>
      </c>
      <c r="B1336" s="703"/>
      <c r="C1336" s="719"/>
      <c r="D1336" s="719"/>
      <c r="E1336" s="719"/>
      <c r="F1336" s="719"/>
      <c r="G1336" s="719"/>
      <c r="H1336" s="719" t="s">
        <v>110</v>
      </c>
      <c r="I1336" s="719"/>
      <c r="J1336" s="719"/>
      <c r="K1336" s="201" t="str">
        <f>IF(COUNTIF(K1330:K1335,"")=6,"",IF(COUNTIF(K1330:K1335,"CUMPLE")&gt;0,"CUMPLE","NO CUMPLE"))</f>
        <v>NO CUMPLE</v>
      </c>
      <c r="L1336" s="754"/>
      <c r="M1336" s="755"/>
      <c r="N1336" s="755"/>
      <c r="O1336" s="755"/>
      <c r="P1336" s="755"/>
      <c r="Q1336" s="756"/>
      <c r="R1336" s="461"/>
      <c r="S1336" s="462"/>
      <c r="T1336" s="463"/>
      <c r="U1336" s="219"/>
      <c r="V1336" s="464"/>
      <c r="Y1336" s="549" t="e">
        <f>IF(Y1330="NO APLICA","NO APLICA",IF(COUNTIF(AD1331:AD1336,"CUMPLE")&gt;0,"CUMPLE","NO CUMPLE"))</f>
        <v>#N/A</v>
      </c>
      <c r="AA1336" s="541" t="e">
        <f>IF(AND(C1335&lt;=F1328,F1328&lt;&gt;""),VLOOKUP(VALUE(E1309&amp;","&amp;C1335),INTEGRANTES!$D$18:$F$235,2,0),"")</f>
        <v>#N/A</v>
      </c>
      <c r="AB1336" s="546" t="e">
        <f t="shared" si="383"/>
        <v>#N/A</v>
      </c>
      <c r="AC1336" s="543"/>
      <c r="AD1336" s="201" t="e">
        <f t="shared" si="384"/>
        <v>#N/A</v>
      </c>
      <c r="AE1336" s="52"/>
      <c r="AF1336" s="52"/>
      <c r="AG1336" s="52"/>
      <c r="AH1336" s="87"/>
      <c r="AI1336" s="87"/>
    </row>
    <row r="1337" spans="1:35" hidden="1">
      <c r="AH1337" s="87"/>
      <c r="AI1337" s="87"/>
    </row>
    <row r="1338" spans="1:35" hidden="1">
      <c r="AH1338" s="87"/>
      <c r="AI1338" s="87"/>
    </row>
    <row r="1339" spans="1:35" ht="24" hidden="1" thickBot="1">
      <c r="A1339" s="61">
        <v>45</v>
      </c>
      <c r="B1339" s="704" t="s">
        <v>51</v>
      </c>
      <c r="C1339" s="704"/>
      <c r="D1339" s="704"/>
      <c r="E1339" s="62" t="e">
        <f>VLOOKUP(A1339,PROPONENTES!$B$19:$E$218,2,FALSE)</f>
        <v>#N/A</v>
      </c>
      <c r="F1339" s="63" t="e">
        <f>VLOOKUP(A1339,PROPONENTES!$B$19:$E$218,3,FALSE)</f>
        <v>#N/A</v>
      </c>
      <c r="G1339" s="64"/>
      <c r="H1339" s="64"/>
      <c r="I1339" s="63"/>
      <c r="J1339" s="63"/>
      <c r="K1339" s="65"/>
      <c r="L1339" s="65"/>
      <c r="M1339" s="64"/>
      <c r="N1339" s="64"/>
      <c r="O1339" s="66"/>
      <c r="P1339" s="66"/>
      <c r="Q1339" s="66"/>
      <c r="R1339" s="66"/>
      <c r="S1339" s="67"/>
      <c r="T1339" s="68"/>
      <c r="U1339" s="68"/>
      <c r="AC1339" s="68"/>
      <c r="AD1339" s="68"/>
      <c r="AE1339" s="68"/>
      <c r="AF1339" s="68"/>
      <c r="AG1339" s="68"/>
      <c r="AH1339" s="87"/>
      <c r="AI1339" s="87"/>
    </row>
    <row r="1340" spans="1:35" ht="15.75" hidden="1" customHeight="1">
      <c r="A1340" s="44"/>
      <c r="B1340" s="709" t="s">
        <v>59</v>
      </c>
      <c r="C1340" s="552" t="s">
        <v>60</v>
      </c>
      <c r="D1340" s="70" t="s">
        <v>17</v>
      </c>
      <c r="E1340" s="70"/>
      <c r="F1340" s="70" t="s">
        <v>61</v>
      </c>
      <c r="G1340" s="71"/>
      <c r="H1340" s="699" t="s">
        <v>62</v>
      </c>
      <c r="I1340" s="699" t="s">
        <v>18</v>
      </c>
      <c r="J1340" s="699" t="s">
        <v>63</v>
      </c>
      <c r="K1340" s="699" t="s">
        <v>64</v>
      </c>
      <c r="L1340" s="699" t="s">
        <v>65</v>
      </c>
      <c r="M1340" s="743" t="s">
        <v>66</v>
      </c>
      <c r="N1340" s="699" t="s">
        <v>282</v>
      </c>
      <c r="O1340" s="745" t="s">
        <v>67</v>
      </c>
      <c r="P1340" s="746"/>
      <c r="Q1340" s="102" t="s">
        <v>75</v>
      </c>
      <c r="R1340" s="731" t="s">
        <v>22</v>
      </c>
      <c r="S1340" s="732"/>
      <c r="T1340" s="733"/>
      <c r="U1340" s="712" t="s">
        <v>298</v>
      </c>
      <c r="W1340" s="690" t="s">
        <v>268</v>
      </c>
      <c r="X1340" s="691"/>
      <c r="Y1340" s="692"/>
      <c r="Z1340" s="428"/>
      <c r="AA1340" s="697" t="s">
        <v>315</v>
      </c>
      <c r="AB1340" s="695" t="s">
        <v>322</v>
      </c>
      <c r="AC1340" s="49"/>
      <c r="AD1340" s="690" t="s">
        <v>297</v>
      </c>
      <c r="AE1340" s="691"/>
      <c r="AF1340" s="692"/>
      <c r="AG1340" s="49"/>
      <c r="AH1340" s="87"/>
      <c r="AI1340" s="87"/>
    </row>
    <row r="1341" spans="1:35" ht="72" hidden="1">
      <c r="A1341" s="44"/>
      <c r="B1341" s="710"/>
      <c r="C1341" s="553" t="s">
        <v>68</v>
      </c>
      <c r="D1341" s="73" t="s">
        <v>3</v>
      </c>
      <c r="E1341" s="73" t="s">
        <v>19</v>
      </c>
      <c r="F1341" s="73" t="s">
        <v>69</v>
      </c>
      <c r="G1341" s="74" t="s">
        <v>70</v>
      </c>
      <c r="H1341" s="700"/>
      <c r="I1341" s="700"/>
      <c r="J1341" s="700"/>
      <c r="K1341" s="700"/>
      <c r="L1341" s="700"/>
      <c r="M1341" s="744"/>
      <c r="N1341" s="700"/>
      <c r="O1341" s="553" t="s">
        <v>279</v>
      </c>
      <c r="P1341" s="73" t="s">
        <v>88</v>
      </c>
      <c r="Q1341" s="555" t="s">
        <v>76</v>
      </c>
      <c r="R1341" s="734"/>
      <c r="S1341" s="735"/>
      <c r="T1341" s="736"/>
      <c r="U1341" s="712"/>
      <c r="W1341" s="429" t="s">
        <v>269</v>
      </c>
      <c r="X1341" s="457" t="s">
        <v>278</v>
      </c>
      <c r="Y1341" s="430" t="s">
        <v>324</v>
      </c>
      <c r="Z1341" s="428"/>
      <c r="AA1341" s="698"/>
      <c r="AB1341" s="696"/>
      <c r="AC1341" s="49"/>
      <c r="AD1341" s="429" t="s">
        <v>292</v>
      </c>
      <c r="AE1341" s="431" t="s">
        <v>300</v>
      </c>
      <c r="AF1341" s="468" t="s">
        <v>301</v>
      </c>
      <c r="AG1341" s="49"/>
      <c r="AH1341" s="87"/>
      <c r="AI1341" s="87"/>
    </row>
    <row r="1342" spans="1:35" hidden="1">
      <c r="A1342" s="44"/>
      <c r="B1342" s="76"/>
      <c r="C1342" s="77"/>
      <c r="D1342" s="77"/>
      <c r="E1342" s="77"/>
      <c r="F1342" s="77"/>
      <c r="G1342" s="77"/>
      <c r="H1342" s="77"/>
      <c r="I1342" s="77"/>
      <c r="J1342" s="77"/>
      <c r="K1342" s="77"/>
      <c r="L1342" s="77"/>
      <c r="M1342" s="77"/>
      <c r="N1342" s="77"/>
      <c r="O1342" s="77"/>
      <c r="P1342" s="77"/>
      <c r="Q1342" s="77"/>
      <c r="R1342" s="77"/>
      <c r="S1342" s="78"/>
      <c r="T1342" s="79"/>
      <c r="U1342" s="109"/>
      <c r="V1342" s="49"/>
      <c r="W1342" s="432"/>
      <c r="X1342" s="454"/>
      <c r="Y1342" s="433"/>
      <c r="Z1342" s="6"/>
      <c r="AA1342" s="500"/>
      <c r="AB1342" s="562"/>
      <c r="AC1342" s="49"/>
      <c r="AD1342" s="210"/>
      <c r="AE1342" s="434"/>
      <c r="AF1342" s="435"/>
      <c r="AG1342" s="49"/>
      <c r="AH1342" s="87"/>
      <c r="AI1342" s="87"/>
    </row>
    <row r="1343" spans="1:35" hidden="1">
      <c r="A1343" s="80" t="e">
        <f>"A"&amp;E1339</f>
        <v>#N/A</v>
      </c>
      <c r="B1343" s="81">
        <v>1</v>
      </c>
      <c r="C1343" s="82"/>
      <c r="D1343" s="82"/>
      <c r="E1343" s="82"/>
      <c r="F1343" s="82"/>
      <c r="G1343" s="83"/>
      <c r="H1343" s="83"/>
      <c r="I1343" s="84"/>
      <c r="J1343" s="85"/>
      <c r="K1343" s="382"/>
      <c r="L1343" s="85"/>
      <c r="M1343" s="332" t="str">
        <f t="shared" ref="M1343:M1352" si="385">IF(OR(J1343="",L1343="",H1343="NO"),"",IF(OR(J1343&gt;$P$17,J1343&lt;$O$17,L1343&gt;$P$17,AND(J1343&lt;$O$17,L1343&lt;$O$17)),"FUERA DE RANGO",IF(OR(K1343="---",K1343=""),IF(J1343&gt;=$O$17,ROUND((L1343-J1343+1)/360*12,3),ROUND((L1343-$O$17+1)/360*12,3)),IF(J1343&gt;=$O$17,ROUND((L1343-J1343+1)/360*12-ROUND(K1343,3),3),ROUND((L1343-$O$17+1)/360*12-ROUND(K1343,3),3)))))</f>
        <v/>
      </c>
      <c r="N1343" s="86"/>
      <c r="O1343" s="453" t="str">
        <f>IF(OR(G1343="",N1343=""),"",N1343*G1343)</f>
        <v/>
      </c>
      <c r="P1343" s="538" t="str">
        <f>IF(OR(H1343="",M1343="FUERA DE RANGO"),"",IF(OR(L1343&lt;$O$17,L1343&gt;$P$17,L1343="",H1343="NO"),"",IF(OR(N1343="",O1343=""),"",ROUND(O1343,3))))</f>
        <v/>
      </c>
      <c r="Q1343" s="539" t="str">
        <f t="shared" ref="Q1343:Q1352" si="386">IF(AND(H1343="SI",P1343&lt;&gt;""),ROUND(P1343/M1343,3),"")</f>
        <v/>
      </c>
      <c r="R1343" s="737"/>
      <c r="S1343" s="738"/>
      <c r="T1343" s="739"/>
      <c r="U1343" s="470"/>
      <c r="V1343" s="165"/>
      <c r="W1343" s="446"/>
      <c r="X1343" s="456"/>
      <c r="Y1343" s="436"/>
      <c r="Z1343" s="437"/>
      <c r="AA1343" s="560"/>
      <c r="AB1343" s="561"/>
      <c r="AC1343" s="87"/>
      <c r="AD1343" s="466"/>
      <c r="AE1343" s="456"/>
      <c r="AF1343" s="467"/>
      <c r="AG1343" s="87"/>
      <c r="AH1343" s="87"/>
      <c r="AI1343" s="87"/>
    </row>
    <row r="1344" spans="1:35" hidden="1">
      <c r="A1344" s="80" t="e">
        <f>"B"&amp;E1339</f>
        <v>#N/A</v>
      </c>
      <c r="B1344" s="81">
        <v>2</v>
      </c>
      <c r="C1344" s="106"/>
      <c r="D1344" s="106"/>
      <c r="E1344" s="106"/>
      <c r="F1344" s="106"/>
      <c r="G1344" s="83"/>
      <c r="H1344" s="83"/>
      <c r="I1344" s="84"/>
      <c r="J1344" s="85"/>
      <c r="K1344" s="382"/>
      <c r="L1344" s="85"/>
      <c r="M1344" s="332" t="str">
        <f t="shared" si="385"/>
        <v/>
      </c>
      <c r="N1344" s="86"/>
      <c r="O1344" s="453" t="str">
        <f t="shared" ref="O1344:O1352" si="387">IF(OR(G1344="",N1344=""),"",N1344*G1344)</f>
        <v/>
      </c>
      <c r="P1344" s="538" t="str">
        <f t="shared" ref="P1344:P1352" si="388">IF(OR(H1344="",M1344="FUERA DE RANGO"),"",IF(OR(L1344&lt;$O$17,L1344&gt;$P$17,L1344="",H1344="NO"),"",IF(OR(N1344="",O1344=""),"",ROUND(O1344,3))))</f>
        <v/>
      </c>
      <c r="Q1344" s="539" t="str">
        <f t="shared" si="386"/>
        <v/>
      </c>
      <c r="R1344" s="740"/>
      <c r="S1344" s="741"/>
      <c r="T1344" s="742"/>
      <c r="U1344" s="471"/>
      <c r="V1344" s="165"/>
      <c r="W1344" s="446"/>
      <c r="X1344" s="456"/>
      <c r="Y1344" s="436"/>
      <c r="Z1344" s="437"/>
      <c r="AA1344" s="560"/>
      <c r="AB1344" s="561"/>
      <c r="AC1344" s="87"/>
      <c r="AD1344" s="466"/>
      <c r="AE1344" s="456"/>
      <c r="AF1344" s="467"/>
      <c r="AG1344" s="87"/>
      <c r="AH1344" s="87"/>
      <c r="AI1344" s="87"/>
    </row>
    <row r="1345" spans="1:35" hidden="1">
      <c r="A1345" s="80" t="e">
        <f>"C"&amp;E1339</f>
        <v>#N/A</v>
      </c>
      <c r="B1345" s="88">
        <v>3</v>
      </c>
      <c r="C1345" s="82"/>
      <c r="D1345" s="82"/>
      <c r="E1345" s="82"/>
      <c r="F1345" s="82"/>
      <c r="G1345" s="83"/>
      <c r="H1345" s="83"/>
      <c r="I1345" s="84"/>
      <c r="J1345" s="85"/>
      <c r="K1345" s="382"/>
      <c r="L1345" s="85"/>
      <c r="M1345" s="332" t="str">
        <f t="shared" si="385"/>
        <v/>
      </c>
      <c r="N1345" s="86"/>
      <c r="O1345" s="453" t="str">
        <f t="shared" si="387"/>
        <v/>
      </c>
      <c r="P1345" s="538" t="str">
        <f t="shared" si="388"/>
        <v/>
      </c>
      <c r="Q1345" s="539" t="str">
        <f t="shared" si="386"/>
        <v/>
      </c>
      <c r="R1345" s="706"/>
      <c r="S1345" s="707"/>
      <c r="T1345" s="708"/>
      <c r="U1345" s="472"/>
      <c r="V1345" s="166"/>
      <c r="W1345" s="446"/>
      <c r="X1345" s="456"/>
      <c r="Y1345" s="436"/>
      <c r="Z1345" s="437"/>
      <c r="AA1345" s="560"/>
      <c r="AB1345" s="561"/>
      <c r="AC1345" s="87"/>
      <c r="AD1345" s="466"/>
      <c r="AE1345" s="456"/>
      <c r="AF1345" s="467"/>
      <c r="AG1345" s="87"/>
      <c r="AH1345" s="87"/>
      <c r="AI1345" s="87"/>
    </row>
    <row r="1346" spans="1:35" hidden="1">
      <c r="A1346" s="80" t="e">
        <f>"D"&amp;E1339</f>
        <v>#N/A</v>
      </c>
      <c r="B1346" s="105">
        <v>4</v>
      </c>
      <c r="C1346" s="107"/>
      <c r="D1346" s="107"/>
      <c r="E1346" s="107"/>
      <c r="F1346" s="107"/>
      <c r="G1346" s="83"/>
      <c r="H1346" s="83"/>
      <c r="I1346" s="84"/>
      <c r="J1346" s="85"/>
      <c r="K1346" s="382"/>
      <c r="L1346" s="85"/>
      <c r="M1346" s="332" t="str">
        <f t="shared" si="385"/>
        <v/>
      </c>
      <c r="N1346" s="86"/>
      <c r="O1346" s="453" t="str">
        <f t="shared" si="387"/>
        <v/>
      </c>
      <c r="P1346" s="538" t="str">
        <f t="shared" si="388"/>
        <v/>
      </c>
      <c r="Q1346" s="539" t="str">
        <f t="shared" si="386"/>
        <v/>
      </c>
      <c r="R1346" s="706"/>
      <c r="S1346" s="707"/>
      <c r="T1346" s="708"/>
      <c r="U1346" s="472"/>
      <c r="V1346" s="166"/>
      <c r="W1346" s="446"/>
      <c r="X1346" s="456"/>
      <c r="Y1346" s="436"/>
      <c r="Z1346" s="437"/>
      <c r="AA1346" s="560"/>
      <c r="AB1346" s="561"/>
      <c r="AC1346" s="87"/>
      <c r="AD1346" s="466"/>
      <c r="AE1346" s="456"/>
      <c r="AF1346" s="467"/>
      <c r="AG1346" s="87"/>
      <c r="AH1346" s="87"/>
      <c r="AI1346" s="87"/>
    </row>
    <row r="1347" spans="1:35" hidden="1">
      <c r="A1347" s="80" t="e">
        <f>"E"&amp;E1339</f>
        <v>#N/A</v>
      </c>
      <c r="B1347" s="105">
        <v>5</v>
      </c>
      <c r="C1347" s="107"/>
      <c r="D1347" s="107"/>
      <c r="E1347" s="107"/>
      <c r="F1347" s="107"/>
      <c r="G1347" s="83"/>
      <c r="H1347" s="83"/>
      <c r="I1347" s="84"/>
      <c r="J1347" s="85"/>
      <c r="K1347" s="382"/>
      <c r="L1347" s="85"/>
      <c r="M1347" s="332" t="str">
        <f t="shared" si="385"/>
        <v/>
      </c>
      <c r="N1347" s="86"/>
      <c r="O1347" s="453" t="str">
        <f t="shared" si="387"/>
        <v/>
      </c>
      <c r="P1347" s="538" t="str">
        <f t="shared" si="388"/>
        <v/>
      </c>
      <c r="Q1347" s="539" t="str">
        <f t="shared" si="386"/>
        <v/>
      </c>
      <c r="R1347" s="706"/>
      <c r="S1347" s="707"/>
      <c r="T1347" s="708"/>
      <c r="U1347" s="472"/>
      <c r="V1347" s="167"/>
      <c r="W1347" s="446"/>
      <c r="X1347" s="456"/>
      <c r="Y1347" s="436"/>
      <c r="Z1347" s="437"/>
      <c r="AA1347" s="560"/>
      <c r="AB1347" s="561"/>
      <c r="AC1347" s="87"/>
      <c r="AD1347" s="466"/>
      <c r="AE1347" s="456"/>
      <c r="AF1347" s="467"/>
      <c r="AG1347" s="87"/>
      <c r="AH1347" s="87"/>
      <c r="AI1347" s="87"/>
    </row>
    <row r="1348" spans="1:35" hidden="1">
      <c r="A1348" s="80" t="e">
        <f>"F"&amp;E1339</f>
        <v>#N/A</v>
      </c>
      <c r="B1348" s="105">
        <v>6</v>
      </c>
      <c r="C1348" s="107"/>
      <c r="D1348" s="107"/>
      <c r="E1348" s="107"/>
      <c r="F1348" s="107"/>
      <c r="G1348" s="83"/>
      <c r="H1348" s="83"/>
      <c r="I1348" s="84"/>
      <c r="J1348" s="85"/>
      <c r="K1348" s="382"/>
      <c r="L1348" s="85"/>
      <c r="M1348" s="332" t="str">
        <f t="shared" si="385"/>
        <v/>
      </c>
      <c r="N1348" s="86"/>
      <c r="O1348" s="453" t="str">
        <f t="shared" si="387"/>
        <v/>
      </c>
      <c r="P1348" s="538" t="str">
        <f t="shared" si="388"/>
        <v/>
      </c>
      <c r="Q1348" s="539" t="str">
        <f t="shared" si="386"/>
        <v/>
      </c>
      <c r="R1348" s="706"/>
      <c r="S1348" s="707"/>
      <c r="T1348" s="708"/>
      <c r="U1348" s="472"/>
      <c r="V1348" s="167"/>
      <c r="W1348" s="446"/>
      <c r="X1348" s="456"/>
      <c r="Y1348" s="436"/>
      <c r="Z1348" s="437"/>
      <c r="AA1348" s="560"/>
      <c r="AB1348" s="561"/>
      <c r="AC1348" s="87"/>
      <c r="AD1348" s="466"/>
      <c r="AE1348" s="456"/>
      <c r="AF1348" s="467"/>
      <c r="AG1348" s="87"/>
      <c r="AH1348" s="87"/>
      <c r="AI1348" s="87"/>
    </row>
    <row r="1349" spans="1:35" hidden="1">
      <c r="A1349" s="80" t="e">
        <f>"G"&amp;E1339</f>
        <v>#N/A</v>
      </c>
      <c r="B1349" s="105">
        <v>7</v>
      </c>
      <c r="C1349" s="107"/>
      <c r="D1349" s="107"/>
      <c r="E1349" s="107"/>
      <c r="F1349" s="107"/>
      <c r="G1349" s="83"/>
      <c r="H1349" s="83"/>
      <c r="I1349" s="84"/>
      <c r="J1349" s="85"/>
      <c r="K1349" s="382"/>
      <c r="L1349" s="85"/>
      <c r="M1349" s="332" t="str">
        <f t="shared" si="385"/>
        <v/>
      </c>
      <c r="N1349" s="86"/>
      <c r="O1349" s="86" t="str">
        <f t="shared" si="387"/>
        <v/>
      </c>
      <c r="P1349" s="538" t="str">
        <f t="shared" si="388"/>
        <v/>
      </c>
      <c r="Q1349" s="539" t="str">
        <f t="shared" si="386"/>
        <v/>
      </c>
      <c r="R1349" s="706"/>
      <c r="S1349" s="707"/>
      <c r="T1349" s="708"/>
      <c r="U1349" s="472"/>
      <c r="V1349" s="167"/>
      <c r="W1349" s="446"/>
      <c r="X1349" s="456"/>
      <c r="Y1349" s="436"/>
      <c r="Z1349" s="437"/>
      <c r="AA1349" s="560"/>
      <c r="AB1349" s="561"/>
      <c r="AC1349" s="87"/>
      <c r="AD1349" s="466"/>
      <c r="AE1349" s="456"/>
      <c r="AF1349" s="467"/>
      <c r="AG1349" s="87"/>
      <c r="AH1349" s="87"/>
      <c r="AI1349" s="87"/>
    </row>
    <row r="1350" spans="1:35" hidden="1">
      <c r="A1350" s="80" t="e">
        <f>"H"&amp;E1339</f>
        <v>#N/A</v>
      </c>
      <c r="B1350" s="105">
        <v>8</v>
      </c>
      <c r="C1350" s="107"/>
      <c r="D1350" s="107"/>
      <c r="E1350" s="107"/>
      <c r="F1350" s="107"/>
      <c r="G1350" s="83"/>
      <c r="H1350" s="83"/>
      <c r="I1350" s="84"/>
      <c r="J1350" s="85"/>
      <c r="K1350" s="382"/>
      <c r="L1350" s="85"/>
      <c r="M1350" s="332" t="str">
        <f t="shared" si="385"/>
        <v/>
      </c>
      <c r="N1350" s="453"/>
      <c r="O1350" s="86" t="str">
        <f t="shared" si="387"/>
        <v/>
      </c>
      <c r="P1350" s="538" t="str">
        <f t="shared" si="388"/>
        <v/>
      </c>
      <c r="Q1350" s="539" t="str">
        <f t="shared" si="386"/>
        <v/>
      </c>
      <c r="R1350" s="706"/>
      <c r="S1350" s="707"/>
      <c r="T1350" s="708"/>
      <c r="U1350" s="472"/>
      <c r="V1350" s="167"/>
      <c r="W1350" s="446"/>
      <c r="X1350" s="456"/>
      <c r="Y1350" s="436"/>
      <c r="Z1350" s="437"/>
      <c r="AA1350" s="560"/>
      <c r="AB1350" s="561"/>
      <c r="AC1350" s="87"/>
      <c r="AD1350" s="466"/>
      <c r="AE1350" s="456"/>
      <c r="AF1350" s="467"/>
      <c r="AG1350" s="87"/>
      <c r="AH1350" s="87"/>
      <c r="AI1350" s="87"/>
    </row>
    <row r="1351" spans="1:35" hidden="1">
      <c r="A1351" s="80" t="e">
        <f>"I"&amp;E1339</f>
        <v>#N/A</v>
      </c>
      <c r="B1351" s="105">
        <v>9</v>
      </c>
      <c r="C1351" s="107"/>
      <c r="D1351" s="107"/>
      <c r="E1351" s="107"/>
      <c r="F1351" s="107"/>
      <c r="G1351" s="83"/>
      <c r="H1351" s="83"/>
      <c r="I1351" s="84"/>
      <c r="J1351" s="85"/>
      <c r="K1351" s="382"/>
      <c r="L1351" s="85"/>
      <c r="M1351" s="332" t="str">
        <f t="shared" si="385"/>
        <v/>
      </c>
      <c r="N1351" s="453"/>
      <c r="O1351" s="86" t="str">
        <f t="shared" si="387"/>
        <v/>
      </c>
      <c r="P1351" s="538" t="str">
        <f t="shared" si="388"/>
        <v/>
      </c>
      <c r="Q1351" s="539" t="str">
        <f t="shared" si="386"/>
        <v/>
      </c>
      <c r="R1351" s="706"/>
      <c r="S1351" s="707"/>
      <c r="T1351" s="708"/>
      <c r="U1351" s="472"/>
      <c r="V1351" s="167"/>
      <c r="W1351" s="446"/>
      <c r="X1351" s="456"/>
      <c r="Y1351" s="436"/>
      <c r="Z1351" s="437"/>
      <c r="AA1351" s="560"/>
      <c r="AB1351" s="561"/>
      <c r="AC1351" s="87"/>
      <c r="AD1351" s="466"/>
      <c r="AE1351" s="456"/>
      <c r="AF1351" s="467"/>
      <c r="AG1351" s="87"/>
      <c r="AH1351" s="87"/>
      <c r="AI1351" s="87"/>
    </row>
    <row r="1352" spans="1:35" hidden="1">
      <c r="A1352" s="80" t="e">
        <f>"J"&amp;E1339</f>
        <v>#N/A</v>
      </c>
      <c r="B1352" s="105">
        <v>10</v>
      </c>
      <c r="C1352" s="107"/>
      <c r="D1352" s="107"/>
      <c r="E1352" s="107"/>
      <c r="F1352" s="107"/>
      <c r="G1352" s="83"/>
      <c r="H1352" s="83"/>
      <c r="I1352" s="84"/>
      <c r="J1352" s="85"/>
      <c r="K1352" s="382"/>
      <c r="L1352" s="85"/>
      <c r="M1352" s="332" t="str">
        <f t="shared" si="385"/>
        <v/>
      </c>
      <c r="N1352" s="453"/>
      <c r="O1352" s="86" t="str">
        <f t="shared" si="387"/>
        <v/>
      </c>
      <c r="P1352" s="538" t="str">
        <f t="shared" si="388"/>
        <v/>
      </c>
      <c r="Q1352" s="539" t="str">
        <f t="shared" si="386"/>
        <v/>
      </c>
      <c r="R1352" s="706"/>
      <c r="S1352" s="707"/>
      <c r="T1352" s="708"/>
      <c r="U1352" s="472"/>
      <c r="V1352" s="167"/>
      <c r="W1352" s="446"/>
      <c r="X1352" s="456"/>
      <c r="Y1352" s="436"/>
      <c r="Z1352" s="437"/>
      <c r="AA1352" s="560"/>
      <c r="AB1352" s="561"/>
      <c r="AC1352" s="87"/>
      <c r="AD1352" s="466"/>
      <c r="AE1352" s="456"/>
      <c r="AF1352" s="467"/>
      <c r="AG1352" s="87"/>
      <c r="AH1352" s="87"/>
      <c r="AI1352" s="87"/>
    </row>
    <row r="1353" spans="1:35" ht="16.5" hidden="1" thickBot="1">
      <c r="A1353" s="44"/>
      <c r="B1353" s="89"/>
      <c r="C1353" s="90"/>
      <c r="D1353" s="90"/>
      <c r="E1353" s="90"/>
      <c r="F1353" s="90"/>
      <c r="G1353" s="90"/>
      <c r="H1353" s="90"/>
      <c r="I1353" s="90"/>
      <c r="J1353" s="90"/>
      <c r="K1353" s="90"/>
      <c r="L1353" s="90"/>
      <c r="M1353" s="90"/>
      <c r="N1353" s="90"/>
      <c r="O1353" s="90"/>
      <c r="P1353" s="90"/>
      <c r="Q1353" s="90"/>
      <c r="R1353" s="90"/>
      <c r="S1353" s="91"/>
      <c r="T1353" s="92"/>
      <c r="U1353" s="473"/>
      <c r="W1353" s="438"/>
      <c r="X1353" s="455"/>
      <c r="Y1353" s="439"/>
      <c r="Z1353" s="437"/>
      <c r="AA1353" s="530"/>
      <c r="AB1353" s="563"/>
      <c r="AC1353" s="87"/>
      <c r="AD1353" s="440"/>
      <c r="AE1353" s="441"/>
      <c r="AF1353" s="442"/>
      <c r="AG1353" s="49"/>
      <c r="AH1353" s="87"/>
      <c r="AI1353" s="87"/>
    </row>
    <row r="1354" spans="1:35" ht="16.5" hidden="1" thickBot="1">
      <c r="A1354" s="93"/>
      <c r="B1354" s="94"/>
      <c r="C1354" s="96"/>
      <c r="D1354" s="96"/>
      <c r="E1354" s="96"/>
      <c r="F1354" s="96"/>
      <c r="G1354" s="96"/>
      <c r="H1354" s="96"/>
      <c r="I1354" s="96"/>
      <c r="J1354" s="96"/>
      <c r="K1354" s="96"/>
      <c r="L1354" s="96"/>
      <c r="M1354" s="136"/>
      <c r="N1354" s="96"/>
      <c r="O1354" s="96"/>
      <c r="P1354" s="97"/>
      <c r="Q1354" s="97"/>
      <c r="R1354" s="98"/>
      <c r="S1354" s="95"/>
      <c r="T1354" s="99"/>
      <c r="U1354" s="469"/>
      <c r="AC1354" s="58"/>
      <c r="AG1354" s="58"/>
      <c r="AH1354" s="87"/>
      <c r="AI1354" s="87"/>
    </row>
    <row r="1355" spans="1:35" ht="16.5" hidden="1" thickBot="1">
      <c r="B1355" s="101"/>
      <c r="C1355" s="101"/>
      <c r="D1355" s="101"/>
      <c r="E1355" s="101"/>
      <c r="F1355" s="101"/>
      <c r="G1355" s="101"/>
      <c r="H1355" s="101"/>
      <c r="I1355" s="101"/>
      <c r="J1355" s="101"/>
      <c r="K1355" s="101"/>
      <c r="L1355" s="101"/>
      <c r="M1355" s="101"/>
      <c r="N1355" s="101"/>
      <c r="O1355" s="101"/>
      <c r="P1355" s="101"/>
      <c r="Q1355" s="101"/>
      <c r="R1355" s="101"/>
      <c r="S1355" s="101"/>
      <c r="U1355" s="50"/>
      <c r="AH1355" s="87"/>
      <c r="AI1355" s="87"/>
    </row>
    <row r="1356" spans="1:35" ht="16.5" hidden="1" customHeight="1" thickBot="1">
      <c r="A1356" s="44"/>
      <c r="B1356" s="705" t="s">
        <v>74</v>
      </c>
      <c r="C1356" s="705"/>
      <c r="D1356" s="705"/>
      <c r="E1356" s="705"/>
      <c r="F1356" s="705"/>
      <c r="G1356" s="705"/>
      <c r="H1356" s="705"/>
      <c r="I1356" s="705"/>
      <c r="J1356" s="705"/>
      <c r="K1356" s="705"/>
      <c r="L1356" s="705"/>
      <c r="M1356" s="705"/>
      <c r="N1356" s="705"/>
      <c r="O1356" s="705"/>
      <c r="P1356" s="705"/>
      <c r="Q1356" s="705"/>
      <c r="R1356" s="705"/>
      <c r="S1356" s="705"/>
      <c r="T1356" s="705"/>
      <c r="U1356" s="108"/>
      <c r="Y1356" s="532" t="s">
        <v>341</v>
      </c>
      <c r="AC1356" s="49"/>
      <c r="AD1356" s="687" t="s">
        <v>302</v>
      </c>
      <c r="AE1356" s="688"/>
      <c r="AF1356" s="689"/>
      <c r="AG1356" s="49"/>
      <c r="AH1356" s="87"/>
      <c r="AI1356" s="87"/>
    </row>
    <row r="1357" spans="1:35" ht="15.75" hidden="1" customHeight="1" thickBot="1">
      <c r="A1357" s="218" t="e">
        <f>"K"&amp;E1339</f>
        <v>#N/A</v>
      </c>
      <c r="B1357" s="701" t="s">
        <v>71</v>
      </c>
      <c r="C1357" s="751" t="s">
        <v>102</v>
      </c>
      <c r="D1357" s="751"/>
      <c r="E1357" s="751"/>
      <c r="F1357" s="751"/>
      <c r="G1357" s="751"/>
      <c r="H1357" s="751"/>
      <c r="I1357" s="751"/>
      <c r="J1357" s="751"/>
      <c r="K1357" s="751"/>
      <c r="L1357" s="722" t="s">
        <v>100</v>
      </c>
      <c r="M1357" s="747" t="s">
        <v>114</v>
      </c>
      <c r="N1357" s="747"/>
      <c r="O1357" s="747"/>
      <c r="P1357" s="747"/>
      <c r="Q1357" s="748"/>
      <c r="R1357" s="758" t="s">
        <v>280</v>
      </c>
      <c r="S1357" s="748"/>
      <c r="T1357" s="762" t="str">
        <f>IF(COUNTIF(AE1357:AF1357,"VERIFICAR")&gt;0,"VERIFICAR",IF(COUNTIF(AE1357:AF1357,"NO CUMPLE")&gt;0,"NO CUMPLE","CUMPLE"))</f>
        <v>VERIFICAR</v>
      </c>
      <c r="U1357" s="108"/>
      <c r="Y1357" s="533" t="e">
        <f>IF(F1358="","",IF(F1358=1,"INDIVIDUAL","ESTRUCTURA PLURAL"))</f>
        <v>#N/A</v>
      </c>
      <c r="AC1357" s="52"/>
      <c r="AD1357" s="475" t="s">
        <v>303</v>
      </c>
      <c r="AE1357" s="476" t="str">
        <f>IF(COUNTIF(AE1343:AE1352,"")=10,"VERIFICAR",IF(COUNTIF(AE1343:AE1352,"SI")&gt;0,"CUMPLE","NO CUMPLE"))</f>
        <v>VERIFICAR</v>
      </c>
      <c r="AF1357" s="477" t="str">
        <f>IF(COUNTIF(AF1343:AF1352,"")=10,"VERIFICAR",IF(COUNTIF(AF1343:AF1352,"SI")&gt;=$AI$22,"CUMPLE","NO CUMPLE"))</f>
        <v>VERIFICAR</v>
      </c>
      <c r="AG1357" s="52"/>
      <c r="AH1357" s="87"/>
      <c r="AI1357" s="87"/>
    </row>
    <row r="1358" spans="1:35" ht="16.5" hidden="1" customHeight="1" thickBot="1">
      <c r="A1358" s="218" t="e">
        <f>"L"&amp;E1339</f>
        <v>#N/A</v>
      </c>
      <c r="B1358" s="702"/>
      <c r="C1358" s="751" t="s">
        <v>103</v>
      </c>
      <c r="D1358" s="751"/>
      <c r="E1358" s="752"/>
      <c r="F1358" s="557" t="e">
        <f>IF(VLOOKUP(E1339,PROPONENTES!$C$19:$E$218,3,0)="","",VLOOKUP(E1339,PROPONENTES!$C$19:$E$218,3,0))</f>
        <v>#N/A</v>
      </c>
      <c r="G1358" s="753" t="s">
        <v>104</v>
      </c>
      <c r="H1358" s="751"/>
      <c r="I1358" s="715" t="e">
        <f>IF(OR(F1358="",F1358=1),"INTERESADO PERSONA NATURAL O JURIDICA","CONSORCIO O UNION TEMPORAL")</f>
        <v>#N/A</v>
      </c>
      <c r="J1358" s="725"/>
      <c r="K1358" s="728"/>
      <c r="L1358" s="723"/>
      <c r="M1358" s="749"/>
      <c r="N1358" s="749"/>
      <c r="O1358" s="749"/>
      <c r="P1358" s="749"/>
      <c r="Q1358" s="750"/>
      <c r="R1358" s="712"/>
      <c r="S1358" s="750"/>
      <c r="T1358" s="763"/>
      <c r="U1358" s="108"/>
      <c r="Y1358" s="534"/>
      <c r="AA1358" s="52"/>
      <c r="AB1358" s="52"/>
      <c r="AC1358" s="52"/>
      <c r="AG1358" s="52"/>
      <c r="AH1358" s="87"/>
      <c r="AI1358" s="87"/>
    </row>
    <row r="1359" spans="1:35" ht="56.25" hidden="1" customHeight="1" thickBot="1">
      <c r="A1359" s="218" t="e">
        <f>"M"&amp;E1339</f>
        <v>#N/A</v>
      </c>
      <c r="B1359" s="702"/>
      <c r="C1359" s="725" t="s">
        <v>101</v>
      </c>
      <c r="D1359" s="716"/>
      <c r="E1359" s="558" t="s">
        <v>105</v>
      </c>
      <c r="F1359" s="554" t="s">
        <v>87</v>
      </c>
      <c r="G1359" s="553" t="s">
        <v>86</v>
      </c>
      <c r="H1359" s="559" t="s">
        <v>85</v>
      </c>
      <c r="I1359" s="554" t="s">
        <v>252</v>
      </c>
      <c r="J1359" s="553" t="str">
        <f>"¿EL INTEGRANTE TIENE UNA PARTICIPACIÓN DEL "&amp;PORCREQUERIDOINT*100&amp;"%?"</f>
        <v>¿EL INTEGRANTE TIENE UNA PARTICIPACIÓN DEL 60%?</v>
      </c>
      <c r="K1359" s="554" t="s">
        <v>107</v>
      </c>
      <c r="L1359" s="724"/>
      <c r="M1359" s="717" t="s">
        <v>115</v>
      </c>
      <c r="N1359" s="718"/>
      <c r="O1359" s="718"/>
      <c r="P1359" s="718"/>
      <c r="Q1359" s="223">
        <f>IF(AND(H1343="SI",P1343&gt;=0),1,0)+IF(AND(H1344="SI",P1344&gt;=0),1,0)+IF(AND(H1345="SI",P1345&gt;=0),1,0)+IF(AND(H1346="SI",P1346&gt;=0),1,0)+IF(AND(H1347="SI",P1347&gt;=0),1,0)+IF(AND(H1348="SI",P1348&gt;=0),1,0)+IF(AND(H1349="SI",P1349&gt;=0),1,0)+IF(AND(H1350="SI",P1350&gt;=0),1,0)+IF(AND(H1351="SI",P1351&gt;=0),1,0)+IF(AND(H1352="SI",P1352&gt;=0),1,0)</f>
        <v>0</v>
      </c>
      <c r="R1359" s="759"/>
      <c r="S1359" s="761"/>
      <c r="T1359" s="764"/>
      <c r="U1359" s="219"/>
      <c r="V1359" s="464"/>
      <c r="Y1359" s="532" t="s">
        <v>342</v>
      </c>
      <c r="AA1359" s="550" t="s">
        <v>344</v>
      </c>
      <c r="AB1359" s="693" t="s">
        <v>345</v>
      </c>
      <c r="AC1359" s="693" t="s">
        <v>346</v>
      </c>
      <c r="AD1359" s="685" t="s">
        <v>347</v>
      </c>
      <c r="AE1359" s="52"/>
      <c r="AF1359" s="52"/>
      <c r="AG1359" s="52"/>
      <c r="AH1359" s="87"/>
      <c r="AI1359" s="87"/>
    </row>
    <row r="1360" spans="1:35" ht="15.75" hidden="1" customHeight="1" thickBot="1">
      <c r="A1360" s="218" t="e">
        <f>"N"&amp;E1339</f>
        <v>#N/A</v>
      </c>
      <c r="B1360" s="702"/>
      <c r="C1360" s="114">
        <v>1</v>
      </c>
      <c r="D1360" s="194" t="e">
        <f>IF(AND(C1360&lt;=F1358,F1358&gt;1,F1358&lt;&gt;""),VLOOKUP(VALUE(E1339&amp;","&amp;C1360),INTEGRANTES!$D$18:$F$235,2,0),"")</f>
        <v>#N/A</v>
      </c>
      <c r="E1360" s="211" t="e">
        <f>IF(D1360&lt;&gt;"",VLOOKUP(VALUE(E1339&amp;","&amp;C1360),INTEGRANTES!$D$18:$F$235,3,0),"")</f>
        <v>#N/A</v>
      </c>
      <c r="F1360" s="547" t="e">
        <f>IF(D1360="","",SUMIF($I1343:$I1352,D1360,$P1343:$P1352))</f>
        <v>#N/A</v>
      </c>
      <c r="G1360" s="333" t="e">
        <f>IF(D1360="","",SUMIF($I1343:$I1352,D1360,$M1343:$M1352))</f>
        <v>#N/A</v>
      </c>
      <c r="H1360" s="535" t="e">
        <f t="shared" ref="H1360:H1365" si="389">IF(D1360="","",IF(OR(F1360=0,G1360=0),"NO APORTA",ROUND($F1360/$G1360,3)))</f>
        <v>#N/A</v>
      </c>
      <c r="I1360" s="212" t="e">
        <f>IF(D1360="","",IF(H1360="NO APORTA","NO",IF(H1360=MAX($H1360:$H1365),"SI","NO")))</f>
        <v>#N/A</v>
      </c>
      <c r="J1360" s="213" t="e">
        <f t="shared" ref="J1360:J1365" si="390">IF(D1360="","",IF(E1360&gt;=PORCREQUERIDOINT,"SI","NO"))</f>
        <v>#N/A</v>
      </c>
      <c r="K1360" s="200" t="e">
        <f t="shared" ref="K1360:K1365" si="391">IF(D1360="","",IF(AND(I1360="SI",J1360="SI"),"CUMPLE",IF(AND(I1360="NO",OR(J1360="SI",J1360="NO")),"","NO CUMPLE")))</f>
        <v>#N/A</v>
      </c>
      <c r="L1360" s="722" t="s">
        <v>108</v>
      </c>
      <c r="M1360" s="726" t="s">
        <v>119</v>
      </c>
      <c r="N1360" s="726"/>
      <c r="O1360" s="726"/>
      <c r="P1360" s="726"/>
      <c r="Q1360" s="727"/>
      <c r="R1360" s="758" t="s">
        <v>80</v>
      </c>
      <c r="S1360" s="747"/>
      <c r="T1360" s="748"/>
      <c r="U1360" s="219"/>
      <c r="V1360" s="464"/>
      <c r="Y1360" s="533" t="e">
        <f>IF(Y1357="","",IF(Y1357="INDIVIDUAL","NO APLICA","VERIFICAR CUADRO"))</f>
        <v>#N/A</v>
      </c>
      <c r="AA1360" s="551"/>
      <c r="AB1360" s="694"/>
      <c r="AC1360" s="694"/>
      <c r="AD1360" s="686"/>
      <c r="AE1360" s="52"/>
      <c r="AF1360" s="52"/>
      <c r="AG1360" s="52"/>
      <c r="AH1360" s="87"/>
      <c r="AI1360" s="87"/>
    </row>
    <row r="1361" spans="1:35" ht="27" hidden="1" customHeight="1" thickBot="1">
      <c r="A1361" s="218" t="e">
        <f>"O"&amp;E1339</f>
        <v>#N/A</v>
      </c>
      <c r="B1361" s="702"/>
      <c r="C1361" s="114">
        <v>2</v>
      </c>
      <c r="D1361" s="194" t="e">
        <f>IF(AND(C1361&lt;=F1358,F1358&lt;&gt;""),VLOOKUP(VALUE(E1339&amp;","&amp;C1361),INTEGRANTES!$D$18:$F$235,2,0),"")</f>
        <v>#N/A</v>
      </c>
      <c r="E1361" s="211" t="e">
        <f>IF(D1361&lt;&gt;"",VLOOKUP(VALUE(E1339&amp;","&amp;C1361),INTEGRANTES!$D$18:$F$235,3,0),"")</f>
        <v>#N/A</v>
      </c>
      <c r="F1361" s="547" t="e">
        <f>IF(D1361="","",SUMIF($I1343:$I1352,D1361,$P1343:$P1352))</f>
        <v>#N/A</v>
      </c>
      <c r="G1361" s="333" t="e">
        <f>IF(D1361="","",SUMIF($I1343:$I1352,D1361,$M1343:$M1352))</f>
        <v>#N/A</v>
      </c>
      <c r="H1361" s="535" t="e">
        <f t="shared" si="389"/>
        <v>#N/A</v>
      </c>
      <c r="I1361" s="212" t="e">
        <f>IF(D1361="","",IF(H1361="NO APORTA","NO",IF(H1361=MAX($H1360:$H1365),"SI","NO")))</f>
        <v>#N/A</v>
      </c>
      <c r="J1361" s="213" t="e">
        <f t="shared" si="390"/>
        <v>#N/A</v>
      </c>
      <c r="K1361" s="200" t="e">
        <f t="shared" si="391"/>
        <v>#N/A</v>
      </c>
      <c r="L1361" s="723"/>
      <c r="M1361" s="715" t="s">
        <v>116</v>
      </c>
      <c r="N1361" s="716"/>
      <c r="O1361" s="556" t="s">
        <v>113</v>
      </c>
      <c r="P1361" s="715" t="s">
        <v>117</v>
      </c>
      <c r="Q1361" s="728"/>
      <c r="R1361" s="759"/>
      <c r="S1361" s="760"/>
      <c r="T1361" s="761"/>
      <c r="U1361" s="219"/>
      <c r="V1361" s="464"/>
      <c r="Y1361" s="414"/>
      <c r="AA1361" s="542" t="e">
        <f>IF(AND(C1360&lt;=F1358,F1358&gt;1,F1358&lt;&gt;""),VLOOKUP(VALUE(E1339&amp;","&amp;C1360),INTEGRANTES!$D$18:$F$235,2,0),"")</f>
        <v>#N/A</v>
      </c>
      <c r="AB1361" s="544" t="e">
        <f t="shared" ref="AB1361:AB1366" si="392">IF(D1360="","",IF(OR(F1360=0,G1360=0),"NO APORTA",ROUND($F1360/$G1360,3)))</f>
        <v>#N/A</v>
      </c>
      <c r="AC1361" s="529"/>
      <c r="AD1361" s="200" t="e">
        <f t="shared" ref="AD1361:AD1366" si="393">IF(OR(AA1361="",AB1361=""),"",IF(AND(AC1361="X",AB1361&gt;=EXPREQVTD),"CUMPLE","NO CUMPLE"))</f>
        <v>#N/A</v>
      </c>
      <c r="AE1361" s="52"/>
      <c r="AF1361" s="52"/>
      <c r="AG1361" s="52"/>
      <c r="AH1361" s="87"/>
      <c r="AI1361" s="87"/>
    </row>
    <row r="1362" spans="1:35" ht="16.5" hidden="1" thickBot="1">
      <c r="A1362" s="218" t="e">
        <f>"P"&amp;E1339</f>
        <v>#N/A</v>
      </c>
      <c r="B1362" s="702"/>
      <c r="C1362" s="114">
        <v>3</v>
      </c>
      <c r="D1362" s="194" t="e">
        <f>IF(AND(C1362&lt;=F1358,F1358&lt;&gt;""),VLOOKUP(VALUE(E1339&amp;","&amp;C1362),INTEGRANTES!$D$18:$F$235,2,0),"")</f>
        <v>#N/A</v>
      </c>
      <c r="E1362" s="211" t="e">
        <f>IF(D1362&lt;&gt;"",VLOOKUP(VALUE(E1339&amp;","&amp;C1362),INTEGRANTES!$D$18:$F$235,3,0),"")</f>
        <v>#N/A</v>
      </c>
      <c r="F1362" s="547" t="e">
        <f>IF(D1362="","",SUMIF($I1343:$I1352,D1362,$P1343:$P1352))</f>
        <v>#N/A</v>
      </c>
      <c r="G1362" s="333" t="e">
        <f>IF(D1362="","",SUMIF($I1343:$I1352,D1362,$M1343:$M1352))</f>
        <v>#N/A</v>
      </c>
      <c r="H1362" s="535" t="e">
        <f t="shared" si="389"/>
        <v>#N/A</v>
      </c>
      <c r="I1362" s="212" t="e">
        <f>IF(D1362="","",IF(H1362="NO APORTA","NO",IF(H1362=MAX($H1360:$H1365),"SI","NO")))</f>
        <v>#N/A</v>
      </c>
      <c r="J1362" s="213" t="e">
        <f t="shared" si="390"/>
        <v>#N/A</v>
      </c>
      <c r="K1362" s="200" t="e">
        <f t="shared" si="391"/>
        <v>#N/A</v>
      </c>
      <c r="L1362" s="724"/>
      <c r="M1362" s="729">
        <f>NUMMOD</f>
        <v>1</v>
      </c>
      <c r="N1362" s="730"/>
      <c r="O1362" s="443">
        <f>IF(M1362="","",VLOOKUP(M1362,PRESUPUESTOS!$B$16:$H$16,5,FALSE))</f>
        <v>2</v>
      </c>
      <c r="P1362" s="713">
        <f>IF(OR(COUNTIF(M1343:M1352,"")&gt;=10,Q1359&lt;NUMMINCONT,OR(T1357="NO CUMPLE",T1357="VERIFICAR")),0,ROUND(AVERAGE(M1343:M1352),3))</f>
        <v>0</v>
      </c>
      <c r="Q1362" s="714"/>
      <c r="R1362" s="458"/>
      <c r="S1362" s="459"/>
      <c r="T1362" s="460"/>
      <c r="U1362" s="219"/>
      <c r="V1362" s="464"/>
      <c r="Y1362" s="532" t="str">
        <f>"40% * ("&amp;PRESUPUESTOS!$H$13&amp;")"</f>
        <v>40% * (50% PFMO)</v>
      </c>
      <c r="AA1362" s="540" t="e">
        <f>IF(AND(C1361&lt;=F1358,F1358&lt;&gt;""),VLOOKUP(VALUE(E1339&amp;","&amp;C1361),INTEGRANTES!$D$18:$F$235,2,0),"")</f>
        <v>#N/A</v>
      </c>
      <c r="AB1362" s="545" t="e">
        <f t="shared" si="392"/>
        <v>#N/A</v>
      </c>
      <c r="AC1362" s="529"/>
      <c r="AD1362" s="200" t="e">
        <f t="shared" si="393"/>
        <v>#N/A</v>
      </c>
      <c r="AE1362" s="52"/>
      <c r="AF1362" s="52"/>
      <c r="AG1362" s="52"/>
      <c r="AH1362" s="87"/>
      <c r="AI1362" s="87"/>
    </row>
    <row r="1363" spans="1:35" ht="15.75" hidden="1" customHeight="1" thickBot="1">
      <c r="A1363" s="218" t="e">
        <f>"Q"&amp;E1339</f>
        <v>#N/A</v>
      </c>
      <c r="B1363" s="702"/>
      <c r="C1363" s="114">
        <v>4</v>
      </c>
      <c r="D1363" s="194" t="e">
        <f>IF(AND(C1363&lt;=F1358,F1358&lt;&gt;""),VLOOKUP(VALUE(E1339&amp;","&amp;C1363),INTEGRANTES!$D$18:$F$235,2,0),"")</f>
        <v>#N/A</v>
      </c>
      <c r="E1363" s="211" t="e">
        <f>IF(D1363&lt;&gt;"",VLOOKUP(VALUE(E1339&amp;","&amp;C1363),INTEGRANTES!$D$18:$F$235,3,0),"")</f>
        <v>#N/A</v>
      </c>
      <c r="F1363" s="547" t="e">
        <f>IF(D1363="","",SUMIF($I1343:$I1352,D1363,$P1343:$P1352))</f>
        <v>#N/A</v>
      </c>
      <c r="G1363" s="333" t="e">
        <f>IF(D1363="","",SUMIF($I1343:$I1352,D1363,$M1343:$M1352))</f>
        <v>#N/A</v>
      </c>
      <c r="H1363" s="535" t="e">
        <f t="shared" si="389"/>
        <v>#N/A</v>
      </c>
      <c r="I1363" s="212" t="e">
        <f>IF(D1363="","",IF(H1363="NO APORTA","NO",IF(H1363=MAX($H1360:$H1365),"SI","NO")))</f>
        <v>#N/A</v>
      </c>
      <c r="J1363" s="213" t="e">
        <f t="shared" si="390"/>
        <v>#N/A</v>
      </c>
      <c r="K1363" s="200" t="e">
        <f t="shared" si="391"/>
        <v>#N/A</v>
      </c>
      <c r="L1363" s="720" t="s">
        <v>109</v>
      </c>
      <c r="M1363" s="757" t="s">
        <v>120</v>
      </c>
      <c r="N1363" s="726"/>
      <c r="O1363" s="726"/>
      <c r="P1363" s="726"/>
      <c r="Q1363" s="727"/>
      <c r="R1363" s="458"/>
      <c r="S1363" s="459"/>
      <c r="T1363" s="460"/>
      <c r="U1363" s="219"/>
      <c r="V1363" s="464"/>
      <c r="Y1363" s="537">
        <f>0.4*PRESUPUESTOS!$H$16</f>
        <v>10.3124</v>
      </c>
      <c r="AA1363" s="540" t="e">
        <f>IF(AND(C1362&lt;=F1358,F1358&lt;&gt;""),VLOOKUP(VALUE(E1339&amp;","&amp;C1362),INTEGRANTES!$D$18:$F$235,2,0),"")</f>
        <v>#N/A</v>
      </c>
      <c r="AB1363" s="545" t="e">
        <f t="shared" si="392"/>
        <v>#N/A</v>
      </c>
      <c r="AC1363" s="529"/>
      <c r="AD1363" s="200" t="e">
        <f t="shared" si="393"/>
        <v>#N/A</v>
      </c>
      <c r="AE1363" s="52"/>
      <c r="AF1363" s="52"/>
      <c r="AG1363" s="52"/>
      <c r="AH1363" s="87"/>
      <c r="AI1363" s="87"/>
    </row>
    <row r="1364" spans="1:35" ht="27" hidden="1" customHeight="1" thickBot="1">
      <c r="A1364" s="218" t="e">
        <f>"R"&amp;E1339</f>
        <v>#N/A</v>
      </c>
      <c r="B1364" s="702"/>
      <c r="C1364" s="114">
        <v>5</v>
      </c>
      <c r="D1364" s="194" t="e">
        <f>IF(AND(C1364&lt;=F1358,F1358&lt;&gt;""),VLOOKUP(VALUE(E1339&amp;","&amp;C1364),INTEGRANTES!$D$18:$F$235,2,0),"")</f>
        <v>#N/A</v>
      </c>
      <c r="E1364" s="211" t="e">
        <f>IF(D1364&lt;&gt;"",VLOOKUP(VALUE(E1339&amp;","&amp;C1364),INTEGRANTES!$D$18:$F$235,3,0),"")</f>
        <v>#N/A</v>
      </c>
      <c r="F1364" s="547" t="e">
        <f>IF(D1364="","",SUMIF($I1343:$I1352,D1364,$P1343:$P1352))</f>
        <v>#N/A</v>
      </c>
      <c r="G1364" s="333" t="e">
        <f>IF(D1364="","",SUMIF($I1343:$I1352,D1364,$M1343:$M1352))</f>
        <v>#N/A</v>
      </c>
      <c r="H1364" s="535" t="e">
        <f t="shared" si="389"/>
        <v>#N/A</v>
      </c>
      <c r="I1364" s="212" t="e">
        <f>IF(D1364="","",IF(H1364="NO APORTA","NO",IF(H1364=MAX($H1360:$H1365),"SI","NO")))</f>
        <v>#N/A</v>
      </c>
      <c r="J1364" s="213" t="e">
        <f t="shared" si="390"/>
        <v>#N/A</v>
      </c>
      <c r="K1364" s="200" t="e">
        <f t="shared" si="391"/>
        <v>#N/A</v>
      </c>
      <c r="L1364" s="721"/>
      <c r="M1364" s="715" t="s">
        <v>116</v>
      </c>
      <c r="N1364" s="716"/>
      <c r="O1364" s="556" t="str">
        <f>PORCREQUERIDO*100&amp;"% PMFO DEL MÓDULO"</f>
        <v>50% PMFO DEL MÓDULO</v>
      </c>
      <c r="P1364" s="715" t="s">
        <v>118</v>
      </c>
      <c r="Q1364" s="728"/>
      <c r="R1364" s="458"/>
      <c r="S1364" s="459"/>
      <c r="T1364" s="460"/>
      <c r="U1364" s="219"/>
      <c r="V1364" s="464"/>
      <c r="Y1364" s="414"/>
      <c r="AA1364" s="540" t="e">
        <f>IF(AND(C1363&lt;=F1358,F1358&lt;&gt;""),VLOOKUP(VALUE(E1339&amp;","&amp;C1363),INTEGRANTES!$D$18:$F$235,2,0),"")</f>
        <v>#N/A</v>
      </c>
      <c r="AB1364" s="545" t="e">
        <f t="shared" si="392"/>
        <v>#N/A</v>
      </c>
      <c r="AC1364" s="529"/>
      <c r="AD1364" s="200" t="e">
        <f t="shared" si="393"/>
        <v>#N/A</v>
      </c>
      <c r="AE1364" s="52"/>
      <c r="AF1364" s="52"/>
      <c r="AG1364" s="52"/>
      <c r="AH1364" s="87"/>
      <c r="AI1364" s="87"/>
    </row>
    <row r="1365" spans="1:35" ht="16.5" hidden="1" thickBot="1">
      <c r="A1365" s="218" t="e">
        <f>"S"&amp;E1339</f>
        <v>#N/A</v>
      </c>
      <c r="B1365" s="702"/>
      <c r="C1365" s="215">
        <v>6</v>
      </c>
      <c r="D1365" s="216" t="e">
        <f>IF(AND(C1365&lt;=F1358,F1358&lt;&gt;""),VLOOKUP(VALUE(E1339&amp;","&amp;C1365),INTEGRANTES!$D$18:$F$235,2,0),"")</f>
        <v>#N/A</v>
      </c>
      <c r="E1365" s="217" t="e">
        <f>IF(D1365&lt;&gt;"",VLOOKUP(VALUE(E1339&amp;","&amp;C1365),INTEGRANTES!$D$18:$F$235,3,0),"")</f>
        <v>#N/A</v>
      </c>
      <c r="F1365" s="548" t="e">
        <f>IF(D1365="","",SUMIF($I1343:$I1352,D1365,$P1343:$P1352))</f>
        <v>#N/A</v>
      </c>
      <c r="G1365" s="334" t="e">
        <f>IF(D1365="","",SUMIF($I1343:$I1352,D1365,$M1343:$M1352))</f>
        <v>#N/A</v>
      </c>
      <c r="H1365" s="536" t="e">
        <f t="shared" si="389"/>
        <v>#N/A</v>
      </c>
      <c r="I1365" s="214" t="e">
        <f>IF(D1365="","",IF(H1365="NO APORTA","NO",IF(H1365=MAX($H1360:$H1365),"SI","NO")))</f>
        <v>#N/A</v>
      </c>
      <c r="J1365" s="213" t="e">
        <f t="shared" si="390"/>
        <v>#N/A</v>
      </c>
      <c r="K1365" s="200" t="e">
        <f t="shared" si="391"/>
        <v>#N/A</v>
      </c>
      <c r="L1365" s="721"/>
      <c r="M1365" s="729">
        <f>NUMMOD</f>
        <v>1</v>
      </c>
      <c r="N1365" s="730"/>
      <c r="O1365" s="443">
        <f>IF(M1365="","",ROUND(VLOOKUP(M1365,PRESUPUESTOS!$B$16:$H$16,7,FALSE),3))</f>
        <v>25.780999999999999</v>
      </c>
      <c r="P1365" s="713">
        <f>IF(OR(COUNTIF(P1343:P1352,"")&gt;=10,Q1359&lt;NUMMINCONT,OR(T1357="NO CUMPLE",T1357="VERIFICAR")),0,ROUND((SUM(P1343:P1352)/SUM(M1343:M1352)),3))</f>
        <v>0</v>
      </c>
      <c r="Q1365" s="714"/>
      <c r="R1365" s="458"/>
      <c r="S1365" s="459"/>
      <c r="T1365" s="460"/>
      <c r="U1365" s="219"/>
      <c r="V1365" s="464"/>
      <c r="Y1365" s="532" t="s">
        <v>343</v>
      </c>
      <c r="AA1365" s="540" t="e">
        <f>IF(AND(C1364&lt;=F1358,F1358&lt;&gt;""),VLOOKUP(VALUE(E1339&amp;","&amp;C1364),INTEGRANTES!$D$18:$F$235,2,0),"")</f>
        <v>#N/A</v>
      </c>
      <c r="AB1365" s="545" t="e">
        <f t="shared" si="392"/>
        <v>#N/A</v>
      </c>
      <c r="AC1365" s="529"/>
      <c r="AD1365" s="200" t="e">
        <f t="shared" si="393"/>
        <v>#N/A</v>
      </c>
      <c r="AE1365" s="52"/>
      <c r="AF1365" s="52"/>
      <c r="AG1365" s="52"/>
      <c r="AH1365" s="87"/>
      <c r="AI1365" s="87"/>
    </row>
    <row r="1366" spans="1:35" ht="16.5" hidden="1" customHeight="1" thickBot="1">
      <c r="A1366" s="218" t="e">
        <f>"T"&amp;E1339</f>
        <v>#N/A</v>
      </c>
      <c r="B1366" s="703"/>
      <c r="C1366" s="719"/>
      <c r="D1366" s="719"/>
      <c r="E1366" s="719"/>
      <c r="F1366" s="719"/>
      <c r="G1366" s="719"/>
      <c r="H1366" s="719" t="s">
        <v>110</v>
      </c>
      <c r="I1366" s="719"/>
      <c r="J1366" s="719"/>
      <c r="K1366" s="201" t="str">
        <f>IF(COUNTIF(K1360:K1365,"")=6,"",IF(COUNTIF(K1360:K1365,"CUMPLE")&gt;0,"CUMPLE","NO CUMPLE"))</f>
        <v>NO CUMPLE</v>
      </c>
      <c r="L1366" s="754"/>
      <c r="M1366" s="755"/>
      <c r="N1366" s="755"/>
      <c r="O1366" s="755"/>
      <c r="P1366" s="755"/>
      <c r="Q1366" s="756"/>
      <c r="R1366" s="461"/>
      <c r="S1366" s="462"/>
      <c r="T1366" s="463"/>
      <c r="U1366" s="219"/>
      <c r="V1366" s="464"/>
      <c r="Y1366" s="549" t="e">
        <f>IF(Y1360="NO APLICA","NO APLICA",IF(COUNTIF(AD1361:AD1366,"CUMPLE")&gt;0,"CUMPLE","NO CUMPLE"))</f>
        <v>#N/A</v>
      </c>
      <c r="AA1366" s="541" t="e">
        <f>IF(AND(C1365&lt;=F1358,F1358&lt;&gt;""),VLOOKUP(VALUE(E1339&amp;","&amp;C1365),INTEGRANTES!$D$18:$F$235,2,0),"")</f>
        <v>#N/A</v>
      </c>
      <c r="AB1366" s="546" t="e">
        <f t="shared" si="392"/>
        <v>#N/A</v>
      </c>
      <c r="AC1366" s="543"/>
      <c r="AD1366" s="201" t="e">
        <f t="shared" si="393"/>
        <v>#N/A</v>
      </c>
      <c r="AE1366" s="52"/>
      <c r="AF1366" s="52"/>
      <c r="AG1366" s="52"/>
      <c r="AH1366" s="87"/>
      <c r="AI1366" s="87"/>
    </row>
    <row r="1367" spans="1:35" hidden="1">
      <c r="A1367" s="103"/>
      <c r="B1367" s="206"/>
      <c r="C1367" s="206"/>
      <c r="D1367" s="206"/>
      <c r="E1367" s="206"/>
      <c r="F1367" s="206"/>
      <c r="G1367" s="206"/>
      <c r="H1367" s="206"/>
      <c r="I1367" s="104"/>
      <c r="J1367" s="206"/>
      <c r="K1367" s="113"/>
      <c r="L1367" s="113"/>
      <c r="M1367" s="113"/>
      <c r="N1367" s="222"/>
      <c r="O1367" s="113"/>
      <c r="P1367" s="113"/>
      <c r="Q1367" s="113"/>
      <c r="R1367" s="206"/>
      <c r="S1367" s="104"/>
      <c r="T1367" s="206"/>
      <c r="U1367" s="474"/>
      <c r="AH1367" s="87"/>
      <c r="AI1367" s="87"/>
    </row>
    <row r="1368" spans="1:35" hidden="1">
      <c r="H1368" s="220"/>
      <c r="AH1368" s="87"/>
      <c r="AI1368" s="87"/>
    </row>
    <row r="1369" spans="1:35" ht="24" hidden="1" thickBot="1">
      <c r="A1369" s="61">
        <v>46</v>
      </c>
      <c r="B1369" s="704" t="s">
        <v>51</v>
      </c>
      <c r="C1369" s="704"/>
      <c r="D1369" s="704"/>
      <c r="E1369" s="62" t="e">
        <f>VLOOKUP(A1369,PROPONENTES!$B$19:$E$218,2,FALSE)</f>
        <v>#N/A</v>
      </c>
      <c r="F1369" s="63" t="e">
        <f>VLOOKUP(A1369,PROPONENTES!$B$19:$E$218,3,FALSE)</f>
        <v>#N/A</v>
      </c>
      <c r="G1369" s="64"/>
      <c r="H1369" s="64"/>
      <c r="I1369" s="63"/>
      <c r="J1369" s="63"/>
      <c r="K1369" s="65"/>
      <c r="L1369" s="65"/>
      <c r="M1369" s="64"/>
      <c r="N1369" s="64"/>
      <c r="O1369" s="66"/>
      <c r="P1369" s="66"/>
      <c r="Q1369" s="66"/>
      <c r="R1369" s="66"/>
      <c r="S1369" s="67"/>
      <c r="T1369" s="68"/>
      <c r="U1369" s="68"/>
      <c r="AC1369" s="68"/>
      <c r="AD1369" s="68"/>
      <c r="AE1369" s="68"/>
      <c r="AF1369" s="68"/>
      <c r="AG1369" s="68"/>
      <c r="AH1369" s="87"/>
      <c r="AI1369" s="87"/>
    </row>
    <row r="1370" spans="1:35" ht="15.75" hidden="1" customHeight="1">
      <c r="A1370" s="44"/>
      <c r="B1370" s="709" t="s">
        <v>59</v>
      </c>
      <c r="C1370" s="552" t="s">
        <v>60</v>
      </c>
      <c r="D1370" s="70" t="s">
        <v>17</v>
      </c>
      <c r="E1370" s="70"/>
      <c r="F1370" s="70" t="s">
        <v>61</v>
      </c>
      <c r="G1370" s="71"/>
      <c r="H1370" s="699" t="s">
        <v>62</v>
      </c>
      <c r="I1370" s="699" t="s">
        <v>18</v>
      </c>
      <c r="J1370" s="699" t="s">
        <v>63</v>
      </c>
      <c r="K1370" s="699" t="s">
        <v>64</v>
      </c>
      <c r="L1370" s="699" t="s">
        <v>65</v>
      </c>
      <c r="M1370" s="743" t="s">
        <v>66</v>
      </c>
      <c r="N1370" s="699" t="s">
        <v>282</v>
      </c>
      <c r="O1370" s="745" t="s">
        <v>67</v>
      </c>
      <c r="P1370" s="746"/>
      <c r="Q1370" s="102" t="s">
        <v>75</v>
      </c>
      <c r="R1370" s="731" t="s">
        <v>22</v>
      </c>
      <c r="S1370" s="732"/>
      <c r="T1370" s="733"/>
      <c r="U1370" s="712" t="s">
        <v>298</v>
      </c>
      <c r="W1370" s="690" t="s">
        <v>268</v>
      </c>
      <c r="X1370" s="691"/>
      <c r="Y1370" s="692"/>
      <c r="Z1370" s="428"/>
      <c r="AA1370" s="697" t="s">
        <v>315</v>
      </c>
      <c r="AB1370" s="695" t="s">
        <v>322</v>
      </c>
      <c r="AC1370" s="49"/>
      <c r="AD1370" s="690" t="s">
        <v>297</v>
      </c>
      <c r="AE1370" s="691"/>
      <c r="AF1370" s="692"/>
      <c r="AG1370" s="49"/>
      <c r="AH1370" s="87"/>
      <c r="AI1370" s="87"/>
    </row>
    <row r="1371" spans="1:35" ht="72" hidden="1">
      <c r="A1371" s="44"/>
      <c r="B1371" s="710"/>
      <c r="C1371" s="553" t="s">
        <v>68</v>
      </c>
      <c r="D1371" s="73" t="s">
        <v>3</v>
      </c>
      <c r="E1371" s="73" t="s">
        <v>19</v>
      </c>
      <c r="F1371" s="73" t="s">
        <v>69</v>
      </c>
      <c r="G1371" s="74" t="s">
        <v>70</v>
      </c>
      <c r="H1371" s="700"/>
      <c r="I1371" s="700"/>
      <c r="J1371" s="700"/>
      <c r="K1371" s="700"/>
      <c r="L1371" s="700"/>
      <c r="M1371" s="744"/>
      <c r="N1371" s="700"/>
      <c r="O1371" s="553" t="s">
        <v>279</v>
      </c>
      <c r="P1371" s="73" t="s">
        <v>88</v>
      </c>
      <c r="Q1371" s="555" t="s">
        <v>76</v>
      </c>
      <c r="R1371" s="734"/>
      <c r="S1371" s="735"/>
      <c r="T1371" s="736"/>
      <c r="U1371" s="712"/>
      <c r="W1371" s="429" t="s">
        <v>269</v>
      </c>
      <c r="X1371" s="457" t="s">
        <v>278</v>
      </c>
      <c r="Y1371" s="430" t="s">
        <v>324</v>
      </c>
      <c r="Z1371" s="428"/>
      <c r="AA1371" s="698"/>
      <c r="AB1371" s="696"/>
      <c r="AC1371" s="49"/>
      <c r="AD1371" s="429" t="s">
        <v>292</v>
      </c>
      <c r="AE1371" s="431" t="s">
        <v>300</v>
      </c>
      <c r="AF1371" s="468" t="s">
        <v>301</v>
      </c>
      <c r="AG1371" s="49"/>
      <c r="AH1371" s="87"/>
      <c r="AI1371" s="87"/>
    </row>
    <row r="1372" spans="1:35" hidden="1">
      <c r="A1372" s="44"/>
      <c r="B1372" s="76"/>
      <c r="C1372" s="77"/>
      <c r="D1372" s="77"/>
      <c r="E1372" s="77"/>
      <c r="F1372" s="77"/>
      <c r="G1372" s="77"/>
      <c r="H1372" s="77"/>
      <c r="I1372" s="77"/>
      <c r="J1372" s="77"/>
      <c r="K1372" s="77"/>
      <c r="L1372" s="77"/>
      <c r="M1372" s="77"/>
      <c r="N1372" s="77"/>
      <c r="O1372" s="77"/>
      <c r="P1372" s="77"/>
      <c r="Q1372" s="77"/>
      <c r="R1372" s="77"/>
      <c r="S1372" s="78"/>
      <c r="T1372" s="79"/>
      <c r="U1372" s="109"/>
      <c r="V1372" s="49"/>
      <c r="W1372" s="432"/>
      <c r="X1372" s="454"/>
      <c r="Y1372" s="433"/>
      <c r="Z1372" s="6"/>
      <c r="AA1372" s="500"/>
      <c r="AB1372" s="562"/>
      <c r="AC1372" s="49"/>
      <c r="AD1372" s="210"/>
      <c r="AE1372" s="434"/>
      <c r="AF1372" s="435"/>
      <c r="AG1372" s="49"/>
      <c r="AH1372" s="87"/>
      <c r="AI1372" s="87"/>
    </row>
    <row r="1373" spans="1:35" hidden="1">
      <c r="A1373" s="80" t="e">
        <f>"A"&amp;E1369</f>
        <v>#N/A</v>
      </c>
      <c r="B1373" s="81">
        <v>1</v>
      </c>
      <c r="C1373" s="82"/>
      <c r="D1373" s="82"/>
      <c r="E1373" s="82"/>
      <c r="F1373" s="82"/>
      <c r="G1373" s="83"/>
      <c r="H1373" s="83"/>
      <c r="I1373" s="84"/>
      <c r="J1373" s="85"/>
      <c r="K1373" s="382"/>
      <c r="L1373" s="85"/>
      <c r="M1373" s="332" t="str">
        <f t="shared" ref="M1373:M1382" si="394">IF(OR(J1373="",L1373="",H1373="NO"),"",IF(OR(J1373&gt;$P$17,J1373&lt;$O$17,L1373&gt;$P$17,AND(J1373&lt;$O$17,L1373&lt;$O$17)),"FUERA DE RANGO",IF(OR(K1373="---",K1373=""),IF(J1373&gt;=$O$17,ROUND((L1373-J1373+1)/360*12,3),ROUND((L1373-$O$17+1)/360*12,3)),IF(J1373&gt;=$O$17,ROUND((L1373-J1373+1)/360*12-ROUND(K1373,3),3),ROUND((L1373-$O$17+1)/360*12-ROUND(K1373,3),3)))))</f>
        <v/>
      </c>
      <c r="N1373" s="86"/>
      <c r="O1373" s="453" t="str">
        <f>IF(OR(G1373="",N1373=""),"",N1373*G1373)</f>
        <v/>
      </c>
      <c r="P1373" s="538" t="str">
        <f>IF(OR(H1373="",M1373="FUERA DE RANGO"),"",IF(OR(L1373&lt;$O$17,L1373&gt;$P$17,L1373="",H1373="NO"),"",IF(OR(N1373="",O1373=""),"",ROUND(O1373,3))))</f>
        <v/>
      </c>
      <c r="Q1373" s="539" t="str">
        <f t="shared" ref="Q1373:Q1382" si="395">IF(AND(H1373="SI",P1373&lt;&gt;""),ROUND(P1373/M1373,3),"")</f>
        <v/>
      </c>
      <c r="R1373" s="737"/>
      <c r="S1373" s="738"/>
      <c r="T1373" s="739"/>
      <c r="U1373" s="470"/>
      <c r="V1373" s="165"/>
      <c r="W1373" s="446"/>
      <c r="X1373" s="456"/>
      <c r="Y1373" s="436"/>
      <c r="Z1373" s="437"/>
      <c r="AA1373" s="560"/>
      <c r="AB1373" s="561"/>
      <c r="AC1373" s="87"/>
      <c r="AD1373" s="466"/>
      <c r="AE1373" s="456"/>
      <c r="AF1373" s="467"/>
      <c r="AG1373" s="87"/>
      <c r="AH1373" s="87"/>
      <c r="AI1373" s="87"/>
    </row>
    <row r="1374" spans="1:35" hidden="1">
      <c r="A1374" s="80" t="e">
        <f>"B"&amp;E1369</f>
        <v>#N/A</v>
      </c>
      <c r="B1374" s="81">
        <v>2</v>
      </c>
      <c r="C1374" s="106"/>
      <c r="D1374" s="106"/>
      <c r="E1374" s="106"/>
      <c r="F1374" s="106"/>
      <c r="G1374" s="83"/>
      <c r="H1374" s="83"/>
      <c r="I1374" s="84"/>
      <c r="J1374" s="85"/>
      <c r="K1374" s="382"/>
      <c r="L1374" s="85"/>
      <c r="M1374" s="332" t="str">
        <f t="shared" si="394"/>
        <v/>
      </c>
      <c r="N1374" s="86"/>
      <c r="O1374" s="453" t="str">
        <f t="shared" ref="O1374:O1382" si="396">IF(OR(G1374="",N1374=""),"",N1374*G1374)</f>
        <v/>
      </c>
      <c r="P1374" s="538" t="str">
        <f t="shared" ref="P1374:P1382" si="397">IF(OR(H1374="",M1374="FUERA DE RANGO"),"",IF(OR(L1374&lt;$O$17,L1374&gt;$P$17,L1374="",H1374="NO"),"",IF(OR(N1374="",O1374=""),"",ROUND(O1374,3))))</f>
        <v/>
      </c>
      <c r="Q1374" s="539" t="str">
        <f t="shared" si="395"/>
        <v/>
      </c>
      <c r="R1374" s="740"/>
      <c r="S1374" s="741"/>
      <c r="T1374" s="742"/>
      <c r="U1374" s="471"/>
      <c r="V1374" s="165"/>
      <c r="W1374" s="446"/>
      <c r="X1374" s="456"/>
      <c r="Y1374" s="436"/>
      <c r="Z1374" s="437"/>
      <c r="AA1374" s="560"/>
      <c r="AB1374" s="561"/>
      <c r="AC1374" s="87"/>
      <c r="AD1374" s="466"/>
      <c r="AE1374" s="456"/>
      <c r="AF1374" s="467"/>
      <c r="AG1374" s="87"/>
      <c r="AH1374" s="87"/>
      <c r="AI1374" s="87"/>
    </row>
    <row r="1375" spans="1:35" hidden="1">
      <c r="A1375" s="80" t="e">
        <f>"C"&amp;E1369</f>
        <v>#N/A</v>
      </c>
      <c r="B1375" s="88">
        <v>3</v>
      </c>
      <c r="C1375" s="82"/>
      <c r="D1375" s="82"/>
      <c r="E1375" s="82"/>
      <c r="F1375" s="82"/>
      <c r="G1375" s="83"/>
      <c r="H1375" s="83"/>
      <c r="I1375" s="84"/>
      <c r="J1375" s="85"/>
      <c r="K1375" s="382"/>
      <c r="L1375" s="85"/>
      <c r="M1375" s="332" t="str">
        <f t="shared" si="394"/>
        <v/>
      </c>
      <c r="N1375" s="86"/>
      <c r="O1375" s="453" t="str">
        <f t="shared" si="396"/>
        <v/>
      </c>
      <c r="P1375" s="538" t="str">
        <f t="shared" si="397"/>
        <v/>
      </c>
      <c r="Q1375" s="539" t="str">
        <f t="shared" si="395"/>
        <v/>
      </c>
      <c r="R1375" s="706"/>
      <c r="S1375" s="707"/>
      <c r="T1375" s="708"/>
      <c r="U1375" s="472"/>
      <c r="V1375" s="166"/>
      <c r="W1375" s="446"/>
      <c r="X1375" s="456"/>
      <c r="Y1375" s="436"/>
      <c r="Z1375" s="437"/>
      <c r="AA1375" s="560"/>
      <c r="AB1375" s="561"/>
      <c r="AC1375" s="87"/>
      <c r="AD1375" s="466"/>
      <c r="AE1375" s="456"/>
      <c r="AF1375" s="467"/>
      <c r="AG1375" s="87"/>
      <c r="AH1375" s="87"/>
      <c r="AI1375" s="87"/>
    </row>
    <row r="1376" spans="1:35" hidden="1">
      <c r="A1376" s="80" t="e">
        <f>"D"&amp;E1369</f>
        <v>#N/A</v>
      </c>
      <c r="B1376" s="105">
        <v>4</v>
      </c>
      <c r="C1376" s="107"/>
      <c r="D1376" s="107"/>
      <c r="E1376" s="107"/>
      <c r="F1376" s="107"/>
      <c r="G1376" s="83"/>
      <c r="H1376" s="83"/>
      <c r="I1376" s="84"/>
      <c r="J1376" s="85"/>
      <c r="K1376" s="382"/>
      <c r="L1376" s="85"/>
      <c r="M1376" s="332" t="str">
        <f t="shared" si="394"/>
        <v/>
      </c>
      <c r="N1376" s="86"/>
      <c r="O1376" s="453" t="str">
        <f t="shared" si="396"/>
        <v/>
      </c>
      <c r="P1376" s="538" t="str">
        <f t="shared" si="397"/>
        <v/>
      </c>
      <c r="Q1376" s="539" t="str">
        <f t="shared" si="395"/>
        <v/>
      </c>
      <c r="R1376" s="706"/>
      <c r="S1376" s="707"/>
      <c r="T1376" s="708"/>
      <c r="U1376" s="472"/>
      <c r="V1376" s="166"/>
      <c r="W1376" s="446"/>
      <c r="X1376" s="456"/>
      <c r="Y1376" s="436"/>
      <c r="Z1376" s="437"/>
      <c r="AA1376" s="560"/>
      <c r="AB1376" s="561"/>
      <c r="AC1376" s="87"/>
      <c r="AD1376" s="466"/>
      <c r="AE1376" s="456"/>
      <c r="AF1376" s="467"/>
      <c r="AG1376" s="87"/>
      <c r="AH1376" s="87"/>
      <c r="AI1376" s="87"/>
    </row>
    <row r="1377" spans="1:35" hidden="1">
      <c r="A1377" s="80" t="e">
        <f>"E"&amp;E1369</f>
        <v>#N/A</v>
      </c>
      <c r="B1377" s="105">
        <v>5</v>
      </c>
      <c r="C1377" s="107"/>
      <c r="D1377" s="107"/>
      <c r="E1377" s="107"/>
      <c r="F1377" s="107"/>
      <c r="G1377" s="83"/>
      <c r="H1377" s="83"/>
      <c r="I1377" s="84"/>
      <c r="J1377" s="85"/>
      <c r="K1377" s="382"/>
      <c r="L1377" s="85"/>
      <c r="M1377" s="332" t="str">
        <f t="shared" si="394"/>
        <v/>
      </c>
      <c r="N1377" s="86"/>
      <c r="O1377" s="453" t="str">
        <f t="shared" si="396"/>
        <v/>
      </c>
      <c r="P1377" s="538" t="str">
        <f t="shared" si="397"/>
        <v/>
      </c>
      <c r="Q1377" s="539" t="str">
        <f t="shared" si="395"/>
        <v/>
      </c>
      <c r="R1377" s="706"/>
      <c r="S1377" s="707"/>
      <c r="T1377" s="708"/>
      <c r="U1377" s="472"/>
      <c r="V1377" s="167"/>
      <c r="W1377" s="446"/>
      <c r="X1377" s="456"/>
      <c r="Y1377" s="436"/>
      <c r="Z1377" s="437"/>
      <c r="AA1377" s="560"/>
      <c r="AB1377" s="561"/>
      <c r="AC1377" s="87"/>
      <c r="AD1377" s="466"/>
      <c r="AE1377" s="456"/>
      <c r="AF1377" s="467"/>
      <c r="AG1377" s="87"/>
      <c r="AH1377" s="87"/>
      <c r="AI1377" s="87"/>
    </row>
    <row r="1378" spans="1:35" hidden="1">
      <c r="A1378" s="80" t="e">
        <f>"F"&amp;E1369</f>
        <v>#N/A</v>
      </c>
      <c r="B1378" s="105">
        <v>6</v>
      </c>
      <c r="C1378" s="107"/>
      <c r="D1378" s="107"/>
      <c r="E1378" s="107"/>
      <c r="F1378" s="107"/>
      <c r="G1378" s="83"/>
      <c r="H1378" s="83"/>
      <c r="I1378" s="84"/>
      <c r="J1378" s="85"/>
      <c r="K1378" s="382"/>
      <c r="L1378" s="85"/>
      <c r="M1378" s="332" t="str">
        <f t="shared" si="394"/>
        <v/>
      </c>
      <c r="N1378" s="86"/>
      <c r="O1378" s="453" t="str">
        <f t="shared" si="396"/>
        <v/>
      </c>
      <c r="P1378" s="538" t="str">
        <f t="shared" si="397"/>
        <v/>
      </c>
      <c r="Q1378" s="539" t="str">
        <f t="shared" si="395"/>
        <v/>
      </c>
      <c r="R1378" s="706"/>
      <c r="S1378" s="707"/>
      <c r="T1378" s="708"/>
      <c r="U1378" s="472"/>
      <c r="V1378" s="167"/>
      <c r="W1378" s="446"/>
      <c r="X1378" s="456"/>
      <c r="Y1378" s="436"/>
      <c r="Z1378" s="437"/>
      <c r="AA1378" s="560"/>
      <c r="AB1378" s="561"/>
      <c r="AC1378" s="87"/>
      <c r="AD1378" s="466"/>
      <c r="AE1378" s="456"/>
      <c r="AF1378" s="467"/>
      <c r="AG1378" s="87"/>
      <c r="AH1378" s="87"/>
      <c r="AI1378" s="87"/>
    </row>
    <row r="1379" spans="1:35" hidden="1">
      <c r="A1379" s="80" t="e">
        <f>"G"&amp;E1369</f>
        <v>#N/A</v>
      </c>
      <c r="B1379" s="105">
        <v>7</v>
      </c>
      <c r="C1379" s="107"/>
      <c r="D1379" s="107"/>
      <c r="E1379" s="107"/>
      <c r="F1379" s="107"/>
      <c r="G1379" s="83"/>
      <c r="H1379" s="83"/>
      <c r="I1379" s="84"/>
      <c r="J1379" s="85"/>
      <c r="K1379" s="382"/>
      <c r="L1379" s="85"/>
      <c r="M1379" s="332" t="str">
        <f t="shared" si="394"/>
        <v/>
      </c>
      <c r="N1379" s="86"/>
      <c r="O1379" s="86" t="str">
        <f t="shared" si="396"/>
        <v/>
      </c>
      <c r="P1379" s="538" t="str">
        <f t="shared" si="397"/>
        <v/>
      </c>
      <c r="Q1379" s="539" t="str">
        <f t="shared" si="395"/>
        <v/>
      </c>
      <c r="R1379" s="706"/>
      <c r="S1379" s="707"/>
      <c r="T1379" s="708"/>
      <c r="U1379" s="472"/>
      <c r="V1379" s="167"/>
      <c r="W1379" s="446"/>
      <c r="X1379" s="456"/>
      <c r="Y1379" s="436"/>
      <c r="Z1379" s="437"/>
      <c r="AA1379" s="560"/>
      <c r="AB1379" s="561"/>
      <c r="AC1379" s="87"/>
      <c r="AD1379" s="466"/>
      <c r="AE1379" s="456"/>
      <c r="AF1379" s="467"/>
      <c r="AG1379" s="87"/>
      <c r="AH1379" s="87"/>
      <c r="AI1379" s="87"/>
    </row>
    <row r="1380" spans="1:35" hidden="1">
      <c r="A1380" s="80" t="e">
        <f>"H"&amp;E1369</f>
        <v>#N/A</v>
      </c>
      <c r="B1380" s="105">
        <v>8</v>
      </c>
      <c r="C1380" s="107"/>
      <c r="D1380" s="107"/>
      <c r="E1380" s="107"/>
      <c r="F1380" s="107"/>
      <c r="G1380" s="83"/>
      <c r="H1380" s="83"/>
      <c r="I1380" s="84"/>
      <c r="J1380" s="85"/>
      <c r="K1380" s="382"/>
      <c r="L1380" s="85"/>
      <c r="M1380" s="332" t="str">
        <f t="shared" si="394"/>
        <v/>
      </c>
      <c r="N1380" s="453"/>
      <c r="O1380" s="86" t="str">
        <f t="shared" si="396"/>
        <v/>
      </c>
      <c r="P1380" s="538" t="str">
        <f t="shared" si="397"/>
        <v/>
      </c>
      <c r="Q1380" s="539" t="str">
        <f t="shared" si="395"/>
        <v/>
      </c>
      <c r="R1380" s="706"/>
      <c r="S1380" s="707"/>
      <c r="T1380" s="708"/>
      <c r="U1380" s="472"/>
      <c r="V1380" s="167"/>
      <c r="W1380" s="446"/>
      <c r="X1380" s="456"/>
      <c r="Y1380" s="436"/>
      <c r="Z1380" s="437"/>
      <c r="AA1380" s="560"/>
      <c r="AB1380" s="561"/>
      <c r="AC1380" s="87"/>
      <c r="AD1380" s="466"/>
      <c r="AE1380" s="456"/>
      <c r="AF1380" s="467"/>
      <c r="AG1380" s="87"/>
      <c r="AH1380" s="87"/>
      <c r="AI1380" s="87"/>
    </row>
    <row r="1381" spans="1:35" hidden="1">
      <c r="A1381" s="80" t="e">
        <f>"I"&amp;E1369</f>
        <v>#N/A</v>
      </c>
      <c r="B1381" s="105">
        <v>9</v>
      </c>
      <c r="C1381" s="107"/>
      <c r="D1381" s="107"/>
      <c r="E1381" s="107"/>
      <c r="F1381" s="107"/>
      <c r="G1381" s="83"/>
      <c r="H1381" s="83"/>
      <c r="I1381" s="84"/>
      <c r="J1381" s="85"/>
      <c r="K1381" s="382"/>
      <c r="L1381" s="85"/>
      <c r="M1381" s="332" t="str">
        <f t="shared" si="394"/>
        <v/>
      </c>
      <c r="N1381" s="453"/>
      <c r="O1381" s="86" t="str">
        <f t="shared" si="396"/>
        <v/>
      </c>
      <c r="P1381" s="538" t="str">
        <f t="shared" si="397"/>
        <v/>
      </c>
      <c r="Q1381" s="539" t="str">
        <f t="shared" si="395"/>
        <v/>
      </c>
      <c r="R1381" s="706"/>
      <c r="S1381" s="707"/>
      <c r="T1381" s="708"/>
      <c r="U1381" s="472"/>
      <c r="V1381" s="167"/>
      <c r="W1381" s="446"/>
      <c r="X1381" s="456"/>
      <c r="Y1381" s="436"/>
      <c r="Z1381" s="437"/>
      <c r="AA1381" s="560"/>
      <c r="AB1381" s="561"/>
      <c r="AC1381" s="87"/>
      <c r="AD1381" s="466"/>
      <c r="AE1381" s="456"/>
      <c r="AF1381" s="467"/>
      <c r="AG1381" s="87"/>
      <c r="AH1381" s="87"/>
      <c r="AI1381" s="87"/>
    </row>
    <row r="1382" spans="1:35" hidden="1">
      <c r="A1382" s="80" t="e">
        <f>"J"&amp;E1369</f>
        <v>#N/A</v>
      </c>
      <c r="B1382" s="105">
        <v>10</v>
      </c>
      <c r="C1382" s="107"/>
      <c r="D1382" s="107"/>
      <c r="E1382" s="107"/>
      <c r="F1382" s="107"/>
      <c r="G1382" s="83"/>
      <c r="H1382" s="83"/>
      <c r="I1382" s="84"/>
      <c r="J1382" s="85"/>
      <c r="K1382" s="382"/>
      <c r="L1382" s="85"/>
      <c r="M1382" s="332" t="str">
        <f t="shared" si="394"/>
        <v/>
      </c>
      <c r="N1382" s="453"/>
      <c r="O1382" s="86" t="str">
        <f t="shared" si="396"/>
        <v/>
      </c>
      <c r="P1382" s="538" t="str">
        <f t="shared" si="397"/>
        <v/>
      </c>
      <c r="Q1382" s="539" t="str">
        <f t="shared" si="395"/>
        <v/>
      </c>
      <c r="R1382" s="706"/>
      <c r="S1382" s="707"/>
      <c r="T1382" s="708"/>
      <c r="U1382" s="472"/>
      <c r="V1382" s="167"/>
      <c r="W1382" s="446"/>
      <c r="X1382" s="456"/>
      <c r="Y1382" s="436"/>
      <c r="Z1382" s="437"/>
      <c r="AA1382" s="560"/>
      <c r="AB1382" s="561"/>
      <c r="AC1382" s="87"/>
      <c r="AD1382" s="466"/>
      <c r="AE1382" s="456"/>
      <c r="AF1382" s="467"/>
      <c r="AG1382" s="87"/>
      <c r="AH1382" s="87"/>
      <c r="AI1382" s="87"/>
    </row>
    <row r="1383" spans="1:35" ht="16.5" hidden="1" thickBot="1">
      <c r="A1383" s="44"/>
      <c r="B1383" s="89"/>
      <c r="C1383" s="90"/>
      <c r="D1383" s="90"/>
      <c r="E1383" s="90"/>
      <c r="F1383" s="90"/>
      <c r="G1383" s="90"/>
      <c r="H1383" s="90"/>
      <c r="I1383" s="90"/>
      <c r="J1383" s="90"/>
      <c r="K1383" s="90"/>
      <c r="L1383" s="90"/>
      <c r="M1383" s="90"/>
      <c r="N1383" s="90"/>
      <c r="O1383" s="90"/>
      <c r="P1383" s="90"/>
      <c r="Q1383" s="90"/>
      <c r="R1383" s="90"/>
      <c r="S1383" s="91"/>
      <c r="T1383" s="92"/>
      <c r="U1383" s="473"/>
      <c r="W1383" s="438"/>
      <c r="X1383" s="455"/>
      <c r="Y1383" s="439"/>
      <c r="Z1383" s="437"/>
      <c r="AA1383" s="530"/>
      <c r="AB1383" s="563"/>
      <c r="AC1383" s="87"/>
      <c r="AD1383" s="440"/>
      <c r="AE1383" s="441"/>
      <c r="AF1383" s="442"/>
      <c r="AG1383" s="49"/>
      <c r="AH1383" s="87"/>
      <c r="AI1383" s="87"/>
    </row>
    <row r="1384" spans="1:35" ht="16.5" hidden="1" thickBot="1">
      <c r="A1384" s="93"/>
      <c r="B1384" s="94"/>
      <c r="C1384" s="96"/>
      <c r="D1384" s="96"/>
      <c r="E1384" s="96"/>
      <c r="F1384" s="96"/>
      <c r="G1384" s="96"/>
      <c r="H1384" s="96"/>
      <c r="I1384" s="96"/>
      <c r="J1384" s="96"/>
      <c r="K1384" s="96"/>
      <c r="L1384" s="96"/>
      <c r="M1384" s="136"/>
      <c r="N1384" s="96"/>
      <c r="O1384" s="96"/>
      <c r="P1384" s="97"/>
      <c r="Q1384" s="97"/>
      <c r="R1384" s="98"/>
      <c r="S1384" s="95"/>
      <c r="T1384" s="99"/>
      <c r="U1384" s="469"/>
      <c r="AC1384" s="58"/>
      <c r="AG1384" s="58"/>
      <c r="AH1384" s="87"/>
      <c r="AI1384" s="87"/>
    </row>
    <row r="1385" spans="1:35" ht="16.5" hidden="1" thickBot="1">
      <c r="B1385" s="101"/>
      <c r="C1385" s="101"/>
      <c r="D1385" s="101"/>
      <c r="E1385" s="101"/>
      <c r="F1385" s="101"/>
      <c r="G1385" s="101"/>
      <c r="H1385" s="101"/>
      <c r="I1385" s="101"/>
      <c r="J1385" s="101"/>
      <c r="K1385" s="101"/>
      <c r="L1385" s="101"/>
      <c r="M1385" s="101"/>
      <c r="N1385" s="101"/>
      <c r="O1385" s="101"/>
      <c r="P1385" s="101"/>
      <c r="Q1385" s="101"/>
      <c r="R1385" s="101"/>
      <c r="S1385" s="101"/>
      <c r="U1385" s="50"/>
      <c r="AH1385" s="87"/>
      <c r="AI1385" s="87"/>
    </row>
    <row r="1386" spans="1:35" ht="16.5" hidden="1" customHeight="1" thickBot="1">
      <c r="A1386" s="44"/>
      <c r="B1386" s="705" t="s">
        <v>74</v>
      </c>
      <c r="C1386" s="705"/>
      <c r="D1386" s="705"/>
      <c r="E1386" s="705"/>
      <c r="F1386" s="705"/>
      <c r="G1386" s="705"/>
      <c r="H1386" s="705"/>
      <c r="I1386" s="705"/>
      <c r="J1386" s="705"/>
      <c r="K1386" s="705"/>
      <c r="L1386" s="705"/>
      <c r="M1386" s="705"/>
      <c r="N1386" s="705"/>
      <c r="O1386" s="705"/>
      <c r="P1386" s="705"/>
      <c r="Q1386" s="705"/>
      <c r="R1386" s="705"/>
      <c r="S1386" s="705"/>
      <c r="T1386" s="705"/>
      <c r="U1386" s="108"/>
      <c r="Y1386" s="532" t="s">
        <v>341</v>
      </c>
      <c r="AC1386" s="49"/>
      <c r="AD1386" s="687" t="s">
        <v>302</v>
      </c>
      <c r="AE1386" s="688"/>
      <c r="AF1386" s="689"/>
      <c r="AG1386" s="49"/>
      <c r="AH1386" s="87"/>
      <c r="AI1386" s="87"/>
    </row>
    <row r="1387" spans="1:35" ht="15.75" hidden="1" customHeight="1" thickBot="1">
      <c r="A1387" s="218" t="e">
        <f>"K"&amp;E1369</f>
        <v>#N/A</v>
      </c>
      <c r="B1387" s="701" t="s">
        <v>71</v>
      </c>
      <c r="C1387" s="751" t="s">
        <v>102</v>
      </c>
      <c r="D1387" s="751"/>
      <c r="E1387" s="751"/>
      <c r="F1387" s="751"/>
      <c r="G1387" s="751"/>
      <c r="H1387" s="751"/>
      <c r="I1387" s="751"/>
      <c r="J1387" s="751"/>
      <c r="K1387" s="751"/>
      <c r="L1387" s="722" t="s">
        <v>100</v>
      </c>
      <c r="M1387" s="747" t="s">
        <v>114</v>
      </c>
      <c r="N1387" s="747"/>
      <c r="O1387" s="747"/>
      <c r="P1387" s="747"/>
      <c r="Q1387" s="748"/>
      <c r="R1387" s="758" t="s">
        <v>280</v>
      </c>
      <c r="S1387" s="748"/>
      <c r="T1387" s="762" t="str">
        <f>IF(COUNTIF(AE1387:AF1387,"VERIFICAR")&gt;0,"VERIFICAR",IF(COUNTIF(AE1387:AF1387,"NO CUMPLE")&gt;0,"NO CUMPLE","CUMPLE"))</f>
        <v>VERIFICAR</v>
      </c>
      <c r="U1387" s="108"/>
      <c r="Y1387" s="533" t="e">
        <f>IF(F1388="","",IF(F1388=1,"INDIVIDUAL","ESTRUCTURA PLURAL"))</f>
        <v>#N/A</v>
      </c>
      <c r="AC1387" s="52"/>
      <c r="AD1387" s="475" t="s">
        <v>303</v>
      </c>
      <c r="AE1387" s="476" t="str">
        <f>IF(COUNTIF(AE1373:AE1382,"")=10,"VERIFICAR",IF(COUNTIF(AE1373:AE1382,"SI")&gt;0,"CUMPLE","NO CUMPLE"))</f>
        <v>VERIFICAR</v>
      </c>
      <c r="AF1387" s="477" t="str">
        <f>IF(COUNTIF(AF1373:AF1382,"")=10,"VERIFICAR",IF(COUNTIF(AF1373:AF1382,"SI")&gt;=$AI$22,"CUMPLE","NO CUMPLE"))</f>
        <v>VERIFICAR</v>
      </c>
      <c r="AG1387" s="52"/>
      <c r="AH1387" s="87"/>
      <c r="AI1387" s="87"/>
    </row>
    <row r="1388" spans="1:35" ht="16.5" hidden="1" customHeight="1" thickBot="1">
      <c r="A1388" s="218" t="e">
        <f>"L"&amp;E1369</f>
        <v>#N/A</v>
      </c>
      <c r="B1388" s="702"/>
      <c r="C1388" s="751" t="s">
        <v>103</v>
      </c>
      <c r="D1388" s="751"/>
      <c r="E1388" s="752"/>
      <c r="F1388" s="557" t="e">
        <f>IF(VLOOKUP(E1369,PROPONENTES!$C$19:$E$218,3,0)="","",VLOOKUP(E1369,PROPONENTES!$C$19:$E$218,3,0))</f>
        <v>#N/A</v>
      </c>
      <c r="G1388" s="753" t="s">
        <v>104</v>
      </c>
      <c r="H1388" s="751"/>
      <c r="I1388" s="715" t="e">
        <f>IF(OR(F1388="",F1388=1),"INTERESADO PERSONA NATURAL O JURIDICA","CONSORCIO O UNION TEMPORAL")</f>
        <v>#N/A</v>
      </c>
      <c r="J1388" s="725"/>
      <c r="K1388" s="728"/>
      <c r="L1388" s="723"/>
      <c r="M1388" s="749"/>
      <c r="N1388" s="749"/>
      <c r="O1388" s="749"/>
      <c r="P1388" s="749"/>
      <c r="Q1388" s="750"/>
      <c r="R1388" s="712"/>
      <c r="S1388" s="750"/>
      <c r="T1388" s="763"/>
      <c r="U1388" s="108"/>
      <c r="Y1388" s="534"/>
      <c r="AA1388" s="52"/>
      <c r="AB1388" s="52"/>
      <c r="AC1388" s="52"/>
      <c r="AG1388" s="52"/>
      <c r="AH1388" s="87"/>
      <c r="AI1388" s="87"/>
    </row>
    <row r="1389" spans="1:35" ht="56.25" hidden="1" customHeight="1" thickBot="1">
      <c r="A1389" s="218" t="e">
        <f>"M"&amp;E1369</f>
        <v>#N/A</v>
      </c>
      <c r="B1389" s="702"/>
      <c r="C1389" s="725" t="s">
        <v>101</v>
      </c>
      <c r="D1389" s="716"/>
      <c r="E1389" s="558" t="s">
        <v>105</v>
      </c>
      <c r="F1389" s="554" t="s">
        <v>87</v>
      </c>
      <c r="G1389" s="553" t="s">
        <v>86</v>
      </c>
      <c r="H1389" s="559" t="s">
        <v>85</v>
      </c>
      <c r="I1389" s="554" t="s">
        <v>252</v>
      </c>
      <c r="J1389" s="553" t="str">
        <f>"¿EL INTEGRANTE TIENE UNA PARTICIPACIÓN DEL "&amp;PORCREQUERIDOINT*100&amp;"%?"</f>
        <v>¿EL INTEGRANTE TIENE UNA PARTICIPACIÓN DEL 60%?</v>
      </c>
      <c r="K1389" s="554" t="s">
        <v>107</v>
      </c>
      <c r="L1389" s="724"/>
      <c r="M1389" s="717" t="s">
        <v>115</v>
      </c>
      <c r="N1389" s="718"/>
      <c r="O1389" s="718"/>
      <c r="P1389" s="718"/>
      <c r="Q1389" s="223">
        <f>IF(AND(H1373="SI",P1373&gt;=0),1,0)+IF(AND(H1374="SI",P1374&gt;=0),1,0)+IF(AND(H1375="SI",P1375&gt;=0),1,0)+IF(AND(H1376="SI",P1376&gt;=0),1,0)+IF(AND(H1377="SI",P1377&gt;=0),1,0)+IF(AND(H1378="SI",P1378&gt;=0),1,0)+IF(AND(H1379="SI",P1379&gt;=0),1,0)+IF(AND(H1380="SI",P1380&gt;=0),1,0)+IF(AND(H1381="SI",P1381&gt;=0),1,0)+IF(AND(H1382="SI",P1382&gt;=0),1,0)</f>
        <v>0</v>
      </c>
      <c r="R1389" s="759"/>
      <c r="S1389" s="761"/>
      <c r="T1389" s="764"/>
      <c r="U1389" s="219"/>
      <c r="V1389" s="464"/>
      <c r="Y1389" s="532" t="s">
        <v>342</v>
      </c>
      <c r="AA1389" s="550" t="s">
        <v>344</v>
      </c>
      <c r="AB1389" s="693" t="s">
        <v>345</v>
      </c>
      <c r="AC1389" s="693" t="s">
        <v>346</v>
      </c>
      <c r="AD1389" s="685" t="s">
        <v>347</v>
      </c>
      <c r="AE1389" s="52"/>
      <c r="AF1389" s="52"/>
      <c r="AG1389" s="52"/>
      <c r="AH1389" s="87"/>
      <c r="AI1389" s="87"/>
    </row>
    <row r="1390" spans="1:35" ht="15.75" hidden="1" customHeight="1" thickBot="1">
      <c r="A1390" s="218" t="e">
        <f>"N"&amp;E1369</f>
        <v>#N/A</v>
      </c>
      <c r="B1390" s="702"/>
      <c r="C1390" s="114">
        <v>1</v>
      </c>
      <c r="D1390" s="194" t="e">
        <f>IF(AND(C1390&lt;=F1388,F1388&gt;1,F1388&lt;&gt;""),VLOOKUP(VALUE(E1369&amp;","&amp;C1390),INTEGRANTES!$D$18:$F$235,2,0),"")</f>
        <v>#N/A</v>
      </c>
      <c r="E1390" s="211" t="e">
        <f>IF(D1390&lt;&gt;"",VLOOKUP(VALUE(E1369&amp;","&amp;C1390),INTEGRANTES!$D$18:$F$235,3,0),"")</f>
        <v>#N/A</v>
      </c>
      <c r="F1390" s="547" t="e">
        <f>IF(D1390="","",SUMIF($I1373:$I1382,D1390,$P1373:$P1382))</f>
        <v>#N/A</v>
      </c>
      <c r="G1390" s="333" t="e">
        <f>IF(D1390="","",SUMIF($I1373:$I1382,D1390,$M1373:$M1382))</f>
        <v>#N/A</v>
      </c>
      <c r="H1390" s="535" t="e">
        <f t="shared" ref="H1390:H1395" si="398">IF(D1390="","",IF(OR(F1390=0,G1390=0),"NO APORTA",ROUND($F1390/$G1390,3)))</f>
        <v>#N/A</v>
      </c>
      <c r="I1390" s="212" t="e">
        <f>IF(D1390="","",IF(H1390="NO APORTA","NO",IF(H1390=MAX($H1390:$H1395),"SI","NO")))</f>
        <v>#N/A</v>
      </c>
      <c r="J1390" s="213" t="e">
        <f t="shared" ref="J1390:J1395" si="399">IF(D1390="","",IF(E1390&gt;=PORCREQUERIDOINT,"SI","NO"))</f>
        <v>#N/A</v>
      </c>
      <c r="K1390" s="200" t="e">
        <f t="shared" ref="K1390:K1395" si="400">IF(D1390="","",IF(AND(I1390="SI",J1390="SI"),"CUMPLE",IF(AND(I1390="NO",OR(J1390="SI",J1390="NO")),"","NO CUMPLE")))</f>
        <v>#N/A</v>
      </c>
      <c r="L1390" s="722" t="s">
        <v>108</v>
      </c>
      <c r="M1390" s="726" t="s">
        <v>119</v>
      </c>
      <c r="N1390" s="726"/>
      <c r="O1390" s="726"/>
      <c r="P1390" s="726"/>
      <c r="Q1390" s="727"/>
      <c r="R1390" s="758" t="s">
        <v>80</v>
      </c>
      <c r="S1390" s="747"/>
      <c r="T1390" s="748"/>
      <c r="U1390" s="219"/>
      <c r="V1390" s="464"/>
      <c r="Y1390" s="533" t="e">
        <f>IF(Y1387="","",IF(Y1387="INDIVIDUAL","NO APLICA","VERIFICAR CUADRO"))</f>
        <v>#N/A</v>
      </c>
      <c r="AA1390" s="551"/>
      <c r="AB1390" s="694"/>
      <c r="AC1390" s="694"/>
      <c r="AD1390" s="686"/>
      <c r="AE1390" s="52"/>
      <c r="AF1390" s="52"/>
      <c r="AG1390" s="52"/>
      <c r="AH1390" s="87"/>
      <c r="AI1390" s="87"/>
    </row>
    <row r="1391" spans="1:35" ht="27" hidden="1" customHeight="1" thickBot="1">
      <c r="A1391" s="218" t="e">
        <f>"O"&amp;E1369</f>
        <v>#N/A</v>
      </c>
      <c r="B1391" s="702"/>
      <c r="C1391" s="114">
        <v>2</v>
      </c>
      <c r="D1391" s="194" t="e">
        <f>IF(AND(C1391&lt;=F1388,F1388&lt;&gt;""),VLOOKUP(VALUE(E1369&amp;","&amp;C1391),INTEGRANTES!$D$18:$F$235,2,0),"")</f>
        <v>#N/A</v>
      </c>
      <c r="E1391" s="211" t="e">
        <f>IF(D1391&lt;&gt;"",VLOOKUP(VALUE(E1369&amp;","&amp;C1391),INTEGRANTES!$D$18:$F$235,3,0),"")</f>
        <v>#N/A</v>
      </c>
      <c r="F1391" s="547" t="e">
        <f>IF(D1391="","",SUMIF($I1373:$I1382,D1391,$P1373:$P1382))</f>
        <v>#N/A</v>
      </c>
      <c r="G1391" s="333" t="e">
        <f>IF(D1391="","",SUMIF($I1373:$I1382,D1391,$M1373:$M1382))</f>
        <v>#N/A</v>
      </c>
      <c r="H1391" s="535" t="e">
        <f t="shared" si="398"/>
        <v>#N/A</v>
      </c>
      <c r="I1391" s="212" t="e">
        <f>IF(D1391="","",IF(H1391="NO APORTA","NO",IF(H1391=MAX($H1390:$H1395),"SI","NO")))</f>
        <v>#N/A</v>
      </c>
      <c r="J1391" s="213" t="e">
        <f t="shared" si="399"/>
        <v>#N/A</v>
      </c>
      <c r="K1391" s="200" t="e">
        <f t="shared" si="400"/>
        <v>#N/A</v>
      </c>
      <c r="L1391" s="723"/>
      <c r="M1391" s="715" t="s">
        <v>116</v>
      </c>
      <c r="N1391" s="716"/>
      <c r="O1391" s="556" t="s">
        <v>113</v>
      </c>
      <c r="P1391" s="715" t="s">
        <v>117</v>
      </c>
      <c r="Q1391" s="728"/>
      <c r="R1391" s="759"/>
      <c r="S1391" s="760"/>
      <c r="T1391" s="761"/>
      <c r="U1391" s="219"/>
      <c r="V1391" s="464"/>
      <c r="Y1391" s="414"/>
      <c r="AA1391" s="542" t="e">
        <f>IF(AND(C1390&lt;=F1388,F1388&gt;1,F1388&lt;&gt;""),VLOOKUP(VALUE(E1369&amp;","&amp;C1390),INTEGRANTES!$D$18:$F$235,2,0),"")</f>
        <v>#N/A</v>
      </c>
      <c r="AB1391" s="544" t="e">
        <f t="shared" ref="AB1391:AB1396" si="401">IF(D1390="","",IF(OR(F1390=0,G1390=0),"NO APORTA",ROUND($F1390/$G1390,3)))</f>
        <v>#N/A</v>
      </c>
      <c r="AC1391" s="529"/>
      <c r="AD1391" s="200" t="e">
        <f t="shared" ref="AD1391:AD1396" si="402">IF(OR(AA1391="",AB1391=""),"",IF(AND(AC1391="X",AB1391&gt;=EXPREQVTD),"CUMPLE","NO CUMPLE"))</f>
        <v>#N/A</v>
      </c>
      <c r="AE1391" s="52"/>
      <c r="AF1391" s="52"/>
      <c r="AG1391" s="52"/>
      <c r="AH1391" s="87"/>
      <c r="AI1391" s="87"/>
    </row>
    <row r="1392" spans="1:35" ht="16.5" hidden="1" thickBot="1">
      <c r="A1392" s="218" t="e">
        <f>"P"&amp;E1369</f>
        <v>#N/A</v>
      </c>
      <c r="B1392" s="702"/>
      <c r="C1392" s="114">
        <v>3</v>
      </c>
      <c r="D1392" s="194" t="e">
        <f>IF(AND(C1392&lt;=F1388,F1388&lt;&gt;""),VLOOKUP(VALUE(E1369&amp;","&amp;C1392),INTEGRANTES!$D$18:$F$235,2,0),"")</f>
        <v>#N/A</v>
      </c>
      <c r="E1392" s="211" t="e">
        <f>IF(D1392&lt;&gt;"",VLOOKUP(VALUE(E1369&amp;","&amp;C1392),INTEGRANTES!$D$18:$F$235,3,0),"")</f>
        <v>#N/A</v>
      </c>
      <c r="F1392" s="547" t="e">
        <f>IF(D1392="","",SUMIF($I1373:$I1382,D1392,$P1373:$P1382))</f>
        <v>#N/A</v>
      </c>
      <c r="G1392" s="333" t="e">
        <f>IF(D1392="","",SUMIF($I1373:$I1382,D1392,$M1373:$M1382))</f>
        <v>#N/A</v>
      </c>
      <c r="H1392" s="535" t="e">
        <f t="shared" si="398"/>
        <v>#N/A</v>
      </c>
      <c r="I1392" s="212" t="e">
        <f>IF(D1392="","",IF(H1392="NO APORTA","NO",IF(H1392=MAX($H1390:$H1395),"SI","NO")))</f>
        <v>#N/A</v>
      </c>
      <c r="J1392" s="213" t="e">
        <f t="shared" si="399"/>
        <v>#N/A</v>
      </c>
      <c r="K1392" s="200" t="e">
        <f t="shared" si="400"/>
        <v>#N/A</v>
      </c>
      <c r="L1392" s="724"/>
      <c r="M1392" s="729">
        <f>NUMMOD</f>
        <v>1</v>
      </c>
      <c r="N1392" s="730"/>
      <c r="O1392" s="443">
        <f>IF(M1392="","",VLOOKUP(M1392,PRESUPUESTOS!$B$16:$H$16,5,FALSE))</f>
        <v>2</v>
      </c>
      <c r="P1392" s="713">
        <f>IF(OR(COUNTIF(M1373:M1382,"")&gt;=10,Q1389&lt;NUMMINCONT,OR(T1387="NO CUMPLE",T1387="VERIFICAR")),0,ROUND(AVERAGE(M1373:M1382),3))</f>
        <v>0</v>
      </c>
      <c r="Q1392" s="714"/>
      <c r="R1392" s="458"/>
      <c r="S1392" s="459"/>
      <c r="T1392" s="460"/>
      <c r="U1392" s="219"/>
      <c r="V1392" s="464"/>
      <c r="Y1392" s="532" t="str">
        <f>"40% * ("&amp;PRESUPUESTOS!$H$13&amp;")"</f>
        <v>40% * (50% PFMO)</v>
      </c>
      <c r="AA1392" s="540" t="e">
        <f>IF(AND(C1391&lt;=F1388,F1388&lt;&gt;""),VLOOKUP(VALUE(E1369&amp;","&amp;C1391),INTEGRANTES!$D$18:$F$235,2,0),"")</f>
        <v>#N/A</v>
      </c>
      <c r="AB1392" s="545" t="e">
        <f t="shared" si="401"/>
        <v>#N/A</v>
      </c>
      <c r="AC1392" s="529"/>
      <c r="AD1392" s="200" t="e">
        <f t="shared" si="402"/>
        <v>#N/A</v>
      </c>
      <c r="AE1392" s="52"/>
      <c r="AF1392" s="52"/>
      <c r="AG1392" s="52"/>
      <c r="AH1392" s="87"/>
      <c r="AI1392" s="87"/>
    </row>
    <row r="1393" spans="1:35" ht="15.75" hidden="1" customHeight="1" thickBot="1">
      <c r="A1393" s="218" t="e">
        <f>"Q"&amp;E1369</f>
        <v>#N/A</v>
      </c>
      <c r="B1393" s="702"/>
      <c r="C1393" s="114">
        <v>4</v>
      </c>
      <c r="D1393" s="194" t="e">
        <f>IF(AND(C1393&lt;=F1388,F1388&lt;&gt;""),VLOOKUP(VALUE(E1369&amp;","&amp;C1393),INTEGRANTES!$D$18:$F$235,2,0),"")</f>
        <v>#N/A</v>
      </c>
      <c r="E1393" s="211" t="e">
        <f>IF(D1393&lt;&gt;"",VLOOKUP(VALUE(E1369&amp;","&amp;C1393),INTEGRANTES!$D$18:$F$235,3,0),"")</f>
        <v>#N/A</v>
      </c>
      <c r="F1393" s="547" t="e">
        <f>IF(D1393="","",SUMIF($I1373:$I1382,D1393,$P1373:$P1382))</f>
        <v>#N/A</v>
      </c>
      <c r="G1393" s="333" t="e">
        <f>IF(D1393="","",SUMIF($I1373:$I1382,D1393,$M1373:$M1382))</f>
        <v>#N/A</v>
      </c>
      <c r="H1393" s="535" t="e">
        <f t="shared" si="398"/>
        <v>#N/A</v>
      </c>
      <c r="I1393" s="212" t="e">
        <f>IF(D1393="","",IF(H1393="NO APORTA","NO",IF(H1393=MAX($H1390:$H1395),"SI","NO")))</f>
        <v>#N/A</v>
      </c>
      <c r="J1393" s="213" t="e">
        <f t="shared" si="399"/>
        <v>#N/A</v>
      </c>
      <c r="K1393" s="200" t="e">
        <f t="shared" si="400"/>
        <v>#N/A</v>
      </c>
      <c r="L1393" s="720" t="s">
        <v>109</v>
      </c>
      <c r="M1393" s="757" t="s">
        <v>120</v>
      </c>
      <c r="N1393" s="726"/>
      <c r="O1393" s="726"/>
      <c r="P1393" s="726"/>
      <c r="Q1393" s="727"/>
      <c r="R1393" s="458"/>
      <c r="S1393" s="459"/>
      <c r="T1393" s="460"/>
      <c r="U1393" s="219"/>
      <c r="V1393" s="464"/>
      <c r="Y1393" s="537">
        <f>0.4*PRESUPUESTOS!$H$16</f>
        <v>10.3124</v>
      </c>
      <c r="AA1393" s="540" t="e">
        <f>IF(AND(C1392&lt;=F1388,F1388&lt;&gt;""),VLOOKUP(VALUE(E1369&amp;","&amp;C1392),INTEGRANTES!$D$18:$F$235,2,0),"")</f>
        <v>#N/A</v>
      </c>
      <c r="AB1393" s="545" t="e">
        <f t="shared" si="401"/>
        <v>#N/A</v>
      </c>
      <c r="AC1393" s="529"/>
      <c r="AD1393" s="200" t="e">
        <f t="shared" si="402"/>
        <v>#N/A</v>
      </c>
      <c r="AE1393" s="52"/>
      <c r="AF1393" s="52"/>
      <c r="AG1393" s="52"/>
      <c r="AH1393" s="87"/>
      <c r="AI1393" s="87"/>
    </row>
    <row r="1394" spans="1:35" ht="27" hidden="1" customHeight="1" thickBot="1">
      <c r="A1394" s="218" t="e">
        <f>"R"&amp;E1369</f>
        <v>#N/A</v>
      </c>
      <c r="B1394" s="702"/>
      <c r="C1394" s="114">
        <v>5</v>
      </c>
      <c r="D1394" s="194" t="e">
        <f>IF(AND(C1394&lt;=F1388,F1388&lt;&gt;""),VLOOKUP(VALUE(E1369&amp;","&amp;C1394),INTEGRANTES!$D$18:$F$235,2,0),"")</f>
        <v>#N/A</v>
      </c>
      <c r="E1394" s="211" t="e">
        <f>IF(D1394&lt;&gt;"",VLOOKUP(VALUE(E1369&amp;","&amp;C1394),INTEGRANTES!$D$18:$F$235,3,0),"")</f>
        <v>#N/A</v>
      </c>
      <c r="F1394" s="547" t="e">
        <f>IF(D1394="","",SUMIF($I1373:$I1382,D1394,$P1373:$P1382))</f>
        <v>#N/A</v>
      </c>
      <c r="G1394" s="333" t="e">
        <f>IF(D1394="","",SUMIF($I1373:$I1382,D1394,$M1373:$M1382))</f>
        <v>#N/A</v>
      </c>
      <c r="H1394" s="535" t="e">
        <f t="shared" si="398"/>
        <v>#N/A</v>
      </c>
      <c r="I1394" s="212" t="e">
        <f>IF(D1394="","",IF(H1394="NO APORTA","NO",IF(H1394=MAX($H1390:$H1395),"SI","NO")))</f>
        <v>#N/A</v>
      </c>
      <c r="J1394" s="213" t="e">
        <f t="shared" si="399"/>
        <v>#N/A</v>
      </c>
      <c r="K1394" s="200" t="e">
        <f t="shared" si="400"/>
        <v>#N/A</v>
      </c>
      <c r="L1394" s="721"/>
      <c r="M1394" s="715" t="s">
        <v>116</v>
      </c>
      <c r="N1394" s="716"/>
      <c r="O1394" s="556" t="str">
        <f>PORCREQUERIDO*100&amp;"% PMFO DEL MÓDULO"</f>
        <v>50% PMFO DEL MÓDULO</v>
      </c>
      <c r="P1394" s="715" t="s">
        <v>118</v>
      </c>
      <c r="Q1394" s="728"/>
      <c r="R1394" s="458"/>
      <c r="S1394" s="459"/>
      <c r="T1394" s="460"/>
      <c r="U1394" s="219"/>
      <c r="V1394" s="464"/>
      <c r="Y1394" s="414"/>
      <c r="AA1394" s="540" t="e">
        <f>IF(AND(C1393&lt;=F1388,F1388&lt;&gt;""),VLOOKUP(VALUE(E1369&amp;","&amp;C1393),INTEGRANTES!$D$18:$F$235,2,0),"")</f>
        <v>#N/A</v>
      </c>
      <c r="AB1394" s="545" t="e">
        <f t="shared" si="401"/>
        <v>#N/A</v>
      </c>
      <c r="AC1394" s="529"/>
      <c r="AD1394" s="200" t="e">
        <f t="shared" si="402"/>
        <v>#N/A</v>
      </c>
      <c r="AE1394" s="52"/>
      <c r="AF1394" s="52"/>
      <c r="AG1394" s="52"/>
      <c r="AH1394" s="87"/>
      <c r="AI1394" s="87"/>
    </row>
    <row r="1395" spans="1:35" ht="16.5" hidden="1" thickBot="1">
      <c r="A1395" s="218" t="e">
        <f>"S"&amp;E1369</f>
        <v>#N/A</v>
      </c>
      <c r="B1395" s="702"/>
      <c r="C1395" s="215">
        <v>6</v>
      </c>
      <c r="D1395" s="216" t="e">
        <f>IF(AND(C1395&lt;=F1388,F1388&lt;&gt;""),VLOOKUP(VALUE(E1369&amp;","&amp;C1395),INTEGRANTES!$D$18:$F$235,2,0),"")</f>
        <v>#N/A</v>
      </c>
      <c r="E1395" s="217" t="e">
        <f>IF(D1395&lt;&gt;"",VLOOKUP(VALUE(E1369&amp;","&amp;C1395),INTEGRANTES!$D$18:$F$235,3,0),"")</f>
        <v>#N/A</v>
      </c>
      <c r="F1395" s="548" t="e">
        <f>IF(D1395="","",SUMIF($I1373:$I1382,D1395,$P1373:$P1382))</f>
        <v>#N/A</v>
      </c>
      <c r="G1395" s="334" t="e">
        <f>IF(D1395="","",SUMIF($I1373:$I1382,D1395,$M1373:$M1382))</f>
        <v>#N/A</v>
      </c>
      <c r="H1395" s="536" t="e">
        <f t="shared" si="398"/>
        <v>#N/A</v>
      </c>
      <c r="I1395" s="214" t="e">
        <f>IF(D1395="","",IF(H1395="NO APORTA","NO",IF(H1395=MAX($H1390:$H1395),"SI","NO")))</f>
        <v>#N/A</v>
      </c>
      <c r="J1395" s="213" t="e">
        <f t="shared" si="399"/>
        <v>#N/A</v>
      </c>
      <c r="K1395" s="200" t="e">
        <f t="shared" si="400"/>
        <v>#N/A</v>
      </c>
      <c r="L1395" s="721"/>
      <c r="M1395" s="729">
        <f>NUMMOD</f>
        <v>1</v>
      </c>
      <c r="N1395" s="730"/>
      <c r="O1395" s="443">
        <f>IF(M1395="","",ROUND(VLOOKUP(M1395,PRESUPUESTOS!$B$16:$H$16,7,FALSE),3))</f>
        <v>25.780999999999999</v>
      </c>
      <c r="P1395" s="713">
        <f>IF(OR(COUNTIF(P1373:P1382,"")&gt;=10,Q1389&lt;NUMMINCONT,OR(T1387="NO CUMPLE",T1387="VERIFICAR")),0,ROUND((SUM(P1373:P1382)/SUM(M1373:M1382)),3))</f>
        <v>0</v>
      </c>
      <c r="Q1395" s="714"/>
      <c r="R1395" s="458"/>
      <c r="S1395" s="459"/>
      <c r="T1395" s="460"/>
      <c r="U1395" s="219"/>
      <c r="V1395" s="464"/>
      <c r="Y1395" s="532" t="s">
        <v>343</v>
      </c>
      <c r="AA1395" s="540" t="e">
        <f>IF(AND(C1394&lt;=F1388,F1388&lt;&gt;""),VLOOKUP(VALUE(E1369&amp;","&amp;C1394),INTEGRANTES!$D$18:$F$235,2,0),"")</f>
        <v>#N/A</v>
      </c>
      <c r="AB1395" s="545" t="e">
        <f t="shared" si="401"/>
        <v>#N/A</v>
      </c>
      <c r="AC1395" s="529"/>
      <c r="AD1395" s="200" t="e">
        <f t="shared" si="402"/>
        <v>#N/A</v>
      </c>
      <c r="AE1395" s="52"/>
      <c r="AF1395" s="52"/>
      <c r="AG1395" s="52"/>
      <c r="AH1395" s="87"/>
      <c r="AI1395" s="87"/>
    </row>
    <row r="1396" spans="1:35" ht="16.5" hidden="1" customHeight="1" thickBot="1">
      <c r="A1396" s="218" t="e">
        <f>"T"&amp;E1369</f>
        <v>#N/A</v>
      </c>
      <c r="B1396" s="703"/>
      <c r="C1396" s="719"/>
      <c r="D1396" s="719"/>
      <c r="E1396" s="719"/>
      <c r="F1396" s="719"/>
      <c r="G1396" s="719"/>
      <c r="H1396" s="719" t="s">
        <v>110</v>
      </c>
      <c r="I1396" s="719"/>
      <c r="J1396" s="719"/>
      <c r="K1396" s="201" t="str">
        <f>IF(COUNTIF(K1390:K1395,"")=6,"",IF(COUNTIF(K1390:K1395,"CUMPLE")&gt;0,"CUMPLE","NO CUMPLE"))</f>
        <v>NO CUMPLE</v>
      </c>
      <c r="L1396" s="754"/>
      <c r="M1396" s="755"/>
      <c r="N1396" s="755"/>
      <c r="O1396" s="755"/>
      <c r="P1396" s="755"/>
      <c r="Q1396" s="756"/>
      <c r="R1396" s="461"/>
      <c r="S1396" s="462"/>
      <c r="T1396" s="463"/>
      <c r="U1396" s="219"/>
      <c r="V1396" s="464"/>
      <c r="Y1396" s="549" t="e">
        <f>IF(Y1390="NO APLICA","NO APLICA",IF(COUNTIF(AD1391:AD1396,"CUMPLE")&gt;0,"CUMPLE","NO CUMPLE"))</f>
        <v>#N/A</v>
      </c>
      <c r="AA1396" s="541" t="e">
        <f>IF(AND(C1395&lt;=F1388,F1388&lt;&gt;""),VLOOKUP(VALUE(E1369&amp;","&amp;C1395),INTEGRANTES!$D$18:$F$235,2,0),"")</f>
        <v>#N/A</v>
      </c>
      <c r="AB1396" s="546" t="e">
        <f t="shared" si="401"/>
        <v>#N/A</v>
      </c>
      <c r="AC1396" s="543"/>
      <c r="AD1396" s="201" t="e">
        <f t="shared" si="402"/>
        <v>#N/A</v>
      </c>
      <c r="AE1396" s="52"/>
      <c r="AF1396" s="52"/>
      <c r="AG1396" s="52"/>
      <c r="AH1396" s="87"/>
      <c r="AI1396" s="87"/>
    </row>
    <row r="1397" spans="1:35" hidden="1">
      <c r="AH1397" s="87"/>
      <c r="AI1397" s="87"/>
    </row>
    <row r="1398" spans="1:35" hidden="1">
      <c r="AH1398" s="87"/>
      <c r="AI1398" s="87"/>
    </row>
    <row r="1399" spans="1:35" ht="24" hidden="1" thickBot="1">
      <c r="A1399" s="61">
        <v>47</v>
      </c>
      <c r="B1399" s="704" t="s">
        <v>51</v>
      </c>
      <c r="C1399" s="704"/>
      <c r="D1399" s="704"/>
      <c r="E1399" s="62" t="e">
        <f>VLOOKUP(A1399,PROPONENTES!$B$19:$E$218,2,FALSE)</f>
        <v>#N/A</v>
      </c>
      <c r="F1399" s="63" t="e">
        <f>VLOOKUP(A1399,PROPONENTES!$B$19:$E$218,3,FALSE)</f>
        <v>#N/A</v>
      </c>
      <c r="G1399" s="64"/>
      <c r="H1399" s="64"/>
      <c r="I1399" s="63"/>
      <c r="J1399" s="63"/>
      <c r="K1399" s="65"/>
      <c r="L1399" s="65"/>
      <c r="M1399" s="64"/>
      <c r="N1399" s="64"/>
      <c r="O1399" s="66"/>
      <c r="P1399" s="66"/>
      <c r="Q1399" s="66"/>
      <c r="R1399" s="66"/>
      <c r="S1399" s="67"/>
      <c r="T1399" s="68"/>
      <c r="U1399" s="68"/>
      <c r="AC1399" s="68"/>
      <c r="AD1399" s="68"/>
      <c r="AE1399" s="68"/>
      <c r="AF1399" s="68"/>
      <c r="AG1399" s="68"/>
      <c r="AH1399" s="87"/>
      <c r="AI1399" s="87"/>
    </row>
    <row r="1400" spans="1:35" ht="15.75" hidden="1" customHeight="1">
      <c r="A1400" s="44"/>
      <c r="B1400" s="709" t="s">
        <v>59</v>
      </c>
      <c r="C1400" s="552" t="s">
        <v>60</v>
      </c>
      <c r="D1400" s="70" t="s">
        <v>17</v>
      </c>
      <c r="E1400" s="70"/>
      <c r="F1400" s="70" t="s">
        <v>61</v>
      </c>
      <c r="G1400" s="71"/>
      <c r="H1400" s="699" t="s">
        <v>62</v>
      </c>
      <c r="I1400" s="699" t="s">
        <v>18</v>
      </c>
      <c r="J1400" s="699" t="s">
        <v>63</v>
      </c>
      <c r="K1400" s="699" t="s">
        <v>64</v>
      </c>
      <c r="L1400" s="699" t="s">
        <v>65</v>
      </c>
      <c r="M1400" s="743" t="s">
        <v>66</v>
      </c>
      <c r="N1400" s="699" t="s">
        <v>282</v>
      </c>
      <c r="O1400" s="745" t="s">
        <v>67</v>
      </c>
      <c r="P1400" s="746"/>
      <c r="Q1400" s="102" t="s">
        <v>75</v>
      </c>
      <c r="R1400" s="731" t="s">
        <v>22</v>
      </c>
      <c r="S1400" s="732"/>
      <c r="T1400" s="733"/>
      <c r="U1400" s="712" t="s">
        <v>298</v>
      </c>
      <c r="W1400" s="690" t="s">
        <v>268</v>
      </c>
      <c r="X1400" s="691"/>
      <c r="Y1400" s="692"/>
      <c r="Z1400" s="428"/>
      <c r="AA1400" s="697" t="s">
        <v>315</v>
      </c>
      <c r="AB1400" s="695" t="s">
        <v>322</v>
      </c>
      <c r="AC1400" s="49"/>
      <c r="AD1400" s="690" t="s">
        <v>297</v>
      </c>
      <c r="AE1400" s="691"/>
      <c r="AF1400" s="692"/>
      <c r="AG1400" s="49"/>
      <c r="AH1400" s="87"/>
      <c r="AI1400" s="87"/>
    </row>
    <row r="1401" spans="1:35" ht="72" hidden="1">
      <c r="A1401" s="44"/>
      <c r="B1401" s="710"/>
      <c r="C1401" s="553" t="s">
        <v>68</v>
      </c>
      <c r="D1401" s="73" t="s">
        <v>3</v>
      </c>
      <c r="E1401" s="73" t="s">
        <v>19</v>
      </c>
      <c r="F1401" s="73" t="s">
        <v>69</v>
      </c>
      <c r="G1401" s="74" t="s">
        <v>70</v>
      </c>
      <c r="H1401" s="700"/>
      <c r="I1401" s="700"/>
      <c r="J1401" s="700"/>
      <c r="K1401" s="700"/>
      <c r="L1401" s="700"/>
      <c r="M1401" s="744"/>
      <c r="N1401" s="700"/>
      <c r="O1401" s="553" t="s">
        <v>279</v>
      </c>
      <c r="P1401" s="73" t="s">
        <v>88</v>
      </c>
      <c r="Q1401" s="555" t="s">
        <v>76</v>
      </c>
      <c r="R1401" s="734"/>
      <c r="S1401" s="735"/>
      <c r="T1401" s="736"/>
      <c r="U1401" s="712"/>
      <c r="W1401" s="429" t="s">
        <v>269</v>
      </c>
      <c r="X1401" s="457" t="s">
        <v>278</v>
      </c>
      <c r="Y1401" s="430" t="s">
        <v>324</v>
      </c>
      <c r="Z1401" s="428"/>
      <c r="AA1401" s="698"/>
      <c r="AB1401" s="696"/>
      <c r="AC1401" s="49"/>
      <c r="AD1401" s="429" t="s">
        <v>292</v>
      </c>
      <c r="AE1401" s="431" t="s">
        <v>300</v>
      </c>
      <c r="AF1401" s="468" t="s">
        <v>301</v>
      </c>
      <c r="AG1401" s="49"/>
      <c r="AH1401" s="87"/>
      <c r="AI1401" s="87"/>
    </row>
    <row r="1402" spans="1:35" hidden="1">
      <c r="A1402" s="44"/>
      <c r="B1402" s="76"/>
      <c r="C1402" s="77"/>
      <c r="D1402" s="77"/>
      <c r="E1402" s="77"/>
      <c r="F1402" s="77"/>
      <c r="G1402" s="77"/>
      <c r="H1402" s="77"/>
      <c r="I1402" s="77"/>
      <c r="J1402" s="77"/>
      <c r="K1402" s="77"/>
      <c r="L1402" s="77"/>
      <c r="M1402" s="77"/>
      <c r="N1402" s="77"/>
      <c r="O1402" s="77"/>
      <c r="P1402" s="77"/>
      <c r="Q1402" s="77"/>
      <c r="R1402" s="77"/>
      <c r="S1402" s="78"/>
      <c r="T1402" s="79"/>
      <c r="U1402" s="109"/>
      <c r="V1402" s="49"/>
      <c r="W1402" s="432"/>
      <c r="X1402" s="454"/>
      <c r="Y1402" s="433"/>
      <c r="Z1402" s="6"/>
      <c r="AA1402" s="500"/>
      <c r="AB1402" s="562"/>
      <c r="AC1402" s="49"/>
      <c r="AD1402" s="210"/>
      <c r="AE1402" s="434"/>
      <c r="AF1402" s="435"/>
      <c r="AG1402" s="49"/>
      <c r="AH1402" s="87"/>
      <c r="AI1402" s="87"/>
    </row>
    <row r="1403" spans="1:35" hidden="1">
      <c r="A1403" s="80" t="e">
        <f>"A"&amp;E1399</f>
        <v>#N/A</v>
      </c>
      <c r="B1403" s="81">
        <v>1</v>
      </c>
      <c r="C1403" s="82"/>
      <c r="D1403" s="82"/>
      <c r="E1403" s="82"/>
      <c r="F1403" s="82"/>
      <c r="G1403" s="83"/>
      <c r="H1403" s="83"/>
      <c r="I1403" s="84"/>
      <c r="J1403" s="85"/>
      <c r="K1403" s="382"/>
      <c r="L1403" s="85"/>
      <c r="M1403" s="332" t="str">
        <f t="shared" ref="M1403:M1412" si="403">IF(OR(J1403="",L1403="",H1403="NO"),"",IF(OR(J1403&gt;$P$17,J1403&lt;$O$17,L1403&gt;$P$17,AND(J1403&lt;$O$17,L1403&lt;$O$17)),"FUERA DE RANGO",IF(OR(K1403="---",K1403=""),IF(J1403&gt;=$O$17,ROUND((L1403-J1403+1)/360*12,3),ROUND((L1403-$O$17+1)/360*12,3)),IF(J1403&gt;=$O$17,ROUND((L1403-J1403+1)/360*12-ROUND(K1403,3),3),ROUND((L1403-$O$17+1)/360*12-ROUND(K1403,3),3)))))</f>
        <v/>
      </c>
      <c r="N1403" s="86"/>
      <c r="O1403" s="453" t="str">
        <f>IF(OR(G1403="",N1403=""),"",N1403*G1403)</f>
        <v/>
      </c>
      <c r="P1403" s="538" t="str">
        <f>IF(OR(H1403="",M1403="FUERA DE RANGO"),"",IF(OR(L1403&lt;$O$17,L1403&gt;$P$17,L1403="",H1403="NO"),"",IF(OR(N1403="",O1403=""),"",ROUND(O1403,3))))</f>
        <v/>
      </c>
      <c r="Q1403" s="539" t="str">
        <f t="shared" ref="Q1403:Q1412" si="404">IF(AND(H1403="SI",P1403&lt;&gt;""),ROUND(P1403/M1403,3),"")</f>
        <v/>
      </c>
      <c r="R1403" s="737"/>
      <c r="S1403" s="738"/>
      <c r="T1403" s="739"/>
      <c r="U1403" s="470"/>
      <c r="V1403" s="165"/>
      <c r="W1403" s="446"/>
      <c r="X1403" s="456"/>
      <c r="Y1403" s="436"/>
      <c r="Z1403" s="437"/>
      <c r="AA1403" s="560"/>
      <c r="AB1403" s="561"/>
      <c r="AC1403" s="87"/>
      <c r="AD1403" s="466"/>
      <c r="AE1403" s="456"/>
      <c r="AF1403" s="467"/>
      <c r="AG1403" s="87"/>
      <c r="AH1403" s="87"/>
      <c r="AI1403" s="87"/>
    </row>
    <row r="1404" spans="1:35" hidden="1">
      <c r="A1404" s="80" t="e">
        <f>"B"&amp;E1399</f>
        <v>#N/A</v>
      </c>
      <c r="B1404" s="81">
        <v>2</v>
      </c>
      <c r="C1404" s="106"/>
      <c r="D1404" s="106"/>
      <c r="E1404" s="106"/>
      <c r="F1404" s="106"/>
      <c r="G1404" s="83"/>
      <c r="H1404" s="83"/>
      <c r="I1404" s="84"/>
      <c r="J1404" s="85"/>
      <c r="K1404" s="382"/>
      <c r="L1404" s="85"/>
      <c r="M1404" s="332" t="str">
        <f t="shared" si="403"/>
        <v/>
      </c>
      <c r="N1404" s="86"/>
      <c r="O1404" s="453" t="str">
        <f t="shared" ref="O1404:O1412" si="405">IF(OR(G1404="",N1404=""),"",N1404*G1404)</f>
        <v/>
      </c>
      <c r="P1404" s="538" t="str">
        <f t="shared" ref="P1404:P1412" si="406">IF(OR(H1404="",M1404="FUERA DE RANGO"),"",IF(OR(L1404&lt;$O$17,L1404&gt;$P$17,L1404="",H1404="NO"),"",IF(OR(N1404="",O1404=""),"",ROUND(O1404,3))))</f>
        <v/>
      </c>
      <c r="Q1404" s="539" t="str">
        <f t="shared" si="404"/>
        <v/>
      </c>
      <c r="R1404" s="740"/>
      <c r="S1404" s="741"/>
      <c r="T1404" s="742"/>
      <c r="U1404" s="471"/>
      <c r="V1404" s="165"/>
      <c r="W1404" s="446"/>
      <c r="X1404" s="456"/>
      <c r="Y1404" s="436"/>
      <c r="Z1404" s="437"/>
      <c r="AA1404" s="560"/>
      <c r="AB1404" s="561"/>
      <c r="AC1404" s="87"/>
      <c r="AD1404" s="466"/>
      <c r="AE1404" s="456"/>
      <c r="AF1404" s="467"/>
      <c r="AG1404" s="87"/>
      <c r="AH1404" s="87"/>
      <c r="AI1404" s="87"/>
    </row>
    <row r="1405" spans="1:35" hidden="1">
      <c r="A1405" s="80" t="e">
        <f>"C"&amp;E1399</f>
        <v>#N/A</v>
      </c>
      <c r="B1405" s="88">
        <v>3</v>
      </c>
      <c r="C1405" s="82"/>
      <c r="D1405" s="82"/>
      <c r="E1405" s="82"/>
      <c r="F1405" s="82"/>
      <c r="G1405" s="83"/>
      <c r="H1405" s="83"/>
      <c r="I1405" s="84"/>
      <c r="J1405" s="85"/>
      <c r="K1405" s="382"/>
      <c r="L1405" s="85"/>
      <c r="M1405" s="332" t="str">
        <f t="shared" si="403"/>
        <v/>
      </c>
      <c r="N1405" s="86"/>
      <c r="O1405" s="453" t="str">
        <f t="shared" si="405"/>
        <v/>
      </c>
      <c r="P1405" s="538" t="str">
        <f t="shared" si="406"/>
        <v/>
      </c>
      <c r="Q1405" s="539" t="str">
        <f t="shared" si="404"/>
        <v/>
      </c>
      <c r="R1405" s="706"/>
      <c r="S1405" s="707"/>
      <c r="T1405" s="708"/>
      <c r="U1405" s="472"/>
      <c r="V1405" s="166"/>
      <c r="W1405" s="446"/>
      <c r="X1405" s="456"/>
      <c r="Y1405" s="436"/>
      <c r="Z1405" s="437"/>
      <c r="AA1405" s="560"/>
      <c r="AB1405" s="561"/>
      <c r="AC1405" s="87"/>
      <c r="AD1405" s="466"/>
      <c r="AE1405" s="456"/>
      <c r="AF1405" s="467"/>
      <c r="AG1405" s="87"/>
      <c r="AH1405" s="87"/>
      <c r="AI1405" s="87"/>
    </row>
    <row r="1406" spans="1:35" hidden="1">
      <c r="A1406" s="80" t="e">
        <f>"D"&amp;E1399</f>
        <v>#N/A</v>
      </c>
      <c r="B1406" s="105">
        <v>4</v>
      </c>
      <c r="C1406" s="107"/>
      <c r="D1406" s="107"/>
      <c r="E1406" s="107"/>
      <c r="F1406" s="107"/>
      <c r="G1406" s="83"/>
      <c r="H1406" s="83"/>
      <c r="I1406" s="84"/>
      <c r="J1406" s="85"/>
      <c r="K1406" s="382"/>
      <c r="L1406" s="85"/>
      <c r="M1406" s="332" t="str">
        <f t="shared" si="403"/>
        <v/>
      </c>
      <c r="N1406" s="86"/>
      <c r="O1406" s="453" t="str">
        <f t="shared" si="405"/>
        <v/>
      </c>
      <c r="P1406" s="538" t="str">
        <f t="shared" si="406"/>
        <v/>
      </c>
      <c r="Q1406" s="539" t="str">
        <f t="shared" si="404"/>
        <v/>
      </c>
      <c r="R1406" s="706"/>
      <c r="S1406" s="707"/>
      <c r="T1406" s="708"/>
      <c r="U1406" s="472"/>
      <c r="V1406" s="166"/>
      <c r="W1406" s="446"/>
      <c r="X1406" s="456"/>
      <c r="Y1406" s="436"/>
      <c r="Z1406" s="437"/>
      <c r="AA1406" s="560"/>
      <c r="AB1406" s="561"/>
      <c r="AC1406" s="87"/>
      <c r="AD1406" s="466"/>
      <c r="AE1406" s="456"/>
      <c r="AF1406" s="467"/>
      <c r="AG1406" s="87"/>
      <c r="AH1406" s="87"/>
      <c r="AI1406" s="87"/>
    </row>
    <row r="1407" spans="1:35" hidden="1">
      <c r="A1407" s="80" t="e">
        <f>"E"&amp;E1399</f>
        <v>#N/A</v>
      </c>
      <c r="B1407" s="105">
        <v>5</v>
      </c>
      <c r="C1407" s="107"/>
      <c r="D1407" s="107"/>
      <c r="E1407" s="107"/>
      <c r="F1407" s="107"/>
      <c r="G1407" s="83"/>
      <c r="H1407" s="83"/>
      <c r="I1407" s="84"/>
      <c r="J1407" s="85"/>
      <c r="K1407" s="382"/>
      <c r="L1407" s="85"/>
      <c r="M1407" s="332" t="str">
        <f t="shared" si="403"/>
        <v/>
      </c>
      <c r="N1407" s="86"/>
      <c r="O1407" s="453" t="str">
        <f t="shared" si="405"/>
        <v/>
      </c>
      <c r="P1407" s="538" t="str">
        <f t="shared" si="406"/>
        <v/>
      </c>
      <c r="Q1407" s="539" t="str">
        <f t="shared" si="404"/>
        <v/>
      </c>
      <c r="R1407" s="706"/>
      <c r="S1407" s="707"/>
      <c r="T1407" s="708"/>
      <c r="U1407" s="472"/>
      <c r="V1407" s="167"/>
      <c r="W1407" s="446"/>
      <c r="X1407" s="456"/>
      <c r="Y1407" s="436"/>
      <c r="Z1407" s="437"/>
      <c r="AA1407" s="560"/>
      <c r="AB1407" s="561"/>
      <c r="AC1407" s="87"/>
      <c r="AD1407" s="466"/>
      <c r="AE1407" s="456"/>
      <c r="AF1407" s="467"/>
      <c r="AG1407" s="87"/>
      <c r="AH1407" s="87"/>
      <c r="AI1407" s="87"/>
    </row>
    <row r="1408" spans="1:35" hidden="1">
      <c r="A1408" s="80" t="e">
        <f>"F"&amp;E1399</f>
        <v>#N/A</v>
      </c>
      <c r="B1408" s="105">
        <v>6</v>
      </c>
      <c r="C1408" s="107"/>
      <c r="D1408" s="107"/>
      <c r="E1408" s="107"/>
      <c r="F1408" s="107"/>
      <c r="G1408" s="83"/>
      <c r="H1408" s="83"/>
      <c r="I1408" s="84"/>
      <c r="J1408" s="85"/>
      <c r="K1408" s="382"/>
      <c r="L1408" s="85"/>
      <c r="M1408" s="332" t="str">
        <f t="shared" si="403"/>
        <v/>
      </c>
      <c r="N1408" s="86"/>
      <c r="O1408" s="453" t="str">
        <f t="shared" si="405"/>
        <v/>
      </c>
      <c r="P1408" s="538" t="str">
        <f t="shared" si="406"/>
        <v/>
      </c>
      <c r="Q1408" s="539" t="str">
        <f t="shared" si="404"/>
        <v/>
      </c>
      <c r="R1408" s="706"/>
      <c r="S1408" s="707"/>
      <c r="T1408" s="708"/>
      <c r="U1408" s="472"/>
      <c r="V1408" s="167"/>
      <c r="W1408" s="446"/>
      <c r="X1408" s="456"/>
      <c r="Y1408" s="436"/>
      <c r="Z1408" s="437"/>
      <c r="AA1408" s="560"/>
      <c r="AB1408" s="561"/>
      <c r="AC1408" s="87"/>
      <c r="AD1408" s="466"/>
      <c r="AE1408" s="456"/>
      <c r="AF1408" s="467"/>
      <c r="AG1408" s="87"/>
      <c r="AH1408" s="87"/>
      <c r="AI1408" s="87"/>
    </row>
    <row r="1409" spans="1:35" hidden="1">
      <c r="A1409" s="80" t="e">
        <f>"G"&amp;E1399</f>
        <v>#N/A</v>
      </c>
      <c r="B1409" s="105">
        <v>7</v>
      </c>
      <c r="C1409" s="107"/>
      <c r="D1409" s="107"/>
      <c r="E1409" s="107"/>
      <c r="F1409" s="107"/>
      <c r="G1409" s="83"/>
      <c r="H1409" s="83"/>
      <c r="I1409" s="84"/>
      <c r="J1409" s="85"/>
      <c r="K1409" s="382"/>
      <c r="L1409" s="85"/>
      <c r="M1409" s="332" t="str">
        <f t="shared" si="403"/>
        <v/>
      </c>
      <c r="N1409" s="86"/>
      <c r="O1409" s="86" t="str">
        <f t="shared" si="405"/>
        <v/>
      </c>
      <c r="P1409" s="538" t="str">
        <f t="shared" si="406"/>
        <v/>
      </c>
      <c r="Q1409" s="539" t="str">
        <f t="shared" si="404"/>
        <v/>
      </c>
      <c r="R1409" s="706"/>
      <c r="S1409" s="707"/>
      <c r="T1409" s="708"/>
      <c r="U1409" s="472"/>
      <c r="V1409" s="167"/>
      <c r="W1409" s="446"/>
      <c r="X1409" s="456"/>
      <c r="Y1409" s="436"/>
      <c r="Z1409" s="437"/>
      <c r="AA1409" s="560"/>
      <c r="AB1409" s="561"/>
      <c r="AC1409" s="87"/>
      <c r="AD1409" s="466"/>
      <c r="AE1409" s="456"/>
      <c r="AF1409" s="467"/>
      <c r="AG1409" s="87"/>
      <c r="AH1409" s="87"/>
      <c r="AI1409" s="87"/>
    </row>
    <row r="1410" spans="1:35" hidden="1">
      <c r="A1410" s="80" t="e">
        <f>"H"&amp;E1399</f>
        <v>#N/A</v>
      </c>
      <c r="B1410" s="105">
        <v>8</v>
      </c>
      <c r="C1410" s="107"/>
      <c r="D1410" s="107"/>
      <c r="E1410" s="107"/>
      <c r="F1410" s="107"/>
      <c r="G1410" s="83"/>
      <c r="H1410" s="83"/>
      <c r="I1410" s="84"/>
      <c r="J1410" s="85"/>
      <c r="K1410" s="382"/>
      <c r="L1410" s="85"/>
      <c r="M1410" s="332" t="str">
        <f t="shared" si="403"/>
        <v/>
      </c>
      <c r="N1410" s="453"/>
      <c r="O1410" s="86" t="str">
        <f t="shared" si="405"/>
        <v/>
      </c>
      <c r="P1410" s="538" t="str">
        <f t="shared" si="406"/>
        <v/>
      </c>
      <c r="Q1410" s="539" t="str">
        <f t="shared" si="404"/>
        <v/>
      </c>
      <c r="R1410" s="706"/>
      <c r="S1410" s="707"/>
      <c r="T1410" s="708"/>
      <c r="U1410" s="472"/>
      <c r="V1410" s="167"/>
      <c r="W1410" s="446"/>
      <c r="X1410" s="456"/>
      <c r="Y1410" s="436"/>
      <c r="Z1410" s="437"/>
      <c r="AA1410" s="560"/>
      <c r="AB1410" s="561"/>
      <c r="AC1410" s="87"/>
      <c r="AD1410" s="466"/>
      <c r="AE1410" s="456"/>
      <c r="AF1410" s="467"/>
      <c r="AG1410" s="87"/>
      <c r="AH1410" s="87"/>
      <c r="AI1410" s="87"/>
    </row>
    <row r="1411" spans="1:35" hidden="1">
      <c r="A1411" s="80" t="e">
        <f>"I"&amp;E1399</f>
        <v>#N/A</v>
      </c>
      <c r="B1411" s="105">
        <v>9</v>
      </c>
      <c r="C1411" s="107"/>
      <c r="D1411" s="107"/>
      <c r="E1411" s="107"/>
      <c r="F1411" s="107"/>
      <c r="G1411" s="83"/>
      <c r="H1411" s="83"/>
      <c r="I1411" s="84"/>
      <c r="J1411" s="85"/>
      <c r="K1411" s="382"/>
      <c r="L1411" s="85"/>
      <c r="M1411" s="332" t="str">
        <f t="shared" si="403"/>
        <v/>
      </c>
      <c r="N1411" s="453"/>
      <c r="O1411" s="86" t="str">
        <f t="shared" si="405"/>
        <v/>
      </c>
      <c r="P1411" s="538" t="str">
        <f t="shared" si="406"/>
        <v/>
      </c>
      <c r="Q1411" s="539" t="str">
        <f t="shared" si="404"/>
        <v/>
      </c>
      <c r="R1411" s="706"/>
      <c r="S1411" s="707"/>
      <c r="T1411" s="708"/>
      <c r="U1411" s="472"/>
      <c r="V1411" s="167"/>
      <c r="W1411" s="446"/>
      <c r="X1411" s="456"/>
      <c r="Y1411" s="436"/>
      <c r="Z1411" s="437"/>
      <c r="AA1411" s="560"/>
      <c r="AB1411" s="561"/>
      <c r="AC1411" s="87"/>
      <c r="AD1411" s="466"/>
      <c r="AE1411" s="456"/>
      <c r="AF1411" s="467"/>
      <c r="AG1411" s="87"/>
      <c r="AH1411" s="87"/>
      <c r="AI1411" s="87"/>
    </row>
    <row r="1412" spans="1:35" hidden="1">
      <c r="A1412" s="80" t="e">
        <f>"J"&amp;E1399</f>
        <v>#N/A</v>
      </c>
      <c r="B1412" s="105">
        <v>10</v>
      </c>
      <c r="C1412" s="107"/>
      <c r="D1412" s="107"/>
      <c r="E1412" s="107"/>
      <c r="F1412" s="107"/>
      <c r="G1412" s="83"/>
      <c r="H1412" s="83"/>
      <c r="I1412" s="84"/>
      <c r="J1412" s="85"/>
      <c r="K1412" s="382"/>
      <c r="L1412" s="85"/>
      <c r="M1412" s="332" t="str">
        <f t="shared" si="403"/>
        <v/>
      </c>
      <c r="N1412" s="453"/>
      <c r="O1412" s="86" t="str">
        <f t="shared" si="405"/>
        <v/>
      </c>
      <c r="P1412" s="538" t="str">
        <f t="shared" si="406"/>
        <v/>
      </c>
      <c r="Q1412" s="539" t="str">
        <f t="shared" si="404"/>
        <v/>
      </c>
      <c r="R1412" s="706"/>
      <c r="S1412" s="707"/>
      <c r="T1412" s="708"/>
      <c r="U1412" s="472"/>
      <c r="V1412" s="167"/>
      <c r="W1412" s="446"/>
      <c r="X1412" s="456"/>
      <c r="Y1412" s="436"/>
      <c r="Z1412" s="437"/>
      <c r="AA1412" s="560"/>
      <c r="AB1412" s="561"/>
      <c r="AC1412" s="87"/>
      <c r="AD1412" s="466"/>
      <c r="AE1412" s="456"/>
      <c r="AF1412" s="467"/>
      <c r="AG1412" s="87"/>
      <c r="AH1412" s="87"/>
      <c r="AI1412" s="87"/>
    </row>
    <row r="1413" spans="1:35" ht="16.5" hidden="1" thickBot="1">
      <c r="A1413" s="44"/>
      <c r="B1413" s="89"/>
      <c r="C1413" s="90"/>
      <c r="D1413" s="90"/>
      <c r="E1413" s="90"/>
      <c r="F1413" s="90"/>
      <c r="G1413" s="90"/>
      <c r="H1413" s="90"/>
      <c r="I1413" s="90"/>
      <c r="J1413" s="90"/>
      <c r="K1413" s="90"/>
      <c r="L1413" s="90"/>
      <c r="M1413" s="90"/>
      <c r="N1413" s="90"/>
      <c r="O1413" s="90"/>
      <c r="P1413" s="90"/>
      <c r="Q1413" s="90"/>
      <c r="R1413" s="90"/>
      <c r="S1413" s="91"/>
      <c r="T1413" s="92"/>
      <c r="U1413" s="473"/>
      <c r="W1413" s="438"/>
      <c r="X1413" s="455"/>
      <c r="Y1413" s="439"/>
      <c r="Z1413" s="437"/>
      <c r="AA1413" s="530"/>
      <c r="AB1413" s="563"/>
      <c r="AC1413" s="87"/>
      <c r="AD1413" s="440"/>
      <c r="AE1413" s="441"/>
      <c r="AF1413" s="442"/>
      <c r="AG1413" s="49"/>
      <c r="AH1413" s="87"/>
      <c r="AI1413" s="87"/>
    </row>
    <row r="1414" spans="1:35" ht="16.5" hidden="1" thickBot="1">
      <c r="A1414" s="93"/>
      <c r="B1414" s="94"/>
      <c r="C1414" s="96"/>
      <c r="D1414" s="96"/>
      <c r="E1414" s="96"/>
      <c r="F1414" s="96"/>
      <c r="G1414" s="96"/>
      <c r="H1414" s="96"/>
      <c r="I1414" s="96"/>
      <c r="J1414" s="96"/>
      <c r="K1414" s="96"/>
      <c r="L1414" s="96"/>
      <c r="M1414" s="136"/>
      <c r="N1414" s="96"/>
      <c r="O1414" s="96"/>
      <c r="P1414" s="97"/>
      <c r="Q1414" s="97"/>
      <c r="R1414" s="98"/>
      <c r="S1414" s="95"/>
      <c r="T1414" s="99"/>
      <c r="U1414" s="469"/>
      <c r="AC1414" s="58"/>
      <c r="AG1414" s="58"/>
      <c r="AH1414" s="87"/>
      <c r="AI1414" s="87"/>
    </row>
    <row r="1415" spans="1:35" ht="16.5" hidden="1" thickBot="1">
      <c r="B1415" s="101"/>
      <c r="C1415" s="101"/>
      <c r="D1415" s="101"/>
      <c r="E1415" s="101"/>
      <c r="F1415" s="101"/>
      <c r="G1415" s="101"/>
      <c r="H1415" s="101"/>
      <c r="I1415" s="101"/>
      <c r="J1415" s="101"/>
      <c r="K1415" s="101"/>
      <c r="L1415" s="101"/>
      <c r="M1415" s="101"/>
      <c r="N1415" s="101"/>
      <c r="O1415" s="101"/>
      <c r="P1415" s="101"/>
      <c r="Q1415" s="101"/>
      <c r="R1415" s="101"/>
      <c r="S1415" s="101"/>
      <c r="U1415" s="50"/>
      <c r="AH1415" s="87"/>
      <c r="AI1415" s="87"/>
    </row>
    <row r="1416" spans="1:35" ht="16.5" hidden="1" customHeight="1" thickBot="1">
      <c r="A1416" s="44"/>
      <c r="B1416" s="705" t="s">
        <v>74</v>
      </c>
      <c r="C1416" s="705"/>
      <c r="D1416" s="705"/>
      <c r="E1416" s="705"/>
      <c r="F1416" s="705"/>
      <c r="G1416" s="705"/>
      <c r="H1416" s="705"/>
      <c r="I1416" s="705"/>
      <c r="J1416" s="705"/>
      <c r="K1416" s="705"/>
      <c r="L1416" s="705"/>
      <c r="M1416" s="705"/>
      <c r="N1416" s="705"/>
      <c r="O1416" s="705"/>
      <c r="P1416" s="705"/>
      <c r="Q1416" s="705"/>
      <c r="R1416" s="705"/>
      <c r="S1416" s="705"/>
      <c r="T1416" s="705"/>
      <c r="U1416" s="108"/>
      <c r="Y1416" s="532" t="s">
        <v>341</v>
      </c>
      <c r="AC1416" s="49"/>
      <c r="AD1416" s="687" t="s">
        <v>302</v>
      </c>
      <c r="AE1416" s="688"/>
      <c r="AF1416" s="689"/>
      <c r="AG1416" s="49"/>
      <c r="AH1416" s="87"/>
      <c r="AI1416" s="87"/>
    </row>
    <row r="1417" spans="1:35" ht="15.75" hidden="1" customHeight="1" thickBot="1">
      <c r="A1417" s="218" t="e">
        <f>"K"&amp;E1399</f>
        <v>#N/A</v>
      </c>
      <c r="B1417" s="701" t="s">
        <v>71</v>
      </c>
      <c r="C1417" s="751" t="s">
        <v>102</v>
      </c>
      <c r="D1417" s="751"/>
      <c r="E1417" s="751"/>
      <c r="F1417" s="751"/>
      <c r="G1417" s="751"/>
      <c r="H1417" s="751"/>
      <c r="I1417" s="751"/>
      <c r="J1417" s="751"/>
      <c r="K1417" s="751"/>
      <c r="L1417" s="722" t="s">
        <v>100</v>
      </c>
      <c r="M1417" s="747" t="s">
        <v>114</v>
      </c>
      <c r="N1417" s="747"/>
      <c r="O1417" s="747"/>
      <c r="P1417" s="747"/>
      <c r="Q1417" s="748"/>
      <c r="R1417" s="758" t="s">
        <v>280</v>
      </c>
      <c r="S1417" s="748"/>
      <c r="T1417" s="762" t="str">
        <f>IF(COUNTIF(AE1417:AF1417,"VERIFICAR")&gt;0,"VERIFICAR",IF(COUNTIF(AE1417:AF1417,"NO CUMPLE")&gt;0,"NO CUMPLE","CUMPLE"))</f>
        <v>VERIFICAR</v>
      </c>
      <c r="U1417" s="108"/>
      <c r="Y1417" s="533" t="e">
        <f>IF(F1418="","",IF(F1418=1,"INDIVIDUAL","ESTRUCTURA PLURAL"))</f>
        <v>#N/A</v>
      </c>
      <c r="AC1417" s="52"/>
      <c r="AD1417" s="475" t="s">
        <v>303</v>
      </c>
      <c r="AE1417" s="476" t="str">
        <f>IF(COUNTIF(AE1403:AE1412,"")=10,"VERIFICAR",IF(COUNTIF(AE1403:AE1412,"SI")&gt;0,"CUMPLE","NO CUMPLE"))</f>
        <v>VERIFICAR</v>
      </c>
      <c r="AF1417" s="477" t="str">
        <f>IF(COUNTIF(AF1403:AF1412,"")=10,"VERIFICAR",IF(COUNTIF(AF1403:AF1412,"SI")&gt;=$AI$22,"CUMPLE","NO CUMPLE"))</f>
        <v>VERIFICAR</v>
      </c>
      <c r="AG1417" s="52"/>
      <c r="AH1417" s="87"/>
      <c r="AI1417" s="87"/>
    </row>
    <row r="1418" spans="1:35" ht="16.5" hidden="1" customHeight="1" thickBot="1">
      <c r="A1418" s="218" t="e">
        <f>"L"&amp;E1399</f>
        <v>#N/A</v>
      </c>
      <c r="B1418" s="702"/>
      <c r="C1418" s="751" t="s">
        <v>103</v>
      </c>
      <c r="D1418" s="751"/>
      <c r="E1418" s="752"/>
      <c r="F1418" s="557" t="e">
        <f>IF(VLOOKUP(E1399,PROPONENTES!$C$19:$E$218,3,0)="","",VLOOKUP(E1399,PROPONENTES!$C$19:$E$218,3,0))</f>
        <v>#N/A</v>
      </c>
      <c r="G1418" s="753" t="s">
        <v>104</v>
      </c>
      <c r="H1418" s="751"/>
      <c r="I1418" s="715" t="e">
        <f>IF(OR(F1418="",F1418=1),"INTERESADO PERSONA NATURAL O JURIDICA","CONSORCIO O UNION TEMPORAL")</f>
        <v>#N/A</v>
      </c>
      <c r="J1418" s="725"/>
      <c r="K1418" s="728"/>
      <c r="L1418" s="723"/>
      <c r="M1418" s="749"/>
      <c r="N1418" s="749"/>
      <c r="O1418" s="749"/>
      <c r="P1418" s="749"/>
      <c r="Q1418" s="750"/>
      <c r="R1418" s="712"/>
      <c r="S1418" s="750"/>
      <c r="T1418" s="763"/>
      <c r="U1418" s="108"/>
      <c r="Y1418" s="534"/>
      <c r="AA1418" s="52"/>
      <c r="AB1418" s="52"/>
      <c r="AC1418" s="52"/>
      <c r="AG1418" s="52"/>
      <c r="AH1418" s="87"/>
      <c r="AI1418" s="87"/>
    </row>
    <row r="1419" spans="1:35" ht="56.25" hidden="1" customHeight="1" thickBot="1">
      <c r="A1419" s="218" t="e">
        <f>"M"&amp;E1399</f>
        <v>#N/A</v>
      </c>
      <c r="B1419" s="702"/>
      <c r="C1419" s="725" t="s">
        <v>101</v>
      </c>
      <c r="D1419" s="716"/>
      <c r="E1419" s="558" t="s">
        <v>105</v>
      </c>
      <c r="F1419" s="554" t="s">
        <v>87</v>
      </c>
      <c r="G1419" s="553" t="s">
        <v>86</v>
      </c>
      <c r="H1419" s="559" t="s">
        <v>85</v>
      </c>
      <c r="I1419" s="554" t="s">
        <v>252</v>
      </c>
      <c r="J1419" s="553" t="str">
        <f>"¿EL INTEGRANTE TIENE UNA PARTICIPACIÓN DEL "&amp;PORCREQUERIDOINT*100&amp;"%?"</f>
        <v>¿EL INTEGRANTE TIENE UNA PARTICIPACIÓN DEL 60%?</v>
      </c>
      <c r="K1419" s="554" t="s">
        <v>107</v>
      </c>
      <c r="L1419" s="724"/>
      <c r="M1419" s="717" t="s">
        <v>115</v>
      </c>
      <c r="N1419" s="718"/>
      <c r="O1419" s="718"/>
      <c r="P1419" s="718"/>
      <c r="Q1419" s="223">
        <f>IF(AND(H1403="SI",P1403&gt;=0),1,0)+IF(AND(H1404="SI",P1404&gt;=0),1,0)+IF(AND(H1405="SI",P1405&gt;=0),1,0)+IF(AND(H1406="SI",P1406&gt;=0),1,0)+IF(AND(H1407="SI",P1407&gt;=0),1,0)+IF(AND(H1408="SI",P1408&gt;=0),1,0)+IF(AND(H1409="SI",P1409&gt;=0),1,0)+IF(AND(H1410="SI",P1410&gt;=0),1,0)+IF(AND(H1411="SI",P1411&gt;=0),1,0)+IF(AND(H1412="SI",P1412&gt;=0),1,0)</f>
        <v>0</v>
      </c>
      <c r="R1419" s="759"/>
      <c r="S1419" s="761"/>
      <c r="T1419" s="764"/>
      <c r="U1419" s="219"/>
      <c r="V1419" s="464"/>
      <c r="Y1419" s="532" t="s">
        <v>342</v>
      </c>
      <c r="AA1419" s="550" t="s">
        <v>344</v>
      </c>
      <c r="AB1419" s="693" t="s">
        <v>345</v>
      </c>
      <c r="AC1419" s="693" t="s">
        <v>346</v>
      </c>
      <c r="AD1419" s="685" t="s">
        <v>347</v>
      </c>
      <c r="AE1419" s="52"/>
      <c r="AF1419" s="52"/>
      <c r="AG1419" s="52"/>
      <c r="AH1419" s="87"/>
      <c r="AI1419" s="87"/>
    </row>
    <row r="1420" spans="1:35" ht="15.75" hidden="1" customHeight="1" thickBot="1">
      <c r="A1420" s="218" t="e">
        <f>"N"&amp;E1399</f>
        <v>#N/A</v>
      </c>
      <c r="B1420" s="702"/>
      <c r="C1420" s="114">
        <v>1</v>
      </c>
      <c r="D1420" s="194" t="e">
        <f>IF(AND(C1420&lt;=F1418,F1418&gt;1,F1418&lt;&gt;""),VLOOKUP(VALUE(E1399&amp;","&amp;C1420),INTEGRANTES!$D$18:$F$235,2,0),"")</f>
        <v>#N/A</v>
      </c>
      <c r="E1420" s="211" t="e">
        <f>IF(D1420&lt;&gt;"",VLOOKUP(VALUE(E1399&amp;","&amp;C1420),INTEGRANTES!$D$18:$F$235,3,0),"")</f>
        <v>#N/A</v>
      </c>
      <c r="F1420" s="547" t="e">
        <f>IF(D1420="","",SUMIF($I1403:$I1412,D1420,$P1403:$P1412))</f>
        <v>#N/A</v>
      </c>
      <c r="G1420" s="333" t="e">
        <f>IF(D1420="","",SUMIF($I1403:$I1412,D1420,$M1403:$M1412))</f>
        <v>#N/A</v>
      </c>
      <c r="H1420" s="535" t="e">
        <f t="shared" ref="H1420:H1425" si="407">IF(D1420="","",IF(OR(F1420=0,G1420=0),"NO APORTA",ROUND($F1420/$G1420,3)))</f>
        <v>#N/A</v>
      </c>
      <c r="I1420" s="212" t="e">
        <f>IF(D1420="","",IF(H1420="NO APORTA","NO",IF(H1420=MAX($H1420:$H1425),"SI","NO")))</f>
        <v>#N/A</v>
      </c>
      <c r="J1420" s="213" t="e">
        <f t="shared" ref="J1420:J1425" si="408">IF(D1420="","",IF(E1420&gt;=PORCREQUERIDOINT,"SI","NO"))</f>
        <v>#N/A</v>
      </c>
      <c r="K1420" s="200" t="e">
        <f t="shared" ref="K1420:K1425" si="409">IF(D1420="","",IF(AND(I1420="SI",J1420="SI"),"CUMPLE",IF(AND(I1420="NO",OR(J1420="SI",J1420="NO")),"","NO CUMPLE")))</f>
        <v>#N/A</v>
      </c>
      <c r="L1420" s="722" t="s">
        <v>108</v>
      </c>
      <c r="M1420" s="726" t="s">
        <v>119</v>
      </c>
      <c r="N1420" s="726"/>
      <c r="O1420" s="726"/>
      <c r="P1420" s="726"/>
      <c r="Q1420" s="727"/>
      <c r="R1420" s="758" t="s">
        <v>80</v>
      </c>
      <c r="S1420" s="747"/>
      <c r="T1420" s="748"/>
      <c r="U1420" s="219"/>
      <c r="V1420" s="464"/>
      <c r="Y1420" s="533" t="e">
        <f>IF(Y1417="","",IF(Y1417="INDIVIDUAL","NO APLICA","VERIFICAR CUADRO"))</f>
        <v>#N/A</v>
      </c>
      <c r="AA1420" s="551"/>
      <c r="AB1420" s="694"/>
      <c r="AC1420" s="694"/>
      <c r="AD1420" s="686"/>
      <c r="AE1420" s="52"/>
      <c r="AF1420" s="52"/>
      <c r="AG1420" s="52"/>
      <c r="AH1420" s="87"/>
      <c r="AI1420" s="87"/>
    </row>
    <row r="1421" spans="1:35" ht="27" hidden="1" customHeight="1" thickBot="1">
      <c r="A1421" s="218" t="e">
        <f>"O"&amp;E1399</f>
        <v>#N/A</v>
      </c>
      <c r="B1421" s="702"/>
      <c r="C1421" s="114">
        <v>2</v>
      </c>
      <c r="D1421" s="194" t="e">
        <f>IF(AND(C1421&lt;=F1418,F1418&lt;&gt;""),VLOOKUP(VALUE(E1399&amp;","&amp;C1421),INTEGRANTES!$D$18:$F$235,2,0),"")</f>
        <v>#N/A</v>
      </c>
      <c r="E1421" s="211" t="e">
        <f>IF(D1421&lt;&gt;"",VLOOKUP(VALUE(E1399&amp;","&amp;C1421),INTEGRANTES!$D$18:$F$235,3,0),"")</f>
        <v>#N/A</v>
      </c>
      <c r="F1421" s="547" t="e">
        <f>IF(D1421="","",SUMIF($I1403:$I1412,D1421,$P1403:$P1412))</f>
        <v>#N/A</v>
      </c>
      <c r="G1421" s="333" t="e">
        <f>IF(D1421="","",SUMIF($I1403:$I1412,D1421,$M1403:$M1412))</f>
        <v>#N/A</v>
      </c>
      <c r="H1421" s="535" t="e">
        <f t="shared" si="407"/>
        <v>#N/A</v>
      </c>
      <c r="I1421" s="212" t="e">
        <f>IF(D1421="","",IF(H1421="NO APORTA","NO",IF(H1421=MAX($H1420:$H1425),"SI","NO")))</f>
        <v>#N/A</v>
      </c>
      <c r="J1421" s="213" t="e">
        <f t="shared" si="408"/>
        <v>#N/A</v>
      </c>
      <c r="K1421" s="200" t="e">
        <f t="shared" si="409"/>
        <v>#N/A</v>
      </c>
      <c r="L1421" s="723"/>
      <c r="M1421" s="715" t="s">
        <v>116</v>
      </c>
      <c r="N1421" s="716"/>
      <c r="O1421" s="556" t="s">
        <v>113</v>
      </c>
      <c r="P1421" s="715" t="s">
        <v>117</v>
      </c>
      <c r="Q1421" s="728"/>
      <c r="R1421" s="759"/>
      <c r="S1421" s="760"/>
      <c r="T1421" s="761"/>
      <c r="U1421" s="219"/>
      <c r="V1421" s="464"/>
      <c r="Y1421" s="414"/>
      <c r="AA1421" s="542" t="e">
        <f>IF(AND(C1420&lt;=F1418,F1418&gt;1,F1418&lt;&gt;""),VLOOKUP(VALUE(E1399&amp;","&amp;C1420),INTEGRANTES!$D$18:$F$235,2,0),"")</f>
        <v>#N/A</v>
      </c>
      <c r="AB1421" s="544" t="e">
        <f t="shared" ref="AB1421:AB1426" si="410">IF(D1420="","",IF(OR(F1420=0,G1420=0),"NO APORTA",ROUND($F1420/$G1420,3)))</f>
        <v>#N/A</v>
      </c>
      <c r="AC1421" s="529"/>
      <c r="AD1421" s="200" t="e">
        <f t="shared" ref="AD1421:AD1426" si="411">IF(OR(AA1421="",AB1421=""),"",IF(AND(AC1421="X",AB1421&gt;=EXPREQVTD),"CUMPLE","NO CUMPLE"))</f>
        <v>#N/A</v>
      </c>
      <c r="AE1421" s="52"/>
      <c r="AF1421" s="52"/>
      <c r="AG1421" s="52"/>
      <c r="AH1421" s="87"/>
      <c r="AI1421" s="87"/>
    </row>
    <row r="1422" spans="1:35" ht="16.5" hidden="1" thickBot="1">
      <c r="A1422" s="218" t="e">
        <f>"P"&amp;E1399</f>
        <v>#N/A</v>
      </c>
      <c r="B1422" s="702"/>
      <c r="C1422" s="114">
        <v>3</v>
      </c>
      <c r="D1422" s="194" t="e">
        <f>IF(AND(C1422&lt;=F1418,F1418&lt;&gt;""),VLOOKUP(VALUE(E1399&amp;","&amp;C1422),INTEGRANTES!$D$18:$F$235,2,0),"")</f>
        <v>#N/A</v>
      </c>
      <c r="E1422" s="211" t="e">
        <f>IF(D1422&lt;&gt;"",VLOOKUP(VALUE(E1399&amp;","&amp;C1422),INTEGRANTES!$D$18:$F$235,3,0),"")</f>
        <v>#N/A</v>
      </c>
      <c r="F1422" s="547" t="e">
        <f>IF(D1422="","",SUMIF($I1403:$I1412,D1422,$P1403:$P1412))</f>
        <v>#N/A</v>
      </c>
      <c r="G1422" s="333" t="e">
        <f>IF(D1422="","",SUMIF($I1403:$I1412,D1422,$M1403:$M1412))</f>
        <v>#N/A</v>
      </c>
      <c r="H1422" s="535" t="e">
        <f t="shared" si="407"/>
        <v>#N/A</v>
      </c>
      <c r="I1422" s="212" t="e">
        <f>IF(D1422="","",IF(H1422="NO APORTA","NO",IF(H1422=MAX($H1420:$H1425),"SI","NO")))</f>
        <v>#N/A</v>
      </c>
      <c r="J1422" s="213" t="e">
        <f t="shared" si="408"/>
        <v>#N/A</v>
      </c>
      <c r="K1422" s="200" t="e">
        <f t="shared" si="409"/>
        <v>#N/A</v>
      </c>
      <c r="L1422" s="724"/>
      <c r="M1422" s="729">
        <f>NUMMOD</f>
        <v>1</v>
      </c>
      <c r="N1422" s="730"/>
      <c r="O1422" s="443">
        <f>IF(M1422="","",VLOOKUP(M1422,PRESUPUESTOS!$B$16:$H$16,5,FALSE))</f>
        <v>2</v>
      </c>
      <c r="P1422" s="713">
        <f>IF(OR(COUNTIF(M1403:M1412,"")&gt;=10,Q1419&lt;NUMMINCONT,OR(T1417="NO CUMPLE",T1417="VERIFICAR")),0,ROUND(AVERAGE(M1403:M1412),3))</f>
        <v>0</v>
      </c>
      <c r="Q1422" s="714"/>
      <c r="R1422" s="458"/>
      <c r="S1422" s="459"/>
      <c r="T1422" s="460"/>
      <c r="U1422" s="219"/>
      <c r="V1422" s="464"/>
      <c r="Y1422" s="532" t="str">
        <f>"40% * ("&amp;PRESUPUESTOS!$H$13&amp;")"</f>
        <v>40% * (50% PFMO)</v>
      </c>
      <c r="AA1422" s="540" t="e">
        <f>IF(AND(C1421&lt;=F1418,F1418&lt;&gt;""),VLOOKUP(VALUE(E1399&amp;","&amp;C1421),INTEGRANTES!$D$18:$F$235,2,0),"")</f>
        <v>#N/A</v>
      </c>
      <c r="AB1422" s="545" t="e">
        <f t="shared" si="410"/>
        <v>#N/A</v>
      </c>
      <c r="AC1422" s="529"/>
      <c r="AD1422" s="200" t="e">
        <f t="shared" si="411"/>
        <v>#N/A</v>
      </c>
      <c r="AE1422" s="52"/>
      <c r="AF1422" s="52"/>
      <c r="AG1422" s="52"/>
      <c r="AH1422" s="87"/>
      <c r="AI1422" s="87"/>
    </row>
    <row r="1423" spans="1:35" ht="15.75" hidden="1" customHeight="1" thickBot="1">
      <c r="A1423" s="218" t="e">
        <f>"Q"&amp;E1399</f>
        <v>#N/A</v>
      </c>
      <c r="B1423" s="702"/>
      <c r="C1423" s="114">
        <v>4</v>
      </c>
      <c r="D1423" s="194" t="e">
        <f>IF(AND(C1423&lt;=F1418,F1418&lt;&gt;""),VLOOKUP(VALUE(E1399&amp;","&amp;C1423),INTEGRANTES!$D$18:$F$235,2,0),"")</f>
        <v>#N/A</v>
      </c>
      <c r="E1423" s="211" t="e">
        <f>IF(D1423&lt;&gt;"",VLOOKUP(VALUE(E1399&amp;","&amp;C1423),INTEGRANTES!$D$18:$F$235,3,0),"")</f>
        <v>#N/A</v>
      </c>
      <c r="F1423" s="547" t="e">
        <f>IF(D1423="","",SUMIF($I1403:$I1412,D1423,$P1403:$P1412))</f>
        <v>#N/A</v>
      </c>
      <c r="G1423" s="333" t="e">
        <f>IF(D1423="","",SUMIF($I1403:$I1412,D1423,$M1403:$M1412))</f>
        <v>#N/A</v>
      </c>
      <c r="H1423" s="535" t="e">
        <f t="shared" si="407"/>
        <v>#N/A</v>
      </c>
      <c r="I1423" s="212" t="e">
        <f>IF(D1423="","",IF(H1423="NO APORTA","NO",IF(H1423=MAX($H1420:$H1425),"SI","NO")))</f>
        <v>#N/A</v>
      </c>
      <c r="J1423" s="213" t="e">
        <f t="shared" si="408"/>
        <v>#N/A</v>
      </c>
      <c r="K1423" s="200" t="e">
        <f t="shared" si="409"/>
        <v>#N/A</v>
      </c>
      <c r="L1423" s="720" t="s">
        <v>109</v>
      </c>
      <c r="M1423" s="757" t="s">
        <v>120</v>
      </c>
      <c r="N1423" s="726"/>
      <c r="O1423" s="726"/>
      <c r="P1423" s="726"/>
      <c r="Q1423" s="727"/>
      <c r="R1423" s="458"/>
      <c r="S1423" s="459"/>
      <c r="T1423" s="460"/>
      <c r="U1423" s="219"/>
      <c r="V1423" s="464"/>
      <c r="Y1423" s="537">
        <f>0.4*PRESUPUESTOS!$H$16</f>
        <v>10.3124</v>
      </c>
      <c r="AA1423" s="540" t="e">
        <f>IF(AND(C1422&lt;=F1418,F1418&lt;&gt;""),VLOOKUP(VALUE(E1399&amp;","&amp;C1422),INTEGRANTES!$D$18:$F$235,2,0),"")</f>
        <v>#N/A</v>
      </c>
      <c r="AB1423" s="545" t="e">
        <f t="shared" si="410"/>
        <v>#N/A</v>
      </c>
      <c r="AC1423" s="529"/>
      <c r="AD1423" s="200" t="e">
        <f t="shared" si="411"/>
        <v>#N/A</v>
      </c>
      <c r="AE1423" s="52"/>
      <c r="AF1423" s="52"/>
      <c r="AG1423" s="52"/>
      <c r="AH1423" s="87"/>
      <c r="AI1423" s="87"/>
    </row>
    <row r="1424" spans="1:35" ht="27" hidden="1" customHeight="1" thickBot="1">
      <c r="A1424" s="218" t="e">
        <f>"R"&amp;E1399</f>
        <v>#N/A</v>
      </c>
      <c r="B1424" s="702"/>
      <c r="C1424" s="114">
        <v>5</v>
      </c>
      <c r="D1424" s="194" t="e">
        <f>IF(AND(C1424&lt;=F1418,F1418&lt;&gt;""),VLOOKUP(VALUE(E1399&amp;","&amp;C1424),INTEGRANTES!$D$18:$F$235,2,0),"")</f>
        <v>#N/A</v>
      </c>
      <c r="E1424" s="211" t="e">
        <f>IF(D1424&lt;&gt;"",VLOOKUP(VALUE(E1399&amp;","&amp;C1424),INTEGRANTES!$D$18:$F$235,3,0),"")</f>
        <v>#N/A</v>
      </c>
      <c r="F1424" s="547" t="e">
        <f>IF(D1424="","",SUMIF($I1403:$I1412,D1424,$P1403:$P1412))</f>
        <v>#N/A</v>
      </c>
      <c r="G1424" s="333" t="e">
        <f>IF(D1424="","",SUMIF($I1403:$I1412,D1424,$M1403:$M1412))</f>
        <v>#N/A</v>
      </c>
      <c r="H1424" s="535" t="e">
        <f t="shared" si="407"/>
        <v>#N/A</v>
      </c>
      <c r="I1424" s="212" t="e">
        <f>IF(D1424="","",IF(H1424="NO APORTA","NO",IF(H1424=MAX($H1420:$H1425),"SI","NO")))</f>
        <v>#N/A</v>
      </c>
      <c r="J1424" s="213" t="e">
        <f t="shared" si="408"/>
        <v>#N/A</v>
      </c>
      <c r="K1424" s="200" t="e">
        <f t="shared" si="409"/>
        <v>#N/A</v>
      </c>
      <c r="L1424" s="721"/>
      <c r="M1424" s="715" t="s">
        <v>116</v>
      </c>
      <c r="N1424" s="716"/>
      <c r="O1424" s="556" t="str">
        <f>PORCREQUERIDO*100&amp;"% PMFO DEL MÓDULO"</f>
        <v>50% PMFO DEL MÓDULO</v>
      </c>
      <c r="P1424" s="715" t="s">
        <v>118</v>
      </c>
      <c r="Q1424" s="728"/>
      <c r="R1424" s="458"/>
      <c r="S1424" s="459"/>
      <c r="T1424" s="460"/>
      <c r="U1424" s="219"/>
      <c r="V1424" s="464"/>
      <c r="Y1424" s="414"/>
      <c r="AA1424" s="540" t="e">
        <f>IF(AND(C1423&lt;=F1418,F1418&lt;&gt;""),VLOOKUP(VALUE(E1399&amp;","&amp;C1423),INTEGRANTES!$D$18:$F$235,2,0),"")</f>
        <v>#N/A</v>
      </c>
      <c r="AB1424" s="545" t="e">
        <f t="shared" si="410"/>
        <v>#N/A</v>
      </c>
      <c r="AC1424" s="529"/>
      <c r="AD1424" s="200" t="e">
        <f t="shared" si="411"/>
        <v>#N/A</v>
      </c>
      <c r="AE1424" s="52"/>
      <c r="AF1424" s="52"/>
      <c r="AG1424" s="52"/>
      <c r="AH1424" s="87"/>
      <c r="AI1424" s="87"/>
    </row>
    <row r="1425" spans="1:35" ht="16.5" hidden="1" thickBot="1">
      <c r="A1425" s="218" t="e">
        <f>"S"&amp;E1399</f>
        <v>#N/A</v>
      </c>
      <c r="B1425" s="702"/>
      <c r="C1425" s="215">
        <v>6</v>
      </c>
      <c r="D1425" s="216" t="e">
        <f>IF(AND(C1425&lt;=F1418,F1418&lt;&gt;""),VLOOKUP(VALUE(E1399&amp;","&amp;C1425),INTEGRANTES!$D$18:$F$235,2,0),"")</f>
        <v>#N/A</v>
      </c>
      <c r="E1425" s="217" t="e">
        <f>IF(D1425&lt;&gt;"",VLOOKUP(VALUE(E1399&amp;","&amp;C1425),INTEGRANTES!$D$18:$F$235,3,0),"")</f>
        <v>#N/A</v>
      </c>
      <c r="F1425" s="548" t="e">
        <f>IF(D1425="","",SUMIF($I1403:$I1412,D1425,$P1403:$P1412))</f>
        <v>#N/A</v>
      </c>
      <c r="G1425" s="334" t="e">
        <f>IF(D1425="","",SUMIF($I1403:$I1412,D1425,$M1403:$M1412))</f>
        <v>#N/A</v>
      </c>
      <c r="H1425" s="536" t="e">
        <f t="shared" si="407"/>
        <v>#N/A</v>
      </c>
      <c r="I1425" s="214" t="e">
        <f>IF(D1425="","",IF(H1425="NO APORTA","NO",IF(H1425=MAX($H1420:$H1425),"SI","NO")))</f>
        <v>#N/A</v>
      </c>
      <c r="J1425" s="213" t="e">
        <f t="shared" si="408"/>
        <v>#N/A</v>
      </c>
      <c r="K1425" s="200" t="e">
        <f t="shared" si="409"/>
        <v>#N/A</v>
      </c>
      <c r="L1425" s="721"/>
      <c r="M1425" s="729">
        <f>NUMMOD</f>
        <v>1</v>
      </c>
      <c r="N1425" s="730"/>
      <c r="O1425" s="443">
        <f>IF(M1425="","",ROUND(VLOOKUP(M1425,PRESUPUESTOS!$B$16:$H$16,7,FALSE),3))</f>
        <v>25.780999999999999</v>
      </c>
      <c r="P1425" s="713">
        <f>IF(OR(COUNTIF(P1403:P1412,"")&gt;=10,Q1419&lt;NUMMINCONT,OR(T1417="NO CUMPLE",T1417="VERIFICAR")),0,ROUND((SUM(P1403:P1412)/SUM(M1403:M1412)),3))</f>
        <v>0</v>
      </c>
      <c r="Q1425" s="714"/>
      <c r="R1425" s="458"/>
      <c r="S1425" s="459"/>
      <c r="T1425" s="460"/>
      <c r="U1425" s="219"/>
      <c r="V1425" s="464"/>
      <c r="Y1425" s="532" t="s">
        <v>343</v>
      </c>
      <c r="AA1425" s="540" t="e">
        <f>IF(AND(C1424&lt;=F1418,F1418&lt;&gt;""),VLOOKUP(VALUE(E1399&amp;","&amp;C1424),INTEGRANTES!$D$18:$F$235,2,0),"")</f>
        <v>#N/A</v>
      </c>
      <c r="AB1425" s="545" t="e">
        <f t="shared" si="410"/>
        <v>#N/A</v>
      </c>
      <c r="AC1425" s="529"/>
      <c r="AD1425" s="200" t="e">
        <f t="shared" si="411"/>
        <v>#N/A</v>
      </c>
      <c r="AE1425" s="52"/>
      <c r="AF1425" s="52"/>
      <c r="AG1425" s="52"/>
      <c r="AH1425" s="87"/>
      <c r="AI1425" s="87"/>
    </row>
    <row r="1426" spans="1:35" ht="16.5" hidden="1" customHeight="1" thickBot="1">
      <c r="A1426" s="218" t="e">
        <f>"T"&amp;E1399</f>
        <v>#N/A</v>
      </c>
      <c r="B1426" s="703"/>
      <c r="C1426" s="719"/>
      <c r="D1426" s="719"/>
      <c r="E1426" s="719"/>
      <c r="F1426" s="719"/>
      <c r="G1426" s="719"/>
      <c r="H1426" s="719" t="s">
        <v>110</v>
      </c>
      <c r="I1426" s="719"/>
      <c r="J1426" s="719"/>
      <c r="K1426" s="201" t="str">
        <f>IF(COUNTIF(K1420:K1425,"")=6,"",IF(COUNTIF(K1420:K1425,"CUMPLE")&gt;0,"CUMPLE","NO CUMPLE"))</f>
        <v>NO CUMPLE</v>
      </c>
      <c r="L1426" s="754"/>
      <c r="M1426" s="755"/>
      <c r="N1426" s="755"/>
      <c r="O1426" s="755"/>
      <c r="P1426" s="755"/>
      <c r="Q1426" s="756"/>
      <c r="R1426" s="461"/>
      <c r="S1426" s="462"/>
      <c r="T1426" s="463"/>
      <c r="U1426" s="219"/>
      <c r="V1426" s="464"/>
      <c r="Y1426" s="549" t="e">
        <f>IF(Y1420="NO APLICA","NO APLICA",IF(COUNTIF(AD1421:AD1426,"CUMPLE")&gt;0,"CUMPLE","NO CUMPLE"))</f>
        <v>#N/A</v>
      </c>
      <c r="AA1426" s="541" t="e">
        <f>IF(AND(C1425&lt;=F1418,F1418&lt;&gt;""),VLOOKUP(VALUE(E1399&amp;","&amp;C1425),INTEGRANTES!$D$18:$F$235,2,0),"")</f>
        <v>#N/A</v>
      </c>
      <c r="AB1426" s="546" t="e">
        <f t="shared" si="410"/>
        <v>#N/A</v>
      </c>
      <c r="AC1426" s="543"/>
      <c r="AD1426" s="201" t="e">
        <f t="shared" si="411"/>
        <v>#N/A</v>
      </c>
      <c r="AE1426" s="52"/>
      <c r="AF1426" s="52"/>
      <c r="AG1426" s="52"/>
      <c r="AH1426" s="87"/>
      <c r="AI1426" s="87"/>
    </row>
    <row r="1427" spans="1:35" hidden="1">
      <c r="A1427" s="103"/>
      <c r="B1427" s="206"/>
      <c r="C1427" s="206"/>
      <c r="D1427" s="206"/>
      <c r="E1427" s="206"/>
      <c r="F1427" s="206"/>
      <c r="G1427" s="206"/>
      <c r="H1427" s="206"/>
      <c r="I1427" s="104"/>
      <c r="J1427" s="206"/>
      <c r="K1427" s="113"/>
      <c r="L1427" s="113"/>
      <c r="M1427" s="113"/>
      <c r="N1427" s="222"/>
      <c r="O1427" s="113"/>
      <c r="P1427" s="113"/>
      <c r="Q1427" s="113"/>
      <c r="R1427" s="206"/>
      <c r="S1427" s="104"/>
      <c r="T1427" s="206"/>
      <c r="U1427" s="474"/>
      <c r="AH1427" s="87"/>
      <c r="AI1427" s="87"/>
    </row>
    <row r="1428" spans="1:35" hidden="1">
      <c r="H1428" s="220"/>
      <c r="AH1428" s="87"/>
      <c r="AI1428" s="87"/>
    </row>
    <row r="1429" spans="1:35" ht="24" hidden="1" thickBot="1">
      <c r="A1429" s="61">
        <v>48</v>
      </c>
      <c r="B1429" s="704" t="s">
        <v>51</v>
      </c>
      <c r="C1429" s="704"/>
      <c r="D1429" s="704"/>
      <c r="E1429" s="62" t="e">
        <f>VLOOKUP(A1429,PROPONENTES!$B$19:$E$218,2,FALSE)</f>
        <v>#N/A</v>
      </c>
      <c r="F1429" s="63" t="e">
        <f>VLOOKUP(A1429,PROPONENTES!$B$19:$E$218,3,FALSE)</f>
        <v>#N/A</v>
      </c>
      <c r="G1429" s="64"/>
      <c r="H1429" s="64"/>
      <c r="I1429" s="63"/>
      <c r="J1429" s="63"/>
      <c r="K1429" s="65"/>
      <c r="L1429" s="65"/>
      <c r="M1429" s="64"/>
      <c r="N1429" s="64"/>
      <c r="O1429" s="66"/>
      <c r="P1429" s="66"/>
      <c r="Q1429" s="66"/>
      <c r="R1429" s="66"/>
      <c r="S1429" s="67"/>
      <c r="T1429" s="68"/>
      <c r="U1429" s="68"/>
      <c r="AC1429" s="68"/>
      <c r="AD1429" s="68"/>
      <c r="AE1429" s="68"/>
      <c r="AF1429" s="68"/>
      <c r="AG1429" s="68"/>
      <c r="AH1429" s="87"/>
      <c r="AI1429" s="87"/>
    </row>
    <row r="1430" spans="1:35" ht="15.75" hidden="1" customHeight="1">
      <c r="A1430" s="44"/>
      <c r="B1430" s="709" t="s">
        <v>59</v>
      </c>
      <c r="C1430" s="552" t="s">
        <v>60</v>
      </c>
      <c r="D1430" s="70" t="s">
        <v>17</v>
      </c>
      <c r="E1430" s="70"/>
      <c r="F1430" s="70" t="s">
        <v>61</v>
      </c>
      <c r="G1430" s="71"/>
      <c r="H1430" s="699" t="s">
        <v>62</v>
      </c>
      <c r="I1430" s="699" t="s">
        <v>18</v>
      </c>
      <c r="J1430" s="699" t="s">
        <v>63</v>
      </c>
      <c r="K1430" s="699" t="s">
        <v>64</v>
      </c>
      <c r="L1430" s="699" t="s">
        <v>65</v>
      </c>
      <c r="M1430" s="743" t="s">
        <v>66</v>
      </c>
      <c r="N1430" s="699" t="s">
        <v>282</v>
      </c>
      <c r="O1430" s="745" t="s">
        <v>67</v>
      </c>
      <c r="P1430" s="746"/>
      <c r="Q1430" s="102" t="s">
        <v>75</v>
      </c>
      <c r="R1430" s="731" t="s">
        <v>22</v>
      </c>
      <c r="S1430" s="732"/>
      <c r="T1430" s="733"/>
      <c r="U1430" s="712" t="s">
        <v>298</v>
      </c>
      <c r="W1430" s="690" t="s">
        <v>268</v>
      </c>
      <c r="X1430" s="691"/>
      <c r="Y1430" s="692"/>
      <c r="Z1430" s="428"/>
      <c r="AA1430" s="697" t="s">
        <v>315</v>
      </c>
      <c r="AB1430" s="695" t="s">
        <v>322</v>
      </c>
      <c r="AC1430" s="49"/>
      <c r="AD1430" s="690" t="s">
        <v>297</v>
      </c>
      <c r="AE1430" s="691"/>
      <c r="AF1430" s="692"/>
      <c r="AG1430" s="49"/>
      <c r="AH1430" s="87"/>
      <c r="AI1430" s="87"/>
    </row>
    <row r="1431" spans="1:35" ht="72" hidden="1">
      <c r="A1431" s="44"/>
      <c r="B1431" s="710"/>
      <c r="C1431" s="553" t="s">
        <v>68</v>
      </c>
      <c r="D1431" s="73" t="s">
        <v>3</v>
      </c>
      <c r="E1431" s="73" t="s">
        <v>19</v>
      </c>
      <c r="F1431" s="73" t="s">
        <v>69</v>
      </c>
      <c r="G1431" s="74" t="s">
        <v>70</v>
      </c>
      <c r="H1431" s="700"/>
      <c r="I1431" s="700"/>
      <c r="J1431" s="700"/>
      <c r="K1431" s="700"/>
      <c r="L1431" s="700"/>
      <c r="M1431" s="744"/>
      <c r="N1431" s="700"/>
      <c r="O1431" s="553" t="s">
        <v>279</v>
      </c>
      <c r="P1431" s="73" t="s">
        <v>88</v>
      </c>
      <c r="Q1431" s="555" t="s">
        <v>76</v>
      </c>
      <c r="R1431" s="734"/>
      <c r="S1431" s="735"/>
      <c r="T1431" s="736"/>
      <c r="U1431" s="712"/>
      <c r="W1431" s="429" t="s">
        <v>269</v>
      </c>
      <c r="X1431" s="457" t="s">
        <v>278</v>
      </c>
      <c r="Y1431" s="430" t="s">
        <v>324</v>
      </c>
      <c r="Z1431" s="428"/>
      <c r="AA1431" s="698"/>
      <c r="AB1431" s="696"/>
      <c r="AC1431" s="49"/>
      <c r="AD1431" s="429" t="s">
        <v>292</v>
      </c>
      <c r="AE1431" s="431" t="s">
        <v>300</v>
      </c>
      <c r="AF1431" s="468" t="s">
        <v>301</v>
      </c>
      <c r="AG1431" s="49"/>
      <c r="AH1431" s="87"/>
      <c r="AI1431" s="87"/>
    </row>
    <row r="1432" spans="1:35" hidden="1">
      <c r="A1432" s="44"/>
      <c r="B1432" s="76"/>
      <c r="C1432" s="77"/>
      <c r="D1432" s="77"/>
      <c r="E1432" s="77"/>
      <c r="F1432" s="77"/>
      <c r="G1432" s="77"/>
      <c r="H1432" s="77"/>
      <c r="I1432" s="77"/>
      <c r="J1432" s="77"/>
      <c r="K1432" s="77"/>
      <c r="L1432" s="77"/>
      <c r="M1432" s="77"/>
      <c r="N1432" s="77"/>
      <c r="O1432" s="77"/>
      <c r="P1432" s="77"/>
      <c r="Q1432" s="77"/>
      <c r="R1432" s="77"/>
      <c r="S1432" s="78"/>
      <c r="T1432" s="79"/>
      <c r="U1432" s="109"/>
      <c r="V1432" s="49"/>
      <c r="W1432" s="432"/>
      <c r="X1432" s="454"/>
      <c r="Y1432" s="433"/>
      <c r="Z1432" s="6"/>
      <c r="AA1432" s="500"/>
      <c r="AB1432" s="562"/>
      <c r="AC1432" s="49"/>
      <c r="AD1432" s="210"/>
      <c r="AE1432" s="434"/>
      <c r="AF1432" s="435"/>
      <c r="AG1432" s="49"/>
      <c r="AH1432" s="87"/>
      <c r="AI1432" s="87"/>
    </row>
    <row r="1433" spans="1:35" hidden="1">
      <c r="A1433" s="80" t="e">
        <f>"A"&amp;E1429</f>
        <v>#N/A</v>
      </c>
      <c r="B1433" s="81">
        <v>1</v>
      </c>
      <c r="C1433" s="82"/>
      <c r="D1433" s="82"/>
      <c r="E1433" s="82"/>
      <c r="F1433" s="82"/>
      <c r="G1433" s="83"/>
      <c r="H1433" s="83"/>
      <c r="I1433" s="84"/>
      <c r="J1433" s="85"/>
      <c r="K1433" s="382"/>
      <c r="L1433" s="85"/>
      <c r="M1433" s="332" t="str">
        <f t="shared" ref="M1433:M1442" si="412">IF(OR(J1433="",L1433="",H1433="NO"),"",IF(OR(J1433&gt;$P$17,J1433&lt;$O$17,L1433&gt;$P$17,AND(J1433&lt;$O$17,L1433&lt;$O$17)),"FUERA DE RANGO",IF(OR(K1433="---",K1433=""),IF(J1433&gt;=$O$17,ROUND((L1433-J1433+1)/360*12,3),ROUND((L1433-$O$17+1)/360*12,3)),IF(J1433&gt;=$O$17,ROUND((L1433-J1433+1)/360*12-ROUND(K1433,3),3),ROUND((L1433-$O$17+1)/360*12-ROUND(K1433,3),3)))))</f>
        <v/>
      </c>
      <c r="N1433" s="86"/>
      <c r="O1433" s="453" t="str">
        <f>IF(OR(G1433="",N1433=""),"",N1433*G1433)</f>
        <v/>
      </c>
      <c r="P1433" s="538" t="str">
        <f>IF(OR(H1433="",M1433="FUERA DE RANGO"),"",IF(OR(L1433&lt;$O$17,L1433&gt;$P$17,L1433="",H1433="NO"),"",IF(OR(N1433="",O1433=""),"",ROUND(O1433,3))))</f>
        <v/>
      </c>
      <c r="Q1433" s="539" t="str">
        <f t="shared" ref="Q1433:Q1442" si="413">IF(AND(H1433="SI",P1433&lt;&gt;""),ROUND(P1433/M1433,3),"")</f>
        <v/>
      </c>
      <c r="R1433" s="737"/>
      <c r="S1433" s="738"/>
      <c r="T1433" s="739"/>
      <c r="U1433" s="470"/>
      <c r="V1433" s="165"/>
      <c r="W1433" s="446"/>
      <c r="X1433" s="456"/>
      <c r="Y1433" s="436"/>
      <c r="Z1433" s="437"/>
      <c r="AA1433" s="560"/>
      <c r="AB1433" s="561"/>
      <c r="AC1433" s="87"/>
      <c r="AD1433" s="466"/>
      <c r="AE1433" s="456"/>
      <c r="AF1433" s="467"/>
      <c r="AG1433" s="87"/>
      <c r="AH1433" s="87"/>
      <c r="AI1433" s="87"/>
    </row>
    <row r="1434" spans="1:35" hidden="1">
      <c r="A1434" s="80" t="e">
        <f>"B"&amp;E1429</f>
        <v>#N/A</v>
      </c>
      <c r="B1434" s="81">
        <v>2</v>
      </c>
      <c r="C1434" s="106"/>
      <c r="D1434" s="106"/>
      <c r="E1434" s="106"/>
      <c r="F1434" s="106"/>
      <c r="G1434" s="83"/>
      <c r="H1434" s="83"/>
      <c r="I1434" s="84"/>
      <c r="J1434" s="85"/>
      <c r="K1434" s="382"/>
      <c r="L1434" s="85"/>
      <c r="M1434" s="332" t="str">
        <f t="shared" si="412"/>
        <v/>
      </c>
      <c r="N1434" s="86"/>
      <c r="O1434" s="453" t="str">
        <f t="shared" ref="O1434:O1442" si="414">IF(OR(G1434="",N1434=""),"",N1434*G1434)</f>
        <v/>
      </c>
      <c r="P1434" s="538" t="str">
        <f t="shared" ref="P1434:P1442" si="415">IF(OR(H1434="",M1434="FUERA DE RANGO"),"",IF(OR(L1434&lt;$O$17,L1434&gt;$P$17,L1434="",H1434="NO"),"",IF(OR(N1434="",O1434=""),"",ROUND(O1434,3))))</f>
        <v/>
      </c>
      <c r="Q1434" s="539" t="str">
        <f t="shared" si="413"/>
        <v/>
      </c>
      <c r="R1434" s="740"/>
      <c r="S1434" s="741"/>
      <c r="T1434" s="742"/>
      <c r="U1434" s="471"/>
      <c r="V1434" s="165"/>
      <c r="W1434" s="446"/>
      <c r="X1434" s="456"/>
      <c r="Y1434" s="436"/>
      <c r="Z1434" s="437"/>
      <c r="AA1434" s="560"/>
      <c r="AB1434" s="561"/>
      <c r="AC1434" s="87"/>
      <c r="AD1434" s="466"/>
      <c r="AE1434" s="456"/>
      <c r="AF1434" s="467"/>
      <c r="AG1434" s="87"/>
      <c r="AH1434" s="87"/>
      <c r="AI1434" s="87"/>
    </row>
    <row r="1435" spans="1:35" hidden="1">
      <c r="A1435" s="80" t="e">
        <f>"C"&amp;E1429</f>
        <v>#N/A</v>
      </c>
      <c r="B1435" s="88">
        <v>3</v>
      </c>
      <c r="C1435" s="82"/>
      <c r="D1435" s="82"/>
      <c r="E1435" s="82"/>
      <c r="F1435" s="82"/>
      <c r="G1435" s="83"/>
      <c r="H1435" s="83"/>
      <c r="I1435" s="84"/>
      <c r="J1435" s="85"/>
      <c r="K1435" s="382"/>
      <c r="L1435" s="85"/>
      <c r="M1435" s="332" t="str">
        <f t="shared" si="412"/>
        <v/>
      </c>
      <c r="N1435" s="86"/>
      <c r="O1435" s="453" t="str">
        <f t="shared" si="414"/>
        <v/>
      </c>
      <c r="P1435" s="538" t="str">
        <f t="shared" si="415"/>
        <v/>
      </c>
      <c r="Q1435" s="539" t="str">
        <f t="shared" si="413"/>
        <v/>
      </c>
      <c r="R1435" s="706"/>
      <c r="S1435" s="707"/>
      <c r="T1435" s="708"/>
      <c r="U1435" s="472"/>
      <c r="V1435" s="166"/>
      <c r="W1435" s="446"/>
      <c r="X1435" s="456"/>
      <c r="Y1435" s="436"/>
      <c r="Z1435" s="437"/>
      <c r="AA1435" s="560"/>
      <c r="AB1435" s="561"/>
      <c r="AC1435" s="87"/>
      <c r="AD1435" s="466"/>
      <c r="AE1435" s="456"/>
      <c r="AF1435" s="467"/>
      <c r="AG1435" s="87"/>
      <c r="AH1435" s="87"/>
      <c r="AI1435" s="87"/>
    </row>
    <row r="1436" spans="1:35" hidden="1">
      <c r="A1436" s="80" t="e">
        <f>"D"&amp;E1429</f>
        <v>#N/A</v>
      </c>
      <c r="B1436" s="105">
        <v>4</v>
      </c>
      <c r="C1436" s="107"/>
      <c r="D1436" s="107"/>
      <c r="E1436" s="107"/>
      <c r="F1436" s="107"/>
      <c r="G1436" s="83"/>
      <c r="H1436" s="83"/>
      <c r="I1436" s="84"/>
      <c r="J1436" s="85"/>
      <c r="K1436" s="382"/>
      <c r="L1436" s="85"/>
      <c r="M1436" s="332" t="str">
        <f t="shared" si="412"/>
        <v/>
      </c>
      <c r="N1436" s="86"/>
      <c r="O1436" s="453" t="str">
        <f t="shared" si="414"/>
        <v/>
      </c>
      <c r="P1436" s="538" t="str">
        <f t="shared" si="415"/>
        <v/>
      </c>
      <c r="Q1436" s="539" t="str">
        <f t="shared" si="413"/>
        <v/>
      </c>
      <c r="R1436" s="706"/>
      <c r="S1436" s="707"/>
      <c r="T1436" s="708"/>
      <c r="U1436" s="472"/>
      <c r="V1436" s="166"/>
      <c r="W1436" s="446"/>
      <c r="X1436" s="456"/>
      <c r="Y1436" s="436"/>
      <c r="Z1436" s="437"/>
      <c r="AA1436" s="560"/>
      <c r="AB1436" s="561"/>
      <c r="AC1436" s="87"/>
      <c r="AD1436" s="466"/>
      <c r="AE1436" s="456"/>
      <c r="AF1436" s="467"/>
      <c r="AG1436" s="87"/>
      <c r="AH1436" s="87"/>
      <c r="AI1436" s="87"/>
    </row>
    <row r="1437" spans="1:35" hidden="1">
      <c r="A1437" s="80" t="e">
        <f>"E"&amp;E1429</f>
        <v>#N/A</v>
      </c>
      <c r="B1437" s="105">
        <v>5</v>
      </c>
      <c r="C1437" s="107"/>
      <c r="D1437" s="107"/>
      <c r="E1437" s="107"/>
      <c r="F1437" s="107"/>
      <c r="G1437" s="83"/>
      <c r="H1437" s="83"/>
      <c r="I1437" s="84"/>
      <c r="J1437" s="85"/>
      <c r="K1437" s="382"/>
      <c r="L1437" s="85"/>
      <c r="M1437" s="332" t="str">
        <f t="shared" si="412"/>
        <v/>
      </c>
      <c r="N1437" s="86"/>
      <c r="O1437" s="453" t="str">
        <f t="shared" si="414"/>
        <v/>
      </c>
      <c r="P1437" s="538" t="str">
        <f t="shared" si="415"/>
        <v/>
      </c>
      <c r="Q1437" s="539" t="str">
        <f t="shared" si="413"/>
        <v/>
      </c>
      <c r="R1437" s="706"/>
      <c r="S1437" s="707"/>
      <c r="T1437" s="708"/>
      <c r="U1437" s="472"/>
      <c r="V1437" s="167"/>
      <c r="W1437" s="446"/>
      <c r="X1437" s="456"/>
      <c r="Y1437" s="436"/>
      <c r="Z1437" s="437"/>
      <c r="AA1437" s="560"/>
      <c r="AB1437" s="561"/>
      <c r="AC1437" s="87"/>
      <c r="AD1437" s="466"/>
      <c r="AE1437" s="456"/>
      <c r="AF1437" s="467"/>
      <c r="AG1437" s="87"/>
      <c r="AH1437" s="87"/>
      <c r="AI1437" s="87"/>
    </row>
    <row r="1438" spans="1:35" hidden="1">
      <c r="A1438" s="80" t="e">
        <f>"F"&amp;E1429</f>
        <v>#N/A</v>
      </c>
      <c r="B1438" s="105">
        <v>6</v>
      </c>
      <c r="C1438" s="107"/>
      <c r="D1438" s="107"/>
      <c r="E1438" s="107"/>
      <c r="F1438" s="107"/>
      <c r="G1438" s="83"/>
      <c r="H1438" s="83"/>
      <c r="I1438" s="84"/>
      <c r="J1438" s="85"/>
      <c r="K1438" s="382"/>
      <c r="L1438" s="85"/>
      <c r="M1438" s="332" t="str">
        <f t="shared" si="412"/>
        <v/>
      </c>
      <c r="N1438" s="86"/>
      <c r="O1438" s="453" t="str">
        <f t="shared" si="414"/>
        <v/>
      </c>
      <c r="P1438" s="538" t="str">
        <f t="shared" si="415"/>
        <v/>
      </c>
      <c r="Q1438" s="539" t="str">
        <f t="shared" si="413"/>
        <v/>
      </c>
      <c r="R1438" s="706"/>
      <c r="S1438" s="707"/>
      <c r="T1438" s="708"/>
      <c r="U1438" s="472"/>
      <c r="V1438" s="167"/>
      <c r="W1438" s="446"/>
      <c r="X1438" s="456"/>
      <c r="Y1438" s="436"/>
      <c r="Z1438" s="437"/>
      <c r="AA1438" s="560"/>
      <c r="AB1438" s="561"/>
      <c r="AC1438" s="87"/>
      <c r="AD1438" s="466"/>
      <c r="AE1438" s="456"/>
      <c r="AF1438" s="467"/>
      <c r="AG1438" s="87"/>
      <c r="AH1438" s="87"/>
      <c r="AI1438" s="87"/>
    </row>
    <row r="1439" spans="1:35" hidden="1">
      <c r="A1439" s="80" t="e">
        <f>"G"&amp;E1429</f>
        <v>#N/A</v>
      </c>
      <c r="B1439" s="105">
        <v>7</v>
      </c>
      <c r="C1439" s="107"/>
      <c r="D1439" s="107"/>
      <c r="E1439" s="107"/>
      <c r="F1439" s="107"/>
      <c r="G1439" s="83"/>
      <c r="H1439" s="83"/>
      <c r="I1439" s="84"/>
      <c r="J1439" s="85"/>
      <c r="K1439" s="382"/>
      <c r="L1439" s="85"/>
      <c r="M1439" s="332" t="str">
        <f t="shared" si="412"/>
        <v/>
      </c>
      <c r="N1439" s="86"/>
      <c r="O1439" s="86" t="str">
        <f t="shared" si="414"/>
        <v/>
      </c>
      <c r="P1439" s="538" t="str">
        <f t="shared" si="415"/>
        <v/>
      </c>
      <c r="Q1439" s="539" t="str">
        <f t="shared" si="413"/>
        <v/>
      </c>
      <c r="R1439" s="706"/>
      <c r="S1439" s="707"/>
      <c r="T1439" s="708"/>
      <c r="U1439" s="472"/>
      <c r="V1439" s="167"/>
      <c r="W1439" s="446"/>
      <c r="X1439" s="456"/>
      <c r="Y1439" s="436"/>
      <c r="Z1439" s="437"/>
      <c r="AA1439" s="560"/>
      <c r="AB1439" s="561"/>
      <c r="AC1439" s="87"/>
      <c r="AD1439" s="466"/>
      <c r="AE1439" s="456"/>
      <c r="AF1439" s="467"/>
      <c r="AG1439" s="87"/>
      <c r="AH1439" s="87"/>
      <c r="AI1439" s="87"/>
    </row>
    <row r="1440" spans="1:35" hidden="1">
      <c r="A1440" s="80" t="e">
        <f>"H"&amp;E1429</f>
        <v>#N/A</v>
      </c>
      <c r="B1440" s="105">
        <v>8</v>
      </c>
      <c r="C1440" s="107"/>
      <c r="D1440" s="107"/>
      <c r="E1440" s="107"/>
      <c r="F1440" s="107"/>
      <c r="G1440" s="83"/>
      <c r="H1440" s="83"/>
      <c r="I1440" s="84"/>
      <c r="J1440" s="85"/>
      <c r="K1440" s="382"/>
      <c r="L1440" s="85"/>
      <c r="M1440" s="332" t="str">
        <f t="shared" si="412"/>
        <v/>
      </c>
      <c r="N1440" s="453"/>
      <c r="O1440" s="86" t="str">
        <f t="shared" si="414"/>
        <v/>
      </c>
      <c r="P1440" s="538" t="str">
        <f t="shared" si="415"/>
        <v/>
      </c>
      <c r="Q1440" s="539" t="str">
        <f t="shared" si="413"/>
        <v/>
      </c>
      <c r="R1440" s="706"/>
      <c r="S1440" s="707"/>
      <c r="T1440" s="708"/>
      <c r="U1440" s="472"/>
      <c r="V1440" s="167"/>
      <c r="W1440" s="446"/>
      <c r="X1440" s="456"/>
      <c r="Y1440" s="436"/>
      <c r="Z1440" s="437"/>
      <c r="AA1440" s="560"/>
      <c r="AB1440" s="561"/>
      <c r="AC1440" s="87"/>
      <c r="AD1440" s="466"/>
      <c r="AE1440" s="456"/>
      <c r="AF1440" s="467"/>
      <c r="AG1440" s="87"/>
      <c r="AH1440" s="87"/>
      <c r="AI1440" s="87"/>
    </row>
    <row r="1441" spans="1:35" hidden="1">
      <c r="A1441" s="80" t="e">
        <f>"I"&amp;E1429</f>
        <v>#N/A</v>
      </c>
      <c r="B1441" s="105">
        <v>9</v>
      </c>
      <c r="C1441" s="107"/>
      <c r="D1441" s="107"/>
      <c r="E1441" s="107"/>
      <c r="F1441" s="107"/>
      <c r="G1441" s="83"/>
      <c r="H1441" s="83"/>
      <c r="I1441" s="84"/>
      <c r="J1441" s="85"/>
      <c r="K1441" s="382"/>
      <c r="L1441" s="85"/>
      <c r="M1441" s="332" t="str">
        <f t="shared" si="412"/>
        <v/>
      </c>
      <c r="N1441" s="453"/>
      <c r="O1441" s="86" t="str">
        <f t="shared" si="414"/>
        <v/>
      </c>
      <c r="P1441" s="538" t="str">
        <f t="shared" si="415"/>
        <v/>
      </c>
      <c r="Q1441" s="539" t="str">
        <f t="shared" si="413"/>
        <v/>
      </c>
      <c r="R1441" s="706"/>
      <c r="S1441" s="707"/>
      <c r="T1441" s="708"/>
      <c r="U1441" s="472"/>
      <c r="V1441" s="167"/>
      <c r="W1441" s="446"/>
      <c r="X1441" s="456"/>
      <c r="Y1441" s="436"/>
      <c r="Z1441" s="437"/>
      <c r="AA1441" s="560"/>
      <c r="AB1441" s="561"/>
      <c r="AC1441" s="87"/>
      <c r="AD1441" s="466"/>
      <c r="AE1441" s="456"/>
      <c r="AF1441" s="467"/>
      <c r="AG1441" s="87"/>
      <c r="AH1441" s="87"/>
      <c r="AI1441" s="87"/>
    </row>
    <row r="1442" spans="1:35" hidden="1">
      <c r="A1442" s="80" t="e">
        <f>"J"&amp;E1429</f>
        <v>#N/A</v>
      </c>
      <c r="B1442" s="105">
        <v>10</v>
      </c>
      <c r="C1442" s="107"/>
      <c r="D1442" s="107"/>
      <c r="E1442" s="107"/>
      <c r="F1442" s="107"/>
      <c r="G1442" s="83"/>
      <c r="H1442" s="83"/>
      <c r="I1442" s="84"/>
      <c r="J1442" s="85"/>
      <c r="K1442" s="382"/>
      <c r="L1442" s="85"/>
      <c r="M1442" s="332" t="str">
        <f t="shared" si="412"/>
        <v/>
      </c>
      <c r="N1442" s="453"/>
      <c r="O1442" s="86" t="str">
        <f t="shared" si="414"/>
        <v/>
      </c>
      <c r="P1442" s="538" t="str">
        <f t="shared" si="415"/>
        <v/>
      </c>
      <c r="Q1442" s="539" t="str">
        <f t="shared" si="413"/>
        <v/>
      </c>
      <c r="R1442" s="706"/>
      <c r="S1442" s="707"/>
      <c r="T1442" s="708"/>
      <c r="U1442" s="472"/>
      <c r="V1442" s="167"/>
      <c r="W1442" s="446"/>
      <c r="X1442" s="456"/>
      <c r="Y1442" s="436"/>
      <c r="Z1442" s="437"/>
      <c r="AA1442" s="560"/>
      <c r="AB1442" s="561"/>
      <c r="AC1442" s="87"/>
      <c r="AD1442" s="466"/>
      <c r="AE1442" s="456"/>
      <c r="AF1442" s="467"/>
      <c r="AG1442" s="87"/>
      <c r="AH1442" s="87"/>
      <c r="AI1442" s="87"/>
    </row>
    <row r="1443" spans="1:35" ht="16.5" hidden="1" thickBot="1">
      <c r="A1443" s="44"/>
      <c r="B1443" s="89"/>
      <c r="C1443" s="90"/>
      <c r="D1443" s="90"/>
      <c r="E1443" s="90"/>
      <c r="F1443" s="90"/>
      <c r="G1443" s="90"/>
      <c r="H1443" s="90"/>
      <c r="I1443" s="90"/>
      <c r="J1443" s="90"/>
      <c r="K1443" s="90"/>
      <c r="L1443" s="90"/>
      <c r="M1443" s="90"/>
      <c r="N1443" s="90"/>
      <c r="O1443" s="90"/>
      <c r="P1443" s="90"/>
      <c r="Q1443" s="90"/>
      <c r="R1443" s="90"/>
      <c r="S1443" s="91"/>
      <c r="T1443" s="92"/>
      <c r="U1443" s="473"/>
      <c r="W1443" s="438"/>
      <c r="X1443" s="455"/>
      <c r="Y1443" s="439"/>
      <c r="Z1443" s="437"/>
      <c r="AA1443" s="530"/>
      <c r="AB1443" s="563"/>
      <c r="AC1443" s="87"/>
      <c r="AD1443" s="440"/>
      <c r="AE1443" s="441"/>
      <c r="AF1443" s="442"/>
      <c r="AG1443" s="49"/>
      <c r="AH1443" s="87"/>
      <c r="AI1443" s="87"/>
    </row>
    <row r="1444" spans="1:35" ht="16.5" hidden="1" thickBot="1">
      <c r="A1444" s="93"/>
      <c r="B1444" s="94"/>
      <c r="C1444" s="96"/>
      <c r="D1444" s="96"/>
      <c r="E1444" s="96"/>
      <c r="F1444" s="96"/>
      <c r="G1444" s="96"/>
      <c r="H1444" s="96"/>
      <c r="I1444" s="96"/>
      <c r="J1444" s="96"/>
      <c r="K1444" s="96"/>
      <c r="L1444" s="96"/>
      <c r="M1444" s="136"/>
      <c r="N1444" s="96"/>
      <c r="O1444" s="96"/>
      <c r="P1444" s="97"/>
      <c r="Q1444" s="97"/>
      <c r="R1444" s="98"/>
      <c r="S1444" s="95"/>
      <c r="T1444" s="99"/>
      <c r="U1444" s="469"/>
      <c r="AC1444" s="58"/>
      <c r="AG1444" s="58"/>
      <c r="AH1444" s="87"/>
      <c r="AI1444" s="87"/>
    </row>
    <row r="1445" spans="1:35" ht="16.5" hidden="1" thickBot="1">
      <c r="B1445" s="101"/>
      <c r="C1445" s="101"/>
      <c r="D1445" s="101"/>
      <c r="E1445" s="101"/>
      <c r="F1445" s="101"/>
      <c r="G1445" s="101"/>
      <c r="H1445" s="101"/>
      <c r="I1445" s="101"/>
      <c r="J1445" s="101"/>
      <c r="K1445" s="101"/>
      <c r="L1445" s="101"/>
      <c r="M1445" s="101"/>
      <c r="N1445" s="101"/>
      <c r="O1445" s="101"/>
      <c r="P1445" s="101"/>
      <c r="Q1445" s="101"/>
      <c r="R1445" s="101"/>
      <c r="S1445" s="101"/>
      <c r="U1445" s="50"/>
      <c r="AH1445" s="87"/>
      <c r="AI1445" s="87"/>
    </row>
    <row r="1446" spans="1:35" ht="16.5" hidden="1" customHeight="1" thickBot="1">
      <c r="A1446" s="44"/>
      <c r="B1446" s="705" t="s">
        <v>74</v>
      </c>
      <c r="C1446" s="705"/>
      <c r="D1446" s="705"/>
      <c r="E1446" s="705"/>
      <c r="F1446" s="705"/>
      <c r="G1446" s="705"/>
      <c r="H1446" s="705"/>
      <c r="I1446" s="705"/>
      <c r="J1446" s="705"/>
      <c r="K1446" s="705"/>
      <c r="L1446" s="705"/>
      <c r="M1446" s="705"/>
      <c r="N1446" s="705"/>
      <c r="O1446" s="705"/>
      <c r="P1446" s="705"/>
      <c r="Q1446" s="705"/>
      <c r="R1446" s="705"/>
      <c r="S1446" s="705"/>
      <c r="T1446" s="705"/>
      <c r="U1446" s="108"/>
      <c r="Y1446" s="532" t="s">
        <v>341</v>
      </c>
      <c r="AC1446" s="49"/>
      <c r="AD1446" s="687" t="s">
        <v>302</v>
      </c>
      <c r="AE1446" s="688"/>
      <c r="AF1446" s="689"/>
      <c r="AG1446" s="49"/>
      <c r="AH1446" s="87"/>
      <c r="AI1446" s="87"/>
    </row>
    <row r="1447" spans="1:35" ht="15.75" hidden="1" customHeight="1" thickBot="1">
      <c r="A1447" s="218" t="e">
        <f>"K"&amp;E1429</f>
        <v>#N/A</v>
      </c>
      <c r="B1447" s="701" t="s">
        <v>71</v>
      </c>
      <c r="C1447" s="751" t="s">
        <v>102</v>
      </c>
      <c r="D1447" s="751"/>
      <c r="E1447" s="751"/>
      <c r="F1447" s="751"/>
      <c r="G1447" s="751"/>
      <c r="H1447" s="751"/>
      <c r="I1447" s="751"/>
      <c r="J1447" s="751"/>
      <c r="K1447" s="751"/>
      <c r="L1447" s="722" t="s">
        <v>100</v>
      </c>
      <c r="M1447" s="747" t="s">
        <v>114</v>
      </c>
      <c r="N1447" s="747"/>
      <c r="O1447" s="747"/>
      <c r="P1447" s="747"/>
      <c r="Q1447" s="748"/>
      <c r="R1447" s="758" t="s">
        <v>280</v>
      </c>
      <c r="S1447" s="748"/>
      <c r="T1447" s="762" t="str">
        <f>IF(COUNTIF(AE1447:AF1447,"VERIFICAR")&gt;0,"VERIFICAR",IF(COUNTIF(AE1447:AF1447,"NO CUMPLE")&gt;0,"NO CUMPLE","CUMPLE"))</f>
        <v>VERIFICAR</v>
      </c>
      <c r="U1447" s="108"/>
      <c r="Y1447" s="533" t="e">
        <f>IF(F1448="","",IF(F1448=1,"INDIVIDUAL","ESTRUCTURA PLURAL"))</f>
        <v>#N/A</v>
      </c>
      <c r="AC1447" s="52"/>
      <c r="AD1447" s="475" t="s">
        <v>303</v>
      </c>
      <c r="AE1447" s="476" t="str">
        <f>IF(COUNTIF(AE1433:AE1442,"")=10,"VERIFICAR",IF(COUNTIF(AE1433:AE1442,"SI")&gt;0,"CUMPLE","NO CUMPLE"))</f>
        <v>VERIFICAR</v>
      </c>
      <c r="AF1447" s="477" t="str">
        <f>IF(COUNTIF(AF1433:AF1442,"")=10,"VERIFICAR",IF(COUNTIF(AF1433:AF1442,"SI")&gt;=$AI$22,"CUMPLE","NO CUMPLE"))</f>
        <v>VERIFICAR</v>
      </c>
      <c r="AG1447" s="52"/>
      <c r="AH1447" s="87"/>
      <c r="AI1447" s="87"/>
    </row>
    <row r="1448" spans="1:35" ht="16.5" hidden="1" customHeight="1" thickBot="1">
      <c r="A1448" s="218" t="e">
        <f>"L"&amp;E1429</f>
        <v>#N/A</v>
      </c>
      <c r="B1448" s="702"/>
      <c r="C1448" s="751" t="s">
        <v>103</v>
      </c>
      <c r="D1448" s="751"/>
      <c r="E1448" s="752"/>
      <c r="F1448" s="557" t="e">
        <f>IF(VLOOKUP(E1429,PROPONENTES!$C$19:$E$218,3,0)="","",VLOOKUP(E1429,PROPONENTES!$C$19:$E$218,3,0))</f>
        <v>#N/A</v>
      </c>
      <c r="G1448" s="753" t="s">
        <v>104</v>
      </c>
      <c r="H1448" s="751"/>
      <c r="I1448" s="715" t="e">
        <f>IF(OR(F1448="",F1448=1),"INTERESADO PERSONA NATURAL O JURIDICA","CONSORCIO O UNION TEMPORAL")</f>
        <v>#N/A</v>
      </c>
      <c r="J1448" s="725"/>
      <c r="K1448" s="728"/>
      <c r="L1448" s="723"/>
      <c r="M1448" s="749"/>
      <c r="N1448" s="749"/>
      <c r="O1448" s="749"/>
      <c r="P1448" s="749"/>
      <c r="Q1448" s="750"/>
      <c r="R1448" s="712"/>
      <c r="S1448" s="750"/>
      <c r="T1448" s="763"/>
      <c r="U1448" s="108"/>
      <c r="Y1448" s="534"/>
      <c r="AA1448" s="52"/>
      <c r="AB1448" s="52"/>
      <c r="AC1448" s="52"/>
      <c r="AG1448" s="52"/>
      <c r="AH1448" s="87"/>
      <c r="AI1448" s="87"/>
    </row>
    <row r="1449" spans="1:35" ht="56.25" hidden="1" customHeight="1" thickBot="1">
      <c r="A1449" s="218" t="e">
        <f>"M"&amp;E1429</f>
        <v>#N/A</v>
      </c>
      <c r="B1449" s="702"/>
      <c r="C1449" s="725" t="s">
        <v>101</v>
      </c>
      <c r="D1449" s="716"/>
      <c r="E1449" s="558" t="s">
        <v>105</v>
      </c>
      <c r="F1449" s="554" t="s">
        <v>87</v>
      </c>
      <c r="G1449" s="553" t="s">
        <v>86</v>
      </c>
      <c r="H1449" s="559" t="s">
        <v>85</v>
      </c>
      <c r="I1449" s="554" t="s">
        <v>252</v>
      </c>
      <c r="J1449" s="553" t="str">
        <f>"¿EL INTEGRANTE TIENE UNA PARTICIPACIÓN DEL "&amp;PORCREQUERIDOINT*100&amp;"%?"</f>
        <v>¿EL INTEGRANTE TIENE UNA PARTICIPACIÓN DEL 60%?</v>
      </c>
      <c r="K1449" s="554" t="s">
        <v>107</v>
      </c>
      <c r="L1449" s="724"/>
      <c r="M1449" s="717" t="s">
        <v>115</v>
      </c>
      <c r="N1449" s="718"/>
      <c r="O1449" s="718"/>
      <c r="P1449" s="718"/>
      <c r="Q1449" s="223">
        <f>IF(AND(H1433="SI",P1433&gt;=0),1,0)+IF(AND(H1434="SI",P1434&gt;=0),1,0)+IF(AND(H1435="SI",P1435&gt;=0),1,0)+IF(AND(H1436="SI",P1436&gt;=0),1,0)+IF(AND(H1437="SI",P1437&gt;=0),1,0)+IF(AND(H1438="SI",P1438&gt;=0),1,0)+IF(AND(H1439="SI",P1439&gt;=0),1,0)+IF(AND(H1440="SI",P1440&gt;=0),1,0)+IF(AND(H1441="SI",P1441&gt;=0),1,0)+IF(AND(H1442="SI",P1442&gt;=0),1,0)</f>
        <v>0</v>
      </c>
      <c r="R1449" s="759"/>
      <c r="S1449" s="761"/>
      <c r="T1449" s="764"/>
      <c r="U1449" s="219"/>
      <c r="V1449" s="464"/>
      <c r="Y1449" s="532" t="s">
        <v>342</v>
      </c>
      <c r="AA1449" s="550" t="s">
        <v>344</v>
      </c>
      <c r="AB1449" s="693" t="s">
        <v>345</v>
      </c>
      <c r="AC1449" s="693" t="s">
        <v>346</v>
      </c>
      <c r="AD1449" s="685" t="s">
        <v>347</v>
      </c>
      <c r="AE1449" s="52"/>
      <c r="AF1449" s="52"/>
      <c r="AG1449" s="52"/>
      <c r="AH1449" s="87"/>
      <c r="AI1449" s="87"/>
    </row>
    <row r="1450" spans="1:35" ht="15.75" hidden="1" customHeight="1" thickBot="1">
      <c r="A1450" s="218" t="e">
        <f>"N"&amp;E1429</f>
        <v>#N/A</v>
      </c>
      <c r="B1450" s="702"/>
      <c r="C1450" s="114">
        <v>1</v>
      </c>
      <c r="D1450" s="194" t="e">
        <f>IF(AND(C1450&lt;=F1448,F1448&gt;1,F1448&lt;&gt;""),VLOOKUP(VALUE(E1429&amp;","&amp;C1450),INTEGRANTES!$D$18:$F$235,2,0),"")</f>
        <v>#N/A</v>
      </c>
      <c r="E1450" s="211" t="e">
        <f>IF(D1450&lt;&gt;"",VLOOKUP(VALUE(E1429&amp;","&amp;C1450),INTEGRANTES!$D$18:$F$235,3,0),"")</f>
        <v>#N/A</v>
      </c>
      <c r="F1450" s="547" t="e">
        <f>IF(D1450="","",SUMIF($I1433:$I1442,D1450,$P1433:$P1442))</f>
        <v>#N/A</v>
      </c>
      <c r="G1450" s="333" t="e">
        <f>IF(D1450="","",SUMIF($I1433:$I1442,D1450,$M1433:$M1442))</f>
        <v>#N/A</v>
      </c>
      <c r="H1450" s="535" t="e">
        <f t="shared" ref="H1450:H1455" si="416">IF(D1450="","",IF(OR(F1450=0,G1450=0),"NO APORTA",ROUND($F1450/$G1450,3)))</f>
        <v>#N/A</v>
      </c>
      <c r="I1450" s="212" t="e">
        <f>IF(D1450="","",IF(H1450="NO APORTA","NO",IF(H1450=MAX($H1450:$H1455),"SI","NO")))</f>
        <v>#N/A</v>
      </c>
      <c r="J1450" s="213" t="e">
        <f t="shared" ref="J1450:J1455" si="417">IF(D1450="","",IF(E1450&gt;=PORCREQUERIDOINT,"SI","NO"))</f>
        <v>#N/A</v>
      </c>
      <c r="K1450" s="200" t="e">
        <f t="shared" ref="K1450:K1455" si="418">IF(D1450="","",IF(AND(I1450="SI",J1450="SI"),"CUMPLE",IF(AND(I1450="NO",OR(J1450="SI",J1450="NO")),"","NO CUMPLE")))</f>
        <v>#N/A</v>
      </c>
      <c r="L1450" s="722" t="s">
        <v>108</v>
      </c>
      <c r="M1450" s="726" t="s">
        <v>119</v>
      </c>
      <c r="N1450" s="726"/>
      <c r="O1450" s="726"/>
      <c r="P1450" s="726"/>
      <c r="Q1450" s="727"/>
      <c r="R1450" s="758" t="s">
        <v>80</v>
      </c>
      <c r="S1450" s="747"/>
      <c r="T1450" s="748"/>
      <c r="U1450" s="219"/>
      <c r="V1450" s="464"/>
      <c r="Y1450" s="533" t="e">
        <f>IF(Y1447="","",IF(Y1447="INDIVIDUAL","NO APLICA","VERIFICAR CUADRO"))</f>
        <v>#N/A</v>
      </c>
      <c r="AA1450" s="551"/>
      <c r="AB1450" s="694"/>
      <c r="AC1450" s="694"/>
      <c r="AD1450" s="686"/>
      <c r="AE1450" s="52"/>
      <c r="AF1450" s="52"/>
      <c r="AG1450" s="52"/>
      <c r="AH1450" s="87"/>
      <c r="AI1450" s="87"/>
    </row>
    <row r="1451" spans="1:35" ht="27" hidden="1" customHeight="1" thickBot="1">
      <c r="A1451" s="218" t="e">
        <f>"O"&amp;E1429</f>
        <v>#N/A</v>
      </c>
      <c r="B1451" s="702"/>
      <c r="C1451" s="114">
        <v>2</v>
      </c>
      <c r="D1451" s="194" t="e">
        <f>IF(AND(C1451&lt;=F1448,F1448&lt;&gt;""),VLOOKUP(VALUE(E1429&amp;","&amp;C1451),INTEGRANTES!$D$18:$F$235,2,0),"")</f>
        <v>#N/A</v>
      </c>
      <c r="E1451" s="211" t="e">
        <f>IF(D1451&lt;&gt;"",VLOOKUP(VALUE(E1429&amp;","&amp;C1451),INTEGRANTES!$D$18:$F$235,3,0),"")</f>
        <v>#N/A</v>
      </c>
      <c r="F1451" s="547" t="e">
        <f>IF(D1451="","",SUMIF($I1433:$I1442,D1451,$P1433:$P1442))</f>
        <v>#N/A</v>
      </c>
      <c r="G1451" s="333" t="e">
        <f>IF(D1451="","",SUMIF($I1433:$I1442,D1451,$M1433:$M1442))</f>
        <v>#N/A</v>
      </c>
      <c r="H1451" s="535" t="e">
        <f t="shared" si="416"/>
        <v>#N/A</v>
      </c>
      <c r="I1451" s="212" t="e">
        <f>IF(D1451="","",IF(H1451="NO APORTA","NO",IF(H1451=MAX($H1450:$H1455),"SI","NO")))</f>
        <v>#N/A</v>
      </c>
      <c r="J1451" s="213" t="e">
        <f t="shared" si="417"/>
        <v>#N/A</v>
      </c>
      <c r="K1451" s="200" t="e">
        <f t="shared" si="418"/>
        <v>#N/A</v>
      </c>
      <c r="L1451" s="723"/>
      <c r="M1451" s="715" t="s">
        <v>116</v>
      </c>
      <c r="N1451" s="716"/>
      <c r="O1451" s="556" t="s">
        <v>113</v>
      </c>
      <c r="P1451" s="715" t="s">
        <v>117</v>
      </c>
      <c r="Q1451" s="728"/>
      <c r="R1451" s="759"/>
      <c r="S1451" s="760"/>
      <c r="T1451" s="761"/>
      <c r="U1451" s="219"/>
      <c r="V1451" s="464"/>
      <c r="Y1451" s="414"/>
      <c r="AA1451" s="542" t="e">
        <f>IF(AND(C1450&lt;=F1448,F1448&gt;1,F1448&lt;&gt;""),VLOOKUP(VALUE(E1429&amp;","&amp;C1450),INTEGRANTES!$D$18:$F$235,2,0),"")</f>
        <v>#N/A</v>
      </c>
      <c r="AB1451" s="544" t="e">
        <f t="shared" ref="AB1451:AB1456" si="419">IF(D1450="","",IF(OR(F1450=0,G1450=0),"NO APORTA",ROUND($F1450/$G1450,3)))</f>
        <v>#N/A</v>
      </c>
      <c r="AC1451" s="529"/>
      <c r="AD1451" s="200" t="e">
        <f t="shared" ref="AD1451:AD1456" si="420">IF(OR(AA1451="",AB1451=""),"",IF(AND(AC1451="X",AB1451&gt;=EXPREQVTD),"CUMPLE","NO CUMPLE"))</f>
        <v>#N/A</v>
      </c>
      <c r="AE1451" s="52"/>
      <c r="AF1451" s="52"/>
      <c r="AG1451" s="52"/>
      <c r="AH1451" s="87"/>
      <c r="AI1451" s="87"/>
    </row>
    <row r="1452" spans="1:35" ht="16.5" hidden="1" thickBot="1">
      <c r="A1452" s="218" t="e">
        <f>"P"&amp;E1429</f>
        <v>#N/A</v>
      </c>
      <c r="B1452" s="702"/>
      <c r="C1452" s="114">
        <v>3</v>
      </c>
      <c r="D1452" s="194" t="e">
        <f>IF(AND(C1452&lt;=F1448,F1448&lt;&gt;""),VLOOKUP(VALUE(E1429&amp;","&amp;C1452),INTEGRANTES!$D$18:$F$235,2,0),"")</f>
        <v>#N/A</v>
      </c>
      <c r="E1452" s="211" t="e">
        <f>IF(D1452&lt;&gt;"",VLOOKUP(VALUE(E1429&amp;","&amp;C1452),INTEGRANTES!$D$18:$F$235,3,0),"")</f>
        <v>#N/A</v>
      </c>
      <c r="F1452" s="547" t="e">
        <f>IF(D1452="","",SUMIF($I1433:$I1442,D1452,$P1433:$P1442))</f>
        <v>#N/A</v>
      </c>
      <c r="G1452" s="333" t="e">
        <f>IF(D1452="","",SUMIF($I1433:$I1442,D1452,$M1433:$M1442))</f>
        <v>#N/A</v>
      </c>
      <c r="H1452" s="535" t="e">
        <f t="shared" si="416"/>
        <v>#N/A</v>
      </c>
      <c r="I1452" s="212" t="e">
        <f>IF(D1452="","",IF(H1452="NO APORTA","NO",IF(H1452=MAX($H1450:$H1455),"SI","NO")))</f>
        <v>#N/A</v>
      </c>
      <c r="J1452" s="213" t="e">
        <f t="shared" si="417"/>
        <v>#N/A</v>
      </c>
      <c r="K1452" s="200" t="e">
        <f t="shared" si="418"/>
        <v>#N/A</v>
      </c>
      <c r="L1452" s="724"/>
      <c r="M1452" s="729">
        <f>NUMMOD</f>
        <v>1</v>
      </c>
      <c r="N1452" s="730"/>
      <c r="O1452" s="443">
        <f>IF(M1452="","",VLOOKUP(M1452,PRESUPUESTOS!$B$16:$H$16,5,FALSE))</f>
        <v>2</v>
      </c>
      <c r="P1452" s="713">
        <f>IF(OR(COUNTIF(M1433:M1442,"")&gt;=10,Q1449&lt;NUMMINCONT,OR(T1447="NO CUMPLE",T1447="VERIFICAR")),0,ROUND(AVERAGE(M1433:M1442),3))</f>
        <v>0</v>
      </c>
      <c r="Q1452" s="714"/>
      <c r="R1452" s="458"/>
      <c r="S1452" s="459"/>
      <c r="T1452" s="460"/>
      <c r="U1452" s="219"/>
      <c r="V1452" s="464"/>
      <c r="Y1452" s="532" t="str">
        <f>"40% * ("&amp;PRESUPUESTOS!$H$13&amp;")"</f>
        <v>40% * (50% PFMO)</v>
      </c>
      <c r="AA1452" s="540" t="e">
        <f>IF(AND(C1451&lt;=F1448,F1448&lt;&gt;""),VLOOKUP(VALUE(E1429&amp;","&amp;C1451),INTEGRANTES!$D$18:$F$235,2,0),"")</f>
        <v>#N/A</v>
      </c>
      <c r="AB1452" s="545" t="e">
        <f t="shared" si="419"/>
        <v>#N/A</v>
      </c>
      <c r="AC1452" s="529"/>
      <c r="AD1452" s="200" t="e">
        <f t="shared" si="420"/>
        <v>#N/A</v>
      </c>
      <c r="AE1452" s="52"/>
      <c r="AF1452" s="52"/>
      <c r="AG1452" s="52"/>
      <c r="AH1452" s="87"/>
      <c r="AI1452" s="87"/>
    </row>
    <row r="1453" spans="1:35" ht="15.75" hidden="1" customHeight="1" thickBot="1">
      <c r="A1453" s="218" t="e">
        <f>"Q"&amp;E1429</f>
        <v>#N/A</v>
      </c>
      <c r="B1453" s="702"/>
      <c r="C1453" s="114">
        <v>4</v>
      </c>
      <c r="D1453" s="194" t="e">
        <f>IF(AND(C1453&lt;=F1448,F1448&lt;&gt;""),VLOOKUP(VALUE(E1429&amp;","&amp;C1453),INTEGRANTES!$D$18:$F$235,2,0),"")</f>
        <v>#N/A</v>
      </c>
      <c r="E1453" s="211" t="e">
        <f>IF(D1453&lt;&gt;"",VLOOKUP(VALUE(E1429&amp;","&amp;C1453),INTEGRANTES!$D$18:$F$235,3,0),"")</f>
        <v>#N/A</v>
      </c>
      <c r="F1453" s="547" t="e">
        <f>IF(D1453="","",SUMIF($I1433:$I1442,D1453,$P1433:$P1442))</f>
        <v>#N/A</v>
      </c>
      <c r="G1453" s="333" t="e">
        <f>IF(D1453="","",SUMIF($I1433:$I1442,D1453,$M1433:$M1442))</f>
        <v>#N/A</v>
      </c>
      <c r="H1453" s="535" t="e">
        <f t="shared" si="416"/>
        <v>#N/A</v>
      </c>
      <c r="I1453" s="212" t="e">
        <f>IF(D1453="","",IF(H1453="NO APORTA","NO",IF(H1453=MAX($H1450:$H1455),"SI","NO")))</f>
        <v>#N/A</v>
      </c>
      <c r="J1453" s="213" t="e">
        <f t="shared" si="417"/>
        <v>#N/A</v>
      </c>
      <c r="K1453" s="200" t="e">
        <f t="shared" si="418"/>
        <v>#N/A</v>
      </c>
      <c r="L1453" s="720" t="s">
        <v>109</v>
      </c>
      <c r="M1453" s="757" t="s">
        <v>120</v>
      </c>
      <c r="N1453" s="726"/>
      <c r="O1453" s="726"/>
      <c r="P1453" s="726"/>
      <c r="Q1453" s="727"/>
      <c r="R1453" s="458"/>
      <c r="S1453" s="459"/>
      <c r="T1453" s="460"/>
      <c r="U1453" s="219"/>
      <c r="V1453" s="464"/>
      <c r="Y1453" s="537">
        <f>0.4*PRESUPUESTOS!$H$16</f>
        <v>10.3124</v>
      </c>
      <c r="AA1453" s="540" t="e">
        <f>IF(AND(C1452&lt;=F1448,F1448&lt;&gt;""),VLOOKUP(VALUE(E1429&amp;","&amp;C1452),INTEGRANTES!$D$18:$F$235,2,0),"")</f>
        <v>#N/A</v>
      </c>
      <c r="AB1453" s="545" t="e">
        <f t="shared" si="419"/>
        <v>#N/A</v>
      </c>
      <c r="AC1453" s="529"/>
      <c r="AD1453" s="200" t="e">
        <f t="shared" si="420"/>
        <v>#N/A</v>
      </c>
      <c r="AE1453" s="52"/>
      <c r="AF1453" s="52"/>
      <c r="AG1453" s="52"/>
      <c r="AH1453" s="87"/>
      <c r="AI1453" s="87"/>
    </row>
    <row r="1454" spans="1:35" ht="27" hidden="1" customHeight="1" thickBot="1">
      <c r="A1454" s="218" t="e">
        <f>"R"&amp;E1429</f>
        <v>#N/A</v>
      </c>
      <c r="B1454" s="702"/>
      <c r="C1454" s="114">
        <v>5</v>
      </c>
      <c r="D1454" s="194" t="e">
        <f>IF(AND(C1454&lt;=F1448,F1448&lt;&gt;""),VLOOKUP(VALUE(E1429&amp;","&amp;C1454),INTEGRANTES!$D$18:$F$235,2,0),"")</f>
        <v>#N/A</v>
      </c>
      <c r="E1454" s="211" t="e">
        <f>IF(D1454&lt;&gt;"",VLOOKUP(VALUE(E1429&amp;","&amp;C1454),INTEGRANTES!$D$18:$F$235,3,0),"")</f>
        <v>#N/A</v>
      </c>
      <c r="F1454" s="547" t="e">
        <f>IF(D1454="","",SUMIF($I1433:$I1442,D1454,$P1433:$P1442))</f>
        <v>#N/A</v>
      </c>
      <c r="G1454" s="333" t="e">
        <f>IF(D1454="","",SUMIF($I1433:$I1442,D1454,$M1433:$M1442))</f>
        <v>#N/A</v>
      </c>
      <c r="H1454" s="535" t="e">
        <f t="shared" si="416"/>
        <v>#N/A</v>
      </c>
      <c r="I1454" s="212" t="e">
        <f>IF(D1454="","",IF(H1454="NO APORTA","NO",IF(H1454=MAX($H1450:$H1455),"SI","NO")))</f>
        <v>#N/A</v>
      </c>
      <c r="J1454" s="213" t="e">
        <f t="shared" si="417"/>
        <v>#N/A</v>
      </c>
      <c r="K1454" s="200" t="e">
        <f t="shared" si="418"/>
        <v>#N/A</v>
      </c>
      <c r="L1454" s="721"/>
      <c r="M1454" s="715" t="s">
        <v>116</v>
      </c>
      <c r="N1454" s="716"/>
      <c r="O1454" s="556" t="str">
        <f>PORCREQUERIDO*100&amp;"% PMFO DEL MÓDULO"</f>
        <v>50% PMFO DEL MÓDULO</v>
      </c>
      <c r="P1454" s="715" t="s">
        <v>118</v>
      </c>
      <c r="Q1454" s="728"/>
      <c r="R1454" s="458"/>
      <c r="S1454" s="459"/>
      <c r="T1454" s="460"/>
      <c r="U1454" s="219"/>
      <c r="V1454" s="464"/>
      <c r="Y1454" s="414"/>
      <c r="AA1454" s="540" t="e">
        <f>IF(AND(C1453&lt;=F1448,F1448&lt;&gt;""),VLOOKUP(VALUE(E1429&amp;","&amp;C1453),INTEGRANTES!$D$18:$F$235,2,0),"")</f>
        <v>#N/A</v>
      </c>
      <c r="AB1454" s="545" t="e">
        <f t="shared" si="419"/>
        <v>#N/A</v>
      </c>
      <c r="AC1454" s="529"/>
      <c r="AD1454" s="200" t="e">
        <f t="shared" si="420"/>
        <v>#N/A</v>
      </c>
      <c r="AE1454" s="52"/>
      <c r="AF1454" s="52"/>
      <c r="AG1454" s="52"/>
      <c r="AH1454" s="87"/>
      <c r="AI1454" s="87"/>
    </row>
    <row r="1455" spans="1:35" ht="16.5" hidden="1" thickBot="1">
      <c r="A1455" s="218" t="e">
        <f>"S"&amp;E1429</f>
        <v>#N/A</v>
      </c>
      <c r="B1455" s="702"/>
      <c r="C1455" s="215">
        <v>6</v>
      </c>
      <c r="D1455" s="216" t="e">
        <f>IF(AND(C1455&lt;=F1448,F1448&lt;&gt;""),VLOOKUP(VALUE(E1429&amp;","&amp;C1455),INTEGRANTES!$D$18:$F$235,2,0),"")</f>
        <v>#N/A</v>
      </c>
      <c r="E1455" s="217" t="e">
        <f>IF(D1455&lt;&gt;"",VLOOKUP(VALUE(E1429&amp;","&amp;C1455),INTEGRANTES!$D$18:$F$235,3,0),"")</f>
        <v>#N/A</v>
      </c>
      <c r="F1455" s="548" t="e">
        <f>IF(D1455="","",SUMIF($I1433:$I1442,D1455,$P1433:$P1442))</f>
        <v>#N/A</v>
      </c>
      <c r="G1455" s="334" t="e">
        <f>IF(D1455="","",SUMIF($I1433:$I1442,D1455,$M1433:$M1442))</f>
        <v>#N/A</v>
      </c>
      <c r="H1455" s="536" t="e">
        <f t="shared" si="416"/>
        <v>#N/A</v>
      </c>
      <c r="I1455" s="214" t="e">
        <f>IF(D1455="","",IF(H1455="NO APORTA","NO",IF(H1455=MAX($H1450:$H1455),"SI","NO")))</f>
        <v>#N/A</v>
      </c>
      <c r="J1455" s="213" t="e">
        <f t="shared" si="417"/>
        <v>#N/A</v>
      </c>
      <c r="K1455" s="200" t="e">
        <f t="shared" si="418"/>
        <v>#N/A</v>
      </c>
      <c r="L1455" s="721"/>
      <c r="M1455" s="729">
        <f>NUMMOD</f>
        <v>1</v>
      </c>
      <c r="N1455" s="730"/>
      <c r="O1455" s="443">
        <f>IF(M1455="","",ROUND(VLOOKUP(M1455,PRESUPUESTOS!$B$16:$H$16,7,FALSE),3))</f>
        <v>25.780999999999999</v>
      </c>
      <c r="P1455" s="713">
        <f>IF(OR(COUNTIF(P1433:P1442,"")&gt;=10,Q1449&lt;NUMMINCONT,OR(T1447="NO CUMPLE",T1447="VERIFICAR")),0,ROUND((SUM(P1433:P1442)/SUM(M1433:M1442)),3))</f>
        <v>0</v>
      </c>
      <c r="Q1455" s="714"/>
      <c r="R1455" s="458"/>
      <c r="S1455" s="459"/>
      <c r="T1455" s="460"/>
      <c r="U1455" s="219"/>
      <c r="V1455" s="464"/>
      <c r="Y1455" s="532" t="s">
        <v>343</v>
      </c>
      <c r="AA1455" s="540" t="e">
        <f>IF(AND(C1454&lt;=F1448,F1448&lt;&gt;""),VLOOKUP(VALUE(E1429&amp;","&amp;C1454),INTEGRANTES!$D$18:$F$235,2,0),"")</f>
        <v>#N/A</v>
      </c>
      <c r="AB1455" s="545" t="e">
        <f t="shared" si="419"/>
        <v>#N/A</v>
      </c>
      <c r="AC1455" s="529"/>
      <c r="AD1455" s="200" t="e">
        <f t="shared" si="420"/>
        <v>#N/A</v>
      </c>
      <c r="AE1455" s="52"/>
      <c r="AF1455" s="52"/>
      <c r="AG1455" s="52"/>
      <c r="AH1455" s="87"/>
      <c r="AI1455" s="87"/>
    </row>
    <row r="1456" spans="1:35" ht="16.5" hidden="1" customHeight="1" thickBot="1">
      <c r="A1456" s="218" t="e">
        <f>"T"&amp;E1429</f>
        <v>#N/A</v>
      </c>
      <c r="B1456" s="703"/>
      <c r="C1456" s="719"/>
      <c r="D1456" s="719"/>
      <c r="E1456" s="719"/>
      <c r="F1456" s="719"/>
      <c r="G1456" s="719"/>
      <c r="H1456" s="719" t="s">
        <v>110</v>
      </c>
      <c r="I1456" s="719"/>
      <c r="J1456" s="719"/>
      <c r="K1456" s="201" t="str">
        <f>IF(COUNTIF(K1450:K1455,"")=6,"",IF(COUNTIF(K1450:K1455,"CUMPLE")&gt;0,"CUMPLE","NO CUMPLE"))</f>
        <v>NO CUMPLE</v>
      </c>
      <c r="L1456" s="754"/>
      <c r="M1456" s="755"/>
      <c r="N1456" s="755"/>
      <c r="O1456" s="755"/>
      <c r="P1456" s="755"/>
      <c r="Q1456" s="756"/>
      <c r="R1456" s="461"/>
      <c r="S1456" s="462"/>
      <c r="T1456" s="463"/>
      <c r="U1456" s="219"/>
      <c r="V1456" s="464"/>
      <c r="Y1456" s="549" t="e">
        <f>IF(Y1450="NO APLICA","NO APLICA",IF(COUNTIF(AD1451:AD1456,"CUMPLE")&gt;0,"CUMPLE","NO CUMPLE"))</f>
        <v>#N/A</v>
      </c>
      <c r="AA1456" s="541" t="e">
        <f>IF(AND(C1455&lt;=F1448,F1448&lt;&gt;""),VLOOKUP(VALUE(E1429&amp;","&amp;C1455),INTEGRANTES!$D$18:$F$235,2,0),"")</f>
        <v>#N/A</v>
      </c>
      <c r="AB1456" s="546" t="e">
        <f t="shared" si="419"/>
        <v>#N/A</v>
      </c>
      <c r="AC1456" s="543"/>
      <c r="AD1456" s="201" t="e">
        <f t="shared" si="420"/>
        <v>#N/A</v>
      </c>
      <c r="AE1456" s="52"/>
      <c r="AF1456" s="52"/>
      <c r="AG1456" s="52"/>
      <c r="AH1456" s="87"/>
      <c r="AI1456" s="87"/>
    </row>
    <row r="1457" spans="1:35" hidden="1">
      <c r="AH1457" s="87"/>
      <c r="AI1457" s="87"/>
    </row>
    <row r="1458" spans="1:35" hidden="1">
      <c r="AH1458" s="87"/>
      <c r="AI1458" s="87"/>
    </row>
    <row r="1459" spans="1:35" ht="24" hidden="1" thickBot="1">
      <c r="A1459" s="61">
        <v>49</v>
      </c>
      <c r="B1459" s="704" t="s">
        <v>51</v>
      </c>
      <c r="C1459" s="704"/>
      <c r="D1459" s="704"/>
      <c r="E1459" s="62" t="e">
        <f>VLOOKUP(A1459,PROPONENTES!$B$19:$E$218,2,FALSE)</f>
        <v>#N/A</v>
      </c>
      <c r="F1459" s="63" t="e">
        <f>VLOOKUP(A1459,PROPONENTES!$B$19:$E$218,3,FALSE)</f>
        <v>#N/A</v>
      </c>
      <c r="G1459" s="64"/>
      <c r="H1459" s="64"/>
      <c r="I1459" s="63"/>
      <c r="J1459" s="63"/>
      <c r="K1459" s="65"/>
      <c r="L1459" s="65"/>
      <c r="M1459" s="64"/>
      <c r="N1459" s="64"/>
      <c r="O1459" s="66"/>
      <c r="P1459" s="66"/>
      <c r="Q1459" s="66"/>
      <c r="R1459" s="66"/>
      <c r="S1459" s="67"/>
      <c r="T1459" s="68"/>
      <c r="U1459" s="68"/>
      <c r="AC1459" s="68"/>
      <c r="AD1459" s="68"/>
      <c r="AE1459" s="68"/>
      <c r="AF1459" s="68"/>
      <c r="AG1459" s="68"/>
      <c r="AH1459" s="87"/>
      <c r="AI1459" s="87"/>
    </row>
    <row r="1460" spans="1:35" ht="15.75" hidden="1" customHeight="1">
      <c r="A1460" s="44"/>
      <c r="B1460" s="709" t="s">
        <v>59</v>
      </c>
      <c r="C1460" s="552" t="s">
        <v>60</v>
      </c>
      <c r="D1460" s="70" t="s">
        <v>17</v>
      </c>
      <c r="E1460" s="70"/>
      <c r="F1460" s="70" t="s">
        <v>61</v>
      </c>
      <c r="G1460" s="71"/>
      <c r="H1460" s="699" t="s">
        <v>62</v>
      </c>
      <c r="I1460" s="699" t="s">
        <v>18</v>
      </c>
      <c r="J1460" s="699" t="s">
        <v>63</v>
      </c>
      <c r="K1460" s="699" t="s">
        <v>64</v>
      </c>
      <c r="L1460" s="699" t="s">
        <v>65</v>
      </c>
      <c r="M1460" s="743" t="s">
        <v>66</v>
      </c>
      <c r="N1460" s="699" t="s">
        <v>282</v>
      </c>
      <c r="O1460" s="745" t="s">
        <v>67</v>
      </c>
      <c r="P1460" s="746"/>
      <c r="Q1460" s="102" t="s">
        <v>75</v>
      </c>
      <c r="R1460" s="731" t="s">
        <v>22</v>
      </c>
      <c r="S1460" s="732"/>
      <c r="T1460" s="733"/>
      <c r="U1460" s="712" t="s">
        <v>298</v>
      </c>
      <c r="W1460" s="690" t="s">
        <v>268</v>
      </c>
      <c r="X1460" s="691"/>
      <c r="Y1460" s="692"/>
      <c r="Z1460" s="428"/>
      <c r="AA1460" s="697" t="s">
        <v>315</v>
      </c>
      <c r="AB1460" s="695" t="s">
        <v>322</v>
      </c>
      <c r="AC1460" s="49"/>
      <c r="AD1460" s="690" t="s">
        <v>297</v>
      </c>
      <c r="AE1460" s="691"/>
      <c r="AF1460" s="692"/>
      <c r="AG1460" s="49"/>
      <c r="AH1460" s="87"/>
      <c r="AI1460" s="87"/>
    </row>
    <row r="1461" spans="1:35" ht="72" hidden="1">
      <c r="A1461" s="44"/>
      <c r="B1461" s="710"/>
      <c r="C1461" s="553" t="s">
        <v>68</v>
      </c>
      <c r="D1461" s="73" t="s">
        <v>3</v>
      </c>
      <c r="E1461" s="73" t="s">
        <v>19</v>
      </c>
      <c r="F1461" s="73" t="s">
        <v>69</v>
      </c>
      <c r="G1461" s="74" t="s">
        <v>70</v>
      </c>
      <c r="H1461" s="700"/>
      <c r="I1461" s="700"/>
      <c r="J1461" s="700"/>
      <c r="K1461" s="700"/>
      <c r="L1461" s="700"/>
      <c r="M1461" s="744"/>
      <c r="N1461" s="700"/>
      <c r="O1461" s="553" t="s">
        <v>279</v>
      </c>
      <c r="P1461" s="73" t="s">
        <v>88</v>
      </c>
      <c r="Q1461" s="555" t="s">
        <v>76</v>
      </c>
      <c r="R1461" s="734"/>
      <c r="S1461" s="735"/>
      <c r="T1461" s="736"/>
      <c r="U1461" s="712"/>
      <c r="W1461" s="429" t="s">
        <v>269</v>
      </c>
      <c r="X1461" s="457" t="s">
        <v>278</v>
      </c>
      <c r="Y1461" s="430" t="s">
        <v>324</v>
      </c>
      <c r="Z1461" s="428"/>
      <c r="AA1461" s="698"/>
      <c r="AB1461" s="696"/>
      <c r="AC1461" s="49"/>
      <c r="AD1461" s="429" t="s">
        <v>292</v>
      </c>
      <c r="AE1461" s="431" t="s">
        <v>300</v>
      </c>
      <c r="AF1461" s="468" t="s">
        <v>301</v>
      </c>
      <c r="AG1461" s="49"/>
      <c r="AH1461" s="87"/>
      <c r="AI1461" s="87"/>
    </row>
    <row r="1462" spans="1:35" hidden="1">
      <c r="A1462" s="44"/>
      <c r="B1462" s="76"/>
      <c r="C1462" s="77"/>
      <c r="D1462" s="77"/>
      <c r="E1462" s="77"/>
      <c r="F1462" s="77"/>
      <c r="G1462" s="77"/>
      <c r="H1462" s="77"/>
      <c r="I1462" s="77"/>
      <c r="J1462" s="77"/>
      <c r="K1462" s="77"/>
      <c r="L1462" s="77"/>
      <c r="M1462" s="77"/>
      <c r="N1462" s="77"/>
      <c r="O1462" s="77"/>
      <c r="P1462" s="77"/>
      <c r="Q1462" s="77"/>
      <c r="R1462" s="77"/>
      <c r="S1462" s="78"/>
      <c r="T1462" s="79"/>
      <c r="U1462" s="109"/>
      <c r="V1462" s="49"/>
      <c r="W1462" s="432"/>
      <c r="X1462" s="454"/>
      <c r="Y1462" s="433"/>
      <c r="Z1462" s="6"/>
      <c r="AA1462" s="500"/>
      <c r="AB1462" s="562"/>
      <c r="AC1462" s="49"/>
      <c r="AD1462" s="210"/>
      <c r="AE1462" s="434"/>
      <c r="AF1462" s="435"/>
      <c r="AG1462" s="49"/>
      <c r="AH1462" s="87"/>
      <c r="AI1462" s="87"/>
    </row>
    <row r="1463" spans="1:35" hidden="1">
      <c r="A1463" s="80" t="e">
        <f>"A"&amp;E1459</f>
        <v>#N/A</v>
      </c>
      <c r="B1463" s="81">
        <v>1</v>
      </c>
      <c r="C1463" s="82"/>
      <c r="D1463" s="82"/>
      <c r="E1463" s="82"/>
      <c r="F1463" s="82"/>
      <c r="G1463" s="83"/>
      <c r="H1463" s="83"/>
      <c r="I1463" s="84"/>
      <c r="J1463" s="85"/>
      <c r="K1463" s="382"/>
      <c r="L1463" s="85"/>
      <c r="M1463" s="332" t="str">
        <f t="shared" ref="M1463:M1472" si="421">IF(OR(J1463="",L1463="",H1463="NO"),"",IF(OR(J1463&gt;$P$17,J1463&lt;$O$17,L1463&gt;$P$17,AND(J1463&lt;$O$17,L1463&lt;$O$17)),"FUERA DE RANGO",IF(OR(K1463="---",K1463=""),IF(J1463&gt;=$O$17,ROUND((L1463-J1463+1)/360*12,3),ROUND((L1463-$O$17+1)/360*12,3)),IF(J1463&gt;=$O$17,ROUND((L1463-J1463+1)/360*12-ROUND(K1463,3),3),ROUND((L1463-$O$17+1)/360*12-ROUND(K1463,3),3)))))</f>
        <v/>
      </c>
      <c r="N1463" s="86"/>
      <c r="O1463" s="453" t="str">
        <f>IF(OR(G1463="",N1463=""),"",N1463*G1463)</f>
        <v/>
      </c>
      <c r="P1463" s="538" t="str">
        <f>IF(OR(H1463="",M1463="FUERA DE RANGO"),"",IF(OR(L1463&lt;$O$17,L1463&gt;$P$17,L1463="",H1463="NO"),"",IF(OR(N1463="",O1463=""),"",ROUND(O1463,3))))</f>
        <v/>
      </c>
      <c r="Q1463" s="539" t="str">
        <f t="shared" ref="Q1463:Q1472" si="422">IF(AND(H1463="SI",P1463&lt;&gt;""),ROUND(P1463/M1463,3),"")</f>
        <v/>
      </c>
      <c r="R1463" s="737"/>
      <c r="S1463" s="738"/>
      <c r="T1463" s="739"/>
      <c r="U1463" s="470"/>
      <c r="V1463" s="165"/>
      <c r="W1463" s="446"/>
      <c r="X1463" s="456"/>
      <c r="Y1463" s="436"/>
      <c r="Z1463" s="437"/>
      <c r="AA1463" s="560"/>
      <c r="AB1463" s="561"/>
      <c r="AC1463" s="87"/>
      <c r="AD1463" s="466"/>
      <c r="AE1463" s="456"/>
      <c r="AF1463" s="467"/>
      <c r="AG1463" s="87"/>
      <c r="AH1463" s="87"/>
      <c r="AI1463" s="87"/>
    </row>
    <row r="1464" spans="1:35" hidden="1">
      <c r="A1464" s="80" t="e">
        <f>"B"&amp;E1459</f>
        <v>#N/A</v>
      </c>
      <c r="B1464" s="81">
        <v>2</v>
      </c>
      <c r="C1464" s="106"/>
      <c r="D1464" s="106"/>
      <c r="E1464" s="106"/>
      <c r="F1464" s="106"/>
      <c r="G1464" s="83"/>
      <c r="H1464" s="83"/>
      <c r="I1464" s="84"/>
      <c r="J1464" s="85"/>
      <c r="K1464" s="382"/>
      <c r="L1464" s="85"/>
      <c r="M1464" s="332" t="str">
        <f t="shared" si="421"/>
        <v/>
      </c>
      <c r="N1464" s="86"/>
      <c r="O1464" s="453" t="str">
        <f t="shared" ref="O1464:O1472" si="423">IF(OR(G1464="",N1464=""),"",N1464*G1464)</f>
        <v/>
      </c>
      <c r="P1464" s="538" t="str">
        <f t="shared" ref="P1464:P1472" si="424">IF(OR(H1464="",M1464="FUERA DE RANGO"),"",IF(OR(L1464&lt;$O$17,L1464&gt;$P$17,L1464="",H1464="NO"),"",IF(OR(N1464="",O1464=""),"",ROUND(O1464,3))))</f>
        <v/>
      </c>
      <c r="Q1464" s="539" t="str">
        <f t="shared" si="422"/>
        <v/>
      </c>
      <c r="R1464" s="740"/>
      <c r="S1464" s="741"/>
      <c r="T1464" s="742"/>
      <c r="U1464" s="471"/>
      <c r="V1464" s="165"/>
      <c r="W1464" s="446"/>
      <c r="X1464" s="456"/>
      <c r="Y1464" s="436"/>
      <c r="Z1464" s="437"/>
      <c r="AA1464" s="560"/>
      <c r="AB1464" s="561"/>
      <c r="AC1464" s="87"/>
      <c r="AD1464" s="466"/>
      <c r="AE1464" s="456"/>
      <c r="AF1464" s="467"/>
      <c r="AG1464" s="87"/>
      <c r="AH1464" s="87"/>
      <c r="AI1464" s="87"/>
    </row>
    <row r="1465" spans="1:35" hidden="1">
      <c r="A1465" s="80" t="e">
        <f>"C"&amp;E1459</f>
        <v>#N/A</v>
      </c>
      <c r="B1465" s="88">
        <v>3</v>
      </c>
      <c r="C1465" s="82"/>
      <c r="D1465" s="82"/>
      <c r="E1465" s="82"/>
      <c r="F1465" s="82"/>
      <c r="G1465" s="83"/>
      <c r="H1465" s="83"/>
      <c r="I1465" s="84"/>
      <c r="J1465" s="85"/>
      <c r="K1465" s="382"/>
      <c r="L1465" s="85"/>
      <c r="M1465" s="332" t="str">
        <f t="shared" si="421"/>
        <v/>
      </c>
      <c r="N1465" s="86"/>
      <c r="O1465" s="453" t="str">
        <f t="shared" si="423"/>
        <v/>
      </c>
      <c r="P1465" s="538" t="str">
        <f t="shared" si="424"/>
        <v/>
      </c>
      <c r="Q1465" s="539" t="str">
        <f t="shared" si="422"/>
        <v/>
      </c>
      <c r="R1465" s="706"/>
      <c r="S1465" s="707"/>
      <c r="T1465" s="708"/>
      <c r="U1465" s="472"/>
      <c r="V1465" s="166"/>
      <c r="W1465" s="446"/>
      <c r="X1465" s="456"/>
      <c r="Y1465" s="436"/>
      <c r="Z1465" s="437"/>
      <c r="AA1465" s="560"/>
      <c r="AB1465" s="561"/>
      <c r="AC1465" s="87"/>
      <c r="AD1465" s="466"/>
      <c r="AE1465" s="456"/>
      <c r="AF1465" s="467"/>
      <c r="AG1465" s="87"/>
      <c r="AH1465" s="87"/>
      <c r="AI1465" s="87"/>
    </row>
    <row r="1466" spans="1:35" hidden="1">
      <c r="A1466" s="80" t="e">
        <f>"D"&amp;E1459</f>
        <v>#N/A</v>
      </c>
      <c r="B1466" s="105">
        <v>4</v>
      </c>
      <c r="C1466" s="107"/>
      <c r="D1466" s="107"/>
      <c r="E1466" s="107"/>
      <c r="F1466" s="107"/>
      <c r="G1466" s="83"/>
      <c r="H1466" s="83"/>
      <c r="I1466" s="84"/>
      <c r="J1466" s="85"/>
      <c r="K1466" s="382"/>
      <c r="L1466" s="85"/>
      <c r="M1466" s="332" t="str">
        <f t="shared" si="421"/>
        <v/>
      </c>
      <c r="N1466" s="86"/>
      <c r="O1466" s="453" t="str">
        <f t="shared" si="423"/>
        <v/>
      </c>
      <c r="P1466" s="538" t="str">
        <f t="shared" si="424"/>
        <v/>
      </c>
      <c r="Q1466" s="539" t="str">
        <f t="shared" si="422"/>
        <v/>
      </c>
      <c r="R1466" s="706"/>
      <c r="S1466" s="707"/>
      <c r="T1466" s="708"/>
      <c r="U1466" s="472"/>
      <c r="V1466" s="166"/>
      <c r="W1466" s="446"/>
      <c r="X1466" s="456"/>
      <c r="Y1466" s="436"/>
      <c r="Z1466" s="437"/>
      <c r="AA1466" s="560"/>
      <c r="AB1466" s="561"/>
      <c r="AC1466" s="87"/>
      <c r="AD1466" s="466"/>
      <c r="AE1466" s="456"/>
      <c r="AF1466" s="467"/>
      <c r="AG1466" s="87"/>
      <c r="AH1466" s="87"/>
      <c r="AI1466" s="87"/>
    </row>
    <row r="1467" spans="1:35" hidden="1">
      <c r="A1467" s="80" t="e">
        <f>"E"&amp;E1459</f>
        <v>#N/A</v>
      </c>
      <c r="B1467" s="105">
        <v>5</v>
      </c>
      <c r="C1467" s="107"/>
      <c r="D1467" s="107"/>
      <c r="E1467" s="107"/>
      <c r="F1467" s="107"/>
      <c r="G1467" s="83"/>
      <c r="H1467" s="83"/>
      <c r="I1467" s="84"/>
      <c r="J1467" s="85"/>
      <c r="K1467" s="382"/>
      <c r="L1467" s="85"/>
      <c r="M1467" s="332" t="str">
        <f t="shared" si="421"/>
        <v/>
      </c>
      <c r="N1467" s="86"/>
      <c r="O1467" s="453" t="str">
        <f t="shared" si="423"/>
        <v/>
      </c>
      <c r="P1467" s="538" t="str">
        <f t="shared" si="424"/>
        <v/>
      </c>
      <c r="Q1467" s="539" t="str">
        <f t="shared" si="422"/>
        <v/>
      </c>
      <c r="R1467" s="706"/>
      <c r="S1467" s="707"/>
      <c r="T1467" s="708"/>
      <c r="U1467" s="472"/>
      <c r="V1467" s="167"/>
      <c r="W1467" s="446"/>
      <c r="X1467" s="456"/>
      <c r="Y1467" s="436"/>
      <c r="Z1467" s="437"/>
      <c r="AA1467" s="560"/>
      <c r="AB1467" s="561"/>
      <c r="AC1467" s="87"/>
      <c r="AD1467" s="466"/>
      <c r="AE1467" s="456"/>
      <c r="AF1467" s="467"/>
      <c r="AG1467" s="87"/>
      <c r="AH1467" s="87"/>
      <c r="AI1467" s="87"/>
    </row>
    <row r="1468" spans="1:35" hidden="1">
      <c r="A1468" s="80" t="e">
        <f>"F"&amp;E1459</f>
        <v>#N/A</v>
      </c>
      <c r="B1468" s="105">
        <v>6</v>
      </c>
      <c r="C1468" s="107"/>
      <c r="D1468" s="107"/>
      <c r="E1468" s="107"/>
      <c r="F1468" s="107"/>
      <c r="G1468" s="83"/>
      <c r="H1468" s="83"/>
      <c r="I1468" s="84"/>
      <c r="J1468" s="85"/>
      <c r="K1468" s="382"/>
      <c r="L1468" s="85"/>
      <c r="M1468" s="332" t="str">
        <f t="shared" si="421"/>
        <v/>
      </c>
      <c r="N1468" s="86"/>
      <c r="O1468" s="453" t="str">
        <f t="shared" si="423"/>
        <v/>
      </c>
      <c r="P1468" s="538" t="str">
        <f t="shared" si="424"/>
        <v/>
      </c>
      <c r="Q1468" s="539" t="str">
        <f t="shared" si="422"/>
        <v/>
      </c>
      <c r="R1468" s="706"/>
      <c r="S1468" s="707"/>
      <c r="T1468" s="708"/>
      <c r="U1468" s="472"/>
      <c r="V1468" s="167"/>
      <c r="W1468" s="446"/>
      <c r="X1468" s="456"/>
      <c r="Y1468" s="436"/>
      <c r="Z1468" s="437"/>
      <c r="AA1468" s="560"/>
      <c r="AB1468" s="561"/>
      <c r="AC1468" s="87"/>
      <c r="AD1468" s="466"/>
      <c r="AE1468" s="456"/>
      <c r="AF1468" s="467"/>
      <c r="AG1468" s="87"/>
      <c r="AH1468" s="87"/>
      <c r="AI1468" s="87"/>
    </row>
    <row r="1469" spans="1:35" hidden="1">
      <c r="A1469" s="80" t="e">
        <f>"G"&amp;E1459</f>
        <v>#N/A</v>
      </c>
      <c r="B1469" s="105">
        <v>7</v>
      </c>
      <c r="C1469" s="107"/>
      <c r="D1469" s="107"/>
      <c r="E1469" s="107"/>
      <c r="F1469" s="107"/>
      <c r="G1469" s="83"/>
      <c r="H1469" s="83"/>
      <c r="I1469" s="84"/>
      <c r="J1469" s="85"/>
      <c r="K1469" s="382"/>
      <c r="L1469" s="85"/>
      <c r="M1469" s="332" t="str">
        <f t="shared" si="421"/>
        <v/>
      </c>
      <c r="N1469" s="86"/>
      <c r="O1469" s="86" t="str">
        <f t="shared" si="423"/>
        <v/>
      </c>
      <c r="P1469" s="538" t="str">
        <f t="shared" si="424"/>
        <v/>
      </c>
      <c r="Q1469" s="539" t="str">
        <f t="shared" si="422"/>
        <v/>
      </c>
      <c r="R1469" s="706"/>
      <c r="S1469" s="707"/>
      <c r="T1469" s="708"/>
      <c r="U1469" s="472"/>
      <c r="V1469" s="167"/>
      <c r="W1469" s="446"/>
      <c r="X1469" s="456"/>
      <c r="Y1469" s="436"/>
      <c r="Z1469" s="437"/>
      <c r="AA1469" s="560"/>
      <c r="AB1469" s="561"/>
      <c r="AC1469" s="87"/>
      <c r="AD1469" s="466"/>
      <c r="AE1469" s="456"/>
      <c r="AF1469" s="467"/>
      <c r="AG1469" s="87"/>
      <c r="AH1469" s="87"/>
      <c r="AI1469" s="87"/>
    </row>
    <row r="1470" spans="1:35" hidden="1">
      <c r="A1470" s="80" t="e">
        <f>"H"&amp;E1459</f>
        <v>#N/A</v>
      </c>
      <c r="B1470" s="105">
        <v>8</v>
      </c>
      <c r="C1470" s="107"/>
      <c r="D1470" s="107"/>
      <c r="E1470" s="107"/>
      <c r="F1470" s="107"/>
      <c r="G1470" s="83"/>
      <c r="H1470" s="83"/>
      <c r="I1470" s="84"/>
      <c r="J1470" s="85"/>
      <c r="K1470" s="382"/>
      <c r="L1470" s="85"/>
      <c r="M1470" s="332" t="str">
        <f t="shared" si="421"/>
        <v/>
      </c>
      <c r="N1470" s="453"/>
      <c r="O1470" s="86" t="str">
        <f t="shared" si="423"/>
        <v/>
      </c>
      <c r="P1470" s="538" t="str">
        <f t="shared" si="424"/>
        <v/>
      </c>
      <c r="Q1470" s="539" t="str">
        <f t="shared" si="422"/>
        <v/>
      </c>
      <c r="R1470" s="706"/>
      <c r="S1470" s="707"/>
      <c r="T1470" s="708"/>
      <c r="U1470" s="472"/>
      <c r="V1470" s="167"/>
      <c r="W1470" s="446"/>
      <c r="X1470" s="456"/>
      <c r="Y1470" s="436"/>
      <c r="Z1470" s="437"/>
      <c r="AA1470" s="560"/>
      <c r="AB1470" s="561"/>
      <c r="AC1470" s="87"/>
      <c r="AD1470" s="466"/>
      <c r="AE1470" s="456"/>
      <c r="AF1470" s="467"/>
      <c r="AG1470" s="87"/>
      <c r="AH1470" s="87"/>
      <c r="AI1470" s="87"/>
    </row>
    <row r="1471" spans="1:35" hidden="1">
      <c r="A1471" s="80" t="e">
        <f>"I"&amp;E1459</f>
        <v>#N/A</v>
      </c>
      <c r="B1471" s="105">
        <v>9</v>
      </c>
      <c r="C1471" s="107"/>
      <c r="D1471" s="107"/>
      <c r="E1471" s="107"/>
      <c r="F1471" s="107"/>
      <c r="G1471" s="83"/>
      <c r="H1471" s="83"/>
      <c r="I1471" s="84"/>
      <c r="J1471" s="85"/>
      <c r="K1471" s="382"/>
      <c r="L1471" s="85"/>
      <c r="M1471" s="332" t="str">
        <f t="shared" si="421"/>
        <v/>
      </c>
      <c r="N1471" s="453"/>
      <c r="O1471" s="86" t="str">
        <f t="shared" si="423"/>
        <v/>
      </c>
      <c r="P1471" s="538" t="str">
        <f t="shared" si="424"/>
        <v/>
      </c>
      <c r="Q1471" s="539" t="str">
        <f t="shared" si="422"/>
        <v/>
      </c>
      <c r="R1471" s="706"/>
      <c r="S1471" s="707"/>
      <c r="T1471" s="708"/>
      <c r="U1471" s="472"/>
      <c r="V1471" s="167"/>
      <c r="W1471" s="446"/>
      <c r="X1471" s="456"/>
      <c r="Y1471" s="436"/>
      <c r="Z1471" s="437"/>
      <c r="AA1471" s="560"/>
      <c r="AB1471" s="561"/>
      <c r="AC1471" s="87"/>
      <c r="AD1471" s="466"/>
      <c r="AE1471" s="456"/>
      <c r="AF1471" s="467"/>
      <c r="AG1471" s="87"/>
      <c r="AH1471" s="87"/>
      <c r="AI1471" s="87"/>
    </row>
    <row r="1472" spans="1:35" hidden="1">
      <c r="A1472" s="80" t="e">
        <f>"J"&amp;E1459</f>
        <v>#N/A</v>
      </c>
      <c r="B1472" s="105">
        <v>10</v>
      </c>
      <c r="C1472" s="107"/>
      <c r="D1472" s="107"/>
      <c r="E1472" s="107"/>
      <c r="F1472" s="107"/>
      <c r="G1472" s="83"/>
      <c r="H1472" s="83"/>
      <c r="I1472" s="84"/>
      <c r="J1472" s="85"/>
      <c r="K1472" s="382"/>
      <c r="L1472" s="85"/>
      <c r="M1472" s="332" t="str">
        <f t="shared" si="421"/>
        <v/>
      </c>
      <c r="N1472" s="453"/>
      <c r="O1472" s="86" t="str">
        <f t="shared" si="423"/>
        <v/>
      </c>
      <c r="P1472" s="538" t="str">
        <f t="shared" si="424"/>
        <v/>
      </c>
      <c r="Q1472" s="539" t="str">
        <f t="shared" si="422"/>
        <v/>
      </c>
      <c r="R1472" s="706"/>
      <c r="S1472" s="707"/>
      <c r="T1472" s="708"/>
      <c r="U1472" s="472"/>
      <c r="V1472" s="167"/>
      <c r="W1472" s="446"/>
      <c r="X1472" s="456"/>
      <c r="Y1472" s="436"/>
      <c r="Z1472" s="437"/>
      <c r="AA1472" s="560"/>
      <c r="AB1472" s="561"/>
      <c r="AC1472" s="87"/>
      <c r="AD1472" s="466"/>
      <c r="AE1472" s="456"/>
      <c r="AF1472" s="467"/>
      <c r="AG1472" s="87"/>
      <c r="AH1472" s="87"/>
      <c r="AI1472" s="87"/>
    </row>
    <row r="1473" spans="1:35" ht="16.5" hidden="1" thickBot="1">
      <c r="A1473" s="44"/>
      <c r="B1473" s="89"/>
      <c r="C1473" s="90"/>
      <c r="D1473" s="90"/>
      <c r="E1473" s="90"/>
      <c r="F1473" s="90"/>
      <c r="G1473" s="90"/>
      <c r="H1473" s="90"/>
      <c r="I1473" s="90"/>
      <c r="J1473" s="90"/>
      <c r="K1473" s="90"/>
      <c r="L1473" s="90"/>
      <c r="M1473" s="90"/>
      <c r="N1473" s="90"/>
      <c r="O1473" s="90"/>
      <c r="P1473" s="90"/>
      <c r="Q1473" s="90"/>
      <c r="R1473" s="90"/>
      <c r="S1473" s="91"/>
      <c r="T1473" s="92"/>
      <c r="U1473" s="473"/>
      <c r="W1473" s="438"/>
      <c r="X1473" s="455"/>
      <c r="Y1473" s="439"/>
      <c r="Z1473" s="437"/>
      <c r="AA1473" s="530"/>
      <c r="AB1473" s="563"/>
      <c r="AC1473" s="87"/>
      <c r="AD1473" s="440"/>
      <c r="AE1473" s="441"/>
      <c r="AF1473" s="442"/>
      <c r="AG1473" s="49"/>
      <c r="AH1473" s="87"/>
      <c r="AI1473" s="87"/>
    </row>
    <row r="1474" spans="1:35" ht="16.5" hidden="1" thickBot="1">
      <c r="A1474" s="93"/>
      <c r="B1474" s="94"/>
      <c r="C1474" s="96"/>
      <c r="D1474" s="96"/>
      <c r="E1474" s="96"/>
      <c r="F1474" s="96"/>
      <c r="G1474" s="96"/>
      <c r="H1474" s="96"/>
      <c r="I1474" s="96"/>
      <c r="J1474" s="96"/>
      <c r="K1474" s="96"/>
      <c r="L1474" s="96"/>
      <c r="M1474" s="136"/>
      <c r="N1474" s="96"/>
      <c r="O1474" s="96"/>
      <c r="P1474" s="97"/>
      <c r="Q1474" s="97"/>
      <c r="R1474" s="98"/>
      <c r="S1474" s="95"/>
      <c r="T1474" s="99"/>
      <c r="U1474" s="469"/>
      <c r="AC1474" s="58"/>
      <c r="AG1474" s="58"/>
      <c r="AH1474" s="87"/>
      <c r="AI1474" s="87"/>
    </row>
    <row r="1475" spans="1:35" ht="16.5" hidden="1" thickBot="1">
      <c r="B1475" s="101"/>
      <c r="C1475" s="101"/>
      <c r="D1475" s="101"/>
      <c r="E1475" s="101"/>
      <c r="F1475" s="101"/>
      <c r="G1475" s="101"/>
      <c r="H1475" s="101"/>
      <c r="I1475" s="101"/>
      <c r="J1475" s="101"/>
      <c r="K1475" s="101"/>
      <c r="L1475" s="101"/>
      <c r="M1475" s="101"/>
      <c r="N1475" s="101"/>
      <c r="O1475" s="101"/>
      <c r="P1475" s="101"/>
      <c r="Q1475" s="101"/>
      <c r="R1475" s="101"/>
      <c r="S1475" s="101"/>
      <c r="U1475" s="50"/>
      <c r="AH1475" s="87"/>
      <c r="AI1475" s="87"/>
    </row>
    <row r="1476" spans="1:35" ht="16.5" hidden="1" customHeight="1" thickBot="1">
      <c r="A1476" s="44"/>
      <c r="B1476" s="705" t="s">
        <v>74</v>
      </c>
      <c r="C1476" s="705"/>
      <c r="D1476" s="705"/>
      <c r="E1476" s="705"/>
      <c r="F1476" s="705"/>
      <c r="G1476" s="705"/>
      <c r="H1476" s="705"/>
      <c r="I1476" s="705"/>
      <c r="J1476" s="705"/>
      <c r="K1476" s="705"/>
      <c r="L1476" s="705"/>
      <c r="M1476" s="705"/>
      <c r="N1476" s="705"/>
      <c r="O1476" s="705"/>
      <c r="P1476" s="705"/>
      <c r="Q1476" s="705"/>
      <c r="R1476" s="705"/>
      <c r="S1476" s="705"/>
      <c r="T1476" s="705"/>
      <c r="U1476" s="108"/>
      <c r="Y1476" s="532" t="s">
        <v>341</v>
      </c>
      <c r="AC1476" s="49"/>
      <c r="AD1476" s="687" t="s">
        <v>302</v>
      </c>
      <c r="AE1476" s="688"/>
      <c r="AF1476" s="689"/>
      <c r="AG1476" s="49"/>
      <c r="AH1476" s="87"/>
      <c r="AI1476" s="87"/>
    </row>
    <row r="1477" spans="1:35" ht="15.75" hidden="1" customHeight="1" thickBot="1">
      <c r="A1477" s="218" t="e">
        <f>"K"&amp;E1459</f>
        <v>#N/A</v>
      </c>
      <c r="B1477" s="701" t="s">
        <v>71</v>
      </c>
      <c r="C1477" s="751" t="s">
        <v>102</v>
      </c>
      <c r="D1477" s="751"/>
      <c r="E1477" s="751"/>
      <c r="F1477" s="751"/>
      <c r="G1477" s="751"/>
      <c r="H1477" s="751"/>
      <c r="I1477" s="751"/>
      <c r="J1477" s="751"/>
      <c r="K1477" s="751"/>
      <c r="L1477" s="722" t="s">
        <v>100</v>
      </c>
      <c r="M1477" s="747" t="s">
        <v>114</v>
      </c>
      <c r="N1477" s="747"/>
      <c r="O1477" s="747"/>
      <c r="P1477" s="747"/>
      <c r="Q1477" s="748"/>
      <c r="R1477" s="758" t="s">
        <v>280</v>
      </c>
      <c r="S1477" s="748"/>
      <c r="T1477" s="762" t="str">
        <f>IF(COUNTIF(AE1477:AF1477,"VERIFICAR")&gt;0,"VERIFICAR",IF(COUNTIF(AE1477:AF1477,"NO CUMPLE")&gt;0,"NO CUMPLE","CUMPLE"))</f>
        <v>VERIFICAR</v>
      </c>
      <c r="U1477" s="108"/>
      <c r="Y1477" s="533" t="e">
        <f>IF(F1478="","",IF(F1478=1,"INDIVIDUAL","ESTRUCTURA PLURAL"))</f>
        <v>#N/A</v>
      </c>
      <c r="AC1477" s="52"/>
      <c r="AD1477" s="475" t="s">
        <v>303</v>
      </c>
      <c r="AE1477" s="476" t="str">
        <f>IF(COUNTIF(AE1463:AE1472,"")=10,"VERIFICAR",IF(COUNTIF(AE1463:AE1472,"SI")&gt;0,"CUMPLE","NO CUMPLE"))</f>
        <v>VERIFICAR</v>
      </c>
      <c r="AF1477" s="477" t="str">
        <f>IF(COUNTIF(AF1463:AF1472,"")=10,"VERIFICAR",IF(COUNTIF(AF1463:AF1472,"SI")&gt;=$AI$22,"CUMPLE","NO CUMPLE"))</f>
        <v>VERIFICAR</v>
      </c>
      <c r="AG1477" s="52"/>
      <c r="AH1477" s="87"/>
      <c r="AI1477" s="87"/>
    </row>
    <row r="1478" spans="1:35" ht="16.5" hidden="1" customHeight="1" thickBot="1">
      <c r="A1478" s="218" t="e">
        <f>"L"&amp;E1459</f>
        <v>#N/A</v>
      </c>
      <c r="B1478" s="702"/>
      <c r="C1478" s="751" t="s">
        <v>103</v>
      </c>
      <c r="D1478" s="751"/>
      <c r="E1478" s="752"/>
      <c r="F1478" s="557" t="e">
        <f>IF(VLOOKUP(E1459,PROPONENTES!$C$19:$E$218,3,0)="","",VLOOKUP(E1459,PROPONENTES!$C$19:$E$218,3,0))</f>
        <v>#N/A</v>
      </c>
      <c r="G1478" s="753" t="s">
        <v>104</v>
      </c>
      <c r="H1478" s="751"/>
      <c r="I1478" s="715" t="e">
        <f>IF(OR(F1478="",F1478=1),"INTERESADO PERSONA NATURAL O JURIDICA","CONSORCIO O UNION TEMPORAL")</f>
        <v>#N/A</v>
      </c>
      <c r="J1478" s="725"/>
      <c r="K1478" s="728"/>
      <c r="L1478" s="723"/>
      <c r="M1478" s="749"/>
      <c r="N1478" s="749"/>
      <c r="O1478" s="749"/>
      <c r="P1478" s="749"/>
      <c r="Q1478" s="750"/>
      <c r="R1478" s="712"/>
      <c r="S1478" s="750"/>
      <c r="T1478" s="763"/>
      <c r="U1478" s="108"/>
      <c r="Y1478" s="534"/>
      <c r="AA1478" s="52"/>
      <c r="AB1478" s="52"/>
      <c r="AC1478" s="52"/>
      <c r="AG1478" s="52"/>
      <c r="AH1478" s="87"/>
      <c r="AI1478" s="87"/>
    </row>
    <row r="1479" spans="1:35" ht="56.25" hidden="1" customHeight="1" thickBot="1">
      <c r="A1479" s="218" t="e">
        <f>"M"&amp;E1459</f>
        <v>#N/A</v>
      </c>
      <c r="B1479" s="702"/>
      <c r="C1479" s="725" t="s">
        <v>101</v>
      </c>
      <c r="D1479" s="716"/>
      <c r="E1479" s="558" t="s">
        <v>105</v>
      </c>
      <c r="F1479" s="554" t="s">
        <v>87</v>
      </c>
      <c r="G1479" s="553" t="s">
        <v>86</v>
      </c>
      <c r="H1479" s="559" t="s">
        <v>85</v>
      </c>
      <c r="I1479" s="554" t="s">
        <v>252</v>
      </c>
      <c r="J1479" s="553" t="str">
        <f>"¿EL INTEGRANTE TIENE UNA PARTICIPACIÓN DEL "&amp;PORCREQUERIDOINT*100&amp;"%?"</f>
        <v>¿EL INTEGRANTE TIENE UNA PARTICIPACIÓN DEL 60%?</v>
      </c>
      <c r="K1479" s="554" t="s">
        <v>107</v>
      </c>
      <c r="L1479" s="724"/>
      <c r="M1479" s="717" t="s">
        <v>115</v>
      </c>
      <c r="N1479" s="718"/>
      <c r="O1479" s="718"/>
      <c r="P1479" s="718"/>
      <c r="Q1479" s="223">
        <f>IF(AND(H1463="SI",P1463&gt;=0),1,0)+IF(AND(H1464="SI",P1464&gt;=0),1,0)+IF(AND(H1465="SI",P1465&gt;=0),1,0)+IF(AND(H1466="SI",P1466&gt;=0),1,0)+IF(AND(H1467="SI",P1467&gt;=0),1,0)+IF(AND(H1468="SI",P1468&gt;=0),1,0)+IF(AND(H1469="SI",P1469&gt;=0),1,0)+IF(AND(H1470="SI",P1470&gt;=0),1,0)+IF(AND(H1471="SI",P1471&gt;=0),1,0)+IF(AND(H1472="SI",P1472&gt;=0),1,0)</f>
        <v>0</v>
      </c>
      <c r="R1479" s="759"/>
      <c r="S1479" s="761"/>
      <c r="T1479" s="764"/>
      <c r="U1479" s="219"/>
      <c r="V1479" s="464"/>
      <c r="Y1479" s="532" t="s">
        <v>342</v>
      </c>
      <c r="AA1479" s="550" t="s">
        <v>344</v>
      </c>
      <c r="AB1479" s="693" t="s">
        <v>345</v>
      </c>
      <c r="AC1479" s="693" t="s">
        <v>346</v>
      </c>
      <c r="AD1479" s="685" t="s">
        <v>347</v>
      </c>
      <c r="AE1479" s="52"/>
      <c r="AF1479" s="52"/>
      <c r="AG1479" s="52"/>
      <c r="AH1479" s="87"/>
      <c r="AI1479" s="87"/>
    </row>
    <row r="1480" spans="1:35" ht="15.75" hidden="1" customHeight="1" thickBot="1">
      <c r="A1480" s="218" t="e">
        <f>"N"&amp;E1459</f>
        <v>#N/A</v>
      </c>
      <c r="B1480" s="702"/>
      <c r="C1480" s="114">
        <v>1</v>
      </c>
      <c r="D1480" s="194" t="e">
        <f>IF(AND(C1480&lt;=F1478,F1478&gt;1,F1478&lt;&gt;""),VLOOKUP(VALUE(E1459&amp;","&amp;C1480),INTEGRANTES!$D$18:$F$235,2,0),"")</f>
        <v>#N/A</v>
      </c>
      <c r="E1480" s="211" t="e">
        <f>IF(D1480&lt;&gt;"",VLOOKUP(VALUE(E1459&amp;","&amp;C1480),INTEGRANTES!$D$18:$F$235,3,0),"")</f>
        <v>#N/A</v>
      </c>
      <c r="F1480" s="547" t="e">
        <f>IF(D1480="","",SUMIF($I1463:$I1472,D1480,$P1463:$P1472))</f>
        <v>#N/A</v>
      </c>
      <c r="G1480" s="333" t="e">
        <f>IF(D1480="","",SUMIF($I1463:$I1472,D1480,$M1463:$M1472))</f>
        <v>#N/A</v>
      </c>
      <c r="H1480" s="535" t="e">
        <f t="shared" ref="H1480:H1485" si="425">IF(D1480="","",IF(OR(F1480=0,G1480=0),"NO APORTA",ROUND($F1480/$G1480,3)))</f>
        <v>#N/A</v>
      </c>
      <c r="I1480" s="212" t="e">
        <f>IF(D1480="","",IF(H1480="NO APORTA","NO",IF(H1480=MAX($H1480:$H1485),"SI","NO")))</f>
        <v>#N/A</v>
      </c>
      <c r="J1480" s="213" t="e">
        <f t="shared" ref="J1480:J1485" si="426">IF(D1480="","",IF(E1480&gt;=PORCREQUERIDOINT,"SI","NO"))</f>
        <v>#N/A</v>
      </c>
      <c r="K1480" s="200" t="e">
        <f t="shared" ref="K1480:K1485" si="427">IF(D1480="","",IF(AND(I1480="SI",J1480="SI"),"CUMPLE",IF(AND(I1480="NO",OR(J1480="SI",J1480="NO")),"","NO CUMPLE")))</f>
        <v>#N/A</v>
      </c>
      <c r="L1480" s="722" t="s">
        <v>108</v>
      </c>
      <c r="M1480" s="726" t="s">
        <v>119</v>
      </c>
      <c r="N1480" s="726"/>
      <c r="O1480" s="726"/>
      <c r="P1480" s="726"/>
      <c r="Q1480" s="727"/>
      <c r="R1480" s="758" t="s">
        <v>80</v>
      </c>
      <c r="S1480" s="747"/>
      <c r="T1480" s="748"/>
      <c r="U1480" s="219"/>
      <c r="V1480" s="464"/>
      <c r="Y1480" s="533" t="e">
        <f>IF(Y1477="","",IF(Y1477="INDIVIDUAL","NO APLICA","VERIFICAR CUADRO"))</f>
        <v>#N/A</v>
      </c>
      <c r="AA1480" s="551"/>
      <c r="AB1480" s="694"/>
      <c r="AC1480" s="694"/>
      <c r="AD1480" s="686"/>
      <c r="AE1480" s="52"/>
      <c r="AF1480" s="52"/>
      <c r="AG1480" s="52"/>
      <c r="AH1480" s="87"/>
      <c r="AI1480" s="87"/>
    </row>
    <row r="1481" spans="1:35" ht="27" hidden="1" customHeight="1" thickBot="1">
      <c r="A1481" s="218" t="e">
        <f>"O"&amp;E1459</f>
        <v>#N/A</v>
      </c>
      <c r="B1481" s="702"/>
      <c r="C1481" s="114">
        <v>2</v>
      </c>
      <c r="D1481" s="194" t="e">
        <f>IF(AND(C1481&lt;=F1478,F1478&lt;&gt;""),VLOOKUP(VALUE(E1459&amp;","&amp;C1481),INTEGRANTES!$D$18:$F$235,2,0),"")</f>
        <v>#N/A</v>
      </c>
      <c r="E1481" s="211" t="e">
        <f>IF(D1481&lt;&gt;"",VLOOKUP(VALUE(E1459&amp;","&amp;C1481),INTEGRANTES!$D$18:$F$235,3,0),"")</f>
        <v>#N/A</v>
      </c>
      <c r="F1481" s="547" t="e">
        <f>IF(D1481="","",SUMIF($I1463:$I1472,D1481,$P1463:$P1472))</f>
        <v>#N/A</v>
      </c>
      <c r="G1481" s="333" t="e">
        <f>IF(D1481="","",SUMIF($I1463:$I1472,D1481,$M1463:$M1472))</f>
        <v>#N/A</v>
      </c>
      <c r="H1481" s="535" t="e">
        <f t="shared" si="425"/>
        <v>#N/A</v>
      </c>
      <c r="I1481" s="212" t="e">
        <f>IF(D1481="","",IF(H1481="NO APORTA","NO",IF(H1481=MAX($H1480:$H1485),"SI","NO")))</f>
        <v>#N/A</v>
      </c>
      <c r="J1481" s="213" t="e">
        <f t="shared" si="426"/>
        <v>#N/A</v>
      </c>
      <c r="K1481" s="200" t="e">
        <f t="shared" si="427"/>
        <v>#N/A</v>
      </c>
      <c r="L1481" s="723"/>
      <c r="M1481" s="715" t="s">
        <v>116</v>
      </c>
      <c r="N1481" s="716"/>
      <c r="O1481" s="556" t="s">
        <v>113</v>
      </c>
      <c r="P1481" s="715" t="s">
        <v>117</v>
      </c>
      <c r="Q1481" s="728"/>
      <c r="R1481" s="759"/>
      <c r="S1481" s="760"/>
      <c r="T1481" s="761"/>
      <c r="U1481" s="219"/>
      <c r="V1481" s="464"/>
      <c r="Y1481" s="414"/>
      <c r="AA1481" s="542" t="e">
        <f>IF(AND(C1480&lt;=F1478,F1478&gt;1,F1478&lt;&gt;""),VLOOKUP(VALUE(E1459&amp;","&amp;C1480),INTEGRANTES!$D$18:$F$235,2,0),"")</f>
        <v>#N/A</v>
      </c>
      <c r="AB1481" s="544" t="e">
        <f t="shared" ref="AB1481:AB1486" si="428">IF(D1480="","",IF(OR(F1480=0,G1480=0),"NO APORTA",ROUND($F1480/$G1480,3)))</f>
        <v>#N/A</v>
      </c>
      <c r="AC1481" s="529"/>
      <c r="AD1481" s="200" t="e">
        <f t="shared" ref="AD1481:AD1486" si="429">IF(OR(AA1481="",AB1481=""),"",IF(AND(AC1481="X",AB1481&gt;=EXPREQVTD),"CUMPLE","NO CUMPLE"))</f>
        <v>#N/A</v>
      </c>
      <c r="AE1481" s="52"/>
      <c r="AF1481" s="52"/>
      <c r="AG1481" s="52"/>
      <c r="AH1481" s="87"/>
      <c r="AI1481" s="87"/>
    </row>
    <row r="1482" spans="1:35" ht="16.5" hidden="1" thickBot="1">
      <c r="A1482" s="218" t="e">
        <f>"P"&amp;E1459</f>
        <v>#N/A</v>
      </c>
      <c r="B1482" s="702"/>
      <c r="C1482" s="114">
        <v>3</v>
      </c>
      <c r="D1482" s="194" t="e">
        <f>IF(AND(C1482&lt;=F1478,F1478&lt;&gt;""),VLOOKUP(VALUE(E1459&amp;","&amp;C1482),INTEGRANTES!$D$18:$F$235,2,0),"")</f>
        <v>#N/A</v>
      </c>
      <c r="E1482" s="211" t="e">
        <f>IF(D1482&lt;&gt;"",VLOOKUP(VALUE(E1459&amp;","&amp;C1482),INTEGRANTES!$D$18:$F$235,3,0),"")</f>
        <v>#N/A</v>
      </c>
      <c r="F1482" s="547" t="e">
        <f>IF(D1482="","",SUMIF($I1463:$I1472,D1482,$P1463:$P1472))</f>
        <v>#N/A</v>
      </c>
      <c r="G1482" s="333" t="e">
        <f>IF(D1482="","",SUMIF($I1463:$I1472,D1482,$M1463:$M1472))</f>
        <v>#N/A</v>
      </c>
      <c r="H1482" s="535" t="e">
        <f t="shared" si="425"/>
        <v>#N/A</v>
      </c>
      <c r="I1482" s="212" t="e">
        <f>IF(D1482="","",IF(H1482="NO APORTA","NO",IF(H1482=MAX($H1480:$H1485),"SI","NO")))</f>
        <v>#N/A</v>
      </c>
      <c r="J1482" s="213" t="e">
        <f t="shared" si="426"/>
        <v>#N/A</v>
      </c>
      <c r="K1482" s="200" t="e">
        <f t="shared" si="427"/>
        <v>#N/A</v>
      </c>
      <c r="L1482" s="724"/>
      <c r="M1482" s="729">
        <f>NUMMOD</f>
        <v>1</v>
      </c>
      <c r="N1482" s="730"/>
      <c r="O1482" s="443">
        <f>IF(M1482="","",VLOOKUP(M1482,PRESUPUESTOS!$B$16:$H$16,5,FALSE))</f>
        <v>2</v>
      </c>
      <c r="P1482" s="713">
        <f>IF(OR(COUNTIF(M1463:M1472,"")&gt;=10,Q1479&lt;NUMMINCONT,OR(T1477="NO CUMPLE",T1477="VERIFICAR")),0,ROUND(AVERAGE(M1463:M1472),3))</f>
        <v>0</v>
      </c>
      <c r="Q1482" s="714"/>
      <c r="R1482" s="458"/>
      <c r="S1482" s="459"/>
      <c r="T1482" s="460"/>
      <c r="U1482" s="219"/>
      <c r="V1482" s="464"/>
      <c r="Y1482" s="532" t="str">
        <f>"40% * ("&amp;PRESUPUESTOS!$H$13&amp;")"</f>
        <v>40% * (50% PFMO)</v>
      </c>
      <c r="AA1482" s="540" t="e">
        <f>IF(AND(C1481&lt;=F1478,F1478&lt;&gt;""),VLOOKUP(VALUE(E1459&amp;","&amp;C1481),INTEGRANTES!$D$18:$F$235,2,0),"")</f>
        <v>#N/A</v>
      </c>
      <c r="AB1482" s="545" t="e">
        <f t="shared" si="428"/>
        <v>#N/A</v>
      </c>
      <c r="AC1482" s="529"/>
      <c r="AD1482" s="200" t="e">
        <f t="shared" si="429"/>
        <v>#N/A</v>
      </c>
      <c r="AE1482" s="52"/>
      <c r="AF1482" s="52"/>
      <c r="AG1482" s="52"/>
      <c r="AH1482" s="87"/>
      <c r="AI1482" s="87"/>
    </row>
    <row r="1483" spans="1:35" ht="15.75" hidden="1" customHeight="1" thickBot="1">
      <c r="A1483" s="218" t="e">
        <f>"Q"&amp;E1459</f>
        <v>#N/A</v>
      </c>
      <c r="B1483" s="702"/>
      <c r="C1483" s="114">
        <v>4</v>
      </c>
      <c r="D1483" s="194" t="e">
        <f>IF(AND(C1483&lt;=F1478,F1478&lt;&gt;""),VLOOKUP(VALUE(E1459&amp;","&amp;C1483),INTEGRANTES!$D$18:$F$235,2,0),"")</f>
        <v>#N/A</v>
      </c>
      <c r="E1483" s="211" t="e">
        <f>IF(D1483&lt;&gt;"",VLOOKUP(VALUE(E1459&amp;","&amp;C1483),INTEGRANTES!$D$18:$F$235,3,0),"")</f>
        <v>#N/A</v>
      </c>
      <c r="F1483" s="547" t="e">
        <f>IF(D1483="","",SUMIF($I1463:$I1472,D1483,$P1463:$P1472))</f>
        <v>#N/A</v>
      </c>
      <c r="G1483" s="333" t="e">
        <f>IF(D1483="","",SUMIF($I1463:$I1472,D1483,$M1463:$M1472))</f>
        <v>#N/A</v>
      </c>
      <c r="H1483" s="535" t="e">
        <f t="shared" si="425"/>
        <v>#N/A</v>
      </c>
      <c r="I1483" s="212" t="e">
        <f>IF(D1483="","",IF(H1483="NO APORTA","NO",IF(H1483=MAX($H1480:$H1485),"SI","NO")))</f>
        <v>#N/A</v>
      </c>
      <c r="J1483" s="213" t="e">
        <f t="shared" si="426"/>
        <v>#N/A</v>
      </c>
      <c r="K1483" s="200" t="e">
        <f t="shared" si="427"/>
        <v>#N/A</v>
      </c>
      <c r="L1483" s="720" t="s">
        <v>109</v>
      </c>
      <c r="M1483" s="757" t="s">
        <v>120</v>
      </c>
      <c r="N1483" s="726"/>
      <c r="O1483" s="726"/>
      <c r="P1483" s="726"/>
      <c r="Q1483" s="727"/>
      <c r="R1483" s="458"/>
      <c r="S1483" s="459"/>
      <c r="T1483" s="460"/>
      <c r="U1483" s="219"/>
      <c r="V1483" s="464"/>
      <c r="Y1483" s="537">
        <f>0.4*PRESUPUESTOS!$H$16</f>
        <v>10.3124</v>
      </c>
      <c r="AA1483" s="540" t="e">
        <f>IF(AND(C1482&lt;=F1478,F1478&lt;&gt;""),VLOOKUP(VALUE(E1459&amp;","&amp;C1482),INTEGRANTES!$D$18:$F$235,2,0),"")</f>
        <v>#N/A</v>
      </c>
      <c r="AB1483" s="545" t="e">
        <f t="shared" si="428"/>
        <v>#N/A</v>
      </c>
      <c r="AC1483" s="529"/>
      <c r="AD1483" s="200" t="e">
        <f t="shared" si="429"/>
        <v>#N/A</v>
      </c>
      <c r="AE1483" s="52"/>
      <c r="AF1483" s="52"/>
      <c r="AG1483" s="52"/>
      <c r="AH1483" s="87"/>
      <c r="AI1483" s="87"/>
    </row>
    <row r="1484" spans="1:35" ht="27" hidden="1" customHeight="1" thickBot="1">
      <c r="A1484" s="218" t="e">
        <f>"R"&amp;E1459</f>
        <v>#N/A</v>
      </c>
      <c r="B1484" s="702"/>
      <c r="C1484" s="114">
        <v>5</v>
      </c>
      <c r="D1484" s="194" t="e">
        <f>IF(AND(C1484&lt;=F1478,F1478&lt;&gt;""),VLOOKUP(VALUE(E1459&amp;","&amp;C1484),INTEGRANTES!$D$18:$F$235,2,0),"")</f>
        <v>#N/A</v>
      </c>
      <c r="E1484" s="211" t="e">
        <f>IF(D1484&lt;&gt;"",VLOOKUP(VALUE(E1459&amp;","&amp;C1484),INTEGRANTES!$D$18:$F$235,3,0),"")</f>
        <v>#N/A</v>
      </c>
      <c r="F1484" s="547" t="e">
        <f>IF(D1484="","",SUMIF($I1463:$I1472,D1484,$P1463:$P1472))</f>
        <v>#N/A</v>
      </c>
      <c r="G1484" s="333" t="e">
        <f>IF(D1484="","",SUMIF($I1463:$I1472,D1484,$M1463:$M1472))</f>
        <v>#N/A</v>
      </c>
      <c r="H1484" s="535" t="e">
        <f t="shared" si="425"/>
        <v>#N/A</v>
      </c>
      <c r="I1484" s="212" t="e">
        <f>IF(D1484="","",IF(H1484="NO APORTA","NO",IF(H1484=MAX($H1480:$H1485),"SI","NO")))</f>
        <v>#N/A</v>
      </c>
      <c r="J1484" s="213" t="e">
        <f t="shared" si="426"/>
        <v>#N/A</v>
      </c>
      <c r="K1484" s="200" t="e">
        <f t="shared" si="427"/>
        <v>#N/A</v>
      </c>
      <c r="L1484" s="721"/>
      <c r="M1484" s="715" t="s">
        <v>116</v>
      </c>
      <c r="N1484" s="716"/>
      <c r="O1484" s="556" t="str">
        <f>PORCREQUERIDO*100&amp;"% PMFO DEL MÓDULO"</f>
        <v>50% PMFO DEL MÓDULO</v>
      </c>
      <c r="P1484" s="715" t="s">
        <v>118</v>
      </c>
      <c r="Q1484" s="728"/>
      <c r="R1484" s="458"/>
      <c r="S1484" s="459"/>
      <c r="T1484" s="460"/>
      <c r="U1484" s="219"/>
      <c r="V1484" s="464"/>
      <c r="Y1484" s="414"/>
      <c r="AA1484" s="540" t="e">
        <f>IF(AND(C1483&lt;=F1478,F1478&lt;&gt;""),VLOOKUP(VALUE(E1459&amp;","&amp;C1483),INTEGRANTES!$D$18:$F$235,2,0),"")</f>
        <v>#N/A</v>
      </c>
      <c r="AB1484" s="545" t="e">
        <f t="shared" si="428"/>
        <v>#N/A</v>
      </c>
      <c r="AC1484" s="529"/>
      <c r="AD1484" s="200" t="e">
        <f t="shared" si="429"/>
        <v>#N/A</v>
      </c>
      <c r="AE1484" s="52"/>
      <c r="AF1484" s="52"/>
      <c r="AG1484" s="52"/>
      <c r="AH1484" s="87"/>
      <c r="AI1484" s="87"/>
    </row>
    <row r="1485" spans="1:35" ht="16.5" hidden="1" thickBot="1">
      <c r="A1485" s="218" t="e">
        <f>"S"&amp;E1459</f>
        <v>#N/A</v>
      </c>
      <c r="B1485" s="702"/>
      <c r="C1485" s="215">
        <v>6</v>
      </c>
      <c r="D1485" s="216" t="e">
        <f>IF(AND(C1485&lt;=F1478,F1478&lt;&gt;""),VLOOKUP(VALUE(E1459&amp;","&amp;C1485),INTEGRANTES!$D$18:$F$235,2,0),"")</f>
        <v>#N/A</v>
      </c>
      <c r="E1485" s="217" t="e">
        <f>IF(D1485&lt;&gt;"",VLOOKUP(VALUE(E1459&amp;","&amp;C1485),INTEGRANTES!$D$18:$F$235,3,0),"")</f>
        <v>#N/A</v>
      </c>
      <c r="F1485" s="548" t="e">
        <f>IF(D1485="","",SUMIF($I1463:$I1472,D1485,$P1463:$P1472))</f>
        <v>#N/A</v>
      </c>
      <c r="G1485" s="334" t="e">
        <f>IF(D1485="","",SUMIF($I1463:$I1472,D1485,$M1463:$M1472))</f>
        <v>#N/A</v>
      </c>
      <c r="H1485" s="536" t="e">
        <f t="shared" si="425"/>
        <v>#N/A</v>
      </c>
      <c r="I1485" s="214" t="e">
        <f>IF(D1485="","",IF(H1485="NO APORTA","NO",IF(H1485=MAX($H1480:$H1485),"SI","NO")))</f>
        <v>#N/A</v>
      </c>
      <c r="J1485" s="213" t="e">
        <f t="shared" si="426"/>
        <v>#N/A</v>
      </c>
      <c r="K1485" s="200" t="e">
        <f t="shared" si="427"/>
        <v>#N/A</v>
      </c>
      <c r="L1485" s="721"/>
      <c r="M1485" s="729">
        <f>NUMMOD</f>
        <v>1</v>
      </c>
      <c r="N1485" s="730"/>
      <c r="O1485" s="443">
        <f>IF(M1485="","",ROUND(VLOOKUP(M1485,PRESUPUESTOS!$B$16:$H$16,7,FALSE),3))</f>
        <v>25.780999999999999</v>
      </c>
      <c r="P1485" s="713">
        <f>IF(OR(COUNTIF(P1463:P1472,"")&gt;=10,Q1479&lt;NUMMINCONT,OR(T1477="NO CUMPLE",T1477="VERIFICAR")),0,ROUND((SUM(P1463:P1472)/SUM(M1463:M1472)),3))</f>
        <v>0</v>
      </c>
      <c r="Q1485" s="714"/>
      <c r="R1485" s="458"/>
      <c r="S1485" s="459"/>
      <c r="T1485" s="460"/>
      <c r="U1485" s="219"/>
      <c r="V1485" s="464"/>
      <c r="Y1485" s="532" t="s">
        <v>343</v>
      </c>
      <c r="AA1485" s="540" t="e">
        <f>IF(AND(C1484&lt;=F1478,F1478&lt;&gt;""),VLOOKUP(VALUE(E1459&amp;","&amp;C1484),INTEGRANTES!$D$18:$F$235,2,0),"")</f>
        <v>#N/A</v>
      </c>
      <c r="AB1485" s="545" t="e">
        <f t="shared" si="428"/>
        <v>#N/A</v>
      </c>
      <c r="AC1485" s="529"/>
      <c r="AD1485" s="200" t="e">
        <f t="shared" si="429"/>
        <v>#N/A</v>
      </c>
      <c r="AE1485" s="52"/>
      <c r="AF1485" s="52"/>
      <c r="AG1485" s="52"/>
      <c r="AH1485" s="87"/>
      <c r="AI1485" s="87"/>
    </row>
    <row r="1486" spans="1:35" ht="16.5" hidden="1" customHeight="1" thickBot="1">
      <c r="A1486" s="218" t="e">
        <f>"T"&amp;E1459</f>
        <v>#N/A</v>
      </c>
      <c r="B1486" s="703"/>
      <c r="C1486" s="719"/>
      <c r="D1486" s="719"/>
      <c r="E1486" s="719"/>
      <c r="F1486" s="719"/>
      <c r="G1486" s="719"/>
      <c r="H1486" s="719" t="s">
        <v>110</v>
      </c>
      <c r="I1486" s="719"/>
      <c r="J1486" s="719"/>
      <c r="K1486" s="201" t="str">
        <f>IF(COUNTIF(K1480:K1485,"")=6,"",IF(COUNTIF(K1480:K1485,"CUMPLE")&gt;0,"CUMPLE","NO CUMPLE"))</f>
        <v>NO CUMPLE</v>
      </c>
      <c r="L1486" s="754"/>
      <c r="M1486" s="755"/>
      <c r="N1486" s="755"/>
      <c r="O1486" s="755"/>
      <c r="P1486" s="755"/>
      <c r="Q1486" s="756"/>
      <c r="R1486" s="461"/>
      <c r="S1486" s="462"/>
      <c r="T1486" s="463"/>
      <c r="U1486" s="219"/>
      <c r="V1486" s="464"/>
      <c r="Y1486" s="549" t="e">
        <f>IF(Y1480="NO APLICA","NO APLICA",IF(COUNTIF(AD1481:AD1486,"CUMPLE")&gt;0,"CUMPLE","NO CUMPLE"))</f>
        <v>#N/A</v>
      </c>
      <c r="AA1486" s="541" t="e">
        <f>IF(AND(C1485&lt;=F1478,F1478&lt;&gt;""),VLOOKUP(VALUE(E1459&amp;","&amp;C1485),INTEGRANTES!$D$18:$F$235,2,0),"")</f>
        <v>#N/A</v>
      </c>
      <c r="AB1486" s="546" t="e">
        <f t="shared" si="428"/>
        <v>#N/A</v>
      </c>
      <c r="AC1486" s="543"/>
      <c r="AD1486" s="201" t="e">
        <f t="shared" si="429"/>
        <v>#N/A</v>
      </c>
      <c r="AE1486" s="52"/>
      <c r="AF1486" s="52"/>
      <c r="AG1486" s="52"/>
      <c r="AH1486" s="87"/>
      <c r="AI1486" s="87"/>
    </row>
    <row r="1487" spans="1:35" hidden="1">
      <c r="A1487" s="103"/>
      <c r="B1487" s="206"/>
      <c r="C1487" s="206"/>
      <c r="D1487" s="206"/>
      <c r="E1487" s="206"/>
      <c r="F1487" s="206"/>
      <c r="G1487" s="206"/>
      <c r="H1487" s="206"/>
      <c r="I1487" s="104"/>
      <c r="J1487" s="206"/>
      <c r="K1487" s="113"/>
      <c r="L1487" s="113"/>
      <c r="M1487" s="113"/>
      <c r="N1487" s="222"/>
      <c r="O1487" s="113"/>
      <c r="P1487" s="113"/>
      <c r="Q1487" s="113"/>
      <c r="R1487" s="206"/>
      <c r="S1487" s="104"/>
      <c r="T1487" s="206"/>
      <c r="U1487" s="474"/>
      <c r="AH1487" s="87"/>
      <c r="AI1487" s="87"/>
    </row>
    <row r="1488" spans="1:35" hidden="1">
      <c r="H1488" s="220"/>
      <c r="AH1488" s="87"/>
      <c r="AI1488" s="87"/>
    </row>
    <row r="1489" spans="1:35" ht="24" hidden="1" thickBot="1">
      <c r="A1489" s="61">
        <v>50</v>
      </c>
      <c r="B1489" s="704" t="s">
        <v>51</v>
      </c>
      <c r="C1489" s="704"/>
      <c r="D1489" s="704"/>
      <c r="E1489" s="62" t="e">
        <f>VLOOKUP(A1489,PROPONENTES!$B$19:$E$218,2,FALSE)</f>
        <v>#N/A</v>
      </c>
      <c r="F1489" s="63" t="e">
        <f>VLOOKUP(A1489,PROPONENTES!$B$19:$E$218,3,FALSE)</f>
        <v>#N/A</v>
      </c>
      <c r="G1489" s="64"/>
      <c r="H1489" s="64"/>
      <c r="I1489" s="63"/>
      <c r="J1489" s="63"/>
      <c r="K1489" s="65"/>
      <c r="L1489" s="65"/>
      <c r="M1489" s="64"/>
      <c r="N1489" s="64"/>
      <c r="O1489" s="66"/>
      <c r="P1489" s="66"/>
      <c r="Q1489" s="66"/>
      <c r="R1489" s="66"/>
      <c r="S1489" s="67"/>
      <c r="T1489" s="68"/>
      <c r="U1489" s="68"/>
      <c r="AC1489" s="68"/>
      <c r="AD1489" s="68"/>
      <c r="AE1489" s="68"/>
      <c r="AF1489" s="68"/>
      <c r="AG1489" s="68"/>
      <c r="AH1489" s="87"/>
      <c r="AI1489" s="87"/>
    </row>
    <row r="1490" spans="1:35" ht="15.75" hidden="1" customHeight="1">
      <c r="A1490" s="44"/>
      <c r="B1490" s="709" t="s">
        <v>59</v>
      </c>
      <c r="C1490" s="552" t="s">
        <v>60</v>
      </c>
      <c r="D1490" s="70" t="s">
        <v>17</v>
      </c>
      <c r="E1490" s="70"/>
      <c r="F1490" s="70" t="s">
        <v>61</v>
      </c>
      <c r="G1490" s="71"/>
      <c r="H1490" s="699" t="s">
        <v>62</v>
      </c>
      <c r="I1490" s="699" t="s">
        <v>18</v>
      </c>
      <c r="J1490" s="699" t="s">
        <v>63</v>
      </c>
      <c r="K1490" s="699" t="s">
        <v>64</v>
      </c>
      <c r="L1490" s="699" t="s">
        <v>65</v>
      </c>
      <c r="M1490" s="743" t="s">
        <v>66</v>
      </c>
      <c r="N1490" s="699" t="s">
        <v>282</v>
      </c>
      <c r="O1490" s="745" t="s">
        <v>67</v>
      </c>
      <c r="P1490" s="746"/>
      <c r="Q1490" s="102" t="s">
        <v>75</v>
      </c>
      <c r="R1490" s="731" t="s">
        <v>22</v>
      </c>
      <c r="S1490" s="732"/>
      <c r="T1490" s="733"/>
      <c r="U1490" s="712" t="s">
        <v>298</v>
      </c>
      <c r="W1490" s="690" t="s">
        <v>268</v>
      </c>
      <c r="X1490" s="691"/>
      <c r="Y1490" s="692"/>
      <c r="Z1490" s="428"/>
      <c r="AA1490" s="697" t="s">
        <v>315</v>
      </c>
      <c r="AB1490" s="695" t="s">
        <v>322</v>
      </c>
      <c r="AC1490" s="49"/>
      <c r="AD1490" s="690" t="s">
        <v>297</v>
      </c>
      <c r="AE1490" s="691"/>
      <c r="AF1490" s="692"/>
      <c r="AG1490" s="49"/>
      <c r="AH1490" s="87"/>
      <c r="AI1490" s="87"/>
    </row>
    <row r="1491" spans="1:35" ht="72" hidden="1">
      <c r="A1491" s="44"/>
      <c r="B1491" s="710"/>
      <c r="C1491" s="553" t="s">
        <v>68</v>
      </c>
      <c r="D1491" s="73" t="s">
        <v>3</v>
      </c>
      <c r="E1491" s="73" t="s">
        <v>19</v>
      </c>
      <c r="F1491" s="73" t="s">
        <v>69</v>
      </c>
      <c r="G1491" s="74" t="s">
        <v>70</v>
      </c>
      <c r="H1491" s="700"/>
      <c r="I1491" s="700"/>
      <c r="J1491" s="700"/>
      <c r="K1491" s="700"/>
      <c r="L1491" s="700"/>
      <c r="M1491" s="744"/>
      <c r="N1491" s="700"/>
      <c r="O1491" s="553" t="s">
        <v>279</v>
      </c>
      <c r="P1491" s="73" t="s">
        <v>88</v>
      </c>
      <c r="Q1491" s="555" t="s">
        <v>76</v>
      </c>
      <c r="R1491" s="734"/>
      <c r="S1491" s="735"/>
      <c r="T1491" s="736"/>
      <c r="U1491" s="712"/>
      <c r="W1491" s="429" t="s">
        <v>269</v>
      </c>
      <c r="X1491" s="457" t="s">
        <v>278</v>
      </c>
      <c r="Y1491" s="430" t="s">
        <v>324</v>
      </c>
      <c r="Z1491" s="428"/>
      <c r="AA1491" s="698"/>
      <c r="AB1491" s="696"/>
      <c r="AC1491" s="49"/>
      <c r="AD1491" s="429" t="s">
        <v>292</v>
      </c>
      <c r="AE1491" s="431" t="s">
        <v>300</v>
      </c>
      <c r="AF1491" s="468" t="s">
        <v>301</v>
      </c>
      <c r="AG1491" s="49"/>
      <c r="AH1491" s="87"/>
      <c r="AI1491" s="87"/>
    </row>
    <row r="1492" spans="1:35" hidden="1">
      <c r="A1492" s="44"/>
      <c r="B1492" s="76"/>
      <c r="C1492" s="77"/>
      <c r="D1492" s="77"/>
      <c r="E1492" s="77"/>
      <c r="F1492" s="77"/>
      <c r="G1492" s="77"/>
      <c r="H1492" s="77"/>
      <c r="I1492" s="77"/>
      <c r="J1492" s="77"/>
      <c r="K1492" s="77"/>
      <c r="L1492" s="77"/>
      <c r="M1492" s="77"/>
      <c r="N1492" s="77"/>
      <c r="O1492" s="77"/>
      <c r="P1492" s="77"/>
      <c r="Q1492" s="77"/>
      <c r="R1492" s="77"/>
      <c r="S1492" s="78"/>
      <c r="T1492" s="79"/>
      <c r="U1492" s="109"/>
      <c r="V1492" s="49"/>
      <c r="W1492" s="432"/>
      <c r="X1492" s="454"/>
      <c r="Y1492" s="433"/>
      <c r="Z1492" s="6"/>
      <c r="AA1492" s="500"/>
      <c r="AB1492" s="562"/>
      <c r="AC1492" s="49"/>
      <c r="AD1492" s="210"/>
      <c r="AE1492" s="434"/>
      <c r="AF1492" s="435"/>
      <c r="AG1492" s="49"/>
      <c r="AH1492" s="87"/>
      <c r="AI1492" s="87"/>
    </row>
    <row r="1493" spans="1:35" hidden="1">
      <c r="A1493" s="80" t="e">
        <f>"A"&amp;E1489</f>
        <v>#N/A</v>
      </c>
      <c r="B1493" s="81">
        <v>1</v>
      </c>
      <c r="C1493" s="82"/>
      <c r="D1493" s="82"/>
      <c r="E1493" s="82"/>
      <c r="F1493" s="82"/>
      <c r="G1493" s="83"/>
      <c r="H1493" s="83"/>
      <c r="I1493" s="84"/>
      <c r="J1493" s="85"/>
      <c r="K1493" s="382"/>
      <c r="L1493" s="85"/>
      <c r="M1493" s="332" t="str">
        <f t="shared" ref="M1493:M1502" si="430">IF(OR(J1493="",L1493="",H1493="NO"),"",IF(OR(J1493&gt;$P$17,J1493&lt;$O$17,L1493&gt;$P$17,AND(J1493&lt;$O$17,L1493&lt;$O$17)),"FUERA DE RANGO",IF(OR(K1493="---",K1493=""),IF(J1493&gt;=$O$17,ROUND((L1493-J1493+1)/360*12,3),ROUND((L1493-$O$17+1)/360*12,3)),IF(J1493&gt;=$O$17,ROUND((L1493-J1493+1)/360*12-ROUND(K1493,3),3),ROUND((L1493-$O$17+1)/360*12-ROUND(K1493,3),3)))))</f>
        <v/>
      </c>
      <c r="N1493" s="86"/>
      <c r="O1493" s="453" t="str">
        <f>IF(OR(G1493="",N1493=""),"",N1493*G1493)</f>
        <v/>
      </c>
      <c r="P1493" s="538" t="str">
        <f>IF(OR(H1493="",M1493="FUERA DE RANGO"),"",IF(OR(L1493&lt;$O$17,L1493&gt;$P$17,L1493="",H1493="NO"),"",IF(OR(N1493="",O1493=""),"",ROUND(O1493,3))))</f>
        <v/>
      </c>
      <c r="Q1493" s="539" t="str">
        <f t="shared" ref="Q1493:Q1502" si="431">IF(AND(H1493="SI",P1493&lt;&gt;""),ROUND(P1493/M1493,3),"")</f>
        <v/>
      </c>
      <c r="R1493" s="737"/>
      <c r="S1493" s="738"/>
      <c r="T1493" s="739"/>
      <c r="U1493" s="470"/>
      <c r="V1493" s="165"/>
      <c r="W1493" s="446"/>
      <c r="X1493" s="456"/>
      <c r="Y1493" s="436"/>
      <c r="Z1493" s="437"/>
      <c r="AA1493" s="560"/>
      <c r="AB1493" s="561"/>
      <c r="AC1493" s="87"/>
      <c r="AD1493" s="466"/>
      <c r="AE1493" s="456"/>
      <c r="AF1493" s="467"/>
      <c r="AG1493" s="87"/>
      <c r="AH1493" s="87"/>
      <c r="AI1493" s="87"/>
    </row>
    <row r="1494" spans="1:35" hidden="1">
      <c r="A1494" s="80" t="e">
        <f>"B"&amp;E1489</f>
        <v>#N/A</v>
      </c>
      <c r="B1494" s="81">
        <v>2</v>
      </c>
      <c r="C1494" s="106"/>
      <c r="D1494" s="106"/>
      <c r="E1494" s="106"/>
      <c r="F1494" s="106"/>
      <c r="G1494" s="83"/>
      <c r="H1494" s="83"/>
      <c r="I1494" s="84"/>
      <c r="J1494" s="85"/>
      <c r="K1494" s="382"/>
      <c r="L1494" s="85"/>
      <c r="M1494" s="332" t="str">
        <f t="shared" si="430"/>
        <v/>
      </c>
      <c r="N1494" s="86"/>
      <c r="O1494" s="453" t="str">
        <f t="shared" ref="O1494:O1502" si="432">IF(OR(G1494="",N1494=""),"",N1494*G1494)</f>
        <v/>
      </c>
      <c r="P1494" s="538" t="str">
        <f t="shared" ref="P1494:P1502" si="433">IF(OR(H1494="",M1494="FUERA DE RANGO"),"",IF(OR(L1494&lt;$O$17,L1494&gt;$P$17,L1494="",H1494="NO"),"",IF(OR(N1494="",O1494=""),"",ROUND(O1494,3))))</f>
        <v/>
      </c>
      <c r="Q1494" s="539" t="str">
        <f t="shared" si="431"/>
        <v/>
      </c>
      <c r="R1494" s="740"/>
      <c r="S1494" s="741"/>
      <c r="T1494" s="742"/>
      <c r="U1494" s="471"/>
      <c r="V1494" s="165"/>
      <c r="W1494" s="446"/>
      <c r="X1494" s="456"/>
      <c r="Y1494" s="436"/>
      <c r="Z1494" s="437"/>
      <c r="AA1494" s="560"/>
      <c r="AB1494" s="561"/>
      <c r="AC1494" s="87"/>
      <c r="AD1494" s="466"/>
      <c r="AE1494" s="456"/>
      <c r="AF1494" s="467"/>
      <c r="AG1494" s="87"/>
      <c r="AH1494" s="87"/>
      <c r="AI1494" s="87"/>
    </row>
    <row r="1495" spans="1:35" hidden="1">
      <c r="A1495" s="80" t="e">
        <f>"C"&amp;E1489</f>
        <v>#N/A</v>
      </c>
      <c r="B1495" s="88">
        <v>3</v>
      </c>
      <c r="C1495" s="82"/>
      <c r="D1495" s="82"/>
      <c r="E1495" s="82"/>
      <c r="F1495" s="82"/>
      <c r="G1495" s="83"/>
      <c r="H1495" s="83"/>
      <c r="I1495" s="84"/>
      <c r="J1495" s="85"/>
      <c r="K1495" s="382"/>
      <c r="L1495" s="85"/>
      <c r="M1495" s="332" t="str">
        <f t="shared" si="430"/>
        <v/>
      </c>
      <c r="N1495" s="86"/>
      <c r="O1495" s="453" t="str">
        <f t="shared" si="432"/>
        <v/>
      </c>
      <c r="P1495" s="538" t="str">
        <f t="shared" si="433"/>
        <v/>
      </c>
      <c r="Q1495" s="539" t="str">
        <f t="shared" si="431"/>
        <v/>
      </c>
      <c r="R1495" s="706"/>
      <c r="S1495" s="707"/>
      <c r="T1495" s="708"/>
      <c r="U1495" s="472"/>
      <c r="V1495" s="166"/>
      <c r="W1495" s="446"/>
      <c r="X1495" s="456"/>
      <c r="Y1495" s="436"/>
      <c r="Z1495" s="437"/>
      <c r="AA1495" s="560"/>
      <c r="AB1495" s="561"/>
      <c r="AC1495" s="87"/>
      <c r="AD1495" s="466"/>
      <c r="AE1495" s="456"/>
      <c r="AF1495" s="467"/>
      <c r="AG1495" s="87"/>
      <c r="AH1495" s="87"/>
      <c r="AI1495" s="87"/>
    </row>
    <row r="1496" spans="1:35" hidden="1">
      <c r="A1496" s="80" t="e">
        <f>"D"&amp;E1489</f>
        <v>#N/A</v>
      </c>
      <c r="B1496" s="105">
        <v>4</v>
      </c>
      <c r="C1496" s="107"/>
      <c r="D1496" s="107"/>
      <c r="E1496" s="107"/>
      <c r="F1496" s="107"/>
      <c r="G1496" s="83"/>
      <c r="H1496" s="83"/>
      <c r="I1496" s="84"/>
      <c r="J1496" s="85"/>
      <c r="K1496" s="382"/>
      <c r="L1496" s="85"/>
      <c r="M1496" s="332" t="str">
        <f t="shared" si="430"/>
        <v/>
      </c>
      <c r="N1496" s="86"/>
      <c r="O1496" s="453" t="str">
        <f t="shared" si="432"/>
        <v/>
      </c>
      <c r="P1496" s="538" t="str">
        <f t="shared" si="433"/>
        <v/>
      </c>
      <c r="Q1496" s="539" t="str">
        <f t="shared" si="431"/>
        <v/>
      </c>
      <c r="R1496" s="706"/>
      <c r="S1496" s="707"/>
      <c r="T1496" s="708"/>
      <c r="U1496" s="472"/>
      <c r="V1496" s="166"/>
      <c r="W1496" s="446"/>
      <c r="X1496" s="456"/>
      <c r="Y1496" s="436"/>
      <c r="Z1496" s="437"/>
      <c r="AA1496" s="560"/>
      <c r="AB1496" s="561"/>
      <c r="AC1496" s="87"/>
      <c r="AD1496" s="466"/>
      <c r="AE1496" s="456"/>
      <c r="AF1496" s="467"/>
      <c r="AG1496" s="87"/>
      <c r="AH1496" s="87"/>
      <c r="AI1496" s="87"/>
    </row>
    <row r="1497" spans="1:35" hidden="1">
      <c r="A1497" s="80" t="e">
        <f>"E"&amp;E1489</f>
        <v>#N/A</v>
      </c>
      <c r="B1497" s="105">
        <v>5</v>
      </c>
      <c r="C1497" s="107"/>
      <c r="D1497" s="107"/>
      <c r="E1497" s="107"/>
      <c r="F1497" s="107"/>
      <c r="G1497" s="83"/>
      <c r="H1497" s="83"/>
      <c r="I1497" s="84"/>
      <c r="J1497" s="85"/>
      <c r="K1497" s="382"/>
      <c r="L1497" s="85"/>
      <c r="M1497" s="332" t="str">
        <f t="shared" si="430"/>
        <v/>
      </c>
      <c r="N1497" s="86"/>
      <c r="O1497" s="453" t="str">
        <f t="shared" si="432"/>
        <v/>
      </c>
      <c r="P1497" s="538" t="str">
        <f t="shared" si="433"/>
        <v/>
      </c>
      <c r="Q1497" s="539" t="str">
        <f t="shared" si="431"/>
        <v/>
      </c>
      <c r="R1497" s="706"/>
      <c r="S1497" s="707"/>
      <c r="T1497" s="708"/>
      <c r="U1497" s="472"/>
      <c r="V1497" s="167"/>
      <c r="W1497" s="446"/>
      <c r="X1497" s="456"/>
      <c r="Y1497" s="436"/>
      <c r="Z1497" s="437"/>
      <c r="AA1497" s="560"/>
      <c r="AB1497" s="561"/>
      <c r="AC1497" s="87"/>
      <c r="AD1497" s="466"/>
      <c r="AE1497" s="456"/>
      <c r="AF1497" s="467"/>
      <c r="AG1497" s="87"/>
      <c r="AH1497" s="87"/>
      <c r="AI1497" s="87"/>
    </row>
    <row r="1498" spans="1:35" hidden="1">
      <c r="A1498" s="80" t="e">
        <f>"F"&amp;E1489</f>
        <v>#N/A</v>
      </c>
      <c r="B1498" s="105">
        <v>6</v>
      </c>
      <c r="C1498" s="107"/>
      <c r="D1498" s="107"/>
      <c r="E1498" s="107"/>
      <c r="F1498" s="107"/>
      <c r="G1498" s="83"/>
      <c r="H1498" s="83"/>
      <c r="I1498" s="84"/>
      <c r="J1498" s="85"/>
      <c r="K1498" s="382"/>
      <c r="L1498" s="85"/>
      <c r="M1498" s="332" t="str">
        <f t="shared" si="430"/>
        <v/>
      </c>
      <c r="N1498" s="86"/>
      <c r="O1498" s="453" t="str">
        <f t="shared" si="432"/>
        <v/>
      </c>
      <c r="P1498" s="538" t="str">
        <f t="shared" si="433"/>
        <v/>
      </c>
      <c r="Q1498" s="539" t="str">
        <f t="shared" si="431"/>
        <v/>
      </c>
      <c r="R1498" s="706"/>
      <c r="S1498" s="707"/>
      <c r="T1498" s="708"/>
      <c r="U1498" s="472"/>
      <c r="V1498" s="167"/>
      <c r="W1498" s="446"/>
      <c r="X1498" s="456"/>
      <c r="Y1498" s="436"/>
      <c r="Z1498" s="437"/>
      <c r="AA1498" s="560"/>
      <c r="AB1498" s="561"/>
      <c r="AC1498" s="87"/>
      <c r="AD1498" s="466"/>
      <c r="AE1498" s="456"/>
      <c r="AF1498" s="467"/>
      <c r="AG1498" s="87"/>
      <c r="AH1498" s="87"/>
      <c r="AI1498" s="87"/>
    </row>
    <row r="1499" spans="1:35" hidden="1">
      <c r="A1499" s="80" t="e">
        <f>"G"&amp;E1489</f>
        <v>#N/A</v>
      </c>
      <c r="B1499" s="105">
        <v>7</v>
      </c>
      <c r="C1499" s="107"/>
      <c r="D1499" s="107"/>
      <c r="E1499" s="107"/>
      <c r="F1499" s="107"/>
      <c r="G1499" s="83"/>
      <c r="H1499" s="83"/>
      <c r="I1499" s="84"/>
      <c r="J1499" s="85"/>
      <c r="K1499" s="382"/>
      <c r="L1499" s="85"/>
      <c r="M1499" s="332" t="str">
        <f t="shared" si="430"/>
        <v/>
      </c>
      <c r="N1499" s="86"/>
      <c r="O1499" s="86" t="str">
        <f t="shared" si="432"/>
        <v/>
      </c>
      <c r="P1499" s="538" t="str">
        <f t="shared" si="433"/>
        <v/>
      </c>
      <c r="Q1499" s="539" t="str">
        <f t="shared" si="431"/>
        <v/>
      </c>
      <c r="R1499" s="706"/>
      <c r="S1499" s="707"/>
      <c r="T1499" s="708"/>
      <c r="U1499" s="472"/>
      <c r="V1499" s="167"/>
      <c r="W1499" s="446"/>
      <c r="X1499" s="456"/>
      <c r="Y1499" s="436"/>
      <c r="Z1499" s="437"/>
      <c r="AA1499" s="560"/>
      <c r="AB1499" s="561"/>
      <c r="AC1499" s="87"/>
      <c r="AD1499" s="466"/>
      <c r="AE1499" s="456"/>
      <c r="AF1499" s="467"/>
      <c r="AG1499" s="87"/>
      <c r="AH1499" s="87"/>
      <c r="AI1499" s="87"/>
    </row>
    <row r="1500" spans="1:35" hidden="1">
      <c r="A1500" s="80" t="e">
        <f>"H"&amp;E1489</f>
        <v>#N/A</v>
      </c>
      <c r="B1500" s="105">
        <v>8</v>
      </c>
      <c r="C1500" s="107"/>
      <c r="D1500" s="107"/>
      <c r="E1500" s="107"/>
      <c r="F1500" s="107"/>
      <c r="G1500" s="83"/>
      <c r="H1500" s="83"/>
      <c r="I1500" s="84"/>
      <c r="J1500" s="85"/>
      <c r="K1500" s="382"/>
      <c r="L1500" s="85"/>
      <c r="M1500" s="332" t="str">
        <f t="shared" si="430"/>
        <v/>
      </c>
      <c r="N1500" s="453"/>
      <c r="O1500" s="86" t="str">
        <f t="shared" si="432"/>
        <v/>
      </c>
      <c r="P1500" s="538" t="str">
        <f t="shared" si="433"/>
        <v/>
      </c>
      <c r="Q1500" s="539" t="str">
        <f t="shared" si="431"/>
        <v/>
      </c>
      <c r="R1500" s="706"/>
      <c r="S1500" s="707"/>
      <c r="T1500" s="708"/>
      <c r="U1500" s="472"/>
      <c r="V1500" s="167"/>
      <c r="W1500" s="446"/>
      <c r="X1500" s="456"/>
      <c r="Y1500" s="436"/>
      <c r="Z1500" s="437"/>
      <c r="AA1500" s="560"/>
      <c r="AB1500" s="561"/>
      <c r="AC1500" s="87"/>
      <c r="AD1500" s="466"/>
      <c r="AE1500" s="456"/>
      <c r="AF1500" s="467"/>
      <c r="AG1500" s="87"/>
      <c r="AH1500" s="87"/>
      <c r="AI1500" s="87"/>
    </row>
    <row r="1501" spans="1:35" hidden="1">
      <c r="A1501" s="80" t="e">
        <f>"I"&amp;E1489</f>
        <v>#N/A</v>
      </c>
      <c r="B1501" s="105">
        <v>9</v>
      </c>
      <c r="C1501" s="107"/>
      <c r="D1501" s="107"/>
      <c r="E1501" s="107"/>
      <c r="F1501" s="107"/>
      <c r="G1501" s="83"/>
      <c r="H1501" s="83"/>
      <c r="I1501" s="84"/>
      <c r="J1501" s="85"/>
      <c r="K1501" s="382"/>
      <c r="L1501" s="85"/>
      <c r="M1501" s="332" t="str">
        <f t="shared" si="430"/>
        <v/>
      </c>
      <c r="N1501" s="453"/>
      <c r="O1501" s="86" t="str">
        <f t="shared" si="432"/>
        <v/>
      </c>
      <c r="P1501" s="538" t="str">
        <f t="shared" si="433"/>
        <v/>
      </c>
      <c r="Q1501" s="539" t="str">
        <f t="shared" si="431"/>
        <v/>
      </c>
      <c r="R1501" s="706"/>
      <c r="S1501" s="707"/>
      <c r="T1501" s="708"/>
      <c r="U1501" s="472"/>
      <c r="V1501" s="167"/>
      <c r="W1501" s="446"/>
      <c r="X1501" s="456"/>
      <c r="Y1501" s="436"/>
      <c r="Z1501" s="437"/>
      <c r="AA1501" s="560"/>
      <c r="AB1501" s="561"/>
      <c r="AC1501" s="87"/>
      <c r="AD1501" s="466"/>
      <c r="AE1501" s="456"/>
      <c r="AF1501" s="467"/>
      <c r="AG1501" s="87"/>
      <c r="AH1501" s="87"/>
      <c r="AI1501" s="87"/>
    </row>
    <row r="1502" spans="1:35" hidden="1">
      <c r="A1502" s="80" t="e">
        <f>"J"&amp;E1489</f>
        <v>#N/A</v>
      </c>
      <c r="B1502" s="105">
        <v>10</v>
      </c>
      <c r="C1502" s="107"/>
      <c r="D1502" s="107"/>
      <c r="E1502" s="107"/>
      <c r="F1502" s="107"/>
      <c r="G1502" s="83"/>
      <c r="H1502" s="83"/>
      <c r="I1502" s="84"/>
      <c r="J1502" s="85"/>
      <c r="K1502" s="382"/>
      <c r="L1502" s="85"/>
      <c r="M1502" s="332" t="str">
        <f t="shared" si="430"/>
        <v/>
      </c>
      <c r="N1502" s="453"/>
      <c r="O1502" s="86" t="str">
        <f t="shared" si="432"/>
        <v/>
      </c>
      <c r="P1502" s="538" t="str">
        <f t="shared" si="433"/>
        <v/>
      </c>
      <c r="Q1502" s="539" t="str">
        <f t="shared" si="431"/>
        <v/>
      </c>
      <c r="R1502" s="706"/>
      <c r="S1502" s="707"/>
      <c r="T1502" s="708"/>
      <c r="U1502" s="472"/>
      <c r="V1502" s="167"/>
      <c r="W1502" s="446"/>
      <c r="X1502" s="456"/>
      <c r="Y1502" s="436"/>
      <c r="Z1502" s="437"/>
      <c r="AA1502" s="560"/>
      <c r="AB1502" s="561"/>
      <c r="AC1502" s="87"/>
      <c r="AD1502" s="466"/>
      <c r="AE1502" s="456"/>
      <c r="AF1502" s="467"/>
      <c r="AG1502" s="87"/>
      <c r="AH1502" s="87"/>
      <c r="AI1502" s="87"/>
    </row>
    <row r="1503" spans="1:35" ht="16.5" hidden="1" thickBot="1">
      <c r="A1503" s="44"/>
      <c r="B1503" s="89"/>
      <c r="C1503" s="90"/>
      <c r="D1503" s="90"/>
      <c r="E1503" s="90"/>
      <c r="F1503" s="90"/>
      <c r="G1503" s="90"/>
      <c r="H1503" s="90"/>
      <c r="I1503" s="90"/>
      <c r="J1503" s="90"/>
      <c r="K1503" s="90"/>
      <c r="L1503" s="90"/>
      <c r="M1503" s="90"/>
      <c r="N1503" s="90"/>
      <c r="O1503" s="90"/>
      <c r="P1503" s="90"/>
      <c r="Q1503" s="90"/>
      <c r="R1503" s="90"/>
      <c r="S1503" s="91"/>
      <c r="T1503" s="92"/>
      <c r="U1503" s="473"/>
      <c r="W1503" s="438"/>
      <c r="X1503" s="455"/>
      <c r="Y1503" s="439"/>
      <c r="Z1503" s="437"/>
      <c r="AA1503" s="530"/>
      <c r="AB1503" s="563"/>
      <c r="AC1503" s="87"/>
      <c r="AD1503" s="440"/>
      <c r="AE1503" s="441"/>
      <c r="AF1503" s="442"/>
      <c r="AG1503" s="49"/>
      <c r="AH1503" s="87"/>
      <c r="AI1503" s="87"/>
    </row>
    <row r="1504" spans="1:35" ht="16.5" hidden="1" thickBot="1">
      <c r="A1504" s="93"/>
      <c r="B1504" s="94"/>
      <c r="C1504" s="96"/>
      <c r="D1504" s="96"/>
      <c r="E1504" s="96"/>
      <c r="F1504" s="96"/>
      <c r="G1504" s="96"/>
      <c r="H1504" s="96"/>
      <c r="I1504" s="96"/>
      <c r="J1504" s="96"/>
      <c r="K1504" s="96"/>
      <c r="L1504" s="96"/>
      <c r="M1504" s="136"/>
      <c r="N1504" s="96"/>
      <c r="O1504" s="96"/>
      <c r="P1504" s="97"/>
      <c r="Q1504" s="97"/>
      <c r="R1504" s="98"/>
      <c r="S1504" s="95"/>
      <c r="T1504" s="99"/>
      <c r="U1504" s="469"/>
      <c r="AC1504" s="58"/>
      <c r="AG1504" s="58"/>
      <c r="AH1504" s="87"/>
      <c r="AI1504" s="87"/>
    </row>
    <row r="1505" spans="1:35" ht="16.5" hidden="1" thickBot="1">
      <c r="B1505" s="101"/>
      <c r="C1505" s="101"/>
      <c r="D1505" s="101"/>
      <c r="E1505" s="101"/>
      <c r="F1505" s="101"/>
      <c r="G1505" s="101"/>
      <c r="H1505" s="101"/>
      <c r="I1505" s="101"/>
      <c r="J1505" s="101"/>
      <c r="K1505" s="101"/>
      <c r="L1505" s="101"/>
      <c r="M1505" s="101"/>
      <c r="N1505" s="101"/>
      <c r="O1505" s="101"/>
      <c r="P1505" s="101"/>
      <c r="Q1505" s="101"/>
      <c r="R1505" s="101"/>
      <c r="S1505" s="101"/>
      <c r="U1505" s="50"/>
      <c r="AH1505" s="87"/>
      <c r="AI1505" s="87"/>
    </row>
    <row r="1506" spans="1:35" ht="16.5" hidden="1" customHeight="1" thickBot="1">
      <c r="A1506" s="44"/>
      <c r="B1506" s="705" t="s">
        <v>74</v>
      </c>
      <c r="C1506" s="705"/>
      <c r="D1506" s="705"/>
      <c r="E1506" s="705"/>
      <c r="F1506" s="705"/>
      <c r="G1506" s="705"/>
      <c r="H1506" s="705"/>
      <c r="I1506" s="705"/>
      <c r="J1506" s="705"/>
      <c r="K1506" s="705"/>
      <c r="L1506" s="705"/>
      <c r="M1506" s="705"/>
      <c r="N1506" s="705"/>
      <c r="O1506" s="705"/>
      <c r="P1506" s="705"/>
      <c r="Q1506" s="705"/>
      <c r="R1506" s="705"/>
      <c r="S1506" s="705"/>
      <c r="T1506" s="705"/>
      <c r="U1506" s="108"/>
      <c r="Y1506" s="532" t="s">
        <v>341</v>
      </c>
      <c r="AC1506" s="49"/>
      <c r="AD1506" s="687" t="s">
        <v>302</v>
      </c>
      <c r="AE1506" s="688"/>
      <c r="AF1506" s="689"/>
      <c r="AG1506" s="49"/>
      <c r="AH1506" s="87"/>
      <c r="AI1506" s="87"/>
    </row>
    <row r="1507" spans="1:35" ht="15.75" hidden="1" customHeight="1" thickBot="1">
      <c r="A1507" s="218" t="e">
        <f>"K"&amp;E1489</f>
        <v>#N/A</v>
      </c>
      <c r="B1507" s="701" t="s">
        <v>71</v>
      </c>
      <c r="C1507" s="751" t="s">
        <v>102</v>
      </c>
      <c r="D1507" s="751"/>
      <c r="E1507" s="751"/>
      <c r="F1507" s="751"/>
      <c r="G1507" s="751"/>
      <c r="H1507" s="751"/>
      <c r="I1507" s="751"/>
      <c r="J1507" s="751"/>
      <c r="K1507" s="751"/>
      <c r="L1507" s="722" t="s">
        <v>100</v>
      </c>
      <c r="M1507" s="747" t="s">
        <v>114</v>
      </c>
      <c r="N1507" s="747"/>
      <c r="O1507" s="747"/>
      <c r="P1507" s="747"/>
      <c r="Q1507" s="748"/>
      <c r="R1507" s="758" t="s">
        <v>280</v>
      </c>
      <c r="S1507" s="748"/>
      <c r="T1507" s="762" t="str">
        <f>IF(COUNTIF(AE1507:AF1507,"VERIFICAR")&gt;0,"VERIFICAR",IF(COUNTIF(AE1507:AF1507,"NO CUMPLE")&gt;0,"NO CUMPLE","CUMPLE"))</f>
        <v>VERIFICAR</v>
      </c>
      <c r="U1507" s="108"/>
      <c r="Y1507" s="533" t="e">
        <f>IF(F1508="","",IF(F1508=1,"INDIVIDUAL","ESTRUCTURA PLURAL"))</f>
        <v>#N/A</v>
      </c>
      <c r="AC1507" s="52"/>
      <c r="AD1507" s="475" t="s">
        <v>303</v>
      </c>
      <c r="AE1507" s="476" t="str">
        <f>IF(COUNTIF(AE1493:AE1502,"")=10,"VERIFICAR",IF(COUNTIF(AE1493:AE1502,"SI")&gt;0,"CUMPLE","NO CUMPLE"))</f>
        <v>VERIFICAR</v>
      </c>
      <c r="AF1507" s="477" t="str">
        <f>IF(COUNTIF(AF1493:AF1502,"")=10,"VERIFICAR",IF(COUNTIF(AF1493:AF1502,"SI")&gt;=$AI$22,"CUMPLE","NO CUMPLE"))</f>
        <v>VERIFICAR</v>
      </c>
      <c r="AG1507" s="52"/>
      <c r="AH1507" s="87"/>
      <c r="AI1507" s="87"/>
    </row>
    <row r="1508" spans="1:35" ht="16.5" hidden="1" customHeight="1" thickBot="1">
      <c r="A1508" s="218" t="e">
        <f>"L"&amp;E1489</f>
        <v>#N/A</v>
      </c>
      <c r="B1508" s="702"/>
      <c r="C1508" s="751" t="s">
        <v>103</v>
      </c>
      <c r="D1508" s="751"/>
      <c r="E1508" s="752"/>
      <c r="F1508" s="557" t="e">
        <f>IF(VLOOKUP(E1489,PROPONENTES!$C$19:$E$218,3,0)="","",VLOOKUP(E1489,PROPONENTES!$C$19:$E$218,3,0))</f>
        <v>#N/A</v>
      </c>
      <c r="G1508" s="753" t="s">
        <v>104</v>
      </c>
      <c r="H1508" s="751"/>
      <c r="I1508" s="715" t="e">
        <f>IF(OR(F1508="",F1508=1),"INTERESADO PERSONA NATURAL O JURIDICA","CONSORCIO O UNION TEMPORAL")</f>
        <v>#N/A</v>
      </c>
      <c r="J1508" s="725"/>
      <c r="K1508" s="728"/>
      <c r="L1508" s="723"/>
      <c r="M1508" s="749"/>
      <c r="N1508" s="749"/>
      <c r="O1508" s="749"/>
      <c r="P1508" s="749"/>
      <c r="Q1508" s="750"/>
      <c r="R1508" s="712"/>
      <c r="S1508" s="750"/>
      <c r="T1508" s="763"/>
      <c r="U1508" s="108"/>
      <c r="Y1508" s="534"/>
      <c r="AA1508" s="52"/>
      <c r="AB1508" s="52"/>
      <c r="AC1508" s="52"/>
      <c r="AG1508" s="52"/>
      <c r="AH1508" s="87"/>
      <c r="AI1508" s="87"/>
    </row>
    <row r="1509" spans="1:35" ht="56.25" hidden="1" customHeight="1" thickBot="1">
      <c r="A1509" s="218" t="e">
        <f>"M"&amp;E1489</f>
        <v>#N/A</v>
      </c>
      <c r="B1509" s="702"/>
      <c r="C1509" s="725" t="s">
        <v>101</v>
      </c>
      <c r="D1509" s="716"/>
      <c r="E1509" s="558" t="s">
        <v>105</v>
      </c>
      <c r="F1509" s="554" t="s">
        <v>87</v>
      </c>
      <c r="G1509" s="553" t="s">
        <v>86</v>
      </c>
      <c r="H1509" s="559" t="s">
        <v>85</v>
      </c>
      <c r="I1509" s="554" t="s">
        <v>252</v>
      </c>
      <c r="J1509" s="553" t="str">
        <f>"¿EL INTEGRANTE TIENE UNA PARTICIPACIÓN DEL "&amp;PORCREQUERIDOINT*100&amp;"%?"</f>
        <v>¿EL INTEGRANTE TIENE UNA PARTICIPACIÓN DEL 60%?</v>
      </c>
      <c r="K1509" s="554" t="s">
        <v>107</v>
      </c>
      <c r="L1509" s="724"/>
      <c r="M1509" s="717" t="s">
        <v>115</v>
      </c>
      <c r="N1509" s="718"/>
      <c r="O1509" s="718"/>
      <c r="P1509" s="718"/>
      <c r="Q1509" s="223">
        <f>IF(AND(H1493="SI",P1493&gt;=0),1,0)+IF(AND(H1494="SI",P1494&gt;=0),1,0)+IF(AND(H1495="SI",P1495&gt;=0),1,0)+IF(AND(H1496="SI",P1496&gt;=0),1,0)+IF(AND(H1497="SI",P1497&gt;=0),1,0)+IF(AND(H1498="SI",P1498&gt;=0),1,0)+IF(AND(H1499="SI",P1499&gt;=0),1,0)+IF(AND(H1500="SI",P1500&gt;=0),1,0)+IF(AND(H1501="SI",P1501&gt;=0),1,0)+IF(AND(H1502="SI",P1502&gt;=0),1,0)</f>
        <v>0</v>
      </c>
      <c r="R1509" s="759"/>
      <c r="S1509" s="761"/>
      <c r="T1509" s="764"/>
      <c r="U1509" s="219"/>
      <c r="V1509" s="464"/>
      <c r="Y1509" s="532" t="s">
        <v>342</v>
      </c>
      <c r="AA1509" s="550" t="s">
        <v>344</v>
      </c>
      <c r="AB1509" s="693" t="s">
        <v>345</v>
      </c>
      <c r="AC1509" s="693" t="s">
        <v>346</v>
      </c>
      <c r="AD1509" s="685" t="s">
        <v>347</v>
      </c>
      <c r="AE1509" s="52"/>
      <c r="AF1509" s="52"/>
      <c r="AG1509" s="52"/>
      <c r="AH1509" s="87"/>
      <c r="AI1509" s="87"/>
    </row>
    <row r="1510" spans="1:35" ht="15.75" hidden="1" customHeight="1" thickBot="1">
      <c r="A1510" s="218" t="e">
        <f>"N"&amp;E1489</f>
        <v>#N/A</v>
      </c>
      <c r="B1510" s="702"/>
      <c r="C1510" s="114">
        <v>1</v>
      </c>
      <c r="D1510" s="194" t="e">
        <f>IF(AND(C1510&lt;=F1508,F1508&gt;1,F1508&lt;&gt;""),VLOOKUP(VALUE(E1489&amp;","&amp;C1510),INTEGRANTES!$D$18:$F$235,2,0),"")</f>
        <v>#N/A</v>
      </c>
      <c r="E1510" s="211" t="e">
        <f>IF(D1510&lt;&gt;"",VLOOKUP(VALUE(E1489&amp;","&amp;C1510),INTEGRANTES!$D$18:$F$235,3,0),"")</f>
        <v>#N/A</v>
      </c>
      <c r="F1510" s="547" t="e">
        <f>IF(D1510="","",SUMIF($I1493:$I1502,D1510,$P1493:$P1502))</f>
        <v>#N/A</v>
      </c>
      <c r="G1510" s="333" t="e">
        <f>IF(D1510="","",SUMIF($I1493:$I1502,D1510,$M1493:$M1502))</f>
        <v>#N/A</v>
      </c>
      <c r="H1510" s="535" t="e">
        <f t="shared" ref="H1510:H1515" si="434">IF(D1510="","",IF(OR(F1510=0,G1510=0),"NO APORTA",ROUND($F1510/$G1510,3)))</f>
        <v>#N/A</v>
      </c>
      <c r="I1510" s="212" t="e">
        <f>IF(D1510="","",IF(H1510="NO APORTA","NO",IF(H1510=MAX($H1510:$H1515),"SI","NO")))</f>
        <v>#N/A</v>
      </c>
      <c r="J1510" s="213" t="e">
        <f t="shared" ref="J1510:J1515" si="435">IF(D1510="","",IF(E1510&gt;=PORCREQUERIDOINT,"SI","NO"))</f>
        <v>#N/A</v>
      </c>
      <c r="K1510" s="200" t="e">
        <f t="shared" ref="K1510:K1515" si="436">IF(D1510="","",IF(AND(I1510="SI",J1510="SI"),"CUMPLE",IF(AND(I1510="NO",OR(J1510="SI",J1510="NO")),"","NO CUMPLE")))</f>
        <v>#N/A</v>
      </c>
      <c r="L1510" s="722" t="s">
        <v>108</v>
      </c>
      <c r="M1510" s="726" t="s">
        <v>119</v>
      </c>
      <c r="N1510" s="726"/>
      <c r="O1510" s="726"/>
      <c r="P1510" s="726"/>
      <c r="Q1510" s="727"/>
      <c r="R1510" s="758" t="s">
        <v>80</v>
      </c>
      <c r="S1510" s="747"/>
      <c r="T1510" s="748"/>
      <c r="U1510" s="219"/>
      <c r="V1510" s="464"/>
      <c r="Y1510" s="533" t="e">
        <f>IF(Y1507="","",IF(Y1507="INDIVIDUAL","NO APLICA","VERIFICAR CUADRO"))</f>
        <v>#N/A</v>
      </c>
      <c r="AA1510" s="551"/>
      <c r="AB1510" s="694"/>
      <c r="AC1510" s="694"/>
      <c r="AD1510" s="686"/>
      <c r="AE1510" s="52"/>
      <c r="AF1510" s="52"/>
      <c r="AG1510" s="52"/>
      <c r="AH1510" s="87"/>
      <c r="AI1510" s="87"/>
    </row>
    <row r="1511" spans="1:35" ht="27" hidden="1" customHeight="1" thickBot="1">
      <c r="A1511" s="218" t="e">
        <f>"O"&amp;E1489</f>
        <v>#N/A</v>
      </c>
      <c r="B1511" s="702"/>
      <c r="C1511" s="114">
        <v>2</v>
      </c>
      <c r="D1511" s="194" t="e">
        <f>IF(AND(C1511&lt;=F1508,F1508&lt;&gt;""),VLOOKUP(VALUE(E1489&amp;","&amp;C1511),INTEGRANTES!$D$18:$F$235,2,0),"")</f>
        <v>#N/A</v>
      </c>
      <c r="E1511" s="211" t="e">
        <f>IF(D1511&lt;&gt;"",VLOOKUP(VALUE(E1489&amp;","&amp;C1511),INTEGRANTES!$D$18:$F$235,3,0),"")</f>
        <v>#N/A</v>
      </c>
      <c r="F1511" s="547" t="e">
        <f>IF(D1511="","",SUMIF($I1493:$I1502,D1511,$P1493:$P1502))</f>
        <v>#N/A</v>
      </c>
      <c r="G1511" s="333" t="e">
        <f>IF(D1511="","",SUMIF($I1493:$I1502,D1511,$M1493:$M1502))</f>
        <v>#N/A</v>
      </c>
      <c r="H1511" s="535" t="e">
        <f t="shared" si="434"/>
        <v>#N/A</v>
      </c>
      <c r="I1511" s="212" t="e">
        <f>IF(D1511="","",IF(H1511="NO APORTA","NO",IF(H1511=MAX($H1510:$H1515),"SI","NO")))</f>
        <v>#N/A</v>
      </c>
      <c r="J1511" s="213" t="e">
        <f t="shared" si="435"/>
        <v>#N/A</v>
      </c>
      <c r="K1511" s="200" t="e">
        <f t="shared" si="436"/>
        <v>#N/A</v>
      </c>
      <c r="L1511" s="723"/>
      <c r="M1511" s="715" t="s">
        <v>116</v>
      </c>
      <c r="N1511" s="716"/>
      <c r="O1511" s="556" t="s">
        <v>113</v>
      </c>
      <c r="P1511" s="715" t="s">
        <v>117</v>
      </c>
      <c r="Q1511" s="728"/>
      <c r="R1511" s="759"/>
      <c r="S1511" s="760"/>
      <c r="T1511" s="761"/>
      <c r="U1511" s="219"/>
      <c r="V1511" s="464"/>
      <c r="Y1511" s="414"/>
      <c r="AA1511" s="542" t="e">
        <f>IF(AND(C1510&lt;=F1508,F1508&gt;1,F1508&lt;&gt;""),VLOOKUP(VALUE(E1489&amp;","&amp;C1510),INTEGRANTES!$D$18:$F$235,2,0),"")</f>
        <v>#N/A</v>
      </c>
      <c r="AB1511" s="544" t="e">
        <f t="shared" ref="AB1511:AB1516" si="437">IF(D1510="","",IF(OR(F1510=0,G1510=0),"NO APORTA",ROUND($F1510/$G1510,3)))</f>
        <v>#N/A</v>
      </c>
      <c r="AC1511" s="529"/>
      <c r="AD1511" s="200" t="e">
        <f t="shared" ref="AD1511:AD1516" si="438">IF(OR(AA1511="",AB1511=""),"",IF(AND(AC1511="X",AB1511&gt;=EXPREQVTD),"CUMPLE","NO CUMPLE"))</f>
        <v>#N/A</v>
      </c>
      <c r="AE1511" s="52"/>
      <c r="AF1511" s="52"/>
      <c r="AG1511" s="52"/>
      <c r="AH1511" s="87"/>
      <c r="AI1511" s="87"/>
    </row>
    <row r="1512" spans="1:35" ht="16.5" hidden="1" thickBot="1">
      <c r="A1512" s="218" t="e">
        <f>"P"&amp;E1489</f>
        <v>#N/A</v>
      </c>
      <c r="B1512" s="702"/>
      <c r="C1512" s="114">
        <v>3</v>
      </c>
      <c r="D1512" s="194" t="e">
        <f>IF(AND(C1512&lt;=F1508,F1508&lt;&gt;""),VLOOKUP(VALUE(E1489&amp;","&amp;C1512),INTEGRANTES!$D$18:$F$235,2,0),"")</f>
        <v>#N/A</v>
      </c>
      <c r="E1512" s="211" t="e">
        <f>IF(D1512&lt;&gt;"",VLOOKUP(VALUE(E1489&amp;","&amp;C1512),INTEGRANTES!$D$18:$F$235,3,0),"")</f>
        <v>#N/A</v>
      </c>
      <c r="F1512" s="547" t="e">
        <f>IF(D1512="","",SUMIF($I1493:$I1502,D1512,$P1493:$P1502))</f>
        <v>#N/A</v>
      </c>
      <c r="G1512" s="333" t="e">
        <f>IF(D1512="","",SUMIF($I1493:$I1502,D1512,$M1493:$M1502))</f>
        <v>#N/A</v>
      </c>
      <c r="H1512" s="535" t="e">
        <f t="shared" si="434"/>
        <v>#N/A</v>
      </c>
      <c r="I1512" s="212" t="e">
        <f>IF(D1512="","",IF(H1512="NO APORTA","NO",IF(H1512=MAX($H1510:$H1515),"SI","NO")))</f>
        <v>#N/A</v>
      </c>
      <c r="J1512" s="213" t="e">
        <f t="shared" si="435"/>
        <v>#N/A</v>
      </c>
      <c r="K1512" s="200" t="e">
        <f t="shared" si="436"/>
        <v>#N/A</v>
      </c>
      <c r="L1512" s="724"/>
      <c r="M1512" s="729">
        <f>NUMMOD</f>
        <v>1</v>
      </c>
      <c r="N1512" s="730"/>
      <c r="O1512" s="443">
        <f>IF(M1512="","",VLOOKUP(M1512,PRESUPUESTOS!$B$16:$H$16,5,FALSE))</f>
        <v>2</v>
      </c>
      <c r="P1512" s="713">
        <f>IF(OR(COUNTIF(M1493:M1502,"")&gt;=10,Q1509&lt;NUMMINCONT,OR(T1507="NO CUMPLE",T1507="VERIFICAR")),0,ROUND(AVERAGE(M1493:M1502),3))</f>
        <v>0</v>
      </c>
      <c r="Q1512" s="714"/>
      <c r="R1512" s="458"/>
      <c r="S1512" s="459"/>
      <c r="T1512" s="460"/>
      <c r="U1512" s="219"/>
      <c r="V1512" s="464"/>
      <c r="Y1512" s="532" t="str">
        <f>"40% * ("&amp;PRESUPUESTOS!$H$13&amp;")"</f>
        <v>40% * (50% PFMO)</v>
      </c>
      <c r="AA1512" s="540" t="e">
        <f>IF(AND(C1511&lt;=F1508,F1508&lt;&gt;""),VLOOKUP(VALUE(E1489&amp;","&amp;C1511),INTEGRANTES!$D$18:$F$235,2,0),"")</f>
        <v>#N/A</v>
      </c>
      <c r="AB1512" s="545" t="e">
        <f t="shared" si="437"/>
        <v>#N/A</v>
      </c>
      <c r="AC1512" s="529"/>
      <c r="AD1512" s="200" t="e">
        <f t="shared" si="438"/>
        <v>#N/A</v>
      </c>
      <c r="AE1512" s="52"/>
      <c r="AF1512" s="52"/>
      <c r="AG1512" s="52"/>
      <c r="AH1512" s="87"/>
      <c r="AI1512" s="87"/>
    </row>
    <row r="1513" spans="1:35" ht="15.75" hidden="1" customHeight="1" thickBot="1">
      <c r="A1513" s="218" t="e">
        <f>"Q"&amp;E1489</f>
        <v>#N/A</v>
      </c>
      <c r="B1513" s="702"/>
      <c r="C1513" s="114">
        <v>4</v>
      </c>
      <c r="D1513" s="194" t="e">
        <f>IF(AND(C1513&lt;=F1508,F1508&lt;&gt;""),VLOOKUP(VALUE(E1489&amp;","&amp;C1513),INTEGRANTES!$D$18:$F$235,2,0),"")</f>
        <v>#N/A</v>
      </c>
      <c r="E1513" s="211" t="e">
        <f>IF(D1513&lt;&gt;"",VLOOKUP(VALUE(E1489&amp;","&amp;C1513),INTEGRANTES!$D$18:$F$235,3,0),"")</f>
        <v>#N/A</v>
      </c>
      <c r="F1513" s="547" t="e">
        <f>IF(D1513="","",SUMIF($I1493:$I1502,D1513,$P1493:$P1502))</f>
        <v>#N/A</v>
      </c>
      <c r="G1513" s="333" t="e">
        <f>IF(D1513="","",SUMIF($I1493:$I1502,D1513,$M1493:$M1502))</f>
        <v>#N/A</v>
      </c>
      <c r="H1513" s="535" t="e">
        <f t="shared" si="434"/>
        <v>#N/A</v>
      </c>
      <c r="I1513" s="212" t="e">
        <f>IF(D1513="","",IF(H1513="NO APORTA","NO",IF(H1513=MAX($H1510:$H1515),"SI","NO")))</f>
        <v>#N/A</v>
      </c>
      <c r="J1513" s="213" t="e">
        <f t="shared" si="435"/>
        <v>#N/A</v>
      </c>
      <c r="K1513" s="200" t="e">
        <f t="shared" si="436"/>
        <v>#N/A</v>
      </c>
      <c r="L1513" s="720" t="s">
        <v>109</v>
      </c>
      <c r="M1513" s="757" t="s">
        <v>120</v>
      </c>
      <c r="N1513" s="726"/>
      <c r="O1513" s="726"/>
      <c r="P1513" s="726"/>
      <c r="Q1513" s="727"/>
      <c r="R1513" s="458"/>
      <c r="S1513" s="459"/>
      <c r="T1513" s="460"/>
      <c r="U1513" s="219"/>
      <c r="V1513" s="464"/>
      <c r="Y1513" s="537">
        <f>0.4*PRESUPUESTOS!$H$16</f>
        <v>10.3124</v>
      </c>
      <c r="AA1513" s="540" t="e">
        <f>IF(AND(C1512&lt;=F1508,F1508&lt;&gt;""),VLOOKUP(VALUE(E1489&amp;","&amp;C1512),INTEGRANTES!$D$18:$F$235,2,0),"")</f>
        <v>#N/A</v>
      </c>
      <c r="AB1513" s="545" t="e">
        <f t="shared" si="437"/>
        <v>#N/A</v>
      </c>
      <c r="AC1513" s="529"/>
      <c r="AD1513" s="200" t="e">
        <f t="shared" si="438"/>
        <v>#N/A</v>
      </c>
      <c r="AE1513" s="52"/>
      <c r="AF1513" s="52"/>
      <c r="AG1513" s="52"/>
      <c r="AH1513" s="87"/>
      <c r="AI1513" s="87"/>
    </row>
    <row r="1514" spans="1:35" ht="27" hidden="1" customHeight="1" thickBot="1">
      <c r="A1514" s="218" t="e">
        <f>"R"&amp;E1489</f>
        <v>#N/A</v>
      </c>
      <c r="B1514" s="702"/>
      <c r="C1514" s="114">
        <v>5</v>
      </c>
      <c r="D1514" s="194" t="e">
        <f>IF(AND(C1514&lt;=F1508,F1508&lt;&gt;""),VLOOKUP(VALUE(E1489&amp;","&amp;C1514),INTEGRANTES!$D$18:$F$235,2,0),"")</f>
        <v>#N/A</v>
      </c>
      <c r="E1514" s="211" t="e">
        <f>IF(D1514&lt;&gt;"",VLOOKUP(VALUE(E1489&amp;","&amp;C1514),INTEGRANTES!$D$18:$F$235,3,0),"")</f>
        <v>#N/A</v>
      </c>
      <c r="F1514" s="547" t="e">
        <f>IF(D1514="","",SUMIF($I1493:$I1502,D1514,$P1493:$P1502))</f>
        <v>#N/A</v>
      </c>
      <c r="G1514" s="333" t="e">
        <f>IF(D1514="","",SUMIF($I1493:$I1502,D1514,$M1493:$M1502))</f>
        <v>#N/A</v>
      </c>
      <c r="H1514" s="535" t="e">
        <f t="shared" si="434"/>
        <v>#N/A</v>
      </c>
      <c r="I1514" s="212" t="e">
        <f>IF(D1514="","",IF(H1514="NO APORTA","NO",IF(H1514=MAX($H1510:$H1515),"SI","NO")))</f>
        <v>#N/A</v>
      </c>
      <c r="J1514" s="213" t="e">
        <f t="shared" si="435"/>
        <v>#N/A</v>
      </c>
      <c r="K1514" s="200" t="e">
        <f t="shared" si="436"/>
        <v>#N/A</v>
      </c>
      <c r="L1514" s="721"/>
      <c r="M1514" s="715" t="s">
        <v>116</v>
      </c>
      <c r="N1514" s="716"/>
      <c r="O1514" s="556" t="str">
        <f>PORCREQUERIDO*100&amp;"% PMFO DEL MÓDULO"</f>
        <v>50% PMFO DEL MÓDULO</v>
      </c>
      <c r="P1514" s="715" t="s">
        <v>118</v>
      </c>
      <c r="Q1514" s="728"/>
      <c r="R1514" s="458"/>
      <c r="S1514" s="459"/>
      <c r="T1514" s="460"/>
      <c r="U1514" s="219"/>
      <c r="V1514" s="464"/>
      <c r="Y1514" s="414"/>
      <c r="AA1514" s="540" t="e">
        <f>IF(AND(C1513&lt;=F1508,F1508&lt;&gt;""),VLOOKUP(VALUE(E1489&amp;","&amp;C1513),INTEGRANTES!$D$18:$F$235,2,0),"")</f>
        <v>#N/A</v>
      </c>
      <c r="AB1514" s="545" t="e">
        <f t="shared" si="437"/>
        <v>#N/A</v>
      </c>
      <c r="AC1514" s="529"/>
      <c r="AD1514" s="200" t="e">
        <f t="shared" si="438"/>
        <v>#N/A</v>
      </c>
      <c r="AE1514" s="52"/>
      <c r="AF1514" s="52"/>
      <c r="AG1514" s="52"/>
      <c r="AH1514" s="87"/>
      <c r="AI1514" s="87"/>
    </row>
    <row r="1515" spans="1:35" ht="16.5" hidden="1" thickBot="1">
      <c r="A1515" s="218" t="e">
        <f>"S"&amp;E1489</f>
        <v>#N/A</v>
      </c>
      <c r="B1515" s="702"/>
      <c r="C1515" s="215">
        <v>6</v>
      </c>
      <c r="D1515" s="216" t="e">
        <f>IF(AND(C1515&lt;=F1508,F1508&lt;&gt;""),VLOOKUP(VALUE(E1489&amp;","&amp;C1515),INTEGRANTES!$D$18:$F$235,2,0),"")</f>
        <v>#N/A</v>
      </c>
      <c r="E1515" s="217" t="e">
        <f>IF(D1515&lt;&gt;"",VLOOKUP(VALUE(E1489&amp;","&amp;C1515),INTEGRANTES!$D$18:$F$235,3,0),"")</f>
        <v>#N/A</v>
      </c>
      <c r="F1515" s="548" t="e">
        <f>IF(D1515="","",SUMIF($I1493:$I1502,D1515,$P1493:$P1502))</f>
        <v>#N/A</v>
      </c>
      <c r="G1515" s="334" t="e">
        <f>IF(D1515="","",SUMIF($I1493:$I1502,D1515,$M1493:$M1502))</f>
        <v>#N/A</v>
      </c>
      <c r="H1515" s="536" t="e">
        <f t="shared" si="434"/>
        <v>#N/A</v>
      </c>
      <c r="I1515" s="214" t="e">
        <f>IF(D1515="","",IF(H1515="NO APORTA","NO",IF(H1515=MAX($H1510:$H1515),"SI","NO")))</f>
        <v>#N/A</v>
      </c>
      <c r="J1515" s="213" t="e">
        <f t="shared" si="435"/>
        <v>#N/A</v>
      </c>
      <c r="K1515" s="200" t="e">
        <f t="shared" si="436"/>
        <v>#N/A</v>
      </c>
      <c r="L1515" s="721"/>
      <c r="M1515" s="729">
        <f>NUMMOD</f>
        <v>1</v>
      </c>
      <c r="N1515" s="730"/>
      <c r="O1515" s="443">
        <f>IF(M1515="","",ROUND(VLOOKUP(M1515,PRESUPUESTOS!$B$16:$H$16,7,FALSE),3))</f>
        <v>25.780999999999999</v>
      </c>
      <c r="P1515" s="713">
        <f>IF(OR(COUNTIF(P1493:P1502,"")&gt;=10,Q1509&lt;NUMMINCONT,OR(T1507="NO CUMPLE",T1507="VERIFICAR")),0,ROUND((SUM(P1493:P1502)/SUM(M1493:M1502)),3))</f>
        <v>0</v>
      </c>
      <c r="Q1515" s="714"/>
      <c r="R1515" s="458"/>
      <c r="S1515" s="459"/>
      <c r="T1515" s="460"/>
      <c r="U1515" s="219"/>
      <c r="V1515" s="464"/>
      <c r="Y1515" s="532" t="s">
        <v>343</v>
      </c>
      <c r="AA1515" s="540" t="e">
        <f>IF(AND(C1514&lt;=F1508,F1508&lt;&gt;""),VLOOKUP(VALUE(E1489&amp;","&amp;C1514),INTEGRANTES!$D$18:$F$235,2,0),"")</f>
        <v>#N/A</v>
      </c>
      <c r="AB1515" s="545" t="e">
        <f t="shared" si="437"/>
        <v>#N/A</v>
      </c>
      <c r="AC1515" s="529"/>
      <c r="AD1515" s="200" t="e">
        <f t="shared" si="438"/>
        <v>#N/A</v>
      </c>
      <c r="AE1515" s="52"/>
      <c r="AF1515" s="52"/>
      <c r="AG1515" s="52"/>
      <c r="AH1515" s="87"/>
      <c r="AI1515" s="87"/>
    </row>
    <row r="1516" spans="1:35" ht="16.5" hidden="1" customHeight="1" thickBot="1">
      <c r="A1516" s="218" t="e">
        <f>"T"&amp;E1489</f>
        <v>#N/A</v>
      </c>
      <c r="B1516" s="703"/>
      <c r="C1516" s="719"/>
      <c r="D1516" s="719"/>
      <c r="E1516" s="719"/>
      <c r="F1516" s="719"/>
      <c r="G1516" s="719"/>
      <c r="H1516" s="719" t="s">
        <v>110</v>
      </c>
      <c r="I1516" s="719"/>
      <c r="J1516" s="719"/>
      <c r="K1516" s="201" t="str">
        <f>IF(COUNTIF(K1510:K1515,"")=6,"",IF(COUNTIF(K1510:K1515,"CUMPLE")&gt;0,"CUMPLE","NO CUMPLE"))</f>
        <v>NO CUMPLE</v>
      </c>
      <c r="L1516" s="754"/>
      <c r="M1516" s="755"/>
      <c r="N1516" s="755"/>
      <c r="O1516" s="755"/>
      <c r="P1516" s="755"/>
      <c r="Q1516" s="756"/>
      <c r="R1516" s="461"/>
      <c r="S1516" s="462"/>
      <c r="T1516" s="463"/>
      <c r="U1516" s="219"/>
      <c r="V1516" s="464"/>
      <c r="Y1516" s="549" t="e">
        <f>IF(Y1510="NO APLICA","NO APLICA",IF(COUNTIF(AD1511:AD1516,"CUMPLE")&gt;0,"CUMPLE","NO CUMPLE"))</f>
        <v>#N/A</v>
      </c>
      <c r="AA1516" s="541" t="e">
        <f>IF(AND(C1515&lt;=F1508,F1508&lt;&gt;""),VLOOKUP(VALUE(E1489&amp;","&amp;C1515),INTEGRANTES!$D$18:$F$235,2,0),"")</f>
        <v>#N/A</v>
      </c>
      <c r="AB1516" s="546" t="e">
        <f t="shared" si="437"/>
        <v>#N/A</v>
      </c>
      <c r="AC1516" s="543"/>
      <c r="AD1516" s="201" t="e">
        <f t="shared" si="438"/>
        <v>#N/A</v>
      </c>
      <c r="AE1516" s="52"/>
      <c r="AF1516" s="52"/>
      <c r="AG1516" s="52"/>
      <c r="AH1516" s="87"/>
      <c r="AI1516" s="87"/>
    </row>
    <row r="1517" spans="1:35" hidden="1">
      <c r="AH1517" s="87"/>
      <c r="AI1517" s="87"/>
    </row>
    <row r="1518" spans="1:35" hidden="1">
      <c r="AH1518" s="87"/>
      <c r="AI1518" s="87"/>
    </row>
    <row r="1519" spans="1:35" ht="24" hidden="1" thickBot="1">
      <c r="A1519" s="61">
        <v>51</v>
      </c>
      <c r="B1519" s="704" t="s">
        <v>51</v>
      </c>
      <c r="C1519" s="704"/>
      <c r="D1519" s="704"/>
      <c r="E1519" s="62" t="e">
        <f>VLOOKUP(A1519,PROPONENTES!$B$19:$E$218,2,FALSE)</f>
        <v>#N/A</v>
      </c>
      <c r="F1519" s="63" t="e">
        <f>VLOOKUP(A1519,PROPONENTES!$B$19:$E$218,3,FALSE)</f>
        <v>#N/A</v>
      </c>
      <c r="G1519" s="64"/>
      <c r="H1519" s="64"/>
      <c r="I1519" s="63"/>
      <c r="J1519" s="63"/>
      <c r="K1519" s="65"/>
      <c r="L1519" s="65"/>
      <c r="M1519" s="64"/>
      <c r="N1519" s="64"/>
      <c r="O1519" s="66"/>
      <c r="P1519" s="66"/>
      <c r="Q1519" s="66"/>
      <c r="R1519" s="66"/>
      <c r="S1519" s="67"/>
      <c r="T1519" s="68"/>
      <c r="U1519" s="68"/>
      <c r="AC1519" s="68"/>
      <c r="AD1519" s="68"/>
      <c r="AE1519" s="68"/>
      <c r="AF1519" s="68"/>
      <c r="AG1519" s="68"/>
      <c r="AH1519" s="87"/>
      <c r="AI1519" s="87"/>
    </row>
    <row r="1520" spans="1:35" ht="15.75" hidden="1" customHeight="1">
      <c r="A1520" s="44"/>
      <c r="B1520" s="709" t="s">
        <v>59</v>
      </c>
      <c r="C1520" s="552" t="s">
        <v>60</v>
      </c>
      <c r="D1520" s="70" t="s">
        <v>17</v>
      </c>
      <c r="E1520" s="70"/>
      <c r="F1520" s="70" t="s">
        <v>61</v>
      </c>
      <c r="G1520" s="71"/>
      <c r="H1520" s="699" t="s">
        <v>62</v>
      </c>
      <c r="I1520" s="699" t="s">
        <v>18</v>
      </c>
      <c r="J1520" s="699" t="s">
        <v>63</v>
      </c>
      <c r="K1520" s="699" t="s">
        <v>64</v>
      </c>
      <c r="L1520" s="699" t="s">
        <v>65</v>
      </c>
      <c r="M1520" s="743" t="s">
        <v>66</v>
      </c>
      <c r="N1520" s="699" t="s">
        <v>282</v>
      </c>
      <c r="O1520" s="745" t="s">
        <v>67</v>
      </c>
      <c r="P1520" s="746"/>
      <c r="Q1520" s="102" t="s">
        <v>75</v>
      </c>
      <c r="R1520" s="731" t="s">
        <v>22</v>
      </c>
      <c r="S1520" s="732"/>
      <c r="T1520" s="733"/>
      <c r="U1520" s="712" t="s">
        <v>298</v>
      </c>
      <c r="W1520" s="690" t="s">
        <v>268</v>
      </c>
      <c r="X1520" s="691"/>
      <c r="Y1520" s="692"/>
      <c r="Z1520" s="428"/>
      <c r="AA1520" s="697" t="s">
        <v>315</v>
      </c>
      <c r="AB1520" s="695" t="s">
        <v>322</v>
      </c>
      <c r="AC1520" s="49"/>
      <c r="AD1520" s="690" t="s">
        <v>297</v>
      </c>
      <c r="AE1520" s="691"/>
      <c r="AF1520" s="692"/>
      <c r="AG1520" s="49"/>
      <c r="AH1520" s="87"/>
      <c r="AI1520" s="87"/>
    </row>
    <row r="1521" spans="1:35" ht="72" hidden="1">
      <c r="A1521" s="44"/>
      <c r="B1521" s="710"/>
      <c r="C1521" s="553" t="s">
        <v>68</v>
      </c>
      <c r="D1521" s="73" t="s">
        <v>3</v>
      </c>
      <c r="E1521" s="73" t="s">
        <v>19</v>
      </c>
      <c r="F1521" s="73" t="s">
        <v>69</v>
      </c>
      <c r="G1521" s="74" t="s">
        <v>70</v>
      </c>
      <c r="H1521" s="700"/>
      <c r="I1521" s="700"/>
      <c r="J1521" s="700"/>
      <c r="K1521" s="700"/>
      <c r="L1521" s="700"/>
      <c r="M1521" s="744"/>
      <c r="N1521" s="700"/>
      <c r="O1521" s="553" t="s">
        <v>279</v>
      </c>
      <c r="P1521" s="73" t="s">
        <v>88</v>
      </c>
      <c r="Q1521" s="555" t="s">
        <v>76</v>
      </c>
      <c r="R1521" s="734"/>
      <c r="S1521" s="735"/>
      <c r="T1521" s="736"/>
      <c r="U1521" s="712"/>
      <c r="W1521" s="429" t="s">
        <v>269</v>
      </c>
      <c r="X1521" s="457" t="s">
        <v>278</v>
      </c>
      <c r="Y1521" s="430" t="s">
        <v>324</v>
      </c>
      <c r="Z1521" s="428"/>
      <c r="AA1521" s="698"/>
      <c r="AB1521" s="696"/>
      <c r="AC1521" s="49"/>
      <c r="AD1521" s="429" t="s">
        <v>292</v>
      </c>
      <c r="AE1521" s="431" t="s">
        <v>300</v>
      </c>
      <c r="AF1521" s="468" t="s">
        <v>301</v>
      </c>
      <c r="AG1521" s="49"/>
      <c r="AH1521" s="87"/>
      <c r="AI1521" s="87"/>
    </row>
    <row r="1522" spans="1:35" hidden="1">
      <c r="A1522" s="44"/>
      <c r="B1522" s="76"/>
      <c r="C1522" s="77"/>
      <c r="D1522" s="77"/>
      <c r="E1522" s="77"/>
      <c r="F1522" s="77"/>
      <c r="G1522" s="77"/>
      <c r="H1522" s="77"/>
      <c r="I1522" s="77"/>
      <c r="J1522" s="77"/>
      <c r="K1522" s="77"/>
      <c r="L1522" s="77"/>
      <c r="M1522" s="77"/>
      <c r="N1522" s="77"/>
      <c r="O1522" s="77"/>
      <c r="P1522" s="77"/>
      <c r="Q1522" s="77"/>
      <c r="R1522" s="77"/>
      <c r="S1522" s="78"/>
      <c r="T1522" s="79"/>
      <c r="U1522" s="109"/>
      <c r="V1522" s="49"/>
      <c r="W1522" s="432"/>
      <c r="X1522" s="454"/>
      <c r="Y1522" s="433"/>
      <c r="Z1522" s="6"/>
      <c r="AA1522" s="500"/>
      <c r="AB1522" s="562"/>
      <c r="AC1522" s="49"/>
      <c r="AD1522" s="210"/>
      <c r="AE1522" s="434"/>
      <c r="AF1522" s="435"/>
      <c r="AG1522" s="49"/>
      <c r="AH1522" s="87"/>
      <c r="AI1522" s="87"/>
    </row>
    <row r="1523" spans="1:35" hidden="1">
      <c r="A1523" s="80" t="e">
        <f>"A"&amp;E1519</f>
        <v>#N/A</v>
      </c>
      <c r="B1523" s="81">
        <v>1</v>
      </c>
      <c r="C1523" s="82"/>
      <c r="D1523" s="82"/>
      <c r="E1523" s="82"/>
      <c r="F1523" s="82"/>
      <c r="G1523" s="83"/>
      <c r="H1523" s="83"/>
      <c r="I1523" s="84"/>
      <c r="J1523" s="85"/>
      <c r="K1523" s="382"/>
      <c r="L1523" s="85"/>
      <c r="M1523" s="332" t="str">
        <f t="shared" ref="M1523:M1532" si="439">IF(OR(J1523="",L1523="",H1523="NO"),"",IF(OR(J1523&gt;$P$17,J1523&lt;$O$17,L1523&gt;$P$17,AND(J1523&lt;$O$17,L1523&lt;$O$17)),"FUERA DE RANGO",IF(OR(K1523="---",K1523=""),IF(J1523&gt;=$O$17,ROUND((L1523-J1523+1)/360*12,3),ROUND((L1523-$O$17+1)/360*12,3)),IF(J1523&gt;=$O$17,ROUND((L1523-J1523+1)/360*12-ROUND(K1523,3),3),ROUND((L1523-$O$17+1)/360*12-ROUND(K1523,3),3)))))</f>
        <v/>
      </c>
      <c r="N1523" s="86"/>
      <c r="O1523" s="453" t="str">
        <f>IF(OR(G1523="",N1523=""),"",N1523*G1523)</f>
        <v/>
      </c>
      <c r="P1523" s="538" t="str">
        <f>IF(OR(H1523="",M1523="FUERA DE RANGO"),"",IF(OR(L1523&lt;$O$17,L1523&gt;$P$17,L1523="",H1523="NO"),"",IF(OR(N1523="",O1523=""),"",ROUND(O1523,3))))</f>
        <v/>
      </c>
      <c r="Q1523" s="539" t="str">
        <f t="shared" ref="Q1523:Q1532" si="440">IF(AND(H1523="SI",P1523&lt;&gt;""),ROUND(P1523/M1523,3),"")</f>
        <v/>
      </c>
      <c r="R1523" s="737"/>
      <c r="S1523" s="738"/>
      <c r="T1523" s="739"/>
      <c r="U1523" s="470"/>
      <c r="V1523" s="165"/>
      <c r="W1523" s="446"/>
      <c r="X1523" s="456"/>
      <c r="Y1523" s="436"/>
      <c r="Z1523" s="437"/>
      <c r="AA1523" s="560"/>
      <c r="AB1523" s="561"/>
      <c r="AC1523" s="87"/>
      <c r="AD1523" s="466"/>
      <c r="AE1523" s="456"/>
      <c r="AF1523" s="467"/>
      <c r="AG1523" s="87"/>
      <c r="AH1523" s="87"/>
      <c r="AI1523" s="87"/>
    </row>
    <row r="1524" spans="1:35" hidden="1">
      <c r="A1524" s="80" t="e">
        <f>"B"&amp;E1519</f>
        <v>#N/A</v>
      </c>
      <c r="B1524" s="81">
        <v>2</v>
      </c>
      <c r="C1524" s="106"/>
      <c r="D1524" s="106"/>
      <c r="E1524" s="106"/>
      <c r="F1524" s="106"/>
      <c r="G1524" s="83"/>
      <c r="H1524" s="83"/>
      <c r="I1524" s="84"/>
      <c r="J1524" s="85"/>
      <c r="K1524" s="382"/>
      <c r="L1524" s="85"/>
      <c r="M1524" s="332" t="str">
        <f t="shared" si="439"/>
        <v/>
      </c>
      <c r="N1524" s="86"/>
      <c r="O1524" s="453" t="str">
        <f t="shared" ref="O1524:O1532" si="441">IF(OR(G1524="",N1524=""),"",N1524*G1524)</f>
        <v/>
      </c>
      <c r="P1524" s="538" t="str">
        <f t="shared" ref="P1524:P1532" si="442">IF(OR(H1524="",M1524="FUERA DE RANGO"),"",IF(OR(L1524&lt;$O$17,L1524&gt;$P$17,L1524="",H1524="NO"),"",IF(OR(N1524="",O1524=""),"",ROUND(O1524,3))))</f>
        <v/>
      </c>
      <c r="Q1524" s="539" t="str">
        <f t="shared" si="440"/>
        <v/>
      </c>
      <c r="R1524" s="740"/>
      <c r="S1524" s="741"/>
      <c r="T1524" s="742"/>
      <c r="U1524" s="471"/>
      <c r="V1524" s="165"/>
      <c r="W1524" s="446"/>
      <c r="X1524" s="456"/>
      <c r="Y1524" s="436"/>
      <c r="Z1524" s="437"/>
      <c r="AA1524" s="560"/>
      <c r="AB1524" s="561"/>
      <c r="AC1524" s="87"/>
      <c r="AD1524" s="466"/>
      <c r="AE1524" s="456"/>
      <c r="AF1524" s="467"/>
      <c r="AG1524" s="87"/>
      <c r="AH1524" s="87"/>
      <c r="AI1524" s="87"/>
    </row>
    <row r="1525" spans="1:35" hidden="1">
      <c r="A1525" s="80" t="e">
        <f>"C"&amp;E1519</f>
        <v>#N/A</v>
      </c>
      <c r="B1525" s="88">
        <v>3</v>
      </c>
      <c r="C1525" s="82"/>
      <c r="D1525" s="82"/>
      <c r="E1525" s="82"/>
      <c r="F1525" s="82"/>
      <c r="G1525" s="83"/>
      <c r="H1525" s="83"/>
      <c r="I1525" s="84"/>
      <c r="J1525" s="85"/>
      <c r="K1525" s="382"/>
      <c r="L1525" s="85"/>
      <c r="M1525" s="332" t="str">
        <f t="shared" si="439"/>
        <v/>
      </c>
      <c r="N1525" s="86"/>
      <c r="O1525" s="453" t="str">
        <f t="shared" si="441"/>
        <v/>
      </c>
      <c r="P1525" s="538" t="str">
        <f t="shared" si="442"/>
        <v/>
      </c>
      <c r="Q1525" s="539" t="str">
        <f t="shared" si="440"/>
        <v/>
      </c>
      <c r="R1525" s="706"/>
      <c r="S1525" s="707"/>
      <c r="T1525" s="708"/>
      <c r="U1525" s="472"/>
      <c r="V1525" s="166"/>
      <c r="W1525" s="446"/>
      <c r="X1525" s="456"/>
      <c r="Y1525" s="436"/>
      <c r="Z1525" s="437"/>
      <c r="AA1525" s="560"/>
      <c r="AB1525" s="561"/>
      <c r="AC1525" s="87"/>
      <c r="AD1525" s="466"/>
      <c r="AE1525" s="456"/>
      <c r="AF1525" s="467"/>
      <c r="AG1525" s="87"/>
      <c r="AH1525" s="87"/>
      <c r="AI1525" s="87"/>
    </row>
    <row r="1526" spans="1:35" hidden="1">
      <c r="A1526" s="80" t="e">
        <f>"D"&amp;E1519</f>
        <v>#N/A</v>
      </c>
      <c r="B1526" s="105">
        <v>4</v>
      </c>
      <c r="C1526" s="107"/>
      <c r="D1526" s="107"/>
      <c r="E1526" s="107"/>
      <c r="F1526" s="107"/>
      <c r="G1526" s="83"/>
      <c r="H1526" s="83"/>
      <c r="I1526" s="84"/>
      <c r="J1526" s="85"/>
      <c r="K1526" s="382"/>
      <c r="L1526" s="85"/>
      <c r="M1526" s="332" t="str">
        <f t="shared" si="439"/>
        <v/>
      </c>
      <c r="N1526" s="86"/>
      <c r="O1526" s="453" t="str">
        <f t="shared" si="441"/>
        <v/>
      </c>
      <c r="P1526" s="538" t="str">
        <f t="shared" si="442"/>
        <v/>
      </c>
      <c r="Q1526" s="539" t="str">
        <f t="shared" si="440"/>
        <v/>
      </c>
      <c r="R1526" s="706"/>
      <c r="S1526" s="707"/>
      <c r="T1526" s="708"/>
      <c r="U1526" s="472"/>
      <c r="V1526" s="166"/>
      <c r="W1526" s="446"/>
      <c r="X1526" s="456"/>
      <c r="Y1526" s="436"/>
      <c r="Z1526" s="437"/>
      <c r="AA1526" s="560"/>
      <c r="AB1526" s="561"/>
      <c r="AC1526" s="87"/>
      <c r="AD1526" s="466"/>
      <c r="AE1526" s="456"/>
      <c r="AF1526" s="467"/>
      <c r="AG1526" s="87"/>
      <c r="AH1526" s="87"/>
      <c r="AI1526" s="87"/>
    </row>
    <row r="1527" spans="1:35" hidden="1">
      <c r="A1527" s="80" t="e">
        <f>"E"&amp;E1519</f>
        <v>#N/A</v>
      </c>
      <c r="B1527" s="105">
        <v>5</v>
      </c>
      <c r="C1527" s="107"/>
      <c r="D1527" s="107"/>
      <c r="E1527" s="107"/>
      <c r="F1527" s="107"/>
      <c r="G1527" s="83"/>
      <c r="H1527" s="83"/>
      <c r="I1527" s="84"/>
      <c r="J1527" s="85"/>
      <c r="K1527" s="382"/>
      <c r="L1527" s="85"/>
      <c r="M1527" s="332" t="str">
        <f t="shared" si="439"/>
        <v/>
      </c>
      <c r="N1527" s="86"/>
      <c r="O1527" s="453" t="str">
        <f t="shared" si="441"/>
        <v/>
      </c>
      <c r="P1527" s="538" t="str">
        <f t="shared" si="442"/>
        <v/>
      </c>
      <c r="Q1527" s="539" t="str">
        <f t="shared" si="440"/>
        <v/>
      </c>
      <c r="R1527" s="706"/>
      <c r="S1527" s="707"/>
      <c r="T1527" s="708"/>
      <c r="U1527" s="472"/>
      <c r="V1527" s="167"/>
      <c r="W1527" s="446"/>
      <c r="X1527" s="456"/>
      <c r="Y1527" s="436"/>
      <c r="Z1527" s="437"/>
      <c r="AA1527" s="560"/>
      <c r="AB1527" s="561"/>
      <c r="AC1527" s="87"/>
      <c r="AD1527" s="466"/>
      <c r="AE1527" s="456"/>
      <c r="AF1527" s="467"/>
      <c r="AG1527" s="87"/>
      <c r="AH1527" s="87"/>
      <c r="AI1527" s="87"/>
    </row>
    <row r="1528" spans="1:35" hidden="1">
      <c r="A1528" s="80" t="e">
        <f>"F"&amp;E1519</f>
        <v>#N/A</v>
      </c>
      <c r="B1528" s="105">
        <v>6</v>
      </c>
      <c r="C1528" s="107"/>
      <c r="D1528" s="107"/>
      <c r="E1528" s="107"/>
      <c r="F1528" s="107"/>
      <c r="G1528" s="83"/>
      <c r="H1528" s="83"/>
      <c r="I1528" s="84"/>
      <c r="J1528" s="85"/>
      <c r="K1528" s="382"/>
      <c r="L1528" s="85"/>
      <c r="M1528" s="332" t="str">
        <f t="shared" si="439"/>
        <v/>
      </c>
      <c r="N1528" s="86"/>
      <c r="O1528" s="453" t="str">
        <f t="shared" si="441"/>
        <v/>
      </c>
      <c r="P1528" s="538" t="str">
        <f t="shared" si="442"/>
        <v/>
      </c>
      <c r="Q1528" s="539" t="str">
        <f t="shared" si="440"/>
        <v/>
      </c>
      <c r="R1528" s="706"/>
      <c r="S1528" s="707"/>
      <c r="T1528" s="708"/>
      <c r="U1528" s="472"/>
      <c r="V1528" s="167"/>
      <c r="W1528" s="446"/>
      <c r="X1528" s="456"/>
      <c r="Y1528" s="436"/>
      <c r="Z1528" s="437"/>
      <c r="AA1528" s="560"/>
      <c r="AB1528" s="561"/>
      <c r="AC1528" s="87"/>
      <c r="AD1528" s="466"/>
      <c r="AE1528" s="456"/>
      <c r="AF1528" s="467"/>
      <c r="AG1528" s="87"/>
      <c r="AH1528" s="87"/>
      <c r="AI1528" s="87"/>
    </row>
    <row r="1529" spans="1:35" hidden="1">
      <c r="A1529" s="80" t="e">
        <f>"G"&amp;E1519</f>
        <v>#N/A</v>
      </c>
      <c r="B1529" s="105">
        <v>7</v>
      </c>
      <c r="C1529" s="107"/>
      <c r="D1529" s="107"/>
      <c r="E1529" s="107"/>
      <c r="F1529" s="107"/>
      <c r="G1529" s="83"/>
      <c r="H1529" s="83"/>
      <c r="I1529" s="84"/>
      <c r="J1529" s="85"/>
      <c r="K1529" s="382"/>
      <c r="L1529" s="85"/>
      <c r="M1529" s="332" t="str">
        <f t="shared" si="439"/>
        <v/>
      </c>
      <c r="N1529" s="86"/>
      <c r="O1529" s="86" t="str">
        <f t="shared" si="441"/>
        <v/>
      </c>
      <c r="P1529" s="538" t="str">
        <f t="shared" si="442"/>
        <v/>
      </c>
      <c r="Q1529" s="539" t="str">
        <f t="shared" si="440"/>
        <v/>
      </c>
      <c r="R1529" s="706"/>
      <c r="S1529" s="707"/>
      <c r="T1529" s="708"/>
      <c r="U1529" s="472"/>
      <c r="V1529" s="167"/>
      <c r="W1529" s="446"/>
      <c r="X1529" s="456"/>
      <c r="Y1529" s="436"/>
      <c r="Z1529" s="437"/>
      <c r="AA1529" s="560"/>
      <c r="AB1529" s="561"/>
      <c r="AC1529" s="87"/>
      <c r="AD1529" s="466"/>
      <c r="AE1529" s="456"/>
      <c r="AF1529" s="467"/>
      <c r="AG1529" s="87"/>
      <c r="AH1529" s="87"/>
      <c r="AI1529" s="87"/>
    </row>
    <row r="1530" spans="1:35" hidden="1">
      <c r="A1530" s="80" t="e">
        <f>"H"&amp;E1519</f>
        <v>#N/A</v>
      </c>
      <c r="B1530" s="105">
        <v>8</v>
      </c>
      <c r="C1530" s="107"/>
      <c r="D1530" s="107"/>
      <c r="E1530" s="107"/>
      <c r="F1530" s="107"/>
      <c r="G1530" s="83"/>
      <c r="H1530" s="83"/>
      <c r="I1530" s="84"/>
      <c r="J1530" s="85"/>
      <c r="K1530" s="382"/>
      <c r="L1530" s="85"/>
      <c r="M1530" s="332" t="str">
        <f t="shared" si="439"/>
        <v/>
      </c>
      <c r="N1530" s="453"/>
      <c r="O1530" s="86" t="str">
        <f t="shared" si="441"/>
        <v/>
      </c>
      <c r="P1530" s="538" t="str">
        <f t="shared" si="442"/>
        <v/>
      </c>
      <c r="Q1530" s="539" t="str">
        <f t="shared" si="440"/>
        <v/>
      </c>
      <c r="R1530" s="706"/>
      <c r="S1530" s="707"/>
      <c r="T1530" s="708"/>
      <c r="U1530" s="472"/>
      <c r="V1530" s="167"/>
      <c r="W1530" s="446"/>
      <c r="X1530" s="456"/>
      <c r="Y1530" s="436"/>
      <c r="Z1530" s="437"/>
      <c r="AA1530" s="560"/>
      <c r="AB1530" s="561"/>
      <c r="AC1530" s="87"/>
      <c r="AD1530" s="466"/>
      <c r="AE1530" s="456"/>
      <c r="AF1530" s="467"/>
      <c r="AG1530" s="87"/>
      <c r="AH1530" s="87"/>
      <c r="AI1530" s="87"/>
    </row>
    <row r="1531" spans="1:35" hidden="1">
      <c r="A1531" s="80" t="e">
        <f>"I"&amp;E1519</f>
        <v>#N/A</v>
      </c>
      <c r="B1531" s="105">
        <v>9</v>
      </c>
      <c r="C1531" s="107"/>
      <c r="D1531" s="107"/>
      <c r="E1531" s="107"/>
      <c r="F1531" s="107"/>
      <c r="G1531" s="83"/>
      <c r="H1531" s="83"/>
      <c r="I1531" s="84"/>
      <c r="J1531" s="85"/>
      <c r="K1531" s="382"/>
      <c r="L1531" s="85"/>
      <c r="M1531" s="332" t="str">
        <f t="shared" si="439"/>
        <v/>
      </c>
      <c r="N1531" s="453"/>
      <c r="O1531" s="86" t="str">
        <f t="shared" si="441"/>
        <v/>
      </c>
      <c r="P1531" s="538" t="str">
        <f t="shared" si="442"/>
        <v/>
      </c>
      <c r="Q1531" s="539" t="str">
        <f t="shared" si="440"/>
        <v/>
      </c>
      <c r="R1531" s="706"/>
      <c r="S1531" s="707"/>
      <c r="T1531" s="708"/>
      <c r="U1531" s="472"/>
      <c r="V1531" s="167"/>
      <c r="W1531" s="446"/>
      <c r="X1531" s="456"/>
      <c r="Y1531" s="436"/>
      <c r="Z1531" s="437"/>
      <c r="AA1531" s="560"/>
      <c r="AB1531" s="561"/>
      <c r="AC1531" s="87"/>
      <c r="AD1531" s="466"/>
      <c r="AE1531" s="456"/>
      <c r="AF1531" s="467"/>
      <c r="AG1531" s="87"/>
      <c r="AH1531" s="87"/>
      <c r="AI1531" s="87"/>
    </row>
    <row r="1532" spans="1:35" hidden="1">
      <c r="A1532" s="80" t="e">
        <f>"J"&amp;E1519</f>
        <v>#N/A</v>
      </c>
      <c r="B1532" s="105">
        <v>10</v>
      </c>
      <c r="C1532" s="107"/>
      <c r="D1532" s="107"/>
      <c r="E1532" s="107"/>
      <c r="F1532" s="107"/>
      <c r="G1532" s="83"/>
      <c r="H1532" s="83"/>
      <c r="I1532" s="84"/>
      <c r="J1532" s="85"/>
      <c r="K1532" s="382"/>
      <c r="L1532" s="85"/>
      <c r="M1532" s="332" t="str">
        <f t="shared" si="439"/>
        <v/>
      </c>
      <c r="N1532" s="453"/>
      <c r="O1532" s="86" t="str">
        <f t="shared" si="441"/>
        <v/>
      </c>
      <c r="P1532" s="538" t="str">
        <f t="shared" si="442"/>
        <v/>
      </c>
      <c r="Q1532" s="539" t="str">
        <f t="shared" si="440"/>
        <v/>
      </c>
      <c r="R1532" s="706"/>
      <c r="S1532" s="707"/>
      <c r="T1532" s="708"/>
      <c r="U1532" s="472"/>
      <c r="V1532" s="167"/>
      <c r="W1532" s="446"/>
      <c r="X1532" s="456"/>
      <c r="Y1532" s="436"/>
      <c r="Z1532" s="437"/>
      <c r="AA1532" s="560"/>
      <c r="AB1532" s="561"/>
      <c r="AC1532" s="87"/>
      <c r="AD1532" s="466"/>
      <c r="AE1532" s="456"/>
      <c r="AF1532" s="467"/>
      <c r="AG1532" s="87"/>
      <c r="AH1532" s="87"/>
      <c r="AI1532" s="87"/>
    </row>
    <row r="1533" spans="1:35" ht="16.5" hidden="1" thickBot="1">
      <c r="A1533" s="44"/>
      <c r="B1533" s="89"/>
      <c r="C1533" s="90"/>
      <c r="D1533" s="90"/>
      <c r="E1533" s="90"/>
      <c r="F1533" s="90"/>
      <c r="G1533" s="90"/>
      <c r="H1533" s="90"/>
      <c r="I1533" s="90"/>
      <c r="J1533" s="90"/>
      <c r="K1533" s="90"/>
      <c r="L1533" s="90"/>
      <c r="M1533" s="90"/>
      <c r="N1533" s="90"/>
      <c r="O1533" s="90"/>
      <c r="P1533" s="90"/>
      <c r="Q1533" s="90"/>
      <c r="R1533" s="90"/>
      <c r="S1533" s="91"/>
      <c r="T1533" s="92"/>
      <c r="U1533" s="473"/>
      <c r="W1533" s="438"/>
      <c r="X1533" s="455"/>
      <c r="Y1533" s="439"/>
      <c r="Z1533" s="437"/>
      <c r="AA1533" s="530"/>
      <c r="AB1533" s="563"/>
      <c r="AC1533" s="87"/>
      <c r="AD1533" s="440"/>
      <c r="AE1533" s="441"/>
      <c r="AF1533" s="442"/>
      <c r="AG1533" s="49"/>
      <c r="AH1533" s="87"/>
      <c r="AI1533" s="87"/>
    </row>
    <row r="1534" spans="1:35" ht="16.5" hidden="1" thickBot="1">
      <c r="A1534" s="93"/>
      <c r="B1534" s="94"/>
      <c r="C1534" s="96"/>
      <c r="D1534" s="96"/>
      <c r="E1534" s="96"/>
      <c r="F1534" s="96"/>
      <c r="G1534" s="96"/>
      <c r="H1534" s="96"/>
      <c r="I1534" s="96"/>
      <c r="J1534" s="96"/>
      <c r="K1534" s="96"/>
      <c r="L1534" s="96"/>
      <c r="M1534" s="136"/>
      <c r="N1534" s="96"/>
      <c r="O1534" s="96"/>
      <c r="P1534" s="97"/>
      <c r="Q1534" s="97"/>
      <c r="R1534" s="98"/>
      <c r="S1534" s="95"/>
      <c r="T1534" s="99"/>
      <c r="U1534" s="469"/>
      <c r="AC1534" s="58"/>
      <c r="AG1534" s="58"/>
      <c r="AH1534" s="87"/>
      <c r="AI1534" s="87"/>
    </row>
    <row r="1535" spans="1:35" ht="16.5" hidden="1" thickBot="1">
      <c r="B1535" s="101"/>
      <c r="C1535" s="101"/>
      <c r="D1535" s="101"/>
      <c r="E1535" s="101"/>
      <c r="F1535" s="101"/>
      <c r="G1535" s="101"/>
      <c r="H1535" s="101"/>
      <c r="I1535" s="101"/>
      <c r="J1535" s="101"/>
      <c r="K1535" s="101"/>
      <c r="L1535" s="101"/>
      <c r="M1535" s="101"/>
      <c r="N1535" s="101"/>
      <c r="O1535" s="101"/>
      <c r="P1535" s="101"/>
      <c r="Q1535" s="101"/>
      <c r="R1535" s="101"/>
      <c r="S1535" s="101"/>
      <c r="U1535" s="50"/>
      <c r="AH1535" s="87"/>
      <c r="AI1535" s="87"/>
    </row>
    <row r="1536" spans="1:35" ht="16.5" hidden="1" customHeight="1" thickBot="1">
      <c r="A1536" s="44"/>
      <c r="B1536" s="705" t="s">
        <v>74</v>
      </c>
      <c r="C1536" s="705"/>
      <c r="D1536" s="705"/>
      <c r="E1536" s="705"/>
      <c r="F1536" s="705"/>
      <c r="G1536" s="705"/>
      <c r="H1536" s="705"/>
      <c r="I1536" s="705"/>
      <c r="J1536" s="705"/>
      <c r="K1536" s="705"/>
      <c r="L1536" s="705"/>
      <c r="M1536" s="705"/>
      <c r="N1536" s="705"/>
      <c r="O1536" s="705"/>
      <c r="P1536" s="705"/>
      <c r="Q1536" s="705"/>
      <c r="R1536" s="705"/>
      <c r="S1536" s="705"/>
      <c r="T1536" s="705"/>
      <c r="U1536" s="108"/>
      <c r="Y1536" s="532" t="s">
        <v>341</v>
      </c>
      <c r="AC1536" s="49"/>
      <c r="AD1536" s="687" t="s">
        <v>302</v>
      </c>
      <c r="AE1536" s="688"/>
      <c r="AF1536" s="689"/>
      <c r="AG1536" s="49"/>
      <c r="AH1536" s="87"/>
      <c r="AI1536" s="87"/>
    </row>
    <row r="1537" spans="1:35" ht="15.75" hidden="1" customHeight="1" thickBot="1">
      <c r="A1537" s="218" t="e">
        <f>"K"&amp;E1519</f>
        <v>#N/A</v>
      </c>
      <c r="B1537" s="701" t="s">
        <v>71</v>
      </c>
      <c r="C1537" s="751" t="s">
        <v>102</v>
      </c>
      <c r="D1537" s="751"/>
      <c r="E1537" s="751"/>
      <c r="F1537" s="751"/>
      <c r="G1537" s="751"/>
      <c r="H1537" s="751"/>
      <c r="I1537" s="751"/>
      <c r="J1537" s="751"/>
      <c r="K1537" s="751"/>
      <c r="L1537" s="722" t="s">
        <v>100</v>
      </c>
      <c r="M1537" s="747" t="s">
        <v>114</v>
      </c>
      <c r="N1537" s="747"/>
      <c r="O1537" s="747"/>
      <c r="P1537" s="747"/>
      <c r="Q1537" s="748"/>
      <c r="R1537" s="758" t="s">
        <v>280</v>
      </c>
      <c r="S1537" s="748"/>
      <c r="T1537" s="762" t="str">
        <f>IF(COUNTIF(AE1537:AF1537,"VERIFICAR")&gt;0,"VERIFICAR",IF(COUNTIF(AE1537:AF1537,"NO CUMPLE")&gt;0,"NO CUMPLE","CUMPLE"))</f>
        <v>VERIFICAR</v>
      </c>
      <c r="U1537" s="108"/>
      <c r="Y1537" s="533" t="e">
        <f>IF(F1538="","",IF(F1538=1,"INDIVIDUAL","ESTRUCTURA PLURAL"))</f>
        <v>#N/A</v>
      </c>
      <c r="AC1537" s="52"/>
      <c r="AD1537" s="475" t="s">
        <v>303</v>
      </c>
      <c r="AE1537" s="476" t="str">
        <f>IF(COUNTIF(AE1523:AE1532,"")=10,"VERIFICAR",IF(COUNTIF(AE1523:AE1532,"SI")&gt;0,"CUMPLE","NO CUMPLE"))</f>
        <v>VERIFICAR</v>
      </c>
      <c r="AF1537" s="477" t="str">
        <f>IF(COUNTIF(AF1523:AF1532,"")=10,"VERIFICAR",IF(COUNTIF(AF1523:AF1532,"SI")&gt;=$AI$22,"CUMPLE","NO CUMPLE"))</f>
        <v>VERIFICAR</v>
      </c>
      <c r="AG1537" s="52"/>
      <c r="AH1537" s="87"/>
      <c r="AI1537" s="87"/>
    </row>
    <row r="1538" spans="1:35" ht="16.5" hidden="1" customHeight="1" thickBot="1">
      <c r="A1538" s="218" t="e">
        <f>"L"&amp;E1519</f>
        <v>#N/A</v>
      </c>
      <c r="B1538" s="702"/>
      <c r="C1538" s="751" t="s">
        <v>103</v>
      </c>
      <c r="D1538" s="751"/>
      <c r="E1538" s="752"/>
      <c r="F1538" s="557" t="e">
        <f>IF(VLOOKUP(E1519,PROPONENTES!$C$19:$E$218,3,0)="","",VLOOKUP(E1519,PROPONENTES!$C$19:$E$218,3,0))</f>
        <v>#N/A</v>
      </c>
      <c r="G1538" s="753" t="s">
        <v>104</v>
      </c>
      <c r="H1538" s="751"/>
      <c r="I1538" s="715" t="e">
        <f>IF(OR(F1538="",F1538=1),"INTERESADO PERSONA NATURAL O JURIDICA","CONSORCIO O UNION TEMPORAL")</f>
        <v>#N/A</v>
      </c>
      <c r="J1538" s="725"/>
      <c r="K1538" s="728"/>
      <c r="L1538" s="723"/>
      <c r="M1538" s="749"/>
      <c r="N1538" s="749"/>
      <c r="O1538" s="749"/>
      <c r="P1538" s="749"/>
      <c r="Q1538" s="750"/>
      <c r="R1538" s="712"/>
      <c r="S1538" s="750"/>
      <c r="T1538" s="763"/>
      <c r="U1538" s="108"/>
      <c r="Y1538" s="534"/>
      <c r="AA1538" s="52"/>
      <c r="AB1538" s="52"/>
      <c r="AC1538" s="52"/>
      <c r="AG1538" s="52"/>
      <c r="AH1538" s="87"/>
      <c r="AI1538" s="87"/>
    </row>
    <row r="1539" spans="1:35" ht="56.25" hidden="1" customHeight="1" thickBot="1">
      <c r="A1539" s="218" t="e">
        <f>"M"&amp;E1519</f>
        <v>#N/A</v>
      </c>
      <c r="B1539" s="702"/>
      <c r="C1539" s="725" t="s">
        <v>101</v>
      </c>
      <c r="D1539" s="716"/>
      <c r="E1539" s="558" t="s">
        <v>105</v>
      </c>
      <c r="F1539" s="554" t="s">
        <v>87</v>
      </c>
      <c r="G1539" s="553" t="s">
        <v>86</v>
      </c>
      <c r="H1539" s="559" t="s">
        <v>85</v>
      </c>
      <c r="I1539" s="554" t="s">
        <v>252</v>
      </c>
      <c r="J1539" s="553" t="str">
        <f>"¿EL INTEGRANTE TIENE UNA PARTICIPACIÓN DEL "&amp;PORCREQUERIDOINT*100&amp;"%?"</f>
        <v>¿EL INTEGRANTE TIENE UNA PARTICIPACIÓN DEL 60%?</v>
      </c>
      <c r="K1539" s="554" t="s">
        <v>107</v>
      </c>
      <c r="L1539" s="724"/>
      <c r="M1539" s="717" t="s">
        <v>115</v>
      </c>
      <c r="N1539" s="718"/>
      <c r="O1539" s="718"/>
      <c r="P1539" s="718"/>
      <c r="Q1539" s="223">
        <f>IF(AND(H1523="SI",P1523&gt;=0),1,0)+IF(AND(H1524="SI",P1524&gt;=0),1,0)+IF(AND(H1525="SI",P1525&gt;=0),1,0)+IF(AND(H1526="SI",P1526&gt;=0),1,0)+IF(AND(H1527="SI",P1527&gt;=0),1,0)+IF(AND(H1528="SI",P1528&gt;=0),1,0)+IF(AND(H1529="SI",P1529&gt;=0),1,0)+IF(AND(H1530="SI",P1530&gt;=0),1,0)+IF(AND(H1531="SI",P1531&gt;=0),1,0)+IF(AND(H1532="SI",P1532&gt;=0),1,0)</f>
        <v>0</v>
      </c>
      <c r="R1539" s="759"/>
      <c r="S1539" s="761"/>
      <c r="T1539" s="764"/>
      <c r="U1539" s="219"/>
      <c r="V1539" s="464"/>
      <c r="Y1539" s="532" t="s">
        <v>342</v>
      </c>
      <c r="AA1539" s="550" t="s">
        <v>344</v>
      </c>
      <c r="AB1539" s="693" t="s">
        <v>345</v>
      </c>
      <c r="AC1539" s="693" t="s">
        <v>346</v>
      </c>
      <c r="AD1539" s="685" t="s">
        <v>347</v>
      </c>
      <c r="AE1539" s="52"/>
      <c r="AF1539" s="52"/>
      <c r="AG1539" s="52"/>
      <c r="AH1539" s="87"/>
      <c r="AI1539" s="87"/>
    </row>
    <row r="1540" spans="1:35" ht="15.75" hidden="1" customHeight="1" thickBot="1">
      <c r="A1540" s="218" t="e">
        <f>"N"&amp;E1519</f>
        <v>#N/A</v>
      </c>
      <c r="B1540" s="702"/>
      <c r="C1540" s="114">
        <v>1</v>
      </c>
      <c r="D1540" s="194" t="e">
        <f>IF(AND(C1540&lt;=F1538,F1538&gt;1,F1538&lt;&gt;""),VLOOKUP(VALUE(E1519&amp;","&amp;C1540),INTEGRANTES!$D$18:$F$235,2,0),"")</f>
        <v>#N/A</v>
      </c>
      <c r="E1540" s="211" t="e">
        <f>IF(D1540&lt;&gt;"",VLOOKUP(VALUE(E1519&amp;","&amp;C1540),INTEGRANTES!$D$18:$F$235,3,0),"")</f>
        <v>#N/A</v>
      </c>
      <c r="F1540" s="547" t="e">
        <f>IF(D1540="","",SUMIF($I1523:$I1532,D1540,$P1523:$P1532))</f>
        <v>#N/A</v>
      </c>
      <c r="G1540" s="333" t="e">
        <f>IF(D1540="","",SUMIF($I1523:$I1532,D1540,$M1523:$M1532))</f>
        <v>#N/A</v>
      </c>
      <c r="H1540" s="535" t="e">
        <f t="shared" ref="H1540:H1545" si="443">IF(D1540="","",IF(OR(F1540=0,G1540=0),"NO APORTA",ROUND($F1540/$G1540,3)))</f>
        <v>#N/A</v>
      </c>
      <c r="I1540" s="212" t="e">
        <f>IF(D1540="","",IF(H1540="NO APORTA","NO",IF(H1540=MAX($H1540:$H1545),"SI","NO")))</f>
        <v>#N/A</v>
      </c>
      <c r="J1540" s="213" t="e">
        <f t="shared" ref="J1540:J1545" si="444">IF(D1540="","",IF(E1540&gt;=PORCREQUERIDOINT,"SI","NO"))</f>
        <v>#N/A</v>
      </c>
      <c r="K1540" s="200" t="e">
        <f t="shared" ref="K1540:K1545" si="445">IF(D1540="","",IF(AND(I1540="SI",J1540="SI"),"CUMPLE",IF(AND(I1540="NO",OR(J1540="SI",J1540="NO")),"","NO CUMPLE")))</f>
        <v>#N/A</v>
      </c>
      <c r="L1540" s="722" t="s">
        <v>108</v>
      </c>
      <c r="M1540" s="726" t="s">
        <v>119</v>
      </c>
      <c r="N1540" s="726"/>
      <c r="O1540" s="726"/>
      <c r="P1540" s="726"/>
      <c r="Q1540" s="727"/>
      <c r="R1540" s="758" t="s">
        <v>80</v>
      </c>
      <c r="S1540" s="747"/>
      <c r="T1540" s="748"/>
      <c r="U1540" s="219"/>
      <c r="V1540" s="464"/>
      <c r="Y1540" s="533" t="e">
        <f>IF(Y1537="","",IF(Y1537="INDIVIDUAL","NO APLICA","VERIFICAR CUADRO"))</f>
        <v>#N/A</v>
      </c>
      <c r="AA1540" s="551"/>
      <c r="AB1540" s="694"/>
      <c r="AC1540" s="694"/>
      <c r="AD1540" s="686"/>
      <c r="AE1540" s="52"/>
      <c r="AF1540" s="52"/>
      <c r="AG1540" s="52"/>
      <c r="AH1540" s="87"/>
      <c r="AI1540" s="87"/>
    </row>
    <row r="1541" spans="1:35" ht="27" hidden="1" customHeight="1" thickBot="1">
      <c r="A1541" s="218" t="e">
        <f>"O"&amp;E1519</f>
        <v>#N/A</v>
      </c>
      <c r="B1541" s="702"/>
      <c r="C1541" s="114">
        <v>2</v>
      </c>
      <c r="D1541" s="194" t="e">
        <f>IF(AND(C1541&lt;=F1538,F1538&lt;&gt;""),VLOOKUP(VALUE(E1519&amp;","&amp;C1541),INTEGRANTES!$D$18:$F$235,2,0),"")</f>
        <v>#N/A</v>
      </c>
      <c r="E1541" s="211" t="e">
        <f>IF(D1541&lt;&gt;"",VLOOKUP(VALUE(E1519&amp;","&amp;C1541),INTEGRANTES!$D$18:$F$235,3,0),"")</f>
        <v>#N/A</v>
      </c>
      <c r="F1541" s="547" t="e">
        <f>IF(D1541="","",SUMIF($I1523:$I1532,D1541,$P1523:$P1532))</f>
        <v>#N/A</v>
      </c>
      <c r="G1541" s="333" t="e">
        <f>IF(D1541="","",SUMIF($I1523:$I1532,D1541,$M1523:$M1532))</f>
        <v>#N/A</v>
      </c>
      <c r="H1541" s="535" t="e">
        <f t="shared" si="443"/>
        <v>#N/A</v>
      </c>
      <c r="I1541" s="212" t="e">
        <f>IF(D1541="","",IF(H1541="NO APORTA","NO",IF(H1541=MAX($H1540:$H1545),"SI","NO")))</f>
        <v>#N/A</v>
      </c>
      <c r="J1541" s="213" t="e">
        <f t="shared" si="444"/>
        <v>#N/A</v>
      </c>
      <c r="K1541" s="200" t="e">
        <f t="shared" si="445"/>
        <v>#N/A</v>
      </c>
      <c r="L1541" s="723"/>
      <c r="M1541" s="715" t="s">
        <v>116</v>
      </c>
      <c r="N1541" s="716"/>
      <c r="O1541" s="556" t="s">
        <v>113</v>
      </c>
      <c r="P1541" s="715" t="s">
        <v>117</v>
      </c>
      <c r="Q1541" s="728"/>
      <c r="R1541" s="759"/>
      <c r="S1541" s="760"/>
      <c r="T1541" s="761"/>
      <c r="U1541" s="219"/>
      <c r="V1541" s="464"/>
      <c r="Y1541" s="414"/>
      <c r="AA1541" s="542" t="e">
        <f>IF(AND(C1540&lt;=F1538,F1538&gt;1,F1538&lt;&gt;""),VLOOKUP(VALUE(E1519&amp;","&amp;C1540),INTEGRANTES!$D$18:$F$235,2,0),"")</f>
        <v>#N/A</v>
      </c>
      <c r="AB1541" s="544" t="e">
        <f t="shared" ref="AB1541:AB1546" si="446">IF(D1540="","",IF(OR(F1540=0,G1540=0),"NO APORTA",ROUND($F1540/$G1540,3)))</f>
        <v>#N/A</v>
      </c>
      <c r="AC1541" s="529"/>
      <c r="AD1541" s="200" t="e">
        <f t="shared" ref="AD1541:AD1546" si="447">IF(OR(AA1541="",AB1541=""),"",IF(AND(AC1541="X",AB1541&gt;=EXPREQVTD),"CUMPLE","NO CUMPLE"))</f>
        <v>#N/A</v>
      </c>
      <c r="AE1541" s="52"/>
      <c r="AF1541" s="52"/>
      <c r="AG1541" s="52"/>
      <c r="AH1541" s="87"/>
      <c r="AI1541" s="87"/>
    </row>
    <row r="1542" spans="1:35" ht="16.5" hidden="1" thickBot="1">
      <c r="A1542" s="218" t="e">
        <f>"P"&amp;E1519</f>
        <v>#N/A</v>
      </c>
      <c r="B1542" s="702"/>
      <c r="C1542" s="114">
        <v>3</v>
      </c>
      <c r="D1542" s="194" t="e">
        <f>IF(AND(C1542&lt;=F1538,F1538&lt;&gt;""),VLOOKUP(VALUE(E1519&amp;","&amp;C1542),INTEGRANTES!$D$18:$F$235,2,0),"")</f>
        <v>#N/A</v>
      </c>
      <c r="E1542" s="211" t="e">
        <f>IF(D1542&lt;&gt;"",VLOOKUP(VALUE(E1519&amp;","&amp;C1542),INTEGRANTES!$D$18:$F$235,3,0),"")</f>
        <v>#N/A</v>
      </c>
      <c r="F1542" s="547" t="e">
        <f>IF(D1542="","",SUMIF($I1523:$I1532,D1542,$P1523:$P1532))</f>
        <v>#N/A</v>
      </c>
      <c r="G1542" s="333" t="e">
        <f>IF(D1542="","",SUMIF($I1523:$I1532,D1542,$M1523:$M1532))</f>
        <v>#N/A</v>
      </c>
      <c r="H1542" s="535" t="e">
        <f t="shared" si="443"/>
        <v>#N/A</v>
      </c>
      <c r="I1542" s="212" t="e">
        <f>IF(D1542="","",IF(H1542="NO APORTA","NO",IF(H1542=MAX($H1540:$H1545),"SI","NO")))</f>
        <v>#N/A</v>
      </c>
      <c r="J1542" s="213" t="e">
        <f t="shared" si="444"/>
        <v>#N/A</v>
      </c>
      <c r="K1542" s="200" t="e">
        <f t="shared" si="445"/>
        <v>#N/A</v>
      </c>
      <c r="L1542" s="724"/>
      <c r="M1542" s="729">
        <f>NUMMOD</f>
        <v>1</v>
      </c>
      <c r="N1542" s="730"/>
      <c r="O1542" s="443">
        <f>IF(M1542="","",VLOOKUP(M1542,PRESUPUESTOS!$B$16:$H$16,5,FALSE))</f>
        <v>2</v>
      </c>
      <c r="P1542" s="713">
        <f>IF(OR(COUNTIF(M1523:M1532,"")&gt;=10,Q1539&lt;NUMMINCONT,OR(T1537="NO CUMPLE",T1537="VERIFICAR")),0,ROUND(AVERAGE(M1523:M1532),3))</f>
        <v>0</v>
      </c>
      <c r="Q1542" s="714"/>
      <c r="R1542" s="458"/>
      <c r="S1542" s="459"/>
      <c r="T1542" s="460"/>
      <c r="U1542" s="219"/>
      <c r="V1542" s="464"/>
      <c r="Y1542" s="532" t="str">
        <f>"40% * ("&amp;PRESUPUESTOS!$H$13&amp;")"</f>
        <v>40% * (50% PFMO)</v>
      </c>
      <c r="AA1542" s="540" t="e">
        <f>IF(AND(C1541&lt;=F1538,F1538&lt;&gt;""),VLOOKUP(VALUE(E1519&amp;","&amp;C1541),INTEGRANTES!$D$18:$F$235,2,0),"")</f>
        <v>#N/A</v>
      </c>
      <c r="AB1542" s="545" t="e">
        <f t="shared" si="446"/>
        <v>#N/A</v>
      </c>
      <c r="AC1542" s="529"/>
      <c r="AD1542" s="200" t="e">
        <f t="shared" si="447"/>
        <v>#N/A</v>
      </c>
      <c r="AE1542" s="52"/>
      <c r="AF1542" s="52"/>
      <c r="AG1542" s="52"/>
      <c r="AH1542" s="87"/>
      <c r="AI1542" s="87"/>
    </row>
    <row r="1543" spans="1:35" ht="15.75" hidden="1" customHeight="1" thickBot="1">
      <c r="A1543" s="218" t="e">
        <f>"Q"&amp;E1519</f>
        <v>#N/A</v>
      </c>
      <c r="B1543" s="702"/>
      <c r="C1543" s="114">
        <v>4</v>
      </c>
      <c r="D1543" s="194" t="e">
        <f>IF(AND(C1543&lt;=F1538,F1538&lt;&gt;""),VLOOKUP(VALUE(E1519&amp;","&amp;C1543),INTEGRANTES!$D$18:$F$235,2,0),"")</f>
        <v>#N/A</v>
      </c>
      <c r="E1543" s="211" t="e">
        <f>IF(D1543&lt;&gt;"",VLOOKUP(VALUE(E1519&amp;","&amp;C1543),INTEGRANTES!$D$18:$F$235,3,0),"")</f>
        <v>#N/A</v>
      </c>
      <c r="F1543" s="547" t="e">
        <f>IF(D1543="","",SUMIF($I1523:$I1532,D1543,$P1523:$P1532))</f>
        <v>#N/A</v>
      </c>
      <c r="G1543" s="333" t="e">
        <f>IF(D1543="","",SUMIF($I1523:$I1532,D1543,$M1523:$M1532))</f>
        <v>#N/A</v>
      </c>
      <c r="H1543" s="535" t="e">
        <f t="shared" si="443"/>
        <v>#N/A</v>
      </c>
      <c r="I1543" s="212" t="e">
        <f>IF(D1543="","",IF(H1543="NO APORTA","NO",IF(H1543=MAX($H1540:$H1545),"SI","NO")))</f>
        <v>#N/A</v>
      </c>
      <c r="J1543" s="213" t="e">
        <f t="shared" si="444"/>
        <v>#N/A</v>
      </c>
      <c r="K1543" s="200" t="e">
        <f t="shared" si="445"/>
        <v>#N/A</v>
      </c>
      <c r="L1543" s="720" t="s">
        <v>109</v>
      </c>
      <c r="M1543" s="757" t="s">
        <v>120</v>
      </c>
      <c r="N1543" s="726"/>
      <c r="O1543" s="726"/>
      <c r="P1543" s="726"/>
      <c r="Q1543" s="727"/>
      <c r="R1543" s="458"/>
      <c r="S1543" s="459"/>
      <c r="T1543" s="460"/>
      <c r="U1543" s="219"/>
      <c r="V1543" s="464"/>
      <c r="Y1543" s="537">
        <f>0.4*PRESUPUESTOS!$H$16</f>
        <v>10.3124</v>
      </c>
      <c r="AA1543" s="540" t="e">
        <f>IF(AND(C1542&lt;=F1538,F1538&lt;&gt;""),VLOOKUP(VALUE(E1519&amp;","&amp;C1542),INTEGRANTES!$D$18:$F$235,2,0),"")</f>
        <v>#N/A</v>
      </c>
      <c r="AB1543" s="545" t="e">
        <f t="shared" si="446"/>
        <v>#N/A</v>
      </c>
      <c r="AC1543" s="529"/>
      <c r="AD1543" s="200" t="e">
        <f t="shared" si="447"/>
        <v>#N/A</v>
      </c>
      <c r="AE1543" s="52"/>
      <c r="AF1543" s="52"/>
      <c r="AG1543" s="52"/>
      <c r="AH1543" s="87"/>
      <c r="AI1543" s="87"/>
    </row>
    <row r="1544" spans="1:35" ht="27" hidden="1" customHeight="1" thickBot="1">
      <c r="A1544" s="218" t="e">
        <f>"R"&amp;E1519</f>
        <v>#N/A</v>
      </c>
      <c r="B1544" s="702"/>
      <c r="C1544" s="114">
        <v>5</v>
      </c>
      <c r="D1544" s="194" t="e">
        <f>IF(AND(C1544&lt;=F1538,F1538&lt;&gt;""),VLOOKUP(VALUE(E1519&amp;","&amp;C1544),INTEGRANTES!$D$18:$F$235,2,0),"")</f>
        <v>#N/A</v>
      </c>
      <c r="E1544" s="211" t="e">
        <f>IF(D1544&lt;&gt;"",VLOOKUP(VALUE(E1519&amp;","&amp;C1544),INTEGRANTES!$D$18:$F$235,3,0),"")</f>
        <v>#N/A</v>
      </c>
      <c r="F1544" s="547" t="e">
        <f>IF(D1544="","",SUMIF($I1523:$I1532,D1544,$P1523:$P1532))</f>
        <v>#N/A</v>
      </c>
      <c r="G1544" s="333" t="e">
        <f>IF(D1544="","",SUMIF($I1523:$I1532,D1544,$M1523:$M1532))</f>
        <v>#N/A</v>
      </c>
      <c r="H1544" s="535" t="e">
        <f t="shared" si="443"/>
        <v>#N/A</v>
      </c>
      <c r="I1544" s="212" t="e">
        <f>IF(D1544="","",IF(H1544="NO APORTA","NO",IF(H1544=MAX($H1540:$H1545),"SI","NO")))</f>
        <v>#N/A</v>
      </c>
      <c r="J1544" s="213" t="e">
        <f t="shared" si="444"/>
        <v>#N/A</v>
      </c>
      <c r="K1544" s="200" t="e">
        <f t="shared" si="445"/>
        <v>#N/A</v>
      </c>
      <c r="L1544" s="721"/>
      <c r="M1544" s="715" t="s">
        <v>116</v>
      </c>
      <c r="N1544" s="716"/>
      <c r="O1544" s="556" t="str">
        <f>PORCREQUERIDO*100&amp;"% PMFO DEL MÓDULO"</f>
        <v>50% PMFO DEL MÓDULO</v>
      </c>
      <c r="P1544" s="715" t="s">
        <v>118</v>
      </c>
      <c r="Q1544" s="728"/>
      <c r="R1544" s="458"/>
      <c r="S1544" s="459"/>
      <c r="T1544" s="460"/>
      <c r="U1544" s="219"/>
      <c r="V1544" s="464"/>
      <c r="Y1544" s="414"/>
      <c r="AA1544" s="540" t="e">
        <f>IF(AND(C1543&lt;=F1538,F1538&lt;&gt;""),VLOOKUP(VALUE(E1519&amp;","&amp;C1543),INTEGRANTES!$D$18:$F$235,2,0),"")</f>
        <v>#N/A</v>
      </c>
      <c r="AB1544" s="545" t="e">
        <f t="shared" si="446"/>
        <v>#N/A</v>
      </c>
      <c r="AC1544" s="529"/>
      <c r="AD1544" s="200" t="e">
        <f t="shared" si="447"/>
        <v>#N/A</v>
      </c>
      <c r="AE1544" s="52"/>
      <c r="AF1544" s="52"/>
      <c r="AG1544" s="52"/>
      <c r="AH1544" s="87"/>
      <c r="AI1544" s="87"/>
    </row>
    <row r="1545" spans="1:35" ht="16.5" hidden="1" thickBot="1">
      <c r="A1545" s="218" t="e">
        <f>"S"&amp;E1519</f>
        <v>#N/A</v>
      </c>
      <c r="B1545" s="702"/>
      <c r="C1545" s="215">
        <v>6</v>
      </c>
      <c r="D1545" s="216" t="e">
        <f>IF(AND(C1545&lt;=F1538,F1538&lt;&gt;""),VLOOKUP(VALUE(E1519&amp;","&amp;C1545),INTEGRANTES!$D$18:$F$235,2,0),"")</f>
        <v>#N/A</v>
      </c>
      <c r="E1545" s="217" t="e">
        <f>IF(D1545&lt;&gt;"",VLOOKUP(VALUE(E1519&amp;","&amp;C1545),INTEGRANTES!$D$18:$F$235,3,0),"")</f>
        <v>#N/A</v>
      </c>
      <c r="F1545" s="548" t="e">
        <f>IF(D1545="","",SUMIF($I1523:$I1532,D1545,$P1523:$P1532))</f>
        <v>#N/A</v>
      </c>
      <c r="G1545" s="334" t="e">
        <f>IF(D1545="","",SUMIF($I1523:$I1532,D1545,$M1523:$M1532))</f>
        <v>#N/A</v>
      </c>
      <c r="H1545" s="536" t="e">
        <f t="shared" si="443"/>
        <v>#N/A</v>
      </c>
      <c r="I1545" s="214" t="e">
        <f>IF(D1545="","",IF(H1545="NO APORTA","NO",IF(H1545=MAX($H1540:$H1545),"SI","NO")))</f>
        <v>#N/A</v>
      </c>
      <c r="J1545" s="213" t="e">
        <f t="shared" si="444"/>
        <v>#N/A</v>
      </c>
      <c r="K1545" s="200" t="e">
        <f t="shared" si="445"/>
        <v>#N/A</v>
      </c>
      <c r="L1545" s="721"/>
      <c r="M1545" s="729">
        <f>NUMMOD</f>
        <v>1</v>
      </c>
      <c r="N1545" s="730"/>
      <c r="O1545" s="443">
        <f>IF(M1545="","",ROUND(VLOOKUP(M1545,PRESUPUESTOS!$B$16:$H$16,7,FALSE),3))</f>
        <v>25.780999999999999</v>
      </c>
      <c r="P1545" s="713">
        <f>IF(OR(COUNTIF(P1523:P1532,"")&gt;=10,Q1539&lt;NUMMINCONT,OR(T1537="NO CUMPLE",T1537="VERIFICAR")),0,ROUND((SUM(P1523:P1532)/SUM(M1523:M1532)),3))</f>
        <v>0</v>
      </c>
      <c r="Q1545" s="714"/>
      <c r="R1545" s="458"/>
      <c r="S1545" s="459"/>
      <c r="T1545" s="460"/>
      <c r="U1545" s="219"/>
      <c r="V1545" s="464"/>
      <c r="Y1545" s="532" t="s">
        <v>343</v>
      </c>
      <c r="AA1545" s="540" t="e">
        <f>IF(AND(C1544&lt;=F1538,F1538&lt;&gt;""),VLOOKUP(VALUE(E1519&amp;","&amp;C1544),INTEGRANTES!$D$18:$F$235,2,0),"")</f>
        <v>#N/A</v>
      </c>
      <c r="AB1545" s="545" t="e">
        <f t="shared" si="446"/>
        <v>#N/A</v>
      </c>
      <c r="AC1545" s="529"/>
      <c r="AD1545" s="200" t="e">
        <f t="shared" si="447"/>
        <v>#N/A</v>
      </c>
      <c r="AE1545" s="52"/>
      <c r="AF1545" s="52"/>
      <c r="AG1545" s="52"/>
      <c r="AH1545" s="87"/>
      <c r="AI1545" s="87"/>
    </row>
    <row r="1546" spans="1:35" ht="16.5" hidden="1" customHeight="1" thickBot="1">
      <c r="A1546" s="218" t="e">
        <f>"T"&amp;E1519</f>
        <v>#N/A</v>
      </c>
      <c r="B1546" s="703"/>
      <c r="C1546" s="719"/>
      <c r="D1546" s="719"/>
      <c r="E1546" s="719"/>
      <c r="F1546" s="719"/>
      <c r="G1546" s="719"/>
      <c r="H1546" s="719" t="s">
        <v>110</v>
      </c>
      <c r="I1546" s="719"/>
      <c r="J1546" s="719"/>
      <c r="K1546" s="201" t="str">
        <f>IF(COUNTIF(K1540:K1545,"")=6,"",IF(COUNTIF(K1540:K1545,"CUMPLE")&gt;0,"CUMPLE","NO CUMPLE"))</f>
        <v>NO CUMPLE</v>
      </c>
      <c r="L1546" s="754"/>
      <c r="M1546" s="755"/>
      <c r="N1546" s="755"/>
      <c r="O1546" s="755"/>
      <c r="P1546" s="755"/>
      <c r="Q1546" s="756"/>
      <c r="R1546" s="461"/>
      <c r="S1546" s="462"/>
      <c r="T1546" s="463"/>
      <c r="U1546" s="219"/>
      <c r="V1546" s="464"/>
      <c r="Y1546" s="549" t="e">
        <f>IF(Y1540="NO APLICA","NO APLICA",IF(COUNTIF(AD1541:AD1546,"CUMPLE")&gt;0,"CUMPLE","NO CUMPLE"))</f>
        <v>#N/A</v>
      </c>
      <c r="AA1546" s="541" t="e">
        <f>IF(AND(C1545&lt;=F1538,F1538&lt;&gt;""),VLOOKUP(VALUE(E1519&amp;","&amp;C1545),INTEGRANTES!$D$18:$F$235,2,0),"")</f>
        <v>#N/A</v>
      </c>
      <c r="AB1546" s="546" t="e">
        <f t="shared" si="446"/>
        <v>#N/A</v>
      </c>
      <c r="AC1546" s="543"/>
      <c r="AD1546" s="201" t="e">
        <f t="shared" si="447"/>
        <v>#N/A</v>
      </c>
      <c r="AE1546" s="52"/>
      <c r="AF1546" s="52"/>
      <c r="AG1546" s="52"/>
      <c r="AH1546" s="87"/>
      <c r="AI1546" s="87"/>
    </row>
    <row r="1547" spans="1:35" hidden="1">
      <c r="A1547" s="103"/>
      <c r="B1547" s="206"/>
      <c r="C1547" s="206"/>
      <c r="D1547" s="206"/>
      <c r="E1547" s="206"/>
      <c r="F1547" s="206"/>
      <c r="G1547" s="206"/>
      <c r="H1547" s="206"/>
      <c r="I1547" s="104"/>
      <c r="J1547" s="206"/>
      <c r="K1547" s="113"/>
      <c r="L1547" s="113"/>
      <c r="M1547" s="113"/>
      <c r="N1547" s="222"/>
      <c r="O1547" s="113"/>
      <c r="P1547" s="113"/>
      <c r="Q1547" s="113"/>
      <c r="R1547" s="206"/>
      <c r="S1547" s="104"/>
      <c r="T1547" s="206"/>
      <c r="U1547" s="474"/>
      <c r="AH1547" s="87"/>
      <c r="AI1547" s="87"/>
    </row>
    <row r="1548" spans="1:35" hidden="1">
      <c r="H1548" s="220"/>
      <c r="AH1548" s="87"/>
      <c r="AI1548" s="87"/>
    </row>
    <row r="1549" spans="1:35" ht="24" hidden="1" thickBot="1">
      <c r="A1549" s="61">
        <v>52</v>
      </c>
      <c r="B1549" s="704" t="s">
        <v>51</v>
      </c>
      <c r="C1549" s="704"/>
      <c r="D1549" s="704"/>
      <c r="E1549" s="62" t="e">
        <f>VLOOKUP(A1549,PROPONENTES!$B$19:$E$218,2,FALSE)</f>
        <v>#N/A</v>
      </c>
      <c r="F1549" s="63" t="e">
        <f>VLOOKUP(A1549,PROPONENTES!$B$19:$E$218,3,FALSE)</f>
        <v>#N/A</v>
      </c>
      <c r="G1549" s="64"/>
      <c r="H1549" s="64"/>
      <c r="I1549" s="63"/>
      <c r="J1549" s="63"/>
      <c r="K1549" s="65"/>
      <c r="L1549" s="65"/>
      <c r="M1549" s="64"/>
      <c r="N1549" s="64"/>
      <c r="O1549" s="66"/>
      <c r="P1549" s="66"/>
      <c r="Q1549" s="66"/>
      <c r="R1549" s="66"/>
      <c r="S1549" s="67"/>
      <c r="T1549" s="68"/>
      <c r="U1549" s="68"/>
      <c r="AC1549" s="68"/>
      <c r="AD1549" s="68"/>
      <c r="AE1549" s="68"/>
      <c r="AF1549" s="68"/>
      <c r="AG1549" s="68"/>
      <c r="AH1549" s="87"/>
      <c r="AI1549" s="87"/>
    </row>
    <row r="1550" spans="1:35" ht="15.75" hidden="1" customHeight="1">
      <c r="A1550" s="44"/>
      <c r="B1550" s="709" t="s">
        <v>59</v>
      </c>
      <c r="C1550" s="552" t="s">
        <v>60</v>
      </c>
      <c r="D1550" s="70" t="s">
        <v>17</v>
      </c>
      <c r="E1550" s="70"/>
      <c r="F1550" s="70" t="s">
        <v>61</v>
      </c>
      <c r="G1550" s="71"/>
      <c r="H1550" s="699" t="s">
        <v>62</v>
      </c>
      <c r="I1550" s="699" t="s">
        <v>18</v>
      </c>
      <c r="J1550" s="699" t="s">
        <v>63</v>
      </c>
      <c r="K1550" s="699" t="s">
        <v>64</v>
      </c>
      <c r="L1550" s="699" t="s">
        <v>65</v>
      </c>
      <c r="M1550" s="743" t="s">
        <v>66</v>
      </c>
      <c r="N1550" s="699" t="s">
        <v>282</v>
      </c>
      <c r="O1550" s="745" t="s">
        <v>67</v>
      </c>
      <c r="P1550" s="746"/>
      <c r="Q1550" s="102" t="s">
        <v>75</v>
      </c>
      <c r="R1550" s="731" t="s">
        <v>22</v>
      </c>
      <c r="S1550" s="732"/>
      <c r="T1550" s="733"/>
      <c r="U1550" s="712" t="s">
        <v>298</v>
      </c>
      <c r="W1550" s="690" t="s">
        <v>268</v>
      </c>
      <c r="X1550" s="691"/>
      <c r="Y1550" s="692"/>
      <c r="Z1550" s="428"/>
      <c r="AA1550" s="697" t="s">
        <v>315</v>
      </c>
      <c r="AB1550" s="695" t="s">
        <v>322</v>
      </c>
      <c r="AC1550" s="49"/>
      <c r="AD1550" s="690" t="s">
        <v>297</v>
      </c>
      <c r="AE1550" s="691"/>
      <c r="AF1550" s="692"/>
      <c r="AG1550" s="49"/>
      <c r="AH1550" s="87"/>
      <c r="AI1550" s="87"/>
    </row>
    <row r="1551" spans="1:35" ht="72" hidden="1">
      <c r="A1551" s="44"/>
      <c r="B1551" s="710"/>
      <c r="C1551" s="553" t="s">
        <v>68</v>
      </c>
      <c r="D1551" s="73" t="s">
        <v>3</v>
      </c>
      <c r="E1551" s="73" t="s">
        <v>19</v>
      </c>
      <c r="F1551" s="73" t="s">
        <v>69</v>
      </c>
      <c r="G1551" s="74" t="s">
        <v>70</v>
      </c>
      <c r="H1551" s="700"/>
      <c r="I1551" s="700"/>
      <c r="J1551" s="700"/>
      <c r="K1551" s="700"/>
      <c r="L1551" s="700"/>
      <c r="M1551" s="744"/>
      <c r="N1551" s="700"/>
      <c r="O1551" s="553" t="s">
        <v>279</v>
      </c>
      <c r="P1551" s="73" t="s">
        <v>88</v>
      </c>
      <c r="Q1551" s="555" t="s">
        <v>76</v>
      </c>
      <c r="R1551" s="734"/>
      <c r="S1551" s="735"/>
      <c r="T1551" s="736"/>
      <c r="U1551" s="712"/>
      <c r="W1551" s="429" t="s">
        <v>269</v>
      </c>
      <c r="X1551" s="457" t="s">
        <v>278</v>
      </c>
      <c r="Y1551" s="430" t="s">
        <v>324</v>
      </c>
      <c r="Z1551" s="428"/>
      <c r="AA1551" s="698"/>
      <c r="AB1551" s="696"/>
      <c r="AC1551" s="49"/>
      <c r="AD1551" s="429" t="s">
        <v>292</v>
      </c>
      <c r="AE1551" s="431" t="s">
        <v>300</v>
      </c>
      <c r="AF1551" s="468" t="s">
        <v>301</v>
      </c>
      <c r="AG1551" s="49"/>
      <c r="AH1551" s="87"/>
      <c r="AI1551" s="87"/>
    </row>
    <row r="1552" spans="1:35" hidden="1">
      <c r="A1552" s="44"/>
      <c r="B1552" s="76"/>
      <c r="C1552" s="77"/>
      <c r="D1552" s="77"/>
      <c r="E1552" s="77"/>
      <c r="F1552" s="77"/>
      <c r="G1552" s="77"/>
      <c r="H1552" s="77"/>
      <c r="I1552" s="77"/>
      <c r="J1552" s="77"/>
      <c r="K1552" s="77"/>
      <c r="L1552" s="77"/>
      <c r="M1552" s="77"/>
      <c r="N1552" s="77"/>
      <c r="O1552" s="77"/>
      <c r="P1552" s="77"/>
      <c r="Q1552" s="77"/>
      <c r="R1552" s="77"/>
      <c r="S1552" s="78"/>
      <c r="T1552" s="79"/>
      <c r="U1552" s="109"/>
      <c r="V1552" s="49"/>
      <c r="W1552" s="432"/>
      <c r="X1552" s="454"/>
      <c r="Y1552" s="433"/>
      <c r="Z1552" s="6"/>
      <c r="AA1552" s="500"/>
      <c r="AB1552" s="562"/>
      <c r="AC1552" s="49"/>
      <c r="AD1552" s="210"/>
      <c r="AE1552" s="434"/>
      <c r="AF1552" s="435"/>
      <c r="AG1552" s="49"/>
      <c r="AH1552" s="87"/>
      <c r="AI1552" s="87"/>
    </row>
    <row r="1553" spans="1:35" hidden="1">
      <c r="A1553" s="80" t="e">
        <f>"A"&amp;E1549</f>
        <v>#N/A</v>
      </c>
      <c r="B1553" s="81">
        <v>1</v>
      </c>
      <c r="C1553" s="82"/>
      <c r="D1553" s="82"/>
      <c r="E1553" s="82"/>
      <c r="F1553" s="82"/>
      <c r="G1553" s="83"/>
      <c r="H1553" s="83"/>
      <c r="I1553" s="84"/>
      <c r="J1553" s="85"/>
      <c r="K1553" s="382"/>
      <c r="L1553" s="85"/>
      <c r="M1553" s="332" t="str">
        <f t="shared" ref="M1553:M1562" si="448">IF(OR(J1553="",L1553="",H1553="NO"),"",IF(OR(J1553&gt;$P$17,J1553&lt;$O$17,L1553&gt;$P$17,AND(J1553&lt;$O$17,L1553&lt;$O$17)),"FUERA DE RANGO",IF(OR(K1553="---",K1553=""),IF(J1553&gt;=$O$17,ROUND((L1553-J1553+1)/360*12,3),ROUND((L1553-$O$17+1)/360*12,3)),IF(J1553&gt;=$O$17,ROUND((L1553-J1553+1)/360*12-ROUND(K1553,3),3),ROUND((L1553-$O$17+1)/360*12-ROUND(K1553,3),3)))))</f>
        <v/>
      </c>
      <c r="N1553" s="86"/>
      <c r="O1553" s="453" t="str">
        <f>IF(OR(G1553="",N1553=""),"",N1553*G1553)</f>
        <v/>
      </c>
      <c r="P1553" s="538" t="str">
        <f>IF(OR(H1553="",M1553="FUERA DE RANGO"),"",IF(OR(L1553&lt;$O$17,L1553&gt;$P$17,L1553="",H1553="NO"),"",IF(OR(N1553="",O1553=""),"",ROUND(O1553,3))))</f>
        <v/>
      </c>
      <c r="Q1553" s="539" t="str">
        <f t="shared" ref="Q1553:Q1562" si="449">IF(AND(H1553="SI",P1553&lt;&gt;""),ROUND(P1553/M1553,3),"")</f>
        <v/>
      </c>
      <c r="R1553" s="737"/>
      <c r="S1553" s="738"/>
      <c r="T1553" s="739"/>
      <c r="U1553" s="470"/>
      <c r="V1553" s="165"/>
      <c r="W1553" s="446"/>
      <c r="X1553" s="456"/>
      <c r="Y1553" s="436"/>
      <c r="Z1553" s="437"/>
      <c r="AA1553" s="560"/>
      <c r="AB1553" s="561"/>
      <c r="AC1553" s="87"/>
      <c r="AD1553" s="466"/>
      <c r="AE1553" s="456"/>
      <c r="AF1553" s="467"/>
      <c r="AG1553" s="87"/>
      <c r="AH1553" s="87"/>
      <c r="AI1553" s="87"/>
    </row>
    <row r="1554" spans="1:35" hidden="1">
      <c r="A1554" s="80" t="e">
        <f>"B"&amp;E1549</f>
        <v>#N/A</v>
      </c>
      <c r="B1554" s="81">
        <v>2</v>
      </c>
      <c r="C1554" s="106"/>
      <c r="D1554" s="106"/>
      <c r="E1554" s="106"/>
      <c r="F1554" s="106"/>
      <c r="G1554" s="83"/>
      <c r="H1554" s="83"/>
      <c r="I1554" s="84"/>
      <c r="J1554" s="85"/>
      <c r="K1554" s="382"/>
      <c r="L1554" s="85"/>
      <c r="M1554" s="332" t="str">
        <f t="shared" si="448"/>
        <v/>
      </c>
      <c r="N1554" s="86"/>
      <c r="O1554" s="453" t="str">
        <f t="shared" ref="O1554:O1562" si="450">IF(OR(G1554="",N1554=""),"",N1554*G1554)</f>
        <v/>
      </c>
      <c r="P1554" s="538" t="str">
        <f t="shared" ref="P1554:P1562" si="451">IF(OR(H1554="",M1554="FUERA DE RANGO"),"",IF(OR(L1554&lt;$O$17,L1554&gt;$P$17,L1554="",H1554="NO"),"",IF(OR(N1554="",O1554=""),"",ROUND(O1554,3))))</f>
        <v/>
      </c>
      <c r="Q1554" s="539" t="str">
        <f t="shared" si="449"/>
        <v/>
      </c>
      <c r="R1554" s="740"/>
      <c r="S1554" s="741"/>
      <c r="T1554" s="742"/>
      <c r="U1554" s="471"/>
      <c r="V1554" s="165"/>
      <c r="W1554" s="446"/>
      <c r="X1554" s="456"/>
      <c r="Y1554" s="436"/>
      <c r="Z1554" s="437"/>
      <c r="AA1554" s="560"/>
      <c r="AB1554" s="561"/>
      <c r="AC1554" s="87"/>
      <c r="AD1554" s="466"/>
      <c r="AE1554" s="456"/>
      <c r="AF1554" s="467"/>
      <c r="AG1554" s="87"/>
      <c r="AH1554" s="87"/>
      <c r="AI1554" s="87"/>
    </row>
    <row r="1555" spans="1:35" hidden="1">
      <c r="A1555" s="80" t="e">
        <f>"C"&amp;E1549</f>
        <v>#N/A</v>
      </c>
      <c r="B1555" s="88">
        <v>3</v>
      </c>
      <c r="C1555" s="82"/>
      <c r="D1555" s="82"/>
      <c r="E1555" s="82"/>
      <c r="F1555" s="82"/>
      <c r="G1555" s="83"/>
      <c r="H1555" s="83"/>
      <c r="I1555" s="84"/>
      <c r="J1555" s="85"/>
      <c r="K1555" s="382"/>
      <c r="L1555" s="85"/>
      <c r="M1555" s="332" t="str">
        <f t="shared" si="448"/>
        <v/>
      </c>
      <c r="N1555" s="86"/>
      <c r="O1555" s="453" t="str">
        <f t="shared" si="450"/>
        <v/>
      </c>
      <c r="P1555" s="538" t="str">
        <f t="shared" si="451"/>
        <v/>
      </c>
      <c r="Q1555" s="539" t="str">
        <f t="shared" si="449"/>
        <v/>
      </c>
      <c r="R1555" s="706"/>
      <c r="S1555" s="707"/>
      <c r="T1555" s="708"/>
      <c r="U1555" s="472"/>
      <c r="V1555" s="166"/>
      <c r="W1555" s="446"/>
      <c r="X1555" s="456"/>
      <c r="Y1555" s="436"/>
      <c r="Z1555" s="437"/>
      <c r="AA1555" s="560"/>
      <c r="AB1555" s="561"/>
      <c r="AC1555" s="87"/>
      <c r="AD1555" s="466"/>
      <c r="AE1555" s="456"/>
      <c r="AF1555" s="467"/>
      <c r="AG1555" s="87"/>
      <c r="AH1555" s="87"/>
      <c r="AI1555" s="87"/>
    </row>
    <row r="1556" spans="1:35" hidden="1">
      <c r="A1556" s="80" t="e">
        <f>"D"&amp;E1549</f>
        <v>#N/A</v>
      </c>
      <c r="B1556" s="105">
        <v>4</v>
      </c>
      <c r="C1556" s="107"/>
      <c r="D1556" s="107"/>
      <c r="E1556" s="107"/>
      <c r="F1556" s="107"/>
      <c r="G1556" s="83"/>
      <c r="H1556" s="83"/>
      <c r="I1556" s="84"/>
      <c r="J1556" s="85"/>
      <c r="K1556" s="382"/>
      <c r="L1556" s="85"/>
      <c r="M1556" s="332" t="str">
        <f t="shared" si="448"/>
        <v/>
      </c>
      <c r="N1556" s="86"/>
      <c r="O1556" s="453" t="str">
        <f t="shared" si="450"/>
        <v/>
      </c>
      <c r="P1556" s="538" t="str">
        <f t="shared" si="451"/>
        <v/>
      </c>
      <c r="Q1556" s="539" t="str">
        <f t="shared" si="449"/>
        <v/>
      </c>
      <c r="R1556" s="706"/>
      <c r="S1556" s="707"/>
      <c r="T1556" s="708"/>
      <c r="U1556" s="472"/>
      <c r="V1556" s="166"/>
      <c r="W1556" s="446"/>
      <c r="X1556" s="456"/>
      <c r="Y1556" s="436"/>
      <c r="Z1556" s="437"/>
      <c r="AA1556" s="560"/>
      <c r="AB1556" s="561"/>
      <c r="AC1556" s="87"/>
      <c r="AD1556" s="466"/>
      <c r="AE1556" s="456"/>
      <c r="AF1556" s="467"/>
      <c r="AG1556" s="87"/>
      <c r="AH1556" s="87"/>
      <c r="AI1556" s="87"/>
    </row>
    <row r="1557" spans="1:35" hidden="1">
      <c r="A1557" s="80" t="e">
        <f>"E"&amp;E1549</f>
        <v>#N/A</v>
      </c>
      <c r="B1557" s="105">
        <v>5</v>
      </c>
      <c r="C1557" s="107"/>
      <c r="D1557" s="107"/>
      <c r="E1557" s="107"/>
      <c r="F1557" s="107"/>
      <c r="G1557" s="83"/>
      <c r="H1557" s="83"/>
      <c r="I1557" s="84"/>
      <c r="J1557" s="85"/>
      <c r="K1557" s="382"/>
      <c r="L1557" s="85"/>
      <c r="M1557" s="332" t="str">
        <f t="shared" si="448"/>
        <v/>
      </c>
      <c r="N1557" s="86"/>
      <c r="O1557" s="453" t="str">
        <f t="shared" si="450"/>
        <v/>
      </c>
      <c r="P1557" s="538" t="str">
        <f t="shared" si="451"/>
        <v/>
      </c>
      <c r="Q1557" s="539" t="str">
        <f t="shared" si="449"/>
        <v/>
      </c>
      <c r="R1557" s="706"/>
      <c r="S1557" s="707"/>
      <c r="T1557" s="708"/>
      <c r="U1557" s="472"/>
      <c r="V1557" s="167"/>
      <c r="W1557" s="446"/>
      <c r="X1557" s="456"/>
      <c r="Y1557" s="436"/>
      <c r="Z1557" s="437"/>
      <c r="AA1557" s="560"/>
      <c r="AB1557" s="561"/>
      <c r="AC1557" s="87"/>
      <c r="AD1557" s="466"/>
      <c r="AE1557" s="456"/>
      <c r="AF1557" s="467"/>
      <c r="AG1557" s="87"/>
      <c r="AH1557" s="87"/>
      <c r="AI1557" s="87"/>
    </row>
    <row r="1558" spans="1:35" hidden="1">
      <c r="A1558" s="80" t="e">
        <f>"F"&amp;E1549</f>
        <v>#N/A</v>
      </c>
      <c r="B1558" s="105">
        <v>6</v>
      </c>
      <c r="C1558" s="107"/>
      <c r="D1558" s="107"/>
      <c r="E1558" s="107"/>
      <c r="F1558" s="107"/>
      <c r="G1558" s="83"/>
      <c r="H1558" s="83"/>
      <c r="I1558" s="84"/>
      <c r="J1558" s="85"/>
      <c r="K1558" s="382"/>
      <c r="L1558" s="85"/>
      <c r="M1558" s="332" t="str">
        <f t="shared" si="448"/>
        <v/>
      </c>
      <c r="N1558" s="86"/>
      <c r="O1558" s="453" t="str">
        <f t="shared" si="450"/>
        <v/>
      </c>
      <c r="P1558" s="538" t="str">
        <f t="shared" si="451"/>
        <v/>
      </c>
      <c r="Q1558" s="539" t="str">
        <f t="shared" si="449"/>
        <v/>
      </c>
      <c r="R1558" s="706"/>
      <c r="S1558" s="707"/>
      <c r="T1558" s="708"/>
      <c r="U1558" s="472"/>
      <c r="V1558" s="167"/>
      <c r="W1558" s="446"/>
      <c r="X1558" s="456"/>
      <c r="Y1558" s="436"/>
      <c r="Z1558" s="437"/>
      <c r="AA1558" s="560"/>
      <c r="AB1558" s="561"/>
      <c r="AC1558" s="87"/>
      <c r="AD1558" s="466"/>
      <c r="AE1558" s="456"/>
      <c r="AF1558" s="467"/>
      <c r="AG1558" s="87"/>
      <c r="AH1558" s="87"/>
      <c r="AI1558" s="87"/>
    </row>
    <row r="1559" spans="1:35" hidden="1">
      <c r="A1559" s="80" t="e">
        <f>"G"&amp;E1549</f>
        <v>#N/A</v>
      </c>
      <c r="B1559" s="105">
        <v>7</v>
      </c>
      <c r="C1559" s="107"/>
      <c r="D1559" s="107"/>
      <c r="E1559" s="107"/>
      <c r="F1559" s="107"/>
      <c r="G1559" s="83"/>
      <c r="H1559" s="83"/>
      <c r="I1559" s="84"/>
      <c r="J1559" s="85"/>
      <c r="K1559" s="382"/>
      <c r="L1559" s="85"/>
      <c r="M1559" s="332" t="str">
        <f t="shared" si="448"/>
        <v/>
      </c>
      <c r="N1559" s="86"/>
      <c r="O1559" s="86" t="str">
        <f t="shared" si="450"/>
        <v/>
      </c>
      <c r="P1559" s="538" t="str">
        <f t="shared" si="451"/>
        <v/>
      </c>
      <c r="Q1559" s="539" t="str">
        <f t="shared" si="449"/>
        <v/>
      </c>
      <c r="R1559" s="706"/>
      <c r="S1559" s="707"/>
      <c r="T1559" s="708"/>
      <c r="U1559" s="472"/>
      <c r="V1559" s="167"/>
      <c r="W1559" s="446"/>
      <c r="X1559" s="456"/>
      <c r="Y1559" s="436"/>
      <c r="Z1559" s="437"/>
      <c r="AA1559" s="560"/>
      <c r="AB1559" s="561"/>
      <c r="AC1559" s="87"/>
      <c r="AD1559" s="466"/>
      <c r="AE1559" s="456"/>
      <c r="AF1559" s="467"/>
      <c r="AG1559" s="87"/>
      <c r="AH1559" s="87"/>
      <c r="AI1559" s="87"/>
    </row>
    <row r="1560" spans="1:35" hidden="1">
      <c r="A1560" s="80" t="e">
        <f>"H"&amp;E1549</f>
        <v>#N/A</v>
      </c>
      <c r="B1560" s="105">
        <v>8</v>
      </c>
      <c r="C1560" s="107"/>
      <c r="D1560" s="107"/>
      <c r="E1560" s="107"/>
      <c r="F1560" s="107"/>
      <c r="G1560" s="83"/>
      <c r="H1560" s="83"/>
      <c r="I1560" s="84"/>
      <c r="J1560" s="85"/>
      <c r="K1560" s="382"/>
      <c r="L1560" s="85"/>
      <c r="M1560" s="332" t="str">
        <f t="shared" si="448"/>
        <v/>
      </c>
      <c r="N1560" s="453"/>
      <c r="O1560" s="86" t="str">
        <f t="shared" si="450"/>
        <v/>
      </c>
      <c r="P1560" s="538" t="str">
        <f t="shared" si="451"/>
        <v/>
      </c>
      <c r="Q1560" s="539" t="str">
        <f t="shared" si="449"/>
        <v/>
      </c>
      <c r="R1560" s="706"/>
      <c r="S1560" s="707"/>
      <c r="T1560" s="708"/>
      <c r="U1560" s="472"/>
      <c r="V1560" s="167"/>
      <c r="W1560" s="446"/>
      <c r="X1560" s="456"/>
      <c r="Y1560" s="436"/>
      <c r="Z1560" s="437"/>
      <c r="AA1560" s="560"/>
      <c r="AB1560" s="561"/>
      <c r="AC1560" s="87"/>
      <c r="AD1560" s="466"/>
      <c r="AE1560" s="456"/>
      <c r="AF1560" s="467"/>
      <c r="AG1560" s="87"/>
      <c r="AH1560" s="87"/>
      <c r="AI1560" s="87"/>
    </row>
    <row r="1561" spans="1:35" hidden="1">
      <c r="A1561" s="80" t="e">
        <f>"I"&amp;E1549</f>
        <v>#N/A</v>
      </c>
      <c r="B1561" s="105">
        <v>9</v>
      </c>
      <c r="C1561" s="107"/>
      <c r="D1561" s="107"/>
      <c r="E1561" s="107"/>
      <c r="F1561" s="107"/>
      <c r="G1561" s="83"/>
      <c r="H1561" s="83"/>
      <c r="I1561" s="84"/>
      <c r="J1561" s="85"/>
      <c r="K1561" s="382"/>
      <c r="L1561" s="85"/>
      <c r="M1561" s="332" t="str">
        <f t="shared" si="448"/>
        <v/>
      </c>
      <c r="N1561" s="453"/>
      <c r="O1561" s="86" t="str">
        <f t="shared" si="450"/>
        <v/>
      </c>
      <c r="P1561" s="538" t="str">
        <f t="shared" si="451"/>
        <v/>
      </c>
      <c r="Q1561" s="539" t="str">
        <f t="shared" si="449"/>
        <v/>
      </c>
      <c r="R1561" s="706"/>
      <c r="S1561" s="707"/>
      <c r="T1561" s="708"/>
      <c r="U1561" s="472"/>
      <c r="V1561" s="167"/>
      <c r="W1561" s="446"/>
      <c r="X1561" s="456"/>
      <c r="Y1561" s="436"/>
      <c r="Z1561" s="437"/>
      <c r="AA1561" s="560"/>
      <c r="AB1561" s="561"/>
      <c r="AC1561" s="87"/>
      <c r="AD1561" s="466"/>
      <c r="AE1561" s="456"/>
      <c r="AF1561" s="467"/>
      <c r="AG1561" s="87"/>
      <c r="AH1561" s="87"/>
      <c r="AI1561" s="87"/>
    </row>
    <row r="1562" spans="1:35" hidden="1">
      <c r="A1562" s="80" t="e">
        <f>"J"&amp;E1549</f>
        <v>#N/A</v>
      </c>
      <c r="B1562" s="105">
        <v>10</v>
      </c>
      <c r="C1562" s="107"/>
      <c r="D1562" s="107"/>
      <c r="E1562" s="107"/>
      <c r="F1562" s="107"/>
      <c r="G1562" s="83"/>
      <c r="H1562" s="83"/>
      <c r="I1562" s="84"/>
      <c r="J1562" s="85"/>
      <c r="K1562" s="382"/>
      <c r="L1562" s="85"/>
      <c r="M1562" s="332" t="str">
        <f t="shared" si="448"/>
        <v/>
      </c>
      <c r="N1562" s="453"/>
      <c r="O1562" s="86" t="str">
        <f t="shared" si="450"/>
        <v/>
      </c>
      <c r="P1562" s="538" t="str">
        <f t="shared" si="451"/>
        <v/>
      </c>
      <c r="Q1562" s="539" t="str">
        <f t="shared" si="449"/>
        <v/>
      </c>
      <c r="R1562" s="706"/>
      <c r="S1562" s="707"/>
      <c r="T1562" s="708"/>
      <c r="U1562" s="472"/>
      <c r="V1562" s="167"/>
      <c r="W1562" s="446"/>
      <c r="X1562" s="456"/>
      <c r="Y1562" s="436"/>
      <c r="Z1562" s="437"/>
      <c r="AA1562" s="560"/>
      <c r="AB1562" s="561"/>
      <c r="AC1562" s="87"/>
      <c r="AD1562" s="466"/>
      <c r="AE1562" s="456"/>
      <c r="AF1562" s="467"/>
      <c r="AG1562" s="87"/>
      <c r="AH1562" s="87"/>
      <c r="AI1562" s="87"/>
    </row>
    <row r="1563" spans="1:35" ht="16.5" hidden="1" thickBot="1">
      <c r="A1563" s="44"/>
      <c r="B1563" s="89"/>
      <c r="C1563" s="90"/>
      <c r="D1563" s="90"/>
      <c r="E1563" s="90"/>
      <c r="F1563" s="90"/>
      <c r="G1563" s="90"/>
      <c r="H1563" s="90"/>
      <c r="I1563" s="90"/>
      <c r="J1563" s="90"/>
      <c r="K1563" s="90"/>
      <c r="L1563" s="90"/>
      <c r="M1563" s="90"/>
      <c r="N1563" s="90"/>
      <c r="O1563" s="90"/>
      <c r="P1563" s="90"/>
      <c r="Q1563" s="90"/>
      <c r="R1563" s="90"/>
      <c r="S1563" s="91"/>
      <c r="T1563" s="92"/>
      <c r="U1563" s="473"/>
      <c r="W1563" s="438"/>
      <c r="X1563" s="455"/>
      <c r="Y1563" s="439"/>
      <c r="Z1563" s="437"/>
      <c r="AA1563" s="530"/>
      <c r="AB1563" s="563"/>
      <c r="AC1563" s="87"/>
      <c r="AD1563" s="440"/>
      <c r="AE1563" s="441"/>
      <c r="AF1563" s="442"/>
      <c r="AG1563" s="49"/>
      <c r="AH1563" s="87"/>
      <c r="AI1563" s="87"/>
    </row>
    <row r="1564" spans="1:35" ht="16.5" hidden="1" thickBot="1">
      <c r="A1564" s="93"/>
      <c r="B1564" s="94"/>
      <c r="C1564" s="96"/>
      <c r="D1564" s="96"/>
      <c r="E1564" s="96"/>
      <c r="F1564" s="96"/>
      <c r="G1564" s="96"/>
      <c r="H1564" s="96"/>
      <c r="I1564" s="96"/>
      <c r="J1564" s="96"/>
      <c r="K1564" s="96"/>
      <c r="L1564" s="96"/>
      <c r="M1564" s="136"/>
      <c r="N1564" s="96"/>
      <c r="O1564" s="96"/>
      <c r="P1564" s="97"/>
      <c r="Q1564" s="97"/>
      <c r="R1564" s="98"/>
      <c r="S1564" s="95"/>
      <c r="T1564" s="99"/>
      <c r="U1564" s="469"/>
      <c r="AC1564" s="58"/>
      <c r="AG1564" s="58"/>
      <c r="AH1564" s="87"/>
      <c r="AI1564" s="87"/>
    </row>
    <row r="1565" spans="1:35" ht="16.5" hidden="1" thickBot="1">
      <c r="B1565" s="101"/>
      <c r="C1565" s="101"/>
      <c r="D1565" s="101"/>
      <c r="E1565" s="101"/>
      <c r="F1565" s="101"/>
      <c r="G1565" s="101"/>
      <c r="H1565" s="101"/>
      <c r="I1565" s="101"/>
      <c r="J1565" s="101"/>
      <c r="K1565" s="101"/>
      <c r="L1565" s="101"/>
      <c r="M1565" s="101"/>
      <c r="N1565" s="101"/>
      <c r="O1565" s="101"/>
      <c r="P1565" s="101"/>
      <c r="Q1565" s="101"/>
      <c r="R1565" s="101"/>
      <c r="S1565" s="101"/>
      <c r="U1565" s="50"/>
      <c r="AH1565" s="87"/>
      <c r="AI1565" s="87"/>
    </row>
    <row r="1566" spans="1:35" ht="16.5" hidden="1" customHeight="1" thickBot="1">
      <c r="A1566" s="44"/>
      <c r="B1566" s="705" t="s">
        <v>74</v>
      </c>
      <c r="C1566" s="705"/>
      <c r="D1566" s="705"/>
      <c r="E1566" s="705"/>
      <c r="F1566" s="705"/>
      <c r="G1566" s="705"/>
      <c r="H1566" s="705"/>
      <c r="I1566" s="705"/>
      <c r="J1566" s="705"/>
      <c r="K1566" s="705"/>
      <c r="L1566" s="705"/>
      <c r="M1566" s="705"/>
      <c r="N1566" s="705"/>
      <c r="O1566" s="705"/>
      <c r="P1566" s="705"/>
      <c r="Q1566" s="705"/>
      <c r="R1566" s="705"/>
      <c r="S1566" s="705"/>
      <c r="T1566" s="705"/>
      <c r="U1566" s="108"/>
      <c r="Y1566" s="532" t="s">
        <v>341</v>
      </c>
      <c r="AC1566" s="49"/>
      <c r="AD1566" s="687" t="s">
        <v>302</v>
      </c>
      <c r="AE1566" s="688"/>
      <c r="AF1566" s="689"/>
      <c r="AG1566" s="49"/>
      <c r="AH1566" s="87"/>
      <c r="AI1566" s="87"/>
    </row>
    <row r="1567" spans="1:35" ht="15.75" hidden="1" customHeight="1" thickBot="1">
      <c r="A1567" s="218" t="e">
        <f>"K"&amp;E1549</f>
        <v>#N/A</v>
      </c>
      <c r="B1567" s="701" t="s">
        <v>71</v>
      </c>
      <c r="C1567" s="751" t="s">
        <v>102</v>
      </c>
      <c r="D1567" s="751"/>
      <c r="E1567" s="751"/>
      <c r="F1567" s="751"/>
      <c r="G1567" s="751"/>
      <c r="H1567" s="751"/>
      <c r="I1567" s="751"/>
      <c r="J1567" s="751"/>
      <c r="K1567" s="751"/>
      <c r="L1567" s="722" t="s">
        <v>100</v>
      </c>
      <c r="M1567" s="747" t="s">
        <v>114</v>
      </c>
      <c r="N1567" s="747"/>
      <c r="O1567" s="747"/>
      <c r="P1567" s="747"/>
      <c r="Q1567" s="748"/>
      <c r="R1567" s="758" t="s">
        <v>280</v>
      </c>
      <c r="S1567" s="748"/>
      <c r="T1567" s="762" t="str">
        <f>IF(COUNTIF(AE1567:AF1567,"VERIFICAR")&gt;0,"VERIFICAR",IF(COUNTIF(AE1567:AF1567,"NO CUMPLE")&gt;0,"NO CUMPLE","CUMPLE"))</f>
        <v>VERIFICAR</v>
      </c>
      <c r="U1567" s="108"/>
      <c r="Y1567" s="533" t="e">
        <f>IF(F1568="","",IF(F1568=1,"INDIVIDUAL","ESTRUCTURA PLURAL"))</f>
        <v>#N/A</v>
      </c>
      <c r="AC1567" s="52"/>
      <c r="AD1567" s="475" t="s">
        <v>303</v>
      </c>
      <c r="AE1567" s="476" t="str">
        <f>IF(COUNTIF(AE1553:AE1562,"")=10,"VERIFICAR",IF(COUNTIF(AE1553:AE1562,"SI")&gt;0,"CUMPLE","NO CUMPLE"))</f>
        <v>VERIFICAR</v>
      </c>
      <c r="AF1567" s="477" t="str">
        <f>IF(COUNTIF(AF1553:AF1562,"")=10,"VERIFICAR",IF(COUNTIF(AF1553:AF1562,"SI")&gt;=$AI$22,"CUMPLE","NO CUMPLE"))</f>
        <v>VERIFICAR</v>
      </c>
      <c r="AG1567" s="52"/>
      <c r="AH1567" s="87"/>
      <c r="AI1567" s="87"/>
    </row>
    <row r="1568" spans="1:35" ht="16.5" hidden="1" customHeight="1" thickBot="1">
      <c r="A1568" s="218" t="e">
        <f>"L"&amp;E1549</f>
        <v>#N/A</v>
      </c>
      <c r="B1568" s="702"/>
      <c r="C1568" s="751" t="s">
        <v>103</v>
      </c>
      <c r="D1568" s="751"/>
      <c r="E1568" s="752"/>
      <c r="F1568" s="557" t="e">
        <f>IF(VLOOKUP(E1549,PROPONENTES!$C$19:$E$218,3,0)="","",VLOOKUP(E1549,PROPONENTES!$C$19:$E$218,3,0))</f>
        <v>#N/A</v>
      </c>
      <c r="G1568" s="753" t="s">
        <v>104</v>
      </c>
      <c r="H1568" s="751"/>
      <c r="I1568" s="715" t="e">
        <f>IF(OR(F1568="",F1568=1),"INTERESADO PERSONA NATURAL O JURIDICA","CONSORCIO O UNION TEMPORAL")</f>
        <v>#N/A</v>
      </c>
      <c r="J1568" s="725"/>
      <c r="K1568" s="728"/>
      <c r="L1568" s="723"/>
      <c r="M1568" s="749"/>
      <c r="N1568" s="749"/>
      <c r="O1568" s="749"/>
      <c r="P1568" s="749"/>
      <c r="Q1568" s="750"/>
      <c r="R1568" s="712"/>
      <c r="S1568" s="750"/>
      <c r="T1568" s="763"/>
      <c r="U1568" s="108"/>
      <c r="Y1568" s="534"/>
      <c r="AA1568" s="52"/>
      <c r="AB1568" s="52"/>
      <c r="AC1568" s="52"/>
      <c r="AG1568" s="52"/>
      <c r="AH1568" s="87"/>
      <c r="AI1568" s="87"/>
    </row>
    <row r="1569" spans="1:35" ht="56.25" hidden="1" customHeight="1" thickBot="1">
      <c r="A1569" s="218" t="e">
        <f>"M"&amp;E1549</f>
        <v>#N/A</v>
      </c>
      <c r="B1569" s="702"/>
      <c r="C1569" s="725" t="s">
        <v>101</v>
      </c>
      <c r="D1569" s="716"/>
      <c r="E1569" s="558" t="s">
        <v>105</v>
      </c>
      <c r="F1569" s="554" t="s">
        <v>87</v>
      </c>
      <c r="G1569" s="553" t="s">
        <v>86</v>
      </c>
      <c r="H1569" s="559" t="s">
        <v>85</v>
      </c>
      <c r="I1569" s="554" t="s">
        <v>252</v>
      </c>
      <c r="J1569" s="553" t="str">
        <f>"¿EL INTEGRANTE TIENE UNA PARTICIPACIÓN DEL "&amp;PORCREQUERIDOINT*100&amp;"%?"</f>
        <v>¿EL INTEGRANTE TIENE UNA PARTICIPACIÓN DEL 60%?</v>
      </c>
      <c r="K1569" s="554" t="s">
        <v>107</v>
      </c>
      <c r="L1569" s="724"/>
      <c r="M1569" s="717" t="s">
        <v>115</v>
      </c>
      <c r="N1569" s="718"/>
      <c r="O1569" s="718"/>
      <c r="P1569" s="718"/>
      <c r="Q1569" s="223">
        <f>IF(AND(H1553="SI",P1553&gt;=0),1,0)+IF(AND(H1554="SI",P1554&gt;=0),1,0)+IF(AND(H1555="SI",P1555&gt;=0),1,0)+IF(AND(H1556="SI",P1556&gt;=0),1,0)+IF(AND(H1557="SI",P1557&gt;=0),1,0)+IF(AND(H1558="SI",P1558&gt;=0),1,0)+IF(AND(H1559="SI",P1559&gt;=0),1,0)+IF(AND(H1560="SI",P1560&gt;=0),1,0)+IF(AND(H1561="SI",P1561&gt;=0),1,0)+IF(AND(H1562="SI",P1562&gt;=0),1,0)</f>
        <v>0</v>
      </c>
      <c r="R1569" s="759"/>
      <c r="S1569" s="761"/>
      <c r="T1569" s="764"/>
      <c r="U1569" s="219"/>
      <c r="V1569" s="464"/>
      <c r="Y1569" s="532" t="s">
        <v>342</v>
      </c>
      <c r="AA1569" s="550" t="s">
        <v>344</v>
      </c>
      <c r="AB1569" s="693" t="s">
        <v>345</v>
      </c>
      <c r="AC1569" s="693" t="s">
        <v>346</v>
      </c>
      <c r="AD1569" s="685" t="s">
        <v>347</v>
      </c>
      <c r="AE1569" s="52"/>
      <c r="AF1569" s="52"/>
      <c r="AG1569" s="52"/>
      <c r="AH1569" s="87"/>
      <c r="AI1569" s="87"/>
    </row>
    <row r="1570" spans="1:35" ht="15.75" hidden="1" customHeight="1" thickBot="1">
      <c r="A1570" s="218" t="e">
        <f>"N"&amp;E1549</f>
        <v>#N/A</v>
      </c>
      <c r="B1570" s="702"/>
      <c r="C1570" s="114">
        <v>1</v>
      </c>
      <c r="D1570" s="194" t="e">
        <f>IF(AND(C1570&lt;=F1568,F1568&gt;1,F1568&lt;&gt;""),VLOOKUP(VALUE(E1549&amp;","&amp;C1570),INTEGRANTES!$D$18:$F$235,2,0),"")</f>
        <v>#N/A</v>
      </c>
      <c r="E1570" s="211" t="e">
        <f>IF(D1570&lt;&gt;"",VLOOKUP(VALUE(E1549&amp;","&amp;C1570),INTEGRANTES!$D$18:$F$235,3,0),"")</f>
        <v>#N/A</v>
      </c>
      <c r="F1570" s="547" t="e">
        <f>IF(D1570="","",SUMIF($I1553:$I1562,D1570,$P1553:$P1562))</f>
        <v>#N/A</v>
      </c>
      <c r="G1570" s="333" t="e">
        <f>IF(D1570="","",SUMIF($I1553:$I1562,D1570,$M1553:$M1562))</f>
        <v>#N/A</v>
      </c>
      <c r="H1570" s="535" t="e">
        <f t="shared" ref="H1570:H1575" si="452">IF(D1570="","",IF(OR(F1570=0,G1570=0),"NO APORTA",ROUND($F1570/$G1570,3)))</f>
        <v>#N/A</v>
      </c>
      <c r="I1570" s="212" t="e">
        <f>IF(D1570="","",IF(H1570="NO APORTA","NO",IF(H1570=MAX($H1570:$H1575),"SI","NO")))</f>
        <v>#N/A</v>
      </c>
      <c r="J1570" s="213" t="e">
        <f t="shared" ref="J1570:J1575" si="453">IF(D1570="","",IF(E1570&gt;=PORCREQUERIDOINT,"SI","NO"))</f>
        <v>#N/A</v>
      </c>
      <c r="K1570" s="200" t="e">
        <f t="shared" ref="K1570:K1575" si="454">IF(D1570="","",IF(AND(I1570="SI",J1570="SI"),"CUMPLE",IF(AND(I1570="NO",OR(J1570="SI",J1570="NO")),"","NO CUMPLE")))</f>
        <v>#N/A</v>
      </c>
      <c r="L1570" s="722" t="s">
        <v>108</v>
      </c>
      <c r="M1570" s="726" t="s">
        <v>119</v>
      </c>
      <c r="N1570" s="726"/>
      <c r="O1570" s="726"/>
      <c r="P1570" s="726"/>
      <c r="Q1570" s="727"/>
      <c r="R1570" s="758" t="s">
        <v>80</v>
      </c>
      <c r="S1570" s="747"/>
      <c r="T1570" s="748"/>
      <c r="U1570" s="219"/>
      <c r="V1570" s="464"/>
      <c r="Y1570" s="533" t="e">
        <f>IF(Y1567="","",IF(Y1567="INDIVIDUAL","NO APLICA","VERIFICAR CUADRO"))</f>
        <v>#N/A</v>
      </c>
      <c r="AA1570" s="551"/>
      <c r="AB1570" s="694"/>
      <c r="AC1570" s="694"/>
      <c r="AD1570" s="686"/>
      <c r="AE1570" s="52"/>
      <c r="AF1570" s="52"/>
      <c r="AG1570" s="52"/>
      <c r="AH1570" s="87"/>
      <c r="AI1570" s="87"/>
    </row>
    <row r="1571" spans="1:35" ht="56.25" hidden="1" customHeight="1" thickBot="1">
      <c r="A1571" s="218" t="e">
        <f>"O"&amp;E1549</f>
        <v>#N/A</v>
      </c>
      <c r="B1571" s="702"/>
      <c r="C1571" s="114">
        <v>2</v>
      </c>
      <c r="D1571" s="194" t="e">
        <f>IF(AND(C1571&lt;=F1568,F1568&lt;&gt;""),VLOOKUP(VALUE(E1549&amp;","&amp;C1571),INTEGRANTES!$D$18:$F$235,2,0),"")</f>
        <v>#N/A</v>
      </c>
      <c r="E1571" s="211" t="e">
        <f>IF(D1571&lt;&gt;"",VLOOKUP(VALUE(E1549&amp;","&amp;C1571),INTEGRANTES!$D$18:$F$235,3,0),"")</f>
        <v>#N/A</v>
      </c>
      <c r="F1571" s="547" t="e">
        <f>IF(D1571="","",SUMIF($I1553:$I1562,D1571,$P1553:$P1562))</f>
        <v>#N/A</v>
      </c>
      <c r="G1571" s="333" t="e">
        <f>IF(D1571="","",SUMIF($I1553:$I1562,D1571,$M1553:$M1562))</f>
        <v>#N/A</v>
      </c>
      <c r="H1571" s="535" t="e">
        <f t="shared" si="452"/>
        <v>#N/A</v>
      </c>
      <c r="I1571" s="212" t="e">
        <f>IF(D1571="","",IF(H1571="NO APORTA","NO",IF(H1571=MAX($H1570:$H1575),"SI","NO")))</f>
        <v>#N/A</v>
      </c>
      <c r="J1571" s="213" t="e">
        <f t="shared" si="453"/>
        <v>#N/A</v>
      </c>
      <c r="K1571" s="200" t="e">
        <f t="shared" si="454"/>
        <v>#N/A</v>
      </c>
      <c r="L1571" s="723"/>
      <c r="M1571" s="715" t="s">
        <v>116</v>
      </c>
      <c r="N1571" s="716"/>
      <c r="O1571" s="556" t="s">
        <v>113</v>
      </c>
      <c r="P1571" s="715" t="s">
        <v>117</v>
      </c>
      <c r="Q1571" s="728"/>
      <c r="R1571" s="759"/>
      <c r="S1571" s="760"/>
      <c r="T1571" s="761"/>
      <c r="U1571" s="219"/>
      <c r="V1571" s="464"/>
      <c r="Y1571" s="414"/>
      <c r="AA1571" s="542" t="e">
        <f>IF(AND(C1570&lt;=F1568,F1568&gt;1,F1568&lt;&gt;""),VLOOKUP(VALUE(E1549&amp;","&amp;C1570),INTEGRANTES!$D$18:$F$235,2,0),"")</f>
        <v>#N/A</v>
      </c>
      <c r="AB1571" s="544" t="e">
        <f t="shared" ref="AB1571:AB1576" si="455">IF(D1570="","",IF(OR(F1570=0,G1570=0),"NO APORTA",ROUND($F1570/$G1570,3)))</f>
        <v>#N/A</v>
      </c>
      <c r="AC1571" s="529"/>
      <c r="AD1571" s="200" t="e">
        <f t="shared" ref="AD1571:AD1576" si="456">IF(OR(AA1571="",AB1571=""),"",IF(AND(AC1571="X",AB1571&gt;=EXPREQVTD),"CUMPLE","NO CUMPLE"))</f>
        <v>#N/A</v>
      </c>
      <c r="AE1571" s="52"/>
      <c r="AF1571" s="52"/>
      <c r="AG1571" s="52"/>
      <c r="AH1571" s="87"/>
      <c r="AI1571" s="87"/>
    </row>
    <row r="1572" spans="1:35" ht="16.5" hidden="1" thickBot="1">
      <c r="A1572" s="218" t="e">
        <f>"P"&amp;E1549</f>
        <v>#N/A</v>
      </c>
      <c r="B1572" s="702"/>
      <c r="C1572" s="114">
        <v>3</v>
      </c>
      <c r="D1572" s="194" t="e">
        <f>IF(AND(C1572&lt;=F1568,F1568&lt;&gt;""),VLOOKUP(VALUE(E1549&amp;","&amp;C1572),INTEGRANTES!$D$18:$F$235,2,0),"")</f>
        <v>#N/A</v>
      </c>
      <c r="E1572" s="211" t="e">
        <f>IF(D1572&lt;&gt;"",VLOOKUP(VALUE(E1549&amp;","&amp;C1572),INTEGRANTES!$D$18:$F$235,3,0),"")</f>
        <v>#N/A</v>
      </c>
      <c r="F1572" s="547" t="e">
        <f>IF(D1572="","",SUMIF($I1553:$I1562,D1572,$P1553:$P1562))</f>
        <v>#N/A</v>
      </c>
      <c r="G1572" s="333" t="e">
        <f>IF(D1572="","",SUMIF($I1553:$I1562,D1572,$M1553:$M1562))</f>
        <v>#N/A</v>
      </c>
      <c r="H1572" s="535" t="e">
        <f t="shared" si="452"/>
        <v>#N/A</v>
      </c>
      <c r="I1572" s="212" t="e">
        <f>IF(D1572="","",IF(H1572="NO APORTA","NO",IF(H1572=MAX($H1570:$H1575),"SI","NO")))</f>
        <v>#N/A</v>
      </c>
      <c r="J1572" s="213" t="e">
        <f t="shared" si="453"/>
        <v>#N/A</v>
      </c>
      <c r="K1572" s="200" t="e">
        <f t="shared" si="454"/>
        <v>#N/A</v>
      </c>
      <c r="L1572" s="724"/>
      <c r="M1572" s="729">
        <f>NUMMOD</f>
        <v>1</v>
      </c>
      <c r="N1572" s="730"/>
      <c r="O1572" s="443">
        <f>IF(M1572="","",VLOOKUP(M1572,PRESUPUESTOS!$B$16:$H$16,5,FALSE))</f>
        <v>2</v>
      </c>
      <c r="P1572" s="713">
        <f>IF(OR(COUNTIF(M1553:M1562,"")&gt;=10,Q1569&lt;NUMMINCONT,OR(T1567="NO CUMPLE",T1567="VERIFICAR")),0,ROUND(AVERAGE(M1553:M1562),3))</f>
        <v>0</v>
      </c>
      <c r="Q1572" s="714"/>
      <c r="R1572" s="458"/>
      <c r="S1572" s="459"/>
      <c r="T1572" s="460"/>
      <c r="U1572" s="219"/>
      <c r="V1572" s="464"/>
      <c r="Y1572" s="532" t="str">
        <f>"40% * ("&amp;PRESUPUESTOS!$H$13&amp;")"</f>
        <v>40% * (50% PFMO)</v>
      </c>
      <c r="AA1572" s="540" t="e">
        <f>IF(AND(C1571&lt;=F1568,F1568&lt;&gt;""),VLOOKUP(VALUE(E1549&amp;","&amp;C1571),INTEGRANTES!$D$18:$F$235,2,0),"")</f>
        <v>#N/A</v>
      </c>
      <c r="AB1572" s="545" t="e">
        <f t="shared" si="455"/>
        <v>#N/A</v>
      </c>
      <c r="AC1572" s="529"/>
      <c r="AD1572" s="200" t="e">
        <f t="shared" si="456"/>
        <v>#N/A</v>
      </c>
      <c r="AE1572" s="52"/>
      <c r="AF1572" s="52"/>
      <c r="AG1572" s="52"/>
      <c r="AH1572" s="87"/>
      <c r="AI1572" s="87"/>
    </row>
    <row r="1573" spans="1:35" ht="15.75" hidden="1" customHeight="1" thickBot="1">
      <c r="A1573" s="218" t="e">
        <f>"Q"&amp;E1549</f>
        <v>#N/A</v>
      </c>
      <c r="B1573" s="702"/>
      <c r="C1573" s="114">
        <v>4</v>
      </c>
      <c r="D1573" s="194" t="e">
        <f>IF(AND(C1573&lt;=F1568,F1568&lt;&gt;""),VLOOKUP(VALUE(E1549&amp;","&amp;C1573),INTEGRANTES!$D$18:$F$235,2,0),"")</f>
        <v>#N/A</v>
      </c>
      <c r="E1573" s="211" t="e">
        <f>IF(D1573&lt;&gt;"",VLOOKUP(VALUE(E1549&amp;","&amp;C1573),INTEGRANTES!$D$18:$F$235,3,0),"")</f>
        <v>#N/A</v>
      </c>
      <c r="F1573" s="547" t="e">
        <f>IF(D1573="","",SUMIF($I1553:$I1562,D1573,$P1553:$P1562))</f>
        <v>#N/A</v>
      </c>
      <c r="G1573" s="333" t="e">
        <f>IF(D1573="","",SUMIF($I1553:$I1562,D1573,$M1553:$M1562))</f>
        <v>#N/A</v>
      </c>
      <c r="H1573" s="535" t="e">
        <f t="shared" si="452"/>
        <v>#N/A</v>
      </c>
      <c r="I1573" s="212" t="e">
        <f>IF(D1573="","",IF(H1573="NO APORTA","NO",IF(H1573=MAX($H1570:$H1575),"SI","NO")))</f>
        <v>#N/A</v>
      </c>
      <c r="J1573" s="213" t="e">
        <f t="shared" si="453"/>
        <v>#N/A</v>
      </c>
      <c r="K1573" s="200" t="e">
        <f t="shared" si="454"/>
        <v>#N/A</v>
      </c>
      <c r="L1573" s="720" t="s">
        <v>109</v>
      </c>
      <c r="M1573" s="757" t="s">
        <v>120</v>
      </c>
      <c r="N1573" s="726"/>
      <c r="O1573" s="726"/>
      <c r="P1573" s="726"/>
      <c r="Q1573" s="727"/>
      <c r="R1573" s="458"/>
      <c r="S1573" s="459"/>
      <c r="T1573" s="460"/>
      <c r="U1573" s="219"/>
      <c r="V1573" s="464"/>
      <c r="Y1573" s="537">
        <f>0.4*PRESUPUESTOS!$H$16</f>
        <v>10.3124</v>
      </c>
      <c r="AA1573" s="540" t="e">
        <f>IF(AND(C1572&lt;=F1568,F1568&lt;&gt;""),VLOOKUP(VALUE(E1549&amp;","&amp;C1572),INTEGRANTES!$D$18:$F$235,2,0),"")</f>
        <v>#N/A</v>
      </c>
      <c r="AB1573" s="545" t="e">
        <f t="shared" si="455"/>
        <v>#N/A</v>
      </c>
      <c r="AC1573" s="529"/>
      <c r="AD1573" s="200" t="e">
        <f t="shared" si="456"/>
        <v>#N/A</v>
      </c>
      <c r="AE1573" s="52"/>
      <c r="AF1573" s="52"/>
      <c r="AG1573" s="52"/>
      <c r="AH1573" s="87"/>
      <c r="AI1573" s="87"/>
    </row>
    <row r="1574" spans="1:35" ht="27" hidden="1" customHeight="1" thickBot="1">
      <c r="A1574" s="218" t="e">
        <f>"R"&amp;E1549</f>
        <v>#N/A</v>
      </c>
      <c r="B1574" s="702"/>
      <c r="C1574" s="114">
        <v>5</v>
      </c>
      <c r="D1574" s="194" t="e">
        <f>IF(AND(C1574&lt;=F1568,F1568&lt;&gt;""),VLOOKUP(VALUE(E1549&amp;","&amp;C1574),INTEGRANTES!$D$18:$F$235,2,0),"")</f>
        <v>#N/A</v>
      </c>
      <c r="E1574" s="211" t="e">
        <f>IF(D1574&lt;&gt;"",VLOOKUP(VALUE(E1549&amp;","&amp;C1574),INTEGRANTES!$D$18:$F$235,3,0),"")</f>
        <v>#N/A</v>
      </c>
      <c r="F1574" s="547" t="e">
        <f>IF(D1574="","",SUMIF($I1553:$I1562,D1574,$P1553:$P1562))</f>
        <v>#N/A</v>
      </c>
      <c r="G1574" s="333" t="e">
        <f>IF(D1574="","",SUMIF($I1553:$I1562,D1574,$M1553:$M1562))</f>
        <v>#N/A</v>
      </c>
      <c r="H1574" s="535" t="e">
        <f t="shared" si="452"/>
        <v>#N/A</v>
      </c>
      <c r="I1574" s="212" t="e">
        <f>IF(D1574="","",IF(H1574="NO APORTA","NO",IF(H1574=MAX($H1570:$H1575),"SI","NO")))</f>
        <v>#N/A</v>
      </c>
      <c r="J1574" s="213" t="e">
        <f t="shared" si="453"/>
        <v>#N/A</v>
      </c>
      <c r="K1574" s="200" t="e">
        <f t="shared" si="454"/>
        <v>#N/A</v>
      </c>
      <c r="L1574" s="721"/>
      <c r="M1574" s="715" t="s">
        <v>116</v>
      </c>
      <c r="N1574" s="716"/>
      <c r="O1574" s="556" t="str">
        <f>PORCREQUERIDO*100&amp;"% PMFO DEL MÓDULO"</f>
        <v>50% PMFO DEL MÓDULO</v>
      </c>
      <c r="P1574" s="715" t="s">
        <v>118</v>
      </c>
      <c r="Q1574" s="728"/>
      <c r="R1574" s="458"/>
      <c r="S1574" s="459"/>
      <c r="T1574" s="460"/>
      <c r="U1574" s="219"/>
      <c r="V1574" s="464"/>
      <c r="Y1574" s="414"/>
      <c r="AA1574" s="540" t="e">
        <f>IF(AND(C1573&lt;=F1568,F1568&lt;&gt;""),VLOOKUP(VALUE(E1549&amp;","&amp;C1573),INTEGRANTES!$D$18:$F$235,2,0),"")</f>
        <v>#N/A</v>
      </c>
      <c r="AB1574" s="545" t="e">
        <f t="shared" si="455"/>
        <v>#N/A</v>
      </c>
      <c r="AC1574" s="529"/>
      <c r="AD1574" s="200" t="e">
        <f t="shared" si="456"/>
        <v>#N/A</v>
      </c>
      <c r="AE1574" s="52"/>
      <c r="AF1574" s="52"/>
      <c r="AG1574" s="52"/>
      <c r="AH1574" s="87"/>
      <c r="AI1574" s="87"/>
    </row>
    <row r="1575" spans="1:35" ht="16.5" hidden="1" thickBot="1">
      <c r="A1575" s="218" t="e">
        <f>"S"&amp;E1549</f>
        <v>#N/A</v>
      </c>
      <c r="B1575" s="702"/>
      <c r="C1575" s="215">
        <v>6</v>
      </c>
      <c r="D1575" s="216" t="e">
        <f>IF(AND(C1575&lt;=F1568,F1568&lt;&gt;""),VLOOKUP(VALUE(E1549&amp;","&amp;C1575),INTEGRANTES!$D$18:$F$235,2,0),"")</f>
        <v>#N/A</v>
      </c>
      <c r="E1575" s="217" t="e">
        <f>IF(D1575&lt;&gt;"",VLOOKUP(VALUE(E1549&amp;","&amp;C1575),INTEGRANTES!$D$18:$F$235,3,0),"")</f>
        <v>#N/A</v>
      </c>
      <c r="F1575" s="548" t="e">
        <f>IF(D1575="","",SUMIF($I1553:$I1562,D1575,$P1553:$P1562))</f>
        <v>#N/A</v>
      </c>
      <c r="G1575" s="334" t="e">
        <f>IF(D1575="","",SUMIF($I1553:$I1562,D1575,$M1553:$M1562))</f>
        <v>#N/A</v>
      </c>
      <c r="H1575" s="536" t="e">
        <f t="shared" si="452"/>
        <v>#N/A</v>
      </c>
      <c r="I1575" s="214" t="e">
        <f>IF(D1575="","",IF(H1575="NO APORTA","NO",IF(H1575=MAX($H1570:$H1575),"SI","NO")))</f>
        <v>#N/A</v>
      </c>
      <c r="J1575" s="213" t="e">
        <f t="shared" si="453"/>
        <v>#N/A</v>
      </c>
      <c r="K1575" s="200" t="e">
        <f t="shared" si="454"/>
        <v>#N/A</v>
      </c>
      <c r="L1575" s="721"/>
      <c r="M1575" s="729">
        <f>NUMMOD</f>
        <v>1</v>
      </c>
      <c r="N1575" s="730"/>
      <c r="O1575" s="443">
        <f>IF(M1575="","",ROUND(VLOOKUP(M1575,PRESUPUESTOS!$B$16:$H$16,7,FALSE),3))</f>
        <v>25.780999999999999</v>
      </c>
      <c r="P1575" s="713">
        <f>IF(OR(COUNTIF(P1553:P1562,"")&gt;=10,Q1569&lt;NUMMINCONT,OR(T1567="NO CUMPLE",T1567="VERIFICAR")),0,ROUND((SUM(P1553:P1562)/SUM(M1553:M1562)),3))</f>
        <v>0</v>
      </c>
      <c r="Q1575" s="714"/>
      <c r="R1575" s="458"/>
      <c r="S1575" s="459"/>
      <c r="T1575" s="460"/>
      <c r="U1575" s="219"/>
      <c r="V1575" s="464"/>
      <c r="Y1575" s="532" t="s">
        <v>343</v>
      </c>
      <c r="AA1575" s="540" t="e">
        <f>IF(AND(C1574&lt;=F1568,F1568&lt;&gt;""),VLOOKUP(VALUE(E1549&amp;","&amp;C1574),INTEGRANTES!$D$18:$F$235,2,0),"")</f>
        <v>#N/A</v>
      </c>
      <c r="AB1575" s="545" t="e">
        <f t="shared" si="455"/>
        <v>#N/A</v>
      </c>
      <c r="AC1575" s="529"/>
      <c r="AD1575" s="200" t="e">
        <f t="shared" si="456"/>
        <v>#N/A</v>
      </c>
      <c r="AE1575" s="52"/>
      <c r="AF1575" s="52"/>
      <c r="AG1575" s="52"/>
      <c r="AH1575" s="87"/>
      <c r="AI1575" s="87"/>
    </row>
    <row r="1576" spans="1:35" ht="16.5" hidden="1" customHeight="1" thickBot="1">
      <c r="A1576" s="218" t="e">
        <f>"T"&amp;E1549</f>
        <v>#N/A</v>
      </c>
      <c r="B1576" s="703"/>
      <c r="C1576" s="719"/>
      <c r="D1576" s="719"/>
      <c r="E1576" s="719"/>
      <c r="F1576" s="719"/>
      <c r="G1576" s="719"/>
      <c r="H1576" s="719" t="s">
        <v>110</v>
      </c>
      <c r="I1576" s="719"/>
      <c r="J1576" s="719"/>
      <c r="K1576" s="201" t="str">
        <f>IF(COUNTIF(K1570:K1575,"")=6,"",IF(COUNTIF(K1570:K1575,"CUMPLE")&gt;0,"CUMPLE","NO CUMPLE"))</f>
        <v>NO CUMPLE</v>
      </c>
      <c r="L1576" s="754"/>
      <c r="M1576" s="755"/>
      <c r="N1576" s="755"/>
      <c r="O1576" s="755"/>
      <c r="P1576" s="755"/>
      <c r="Q1576" s="756"/>
      <c r="R1576" s="461"/>
      <c r="S1576" s="462"/>
      <c r="T1576" s="463"/>
      <c r="U1576" s="219"/>
      <c r="V1576" s="464"/>
      <c r="Y1576" s="549" t="e">
        <f>IF(Y1570="NO APLICA","NO APLICA",IF(COUNTIF(AD1571:AD1576,"CUMPLE")&gt;0,"CUMPLE","NO CUMPLE"))</f>
        <v>#N/A</v>
      </c>
      <c r="AA1576" s="541" t="e">
        <f>IF(AND(C1575&lt;=F1568,F1568&lt;&gt;""),VLOOKUP(VALUE(E1549&amp;","&amp;C1575),INTEGRANTES!$D$18:$F$235,2,0),"")</f>
        <v>#N/A</v>
      </c>
      <c r="AB1576" s="546" t="e">
        <f t="shared" si="455"/>
        <v>#N/A</v>
      </c>
      <c r="AC1576" s="543"/>
      <c r="AD1576" s="201" t="e">
        <f t="shared" si="456"/>
        <v>#N/A</v>
      </c>
      <c r="AE1576" s="52"/>
      <c r="AF1576" s="52"/>
      <c r="AG1576" s="52"/>
      <c r="AH1576" s="87"/>
      <c r="AI1576" s="87"/>
    </row>
    <row r="1577" spans="1:35" hidden="1">
      <c r="AH1577" s="87"/>
      <c r="AI1577" s="87"/>
    </row>
    <row r="1578" spans="1:35" hidden="1">
      <c r="AH1578" s="87"/>
      <c r="AI1578" s="87"/>
    </row>
    <row r="1579" spans="1:35" ht="24" hidden="1" thickBot="1">
      <c r="A1579" s="61">
        <v>53</v>
      </c>
      <c r="B1579" s="704" t="s">
        <v>51</v>
      </c>
      <c r="C1579" s="704"/>
      <c r="D1579" s="704"/>
      <c r="E1579" s="62" t="e">
        <f>VLOOKUP(A1579,PROPONENTES!$B$19:$E$218,2,FALSE)</f>
        <v>#N/A</v>
      </c>
      <c r="F1579" s="63" t="e">
        <f>VLOOKUP(A1579,PROPONENTES!$B$19:$E$218,3,FALSE)</f>
        <v>#N/A</v>
      </c>
      <c r="G1579" s="64"/>
      <c r="H1579" s="64"/>
      <c r="I1579" s="63"/>
      <c r="J1579" s="63"/>
      <c r="K1579" s="65"/>
      <c r="L1579" s="65"/>
      <c r="M1579" s="64"/>
      <c r="N1579" s="64"/>
      <c r="O1579" s="66"/>
      <c r="P1579" s="66"/>
      <c r="Q1579" s="66"/>
      <c r="R1579" s="66"/>
      <c r="S1579" s="67"/>
      <c r="T1579" s="68"/>
      <c r="U1579" s="68"/>
      <c r="AC1579" s="68"/>
      <c r="AD1579" s="68"/>
      <c r="AE1579" s="68"/>
      <c r="AF1579" s="68"/>
      <c r="AG1579" s="68"/>
      <c r="AH1579" s="87"/>
      <c r="AI1579" s="87"/>
    </row>
    <row r="1580" spans="1:35" ht="15.75" hidden="1" customHeight="1">
      <c r="A1580" s="44"/>
      <c r="B1580" s="709" t="s">
        <v>59</v>
      </c>
      <c r="C1580" s="552" t="s">
        <v>60</v>
      </c>
      <c r="D1580" s="70" t="s">
        <v>17</v>
      </c>
      <c r="E1580" s="70"/>
      <c r="F1580" s="70" t="s">
        <v>61</v>
      </c>
      <c r="G1580" s="71"/>
      <c r="H1580" s="699" t="s">
        <v>62</v>
      </c>
      <c r="I1580" s="699" t="s">
        <v>18</v>
      </c>
      <c r="J1580" s="699" t="s">
        <v>63</v>
      </c>
      <c r="K1580" s="699" t="s">
        <v>64</v>
      </c>
      <c r="L1580" s="699" t="s">
        <v>65</v>
      </c>
      <c r="M1580" s="743" t="s">
        <v>66</v>
      </c>
      <c r="N1580" s="699" t="s">
        <v>282</v>
      </c>
      <c r="O1580" s="745" t="s">
        <v>67</v>
      </c>
      <c r="P1580" s="746"/>
      <c r="Q1580" s="102" t="s">
        <v>75</v>
      </c>
      <c r="R1580" s="731" t="s">
        <v>22</v>
      </c>
      <c r="S1580" s="732"/>
      <c r="T1580" s="733"/>
      <c r="U1580" s="712" t="s">
        <v>298</v>
      </c>
      <c r="W1580" s="690" t="s">
        <v>268</v>
      </c>
      <c r="X1580" s="691"/>
      <c r="Y1580" s="692"/>
      <c r="Z1580" s="428"/>
      <c r="AA1580" s="697" t="s">
        <v>315</v>
      </c>
      <c r="AB1580" s="695" t="s">
        <v>322</v>
      </c>
      <c r="AC1580" s="49"/>
      <c r="AD1580" s="690" t="s">
        <v>297</v>
      </c>
      <c r="AE1580" s="691"/>
      <c r="AF1580" s="692"/>
      <c r="AG1580" s="49"/>
      <c r="AH1580" s="87"/>
      <c r="AI1580" s="87"/>
    </row>
    <row r="1581" spans="1:35" ht="72" hidden="1">
      <c r="A1581" s="44"/>
      <c r="B1581" s="710"/>
      <c r="C1581" s="553" t="s">
        <v>68</v>
      </c>
      <c r="D1581" s="73" t="s">
        <v>3</v>
      </c>
      <c r="E1581" s="73" t="s">
        <v>19</v>
      </c>
      <c r="F1581" s="73" t="s">
        <v>69</v>
      </c>
      <c r="G1581" s="74" t="s">
        <v>70</v>
      </c>
      <c r="H1581" s="700"/>
      <c r="I1581" s="700"/>
      <c r="J1581" s="700"/>
      <c r="K1581" s="700"/>
      <c r="L1581" s="700"/>
      <c r="M1581" s="744"/>
      <c r="N1581" s="700"/>
      <c r="O1581" s="553" t="s">
        <v>279</v>
      </c>
      <c r="P1581" s="73" t="s">
        <v>88</v>
      </c>
      <c r="Q1581" s="555" t="s">
        <v>76</v>
      </c>
      <c r="R1581" s="734"/>
      <c r="S1581" s="735"/>
      <c r="T1581" s="736"/>
      <c r="U1581" s="712"/>
      <c r="W1581" s="429" t="s">
        <v>269</v>
      </c>
      <c r="X1581" s="457" t="s">
        <v>278</v>
      </c>
      <c r="Y1581" s="430" t="s">
        <v>324</v>
      </c>
      <c r="Z1581" s="428"/>
      <c r="AA1581" s="698"/>
      <c r="AB1581" s="696"/>
      <c r="AC1581" s="49"/>
      <c r="AD1581" s="429" t="s">
        <v>292</v>
      </c>
      <c r="AE1581" s="431" t="s">
        <v>300</v>
      </c>
      <c r="AF1581" s="468" t="s">
        <v>301</v>
      </c>
      <c r="AG1581" s="49"/>
      <c r="AH1581" s="87"/>
      <c r="AI1581" s="87"/>
    </row>
    <row r="1582" spans="1:35" hidden="1">
      <c r="A1582" s="44"/>
      <c r="B1582" s="76"/>
      <c r="C1582" s="77"/>
      <c r="D1582" s="77"/>
      <c r="E1582" s="77"/>
      <c r="F1582" s="77"/>
      <c r="G1582" s="77"/>
      <c r="H1582" s="77"/>
      <c r="I1582" s="77"/>
      <c r="J1582" s="77"/>
      <c r="K1582" s="77"/>
      <c r="L1582" s="77"/>
      <c r="M1582" s="77"/>
      <c r="N1582" s="77"/>
      <c r="O1582" s="77"/>
      <c r="P1582" s="77"/>
      <c r="Q1582" s="77"/>
      <c r="R1582" s="77"/>
      <c r="S1582" s="78"/>
      <c r="T1582" s="79"/>
      <c r="U1582" s="109"/>
      <c r="V1582" s="49"/>
      <c r="W1582" s="432"/>
      <c r="X1582" s="454"/>
      <c r="Y1582" s="433"/>
      <c r="Z1582" s="6"/>
      <c r="AA1582" s="500"/>
      <c r="AB1582" s="562"/>
      <c r="AC1582" s="49"/>
      <c r="AD1582" s="210"/>
      <c r="AE1582" s="434"/>
      <c r="AF1582" s="435"/>
      <c r="AG1582" s="49"/>
      <c r="AH1582" s="87"/>
      <c r="AI1582" s="87"/>
    </row>
    <row r="1583" spans="1:35" hidden="1">
      <c r="A1583" s="80" t="e">
        <f>"A"&amp;E1579</f>
        <v>#N/A</v>
      </c>
      <c r="B1583" s="81">
        <v>1</v>
      </c>
      <c r="C1583" s="82"/>
      <c r="D1583" s="82"/>
      <c r="E1583" s="82"/>
      <c r="F1583" s="82"/>
      <c r="G1583" s="83"/>
      <c r="H1583" s="83"/>
      <c r="I1583" s="84"/>
      <c r="J1583" s="85"/>
      <c r="K1583" s="382"/>
      <c r="L1583" s="85"/>
      <c r="M1583" s="332" t="str">
        <f t="shared" ref="M1583:M1592" si="457">IF(OR(J1583="",L1583="",H1583="NO"),"",IF(OR(J1583&gt;$P$17,J1583&lt;$O$17,L1583&gt;$P$17,AND(J1583&lt;$O$17,L1583&lt;$O$17)),"FUERA DE RANGO",IF(OR(K1583="---",K1583=""),IF(J1583&gt;=$O$17,ROUND((L1583-J1583+1)/360*12,3),ROUND((L1583-$O$17+1)/360*12,3)),IF(J1583&gt;=$O$17,ROUND((L1583-J1583+1)/360*12-ROUND(K1583,3),3),ROUND((L1583-$O$17+1)/360*12-ROUND(K1583,3),3)))))</f>
        <v/>
      </c>
      <c r="N1583" s="86"/>
      <c r="O1583" s="453" t="str">
        <f>IF(OR(G1583="",N1583=""),"",N1583*G1583)</f>
        <v/>
      </c>
      <c r="P1583" s="538" t="str">
        <f>IF(OR(H1583="",M1583="FUERA DE RANGO"),"",IF(OR(L1583&lt;$O$17,L1583&gt;$P$17,L1583="",H1583="NO"),"",IF(OR(N1583="",O1583=""),"",ROUND(O1583,3))))</f>
        <v/>
      </c>
      <c r="Q1583" s="539" t="str">
        <f t="shared" ref="Q1583:Q1592" si="458">IF(AND(H1583="SI",P1583&lt;&gt;""),ROUND(P1583/M1583,3),"")</f>
        <v/>
      </c>
      <c r="R1583" s="737"/>
      <c r="S1583" s="738"/>
      <c r="T1583" s="739"/>
      <c r="U1583" s="470"/>
      <c r="V1583" s="165"/>
      <c r="W1583" s="446"/>
      <c r="X1583" s="456"/>
      <c r="Y1583" s="436"/>
      <c r="Z1583" s="437"/>
      <c r="AA1583" s="560"/>
      <c r="AB1583" s="561"/>
      <c r="AC1583" s="87"/>
      <c r="AD1583" s="466"/>
      <c r="AE1583" s="456"/>
      <c r="AF1583" s="467"/>
      <c r="AG1583" s="87"/>
      <c r="AH1583" s="87"/>
      <c r="AI1583" s="87"/>
    </row>
    <row r="1584" spans="1:35" hidden="1">
      <c r="A1584" s="80" t="e">
        <f>"B"&amp;E1579</f>
        <v>#N/A</v>
      </c>
      <c r="B1584" s="81">
        <v>2</v>
      </c>
      <c r="C1584" s="106"/>
      <c r="D1584" s="106"/>
      <c r="E1584" s="106"/>
      <c r="F1584" s="106"/>
      <c r="G1584" s="83"/>
      <c r="H1584" s="83"/>
      <c r="I1584" s="84"/>
      <c r="J1584" s="85"/>
      <c r="K1584" s="382"/>
      <c r="L1584" s="85"/>
      <c r="M1584" s="332" t="str">
        <f t="shared" si="457"/>
        <v/>
      </c>
      <c r="N1584" s="86"/>
      <c r="O1584" s="453" t="str">
        <f t="shared" ref="O1584:O1592" si="459">IF(OR(G1584="",N1584=""),"",N1584*G1584)</f>
        <v/>
      </c>
      <c r="P1584" s="538" t="str">
        <f t="shared" ref="P1584:P1592" si="460">IF(OR(H1584="",M1584="FUERA DE RANGO"),"",IF(OR(L1584&lt;$O$17,L1584&gt;$P$17,L1584="",H1584="NO"),"",IF(OR(N1584="",O1584=""),"",ROUND(O1584,3))))</f>
        <v/>
      </c>
      <c r="Q1584" s="539" t="str">
        <f t="shared" si="458"/>
        <v/>
      </c>
      <c r="R1584" s="740"/>
      <c r="S1584" s="741"/>
      <c r="T1584" s="742"/>
      <c r="U1584" s="471"/>
      <c r="V1584" s="165"/>
      <c r="W1584" s="446"/>
      <c r="X1584" s="456"/>
      <c r="Y1584" s="436"/>
      <c r="Z1584" s="437"/>
      <c r="AA1584" s="560"/>
      <c r="AB1584" s="561"/>
      <c r="AC1584" s="87"/>
      <c r="AD1584" s="466"/>
      <c r="AE1584" s="456"/>
      <c r="AF1584" s="467"/>
      <c r="AG1584" s="87"/>
      <c r="AH1584" s="87"/>
      <c r="AI1584" s="87"/>
    </row>
    <row r="1585" spans="1:35" hidden="1">
      <c r="A1585" s="80" t="e">
        <f>"C"&amp;E1579</f>
        <v>#N/A</v>
      </c>
      <c r="B1585" s="88">
        <v>3</v>
      </c>
      <c r="C1585" s="82"/>
      <c r="D1585" s="82"/>
      <c r="E1585" s="82"/>
      <c r="F1585" s="82"/>
      <c r="G1585" s="83"/>
      <c r="H1585" s="83"/>
      <c r="I1585" s="84"/>
      <c r="J1585" s="85"/>
      <c r="K1585" s="382"/>
      <c r="L1585" s="85"/>
      <c r="M1585" s="332" t="str">
        <f t="shared" si="457"/>
        <v/>
      </c>
      <c r="N1585" s="86"/>
      <c r="O1585" s="453" t="str">
        <f t="shared" si="459"/>
        <v/>
      </c>
      <c r="P1585" s="538" t="str">
        <f t="shared" si="460"/>
        <v/>
      </c>
      <c r="Q1585" s="539" t="str">
        <f t="shared" si="458"/>
        <v/>
      </c>
      <c r="R1585" s="706"/>
      <c r="S1585" s="707"/>
      <c r="T1585" s="708"/>
      <c r="U1585" s="472"/>
      <c r="V1585" s="166"/>
      <c r="W1585" s="446"/>
      <c r="X1585" s="456"/>
      <c r="Y1585" s="436"/>
      <c r="Z1585" s="437"/>
      <c r="AA1585" s="560"/>
      <c r="AB1585" s="561"/>
      <c r="AC1585" s="87"/>
      <c r="AD1585" s="466"/>
      <c r="AE1585" s="456"/>
      <c r="AF1585" s="467"/>
      <c r="AG1585" s="87"/>
      <c r="AH1585" s="87"/>
      <c r="AI1585" s="87"/>
    </row>
    <row r="1586" spans="1:35" hidden="1">
      <c r="A1586" s="80" t="e">
        <f>"D"&amp;E1579</f>
        <v>#N/A</v>
      </c>
      <c r="B1586" s="105">
        <v>4</v>
      </c>
      <c r="C1586" s="107"/>
      <c r="D1586" s="107"/>
      <c r="E1586" s="107"/>
      <c r="F1586" s="107"/>
      <c r="G1586" s="83"/>
      <c r="H1586" s="83"/>
      <c r="I1586" s="84"/>
      <c r="J1586" s="85"/>
      <c r="K1586" s="382"/>
      <c r="L1586" s="85"/>
      <c r="M1586" s="332" t="str">
        <f t="shared" si="457"/>
        <v/>
      </c>
      <c r="N1586" s="86"/>
      <c r="O1586" s="453" t="str">
        <f t="shared" si="459"/>
        <v/>
      </c>
      <c r="P1586" s="538" t="str">
        <f t="shared" si="460"/>
        <v/>
      </c>
      <c r="Q1586" s="539" t="str">
        <f t="shared" si="458"/>
        <v/>
      </c>
      <c r="R1586" s="706"/>
      <c r="S1586" s="707"/>
      <c r="T1586" s="708"/>
      <c r="U1586" s="472"/>
      <c r="V1586" s="166"/>
      <c r="W1586" s="446"/>
      <c r="X1586" s="456"/>
      <c r="Y1586" s="436"/>
      <c r="Z1586" s="437"/>
      <c r="AA1586" s="560"/>
      <c r="AB1586" s="561"/>
      <c r="AC1586" s="87"/>
      <c r="AD1586" s="466"/>
      <c r="AE1586" s="456"/>
      <c r="AF1586" s="467"/>
      <c r="AG1586" s="87"/>
      <c r="AH1586" s="87"/>
      <c r="AI1586" s="87"/>
    </row>
    <row r="1587" spans="1:35" hidden="1">
      <c r="A1587" s="80" t="e">
        <f>"E"&amp;E1579</f>
        <v>#N/A</v>
      </c>
      <c r="B1587" s="105">
        <v>5</v>
      </c>
      <c r="C1587" s="107"/>
      <c r="D1587" s="107"/>
      <c r="E1587" s="107"/>
      <c r="F1587" s="107"/>
      <c r="G1587" s="83"/>
      <c r="H1587" s="83"/>
      <c r="I1587" s="84"/>
      <c r="J1587" s="85"/>
      <c r="K1587" s="382"/>
      <c r="L1587" s="85"/>
      <c r="M1587" s="332" t="str">
        <f t="shared" si="457"/>
        <v/>
      </c>
      <c r="N1587" s="86"/>
      <c r="O1587" s="453" t="str">
        <f t="shared" si="459"/>
        <v/>
      </c>
      <c r="P1587" s="538" t="str">
        <f t="shared" si="460"/>
        <v/>
      </c>
      <c r="Q1587" s="539" t="str">
        <f t="shared" si="458"/>
        <v/>
      </c>
      <c r="R1587" s="706"/>
      <c r="S1587" s="707"/>
      <c r="T1587" s="708"/>
      <c r="U1587" s="472"/>
      <c r="V1587" s="167"/>
      <c r="W1587" s="446"/>
      <c r="X1587" s="456"/>
      <c r="Y1587" s="436"/>
      <c r="Z1587" s="437"/>
      <c r="AA1587" s="560"/>
      <c r="AB1587" s="561"/>
      <c r="AC1587" s="87"/>
      <c r="AD1587" s="466"/>
      <c r="AE1587" s="456"/>
      <c r="AF1587" s="467"/>
      <c r="AG1587" s="87"/>
      <c r="AH1587" s="87"/>
      <c r="AI1587" s="87"/>
    </row>
    <row r="1588" spans="1:35" hidden="1">
      <c r="A1588" s="80" t="e">
        <f>"F"&amp;E1579</f>
        <v>#N/A</v>
      </c>
      <c r="B1588" s="105">
        <v>6</v>
      </c>
      <c r="C1588" s="107"/>
      <c r="D1588" s="107"/>
      <c r="E1588" s="107"/>
      <c r="F1588" s="107"/>
      <c r="G1588" s="83"/>
      <c r="H1588" s="83"/>
      <c r="I1588" s="84"/>
      <c r="J1588" s="85"/>
      <c r="K1588" s="382"/>
      <c r="L1588" s="85"/>
      <c r="M1588" s="332" t="str">
        <f t="shared" si="457"/>
        <v/>
      </c>
      <c r="N1588" s="86"/>
      <c r="O1588" s="453" t="str">
        <f t="shared" si="459"/>
        <v/>
      </c>
      <c r="P1588" s="538" t="str">
        <f t="shared" si="460"/>
        <v/>
      </c>
      <c r="Q1588" s="539" t="str">
        <f t="shared" si="458"/>
        <v/>
      </c>
      <c r="R1588" s="706"/>
      <c r="S1588" s="707"/>
      <c r="T1588" s="708"/>
      <c r="U1588" s="472"/>
      <c r="V1588" s="167"/>
      <c r="W1588" s="446"/>
      <c r="X1588" s="456"/>
      <c r="Y1588" s="436"/>
      <c r="Z1588" s="437"/>
      <c r="AA1588" s="560"/>
      <c r="AB1588" s="561"/>
      <c r="AC1588" s="87"/>
      <c r="AD1588" s="466"/>
      <c r="AE1588" s="456"/>
      <c r="AF1588" s="467"/>
      <c r="AG1588" s="87"/>
      <c r="AH1588" s="87"/>
      <c r="AI1588" s="87"/>
    </row>
    <row r="1589" spans="1:35" hidden="1">
      <c r="A1589" s="80" t="e">
        <f>"G"&amp;E1579</f>
        <v>#N/A</v>
      </c>
      <c r="B1589" s="105">
        <v>7</v>
      </c>
      <c r="C1589" s="107"/>
      <c r="D1589" s="107"/>
      <c r="E1589" s="107"/>
      <c r="F1589" s="107"/>
      <c r="G1589" s="83"/>
      <c r="H1589" s="83"/>
      <c r="I1589" s="84"/>
      <c r="J1589" s="85"/>
      <c r="K1589" s="382"/>
      <c r="L1589" s="85"/>
      <c r="M1589" s="332" t="str">
        <f t="shared" si="457"/>
        <v/>
      </c>
      <c r="N1589" s="86"/>
      <c r="O1589" s="86" t="str">
        <f t="shared" si="459"/>
        <v/>
      </c>
      <c r="P1589" s="538" t="str">
        <f t="shared" si="460"/>
        <v/>
      </c>
      <c r="Q1589" s="539" t="str">
        <f t="shared" si="458"/>
        <v/>
      </c>
      <c r="R1589" s="706"/>
      <c r="S1589" s="707"/>
      <c r="T1589" s="708"/>
      <c r="U1589" s="472"/>
      <c r="V1589" s="167"/>
      <c r="W1589" s="446"/>
      <c r="X1589" s="456"/>
      <c r="Y1589" s="436"/>
      <c r="Z1589" s="437"/>
      <c r="AA1589" s="560"/>
      <c r="AB1589" s="561"/>
      <c r="AC1589" s="87"/>
      <c r="AD1589" s="466"/>
      <c r="AE1589" s="456"/>
      <c r="AF1589" s="467"/>
      <c r="AG1589" s="87"/>
      <c r="AH1589" s="87"/>
      <c r="AI1589" s="87"/>
    </row>
    <row r="1590" spans="1:35" hidden="1">
      <c r="A1590" s="80" t="e">
        <f>"H"&amp;E1579</f>
        <v>#N/A</v>
      </c>
      <c r="B1590" s="105">
        <v>8</v>
      </c>
      <c r="C1590" s="107"/>
      <c r="D1590" s="107"/>
      <c r="E1590" s="107"/>
      <c r="F1590" s="107"/>
      <c r="G1590" s="83"/>
      <c r="H1590" s="83"/>
      <c r="I1590" s="84"/>
      <c r="J1590" s="85"/>
      <c r="K1590" s="382"/>
      <c r="L1590" s="85"/>
      <c r="M1590" s="332" t="str">
        <f t="shared" si="457"/>
        <v/>
      </c>
      <c r="N1590" s="453"/>
      <c r="O1590" s="86" t="str">
        <f t="shared" si="459"/>
        <v/>
      </c>
      <c r="P1590" s="538" t="str">
        <f t="shared" si="460"/>
        <v/>
      </c>
      <c r="Q1590" s="539" t="str">
        <f t="shared" si="458"/>
        <v/>
      </c>
      <c r="R1590" s="706"/>
      <c r="S1590" s="707"/>
      <c r="T1590" s="708"/>
      <c r="U1590" s="472"/>
      <c r="V1590" s="167"/>
      <c r="W1590" s="446"/>
      <c r="X1590" s="456"/>
      <c r="Y1590" s="436"/>
      <c r="Z1590" s="437"/>
      <c r="AA1590" s="560"/>
      <c r="AB1590" s="561"/>
      <c r="AC1590" s="87"/>
      <c r="AD1590" s="466"/>
      <c r="AE1590" s="456"/>
      <c r="AF1590" s="467"/>
      <c r="AG1590" s="87"/>
      <c r="AH1590" s="87"/>
      <c r="AI1590" s="87"/>
    </row>
    <row r="1591" spans="1:35" hidden="1">
      <c r="A1591" s="80" t="e">
        <f>"I"&amp;E1579</f>
        <v>#N/A</v>
      </c>
      <c r="B1591" s="105">
        <v>9</v>
      </c>
      <c r="C1591" s="107"/>
      <c r="D1591" s="107"/>
      <c r="E1591" s="107"/>
      <c r="F1591" s="107"/>
      <c r="G1591" s="83"/>
      <c r="H1591" s="83"/>
      <c r="I1591" s="84"/>
      <c r="J1591" s="85"/>
      <c r="K1591" s="382"/>
      <c r="L1591" s="85"/>
      <c r="M1591" s="332" t="str">
        <f t="shared" si="457"/>
        <v/>
      </c>
      <c r="N1591" s="453"/>
      <c r="O1591" s="86" t="str">
        <f t="shared" si="459"/>
        <v/>
      </c>
      <c r="P1591" s="538" t="str">
        <f t="shared" si="460"/>
        <v/>
      </c>
      <c r="Q1591" s="539" t="str">
        <f t="shared" si="458"/>
        <v/>
      </c>
      <c r="R1591" s="706"/>
      <c r="S1591" s="707"/>
      <c r="T1591" s="708"/>
      <c r="U1591" s="472"/>
      <c r="V1591" s="167"/>
      <c r="W1591" s="446"/>
      <c r="X1591" s="456"/>
      <c r="Y1591" s="436"/>
      <c r="Z1591" s="437"/>
      <c r="AA1591" s="560"/>
      <c r="AB1591" s="561"/>
      <c r="AC1591" s="87"/>
      <c r="AD1591" s="466"/>
      <c r="AE1591" s="456"/>
      <c r="AF1591" s="467"/>
      <c r="AG1591" s="87"/>
      <c r="AH1591" s="87"/>
      <c r="AI1591" s="87"/>
    </row>
    <row r="1592" spans="1:35" hidden="1">
      <c r="A1592" s="80" t="e">
        <f>"J"&amp;E1579</f>
        <v>#N/A</v>
      </c>
      <c r="B1592" s="105">
        <v>10</v>
      </c>
      <c r="C1592" s="107"/>
      <c r="D1592" s="107"/>
      <c r="E1592" s="107"/>
      <c r="F1592" s="107"/>
      <c r="G1592" s="83"/>
      <c r="H1592" s="83"/>
      <c r="I1592" s="84"/>
      <c r="J1592" s="85"/>
      <c r="K1592" s="382"/>
      <c r="L1592" s="85"/>
      <c r="M1592" s="332" t="str">
        <f t="shared" si="457"/>
        <v/>
      </c>
      <c r="N1592" s="453"/>
      <c r="O1592" s="86" t="str">
        <f t="shared" si="459"/>
        <v/>
      </c>
      <c r="P1592" s="538" t="str">
        <f t="shared" si="460"/>
        <v/>
      </c>
      <c r="Q1592" s="539" t="str">
        <f t="shared" si="458"/>
        <v/>
      </c>
      <c r="R1592" s="706"/>
      <c r="S1592" s="707"/>
      <c r="T1592" s="708"/>
      <c r="U1592" s="472"/>
      <c r="V1592" s="167"/>
      <c r="W1592" s="446"/>
      <c r="X1592" s="456"/>
      <c r="Y1592" s="436"/>
      <c r="Z1592" s="437"/>
      <c r="AA1592" s="560"/>
      <c r="AB1592" s="561"/>
      <c r="AC1592" s="87"/>
      <c r="AD1592" s="466"/>
      <c r="AE1592" s="456"/>
      <c r="AF1592" s="467"/>
      <c r="AG1592" s="87"/>
      <c r="AH1592" s="87"/>
      <c r="AI1592" s="87"/>
    </row>
    <row r="1593" spans="1:35" ht="16.5" hidden="1" thickBot="1">
      <c r="A1593" s="44"/>
      <c r="B1593" s="89"/>
      <c r="C1593" s="90"/>
      <c r="D1593" s="90"/>
      <c r="E1593" s="90"/>
      <c r="F1593" s="90"/>
      <c r="G1593" s="90"/>
      <c r="H1593" s="90"/>
      <c r="I1593" s="90"/>
      <c r="J1593" s="90"/>
      <c r="K1593" s="90"/>
      <c r="L1593" s="90"/>
      <c r="M1593" s="90"/>
      <c r="N1593" s="90"/>
      <c r="O1593" s="90"/>
      <c r="P1593" s="90"/>
      <c r="Q1593" s="90"/>
      <c r="R1593" s="90"/>
      <c r="S1593" s="91"/>
      <c r="T1593" s="92"/>
      <c r="U1593" s="473"/>
      <c r="W1593" s="438"/>
      <c r="X1593" s="455"/>
      <c r="Y1593" s="439"/>
      <c r="Z1593" s="437"/>
      <c r="AA1593" s="530"/>
      <c r="AB1593" s="563"/>
      <c r="AC1593" s="87"/>
      <c r="AD1593" s="440"/>
      <c r="AE1593" s="441"/>
      <c r="AF1593" s="442"/>
      <c r="AG1593" s="49"/>
      <c r="AH1593" s="87"/>
      <c r="AI1593" s="87"/>
    </row>
    <row r="1594" spans="1:35" ht="16.5" hidden="1" thickBot="1">
      <c r="A1594" s="93"/>
      <c r="B1594" s="94"/>
      <c r="C1594" s="96"/>
      <c r="D1594" s="96"/>
      <c r="E1594" s="96"/>
      <c r="F1594" s="96"/>
      <c r="G1594" s="96"/>
      <c r="H1594" s="96"/>
      <c r="I1594" s="96"/>
      <c r="J1594" s="96"/>
      <c r="K1594" s="96"/>
      <c r="L1594" s="96"/>
      <c r="M1594" s="136"/>
      <c r="N1594" s="96"/>
      <c r="O1594" s="96"/>
      <c r="P1594" s="97"/>
      <c r="Q1594" s="97"/>
      <c r="R1594" s="98"/>
      <c r="S1594" s="95"/>
      <c r="T1594" s="99"/>
      <c r="U1594" s="469"/>
      <c r="AC1594" s="58"/>
      <c r="AG1594" s="58"/>
      <c r="AH1594" s="87"/>
      <c r="AI1594" s="87"/>
    </row>
    <row r="1595" spans="1:35" ht="16.5" hidden="1" thickBot="1">
      <c r="B1595" s="101"/>
      <c r="C1595" s="101"/>
      <c r="D1595" s="101"/>
      <c r="E1595" s="101"/>
      <c r="F1595" s="101"/>
      <c r="G1595" s="101"/>
      <c r="H1595" s="101"/>
      <c r="I1595" s="101"/>
      <c r="J1595" s="101"/>
      <c r="K1595" s="101"/>
      <c r="L1595" s="101"/>
      <c r="M1595" s="101"/>
      <c r="N1595" s="101"/>
      <c r="O1595" s="101"/>
      <c r="P1595" s="101"/>
      <c r="Q1595" s="101"/>
      <c r="R1595" s="101"/>
      <c r="S1595" s="101"/>
      <c r="U1595" s="50"/>
      <c r="AH1595" s="87"/>
      <c r="AI1595" s="87"/>
    </row>
    <row r="1596" spans="1:35" ht="16.5" hidden="1" customHeight="1" thickBot="1">
      <c r="A1596" s="44"/>
      <c r="B1596" s="705" t="s">
        <v>74</v>
      </c>
      <c r="C1596" s="705"/>
      <c r="D1596" s="705"/>
      <c r="E1596" s="705"/>
      <c r="F1596" s="705"/>
      <c r="G1596" s="705"/>
      <c r="H1596" s="705"/>
      <c r="I1596" s="705"/>
      <c r="J1596" s="705"/>
      <c r="K1596" s="705"/>
      <c r="L1596" s="705"/>
      <c r="M1596" s="705"/>
      <c r="N1596" s="705"/>
      <c r="O1596" s="705"/>
      <c r="P1596" s="705"/>
      <c r="Q1596" s="705"/>
      <c r="R1596" s="705"/>
      <c r="S1596" s="705"/>
      <c r="T1596" s="705"/>
      <c r="U1596" s="108"/>
      <c r="Y1596" s="532" t="s">
        <v>341</v>
      </c>
      <c r="AC1596" s="49"/>
      <c r="AD1596" s="687" t="s">
        <v>302</v>
      </c>
      <c r="AE1596" s="688"/>
      <c r="AF1596" s="689"/>
      <c r="AG1596" s="49"/>
      <c r="AH1596" s="87"/>
      <c r="AI1596" s="87"/>
    </row>
    <row r="1597" spans="1:35" ht="15.75" hidden="1" customHeight="1" thickBot="1">
      <c r="A1597" s="218" t="e">
        <f>"K"&amp;E1579</f>
        <v>#N/A</v>
      </c>
      <c r="B1597" s="701" t="s">
        <v>71</v>
      </c>
      <c r="C1597" s="751" t="s">
        <v>102</v>
      </c>
      <c r="D1597" s="751"/>
      <c r="E1597" s="751"/>
      <c r="F1597" s="751"/>
      <c r="G1597" s="751"/>
      <c r="H1597" s="751"/>
      <c r="I1597" s="751"/>
      <c r="J1597" s="751"/>
      <c r="K1597" s="751"/>
      <c r="L1597" s="722" t="s">
        <v>100</v>
      </c>
      <c r="M1597" s="747" t="s">
        <v>114</v>
      </c>
      <c r="N1597" s="747"/>
      <c r="O1597" s="747"/>
      <c r="P1597" s="747"/>
      <c r="Q1597" s="748"/>
      <c r="R1597" s="758" t="s">
        <v>280</v>
      </c>
      <c r="S1597" s="748"/>
      <c r="T1597" s="762" t="str">
        <f>IF(COUNTIF(AE1597:AF1597,"VERIFICAR")&gt;0,"VERIFICAR",IF(COUNTIF(AE1597:AF1597,"NO CUMPLE")&gt;0,"NO CUMPLE","CUMPLE"))</f>
        <v>VERIFICAR</v>
      </c>
      <c r="U1597" s="108"/>
      <c r="Y1597" s="533" t="e">
        <f>IF(F1598="","",IF(F1598=1,"INDIVIDUAL","ESTRUCTURA PLURAL"))</f>
        <v>#N/A</v>
      </c>
      <c r="AC1597" s="52"/>
      <c r="AD1597" s="475" t="s">
        <v>303</v>
      </c>
      <c r="AE1597" s="476" t="str">
        <f>IF(COUNTIF(AE1583:AE1592,"")=10,"VERIFICAR",IF(COUNTIF(AE1583:AE1592,"SI")&gt;0,"CUMPLE","NO CUMPLE"))</f>
        <v>VERIFICAR</v>
      </c>
      <c r="AF1597" s="477" t="str">
        <f>IF(COUNTIF(AF1583:AF1592,"")=10,"VERIFICAR",IF(COUNTIF(AF1583:AF1592,"SI")&gt;=$AI$22,"CUMPLE","NO CUMPLE"))</f>
        <v>VERIFICAR</v>
      </c>
      <c r="AG1597" s="52"/>
      <c r="AH1597" s="87"/>
      <c r="AI1597" s="87"/>
    </row>
    <row r="1598" spans="1:35" ht="16.5" hidden="1" customHeight="1" thickBot="1">
      <c r="A1598" s="218" t="e">
        <f>"L"&amp;E1579</f>
        <v>#N/A</v>
      </c>
      <c r="B1598" s="702"/>
      <c r="C1598" s="751" t="s">
        <v>103</v>
      </c>
      <c r="D1598" s="751"/>
      <c r="E1598" s="752"/>
      <c r="F1598" s="557" t="e">
        <f>IF(VLOOKUP(E1579,PROPONENTES!$C$19:$E$218,3,0)="","",VLOOKUP(E1579,PROPONENTES!$C$19:$E$218,3,0))</f>
        <v>#N/A</v>
      </c>
      <c r="G1598" s="753" t="s">
        <v>104</v>
      </c>
      <c r="H1598" s="751"/>
      <c r="I1598" s="715" t="e">
        <f>IF(OR(F1598="",F1598=1),"INTERESADO PERSONA NATURAL O JURIDICA","CONSORCIO O UNION TEMPORAL")</f>
        <v>#N/A</v>
      </c>
      <c r="J1598" s="725"/>
      <c r="K1598" s="728"/>
      <c r="L1598" s="723"/>
      <c r="M1598" s="749"/>
      <c r="N1598" s="749"/>
      <c r="O1598" s="749"/>
      <c r="P1598" s="749"/>
      <c r="Q1598" s="750"/>
      <c r="R1598" s="712"/>
      <c r="S1598" s="750"/>
      <c r="T1598" s="763"/>
      <c r="U1598" s="108"/>
      <c r="Y1598" s="534"/>
      <c r="AA1598" s="52"/>
      <c r="AB1598" s="52"/>
      <c r="AC1598" s="52"/>
      <c r="AG1598" s="52"/>
      <c r="AH1598" s="87"/>
      <c r="AI1598" s="87"/>
    </row>
    <row r="1599" spans="1:35" ht="56.25" hidden="1" customHeight="1" thickBot="1">
      <c r="A1599" s="218" t="e">
        <f>"M"&amp;E1579</f>
        <v>#N/A</v>
      </c>
      <c r="B1599" s="702"/>
      <c r="C1599" s="725" t="s">
        <v>101</v>
      </c>
      <c r="D1599" s="716"/>
      <c r="E1599" s="558" t="s">
        <v>105</v>
      </c>
      <c r="F1599" s="554" t="s">
        <v>87</v>
      </c>
      <c r="G1599" s="553" t="s">
        <v>86</v>
      </c>
      <c r="H1599" s="559" t="s">
        <v>85</v>
      </c>
      <c r="I1599" s="554" t="s">
        <v>252</v>
      </c>
      <c r="J1599" s="553" t="str">
        <f>"¿EL INTEGRANTE TIENE UNA PARTICIPACIÓN DEL "&amp;PORCREQUERIDOINT*100&amp;"%?"</f>
        <v>¿EL INTEGRANTE TIENE UNA PARTICIPACIÓN DEL 60%?</v>
      </c>
      <c r="K1599" s="554" t="s">
        <v>107</v>
      </c>
      <c r="L1599" s="724"/>
      <c r="M1599" s="717" t="s">
        <v>115</v>
      </c>
      <c r="N1599" s="718"/>
      <c r="O1599" s="718"/>
      <c r="P1599" s="718"/>
      <c r="Q1599" s="223">
        <f>IF(AND(H1583="SI",P1583&gt;=0),1,0)+IF(AND(H1584="SI",P1584&gt;=0),1,0)+IF(AND(H1585="SI",P1585&gt;=0),1,0)+IF(AND(H1586="SI",P1586&gt;=0),1,0)+IF(AND(H1587="SI",P1587&gt;=0),1,0)+IF(AND(H1588="SI",P1588&gt;=0),1,0)+IF(AND(H1589="SI",P1589&gt;=0),1,0)+IF(AND(H1590="SI",P1590&gt;=0),1,0)+IF(AND(H1591="SI",P1591&gt;=0),1,0)+IF(AND(H1592="SI",P1592&gt;=0),1,0)</f>
        <v>0</v>
      </c>
      <c r="R1599" s="759"/>
      <c r="S1599" s="761"/>
      <c r="T1599" s="764"/>
      <c r="U1599" s="219"/>
      <c r="V1599" s="464"/>
      <c r="Y1599" s="532" t="s">
        <v>342</v>
      </c>
      <c r="AA1599" s="550" t="s">
        <v>344</v>
      </c>
      <c r="AB1599" s="693" t="s">
        <v>345</v>
      </c>
      <c r="AC1599" s="693" t="s">
        <v>346</v>
      </c>
      <c r="AD1599" s="685" t="s">
        <v>347</v>
      </c>
      <c r="AE1599" s="52"/>
      <c r="AF1599" s="52"/>
      <c r="AG1599" s="52"/>
      <c r="AH1599" s="87"/>
      <c r="AI1599" s="87"/>
    </row>
    <row r="1600" spans="1:35" ht="15.75" hidden="1" customHeight="1" thickBot="1">
      <c r="A1600" s="218" t="e">
        <f>"N"&amp;E1579</f>
        <v>#N/A</v>
      </c>
      <c r="B1600" s="702"/>
      <c r="C1600" s="114">
        <v>1</v>
      </c>
      <c r="D1600" s="194" t="e">
        <f>IF(AND(C1600&lt;=F1598,F1598&gt;1,F1598&lt;&gt;""),VLOOKUP(VALUE(E1579&amp;","&amp;C1600),INTEGRANTES!$D$18:$F$235,2,0),"")</f>
        <v>#N/A</v>
      </c>
      <c r="E1600" s="211" t="e">
        <f>IF(D1600&lt;&gt;"",VLOOKUP(VALUE(E1579&amp;","&amp;C1600),INTEGRANTES!$D$18:$F$235,3,0),"")</f>
        <v>#N/A</v>
      </c>
      <c r="F1600" s="547" t="e">
        <f>IF(D1600="","",SUMIF($I1583:$I1592,D1600,$P1583:$P1592))</f>
        <v>#N/A</v>
      </c>
      <c r="G1600" s="333" t="e">
        <f>IF(D1600="","",SUMIF($I1583:$I1592,D1600,$M1583:$M1592))</f>
        <v>#N/A</v>
      </c>
      <c r="H1600" s="535" t="e">
        <f t="shared" ref="H1600:H1605" si="461">IF(D1600="","",IF(OR(F1600=0,G1600=0),"NO APORTA",ROUND($F1600/$G1600,3)))</f>
        <v>#N/A</v>
      </c>
      <c r="I1600" s="212" t="e">
        <f>IF(D1600="","",IF(H1600="NO APORTA","NO",IF(H1600=MAX($H1600:$H1605),"SI","NO")))</f>
        <v>#N/A</v>
      </c>
      <c r="J1600" s="213" t="e">
        <f t="shared" ref="J1600:J1605" si="462">IF(D1600="","",IF(E1600&gt;=PORCREQUERIDOINT,"SI","NO"))</f>
        <v>#N/A</v>
      </c>
      <c r="K1600" s="200" t="e">
        <f t="shared" ref="K1600:K1605" si="463">IF(D1600="","",IF(AND(I1600="SI",J1600="SI"),"CUMPLE",IF(AND(I1600="NO",OR(J1600="SI",J1600="NO")),"","NO CUMPLE")))</f>
        <v>#N/A</v>
      </c>
      <c r="L1600" s="722" t="s">
        <v>108</v>
      </c>
      <c r="M1600" s="726" t="s">
        <v>119</v>
      </c>
      <c r="N1600" s="726"/>
      <c r="O1600" s="726"/>
      <c r="P1600" s="726"/>
      <c r="Q1600" s="727"/>
      <c r="R1600" s="758" t="s">
        <v>80</v>
      </c>
      <c r="S1600" s="747"/>
      <c r="T1600" s="748"/>
      <c r="U1600" s="219"/>
      <c r="V1600" s="464"/>
      <c r="Y1600" s="533" t="e">
        <f>IF(Y1597="","",IF(Y1597="INDIVIDUAL","NO APLICA","VERIFICAR CUADRO"))</f>
        <v>#N/A</v>
      </c>
      <c r="AA1600" s="551"/>
      <c r="AB1600" s="694"/>
      <c r="AC1600" s="694"/>
      <c r="AD1600" s="686"/>
      <c r="AE1600" s="52"/>
      <c r="AF1600" s="52"/>
      <c r="AG1600" s="52"/>
      <c r="AH1600" s="87"/>
      <c r="AI1600" s="87"/>
    </row>
    <row r="1601" spans="1:35" ht="27" hidden="1" customHeight="1" thickBot="1">
      <c r="A1601" s="218" t="e">
        <f>"O"&amp;E1579</f>
        <v>#N/A</v>
      </c>
      <c r="B1601" s="702"/>
      <c r="C1601" s="114">
        <v>2</v>
      </c>
      <c r="D1601" s="194" t="e">
        <f>IF(AND(C1601&lt;=F1598,F1598&lt;&gt;""),VLOOKUP(VALUE(E1579&amp;","&amp;C1601),INTEGRANTES!$D$18:$F$235,2,0),"")</f>
        <v>#N/A</v>
      </c>
      <c r="E1601" s="211" t="e">
        <f>IF(D1601&lt;&gt;"",VLOOKUP(VALUE(E1579&amp;","&amp;C1601),INTEGRANTES!$D$18:$F$235,3,0),"")</f>
        <v>#N/A</v>
      </c>
      <c r="F1601" s="547" t="e">
        <f>IF(D1601="","",SUMIF($I1583:$I1592,D1601,$P1583:$P1592))</f>
        <v>#N/A</v>
      </c>
      <c r="G1601" s="333" t="e">
        <f>IF(D1601="","",SUMIF($I1583:$I1592,D1601,$M1583:$M1592))</f>
        <v>#N/A</v>
      </c>
      <c r="H1601" s="535" t="e">
        <f t="shared" si="461"/>
        <v>#N/A</v>
      </c>
      <c r="I1601" s="212" t="e">
        <f>IF(D1601="","",IF(H1601="NO APORTA","NO",IF(H1601=MAX($H1600:$H1605),"SI","NO")))</f>
        <v>#N/A</v>
      </c>
      <c r="J1601" s="213" t="e">
        <f t="shared" si="462"/>
        <v>#N/A</v>
      </c>
      <c r="K1601" s="200" t="e">
        <f t="shared" si="463"/>
        <v>#N/A</v>
      </c>
      <c r="L1601" s="723"/>
      <c r="M1601" s="715" t="s">
        <v>116</v>
      </c>
      <c r="N1601" s="716"/>
      <c r="O1601" s="556" t="s">
        <v>113</v>
      </c>
      <c r="P1601" s="715" t="s">
        <v>117</v>
      </c>
      <c r="Q1601" s="728"/>
      <c r="R1601" s="759"/>
      <c r="S1601" s="760"/>
      <c r="T1601" s="761"/>
      <c r="U1601" s="219"/>
      <c r="V1601" s="464"/>
      <c r="Y1601" s="414"/>
      <c r="AA1601" s="542" t="e">
        <f>IF(AND(C1600&lt;=F1598,F1598&gt;1,F1598&lt;&gt;""),VLOOKUP(VALUE(E1579&amp;","&amp;C1600),INTEGRANTES!$D$18:$F$235,2,0),"")</f>
        <v>#N/A</v>
      </c>
      <c r="AB1601" s="544" t="e">
        <f t="shared" ref="AB1601:AB1606" si="464">IF(D1600="","",IF(OR(F1600=0,G1600=0),"NO APORTA",ROUND($F1600/$G1600,3)))</f>
        <v>#N/A</v>
      </c>
      <c r="AC1601" s="529"/>
      <c r="AD1601" s="200" t="e">
        <f t="shared" ref="AD1601:AD1606" si="465">IF(OR(AA1601="",AB1601=""),"",IF(AND(AC1601="X",AB1601&gt;=EXPREQVTD),"CUMPLE","NO CUMPLE"))</f>
        <v>#N/A</v>
      </c>
      <c r="AE1601" s="52"/>
      <c r="AF1601" s="52"/>
      <c r="AG1601" s="52"/>
      <c r="AH1601" s="87"/>
      <c r="AI1601" s="87"/>
    </row>
    <row r="1602" spans="1:35" ht="16.5" hidden="1" thickBot="1">
      <c r="A1602" s="218" t="e">
        <f>"P"&amp;E1579</f>
        <v>#N/A</v>
      </c>
      <c r="B1602" s="702"/>
      <c r="C1602" s="114">
        <v>3</v>
      </c>
      <c r="D1602" s="194" t="e">
        <f>IF(AND(C1602&lt;=F1598,F1598&lt;&gt;""),VLOOKUP(VALUE(E1579&amp;","&amp;C1602),INTEGRANTES!$D$18:$F$235,2,0),"")</f>
        <v>#N/A</v>
      </c>
      <c r="E1602" s="211" t="e">
        <f>IF(D1602&lt;&gt;"",VLOOKUP(VALUE(E1579&amp;","&amp;C1602),INTEGRANTES!$D$18:$F$235,3,0),"")</f>
        <v>#N/A</v>
      </c>
      <c r="F1602" s="547" t="e">
        <f>IF(D1602="","",SUMIF($I1583:$I1592,D1602,$P1583:$P1592))</f>
        <v>#N/A</v>
      </c>
      <c r="G1602" s="333" t="e">
        <f>IF(D1602="","",SUMIF($I1583:$I1592,D1602,$M1583:$M1592))</f>
        <v>#N/A</v>
      </c>
      <c r="H1602" s="535" t="e">
        <f t="shared" si="461"/>
        <v>#N/A</v>
      </c>
      <c r="I1602" s="212" t="e">
        <f>IF(D1602="","",IF(H1602="NO APORTA","NO",IF(H1602=MAX($H1600:$H1605),"SI","NO")))</f>
        <v>#N/A</v>
      </c>
      <c r="J1602" s="213" t="e">
        <f t="shared" si="462"/>
        <v>#N/A</v>
      </c>
      <c r="K1602" s="200" t="e">
        <f t="shared" si="463"/>
        <v>#N/A</v>
      </c>
      <c r="L1602" s="724"/>
      <c r="M1602" s="729">
        <f>NUMMOD</f>
        <v>1</v>
      </c>
      <c r="N1602" s="730"/>
      <c r="O1602" s="443">
        <f>IF(M1602="","",VLOOKUP(M1602,PRESUPUESTOS!$B$16:$H$16,5,FALSE))</f>
        <v>2</v>
      </c>
      <c r="P1602" s="713">
        <f>IF(OR(COUNTIF(M1583:M1592,"")&gt;=10,Q1599&lt;NUMMINCONT,OR(T1597="NO CUMPLE",T1597="VERIFICAR")),0,ROUND(AVERAGE(M1583:M1592),3))</f>
        <v>0</v>
      </c>
      <c r="Q1602" s="714"/>
      <c r="R1602" s="458"/>
      <c r="S1602" s="459"/>
      <c r="T1602" s="460"/>
      <c r="U1602" s="219"/>
      <c r="V1602" s="464"/>
      <c r="Y1602" s="532" t="str">
        <f>"40% * ("&amp;PRESUPUESTOS!$H$13&amp;")"</f>
        <v>40% * (50% PFMO)</v>
      </c>
      <c r="AA1602" s="540" t="e">
        <f>IF(AND(C1601&lt;=F1598,F1598&lt;&gt;""),VLOOKUP(VALUE(E1579&amp;","&amp;C1601),INTEGRANTES!$D$18:$F$235,2,0),"")</f>
        <v>#N/A</v>
      </c>
      <c r="AB1602" s="545" t="e">
        <f t="shared" si="464"/>
        <v>#N/A</v>
      </c>
      <c r="AC1602" s="529"/>
      <c r="AD1602" s="200" t="e">
        <f t="shared" si="465"/>
        <v>#N/A</v>
      </c>
      <c r="AE1602" s="52"/>
      <c r="AF1602" s="52"/>
      <c r="AG1602" s="52"/>
      <c r="AH1602" s="87"/>
      <c r="AI1602" s="87"/>
    </row>
    <row r="1603" spans="1:35" ht="15.75" hidden="1" customHeight="1" thickBot="1">
      <c r="A1603" s="218" t="e">
        <f>"Q"&amp;E1579</f>
        <v>#N/A</v>
      </c>
      <c r="B1603" s="702"/>
      <c r="C1603" s="114">
        <v>4</v>
      </c>
      <c r="D1603" s="194" t="e">
        <f>IF(AND(C1603&lt;=F1598,F1598&lt;&gt;""),VLOOKUP(VALUE(E1579&amp;","&amp;C1603),INTEGRANTES!$D$18:$F$235,2,0),"")</f>
        <v>#N/A</v>
      </c>
      <c r="E1603" s="211" t="e">
        <f>IF(D1603&lt;&gt;"",VLOOKUP(VALUE(E1579&amp;","&amp;C1603),INTEGRANTES!$D$18:$F$235,3,0),"")</f>
        <v>#N/A</v>
      </c>
      <c r="F1603" s="547" t="e">
        <f>IF(D1603="","",SUMIF($I1583:$I1592,D1603,$P1583:$P1592))</f>
        <v>#N/A</v>
      </c>
      <c r="G1603" s="333" t="e">
        <f>IF(D1603="","",SUMIF($I1583:$I1592,D1603,$M1583:$M1592))</f>
        <v>#N/A</v>
      </c>
      <c r="H1603" s="535" t="e">
        <f t="shared" si="461"/>
        <v>#N/A</v>
      </c>
      <c r="I1603" s="212" t="e">
        <f>IF(D1603="","",IF(H1603="NO APORTA","NO",IF(H1603=MAX($H1600:$H1605),"SI","NO")))</f>
        <v>#N/A</v>
      </c>
      <c r="J1603" s="213" t="e">
        <f t="shared" si="462"/>
        <v>#N/A</v>
      </c>
      <c r="K1603" s="200" t="e">
        <f t="shared" si="463"/>
        <v>#N/A</v>
      </c>
      <c r="L1603" s="720" t="s">
        <v>109</v>
      </c>
      <c r="M1603" s="757" t="s">
        <v>120</v>
      </c>
      <c r="N1603" s="726"/>
      <c r="O1603" s="726"/>
      <c r="P1603" s="726"/>
      <c r="Q1603" s="727"/>
      <c r="R1603" s="458"/>
      <c r="S1603" s="459"/>
      <c r="T1603" s="460"/>
      <c r="U1603" s="219"/>
      <c r="V1603" s="464"/>
      <c r="Y1603" s="537">
        <f>0.4*PRESUPUESTOS!$H$16</f>
        <v>10.3124</v>
      </c>
      <c r="AA1603" s="540" t="e">
        <f>IF(AND(C1602&lt;=F1598,F1598&lt;&gt;""),VLOOKUP(VALUE(E1579&amp;","&amp;C1602),INTEGRANTES!$D$18:$F$235,2,0),"")</f>
        <v>#N/A</v>
      </c>
      <c r="AB1603" s="545" t="e">
        <f t="shared" si="464"/>
        <v>#N/A</v>
      </c>
      <c r="AC1603" s="529"/>
      <c r="AD1603" s="200" t="e">
        <f t="shared" si="465"/>
        <v>#N/A</v>
      </c>
      <c r="AE1603" s="52"/>
      <c r="AF1603" s="52"/>
      <c r="AG1603" s="52"/>
      <c r="AH1603" s="87"/>
      <c r="AI1603" s="87"/>
    </row>
    <row r="1604" spans="1:35" ht="27" hidden="1" customHeight="1" thickBot="1">
      <c r="A1604" s="218" t="e">
        <f>"R"&amp;E1579</f>
        <v>#N/A</v>
      </c>
      <c r="B1604" s="702"/>
      <c r="C1604" s="114">
        <v>5</v>
      </c>
      <c r="D1604" s="194" t="e">
        <f>IF(AND(C1604&lt;=F1598,F1598&lt;&gt;""),VLOOKUP(VALUE(E1579&amp;","&amp;C1604),INTEGRANTES!$D$18:$F$235,2,0),"")</f>
        <v>#N/A</v>
      </c>
      <c r="E1604" s="211" t="e">
        <f>IF(D1604&lt;&gt;"",VLOOKUP(VALUE(E1579&amp;","&amp;C1604),INTEGRANTES!$D$18:$F$235,3,0),"")</f>
        <v>#N/A</v>
      </c>
      <c r="F1604" s="547" t="e">
        <f>IF(D1604="","",SUMIF($I1583:$I1592,D1604,$P1583:$P1592))</f>
        <v>#N/A</v>
      </c>
      <c r="G1604" s="333" t="e">
        <f>IF(D1604="","",SUMIF($I1583:$I1592,D1604,$M1583:$M1592))</f>
        <v>#N/A</v>
      </c>
      <c r="H1604" s="535" t="e">
        <f t="shared" si="461"/>
        <v>#N/A</v>
      </c>
      <c r="I1604" s="212" t="e">
        <f>IF(D1604="","",IF(H1604="NO APORTA","NO",IF(H1604=MAX($H1600:$H1605),"SI","NO")))</f>
        <v>#N/A</v>
      </c>
      <c r="J1604" s="213" t="e">
        <f t="shared" si="462"/>
        <v>#N/A</v>
      </c>
      <c r="K1604" s="200" t="e">
        <f t="shared" si="463"/>
        <v>#N/A</v>
      </c>
      <c r="L1604" s="721"/>
      <c r="M1604" s="715" t="s">
        <v>116</v>
      </c>
      <c r="N1604" s="716"/>
      <c r="O1604" s="556" t="str">
        <f>PORCREQUERIDO*100&amp;"% PMFO DEL MÓDULO"</f>
        <v>50% PMFO DEL MÓDULO</v>
      </c>
      <c r="P1604" s="715" t="s">
        <v>118</v>
      </c>
      <c r="Q1604" s="728"/>
      <c r="R1604" s="458"/>
      <c r="S1604" s="459"/>
      <c r="T1604" s="460"/>
      <c r="U1604" s="219"/>
      <c r="V1604" s="464"/>
      <c r="Y1604" s="414"/>
      <c r="AA1604" s="540" t="e">
        <f>IF(AND(C1603&lt;=F1598,F1598&lt;&gt;""),VLOOKUP(VALUE(E1579&amp;","&amp;C1603),INTEGRANTES!$D$18:$F$235,2,0),"")</f>
        <v>#N/A</v>
      </c>
      <c r="AB1604" s="545" t="e">
        <f t="shared" si="464"/>
        <v>#N/A</v>
      </c>
      <c r="AC1604" s="529"/>
      <c r="AD1604" s="200" t="e">
        <f t="shared" si="465"/>
        <v>#N/A</v>
      </c>
      <c r="AE1604" s="52"/>
      <c r="AF1604" s="52"/>
      <c r="AG1604" s="52"/>
      <c r="AH1604" s="87"/>
      <c r="AI1604" s="87"/>
    </row>
    <row r="1605" spans="1:35" ht="16.5" hidden="1" thickBot="1">
      <c r="A1605" s="218" t="e">
        <f>"S"&amp;E1579</f>
        <v>#N/A</v>
      </c>
      <c r="B1605" s="702"/>
      <c r="C1605" s="215">
        <v>6</v>
      </c>
      <c r="D1605" s="216" t="e">
        <f>IF(AND(C1605&lt;=F1598,F1598&lt;&gt;""),VLOOKUP(VALUE(E1579&amp;","&amp;C1605),INTEGRANTES!$D$18:$F$235,2,0),"")</f>
        <v>#N/A</v>
      </c>
      <c r="E1605" s="217" t="e">
        <f>IF(D1605&lt;&gt;"",VLOOKUP(VALUE(E1579&amp;","&amp;C1605),INTEGRANTES!$D$18:$F$235,3,0),"")</f>
        <v>#N/A</v>
      </c>
      <c r="F1605" s="548" t="e">
        <f>IF(D1605="","",SUMIF($I1583:$I1592,D1605,$P1583:$P1592))</f>
        <v>#N/A</v>
      </c>
      <c r="G1605" s="334" t="e">
        <f>IF(D1605="","",SUMIF($I1583:$I1592,D1605,$M1583:$M1592))</f>
        <v>#N/A</v>
      </c>
      <c r="H1605" s="536" t="e">
        <f t="shared" si="461"/>
        <v>#N/A</v>
      </c>
      <c r="I1605" s="214" t="e">
        <f>IF(D1605="","",IF(H1605="NO APORTA","NO",IF(H1605=MAX($H1600:$H1605),"SI","NO")))</f>
        <v>#N/A</v>
      </c>
      <c r="J1605" s="213" t="e">
        <f t="shared" si="462"/>
        <v>#N/A</v>
      </c>
      <c r="K1605" s="200" t="e">
        <f t="shared" si="463"/>
        <v>#N/A</v>
      </c>
      <c r="L1605" s="721"/>
      <c r="M1605" s="729">
        <f>NUMMOD</f>
        <v>1</v>
      </c>
      <c r="N1605" s="730"/>
      <c r="O1605" s="443">
        <f>IF(M1605="","",ROUND(VLOOKUP(M1605,PRESUPUESTOS!$B$16:$H$16,7,FALSE),3))</f>
        <v>25.780999999999999</v>
      </c>
      <c r="P1605" s="713">
        <f>IF(OR(COUNTIF(P1583:P1592,"")&gt;=10,Q1599&lt;NUMMINCONT,OR(T1597="NO CUMPLE",T1597="VERIFICAR")),0,ROUND((SUM(P1583:P1592)/SUM(M1583:M1592)),3))</f>
        <v>0</v>
      </c>
      <c r="Q1605" s="714"/>
      <c r="R1605" s="458"/>
      <c r="S1605" s="459"/>
      <c r="T1605" s="460"/>
      <c r="U1605" s="219"/>
      <c r="V1605" s="464"/>
      <c r="Y1605" s="532" t="s">
        <v>343</v>
      </c>
      <c r="AA1605" s="540" t="e">
        <f>IF(AND(C1604&lt;=F1598,F1598&lt;&gt;""),VLOOKUP(VALUE(E1579&amp;","&amp;C1604),INTEGRANTES!$D$18:$F$235,2,0),"")</f>
        <v>#N/A</v>
      </c>
      <c r="AB1605" s="545" t="e">
        <f t="shared" si="464"/>
        <v>#N/A</v>
      </c>
      <c r="AC1605" s="529"/>
      <c r="AD1605" s="200" t="e">
        <f t="shared" si="465"/>
        <v>#N/A</v>
      </c>
      <c r="AE1605" s="52"/>
      <c r="AF1605" s="52"/>
      <c r="AG1605" s="52"/>
      <c r="AH1605" s="87"/>
      <c r="AI1605" s="87"/>
    </row>
    <row r="1606" spans="1:35" ht="16.5" hidden="1" customHeight="1" thickBot="1">
      <c r="A1606" s="218" t="e">
        <f>"T"&amp;E1579</f>
        <v>#N/A</v>
      </c>
      <c r="B1606" s="703"/>
      <c r="C1606" s="719"/>
      <c r="D1606" s="719"/>
      <c r="E1606" s="719"/>
      <c r="F1606" s="719"/>
      <c r="G1606" s="719"/>
      <c r="H1606" s="719" t="s">
        <v>110</v>
      </c>
      <c r="I1606" s="719"/>
      <c r="J1606" s="719"/>
      <c r="K1606" s="201" t="str">
        <f>IF(COUNTIF(K1600:K1605,"")=6,"",IF(COUNTIF(K1600:K1605,"CUMPLE")&gt;0,"CUMPLE","NO CUMPLE"))</f>
        <v>NO CUMPLE</v>
      </c>
      <c r="L1606" s="754"/>
      <c r="M1606" s="755"/>
      <c r="N1606" s="755"/>
      <c r="O1606" s="755"/>
      <c r="P1606" s="755"/>
      <c r="Q1606" s="756"/>
      <c r="R1606" s="461"/>
      <c r="S1606" s="462"/>
      <c r="T1606" s="463"/>
      <c r="U1606" s="219"/>
      <c r="V1606" s="464"/>
      <c r="Y1606" s="549" t="e">
        <f>IF(Y1600="NO APLICA","NO APLICA",IF(COUNTIF(AD1601:AD1606,"CUMPLE")&gt;0,"CUMPLE","NO CUMPLE"))</f>
        <v>#N/A</v>
      </c>
      <c r="AA1606" s="541" t="e">
        <f>IF(AND(C1605&lt;=F1598,F1598&lt;&gt;""),VLOOKUP(VALUE(E1579&amp;","&amp;C1605),INTEGRANTES!$D$18:$F$235,2,0),"")</f>
        <v>#N/A</v>
      </c>
      <c r="AB1606" s="546" t="e">
        <f t="shared" si="464"/>
        <v>#N/A</v>
      </c>
      <c r="AC1606" s="543"/>
      <c r="AD1606" s="201" t="e">
        <f t="shared" si="465"/>
        <v>#N/A</v>
      </c>
      <c r="AE1606" s="52"/>
      <c r="AF1606" s="52"/>
      <c r="AG1606" s="52"/>
      <c r="AH1606" s="87"/>
      <c r="AI1606" s="87"/>
    </row>
    <row r="1607" spans="1:35" hidden="1">
      <c r="A1607" s="103"/>
      <c r="B1607" s="206"/>
      <c r="C1607" s="206"/>
      <c r="D1607" s="206"/>
      <c r="E1607" s="206"/>
      <c r="F1607" s="206"/>
      <c r="G1607" s="206"/>
      <c r="H1607" s="206"/>
      <c r="I1607" s="104"/>
      <c r="J1607" s="206"/>
      <c r="K1607" s="113"/>
      <c r="L1607" s="113"/>
      <c r="M1607" s="113"/>
      <c r="N1607" s="222"/>
      <c r="O1607" s="113"/>
      <c r="P1607" s="113"/>
      <c r="Q1607" s="113"/>
      <c r="R1607" s="206"/>
      <c r="S1607" s="104"/>
      <c r="T1607" s="206"/>
      <c r="U1607" s="474"/>
      <c r="AH1607" s="87"/>
      <c r="AI1607" s="87"/>
    </row>
    <row r="1608" spans="1:35" hidden="1">
      <c r="H1608" s="220"/>
      <c r="AH1608" s="87"/>
      <c r="AI1608" s="87"/>
    </row>
    <row r="1609" spans="1:35" ht="24" hidden="1" thickBot="1">
      <c r="A1609" s="61">
        <v>54</v>
      </c>
      <c r="B1609" s="704" t="s">
        <v>51</v>
      </c>
      <c r="C1609" s="704"/>
      <c r="D1609" s="704"/>
      <c r="E1609" s="62" t="e">
        <f>VLOOKUP(A1609,PROPONENTES!$B$19:$E$218,2,FALSE)</f>
        <v>#N/A</v>
      </c>
      <c r="F1609" s="63" t="e">
        <f>VLOOKUP(A1609,PROPONENTES!$B$19:$E$218,3,FALSE)</f>
        <v>#N/A</v>
      </c>
      <c r="G1609" s="64"/>
      <c r="H1609" s="64"/>
      <c r="I1609" s="63"/>
      <c r="J1609" s="63"/>
      <c r="K1609" s="65"/>
      <c r="L1609" s="65"/>
      <c r="M1609" s="64"/>
      <c r="N1609" s="64"/>
      <c r="O1609" s="66"/>
      <c r="P1609" s="66"/>
      <c r="Q1609" s="66"/>
      <c r="R1609" s="66"/>
      <c r="S1609" s="67"/>
      <c r="T1609" s="68"/>
      <c r="U1609" s="68"/>
      <c r="AC1609" s="68"/>
      <c r="AD1609" s="68"/>
      <c r="AE1609" s="68"/>
      <c r="AF1609" s="68"/>
      <c r="AG1609" s="68"/>
      <c r="AH1609" s="87"/>
      <c r="AI1609" s="87"/>
    </row>
    <row r="1610" spans="1:35" ht="15.75" hidden="1" customHeight="1">
      <c r="A1610" s="44"/>
      <c r="B1610" s="709" t="s">
        <v>59</v>
      </c>
      <c r="C1610" s="552" t="s">
        <v>60</v>
      </c>
      <c r="D1610" s="70" t="s">
        <v>17</v>
      </c>
      <c r="E1610" s="70"/>
      <c r="F1610" s="70" t="s">
        <v>61</v>
      </c>
      <c r="G1610" s="71"/>
      <c r="H1610" s="699" t="s">
        <v>62</v>
      </c>
      <c r="I1610" s="699" t="s">
        <v>18</v>
      </c>
      <c r="J1610" s="699" t="s">
        <v>63</v>
      </c>
      <c r="K1610" s="699" t="s">
        <v>64</v>
      </c>
      <c r="L1610" s="699" t="s">
        <v>65</v>
      </c>
      <c r="M1610" s="743" t="s">
        <v>66</v>
      </c>
      <c r="N1610" s="699" t="s">
        <v>282</v>
      </c>
      <c r="O1610" s="745" t="s">
        <v>67</v>
      </c>
      <c r="P1610" s="746"/>
      <c r="Q1610" s="102" t="s">
        <v>75</v>
      </c>
      <c r="R1610" s="731" t="s">
        <v>22</v>
      </c>
      <c r="S1610" s="732"/>
      <c r="T1610" s="733"/>
      <c r="U1610" s="712" t="s">
        <v>298</v>
      </c>
      <c r="W1610" s="690" t="s">
        <v>268</v>
      </c>
      <c r="X1610" s="691"/>
      <c r="Y1610" s="692"/>
      <c r="Z1610" s="428"/>
      <c r="AA1610" s="697" t="s">
        <v>315</v>
      </c>
      <c r="AB1610" s="695" t="s">
        <v>322</v>
      </c>
      <c r="AC1610" s="49"/>
      <c r="AD1610" s="690" t="s">
        <v>297</v>
      </c>
      <c r="AE1610" s="691"/>
      <c r="AF1610" s="692"/>
      <c r="AG1610" s="49"/>
      <c r="AH1610" s="87"/>
      <c r="AI1610" s="87"/>
    </row>
    <row r="1611" spans="1:35" ht="72" hidden="1">
      <c r="A1611" s="44"/>
      <c r="B1611" s="710"/>
      <c r="C1611" s="553" t="s">
        <v>68</v>
      </c>
      <c r="D1611" s="73" t="s">
        <v>3</v>
      </c>
      <c r="E1611" s="73" t="s">
        <v>19</v>
      </c>
      <c r="F1611" s="73" t="s">
        <v>69</v>
      </c>
      <c r="G1611" s="74" t="s">
        <v>70</v>
      </c>
      <c r="H1611" s="700"/>
      <c r="I1611" s="700"/>
      <c r="J1611" s="700"/>
      <c r="K1611" s="700"/>
      <c r="L1611" s="700"/>
      <c r="M1611" s="744"/>
      <c r="N1611" s="700"/>
      <c r="O1611" s="553" t="s">
        <v>279</v>
      </c>
      <c r="P1611" s="73" t="s">
        <v>88</v>
      </c>
      <c r="Q1611" s="555" t="s">
        <v>76</v>
      </c>
      <c r="R1611" s="734"/>
      <c r="S1611" s="735"/>
      <c r="T1611" s="736"/>
      <c r="U1611" s="712"/>
      <c r="W1611" s="429" t="s">
        <v>269</v>
      </c>
      <c r="X1611" s="457" t="s">
        <v>278</v>
      </c>
      <c r="Y1611" s="430" t="s">
        <v>324</v>
      </c>
      <c r="Z1611" s="428"/>
      <c r="AA1611" s="698"/>
      <c r="AB1611" s="696"/>
      <c r="AC1611" s="49"/>
      <c r="AD1611" s="429" t="s">
        <v>292</v>
      </c>
      <c r="AE1611" s="431" t="s">
        <v>300</v>
      </c>
      <c r="AF1611" s="468" t="s">
        <v>301</v>
      </c>
      <c r="AG1611" s="49"/>
      <c r="AH1611" s="87"/>
      <c r="AI1611" s="87"/>
    </row>
    <row r="1612" spans="1:35" hidden="1">
      <c r="A1612" s="44"/>
      <c r="B1612" s="76"/>
      <c r="C1612" s="77"/>
      <c r="D1612" s="77"/>
      <c r="E1612" s="77"/>
      <c r="F1612" s="77"/>
      <c r="G1612" s="77"/>
      <c r="H1612" s="77"/>
      <c r="I1612" s="77"/>
      <c r="J1612" s="77"/>
      <c r="K1612" s="77"/>
      <c r="L1612" s="77"/>
      <c r="M1612" s="77"/>
      <c r="N1612" s="77"/>
      <c r="O1612" s="77"/>
      <c r="P1612" s="77"/>
      <c r="Q1612" s="77"/>
      <c r="R1612" s="77"/>
      <c r="S1612" s="78"/>
      <c r="T1612" s="79"/>
      <c r="U1612" s="109"/>
      <c r="V1612" s="49"/>
      <c r="W1612" s="432"/>
      <c r="X1612" s="454"/>
      <c r="Y1612" s="433"/>
      <c r="Z1612" s="6"/>
      <c r="AA1612" s="500"/>
      <c r="AB1612" s="562"/>
      <c r="AC1612" s="49"/>
      <c r="AD1612" s="210"/>
      <c r="AE1612" s="434"/>
      <c r="AF1612" s="435"/>
      <c r="AG1612" s="49"/>
      <c r="AH1612" s="87"/>
      <c r="AI1612" s="87"/>
    </row>
    <row r="1613" spans="1:35" hidden="1">
      <c r="A1613" s="80" t="e">
        <f>"A"&amp;E1609</f>
        <v>#N/A</v>
      </c>
      <c r="B1613" s="81">
        <v>1</v>
      </c>
      <c r="C1613" s="82"/>
      <c r="D1613" s="82"/>
      <c r="E1613" s="82"/>
      <c r="F1613" s="82"/>
      <c r="G1613" s="83"/>
      <c r="H1613" s="83"/>
      <c r="I1613" s="84"/>
      <c r="J1613" s="85"/>
      <c r="K1613" s="382"/>
      <c r="L1613" s="85"/>
      <c r="M1613" s="332" t="str">
        <f t="shared" ref="M1613:M1622" si="466">IF(OR(J1613="",L1613="",H1613="NO"),"",IF(OR(J1613&gt;$P$17,J1613&lt;$O$17,L1613&gt;$P$17,AND(J1613&lt;$O$17,L1613&lt;$O$17)),"FUERA DE RANGO",IF(OR(K1613="---",K1613=""),IF(J1613&gt;=$O$17,ROUND((L1613-J1613+1)/360*12,3),ROUND((L1613-$O$17+1)/360*12,3)),IF(J1613&gt;=$O$17,ROUND((L1613-J1613+1)/360*12-ROUND(K1613,3),3),ROUND((L1613-$O$17+1)/360*12-ROUND(K1613,3),3)))))</f>
        <v/>
      </c>
      <c r="N1613" s="86"/>
      <c r="O1613" s="453" t="str">
        <f>IF(OR(G1613="",N1613=""),"",N1613*G1613)</f>
        <v/>
      </c>
      <c r="P1613" s="538" t="str">
        <f>IF(OR(H1613="",M1613="FUERA DE RANGO"),"",IF(OR(L1613&lt;$O$17,L1613&gt;$P$17,L1613="",H1613="NO"),"",IF(OR(N1613="",O1613=""),"",ROUND(O1613,3))))</f>
        <v/>
      </c>
      <c r="Q1613" s="539" t="str">
        <f t="shared" ref="Q1613:Q1622" si="467">IF(AND(H1613="SI",P1613&lt;&gt;""),ROUND(P1613/M1613,3),"")</f>
        <v/>
      </c>
      <c r="R1613" s="737"/>
      <c r="S1613" s="738"/>
      <c r="T1613" s="739"/>
      <c r="U1613" s="470"/>
      <c r="V1613" s="165"/>
      <c r="W1613" s="446"/>
      <c r="X1613" s="456"/>
      <c r="Y1613" s="436"/>
      <c r="Z1613" s="437"/>
      <c r="AA1613" s="560"/>
      <c r="AB1613" s="561"/>
      <c r="AC1613" s="87"/>
      <c r="AD1613" s="466"/>
      <c r="AE1613" s="456"/>
      <c r="AF1613" s="467"/>
      <c r="AG1613" s="87"/>
      <c r="AH1613" s="87"/>
      <c r="AI1613" s="87"/>
    </row>
    <row r="1614" spans="1:35" hidden="1">
      <c r="A1614" s="80" t="e">
        <f>"B"&amp;E1609</f>
        <v>#N/A</v>
      </c>
      <c r="B1614" s="81">
        <v>2</v>
      </c>
      <c r="C1614" s="106"/>
      <c r="D1614" s="106"/>
      <c r="E1614" s="106"/>
      <c r="F1614" s="106"/>
      <c r="G1614" s="83"/>
      <c r="H1614" s="83"/>
      <c r="I1614" s="84"/>
      <c r="J1614" s="85"/>
      <c r="K1614" s="382"/>
      <c r="L1614" s="85"/>
      <c r="M1614" s="332" t="str">
        <f t="shared" si="466"/>
        <v/>
      </c>
      <c r="N1614" s="86"/>
      <c r="O1614" s="453" t="str">
        <f t="shared" ref="O1614:O1622" si="468">IF(OR(G1614="",N1614=""),"",N1614*G1614)</f>
        <v/>
      </c>
      <c r="P1614" s="538" t="str">
        <f t="shared" ref="P1614:P1622" si="469">IF(OR(H1614="",M1614="FUERA DE RANGO"),"",IF(OR(L1614&lt;$O$17,L1614&gt;$P$17,L1614="",H1614="NO"),"",IF(OR(N1614="",O1614=""),"",ROUND(O1614,3))))</f>
        <v/>
      </c>
      <c r="Q1614" s="539" t="str">
        <f t="shared" si="467"/>
        <v/>
      </c>
      <c r="R1614" s="740"/>
      <c r="S1614" s="741"/>
      <c r="T1614" s="742"/>
      <c r="U1614" s="471"/>
      <c r="V1614" s="165"/>
      <c r="W1614" s="446"/>
      <c r="X1614" s="456"/>
      <c r="Y1614" s="436"/>
      <c r="Z1614" s="437"/>
      <c r="AA1614" s="560"/>
      <c r="AB1614" s="561"/>
      <c r="AC1614" s="87"/>
      <c r="AD1614" s="466"/>
      <c r="AE1614" s="456"/>
      <c r="AF1614" s="467"/>
      <c r="AG1614" s="87"/>
      <c r="AH1614" s="87"/>
      <c r="AI1614" s="87"/>
    </row>
    <row r="1615" spans="1:35" hidden="1">
      <c r="A1615" s="80" t="e">
        <f>"C"&amp;E1609</f>
        <v>#N/A</v>
      </c>
      <c r="B1615" s="88">
        <v>3</v>
      </c>
      <c r="C1615" s="82"/>
      <c r="D1615" s="82"/>
      <c r="E1615" s="82"/>
      <c r="F1615" s="82"/>
      <c r="G1615" s="83"/>
      <c r="H1615" s="83"/>
      <c r="I1615" s="84"/>
      <c r="J1615" s="85"/>
      <c r="K1615" s="382"/>
      <c r="L1615" s="85"/>
      <c r="M1615" s="332" t="str">
        <f t="shared" si="466"/>
        <v/>
      </c>
      <c r="N1615" s="86"/>
      <c r="O1615" s="453" t="str">
        <f t="shared" si="468"/>
        <v/>
      </c>
      <c r="P1615" s="538" t="str">
        <f t="shared" si="469"/>
        <v/>
      </c>
      <c r="Q1615" s="539" t="str">
        <f t="shared" si="467"/>
        <v/>
      </c>
      <c r="R1615" s="706"/>
      <c r="S1615" s="707"/>
      <c r="T1615" s="708"/>
      <c r="U1615" s="472"/>
      <c r="V1615" s="166"/>
      <c r="W1615" s="446"/>
      <c r="X1615" s="456"/>
      <c r="Y1615" s="436"/>
      <c r="Z1615" s="437"/>
      <c r="AA1615" s="560"/>
      <c r="AB1615" s="561"/>
      <c r="AC1615" s="87"/>
      <c r="AD1615" s="466"/>
      <c r="AE1615" s="456"/>
      <c r="AF1615" s="467"/>
      <c r="AG1615" s="87"/>
      <c r="AH1615" s="87"/>
      <c r="AI1615" s="87"/>
    </row>
    <row r="1616" spans="1:35" hidden="1">
      <c r="A1616" s="80" t="e">
        <f>"D"&amp;E1609</f>
        <v>#N/A</v>
      </c>
      <c r="B1616" s="105">
        <v>4</v>
      </c>
      <c r="C1616" s="107"/>
      <c r="D1616" s="107"/>
      <c r="E1616" s="107"/>
      <c r="F1616" s="107"/>
      <c r="G1616" s="83"/>
      <c r="H1616" s="83"/>
      <c r="I1616" s="84"/>
      <c r="J1616" s="85"/>
      <c r="K1616" s="382"/>
      <c r="L1616" s="85"/>
      <c r="M1616" s="332" t="str">
        <f t="shared" si="466"/>
        <v/>
      </c>
      <c r="N1616" s="86"/>
      <c r="O1616" s="453" t="str">
        <f t="shared" si="468"/>
        <v/>
      </c>
      <c r="P1616" s="538" t="str">
        <f t="shared" si="469"/>
        <v/>
      </c>
      <c r="Q1616" s="539" t="str">
        <f t="shared" si="467"/>
        <v/>
      </c>
      <c r="R1616" s="706"/>
      <c r="S1616" s="707"/>
      <c r="T1616" s="708"/>
      <c r="U1616" s="472"/>
      <c r="V1616" s="166"/>
      <c r="W1616" s="446"/>
      <c r="X1616" s="456"/>
      <c r="Y1616" s="436"/>
      <c r="Z1616" s="437"/>
      <c r="AA1616" s="560"/>
      <c r="AB1616" s="561"/>
      <c r="AC1616" s="87"/>
      <c r="AD1616" s="466"/>
      <c r="AE1616" s="456"/>
      <c r="AF1616" s="467"/>
      <c r="AG1616" s="87"/>
      <c r="AH1616" s="87"/>
      <c r="AI1616" s="87"/>
    </row>
    <row r="1617" spans="1:35" hidden="1">
      <c r="A1617" s="80" t="e">
        <f>"E"&amp;E1609</f>
        <v>#N/A</v>
      </c>
      <c r="B1617" s="105">
        <v>5</v>
      </c>
      <c r="C1617" s="107"/>
      <c r="D1617" s="107"/>
      <c r="E1617" s="107"/>
      <c r="F1617" s="107"/>
      <c r="G1617" s="83"/>
      <c r="H1617" s="83"/>
      <c r="I1617" s="84"/>
      <c r="J1617" s="85"/>
      <c r="K1617" s="382"/>
      <c r="L1617" s="85"/>
      <c r="M1617" s="332" t="str">
        <f t="shared" si="466"/>
        <v/>
      </c>
      <c r="N1617" s="86"/>
      <c r="O1617" s="453" t="str">
        <f t="shared" si="468"/>
        <v/>
      </c>
      <c r="P1617" s="538" t="str">
        <f t="shared" si="469"/>
        <v/>
      </c>
      <c r="Q1617" s="539" t="str">
        <f t="shared" si="467"/>
        <v/>
      </c>
      <c r="R1617" s="706"/>
      <c r="S1617" s="707"/>
      <c r="T1617" s="708"/>
      <c r="U1617" s="472"/>
      <c r="V1617" s="167"/>
      <c r="W1617" s="446"/>
      <c r="X1617" s="456"/>
      <c r="Y1617" s="436"/>
      <c r="Z1617" s="437"/>
      <c r="AA1617" s="560"/>
      <c r="AB1617" s="561"/>
      <c r="AC1617" s="87"/>
      <c r="AD1617" s="466"/>
      <c r="AE1617" s="456"/>
      <c r="AF1617" s="467"/>
      <c r="AG1617" s="87"/>
      <c r="AH1617" s="87"/>
      <c r="AI1617" s="87"/>
    </row>
    <row r="1618" spans="1:35" hidden="1">
      <c r="A1618" s="80" t="e">
        <f>"F"&amp;E1609</f>
        <v>#N/A</v>
      </c>
      <c r="B1618" s="105">
        <v>6</v>
      </c>
      <c r="C1618" s="107"/>
      <c r="D1618" s="107"/>
      <c r="E1618" s="107"/>
      <c r="F1618" s="107"/>
      <c r="G1618" s="83"/>
      <c r="H1618" s="83"/>
      <c r="I1618" s="84"/>
      <c r="J1618" s="85"/>
      <c r="K1618" s="382"/>
      <c r="L1618" s="85"/>
      <c r="M1618" s="332" t="str">
        <f t="shared" si="466"/>
        <v/>
      </c>
      <c r="N1618" s="86"/>
      <c r="O1618" s="453" t="str">
        <f t="shared" si="468"/>
        <v/>
      </c>
      <c r="P1618" s="538" t="str">
        <f t="shared" si="469"/>
        <v/>
      </c>
      <c r="Q1618" s="539" t="str">
        <f t="shared" si="467"/>
        <v/>
      </c>
      <c r="R1618" s="706"/>
      <c r="S1618" s="707"/>
      <c r="T1618" s="708"/>
      <c r="U1618" s="472"/>
      <c r="V1618" s="167"/>
      <c r="W1618" s="446"/>
      <c r="X1618" s="456"/>
      <c r="Y1618" s="436"/>
      <c r="Z1618" s="437"/>
      <c r="AA1618" s="560"/>
      <c r="AB1618" s="561"/>
      <c r="AC1618" s="87"/>
      <c r="AD1618" s="466"/>
      <c r="AE1618" s="456"/>
      <c r="AF1618" s="467"/>
      <c r="AG1618" s="87"/>
      <c r="AH1618" s="87"/>
      <c r="AI1618" s="87"/>
    </row>
    <row r="1619" spans="1:35" hidden="1">
      <c r="A1619" s="80" t="e">
        <f>"G"&amp;E1609</f>
        <v>#N/A</v>
      </c>
      <c r="B1619" s="105">
        <v>7</v>
      </c>
      <c r="C1619" s="107"/>
      <c r="D1619" s="107"/>
      <c r="E1619" s="107"/>
      <c r="F1619" s="107"/>
      <c r="G1619" s="83"/>
      <c r="H1619" s="83"/>
      <c r="I1619" s="84"/>
      <c r="J1619" s="85"/>
      <c r="K1619" s="382"/>
      <c r="L1619" s="85"/>
      <c r="M1619" s="332" t="str">
        <f t="shared" si="466"/>
        <v/>
      </c>
      <c r="N1619" s="86"/>
      <c r="O1619" s="86" t="str">
        <f t="shared" si="468"/>
        <v/>
      </c>
      <c r="P1619" s="538" t="str">
        <f t="shared" si="469"/>
        <v/>
      </c>
      <c r="Q1619" s="539" t="str">
        <f t="shared" si="467"/>
        <v/>
      </c>
      <c r="R1619" s="706"/>
      <c r="S1619" s="707"/>
      <c r="T1619" s="708"/>
      <c r="U1619" s="472"/>
      <c r="V1619" s="167"/>
      <c r="W1619" s="446"/>
      <c r="X1619" s="456"/>
      <c r="Y1619" s="436"/>
      <c r="Z1619" s="437"/>
      <c r="AA1619" s="560"/>
      <c r="AB1619" s="561"/>
      <c r="AC1619" s="87"/>
      <c r="AD1619" s="466"/>
      <c r="AE1619" s="456"/>
      <c r="AF1619" s="467"/>
      <c r="AG1619" s="87"/>
      <c r="AH1619" s="87"/>
      <c r="AI1619" s="87"/>
    </row>
    <row r="1620" spans="1:35" hidden="1">
      <c r="A1620" s="80" t="e">
        <f>"H"&amp;E1609</f>
        <v>#N/A</v>
      </c>
      <c r="B1620" s="105">
        <v>8</v>
      </c>
      <c r="C1620" s="107"/>
      <c r="D1620" s="107"/>
      <c r="E1620" s="107"/>
      <c r="F1620" s="107"/>
      <c r="G1620" s="83"/>
      <c r="H1620" s="83"/>
      <c r="I1620" s="84"/>
      <c r="J1620" s="85"/>
      <c r="K1620" s="382"/>
      <c r="L1620" s="85"/>
      <c r="M1620" s="332" t="str">
        <f t="shared" si="466"/>
        <v/>
      </c>
      <c r="N1620" s="453"/>
      <c r="O1620" s="86" t="str">
        <f t="shared" si="468"/>
        <v/>
      </c>
      <c r="P1620" s="538" t="str">
        <f t="shared" si="469"/>
        <v/>
      </c>
      <c r="Q1620" s="539" t="str">
        <f t="shared" si="467"/>
        <v/>
      </c>
      <c r="R1620" s="706"/>
      <c r="S1620" s="707"/>
      <c r="T1620" s="708"/>
      <c r="U1620" s="472"/>
      <c r="V1620" s="167"/>
      <c r="W1620" s="446"/>
      <c r="X1620" s="456"/>
      <c r="Y1620" s="436"/>
      <c r="Z1620" s="437"/>
      <c r="AA1620" s="560"/>
      <c r="AB1620" s="561"/>
      <c r="AC1620" s="87"/>
      <c r="AD1620" s="466"/>
      <c r="AE1620" s="456"/>
      <c r="AF1620" s="467"/>
      <c r="AG1620" s="87"/>
      <c r="AH1620" s="87"/>
      <c r="AI1620" s="87"/>
    </row>
    <row r="1621" spans="1:35" hidden="1">
      <c r="A1621" s="80" t="e">
        <f>"I"&amp;E1609</f>
        <v>#N/A</v>
      </c>
      <c r="B1621" s="105">
        <v>9</v>
      </c>
      <c r="C1621" s="107"/>
      <c r="D1621" s="107"/>
      <c r="E1621" s="107"/>
      <c r="F1621" s="107"/>
      <c r="G1621" s="83"/>
      <c r="H1621" s="83"/>
      <c r="I1621" s="84"/>
      <c r="J1621" s="85"/>
      <c r="K1621" s="382"/>
      <c r="L1621" s="85"/>
      <c r="M1621" s="332" t="str">
        <f t="shared" si="466"/>
        <v/>
      </c>
      <c r="N1621" s="453"/>
      <c r="O1621" s="86" t="str">
        <f t="shared" si="468"/>
        <v/>
      </c>
      <c r="P1621" s="538" t="str">
        <f t="shared" si="469"/>
        <v/>
      </c>
      <c r="Q1621" s="539" t="str">
        <f t="shared" si="467"/>
        <v/>
      </c>
      <c r="R1621" s="706"/>
      <c r="S1621" s="707"/>
      <c r="T1621" s="708"/>
      <c r="U1621" s="472"/>
      <c r="V1621" s="167"/>
      <c r="W1621" s="446"/>
      <c r="X1621" s="456"/>
      <c r="Y1621" s="436"/>
      <c r="Z1621" s="437"/>
      <c r="AA1621" s="560"/>
      <c r="AB1621" s="561"/>
      <c r="AC1621" s="87"/>
      <c r="AD1621" s="466"/>
      <c r="AE1621" s="456"/>
      <c r="AF1621" s="467"/>
      <c r="AG1621" s="87"/>
      <c r="AH1621" s="87"/>
      <c r="AI1621" s="87"/>
    </row>
    <row r="1622" spans="1:35" hidden="1">
      <c r="A1622" s="80" t="e">
        <f>"J"&amp;E1609</f>
        <v>#N/A</v>
      </c>
      <c r="B1622" s="105">
        <v>10</v>
      </c>
      <c r="C1622" s="107"/>
      <c r="D1622" s="107"/>
      <c r="E1622" s="107"/>
      <c r="F1622" s="107"/>
      <c r="G1622" s="83"/>
      <c r="H1622" s="83"/>
      <c r="I1622" s="84"/>
      <c r="J1622" s="85"/>
      <c r="K1622" s="382"/>
      <c r="L1622" s="85"/>
      <c r="M1622" s="332" t="str">
        <f t="shared" si="466"/>
        <v/>
      </c>
      <c r="N1622" s="453"/>
      <c r="O1622" s="86" t="str">
        <f t="shared" si="468"/>
        <v/>
      </c>
      <c r="P1622" s="538" t="str">
        <f t="shared" si="469"/>
        <v/>
      </c>
      <c r="Q1622" s="539" t="str">
        <f t="shared" si="467"/>
        <v/>
      </c>
      <c r="R1622" s="706"/>
      <c r="S1622" s="707"/>
      <c r="T1622" s="708"/>
      <c r="U1622" s="472"/>
      <c r="V1622" s="167"/>
      <c r="W1622" s="446"/>
      <c r="X1622" s="456"/>
      <c r="Y1622" s="436"/>
      <c r="Z1622" s="437"/>
      <c r="AA1622" s="560"/>
      <c r="AB1622" s="561"/>
      <c r="AC1622" s="87"/>
      <c r="AD1622" s="466"/>
      <c r="AE1622" s="456"/>
      <c r="AF1622" s="467"/>
      <c r="AG1622" s="87"/>
      <c r="AH1622" s="87"/>
      <c r="AI1622" s="87"/>
    </row>
    <row r="1623" spans="1:35" ht="16.5" hidden="1" thickBot="1">
      <c r="A1623" s="44"/>
      <c r="B1623" s="89"/>
      <c r="C1623" s="90"/>
      <c r="D1623" s="90"/>
      <c r="E1623" s="90"/>
      <c r="F1623" s="90"/>
      <c r="G1623" s="90"/>
      <c r="H1623" s="90"/>
      <c r="I1623" s="90"/>
      <c r="J1623" s="90"/>
      <c r="K1623" s="90"/>
      <c r="L1623" s="90"/>
      <c r="M1623" s="90"/>
      <c r="N1623" s="90"/>
      <c r="O1623" s="90"/>
      <c r="P1623" s="90"/>
      <c r="Q1623" s="90"/>
      <c r="R1623" s="90"/>
      <c r="S1623" s="91"/>
      <c r="T1623" s="92"/>
      <c r="U1623" s="473"/>
      <c r="W1623" s="438"/>
      <c r="X1623" s="455"/>
      <c r="Y1623" s="439"/>
      <c r="Z1623" s="437"/>
      <c r="AA1623" s="530"/>
      <c r="AB1623" s="563"/>
      <c r="AC1623" s="87"/>
      <c r="AD1623" s="440"/>
      <c r="AE1623" s="441"/>
      <c r="AF1623" s="442"/>
      <c r="AG1623" s="49"/>
      <c r="AH1623" s="87"/>
      <c r="AI1623" s="87"/>
    </row>
    <row r="1624" spans="1:35" ht="16.5" hidden="1" thickBot="1">
      <c r="A1624" s="93"/>
      <c r="B1624" s="94"/>
      <c r="C1624" s="96"/>
      <c r="D1624" s="96"/>
      <c r="E1624" s="96"/>
      <c r="F1624" s="96"/>
      <c r="G1624" s="96"/>
      <c r="H1624" s="96"/>
      <c r="I1624" s="96"/>
      <c r="J1624" s="96"/>
      <c r="K1624" s="96"/>
      <c r="L1624" s="96"/>
      <c r="M1624" s="136"/>
      <c r="N1624" s="96"/>
      <c r="O1624" s="96"/>
      <c r="P1624" s="97"/>
      <c r="Q1624" s="97"/>
      <c r="R1624" s="98"/>
      <c r="S1624" s="95"/>
      <c r="T1624" s="99"/>
      <c r="U1624" s="469"/>
      <c r="AC1624" s="58"/>
      <c r="AG1624" s="58"/>
      <c r="AH1624" s="87"/>
      <c r="AI1624" s="87"/>
    </row>
    <row r="1625" spans="1:35" ht="16.5" hidden="1" thickBot="1">
      <c r="B1625" s="101"/>
      <c r="C1625" s="101"/>
      <c r="D1625" s="101"/>
      <c r="E1625" s="101"/>
      <c r="F1625" s="101"/>
      <c r="G1625" s="101"/>
      <c r="H1625" s="101"/>
      <c r="I1625" s="101"/>
      <c r="J1625" s="101"/>
      <c r="K1625" s="101"/>
      <c r="L1625" s="101"/>
      <c r="M1625" s="101"/>
      <c r="N1625" s="101"/>
      <c r="O1625" s="101"/>
      <c r="P1625" s="101"/>
      <c r="Q1625" s="101"/>
      <c r="R1625" s="101"/>
      <c r="S1625" s="101"/>
      <c r="U1625" s="50"/>
      <c r="AH1625" s="87"/>
      <c r="AI1625" s="87"/>
    </row>
    <row r="1626" spans="1:35" ht="16.5" hidden="1" customHeight="1" thickBot="1">
      <c r="A1626" s="44"/>
      <c r="B1626" s="705" t="s">
        <v>74</v>
      </c>
      <c r="C1626" s="705"/>
      <c r="D1626" s="705"/>
      <c r="E1626" s="705"/>
      <c r="F1626" s="705"/>
      <c r="G1626" s="705"/>
      <c r="H1626" s="705"/>
      <c r="I1626" s="705"/>
      <c r="J1626" s="705"/>
      <c r="K1626" s="705"/>
      <c r="L1626" s="705"/>
      <c r="M1626" s="705"/>
      <c r="N1626" s="705"/>
      <c r="O1626" s="705"/>
      <c r="P1626" s="705"/>
      <c r="Q1626" s="705"/>
      <c r="R1626" s="705"/>
      <c r="S1626" s="705"/>
      <c r="T1626" s="705"/>
      <c r="U1626" s="108"/>
      <c r="Y1626" s="532" t="s">
        <v>341</v>
      </c>
      <c r="AC1626" s="49"/>
      <c r="AD1626" s="687" t="s">
        <v>302</v>
      </c>
      <c r="AE1626" s="688"/>
      <c r="AF1626" s="689"/>
      <c r="AG1626" s="49"/>
      <c r="AH1626" s="87"/>
      <c r="AI1626" s="87"/>
    </row>
    <row r="1627" spans="1:35" ht="15.75" hidden="1" customHeight="1" thickBot="1">
      <c r="A1627" s="218" t="e">
        <f>"K"&amp;E1609</f>
        <v>#N/A</v>
      </c>
      <c r="B1627" s="701" t="s">
        <v>71</v>
      </c>
      <c r="C1627" s="751" t="s">
        <v>102</v>
      </c>
      <c r="D1627" s="751"/>
      <c r="E1627" s="751"/>
      <c r="F1627" s="751"/>
      <c r="G1627" s="751"/>
      <c r="H1627" s="751"/>
      <c r="I1627" s="751"/>
      <c r="J1627" s="751"/>
      <c r="K1627" s="751"/>
      <c r="L1627" s="722" t="s">
        <v>100</v>
      </c>
      <c r="M1627" s="747" t="s">
        <v>114</v>
      </c>
      <c r="N1627" s="747"/>
      <c r="O1627" s="747"/>
      <c r="P1627" s="747"/>
      <c r="Q1627" s="748"/>
      <c r="R1627" s="758" t="s">
        <v>280</v>
      </c>
      <c r="S1627" s="748"/>
      <c r="T1627" s="762" t="str">
        <f>IF(COUNTIF(AE1627:AF1627,"VERIFICAR")&gt;0,"VERIFICAR",IF(COUNTIF(AE1627:AF1627,"NO CUMPLE")&gt;0,"NO CUMPLE","CUMPLE"))</f>
        <v>VERIFICAR</v>
      </c>
      <c r="U1627" s="108"/>
      <c r="Y1627" s="533" t="e">
        <f>IF(F1628="","",IF(F1628=1,"INDIVIDUAL","ESTRUCTURA PLURAL"))</f>
        <v>#N/A</v>
      </c>
      <c r="AC1627" s="52"/>
      <c r="AD1627" s="475" t="s">
        <v>303</v>
      </c>
      <c r="AE1627" s="476" t="str">
        <f>IF(COUNTIF(AE1613:AE1622,"")=10,"VERIFICAR",IF(COUNTIF(AE1613:AE1622,"SI")&gt;0,"CUMPLE","NO CUMPLE"))</f>
        <v>VERIFICAR</v>
      </c>
      <c r="AF1627" s="477" t="str">
        <f>IF(COUNTIF(AF1613:AF1622,"")=10,"VERIFICAR",IF(COUNTIF(AF1613:AF1622,"SI")&gt;=$AI$22,"CUMPLE","NO CUMPLE"))</f>
        <v>VERIFICAR</v>
      </c>
      <c r="AG1627" s="52"/>
      <c r="AH1627" s="87"/>
      <c r="AI1627" s="87"/>
    </row>
    <row r="1628" spans="1:35" ht="16.5" hidden="1" customHeight="1" thickBot="1">
      <c r="A1628" s="218" t="e">
        <f>"L"&amp;E1609</f>
        <v>#N/A</v>
      </c>
      <c r="B1628" s="702"/>
      <c r="C1628" s="751" t="s">
        <v>103</v>
      </c>
      <c r="D1628" s="751"/>
      <c r="E1628" s="752"/>
      <c r="F1628" s="557" t="e">
        <f>IF(VLOOKUP(E1609,PROPONENTES!$C$19:$E$218,3,0)="","",VLOOKUP(E1609,PROPONENTES!$C$19:$E$218,3,0))</f>
        <v>#N/A</v>
      </c>
      <c r="G1628" s="753" t="s">
        <v>104</v>
      </c>
      <c r="H1628" s="751"/>
      <c r="I1628" s="715" t="e">
        <f>IF(OR(F1628="",F1628=1),"INTERESADO PERSONA NATURAL O JURIDICA","CONSORCIO O UNION TEMPORAL")</f>
        <v>#N/A</v>
      </c>
      <c r="J1628" s="725"/>
      <c r="K1628" s="728"/>
      <c r="L1628" s="723"/>
      <c r="M1628" s="749"/>
      <c r="N1628" s="749"/>
      <c r="O1628" s="749"/>
      <c r="P1628" s="749"/>
      <c r="Q1628" s="750"/>
      <c r="R1628" s="712"/>
      <c r="S1628" s="750"/>
      <c r="T1628" s="763"/>
      <c r="U1628" s="108"/>
      <c r="Y1628" s="534"/>
      <c r="AA1628" s="52"/>
      <c r="AB1628" s="52"/>
      <c r="AC1628" s="52"/>
      <c r="AG1628" s="52"/>
      <c r="AH1628" s="87"/>
      <c r="AI1628" s="87"/>
    </row>
    <row r="1629" spans="1:35" ht="56.25" hidden="1" customHeight="1" thickBot="1">
      <c r="A1629" s="218" t="e">
        <f>"M"&amp;E1609</f>
        <v>#N/A</v>
      </c>
      <c r="B1629" s="702"/>
      <c r="C1629" s="725" t="s">
        <v>101</v>
      </c>
      <c r="D1629" s="716"/>
      <c r="E1629" s="558" t="s">
        <v>105</v>
      </c>
      <c r="F1629" s="554" t="s">
        <v>87</v>
      </c>
      <c r="G1629" s="553" t="s">
        <v>86</v>
      </c>
      <c r="H1629" s="559" t="s">
        <v>85</v>
      </c>
      <c r="I1629" s="554" t="s">
        <v>252</v>
      </c>
      <c r="J1629" s="553" t="str">
        <f>"¿EL INTEGRANTE TIENE UNA PARTICIPACIÓN DEL "&amp;PORCREQUERIDOINT*100&amp;"%?"</f>
        <v>¿EL INTEGRANTE TIENE UNA PARTICIPACIÓN DEL 60%?</v>
      </c>
      <c r="K1629" s="554" t="s">
        <v>107</v>
      </c>
      <c r="L1629" s="724"/>
      <c r="M1629" s="717" t="s">
        <v>115</v>
      </c>
      <c r="N1629" s="718"/>
      <c r="O1629" s="718"/>
      <c r="P1629" s="718"/>
      <c r="Q1629" s="223">
        <f>IF(AND(H1613="SI",P1613&gt;=0),1,0)+IF(AND(H1614="SI",P1614&gt;=0),1,0)+IF(AND(H1615="SI",P1615&gt;=0),1,0)+IF(AND(H1616="SI",P1616&gt;=0),1,0)+IF(AND(H1617="SI",P1617&gt;=0),1,0)+IF(AND(H1618="SI",P1618&gt;=0),1,0)+IF(AND(H1619="SI",P1619&gt;=0),1,0)+IF(AND(H1620="SI",P1620&gt;=0),1,0)+IF(AND(H1621="SI",P1621&gt;=0),1,0)+IF(AND(H1622="SI",P1622&gt;=0),1,0)</f>
        <v>0</v>
      </c>
      <c r="R1629" s="759"/>
      <c r="S1629" s="761"/>
      <c r="T1629" s="764"/>
      <c r="U1629" s="219"/>
      <c r="V1629" s="464"/>
      <c r="Y1629" s="532" t="s">
        <v>342</v>
      </c>
      <c r="AA1629" s="550" t="s">
        <v>344</v>
      </c>
      <c r="AB1629" s="693" t="s">
        <v>345</v>
      </c>
      <c r="AC1629" s="693" t="s">
        <v>346</v>
      </c>
      <c r="AD1629" s="685" t="s">
        <v>347</v>
      </c>
      <c r="AE1629" s="52"/>
      <c r="AF1629" s="52"/>
      <c r="AG1629" s="52"/>
      <c r="AH1629" s="87"/>
      <c r="AI1629" s="87"/>
    </row>
    <row r="1630" spans="1:35" ht="15.75" hidden="1" customHeight="1" thickBot="1">
      <c r="A1630" s="218" t="e">
        <f>"N"&amp;E1609</f>
        <v>#N/A</v>
      </c>
      <c r="B1630" s="702"/>
      <c r="C1630" s="114">
        <v>1</v>
      </c>
      <c r="D1630" s="194" t="e">
        <f>IF(AND(C1630&lt;=F1628,F1628&gt;1,F1628&lt;&gt;""),VLOOKUP(VALUE(E1609&amp;","&amp;C1630),INTEGRANTES!$D$18:$F$235,2,0),"")</f>
        <v>#N/A</v>
      </c>
      <c r="E1630" s="211" t="e">
        <f>IF(D1630&lt;&gt;"",VLOOKUP(VALUE(E1609&amp;","&amp;C1630),INTEGRANTES!$D$18:$F$235,3,0),"")</f>
        <v>#N/A</v>
      </c>
      <c r="F1630" s="547" t="e">
        <f>IF(D1630="","",SUMIF($I1613:$I1622,D1630,$P1613:$P1622))</f>
        <v>#N/A</v>
      </c>
      <c r="G1630" s="333" t="e">
        <f>IF(D1630="","",SUMIF($I1613:$I1622,D1630,$M1613:$M1622))</f>
        <v>#N/A</v>
      </c>
      <c r="H1630" s="535" t="e">
        <f t="shared" ref="H1630:H1635" si="470">IF(D1630="","",IF(OR(F1630=0,G1630=0),"NO APORTA",ROUND($F1630/$G1630,3)))</f>
        <v>#N/A</v>
      </c>
      <c r="I1630" s="212" t="e">
        <f>IF(D1630="","",IF(H1630="NO APORTA","NO",IF(H1630=MAX($H1630:$H1635),"SI","NO")))</f>
        <v>#N/A</v>
      </c>
      <c r="J1630" s="213" t="e">
        <f t="shared" ref="J1630:J1635" si="471">IF(D1630="","",IF(E1630&gt;=PORCREQUERIDOINT,"SI","NO"))</f>
        <v>#N/A</v>
      </c>
      <c r="K1630" s="200" t="e">
        <f t="shared" ref="K1630:K1635" si="472">IF(D1630="","",IF(AND(I1630="SI",J1630="SI"),"CUMPLE",IF(AND(I1630="NO",OR(J1630="SI",J1630="NO")),"","NO CUMPLE")))</f>
        <v>#N/A</v>
      </c>
      <c r="L1630" s="722" t="s">
        <v>108</v>
      </c>
      <c r="M1630" s="726" t="s">
        <v>119</v>
      </c>
      <c r="N1630" s="726"/>
      <c r="O1630" s="726"/>
      <c r="P1630" s="726"/>
      <c r="Q1630" s="727"/>
      <c r="R1630" s="758" t="s">
        <v>80</v>
      </c>
      <c r="S1630" s="747"/>
      <c r="T1630" s="748"/>
      <c r="U1630" s="219"/>
      <c r="V1630" s="464"/>
      <c r="Y1630" s="533" t="e">
        <f>IF(Y1627="","",IF(Y1627="INDIVIDUAL","NO APLICA","VERIFICAR CUADRO"))</f>
        <v>#N/A</v>
      </c>
      <c r="AA1630" s="551"/>
      <c r="AB1630" s="694"/>
      <c r="AC1630" s="694"/>
      <c r="AD1630" s="686"/>
      <c r="AE1630" s="52"/>
      <c r="AF1630" s="52"/>
      <c r="AG1630" s="52"/>
      <c r="AH1630" s="87"/>
      <c r="AI1630" s="87"/>
    </row>
    <row r="1631" spans="1:35" ht="27" hidden="1" customHeight="1" thickBot="1">
      <c r="A1631" s="218" t="e">
        <f>"O"&amp;E1609</f>
        <v>#N/A</v>
      </c>
      <c r="B1631" s="702"/>
      <c r="C1631" s="114">
        <v>2</v>
      </c>
      <c r="D1631" s="194" t="e">
        <f>IF(AND(C1631&lt;=F1628,F1628&lt;&gt;""),VLOOKUP(VALUE(E1609&amp;","&amp;C1631),INTEGRANTES!$D$18:$F$235,2,0),"")</f>
        <v>#N/A</v>
      </c>
      <c r="E1631" s="211" t="e">
        <f>IF(D1631&lt;&gt;"",VLOOKUP(VALUE(E1609&amp;","&amp;C1631),INTEGRANTES!$D$18:$F$235,3,0),"")</f>
        <v>#N/A</v>
      </c>
      <c r="F1631" s="547" t="e">
        <f>IF(D1631="","",SUMIF($I1613:$I1622,D1631,$P1613:$P1622))</f>
        <v>#N/A</v>
      </c>
      <c r="G1631" s="333" t="e">
        <f>IF(D1631="","",SUMIF($I1613:$I1622,D1631,$M1613:$M1622))</f>
        <v>#N/A</v>
      </c>
      <c r="H1631" s="535" t="e">
        <f t="shared" si="470"/>
        <v>#N/A</v>
      </c>
      <c r="I1631" s="212" t="e">
        <f>IF(D1631="","",IF(H1631="NO APORTA","NO",IF(H1631=MAX($H1630:$H1635),"SI","NO")))</f>
        <v>#N/A</v>
      </c>
      <c r="J1631" s="213" t="e">
        <f t="shared" si="471"/>
        <v>#N/A</v>
      </c>
      <c r="K1631" s="200" t="e">
        <f t="shared" si="472"/>
        <v>#N/A</v>
      </c>
      <c r="L1631" s="723"/>
      <c r="M1631" s="715" t="s">
        <v>116</v>
      </c>
      <c r="N1631" s="716"/>
      <c r="O1631" s="556" t="s">
        <v>113</v>
      </c>
      <c r="P1631" s="715" t="s">
        <v>117</v>
      </c>
      <c r="Q1631" s="728"/>
      <c r="R1631" s="759"/>
      <c r="S1631" s="760"/>
      <c r="T1631" s="761"/>
      <c r="U1631" s="219"/>
      <c r="V1631" s="464"/>
      <c r="Y1631" s="414"/>
      <c r="AA1631" s="542" t="e">
        <f>IF(AND(C1630&lt;=F1628,F1628&gt;1,F1628&lt;&gt;""),VLOOKUP(VALUE(E1609&amp;","&amp;C1630),INTEGRANTES!$D$18:$F$235,2,0),"")</f>
        <v>#N/A</v>
      </c>
      <c r="AB1631" s="544" t="e">
        <f t="shared" ref="AB1631:AB1636" si="473">IF(D1630="","",IF(OR(F1630=0,G1630=0),"NO APORTA",ROUND($F1630/$G1630,3)))</f>
        <v>#N/A</v>
      </c>
      <c r="AC1631" s="529"/>
      <c r="AD1631" s="200" t="e">
        <f t="shared" ref="AD1631:AD1636" si="474">IF(OR(AA1631="",AB1631=""),"",IF(AND(AC1631="X",AB1631&gt;=EXPREQVTD),"CUMPLE","NO CUMPLE"))</f>
        <v>#N/A</v>
      </c>
      <c r="AE1631" s="52"/>
      <c r="AF1631" s="52"/>
      <c r="AG1631" s="52"/>
      <c r="AH1631" s="87"/>
      <c r="AI1631" s="87"/>
    </row>
    <row r="1632" spans="1:35" ht="16.5" hidden="1" thickBot="1">
      <c r="A1632" s="218" t="e">
        <f>"P"&amp;E1609</f>
        <v>#N/A</v>
      </c>
      <c r="B1632" s="702"/>
      <c r="C1632" s="114">
        <v>3</v>
      </c>
      <c r="D1632" s="194" t="e">
        <f>IF(AND(C1632&lt;=F1628,F1628&lt;&gt;""),VLOOKUP(VALUE(E1609&amp;","&amp;C1632),INTEGRANTES!$D$18:$F$235,2,0),"")</f>
        <v>#N/A</v>
      </c>
      <c r="E1632" s="211" t="e">
        <f>IF(D1632&lt;&gt;"",VLOOKUP(VALUE(E1609&amp;","&amp;C1632),INTEGRANTES!$D$18:$F$235,3,0),"")</f>
        <v>#N/A</v>
      </c>
      <c r="F1632" s="547" t="e">
        <f>IF(D1632="","",SUMIF($I1613:$I1622,D1632,$P1613:$P1622))</f>
        <v>#N/A</v>
      </c>
      <c r="G1632" s="333" t="e">
        <f>IF(D1632="","",SUMIF($I1613:$I1622,D1632,$M1613:$M1622))</f>
        <v>#N/A</v>
      </c>
      <c r="H1632" s="535" t="e">
        <f t="shared" si="470"/>
        <v>#N/A</v>
      </c>
      <c r="I1632" s="212" t="e">
        <f>IF(D1632="","",IF(H1632="NO APORTA","NO",IF(H1632=MAX($H1630:$H1635),"SI","NO")))</f>
        <v>#N/A</v>
      </c>
      <c r="J1632" s="213" t="e">
        <f t="shared" si="471"/>
        <v>#N/A</v>
      </c>
      <c r="K1632" s="200" t="e">
        <f t="shared" si="472"/>
        <v>#N/A</v>
      </c>
      <c r="L1632" s="724"/>
      <c r="M1632" s="729">
        <f>NUMMOD</f>
        <v>1</v>
      </c>
      <c r="N1632" s="730"/>
      <c r="O1632" s="443">
        <f>IF(M1632="","",VLOOKUP(M1632,PRESUPUESTOS!$B$16:$H$16,5,FALSE))</f>
        <v>2</v>
      </c>
      <c r="P1632" s="713">
        <f>IF(OR(COUNTIF(M1613:M1622,"")&gt;=10,Q1629&lt;NUMMINCONT,OR(T1627="NO CUMPLE",T1627="VERIFICAR")),0,ROUND(AVERAGE(M1613:M1622),3))</f>
        <v>0</v>
      </c>
      <c r="Q1632" s="714"/>
      <c r="R1632" s="458"/>
      <c r="S1632" s="459"/>
      <c r="T1632" s="460"/>
      <c r="U1632" s="219"/>
      <c r="V1632" s="464"/>
      <c r="Y1632" s="532" t="str">
        <f>"40% * ("&amp;PRESUPUESTOS!$H$13&amp;")"</f>
        <v>40% * (50% PFMO)</v>
      </c>
      <c r="AA1632" s="540" t="e">
        <f>IF(AND(C1631&lt;=F1628,F1628&lt;&gt;""),VLOOKUP(VALUE(E1609&amp;","&amp;C1631),INTEGRANTES!$D$18:$F$235,2,0),"")</f>
        <v>#N/A</v>
      </c>
      <c r="AB1632" s="545" t="e">
        <f t="shared" si="473"/>
        <v>#N/A</v>
      </c>
      <c r="AC1632" s="529"/>
      <c r="AD1632" s="200" t="e">
        <f t="shared" si="474"/>
        <v>#N/A</v>
      </c>
      <c r="AE1632" s="52"/>
      <c r="AF1632" s="52"/>
      <c r="AG1632" s="52"/>
      <c r="AH1632" s="87"/>
      <c r="AI1632" s="87"/>
    </row>
    <row r="1633" spans="1:35" ht="15.75" hidden="1" customHeight="1" thickBot="1">
      <c r="A1633" s="218" t="e">
        <f>"Q"&amp;E1609</f>
        <v>#N/A</v>
      </c>
      <c r="B1633" s="702"/>
      <c r="C1633" s="114">
        <v>4</v>
      </c>
      <c r="D1633" s="194" t="e">
        <f>IF(AND(C1633&lt;=F1628,F1628&lt;&gt;""),VLOOKUP(VALUE(E1609&amp;","&amp;C1633),INTEGRANTES!$D$18:$F$235,2,0),"")</f>
        <v>#N/A</v>
      </c>
      <c r="E1633" s="211" t="e">
        <f>IF(D1633&lt;&gt;"",VLOOKUP(VALUE(E1609&amp;","&amp;C1633),INTEGRANTES!$D$18:$F$235,3,0),"")</f>
        <v>#N/A</v>
      </c>
      <c r="F1633" s="547" t="e">
        <f>IF(D1633="","",SUMIF($I1613:$I1622,D1633,$P1613:$P1622))</f>
        <v>#N/A</v>
      </c>
      <c r="G1633" s="333" t="e">
        <f>IF(D1633="","",SUMIF($I1613:$I1622,D1633,$M1613:$M1622))</f>
        <v>#N/A</v>
      </c>
      <c r="H1633" s="535" t="e">
        <f t="shared" si="470"/>
        <v>#N/A</v>
      </c>
      <c r="I1633" s="212" t="e">
        <f>IF(D1633="","",IF(H1633="NO APORTA","NO",IF(H1633=MAX($H1630:$H1635),"SI","NO")))</f>
        <v>#N/A</v>
      </c>
      <c r="J1633" s="213" t="e">
        <f t="shared" si="471"/>
        <v>#N/A</v>
      </c>
      <c r="K1633" s="200" t="e">
        <f t="shared" si="472"/>
        <v>#N/A</v>
      </c>
      <c r="L1633" s="720" t="s">
        <v>109</v>
      </c>
      <c r="M1633" s="757" t="s">
        <v>120</v>
      </c>
      <c r="N1633" s="726"/>
      <c r="O1633" s="726"/>
      <c r="P1633" s="726"/>
      <c r="Q1633" s="727"/>
      <c r="R1633" s="458"/>
      <c r="S1633" s="459"/>
      <c r="T1633" s="460"/>
      <c r="U1633" s="219"/>
      <c r="V1633" s="464"/>
      <c r="Y1633" s="537">
        <f>0.4*PRESUPUESTOS!$H$16</f>
        <v>10.3124</v>
      </c>
      <c r="AA1633" s="540" t="e">
        <f>IF(AND(C1632&lt;=F1628,F1628&lt;&gt;""),VLOOKUP(VALUE(E1609&amp;","&amp;C1632),INTEGRANTES!$D$18:$F$235,2,0),"")</f>
        <v>#N/A</v>
      </c>
      <c r="AB1633" s="545" t="e">
        <f t="shared" si="473"/>
        <v>#N/A</v>
      </c>
      <c r="AC1633" s="529"/>
      <c r="AD1633" s="200" t="e">
        <f t="shared" si="474"/>
        <v>#N/A</v>
      </c>
      <c r="AE1633" s="52"/>
      <c r="AF1633" s="52"/>
      <c r="AG1633" s="52"/>
      <c r="AH1633" s="87"/>
      <c r="AI1633" s="87"/>
    </row>
    <row r="1634" spans="1:35" ht="27" hidden="1" customHeight="1" thickBot="1">
      <c r="A1634" s="218" t="e">
        <f>"R"&amp;E1609</f>
        <v>#N/A</v>
      </c>
      <c r="B1634" s="702"/>
      <c r="C1634" s="114">
        <v>5</v>
      </c>
      <c r="D1634" s="194" t="e">
        <f>IF(AND(C1634&lt;=F1628,F1628&lt;&gt;""),VLOOKUP(VALUE(E1609&amp;","&amp;C1634),INTEGRANTES!$D$18:$F$235,2,0),"")</f>
        <v>#N/A</v>
      </c>
      <c r="E1634" s="211" t="e">
        <f>IF(D1634&lt;&gt;"",VLOOKUP(VALUE(E1609&amp;","&amp;C1634),INTEGRANTES!$D$18:$F$235,3,0),"")</f>
        <v>#N/A</v>
      </c>
      <c r="F1634" s="547" t="e">
        <f>IF(D1634="","",SUMIF($I1613:$I1622,D1634,$P1613:$P1622))</f>
        <v>#N/A</v>
      </c>
      <c r="G1634" s="333" t="e">
        <f>IF(D1634="","",SUMIF($I1613:$I1622,D1634,$M1613:$M1622))</f>
        <v>#N/A</v>
      </c>
      <c r="H1634" s="535" t="e">
        <f t="shared" si="470"/>
        <v>#N/A</v>
      </c>
      <c r="I1634" s="212" t="e">
        <f>IF(D1634="","",IF(H1634="NO APORTA","NO",IF(H1634=MAX($H1630:$H1635),"SI","NO")))</f>
        <v>#N/A</v>
      </c>
      <c r="J1634" s="213" t="e">
        <f t="shared" si="471"/>
        <v>#N/A</v>
      </c>
      <c r="K1634" s="200" t="e">
        <f t="shared" si="472"/>
        <v>#N/A</v>
      </c>
      <c r="L1634" s="721"/>
      <c r="M1634" s="715" t="s">
        <v>116</v>
      </c>
      <c r="N1634" s="716"/>
      <c r="O1634" s="556" t="str">
        <f>PORCREQUERIDO*100&amp;"% PMFO DEL MÓDULO"</f>
        <v>50% PMFO DEL MÓDULO</v>
      </c>
      <c r="P1634" s="715" t="s">
        <v>118</v>
      </c>
      <c r="Q1634" s="728"/>
      <c r="R1634" s="458"/>
      <c r="S1634" s="459"/>
      <c r="T1634" s="460"/>
      <c r="U1634" s="219"/>
      <c r="V1634" s="464"/>
      <c r="Y1634" s="414"/>
      <c r="AA1634" s="540" t="e">
        <f>IF(AND(C1633&lt;=F1628,F1628&lt;&gt;""),VLOOKUP(VALUE(E1609&amp;","&amp;C1633),INTEGRANTES!$D$18:$F$235,2,0),"")</f>
        <v>#N/A</v>
      </c>
      <c r="AB1634" s="545" t="e">
        <f t="shared" si="473"/>
        <v>#N/A</v>
      </c>
      <c r="AC1634" s="529"/>
      <c r="AD1634" s="200" t="e">
        <f t="shared" si="474"/>
        <v>#N/A</v>
      </c>
      <c r="AE1634" s="52"/>
      <c r="AF1634" s="52"/>
      <c r="AG1634" s="52"/>
      <c r="AH1634" s="87"/>
      <c r="AI1634" s="87"/>
    </row>
    <row r="1635" spans="1:35" ht="16.5" hidden="1" thickBot="1">
      <c r="A1635" s="218" t="e">
        <f>"S"&amp;E1609</f>
        <v>#N/A</v>
      </c>
      <c r="B1635" s="702"/>
      <c r="C1635" s="215">
        <v>6</v>
      </c>
      <c r="D1635" s="216" t="e">
        <f>IF(AND(C1635&lt;=F1628,F1628&lt;&gt;""),VLOOKUP(VALUE(E1609&amp;","&amp;C1635),INTEGRANTES!$D$18:$F$235,2,0),"")</f>
        <v>#N/A</v>
      </c>
      <c r="E1635" s="217" t="e">
        <f>IF(D1635&lt;&gt;"",VLOOKUP(VALUE(E1609&amp;","&amp;C1635),INTEGRANTES!$D$18:$F$235,3,0),"")</f>
        <v>#N/A</v>
      </c>
      <c r="F1635" s="548" t="e">
        <f>IF(D1635="","",SUMIF($I1613:$I1622,D1635,$P1613:$P1622))</f>
        <v>#N/A</v>
      </c>
      <c r="G1635" s="334" t="e">
        <f>IF(D1635="","",SUMIF($I1613:$I1622,D1635,$M1613:$M1622))</f>
        <v>#N/A</v>
      </c>
      <c r="H1635" s="536" t="e">
        <f t="shared" si="470"/>
        <v>#N/A</v>
      </c>
      <c r="I1635" s="214" t="e">
        <f>IF(D1635="","",IF(H1635="NO APORTA","NO",IF(H1635=MAX($H1630:$H1635),"SI","NO")))</f>
        <v>#N/A</v>
      </c>
      <c r="J1635" s="213" t="e">
        <f t="shared" si="471"/>
        <v>#N/A</v>
      </c>
      <c r="K1635" s="200" t="e">
        <f t="shared" si="472"/>
        <v>#N/A</v>
      </c>
      <c r="L1635" s="721"/>
      <c r="M1635" s="729">
        <f>NUMMOD</f>
        <v>1</v>
      </c>
      <c r="N1635" s="730"/>
      <c r="O1635" s="443">
        <f>IF(M1635="","",ROUND(VLOOKUP(M1635,PRESUPUESTOS!$B$16:$H$16,7,FALSE),3))</f>
        <v>25.780999999999999</v>
      </c>
      <c r="P1635" s="713">
        <f>IF(OR(COUNTIF(P1613:P1622,"")&gt;=10,Q1629&lt;NUMMINCONT,OR(T1627="NO CUMPLE",T1627="VERIFICAR")),0,ROUND((SUM(P1613:P1622)/SUM(M1613:M1622)),3))</f>
        <v>0</v>
      </c>
      <c r="Q1635" s="714"/>
      <c r="R1635" s="458"/>
      <c r="S1635" s="459"/>
      <c r="T1635" s="460"/>
      <c r="U1635" s="219"/>
      <c r="V1635" s="464"/>
      <c r="Y1635" s="532" t="s">
        <v>343</v>
      </c>
      <c r="AA1635" s="540" t="e">
        <f>IF(AND(C1634&lt;=F1628,F1628&lt;&gt;""),VLOOKUP(VALUE(E1609&amp;","&amp;C1634),INTEGRANTES!$D$18:$F$235,2,0),"")</f>
        <v>#N/A</v>
      </c>
      <c r="AB1635" s="545" t="e">
        <f t="shared" si="473"/>
        <v>#N/A</v>
      </c>
      <c r="AC1635" s="529"/>
      <c r="AD1635" s="200" t="e">
        <f t="shared" si="474"/>
        <v>#N/A</v>
      </c>
      <c r="AE1635" s="52"/>
      <c r="AF1635" s="52"/>
      <c r="AG1635" s="52"/>
      <c r="AH1635" s="87"/>
      <c r="AI1635" s="87"/>
    </row>
    <row r="1636" spans="1:35" ht="16.5" hidden="1" customHeight="1" thickBot="1">
      <c r="A1636" s="218" t="e">
        <f>"T"&amp;E1609</f>
        <v>#N/A</v>
      </c>
      <c r="B1636" s="703"/>
      <c r="C1636" s="719"/>
      <c r="D1636" s="719"/>
      <c r="E1636" s="719"/>
      <c r="F1636" s="719"/>
      <c r="G1636" s="719"/>
      <c r="H1636" s="719" t="s">
        <v>110</v>
      </c>
      <c r="I1636" s="719"/>
      <c r="J1636" s="719"/>
      <c r="K1636" s="201" t="str">
        <f>IF(COUNTIF(K1630:K1635,"")=6,"",IF(COUNTIF(K1630:K1635,"CUMPLE")&gt;0,"CUMPLE","NO CUMPLE"))</f>
        <v>NO CUMPLE</v>
      </c>
      <c r="L1636" s="754"/>
      <c r="M1636" s="755"/>
      <c r="N1636" s="755"/>
      <c r="O1636" s="755"/>
      <c r="P1636" s="755"/>
      <c r="Q1636" s="756"/>
      <c r="R1636" s="461"/>
      <c r="S1636" s="462"/>
      <c r="T1636" s="463"/>
      <c r="U1636" s="219"/>
      <c r="V1636" s="464"/>
      <c r="Y1636" s="549" t="e">
        <f>IF(Y1630="NO APLICA","NO APLICA",IF(COUNTIF(AD1631:AD1636,"CUMPLE")&gt;0,"CUMPLE","NO CUMPLE"))</f>
        <v>#N/A</v>
      </c>
      <c r="AA1636" s="541" t="e">
        <f>IF(AND(C1635&lt;=F1628,F1628&lt;&gt;""),VLOOKUP(VALUE(E1609&amp;","&amp;C1635),INTEGRANTES!$D$18:$F$235,2,0),"")</f>
        <v>#N/A</v>
      </c>
      <c r="AB1636" s="546" t="e">
        <f t="shared" si="473"/>
        <v>#N/A</v>
      </c>
      <c r="AC1636" s="543"/>
      <c r="AD1636" s="201" t="e">
        <f t="shared" si="474"/>
        <v>#N/A</v>
      </c>
      <c r="AE1636" s="52"/>
      <c r="AF1636" s="52"/>
      <c r="AG1636" s="52"/>
      <c r="AH1636" s="87"/>
      <c r="AI1636" s="87"/>
    </row>
    <row r="1637" spans="1:35" hidden="1">
      <c r="AH1637" s="87"/>
      <c r="AI1637" s="87"/>
    </row>
    <row r="1638" spans="1:35" hidden="1">
      <c r="AH1638" s="87"/>
      <c r="AI1638" s="87"/>
    </row>
    <row r="1639" spans="1:35" ht="24" hidden="1" thickBot="1">
      <c r="A1639" s="61">
        <v>55</v>
      </c>
      <c r="B1639" s="704" t="s">
        <v>51</v>
      </c>
      <c r="C1639" s="704"/>
      <c r="D1639" s="704"/>
      <c r="E1639" s="62" t="e">
        <f>VLOOKUP(A1639,PROPONENTES!$B$19:$E$218,2,FALSE)</f>
        <v>#N/A</v>
      </c>
      <c r="F1639" s="63" t="e">
        <f>VLOOKUP(A1639,PROPONENTES!$B$19:$E$218,3,FALSE)</f>
        <v>#N/A</v>
      </c>
      <c r="G1639" s="64"/>
      <c r="H1639" s="64"/>
      <c r="I1639" s="63"/>
      <c r="J1639" s="63"/>
      <c r="K1639" s="65"/>
      <c r="L1639" s="65"/>
      <c r="M1639" s="64"/>
      <c r="N1639" s="64"/>
      <c r="O1639" s="66"/>
      <c r="P1639" s="66"/>
      <c r="Q1639" s="66"/>
      <c r="R1639" s="66"/>
      <c r="S1639" s="67"/>
      <c r="T1639" s="68"/>
      <c r="U1639" s="68"/>
      <c r="AC1639" s="68"/>
      <c r="AD1639" s="68"/>
      <c r="AE1639" s="68"/>
      <c r="AF1639" s="68"/>
      <c r="AG1639" s="68"/>
      <c r="AH1639" s="87"/>
      <c r="AI1639" s="87"/>
    </row>
    <row r="1640" spans="1:35" ht="15.75" hidden="1" customHeight="1">
      <c r="A1640" s="44"/>
      <c r="B1640" s="709" t="s">
        <v>59</v>
      </c>
      <c r="C1640" s="552" t="s">
        <v>60</v>
      </c>
      <c r="D1640" s="70" t="s">
        <v>17</v>
      </c>
      <c r="E1640" s="70"/>
      <c r="F1640" s="70" t="s">
        <v>61</v>
      </c>
      <c r="G1640" s="71"/>
      <c r="H1640" s="699" t="s">
        <v>62</v>
      </c>
      <c r="I1640" s="699" t="s">
        <v>18</v>
      </c>
      <c r="J1640" s="699" t="s">
        <v>63</v>
      </c>
      <c r="K1640" s="699" t="s">
        <v>64</v>
      </c>
      <c r="L1640" s="699" t="s">
        <v>65</v>
      </c>
      <c r="M1640" s="743" t="s">
        <v>66</v>
      </c>
      <c r="N1640" s="699" t="s">
        <v>282</v>
      </c>
      <c r="O1640" s="745" t="s">
        <v>67</v>
      </c>
      <c r="P1640" s="746"/>
      <c r="Q1640" s="102" t="s">
        <v>75</v>
      </c>
      <c r="R1640" s="731" t="s">
        <v>22</v>
      </c>
      <c r="S1640" s="732"/>
      <c r="T1640" s="733"/>
      <c r="U1640" s="712" t="s">
        <v>298</v>
      </c>
      <c r="W1640" s="690" t="s">
        <v>268</v>
      </c>
      <c r="X1640" s="691"/>
      <c r="Y1640" s="692"/>
      <c r="Z1640" s="428"/>
      <c r="AA1640" s="697" t="s">
        <v>315</v>
      </c>
      <c r="AB1640" s="695" t="s">
        <v>322</v>
      </c>
      <c r="AC1640" s="49"/>
      <c r="AD1640" s="690" t="s">
        <v>297</v>
      </c>
      <c r="AE1640" s="691"/>
      <c r="AF1640" s="692"/>
      <c r="AG1640" s="49"/>
      <c r="AH1640" s="87"/>
      <c r="AI1640" s="87"/>
    </row>
    <row r="1641" spans="1:35" ht="72" hidden="1">
      <c r="A1641" s="44"/>
      <c r="B1641" s="710"/>
      <c r="C1641" s="553" t="s">
        <v>68</v>
      </c>
      <c r="D1641" s="73" t="s">
        <v>3</v>
      </c>
      <c r="E1641" s="73" t="s">
        <v>19</v>
      </c>
      <c r="F1641" s="73" t="s">
        <v>69</v>
      </c>
      <c r="G1641" s="74" t="s">
        <v>70</v>
      </c>
      <c r="H1641" s="700"/>
      <c r="I1641" s="700"/>
      <c r="J1641" s="700"/>
      <c r="K1641" s="700"/>
      <c r="L1641" s="700"/>
      <c r="M1641" s="744"/>
      <c r="N1641" s="700"/>
      <c r="O1641" s="553" t="s">
        <v>279</v>
      </c>
      <c r="P1641" s="73" t="s">
        <v>88</v>
      </c>
      <c r="Q1641" s="555" t="s">
        <v>76</v>
      </c>
      <c r="R1641" s="734"/>
      <c r="S1641" s="735"/>
      <c r="T1641" s="736"/>
      <c r="U1641" s="712"/>
      <c r="W1641" s="429" t="s">
        <v>269</v>
      </c>
      <c r="X1641" s="457" t="s">
        <v>278</v>
      </c>
      <c r="Y1641" s="430" t="s">
        <v>324</v>
      </c>
      <c r="Z1641" s="428"/>
      <c r="AA1641" s="698"/>
      <c r="AB1641" s="696"/>
      <c r="AC1641" s="49"/>
      <c r="AD1641" s="429" t="s">
        <v>292</v>
      </c>
      <c r="AE1641" s="431" t="s">
        <v>300</v>
      </c>
      <c r="AF1641" s="468" t="s">
        <v>301</v>
      </c>
      <c r="AG1641" s="49"/>
      <c r="AH1641" s="87"/>
      <c r="AI1641" s="87"/>
    </row>
    <row r="1642" spans="1:35" hidden="1">
      <c r="A1642" s="44"/>
      <c r="B1642" s="76"/>
      <c r="C1642" s="77"/>
      <c r="D1642" s="77"/>
      <c r="E1642" s="77"/>
      <c r="F1642" s="77"/>
      <c r="G1642" s="77"/>
      <c r="H1642" s="77"/>
      <c r="I1642" s="77"/>
      <c r="J1642" s="77"/>
      <c r="K1642" s="77"/>
      <c r="L1642" s="77"/>
      <c r="M1642" s="77"/>
      <c r="N1642" s="77"/>
      <c r="O1642" s="77"/>
      <c r="P1642" s="77"/>
      <c r="Q1642" s="77"/>
      <c r="R1642" s="77"/>
      <c r="S1642" s="78"/>
      <c r="T1642" s="79"/>
      <c r="U1642" s="109"/>
      <c r="V1642" s="49"/>
      <c r="W1642" s="432"/>
      <c r="X1642" s="454"/>
      <c r="Y1642" s="433"/>
      <c r="Z1642" s="6"/>
      <c r="AA1642" s="500"/>
      <c r="AB1642" s="562"/>
      <c r="AC1642" s="49"/>
      <c r="AD1642" s="210"/>
      <c r="AE1642" s="434"/>
      <c r="AF1642" s="435"/>
      <c r="AG1642" s="49"/>
      <c r="AH1642" s="87"/>
      <c r="AI1642" s="87"/>
    </row>
    <row r="1643" spans="1:35" hidden="1">
      <c r="A1643" s="80" t="e">
        <f>"A"&amp;E1639</f>
        <v>#N/A</v>
      </c>
      <c r="B1643" s="81">
        <v>1</v>
      </c>
      <c r="C1643" s="82"/>
      <c r="D1643" s="82"/>
      <c r="E1643" s="82"/>
      <c r="F1643" s="82"/>
      <c r="G1643" s="83"/>
      <c r="H1643" s="83"/>
      <c r="I1643" s="84"/>
      <c r="J1643" s="85"/>
      <c r="K1643" s="382"/>
      <c r="L1643" s="85"/>
      <c r="M1643" s="332" t="str">
        <f t="shared" ref="M1643:M1652" si="475">IF(OR(J1643="",L1643="",H1643="NO"),"",IF(OR(J1643&gt;$P$17,J1643&lt;$O$17,L1643&gt;$P$17,AND(J1643&lt;$O$17,L1643&lt;$O$17)),"FUERA DE RANGO",IF(OR(K1643="---",K1643=""),IF(J1643&gt;=$O$17,ROUND((L1643-J1643+1)/360*12,3),ROUND((L1643-$O$17+1)/360*12,3)),IF(J1643&gt;=$O$17,ROUND((L1643-J1643+1)/360*12-ROUND(K1643,3),3),ROUND((L1643-$O$17+1)/360*12-ROUND(K1643,3),3)))))</f>
        <v/>
      </c>
      <c r="N1643" s="86"/>
      <c r="O1643" s="453" t="str">
        <f>IF(OR(G1643="",N1643=""),"",N1643*G1643)</f>
        <v/>
      </c>
      <c r="P1643" s="538" t="str">
        <f>IF(OR(H1643="",M1643="FUERA DE RANGO"),"",IF(OR(L1643&lt;$O$17,L1643&gt;$P$17,L1643="",H1643="NO"),"",IF(OR(N1643="",O1643=""),"",ROUND(O1643,3))))</f>
        <v/>
      </c>
      <c r="Q1643" s="539" t="str">
        <f t="shared" ref="Q1643:Q1652" si="476">IF(AND(H1643="SI",P1643&lt;&gt;""),ROUND(P1643/M1643,3),"")</f>
        <v/>
      </c>
      <c r="R1643" s="737"/>
      <c r="S1643" s="738"/>
      <c r="T1643" s="739"/>
      <c r="U1643" s="470"/>
      <c r="V1643" s="165"/>
      <c r="W1643" s="446"/>
      <c r="X1643" s="456"/>
      <c r="Y1643" s="436"/>
      <c r="Z1643" s="437"/>
      <c r="AA1643" s="560"/>
      <c r="AB1643" s="561"/>
      <c r="AC1643" s="87"/>
      <c r="AD1643" s="466"/>
      <c r="AE1643" s="456"/>
      <c r="AF1643" s="467"/>
      <c r="AG1643" s="87"/>
      <c r="AH1643" s="87"/>
      <c r="AI1643" s="87"/>
    </row>
    <row r="1644" spans="1:35" hidden="1">
      <c r="A1644" s="80" t="e">
        <f>"B"&amp;E1639</f>
        <v>#N/A</v>
      </c>
      <c r="B1644" s="81">
        <v>2</v>
      </c>
      <c r="C1644" s="106"/>
      <c r="D1644" s="106"/>
      <c r="E1644" s="106"/>
      <c r="F1644" s="106"/>
      <c r="G1644" s="83"/>
      <c r="H1644" s="83"/>
      <c r="I1644" s="84"/>
      <c r="J1644" s="85"/>
      <c r="K1644" s="382"/>
      <c r="L1644" s="85"/>
      <c r="M1644" s="332" t="str">
        <f t="shared" si="475"/>
        <v/>
      </c>
      <c r="N1644" s="86"/>
      <c r="O1644" s="453" t="str">
        <f t="shared" ref="O1644:O1652" si="477">IF(OR(G1644="",N1644=""),"",N1644*G1644)</f>
        <v/>
      </c>
      <c r="P1644" s="538" t="str">
        <f t="shared" ref="P1644:P1652" si="478">IF(OR(H1644="",M1644="FUERA DE RANGO"),"",IF(OR(L1644&lt;$O$17,L1644&gt;$P$17,L1644="",H1644="NO"),"",IF(OR(N1644="",O1644=""),"",ROUND(O1644,3))))</f>
        <v/>
      </c>
      <c r="Q1644" s="539" t="str">
        <f t="shared" si="476"/>
        <v/>
      </c>
      <c r="R1644" s="740"/>
      <c r="S1644" s="741"/>
      <c r="T1644" s="742"/>
      <c r="U1644" s="471"/>
      <c r="V1644" s="165"/>
      <c r="W1644" s="446"/>
      <c r="X1644" s="456"/>
      <c r="Y1644" s="436"/>
      <c r="Z1644" s="437"/>
      <c r="AA1644" s="560"/>
      <c r="AB1644" s="561"/>
      <c r="AC1644" s="87"/>
      <c r="AD1644" s="466"/>
      <c r="AE1644" s="456"/>
      <c r="AF1644" s="467"/>
      <c r="AG1644" s="87"/>
      <c r="AH1644" s="87"/>
      <c r="AI1644" s="87"/>
    </row>
    <row r="1645" spans="1:35" hidden="1">
      <c r="A1645" s="80" t="e">
        <f>"C"&amp;E1639</f>
        <v>#N/A</v>
      </c>
      <c r="B1645" s="88">
        <v>3</v>
      </c>
      <c r="C1645" s="82"/>
      <c r="D1645" s="82"/>
      <c r="E1645" s="82"/>
      <c r="F1645" s="82"/>
      <c r="G1645" s="83"/>
      <c r="H1645" s="83"/>
      <c r="I1645" s="84"/>
      <c r="J1645" s="85"/>
      <c r="K1645" s="382"/>
      <c r="L1645" s="85"/>
      <c r="M1645" s="332" t="str">
        <f t="shared" si="475"/>
        <v/>
      </c>
      <c r="N1645" s="86"/>
      <c r="O1645" s="453" t="str">
        <f t="shared" si="477"/>
        <v/>
      </c>
      <c r="P1645" s="538" t="str">
        <f t="shared" si="478"/>
        <v/>
      </c>
      <c r="Q1645" s="539" t="str">
        <f t="shared" si="476"/>
        <v/>
      </c>
      <c r="R1645" s="706"/>
      <c r="S1645" s="707"/>
      <c r="T1645" s="708"/>
      <c r="U1645" s="472"/>
      <c r="V1645" s="166"/>
      <c r="W1645" s="446"/>
      <c r="X1645" s="456"/>
      <c r="Y1645" s="436"/>
      <c r="Z1645" s="437"/>
      <c r="AA1645" s="560"/>
      <c r="AB1645" s="561"/>
      <c r="AC1645" s="87"/>
      <c r="AD1645" s="466"/>
      <c r="AE1645" s="456"/>
      <c r="AF1645" s="467"/>
      <c r="AG1645" s="87"/>
      <c r="AH1645" s="87"/>
      <c r="AI1645" s="87"/>
    </row>
    <row r="1646" spans="1:35" hidden="1">
      <c r="A1646" s="80" t="e">
        <f>"D"&amp;E1639</f>
        <v>#N/A</v>
      </c>
      <c r="B1646" s="105">
        <v>4</v>
      </c>
      <c r="C1646" s="107"/>
      <c r="D1646" s="107"/>
      <c r="E1646" s="107"/>
      <c r="F1646" s="107"/>
      <c r="G1646" s="83"/>
      <c r="H1646" s="83"/>
      <c r="I1646" s="84"/>
      <c r="J1646" s="85"/>
      <c r="K1646" s="382"/>
      <c r="L1646" s="85"/>
      <c r="M1646" s="332" t="str">
        <f t="shared" si="475"/>
        <v/>
      </c>
      <c r="N1646" s="86"/>
      <c r="O1646" s="453" t="str">
        <f t="shared" si="477"/>
        <v/>
      </c>
      <c r="P1646" s="538" t="str">
        <f t="shared" si="478"/>
        <v/>
      </c>
      <c r="Q1646" s="539" t="str">
        <f t="shared" si="476"/>
        <v/>
      </c>
      <c r="R1646" s="706"/>
      <c r="S1646" s="707"/>
      <c r="T1646" s="708"/>
      <c r="U1646" s="472"/>
      <c r="V1646" s="166"/>
      <c r="W1646" s="446"/>
      <c r="X1646" s="456"/>
      <c r="Y1646" s="436"/>
      <c r="Z1646" s="437"/>
      <c r="AA1646" s="560"/>
      <c r="AB1646" s="561"/>
      <c r="AC1646" s="87"/>
      <c r="AD1646" s="466"/>
      <c r="AE1646" s="456"/>
      <c r="AF1646" s="467"/>
      <c r="AG1646" s="87"/>
      <c r="AH1646" s="87"/>
      <c r="AI1646" s="87"/>
    </row>
    <row r="1647" spans="1:35" hidden="1">
      <c r="A1647" s="80" t="e">
        <f>"E"&amp;E1639</f>
        <v>#N/A</v>
      </c>
      <c r="B1647" s="105">
        <v>5</v>
      </c>
      <c r="C1647" s="107"/>
      <c r="D1647" s="107"/>
      <c r="E1647" s="107"/>
      <c r="F1647" s="107"/>
      <c r="G1647" s="83"/>
      <c r="H1647" s="83"/>
      <c r="I1647" s="84"/>
      <c r="J1647" s="85"/>
      <c r="K1647" s="382"/>
      <c r="L1647" s="85"/>
      <c r="M1647" s="332" t="str">
        <f t="shared" si="475"/>
        <v/>
      </c>
      <c r="N1647" s="86"/>
      <c r="O1647" s="453" t="str">
        <f t="shared" si="477"/>
        <v/>
      </c>
      <c r="P1647" s="538" t="str">
        <f t="shared" si="478"/>
        <v/>
      </c>
      <c r="Q1647" s="539" t="str">
        <f t="shared" si="476"/>
        <v/>
      </c>
      <c r="R1647" s="706"/>
      <c r="S1647" s="707"/>
      <c r="T1647" s="708"/>
      <c r="U1647" s="472"/>
      <c r="V1647" s="167"/>
      <c r="W1647" s="446"/>
      <c r="X1647" s="456"/>
      <c r="Y1647" s="436"/>
      <c r="Z1647" s="437"/>
      <c r="AA1647" s="560"/>
      <c r="AB1647" s="561"/>
      <c r="AC1647" s="87"/>
      <c r="AD1647" s="466"/>
      <c r="AE1647" s="456"/>
      <c r="AF1647" s="467"/>
      <c r="AG1647" s="87"/>
      <c r="AH1647" s="87"/>
      <c r="AI1647" s="87"/>
    </row>
    <row r="1648" spans="1:35" hidden="1">
      <c r="A1648" s="80" t="e">
        <f>"F"&amp;E1639</f>
        <v>#N/A</v>
      </c>
      <c r="B1648" s="105">
        <v>6</v>
      </c>
      <c r="C1648" s="107"/>
      <c r="D1648" s="107"/>
      <c r="E1648" s="107"/>
      <c r="F1648" s="107"/>
      <c r="G1648" s="83"/>
      <c r="H1648" s="83"/>
      <c r="I1648" s="84"/>
      <c r="J1648" s="85"/>
      <c r="K1648" s="382"/>
      <c r="L1648" s="85"/>
      <c r="M1648" s="332" t="str">
        <f t="shared" si="475"/>
        <v/>
      </c>
      <c r="N1648" s="86"/>
      <c r="O1648" s="453" t="str">
        <f t="shared" si="477"/>
        <v/>
      </c>
      <c r="P1648" s="538" t="str">
        <f t="shared" si="478"/>
        <v/>
      </c>
      <c r="Q1648" s="539" t="str">
        <f t="shared" si="476"/>
        <v/>
      </c>
      <c r="R1648" s="706"/>
      <c r="S1648" s="707"/>
      <c r="T1648" s="708"/>
      <c r="U1648" s="472"/>
      <c r="V1648" s="167"/>
      <c r="W1648" s="446"/>
      <c r="X1648" s="456"/>
      <c r="Y1648" s="436"/>
      <c r="Z1648" s="437"/>
      <c r="AA1648" s="560"/>
      <c r="AB1648" s="561"/>
      <c r="AC1648" s="87"/>
      <c r="AD1648" s="466"/>
      <c r="AE1648" s="456"/>
      <c r="AF1648" s="467"/>
      <c r="AG1648" s="87"/>
      <c r="AH1648" s="87"/>
      <c r="AI1648" s="87"/>
    </row>
    <row r="1649" spans="1:35" hidden="1">
      <c r="A1649" s="80" t="e">
        <f>"G"&amp;E1639</f>
        <v>#N/A</v>
      </c>
      <c r="B1649" s="105">
        <v>7</v>
      </c>
      <c r="C1649" s="107"/>
      <c r="D1649" s="107"/>
      <c r="E1649" s="107"/>
      <c r="F1649" s="107"/>
      <c r="G1649" s="83"/>
      <c r="H1649" s="83"/>
      <c r="I1649" s="84"/>
      <c r="J1649" s="85"/>
      <c r="K1649" s="382"/>
      <c r="L1649" s="85"/>
      <c r="M1649" s="332" t="str">
        <f t="shared" si="475"/>
        <v/>
      </c>
      <c r="N1649" s="86"/>
      <c r="O1649" s="86" t="str">
        <f t="shared" si="477"/>
        <v/>
      </c>
      <c r="P1649" s="538" t="str">
        <f t="shared" si="478"/>
        <v/>
      </c>
      <c r="Q1649" s="539" t="str">
        <f t="shared" si="476"/>
        <v/>
      </c>
      <c r="R1649" s="706"/>
      <c r="S1649" s="707"/>
      <c r="T1649" s="708"/>
      <c r="U1649" s="472"/>
      <c r="V1649" s="167"/>
      <c r="W1649" s="446"/>
      <c r="X1649" s="456"/>
      <c r="Y1649" s="436"/>
      <c r="Z1649" s="437"/>
      <c r="AA1649" s="560"/>
      <c r="AB1649" s="561"/>
      <c r="AC1649" s="87"/>
      <c r="AD1649" s="466"/>
      <c r="AE1649" s="456"/>
      <c r="AF1649" s="467"/>
      <c r="AG1649" s="87"/>
      <c r="AH1649" s="87"/>
      <c r="AI1649" s="87"/>
    </row>
    <row r="1650" spans="1:35" hidden="1">
      <c r="A1650" s="80" t="e">
        <f>"H"&amp;E1639</f>
        <v>#N/A</v>
      </c>
      <c r="B1650" s="105">
        <v>8</v>
      </c>
      <c r="C1650" s="107"/>
      <c r="D1650" s="107"/>
      <c r="E1650" s="107"/>
      <c r="F1650" s="107"/>
      <c r="G1650" s="83"/>
      <c r="H1650" s="83"/>
      <c r="I1650" s="84"/>
      <c r="J1650" s="85"/>
      <c r="K1650" s="382"/>
      <c r="L1650" s="85"/>
      <c r="M1650" s="332" t="str">
        <f t="shared" si="475"/>
        <v/>
      </c>
      <c r="N1650" s="453"/>
      <c r="O1650" s="86" t="str">
        <f t="shared" si="477"/>
        <v/>
      </c>
      <c r="P1650" s="538" t="str">
        <f t="shared" si="478"/>
        <v/>
      </c>
      <c r="Q1650" s="539" t="str">
        <f t="shared" si="476"/>
        <v/>
      </c>
      <c r="R1650" s="706"/>
      <c r="S1650" s="707"/>
      <c r="T1650" s="708"/>
      <c r="U1650" s="472"/>
      <c r="V1650" s="167"/>
      <c r="W1650" s="446"/>
      <c r="X1650" s="456"/>
      <c r="Y1650" s="436"/>
      <c r="Z1650" s="437"/>
      <c r="AA1650" s="560"/>
      <c r="AB1650" s="561"/>
      <c r="AC1650" s="87"/>
      <c r="AD1650" s="466"/>
      <c r="AE1650" s="456"/>
      <c r="AF1650" s="467"/>
      <c r="AG1650" s="87"/>
      <c r="AH1650" s="87"/>
      <c r="AI1650" s="87"/>
    </row>
    <row r="1651" spans="1:35" hidden="1">
      <c r="A1651" s="80" t="e">
        <f>"I"&amp;E1639</f>
        <v>#N/A</v>
      </c>
      <c r="B1651" s="105">
        <v>9</v>
      </c>
      <c r="C1651" s="107"/>
      <c r="D1651" s="107"/>
      <c r="E1651" s="107"/>
      <c r="F1651" s="107"/>
      <c r="G1651" s="83"/>
      <c r="H1651" s="83"/>
      <c r="I1651" s="84"/>
      <c r="J1651" s="85"/>
      <c r="K1651" s="382"/>
      <c r="L1651" s="85"/>
      <c r="M1651" s="332" t="str">
        <f t="shared" si="475"/>
        <v/>
      </c>
      <c r="N1651" s="453"/>
      <c r="O1651" s="86" t="str">
        <f t="shared" si="477"/>
        <v/>
      </c>
      <c r="P1651" s="538" t="str">
        <f t="shared" si="478"/>
        <v/>
      </c>
      <c r="Q1651" s="539" t="str">
        <f t="shared" si="476"/>
        <v/>
      </c>
      <c r="R1651" s="706"/>
      <c r="S1651" s="707"/>
      <c r="T1651" s="708"/>
      <c r="U1651" s="472"/>
      <c r="V1651" s="167"/>
      <c r="W1651" s="446"/>
      <c r="X1651" s="456"/>
      <c r="Y1651" s="436"/>
      <c r="Z1651" s="437"/>
      <c r="AA1651" s="560"/>
      <c r="AB1651" s="561"/>
      <c r="AC1651" s="87"/>
      <c r="AD1651" s="466"/>
      <c r="AE1651" s="456"/>
      <c r="AF1651" s="467"/>
      <c r="AG1651" s="87"/>
      <c r="AH1651" s="87"/>
      <c r="AI1651" s="87"/>
    </row>
    <row r="1652" spans="1:35" hidden="1">
      <c r="A1652" s="80" t="e">
        <f>"J"&amp;E1639</f>
        <v>#N/A</v>
      </c>
      <c r="B1652" s="105">
        <v>10</v>
      </c>
      <c r="C1652" s="107"/>
      <c r="D1652" s="107"/>
      <c r="E1652" s="107"/>
      <c r="F1652" s="107"/>
      <c r="G1652" s="83"/>
      <c r="H1652" s="83"/>
      <c r="I1652" s="84"/>
      <c r="J1652" s="85"/>
      <c r="K1652" s="382"/>
      <c r="L1652" s="85"/>
      <c r="M1652" s="332" t="str">
        <f t="shared" si="475"/>
        <v/>
      </c>
      <c r="N1652" s="453"/>
      <c r="O1652" s="86" t="str">
        <f t="shared" si="477"/>
        <v/>
      </c>
      <c r="P1652" s="538" t="str">
        <f t="shared" si="478"/>
        <v/>
      </c>
      <c r="Q1652" s="539" t="str">
        <f t="shared" si="476"/>
        <v/>
      </c>
      <c r="R1652" s="706"/>
      <c r="S1652" s="707"/>
      <c r="T1652" s="708"/>
      <c r="U1652" s="472"/>
      <c r="V1652" s="167"/>
      <c r="W1652" s="446"/>
      <c r="X1652" s="456"/>
      <c r="Y1652" s="436"/>
      <c r="Z1652" s="437"/>
      <c r="AA1652" s="560"/>
      <c r="AB1652" s="561"/>
      <c r="AC1652" s="87"/>
      <c r="AD1652" s="466"/>
      <c r="AE1652" s="456"/>
      <c r="AF1652" s="467"/>
      <c r="AG1652" s="87"/>
      <c r="AH1652" s="87"/>
      <c r="AI1652" s="87"/>
    </row>
    <row r="1653" spans="1:35" ht="16.5" hidden="1" thickBot="1">
      <c r="A1653" s="44"/>
      <c r="B1653" s="89"/>
      <c r="C1653" s="90"/>
      <c r="D1653" s="90"/>
      <c r="E1653" s="90"/>
      <c r="F1653" s="90"/>
      <c r="G1653" s="90"/>
      <c r="H1653" s="90"/>
      <c r="I1653" s="90"/>
      <c r="J1653" s="90"/>
      <c r="K1653" s="90"/>
      <c r="L1653" s="90"/>
      <c r="M1653" s="90"/>
      <c r="N1653" s="90"/>
      <c r="O1653" s="90"/>
      <c r="P1653" s="90"/>
      <c r="Q1653" s="90"/>
      <c r="R1653" s="90"/>
      <c r="S1653" s="91"/>
      <c r="T1653" s="92"/>
      <c r="U1653" s="473"/>
      <c r="W1653" s="438"/>
      <c r="X1653" s="455"/>
      <c r="Y1653" s="439"/>
      <c r="Z1653" s="437"/>
      <c r="AA1653" s="530"/>
      <c r="AB1653" s="563"/>
      <c r="AC1653" s="87"/>
      <c r="AD1653" s="440"/>
      <c r="AE1653" s="441"/>
      <c r="AF1653" s="442"/>
      <c r="AG1653" s="49"/>
      <c r="AH1653" s="87"/>
      <c r="AI1653" s="87"/>
    </row>
    <row r="1654" spans="1:35" ht="16.5" hidden="1" thickBot="1">
      <c r="A1654" s="93"/>
      <c r="B1654" s="94"/>
      <c r="C1654" s="96"/>
      <c r="D1654" s="96"/>
      <c r="E1654" s="96"/>
      <c r="F1654" s="96"/>
      <c r="G1654" s="96"/>
      <c r="H1654" s="96"/>
      <c r="I1654" s="96"/>
      <c r="J1654" s="96"/>
      <c r="K1654" s="96"/>
      <c r="L1654" s="96"/>
      <c r="M1654" s="136"/>
      <c r="N1654" s="96"/>
      <c r="O1654" s="96"/>
      <c r="P1654" s="97"/>
      <c r="Q1654" s="97"/>
      <c r="R1654" s="98"/>
      <c r="S1654" s="95"/>
      <c r="T1654" s="99"/>
      <c r="U1654" s="469"/>
      <c r="AC1654" s="58"/>
      <c r="AG1654" s="58"/>
      <c r="AH1654" s="87"/>
      <c r="AI1654" s="87"/>
    </row>
    <row r="1655" spans="1:35" ht="16.5" hidden="1" thickBot="1">
      <c r="B1655" s="101"/>
      <c r="C1655" s="101"/>
      <c r="D1655" s="101"/>
      <c r="E1655" s="101"/>
      <c r="F1655" s="101"/>
      <c r="G1655" s="101"/>
      <c r="H1655" s="101"/>
      <c r="I1655" s="101"/>
      <c r="J1655" s="101"/>
      <c r="K1655" s="101"/>
      <c r="L1655" s="101"/>
      <c r="M1655" s="101"/>
      <c r="N1655" s="101"/>
      <c r="O1655" s="101"/>
      <c r="P1655" s="101"/>
      <c r="Q1655" s="101"/>
      <c r="R1655" s="101"/>
      <c r="S1655" s="101"/>
      <c r="U1655" s="50"/>
      <c r="AH1655" s="87"/>
      <c r="AI1655" s="87"/>
    </row>
    <row r="1656" spans="1:35" ht="16.5" hidden="1" customHeight="1" thickBot="1">
      <c r="A1656" s="44"/>
      <c r="B1656" s="705" t="s">
        <v>74</v>
      </c>
      <c r="C1656" s="705"/>
      <c r="D1656" s="705"/>
      <c r="E1656" s="705"/>
      <c r="F1656" s="705"/>
      <c r="G1656" s="705"/>
      <c r="H1656" s="705"/>
      <c r="I1656" s="705"/>
      <c r="J1656" s="705"/>
      <c r="K1656" s="705"/>
      <c r="L1656" s="705"/>
      <c r="M1656" s="705"/>
      <c r="N1656" s="705"/>
      <c r="O1656" s="705"/>
      <c r="P1656" s="705"/>
      <c r="Q1656" s="705"/>
      <c r="R1656" s="705"/>
      <c r="S1656" s="705"/>
      <c r="T1656" s="705"/>
      <c r="U1656" s="108"/>
      <c r="Y1656" s="532" t="s">
        <v>341</v>
      </c>
      <c r="AC1656" s="49"/>
      <c r="AD1656" s="687" t="s">
        <v>302</v>
      </c>
      <c r="AE1656" s="688"/>
      <c r="AF1656" s="689"/>
      <c r="AG1656" s="49"/>
      <c r="AH1656" s="87"/>
      <c r="AI1656" s="87"/>
    </row>
    <row r="1657" spans="1:35" ht="15.75" hidden="1" customHeight="1" thickBot="1">
      <c r="A1657" s="218" t="e">
        <f>"K"&amp;E1639</f>
        <v>#N/A</v>
      </c>
      <c r="B1657" s="701" t="s">
        <v>71</v>
      </c>
      <c r="C1657" s="751" t="s">
        <v>102</v>
      </c>
      <c r="D1657" s="751"/>
      <c r="E1657" s="751"/>
      <c r="F1657" s="751"/>
      <c r="G1657" s="751"/>
      <c r="H1657" s="751"/>
      <c r="I1657" s="751"/>
      <c r="J1657" s="751"/>
      <c r="K1657" s="751"/>
      <c r="L1657" s="722" t="s">
        <v>100</v>
      </c>
      <c r="M1657" s="747" t="s">
        <v>114</v>
      </c>
      <c r="N1657" s="747"/>
      <c r="O1657" s="747"/>
      <c r="P1657" s="747"/>
      <c r="Q1657" s="748"/>
      <c r="R1657" s="758" t="s">
        <v>280</v>
      </c>
      <c r="S1657" s="748"/>
      <c r="T1657" s="762" t="str">
        <f>IF(COUNTIF(AE1657:AF1657,"VERIFICAR")&gt;0,"VERIFICAR",IF(COUNTIF(AE1657:AF1657,"NO CUMPLE")&gt;0,"NO CUMPLE","CUMPLE"))</f>
        <v>VERIFICAR</v>
      </c>
      <c r="U1657" s="108"/>
      <c r="Y1657" s="533" t="e">
        <f>IF(F1658="","",IF(F1658=1,"INDIVIDUAL","ESTRUCTURA PLURAL"))</f>
        <v>#N/A</v>
      </c>
      <c r="AC1657" s="52"/>
      <c r="AD1657" s="475" t="s">
        <v>303</v>
      </c>
      <c r="AE1657" s="476" t="str">
        <f>IF(COUNTIF(AE1643:AE1652,"")=10,"VERIFICAR",IF(COUNTIF(AE1643:AE1652,"SI")&gt;0,"CUMPLE","NO CUMPLE"))</f>
        <v>VERIFICAR</v>
      </c>
      <c r="AF1657" s="477" t="str">
        <f>IF(COUNTIF(AF1643:AF1652,"")=10,"VERIFICAR",IF(COUNTIF(AF1643:AF1652,"SI")&gt;=$AI$22,"CUMPLE","NO CUMPLE"))</f>
        <v>VERIFICAR</v>
      </c>
      <c r="AG1657" s="52"/>
      <c r="AH1657" s="87"/>
      <c r="AI1657" s="87"/>
    </row>
    <row r="1658" spans="1:35" ht="16.5" hidden="1" customHeight="1" thickBot="1">
      <c r="A1658" s="218" t="e">
        <f>"L"&amp;E1639</f>
        <v>#N/A</v>
      </c>
      <c r="B1658" s="702"/>
      <c r="C1658" s="751" t="s">
        <v>103</v>
      </c>
      <c r="D1658" s="751"/>
      <c r="E1658" s="752"/>
      <c r="F1658" s="557" t="e">
        <f>IF(VLOOKUP(E1639,PROPONENTES!$C$19:$E$218,3,0)="","",VLOOKUP(E1639,PROPONENTES!$C$19:$E$218,3,0))</f>
        <v>#N/A</v>
      </c>
      <c r="G1658" s="753" t="s">
        <v>104</v>
      </c>
      <c r="H1658" s="751"/>
      <c r="I1658" s="715" t="e">
        <f>IF(OR(F1658="",F1658=1),"INTERESADO PERSONA NATURAL O JURIDICA","CONSORCIO O UNION TEMPORAL")</f>
        <v>#N/A</v>
      </c>
      <c r="J1658" s="725"/>
      <c r="K1658" s="728"/>
      <c r="L1658" s="723"/>
      <c r="M1658" s="749"/>
      <c r="N1658" s="749"/>
      <c r="O1658" s="749"/>
      <c r="P1658" s="749"/>
      <c r="Q1658" s="750"/>
      <c r="R1658" s="712"/>
      <c r="S1658" s="750"/>
      <c r="T1658" s="763"/>
      <c r="U1658" s="108"/>
      <c r="Y1658" s="534"/>
      <c r="AA1658" s="52"/>
      <c r="AB1658" s="52"/>
      <c r="AC1658" s="52"/>
      <c r="AG1658" s="52"/>
      <c r="AH1658" s="87"/>
      <c r="AI1658" s="87"/>
    </row>
    <row r="1659" spans="1:35" ht="56.25" hidden="1" customHeight="1" thickBot="1">
      <c r="A1659" s="218" t="e">
        <f>"M"&amp;E1639</f>
        <v>#N/A</v>
      </c>
      <c r="B1659" s="702"/>
      <c r="C1659" s="725" t="s">
        <v>101</v>
      </c>
      <c r="D1659" s="716"/>
      <c r="E1659" s="558" t="s">
        <v>105</v>
      </c>
      <c r="F1659" s="554" t="s">
        <v>87</v>
      </c>
      <c r="G1659" s="553" t="s">
        <v>86</v>
      </c>
      <c r="H1659" s="559" t="s">
        <v>85</v>
      </c>
      <c r="I1659" s="554" t="s">
        <v>252</v>
      </c>
      <c r="J1659" s="553" t="str">
        <f>"¿EL INTEGRANTE TIENE UNA PARTICIPACIÓN DEL "&amp;PORCREQUERIDOINT*100&amp;"%?"</f>
        <v>¿EL INTEGRANTE TIENE UNA PARTICIPACIÓN DEL 60%?</v>
      </c>
      <c r="K1659" s="554" t="s">
        <v>107</v>
      </c>
      <c r="L1659" s="724"/>
      <c r="M1659" s="717" t="s">
        <v>115</v>
      </c>
      <c r="N1659" s="718"/>
      <c r="O1659" s="718"/>
      <c r="P1659" s="718"/>
      <c r="Q1659" s="223">
        <f>IF(AND(H1643="SI",P1643&gt;=0),1,0)+IF(AND(H1644="SI",P1644&gt;=0),1,0)+IF(AND(H1645="SI",P1645&gt;=0),1,0)+IF(AND(H1646="SI",P1646&gt;=0),1,0)+IF(AND(H1647="SI",P1647&gt;=0),1,0)+IF(AND(H1648="SI",P1648&gt;=0),1,0)+IF(AND(H1649="SI",P1649&gt;=0),1,0)+IF(AND(H1650="SI",P1650&gt;=0),1,0)+IF(AND(H1651="SI",P1651&gt;=0),1,0)+IF(AND(H1652="SI",P1652&gt;=0),1,0)</f>
        <v>0</v>
      </c>
      <c r="R1659" s="759"/>
      <c r="S1659" s="761"/>
      <c r="T1659" s="764"/>
      <c r="U1659" s="219"/>
      <c r="V1659" s="464"/>
      <c r="Y1659" s="532" t="s">
        <v>342</v>
      </c>
      <c r="AA1659" s="550" t="s">
        <v>344</v>
      </c>
      <c r="AB1659" s="693" t="s">
        <v>345</v>
      </c>
      <c r="AC1659" s="693" t="s">
        <v>346</v>
      </c>
      <c r="AD1659" s="685" t="s">
        <v>347</v>
      </c>
      <c r="AE1659" s="52"/>
      <c r="AF1659" s="52"/>
      <c r="AG1659" s="52"/>
      <c r="AH1659" s="87"/>
      <c r="AI1659" s="87"/>
    </row>
    <row r="1660" spans="1:35" ht="15.75" hidden="1" customHeight="1" thickBot="1">
      <c r="A1660" s="218" t="e">
        <f>"N"&amp;E1639</f>
        <v>#N/A</v>
      </c>
      <c r="B1660" s="702"/>
      <c r="C1660" s="114">
        <v>1</v>
      </c>
      <c r="D1660" s="194" t="e">
        <f>IF(AND(C1660&lt;=F1658,F1658&gt;1,F1658&lt;&gt;""),VLOOKUP(VALUE(E1639&amp;","&amp;C1660),INTEGRANTES!$D$18:$F$235,2,0),"")</f>
        <v>#N/A</v>
      </c>
      <c r="E1660" s="211" t="e">
        <f>IF(D1660&lt;&gt;"",VLOOKUP(VALUE(E1639&amp;","&amp;C1660),INTEGRANTES!$D$18:$F$235,3,0),"")</f>
        <v>#N/A</v>
      </c>
      <c r="F1660" s="547" t="e">
        <f>IF(D1660="","",SUMIF($I1643:$I1652,D1660,$P1643:$P1652))</f>
        <v>#N/A</v>
      </c>
      <c r="G1660" s="333" t="e">
        <f>IF(D1660="","",SUMIF($I1643:$I1652,D1660,$M1643:$M1652))</f>
        <v>#N/A</v>
      </c>
      <c r="H1660" s="535" t="e">
        <f t="shared" ref="H1660:H1665" si="479">IF(D1660="","",IF(OR(F1660=0,G1660=0),"NO APORTA",ROUND($F1660/$G1660,3)))</f>
        <v>#N/A</v>
      </c>
      <c r="I1660" s="212" t="e">
        <f>IF(D1660="","",IF(H1660="NO APORTA","NO",IF(H1660=MAX($H1660:$H1665),"SI","NO")))</f>
        <v>#N/A</v>
      </c>
      <c r="J1660" s="213" t="e">
        <f t="shared" ref="J1660:J1665" si="480">IF(D1660="","",IF(E1660&gt;=PORCREQUERIDOINT,"SI","NO"))</f>
        <v>#N/A</v>
      </c>
      <c r="K1660" s="200" t="e">
        <f t="shared" ref="K1660:K1665" si="481">IF(D1660="","",IF(AND(I1660="SI",J1660="SI"),"CUMPLE",IF(AND(I1660="NO",OR(J1660="SI",J1660="NO")),"","NO CUMPLE")))</f>
        <v>#N/A</v>
      </c>
      <c r="L1660" s="722" t="s">
        <v>108</v>
      </c>
      <c r="M1660" s="726" t="s">
        <v>119</v>
      </c>
      <c r="N1660" s="726"/>
      <c r="O1660" s="726"/>
      <c r="P1660" s="726"/>
      <c r="Q1660" s="727"/>
      <c r="R1660" s="758" t="s">
        <v>80</v>
      </c>
      <c r="S1660" s="747"/>
      <c r="T1660" s="748"/>
      <c r="U1660" s="219"/>
      <c r="V1660" s="464"/>
      <c r="Y1660" s="533" t="e">
        <f>IF(Y1657="","",IF(Y1657="INDIVIDUAL","NO APLICA","VERIFICAR CUADRO"))</f>
        <v>#N/A</v>
      </c>
      <c r="AA1660" s="551"/>
      <c r="AB1660" s="694"/>
      <c r="AC1660" s="694"/>
      <c r="AD1660" s="686"/>
      <c r="AE1660" s="52"/>
      <c r="AF1660" s="52"/>
      <c r="AG1660" s="52"/>
      <c r="AH1660" s="87"/>
      <c r="AI1660" s="87"/>
    </row>
    <row r="1661" spans="1:35" ht="27" hidden="1" customHeight="1" thickBot="1">
      <c r="A1661" s="218" t="e">
        <f>"O"&amp;E1639</f>
        <v>#N/A</v>
      </c>
      <c r="B1661" s="702"/>
      <c r="C1661" s="114">
        <v>2</v>
      </c>
      <c r="D1661" s="194" t="e">
        <f>IF(AND(C1661&lt;=F1658,F1658&lt;&gt;""),VLOOKUP(VALUE(E1639&amp;","&amp;C1661),INTEGRANTES!$D$18:$F$235,2,0),"")</f>
        <v>#N/A</v>
      </c>
      <c r="E1661" s="211" t="e">
        <f>IF(D1661&lt;&gt;"",VLOOKUP(VALUE(E1639&amp;","&amp;C1661),INTEGRANTES!$D$18:$F$235,3,0),"")</f>
        <v>#N/A</v>
      </c>
      <c r="F1661" s="547" t="e">
        <f>IF(D1661="","",SUMIF($I1643:$I1652,D1661,$P1643:$P1652))</f>
        <v>#N/A</v>
      </c>
      <c r="G1661" s="333" t="e">
        <f>IF(D1661="","",SUMIF($I1643:$I1652,D1661,$M1643:$M1652))</f>
        <v>#N/A</v>
      </c>
      <c r="H1661" s="535" t="e">
        <f t="shared" si="479"/>
        <v>#N/A</v>
      </c>
      <c r="I1661" s="212" t="e">
        <f>IF(D1661="","",IF(H1661="NO APORTA","NO",IF(H1661=MAX($H1660:$H1665),"SI","NO")))</f>
        <v>#N/A</v>
      </c>
      <c r="J1661" s="213" t="e">
        <f t="shared" si="480"/>
        <v>#N/A</v>
      </c>
      <c r="K1661" s="200" t="e">
        <f t="shared" si="481"/>
        <v>#N/A</v>
      </c>
      <c r="L1661" s="723"/>
      <c r="M1661" s="715" t="s">
        <v>116</v>
      </c>
      <c r="N1661" s="716"/>
      <c r="O1661" s="556" t="s">
        <v>113</v>
      </c>
      <c r="P1661" s="715" t="s">
        <v>117</v>
      </c>
      <c r="Q1661" s="728"/>
      <c r="R1661" s="759"/>
      <c r="S1661" s="760"/>
      <c r="T1661" s="761"/>
      <c r="U1661" s="219"/>
      <c r="V1661" s="464"/>
      <c r="Y1661" s="414"/>
      <c r="AA1661" s="542" t="e">
        <f>IF(AND(C1660&lt;=F1658,F1658&gt;1,F1658&lt;&gt;""),VLOOKUP(VALUE(E1639&amp;","&amp;C1660),INTEGRANTES!$D$18:$F$235,2,0),"")</f>
        <v>#N/A</v>
      </c>
      <c r="AB1661" s="544" t="e">
        <f t="shared" ref="AB1661:AB1666" si="482">IF(D1660="","",IF(OR(F1660=0,G1660=0),"NO APORTA",ROUND($F1660/$G1660,3)))</f>
        <v>#N/A</v>
      </c>
      <c r="AC1661" s="529"/>
      <c r="AD1661" s="200" t="e">
        <f t="shared" ref="AD1661:AD1666" si="483">IF(OR(AA1661="",AB1661=""),"",IF(AND(AC1661="X",AB1661&gt;=EXPREQVTD),"CUMPLE","NO CUMPLE"))</f>
        <v>#N/A</v>
      </c>
      <c r="AE1661" s="52"/>
      <c r="AF1661" s="52"/>
      <c r="AG1661" s="52"/>
      <c r="AH1661" s="87"/>
      <c r="AI1661" s="87"/>
    </row>
    <row r="1662" spans="1:35" ht="16.5" hidden="1" thickBot="1">
      <c r="A1662" s="218" t="e">
        <f>"P"&amp;E1639</f>
        <v>#N/A</v>
      </c>
      <c r="B1662" s="702"/>
      <c r="C1662" s="114">
        <v>3</v>
      </c>
      <c r="D1662" s="194" t="e">
        <f>IF(AND(C1662&lt;=F1658,F1658&lt;&gt;""),VLOOKUP(VALUE(E1639&amp;","&amp;C1662),INTEGRANTES!$D$18:$F$235,2,0),"")</f>
        <v>#N/A</v>
      </c>
      <c r="E1662" s="211" t="e">
        <f>IF(D1662&lt;&gt;"",VLOOKUP(VALUE(E1639&amp;","&amp;C1662),INTEGRANTES!$D$18:$F$235,3,0),"")</f>
        <v>#N/A</v>
      </c>
      <c r="F1662" s="547" t="e">
        <f>IF(D1662="","",SUMIF($I1643:$I1652,D1662,$P1643:$P1652))</f>
        <v>#N/A</v>
      </c>
      <c r="G1662" s="333" t="e">
        <f>IF(D1662="","",SUMIF($I1643:$I1652,D1662,$M1643:$M1652))</f>
        <v>#N/A</v>
      </c>
      <c r="H1662" s="535" t="e">
        <f t="shared" si="479"/>
        <v>#N/A</v>
      </c>
      <c r="I1662" s="212" t="e">
        <f>IF(D1662="","",IF(H1662="NO APORTA","NO",IF(H1662=MAX($H1660:$H1665),"SI","NO")))</f>
        <v>#N/A</v>
      </c>
      <c r="J1662" s="213" t="e">
        <f t="shared" si="480"/>
        <v>#N/A</v>
      </c>
      <c r="K1662" s="200" t="e">
        <f t="shared" si="481"/>
        <v>#N/A</v>
      </c>
      <c r="L1662" s="724"/>
      <c r="M1662" s="729">
        <f>NUMMOD</f>
        <v>1</v>
      </c>
      <c r="N1662" s="730"/>
      <c r="O1662" s="443">
        <f>IF(M1662="","",VLOOKUP(M1662,PRESUPUESTOS!$B$16:$H$16,5,FALSE))</f>
        <v>2</v>
      </c>
      <c r="P1662" s="713">
        <f>IF(OR(COUNTIF(M1643:M1652,"")&gt;=10,Q1659&lt;NUMMINCONT,OR(T1657="NO CUMPLE",T1657="VERIFICAR")),0,ROUND(AVERAGE(M1643:M1652),3))</f>
        <v>0</v>
      </c>
      <c r="Q1662" s="714"/>
      <c r="R1662" s="458"/>
      <c r="S1662" s="459"/>
      <c r="T1662" s="460"/>
      <c r="U1662" s="219"/>
      <c r="V1662" s="464"/>
      <c r="Y1662" s="532" t="str">
        <f>"40% * ("&amp;PRESUPUESTOS!$H$13&amp;")"</f>
        <v>40% * (50% PFMO)</v>
      </c>
      <c r="AA1662" s="540" t="e">
        <f>IF(AND(C1661&lt;=F1658,F1658&lt;&gt;""),VLOOKUP(VALUE(E1639&amp;","&amp;C1661),INTEGRANTES!$D$18:$F$235,2,0),"")</f>
        <v>#N/A</v>
      </c>
      <c r="AB1662" s="545" t="e">
        <f t="shared" si="482"/>
        <v>#N/A</v>
      </c>
      <c r="AC1662" s="529"/>
      <c r="AD1662" s="200" t="e">
        <f t="shared" si="483"/>
        <v>#N/A</v>
      </c>
      <c r="AE1662" s="52"/>
      <c r="AF1662" s="52"/>
      <c r="AG1662" s="52"/>
      <c r="AH1662" s="87"/>
      <c r="AI1662" s="87"/>
    </row>
    <row r="1663" spans="1:35" ht="15.75" hidden="1" customHeight="1" thickBot="1">
      <c r="A1663" s="218" t="e">
        <f>"Q"&amp;E1639</f>
        <v>#N/A</v>
      </c>
      <c r="B1663" s="702"/>
      <c r="C1663" s="114">
        <v>4</v>
      </c>
      <c r="D1663" s="194" t="e">
        <f>IF(AND(C1663&lt;=F1658,F1658&lt;&gt;""),VLOOKUP(VALUE(E1639&amp;","&amp;C1663),INTEGRANTES!$D$18:$F$235,2,0),"")</f>
        <v>#N/A</v>
      </c>
      <c r="E1663" s="211" t="e">
        <f>IF(D1663&lt;&gt;"",VLOOKUP(VALUE(E1639&amp;","&amp;C1663),INTEGRANTES!$D$18:$F$235,3,0),"")</f>
        <v>#N/A</v>
      </c>
      <c r="F1663" s="547" t="e">
        <f>IF(D1663="","",SUMIF($I1643:$I1652,D1663,$P1643:$P1652))</f>
        <v>#N/A</v>
      </c>
      <c r="G1663" s="333" t="e">
        <f>IF(D1663="","",SUMIF($I1643:$I1652,D1663,$M1643:$M1652))</f>
        <v>#N/A</v>
      </c>
      <c r="H1663" s="535" t="e">
        <f t="shared" si="479"/>
        <v>#N/A</v>
      </c>
      <c r="I1663" s="212" t="e">
        <f>IF(D1663="","",IF(H1663="NO APORTA","NO",IF(H1663=MAX($H1660:$H1665),"SI","NO")))</f>
        <v>#N/A</v>
      </c>
      <c r="J1663" s="213" t="e">
        <f t="shared" si="480"/>
        <v>#N/A</v>
      </c>
      <c r="K1663" s="200" t="e">
        <f t="shared" si="481"/>
        <v>#N/A</v>
      </c>
      <c r="L1663" s="720" t="s">
        <v>109</v>
      </c>
      <c r="M1663" s="757" t="s">
        <v>120</v>
      </c>
      <c r="N1663" s="726"/>
      <c r="O1663" s="726"/>
      <c r="P1663" s="726"/>
      <c r="Q1663" s="727"/>
      <c r="R1663" s="458"/>
      <c r="S1663" s="459"/>
      <c r="T1663" s="460"/>
      <c r="U1663" s="219"/>
      <c r="V1663" s="464"/>
      <c r="Y1663" s="537">
        <f>0.4*PRESUPUESTOS!$H$16</f>
        <v>10.3124</v>
      </c>
      <c r="AA1663" s="540" t="e">
        <f>IF(AND(C1662&lt;=F1658,F1658&lt;&gt;""),VLOOKUP(VALUE(E1639&amp;","&amp;C1662),INTEGRANTES!$D$18:$F$235,2,0),"")</f>
        <v>#N/A</v>
      </c>
      <c r="AB1663" s="545" t="e">
        <f t="shared" si="482"/>
        <v>#N/A</v>
      </c>
      <c r="AC1663" s="529"/>
      <c r="AD1663" s="200" t="e">
        <f t="shared" si="483"/>
        <v>#N/A</v>
      </c>
      <c r="AE1663" s="52"/>
      <c r="AF1663" s="52"/>
      <c r="AG1663" s="52"/>
      <c r="AH1663" s="87"/>
      <c r="AI1663" s="87"/>
    </row>
    <row r="1664" spans="1:35" ht="27" hidden="1" customHeight="1" thickBot="1">
      <c r="A1664" s="218" t="e">
        <f>"R"&amp;E1639</f>
        <v>#N/A</v>
      </c>
      <c r="B1664" s="702"/>
      <c r="C1664" s="114">
        <v>5</v>
      </c>
      <c r="D1664" s="194" t="e">
        <f>IF(AND(C1664&lt;=F1658,F1658&lt;&gt;""),VLOOKUP(VALUE(E1639&amp;","&amp;C1664),INTEGRANTES!$D$18:$F$235,2,0),"")</f>
        <v>#N/A</v>
      </c>
      <c r="E1664" s="211" t="e">
        <f>IF(D1664&lt;&gt;"",VLOOKUP(VALUE(E1639&amp;","&amp;C1664),INTEGRANTES!$D$18:$F$235,3,0),"")</f>
        <v>#N/A</v>
      </c>
      <c r="F1664" s="547" t="e">
        <f>IF(D1664="","",SUMIF($I1643:$I1652,D1664,$P1643:$P1652))</f>
        <v>#N/A</v>
      </c>
      <c r="G1664" s="333" t="e">
        <f>IF(D1664="","",SUMIF($I1643:$I1652,D1664,$M1643:$M1652))</f>
        <v>#N/A</v>
      </c>
      <c r="H1664" s="535" t="e">
        <f t="shared" si="479"/>
        <v>#N/A</v>
      </c>
      <c r="I1664" s="212" t="e">
        <f>IF(D1664="","",IF(H1664="NO APORTA","NO",IF(H1664=MAX($H1660:$H1665),"SI","NO")))</f>
        <v>#N/A</v>
      </c>
      <c r="J1664" s="213" t="e">
        <f t="shared" si="480"/>
        <v>#N/A</v>
      </c>
      <c r="K1664" s="200" t="e">
        <f t="shared" si="481"/>
        <v>#N/A</v>
      </c>
      <c r="L1664" s="721"/>
      <c r="M1664" s="715" t="s">
        <v>116</v>
      </c>
      <c r="N1664" s="716"/>
      <c r="O1664" s="556" t="str">
        <f>PORCREQUERIDO*100&amp;"% PMFO DEL MÓDULO"</f>
        <v>50% PMFO DEL MÓDULO</v>
      </c>
      <c r="P1664" s="715" t="s">
        <v>118</v>
      </c>
      <c r="Q1664" s="728"/>
      <c r="R1664" s="458"/>
      <c r="S1664" s="459"/>
      <c r="T1664" s="460"/>
      <c r="U1664" s="219"/>
      <c r="V1664" s="464"/>
      <c r="Y1664" s="414"/>
      <c r="AA1664" s="540" t="e">
        <f>IF(AND(C1663&lt;=F1658,F1658&lt;&gt;""),VLOOKUP(VALUE(E1639&amp;","&amp;C1663),INTEGRANTES!$D$18:$F$235,2,0),"")</f>
        <v>#N/A</v>
      </c>
      <c r="AB1664" s="545" t="e">
        <f t="shared" si="482"/>
        <v>#N/A</v>
      </c>
      <c r="AC1664" s="529"/>
      <c r="AD1664" s="200" t="e">
        <f t="shared" si="483"/>
        <v>#N/A</v>
      </c>
      <c r="AE1664" s="52"/>
      <c r="AF1664" s="52"/>
      <c r="AG1664" s="52"/>
      <c r="AH1664" s="87"/>
      <c r="AI1664" s="87"/>
    </row>
    <row r="1665" spans="1:35" ht="16.5" hidden="1" thickBot="1">
      <c r="A1665" s="218" t="e">
        <f>"S"&amp;E1639</f>
        <v>#N/A</v>
      </c>
      <c r="B1665" s="702"/>
      <c r="C1665" s="215">
        <v>6</v>
      </c>
      <c r="D1665" s="216" t="e">
        <f>IF(AND(C1665&lt;=F1658,F1658&lt;&gt;""),VLOOKUP(VALUE(E1639&amp;","&amp;C1665),INTEGRANTES!$D$18:$F$235,2,0),"")</f>
        <v>#N/A</v>
      </c>
      <c r="E1665" s="217" t="e">
        <f>IF(D1665&lt;&gt;"",VLOOKUP(VALUE(E1639&amp;","&amp;C1665),INTEGRANTES!$D$18:$F$235,3,0),"")</f>
        <v>#N/A</v>
      </c>
      <c r="F1665" s="548" t="e">
        <f>IF(D1665="","",SUMIF($I1643:$I1652,D1665,$P1643:$P1652))</f>
        <v>#N/A</v>
      </c>
      <c r="G1665" s="334" t="e">
        <f>IF(D1665="","",SUMIF($I1643:$I1652,D1665,$M1643:$M1652))</f>
        <v>#N/A</v>
      </c>
      <c r="H1665" s="536" t="e">
        <f t="shared" si="479"/>
        <v>#N/A</v>
      </c>
      <c r="I1665" s="214" t="e">
        <f>IF(D1665="","",IF(H1665="NO APORTA","NO",IF(H1665=MAX($H1660:$H1665),"SI","NO")))</f>
        <v>#N/A</v>
      </c>
      <c r="J1665" s="213" t="e">
        <f t="shared" si="480"/>
        <v>#N/A</v>
      </c>
      <c r="K1665" s="200" t="e">
        <f t="shared" si="481"/>
        <v>#N/A</v>
      </c>
      <c r="L1665" s="721"/>
      <c r="M1665" s="729">
        <f>NUMMOD</f>
        <v>1</v>
      </c>
      <c r="N1665" s="730"/>
      <c r="O1665" s="443">
        <f>IF(M1665="","",ROUND(VLOOKUP(M1665,PRESUPUESTOS!$B$16:$H$16,7,FALSE),3))</f>
        <v>25.780999999999999</v>
      </c>
      <c r="P1665" s="713">
        <f>IF(OR(COUNTIF(P1643:P1652,"")&gt;=10,Q1659&lt;NUMMINCONT,OR(T1657="NO CUMPLE",T1657="VERIFICAR")),0,ROUND((SUM(P1643:P1652)/SUM(M1643:M1652)),3))</f>
        <v>0</v>
      </c>
      <c r="Q1665" s="714"/>
      <c r="R1665" s="458"/>
      <c r="S1665" s="459"/>
      <c r="T1665" s="460"/>
      <c r="U1665" s="219"/>
      <c r="V1665" s="464"/>
      <c r="Y1665" s="532" t="s">
        <v>343</v>
      </c>
      <c r="AA1665" s="540" t="e">
        <f>IF(AND(C1664&lt;=F1658,F1658&lt;&gt;""),VLOOKUP(VALUE(E1639&amp;","&amp;C1664),INTEGRANTES!$D$18:$F$235,2,0),"")</f>
        <v>#N/A</v>
      </c>
      <c r="AB1665" s="545" t="e">
        <f t="shared" si="482"/>
        <v>#N/A</v>
      </c>
      <c r="AC1665" s="529"/>
      <c r="AD1665" s="200" t="e">
        <f t="shared" si="483"/>
        <v>#N/A</v>
      </c>
      <c r="AE1665" s="52"/>
      <c r="AF1665" s="52"/>
      <c r="AG1665" s="52"/>
      <c r="AH1665" s="87"/>
      <c r="AI1665" s="87"/>
    </row>
    <row r="1666" spans="1:35" ht="16.5" hidden="1" customHeight="1" thickBot="1">
      <c r="A1666" s="218" t="e">
        <f>"T"&amp;E1639</f>
        <v>#N/A</v>
      </c>
      <c r="B1666" s="703"/>
      <c r="C1666" s="719"/>
      <c r="D1666" s="719"/>
      <c r="E1666" s="719"/>
      <c r="F1666" s="719"/>
      <c r="G1666" s="719"/>
      <c r="H1666" s="719" t="s">
        <v>110</v>
      </c>
      <c r="I1666" s="719"/>
      <c r="J1666" s="719"/>
      <c r="K1666" s="201" t="str">
        <f>IF(COUNTIF(K1660:K1665,"")=6,"",IF(COUNTIF(K1660:K1665,"CUMPLE")&gt;0,"CUMPLE","NO CUMPLE"))</f>
        <v>NO CUMPLE</v>
      </c>
      <c r="L1666" s="754"/>
      <c r="M1666" s="755"/>
      <c r="N1666" s="755"/>
      <c r="O1666" s="755"/>
      <c r="P1666" s="755"/>
      <c r="Q1666" s="756"/>
      <c r="R1666" s="461"/>
      <c r="S1666" s="462"/>
      <c r="T1666" s="463"/>
      <c r="U1666" s="219"/>
      <c r="V1666" s="464"/>
      <c r="Y1666" s="549" t="e">
        <f>IF(Y1660="NO APLICA","NO APLICA",IF(COUNTIF(AD1661:AD1666,"CUMPLE")&gt;0,"CUMPLE","NO CUMPLE"))</f>
        <v>#N/A</v>
      </c>
      <c r="AA1666" s="541" t="e">
        <f>IF(AND(C1665&lt;=F1658,F1658&lt;&gt;""),VLOOKUP(VALUE(E1639&amp;","&amp;C1665),INTEGRANTES!$D$18:$F$235,2,0),"")</f>
        <v>#N/A</v>
      </c>
      <c r="AB1666" s="546" t="e">
        <f t="shared" si="482"/>
        <v>#N/A</v>
      </c>
      <c r="AC1666" s="543"/>
      <c r="AD1666" s="201" t="e">
        <f t="shared" si="483"/>
        <v>#N/A</v>
      </c>
      <c r="AE1666" s="52"/>
      <c r="AF1666" s="52"/>
      <c r="AG1666" s="52"/>
      <c r="AH1666" s="87"/>
      <c r="AI1666" s="87"/>
    </row>
    <row r="1667" spans="1:35" hidden="1">
      <c r="A1667" s="103"/>
      <c r="B1667" s="206"/>
      <c r="C1667" s="206"/>
      <c r="D1667" s="206"/>
      <c r="E1667" s="206"/>
      <c r="F1667" s="206"/>
      <c r="G1667" s="206"/>
      <c r="H1667" s="206"/>
      <c r="I1667" s="104"/>
      <c r="J1667" s="206"/>
      <c r="K1667" s="113"/>
      <c r="L1667" s="113"/>
      <c r="M1667" s="113"/>
      <c r="N1667" s="222"/>
      <c r="O1667" s="113"/>
      <c r="P1667" s="113"/>
      <c r="Q1667" s="113"/>
      <c r="R1667" s="206"/>
      <c r="S1667" s="104"/>
      <c r="T1667" s="206"/>
      <c r="U1667" s="474"/>
      <c r="AH1667" s="87"/>
      <c r="AI1667" s="87"/>
    </row>
    <row r="1668" spans="1:35" hidden="1">
      <c r="H1668" s="220"/>
      <c r="AH1668" s="87"/>
      <c r="AI1668" s="87"/>
    </row>
    <row r="1669" spans="1:35" ht="24" hidden="1" thickBot="1">
      <c r="A1669" s="61">
        <v>56</v>
      </c>
      <c r="B1669" s="704" t="s">
        <v>51</v>
      </c>
      <c r="C1669" s="704"/>
      <c r="D1669" s="704"/>
      <c r="E1669" s="62" t="e">
        <f>VLOOKUP(A1669,PROPONENTES!$B$19:$E$218,2,FALSE)</f>
        <v>#N/A</v>
      </c>
      <c r="F1669" s="63" t="e">
        <f>VLOOKUP(A1669,PROPONENTES!$B$19:$E$218,3,FALSE)</f>
        <v>#N/A</v>
      </c>
      <c r="G1669" s="64"/>
      <c r="H1669" s="64"/>
      <c r="I1669" s="63"/>
      <c r="J1669" s="63"/>
      <c r="K1669" s="65"/>
      <c r="L1669" s="65"/>
      <c r="M1669" s="64"/>
      <c r="N1669" s="64"/>
      <c r="O1669" s="66"/>
      <c r="P1669" s="66"/>
      <c r="Q1669" s="66"/>
      <c r="R1669" s="66"/>
      <c r="S1669" s="67"/>
      <c r="T1669" s="68"/>
      <c r="U1669" s="68"/>
      <c r="AC1669" s="68"/>
      <c r="AD1669" s="68"/>
      <c r="AE1669" s="68"/>
      <c r="AF1669" s="68"/>
      <c r="AG1669" s="68"/>
      <c r="AH1669" s="87"/>
      <c r="AI1669" s="87"/>
    </row>
    <row r="1670" spans="1:35" ht="15.75" hidden="1" customHeight="1">
      <c r="A1670" s="44"/>
      <c r="B1670" s="709" t="s">
        <v>59</v>
      </c>
      <c r="C1670" s="552" t="s">
        <v>60</v>
      </c>
      <c r="D1670" s="70" t="s">
        <v>17</v>
      </c>
      <c r="E1670" s="70"/>
      <c r="F1670" s="70" t="s">
        <v>61</v>
      </c>
      <c r="G1670" s="71"/>
      <c r="H1670" s="699" t="s">
        <v>62</v>
      </c>
      <c r="I1670" s="699" t="s">
        <v>18</v>
      </c>
      <c r="J1670" s="699" t="s">
        <v>63</v>
      </c>
      <c r="K1670" s="699" t="s">
        <v>64</v>
      </c>
      <c r="L1670" s="699" t="s">
        <v>65</v>
      </c>
      <c r="M1670" s="743" t="s">
        <v>66</v>
      </c>
      <c r="N1670" s="699" t="s">
        <v>282</v>
      </c>
      <c r="O1670" s="745" t="s">
        <v>67</v>
      </c>
      <c r="P1670" s="746"/>
      <c r="Q1670" s="102" t="s">
        <v>75</v>
      </c>
      <c r="R1670" s="731" t="s">
        <v>22</v>
      </c>
      <c r="S1670" s="732"/>
      <c r="T1670" s="733"/>
      <c r="U1670" s="712" t="s">
        <v>298</v>
      </c>
      <c r="W1670" s="690" t="s">
        <v>268</v>
      </c>
      <c r="X1670" s="691"/>
      <c r="Y1670" s="692"/>
      <c r="Z1670" s="428"/>
      <c r="AA1670" s="697" t="s">
        <v>315</v>
      </c>
      <c r="AB1670" s="695" t="s">
        <v>322</v>
      </c>
      <c r="AC1670" s="49"/>
      <c r="AD1670" s="690" t="s">
        <v>297</v>
      </c>
      <c r="AE1670" s="691"/>
      <c r="AF1670" s="692"/>
      <c r="AG1670" s="49"/>
      <c r="AH1670" s="87"/>
      <c r="AI1670" s="87"/>
    </row>
    <row r="1671" spans="1:35" ht="72" hidden="1">
      <c r="A1671" s="44"/>
      <c r="B1671" s="710"/>
      <c r="C1671" s="553" t="s">
        <v>68</v>
      </c>
      <c r="D1671" s="73" t="s">
        <v>3</v>
      </c>
      <c r="E1671" s="73" t="s">
        <v>19</v>
      </c>
      <c r="F1671" s="73" t="s">
        <v>69</v>
      </c>
      <c r="G1671" s="74" t="s">
        <v>70</v>
      </c>
      <c r="H1671" s="700"/>
      <c r="I1671" s="700"/>
      <c r="J1671" s="700"/>
      <c r="K1671" s="700"/>
      <c r="L1671" s="700"/>
      <c r="M1671" s="744"/>
      <c r="N1671" s="700"/>
      <c r="O1671" s="553" t="s">
        <v>279</v>
      </c>
      <c r="P1671" s="73" t="s">
        <v>88</v>
      </c>
      <c r="Q1671" s="555" t="s">
        <v>76</v>
      </c>
      <c r="R1671" s="734"/>
      <c r="S1671" s="735"/>
      <c r="T1671" s="736"/>
      <c r="U1671" s="712"/>
      <c r="W1671" s="429" t="s">
        <v>269</v>
      </c>
      <c r="X1671" s="457" t="s">
        <v>278</v>
      </c>
      <c r="Y1671" s="430" t="s">
        <v>324</v>
      </c>
      <c r="Z1671" s="428"/>
      <c r="AA1671" s="698"/>
      <c r="AB1671" s="696"/>
      <c r="AC1671" s="49"/>
      <c r="AD1671" s="429" t="s">
        <v>292</v>
      </c>
      <c r="AE1671" s="431" t="s">
        <v>300</v>
      </c>
      <c r="AF1671" s="468" t="s">
        <v>301</v>
      </c>
      <c r="AG1671" s="49"/>
      <c r="AH1671" s="87"/>
      <c r="AI1671" s="87"/>
    </row>
    <row r="1672" spans="1:35" hidden="1">
      <c r="A1672" s="44"/>
      <c r="B1672" s="76"/>
      <c r="C1672" s="77"/>
      <c r="D1672" s="77"/>
      <c r="E1672" s="77"/>
      <c r="F1672" s="77"/>
      <c r="G1672" s="77"/>
      <c r="H1672" s="77"/>
      <c r="I1672" s="77"/>
      <c r="J1672" s="77"/>
      <c r="K1672" s="77"/>
      <c r="L1672" s="77"/>
      <c r="M1672" s="77"/>
      <c r="N1672" s="77"/>
      <c r="O1672" s="77"/>
      <c r="P1672" s="77"/>
      <c r="Q1672" s="77"/>
      <c r="R1672" s="77"/>
      <c r="S1672" s="78"/>
      <c r="T1672" s="79"/>
      <c r="U1672" s="109"/>
      <c r="V1672" s="49"/>
      <c r="W1672" s="432"/>
      <c r="X1672" s="454"/>
      <c r="Y1672" s="433"/>
      <c r="Z1672" s="6"/>
      <c r="AA1672" s="500"/>
      <c r="AB1672" s="562"/>
      <c r="AC1672" s="49"/>
      <c r="AD1672" s="210"/>
      <c r="AE1672" s="434"/>
      <c r="AF1672" s="435"/>
      <c r="AG1672" s="49"/>
      <c r="AH1672" s="87"/>
      <c r="AI1672" s="87"/>
    </row>
    <row r="1673" spans="1:35" hidden="1">
      <c r="A1673" s="80" t="e">
        <f>"A"&amp;E1669</f>
        <v>#N/A</v>
      </c>
      <c r="B1673" s="81">
        <v>1</v>
      </c>
      <c r="C1673" s="82"/>
      <c r="D1673" s="82"/>
      <c r="E1673" s="82"/>
      <c r="F1673" s="82"/>
      <c r="G1673" s="83"/>
      <c r="H1673" s="83"/>
      <c r="I1673" s="84"/>
      <c r="J1673" s="85"/>
      <c r="K1673" s="382"/>
      <c r="L1673" s="85"/>
      <c r="M1673" s="332" t="str">
        <f t="shared" ref="M1673:M1682" si="484">IF(OR(J1673="",L1673="",H1673="NO"),"",IF(OR(J1673&gt;$P$17,J1673&lt;$O$17,L1673&gt;$P$17,AND(J1673&lt;$O$17,L1673&lt;$O$17)),"FUERA DE RANGO",IF(OR(K1673="---",K1673=""),IF(J1673&gt;=$O$17,ROUND((L1673-J1673+1)/360*12,3),ROUND((L1673-$O$17+1)/360*12,3)),IF(J1673&gt;=$O$17,ROUND((L1673-J1673+1)/360*12-ROUND(K1673,3),3),ROUND((L1673-$O$17+1)/360*12-ROUND(K1673,3),3)))))</f>
        <v/>
      </c>
      <c r="N1673" s="86"/>
      <c r="O1673" s="453" t="str">
        <f>IF(OR(G1673="",N1673=""),"",N1673*G1673)</f>
        <v/>
      </c>
      <c r="P1673" s="538" t="str">
        <f>IF(OR(H1673="",M1673="FUERA DE RANGO"),"",IF(OR(L1673&lt;$O$17,L1673&gt;$P$17,L1673="",H1673="NO"),"",IF(OR(N1673="",O1673=""),"",ROUND(O1673,3))))</f>
        <v/>
      </c>
      <c r="Q1673" s="539" t="str">
        <f t="shared" ref="Q1673:Q1682" si="485">IF(AND(H1673="SI",P1673&lt;&gt;""),ROUND(P1673/M1673,3),"")</f>
        <v/>
      </c>
      <c r="R1673" s="737"/>
      <c r="S1673" s="738"/>
      <c r="T1673" s="739"/>
      <c r="U1673" s="470"/>
      <c r="V1673" s="165"/>
      <c r="W1673" s="446"/>
      <c r="X1673" s="456"/>
      <c r="Y1673" s="436"/>
      <c r="Z1673" s="437"/>
      <c r="AA1673" s="560"/>
      <c r="AB1673" s="561"/>
      <c r="AC1673" s="87"/>
      <c r="AD1673" s="466"/>
      <c r="AE1673" s="456"/>
      <c r="AF1673" s="467"/>
      <c r="AG1673" s="87"/>
      <c r="AH1673" s="87"/>
      <c r="AI1673" s="87"/>
    </row>
    <row r="1674" spans="1:35" hidden="1">
      <c r="A1674" s="80" t="e">
        <f>"B"&amp;E1669</f>
        <v>#N/A</v>
      </c>
      <c r="B1674" s="81">
        <v>2</v>
      </c>
      <c r="C1674" s="106"/>
      <c r="D1674" s="106"/>
      <c r="E1674" s="106"/>
      <c r="F1674" s="106"/>
      <c r="G1674" s="83"/>
      <c r="H1674" s="83"/>
      <c r="I1674" s="84"/>
      <c r="J1674" s="85"/>
      <c r="K1674" s="382"/>
      <c r="L1674" s="85"/>
      <c r="M1674" s="332" t="str">
        <f t="shared" si="484"/>
        <v/>
      </c>
      <c r="N1674" s="86"/>
      <c r="O1674" s="453" t="str">
        <f t="shared" ref="O1674:O1682" si="486">IF(OR(G1674="",N1674=""),"",N1674*G1674)</f>
        <v/>
      </c>
      <c r="P1674" s="538" t="str">
        <f t="shared" ref="P1674:P1682" si="487">IF(OR(H1674="",M1674="FUERA DE RANGO"),"",IF(OR(L1674&lt;$O$17,L1674&gt;$P$17,L1674="",H1674="NO"),"",IF(OR(N1674="",O1674=""),"",ROUND(O1674,3))))</f>
        <v/>
      </c>
      <c r="Q1674" s="539" t="str">
        <f t="shared" si="485"/>
        <v/>
      </c>
      <c r="R1674" s="740"/>
      <c r="S1674" s="741"/>
      <c r="T1674" s="742"/>
      <c r="U1674" s="471"/>
      <c r="V1674" s="165"/>
      <c r="W1674" s="446"/>
      <c r="X1674" s="456"/>
      <c r="Y1674" s="436"/>
      <c r="Z1674" s="437"/>
      <c r="AA1674" s="560"/>
      <c r="AB1674" s="561"/>
      <c r="AC1674" s="87"/>
      <c r="AD1674" s="466"/>
      <c r="AE1674" s="456"/>
      <c r="AF1674" s="467"/>
      <c r="AG1674" s="87"/>
      <c r="AH1674" s="87"/>
      <c r="AI1674" s="87"/>
    </row>
    <row r="1675" spans="1:35" hidden="1">
      <c r="A1675" s="80" t="e">
        <f>"C"&amp;E1669</f>
        <v>#N/A</v>
      </c>
      <c r="B1675" s="88">
        <v>3</v>
      </c>
      <c r="C1675" s="82"/>
      <c r="D1675" s="82"/>
      <c r="E1675" s="82"/>
      <c r="F1675" s="82"/>
      <c r="G1675" s="83"/>
      <c r="H1675" s="83"/>
      <c r="I1675" s="84"/>
      <c r="J1675" s="85"/>
      <c r="K1675" s="382"/>
      <c r="L1675" s="85"/>
      <c r="M1675" s="332" t="str">
        <f t="shared" si="484"/>
        <v/>
      </c>
      <c r="N1675" s="86"/>
      <c r="O1675" s="453" t="str">
        <f t="shared" si="486"/>
        <v/>
      </c>
      <c r="P1675" s="538" t="str">
        <f t="shared" si="487"/>
        <v/>
      </c>
      <c r="Q1675" s="539" t="str">
        <f t="shared" si="485"/>
        <v/>
      </c>
      <c r="R1675" s="706"/>
      <c r="S1675" s="707"/>
      <c r="T1675" s="708"/>
      <c r="U1675" s="472"/>
      <c r="V1675" s="166"/>
      <c r="W1675" s="446"/>
      <c r="X1675" s="456"/>
      <c r="Y1675" s="436"/>
      <c r="Z1675" s="437"/>
      <c r="AA1675" s="560"/>
      <c r="AB1675" s="561"/>
      <c r="AC1675" s="87"/>
      <c r="AD1675" s="466"/>
      <c r="AE1675" s="456"/>
      <c r="AF1675" s="467"/>
      <c r="AG1675" s="87"/>
      <c r="AH1675" s="87"/>
      <c r="AI1675" s="87"/>
    </row>
    <row r="1676" spans="1:35" hidden="1">
      <c r="A1676" s="80" t="e">
        <f>"D"&amp;E1669</f>
        <v>#N/A</v>
      </c>
      <c r="B1676" s="105">
        <v>4</v>
      </c>
      <c r="C1676" s="107"/>
      <c r="D1676" s="107"/>
      <c r="E1676" s="107"/>
      <c r="F1676" s="107"/>
      <c r="G1676" s="83"/>
      <c r="H1676" s="83"/>
      <c r="I1676" s="84"/>
      <c r="J1676" s="85"/>
      <c r="K1676" s="382"/>
      <c r="L1676" s="85"/>
      <c r="M1676" s="332" t="str">
        <f t="shared" si="484"/>
        <v/>
      </c>
      <c r="N1676" s="86"/>
      <c r="O1676" s="453" t="str">
        <f t="shared" si="486"/>
        <v/>
      </c>
      <c r="P1676" s="538" t="str">
        <f t="shared" si="487"/>
        <v/>
      </c>
      <c r="Q1676" s="539" t="str">
        <f t="shared" si="485"/>
        <v/>
      </c>
      <c r="R1676" s="706"/>
      <c r="S1676" s="707"/>
      <c r="T1676" s="708"/>
      <c r="U1676" s="472"/>
      <c r="V1676" s="166"/>
      <c r="W1676" s="446"/>
      <c r="X1676" s="456"/>
      <c r="Y1676" s="436"/>
      <c r="Z1676" s="437"/>
      <c r="AA1676" s="560"/>
      <c r="AB1676" s="561"/>
      <c r="AC1676" s="87"/>
      <c r="AD1676" s="466"/>
      <c r="AE1676" s="456"/>
      <c r="AF1676" s="467"/>
      <c r="AG1676" s="87"/>
      <c r="AH1676" s="87"/>
      <c r="AI1676" s="87"/>
    </row>
    <row r="1677" spans="1:35" hidden="1">
      <c r="A1677" s="80" t="e">
        <f>"E"&amp;E1669</f>
        <v>#N/A</v>
      </c>
      <c r="B1677" s="105">
        <v>5</v>
      </c>
      <c r="C1677" s="107"/>
      <c r="D1677" s="107"/>
      <c r="E1677" s="107"/>
      <c r="F1677" s="107"/>
      <c r="G1677" s="83"/>
      <c r="H1677" s="83"/>
      <c r="I1677" s="84"/>
      <c r="J1677" s="85"/>
      <c r="K1677" s="382"/>
      <c r="L1677" s="85"/>
      <c r="M1677" s="332" t="str">
        <f t="shared" si="484"/>
        <v/>
      </c>
      <c r="N1677" s="86"/>
      <c r="O1677" s="453" t="str">
        <f t="shared" si="486"/>
        <v/>
      </c>
      <c r="P1677" s="538" t="str">
        <f t="shared" si="487"/>
        <v/>
      </c>
      <c r="Q1677" s="539" t="str">
        <f t="shared" si="485"/>
        <v/>
      </c>
      <c r="R1677" s="706"/>
      <c r="S1677" s="707"/>
      <c r="T1677" s="708"/>
      <c r="U1677" s="472"/>
      <c r="V1677" s="167"/>
      <c r="W1677" s="446"/>
      <c r="X1677" s="456"/>
      <c r="Y1677" s="436"/>
      <c r="Z1677" s="437"/>
      <c r="AA1677" s="560"/>
      <c r="AB1677" s="561"/>
      <c r="AC1677" s="87"/>
      <c r="AD1677" s="466"/>
      <c r="AE1677" s="456"/>
      <c r="AF1677" s="467"/>
      <c r="AG1677" s="87"/>
      <c r="AH1677" s="87"/>
      <c r="AI1677" s="87"/>
    </row>
    <row r="1678" spans="1:35" hidden="1">
      <c r="A1678" s="80" t="e">
        <f>"F"&amp;E1669</f>
        <v>#N/A</v>
      </c>
      <c r="B1678" s="105">
        <v>6</v>
      </c>
      <c r="C1678" s="107"/>
      <c r="D1678" s="107"/>
      <c r="E1678" s="107"/>
      <c r="F1678" s="107"/>
      <c r="G1678" s="83"/>
      <c r="H1678" s="83"/>
      <c r="I1678" s="84"/>
      <c r="J1678" s="85"/>
      <c r="K1678" s="382"/>
      <c r="L1678" s="85"/>
      <c r="M1678" s="332" t="str">
        <f t="shared" si="484"/>
        <v/>
      </c>
      <c r="N1678" s="86"/>
      <c r="O1678" s="453" t="str">
        <f t="shared" si="486"/>
        <v/>
      </c>
      <c r="P1678" s="538" t="str">
        <f t="shared" si="487"/>
        <v/>
      </c>
      <c r="Q1678" s="539" t="str">
        <f t="shared" si="485"/>
        <v/>
      </c>
      <c r="R1678" s="706"/>
      <c r="S1678" s="707"/>
      <c r="T1678" s="708"/>
      <c r="U1678" s="472"/>
      <c r="V1678" s="167"/>
      <c r="W1678" s="446"/>
      <c r="X1678" s="456"/>
      <c r="Y1678" s="436"/>
      <c r="Z1678" s="437"/>
      <c r="AA1678" s="560"/>
      <c r="AB1678" s="561"/>
      <c r="AC1678" s="87"/>
      <c r="AD1678" s="466"/>
      <c r="AE1678" s="456"/>
      <c r="AF1678" s="467"/>
      <c r="AG1678" s="87"/>
      <c r="AH1678" s="87"/>
      <c r="AI1678" s="87"/>
    </row>
    <row r="1679" spans="1:35" hidden="1">
      <c r="A1679" s="80" t="e">
        <f>"G"&amp;E1669</f>
        <v>#N/A</v>
      </c>
      <c r="B1679" s="105">
        <v>7</v>
      </c>
      <c r="C1679" s="107"/>
      <c r="D1679" s="107"/>
      <c r="E1679" s="107"/>
      <c r="F1679" s="107"/>
      <c r="G1679" s="83"/>
      <c r="H1679" s="83"/>
      <c r="I1679" s="84"/>
      <c r="J1679" s="85"/>
      <c r="K1679" s="382"/>
      <c r="L1679" s="85"/>
      <c r="M1679" s="332" t="str">
        <f t="shared" si="484"/>
        <v/>
      </c>
      <c r="N1679" s="86"/>
      <c r="O1679" s="86" t="str">
        <f t="shared" si="486"/>
        <v/>
      </c>
      <c r="P1679" s="538" t="str">
        <f t="shared" si="487"/>
        <v/>
      </c>
      <c r="Q1679" s="539" t="str">
        <f t="shared" si="485"/>
        <v/>
      </c>
      <c r="R1679" s="706"/>
      <c r="S1679" s="707"/>
      <c r="T1679" s="708"/>
      <c r="U1679" s="472"/>
      <c r="V1679" s="167"/>
      <c r="W1679" s="446"/>
      <c r="X1679" s="456"/>
      <c r="Y1679" s="436"/>
      <c r="Z1679" s="437"/>
      <c r="AA1679" s="560"/>
      <c r="AB1679" s="561"/>
      <c r="AC1679" s="87"/>
      <c r="AD1679" s="466"/>
      <c r="AE1679" s="456"/>
      <c r="AF1679" s="467"/>
      <c r="AG1679" s="87"/>
      <c r="AH1679" s="87"/>
      <c r="AI1679" s="87"/>
    </row>
    <row r="1680" spans="1:35" hidden="1">
      <c r="A1680" s="80" t="e">
        <f>"H"&amp;E1669</f>
        <v>#N/A</v>
      </c>
      <c r="B1680" s="105">
        <v>8</v>
      </c>
      <c r="C1680" s="107"/>
      <c r="D1680" s="107"/>
      <c r="E1680" s="107"/>
      <c r="F1680" s="107"/>
      <c r="G1680" s="83"/>
      <c r="H1680" s="83"/>
      <c r="I1680" s="84"/>
      <c r="J1680" s="85"/>
      <c r="K1680" s="382"/>
      <c r="L1680" s="85"/>
      <c r="M1680" s="332" t="str">
        <f t="shared" si="484"/>
        <v/>
      </c>
      <c r="N1680" s="453"/>
      <c r="O1680" s="86" t="str">
        <f t="shared" si="486"/>
        <v/>
      </c>
      <c r="P1680" s="538" t="str">
        <f t="shared" si="487"/>
        <v/>
      </c>
      <c r="Q1680" s="539" t="str">
        <f t="shared" si="485"/>
        <v/>
      </c>
      <c r="R1680" s="706"/>
      <c r="S1680" s="707"/>
      <c r="T1680" s="708"/>
      <c r="U1680" s="472"/>
      <c r="V1680" s="167"/>
      <c r="W1680" s="446"/>
      <c r="X1680" s="456"/>
      <c r="Y1680" s="436"/>
      <c r="Z1680" s="437"/>
      <c r="AA1680" s="560"/>
      <c r="AB1680" s="561"/>
      <c r="AC1680" s="87"/>
      <c r="AD1680" s="466"/>
      <c r="AE1680" s="456"/>
      <c r="AF1680" s="467"/>
      <c r="AG1680" s="87"/>
      <c r="AH1680" s="87"/>
      <c r="AI1680" s="87"/>
    </row>
    <row r="1681" spans="1:35" hidden="1">
      <c r="A1681" s="80" t="e">
        <f>"I"&amp;E1669</f>
        <v>#N/A</v>
      </c>
      <c r="B1681" s="105">
        <v>9</v>
      </c>
      <c r="C1681" s="107"/>
      <c r="D1681" s="107"/>
      <c r="E1681" s="107"/>
      <c r="F1681" s="107"/>
      <c r="G1681" s="83"/>
      <c r="H1681" s="83"/>
      <c r="I1681" s="84"/>
      <c r="J1681" s="85"/>
      <c r="K1681" s="382"/>
      <c r="L1681" s="85"/>
      <c r="M1681" s="332" t="str">
        <f t="shared" si="484"/>
        <v/>
      </c>
      <c r="N1681" s="453"/>
      <c r="O1681" s="86" t="str">
        <f t="shared" si="486"/>
        <v/>
      </c>
      <c r="P1681" s="538" t="str">
        <f t="shared" si="487"/>
        <v/>
      </c>
      <c r="Q1681" s="539" t="str">
        <f t="shared" si="485"/>
        <v/>
      </c>
      <c r="R1681" s="706"/>
      <c r="S1681" s="707"/>
      <c r="T1681" s="708"/>
      <c r="U1681" s="472"/>
      <c r="V1681" s="167"/>
      <c r="W1681" s="446"/>
      <c r="X1681" s="456"/>
      <c r="Y1681" s="436"/>
      <c r="Z1681" s="437"/>
      <c r="AA1681" s="560"/>
      <c r="AB1681" s="561"/>
      <c r="AC1681" s="87"/>
      <c r="AD1681" s="466"/>
      <c r="AE1681" s="456"/>
      <c r="AF1681" s="467"/>
      <c r="AG1681" s="87"/>
      <c r="AH1681" s="87"/>
      <c r="AI1681" s="87"/>
    </row>
    <row r="1682" spans="1:35" hidden="1">
      <c r="A1682" s="80" t="e">
        <f>"J"&amp;E1669</f>
        <v>#N/A</v>
      </c>
      <c r="B1682" s="105">
        <v>10</v>
      </c>
      <c r="C1682" s="107"/>
      <c r="D1682" s="107"/>
      <c r="E1682" s="107"/>
      <c r="F1682" s="107"/>
      <c r="G1682" s="83"/>
      <c r="H1682" s="83"/>
      <c r="I1682" s="84"/>
      <c r="J1682" s="85"/>
      <c r="K1682" s="382"/>
      <c r="L1682" s="85"/>
      <c r="M1682" s="332" t="str">
        <f t="shared" si="484"/>
        <v/>
      </c>
      <c r="N1682" s="453"/>
      <c r="O1682" s="86" t="str">
        <f t="shared" si="486"/>
        <v/>
      </c>
      <c r="P1682" s="538" t="str">
        <f t="shared" si="487"/>
        <v/>
      </c>
      <c r="Q1682" s="539" t="str">
        <f t="shared" si="485"/>
        <v/>
      </c>
      <c r="R1682" s="706"/>
      <c r="S1682" s="707"/>
      <c r="T1682" s="708"/>
      <c r="U1682" s="472"/>
      <c r="V1682" s="167"/>
      <c r="W1682" s="446"/>
      <c r="X1682" s="456"/>
      <c r="Y1682" s="436"/>
      <c r="Z1682" s="437"/>
      <c r="AA1682" s="560"/>
      <c r="AB1682" s="561"/>
      <c r="AC1682" s="87"/>
      <c r="AD1682" s="466"/>
      <c r="AE1682" s="456"/>
      <c r="AF1682" s="467"/>
      <c r="AG1682" s="87"/>
      <c r="AH1682" s="87"/>
      <c r="AI1682" s="87"/>
    </row>
    <row r="1683" spans="1:35" ht="16.5" hidden="1" thickBot="1">
      <c r="A1683" s="44"/>
      <c r="B1683" s="89"/>
      <c r="C1683" s="90"/>
      <c r="D1683" s="90"/>
      <c r="E1683" s="90"/>
      <c r="F1683" s="90"/>
      <c r="G1683" s="90"/>
      <c r="H1683" s="90"/>
      <c r="I1683" s="90"/>
      <c r="J1683" s="90"/>
      <c r="K1683" s="90"/>
      <c r="L1683" s="90"/>
      <c r="M1683" s="90"/>
      <c r="N1683" s="90"/>
      <c r="O1683" s="90"/>
      <c r="P1683" s="90"/>
      <c r="Q1683" s="90"/>
      <c r="R1683" s="90"/>
      <c r="S1683" s="91"/>
      <c r="T1683" s="92"/>
      <c r="U1683" s="473"/>
      <c r="W1683" s="438"/>
      <c r="X1683" s="455"/>
      <c r="Y1683" s="439"/>
      <c r="Z1683" s="437"/>
      <c r="AA1683" s="530"/>
      <c r="AB1683" s="563"/>
      <c r="AC1683" s="87"/>
      <c r="AD1683" s="440"/>
      <c r="AE1683" s="441"/>
      <c r="AF1683" s="442"/>
      <c r="AG1683" s="49"/>
      <c r="AH1683" s="87"/>
      <c r="AI1683" s="87"/>
    </row>
    <row r="1684" spans="1:35" ht="16.5" hidden="1" thickBot="1">
      <c r="A1684" s="93"/>
      <c r="B1684" s="94"/>
      <c r="C1684" s="96"/>
      <c r="D1684" s="96"/>
      <c r="E1684" s="96"/>
      <c r="F1684" s="96"/>
      <c r="G1684" s="96"/>
      <c r="H1684" s="96"/>
      <c r="I1684" s="96"/>
      <c r="J1684" s="96"/>
      <c r="K1684" s="96"/>
      <c r="L1684" s="96"/>
      <c r="M1684" s="136"/>
      <c r="N1684" s="96"/>
      <c r="O1684" s="96"/>
      <c r="P1684" s="97"/>
      <c r="Q1684" s="97"/>
      <c r="R1684" s="98"/>
      <c r="S1684" s="95"/>
      <c r="T1684" s="99"/>
      <c r="U1684" s="469"/>
      <c r="AC1684" s="58"/>
      <c r="AG1684" s="58"/>
      <c r="AH1684" s="87"/>
      <c r="AI1684" s="87"/>
    </row>
    <row r="1685" spans="1:35" ht="16.5" hidden="1" thickBot="1">
      <c r="B1685" s="101"/>
      <c r="C1685" s="101"/>
      <c r="D1685" s="101"/>
      <c r="E1685" s="101"/>
      <c r="F1685" s="101"/>
      <c r="G1685" s="101"/>
      <c r="H1685" s="101"/>
      <c r="I1685" s="101"/>
      <c r="J1685" s="101"/>
      <c r="K1685" s="101"/>
      <c r="L1685" s="101"/>
      <c r="M1685" s="101"/>
      <c r="N1685" s="101"/>
      <c r="O1685" s="101"/>
      <c r="P1685" s="101"/>
      <c r="Q1685" s="101"/>
      <c r="R1685" s="101"/>
      <c r="S1685" s="101"/>
      <c r="U1685" s="50"/>
      <c r="AH1685" s="87"/>
      <c r="AI1685" s="87"/>
    </row>
    <row r="1686" spans="1:35" ht="16.5" hidden="1" customHeight="1" thickBot="1">
      <c r="A1686" s="44"/>
      <c r="B1686" s="705" t="s">
        <v>74</v>
      </c>
      <c r="C1686" s="705"/>
      <c r="D1686" s="705"/>
      <c r="E1686" s="705"/>
      <c r="F1686" s="705"/>
      <c r="G1686" s="705"/>
      <c r="H1686" s="705"/>
      <c r="I1686" s="705"/>
      <c r="J1686" s="705"/>
      <c r="K1686" s="705"/>
      <c r="L1686" s="705"/>
      <c r="M1686" s="705"/>
      <c r="N1686" s="705"/>
      <c r="O1686" s="705"/>
      <c r="P1686" s="705"/>
      <c r="Q1686" s="705"/>
      <c r="R1686" s="705"/>
      <c r="S1686" s="705"/>
      <c r="T1686" s="705"/>
      <c r="U1686" s="108"/>
      <c r="Y1686" s="532" t="s">
        <v>341</v>
      </c>
      <c r="AC1686" s="49"/>
      <c r="AD1686" s="687" t="s">
        <v>302</v>
      </c>
      <c r="AE1686" s="688"/>
      <c r="AF1686" s="689"/>
      <c r="AG1686" s="49"/>
      <c r="AH1686" s="87"/>
      <c r="AI1686" s="87"/>
    </row>
    <row r="1687" spans="1:35" ht="15.75" hidden="1" customHeight="1" thickBot="1">
      <c r="A1687" s="218" t="e">
        <f>"K"&amp;E1669</f>
        <v>#N/A</v>
      </c>
      <c r="B1687" s="701" t="s">
        <v>71</v>
      </c>
      <c r="C1687" s="751" t="s">
        <v>102</v>
      </c>
      <c r="D1687" s="751"/>
      <c r="E1687" s="751"/>
      <c r="F1687" s="751"/>
      <c r="G1687" s="751"/>
      <c r="H1687" s="751"/>
      <c r="I1687" s="751"/>
      <c r="J1687" s="751"/>
      <c r="K1687" s="751"/>
      <c r="L1687" s="722" t="s">
        <v>100</v>
      </c>
      <c r="M1687" s="747" t="s">
        <v>114</v>
      </c>
      <c r="N1687" s="747"/>
      <c r="O1687" s="747"/>
      <c r="P1687" s="747"/>
      <c r="Q1687" s="748"/>
      <c r="R1687" s="758" t="s">
        <v>280</v>
      </c>
      <c r="S1687" s="748"/>
      <c r="T1687" s="762" t="str">
        <f>IF(COUNTIF(AE1687:AF1687,"VERIFICAR")&gt;0,"VERIFICAR",IF(COUNTIF(AE1687:AF1687,"NO CUMPLE")&gt;0,"NO CUMPLE","CUMPLE"))</f>
        <v>VERIFICAR</v>
      </c>
      <c r="U1687" s="108"/>
      <c r="Y1687" s="533" t="e">
        <f>IF(F1688="","",IF(F1688=1,"INDIVIDUAL","ESTRUCTURA PLURAL"))</f>
        <v>#N/A</v>
      </c>
      <c r="AC1687" s="52"/>
      <c r="AD1687" s="475" t="s">
        <v>303</v>
      </c>
      <c r="AE1687" s="476" t="str">
        <f>IF(COUNTIF(AE1673:AE1682,"")=10,"VERIFICAR",IF(COUNTIF(AE1673:AE1682,"SI")&gt;0,"CUMPLE","NO CUMPLE"))</f>
        <v>VERIFICAR</v>
      </c>
      <c r="AF1687" s="477" t="str">
        <f>IF(COUNTIF(AF1673:AF1682,"")=10,"VERIFICAR",IF(COUNTIF(AF1673:AF1682,"SI")&gt;=$AI$22,"CUMPLE","NO CUMPLE"))</f>
        <v>VERIFICAR</v>
      </c>
      <c r="AG1687" s="52"/>
      <c r="AH1687" s="87"/>
      <c r="AI1687" s="87"/>
    </row>
    <row r="1688" spans="1:35" ht="16.5" hidden="1" customHeight="1" thickBot="1">
      <c r="A1688" s="218" t="e">
        <f>"L"&amp;E1669</f>
        <v>#N/A</v>
      </c>
      <c r="B1688" s="702"/>
      <c r="C1688" s="751" t="s">
        <v>103</v>
      </c>
      <c r="D1688" s="751"/>
      <c r="E1688" s="752"/>
      <c r="F1688" s="557" t="e">
        <f>IF(VLOOKUP(E1669,PROPONENTES!$C$19:$E$218,3,0)="","",VLOOKUP(E1669,PROPONENTES!$C$19:$E$218,3,0))</f>
        <v>#N/A</v>
      </c>
      <c r="G1688" s="753" t="s">
        <v>104</v>
      </c>
      <c r="H1688" s="751"/>
      <c r="I1688" s="715" t="e">
        <f>IF(OR(F1688="",F1688=1),"INTERESADO PERSONA NATURAL O JURIDICA","CONSORCIO O UNION TEMPORAL")</f>
        <v>#N/A</v>
      </c>
      <c r="J1688" s="725"/>
      <c r="K1688" s="728"/>
      <c r="L1688" s="723"/>
      <c r="M1688" s="749"/>
      <c r="N1688" s="749"/>
      <c r="O1688" s="749"/>
      <c r="P1688" s="749"/>
      <c r="Q1688" s="750"/>
      <c r="R1688" s="712"/>
      <c r="S1688" s="750"/>
      <c r="T1688" s="763"/>
      <c r="U1688" s="108"/>
      <c r="Y1688" s="534"/>
      <c r="AA1688" s="52"/>
      <c r="AB1688" s="52"/>
      <c r="AC1688" s="52"/>
      <c r="AG1688" s="52"/>
      <c r="AH1688" s="87"/>
      <c r="AI1688" s="87"/>
    </row>
    <row r="1689" spans="1:35" ht="56.25" hidden="1" customHeight="1" thickBot="1">
      <c r="A1689" s="218" t="e">
        <f>"M"&amp;E1669</f>
        <v>#N/A</v>
      </c>
      <c r="B1689" s="702"/>
      <c r="C1689" s="725" t="s">
        <v>101</v>
      </c>
      <c r="D1689" s="716"/>
      <c r="E1689" s="558" t="s">
        <v>105</v>
      </c>
      <c r="F1689" s="554" t="s">
        <v>87</v>
      </c>
      <c r="G1689" s="553" t="s">
        <v>86</v>
      </c>
      <c r="H1689" s="559" t="s">
        <v>85</v>
      </c>
      <c r="I1689" s="554" t="s">
        <v>252</v>
      </c>
      <c r="J1689" s="553" t="str">
        <f>"¿EL INTEGRANTE TIENE UNA PARTICIPACIÓN DEL "&amp;PORCREQUERIDOINT*100&amp;"%?"</f>
        <v>¿EL INTEGRANTE TIENE UNA PARTICIPACIÓN DEL 60%?</v>
      </c>
      <c r="K1689" s="554" t="s">
        <v>107</v>
      </c>
      <c r="L1689" s="724"/>
      <c r="M1689" s="717" t="s">
        <v>115</v>
      </c>
      <c r="N1689" s="718"/>
      <c r="O1689" s="718"/>
      <c r="P1689" s="718"/>
      <c r="Q1689" s="223">
        <f>IF(AND(H1673="SI",P1673&gt;=0),1,0)+IF(AND(H1674="SI",P1674&gt;=0),1,0)+IF(AND(H1675="SI",P1675&gt;=0),1,0)+IF(AND(H1676="SI",P1676&gt;=0),1,0)+IF(AND(H1677="SI",P1677&gt;=0),1,0)+IF(AND(H1678="SI",P1678&gt;=0),1,0)+IF(AND(H1679="SI",P1679&gt;=0),1,0)+IF(AND(H1680="SI",P1680&gt;=0),1,0)+IF(AND(H1681="SI",P1681&gt;=0),1,0)+IF(AND(H1682="SI",P1682&gt;=0),1,0)</f>
        <v>0</v>
      </c>
      <c r="R1689" s="759"/>
      <c r="S1689" s="761"/>
      <c r="T1689" s="764"/>
      <c r="U1689" s="219"/>
      <c r="V1689" s="464"/>
      <c r="Y1689" s="532" t="s">
        <v>342</v>
      </c>
      <c r="AA1689" s="550" t="s">
        <v>344</v>
      </c>
      <c r="AB1689" s="693" t="s">
        <v>345</v>
      </c>
      <c r="AC1689" s="693" t="s">
        <v>346</v>
      </c>
      <c r="AD1689" s="685" t="s">
        <v>347</v>
      </c>
      <c r="AE1689" s="52"/>
      <c r="AF1689" s="52"/>
      <c r="AG1689" s="52"/>
      <c r="AH1689" s="87"/>
      <c r="AI1689" s="87"/>
    </row>
    <row r="1690" spans="1:35" ht="15.75" hidden="1" customHeight="1" thickBot="1">
      <c r="A1690" s="218" t="e">
        <f>"N"&amp;E1669</f>
        <v>#N/A</v>
      </c>
      <c r="B1690" s="702"/>
      <c r="C1690" s="114">
        <v>1</v>
      </c>
      <c r="D1690" s="194" t="e">
        <f>IF(AND(C1690&lt;=F1688,F1688&gt;1,F1688&lt;&gt;""),VLOOKUP(VALUE(E1669&amp;","&amp;C1690),INTEGRANTES!$D$18:$F$235,2,0),"")</f>
        <v>#N/A</v>
      </c>
      <c r="E1690" s="211" t="e">
        <f>IF(D1690&lt;&gt;"",VLOOKUP(VALUE(E1669&amp;","&amp;C1690),INTEGRANTES!$D$18:$F$235,3,0),"")</f>
        <v>#N/A</v>
      </c>
      <c r="F1690" s="547" t="e">
        <f>IF(D1690="","",SUMIF($I1673:$I1682,D1690,$P1673:$P1682))</f>
        <v>#N/A</v>
      </c>
      <c r="G1690" s="333" t="e">
        <f>IF(D1690="","",SUMIF($I1673:$I1682,D1690,$M1673:$M1682))</f>
        <v>#N/A</v>
      </c>
      <c r="H1690" s="535" t="e">
        <f t="shared" ref="H1690:H1695" si="488">IF(D1690="","",IF(OR(F1690=0,G1690=0),"NO APORTA",ROUND($F1690/$G1690,3)))</f>
        <v>#N/A</v>
      </c>
      <c r="I1690" s="212" t="e">
        <f>IF(D1690="","",IF(H1690="NO APORTA","NO",IF(H1690=MAX($H1690:$H1695),"SI","NO")))</f>
        <v>#N/A</v>
      </c>
      <c r="J1690" s="213" t="e">
        <f t="shared" ref="J1690:J1695" si="489">IF(D1690="","",IF(E1690&gt;=PORCREQUERIDOINT,"SI","NO"))</f>
        <v>#N/A</v>
      </c>
      <c r="K1690" s="200" t="e">
        <f t="shared" ref="K1690:K1695" si="490">IF(D1690="","",IF(AND(I1690="SI",J1690="SI"),"CUMPLE",IF(AND(I1690="NO",OR(J1690="SI",J1690="NO")),"","NO CUMPLE")))</f>
        <v>#N/A</v>
      </c>
      <c r="L1690" s="722" t="s">
        <v>108</v>
      </c>
      <c r="M1690" s="726" t="s">
        <v>119</v>
      </c>
      <c r="N1690" s="726"/>
      <c r="O1690" s="726"/>
      <c r="P1690" s="726"/>
      <c r="Q1690" s="727"/>
      <c r="R1690" s="758" t="s">
        <v>80</v>
      </c>
      <c r="S1690" s="747"/>
      <c r="T1690" s="748"/>
      <c r="U1690" s="219"/>
      <c r="V1690" s="464"/>
      <c r="Y1690" s="533" t="e">
        <f>IF(Y1687="","",IF(Y1687="INDIVIDUAL","NO APLICA","VERIFICAR CUADRO"))</f>
        <v>#N/A</v>
      </c>
      <c r="AA1690" s="551"/>
      <c r="AB1690" s="694"/>
      <c r="AC1690" s="694"/>
      <c r="AD1690" s="686"/>
      <c r="AE1690" s="52"/>
      <c r="AF1690" s="52"/>
      <c r="AG1690" s="52"/>
      <c r="AH1690" s="87"/>
      <c r="AI1690" s="87"/>
    </row>
    <row r="1691" spans="1:35" ht="27" hidden="1" customHeight="1" thickBot="1">
      <c r="A1691" s="218" t="e">
        <f>"O"&amp;E1669</f>
        <v>#N/A</v>
      </c>
      <c r="B1691" s="702"/>
      <c r="C1691" s="114">
        <v>2</v>
      </c>
      <c r="D1691" s="194" t="e">
        <f>IF(AND(C1691&lt;=F1688,F1688&lt;&gt;""),VLOOKUP(VALUE(E1669&amp;","&amp;C1691),INTEGRANTES!$D$18:$F$235,2,0),"")</f>
        <v>#N/A</v>
      </c>
      <c r="E1691" s="211" t="e">
        <f>IF(D1691&lt;&gt;"",VLOOKUP(VALUE(E1669&amp;","&amp;C1691),INTEGRANTES!$D$18:$F$235,3,0),"")</f>
        <v>#N/A</v>
      </c>
      <c r="F1691" s="547" t="e">
        <f>IF(D1691="","",SUMIF($I1673:$I1682,D1691,$P1673:$P1682))</f>
        <v>#N/A</v>
      </c>
      <c r="G1691" s="333" t="e">
        <f>IF(D1691="","",SUMIF($I1673:$I1682,D1691,$M1673:$M1682))</f>
        <v>#N/A</v>
      </c>
      <c r="H1691" s="535" t="e">
        <f t="shared" si="488"/>
        <v>#N/A</v>
      </c>
      <c r="I1691" s="212" t="e">
        <f>IF(D1691="","",IF(H1691="NO APORTA","NO",IF(H1691=MAX($H1690:$H1695),"SI","NO")))</f>
        <v>#N/A</v>
      </c>
      <c r="J1691" s="213" t="e">
        <f t="shared" si="489"/>
        <v>#N/A</v>
      </c>
      <c r="K1691" s="200" t="e">
        <f t="shared" si="490"/>
        <v>#N/A</v>
      </c>
      <c r="L1691" s="723"/>
      <c r="M1691" s="715" t="s">
        <v>116</v>
      </c>
      <c r="N1691" s="716"/>
      <c r="O1691" s="556" t="s">
        <v>113</v>
      </c>
      <c r="P1691" s="715" t="s">
        <v>117</v>
      </c>
      <c r="Q1691" s="728"/>
      <c r="R1691" s="759"/>
      <c r="S1691" s="760"/>
      <c r="T1691" s="761"/>
      <c r="U1691" s="219"/>
      <c r="V1691" s="464"/>
      <c r="Y1691" s="414"/>
      <c r="AA1691" s="542" t="e">
        <f>IF(AND(C1690&lt;=F1688,F1688&gt;1,F1688&lt;&gt;""),VLOOKUP(VALUE(E1669&amp;","&amp;C1690),INTEGRANTES!$D$18:$F$235,2,0),"")</f>
        <v>#N/A</v>
      </c>
      <c r="AB1691" s="544" t="e">
        <f t="shared" ref="AB1691:AB1696" si="491">IF(D1690="","",IF(OR(F1690=0,G1690=0),"NO APORTA",ROUND($F1690/$G1690,3)))</f>
        <v>#N/A</v>
      </c>
      <c r="AC1691" s="529"/>
      <c r="AD1691" s="200" t="e">
        <f t="shared" ref="AD1691:AD1696" si="492">IF(OR(AA1691="",AB1691=""),"",IF(AND(AC1691="X",AB1691&gt;=EXPREQVTD),"CUMPLE","NO CUMPLE"))</f>
        <v>#N/A</v>
      </c>
      <c r="AE1691" s="52"/>
      <c r="AF1691" s="52"/>
      <c r="AG1691" s="52"/>
      <c r="AH1691" s="87"/>
      <c r="AI1691" s="87"/>
    </row>
    <row r="1692" spans="1:35" ht="16.5" hidden="1" thickBot="1">
      <c r="A1692" s="218" t="e">
        <f>"P"&amp;E1669</f>
        <v>#N/A</v>
      </c>
      <c r="B1692" s="702"/>
      <c r="C1692" s="114">
        <v>3</v>
      </c>
      <c r="D1692" s="194" t="e">
        <f>IF(AND(C1692&lt;=F1688,F1688&lt;&gt;""),VLOOKUP(VALUE(E1669&amp;","&amp;C1692),INTEGRANTES!$D$18:$F$235,2,0),"")</f>
        <v>#N/A</v>
      </c>
      <c r="E1692" s="211" t="e">
        <f>IF(D1692&lt;&gt;"",VLOOKUP(VALUE(E1669&amp;","&amp;C1692),INTEGRANTES!$D$18:$F$235,3,0),"")</f>
        <v>#N/A</v>
      </c>
      <c r="F1692" s="547" t="e">
        <f>IF(D1692="","",SUMIF($I1673:$I1682,D1692,$P1673:$P1682))</f>
        <v>#N/A</v>
      </c>
      <c r="G1692" s="333" t="e">
        <f>IF(D1692="","",SUMIF($I1673:$I1682,D1692,$M1673:$M1682))</f>
        <v>#N/A</v>
      </c>
      <c r="H1692" s="535" t="e">
        <f t="shared" si="488"/>
        <v>#N/A</v>
      </c>
      <c r="I1692" s="212" t="e">
        <f>IF(D1692="","",IF(H1692="NO APORTA","NO",IF(H1692=MAX($H1690:$H1695),"SI","NO")))</f>
        <v>#N/A</v>
      </c>
      <c r="J1692" s="213" t="e">
        <f t="shared" si="489"/>
        <v>#N/A</v>
      </c>
      <c r="K1692" s="200" t="e">
        <f t="shared" si="490"/>
        <v>#N/A</v>
      </c>
      <c r="L1692" s="724"/>
      <c r="M1692" s="729">
        <f>NUMMOD</f>
        <v>1</v>
      </c>
      <c r="N1692" s="730"/>
      <c r="O1692" s="443">
        <f>IF(M1692="","",VLOOKUP(M1692,PRESUPUESTOS!$B$16:$H$16,5,FALSE))</f>
        <v>2</v>
      </c>
      <c r="P1692" s="713">
        <f>IF(OR(COUNTIF(M1673:M1682,"")&gt;=10,Q1689&lt;NUMMINCONT,OR(T1687="NO CUMPLE",T1687="VERIFICAR")),0,ROUND(AVERAGE(M1673:M1682),3))</f>
        <v>0</v>
      </c>
      <c r="Q1692" s="714"/>
      <c r="R1692" s="458"/>
      <c r="S1692" s="459"/>
      <c r="T1692" s="460"/>
      <c r="U1692" s="219"/>
      <c r="V1692" s="464"/>
      <c r="Y1692" s="532" t="str">
        <f>"40% * ("&amp;PRESUPUESTOS!$H$13&amp;")"</f>
        <v>40% * (50% PFMO)</v>
      </c>
      <c r="AA1692" s="540" t="e">
        <f>IF(AND(C1691&lt;=F1688,F1688&lt;&gt;""),VLOOKUP(VALUE(E1669&amp;","&amp;C1691),INTEGRANTES!$D$18:$F$235,2,0),"")</f>
        <v>#N/A</v>
      </c>
      <c r="AB1692" s="545" t="e">
        <f t="shared" si="491"/>
        <v>#N/A</v>
      </c>
      <c r="AC1692" s="529"/>
      <c r="AD1692" s="200" t="e">
        <f t="shared" si="492"/>
        <v>#N/A</v>
      </c>
      <c r="AE1692" s="52"/>
      <c r="AF1692" s="52"/>
      <c r="AG1692" s="52"/>
      <c r="AH1692" s="87"/>
      <c r="AI1692" s="87"/>
    </row>
    <row r="1693" spans="1:35" ht="15.75" hidden="1" customHeight="1" thickBot="1">
      <c r="A1693" s="218" t="e">
        <f>"Q"&amp;E1669</f>
        <v>#N/A</v>
      </c>
      <c r="B1693" s="702"/>
      <c r="C1693" s="114">
        <v>4</v>
      </c>
      <c r="D1693" s="194" t="e">
        <f>IF(AND(C1693&lt;=F1688,F1688&lt;&gt;""),VLOOKUP(VALUE(E1669&amp;","&amp;C1693),INTEGRANTES!$D$18:$F$235,2,0),"")</f>
        <v>#N/A</v>
      </c>
      <c r="E1693" s="211" t="e">
        <f>IF(D1693&lt;&gt;"",VLOOKUP(VALUE(E1669&amp;","&amp;C1693),INTEGRANTES!$D$18:$F$235,3,0),"")</f>
        <v>#N/A</v>
      </c>
      <c r="F1693" s="547" t="e">
        <f>IF(D1693="","",SUMIF($I1673:$I1682,D1693,$P1673:$P1682))</f>
        <v>#N/A</v>
      </c>
      <c r="G1693" s="333" t="e">
        <f>IF(D1693="","",SUMIF($I1673:$I1682,D1693,$M1673:$M1682))</f>
        <v>#N/A</v>
      </c>
      <c r="H1693" s="535" t="e">
        <f t="shared" si="488"/>
        <v>#N/A</v>
      </c>
      <c r="I1693" s="212" t="e">
        <f>IF(D1693="","",IF(H1693="NO APORTA","NO",IF(H1693=MAX($H1690:$H1695),"SI","NO")))</f>
        <v>#N/A</v>
      </c>
      <c r="J1693" s="213" t="e">
        <f t="shared" si="489"/>
        <v>#N/A</v>
      </c>
      <c r="K1693" s="200" t="e">
        <f t="shared" si="490"/>
        <v>#N/A</v>
      </c>
      <c r="L1693" s="720" t="s">
        <v>109</v>
      </c>
      <c r="M1693" s="757" t="s">
        <v>120</v>
      </c>
      <c r="N1693" s="726"/>
      <c r="O1693" s="726"/>
      <c r="P1693" s="726"/>
      <c r="Q1693" s="727"/>
      <c r="R1693" s="458"/>
      <c r="S1693" s="459"/>
      <c r="T1693" s="460"/>
      <c r="U1693" s="219"/>
      <c r="V1693" s="464"/>
      <c r="Y1693" s="537">
        <f>0.4*PRESUPUESTOS!$H$16</f>
        <v>10.3124</v>
      </c>
      <c r="AA1693" s="540" t="e">
        <f>IF(AND(C1692&lt;=F1688,F1688&lt;&gt;""),VLOOKUP(VALUE(E1669&amp;","&amp;C1692),INTEGRANTES!$D$18:$F$235,2,0),"")</f>
        <v>#N/A</v>
      </c>
      <c r="AB1693" s="545" t="e">
        <f t="shared" si="491"/>
        <v>#N/A</v>
      </c>
      <c r="AC1693" s="529"/>
      <c r="AD1693" s="200" t="e">
        <f t="shared" si="492"/>
        <v>#N/A</v>
      </c>
      <c r="AE1693" s="52"/>
      <c r="AF1693" s="52"/>
      <c r="AG1693" s="52"/>
      <c r="AH1693" s="87"/>
      <c r="AI1693" s="87"/>
    </row>
    <row r="1694" spans="1:35" ht="27" hidden="1" customHeight="1" thickBot="1">
      <c r="A1694" s="218" t="e">
        <f>"R"&amp;E1669</f>
        <v>#N/A</v>
      </c>
      <c r="B1694" s="702"/>
      <c r="C1694" s="114">
        <v>5</v>
      </c>
      <c r="D1694" s="194" t="e">
        <f>IF(AND(C1694&lt;=F1688,F1688&lt;&gt;""),VLOOKUP(VALUE(E1669&amp;","&amp;C1694),INTEGRANTES!$D$18:$F$235,2,0),"")</f>
        <v>#N/A</v>
      </c>
      <c r="E1694" s="211" t="e">
        <f>IF(D1694&lt;&gt;"",VLOOKUP(VALUE(E1669&amp;","&amp;C1694),INTEGRANTES!$D$18:$F$235,3,0),"")</f>
        <v>#N/A</v>
      </c>
      <c r="F1694" s="547" t="e">
        <f>IF(D1694="","",SUMIF($I1673:$I1682,D1694,$P1673:$P1682))</f>
        <v>#N/A</v>
      </c>
      <c r="G1694" s="333" t="e">
        <f>IF(D1694="","",SUMIF($I1673:$I1682,D1694,$M1673:$M1682))</f>
        <v>#N/A</v>
      </c>
      <c r="H1694" s="535" t="e">
        <f t="shared" si="488"/>
        <v>#N/A</v>
      </c>
      <c r="I1694" s="212" t="e">
        <f>IF(D1694="","",IF(H1694="NO APORTA","NO",IF(H1694=MAX($H1690:$H1695),"SI","NO")))</f>
        <v>#N/A</v>
      </c>
      <c r="J1694" s="213" t="e">
        <f t="shared" si="489"/>
        <v>#N/A</v>
      </c>
      <c r="K1694" s="200" t="e">
        <f t="shared" si="490"/>
        <v>#N/A</v>
      </c>
      <c r="L1694" s="721"/>
      <c r="M1694" s="715" t="s">
        <v>116</v>
      </c>
      <c r="N1694" s="716"/>
      <c r="O1694" s="556" t="str">
        <f>PORCREQUERIDO*100&amp;"% PMFO DEL MÓDULO"</f>
        <v>50% PMFO DEL MÓDULO</v>
      </c>
      <c r="P1694" s="715" t="s">
        <v>118</v>
      </c>
      <c r="Q1694" s="728"/>
      <c r="R1694" s="458"/>
      <c r="S1694" s="459"/>
      <c r="T1694" s="460"/>
      <c r="U1694" s="219"/>
      <c r="V1694" s="464"/>
      <c r="Y1694" s="414"/>
      <c r="AA1694" s="540" t="e">
        <f>IF(AND(C1693&lt;=F1688,F1688&lt;&gt;""),VLOOKUP(VALUE(E1669&amp;","&amp;C1693),INTEGRANTES!$D$18:$F$235,2,0),"")</f>
        <v>#N/A</v>
      </c>
      <c r="AB1694" s="545" t="e">
        <f t="shared" si="491"/>
        <v>#N/A</v>
      </c>
      <c r="AC1694" s="529"/>
      <c r="AD1694" s="200" t="e">
        <f t="shared" si="492"/>
        <v>#N/A</v>
      </c>
      <c r="AE1694" s="52"/>
      <c r="AF1694" s="52"/>
      <c r="AG1694" s="52"/>
      <c r="AH1694" s="87"/>
      <c r="AI1694" s="87"/>
    </row>
    <row r="1695" spans="1:35" ht="16.5" hidden="1" thickBot="1">
      <c r="A1695" s="218" t="e">
        <f>"S"&amp;E1669</f>
        <v>#N/A</v>
      </c>
      <c r="B1695" s="702"/>
      <c r="C1695" s="215">
        <v>6</v>
      </c>
      <c r="D1695" s="216" t="e">
        <f>IF(AND(C1695&lt;=F1688,F1688&lt;&gt;""),VLOOKUP(VALUE(E1669&amp;","&amp;C1695),INTEGRANTES!$D$18:$F$235,2,0),"")</f>
        <v>#N/A</v>
      </c>
      <c r="E1695" s="217" t="e">
        <f>IF(D1695&lt;&gt;"",VLOOKUP(VALUE(E1669&amp;","&amp;C1695),INTEGRANTES!$D$18:$F$235,3,0),"")</f>
        <v>#N/A</v>
      </c>
      <c r="F1695" s="548" t="e">
        <f>IF(D1695="","",SUMIF($I1673:$I1682,D1695,$P1673:$P1682))</f>
        <v>#N/A</v>
      </c>
      <c r="G1695" s="334" t="e">
        <f>IF(D1695="","",SUMIF($I1673:$I1682,D1695,$M1673:$M1682))</f>
        <v>#N/A</v>
      </c>
      <c r="H1695" s="536" t="e">
        <f t="shared" si="488"/>
        <v>#N/A</v>
      </c>
      <c r="I1695" s="214" t="e">
        <f>IF(D1695="","",IF(H1695="NO APORTA","NO",IF(H1695=MAX($H1690:$H1695),"SI","NO")))</f>
        <v>#N/A</v>
      </c>
      <c r="J1695" s="213" t="e">
        <f t="shared" si="489"/>
        <v>#N/A</v>
      </c>
      <c r="K1695" s="200" t="e">
        <f t="shared" si="490"/>
        <v>#N/A</v>
      </c>
      <c r="L1695" s="721"/>
      <c r="M1695" s="729">
        <f>NUMMOD</f>
        <v>1</v>
      </c>
      <c r="N1695" s="730"/>
      <c r="O1695" s="443">
        <f>IF(M1695="","",ROUND(VLOOKUP(M1695,PRESUPUESTOS!$B$16:$H$16,7,FALSE),3))</f>
        <v>25.780999999999999</v>
      </c>
      <c r="P1695" s="713">
        <f>IF(OR(COUNTIF(P1673:P1682,"")&gt;=10,Q1689&lt;NUMMINCONT,OR(T1687="NO CUMPLE",T1687="VERIFICAR")),0,ROUND((SUM(P1673:P1682)/SUM(M1673:M1682)),3))</f>
        <v>0</v>
      </c>
      <c r="Q1695" s="714"/>
      <c r="R1695" s="458"/>
      <c r="S1695" s="459"/>
      <c r="T1695" s="460"/>
      <c r="U1695" s="219"/>
      <c r="V1695" s="464"/>
      <c r="Y1695" s="532" t="s">
        <v>343</v>
      </c>
      <c r="AA1695" s="540" t="e">
        <f>IF(AND(C1694&lt;=F1688,F1688&lt;&gt;""),VLOOKUP(VALUE(E1669&amp;","&amp;C1694),INTEGRANTES!$D$18:$F$235,2,0),"")</f>
        <v>#N/A</v>
      </c>
      <c r="AB1695" s="545" t="e">
        <f t="shared" si="491"/>
        <v>#N/A</v>
      </c>
      <c r="AC1695" s="529"/>
      <c r="AD1695" s="200" t="e">
        <f t="shared" si="492"/>
        <v>#N/A</v>
      </c>
      <c r="AE1695" s="52"/>
      <c r="AF1695" s="52"/>
      <c r="AG1695" s="52"/>
      <c r="AH1695" s="87"/>
      <c r="AI1695" s="87"/>
    </row>
    <row r="1696" spans="1:35" ht="16.5" hidden="1" customHeight="1" thickBot="1">
      <c r="A1696" s="218" t="e">
        <f>"T"&amp;E1669</f>
        <v>#N/A</v>
      </c>
      <c r="B1696" s="703"/>
      <c r="C1696" s="719"/>
      <c r="D1696" s="719"/>
      <c r="E1696" s="719"/>
      <c r="F1696" s="719"/>
      <c r="G1696" s="719"/>
      <c r="H1696" s="719" t="s">
        <v>110</v>
      </c>
      <c r="I1696" s="719"/>
      <c r="J1696" s="719"/>
      <c r="K1696" s="201" t="str">
        <f>IF(COUNTIF(K1690:K1695,"")=6,"",IF(COUNTIF(K1690:K1695,"CUMPLE")&gt;0,"CUMPLE","NO CUMPLE"))</f>
        <v>NO CUMPLE</v>
      </c>
      <c r="L1696" s="754"/>
      <c r="M1696" s="755"/>
      <c r="N1696" s="755"/>
      <c r="O1696" s="755"/>
      <c r="P1696" s="755"/>
      <c r="Q1696" s="756"/>
      <c r="R1696" s="461"/>
      <c r="S1696" s="462"/>
      <c r="T1696" s="463"/>
      <c r="U1696" s="219"/>
      <c r="V1696" s="464"/>
      <c r="Y1696" s="549" t="e">
        <f>IF(Y1690="NO APLICA","NO APLICA",IF(COUNTIF(AD1691:AD1696,"CUMPLE")&gt;0,"CUMPLE","NO CUMPLE"))</f>
        <v>#N/A</v>
      </c>
      <c r="AA1696" s="541" t="e">
        <f>IF(AND(C1695&lt;=F1688,F1688&lt;&gt;""),VLOOKUP(VALUE(E1669&amp;","&amp;C1695),INTEGRANTES!$D$18:$F$235,2,0),"")</f>
        <v>#N/A</v>
      </c>
      <c r="AB1696" s="546" t="e">
        <f t="shared" si="491"/>
        <v>#N/A</v>
      </c>
      <c r="AC1696" s="543"/>
      <c r="AD1696" s="201" t="e">
        <f t="shared" si="492"/>
        <v>#N/A</v>
      </c>
      <c r="AE1696" s="52"/>
      <c r="AF1696" s="52"/>
      <c r="AG1696" s="52"/>
      <c r="AH1696" s="87"/>
      <c r="AI1696" s="87"/>
    </row>
    <row r="1697" spans="1:35" hidden="1">
      <c r="AH1697" s="87"/>
      <c r="AI1697" s="87"/>
    </row>
    <row r="1698" spans="1:35" hidden="1">
      <c r="AH1698" s="87"/>
      <c r="AI1698" s="87"/>
    </row>
    <row r="1699" spans="1:35" ht="24" hidden="1" thickBot="1">
      <c r="A1699" s="61">
        <v>57</v>
      </c>
      <c r="B1699" s="704" t="s">
        <v>51</v>
      </c>
      <c r="C1699" s="704"/>
      <c r="D1699" s="704"/>
      <c r="E1699" s="62" t="e">
        <f>VLOOKUP(A1699,PROPONENTES!$B$19:$E$218,2,FALSE)</f>
        <v>#N/A</v>
      </c>
      <c r="F1699" s="63" t="e">
        <f>VLOOKUP(A1699,PROPONENTES!$B$19:$E$218,3,FALSE)</f>
        <v>#N/A</v>
      </c>
      <c r="G1699" s="64"/>
      <c r="H1699" s="64"/>
      <c r="I1699" s="63"/>
      <c r="J1699" s="63"/>
      <c r="K1699" s="65"/>
      <c r="L1699" s="65"/>
      <c r="M1699" s="64"/>
      <c r="N1699" s="64"/>
      <c r="O1699" s="66"/>
      <c r="P1699" s="66"/>
      <c r="Q1699" s="66"/>
      <c r="R1699" s="66"/>
      <c r="S1699" s="67"/>
      <c r="T1699" s="68"/>
      <c r="U1699" s="68"/>
      <c r="AC1699" s="68"/>
      <c r="AD1699" s="68"/>
      <c r="AE1699" s="68"/>
      <c r="AF1699" s="68"/>
      <c r="AG1699" s="68"/>
      <c r="AH1699" s="87"/>
      <c r="AI1699" s="87"/>
    </row>
    <row r="1700" spans="1:35" ht="15.75" hidden="1" customHeight="1">
      <c r="A1700" s="44"/>
      <c r="B1700" s="709" t="s">
        <v>59</v>
      </c>
      <c r="C1700" s="552" t="s">
        <v>60</v>
      </c>
      <c r="D1700" s="70" t="s">
        <v>17</v>
      </c>
      <c r="E1700" s="70"/>
      <c r="F1700" s="70" t="s">
        <v>61</v>
      </c>
      <c r="G1700" s="71"/>
      <c r="H1700" s="699" t="s">
        <v>62</v>
      </c>
      <c r="I1700" s="699" t="s">
        <v>18</v>
      </c>
      <c r="J1700" s="699" t="s">
        <v>63</v>
      </c>
      <c r="K1700" s="699" t="s">
        <v>64</v>
      </c>
      <c r="L1700" s="699" t="s">
        <v>65</v>
      </c>
      <c r="M1700" s="743" t="s">
        <v>66</v>
      </c>
      <c r="N1700" s="699" t="s">
        <v>282</v>
      </c>
      <c r="O1700" s="745" t="s">
        <v>67</v>
      </c>
      <c r="P1700" s="746"/>
      <c r="Q1700" s="102" t="s">
        <v>75</v>
      </c>
      <c r="R1700" s="731" t="s">
        <v>22</v>
      </c>
      <c r="S1700" s="732"/>
      <c r="T1700" s="733"/>
      <c r="U1700" s="712" t="s">
        <v>298</v>
      </c>
      <c r="W1700" s="690" t="s">
        <v>268</v>
      </c>
      <c r="X1700" s="691"/>
      <c r="Y1700" s="692"/>
      <c r="Z1700" s="428"/>
      <c r="AA1700" s="697" t="s">
        <v>315</v>
      </c>
      <c r="AB1700" s="695" t="s">
        <v>322</v>
      </c>
      <c r="AC1700" s="49"/>
      <c r="AD1700" s="690" t="s">
        <v>297</v>
      </c>
      <c r="AE1700" s="691"/>
      <c r="AF1700" s="692"/>
      <c r="AG1700" s="49"/>
      <c r="AH1700" s="87"/>
      <c r="AI1700" s="87"/>
    </row>
    <row r="1701" spans="1:35" ht="72" hidden="1">
      <c r="A1701" s="44"/>
      <c r="B1701" s="710"/>
      <c r="C1701" s="553" t="s">
        <v>68</v>
      </c>
      <c r="D1701" s="73" t="s">
        <v>3</v>
      </c>
      <c r="E1701" s="73" t="s">
        <v>19</v>
      </c>
      <c r="F1701" s="73" t="s">
        <v>69</v>
      </c>
      <c r="G1701" s="74" t="s">
        <v>70</v>
      </c>
      <c r="H1701" s="700"/>
      <c r="I1701" s="700"/>
      <c r="J1701" s="700"/>
      <c r="K1701" s="700"/>
      <c r="L1701" s="700"/>
      <c r="M1701" s="744"/>
      <c r="N1701" s="700"/>
      <c r="O1701" s="553" t="s">
        <v>279</v>
      </c>
      <c r="P1701" s="73" t="s">
        <v>88</v>
      </c>
      <c r="Q1701" s="555" t="s">
        <v>76</v>
      </c>
      <c r="R1701" s="734"/>
      <c r="S1701" s="735"/>
      <c r="T1701" s="736"/>
      <c r="U1701" s="712"/>
      <c r="W1701" s="429" t="s">
        <v>269</v>
      </c>
      <c r="X1701" s="457" t="s">
        <v>278</v>
      </c>
      <c r="Y1701" s="430" t="s">
        <v>324</v>
      </c>
      <c r="Z1701" s="428"/>
      <c r="AA1701" s="698"/>
      <c r="AB1701" s="696"/>
      <c r="AC1701" s="49"/>
      <c r="AD1701" s="429" t="s">
        <v>292</v>
      </c>
      <c r="AE1701" s="431" t="s">
        <v>300</v>
      </c>
      <c r="AF1701" s="468" t="s">
        <v>301</v>
      </c>
      <c r="AG1701" s="49"/>
      <c r="AH1701" s="87"/>
      <c r="AI1701" s="87"/>
    </row>
    <row r="1702" spans="1:35" hidden="1">
      <c r="A1702" s="44"/>
      <c r="B1702" s="76"/>
      <c r="C1702" s="77"/>
      <c r="D1702" s="77"/>
      <c r="E1702" s="77"/>
      <c r="F1702" s="77"/>
      <c r="G1702" s="77"/>
      <c r="H1702" s="77"/>
      <c r="I1702" s="77"/>
      <c r="J1702" s="77"/>
      <c r="K1702" s="77"/>
      <c r="L1702" s="77"/>
      <c r="M1702" s="77"/>
      <c r="N1702" s="77"/>
      <c r="O1702" s="77"/>
      <c r="P1702" s="77"/>
      <c r="Q1702" s="77"/>
      <c r="R1702" s="77"/>
      <c r="S1702" s="78"/>
      <c r="T1702" s="79"/>
      <c r="U1702" s="109"/>
      <c r="V1702" s="49"/>
      <c r="W1702" s="432"/>
      <c r="X1702" s="454"/>
      <c r="Y1702" s="433"/>
      <c r="Z1702" s="6"/>
      <c r="AA1702" s="500"/>
      <c r="AB1702" s="562"/>
      <c r="AC1702" s="49"/>
      <c r="AD1702" s="210"/>
      <c r="AE1702" s="434"/>
      <c r="AF1702" s="435"/>
      <c r="AG1702" s="49"/>
      <c r="AH1702" s="87"/>
      <c r="AI1702" s="87"/>
    </row>
    <row r="1703" spans="1:35" hidden="1">
      <c r="A1703" s="80" t="e">
        <f>"A"&amp;E1699</f>
        <v>#N/A</v>
      </c>
      <c r="B1703" s="81">
        <v>1</v>
      </c>
      <c r="C1703" s="82"/>
      <c r="D1703" s="82"/>
      <c r="E1703" s="82"/>
      <c r="F1703" s="82"/>
      <c r="G1703" s="83"/>
      <c r="H1703" s="83"/>
      <c r="I1703" s="84"/>
      <c r="J1703" s="85"/>
      <c r="K1703" s="382"/>
      <c r="L1703" s="85"/>
      <c r="M1703" s="332" t="str">
        <f t="shared" ref="M1703:M1712" si="493">IF(OR(J1703="",L1703="",H1703="NO"),"",IF(OR(J1703&gt;$P$17,J1703&lt;$O$17,L1703&gt;$P$17,AND(J1703&lt;$O$17,L1703&lt;$O$17)),"FUERA DE RANGO",IF(OR(K1703="---",K1703=""),IF(J1703&gt;=$O$17,ROUND((L1703-J1703+1)/360*12,3),ROUND((L1703-$O$17+1)/360*12,3)),IF(J1703&gt;=$O$17,ROUND((L1703-J1703+1)/360*12-ROUND(K1703,3),3),ROUND((L1703-$O$17+1)/360*12-ROUND(K1703,3),3)))))</f>
        <v/>
      </c>
      <c r="N1703" s="86"/>
      <c r="O1703" s="453" t="str">
        <f>IF(OR(G1703="",N1703=""),"",N1703*G1703)</f>
        <v/>
      </c>
      <c r="P1703" s="538" t="str">
        <f>IF(OR(H1703="",M1703="FUERA DE RANGO"),"",IF(OR(L1703&lt;$O$17,L1703&gt;$P$17,L1703="",H1703="NO"),"",IF(OR(N1703="",O1703=""),"",ROUND(O1703,3))))</f>
        <v/>
      </c>
      <c r="Q1703" s="539" t="str">
        <f t="shared" ref="Q1703:Q1712" si="494">IF(AND(H1703="SI",P1703&lt;&gt;""),ROUND(P1703/M1703,3),"")</f>
        <v/>
      </c>
      <c r="R1703" s="737"/>
      <c r="S1703" s="738"/>
      <c r="T1703" s="739"/>
      <c r="U1703" s="470"/>
      <c r="V1703" s="165"/>
      <c r="W1703" s="446"/>
      <c r="X1703" s="456"/>
      <c r="Y1703" s="436"/>
      <c r="Z1703" s="437"/>
      <c r="AA1703" s="560"/>
      <c r="AB1703" s="561"/>
      <c r="AC1703" s="87"/>
      <c r="AD1703" s="466"/>
      <c r="AE1703" s="456"/>
      <c r="AF1703" s="467"/>
      <c r="AG1703" s="87"/>
      <c r="AH1703" s="87"/>
      <c r="AI1703" s="87"/>
    </row>
    <row r="1704" spans="1:35" hidden="1">
      <c r="A1704" s="80" t="e">
        <f>"B"&amp;E1699</f>
        <v>#N/A</v>
      </c>
      <c r="B1704" s="81">
        <v>2</v>
      </c>
      <c r="C1704" s="106"/>
      <c r="D1704" s="106"/>
      <c r="E1704" s="106"/>
      <c r="F1704" s="106"/>
      <c r="G1704" s="83"/>
      <c r="H1704" s="83"/>
      <c r="I1704" s="84"/>
      <c r="J1704" s="85"/>
      <c r="K1704" s="382"/>
      <c r="L1704" s="85"/>
      <c r="M1704" s="332" t="str">
        <f t="shared" si="493"/>
        <v/>
      </c>
      <c r="N1704" s="86"/>
      <c r="O1704" s="453" t="str">
        <f t="shared" ref="O1704:O1712" si="495">IF(OR(G1704="",N1704=""),"",N1704*G1704)</f>
        <v/>
      </c>
      <c r="P1704" s="538" t="str">
        <f t="shared" ref="P1704:P1712" si="496">IF(OR(H1704="",M1704="FUERA DE RANGO"),"",IF(OR(L1704&lt;$O$17,L1704&gt;$P$17,L1704="",H1704="NO"),"",IF(OR(N1704="",O1704=""),"",ROUND(O1704,3))))</f>
        <v/>
      </c>
      <c r="Q1704" s="539" t="str">
        <f t="shared" si="494"/>
        <v/>
      </c>
      <c r="R1704" s="740"/>
      <c r="S1704" s="741"/>
      <c r="T1704" s="742"/>
      <c r="U1704" s="471"/>
      <c r="V1704" s="165"/>
      <c r="W1704" s="446"/>
      <c r="X1704" s="456"/>
      <c r="Y1704" s="436"/>
      <c r="Z1704" s="437"/>
      <c r="AA1704" s="560"/>
      <c r="AB1704" s="561"/>
      <c r="AC1704" s="87"/>
      <c r="AD1704" s="466"/>
      <c r="AE1704" s="456"/>
      <c r="AF1704" s="467"/>
      <c r="AG1704" s="87"/>
      <c r="AH1704" s="87"/>
      <c r="AI1704" s="87"/>
    </row>
    <row r="1705" spans="1:35" hidden="1">
      <c r="A1705" s="80" t="e">
        <f>"C"&amp;E1699</f>
        <v>#N/A</v>
      </c>
      <c r="B1705" s="88">
        <v>3</v>
      </c>
      <c r="C1705" s="82"/>
      <c r="D1705" s="82"/>
      <c r="E1705" s="82"/>
      <c r="F1705" s="82"/>
      <c r="G1705" s="83"/>
      <c r="H1705" s="83"/>
      <c r="I1705" s="84"/>
      <c r="J1705" s="85"/>
      <c r="K1705" s="382"/>
      <c r="L1705" s="85"/>
      <c r="M1705" s="332" t="str">
        <f t="shared" si="493"/>
        <v/>
      </c>
      <c r="N1705" s="86"/>
      <c r="O1705" s="453" t="str">
        <f t="shared" si="495"/>
        <v/>
      </c>
      <c r="P1705" s="538" t="str">
        <f t="shared" si="496"/>
        <v/>
      </c>
      <c r="Q1705" s="539" t="str">
        <f t="shared" si="494"/>
        <v/>
      </c>
      <c r="R1705" s="706"/>
      <c r="S1705" s="707"/>
      <c r="T1705" s="708"/>
      <c r="U1705" s="472"/>
      <c r="V1705" s="166"/>
      <c r="W1705" s="446"/>
      <c r="X1705" s="456"/>
      <c r="Y1705" s="436"/>
      <c r="Z1705" s="437"/>
      <c r="AA1705" s="560"/>
      <c r="AB1705" s="561"/>
      <c r="AC1705" s="87"/>
      <c r="AD1705" s="466"/>
      <c r="AE1705" s="456"/>
      <c r="AF1705" s="467"/>
      <c r="AG1705" s="87"/>
      <c r="AH1705" s="87"/>
      <c r="AI1705" s="87"/>
    </row>
    <row r="1706" spans="1:35" hidden="1">
      <c r="A1706" s="80" t="e">
        <f>"D"&amp;E1699</f>
        <v>#N/A</v>
      </c>
      <c r="B1706" s="105">
        <v>4</v>
      </c>
      <c r="C1706" s="107"/>
      <c r="D1706" s="107"/>
      <c r="E1706" s="107"/>
      <c r="F1706" s="107"/>
      <c r="G1706" s="83"/>
      <c r="H1706" s="83"/>
      <c r="I1706" s="84"/>
      <c r="J1706" s="85"/>
      <c r="K1706" s="382"/>
      <c r="L1706" s="85"/>
      <c r="M1706" s="332" t="str">
        <f t="shared" si="493"/>
        <v/>
      </c>
      <c r="N1706" s="86"/>
      <c r="O1706" s="453" t="str">
        <f t="shared" si="495"/>
        <v/>
      </c>
      <c r="P1706" s="538" t="str">
        <f t="shared" si="496"/>
        <v/>
      </c>
      <c r="Q1706" s="539" t="str">
        <f t="shared" si="494"/>
        <v/>
      </c>
      <c r="R1706" s="706"/>
      <c r="S1706" s="707"/>
      <c r="T1706" s="708"/>
      <c r="U1706" s="472"/>
      <c r="V1706" s="166"/>
      <c r="W1706" s="446"/>
      <c r="X1706" s="456"/>
      <c r="Y1706" s="436"/>
      <c r="Z1706" s="437"/>
      <c r="AA1706" s="560"/>
      <c r="AB1706" s="561"/>
      <c r="AC1706" s="87"/>
      <c r="AD1706" s="466"/>
      <c r="AE1706" s="456"/>
      <c r="AF1706" s="467"/>
      <c r="AG1706" s="87"/>
      <c r="AH1706" s="87"/>
      <c r="AI1706" s="87"/>
    </row>
    <row r="1707" spans="1:35" hidden="1">
      <c r="A1707" s="80" t="e">
        <f>"E"&amp;E1699</f>
        <v>#N/A</v>
      </c>
      <c r="B1707" s="105">
        <v>5</v>
      </c>
      <c r="C1707" s="107"/>
      <c r="D1707" s="107"/>
      <c r="E1707" s="107"/>
      <c r="F1707" s="107"/>
      <c r="G1707" s="83"/>
      <c r="H1707" s="83"/>
      <c r="I1707" s="84"/>
      <c r="J1707" s="85"/>
      <c r="K1707" s="382"/>
      <c r="L1707" s="85"/>
      <c r="M1707" s="332" t="str">
        <f t="shared" si="493"/>
        <v/>
      </c>
      <c r="N1707" s="86"/>
      <c r="O1707" s="453" t="str">
        <f t="shared" si="495"/>
        <v/>
      </c>
      <c r="P1707" s="538" t="str">
        <f t="shared" si="496"/>
        <v/>
      </c>
      <c r="Q1707" s="539" t="str">
        <f t="shared" si="494"/>
        <v/>
      </c>
      <c r="R1707" s="706"/>
      <c r="S1707" s="707"/>
      <c r="T1707" s="708"/>
      <c r="U1707" s="472"/>
      <c r="V1707" s="167"/>
      <c r="W1707" s="446"/>
      <c r="X1707" s="456"/>
      <c r="Y1707" s="436"/>
      <c r="Z1707" s="437"/>
      <c r="AA1707" s="560"/>
      <c r="AB1707" s="561"/>
      <c r="AC1707" s="87"/>
      <c r="AD1707" s="466"/>
      <c r="AE1707" s="456"/>
      <c r="AF1707" s="467"/>
      <c r="AG1707" s="87"/>
      <c r="AH1707" s="87"/>
      <c r="AI1707" s="87"/>
    </row>
    <row r="1708" spans="1:35" hidden="1">
      <c r="A1708" s="80" t="e">
        <f>"F"&amp;E1699</f>
        <v>#N/A</v>
      </c>
      <c r="B1708" s="105">
        <v>6</v>
      </c>
      <c r="C1708" s="107"/>
      <c r="D1708" s="107"/>
      <c r="E1708" s="107"/>
      <c r="F1708" s="107"/>
      <c r="G1708" s="83"/>
      <c r="H1708" s="83"/>
      <c r="I1708" s="84"/>
      <c r="J1708" s="85"/>
      <c r="K1708" s="382"/>
      <c r="L1708" s="85"/>
      <c r="M1708" s="332" t="str">
        <f t="shared" si="493"/>
        <v/>
      </c>
      <c r="N1708" s="86"/>
      <c r="O1708" s="453" t="str">
        <f t="shared" si="495"/>
        <v/>
      </c>
      <c r="P1708" s="538" t="str">
        <f t="shared" si="496"/>
        <v/>
      </c>
      <c r="Q1708" s="539" t="str">
        <f t="shared" si="494"/>
        <v/>
      </c>
      <c r="R1708" s="706"/>
      <c r="S1708" s="707"/>
      <c r="T1708" s="708"/>
      <c r="U1708" s="472"/>
      <c r="V1708" s="167"/>
      <c r="W1708" s="446"/>
      <c r="X1708" s="456"/>
      <c r="Y1708" s="436"/>
      <c r="Z1708" s="437"/>
      <c r="AA1708" s="560"/>
      <c r="AB1708" s="561"/>
      <c r="AC1708" s="87"/>
      <c r="AD1708" s="466"/>
      <c r="AE1708" s="456"/>
      <c r="AF1708" s="467"/>
      <c r="AG1708" s="87"/>
      <c r="AH1708" s="87"/>
      <c r="AI1708" s="87"/>
    </row>
    <row r="1709" spans="1:35" hidden="1">
      <c r="A1709" s="80" t="e">
        <f>"G"&amp;E1699</f>
        <v>#N/A</v>
      </c>
      <c r="B1709" s="105">
        <v>7</v>
      </c>
      <c r="C1709" s="107"/>
      <c r="D1709" s="107"/>
      <c r="E1709" s="107"/>
      <c r="F1709" s="107"/>
      <c r="G1709" s="83"/>
      <c r="H1709" s="83"/>
      <c r="I1709" s="84"/>
      <c r="J1709" s="85"/>
      <c r="K1709" s="382"/>
      <c r="L1709" s="85"/>
      <c r="M1709" s="332" t="str">
        <f t="shared" si="493"/>
        <v/>
      </c>
      <c r="N1709" s="86"/>
      <c r="O1709" s="86" t="str">
        <f t="shared" si="495"/>
        <v/>
      </c>
      <c r="P1709" s="538" t="str">
        <f t="shared" si="496"/>
        <v/>
      </c>
      <c r="Q1709" s="539" t="str">
        <f t="shared" si="494"/>
        <v/>
      </c>
      <c r="R1709" s="706"/>
      <c r="S1709" s="707"/>
      <c r="T1709" s="708"/>
      <c r="U1709" s="472"/>
      <c r="V1709" s="167"/>
      <c r="W1709" s="446"/>
      <c r="X1709" s="456"/>
      <c r="Y1709" s="436"/>
      <c r="Z1709" s="437"/>
      <c r="AA1709" s="560"/>
      <c r="AB1709" s="561"/>
      <c r="AC1709" s="87"/>
      <c r="AD1709" s="466"/>
      <c r="AE1709" s="456"/>
      <c r="AF1709" s="467"/>
      <c r="AG1709" s="87"/>
      <c r="AH1709" s="87"/>
      <c r="AI1709" s="87"/>
    </row>
    <row r="1710" spans="1:35" hidden="1">
      <c r="A1710" s="80" t="e">
        <f>"H"&amp;E1699</f>
        <v>#N/A</v>
      </c>
      <c r="B1710" s="105">
        <v>8</v>
      </c>
      <c r="C1710" s="107"/>
      <c r="D1710" s="107"/>
      <c r="E1710" s="107"/>
      <c r="F1710" s="107"/>
      <c r="G1710" s="83"/>
      <c r="H1710" s="83"/>
      <c r="I1710" s="84"/>
      <c r="J1710" s="85"/>
      <c r="K1710" s="382"/>
      <c r="L1710" s="85"/>
      <c r="M1710" s="332" t="str">
        <f t="shared" si="493"/>
        <v/>
      </c>
      <c r="N1710" s="453"/>
      <c r="O1710" s="86" t="str">
        <f t="shared" si="495"/>
        <v/>
      </c>
      <c r="P1710" s="538" t="str">
        <f t="shared" si="496"/>
        <v/>
      </c>
      <c r="Q1710" s="539" t="str">
        <f t="shared" si="494"/>
        <v/>
      </c>
      <c r="R1710" s="706"/>
      <c r="S1710" s="707"/>
      <c r="T1710" s="708"/>
      <c r="U1710" s="472"/>
      <c r="V1710" s="167"/>
      <c r="W1710" s="446"/>
      <c r="X1710" s="456"/>
      <c r="Y1710" s="436"/>
      <c r="Z1710" s="437"/>
      <c r="AA1710" s="560"/>
      <c r="AB1710" s="561"/>
      <c r="AC1710" s="87"/>
      <c r="AD1710" s="466"/>
      <c r="AE1710" s="456"/>
      <c r="AF1710" s="467"/>
      <c r="AG1710" s="87"/>
      <c r="AH1710" s="87"/>
      <c r="AI1710" s="87"/>
    </row>
    <row r="1711" spans="1:35" hidden="1">
      <c r="A1711" s="80" t="e">
        <f>"I"&amp;E1699</f>
        <v>#N/A</v>
      </c>
      <c r="B1711" s="105">
        <v>9</v>
      </c>
      <c r="C1711" s="107"/>
      <c r="D1711" s="107"/>
      <c r="E1711" s="107"/>
      <c r="F1711" s="107"/>
      <c r="G1711" s="83"/>
      <c r="H1711" s="83"/>
      <c r="I1711" s="84"/>
      <c r="J1711" s="85"/>
      <c r="K1711" s="382"/>
      <c r="L1711" s="85"/>
      <c r="M1711" s="332" t="str">
        <f t="shared" si="493"/>
        <v/>
      </c>
      <c r="N1711" s="453"/>
      <c r="O1711" s="86" t="str">
        <f t="shared" si="495"/>
        <v/>
      </c>
      <c r="P1711" s="538" t="str">
        <f t="shared" si="496"/>
        <v/>
      </c>
      <c r="Q1711" s="539" t="str">
        <f t="shared" si="494"/>
        <v/>
      </c>
      <c r="R1711" s="706"/>
      <c r="S1711" s="707"/>
      <c r="T1711" s="708"/>
      <c r="U1711" s="472"/>
      <c r="V1711" s="167"/>
      <c r="W1711" s="446"/>
      <c r="X1711" s="456"/>
      <c r="Y1711" s="436"/>
      <c r="Z1711" s="437"/>
      <c r="AA1711" s="560"/>
      <c r="AB1711" s="561"/>
      <c r="AC1711" s="87"/>
      <c r="AD1711" s="466"/>
      <c r="AE1711" s="456"/>
      <c r="AF1711" s="467"/>
      <c r="AG1711" s="87"/>
      <c r="AH1711" s="87"/>
      <c r="AI1711" s="87"/>
    </row>
    <row r="1712" spans="1:35" hidden="1">
      <c r="A1712" s="80" t="e">
        <f>"J"&amp;E1699</f>
        <v>#N/A</v>
      </c>
      <c r="B1712" s="105">
        <v>10</v>
      </c>
      <c r="C1712" s="107"/>
      <c r="D1712" s="107"/>
      <c r="E1712" s="107"/>
      <c r="F1712" s="107"/>
      <c r="G1712" s="83"/>
      <c r="H1712" s="83"/>
      <c r="I1712" s="84"/>
      <c r="J1712" s="85"/>
      <c r="K1712" s="382"/>
      <c r="L1712" s="85"/>
      <c r="M1712" s="332" t="str">
        <f t="shared" si="493"/>
        <v/>
      </c>
      <c r="N1712" s="453"/>
      <c r="O1712" s="86" t="str">
        <f t="shared" si="495"/>
        <v/>
      </c>
      <c r="P1712" s="538" t="str">
        <f t="shared" si="496"/>
        <v/>
      </c>
      <c r="Q1712" s="539" t="str">
        <f t="shared" si="494"/>
        <v/>
      </c>
      <c r="R1712" s="706"/>
      <c r="S1712" s="707"/>
      <c r="T1712" s="708"/>
      <c r="U1712" s="472"/>
      <c r="V1712" s="167"/>
      <c r="W1712" s="446"/>
      <c r="X1712" s="456"/>
      <c r="Y1712" s="436"/>
      <c r="Z1712" s="437"/>
      <c r="AA1712" s="560"/>
      <c r="AB1712" s="561"/>
      <c r="AC1712" s="87"/>
      <c r="AD1712" s="466"/>
      <c r="AE1712" s="456"/>
      <c r="AF1712" s="467"/>
      <c r="AG1712" s="87"/>
      <c r="AH1712" s="87"/>
      <c r="AI1712" s="87"/>
    </row>
    <row r="1713" spans="1:35" ht="16.5" hidden="1" thickBot="1">
      <c r="A1713" s="44"/>
      <c r="B1713" s="89"/>
      <c r="C1713" s="90"/>
      <c r="D1713" s="90"/>
      <c r="E1713" s="90"/>
      <c r="F1713" s="90"/>
      <c r="G1713" s="90"/>
      <c r="H1713" s="90"/>
      <c r="I1713" s="90"/>
      <c r="J1713" s="90"/>
      <c r="K1713" s="90"/>
      <c r="L1713" s="90"/>
      <c r="M1713" s="90"/>
      <c r="N1713" s="90"/>
      <c r="O1713" s="90"/>
      <c r="P1713" s="90"/>
      <c r="Q1713" s="90"/>
      <c r="R1713" s="90"/>
      <c r="S1713" s="91"/>
      <c r="T1713" s="92"/>
      <c r="U1713" s="473"/>
      <c r="W1713" s="438"/>
      <c r="X1713" s="455"/>
      <c r="Y1713" s="439"/>
      <c r="Z1713" s="437"/>
      <c r="AA1713" s="530"/>
      <c r="AB1713" s="563"/>
      <c r="AC1713" s="87"/>
      <c r="AD1713" s="440"/>
      <c r="AE1713" s="441"/>
      <c r="AF1713" s="442"/>
      <c r="AG1713" s="49"/>
      <c r="AH1713" s="87"/>
      <c r="AI1713" s="87"/>
    </row>
    <row r="1714" spans="1:35" ht="16.5" hidden="1" thickBot="1">
      <c r="A1714" s="93"/>
      <c r="B1714" s="94"/>
      <c r="C1714" s="96"/>
      <c r="D1714" s="96"/>
      <c r="E1714" s="96"/>
      <c r="F1714" s="96"/>
      <c r="G1714" s="96"/>
      <c r="H1714" s="96"/>
      <c r="I1714" s="96"/>
      <c r="J1714" s="96"/>
      <c r="K1714" s="96"/>
      <c r="L1714" s="96"/>
      <c r="M1714" s="136"/>
      <c r="N1714" s="96"/>
      <c r="O1714" s="96"/>
      <c r="P1714" s="97"/>
      <c r="Q1714" s="97"/>
      <c r="R1714" s="98"/>
      <c r="S1714" s="95"/>
      <c r="T1714" s="99"/>
      <c r="U1714" s="469"/>
      <c r="AC1714" s="58"/>
      <c r="AG1714" s="58"/>
      <c r="AH1714" s="87"/>
      <c r="AI1714" s="87"/>
    </row>
    <row r="1715" spans="1:35" ht="16.5" hidden="1" thickBot="1">
      <c r="B1715" s="101"/>
      <c r="C1715" s="101"/>
      <c r="D1715" s="101"/>
      <c r="E1715" s="101"/>
      <c r="F1715" s="101"/>
      <c r="G1715" s="101"/>
      <c r="H1715" s="101"/>
      <c r="I1715" s="101"/>
      <c r="J1715" s="101"/>
      <c r="K1715" s="101"/>
      <c r="L1715" s="101"/>
      <c r="M1715" s="101"/>
      <c r="N1715" s="101"/>
      <c r="O1715" s="101"/>
      <c r="P1715" s="101"/>
      <c r="Q1715" s="101"/>
      <c r="R1715" s="101"/>
      <c r="S1715" s="101"/>
      <c r="U1715" s="50"/>
      <c r="AH1715" s="87"/>
      <c r="AI1715" s="87"/>
    </row>
    <row r="1716" spans="1:35" ht="16.5" hidden="1" customHeight="1" thickBot="1">
      <c r="A1716" s="44"/>
      <c r="B1716" s="705" t="s">
        <v>74</v>
      </c>
      <c r="C1716" s="705"/>
      <c r="D1716" s="705"/>
      <c r="E1716" s="705"/>
      <c r="F1716" s="705"/>
      <c r="G1716" s="705"/>
      <c r="H1716" s="705"/>
      <c r="I1716" s="705"/>
      <c r="J1716" s="705"/>
      <c r="K1716" s="705"/>
      <c r="L1716" s="705"/>
      <c r="M1716" s="705"/>
      <c r="N1716" s="705"/>
      <c r="O1716" s="705"/>
      <c r="P1716" s="705"/>
      <c r="Q1716" s="705"/>
      <c r="R1716" s="705"/>
      <c r="S1716" s="705"/>
      <c r="T1716" s="705"/>
      <c r="U1716" s="108"/>
      <c r="Y1716" s="532" t="s">
        <v>341</v>
      </c>
      <c r="AC1716" s="49"/>
      <c r="AD1716" s="687" t="s">
        <v>302</v>
      </c>
      <c r="AE1716" s="688"/>
      <c r="AF1716" s="689"/>
      <c r="AG1716" s="49"/>
      <c r="AH1716" s="87"/>
      <c r="AI1716" s="87"/>
    </row>
    <row r="1717" spans="1:35" ht="15.75" hidden="1" customHeight="1" thickBot="1">
      <c r="A1717" s="218" t="e">
        <f>"K"&amp;E1699</f>
        <v>#N/A</v>
      </c>
      <c r="B1717" s="701" t="s">
        <v>71</v>
      </c>
      <c r="C1717" s="751" t="s">
        <v>102</v>
      </c>
      <c r="D1717" s="751"/>
      <c r="E1717" s="751"/>
      <c r="F1717" s="751"/>
      <c r="G1717" s="751"/>
      <c r="H1717" s="751"/>
      <c r="I1717" s="751"/>
      <c r="J1717" s="751"/>
      <c r="K1717" s="751"/>
      <c r="L1717" s="722" t="s">
        <v>100</v>
      </c>
      <c r="M1717" s="747" t="s">
        <v>114</v>
      </c>
      <c r="N1717" s="747"/>
      <c r="O1717" s="747"/>
      <c r="P1717" s="747"/>
      <c r="Q1717" s="748"/>
      <c r="R1717" s="758" t="s">
        <v>280</v>
      </c>
      <c r="S1717" s="748"/>
      <c r="T1717" s="762" t="str">
        <f>IF(COUNTIF(AE1717:AF1717,"VERIFICAR")&gt;0,"VERIFICAR",IF(COUNTIF(AE1717:AF1717,"NO CUMPLE")&gt;0,"NO CUMPLE","CUMPLE"))</f>
        <v>VERIFICAR</v>
      </c>
      <c r="U1717" s="108"/>
      <c r="Y1717" s="533" t="e">
        <f>IF(F1718="","",IF(F1718=1,"INDIVIDUAL","ESTRUCTURA PLURAL"))</f>
        <v>#N/A</v>
      </c>
      <c r="AC1717" s="52"/>
      <c r="AD1717" s="475" t="s">
        <v>303</v>
      </c>
      <c r="AE1717" s="476" t="str">
        <f>IF(COUNTIF(AE1703:AE1712,"")=10,"VERIFICAR",IF(COUNTIF(AE1703:AE1712,"SI")&gt;0,"CUMPLE","NO CUMPLE"))</f>
        <v>VERIFICAR</v>
      </c>
      <c r="AF1717" s="477" t="str">
        <f>IF(COUNTIF(AF1703:AF1712,"")=10,"VERIFICAR",IF(COUNTIF(AF1703:AF1712,"SI")&gt;=$AI$22,"CUMPLE","NO CUMPLE"))</f>
        <v>VERIFICAR</v>
      </c>
      <c r="AG1717" s="52"/>
      <c r="AH1717" s="87"/>
      <c r="AI1717" s="87"/>
    </row>
    <row r="1718" spans="1:35" ht="16.5" hidden="1" customHeight="1" thickBot="1">
      <c r="A1718" s="218" t="e">
        <f>"L"&amp;E1699</f>
        <v>#N/A</v>
      </c>
      <c r="B1718" s="702"/>
      <c r="C1718" s="751" t="s">
        <v>103</v>
      </c>
      <c r="D1718" s="751"/>
      <c r="E1718" s="752"/>
      <c r="F1718" s="557" t="e">
        <f>IF(VLOOKUP(E1699,PROPONENTES!$C$19:$E$218,3,0)="","",VLOOKUP(E1699,PROPONENTES!$C$19:$E$218,3,0))</f>
        <v>#N/A</v>
      </c>
      <c r="G1718" s="753" t="s">
        <v>104</v>
      </c>
      <c r="H1718" s="751"/>
      <c r="I1718" s="715" t="e">
        <f>IF(OR(F1718="",F1718=1),"INTERESADO PERSONA NATURAL O JURIDICA","CONSORCIO O UNION TEMPORAL")</f>
        <v>#N/A</v>
      </c>
      <c r="J1718" s="725"/>
      <c r="K1718" s="728"/>
      <c r="L1718" s="723"/>
      <c r="M1718" s="749"/>
      <c r="N1718" s="749"/>
      <c r="O1718" s="749"/>
      <c r="P1718" s="749"/>
      <c r="Q1718" s="750"/>
      <c r="R1718" s="712"/>
      <c r="S1718" s="750"/>
      <c r="T1718" s="763"/>
      <c r="U1718" s="108"/>
      <c r="Y1718" s="534"/>
      <c r="AA1718" s="52"/>
      <c r="AB1718" s="52"/>
      <c r="AC1718" s="52"/>
      <c r="AG1718" s="52"/>
      <c r="AH1718" s="87"/>
      <c r="AI1718" s="87"/>
    </row>
    <row r="1719" spans="1:35" ht="56.25" hidden="1" customHeight="1" thickBot="1">
      <c r="A1719" s="218" t="e">
        <f>"M"&amp;E1699</f>
        <v>#N/A</v>
      </c>
      <c r="B1719" s="702"/>
      <c r="C1719" s="725" t="s">
        <v>101</v>
      </c>
      <c r="D1719" s="716"/>
      <c r="E1719" s="558" t="s">
        <v>105</v>
      </c>
      <c r="F1719" s="554" t="s">
        <v>87</v>
      </c>
      <c r="G1719" s="553" t="s">
        <v>86</v>
      </c>
      <c r="H1719" s="559" t="s">
        <v>85</v>
      </c>
      <c r="I1719" s="554" t="s">
        <v>252</v>
      </c>
      <c r="J1719" s="553" t="str">
        <f>"¿EL INTEGRANTE TIENE UNA PARTICIPACIÓN DEL "&amp;PORCREQUERIDOINT*100&amp;"%?"</f>
        <v>¿EL INTEGRANTE TIENE UNA PARTICIPACIÓN DEL 60%?</v>
      </c>
      <c r="K1719" s="554" t="s">
        <v>107</v>
      </c>
      <c r="L1719" s="724"/>
      <c r="M1719" s="717" t="s">
        <v>115</v>
      </c>
      <c r="N1719" s="718"/>
      <c r="O1719" s="718"/>
      <c r="P1719" s="718"/>
      <c r="Q1719" s="223">
        <f>IF(AND(H1703="SI",P1703&gt;=0),1,0)+IF(AND(H1704="SI",P1704&gt;=0),1,0)+IF(AND(H1705="SI",P1705&gt;=0),1,0)+IF(AND(H1706="SI",P1706&gt;=0),1,0)+IF(AND(H1707="SI",P1707&gt;=0),1,0)+IF(AND(H1708="SI",P1708&gt;=0),1,0)+IF(AND(H1709="SI",P1709&gt;=0),1,0)+IF(AND(H1710="SI",P1710&gt;=0),1,0)+IF(AND(H1711="SI",P1711&gt;=0),1,0)+IF(AND(H1712="SI",P1712&gt;=0),1,0)</f>
        <v>0</v>
      </c>
      <c r="R1719" s="759"/>
      <c r="S1719" s="761"/>
      <c r="T1719" s="764"/>
      <c r="U1719" s="219"/>
      <c r="V1719" s="464"/>
      <c r="Y1719" s="532" t="s">
        <v>342</v>
      </c>
      <c r="AA1719" s="550" t="s">
        <v>344</v>
      </c>
      <c r="AB1719" s="693" t="s">
        <v>345</v>
      </c>
      <c r="AC1719" s="693" t="s">
        <v>346</v>
      </c>
      <c r="AD1719" s="685" t="s">
        <v>347</v>
      </c>
      <c r="AE1719" s="52"/>
      <c r="AF1719" s="52"/>
      <c r="AG1719" s="52"/>
      <c r="AH1719" s="87"/>
      <c r="AI1719" s="87"/>
    </row>
    <row r="1720" spans="1:35" ht="15.75" hidden="1" customHeight="1" thickBot="1">
      <c r="A1720" s="218" t="e">
        <f>"N"&amp;E1699</f>
        <v>#N/A</v>
      </c>
      <c r="B1720" s="702"/>
      <c r="C1720" s="114">
        <v>1</v>
      </c>
      <c r="D1720" s="194" t="e">
        <f>IF(AND(C1720&lt;=F1718,F1718&gt;1,F1718&lt;&gt;""),VLOOKUP(VALUE(E1699&amp;","&amp;C1720),INTEGRANTES!$D$18:$F$235,2,0),"")</f>
        <v>#N/A</v>
      </c>
      <c r="E1720" s="211" t="e">
        <f>IF(D1720&lt;&gt;"",VLOOKUP(VALUE(E1699&amp;","&amp;C1720),INTEGRANTES!$D$18:$F$235,3,0),"")</f>
        <v>#N/A</v>
      </c>
      <c r="F1720" s="547" t="e">
        <f>IF(D1720="","",SUMIF($I1703:$I1712,D1720,$P1703:$P1712))</f>
        <v>#N/A</v>
      </c>
      <c r="G1720" s="333" t="e">
        <f>IF(D1720="","",SUMIF($I1703:$I1712,D1720,$M1703:$M1712))</f>
        <v>#N/A</v>
      </c>
      <c r="H1720" s="535" t="e">
        <f t="shared" ref="H1720:H1725" si="497">IF(D1720="","",IF(OR(F1720=0,G1720=0),"NO APORTA",ROUND($F1720/$G1720,3)))</f>
        <v>#N/A</v>
      </c>
      <c r="I1720" s="212" t="e">
        <f>IF(D1720="","",IF(H1720="NO APORTA","NO",IF(H1720=MAX($H1720:$H1725),"SI","NO")))</f>
        <v>#N/A</v>
      </c>
      <c r="J1720" s="213" t="e">
        <f t="shared" ref="J1720:J1725" si="498">IF(D1720="","",IF(E1720&gt;=PORCREQUERIDOINT,"SI","NO"))</f>
        <v>#N/A</v>
      </c>
      <c r="K1720" s="200" t="e">
        <f t="shared" ref="K1720:K1725" si="499">IF(D1720="","",IF(AND(I1720="SI",J1720="SI"),"CUMPLE",IF(AND(I1720="NO",OR(J1720="SI",J1720="NO")),"","NO CUMPLE")))</f>
        <v>#N/A</v>
      </c>
      <c r="L1720" s="722" t="s">
        <v>108</v>
      </c>
      <c r="M1720" s="726" t="s">
        <v>119</v>
      </c>
      <c r="N1720" s="726"/>
      <c r="O1720" s="726"/>
      <c r="P1720" s="726"/>
      <c r="Q1720" s="727"/>
      <c r="R1720" s="758" t="s">
        <v>80</v>
      </c>
      <c r="S1720" s="747"/>
      <c r="T1720" s="748"/>
      <c r="U1720" s="219"/>
      <c r="V1720" s="464"/>
      <c r="Y1720" s="533" t="e">
        <f>IF(Y1717="","",IF(Y1717="INDIVIDUAL","NO APLICA","VERIFICAR CUADRO"))</f>
        <v>#N/A</v>
      </c>
      <c r="AA1720" s="551"/>
      <c r="AB1720" s="694"/>
      <c r="AC1720" s="694"/>
      <c r="AD1720" s="686"/>
      <c r="AE1720" s="52"/>
      <c r="AF1720" s="52"/>
      <c r="AG1720" s="52"/>
      <c r="AH1720" s="87"/>
      <c r="AI1720" s="87"/>
    </row>
    <row r="1721" spans="1:35" ht="27" hidden="1" customHeight="1" thickBot="1">
      <c r="A1721" s="218" t="e">
        <f>"O"&amp;E1699</f>
        <v>#N/A</v>
      </c>
      <c r="B1721" s="702"/>
      <c r="C1721" s="114">
        <v>2</v>
      </c>
      <c r="D1721" s="194" t="e">
        <f>IF(AND(C1721&lt;=F1718,F1718&lt;&gt;""),VLOOKUP(VALUE(E1699&amp;","&amp;C1721),INTEGRANTES!$D$18:$F$235,2,0),"")</f>
        <v>#N/A</v>
      </c>
      <c r="E1721" s="211" t="e">
        <f>IF(D1721&lt;&gt;"",VLOOKUP(VALUE(E1699&amp;","&amp;C1721),INTEGRANTES!$D$18:$F$235,3,0),"")</f>
        <v>#N/A</v>
      </c>
      <c r="F1721" s="547" t="e">
        <f>IF(D1721="","",SUMIF($I1703:$I1712,D1721,$P1703:$P1712))</f>
        <v>#N/A</v>
      </c>
      <c r="G1721" s="333" t="e">
        <f>IF(D1721="","",SUMIF($I1703:$I1712,D1721,$M1703:$M1712))</f>
        <v>#N/A</v>
      </c>
      <c r="H1721" s="535" t="e">
        <f t="shared" si="497"/>
        <v>#N/A</v>
      </c>
      <c r="I1721" s="212" t="e">
        <f>IF(D1721="","",IF(H1721="NO APORTA","NO",IF(H1721=MAX($H1720:$H1725),"SI","NO")))</f>
        <v>#N/A</v>
      </c>
      <c r="J1721" s="213" t="e">
        <f t="shared" si="498"/>
        <v>#N/A</v>
      </c>
      <c r="K1721" s="200" t="e">
        <f t="shared" si="499"/>
        <v>#N/A</v>
      </c>
      <c r="L1721" s="723"/>
      <c r="M1721" s="715" t="s">
        <v>116</v>
      </c>
      <c r="N1721" s="716"/>
      <c r="O1721" s="556" t="s">
        <v>113</v>
      </c>
      <c r="P1721" s="715" t="s">
        <v>117</v>
      </c>
      <c r="Q1721" s="728"/>
      <c r="R1721" s="759"/>
      <c r="S1721" s="760"/>
      <c r="T1721" s="761"/>
      <c r="U1721" s="219"/>
      <c r="V1721" s="464"/>
      <c r="Y1721" s="414"/>
      <c r="AA1721" s="542" t="e">
        <f>IF(AND(C1720&lt;=F1718,F1718&gt;1,F1718&lt;&gt;""),VLOOKUP(VALUE(E1699&amp;","&amp;C1720),INTEGRANTES!$D$18:$F$235,2,0),"")</f>
        <v>#N/A</v>
      </c>
      <c r="AB1721" s="544" t="e">
        <f t="shared" ref="AB1721:AB1726" si="500">IF(D1720="","",IF(OR(F1720=0,G1720=0),"NO APORTA",ROUND($F1720/$G1720,3)))</f>
        <v>#N/A</v>
      </c>
      <c r="AC1721" s="529"/>
      <c r="AD1721" s="200" t="e">
        <f t="shared" ref="AD1721:AD1726" si="501">IF(OR(AA1721="",AB1721=""),"",IF(AND(AC1721="X",AB1721&gt;=EXPREQVTD),"CUMPLE","NO CUMPLE"))</f>
        <v>#N/A</v>
      </c>
      <c r="AE1721" s="52"/>
      <c r="AF1721" s="52"/>
      <c r="AG1721" s="52"/>
      <c r="AH1721" s="87"/>
      <c r="AI1721" s="87"/>
    </row>
    <row r="1722" spans="1:35" ht="16.5" hidden="1" thickBot="1">
      <c r="A1722" s="218" t="e">
        <f>"P"&amp;E1699</f>
        <v>#N/A</v>
      </c>
      <c r="B1722" s="702"/>
      <c r="C1722" s="114">
        <v>3</v>
      </c>
      <c r="D1722" s="194" t="e">
        <f>IF(AND(C1722&lt;=F1718,F1718&lt;&gt;""),VLOOKUP(VALUE(E1699&amp;","&amp;C1722),INTEGRANTES!$D$18:$F$235,2,0),"")</f>
        <v>#N/A</v>
      </c>
      <c r="E1722" s="211" t="e">
        <f>IF(D1722&lt;&gt;"",VLOOKUP(VALUE(E1699&amp;","&amp;C1722),INTEGRANTES!$D$18:$F$235,3,0),"")</f>
        <v>#N/A</v>
      </c>
      <c r="F1722" s="547" t="e">
        <f>IF(D1722="","",SUMIF($I1703:$I1712,D1722,$P1703:$P1712))</f>
        <v>#N/A</v>
      </c>
      <c r="G1722" s="333" t="e">
        <f>IF(D1722="","",SUMIF($I1703:$I1712,D1722,$M1703:$M1712))</f>
        <v>#N/A</v>
      </c>
      <c r="H1722" s="535" t="e">
        <f t="shared" si="497"/>
        <v>#N/A</v>
      </c>
      <c r="I1722" s="212" t="e">
        <f>IF(D1722="","",IF(H1722="NO APORTA","NO",IF(H1722=MAX($H1720:$H1725),"SI","NO")))</f>
        <v>#N/A</v>
      </c>
      <c r="J1722" s="213" t="e">
        <f t="shared" si="498"/>
        <v>#N/A</v>
      </c>
      <c r="K1722" s="200" t="e">
        <f t="shared" si="499"/>
        <v>#N/A</v>
      </c>
      <c r="L1722" s="724"/>
      <c r="M1722" s="729">
        <f>NUMMOD</f>
        <v>1</v>
      </c>
      <c r="N1722" s="730"/>
      <c r="O1722" s="443">
        <f>IF(M1722="","",VLOOKUP(M1722,PRESUPUESTOS!$B$16:$H$16,5,FALSE))</f>
        <v>2</v>
      </c>
      <c r="P1722" s="713">
        <f>IF(OR(COUNTIF(M1703:M1712,"")&gt;=10,Q1719&lt;NUMMINCONT,OR(T1717="NO CUMPLE",T1717="VERIFICAR")),0,ROUND(AVERAGE(M1703:M1712),3))</f>
        <v>0</v>
      </c>
      <c r="Q1722" s="714"/>
      <c r="R1722" s="458"/>
      <c r="S1722" s="459"/>
      <c r="T1722" s="460"/>
      <c r="U1722" s="219"/>
      <c r="V1722" s="464"/>
      <c r="Y1722" s="532" t="str">
        <f>"40% * ("&amp;PRESUPUESTOS!$H$13&amp;")"</f>
        <v>40% * (50% PFMO)</v>
      </c>
      <c r="AA1722" s="540" t="e">
        <f>IF(AND(C1721&lt;=F1718,F1718&lt;&gt;""),VLOOKUP(VALUE(E1699&amp;","&amp;C1721),INTEGRANTES!$D$18:$F$235,2,0),"")</f>
        <v>#N/A</v>
      </c>
      <c r="AB1722" s="545" t="e">
        <f t="shared" si="500"/>
        <v>#N/A</v>
      </c>
      <c r="AC1722" s="529"/>
      <c r="AD1722" s="200" t="e">
        <f t="shared" si="501"/>
        <v>#N/A</v>
      </c>
      <c r="AE1722" s="52"/>
      <c r="AF1722" s="52"/>
      <c r="AG1722" s="52"/>
      <c r="AH1722" s="87"/>
      <c r="AI1722" s="87"/>
    </row>
    <row r="1723" spans="1:35" ht="15.75" hidden="1" customHeight="1" thickBot="1">
      <c r="A1723" s="218" t="e">
        <f>"Q"&amp;E1699</f>
        <v>#N/A</v>
      </c>
      <c r="B1723" s="702"/>
      <c r="C1723" s="114">
        <v>4</v>
      </c>
      <c r="D1723" s="194" t="e">
        <f>IF(AND(C1723&lt;=F1718,F1718&lt;&gt;""),VLOOKUP(VALUE(E1699&amp;","&amp;C1723),INTEGRANTES!$D$18:$F$235,2,0),"")</f>
        <v>#N/A</v>
      </c>
      <c r="E1723" s="211" t="e">
        <f>IF(D1723&lt;&gt;"",VLOOKUP(VALUE(E1699&amp;","&amp;C1723),INTEGRANTES!$D$18:$F$235,3,0),"")</f>
        <v>#N/A</v>
      </c>
      <c r="F1723" s="547" t="e">
        <f>IF(D1723="","",SUMIF($I1703:$I1712,D1723,$P1703:$P1712))</f>
        <v>#N/A</v>
      </c>
      <c r="G1723" s="333" t="e">
        <f>IF(D1723="","",SUMIF($I1703:$I1712,D1723,$M1703:$M1712))</f>
        <v>#N/A</v>
      </c>
      <c r="H1723" s="535" t="e">
        <f t="shared" si="497"/>
        <v>#N/A</v>
      </c>
      <c r="I1723" s="212" t="e">
        <f>IF(D1723="","",IF(H1723="NO APORTA","NO",IF(H1723=MAX($H1720:$H1725),"SI","NO")))</f>
        <v>#N/A</v>
      </c>
      <c r="J1723" s="213" t="e">
        <f t="shared" si="498"/>
        <v>#N/A</v>
      </c>
      <c r="K1723" s="200" t="e">
        <f t="shared" si="499"/>
        <v>#N/A</v>
      </c>
      <c r="L1723" s="720" t="s">
        <v>109</v>
      </c>
      <c r="M1723" s="757" t="s">
        <v>120</v>
      </c>
      <c r="N1723" s="726"/>
      <c r="O1723" s="726"/>
      <c r="P1723" s="726"/>
      <c r="Q1723" s="727"/>
      <c r="R1723" s="458"/>
      <c r="S1723" s="459"/>
      <c r="T1723" s="460"/>
      <c r="U1723" s="219"/>
      <c r="V1723" s="464"/>
      <c r="Y1723" s="537">
        <f>0.4*PRESUPUESTOS!$H$16</f>
        <v>10.3124</v>
      </c>
      <c r="AA1723" s="540" t="e">
        <f>IF(AND(C1722&lt;=F1718,F1718&lt;&gt;""),VLOOKUP(VALUE(E1699&amp;","&amp;C1722),INTEGRANTES!$D$18:$F$235,2,0),"")</f>
        <v>#N/A</v>
      </c>
      <c r="AB1723" s="545" t="e">
        <f t="shared" si="500"/>
        <v>#N/A</v>
      </c>
      <c r="AC1723" s="529"/>
      <c r="AD1723" s="200" t="e">
        <f t="shared" si="501"/>
        <v>#N/A</v>
      </c>
      <c r="AE1723" s="52"/>
      <c r="AF1723" s="52"/>
      <c r="AG1723" s="52"/>
      <c r="AH1723" s="87"/>
      <c r="AI1723" s="87"/>
    </row>
    <row r="1724" spans="1:35" ht="27" hidden="1" customHeight="1" thickBot="1">
      <c r="A1724" s="218" t="e">
        <f>"R"&amp;E1699</f>
        <v>#N/A</v>
      </c>
      <c r="B1724" s="702"/>
      <c r="C1724" s="114">
        <v>5</v>
      </c>
      <c r="D1724" s="194" t="e">
        <f>IF(AND(C1724&lt;=F1718,F1718&lt;&gt;""),VLOOKUP(VALUE(E1699&amp;","&amp;C1724),INTEGRANTES!$D$18:$F$235,2,0),"")</f>
        <v>#N/A</v>
      </c>
      <c r="E1724" s="211" t="e">
        <f>IF(D1724&lt;&gt;"",VLOOKUP(VALUE(E1699&amp;","&amp;C1724),INTEGRANTES!$D$18:$F$235,3,0),"")</f>
        <v>#N/A</v>
      </c>
      <c r="F1724" s="547" t="e">
        <f>IF(D1724="","",SUMIF($I1703:$I1712,D1724,$P1703:$P1712))</f>
        <v>#N/A</v>
      </c>
      <c r="G1724" s="333" t="e">
        <f>IF(D1724="","",SUMIF($I1703:$I1712,D1724,$M1703:$M1712))</f>
        <v>#N/A</v>
      </c>
      <c r="H1724" s="535" t="e">
        <f t="shared" si="497"/>
        <v>#N/A</v>
      </c>
      <c r="I1724" s="212" t="e">
        <f>IF(D1724="","",IF(H1724="NO APORTA","NO",IF(H1724=MAX($H1720:$H1725),"SI","NO")))</f>
        <v>#N/A</v>
      </c>
      <c r="J1724" s="213" t="e">
        <f t="shared" si="498"/>
        <v>#N/A</v>
      </c>
      <c r="K1724" s="200" t="e">
        <f t="shared" si="499"/>
        <v>#N/A</v>
      </c>
      <c r="L1724" s="721"/>
      <c r="M1724" s="715" t="s">
        <v>116</v>
      </c>
      <c r="N1724" s="716"/>
      <c r="O1724" s="556" t="str">
        <f>PORCREQUERIDO*100&amp;"% PMFO DEL MÓDULO"</f>
        <v>50% PMFO DEL MÓDULO</v>
      </c>
      <c r="P1724" s="715" t="s">
        <v>118</v>
      </c>
      <c r="Q1724" s="728"/>
      <c r="R1724" s="458"/>
      <c r="S1724" s="459"/>
      <c r="T1724" s="460"/>
      <c r="U1724" s="219"/>
      <c r="V1724" s="464"/>
      <c r="Y1724" s="414"/>
      <c r="AA1724" s="540" t="e">
        <f>IF(AND(C1723&lt;=F1718,F1718&lt;&gt;""),VLOOKUP(VALUE(E1699&amp;","&amp;C1723),INTEGRANTES!$D$18:$F$235,2,0),"")</f>
        <v>#N/A</v>
      </c>
      <c r="AB1724" s="545" t="e">
        <f t="shared" si="500"/>
        <v>#N/A</v>
      </c>
      <c r="AC1724" s="529"/>
      <c r="AD1724" s="200" t="e">
        <f t="shared" si="501"/>
        <v>#N/A</v>
      </c>
      <c r="AE1724" s="52"/>
      <c r="AF1724" s="52"/>
      <c r="AG1724" s="52"/>
      <c r="AH1724" s="87"/>
      <c r="AI1724" s="87"/>
    </row>
    <row r="1725" spans="1:35" ht="16.5" hidden="1" thickBot="1">
      <c r="A1725" s="218" t="e">
        <f>"S"&amp;E1699</f>
        <v>#N/A</v>
      </c>
      <c r="B1725" s="702"/>
      <c r="C1725" s="215">
        <v>6</v>
      </c>
      <c r="D1725" s="216" t="e">
        <f>IF(AND(C1725&lt;=F1718,F1718&lt;&gt;""),VLOOKUP(VALUE(E1699&amp;","&amp;C1725),INTEGRANTES!$D$18:$F$235,2,0),"")</f>
        <v>#N/A</v>
      </c>
      <c r="E1725" s="217" t="e">
        <f>IF(D1725&lt;&gt;"",VLOOKUP(VALUE(E1699&amp;","&amp;C1725),INTEGRANTES!$D$18:$F$235,3,0),"")</f>
        <v>#N/A</v>
      </c>
      <c r="F1725" s="548" t="e">
        <f>IF(D1725="","",SUMIF($I1703:$I1712,D1725,$P1703:$P1712))</f>
        <v>#N/A</v>
      </c>
      <c r="G1725" s="334" t="e">
        <f>IF(D1725="","",SUMIF($I1703:$I1712,D1725,$M1703:$M1712))</f>
        <v>#N/A</v>
      </c>
      <c r="H1725" s="536" t="e">
        <f t="shared" si="497"/>
        <v>#N/A</v>
      </c>
      <c r="I1725" s="214" t="e">
        <f>IF(D1725="","",IF(H1725="NO APORTA","NO",IF(H1725=MAX($H1720:$H1725),"SI","NO")))</f>
        <v>#N/A</v>
      </c>
      <c r="J1725" s="213" t="e">
        <f t="shared" si="498"/>
        <v>#N/A</v>
      </c>
      <c r="K1725" s="200" t="e">
        <f t="shared" si="499"/>
        <v>#N/A</v>
      </c>
      <c r="L1725" s="721"/>
      <c r="M1725" s="729">
        <f>NUMMOD</f>
        <v>1</v>
      </c>
      <c r="N1725" s="730"/>
      <c r="O1725" s="443">
        <f>IF(M1725="","",ROUND(VLOOKUP(M1725,PRESUPUESTOS!$B$16:$H$16,7,FALSE),3))</f>
        <v>25.780999999999999</v>
      </c>
      <c r="P1725" s="713">
        <f>IF(OR(COUNTIF(P1703:P1712,"")&gt;=10,Q1719&lt;NUMMINCONT,OR(T1717="NO CUMPLE",T1717="VERIFICAR")),0,ROUND((SUM(P1703:P1712)/SUM(M1703:M1712)),3))</f>
        <v>0</v>
      </c>
      <c r="Q1725" s="714"/>
      <c r="R1725" s="458"/>
      <c r="S1725" s="459"/>
      <c r="T1725" s="460"/>
      <c r="U1725" s="219"/>
      <c r="V1725" s="464"/>
      <c r="Y1725" s="532" t="s">
        <v>343</v>
      </c>
      <c r="AA1725" s="540" t="e">
        <f>IF(AND(C1724&lt;=F1718,F1718&lt;&gt;""),VLOOKUP(VALUE(E1699&amp;","&amp;C1724),INTEGRANTES!$D$18:$F$235,2,0),"")</f>
        <v>#N/A</v>
      </c>
      <c r="AB1725" s="545" t="e">
        <f t="shared" si="500"/>
        <v>#N/A</v>
      </c>
      <c r="AC1725" s="529"/>
      <c r="AD1725" s="200" t="e">
        <f t="shared" si="501"/>
        <v>#N/A</v>
      </c>
      <c r="AE1725" s="52"/>
      <c r="AF1725" s="52"/>
      <c r="AG1725" s="52"/>
      <c r="AH1725" s="87"/>
      <c r="AI1725" s="87"/>
    </row>
    <row r="1726" spans="1:35" ht="16.5" hidden="1" customHeight="1" thickBot="1">
      <c r="A1726" s="218" t="e">
        <f>"T"&amp;E1699</f>
        <v>#N/A</v>
      </c>
      <c r="B1726" s="703"/>
      <c r="C1726" s="719"/>
      <c r="D1726" s="719"/>
      <c r="E1726" s="719"/>
      <c r="F1726" s="719"/>
      <c r="G1726" s="719"/>
      <c r="H1726" s="719" t="s">
        <v>110</v>
      </c>
      <c r="I1726" s="719"/>
      <c r="J1726" s="719"/>
      <c r="K1726" s="201" t="str">
        <f>IF(COUNTIF(K1720:K1725,"")=6,"",IF(COUNTIF(K1720:K1725,"CUMPLE")&gt;0,"CUMPLE","NO CUMPLE"))</f>
        <v>NO CUMPLE</v>
      </c>
      <c r="L1726" s="754"/>
      <c r="M1726" s="755"/>
      <c r="N1726" s="755"/>
      <c r="O1726" s="755"/>
      <c r="P1726" s="755"/>
      <c r="Q1726" s="756"/>
      <c r="R1726" s="461"/>
      <c r="S1726" s="462"/>
      <c r="T1726" s="463"/>
      <c r="U1726" s="219"/>
      <c r="V1726" s="464"/>
      <c r="Y1726" s="549" t="e">
        <f>IF(Y1720="NO APLICA","NO APLICA",IF(COUNTIF(AD1721:AD1726,"CUMPLE")&gt;0,"CUMPLE","NO CUMPLE"))</f>
        <v>#N/A</v>
      </c>
      <c r="AA1726" s="541" t="e">
        <f>IF(AND(C1725&lt;=F1718,F1718&lt;&gt;""),VLOOKUP(VALUE(E1699&amp;","&amp;C1725),INTEGRANTES!$D$18:$F$235,2,0),"")</f>
        <v>#N/A</v>
      </c>
      <c r="AB1726" s="546" t="e">
        <f t="shared" si="500"/>
        <v>#N/A</v>
      </c>
      <c r="AC1726" s="543"/>
      <c r="AD1726" s="201" t="e">
        <f t="shared" si="501"/>
        <v>#N/A</v>
      </c>
      <c r="AE1726" s="52"/>
      <c r="AF1726" s="52"/>
      <c r="AG1726" s="52"/>
      <c r="AH1726" s="87"/>
      <c r="AI1726" s="87"/>
    </row>
    <row r="1727" spans="1:35" hidden="1">
      <c r="A1727" s="103"/>
      <c r="B1727" s="206"/>
      <c r="C1727" s="206"/>
      <c r="D1727" s="206"/>
      <c r="E1727" s="206"/>
      <c r="F1727" s="206"/>
      <c r="G1727" s="206"/>
      <c r="H1727" s="206"/>
      <c r="I1727" s="104"/>
      <c r="J1727" s="206"/>
      <c r="K1727" s="113"/>
      <c r="L1727" s="113"/>
      <c r="M1727" s="113"/>
      <c r="N1727" s="222"/>
      <c r="O1727" s="113"/>
      <c r="P1727" s="113"/>
      <c r="Q1727" s="113"/>
      <c r="R1727" s="206"/>
      <c r="S1727" s="104"/>
      <c r="T1727" s="206"/>
      <c r="U1727" s="474"/>
      <c r="AH1727" s="87"/>
      <c r="AI1727" s="87"/>
    </row>
    <row r="1728" spans="1:35" hidden="1">
      <c r="H1728" s="220"/>
      <c r="AH1728" s="87"/>
      <c r="AI1728" s="87"/>
    </row>
    <row r="1729" spans="1:35" ht="24" hidden="1" thickBot="1">
      <c r="A1729" s="61">
        <v>58</v>
      </c>
      <c r="B1729" s="704" t="s">
        <v>51</v>
      </c>
      <c r="C1729" s="704"/>
      <c r="D1729" s="704"/>
      <c r="E1729" s="62" t="e">
        <f>VLOOKUP(A1729,PROPONENTES!$B$19:$E$218,2,FALSE)</f>
        <v>#N/A</v>
      </c>
      <c r="F1729" s="63" t="e">
        <f>VLOOKUP(A1729,PROPONENTES!$B$19:$E$218,3,FALSE)</f>
        <v>#N/A</v>
      </c>
      <c r="G1729" s="64"/>
      <c r="H1729" s="64"/>
      <c r="I1729" s="63"/>
      <c r="J1729" s="63"/>
      <c r="K1729" s="65"/>
      <c r="L1729" s="65"/>
      <c r="M1729" s="64"/>
      <c r="N1729" s="64"/>
      <c r="O1729" s="66"/>
      <c r="P1729" s="66"/>
      <c r="Q1729" s="66"/>
      <c r="R1729" s="66"/>
      <c r="S1729" s="67"/>
      <c r="T1729" s="68"/>
      <c r="U1729" s="68"/>
      <c r="AC1729" s="68"/>
      <c r="AD1729" s="68"/>
      <c r="AE1729" s="68"/>
      <c r="AF1729" s="68"/>
      <c r="AG1729" s="68"/>
      <c r="AH1729" s="87"/>
      <c r="AI1729" s="87"/>
    </row>
    <row r="1730" spans="1:35" ht="15.75" hidden="1" customHeight="1">
      <c r="A1730" s="44"/>
      <c r="B1730" s="709" t="s">
        <v>59</v>
      </c>
      <c r="C1730" s="552" t="s">
        <v>60</v>
      </c>
      <c r="D1730" s="70" t="s">
        <v>17</v>
      </c>
      <c r="E1730" s="70"/>
      <c r="F1730" s="70" t="s">
        <v>61</v>
      </c>
      <c r="G1730" s="71"/>
      <c r="H1730" s="699" t="s">
        <v>62</v>
      </c>
      <c r="I1730" s="699" t="s">
        <v>18</v>
      </c>
      <c r="J1730" s="699" t="s">
        <v>63</v>
      </c>
      <c r="K1730" s="699" t="s">
        <v>64</v>
      </c>
      <c r="L1730" s="699" t="s">
        <v>65</v>
      </c>
      <c r="M1730" s="743" t="s">
        <v>66</v>
      </c>
      <c r="N1730" s="699" t="s">
        <v>282</v>
      </c>
      <c r="O1730" s="745" t="s">
        <v>67</v>
      </c>
      <c r="P1730" s="746"/>
      <c r="Q1730" s="102" t="s">
        <v>75</v>
      </c>
      <c r="R1730" s="731" t="s">
        <v>22</v>
      </c>
      <c r="S1730" s="732"/>
      <c r="T1730" s="733"/>
      <c r="U1730" s="712" t="s">
        <v>298</v>
      </c>
      <c r="W1730" s="690" t="s">
        <v>268</v>
      </c>
      <c r="X1730" s="691"/>
      <c r="Y1730" s="692"/>
      <c r="Z1730" s="428"/>
      <c r="AA1730" s="697" t="s">
        <v>315</v>
      </c>
      <c r="AB1730" s="695" t="s">
        <v>322</v>
      </c>
      <c r="AC1730" s="49"/>
      <c r="AD1730" s="690" t="s">
        <v>297</v>
      </c>
      <c r="AE1730" s="691"/>
      <c r="AF1730" s="692"/>
      <c r="AG1730" s="49"/>
      <c r="AH1730" s="87"/>
      <c r="AI1730" s="87"/>
    </row>
    <row r="1731" spans="1:35" ht="72" hidden="1">
      <c r="A1731" s="44"/>
      <c r="B1731" s="710"/>
      <c r="C1731" s="553" t="s">
        <v>68</v>
      </c>
      <c r="D1731" s="73" t="s">
        <v>3</v>
      </c>
      <c r="E1731" s="73" t="s">
        <v>19</v>
      </c>
      <c r="F1731" s="73" t="s">
        <v>69</v>
      </c>
      <c r="G1731" s="74" t="s">
        <v>70</v>
      </c>
      <c r="H1731" s="700"/>
      <c r="I1731" s="700"/>
      <c r="J1731" s="700"/>
      <c r="K1731" s="700"/>
      <c r="L1731" s="700"/>
      <c r="M1731" s="744"/>
      <c r="N1731" s="700"/>
      <c r="O1731" s="553" t="s">
        <v>279</v>
      </c>
      <c r="P1731" s="73" t="s">
        <v>88</v>
      </c>
      <c r="Q1731" s="555" t="s">
        <v>76</v>
      </c>
      <c r="R1731" s="734"/>
      <c r="S1731" s="735"/>
      <c r="T1731" s="736"/>
      <c r="U1731" s="712"/>
      <c r="W1731" s="429" t="s">
        <v>269</v>
      </c>
      <c r="X1731" s="457" t="s">
        <v>278</v>
      </c>
      <c r="Y1731" s="430" t="s">
        <v>324</v>
      </c>
      <c r="Z1731" s="428"/>
      <c r="AA1731" s="698"/>
      <c r="AB1731" s="696"/>
      <c r="AC1731" s="49"/>
      <c r="AD1731" s="429" t="s">
        <v>292</v>
      </c>
      <c r="AE1731" s="431" t="s">
        <v>300</v>
      </c>
      <c r="AF1731" s="468" t="s">
        <v>301</v>
      </c>
      <c r="AG1731" s="49"/>
      <c r="AH1731" s="87"/>
      <c r="AI1731" s="87"/>
    </row>
    <row r="1732" spans="1:35" hidden="1">
      <c r="A1732" s="44"/>
      <c r="B1732" s="76"/>
      <c r="C1732" s="77"/>
      <c r="D1732" s="77"/>
      <c r="E1732" s="77"/>
      <c r="F1732" s="77"/>
      <c r="G1732" s="77"/>
      <c r="H1732" s="77"/>
      <c r="I1732" s="77"/>
      <c r="J1732" s="77"/>
      <c r="K1732" s="77"/>
      <c r="L1732" s="77"/>
      <c r="M1732" s="77"/>
      <c r="N1732" s="77"/>
      <c r="O1732" s="77"/>
      <c r="P1732" s="77"/>
      <c r="Q1732" s="77"/>
      <c r="R1732" s="77"/>
      <c r="S1732" s="78"/>
      <c r="T1732" s="79"/>
      <c r="U1732" s="109"/>
      <c r="V1732" s="49"/>
      <c r="W1732" s="432"/>
      <c r="X1732" s="454"/>
      <c r="Y1732" s="433"/>
      <c r="Z1732" s="6"/>
      <c r="AA1732" s="500"/>
      <c r="AB1732" s="562"/>
      <c r="AC1732" s="49"/>
      <c r="AD1732" s="210"/>
      <c r="AE1732" s="434"/>
      <c r="AF1732" s="435"/>
      <c r="AG1732" s="49"/>
      <c r="AH1732" s="87"/>
      <c r="AI1732" s="87"/>
    </row>
    <row r="1733" spans="1:35" hidden="1">
      <c r="A1733" s="80" t="e">
        <f>"A"&amp;E1729</f>
        <v>#N/A</v>
      </c>
      <c r="B1733" s="81">
        <v>1</v>
      </c>
      <c r="C1733" s="82"/>
      <c r="D1733" s="82"/>
      <c r="E1733" s="82"/>
      <c r="F1733" s="82"/>
      <c r="G1733" s="83"/>
      <c r="H1733" s="83"/>
      <c r="I1733" s="84"/>
      <c r="J1733" s="85"/>
      <c r="K1733" s="382"/>
      <c r="L1733" s="85"/>
      <c r="M1733" s="332" t="str">
        <f t="shared" ref="M1733:M1742" si="502">IF(OR(J1733="",L1733="",H1733="NO"),"",IF(OR(J1733&gt;$P$17,J1733&lt;$O$17,L1733&gt;$P$17,AND(J1733&lt;$O$17,L1733&lt;$O$17)),"FUERA DE RANGO",IF(OR(K1733="---",K1733=""),IF(J1733&gt;=$O$17,ROUND((L1733-J1733+1)/360*12,3),ROUND((L1733-$O$17+1)/360*12,3)),IF(J1733&gt;=$O$17,ROUND((L1733-J1733+1)/360*12-ROUND(K1733,3),3),ROUND((L1733-$O$17+1)/360*12-ROUND(K1733,3),3)))))</f>
        <v/>
      </c>
      <c r="N1733" s="86"/>
      <c r="O1733" s="453" t="str">
        <f>IF(OR(G1733="",N1733=""),"",N1733*G1733)</f>
        <v/>
      </c>
      <c r="P1733" s="538" t="str">
        <f>IF(OR(H1733="",M1733="FUERA DE RANGO"),"",IF(OR(L1733&lt;$O$17,L1733&gt;$P$17,L1733="",H1733="NO"),"",IF(OR(N1733="",O1733=""),"",ROUND(O1733,3))))</f>
        <v/>
      </c>
      <c r="Q1733" s="539" t="str">
        <f t="shared" ref="Q1733:Q1742" si="503">IF(AND(H1733="SI",P1733&lt;&gt;""),ROUND(P1733/M1733,3),"")</f>
        <v/>
      </c>
      <c r="R1733" s="737"/>
      <c r="S1733" s="738"/>
      <c r="T1733" s="739"/>
      <c r="U1733" s="470"/>
      <c r="V1733" s="165"/>
      <c r="W1733" s="446"/>
      <c r="X1733" s="456"/>
      <c r="Y1733" s="436"/>
      <c r="Z1733" s="437"/>
      <c r="AA1733" s="560"/>
      <c r="AB1733" s="561"/>
      <c r="AC1733" s="87"/>
      <c r="AD1733" s="466"/>
      <c r="AE1733" s="456"/>
      <c r="AF1733" s="467"/>
      <c r="AG1733" s="87"/>
      <c r="AH1733" s="87"/>
      <c r="AI1733" s="87"/>
    </row>
    <row r="1734" spans="1:35" hidden="1">
      <c r="A1734" s="80" t="e">
        <f>"B"&amp;E1729</f>
        <v>#N/A</v>
      </c>
      <c r="B1734" s="81">
        <v>2</v>
      </c>
      <c r="C1734" s="106"/>
      <c r="D1734" s="106"/>
      <c r="E1734" s="106"/>
      <c r="F1734" s="106"/>
      <c r="G1734" s="83"/>
      <c r="H1734" s="83"/>
      <c r="I1734" s="84"/>
      <c r="J1734" s="85"/>
      <c r="K1734" s="382"/>
      <c r="L1734" s="85"/>
      <c r="M1734" s="332" t="str">
        <f t="shared" si="502"/>
        <v/>
      </c>
      <c r="N1734" s="86"/>
      <c r="O1734" s="453" t="str">
        <f t="shared" ref="O1734:O1742" si="504">IF(OR(G1734="",N1734=""),"",N1734*G1734)</f>
        <v/>
      </c>
      <c r="P1734" s="538" t="str">
        <f t="shared" ref="P1734:P1742" si="505">IF(OR(H1734="",M1734="FUERA DE RANGO"),"",IF(OR(L1734&lt;$O$17,L1734&gt;$P$17,L1734="",H1734="NO"),"",IF(OR(N1734="",O1734=""),"",ROUND(O1734,3))))</f>
        <v/>
      </c>
      <c r="Q1734" s="539" t="str">
        <f t="shared" si="503"/>
        <v/>
      </c>
      <c r="R1734" s="740"/>
      <c r="S1734" s="741"/>
      <c r="T1734" s="742"/>
      <c r="U1734" s="471"/>
      <c r="V1734" s="165"/>
      <c r="W1734" s="446"/>
      <c r="X1734" s="456"/>
      <c r="Y1734" s="436"/>
      <c r="Z1734" s="437"/>
      <c r="AA1734" s="560"/>
      <c r="AB1734" s="561"/>
      <c r="AC1734" s="87"/>
      <c r="AD1734" s="466"/>
      <c r="AE1734" s="456"/>
      <c r="AF1734" s="467"/>
      <c r="AG1734" s="87"/>
      <c r="AH1734" s="87"/>
      <c r="AI1734" s="87"/>
    </row>
    <row r="1735" spans="1:35" hidden="1">
      <c r="A1735" s="80" t="e">
        <f>"C"&amp;E1729</f>
        <v>#N/A</v>
      </c>
      <c r="B1735" s="88">
        <v>3</v>
      </c>
      <c r="C1735" s="82"/>
      <c r="D1735" s="82"/>
      <c r="E1735" s="82"/>
      <c r="F1735" s="82"/>
      <c r="G1735" s="83"/>
      <c r="H1735" s="83"/>
      <c r="I1735" s="84"/>
      <c r="J1735" s="85"/>
      <c r="K1735" s="382"/>
      <c r="L1735" s="85"/>
      <c r="M1735" s="332" t="str">
        <f t="shared" si="502"/>
        <v/>
      </c>
      <c r="N1735" s="86"/>
      <c r="O1735" s="453" t="str">
        <f t="shared" si="504"/>
        <v/>
      </c>
      <c r="P1735" s="538" t="str">
        <f t="shared" si="505"/>
        <v/>
      </c>
      <c r="Q1735" s="539" t="str">
        <f t="shared" si="503"/>
        <v/>
      </c>
      <c r="R1735" s="706"/>
      <c r="S1735" s="707"/>
      <c r="T1735" s="708"/>
      <c r="U1735" s="472"/>
      <c r="V1735" s="166"/>
      <c r="W1735" s="446"/>
      <c r="X1735" s="456"/>
      <c r="Y1735" s="436"/>
      <c r="Z1735" s="437"/>
      <c r="AA1735" s="560"/>
      <c r="AB1735" s="561"/>
      <c r="AC1735" s="87"/>
      <c r="AD1735" s="466"/>
      <c r="AE1735" s="456"/>
      <c r="AF1735" s="467"/>
      <c r="AG1735" s="87"/>
      <c r="AH1735" s="87"/>
      <c r="AI1735" s="87"/>
    </row>
    <row r="1736" spans="1:35" hidden="1">
      <c r="A1736" s="80" t="e">
        <f>"D"&amp;E1729</f>
        <v>#N/A</v>
      </c>
      <c r="B1736" s="105">
        <v>4</v>
      </c>
      <c r="C1736" s="107"/>
      <c r="D1736" s="107"/>
      <c r="E1736" s="107"/>
      <c r="F1736" s="107"/>
      <c r="G1736" s="83"/>
      <c r="H1736" s="83"/>
      <c r="I1736" s="84"/>
      <c r="J1736" s="85"/>
      <c r="K1736" s="382"/>
      <c r="L1736" s="85"/>
      <c r="M1736" s="332" t="str">
        <f t="shared" si="502"/>
        <v/>
      </c>
      <c r="N1736" s="86"/>
      <c r="O1736" s="453" t="str">
        <f t="shared" si="504"/>
        <v/>
      </c>
      <c r="P1736" s="538" t="str">
        <f t="shared" si="505"/>
        <v/>
      </c>
      <c r="Q1736" s="539" t="str">
        <f t="shared" si="503"/>
        <v/>
      </c>
      <c r="R1736" s="706"/>
      <c r="S1736" s="707"/>
      <c r="T1736" s="708"/>
      <c r="U1736" s="472"/>
      <c r="V1736" s="166"/>
      <c r="W1736" s="446"/>
      <c r="X1736" s="456"/>
      <c r="Y1736" s="436"/>
      <c r="Z1736" s="437"/>
      <c r="AA1736" s="560"/>
      <c r="AB1736" s="561"/>
      <c r="AC1736" s="87"/>
      <c r="AD1736" s="466"/>
      <c r="AE1736" s="456"/>
      <c r="AF1736" s="467"/>
      <c r="AG1736" s="87"/>
      <c r="AH1736" s="87"/>
      <c r="AI1736" s="87"/>
    </row>
    <row r="1737" spans="1:35" hidden="1">
      <c r="A1737" s="80" t="e">
        <f>"E"&amp;E1729</f>
        <v>#N/A</v>
      </c>
      <c r="B1737" s="105">
        <v>5</v>
      </c>
      <c r="C1737" s="107"/>
      <c r="D1737" s="107"/>
      <c r="E1737" s="107"/>
      <c r="F1737" s="107"/>
      <c r="G1737" s="83"/>
      <c r="H1737" s="83"/>
      <c r="I1737" s="84"/>
      <c r="J1737" s="85"/>
      <c r="K1737" s="382"/>
      <c r="L1737" s="85"/>
      <c r="M1737" s="332" t="str">
        <f t="shared" si="502"/>
        <v/>
      </c>
      <c r="N1737" s="86"/>
      <c r="O1737" s="453" t="str">
        <f t="shared" si="504"/>
        <v/>
      </c>
      <c r="P1737" s="538" t="str">
        <f t="shared" si="505"/>
        <v/>
      </c>
      <c r="Q1737" s="539" t="str">
        <f t="shared" si="503"/>
        <v/>
      </c>
      <c r="R1737" s="706"/>
      <c r="S1737" s="707"/>
      <c r="T1737" s="708"/>
      <c r="U1737" s="472"/>
      <c r="V1737" s="167"/>
      <c r="W1737" s="446"/>
      <c r="X1737" s="456"/>
      <c r="Y1737" s="436"/>
      <c r="Z1737" s="437"/>
      <c r="AA1737" s="560"/>
      <c r="AB1737" s="561"/>
      <c r="AC1737" s="87"/>
      <c r="AD1737" s="466"/>
      <c r="AE1737" s="456"/>
      <c r="AF1737" s="467"/>
      <c r="AG1737" s="87"/>
      <c r="AH1737" s="87"/>
      <c r="AI1737" s="87"/>
    </row>
    <row r="1738" spans="1:35" hidden="1">
      <c r="A1738" s="80" t="e">
        <f>"F"&amp;E1729</f>
        <v>#N/A</v>
      </c>
      <c r="B1738" s="105">
        <v>6</v>
      </c>
      <c r="C1738" s="107"/>
      <c r="D1738" s="107"/>
      <c r="E1738" s="107"/>
      <c r="F1738" s="107"/>
      <c r="G1738" s="83"/>
      <c r="H1738" s="83"/>
      <c r="I1738" s="84"/>
      <c r="J1738" s="85"/>
      <c r="K1738" s="382"/>
      <c r="L1738" s="85"/>
      <c r="M1738" s="332" t="str">
        <f t="shared" si="502"/>
        <v/>
      </c>
      <c r="N1738" s="86"/>
      <c r="O1738" s="453" t="str">
        <f t="shared" si="504"/>
        <v/>
      </c>
      <c r="P1738" s="538" t="str">
        <f t="shared" si="505"/>
        <v/>
      </c>
      <c r="Q1738" s="539" t="str">
        <f t="shared" si="503"/>
        <v/>
      </c>
      <c r="R1738" s="706"/>
      <c r="S1738" s="707"/>
      <c r="T1738" s="708"/>
      <c r="U1738" s="472"/>
      <c r="V1738" s="167"/>
      <c r="W1738" s="446"/>
      <c r="X1738" s="456"/>
      <c r="Y1738" s="436"/>
      <c r="Z1738" s="437"/>
      <c r="AA1738" s="560"/>
      <c r="AB1738" s="561"/>
      <c r="AC1738" s="87"/>
      <c r="AD1738" s="466"/>
      <c r="AE1738" s="456"/>
      <c r="AF1738" s="467"/>
      <c r="AG1738" s="87"/>
      <c r="AH1738" s="87"/>
      <c r="AI1738" s="87"/>
    </row>
    <row r="1739" spans="1:35" hidden="1">
      <c r="A1739" s="80" t="e">
        <f>"G"&amp;E1729</f>
        <v>#N/A</v>
      </c>
      <c r="B1739" s="105">
        <v>7</v>
      </c>
      <c r="C1739" s="107"/>
      <c r="D1739" s="107"/>
      <c r="E1739" s="107"/>
      <c r="F1739" s="107"/>
      <c r="G1739" s="83"/>
      <c r="H1739" s="83"/>
      <c r="I1739" s="84"/>
      <c r="J1739" s="85"/>
      <c r="K1739" s="382"/>
      <c r="L1739" s="85"/>
      <c r="M1739" s="332" t="str">
        <f t="shared" si="502"/>
        <v/>
      </c>
      <c r="N1739" s="86"/>
      <c r="O1739" s="86" t="str">
        <f t="shared" si="504"/>
        <v/>
      </c>
      <c r="P1739" s="538" t="str">
        <f t="shared" si="505"/>
        <v/>
      </c>
      <c r="Q1739" s="539" t="str">
        <f t="shared" si="503"/>
        <v/>
      </c>
      <c r="R1739" s="706"/>
      <c r="S1739" s="707"/>
      <c r="T1739" s="708"/>
      <c r="U1739" s="472"/>
      <c r="V1739" s="167"/>
      <c r="W1739" s="446"/>
      <c r="X1739" s="456"/>
      <c r="Y1739" s="436"/>
      <c r="Z1739" s="437"/>
      <c r="AA1739" s="560"/>
      <c r="AB1739" s="561"/>
      <c r="AC1739" s="87"/>
      <c r="AD1739" s="466"/>
      <c r="AE1739" s="456"/>
      <c r="AF1739" s="467"/>
      <c r="AG1739" s="87"/>
      <c r="AH1739" s="87"/>
      <c r="AI1739" s="87"/>
    </row>
    <row r="1740" spans="1:35" hidden="1">
      <c r="A1740" s="80" t="e">
        <f>"H"&amp;E1729</f>
        <v>#N/A</v>
      </c>
      <c r="B1740" s="105">
        <v>8</v>
      </c>
      <c r="C1740" s="107"/>
      <c r="D1740" s="107"/>
      <c r="E1740" s="107"/>
      <c r="F1740" s="107"/>
      <c r="G1740" s="83"/>
      <c r="H1740" s="83"/>
      <c r="I1740" s="84"/>
      <c r="J1740" s="85"/>
      <c r="K1740" s="382"/>
      <c r="L1740" s="85"/>
      <c r="M1740" s="332" t="str">
        <f t="shared" si="502"/>
        <v/>
      </c>
      <c r="N1740" s="453"/>
      <c r="O1740" s="86" t="str">
        <f t="shared" si="504"/>
        <v/>
      </c>
      <c r="P1740" s="538" t="str">
        <f t="shared" si="505"/>
        <v/>
      </c>
      <c r="Q1740" s="539" t="str">
        <f t="shared" si="503"/>
        <v/>
      </c>
      <c r="R1740" s="706"/>
      <c r="S1740" s="707"/>
      <c r="T1740" s="708"/>
      <c r="U1740" s="472"/>
      <c r="V1740" s="167"/>
      <c r="W1740" s="446"/>
      <c r="X1740" s="456"/>
      <c r="Y1740" s="436"/>
      <c r="Z1740" s="437"/>
      <c r="AA1740" s="560"/>
      <c r="AB1740" s="561"/>
      <c r="AC1740" s="87"/>
      <c r="AD1740" s="466"/>
      <c r="AE1740" s="456"/>
      <c r="AF1740" s="467"/>
      <c r="AG1740" s="87"/>
      <c r="AH1740" s="87"/>
      <c r="AI1740" s="87"/>
    </row>
    <row r="1741" spans="1:35" hidden="1">
      <c r="A1741" s="80" t="e">
        <f>"I"&amp;E1729</f>
        <v>#N/A</v>
      </c>
      <c r="B1741" s="105">
        <v>9</v>
      </c>
      <c r="C1741" s="107"/>
      <c r="D1741" s="107"/>
      <c r="E1741" s="107"/>
      <c r="F1741" s="107"/>
      <c r="G1741" s="83"/>
      <c r="H1741" s="83"/>
      <c r="I1741" s="84"/>
      <c r="J1741" s="85"/>
      <c r="K1741" s="382"/>
      <c r="L1741" s="85"/>
      <c r="M1741" s="332" t="str">
        <f t="shared" si="502"/>
        <v/>
      </c>
      <c r="N1741" s="453"/>
      <c r="O1741" s="86" t="str">
        <f t="shared" si="504"/>
        <v/>
      </c>
      <c r="P1741" s="538" t="str">
        <f t="shared" si="505"/>
        <v/>
      </c>
      <c r="Q1741" s="539" t="str">
        <f t="shared" si="503"/>
        <v/>
      </c>
      <c r="R1741" s="706"/>
      <c r="S1741" s="707"/>
      <c r="T1741" s="708"/>
      <c r="U1741" s="472"/>
      <c r="V1741" s="167"/>
      <c r="W1741" s="446"/>
      <c r="X1741" s="456"/>
      <c r="Y1741" s="436"/>
      <c r="Z1741" s="437"/>
      <c r="AA1741" s="560"/>
      <c r="AB1741" s="561"/>
      <c r="AC1741" s="87"/>
      <c r="AD1741" s="466"/>
      <c r="AE1741" s="456"/>
      <c r="AF1741" s="467"/>
      <c r="AG1741" s="87"/>
      <c r="AH1741" s="87"/>
      <c r="AI1741" s="87"/>
    </row>
    <row r="1742" spans="1:35" hidden="1">
      <c r="A1742" s="80" t="e">
        <f>"J"&amp;E1729</f>
        <v>#N/A</v>
      </c>
      <c r="B1742" s="105">
        <v>10</v>
      </c>
      <c r="C1742" s="107"/>
      <c r="D1742" s="107"/>
      <c r="E1742" s="107"/>
      <c r="F1742" s="107"/>
      <c r="G1742" s="83"/>
      <c r="H1742" s="83"/>
      <c r="I1742" s="84"/>
      <c r="J1742" s="85"/>
      <c r="K1742" s="382"/>
      <c r="L1742" s="85"/>
      <c r="M1742" s="332" t="str">
        <f t="shared" si="502"/>
        <v/>
      </c>
      <c r="N1742" s="453"/>
      <c r="O1742" s="86" t="str">
        <f t="shared" si="504"/>
        <v/>
      </c>
      <c r="P1742" s="538" t="str">
        <f t="shared" si="505"/>
        <v/>
      </c>
      <c r="Q1742" s="539" t="str">
        <f t="shared" si="503"/>
        <v/>
      </c>
      <c r="R1742" s="706"/>
      <c r="S1742" s="707"/>
      <c r="T1742" s="708"/>
      <c r="U1742" s="472"/>
      <c r="V1742" s="167"/>
      <c r="W1742" s="446"/>
      <c r="X1742" s="456"/>
      <c r="Y1742" s="436"/>
      <c r="Z1742" s="437"/>
      <c r="AA1742" s="560"/>
      <c r="AB1742" s="561"/>
      <c r="AC1742" s="87"/>
      <c r="AD1742" s="466"/>
      <c r="AE1742" s="456"/>
      <c r="AF1742" s="467"/>
      <c r="AG1742" s="87"/>
      <c r="AH1742" s="87"/>
      <c r="AI1742" s="87"/>
    </row>
    <row r="1743" spans="1:35" ht="16.5" hidden="1" thickBot="1">
      <c r="A1743" s="44"/>
      <c r="B1743" s="89"/>
      <c r="C1743" s="90"/>
      <c r="D1743" s="90"/>
      <c r="E1743" s="90"/>
      <c r="F1743" s="90"/>
      <c r="G1743" s="90"/>
      <c r="H1743" s="90"/>
      <c r="I1743" s="90"/>
      <c r="J1743" s="90"/>
      <c r="K1743" s="90"/>
      <c r="L1743" s="90"/>
      <c r="M1743" s="90"/>
      <c r="N1743" s="90"/>
      <c r="O1743" s="90"/>
      <c r="P1743" s="90"/>
      <c r="Q1743" s="90"/>
      <c r="R1743" s="90"/>
      <c r="S1743" s="91"/>
      <c r="T1743" s="92"/>
      <c r="U1743" s="473"/>
      <c r="W1743" s="438"/>
      <c r="X1743" s="455"/>
      <c r="Y1743" s="439"/>
      <c r="Z1743" s="437"/>
      <c r="AA1743" s="530"/>
      <c r="AB1743" s="563"/>
      <c r="AC1743" s="87"/>
      <c r="AD1743" s="440"/>
      <c r="AE1743" s="441"/>
      <c r="AF1743" s="442"/>
      <c r="AG1743" s="49"/>
      <c r="AH1743" s="87"/>
      <c r="AI1743" s="87"/>
    </row>
    <row r="1744" spans="1:35" ht="16.5" hidden="1" thickBot="1">
      <c r="A1744" s="93"/>
      <c r="B1744" s="94"/>
      <c r="C1744" s="96"/>
      <c r="D1744" s="96"/>
      <c r="E1744" s="96"/>
      <c r="F1744" s="96"/>
      <c r="G1744" s="96"/>
      <c r="H1744" s="96"/>
      <c r="I1744" s="96"/>
      <c r="J1744" s="96"/>
      <c r="K1744" s="96"/>
      <c r="L1744" s="96"/>
      <c r="M1744" s="136"/>
      <c r="N1744" s="96"/>
      <c r="O1744" s="96"/>
      <c r="P1744" s="97"/>
      <c r="Q1744" s="97"/>
      <c r="R1744" s="98"/>
      <c r="S1744" s="95"/>
      <c r="T1744" s="99"/>
      <c r="U1744" s="469"/>
      <c r="AC1744" s="58"/>
      <c r="AG1744" s="58"/>
      <c r="AH1744" s="87"/>
      <c r="AI1744" s="87"/>
    </row>
    <row r="1745" spans="1:35" ht="16.5" hidden="1" thickBot="1">
      <c r="B1745" s="101"/>
      <c r="C1745" s="101"/>
      <c r="D1745" s="101"/>
      <c r="E1745" s="101"/>
      <c r="F1745" s="101"/>
      <c r="G1745" s="101"/>
      <c r="H1745" s="101"/>
      <c r="I1745" s="101"/>
      <c r="J1745" s="101"/>
      <c r="K1745" s="101"/>
      <c r="L1745" s="101"/>
      <c r="M1745" s="101"/>
      <c r="N1745" s="101"/>
      <c r="O1745" s="101"/>
      <c r="P1745" s="101"/>
      <c r="Q1745" s="101"/>
      <c r="R1745" s="101"/>
      <c r="S1745" s="101"/>
      <c r="U1745" s="50"/>
      <c r="AH1745" s="87"/>
      <c r="AI1745" s="87"/>
    </row>
    <row r="1746" spans="1:35" ht="16.5" hidden="1" customHeight="1" thickBot="1">
      <c r="A1746" s="44"/>
      <c r="B1746" s="705" t="s">
        <v>74</v>
      </c>
      <c r="C1746" s="705"/>
      <c r="D1746" s="705"/>
      <c r="E1746" s="705"/>
      <c r="F1746" s="705"/>
      <c r="G1746" s="705"/>
      <c r="H1746" s="705"/>
      <c r="I1746" s="705"/>
      <c r="J1746" s="705"/>
      <c r="K1746" s="705"/>
      <c r="L1746" s="705"/>
      <c r="M1746" s="705"/>
      <c r="N1746" s="705"/>
      <c r="O1746" s="705"/>
      <c r="P1746" s="705"/>
      <c r="Q1746" s="705"/>
      <c r="R1746" s="705"/>
      <c r="S1746" s="705"/>
      <c r="T1746" s="705"/>
      <c r="U1746" s="108"/>
      <c r="Y1746" s="532" t="s">
        <v>341</v>
      </c>
      <c r="AC1746" s="49"/>
      <c r="AD1746" s="687" t="s">
        <v>302</v>
      </c>
      <c r="AE1746" s="688"/>
      <c r="AF1746" s="689"/>
      <c r="AG1746" s="49"/>
      <c r="AH1746" s="87"/>
      <c r="AI1746" s="87"/>
    </row>
    <row r="1747" spans="1:35" ht="15.75" hidden="1" customHeight="1" thickBot="1">
      <c r="A1747" s="218" t="e">
        <f>"K"&amp;E1729</f>
        <v>#N/A</v>
      </c>
      <c r="B1747" s="701" t="s">
        <v>71</v>
      </c>
      <c r="C1747" s="751" t="s">
        <v>102</v>
      </c>
      <c r="D1747" s="751"/>
      <c r="E1747" s="751"/>
      <c r="F1747" s="751"/>
      <c r="G1747" s="751"/>
      <c r="H1747" s="751"/>
      <c r="I1747" s="751"/>
      <c r="J1747" s="751"/>
      <c r="K1747" s="751"/>
      <c r="L1747" s="722" t="s">
        <v>100</v>
      </c>
      <c r="M1747" s="747" t="s">
        <v>114</v>
      </c>
      <c r="N1747" s="747"/>
      <c r="O1747" s="747"/>
      <c r="P1747" s="747"/>
      <c r="Q1747" s="748"/>
      <c r="R1747" s="758" t="s">
        <v>280</v>
      </c>
      <c r="S1747" s="748"/>
      <c r="T1747" s="762" t="str">
        <f>IF(COUNTIF(AE1747:AF1747,"VERIFICAR")&gt;0,"VERIFICAR",IF(COUNTIF(AE1747:AF1747,"NO CUMPLE")&gt;0,"NO CUMPLE","CUMPLE"))</f>
        <v>VERIFICAR</v>
      </c>
      <c r="U1747" s="108"/>
      <c r="Y1747" s="533" t="e">
        <f>IF(F1748="","",IF(F1748=1,"INDIVIDUAL","ESTRUCTURA PLURAL"))</f>
        <v>#N/A</v>
      </c>
      <c r="AC1747" s="52"/>
      <c r="AD1747" s="475" t="s">
        <v>303</v>
      </c>
      <c r="AE1747" s="476" t="str">
        <f>IF(COUNTIF(AE1733:AE1742,"")=10,"VERIFICAR",IF(COUNTIF(AE1733:AE1742,"SI")&gt;0,"CUMPLE","NO CUMPLE"))</f>
        <v>VERIFICAR</v>
      </c>
      <c r="AF1747" s="477" t="str">
        <f>IF(COUNTIF(AF1733:AF1742,"")=10,"VERIFICAR",IF(COUNTIF(AF1733:AF1742,"SI")&gt;=$AI$22,"CUMPLE","NO CUMPLE"))</f>
        <v>VERIFICAR</v>
      </c>
      <c r="AG1747" s="52"/>
      <c r="AH1747" s="87"/>
      <c r="AI1747" s="87"/>
    </row>
    <row r="1748" spans="1:35" ht="16.5" hidden="1" customHeight="1" thickBot="1">
      <c r="A1748" s="218" t="e">
        <f>"L"&amp;E1729</f>
        <v>#N/A</v>
      </c>
      <c r="B1748" s="702"/>
      <c r="C1748" s="751" t="s">
        <v>103</v>
      </c>
      <c r="D1748" s="751"/>
      <c r="E1748" s="752"/>
      <c r="F1748" s="557" t="e">
        <f>IF(VLOOKUP(E1729,PROPONENTES!$C$19:$E$218,3,0)="","",VLOOKUP(E1729,PROPONENTES!$C$19:$E$218,3,0))</f>
        <v>#N/A</v>
      </c>
      <c r="G1748" s="753" t="s">
        <v>104</v>
      </c>
      <c r="H1748" s="751"/>
      <c r="I1748" s="715" t="e">
        <f>IF(OR(F1748="",F1748=1),"INTERESADO PERSONA NATURAL O JURIDICA","CONSORCIO O UNION TEMPORAL")</f>
        <v>#N/A</v>
      </c>
      <c r="J1748" s="725"/>
      <c r="K1748" s="728"/>
      <c r="L1748" s="723"/>
      <c r="M1748" s="749"/>
      <c r="N1748" s="749"/>
      <c r="O1748" s="749"/>
      <c r="P1748" s="749"/>
      <c r="Q1748" s="750"/>
      <c r="R1748" s="712"/>
      <c r="S1748" s="750"/>
      <c r="T1748" s="763"/>
      <c r="U1748" s="108"/>
      <c r="Y1748" s="534"/>
      <c r="AA1748" s="52"/>
      <c r="AB1748" s="52"/>
      <c r="AC1748" s="52"/>
      <c r="AG1748" s="52"/>
      <c r="AH1748" s="87"/>
      <c r="AI1748" s="87"/>
    </row>
    <row r="1749" spans="1:35" ht="56.25" hidden="1" customHeight="1" thickBot="1">
      <c r="A1749" s="218" t="e">
        <f>"M"&amp;E1729</f>
        <v>#N/A</v>
      </c>
      <c r="B1749" s="702"/>
      <c r="C1749" s="725" t="s">
        <v>101</v>
      </c>
      <c r="D1749" s="716"/>
      <c r="E1749" s="558" t="s">
        <v>105</v>
      </c>
      <c r="F1749" s="554" t="s">
        <v>87</v>
      </c>
      <c r="G1749" s="553" t="s">
        <v>86</v>
      </c>
      <c r="H1749" s="559" t="s">
        <v>85</v>
      </c>
      <c r="I1749" s="554" t="s">
        <v>252</v>
      </c>
      <c r="J1749" s="553" t="str">
        <f>"¿EL INTEGRANTE TIENE UNA PARTICIPACIÓN DEL "&amp;PORCREQUERIDOINT*100&amp;"%?"</f>
        <v>¿EL INTEGRANTE TIENE UNA PARTICIPACIÓN DEL 60%?</v>
      </c>
      <c r="K1749" s="554" t="s">
        <v>107</v>
      </c>
      <c r="L1749" s="724"/>
      <c r="M1749" s="717" t="s">
        <v>115</v>
      </c>
      <c r="N1749" s="718"/>
      <c r="O1749" s="718"/>
      <c r="P1749" s="718"/>
      <c r="Q1749" s="223">
        <f>IF(AND(H1733="SI",P1733&gt;=0),1,0)+IF(AND(H1734="SI",P1734&gt;=0),1,0)+IF(AND(H1735="SI",P1735&gt;=0),1,0)+IF(AND(H1736="SI",P1736&gt;=0),1,0)+IF(AND(H1737="SI",P1737&gt;=0),1,0)+IF(AND(H1738="SI",P1738&gt;=0),1,0)+IF(AND(H1739="SI",P1739&gt;=0),1,0)+IF(AND(H1740="SI",P1740&gt;=0),1,0)+IF(AND(H1741="SI",P1741&gt;=0),1,0)+IF(AND(H1742="SI",P1742&gt;=0),1,0)</f>
        <v>0</v>
      </c>
      <c r="R1749" s="759"/>
      <c r="S1749" s="761"/>
      <c r="T1749" s="764"/>
      <c r="U1749" s="219"/>
      <c r="V1749" s="464"/>
      <c r="Y1749" s="532" t="s">
        <v>342</v>
      </c>
      <c r="AA1749" s="550" t="s">
        <v>344</v>
      </c>
      <c r="AB1749" s="693" t="s">
        <v>345</v>
      </c>
      <c r="AC1749" s="693" t="s">
        <v>346</v>
      </c>
      <c r="AD1749" s="685" t="s">
        <v>347</v>
      </c>
      <c r="AE1749" s="52"/>
      <c r="AF1749" s="52"/>
      <c r="AG1749" s="52"/>
      <c r="AH1749" s="87"/>
      <c r="AI1749" s="87"/>
    </row>
    <row r="1750" spans="1:35" ht="15.75" hidden="1" customHeight="1" thickBot="1">
      <c r="A1750" s="218" t="e">
        <f>"N"&amp;E1729</f>
        <v>#N/A</v>
      </c>
      <c r="B1750" s="702"/>
      <c r="C1750" s="114">
        <v>1</v>
      </c>
      <c r="D1750" s="194" t="e">
        <f>IF(AND(C1750&lt;=F1748,F1748&gt;1,F1748&lt;&gt;""),VLOOKUP(VALUE(E1729&amp;","&amp;C1750),INTEGRANTES!$D$18:$F$235,2,0),"")</f>
        <v>#N/A</v>
      </c>
      <c r="E1750" s="211" t="e">
        <f>IF(D1750&lt;&gt;"",VLOOKUP(VALUE(E1729&amp;","&amp;C1750),INTEGRANTES!$D$18:$F$235,3,0),"")</f>
        <v>#N/A</v>
      </c>
      <c r="F1750" s="547" t="e">
        <f>IF(D1750="","",SUMIF($I1733:$I1742,D1750,$P1733:$P1742))</f>
        <v>#N/A</v>
      </c>
      <c r="G1750" s="333" t="e">
        <f>IF(D1750="","",SUMIF($I1733:$I1742,D1750,$M1733:$M1742))</f>
        <v>#N/A</v>
      </c>
      <c r="H1750" s="535" t="e">
        <f t="shared" ref="H1750:H1755" si="506">IF(D1750="","",IF(OR(F1750=0,G1750=0),"NO APORTA",ROUND($F1750/$G1750,3)))</f>
        <v>#N/A</v>
      </c>
      <c r="I1750" s="212" t="e">
        <f>IF(D1750="","",IF(H1750="NO APORTA","NO",IF(H1750=MAX($H1750:$H1755),"SI","NO")))</f>
        <v>#N/A</v>
      </c>
      <c r="J1750" s="213" t="e">
        <f t="shared" ref="J1750:J1755" si="507">IF(D1750="","",IF(E1750&gt;=PORCREQUERIDOINT,"SI","NO"))</f>
        <v>#N/A</v>
      </c>
      <c r="K1750" s="200" t="e">
        <f t="shared" ref="K1750:K1755" si="508">IF(D1750="","",IF(AND(I1750="SI",J1750="SI"),"CUMPLE",IF(AND(I1750="NO",OR(J1750="SI",J1750="NO")),"","NO CUMPLE")))</f>
        <v>#N/A</v>
      </c>
      <c r="L1750" s="722" t="s">
        <v>108</v>
      </c>
      <c r="M1750" s="726" t="s">
        <v>119</v>
      </c>
      <c r="N1750" s="726"/>
      <c r="O1750" s="726"/>
      <c r="P1750" s="726"/>
      <c r="Q1750" s="727"/>
      <c r="R1750" s="758" t="s">
        <v>80</v>
      </c>
      <c r="S1750" s="747"/>
      <c r="T1750" s="748"/>
      <c r="U1750" s="219"/>
      <c r="V1750" s="464"/>
      <c r="Y1750" s="533" t="e">
        <f>IF(Y1747="","",IF(Y1747="INDIVIDUAL","NO APLICA","VERIFICAR CUADRO"))</f>
        <v>#N/A</v>
      </c>
      <c r="AA1750" s="551"/>
      <c r="AB1750" s="694"/>
      <c r="AC1750" s="694"/>
      <c r="AD1750" s="686"/>
      <c r="AE1750" s="52"/>
      <c r="AF1750" s="52"/>
      <c r="AG1750" s="52"/>
      <c r="AH1750" s="87"/>
      <c r="AI1750" s="87"/>
    </row>
    <row r="1751" spans="1:35" ht="27" hidden="1" customHeight="1" thickBot="1">
      <c r="A1751" s="218" t="e">
        <f>"O"&amp;E1729</f>
        <v>#N/A</v>
      </c>
      <c r="B1751" s="702"/>
      <c r="C1751" s="114">
        <v>2</v>
      </c>
      <c r="D1751" s="194" t="e">
        <f>IF(AND(C1751&lt;=F1748,F1748&lt;&gt;""),VLOOKUP(VALUE(E1729&amp;","&amp;C1751),INTEGRANTES!$D$18:$F$235,2,0),"")</f>
        <v>#N/A</v>
      </c>
      <c r="E1751" s="211" t="e">
        <f>IF(D1751&lt;&gt;"",VLOOKUP(VALUE(E1729&amp;","&amp;C1751),INTEGRANTES!$D$18:$F$235,3,0),"")</f>
        <v>#N/A</v>
      </c>
      <c r="F1751" s="547" t="e">
        <f>IF(D1751="","",SUMIF($I1733:$I1742,D1751,$P1733:$P1742))</f>
        <v>#N/A</v>
      </c>
      <c r="G1751" s="333" t="e">
        <f>IF(D1751="","",SUMIF($I1733:$I1742,D1751,$M1733:$M1742))</f>
        <v>#N/A</v>
      </c>
      <c r="H1751" s="535" t="e">
        <f t="shared" si="506"/>
        <v>#N/A</v>
      </c>
      <c r="I1751" s="212" t="e">
        <f>IF(D1751="","",IF(H1751="NO APORTA","NO",IF(H1751=MAX($H1750:$H1755),"SI","NO")))</f>
        <v>#N/A</v>
      </c>
      <c r="J1751" s="213" t="e">
        <f t="shared" si="507"/>
        <v>#N/A</v>
      </c>
      <c r="K1751" s="200" t="e">
        <f t="shared" si="508"/>
        <v>#N/A</v>
      </c>
      <c r="L1751" s="723"/>
      <c r="M1751" s="715" t="s">
        <v>116</v>
      </c>
      <c r="N1751" s="716"/>
      <c r="O1751" s="556" t="s">
        <v>113</v>
      </c>
      <c r="P1751" s="715" t="s">
        <v>117</v>
      </c>
      <c r="Q1751" s="728"/>
      <c r="R1751" s="759"/>
      <c r="S1751" s="760"/>
      <c r="T1751" s="761"/>
      <c r="U1751" s="219"/>
      <c r="V1751" s="464"/>
      <c r="Y1751" s="414"/>
      <c r="AA1751" s="542" t="e">
        <f>IF(AND(C1750&lt;=F1748,F1748&gt;1,F1748&lt;&gt;""),VLOOKUP(VALUE(E1729&amp;","&amp;C1750),INTEGRANTES!$D$18:$F$235,2,0),"")</f>
        <v>#N/A</v>
      </c>
      <c r="AB1751" s="544" t="e">
        <f t="shared" ref="AB1751:AB1756" si="509">IF(D1750="","",IF(OR(F1750=0,G1750=0),"NO APORTA",ROUND($F1750/$G1750,3)))</f>
        <v>#N/A</v>
      </c>
      <c r="AC1751" s="529"/>
      <c r="AD1751" s="200" t="e">
        <f t="shared" ref="AD1751:AD1756" si="510">IF(OR(AA1751="",AB1751=""),"",IF(AND(AC1751="X",AB1751&gt;=EXPREQVTD),"CUMPLE","NO CUMPLE"))</f>
        <v>#N/A</v>
      </c>
      <c r="AE1751" s="52"/>
      <c r="AF1751" s="52"/>
      <c r="AG1751" s="52"/>
      <c r="AH1751" s="87"/>
      <c r="AI1751" s="87"/>
    </row>
    <row r="1752" spans="1:35" ht="16.5" hidden="1" thickBot="1">
      <c r="A1752" s="218" t="e">
        <f>"P"&amp;E1729</f>
        <v>#N/A</v>
      </c>
      <c r="B1752" s="702"/>
      <c r="C1752" s="114">
        <v>3</v>
      </c>
      <c r="D1752" s="194" t="e">
        <f>IF(AND(C1752&lt;=F1748,F1748&lt;&gt;""),VLOOKUP(VALUE(E1729&amp;","&amp;C1752),INTEGRANTES!$D$18:$F$235,2,0),"")</f>
        <v>#N/A</v>
      </c>
      <c r="E1752" s="211" t="e">
        <f>IF(D1752&lt;&gt;"",VLOOKUP(VALUE(E1729&amp;","&amp;C1752),INTEGRANTES!$D$18:$F$235,3,0),"")</f>
        <v>#N/A</v>
      </c>
      <c r="F1752" s="547" t="e">
        <f>IF(D1752="","",SUMIF($I1733:$I1742,D1752,$P1733:$P1742))</f>
        <v>#N/A</v>
      </c>
      <c r="G1752" s="333" t="e">
        <f>IF(D1752="","",SUMIF($I1733:$I1742,D1752,$M1733:$M1742))</f>
        <v>#N/A</v>
      </c>
      <c r="H1752" s="535" t="e">
        <f t="shared" si="506"/>
        <v>#N/A</v>
      </c>
      <c r="I1752" s="212" t="e">
        <f>IF(D1752="","",IF(H1752="NO APORTA","NO",IF(H1752=MAX($H1750:$H1755),"SI","NO")))</f>
        <v>#N/A</v>
      </c>
      <c r="J1752" s="213" t="e">
        <f t="shared" si="507"/>
        <v>#N/A</v>
      </c>
      <c r="K1752" s="200" t="e">
        <f t="shared" si="508"/>
        <v>#N/A</v>
      </c>
      <c r="L1752" s="724"/>
      <c r="M1752" s="729">
        <f>NUMMOD</f>
        <v>1</v>
      </c>
      <c r="N1752" s="730"/>
      <c r="O1752" s="443">
        <f>IF(M1752="","",VLOOKUP(M1752,PRESUPUESTOS!$B$16:$H$16,5,FALSE))</f>
        <v>2</v>
      </c>
      <c r="P1752" s="713">
        <f>IF(OR(COUNTIF(M1733:M1742,"")&gt;=10,Q1749&lt;NUMMINCONT,OR(T1747="NO CUMPLE",T1747="VERIFICAR")),0,ROUND(AVERAGE(M1733:M1742),3))</f>
        <v>0</v>
      </c>
      <c r="Q1752" s="714"/>
      <c r="R1752" s="458"/>
      <c r="S1752" s="459"/>
      <c r="T1752" s="460"/>
      <c r="U1752" s="219"/>
      <c r="V1752" s="464"/>
      <c r="Y1752" s="532" t="str">
        <f>"40% * ("&amp;PRESUPUESTOS!$H$13&amp;")"</f>
        <v>40% * (50% PFMO)</v>
      </c>
      <c r="AA1752" s="540" t="e">
        <f>IF(AND(C1751&lt;=F1748,F1748&lt;&gt;""),VLOOKUP(VALUE(E1729&amp;","&amp;C1751),INTEGRANTES!$D$18:$F$235,2,0),"")</f>
        <v>#N/A</v>
      </c>
      <c r="AB1752" s="545" t="e">
        <f t="shared" si="509"/>
        <v>#N/A</v>
      </c>
      <c r="AC1752" s="529"/>
      <c r="AD1752" s="200" t="e">
        <f t="shared" si="510"/>
        <v>#N/A</v>
      </c>
      <c r="AE1752" s="52"/>
      <c r="AF1752" s="52"/>
      <c r="AG1752" s="52"/>
      <c r="AH1752" s="87"/>
      <c r="AI1752" s="87"/>
    </row>
    <row r="1753" spans="1:35" ht="15.75" hidden="1" customHeight="1" thickBot="1">
      <c r="A1753" s="218" t="e">
        <f>"Q"&amp;E1729</f>
        <v>#N/A</v>
      </c>
      <c r="B1753" s="702"/>
      <c r="C1753" s="114">
        <v>4</v>
      </c>
      <c r="D1753" s="194" t="e">
        <f>IF(AND(C1753&lt;=F1748,F1748&lt;&gt;""),VLOOKUP(VALUE(E1729&amp;","&amp;C1753),INTEGRANTES!$D$18:$F$235,2,0),"")</f>
        <v>#N/A</v>
      </c>
      <c r="E1753" s="211" t="e">
        <f>IF(D1753&lt;&gt;"",VLOOKUP(VALUE(E1729&amp;","&amp;C1753),INTEGRANTES!$D$18:$F$235,3,0),"")</f>
        <v>#N/A</v>
      </c>
      <c r="F1753" s="547" t="e">
        <f>IF(D1753="","",SUMIF($I1733:$I1742,D1753,$P1733:$P1742))</f>
        <v>#N/A</v>
      </c>
      <c r="G1753" s="333" t="e">
        <f>IF(D1753="","",SUMIF($I1733:$I1742,D1753,$M1733:$M1742))</f>
        <v>#N/A</v>
      </c>
      <c r="H1753" s="535" t="e">
        <f t="shared" si="506"/>
        <v>#N/A</v>
      </c>
      <c r="I1753" s="212" t="e">
        <f>IF(D1753="","",IF(H1753="NO APORTA","NO",IF(H1753=MAX($H1750:$H1755),"SI","NO")))</f>
        <v>#N/A</v>
      </c>
      <c r="J1753" s="213" t="e">
        <f t="shared" si="507"/>
        <v>#N/A</v>
      </c>
      <c r="K1753" s="200" t="e">
        <f t="shared" si="508"/>
        <v>#N/A</v>
      </c>
      <c r="L1753" s="720" t="s">
        <v>109</v>
      </c>
      <c r="M1753" s="757" t="s">
        <v>120</v>
      </c>
      <c r="N1753" s="726"/>
      <c r="O1753" s="726"/>
      <c r="P1753" s="726"/>
      <c r="Q1753" s="727"/>
      <c r="R1753" s="458"/>
      <c r="S1753" s="459"/>
      <c r="T1753" s="460"/>
      <c r="U1753" s="219"/>
      <c r="V1753" s="464"/>
      <c r="Y1753" s="537">
        <f>0.4*PRESUPUESTOS!$H$16</f>
        <v>10.3124</v>
      </c>
      <c r="AA1753" s="540" t="e">
        <f>IF(AND(C1752&lt;=F1748,F1748&lt;&gt;""),VLOOKUP(VALUE(E1729&amp;","&amp;C1752),INTEGRANTES!$D$18:$F$235,2,0),"")</f>
        <v>#N/A</v>
      </c>
      <c r="AB1753" s="545" t="e">
        <f t="shared" si="509"/>
        <v>#N/A</v>
      </c>
      <c r="AC1753" s="529"/>
      <c r="AD1753" s="200" t="e">
        <f t="shared" si="510"/>
        <v>#N/A</v>
      </c>
      <c r="AE1753" s="52"/>
      <c r="AF1753" s="52"/>
      <c r="AG1753" s="52"/>
      <c r="AH1753" s="87"/>
      <c r="AI1753" s="87"/>
    </row>
    <row r="1754" spans="1:35" ht="27" hidden="1" customHeight="1" thickBot="1">
      <c r="A1754" s="218" t="e">
        <f>"R"&amp;E1729</f>
        <v>#N/A</v>
      </c>
      <c r="B1754" s="702"/>
      <c r="C1754" s="114">
        <v>5</v>
      </c>
      <c r="D1754" s="194" t="e">
        <f>IF(AND(C1754&lt;=F1748,F1748&lt;&gt;""),VLOOKUP(VALUE(E1729&amp;","&amp;C1754),INTEGRANTES!$D$18:$F$235,2,0),"")</f>
        <v>#N/A</v>
      </c>
      <c r="E1754" s="211" t="e">
        <f>IF(D1754&lt;&gt;"",VLOOKUP(VALUE(E1729&amp;","&amp;C1754),INTEGRANTES!$D$18:$F$235,3,0),"")</f>
        <v>#N/A</v>
      </c>
      <c r="F1754" s="547" t="e">
        <f>IF(D1754="","",SUMIF($I1733:$I1742,D1754,$P1733:$P1742))</f>
        <v>#N/A</v>
      </c>
      <c r="G1754" s="333" t="e">
        <f>IF(D1754="","",SUMIF($I1733:$I1742,D1754,$M1733:$M1742))</f>
        <v>#N/A</v>
      </c>
      <c r="H1754" s="535" t="e">
        <f t="shared" si="506"/>
        <v>#N/A</v>
      </c>
      <c r="I1754" s="212" t="e">
        <f>IF(D1754="","",IF(H1754="NO APORTA","NO",IF(H1754=MAX($H1750:$H1755),"SI","NO")))</f>
        <v>#N/A</v>
      </c>
      <c r="J1754" s="213" t="e">
        <f t="shared" si="507"/>
        <v>#N/A</v>
      </c>
      <c r="K1754" s="200" t="e">
        <f t="shared" si="508"/>
        <v>#N/A</v>
      </c>
      <c r="L1754" s="721"/>
      <c r="M1754" s="715" t="s">
        <v>116</v>
      </c>
      <c r="N1754" s="716"/>
      <c r="O1754" s="556" t="str">
        <f>PORCREQUERIDO*100&amp;"% PMFO DEL MÓDULO"</f>
        <v>50% PMFO DEL MÓDULO</v>
      </c>
      <c r="P1754" s="715" t="s">
        <v>118</v>
      </c>
      <c r="Q1754" s="728"/>
      <c r="R1754" s="458"/>
      <c r="S1754" s="459"/>
      <c r="T1754" s="460"/>
      <c r="U1754" s="219"/>
      <c r="V1754" s="464"/>
      <c r="Y1754" s="414"/>
      <c r="AA1754" s="540" t="e">
        <f>IF(AND(C1753&lt;=F1748,F1748&lt;&gt;""),VLOOKUP(VALUE(E1729&amp;","&amp;C1753),INTEGRANTES!$D$18:$F$235,2,0),"")</f>
        <v>#N/A</v>
      </c>
      <c r="AB1754" s="545" t="e">
        <f t="shared" si="509"/>
        <v>#N/A</v>
      </c>
      <c r="AC1754" s="529"/>
      <c r="AD1754" s="200" t="e">
        <f t="shared" si="510"/>
        <v>#N/A</v>
      </c>
      <c r="AE1754" s="52"/>
      <c r="AF1754" s="52"/>
      <c r="AG1754" s="52"/>
      <c r="AH1754" s="87"/>
      <c r="AI1754" s="87"/>
    </row>
    <row r="1755" spans="1:35" ht="16.5" hidden="1" thickBot="1">
      <c r="A1755" s="218" t="e">
        <f>"S"&amp;E1729</f>
        <v>#N/A</v>
      </c>
      <c r="B1755" s="702"/>
      <c r="C1755" s="215">
        <v>6</v>
      </c>
      <c r="D1755" s="216" t="e">
        <f>IF(AND(C1755&lt;=F1748,F1748&lt;&gt;""),VLOOKUP(VALUE(E1729&amp;","&amp;C1755),INTEGRANTES!$D$18:$F$235,2,0),"")</f>
        <v>#N/A</v>
      </c>
      <c r="E1755" s="217" t="e">
        <f>IF(D1755&lt;&gt;"",VLOOKUP(VALUE(E1729&amp;","&amp;C1755),INTEGRANTES!$D$18:$F$235,3,0),"")</f>
        <v>#N/A</v>
      </c>
      <c r="F1755" s="548" t="e">
        <f>IF(D1755="","",SUMIF($I1733:$I1742,D1755,$P1733:$P1742))</f>
        <v>#N/A</v>
      </c>
      <c r="G1755" s="334" t="e">
        <f>IF(D1755="","",SUMIF($I1733:$I1742,D1755,$M1733:$M1742))</f>
        <v>#N/A</v>
      </c>
      <c r="H1755" s="536" t="e">
        <f t="shared" si="506"/>
        <v>#N/A</v>
      </c>
      <c r="I1755" s="214" t="e">
        <f>IF(D1755="","",IF(H1755="NO APORTA","NO",IF(H1755=MAX($H1750:$H1755),"SI","NO")))</f>
        <v>#N/A</v>
      </c>
      <c r="J1755" s="213" t="e">
        <f t="shared" si="507"/>
        <v>#N/A</v>
      </c>
      <c r="K1755" s="200" t="e">
        <f t="shared" si="508"/>
        <v>#N/A</v>
      </c>
      <c r="L1755" s="721"/>
      <c r="M1755" s="729">
        <f>NUMMOD</f>
        <v>1</v>
      </c>
      <c r="N1755" s="730"/>
      <c r="O1755" s="443">
        <f>IF(M1755="","",ROUND(VLOOKUP(M1755,PRESUPUESTOS!$B$16:$H$16,7,FALSE),3))</f>
        <v>25.780999999999999</v>
      </c>
      <c r="P1755" s="713">
        <f>IF(OR(COUNTIF(P1733:P1742,"")&gt;=10,Q1749&lt;NUMMINCONT,OR(T1747="NO CUMPLE",T1747="VERIFICAR")),0,ROUND((SUM(P1733:P1742)/SUM(M1733:M1742)),3))</f>
        <v>0</v>
      </c>
      <c r="Q1755" s="714"/>
      <c r="R1755" s="458"/>
      <c r="S1755" s="459"/>
      <c r="T1755" s="460"/>
      <c r="U1755" s="219"/>
      <c r="V1755" s="464"/>
      <c r="Y1755" s="532" t="s">
        <v>343</v>
      </c>
      <c r="AA1755" s="540" t="e">
        <f>IF(AND(C1754&lt;=F1748,F1748&lt;&gt;""),VLOOKUP(VALUE(E1729&amp;","&amp;C1754),INTEGRANTES!$D$18:$F$235,2,0),"")</f>
        <v>#N/A</v>
      </c>
      <c r="AB1755" s="545" t="e">
        <f t="shared" si="509"/>
        <v>#N/A</v>
      </c>
      <c r="AC1755" s="529"/>
      <c r="AD1755" s="200" t="e">
        <f t="shared" si="510"/>
        <v>#N/A</v>
      </c>
      <c r="AE1755" s="52"/>
      <c r="AF1755" s="52"/>
      <c r="AG1755" s="52"/>
      <c r="AH1755" s="87"/>
      <c r="AI1755" s="87"/>
    </row>
    <row r="1756" spans="1:35" ht="16.5" hidden="1" customHeight="1" thickBot="1">
      <c r="A1756" s="218" t="e">
        <f>"T"&amp;E1729</f>
        <v>#N/A</v>
      </c>
      <c r="B1756" s="703"/>
      <c r="C1756" s="719"/>
      <c r="D1756" s="719"/>
      <c r="E1756" s="719"/>
      <c r="F1756" s="719"/>
      <c r="G1756" s="719"/>
      <c r="H1756" s="719" t="s">
        <v>110</v>
      </c>
      <c r="I1756" s="719"/>
      <c r="J1756" s="719"/>
      <c r="K1756" s="201" t="str">
        <f>IF(COUNTIF(K1750:K1755,"")=6,"",IF(COUNTIF(K1750:K1755,"CUMPLE")&gt;0,"CUMPLE","NO CUMPLE"))</f>
        <v>NO CUMPLE</v>
      </c>
      <c r="L1756" s="754"/>
      <c r="M1756" s="755"/>
      <c r="N1756" s="755"/>
      <c r="O1756" s="755"/>
      <c r="P1756" s="755"/>
      <c r="Q1756" s="756"/>
      <c r="R1756" s="461"/>
      <c r="S1756" s="462"/>
      <c r="T1756" s="463"/>
      <c r="U1756" s="219"/>
      <c r="V1756" s="464"/>
      <c r="Y1756" s="549" t="e">
        <f>IF(Y1750="NO APLICA","NO APLICA",IF(COUNTIF(AD1751:AD1756,"CUMPLE")&gt;0,"CUMPLE","NO CUMPLE"))</f>
        <v>#N/A</v>
      </c>
      <c r="AA1756" s="541" t="e">
        <f>IF(AND(C1755&lt;=F1748,F1748&lt;&gt;""),VLOOKUP(VALUE(E1729&amp;","&amp;C1755),INTEGRANTES!$D$18:$F$235,2,0),"")</f>
        <v>#N/A</v>
      </c>
      <c r="AB1756" s="546" t="e">
        <f t="shared" si="509"/>
        <v>#N/A</v>
      </c>
      <c r="AC1756" s="543"/>
      <c r="AD1756" s="201" t="e">
        <f t="shared" si="510"/>
        <v>#N/A</v>
      </c>
      <c r="AE1756" s="52"/>
      <c r="AF1756" s="52"/>
      <c r="AG1756" s="52"/>
      <c r="AH1756" s="87"/>
      <c r="AI1756" s="87"/>
    </row>
    <row r="1757" spans="1:35" hidden="1">
      <c r="AH1757" s="87"/>
      <c r="AI1757" s="87"/>
    </row>
    <row r="1758" spans="1:35" hidden="1">
      <c r="AH1758" s="87"/>
      <c r="AI1758" s="87"/>
    </row>
    <row r="1759" spans="1:35" ht="24" hidden="1" thickBot="1">
      <c r="A1759" s="61">
        <v>59</v>
      </c>
      <c r="B1759" s="704" t="s">
        <v>51</v>
      </c>
      <c r="C1759" s="704"/>
      <c r="D1759" s="704"/>
      <c r="E1759" s="62" t="e">
        <f>VLOOKUP(A1759,PROPONENTES!$B$19:$E$218,2,FALSE)</f>
        <v>#N/A</v>
      </c>
      <c r="F1759" s="63" t="e">
        <f>VLOOKUP(A1759,PROPONENTES!$B$19:$E$218,3,FALSE)</f>
        <v>#N/A</v>
      </c>
      <c r="G1759" s="64"/>
      <c r="H1759" s="64"/>
      <c r="I1759" s="63"/>
      <c r="J1759" s="63"/>
      <c r="K1759" s="65"/>
      <c r="L1759" s="65"/>
      <c r="M1759" s="64"/>
      <c r="N1759" s="64"/>
      <c r="O1759" s="66"/>
      <c r="P1759" s="66"/>
      <c r="Q1759" s="66"/>
      <c r="R1759" s="66"/>
      <c r="S1759" s="67"/>
      <c r="T1759" s="68"/>
      <c r="U1759" s="68"/>
      <c r="AC1759" s="68"/>
      <c r="AD1759" s="68"/>
      <c r="AE1759" s="68"/>
      <c r="AF1759" s="68"/>
      <c r="AG1759" s="68"/>
      <c r="AH1759" s="87"/>
      <c r="AI1759" s="87"/>
    </row>
    <row r="1760" spans="1:35" ht="15.75" hidden="1" customHeight="1">
      <c r="A1760" s="44"/>
      <c r="B1760" s="709" t="s">
        <v>59</v>
      </c>
      <c r="C1760" s="552" t="s">
        <v>60</v>
      </c>
      <c r="D1760" s="70" t="s">
        <v>17</v>
      </c>
      <c r="E1760" s="70"/>
      <c r="F1760" s="70" t="s">
        <v>61</v>
      </c>
      <c r="G1760" s="71"/>
      <c r="H1760" s="699" t="s">
        <v>62</v>
      </c>
      <c r="I1760" s="699" t="s">
        <v>18</v>
      </c>
      <c r="J1760" s="699" t="s">
        <v>63</v>
      </c>
      <c r="K1760" s="699" t="s">
        <v>64</v>
      </c>
      <c r="L1760" s="699" t="s">
        <v>65</v>
      </c>
      <c r="M1760" s="743" t="s">
        <v>66</v>
      </c>
      <c r="N1760" s="699" t="s">
        <v>282</v>
      </c>
      <c r="O1760" s="745" t="s">
        <v>67</v>
      </c>
      <c r="P1760" s="746"/>
      <c r="Q1760" s="102" t="s">
        <v>75</v>
      </c>
      <c r="R1760" s="731" t="s">
        <v>22</v>
      </c>
      <c r="S1760" s="732"/>
      <c r="T1760" s="733"/>
      <c r="U1760" s="712" t="s">
        <v>298</v>
      </c>
      <c r="W1760" s="690" t="s">
        <v>268</v>
      </c>
      <c r="X1760" s="691"/>
      <c r="Y1760" s="692"/>
      <c r="Z1760" s="428"/>
      <c r="AA1760" s="697" t="s">
        <v>315</v>
      </c>
      <c r="AB1760" s="695" t="s">
        <v>322</v>
      </c>
      <c r="AC1760" s="49"/>
      <c r="AD1760" s="690" t="s">
        <v>297</v>
      </c>
      <c r="AE1760" s="691"/>
      <c r="AF1760" s="692"/>
      <c r="AG1760" s="49"/>
      <c r="AH1760" s="87"/>
      <c r="AI1760" s="87"/>
    </row>
    <row r="1761" spans="1:35" ht="72" hidden="1">
      <c r="A1761" s="44"/>
      <c r="B1761" s="710"/>
      <c r="C1761" s="553" t="s">
        <v>68</v>
      </c>
      <c r="D1761" s="73" t="s">
        <v>3</v>
      </c>
      <c r="E1761" s="73" t="s">
        <v>19</v>
      </c>
      <c r="F1761" s="73" t="s">
        <v>69</v>
      </c>
      <c r="G1761" s="74" t="s">
        <v>70</v>
      </c>
      <c r="H1761" s="700"/>
      <c r="I1761" s="700"/>
      <c r="J1761" s="700"/>
      <c r="K1761" s="700"/>
      <c r="L1761" s="700"/>
      <c r="M1761" s="744"/>
      <c r="N1761" s="700"/>
      <c r="O1761" s="553" t="s">
        <v>279</v>
      </c>
      <c r="P1761" s="73" t="s">
        <v>88</v>
      </c>
      <c r="Q1761" s="555" t="s">
        <v>76</v>
      </c>
      <c r="R1761" s="734"/>
      <c r="S1761" s="735"/>
      <c r="T1761" s="736"/>
      <c r="U1761" s="712"/>
      <c r="W1761" s="429" t="s">
        <v>269</v>
      </c>
      <c r="X1761" s="457" t="s">
        <v>278</v>
      </c>
      <c r="Y1761" s="430" t="s">
        <v>324</v>
      </c>
      <c r="Z1761" s="428"/>
      <c r="AA1761" s="698"/>
      <c r="AB1761" s="696"/>
      <c r="AC1761" s="49"/>
      <c r="AD1761" s="429" t="s">
        <v>292</v>
      </c>
      <c r="AE1761" s="431" t="s">
        <v>300</v>
      </c>
      <c r="AF1761" s="468" t="s">
        <v>301</v>
      </c>
      <c r="AG1761" s="49"/>
      <c r="AH1761" s="87"/>
      <c r="AI1761" s="87"/>
    </row>
    <row r="1762" spans="1:35" hidden="1">
      <c r="A1762" s="44"/>
      <c r="B1762" s="76"/>
      <c r="C1762" s="77"/>
      <c r="D1762" s="77"/>
      <c r="E1762" s="77"/>
      <c r="F1762" s="77"/>
      <c r="G1762" s="77"/>
      <c r="H1762" s="77"/>
      <c r="I1762" s="77"/>
      <c r="J1762" s="77"/>
      <c r="K1762" s="77"/>
      <c r="L1762" s="77"/>
      <c r="M1762" s="77"/>
      <c r="N1762" s="77"/>
      <c r="O1762" s="77"/>
      <c r="P1762" s="77"/>
      <c r="Q1762" s="77"/>
      <c r="R1762" s="77"/>
      <c r="S1762" s="78"/>
      <c r="T1762" s="79"/>
      <c r="U1762" s="109"/>
      <c r="V1762" s="49"/>
      <c r="W1762" s="432"/>
      <c r="X1762" s="454"/>
      <c r="Y1762" s="433"/>
      <c r="Z1762" s="6"/>
      <c r="AA1762" s="500"/>
      <c r="AB1762" s="562"/>
      <c r="AC1762" s="49"/>
      <c r="AD1762" s="210"/>
      <c r="AE1762" s="434"/>
      <c r="AF1762" s="435"/>
      <c r="AG1762" s="49"/>
      <c r="AH1762" s="87"/>
      <c r="AI1762" s="87"/>
    </row>
    <row r="1763" spans="1:35" hidden="1">
      <c r="A1763" s="80" t="e">
        <f>"A"&amp;E1759</f>
        <v>#N/A</v>
      </c>
      <c r="B1763" s="81">
        <v>1</v>
      </c>
      <c r="C1763" s="82"/>
      <c r="D1763" s="82"/>
      <c r="E1763" s="82"/>
      <c r="F1763" s="82"/>
      <c r="G1763" s="83"/>
      <c r="H1763" s="83"/>
      <c r="I1763" s="84"/>
      <c r="J1763" s="85"/>
      <c r="K1763" s="382"/>
      <c r="L1763" s="85"/>
      <c r="M1763" s="332" t="str">
        <f t="shared" ref="M1763:M1772" si="511">IF(OR(J1763="",L1763="",H1763="NO"),"",IF(OR(J1763&gt;$P$17,J1763&lt;$O$17,L1763&gt;$P$17,AND(J1763&lt;$O$17,L1763&lt;$O$17)),"FUERA DE RANGO",IF(OR(K1763="---",K1763=""),IF(J1763&gt;=$O$17,ROUND((L1763-J1763+1)/360*12,3),ROUND((L1763-$O$17+1)/360*12,3)),IF(J1763&gt;=$O$17,ROUND((L1763-J1763+1)/360*12-ROUND(K1763,3),3),ROUND((L1763-$O$17+1)/360*12-ROUND(K1763,3),3)))))</f>
        <v/>
      </c>
      <c r="N1763" s="86"/>
      <c r="O1763" s="453" t="str">
        <f>IF(OR(G1763="",N1763=""),"",N1763*G1763)</f>
        <v/>
      </c>
      <c r="P1763" s="538" t="str">
        <f>IF(OR(H1763="",M1763="FUERA DE RANGO"),"",IF(OR(L1763&lt;$O$17,L1763&gt;$P$17,L1763="",H1763="NO"),"",IF(OR(N1763="",O1763=""),"",ROUND(O1763,3))))</f>
        <v/>
      </c>
      <c r="Q1763" s="539" t="str">
        <f t="shared" ref="Q1763:Q1772" si="512">IF(AND(H1763="SI",P1763&lt;&gt;""),ROUND(P1763/M1763,3),"")</f>
        <v/>
      </c>
      <c r="R1763" s="737"/>
      <c r="S1763" s="738"/>
      <c r="T1763" s="739"/>
      <c r="U1763" s="470"/>
      <c r="V1763" s="165"/>
      <c r="W1763" s="446"/>
      <c r="X1763" s="456"/>
      <c r="Y1763" s="436"/>
      <c r="Z1763" s="437"/>
      <c r="AA1763" s="560"/>
      <c r="AB1763" s="561"/>
      <c r="AC1763" s="87"/>
      <c r="AD1763" s="466"/>
      <c r="AE1763" s="456"/>
      <c r="AF1763" s="467"/>
      <c r="AG1763" s="87"/>
      <c r="AH1763" s="87"/>
      <c r="AI1763" s="87"/>
    </row>
    <row r="1764" spans="1:35" hidden="1">
      <c r="A1764" s="80" t="e">
        <f>"B"&amp;E1759</f>
        <v>#N/A</v>
      </c>
      <c r="B1764" s="81">
        <v>2</v>
      </c>
      <c r="C1764" s="106"/>
      <c r="D1764" s="106"/>
      <c r="E1764" s="106"/>
      <c r="F1764" s="106"/>
      <c r="G1764" s="83"/>
      <c r="H1764" s="83"/>
      <c r="I1764" s="84"/>
      <c r="J1764" s="85"/>
      <c r="K1764" s="382"/>
      <c r="L1764" s="85"/>
      <c r="M1764" s="332" t="str">
        <f t="shared" si="511"/>
        <v/>
      </c>
      <c r="N1764" s="86"/>
      <c r="O1764" s="453" t="str">
        <f t="shared" ref="O1764:O1772" si="513">IF(OR(G1764="",N1764=""),"",N1764*G1764)</f>
        <v/>
      </c>
      <c r="P1764" s="538" t="str">
        <f t="shared" ref="P1764:P1772" si="514">IF(OR(H1764="",M1764="FUERA DE RANGO"),"",IF(OR(L1764&lt;$O$17,L1764&gt;$P$17,L1764="",H1764="NO"),"",IF(OR(N1764="",O1764=""),"",ROUND(O1764,3))))</f>
        <v/>
      </c>
      <c r="Q1764" s="539" t="str">
        <f t="shared" si="512"/>
        <v/>
      </c>
      <c r="R1764" s="740"/>
      <c r="S1764" s="741"/>
      <c r="T1764" s="742"/>
      <c r="U1764" s="471"/>
      <c r="V1764" s="165"/>
      <c r="W1764" s="446"/>
      <c r="X1764" s="456"/>
      <c r="Y1764" s="436"/>
      <c r="Z1764" s="437"/>
      <c r="AA1764" s="560"/>
      <c r="AB1764" s="561"/>
      <c r="AC1764" s="87"/>
      <c r="AD1764" s="466"/>
      <c r="AE1764" s="456"/>
      <c r="AF1764" s="467"/>
      <c r="AG1764" s="87"/>
      <c r="AH1764" s="87"/>
      <c r="AI1764" s="87"/>
    </row>
    <row r="1765" spans="1:35" hidden="1">
      <c r="A1765" s="80" t="e">
        <f>"C"&amp;E1759</f>
        <v>#N/A</v>
      </c>
      <c r="B1765" s="88">
        <v>3</v>
      </c>
      <c r="C1765" s="82"/>
      <c r="D1765" s="82"/>
      <c r="E1765" s="82"/>
      <c r="F1765" s="82"/>
      <c r="G1765" s="83"/>
      <c r="H1765" s="83"/>
      <c r="I1765" s="84"/>
      <c r="J1765" s="85"/>
      <c r="K1765" s="382"/>
      <c r="L1765" s="85"/>
      <c r="M1765" s="332" t="str">
        <f t="shared" si="511"/>
        <v/>
      </c>
      <c r="N1765" s="86"/>
      <c r="O1765" s="453" t="str">
        <f t="shared" si="513"/>
        <v/>
      </c>
      <c r="P1765" s="538" t="str">
        <f t="shared" si="514"/>
        <v/>
      </c>
      <c r="Q1765" s="539" t="str">
        <f t="shared" si="512"/>
        <v/>
      </c>
      <c r="R1765" s="706"/>
      <c r="S1765" s="707"/>
      <c r="T1765" s="708"/>
      <c r="U1765" s="472"/>
      <c r="V1765" s="166"/>
      <c r="W1765" s="446"/>
      <c r="X1765" s="456"/>
      <c r="Y1765" s="436"/>
      <c r="Z1765" s="437"/>
      <c r="AA1765" s="560"/>
      <c r="AB1765" s="561"/>
      <c r="AC1765" s="87"/>
      <c r="AD1765" s="466"/>
      <c r="AE1765" s="456"/>
      <c r="AF1765" s="467"/>
      <c r="AG1765" s="87"/>
      <c r="AH1765" s="87"/>
      <c r="AI1765" s="87"/>
    </row>
    <row r="1766" spans="1:35" hidden="1">
      <c r="A1766" s="80" t="e">
        <f>"D"&amp;E1759</f>
        <v>#N/A</v>
      </c>
      <c r="B1766" s="105">
        <v>4</v>
      </c>
      <c r="C1766" s="107"/>
      <c r="D1766" s="107"/>
      <c r="E1766" s="107"/>
      <c r="F1766" s="107"/>
      <c r="G1766" s="83"/>
      <c r="H1766" s="83"/>
      <c r="I1766" s="84"/>
      <c r="J1766" s="85"/>
      <c r="K1766" s="382"/>
      <c r="L1766" s="85"/>
      <c r="M1766" s="332" t="str">
        <f t="shared" si="511"/>
        <v/>
      </c>
      <c r="N1766" s="86"/>
      <c r="O1766" s="453" t="str">
        <f t="shared" si="513"/>
        <v/>
      </c>
      <c r="P1766" s="538" t="str">
        <f t="shared" si="514"/>
        <v/>
      </c>
      <c r="Q1766" s="539" t="str">
        <f t="shared" si="512"/>
        <v/>
      </c>
      <c r="R1766" s="706"/>
      <c r="S1766" s="707"/>
      <c r="T1766" s="708"/>
      <c r="U1766" s="472"/>
      <c r="V1766" s="166"/>
      <c r="W1766" s="446"/>
      <c r="X1766" s="456"/>
      <c r="Y1766" s="436"/>
      <c r="Z1766" s="437"/>
      <c r="AA1766" s="560"/>
      <c r="AB1766" s="561"/>
      <c r="AC1766" s="87"/>
      <c r="AD1766" s="466"/>
      <c r="AE1766" s="456"/>
      <c r="AF1766" s="467"/>
      <c r="AG1766" s="87"/>
      <c r="AH1766" s="87"/>
      <c r="AI1766" s="87"/>
    </row>
    <row r="1767" spans="1:35" hidden="1">
      <c r="A1767" s="80" t="e">
        <f>"E"&amp;E1759</f>
        <v>#N/A</v>
      </c>
      <c r="B1767" s="105">
        <v>5</v>
      </c>
      <c r="C1767" s="107"/>
      <c r="D1767" s="107"/>
      <c r="E1767" s="107"/>
      <c r="F1767" s="107"/>
      <c r="G1767" s="83"/>
      <c r="H1767" s="83"/>
      <c r="I1767" s="84"/>
      <c r="J1767" s="85"/>
      <c r="K1767" s="382"/>
      <c r="L1767" s="85"/>
      <c r="M1767" s="332" t="str">
        <f t="shared" si="511"/>
        <v/>
      </c>
      <c r="N1767" s="86"/>
      <c r="O1767" s="453" t="str">
        <f t="shared" si="513"/>
        <v/>
      </c>
      <c r="P1767" s="538" t="str">
        <f t="shared" si="514"/>
        <v/>
      </c>
      <c r="Q1767" s="539" t="str">
        <f t="shared" si="512"/>
        <v/>
      </c>
      <c r="R1767" s="706"/>
      <c r="S1767" s="707"/>
      <c r="T1767" s="708"/>
      <c r="U1767" s="472"/>
      <c r="V1767" s="167"/>
      <c r="W1767" s="446"/>
      <c r="X1767" s="456"/>
      <c r="Y1767" s="436"/>
      <c r="Z1767" s="437"/>
      <c r="AA1767" s="560"/>
      <c r="AB1767" s="561"/>
      <c r="AC1767" s="87"/>
      <c r="AD1767" s="466"/>
      <c r="AE1767" s="456"/>
      <c r="AF1767" s="467"/>
      <c r="AG1767" s="87"/>
      <c r="AH1767" s="87"/>
      <c r="AI1767" s="87"/>
    </row>
    <row r="1768" spans="1:35" hidden="1">
      <c r="A1768" s="80" t="e">
        <f>"F"&amp;E1759</f>
        <v>#N/A</v>
      </c>
      <c r="B1768" s="105">
        <v>6</v>
      </c>
      <c r="C1768" s="107"/>
      <c r="D1768" s="107"/>
      <c r="E1768" s="107"/>
      <c r="F1768" s="107"/>
      <c r="G1768" s="83"/>
      <c r="H1768" s="83"/>
      <c r="I1768" s="84"/>
      <c r="J1768" s="85"/>
      <c r="K1768" s="382"/>
      <c r="L1768" s="85"/>
      <c r="M1768" s="332" t="str">
        <f t="shared" si="511"/>
        <v/>
      </c>
      <c r="N1768" s="86"/>
      <c r="O1768" s="453" t="str">
        <f t="shared" si="513"/>
        <v/>
      </c>
      <c r="P1768" s="538" t="str">
        <f t="shared" si="514"/>
        <v/>
      </c>
      <c r="Q1768" s="539" t="str">
        <f t="shared" si="512"/>
        <v/>
      </c>
      <c r="R1768" s="706"/>
      <c r="S1768" s="707"/>
      <c r="T1768" s="708"/>
      <c r="U1768" s="472"/>
      <c r="V1768" s="167"/>
      <c r="W1768" s="446"/>
      <c r="X1768" s="456"/>
      <c r="Y1768" s="436"/>
      <c r="Z1768" s="437"/>
      <c r="AA1768" s="560"/>
      <c r="AB1768" s="561"/>
      <c r="AC1768" s="87"/>
      <c r="AD1768" s="466"/>
      <c r="AE1768" s="456"/>
      <c r="AF1768" s="467"/>
      <c r="AG1768" s="87"/>
      <c r="AH1768" s="87"/>
      <c r="AI1768" s="87"/>
    </row>
    <row r="1769" spans="1:35" hidden="1">
      <c r="A1769" s="80" t="e">
        <f>"G"&amp;E1759</f>
        <v>#N/A</v>
      </c>
      <c r="B1769" s="105">
        <v>7</v>
      </c>
      <c r="C1769" s="107"/>
      <c r="D1769" s="107"/>
      <c r="E1769" s="107"/>
      <c r="F1769" s="107"/>
      <c r="G1769" s="83"/>
      <c r="H1769" s="83"/>
      <c r="I1769" s="84"/>
      <c r="J1769" s="85"/>
      <c r="K1769" s="382"/>
      <c r="L1769" s="85"/>
      <c r="M1769" s="332" t="str">
        <f t="shared" si="511"/>
        <v/>
      </c>
      <c r="N1769" s="86"/>
      <c r="O1769" s="86" t="str">
        <f t="shared" si="513"/>
        <v/>
      </c>
      <c r="P1769" s="538" t="str">
        <f t="shared" si="514"/>
        <v/>
      </c>
      <c r="Q1769" s="539" t="str">
        <f t="shared" si="512"/>
        <v/>
      </c>
      <c r="R1769" s="706"/>
      <c r="S1769" s="707"/>
      <c r="T1769" s="708"/>
      <c r="U1769" s="472"/>
      <c r="V1769" s="167"/>
      <c r="W1769" s="446"/>
      <c r="X1769" s="456"/>
      <c r="Y1769" s="436"/>
      <c r="Z1769" s="437"/>
      <c r="AA1769" s="560"/>
      <c r="AB1769" s="561"/>
      <c r="AC1769" s="87"/>
      <c r="AD1769" s="466"/>
      <c r="AE1769" s="456"/>
      <c r="AF1769" s="467"/>
      <c r="AG1769" s="87"/>
      <c r="AH1769" s="87"/>
      <c r="AI1769" s="87"/>
    </row>
    <row r="1770" spans="1:35" hidden="1">
      <c r="A1770" s="80" t="e">
        <f>"H"&amp;E1759</f>
        <v>#N/A</v>
      </c>
      <c r="B1770" s="105">
        <v>8</v>
      </c>
      <c r="C1770" s="107"/>
      <c r="D1770" s="107"/>
      <c r="E1770" s="107"/>
      <c r="F1770" s="107"/>
      <c r="G1770" s="83"/>
      <c r="H1770" s="83"/>
      <c r="I1770" s="84"/>
      <c r="J1770" s="85"/>
      <c r="K1770" s="382"/>
      <c r="L1770" s="85"/>
      <c r="M1770" s="332" t="str">
        <f t="shared" si="511"/>
        <v/>
      </c>
      <c r="N1770" s="453"/>
      <c r="O1770" s="86" t="str">
        <f t="shared" si="513"/>
        <v/>
      </c>
      <c r="P1770" s="538" t="str">
        <f t="shared" si="514"/>
        <v/>
      </c>
      <c r="Q1770" s="539" t="str">
        <f t="shared" si="512"/>
        <v/>
      </c>
      <c r="R1770" s="706"/>
      <c r="S1770" s="707"/>
      <c r="T1770" s="708"/>
      <c r="U1770" s="472"/>
      <c r="V1770" s="167"/>
      <c r="W1770" s="446"/>
      <c r="X1770" s="456"/>
      <c r="Y1770" s="436"/>
      <c r="Z1770" s="437"/>
      <c r="AA1770" s="560"/>
      <c r="AB1770" s="561"/>
      <c r="AC1770" s="87"/>
      <c r="AD1770" s="466"/>
      <c r="AE1770" s="456"/>
      <c r="AF1770" s="467"/>
      <c r="AG1770" s="87"/>
      <c r="AH1770" s="87"/>
      <c r="AI1770" s="87"/>
    </row>
    <row r="1771" spans="1:35" hidden="1">
      <c r="A1771" s="80" t="e">
        <f>"I"&amp;E1759</f>
        <v>#N/A</v>
      </c>
      <c r="B1771" s="105">
        <v>9</v>
      </c>
      <c r="C1771" s="107"/>
      <c r="D1771" s="107"/>
      <c r="E1771" s="107"/>
      <c r="F1771" s="107"/>
      <c r="G1771" s="83"/>
      <c r="H1771" s="83"/>
      <c r="I1771" s="84"/>
      <c r="J1771" s="85"/>
      <c r="K1771" s="382"/>
      <c r="L1771" s="85"/>
      <c r="M1771" s="332" t="str">
        <f t="shared" si="511"/>
        <v/>
      </c>
      <c r="N1771" s="453"/>
      <c r="O1771" s="86" t="str">
        <f t="shared" si="513"/>
        <v/>
      </c>
      <c r="P1771" s="538" t="str">
        <f t="shared" si="514"/>
        <v/>
      </c>
      <c r="Q1771" s="539" t="str">
        <f t="shared" si="512"/>
        <v/>
      </c>
      <c r="R1771" s="706"/>
      <c r="S1771" s="707"/>
      <c r="T1771" s="708"/>
      <c r="U1771" s="472"/>
      <c r="V1771" s="167"/>
      <c r="W1771" s="446"/>
      <c r="X1771" s="456"/>
      <c r="Y1771" s="436"/>
      <c r="Z1771" s="437"/>
      <c r="AA1771" s="560"/>
      <c r="AB1771" s="561"/>
      <c r="AC1771" s="87"/>
      <c r="AD1771" s="466"/>
      <c r="AE1771" s="456"/>
      <c r="AF1771" s="467"/>
      <c r="AG1771" s="87"/>
      <c r="AH1771" s="87"/>
      <c r="AI1771" s="87"/>
    </row>
    <row r="1772" spans="1:35" hidden="1">
      <c r="A1772" s="80" t="e">
        <f>"J"&amp;E1759</f>
        <v>#N/A</v>
      </c>
      <c r="B1772" s="105">
        <v>10</v>
      </c>
      <c r="C1772" s="107"/>
      <c r="D1772" s="107"/>
      <c r="E1772" s="107"/>
      <c r="F1772" s="107"/>
      <c r="G1772" s="83"/>
      <c r="H1772" s="83"/>
      <c r="I1772" s="84"/>
      <c r="J1772" s="85"/>
      <c r="K1772" s="382"/>
      <c r="L1772" s="85"/>
      <c r="M1772" s="332" t="str">
        <f t="shared" si="511"/>
        <v/>
      </c>
      <c r="N1772" s="453"/>
      <c r="O1772" s="86" t="str">
        <f t="shared" si="513"/>
        <v/>
      </c>
      <c r="P1772" s="538" t="str">
        <f t="shared" si="514"/>
        <v/>
      </c>
      <c r="Q1772" s="539" t="str">
        <f t="shared" si="512"/>
        <v/>
      </c>
      <c r="R1772" s="706"/>
      <c r="S1772" s="707"/>
      <c r="T1772" s="708"/>
      <c r="U1772" s="472"/>
      <c r="V1772" s="167"/>
      <c r="W1772" s="446"/>
      <c r="X1772" s="456"/>
      <c r="Y1772" s="436"/>
      <c r="Z1772" s="437"/>
      <c r="AA1772" s="560"/>
      <c r="AB1772" s="561"/>
      <c r="AC1772" s="87"/>
      <c r="AD1772" s="466"/>
      <c r="AE1772" s="456"/>
      <c r="AF1772" s="467"/>
      <c r="AG1772" s="87"/>
      <c r="AH1772" s="87"/>
      <c r="AI1772" s="87"/>
    </row>
    <row r="1773" spans="1:35" ht="16.5" hidden="1" thickBot="1">
      <c r="A1773" s="44"/>
      <c r="B1773" s="89"/>
      <c r="C1773" s="90"/>
      <c r="D1773" s="90"/>
      <c r="E1773" s="90"/>
      <c r="F1773" s="90"/>
      <c r="G1773" s="90"/>
      <c r="H1773" s="90"/>
      <c r="I1773" s="90"/>
      <c r="J1773" s="90"/>
      <c r="K1773" s="90"/>
      <c r="L1773" s="90"/>
      <c r="M1773" s="90"/>
      <c r="N1773" s="90"/>
      <c r="O1773" s="90"/>
      <c r="P1773" s="90"/>
      <c r="Q1773" s="90"/>
      <c r="R1773" s="90"/>
      <c r="S1773" s="91"/>
      <c r="T1773" s="92"/>
      <c r="U1773" s="473"/>
      <c r="W1773" s="438"/>
      <c r="X1773" s="455"/>
      <c r="Y1773" s="439"/>
      <c r="Z1773" s="437"/>
      <c r="AA1773" s="530"/>
      <c r="AB1773" s="563"/>
      <c r="AC1773" s="87"/>
      <c r="AD1773" s="440"/>
      <c r="AE1773" s="441"/>
      <c r="AF1773" s="442"/>
      <c r="AG1773" s="49"/>
      <c r="AH1773" s="87"/>
      <c r="AI1773" s="87"/>
    </row>
    <row r="1774" spans="1:35" ht="16.5" hidden="1" thickBot="1">
      <c r="A1774" s="93"/>
      <c r="B1774" s="94"/>
      <c r="C1774" s="96"/>
      <c r="D1774" s="96"/>
      <c r="E1774" s="96"/>
      <c r="F1774" s="96"/>
      <c r="G1774" s="96"/>
      <c r="H1774" s="96"/>
      <c r="I1774" s="96"/>
      <c r="J1774" s="96"/>
      <c r="K1774" s="96"/>
      <c r="L1774" s="96"/>
      <c r="M1774" s="136"/>
      <c r="N1774" s="96"/>
      <c r="O1774" s="96"/>
      <c r="P1774" s="97"/>
      <c r="Q1774" s="97"/>
      <c r="R1774" s="98"/>
      <c r="S1774" s="95"/>
      <c r="T1774" s="99"/>
      <c r="U1774" s="469"/>
      <c r="AC1774" s="58"/>
      <c r="AG1774" s="58"/>
      <c r="AH1774" s="87"/>
      <c r="AI1774" s="87"/>
    </row>
    <row r="1775" spans="1:35" ht="16.5" hidden="1" thickBot="1">
      <c r="B1775" s="101"/>
      <c r="C1775" s="101"/>
      <c r="D1775" s="101"/>
      <c r="E1775" s="101"/>
      <c r="F1775" s="101"/>
      <c r="G1775" s="101"/>
      <c r="H1775" s="101"/>
      <c r="I1775" s="101"/>
      <c r="J1775" s="101"/>
      <c r="K1775" s="101"/>
      <c r="L1775" s="101"/>
      <c r="M1775" s="101"/>
      <c r="N1775" s="101"/>
      <c r="O1775" s="101"/>
      <c r="P1775" s="101"/>
      <c r="Q1775" s="101"/>
      <c r="R1775" s="101"/>
      <c r="S1775" s="101"/>
      <c r="U1775" s="50"/>
      <c r="AH1775" s="87"/>
      <c r="AI1775" s="87"/>
    </row>
    <row r="1776" spans="1:35" ht="16.5" hidden="1" customHeight="1" thickBot="1">
      <c r="A1776" s="44"/>
      <c r="B1776" s="705" t="s">
        <v>74</v>
      </c>
      <c r="C1776" s="705"/>
      <c r="D1776" s="705"/>
      <c r="E1776" s="705"/>
      <c r="F1776" s="705"/>
      <c r="G1776" s="705"/>
      <c r="H1776" s="705"/>
      <c r="I1776" s="705"/>
      <c r="J1776" s="705"/>
      <c r="K1776" s="705"/>
      <c r="L1776" s="705"/>
      <c r="M1776" s="705"/>
      <c r="N1776" s="705"/>
      <c r="O1776" s="705"/>
      <c r="P1776" s="705"/>
      <c r="Q1776" s="705"/>
      <c r="R1776" s="705"/>
      <c r="S1776" s="705"/>
      <c r="T1776" s="705"/>
      <c r="U1776" s="108"/>
      <c r="Y1776" s="532" t="s">
        <v>341</v>
      </c>
      <c r="AC1776" s="49"/>
      <c r="AD1776" s="687" t="s">
        <v>302</v>
      </c>
      <c r="AE1776" s="688"/>
      <c r="AF1776" s="689"/>
      <c r="AG1776" s="49"/>
      <c r="AH1776" s="87"/>
      <c r="AI1776" s="87"/>
    </row>
    <row r="1777" spans="1:35" ht="15.75" hidden="1" customHeight="1" thickBot="1">
      <c r="A1777" s="218" t="e">
        <f>"K"&amp;E1759</f>
        <v>#N/A</v>
      </c>
      <c r="B1777" s="701" t="s">
        <v>71</v>
      </c>
      <c r="C1777" s="751" t="s">
        <v>102</v>
      </c>
      <c r="D1777" s="751"/>
      <c r="E1777" s="751"/>
      <c r="F1777" s="751"/>
      <c r="G1777" s="751"/>
      <c r="H1777" s="751"/>
      <c r="I1777" s="751"/>
      <c r="J1777" s="751"/>
      <c r="K1777" s="751"/>
      <c r="L1777" s="722" t="s">
        <v>100</v>
      </c>
      <c r="M1777" s="747" t="s">
        <v>114</v>
      </c>
      <c r="N1777" s="747"/>
      <c r="O1777" s="747"/>
      <c r="P1777" s="747"/>
      <c r="Q1777" s="748"/>
      <c r="R1777" s="758" t="s">
        <v>280</v>
      </c>
      <c r="S1777" s="748"/>
      <c r="T1777" s="762" t="str">
        <f>IF(COUNTIF(AE1777:AF1777,"VERIFICAR")&gt;0,"VERIFICAR",IF(COUNTIF(AE1777:AF1777,"NO CUMPLE")&gt;0,"NO CUMPLE","CUMPLE"))</f>
        <v>VERIFICAR</v>
      </c>
      <c r="U1777" s="108"/>
      <c r="Y1777" s="533" t="e">
        <f>IF(F1778="","",IF(F1778=1,"INDIVIDUAL","ESTRUCTURA PLURAL"))</f>
        <v>#N/A</v>
      </c>
      <c r="AC1777" s="52"/>
      <c r="AD1777" s="475" t="s">
        <v>303</v>
      </c>
      <c r="AE1777" s="476" t="str">
        <f>IF(COUNTIF(AE1763:AE1772,"")=10,"VERIFICAR",IF(COUNTIF(AE1763:AE1772,"SI")&gt;0,"CUMPLE","NO CUMPLE"))</f>
        <v>VERIFICAR</v>
      </c>
      <c r="AF1777" s="477" t="str">
        <f>IF(COUNTIF(AF1763:AF1772,"")=10,"VERIFICAR",IF(COUNTIF(AF1763:AF1772,"SI")&gt;=$AI$22,"CUMPLE","NO CUMPLE"))</f>
        <v>VERIFICAR</v>
      </c>
      <c r="AG1777" s="52"/>
      <c r="AH1777" s="87"/>
      <c r="AI1777" s="87"/>
    </row>
    <row r="1778" spans="1:35" ht="16.5" hidden="1" customHeight="1" thickBot="1">
      <c r="A1778" s="218" t="e">
        <f>"L"&amp;E1759</f>
        <v>#N/A</v>
      </c>
      <c r="B1778" s="702"/>
      <c r="C1778" s="751" t="s">
        <v>103</v>
      </c>
      <c r="D1778" s="751"/>
      <c r="E1778" s="752"/>
      <c r="F1778" s="557" t="e">
        <f>IF(VLOOKUP(E1759,PROPONENTES!$C$19:$E$218,3,0)="","",VLOOKUP(E1759,PROPONENTES!$C$19:$E$218,3,0))</f>
        <v>#N/A</v>
      </c>
      <c r="G1778" s="753" t="s">
        <v>104</v>
      </c>
      <c r="H1778" s="751"/>
      <c r="I1778" s="715" t="e">
        <f>IF(OR(F1778="",F1778=1),"INTERESADO PERSONA NATURAL O JURIDICA","CONSORCIO O UNION TEMPORAL")</f>
        <v>#N/A</v>
      </c>
      <c r="J1778" s="725"/>
      <c r="K1778" s="728"/>
      <c r="L1778" s="723"/>
      <c r="M1778" s="749"/>
      <c r="N1778" s="749"/>
      <c r="O1778" s="749"/>
      <c r="P1778" s="749"/>
      <c r="Q1778" s="750"/>
      <c r="R1778" s="712"/>
      <c r="S1778" s="750"/>
      <c r="T1778" s="763"/>
      <c r="U1778" s="108"/>
      <c r="Y1778" s="534"/>
      <c r="AA1778" s="52"/>
      <c r="AB1778" s="52"/>
      <c r="AC1778" s="52"/>
      <c r="AG1778" s="52"/>
      <c r="AH1778" s="87"/>
      <c r="AI1778" s="87"/>
    </row>
    <row r="1779" spans="1:35" ht="56.25" hidden="1" customHeight="1" thickBot="1">
      <c r="A1779" s="218" t="e">
        <f>"M"&amp;E1759</f>
        <v>#N/A</v>
      </c>
      <c r="B1779" s="702"/>
      <c r="C1779" s="725" t="s">
        <v>101</v>
      </c>
      <c r="D1779" s="716"/>
      <c r="E1779" s="558" t="s">
        <v>105</v>
      </c>
      <c r="F1779" s="554" t="s">
        <v>87</v>
      </c>
      <c r="G1779" s="553" t="s">
        <v>86</v>
      </c>
      <c r="H1779" s="559" t="s">
        <v>85</v>
      </c>
      <c r="I1779" s="554" t="s">
        <v>252</v>
      </c>
      <c r="J1779" s="553" t="str">
        <f>"¿EL INTEGRANTE TIENE UNA PARTICIPACIÓN DEL "&amp;PORCREQUERIDOINT*100&amp;"%?"</f>
        <v>¿EL INTEGRANTE TIENE UNA PARTICIPACIÓN DEL 60%?</v>
      </c>
      <c r="K1779" s="554" t="s">
        <v>107</v>
      </c>
      <c r="L1779" s="724"/>
      <c r="M1779" s="717" t="s">
        <v>115</v>
      </c>
      <c r="N1779" s="718"/>
      <c r="O1779" s="718"/>
      <c r="P1779" s="718"/>
      <c r="Q1779" s="223">
        <f>IF(AND(H1763="SI",P1763&gt;=0),1,0)+IF(AND(H1764="SI",P1764&gt;=0),1,0)+IF(AND(H1765="SI",P1765&gt;=0),1,0)+IF(AND(H1766="SI",P1766&gt;=0),1,0)+IF(AND(H1767="SI",P1767&gt;=0),1,0)+IF(AND(H1768="SI",P1768&gt;=0),1,0)+IF(AND(H1769="SI",P1769&gt;=0),1,0)+IF(AND(H1770="SI",P1770&gt;=0),1,0)+IF(AND(H1771="SI",P1771&gt;=0),1,0)+IF(AND(H1772="SI",P1772&gt;=0),1,0)</f>
        <v>0</v>
      </c>
      <c r="R1779" s="759"/>
      <c r="S1779" s="761"/>
      <c r="T1779" s="764"/>
      <c r="U1779" s="219"/>
      <c r="V1779" s="464"/>
      <c r="Y1779" s="532" t="s">
        <v>342</v>
      </c>
      <c r="AA1779" s="550" t="s">
        <v>344</v>
      </c>
      <c r="AB1779" s="693" t="s">
        <v>345</v>
      </c>
      <c r="AC1779" s="693" t="s">
        <v>346</v>
      </c>
      <c r="AD1779" s="685" t="s">
        <v>347</v>
      </c>
      <c r="AE1779" s="52"/>
      <c r="AF1779" s="52"/>
      <c r="AG1779" s="52"/>
      <c r="AH1779" s="87"/>
      <c r="AI1779" s="87"/>
    </row>
    <row r="1780" spans="1:35" ht="15.75" hidden="1" customHeight="1" thickBot="1">
      <c r="A1780" s="218" t="e">
        <f>"N"&amp;E1759</f>
        <v>#N/A</v>
      </c>
      <c r="B1780" s="702"/>
      <c r="C1780" s="114">
        <v>1</v>
      </c>
      <c r="D1780" s="194" t="e">
        <f>IF(AND(C1780&lt;=F1778,F1778&gt;1,F1778&lt;&gt;""),VLOOKUP(VALUE(E1759&amp;","&amp;C1780),INTEGRANTES!$D$18:$F$235,2,0),"")</f>
        <v>#N/A</v>
      </c>
      <c r="E1780" s="211" t="e">
        <f>IF(D1780&lt;&gt;"",VLOOKUP(VALUE(E1759&amp;","&amp;C1780),INTEGRANTES!$D$18:$F$235,3,0),"")</f>
        <v>#N/A</v>
      </c>
      <c r="F1780" s="547" t="e">
        <f>IF(D1780="","",SUMIF($I1763:$I1772,D1780,$P1763:$P1772))</f>
        <v>#N/A</v>
      </c>
      <c r="G1780" s="333" t="e">
        <f>IF(D1780="","",SUMIF($I1763:$I1772,D1780,$M1763:$M1772))</f>
        <v>#N/A</v>
      </c>
      <c r="H1780" s="535" t="e">
        <f t="shared" ref="H1780:H1785" si="515">IF(D1780="","",IF(OR(F1780=0,G1780=0),"NO APORTA",ROUND($F1780/$G1780,3)))</f>
        <v>#N/A</v>
      </c>
      <c r="I1780" s="212" t="e">
        <f>IF(D1780="","",IF(H1780="NO APORTA","NO",IF(H1780=MAX($H1780:$H1785),"SI","NO")))</f>
        <v>#N/A</v>
      </c>
      <c r="J1780" s="213" t="e">
        <f t="shared" ref="J1780:J1785" si="516">IF(D1780="","",IF(E1780&gt;=PORCREQUERIDOINT,"SI","NO"))</f>
        <v>#N/A</v>
      </c>
      <c r="K1780" s="200" t="e">
        <f t="shared" ref="K1780:K1785" si="517">IF(D1780="","",IF(AND(I1780="SI",J1780="SI"),"CUMPLE",IF(AND(I1780="NO",OR(J1780="SI",J1780="NO")),"","NO CUMPLE")))</f>
        <v>#N/A</v>
      </c>
      <c r="L1780" s="722" t="s">
        <v>108</v>
      </c>
      <c r="M1780" s="726" t="s">
        <v>119</v>
      </c>
      <c r="N1780" s="726"/>
      <c r="O1780" s="726"/>
      <c r="P1780" s="726"/>
      <c r="Q1780" s="727"/>
      <c r="R1780" s="758" t="s">
        <v>80</v>
      </c>
      <c r="S1780" s="747"/>
      <c r="T1780" s="748"/>
      <c r="U1780" s="219"/>
      <c r="V1780" s="464"/>
      <c r="Y1780" s="533" t="e">
        <f>IF(Y1777="","",IF(Y1777="INDIVIDUAL","NO APLICA","VERIFICAR CUADRO"))</f>
        <v>#N/A</v>
      </c>
      <c r="AA1780" s="551"/>
      <c r="AB1780" s="694"/>
      <c r="AC1780" s="694"/>
      <c r="AD1780" s="686"/>
      <c r="AE1780" s="52"/>
      <c r="AF1780" s="52"/>
      <c r="AG1780" s="52"/>
      <c r="AH1780" s="87"/>
      <c r="AI1780" s="87"/>
    </row>
    <row r="1781" spans="1:35" ht="27" hidden="1" customHeight="1" thickBot="1">
      <c r="A1781" s="218" t="e">
        <f>"O"&amp;E1759</f>
        <v>#N/A</v>
      </c>
      <c r="B1781" s="702"/>
      <c r="C1781" s="114">
        <v>2</v>
      </c>
      <c r="D1781" s="194" t="e">
        <f>IF(AND(C1781&lt;=F1778,F1778&lt;&gt;""),VLOOKUP(VALUE(E1759&amp;","&amp;C1781),INTEGRANTES!$D$18:$F$235,2,0),"")</f>
        <v>#N/A</v>
      </c>
      <c r="E1781" s="211" t="e">
        <f>IF(D1781&lt;&gt;"",VLOOKUP(VALUE(E1759&amp;","&amp;C1781),INTEGRANTES!$D$18:$F$235,3,0),"")</f>
        <v>#N/A</v>
      </c>
      <c r="F1781" s="547" t="e">
        <f>IF(D1781="","",SUMIF($I1763:$I1772,D1781,$P1763:$P1772))</f>
        <v>#N/A</v>
      </c>
      <c r="G1781" s="333" t="e">
        <f>IF(D1781="","",SUMIF($I1763:$I1772,D1781,$M1763:$M1772))</f>
        <v>#N/A</v>
      </c>
      <c r="H1781" s="535" t="e">
        <f t="shared" si="515"/>
        <v>#N/A</v>
      </c>
      <c r="I1781" s="212" t="e">
        <f>IF(D1781="","",IF(H1781="NO APORTA","NO",IF(H1781=MAX($H1780:$H1785),"SI","NO")))</f>
        <v>#N/A</v>
      </c>
      <c r="J1781" s="213" t="e">
        <f t="shared" si="516"/>
        <v>#N/A</v>
      </c>
      <c r="K1781" s="200" t="e">
        <f t="shared" si="517"/>
        <v>#N/A</v>
      </c>
      <c r="L1781" s="723"/>
      <c r="M1781" s="715" t="s">
        <v>116</v>
      </c>
      <c r="N1781" s="716"/>
      <c r="O1781" s="556" t="s">
        <v>113</v>
      </c>
      <c r="P1781" s="715" t="s">
        <v>117</v>
      </c>
      <c r="Q1781" s="728"/>
      <c r="R1781" s="759"/>
      <c r="S1781" s="760"/>
      <c r="T1781" s="761"/>
      <c r="U1781" s="219"/>
      <c r="V1781" s="464"/>
      <c r="Y1781" s="414"/>
      <c r="AA1781" s="542" t="e">
        <f>IF(AND(C1780&lt;=F1778,F1778&gt;1,F1778&lt;&gt;""),VLOOKUP(VALUE(E1759&amp;","&amp;C1780),INTEGRANTES!$D$18:$F$235,2,0),"")</f>
        <v>#N/A</v>
      </c>
      <c r="AB1781" s="544" t="e">
        <f t="shared" ref="AB1781:AB1786" si="518">IF(D1780="","",IF(OR(F1780=0,G1780=0),"NO APORTA",ROUND($F1780/$G1780,3)))</f>
        <v>#N/A</v>
      </c>
      <c r="AC1781" s="529"/>
      <c r="AD1781" s="200" t="e">
        <f t="shared" ref="AD1781:AD1786" si="519">IF(OR(AA1781="",AB1781=""),"",IF(AND(AC1781="X",AB1781&gt;=EXPREQVTD),"CUMPLE","NO CUMPLE"))</f>
        <v>#N/A</v>
      </c>
      <c r="AE1781" s="52"/>
      <c r="AF1781" s="52"/>
      <c r="AG1781" s="52"/>
      <c r="AH1781" s="87"/>
      <c r="AI1781" s="87"/>
    </row>
    <row r="1782" spans="1:35" ht="16.5" hidden="1" thickBot="1">
      <c r="A1782" s="218" t="e">
        <f>"P"&amp;E1759</f>
        <v>#N/A</v>
      </c>
      <c r="B1782" s="702"/>
      <c r="C1782" s="114">
        <v>3</v>
      </c>
      <c r="D1782" s="194" t="e">
        <f>IF(AND(C1782&lt;=F1778,F1778&lt;&gt;""),VLOOKUP(VALUE(E1759&amp;","&amp;C1782),INTEGRANTES!$D$18:$F$235,2,0),"")</f>
        <v>#N/A</v>
      </c>
      <c r="E1782" s="211" t="e">
        <f>IF(D1782&lt;&gt;"",VLOOKUP(VALUE(E1759&amp;","&amp;C1782),INTEGRANTES!$D$18:$F$235,3,0),"")</f>
        <v>#N/A</v>
      </c>
      <c r="F1782" s="547" t="e">
        <f>IF(D1782="","",SUMIF($I1763:$I1772,D1782,$P1763:$P1772))</f>
        <v>#N/A</v>
      </c>
      <c r="G1782" s="333" t="e">
        <f>IF(D1782="","",SUMIF($I1763:$I1772,D1782,$M1763:$M1772))</f>
        <v>#N/A</v>
      </c>
      <c r="H1782" s="535" t="e">
        <f t="shared" si="515"/>
        <v>#N/A</v>
      </c>
      <c r="I1782" s="212" t="e">
        <f>IF(D1782="","",IF(H1782="NO APORTA","NO",IF(H1782=MAX($H1780:$H1785),"SI","NO")))</f>
        <v>#N/A</v>
      </c>
      <c r="J1782" s="213" t="e">
        <f t="shared" si="516"/>
        <v>#N/A</v>
      </c>
      <c r="K1782" s="200" t="e">
        <f t="shared" si="517"/>
        <v>#N/A</v>
      </c>
      <c r="L1782" s="724"/>
      <c r="M1782" s="729">
        <f>NUMMOD</f>
        <v>1</v>
      </c>
      <c r="N1782" s="730"/>
      <c r="O1782" s="443">
        <f>IF(M1782="","",VLOOKUP(M1782,PRESUPUESTOS!$B$16:$H$16,5,FALSE))</f>
        <v>2</v>
      </c>
      <c r="P1782" s="713">
        <f>IF(OR(COUNTIF(M1763:M1772,"")&gt;=10,Q1779&lt;NUMMINCONT,OR(T1777="NO CUMPLE",T1777="VERIFICAR")),0,ROUND(AVERAGE(M1763:M1772),3))</f>
        <v>0</v>
      </c>
      <c r="Q1782" s="714"/>
      <c r="R1782" s="458"/>
      <c r="S1782" s="459"/>
      <c r="T1782" s="460"/>
      <c r="U1782" s="219"/>
      <c r="V1782" s="464"/>
      <c r="Y1782" s="532" t="str">
        <f>"40% * ("&amp;PRESUPUESTOS!$H$13&amp;")"</f>
        <v>40% * (50% PFMO)</v>
      </c>
      <c r="AA1782" s="540" t="e">
        <f>IF(AND(C1781&lt;=F1778,F1778&lt;&gt;""),VLOOKUP(VALUE(E1759&amp;","&amp;C1781),INTEGRANTES!$D$18:$F$235,2,0),"")</f>
        <v>#N/A</v>
      </c>
      <c r="AB1782" s="545" t="e">
        <f t="shared" si="518"/>
        <v>#N/A</v>
      </c>
      <c r="AC1782" s="529"/>
      <c r="AD1782" s="200" t="e">
        <f t="shared" si="519"/>
        <v>#N/A</v>
      </c>
      <c r="AE1782" s="52"/>
      <c r="AF1782" s="52"/>
      <c r="AG1782" s="52"/>
      <c r="AH1782" s="87"/>
      <c r="AI1782" s="87"/>
    </row>
    <row r="1783" spans="1:35" ht="15.75" hidden="1" customHeight="1" thickBot="1">
      <c r="A1783" s="218" t="e">
        <f>"Q"&amp;E1759</f>
        <v>#N/A</v>
      </c>
      <c r="B1783" s="702"/>
      <c r="C1783" s="114">
        <v>4</v>
      </c>
      <c r="D1783" s="194" t="e">
        <f>IF(AND(C1783&lt;=F1778,F1778&lt;&gt;""),VLOOKUP(VALUE(E1759&amp;","&amp;C1783),INTEGRANTES!$D$18:$F$235,2,0),"")</f>
        <v>#N/A</v>
      </c>
      <c r="E1783" s="211" t="e">
        <f>IF(D1783&lt;&gt;"",VLOOKUP(VALUE(E1759&amp;","&amp;C1783),INTEGRANTES!$D$18:$F$235,3,0),"")</f>
        <v>#N/A</v>
      </c>
      <c r="F1783" s="547" t="e">
        <f>IF(D1783="","",SUMIF($I1763:$I1772,D1783,$P1763:$P1772))</f>
        <v>#N/A</v>
      </c>
      <c r="G1783" s="333" t="e">
        <f>IF(D1783="","",SUMIF($I1763:$I1772,D1783,$M1763:$M1772))</f>
        <v>#N/A</v>
      </c>
      <c r="H1783" s="535" t="e">
        <f t="shared" si="515"/>
        <v>#N/A</v>
      </c>
      <c r="I1783" s="212" t="e">
        <f>IF(D1783="","",IF(H1783="NO APORTA","NO",IF(H1783=MAX($H1780:$H1785),"SI","NO")))</f>
        <v>#N/A</v>
      </c>
      <c r="J1783" s="213" t="e">
        <f t="shared" si="516"/>
        <v>#N/A</v>
      </c>
      <c r="K1783" s="200" t="e">
        <f t="shared" si="517"/>
        <v>#N/A</v>
      </c>
      <c r="L1783" s="720" t="s">
        <v>109</v>
      </c>
      <c r="M1783" s="757" t="s">
        <v>120</v>
      </c>
      <c r="N1783" s="726"/>
      <c r="O1783" s="726"/>
      <c r="P1783" s="726"/>
      <c r="Q1783" s="727"/>
      <c r="R1783" s="458"/>
      <c r="S1783" s="459"/>
      <c r="T1783" s="460"/>
      <c r="U1783" s="219"/>
      <c r="V1783" s="464"/>
      <c r="Y1783" s="537">
        <f>0.4*PRESUPUESTOS!$H$16</f>
        <v>10.3124</v>
      </c>
      <c r="AA1783" s="540" t="e">
        <f>IF(AND(C1782&lt;=F1778,F1778&lt;&gt;""),VLOOKUP(VALUE(E1759&amp;","&amp;C1782),INTEGRANTES!$D$18:$F$235,2,0),"")</f>
        <v>#N/A</v>
      </c>
      <c r="AB1783" s="545" t="e">
        <f t="shared" si="518"/>
        <v>#N/A</v>
      </c>
      <c r="AC1783" s="529"/>
      <c r="AD1783" s="200" t="e">
        <f t="shared" si="519"/>
        <v>#N/A</v>
      </c>
      <c r="AE1783" s="52"/>
      <c r="AF1783" s="52"/>
      <c r="AG1783" s="52"/>
      <c r="AH1783" s="87"/>
      <c r="AI1783" s="87"/>
    </row>
    <row r="1784" spans="1:35" ht="27" hidden="1" customHeight="1" thickBot="1">
      <c r="A1784" s="218" t="e">
        <f>"R"&amp;E1759</f>
        <v>#N/A</v>
      </c>
      <c r="B1784" s="702"/>
      <c r="C1784" s="114">
        <v>5</v>
      </c>
      <c r="D1784" s="194" t="e">
        <f>IF(AND(C1784&lt;=F1778,F1778&lt;&gt;""),VLOOKUP(VALUE(E1759&amp;","&amp;C1784),INTEGRANTES!$D$18:$F$235,2,0),"")</f>
        <v>#N/A</v>
      </c>
      <c r="E1784" s="211" t="e">
        <f>IF(D1784&lt;&gt;"",VLOOKUP(VALUE(E1759&amp;","&amp;C1784),INTEGRANTES!$D$18:$F$235,3,0),"")</f>
        <v>#N/A</v>
      </c>
      <c r="F1784" s="547" t="e">
        <f>IF(D1784="","",SUMIF($I1763:$I1772,D1784,$P1763:$P1772))</f>
        <v>#N/A</v>
      </c>
      <c r="G1784" s="333" t="e">
        <f>IF(D1784="","",SUMIF($I1763:$I1772,D1784,$M1763:$M1772))</f>
        <v>#N/A</v>
      </c>
      <c r="H1784" s="535" t="e">
        <f t="shared" si="515"/>
        <v>#N/A</v>
      </c>
      <c r="I1784" s="212" t="e">
        <f>IF(D1784="","",IF(H1784="NO APORTA","NO",IF(H1784=MAX($H1780:$H1785),"SI","NO")))</f>
        <v>#N/A</v>
      </c>
      <c r="J1784" s="213" t="e">
        <f t="shared" si="516"/>
        <v>#N/A</v>
      </c>
      <c r="K1784" s="200" t="e">
        <f t="shared" si="517"/>
        <v>#N/A</v>
      </c>
      <c r="L1784" s="721"/>
      <c r="M1784" s="715" t="s">
        <v>116</v>
      </c>
      <c r="N1784" s="716"/>
      <c r="O1784" s="556" t="str">
        <f>PORCREQUERIDO*100&amp;"% PMFO DEL MÓDULO"</f>
        <v>50% PMFO DEL MÓDULO</v>
      </c>
      <c r="P1784" s="715" t="s">
        <v>118</v>
      </c>
      <c r="Q1784" s="728"/>
      <c r="R1784" s="458"/>
      <c r="S1784" s="459"/>
      <c r="T1784" s="460"/>
      <c r="U1784" s="219"/>
      <c r="V1784" s="464"/>
      <c r="Y1784" s="414"/>
      <c r="AA1784" s="540" t="e">
        <f>IF(AND(C1783&lt;=F1778,F1778&lt;&gt;""),VLOOKUP(VALUE(E1759&amp;","&amp;C1783),INTEGRANTES!$D$18:$F$235,2,0),"")</f>
        <v>#N/A</v>
      </c>
      <c r="AB1784" s="545" t="e">
        <f t="shared" si="518"/>
        <v>#N/A</v>
      </c>
      <c r="AC1784" s="529"/>
      <c r="AD1784" s="200" t="e">
        <f t="shared" si="519"/>
        <v>#N/A</v>
      </c>
      <c r="AE1784" s="52"/>
      <c r="AF1784" s="52"/>
      <c r="AG1784" s="52"/>
      <c r="AH1784" s="87"/>
      <c r="AI1784" s="87"/>
    </row>
    <row r="1785" spans="1:35" ht="16.5" hidden="1" thickBot="1">
      <c r="A1785" s="218" t="e">
        <f>"S"&amp;E1759</f>
        <v>#N/A</v>
      </c>
      <c r="B1785" s="702"/>
      <c r="C1785" s="215">
        <v>6</v>
      </c>
      <c r="D1785" s="216" t="e">
        <f>IF(AND(C1785&lt;=F1778,F1778&lt;&gt;""),VLOOKUP(VALUE(E1759&amp;","&amp;C1785),INTEGRANTES!$D$18:$F$235,2,0),"")</f>
        <v>#N/A</v>
      </c>
      <c r="E1785" s="217" t="e">
        <f>IF(D1785&lt;&gt;"",VLOOKUP(VALUE(E1759&amp;","&amp;C1785),INTEGRANTES!$D$18:$F$235,3,0),"")</f>
        <v>#N/A</v>
      </c>
      <c r="F1785" s="548" t="e">
        <f>IF(D1785="","",SUMIF($I1763:$I1772,D1785,$P1763:$P1772))</f>
        <v>#N/A</v>
      </c>
      <c r="G1785" s="334" t="e">
        <f>IF(D1785="","",SUMIF($I1763:$I1772,D1785,$M1763:$M1772))</f>
        <v>#N/A</v>
      </c>
      <c r="H1785" s="536" t="e">
        <f t="shared" si="515"/>
        <v>#N/A</v>
      </c>
      <c r="I1785" s="214" t="e">
        <f>IF(D1785="","",IF(H1785="NO APORTA","NO",IF(H1785=MAX($H1780:$H1785),"SI","NO")))</f>
        <v>#N/A</v>
      </c>
      <c r="J1785" s="213" t="e">
        <f t="shared" si="516"/>
        <v>#N/A</v>
      </c>
      <c r="K1785" s="200" t="e">
        <f t="shared" si="517"/>
        <v>#N/A</v>
      </c>
      <c r="L1785" s="721"/>
      <c r="M1785" s="729">
        <f>NUMMOD</f>
        <v>1</v>
      </c>
      <c r="N1785" s="730"/>
      <c r="O1785" s="443">
        <f>IF(M1785="","",ROUND(VLOOKUP(M1785,PRESUPUESTOS!$B$16:$H$16,7,FALSE),3))</f>
        <v>25.780999999999999</v>
      </c>
      <c r="P1785" s="713">
        <f>IF(OR(COUNTIF(P1763:P1772,"")&gt;=10,Q1779&lt;NUMMINCONT,OR(T1777="NO CUMPLE",T1777="VERIFICAR")),0,ROUND((SUM(P1763:P1772)/SUM(M1763:M1772)),3))</f>
        <v>0</v>
      </c>
      <c r="Q1785" s="714"/>
      <c r="R1785" s="458"/>
      <c r="S1785" s="459"/>
      <c r="T1785" s="460"/>
      <c r="U1785" s="219"/>
      <c r="V1785" s="464"/>
      <c r="Y1785" s="532" t="s">
        <v>343</v>
      </c>
      <c r="AA1785" s="540" t="e">
        <f>IF(AND(C1784&lt;=F1778,F1778&lt;&gt;""),VLOOKUP(VALUE(E1759&amp;","&amp;C1784),INTEGRANTES!$D$18:$F$235,2,0),"")</f>
        <v>#N/A</v>
      </c>
      <c r="AB1785" s="545" t="e">
        <f t="shared" si="518"/>
        <v>#N/A</v>
      </c>
      <c r="AC1785" s="529"/>
      <c r="AD1785" s="200" t="e">
        <f t="shared" si="519"/>
        <v>#N/A</v>
      </c>
      <c r="AE1785" s="52"/>
      <c r="AF1785" s="52"/>
      <c r="AG1785" s="52"/>
      <c r="AH1785" s="87"/>
      <c r="AI1785" s="87"/>
    </row>
    <row r="1786" spans="1:35" ht="16.5" hidden="1" customHeight="1" thickBot="1">
      <c r="A1786" s="218" t="e">
        <f>"T"&amp;E1759</f>
        <v>#N/A</v>
      </c>
      <c r="B1786" s="703"/>
      <c r="C1786" s="719"/>
      <c r="D1786" s="719"/>
      <c r="E1786" s="719"/>
      <c r="F1786" s="719"/>
      <c r="G1786" s="719"/>
      <c r="H1786" s="719" t="s">
        <v>110</v>
      </c>
      <c r="I1786" s="719"/>
      <c r="J1786" s="719"/>
      <c r="K1786" s="201" t="str">
        <f>IF(COUNTIF(K1780:K1785,"")=6,"",IF(COUNTIF(K1780:K1785,"CUMPLE")&gt;0,"CUMPLE","NO CUMPLE"))</f>
        <v>NO CUMPLE</v>
      </c>
      <c r="L1786" s="754"/>
      <c r="M1786" s="755"/>
      <c r="N1786" s="755"/>
      <c r="O1786" s="755"/>
      <c r="P1786" s="755"/>
      <c r="Q1786" s="756"/>
      <c r="R1786" s="461"/>
      <c r="S1786" s="462"/>
      <c r="T1786" s="463"/>
      <c r="U1786" s="219"/>
      <c r="V1786" s="464"/>
      <c r="Y1786" s="549" t="e">
        <f>IF(Y1780="NO APLICA","NO APLICA",IF(COUNTIF(AD1781:AD1786,"CUMPLE")&gt;0,"CUMPLE","NO CUMPLE"))</f>
        <v>#N/A</v>
      </c>
      <c r="AA1786" s="541" t="e">
        <f>IF(AND(C1785&lt;=F1778,F1778&lt;&gt;""),VLOOKUP(VALUE(E1759&amp;","&amp;C1785),INTEGRANTES!$D$18:$F$235,2,0),"")</f>
        <v>#N/A</v>
      </c>
      <c r="AB1786" s="546" t="e">
        <f t="shared" si="518"/>
        <v>#N/A</v>
      </c>
      <c r="AC1786" s="543"/>
      <c r="AD1786" s="201" t="e">
        <f t="shared" si="519"/>
        <v>#N/A</v>
      </c>
      <c r="AE1786" s="52"/>
      <c r="AF1786" s="52"/>
      <c r="AG1786" s="52"/>
      <c r="AH1786" s="87"/>
      <c r="AI1786" s="87"/>
    </row>
    <row r="1787" spans="1:35" hidden="1">
      <c r="A1787" s="103"/>
      <c r="B1787" s="206"/>
      <c r="C1787" s="206"/>
      <c r="D1787" s="206"/>
      <c r="E1787" s="206"/>
      <c r="F1787" s="206"/>
      <c r="G1787" s="206"/>
      <c r="H1787" s="206"/>
      <c r="I1787" s="104"/>
      <c r="J1787" s="206"/>
      <c r="K1787" s="113"/>
      <c r="L1787" s="113"/>
      <c r="M1787" s="113"/>
      <c r="N1787" s="222"/>
      <c r="O1787" s="113"/>
      <c r="P1787" s="113"/>
      <c r="Q1787" s="113"/>
      <c r="R1787" s="206"/>
      <c r="S1787" s="104"/>
      <c r="T1787" s="206"/>
      <c r="U1787" s="474"/>
      <c r="AH1787" s="87"/>
      <c r="AI1787" s="87"/>
    </row>
    <row r="1788" spans="1:35" hidden="1">
      <c r="H1788" s="220"/>
      <c r="AH1788" s="87"/>
      <c r="AI1788" s="87"/>
    </row>
    <row r="1789" spans="1:35" ht="24" hidden="1" thickBot="1">
      <c r="A1789" s="61">
        <v>60</v>
      </c>
      <c r="B1789" s="704" t="s">
        <v>51</v>
      </c>
      <c r="C1789" s="704"/>
      <c r="D1789" s="704"/>
      <c r="E1789" s="62" t="e">
        <f>VLOOKUP(A1789,PROPONENTES!$B$19:$E$218,2,FALSE)</f>
        <v>#N/A</v>
      </c>
      <c r="F1789" s="63" t="e">
        <f>VLOOKUP(A1789,PROPONENTES!$B$19:$E$218,3,FALSE)</f>
        <v>#N/A</v>
      </c>
      <c r="G1789" s="64"/>
      <c r="H1789" s="64"/>
      <c r="I1789" s="63"/>
      <c r="J1789" s="63"/>
      <c r="K1789" s="65"/>
      <c r="L1789" s="65"/>
      <c r="M1789" s="64"/>
      <c r="N1789" s="64"/>
      <c r="O1789" s="66"/>
      <c r="P1789" s="66"/>
      <c r="Q1789" s="66"/>
      <c r="R1789" s="66"/>
      <c r="S1789" s="67"/>
      <c r="T1789" s="68"/>
      <c r="U1789" s="68"/>
      <c r="AC1789" s="68"/>
      <c r="AD1789" s="68"/>
      <c r="AE1789" s="68"/>
      <c r="AF1789" s="68"/>
      <c r="AG1789" s="68"/>
      <c r="AH1789" s="87"/>
      <c r="AI1789" s="87"/>
    </row>
    <row r="1790" spans="1:35" ht="15.75" hidden="1" customHeight="1">
      <c r="A1790" s="44"/>
      <c r="B1790" s="709" t="s">
        <v>59</v>
      </c>
      <c r="C1790" s="552" t="s">
        <v>60</v>
      </c>
      <c r="D1790" s="70" t="s">
        <v>17</v>
      </c>
      <c r="E1790" s="70"/>
      <c r="F1790" s="70" t="s">
        <v>61</v>
      </c>
      <c r="G1790" s="71"/>
      <c r="H1790" s="699" t="s">
        <v>62</v>
      </c>
      <c r="I1790" s="699" t="s">
        <v>18</v>
      </c>
      <c r="J1790" s="699" t="s">
        <v>63</v>
      </c>
      <c r="K1790" s="699" t="s">
        <v>64</v>
      </c>
      <c r="L1790" s="699" t="s">
        <v>65</v>
      </c>
      <c r="M1790" s="743" t="s">
        <v>66</v>
      </c>
      <c r="N1790" s="699" t="s">
        <v>282</v>
      </c>
      <c r="O1790" s="745" t="s">
        <v>67</v>
      </c>
      <c r="P1790" s="746"/>
      <c r="Q1790" s="102" t="s">
        <v>75</v>
      </c>
      <c r="R1790" s="731" t="s">
        <v>22</v>
      </c>
      <c r="S1790" s="732"/>
      <c r="T1790" s="733"/>
      <c r="U1790" s="712" t="s">
        <v>298</v>
      </c>
      <c r="W1790" s="690" t="s">
        <v>268</v>
      </c>
      <c r="X1790" s="691"/>
      <c r="Y1790" s="692"/>
      <c r="Z1790" s="428"/>
      <c r="AA1790" s="697" t="s">
        <v>315</v>
      </c>
      <c r="AB1790" s="695" t="s">
        <v>322</v>
      </c>
      <c r="AC1790" s="49"/>
      <c r="AD1790" s="690" t="s">
        <v>297</v>
      </c>
      <c r="AE1790" s="691"/>
      <c r="AF1790" s="692"/>
      <c r="AG1790" s="49"/>
      <c r="AH1790" s="87"/>
      <c r="AI1790" s="87"/>
    </row>
    <row r="1791" spans="1:35" ht="72" hidden="1">
      <c r="A1791" s="44"/>
      <c r="B1791" s="710"/>
      <c r="C1791" s="553" t="s">
        <v>68</v>
      </c>
      <c r="D1791" s="73" t="s">
        <v>3</v>
      </c>
      <c r="E1791" s="73" t="s">
        <v>19</v>
      </c>
      <c r="F1791" s="73" t="s">
        <v>69</v>
      </c>
      <c r="G1791" s="74" t="s">
        <v>70</v>
      </c>
      <c r="H1791" s="700"/>
      <c r="I1791" s="700"/>
      <c r="J1791" s="700"/>
      <c r="K1791" s="700"/>
      <c r="L1791" s="700"/>
      <c r="M1791" s="744"/>
      <c r="N1791" s="700"/>
      <c r="O1791" s="553" t="s">
        <v>279</v>
      </c>
      <c r="P1791" s="73" t="s">
        <v>88</v>
      </c>
      <c r="Q1791" s="555" t="s">
        <v>76</v>
      </c>
      <c r="R1791" s="734"/>
      <c r="S1791" s="735"/>
      <c r="T1791" s="736"/>
      <c r="U1791" s="712"/>
      <c r="W1791" s="429" t="s">
        <v>269</v>
      </c>
      <c r="X1791" s="457" t="s">
        <v>278</v>
      </c>
      <c r="Y1791" s="430" t="s">
        <v>324</v>
      </c>
      <c r="Z1791" s="428"/>
      <c r="AA1791" s="698"/>
      <c r="AB1791" s="696"/>
      <c r="AC1791" s="49"/>
      <c r="AD1791" s="429" t="s">
        <v>292</v>
      </c>
      <c r="AE1791" s="431" t="s">
        <v>300</v>
      </c>
      <c r="AF1791" s="468" t="s">
        <v>301</v>
      </c>
      <c r="AG1791" s="49"/>
      <c r="AH1791" s="87"/>
      <c r="AI1791" s="87"/>
    </row>
    <row r="1792" spans="1:35" hidden="1">
      <c r="A1792" s="44"/>
      <c r="B1792" s="76"/>
      <c r="C1792" s="77"/>
      <c r="D1792" s="77"/>
      <c r="E1792" s="77"/>
      <c r="F1792" s="77"/>
      <c r="G1792" s="77"/>
      <c r="H1792" s="77"/>
      <c r="I1792" s="77"/>
      <c r="J1792" s="77"/>
      <c r="K1792" s="77"/>
      <c r="L1792" s="77"/>
      <c r="M1792" s="77"/>
      <c r="N1792" s="77"/>
      <c r="O1792" s="77"/>
      <c r="P1792" s="77"/>
      <c r="Q1792" s="77"/>
      <c r="R1792" s="77"/>
      <c r="S1792" s="78"/>
      <c r="T1792" s="79"/>
      <c r="U1792" s="109"/>
      <c r="V1792" s="49"/>
      <c r="W1792" s="432"/>
      <c r="X1792" s="454"/>
      <c r="Y1792" s="433"/>
      <c r="Z1792" s="6"/>
      <c r="AA1792" s="500"/>
      <c r="AB1792" s="562"/>
      <c r="AC1792" s="49"/>
      <c r="AD1792" s="210"/>
      <c r="AE1792" s="434"/>
      <c r="AF1792" s="435"/>
      <c r="AG1792" s="49"/>
      <c r="AH1792" s="87"/>
      <c r="AI1792" s="87"/>
    </row>
    <row r="1793" spans="1:35" hidden="1">
      <c r="A1793" s="80" t="e">
        <f>"A"&amp;E1789</f>
        <v>#N/A</v>
      </c>
      <c r="B1793" s="81">
        <v>1</v>
      </c>
      <c r="C1793" s="82"/>
      <c r="D1793" s="82"/>
      <c r="E1793" s="82"/>
      <c r="F1793" s="82"/>
      <c r="G1793" s="83"/>
      <c r="H1793" s="83"/>
      <c r="I1793" s="84"/>
      <c r="J1793" s="85"/>
      <c r="K1793" s="382"/>
      <c r="L1793" s="85"/>
      <c r="M1793" s="332" t="str">
        <f t="shared" ref="M1793:M1802" si="520">IF(OR(J1793="",L1793="",H1793="NO"),"",IF(OR(J1793&gt;$P$17,J1793&lt;$O$17,L1793&gt;$P$17,AND(J1793&lt;$O$17,L1793&lt;$O$17)),"FUERA DE RANGO",IF(OR(K1793="---",K1793=""),IF(J1793&gt;=$O$17,ROUND((L1793-J1793+1)/360*12,3),ROUND((L1793-$O$17+1)/360*12,3)),IF(J1793&gt;=$O$17,ROUND((L1793-J1793+1)/360*12-ROUND(K1793,3),3),ROUND((L1793-$O$17+1)/360*12-ROUND(K1793,3),3)))))</f>
        <v/>
      </c>
      <c r="N1793" s="86"/>
      <c r="O1793" s="453" t="str">
        <f>IF(OR(G1793="",N1793=""),"",N1793*G1793)</f>
        <v/>
      </c>
      <c r="P1793" s="538" t="str">
        <f>IF(OR(H1793="",M1793="FUERA DE RANGO"),"",IF(OR(L1793&lt;$O$17,L1793&gt;$P$17,L1793="",H1793="NO"),"",IF(OR(N1793="",O1793=""),"",ROUND(O1793,3))))</f>
        <v/>
      </c>
      <c r="Q1793" s="539" t="str">
        <f t="shared" ref="Q1793:Q1802" si="521">IF(AND(H1793="SI",P1793&lt;&gt;""),ROUND(P1793/M1793,3),"")</f>
        <v/>
      </c>
      <c r="R1793" s="737"/>
      <c r="S1793" s="738"/>
      <c r="T1793" s="739"/>
      <c r="U1793" s="470"/>
      <c r="V1793" s="165"/>
      <c r="W1793" s="446"/>
      <c r="X1793" s="456"/>
      <c r="Y1793" s="436"/>
      <c r="Z1793" s="437"/>
      <c r="AA1793" s="560"/>
      <c r="AB1793" s="561"/>
      <c r="AC1793" s="87"/>
      <c r="AD1793" s="466"/>
      <c r="AE1793" s="456"/>
      <c r="AF1793" s="467"/>
      <c r="AG1793" s="87"/>
      <c r="AH1793" s="87"/>
      <c r="AI1793" s="87"/>
    </row>
    <row r="1794" spans="1:35" hidden="1">
      <c r="A1794" s="80" t="e">
        <f>"B"&amp;E1789</f>
        <v>#N/A</v>
      </c>
      <c r="B1794" s="81">
        <v>2</v>
      </c>
      <c r="C1794" s="106"/>
      <c r="D1794" s="106"/>
      <c r="E1794" s="106"/>
      <c r="F1794" s="106"/>
      <c r="G1794" s="83"/>
      <c r="H1794" s="83"/>
      <c r="I1794" s="84"/>
      <c r="J1794" s="85"/>
      <c r="K1794" s="382"/>
      <c r="L1794" s="85"/>
      <c r="M1794" s="332" t="str">
        <f t="shared" si="520"/>
        <v/>
      </c>
      <c r="N1794" s="86"/>
      <c r="O1794" s="453" t="str">
        <f t="shared" ref="O1794:O1802" si="522">IF(OR(G1794="",N1794=""),"",N1794*G1794)</f>
        <v/>
      </c>
      <c r="P1794" s="538" t="str">
        <f t="shared" ref="P1794:P1802" si="523">IF(OR(H1794="",M1794="FUERA DE RANGO"),"",IF(OR(L1794&lt;$O$17,L1794&gt;$P$17,L1794="",H1794="NO"),"",IF(OR(N1794="",O1794=""),"",ROUND(O1794,3))))</f>
        <v/>
      </c>
      <c r="Q1794" s="539" t="str">
        <f t="shared" si="521"/>
        <v/>
      </c>
      <c r="R1794" s="740"/>
      <c r="S1794" s="741"/>
      <c r="T1794" s="742"/>
      <c r="U1794" s="471"/>
      <c r="V1794" s="165"/>
      <c r="W1794" s="446"/>
      <c r="X1794" s="456"/>
      <c r="Y1794" s="436"/>
      <c r="Z1794" s="437"/>
      <c r="AA1794" s="560"/>
      <c r="AB1794" s="561"/>
      <c r="AC1794" s="87"/>
      <c r="AD1794" s="466"/>
      <c r="AE1794" s="456"/>
      <c r="AF1794" s="467"/>
      <c r="AG1794" s="87"/>
      <c r="AH1794" s="87"/>
      <c r="AI1794" s="87"/>
    </row>
    <row r="1795" spans="1:35" hidden="1">
      <c r="A1795" s="80" t="e">
        <f>"C"&amp;E1789</f>
        <v>#N/A</v>
      </c>
      <c r="B1795" s="88">
        <v>3</v>
      </c>
      <c r="C1795" s="82"/>
      <c r="D1795" s="82"/>
      <c r="E1795" s="82"/>
      <c r="F1795" s="82"/>
      <c r="G1795" s="83"/>
      <c r="H1795" s="83"/>
      <c r="I1795" s="84"/>
      <c r="J1795" s="85"/>
      <c r="K1795" s="382"/>
      <c r="L1795" s="85"/>
      <c r="M1795" s="332" t="str">
        <f t="shared" si="520"/>
        <v/>
      </c>
      <c r="N1795" s="86"/>
      <c r="O1795" s="453" t="str">
        <f t="shared" si="522"/>
        <v/>
      </c>
      <c r="P1795" s="538" t="str">
        <f t="shared" si="523"/>
        <v/>
      </c>
      <c r="Q1795" s="539" t="str">
        <f t="shared" si="521"/>
        <v/>
      </c>
      <c r="R1795" s="706"/>
      <c r="S1795" s="707"/>
      <c r="T1795" s="708"/>
      <c r="U1795" s="472"/>
      <c r="V1795" s="166"/>
      <c r="W1795" s="446"/>
      <c r="X1795" s="456"/>
      <c r="Y1795" s="436"/>
      <c r="Z1795" s="437"/>
      <c r="AA1795" s="560"/>
      <c r="AB1795" s="561"/>
      <c r="AC1795" s="87"/>
      <c r="AD1795" s="466"/>
      <c r="AE1795" s="456"/>
      <c r="AF1795" s="467"/>
      <c r="AG1795" s="87"/>
      <c r="AH1795" s="87"/>
      <c r="AI1795" s="87"/>
    </row>
    <row r="1796" spans="1:35" hidden="1">
      <c r="A1796" s="80" t="e">
        <f>"D"&amp;E1789</f>
        <v>#N/A</v>
      </c>
      <c r="B1796" s="105">
        <v>4</v>
      </c>
      <c r="C1796" s="107"/>
      <c r="D1796" s="107"/>
      <c r="E1796" s="107"/>
      <c r="F1796" s="107"/>
      <c r="G1796" s="83"/>
      <c r="H1796" s="83"/>
      <c r="I1796" s="84"/>
      <c r="J1796" s="85"/>
      <c r="K1796" s="382"/>
      <c r="L1796" s="85"/>
      <c r="M1796" s="332" t="str">
        <f t="shared" si="520"/>
        <v/>
      </c>
      <c r="N1796" s="86"/>
      <c r="O1796" s="453" t="str">
        <f t="shared" si="522"/>
        <v/>
      </c>
      <c r="P1796" s="538" t="str">
        <f t="shared" si="523"/>
        <v/>
      </c>
      <c r="Q1796" s="539" t="str">
        <f t="shared" si="521"/>
        <v/>
      </c>
      <c r="R1796" s="706"/>
      <c r="S1796" s="707"/>
      <c r="T1796" s="708"/>
      <c r="U1796" s="472"/>
      <c r="V1796" s="166"/>
      <c r="W1796" s="446"/>
      <c r="X1796" s="456"/>
      <c r="Y1796" s="436"/>
      <c r="Z1796" s="437"/>
      <c r="AA1796" s="560"/>
      <c r="AB1796" s="561"/>
      <c r="AC1796" s="87"/>
      <c r="AD1796" s="466"/>
      <c r="AE1796" s="456"/>
      <c r="AF1796" s="467"/>
      <c r="AG1796" s="87"/>
      <c r="AH1796" s="87"/>
      <c r="AI1796" s="87"/>
    </row>
    <row r="1797" spans="1:35" hidden="1">
      <c r="A1797" s="80" t="e">
        <f>"E"&amp;E1789</f>
        <v>#N/A</v>
      </c>
      <c r="B1797" s="105">
        <v>5</v>
      </c>
      <c r="C1797" s="107"/>
      <c r="D1797" s="107"/>
      <c r="E1797" s="107"/>
      <c r="F1797" s="107"/>
      <c r="G1797" s="83"/>
      <c r="H1797" s="83"/>
      <c r="I1797" s="84"/>
      <c r="J1797" s="85"/>
      <c r="K1797" s="382"/>
      <c r="L1797" s="85"/>
      <c r="M1797" s="332" t="str">
        <f t="shared" si="520"/>
        <v/>
      </c>
      <c r="N1797" s="86"/>
      <c r="O1797" s="453" t="str">
        <f t="shared" si="522"/>
        <v/>
      </c>
      <c r="P1797" s="538" t="str">
        <f t="shared" si="523"/>
        <v/>
      </c>
      <c r="Q1797" s="539" t="str">
        <f t="shared" si="521"/>
        <v/>
      </c>
      <c r="R1797" s="706"/>
      <c r="S1797" s="707"/>
      <c r="T1797" s="708"/>
      <c r="U1797" s="472"/>
      <c r="V1797" s="167"/>
      <c r="W1797" s="446"/>
      <c r="X1797" s="456"/>
      <c r="Y1797" s="436"/>
      <c r="Z1797" s="437"/>
      <c r="AA1797" s="560"/>
      <c r="AB1797" s="561"/>
      <c r="AC1797" s="87"/>
      <c r="AD1797" s="466"/>
      <c r="AE1797" s="456"/>
      <c r="AF1797" s="467"/>
      <c r="AG1797" s="87"/>
      <c r="AH1797" s="87"/>
      <c r="AI1797" s="87"/>
    </row>
    <row r="1798" spans="1:35" hidden="1">
      <c r="A1798" s="80" t="e">
        <f>"F"&amp;E1789</f>
        <v>#N/A</v>
      </c>
      <c r="B1798" s="105">
        <v>6</v>
      </c>
      <c r="C1798" s="107"/>
      <c r="D1798" s="107"/>
      <c r="E1798" s="107"/>
      <c r="F1798" s="107"/>
      <c r="G1798" s="83"/>
      <c r="H1798" s="83"/>
      <c r="I1798" s="84"/>
      <c r="J1798" s="85"/>
      <c r="K1798" s="382"/>
      <c r="L1798" s="85"/>
      <c r="M1798" s="332" t="str">
        <f t="shared" si="520"/>
        <v/>
      </c>
      <c r="N1798" s="86"/>
      <c r="O1798" s="453" t="str">
        <f t="shared" si="522"/>
        <v/>
      </c>
      <c r="P1798" s="538" t="str">
        <f t="shared" si="523"/>
        <v/>
      </c>
      <c r="Q1798" s="539" t="str">
        <f t="shared" si="521"/>
        <v/>
      </c>
      <c r="R1798" s="706"/>
      <c r="S1798" s="707"/>
      <c r="T1798" s="708"/>
      <c r="U1798" s="472"/>
      <c r="V1798" s="167"/>
      <c r="W1798" s="446"/>
      <c r="X1798" s="456"/>
      <c r="Y1798" s="436"/>
      <c r="Z1798" s="437"/>
      <c r="AA1798" s="560"/>
      <c r="AB1798" s="561"/>
      <c r="AC1798" s="87"/>
      <c r="AD1798" s="466"/>
      <c r="AE1798" s="456"/>
      <c r="AF1798" s="467"/>
      <c r="AG1798" s="87"/>
      <c r="AH1798" s="87"/>
      <c r="AI1798" s="87"/>
    </row>
    <row r="1799" spans="1:35" hidden="1">
      <c r="A1799" s="80" t="e">
        <f>"G"&amp;E1789</f>
        <v>#N/A</v>
      </c>
      <c r="B1799" s="105">
        <v>7</v>
      </c>
      <c r="C1799" s="107"/>
      <c r="D1799" s="107"/>
      <c r="E1799" s="107"/>
      <c r="F1799" s="107"/>
      <c r="G1799" s="83"/>
      <c r="H1799" s="83"/>
      <c r="I1799" s="84"/>
      <c r="J1799" s="85"/>
      <c r="K1799" s="382"/>
      <c r="L1799" s="85"/>
      <c r="M1799" s="332" t="str">
        <f t="shared" si="520"/>
        <v/>
      </c>
      <c r="N1799" s="86"/>
      <c r="O1799" s="86" t="str">
        <f t="shared" si="522"/>
        <v/>
      </c>
      <c r="P1799" s="538" t="str">
        <f t="shared" si="523"/>
        <v/>
      </c>
      <c r="Q1799" s="539" t="str">
        <f t="shared" si="521"/>
        <v/>
      </c>
      <c r="R1799" s="706"/>
      <c r="S1799" s="707"/>
      <c r="T1799" s="708"/>
      <c r="U1799" s="472"/>
      <c r="V1799" s="167"/>
      <c r="W1799" s="446"/>
      <c r="X1799" s="456"/>
      <c r="Y1799" s="436"/>
      <c r="Z1799" s="437"/>
      <c r="AA1799" s="560"/>
      <c r="AB1799" s="561"/>
      <c r="AC1799" s="87"/>
      <c r="AD1799" s="466"/>
      <c r="AE1799" s="456"/>
      <c r="AF1799" s="467"/>
      <c r="AG1799" s="87"/>
      <c r="AH1799" s="87"/>
      <c r="AI1799" s="87"/>
    </row>
    <row r="1800" spans="1:35" hidden="1">
      <c r="A1800" s="80" t="e">
        <f>"H"&amp;E1789</f>
        <v>#N/A</v>
      </c>
      <c r="B1800" s="105">
        <v>8</v>
      </c>
      <c r="C1800" s="107"/>
      <c r="D1800" s="107"/>
      <c r="E1800" s="107"/>
      <c r="F1800" s="107"/>
      <c r="G1800" s="83"/>
      <c r="H1800" s="83"/>
      <c r="I1800" s="84"/>
      <c r="J1800" s="85"/>
      <c r="K1800" s="382"/>
      <c r="L1800" s="85"/>
      <c r="M1800" s="332" t="str">
        <f t="shared" si="520"/>
        <v/>
      </c>
      <c r="N1800" s="453"/>
      <c r="O1800" s="86" t="str">
        <f t="shared" si="522"/>
        <v/>
      </c>
      <c r="P1800" s="538" t="str">
        <f t="shared" si="523"/>
        <v/>
      </c>
      <c r="Q1800" s="539" t="str">
        <f t="shared" si="521"/>
        <v/>
      </c>
      <c r="R1800" s="706"/>
      <c r="S1800" s="707"/>
      <c r="T1800" s="708"/>
      <c r="U1800" s="472"/>
      <c r="V1800" s="167"/>
      <c r="W1800" s="446"/>
      <c r="X1800" s="456"/>
      <c r="Y1800" s="436"/>
      <c r="Z1800" s="437"/>
      <c r="AA1800" s="560"/>
      <c r="AB1800" s="561"/>
      <c r="AC1800" s="87"/>
      <c r="AD1800" s="466"/>
      <c r="AE1800" s="456"/>
      <c r="AF1800" s="467"/>
      <c r="AG1800" s="87"/>
      <c r="AH1800" s="87"/>
      <c r="AI1800" s="87"/>
    </row>
    <row r="1801" spans="1:35" hidden="1">
      <c r="A1801" s="80" t="e">
        <f>"I"&amp;E1789</f>
        <v>#N/A</v>
      </c>
      <c r="B1801" s="105">
        <v>9</v>
      </c>
      <c r="C1801" s="107"/>
      <c r="D1801" s="107"/>
      <c r="E1801" s="107"/>
      <c r="F1801" s="107"/>
      <c r="G1801" s="83"/>
      <c r="H1801" s="83"/>
      <c r="I1801" s="84"/>
      <c r="J1801" s="85"/>
      <c r="K1801" s="382"/>
      <c r="L1801" s="85"/>
      <c r="M1801" s="332" t="str">
        <f t="shared" si="520"/>
        <v/>
      </c>
      <c r="N1801" s="453"/>
      <c r="O1801" s="86" t="str">
        <f t="shared" si="522"/>
        <v/>
      </c>
      <c r="P1801" s="538" t="str">
        <f t="shared" si="523"/>
        <v/>
      </c>
      <c r="Q1801" s="539" t="str">
        <f t="shared" si="521"/>
        <v/>
      </c>
      <c r="R1801" s="706"/>
      <c r="S1801" s="707"/>
      <c r="T1801" s="708"/>
      <c r="U1801" s="472"/>
      <c r="V1801" s="167"/>
      <c r="W1801" s="446"/>
      <c r="X1801" s="456"/>
      <c r="Y1801" s="436"/>
      <c r="Z1801" s="437"/>
      <c r="AA1801" s="560"/>
      <c r="AB1801" s="561"/>
      <c r="AC1801" s="87"/>
      <c r="AD1801" s="466"/>
      <c r="AE1801" s="456"/>
      <c r="AF1801" s="467"/>
      <c r="AG1801" s="87"/>
      <c r="AH1801" s="87"/>
      <c r="AI1801" s="87"/>
    </row>
    <row r="1802" spans="1:35" hidden="1">
      <c r="A1802" s="80" t="e">
        <f>"J"&amp;E1789</f>
        <v>#N/A</v>
      </c>
      <c r="B1802" s="105">
        <v>10</v>
      </c>
      <c r="C1802" s="107"/>
      <c r="D1802" s="107"/>
      <c r="E1802" s="107"/>
      <c r="F1802" s="107"/>
      <c r="G1802" s="83"/>
      <c r="H1802" s="83"/>
      <c r="I1802" s="84"/>
      <c r="J1802" s="85"/>
      <c r="K1802" s="382"/>
      <c r="L1802" s="85"/>
      <c r="M1802" s="332" t="str">
        <f t="shared" si="520"/>
        <v/>
      </c>
      <c r="N1802" s="453"/>
      <c r="O1802" s="86" t="str">
        <f t="shared" si="522"/>
        <v/>
      </c>
      <c r="P1802" s="538" t="str">
        <f t="shared" si="523"/>
        <v/>
      </c>
      <c r="Q1802" s="539" t="str">
        <f t="shared" si="521"/>
        <v/>
      </c>
      <c r="R1802" s="706"/>
      <c r="S1802" s="707"/>
      <c r="T1802" s="708"/>
      <c r="U1802" s="472"/>
      <c r="V1802" s="167"/>
      <c r="W1802" s="446"/>
      <c r="X1802" s="456"/>
      <c r="Y1802" s="436"/>
      <c r="Z1802" s="437"/>
      <c r="AA1802" s="560"/>
      <c r="AB1802" s="561"/>
      <c r="AC1802" s="87"/>
      <c r="AD1802" s="466"/>
      <c r="AE1802" s="456"/>
      <c r="AF1802" s="467"/>
      <c r="AG1802" s="87"/>
      <c r="AH1802" s="87"/>
      <c r="AI1802" s="87"/>
    </row>
    <row r="1803" spans="1:35" ht="16.5" hidden="1" thickBot="1">
      <c r="A1803" s="44"/>
      <c r="B1803" s="89"/>
      <c r="C1803" s="90"/>
      <c r="D1803" s="90"/>
      <c r="E1803" s="90"/>
      <c r="F1803" s="90"/>
      <c r="G1803" s="90"/>
      <c r="H1803" s="90"/>
      <c r="I1803" s="90"/>
      <c r="J1803" s="90"/>
      <c r="K1803" s="90"/>
      <c r="L1803" s="90"/>
      <c r="M1803" s="90"/>
      <c r="N1803" s="90"/>
      <c r="O1803" s="90"/>
      <c r="P1803" s="90"/>
      <c r="Q1803" s="90"/>
      <c r="R1803" s="90"/>
      <c r="S1803" s="91"/>
      <c r="T1803" s="92"/>
      <c r="U1803" s="473"/>
      <c r="W1803" s="438"/>
      <c r="X1803" s="455"/>
      <c r="Y1803" s="439"/>
      <c r="Z1803" s="437"/>
      <c r="AA1803" s="530"/>
      <c r="AB1803" s="563"/>
      <c r="AC1803" s="87"/>
      <c r="AD1803" s="440"/>
      <c r="AE1803" s="441"/>
      <c r="AF1803" s="442"/>
      <c r="AG1803" s="49"/>
      <c r="AH1803" s="87"/>
      <c r="AI1803" s="87"/>
    </row>
    <row r="1804" spans="1:35" ht="16.5" hidden="1" thickBot="1">
      <c r="A1804" s="93"/>
      <c r="B1804" s="94"/>
      <c r="C1804" s="96"/>
      <c r="D1804" s="96"/>
      <c r="E1804" s="96"/>
      <c r="F1804" s="96"/>
      <c r="G1804" s="96"/>
      <c r="H1804" s="96"/>
      <c r="I1804" s="96"/>
      <c r="J1804" s="96"/>
      <c r="K1804" s="96"/>
      <c r="L1804" s="96"/>
      <c r="M1804" s="136"/>
      <c r="N1804" s="96"/>
      <c r="O1804" s="96"/>
      <c r="P1804" s="97"/>
      <c r="Q1804" s="97"/>
      <c r="R1804" s="98"/>
      <c r="S1804" s="95"/>
      <c r="T1804" s="99"/>
      <c r="U1804" s="469"/>
      <c r="AC1804" s="58"/>
      <c r="AG1804" s="58"/>
      <c r="AH1804" s="87"/>
      <c r="AI1804" s="87"/>
    </row>
    <row r="1805" spans="1:35" ht="16.5" hidden="1" thickBot="1">
      <c r="B1805" s="101"/>
      <c r="C1805" s="101"/>
      <c r="D1805" s="101"/>
      <c r="E1805" s="101"/>
      <c r="F1805" s="101"/>
      <c r="G1805" s="101"/>
      <c r="H1805" s="101"/>
      <c r="I1805" s="101"/>
      <c r="J1805" s="101"/>
      <c r="K1805" s="101"/>
      <c r="L1805" s="101"/>
      <c r="M1805" s="101"/>
      <c r="N1805" s="101"/>
      <c r="O1805" s="101"/>
      <c r="P1805" s="101"/>
      <c r="Q1805" s="101"/>
      <c r="R1805" s="101"/>
      <c r="S1805" s="101"/>
      <c r="U1805" s="50"/>
      <c r="AH1805" s="87"/>
      <c r="AI1805" s="87"/>
    </row>
    <row r="1806" spans="1:35" ht="16.5" hidden="1" customHeight="1" thickBot="1">
      <c r="A1806" s="44"/>
      <c r="B1806" s="705" t="s">
        <v>74</v>
      </c>
      <c r="C1806" s="705"/>
      <c r="D1806" s="705"/>
      <c r="E1806" s="705"/>
      <c r="F1806" s="705"/>
      <c r="G1806" s="705"/>
      <c r="H1806" s="705"/>
      <c r="I1806" s="705"/>
      <c r="J1806" s="705"/>
      <c r="K1806" s="705"/>
      <c r="L1806" s="705"/>
      <c r="M1806" s="705"/>
      <c r="N1806" s="705"/>
      <c r="O1806" s="705"/>
      <c r="P1806" s="705"/>
      <c r="Q1806" s="705"/>
      <c r="R1806" s="705"/>
      <c r="S1806" s="705"/>
      <c r="T1806" s="705"/>
      <c r="U1806" s="108"/>
      <c r="Y1806" s="532" t="s">
        <v>341</v>
      </c>
      <c r="AC1806" s="49"/>
      <c r="AD1806" s="687" t="s">
        <v>302</v>
      </c>
      <c r="AE1806" s="688"/>
      <c r="AF1806" s="689"/>
      <c r="AG1806" s="49"/>
      <c r="AH1806" s="87"/>
      <c r="AI1806" s="87"/>
    </row>
    <row r="1807" spans="1:35" ht="15.75" hidden="1" customHeight="1" thickBot="1">
      <c r="A1807" s="218" t="e">
        <f>"K"&amp;E1789</f>
        <v>#N/A</v>
      </c>
      <c r="B1807" s="701" t="s">
        <v>71</v>
      </c>
      <c r="C1807" s="751" t="s">
        <v>102</v>
      </c>
      <c r="D1807" s="751"/>
      <c r="E1807" s="751"/>
      <c r="F1807" s="751"/>
      <c r="G1807" s="751"/>
      <c r="H1807" s="751"/>
      <c r="I1807" s="751"/>
      <c r="J1807" s="751"/>
      <c r="K1807" s="751"/>
      <c r="L1807" s="722" t="s">
        <v>100</v>
      </c>
      <c r="M1807" s="747" t="s">
        <v>114</v>
      </c>
      <c r="N1807" s="747"/>
      <c r="O1807" s="747"/>
      <c r="P1807" s="747"/>
      <c r="Q1807" s="748"/>
      <c r="R1807" s="758" t="s">
        <v>280</v>
      </c>
      <c r="S1807" s="748"/>
      <c r="T1807" s="762" t="str">
        <f>IF(COUNTIF(AE1807:AF1807,"VERIFICAR")&gt;0,"VERIFICAR",IF(COUNTIF(AE1807:AF1807,"NO CUMPLE")&gt;0,"NO CUMPLE","CUMPLE"))</f>
        <v>VERIFICAR</v>
      </c>
      <c r="U1807" s="108"/>
      <c r="Y1807" s="533" t="e">
        <f>IF(F1808="","",IF(F1808=1,"INDIVIDUAL","ESTRUCTURA PLURAL"))</f>
        <v>#N/A</v>
      </c>
      <c r="AC1807" s="52"/>
      <c r="AD1807" s="475" t="s">
        <v>303</v>
      </c>
      <c r="AE1807" s="476" t="str">
        <f>IF(COUNTIF(AE1793:AE1802,"")=10,"VERIFICAR",IF(COUNTIF(AE1793:AE1802,"SI")&gt;0,"CUMPLE","NO CUMPLE"))</f>
        <v>VERIFICAR</v>
      </c>
      <c r="AF1807" s="477" t="str">
        <f>IF(COUNTIF(AF1793:AF1802,"")=10,"VERIFICAR",IF(COUNTIF(AF1793:AF1802,"SI")&gt;=$AI$22,"CUMPLE","NO CUMPLE"))</f>
        <v>VERIFICAR</v>
      </c>
      <c r="AG1807" s="52"/>
      <c r="AH1807" s="87"/>
      <c r="AI1807" s="87"/>
    </row>
    <row r="1808" spans="1:35" ht="16.5" hidden="1" customHeight="1" thickBot="1">
      <c r="A1808" s="218" t="e">
        <f>"L"&amp;E1789</f>
        <v>#N/A</v>
      </c>
      <c r="B1808" s="702"/>
      <c r="C1808" s="751" t="s">
        <v>103</v>
      </c>
      <c r="D1808" s="751"/>
      <c r="E1808" s="752"/>
      <c r="F1808" s="557" t="e">
        <f>IF(VLOOKUP(E1789,PROPONENTES!$C$19:$E$218,3,0)="","",VLOOKUP(E1789,PROPONENTES!$C$19:$E$218,3,0))</f>
        <v>#N/A</v>
      </c>
      <c r="G1808" s="753" t="s">
        <v>104</v>
      </c>
      <c r="H1808" s="751"/>
      <c r="I1808" s="715" t="e">
        <f>IF(OR(F1808="",F1808=1),"INTERESADO PERSONA NATURAL O JURIDICA","CONSORCIO O UNION TEMPORAL")</f>
        <v>#N/A</v>
      </c>
      <c r="J1808" s="725"/>
      <c r="K1808" s="728"/>
      <c r="L1808" s="723"/>
      <c r="M1808" s="749"/>
      <c r="N1808" s="749"/>
      <c r="O1808" s="749"/>
      <c r="P1808" s="749"/>
      <c r="Q1808" s="750"/>
      <c r="R1808" s="712"/>
      <c r="S1808" s="750"/>
      <c r="T1808" s="763"/>
      <c r="U1808" s="108"/>
      <c r="Y1808" s="534"/>
      <c r="AA1808" s="52"/>
      <c r="AB1808" s="52"/>
      <c r="AC1808" s="52"/>
      <c r="AG1808" s="52"/>
      <c r="AH1808" s="87"/>
      <c r="AI1808" s="87"/>
    </row>
    <row r="1809" spans="1:35" ht="56.25" hidden="1" customHeight="1" thickBot="1">
      <c r="A1809" s="218" t="e">
        <f>"M"&amp;E1789</f>
        <v>#N/A</v>
      </c>
      <c r="B1809" s="702"/>
      <c r="C1809" s="725" t="s">
        <v>101</v>
      </c>
      <c r="D1809" s="716"/>
      <c r="E1809" s="558" t="s">
        <v>105</v>
      </c>
      <c r="F1809" s="554" t="s">
        <v>87</v>
      </c>
      <c r="G1809" s="553" t="s">
        <v>86</v>
      </c>
      <c r="H1809" s="559" t="s">
        <v>85</v>
      </c>
      <c r="I1809" s="554" t="s">
        <v>252</v>
      </c>
      <c r="J1809" s="553" t="str">
        <f>"¿EL INTEGRANTE TIENE UNA PARTICIPACIÓN DEL "&amp;PORCREQUERIDOINT*100&amp;"%?"</f>
        <v>¿EL INTEGRANTE TIENE UNA PARTICIPACIÓN DEL 60%?</v>
      </c>
      <c r="K1809" s="554" t="s">
        <v>107</v>
      </c>
      <c r="L1809" s="724"/>
      <c r="M1809" s="717" t="s">
        <v>115</v>
      </c>
      <c r="N1809" s="718"/>
      <c r="O1809" s="718"/>
      <c r="P1809" s="718"/>
      <c r="Q1809" s="223">
        <f>IF(AND(H1793="SI",P1793&gt;=0),1,0)+IF(AND(H1794="SI",P1794&gt;=0),1,0)+IF(AND(H1795="SI",P1795&gt;=0),1,0)+IF(AND(H1796="SI",P1796&gt;=0),1,0)+IF(AND(H1797="SI",P1797&gt;=0),1,0)+IF(AND(H1798="SI",P1798&gt;=0),1,0)+IF(AND(H1799="SI",P1799&gt;=0),1,0)+IF(AND(H1800="SI",P1800&gt;=0),1,0)+IF(AND(H1801="SI",P1801&gt;=0),1,0)+IF(AND(H1802="SI",P1802&gt;=0),1,0)</f>
        <v>0</v>
      </c>
      <c r="R1809" s="759"/>
      <c r="S1809" s="761"/>
      <c r="T1809" s="764"/>
      <c r="U1809" s="219"/>
      <c r="V1809" s="464"/>
      <c r="Y1809" s="532" t="s">
        <v>342</v>
      </c>
      <c r="AA1809" s="550" t="s">
        <v>344</v>
      </c>
      <c r="AB1809" s="693" t="s">
        <v>345</v>
      </c>
      <c r="AC1809" s="693" t="s">
        <v>346</v>
      </c>
      <c r="AD1809" s="685" t="s">
        <v>347</v>
      </c>
      <c r="AE1809" s="52"/>
      <c r="AF1809" s="52"/>
      <c r="AG1809" s="52"/>
      <c r="AH1809" s="87"/>
      <c r="AI1809" s="87"/>
    </row>
    <row r="1810" spans="1:35" ht="15.75" hidden="1" customHeight="1" thickBot="1">
      <c r="A1810" s="218" t="e">
        <f>"N"&amp;E1789</f>
        <v>#N/A</v>
      </c>
      <c r="B1810" s="702"/>
      <c r="C1810" s="114">
        <v>1</v>
      </c>
      <c r="D1810" s="194" t="e">
        <f>IF(AND(C1810&lt;=F1808,F1808&gt;1,F1808&lt;&gt;""),VLOOKUP(VALUE(E1789&amp;","&amp;C1810),INTEGRANTES!$D$18:$F$235,2,0),"")</f>
        <v>#N/A</v>
      </c>
      <c r="E1810" s="211" t="e">
        <f>IF(D1810&lt;&gt;"",VLOOKUP(VALUE(E1789&amp;","&amp;C1810),INTEGRANTES!$D$18:$F$235,3,0),"")</f>
        <v>#N/A</v>
      </c>
      <c r="F1810" s="547" t="e">
        <f>IF(D1810="","",SUMIF($I1793:$I1802,D1810,$P1793:$P1802))</f>
        <v>#N/A</v>
      </c>
      <c r="G1810" s="333" t="e">
        <f>IF(D1810="","",SUMIF($I1793:$I1802,D1810,$M1793:$M1802))</f>
        <v>#N/A</v>
      </c>
      <c r="H1810" s="535" t="e">
        <f t="shared" ref="H1810:H1815" si="524">IF(D1810="","",IF(OR(F1810=0,G1810=0),"NO APORTA",ROUND($F1810/$G1810,3)))</f>
        <v>#N/A</v>
      </c>
      <c r="I1810" s="212" t="e">
        <f>IF(D1810="","",IF(H1810="NO APORTA","NO",IF(H1810=MAX($H1810:$H1815),"SI","NO")))</f>
        <v>#N/A</v>
      </c>
      <c r="J1810" s="213" t="e">
        <f t="shared" ref="J1810:J1815" si="525">IF(D1810="","",IF(E1810&gt;=PORCREQUERIDOINT,"SI","NO"))</f>
        <v>#N/A</v>
      </c>
      <c r="K1810" s="200" t="e">
        <f t="shared" ref="K1810:K1815" si="526">IF(D1810="","",IF(AND(I1810="SI",J1810="SI"),"CUMPLE",IF(AND(I1810="NO",OR(J1810="SI",J1810="NO")),"","NO CUMPLE")))</f>
        <v>#N/A</v>
      </c>
      <c r="L1810" s="722" t="s">
        <v>108</v>
      </c>
      <c r="M1810" s="726" t="s">
        <v>119</v>
      </c>
      <c r="N1810" s="726"/>
      <c r="O1810" s="726"/>
      <c r="P1810" s="726"/>
      <c r="Q1810" s="727"/>
      <c r="R1810" s="758" t="s">
        <v>80</v>
      </c>
      <c r="S1810" s="747"/>
      <c r="T1810" s="748"/>
      <c r="U1810" s="219"/>
      <c r="V1810" s="464"/>
      <c r="Y1810" s="533" t="e">
        <f>IF(Y1807="","",IF(Y1807="INDIVIDUAL","NO APLICA","VERIFICAR CUADRO"))</f>
        <v>#N/A</v>
      </c>
      <c r="AA1810" s="551"/>
      <c r="AB1810" s="694"/>
      <c r="AC1810" s="694"/>
      <c r="AD1810" s="686"/>
      <c r="AE1810" s="52"/>
      <c r="AF1810" s="52"/>
      <c r="AG1810" s="52"/>
      <c r="AH1810" s="87"/>
      <c r="AI1810" s="87"/>
    </row>
    <row r="1811" spans="1:35" ht="27" hidden="1" customHeight="1" thickBot="1">
      <c r="A1811" s="218" t="e">
        <f>"O"&amp;E1789</f>
        <v>#N/A</v>
      </c>
      <c r="B1811" s="702"/>
      <c r="C1811" s="114">
        <v>2</v>
      </c>
      <c r="D1811" s="194" t="e">
        <f>IF(AND(C1811&lt;=F1808,F1808&lt;&gt;""),VLOOKUP(VALUE(E1789&amp;","&amp;C1811),INTEGRANTES!$D$18:$F$235,2,0),"")</f>
        <v>#N/A</v>
      </c>
      <c r="E1811" s="211" t="e">
        <f>IF(D1811&lt;&gt;"",VLOOKUP(VALUE(E1789&amp;","&amp;C1811),INTEGRANTES!$D$18:$F$235,3,0),"")</f>
        <v>#N/A</v>
      </c>
      <c r="F1811" s="547" t="e">
        <f>IF(D1811="","",SUMIF($I1793:$I1802,D1811,$P1793:$P1802))</f>
        <v>#N/A</v>
      </c>
      <c r="G1811" s="333" t="e">
        <f>IF(D1811="","",SUMIF($I1793:$I1802,D1811,$M1793:$M1802))</f>
        <v>#N/A</v>
      </c>
      <c r="H1811" s="535" t="e">
        <f t="shared" si="524"/>
        <v>#N/A</v>
      </c>
      <c r="I1811" s="212" t="e">
        <f>IF(D1811="","",IF(H1811="NO APORTA","NO",IF(H1811=MAX($H1810:$H1815),"SI","NO")))</f>
        <v>#N/A</v>
      </c>
      <c r="J1811" s="213" t="e">
        <f t="shared" si="525"/>
        <v>#N/A</v>
      </c>
      <c r="K1811" s="200" t="e">
        <f t="shared" si="526"/>
        <v>#N/A</v>
      </c>
      <c r="L1811" s="723"/>
      <c r="M1811" s="715" t="s">
        <v>116</v>
      </c>
      <c r="N1811" s="716"/>
      <c r="O1811" s="556" t="s">
        <v>113</v>
      </c>
      <c r="P1811" s="715" t="s">
        <v>117</v>
      </c>
      <c r="Q1811" s="728"/>
      <c r="R1811" s="759"/>
      <c r="S1811" s="760"/>
      <c r="T1811" s="761"/>
      <c r="U1811" s="219"/>
      <c r="V1811" s="464"/>
      <c r="Y1811" s="414"/>
      <c r="AA1811" s="542" t="e">
        <f>IF(AND(C1810&lt;=F1808,F1808&gt;1,F1808&lt;&gt;""),VLOOKUP(VALUE(E1789&amp;","&amp;C1810),INTEGRANTES!$D$18:$F$235,2,0),"")</f>
        <v>#N/A</v>
      </c>
      <c r="AB1811" s="544" t="e">
        <f t="shared" ref="AB1811:AB1816" si="527">IF(D1810="","",IF(OR(F1810=0,G1810=0),"NO APORTA",ROUND($F1810/$G1810,3)))</f>
        <v>#N/A</v>
      </c>
      <c r="AC1811" s="529"/>
      <c r="AD1811" s="200" t="e">
        <f t="shared" ref="AD1811:AD1816" si="528">IF(OR(AA1811="",AB1811=""),"",IF(AND(AC1811="X",AB1811&gt;=EXPREQVTD),"CUMPLE","NO CUMPLE"))</f>
        <v>#N/A</v>
      </c>
      <c r="AE1811" s="52"/>
      <c r="AF1811" s="52"/>
      <c r="AG1811" s="52"/>
      <c r="AH1811" s="87"/>
      <c r="AI1811" s="87"/>
    </row>
    <row r="1812" spans="1:35" ht="16.5" hidden="1" thickBot="1">
      <c r="A1812" s="218" t="e">
        <f>"P"&amp;E1789</f>
        <v>#N/A</v>
      </c>
      <c r="B1812" s="702"/>
      <c r="C1812" s="114">
        <v>3</v>
      </c>
      <c r="D1812" s="194" t="e">
        <f>IF(AND(C1812&lt;=F1808,F1808&lt;&gt;""),VLOOKUP(VALUE(E1789&amp;","&amp;C1812),INTEGRANTES!$D$18:$F$235,2,0),"")</f>
        <v>#N/A</v>
      </c>
      <c r="E1812" s="211" t="e">
        <f>IF(D1812&lt;&gt;"",VLOOKUP(VALUE(E1789&amp;","&amp;C1812),INTEGRANTES!$D$18:$F$235,3,0),"")</f>
        <v>#N/A</v>
      </c>
      <c r="F1812" s="547" t="e">
        <f>IF(D1812="","",SUMIF($I1793:$I1802,D1812,$P1793:$P1802))</f>
        <v>#N/A</v>
      </c>
      <c r="G1812" s="333" t="e">
        <f>IF(D1812="","",SUMIF($I1793:$I1802,D1812,$M1793:$M1802))</f>
        <v>#N/A</v>
      </c>
      <c r="H1812" s="535" t="e">
        <f t="shared" si="524"/>
        <v>#N/A</v>
      </c>
      <c r="I1812" s="212" t="e">
        <f>IF(D1812="","",IF(H1812="NO APORTA","NO",IF(H1812=MAX($H1810:$H1815),"SI","NO")))</f>
        <v>#N/A</v>
      </c>
      <c r="J1812" s="213" t="e">
        <f t="shared" si="525"/>
        <v>#N/A</v>
      </c>
      <c r="K1812" s="200" t="e">
        <f t="shared" si="526"/>
        <v>#N/A</v>
      </c>
      <c r="L1812" s="724"/>
      <c r="M1812" s="729">
        <f>NUMMOD</f>
        <v>1</v>
      </c>
      <c r="N1812" s="730"/>
      <c r="O1812" s="443">
        <f>IF(M1812="","",VLOOKUP(M1812,PRESUPUESTOS!$B$16:$H$16,5,FALSE))</f>
        <v>2</v>
      </c>
      <c r="P1812" s="713">
        <f>IF(OR(COUNTIF(M1793:M1802,"")&gt;=10,Q1809&lt;NUMMINCONT,OR(T1807="NO CUMPLE",T1807="VERIFICAR")),0,ROUND(AVERAGE(M1793:M1802),3))</f>
        <v>0</v>
      </c>
      <c r="Q1812" s="714"/>
      <c r="R1812" s="458"/>
      <c r="S1812" s="459"/>
      <c r="T1812" s="460"/>
      <c r="U1812" s="219"/>
      <c r="V1812" s="464"/>
      <c r="Y1812" s="532" t="str">
        <f>"40% * ("&amp;PRESUPUESTOS!$H$13&amp;")"</f>
        <v>40% * (50% PFMO)</v>
      </c>
      <c r="AA1812" s="540" t="e">
        <f>IF(AND(C1811&lt;=F1808,F1808&lt;&gt;""),VLOOKUP(VALUE(E1789&amp;","&amp;C1811),INTEGRANTES!$D$18:$F$235,2,0),"")</f>
        <v>#N/A</v>
      </c>
      <c r="AB1812" s="545" t="e">
        <f t="shared" si="527"/>
        <v>#N/A</v>
      </c>
      <c r="AC1812" s="529"/>
      <c r="AD1812" s="200" t="e">
        <f t="shared" si="528"/>
        <v>#N/A</v>
      </c>
      <c r="AE1812" s="52"/>
      <c r="AF1812" s="52"/>
      <c r="AG1812" s="52"/>
      <c r="AH1812" s="87"/>
      <c r="AI1812" s="87"/>
    </row>
    <row r="1813" spans="1:35" ht="15.75" hidden="1" customHeight="1" thickBot="1">
      <c r="A1813" s="218" t="e">
        <f>"Q"&amp;E1789</f>
        <v>#N/A</v>
      </c>
      <c r="B1813" s="702"/>
      <c r="C1813" s="114">
        <v>4</v>
      </c>
      <c r="D1813" s="194" t="e">
        <f>IF(AND(C1813&lt;=F1808,F1808&lt;&gt;""),VLOOKUP(VALUE(E1789&amp;","&amp;C1813),INTEGRANTES!$D$18:$F$235,2,0),"")</f>
        <v>#N/A</v>
      </c>
      <c r="E1813" s="211" t="e">
        <f>IF(D1813&lt;&gt;"",VLOOKUP(VALUE(E1789&amp;","&amp;C1813),INTEGRANTES!$D$18:$F$235,3,0),"")</f>
        <v>#N/A</v>
      </c>
      <c r="F1813" s="547" t="e">
        <f>IF(D1813="","",SUMIF($I1793:$I1802,D1813,$P1793:$P1802))</f>
        <v>#N/A</v>
      </c>
      <c r="G1813" s="333" t="e">
        <f>IF(D1813="","",SUMIF($I1793:$I1802,D1813,$M1793:$M1802))</f>
        <v>#N/A</v>
      </c>
      <c r="H1813" s="535" t="e">
        <f t="shared" si="524"/>
        <v>#N/A</v>
      </c>
      <c r="I1813" s="212" t="e">
        <f>IF(D1813="","",IF(H1813="NO APORTA","NO",IF(H1813=MAX($H1810:$H1815),"SI","NO")))</f>
        <v>#N/A</v>
      </c>
      <c r="J1813" s="213" t="e">
        <f t="shared" si="525"/>
        <v>#N/A</v>
      </c>
      <c r="K1813" s="200" t="e">
        <f t="shared" si="526"/>
        <v>#N/A</v>
      </c>
      <c r="L1813" s="720" t="s">
        <v>109</v>
      </c>
      <c r="M1813" s="757" t="s">
        <v>120</v>
      </c>
      <c r="N1813" s="726"/>
      <c r="O1813" s="726"/>
      <c r="P1813" s="726"/>
      <c r="Q1813" s="727"/>
      <c r="R1813" s="458"/>
      <c r="S1813" s="459"/>
      <c r="T1813" s="460"/>
      <c r="U1813" s="219"/>
      <c r="V1813" s="464"/>
      <c r="Y1813" s="537">
        <f>0.4*PRESUPUESTOS!$H$16</f>
        <v>10.3124</v>
      </c>
      <c r="AA1813" s="540" t="e">
        <f>IF(AND(C1812&lt;=F1808,F1808&lt;&gt;""),VLOOKUP(VALUE(E1789&amp;","&amp;C1812),INTEGRANTES!$D$18:$F$235,2,0),"")</f>
        <v>#N/A</v>
      </c>
      <c r="AB1813" s="545" t="e">
        <f t="shared" si="527"/>
        <v>#N/A</v>
      </c>
      <c r="AC1813" s="529"/>
      <c r="AD1813" s="200" t="e">
        <f t="shared" si="528"/>
        <v>#N/A</v>
      </c>
      <c r="AE1813" s="52"/>
      <c r="AF1813" s="52"/>
      <c r="AG1813" s="52"/>
      <c r="AH1813" s="87"/>
      <c r="AI1813" s="87"/>
    </row>
    <row r="1814" spans="1:35" ht="27" hidden="1" customHeight="1" thickBot="1">
      <c r="A1814" s="218" t="e">
        <f>"R"&amp;E1789</f>
        <v>#N/A</v>
      </c>
      <c r="B1814" s="702"/>
      <c r="C1814" s="114">
        <v>5</v>
      </c>
      <c r="D1814" s="194" t="e">
        <f>IF(AND(C1814&lt;=F1808,F1808&lt;&gt;""),VLOOKUP(VALUE(E1789&amp;","&amp;C1814),INTEGRANTES!$D$18:$F$235,2,0),"")</f>
        <v>#N/A</v>
      </c>
      <c r="E1814" s="211" t="e">
        <f>IF(D1814&lt;&gt;"",VLOOKUP(VALUE(E1789&amp;","&amp;C1814),INTEGRANTES!$D$18:$F$235,3,0),"")</f>
        <v>#N/A</v>
      </c>
      <c r="F1814" s="547" t="e">
        <f>IF(D1814="","",SUMIF($I1793:$I1802,D1814,$P1793:$P1802))</f>
        <v>#N/A</v>
      </c>
      <c r="G1814" s="333" t="e">
        <f>IF(D1814="","",SUMIF($I1793:$I1802,D1814,$M1793:$M1802))</f>
        <v>#N/A</v>
      </c>
      <c r="H1814" s="535" t="e">
        <f t="shared" si="524"/>
        <v>#N/A</v>
      </c>
      <c r="I1814" s="212" t="e">
        <f>IF(D1814="","",IF(H1814="NO APORTA","NO",IF(H1814=MAX($H1810:$H1815),"SI","NO")))</f>
        <v>#N/A</v>
      </c>
      <c r="J1814" s="213" t="e">
        <f t="shared" si="525"/>
        <v>#N/A</v>
      </c>
      <c r="K1814" s="200" t="e">
        <f t="shared" si="526"/>
        <v>#N/A</v>
      </c>
      <c r="L1814" s="721"/>
      <c r="M1814" s="715" t="s">
        <v>116</v>
      </c>
      <c r="N1814" s="716"/>
      <c r="O1814" s="556" t="str">
        <f>PORCREQUERIDO*100&amp;"% PMFO DEL MÓDULO"</f>
        <v>50% PMFO DEL MÓDULO</v>
      </c>
      <c r="P1814" s="715" t="s">
        <v>118</v>
      </c>
      <c r="Q1814" s="728"/>
      <c r="R1814" s="458"/>
      <c r="S1814" s="459"/>
      <c r="T1814" s="460"/>
      <c r="U1814" s="219"/>
      <c r="V1814" s="464"/>
      <c r="Y1814" s="414"/>
      <c r="AA1814" s="540" t="e">
        <f>IF(AND(C1813&lt;=F1808,F1808&lt;&gt;""),VLOOKUP(VALUE(E1789&amp;","&amp;C1813),INTEGRANTES!$D$18:$F$235,2,0),"")</f>
        <v>#N/A</v>
      </c>
      <c r="AB1814" s="545" t="e">
        <f t="shared" si="527"/>
        <v>#N/A</v>
      </c>
      <c r="AC1814" s="529"/>
      <c r="AD1814" s="200" t="e">
        <f t="shared" si="528"/>
        <v>#N/A</v>
      </c>
      <c r="AE1814" s="52"/>
      <c r="AF1814" s="52"/>
      <c r="AG1814" s="52"/>
      <c r="AH1814" s="87"/>
      <c r="AI1814" s="87"/>
    </row>
    <row r="1815" spans="1:35" ht="16.5" hidden="1" thickBot="1">
      <c r="A1815" s="218" t="e">
        <f>"S"&amp;E1789</f>
        <v>#N/A</v>
      </c>
      <c r="B1815" s="702"/>
      <c r="C1815" s="215">
        <v>6</v>
      </c>
      <c r="D1815" s="216" t="e">
        <f>IF(AND(C1815&lt;=F1808,F1808&lt;&gt;""),VLOOKUP(VALUE(E1789&amp;","&amp;C1815),INTEGRANTES!$D$18:$F$235,2,0),"")</f>
        <v>#N/A</v>
      </c>
      <c r="E1815" s="217" t="e">
        <f>IF(D1815&lt;&gt;"",VLOOKUP(VALUE(E1789&amp;","&amp;C1815),INTEGRANTES!$D$18:$F$235,3,0),"")</f>
        <v>#N/A</v>
      </c>
      <c r="F1815" s="548" t="e">
        <f>IF(D1815="","",SUMIF($I1793:$I1802,D1815,$P1793:$P1802))</f>
        <v>#N/A</v>
      </c>
      <c r="G1815" s="334" t="e">
        <f>IF(D1815="","",SUMIF($I1793:$I1802,D1815,$M1793:$M1802))</f>
        <v>#N/A</v>
      </c>
      <c r="H1815" s="536" t="e">
        <f t="shared" si="524"/>
        <v>#N/A</v>
      </c>
      <c r="I1815" s="214" t="e">
        <f>IF(D1815="","",IF(H1815="NO APORTA","NO",IF(H1815=MAX($H1810:$H1815),"SI","NO")))</f>
        <v>#N/A</v>
      </c>
      <c r="J1815" s="213" t="e">
        <f t="shared" si="525"/>
        <v>#N/A</v>
      </c>
      <c r="K1815" s="200" t="e">
        <f t="shared" si="526"/>
        <v>#N/A</v>
      </c>
      <c r="L1815" s="721"/>
      <c r="M1815" s="729">
        <f>NUMMOD</f>
        <v>1</v>
      </c>
      <c r="N1815" s="730"/>
      <c r="O1815" s="443">
        <f>IF(M1815="","",ROUND(VLOOKUP(M1815,PRESUPUESTOS!$B$16:$H$16,7,FALSE),3))</f>
        <v>25.780999999999999</v>
      </c>
      <c r="P1815" s="713">
        <f>IF(OR(COUNTIF(P1793:P1802,"")&gt;=10,Q1809&lt;NUMMINCONT,OR(T1807="NO CUMPLE",T1807="VERIFICAR")),0,ROUND((SUM(P1793:P1802)/SUM(M1793:M1802)),3))</f>
        <v>0</v>
      </c>
      <c r="Q1815" s="714"/>
      <c r="R1815" s="458"/>
      <c r="S1815" s="459"/>
      <c r="T1815" s="460"/>
      <c r="U1815" s="219"/>
      <c r="V1815" s="464"/>
      <c r="Y1815" s="532" t="s">
        <v>343</v>
      </c>
      <c r="AA1815" s="540" t="e">
        <f>IF(AND(C1814&lt;=F1808,F1808&lt;&gt;""),VLOOKUP(VALUE(E1789&amp;","&amp;C1814),INTEGRANTES!$D$18:$F$235,2,0),"")</f>
        <v>#N/A</v>
      </c>
      <c r="AB1815" s="545" t="e">
        <f t="shared" si="527"/>
        <v>#N/A</v>
      </c>
      <c r="AC1815" s="529"/>
      <c r="AD1815" s="200" t="e">
        <f t="shared" si="528"/>
        <v>#N/A</v>
      </c>
      <c r="AE1815" s="52"/>
      <c r="AF1815" s="52"/>
      <c r="AG1815" s="52"/>
      <c r="AH1815" s="87"/>
      <c r="AI1815" s="87"/>
    </row>
    <row r="1816" spans="1:35" ht="16.5" hidden="1" customHeight="1" thickBot="1">
      <c r="A1816" s="218" t="e">
        <f>"T"&amp;E1789</f>
        <v>#N/A</v>
      </c>
      <c r="B1816" s="703"/>
      <c r="C1816" s="719"/>
      <c r="D1816" s="719"/>
      <c r="E1816" s="719"/>
      <c r="F1816" s="719"/>
      <c r="G1816" s="719"/>
      <c r="H1816" s="719" t="s">
        <v>110</v>
      </c>
      <c r="I1816" s="719"/>
      <c r="J1816" s="719"/>
      <c r="K1816" s="201" t="str">
        <f>IF(COUNTIF(K1810:K1815,"")=6,"",IF(COUNTIF(K1810:K1815,"CUMPLE")&gt;0,"CUMPLE","NO CUMPLE"))</f>
        <v>NO CUMPLE</v>
      </c>
      <c r="L1816" s="754"/>
      <c r="M1816" s="755"/>
      <c r="N1816" s="755"/>
      <c r="O1816" s="755"/>
      <c r="P1816" s="755"/>
      <c r="Q1816" s="756"/>
      <c r="R1816" s="461"/>
      <c r="S1816" s="462"/>
      <c r="T1816" s="463"/>
      <c r="U1816" s="219"/>
      <c r="V1816" s="464"/>
      <c r="Y1816" s="549" t="e">
        <f>IF(Y1810="NO APLICA","NO APLICA",IF(COUNTIF(AD1811:AD1816,"CUMPLE")&gt;0,"CUMPLE","NO CUMPLE"))</f>
        <v>#N/A</v>
      </c>
      <c r="AA1816" s="541" t="e">
        <f>IF(AND(C1815&lt;=F1808,F1808&lt;&gt;""),VLOOKUP(VALUE(E1789&amp;","&amp;C1815),INTEGRANTES!$D$18:$F$235,2,0),"")</f>
        <v>#N/A</v>
      </c>
      <c r="AB1816" s="546" t="e">
        <f t="shared" si="527"/>
        <v>#N/A</v>
      </c>
      <c r="AC1816" s="543"/>
      <c r="AD1816" s="201" t="e">
        <f t="shared" si="528"/>
        <v>#N/A</v>
      </c>
      <c r="AE1816" s="52"/>
      <c r="AF1816" s="52"/>
      <c r="AG1816" s="52"/>
      <c r="AH1816" s="87"/>
      <c r="AI1816" s="87"/>
    </row>
    <row r="1817" spans="1:35" hidden="1">
      <c r="AH1817" s="87"/>
      <c r="AI1817" s="87"/>
    </row>
    <row r="1818" spans="1:35" hidden="1">
      <c r="AH1818" s="87"/>
      <c r="AI1818" s="87"/>
    </row>
    <row r="1819" spans="1:35" ht="24" hidden="1" thickBot="1">
      <c r="A1819" s="61">
        <v>61</v>
      </c>
      <c r="B1819" s="704" t="s">
        <v>51</v>
      </c>
      <c r="C1819" s="704"/>
      <c r="D1819" s="704"/>
      <c r="E1819" s="62" t="e">
        <f>VLOOKUP(A1819,PROPONENTES!$B$19:$E$218,2,FALSE)</f>
        <v>#N/A</v>
      </c>
      <c r="F1819" s="63" t="e">
        <f>VLOOKUP(A1819,PROPONENTES!$B$19:$E$218,3,FALSE)</f>
        <v>#N/A</v>
      </c>
      <c r="G1819" s="64"/>
      <c r="H1819" s="64"/>
      <c r="I1819" s="63"/>
      <c r="J1819" s="63"/>
      <c r="K1819" s="65"/>
      <c r="L1819" s="65"/>
      <c r="M1819" s="64"/>
      <c r="N1819" s="64"/>
      <c r="O1819" s="66"/>
      <c r="P1819" s="66"/>
      <c r="Q1819" s="66"/>
      <c r="R1819" s="66"/>
      <c r="S1819" s="67"/>
      <c r="T1819" s="68"/>
      <c r="U1819" s="68"/>
      <c r="AC1819" s="68"/>
      <c r="AD1819" s="68"/>
      <c r="AE1819" s="68"/>
      <c r="AF1819" s="68"/>
      <c r="AG1819" s="68"/>
      <c r="AH1819" s="87"/>
      <c r="AI1819" s="87"/>
    </row>
    <row r="1820" spans="1:35" ht="15.75" hidden="1" customHeight="1">
      <c r="A1820" s="44"/>
      <c r="B1820" s="709" t="s">
        <v>59</v>
      </c>
      <c r="C1820" s="552" t="s">
        <v>60</v>
      </c>
      <c r="D1820" s="70" t="s">
        <v>17</v>
      </c>
      <c r="E1820" s="70"/>
      <c r="F1820" s="70" t="s">
        <v>61</v>
      </c>
      <c r="G1820" s="71"/>
      <c r="H1820" s="699" t="s">
        <v>62</v>
      </c>
      <c r="I1820" s="699" t="s">
        <v>18</v>
      </c>
      <c r="J1820" s="699" t="s">
        <v>63</v>
      </c>
      <c r="K1820" s="699" t="s">
        <v>64</v>
      </c>
      <c r="L1820" s="699" t="s">
        <v>65</v>
      </c>
      <c r="M1820" s="743" t="s">
        <v>66</v>
      </c>
      <c r="N1820" s="699" t="s">
        <v>282</v>
      </c>
      <c r="O1820" s="745" t="s">
        <v>67</v>
      </c>
      <c r="P1820" s="746"/>
      <c r="Q1820" s="102" t="s">
        <v>75</v>
      </c>
      <c r="R1820" s="731" t="s">
        <v>22</v>
      </c>
      <c r="S1820" s="732"/>
      <c r="T1820" s="733"/>
      <c r="U1820" s="712" t="s">
        <v>298</v>
      </c>
      <c r="W1820" s="690" t="s">
        <v>268</v>
      </c>
      <c r="X1820" s="691"/>
      <c r="Y1820" s="692"/>
      <c r="Z1820" s="428"/>
      <c r="AA1820" s="697" t="s">
        <v>315</v>
      </c>
      <c r="AB1820" s="695" t="s">
        <v>322</v>
      </c>
      <c r="AC1820" s="49"/>
      <c r="AD1820" s="690" t="s">
        <v>297</v>
      </c>
      <c r="AE1820" s="691"/>
      <c r="AF1820" s="692"/>
      <c r="AG1820" s="49"/>
      <c r="AH1820" s="87"/>
      <c r="AI1820" s="87"/>
    </row>
    <row r="1821" spans="1:35" ht="72" hidden="1">
      <c r="A1821" s="44"/>
      <c r="B1821" s="710"/>
      <c r="C1821" s="553" t="s">
        <v>68</v>
      </c>
      <c r="D1821" s="73" t="s">
        <v>3</v>
      </c>
      <c r="E1821" s="73" t="s">
        <v>19</v>
      </c>
      <c r="F1821" s="73" t="s">
        <v>69</v>
      </c>
      <c r="G1821" s="74" t="s">
        <v>70</v>
      </c>
      <c r="H1821" s="700"/>
      <c r="I1821" s="700"/>
      <c r="J1821" s="700"/>
      <c r="K1821" s="700"/>
      <c r="L1821" s="700"/>
      <c r="M1821" s="744"/>
      <c r="N1821" s="700"/>
      <c r="O1821" s="553" t="s">
        <v>279</v>
      </c>
      <c r="P1821" s="73" t="s">
        <v>88</v>
      </c>
      <c r="Q1821" s="555" t="s">
        <v>76</v>
      </c>
      <c r="R1821" s="734"/>
      <c r="S1821" s="735"/>
      <c r="T1821" s="736"/>
      <c r="U1821" s="712"/>
      <c r="W1821" s="429" t="s">
        <v>269</v>
      </c>
      <c r="X1821" s="457" t="s">
        <v>278</v>
      </c>
      <c r="Y1821" s="430" t="s">
        <v>324</v>
      </c>
      <c r="Z1821" s="428"/>
      <c r="AA1821" s="698"/>
      <c r="AB1821" s="696"/>
      <c r="AC1821" s="49"/>
      <c r="AD1821" s="429" t="s">
        <v>292</v>
      </c>
      <c r="AE1821" s="431" t="s">
        <v>300</v>
      </c>
      <c r="AF1821" s="468" t="s">
        <v>301</v>
      </c>
      <c r="AG1821" s="49"/>
      <c r="AH1821" s="87"/>
      <c r="AI1821" s="87"/>
    </row>
    <row r="1822" spans="1:35" hidden="1">
      <c r="A1822" s="44"/>
      <c r="B1822" s="76"/>
      <c r="C1822" s="77"/>
      <c r="D1822" s="77"/>
      <c r="E1822" s="77"/>
      <c r="F1822" s="77"/>
      <c r="G1822" s="77"/>
      <c r="H1822" s="77"/>
      <c r="I1822" s="77"/>
      <c r="J1822" s="77"/>
      <c r="K1822" s="77"/>
      <c r="L1822" s="77"/>
      <c r="M1822" s="77"/>
      <c r="N1822" s="77"/>
      <c r="O1822" s="77"/>
      <c r="P1822" s="77"/>
      <c r="Q1822" s="77"/>
      <c r="R1822" s="77"/>
      <c r="S1822" s="78"/>
      <c r="T1822" s="79"/>
      <c r="U1822" s="109"/>
      <c r="V1822" s="49"/>
      <c r="W1822" s="432"/>
      <c r="X1822" s="454"/>
      <c r="Y1822" s="433"/>
      <c r="Z1822" s="6"/>
      <c r="AA1822" s="500"/>
      <c r="AB1822" s="562"/>
      <c r="AC1822" s="49"/>
      <c r="AD1822" s="210"/>
      <c r="AE1822" s="434"/>
      <c r="AF1822" s="435"/>
      <c r="AG1822" s="49"/>
      <c r="AH1822" s="87"/>
      <c r="AI1822" s="87"/>
    </row>
    <row r="1823" spans="1:35" hidden="1">
      <c r="A1823" s="80" t="e">
        <f>"A"&amp;E1819</f>
        <v>#N/A</v>
      </c>
      <c r="B1823" s="81">
        <v>1</v>
      </c>
      <c r="C1823" s="82"/>
      <c r="D1823" s="82"/>
      <c r="E1823" s="82"/>
      <c r="F1823" s="82"/>
      <c r="G1823" s="83"/>
      <c r="H1823" s="83"/>
      <c r="I1823" s="84"/>
      <c r="J1823" s="85"/>
      <c r="K1823" s="382"/>
      <c r="L1823" s="85"/>
      <c r="M1823" s="332" t="str">
        <f t="shared" ref="M1823:M1832" si="529">IF(OR(J1823="",L1823="",H1823="NO"),"",IF(OR(J1823&gt;$P$17,J1823&lt;$O$17,L1823&gt;$P$17,AND(J1823&lt;$O$17,L1823&lt;$O$17)),"FUERA DE RANGO",IF(OR(K1823="---",K1823=""),IF(J1823&gt;=$O$17,ROUND((L1823-J1823+1)/360*12,3),ROUND((L1823-$O$17+1)/360*12,3)),IF(J1823&gt;=$O$17,ROUND((L1823-J1823+1)/360*12-ROUND(K1823,3),3),ROUND((L1823-$O$17+1)/360*12-ROUND(K1823,3),3)))))</f>
        <v/>
      </c>
      <c r="N1823" s="86"/>
      <c r="O1823" s="453" t="str">
        <f>IF(OR(G1823="",N1823=""),"",N1823*G1823)</f>
        <v/>
      </c>
      <c r="P1823" s="538" t="str">
        <f>IF(OR(H1823="",M1823="FUERA DE RANGO"),"",IF(OR(L1823&lt;$O$17,L1823&gt;$P$17,L1823="",H1823="NO"),"",IF(OR(N1823="",O1823=""),"",ROUND(O1823,3))))</f>
        <v/>
      </c>
      <c r="Q1823" s="539" t="str">
        <f t="shared" ref="Q1823:Q1832" si="530">IF(AND(H1823="SI",P1823&lt;&gt;""),ROUND(P1823/M1823,3),"")</f>
        <v/>
      </c>
      <c r="R1823" s="737"/>
      <c r="S1823" s="738"/>
      <c r="T1823" s="739"/>
      <c r="U1823" s="470"/>
      <c r="V1823" s="165"/>
      <c r="W1823" s="446"/>
      <c r="X1823" s="456"/>
      <c r="Y1823" s="436"/>
      <c r="Z1823" s="437"/>
      <c r="AA1823" s="560"/>
      <c r="AB1823" s="561"/>
      <c r="AC1823" s="87"/>
      <c r="AD1823" s="466"/>
      <c r="AE1823" s="456"/>
      <c r="AF1823" s="467"/>
      <c r="AG1823" s="87"/>
      <c r="AH1823" s="87"/>
      <c r="AI1823" s="87"/>
    </row>
    <row r="1824" spans="1:35" hidden="1">
      <c r="A1824" s="80" t="e">
        <f>"B"&amp;E1819</f>
        <v>#N/A</v>
      </c>
      <c r="B1824" s="81">
        <v>2</v>
      </c>
      <c r="C1824" s="106"/>
      <c r="D1824" s="106"/>
      <c r="E1824" s="106"/>
      <c r="F1824" s="106"/>
      <c r="G1824" s="83"/>
      <c r="H1824" s="83"/>
      <c r="I1824" s="84"/>
      <c r="J1824" s="85"/>
      <c r="K1824" s="382"/>
      <c r="L1824" s="85"/>
      <c r="M1824" s="332" t="str">
        <f t="shared" si="529"/>
        <v/>
      </c>
      <c r="N1824" s="86"/>
      <c r="O1824" s="453" t="str">
        <f t="shared" ref="O1824:O1832" si="531">IF(OR(G1824="",N1824=""),"",N1824*G1824)</f>
        <v/>
      </c>
      <c r="P1824" s="538" t="str">
        <f t="shared" ref="P1824:P1832" si="532">IF(OR(H1824="",M1824="FUERA DE RANGO"),"",IF(OR(L1824&lt;$O$17,L1824&gt;$P$17,L1824="",H1824="NO"),"",IF(OR(N1824="",O1824=""),"",ROUND(O1824,3))))</f>
        <v/>
      </c>
      <c r="Q1824" s="539" t="str">
        <f t="shared" si="530"/>
        <v/>
      </c>
      <c r="R1824" s="740"/>
      <c r="S1824" s="741"/>
      <c r="T1824" s="742"/>
      <c r="U1824" s="471"/>
      <c r="V1824" s="165"/>
      <c r="W1824" s="446"/>
      <c r="X1824" s="456"/>
      <c r="Y1824" s="436"/>
      <c r="Z1824" s="437"/>
      <c r="AA1824" s="560"/>
      <c r="AB1824" s="561"/>
      <c r="AC1824" s="87"/>
      <c r="AD1824" s="466"/>
      <c r="AE1824" s="456"/>
      <c r="AF1824" s="467"/>
      <c r="AG1824" s="87"/>
      <c r="AH1824" s="87"/>
      <c r="AI1824" s="87"/>
    </row>
    <row r="1825" spans="1:35" hidden="1">
      <c r="A1825" s="80" t="e">
        <f>"C"&amp;E1819</f>
        <v>#N/A</v>
      </c>
      <c r="B1825" s="88">
        <v>3</v>
      </c>
      <c r="C1825" s="82"/>
      <c r="D1825" s="82"/>
      <c r="E1825" s="82"/>
      <c r="F1825" s="82"/>
      <c r="G1825" s="83"/>
      <c r="H1825" s="83"/>
      <c r="I1825" s="84"/>
      <c r="J1825" s="85"/>
      <c r="K1825" s="382"/>
      <c r="L1825" s="85"/>
      <c r="M1825" s="332" t="str">
        <f t="shared" si="529"/>
        <v/>
      </c>
      <c r="N1825" s="86"/>
      <c r="O1825" s="453" t="str">
        <f t="shared" si="531"/>
        <v/>
      </c>
      <c r="P1825" s="538" t="str">
        <f t="shared" si="532"/>
        <v/>
      </c>
      <c r="Q1825" s="539" t="str">
        <f t="shared" si="530"/>
        <v/>
      </c>
      <c r="R1825" s="706"/>
      <c r="S1825" s="707"/>
      <c r="T1825" s="708"/>
      <c r="U1825" s="472"/>
      <c r="V1825" s="166"/>
      <c r="W1825" s="446"/>
      <c r="X1825" s="456"/>
      <c r="Y1825" s="436"/>
      <c r="Z1825" s="437"/>
      <c r="AA1825" s="560"/>
      <c r="AB1825" s="561"/>
      <c r="AC1825" s="87"/>
      <c r="AD1825" s="466"/>
      <c r="AE1825" s="456"/>
      <c r="AF1825" s="467"/>
      <c r="AG1825" s="87"/>
      <c r="AH1825" s="87"/>
      <c r="AI1825" s="87"/>
    </row>
    <row r="1826" spans="1:35" hidden="1">
      <c r="A1826" s="80" t="e">
        <f>"D"&amp;E1819</f>
        <v>#N/A</v>
      </c>
      <c r="B1826" s="105">
        <v>4</v>
      </c>
      <c r="C1826" s="107"/>
      <c r="D1826" s="107"/>
      <c r="E1826" s="107"/>
      <c r="F1826" s="107"/>
      <c r="G1826" s="83"/>
      <c r="H1826" s="83"/>
      <c r="I1826" s="84"/>
      <c r="J1826" s="85"/>
      <c r="K1826" s="382"/>
      <c r="L1826" s="85"/>
      <c r="M1826" s="332" t="str">
        <f t="shared" si="529"/>
        <v/>
      </c>
      <c r="N1826" s="86"/>
      <c r="O1826" s="453" t="str">
        <f t="shared" si="531"/>
        <v/>
      </c>
      <c r="P1826" s="538" t="str">
        <f t="shared" si="532"/>
        <v/>
      </c>
      <c r="Q1826" s="539" t="str">
        <f t="shared" si="530"/>
        <v/>
      </c>
      <c r="R1826" s="706"/>
      <c r="S1826" s="707"/>
      <c r="T1826" s="708"/>
      <c r="U1826" s="472"/>
      <c r="V1826" s="166"/>
      <c r="W1826" s="446"/>
      <c r="X1826" s="456"/>
      <c r="Y1826" s="436"/>
      <c r="Z1826" s="437"/>
      <c r="AA1826" s="560"/>
      <c r="AB1826" s="561"/>
      <c r="AC1826" s="87"/>
      <c r="AD1826" s="466"/>
      <c r="AE1826" s="456"/>
      <c r="AF1826" s="467"/>
      <c r="AG1826" s="87"/>
      <c r="AH1826" s="87"/>
      <c r="AI1826" s="87"/>
    </row>
    <row r="1827" spans="1:35" hidden="1">
      <c r="A1827" s="80" t="e">
        <f>"E"&amp;E1819</f>
        <v>#N/A</v>
      </c>
      <c r="B1827" s="105">
        <v>5</v>
      </c>
      <c r="C1827" s="107"/>
      <c r="D1827" s="107"/>
      <c r="E1827" s="107"/>
      <c r="F1827" s="107"/>
      <c r="G1827" s="83"/>
      <c r="H1827" s="83"/>
      <c r="I1827" s="84"/>
      <c r="J1827" s="85"/>
      <c r="K1827" s="382"/>
      <c r="L1827" s="85"/>
      <c r="M1827" s="332" t="str">
        <f t="shared" si="529"/>
        <v/>
      </c>
      <c r="N1827" s="86"/>
      <c r="O1827" s="453" t="str">
        <f t="shared" si="531"/>
        <v/>
      </c>
      <c r="P1827" s="538" t="str">
        <f t="shared" si="532"/>
        <v/>
      </c>
      <c r="Q1827" s="539" t="str">
        <f t="shared" si="530"/>
        <v/>
      </c>
      <c r="R1827" s="706"/>
      <c r="S1827" s="707"/>
      <c r="T1827" s="708"/>
      <c r="U1827" s="472"/>
      <c r="V1827" s="167"/>
      <c r="W1827" s="446"/>
      <c r="X1827" s="456"/>
      <c r="Y1827" s="436"/>
      <c r="Z1827" s="437"/>
      <c r="AA1827" s="560"/>
      <c r="AB1827" s="561"/>
      <c r="AC1827" s="87"/>
      <c r="AD1827" s="466"/>
      <c r="AE1827" s="456"/>
      <c r="AF1827" s="467"/>
      <c r="AG1827" s="87"/>
      <c r="AH1827" s="87"/>
      <c r="AI1827" s="87"/>
    </row>
    <row r="1828" spans="1:35" hidden="1">
      <c r="A1828" s="80" t="e">
        <f>"F"&amp;E1819</f>
        <v>#N/A</v>
      </c>
      <c r="B1828" s="105">
        <v>6</v>
      </c>
      <c r="C1828" s="107"/>
      <c r="D1828" s="107"/>
      <c r="E1828" s="107"/>
      <c r="F1828" s="107"/>
      <c r="G1828" s="83"/>
      <c r="H1828" s="83"/>
      <c r="I1828" s="84"/>
      <c r="J1828" s="85"/>
      <c r="K1828" s="382"/>
      <c r="L1828" s="85"/>
      <c r="M1828" s="332" t="str">
        <f t="shared" si="529"/>
        <v/>
      </c>
      <c r="N1828" s="86"/>
      <c r="O1828" s="453" t="str">
        <f t="shared" si="531"/>
        <v/>
      </c>
      <c r="P1828" s="538" t="str">
        <f t="shared" si="532"/>
        <v/>
      </c>
      <c r="Q1828" s="539" t="str">
        <f t="shared" si="530"/>
        <v/>
      </c>
      <c r="R1828" s="706"/>
      <c r="S1828" s="707"/>
      <c r="T1828" s="708"/>
      <c r="U1828" s="472"/>
      <c r="V1828" s="167"/>
      <c r="W1828" s="446"/>
      <c r="X1828" s="456"/>
      <c r="Y1828" s="436"/>
      <c r="Z1828" s="437"/>
      <c r="AA1828" s="560"/>
      <c r="AB1828" s="561"/>
      <c r="AC1828" s="87"/>
      <c r="AD1828" s="466"/>
      <c r="AE1828" s="456"/>
      <c r="AF1828" s="467"/>
      <c r="AG1828" s="87"/>
      <c r="AH1828" s="87"/>
      <c r="AI1828" s="87"/>
    </row>
    <row r="1829" spans="1:35" hidden="1">
      <c r="A1829" s="80" t="e">
        <f>"G"&amp;E1819</f>
        <v>#N/A</v>
      </c>
      <c r="B1829" s="105">
        <v>7</v>
      </c>
      <c r="C1829" s="107"/>
      <c r="D1829" s="107"/>
      <c r="E1829" s="107"/>
      <c r="F1829" s="107"/>
      <c r="G1829" s="83"/>
      <c r="H1829" s="83"/>
      <c r="I1829" s="84"/>
      <c r="J1829" s="85"/>
      <c r="K1829" s="382"/>
      <c r="L1829" s="85"/>
      <c r="M1829" s="332" t="str">
        <f t="shared" si="529"/>
        <v/>
      </c>
      <c r="N1829" s="86"/>
      <c r="O1829" s="86" t="str">
        <f t="shared" si="531"/>
        <v/>
      </c>
      <c r="P1829" s="538" t="str">
        <f t="shared" si="532"/>
        <v/>
      </c>
      <c r="Q1829" s="539" t="str">
        <f t="shared" si="530"/>
        <v/>
      </c>
      <c r="R1829" s="706"/>
      <c r="S1829" s="707"/>
      <c r="T1829" s="708"/>
      <c r="U1829" s="472"/>
      <c r="V1829" s="167"/>
      <c r="W1829" s="446"/>
      <c r="X1829" s="456"/>
      <c r="Y1829" s="436"/>
      <c r="Z1829" s="437"/>
      <c r="AA1829" s="560"/>
      <c r="AB1829" s="561"/>
      <c r="AC1829" s="87"/>
      <c r="AD1829" s="466"/>
      <c r="AE1829" s="456"/>
      <c r="AF1829" s="467"/>
      <c r="AG1829" s="87"/>
      <c r="AH1829" s="87"/>
      <c r="AI1829" s="87"/>
    </row>
    <row r="1830" spans="1:35" hidden="1">
      <c r="A1830" s="80" t="e">
        <f>"H"&amp;E1819</f>
        <v>#N/A</v>
      </c>
      <c r="B1830" s="105">
        <v>8</v>
      </c>
      <c r="C1830" s="107"/>
      <c r="D1830" s="107"/>
      <c r="E1830" s="107"/>
      <c r="F1830" s="107"/>
      <c r="G1830" s="83"/>
      <c r="H1830" s="83"/>
      <c r="I1830" s="84"/>
      <c r="J1830" s="85"/>
      <c r="K1830" s="382"/>
      <c r="L1830" s="85"/>
      <c r="M1830" s="332" t="str">
        <f t="shared" si="529"/>
        <v/>
      </c>
      <c r="N1830" s="453"/>
      <c r="O1830" s="86" t="str">
        <f t="shared" si="531"/>
        <v/>
      </c>
      <c r="P1830" s="538" t="str">
        <f t="shared" si="532"/>
        <v/>
      </c>
      <c r="Q1830" s="539" t="str">
        <f t="shared" si="530"/>
        <v/>
      </c>
      <c r="R1830" s="706"/>
      <c r="S1830" s="707"/>
      <c r="T1830" s="708"/>
      <c r="U1830" s="472"/>
      <c r="V1830" s="167"/>
      <c r="W1830" s="446"/>
      <c r="X1830" s="456"/>
      <c r="Y1830" s="436"/>
      <c r="Z1830" s="437"/>
      <c r="AA1830" s="560"/>
      <c r="AB1830" s="561"/>
      <c r="AC1830" s="87"/>
      <c r="AD1830" s="466"/>
      <c r="AE1830" s="456"/>
      <c r="AF1830" s="467"/>
      <c r="AG1830" s="87"/>
      <c r="AH1830" s="87"/>
      <c r="AI1830" s="87"/>
    </row>
    <row r="1831" spans="1:35" hidden="1">
      <c r="A1831" s="80" t="e">
        <f>"I"&amp;E1819</f>
        <v>#N/A</v>
      </c>
      <c r="B1831" s="105">
        <v>9</v>
      </c>
      <c r="C1831" s="107"/>
      <c r="D1831" s="107"/>
      <c r="E1831" s="107"/>
      <c r="F1831" s="107"/>
      <c r="G1831" s="83"/>
      <c r="H1831" s="83"/>
      <c r="I1831" s="84"/>
      <c r="J1831" s="85"/>
      <c r="K1831" s="382"/>
      <c r="L1831" s="85"/>
      <c r="M1831" s="332" t="str">
        <f t="shared" si="529"/>
        <v/>
      </c>
      <c r="N1831" s="453"/>
      <c r="O1831" s="86" t="str">
        <f t="shared" si="531"/>
        <v/>
      </c>
      <c r="P1831" s="538" t="str">
        <f t="shared" si="532"/>
        <v/>
      </c>
      <c r="Q1831" s="539" t="str">
        <f t="shared" si="530"/>
        <v/>
      </c>
      <c r="R1831" s="706"/>
      <c r="S1831" s="707"/>
      <c r="T1831" s="708"/>
      <c r="U1831" s="472"/>
      <c r="V1831" s="167"/>
      <c r="W1831" s="446"/>
      <c r="X1831" s="456"/>
      <c r="Y1831" s="436"/>
      <c r="Z1831" s="437"/>
      <c r="AA1831" s="560"/>
      <c r="AB1831" s="561"/>
      <c r="AC1831" s="87"/>
      <c r="AD1831" s="466"/>
      <c r="AE1831" s="456"/>
      <c r="AF1831" s="467"/>
      <c r="AG1831" s="87"/>
      <c r="AH1831" s="87"/>
      <c r="AI1831" s="87"/>
    </row>
    <row r="1832" spans="1:35" hidden="1">
      <c r="A1832" s="80" t="e">
        <f>"J"&amp;E1819</f>
        <v>#N/A</v>
      </c>
      <c r="B1832" s="105">
        <v>10</v>
      </c>
      <c r="C1832" s="107"/>
      <c r="D1832" s="107"/>
      <c r="E1832" s="107"/>
      <c r="F1832" s="107"/>
      <c r="G1832" s="83"/>
      <c r="H1832" s="83"/>
      <c r="I1832" s="84"/>
      <c r="J1832" s="85"/>
      <c r="K1832" s="382"/>
      <c r="L1832" s="85"/>
      <c r="M1832" s="332" t="str">
        <f t="shared" si="529"/>
        <v/>
      </c>
      <c r="N1832" s="453"/>
      <c r="O1832" s="86" t="str">
        <f t="shared" si="531"/>
        <v/>
      </c>
      <c r="P1832" s="538" t="str">
        <f t="shared" si="532"/>
        <v/>
      </c>
      <c r="Q1832" s="539" t="str">
        <f t="shared" si="530"/>
        <v/>
      </c>
      <c r="R1832" s="706"/>
      <c r="S1832" s="707"/>
      <c r="T1832" s="708"/>
      <c r="U1832" s="472"/>
      <c r="V1832" s="167"/>
      <c r="W1832" s="446"/>
      <c r="X1832" s="456"/>
      <c r="Y1832" s="436"/>
      <c r="Z1832" s="437"/>
      <c r="AA1832" s="560"/>
      <c r="AB1832" s="561"/>
      <c r="AC1832" s="87"/>
      <c r="AD1832" s="466"/>
      <c r="AE1832" s="456"/>
      <c r="AF1832" s="467"/>
      <c r="AG1832" s="87"/>
      <c r="AH1832" s="87"/>
      <c r="AI1832" s="87"/>
    </row>
    <row r="1833" spans="1:35" ht="16.5" hidden="1" thickBot="1">
      <c r="A1833" s="44"/>
      <c r="B1833" s="89"/>
      <c r="C1833" s="90"/>
      <c r="D1833" s="90"/>
      <c r="E1833" s="90"/>
      <c r="F1833" s="90"/>
      <c r="G1833" s="90"/>
      <c r="H1833" s="90"/>
      <c r="I1833" s="90"/>
      <c r="J1833" s="90"/>
      <c r="K1833" s="90"/>
      <c r="L1833" s="90"/>
      <c r="M1833" s="90"/>
      <c r="N1833" s="90"/>
      <c r="O1833" s="90"/>
      <c r="P1833" s="90"/>
      <c r="Q1833" s="90"/>
      <c r="R1833" s="90"/>
      <c r="S1833" s="91"/>
      <c r="T1833" s="92"/>
      <c r="U1833" s="473"/>
      <c r="W1833" s="438"/>
      <c r="X1833" s="455"/>
      <c r="Y1833" s="439"/>
      <c r="Z1833" s="437"/>
      <c r="AA1833" s="530"/>
      <c r="AB1833" s="563"/>
      <c r="AC1833" s="87"/>
      <c r="AD1833" s="440"/>
      <c r="AE1833" s="441"/>
      <c r="AF1833" s="442"/>
      <c r="AG1833" s="49"/>
      <c r="AH1833" s="87"/>
      <c r="AI1833" s="87"/>
    </row>
    <row r="1834" spans="1:35" ht="16.5" hidden="1" thickBot="1">
      <c r="A1834" s="93"/>
      <c r="B1834" s="94"/>
      <c r="C1834" s="96"/>
      <c r="D1834" s="96"/>
      <c r="E1834" s="96"/>
      <c r="F1834" s="96"/>
      <c r="G1834" s="96"/>
      <c r="H1834" s="96"/>
      <c r="I1834" s="96"/>
      <c r="J1834" s="96"/>
      <c r="K1834" s="96"/>
      <c r="L1834" s="96"/>
      <c r="M1834" s="136"/>
      <c r="N1834" s="96"/>
      <c r="O1834" s="96"/>
      <c r="P1834" s="97"/>
      <c r="Q1834" s="97"/>
      <c r="R1834" s="98"/>
      <c r="S1834" s="95"/>
      <c r="T1834" s="99"/>
      <c r="U1834" s="469"/>
      <c r="AC1834" s="58"/>
      <c r="AG1834" s="58"/>
      <c r="AH1834" s="87"/>
      <c r="AI1834" s="87"/>
    </row>
    <row r="1835" spans="1:35" ht="16.5" hidden="1" thickBot="1">
      <c r="B1835" s="101"/>
      <c r="C1835" s="101"/>
      <c r="D1835" s="101"/>
      <c r="E1835" s="101"/>
      <c r="F1835" s="101"/>
      <c r="G1835" s="101"/>
      <c r="H1835" s="101"/>
      <c r="I1835" s="101"/>
      <c r="J1835" s="101"/>
      <c r="K1835" s="101"/>
      <c r="L1835" s="101"/>
      <c r="M1835" s="101"/>
      <c r="N1835" s="101"/>
      <c r="O1835" s="101"/>
      <c r="P1835" s="101"/>
      <c r="Q1835" s="101"/>
      <c r="R1835" s="101"/>
      <c r="S1835" s="101"/>
      <c r="U1835" s="50"/>
      <c r="AH1835" s="87"/>
      <c r="AI1835" s="87"/>
    </row>
    <row r="1836" spans="1:35" ht="16.5" hidden="1" customHeight="1" thickBot="1">
      <c r="A1836" s="44"/>
      <c r="B1836" s="705" t="s">
        <v>74</v>
      </c>
      <c r="C1836" s="705"/>
      <c r="D1836" s="705"/>
      <c r="E1836" s="705"/>
      <c r="F1836" s="705"/>
      <c r="G1836" s="705"/>
      <c r="H1836" s="705"/>
      <c r="I1836" s="705"/>
      <c r="J1836" s="705"/>
      <c r="K1836" s="705"/>
      <c r="L1836" s="705"/>
      <c r="M1836" s="705"/>
      <c r="N1836" s="705"/>
      <c r="O1836" s="705"/>
      <c r="P1836" s="705"/>
      <c r="Q1836" s="705"/>
      <c r="R1836" s="705"/>
      <c r="S1836" s="705"/>
      <c r="T1836" s="705"/>
      <c r="U1836" s="108"/>
      <c r="Y1836" s="532" t="s">
        <v>341</v>
      </c>
      <c r="AC1836" s="49"/>
      <c r="AD1836" s="687" t="s">
        <v>302</v>
      </c>
      <c r="AE1836" s="688"/>
      <c r="AF1836" s="689"/>
      <c r="AG1836" s="49"/>
      <c r="AH1836" s="87"/>
      <c r="AI1836" s="87"/>
    </row>
    <row r="1837" spans="1:35" ht="15.75" hidden="1" customHeight="1" thickBot="1">
      <c r="A1837" s="218" t="e">
        <f>"K"&amp;E1819</f>
        <v>#N/A</v>
      </c>
      <c r="B1837" s="701" t="s">
        <v>71</v>
      </c>
      <c r="C1837" s="751" t="s">
        <v>102</v>
      </c>
      <c r="D1837" s="751"/>
      <c r="E1837" s="751"/>
      <c r="F1837" s="751"/>
      <c r="G1837" s="751"/>
      <c r="H1837" s="751"/>
      <c r="I1837" s="751"/>
      <c r="J1837" s="751"/>
      <c r="K1837" s="751"/>
      <c r="L1837" s="722" t="s">
        <v>100</v>
      </c>
      <c r="M1837" s="747" t="s">
        <v>114</v>
      </c>
      <c r="N1837" s="747"/>
      <c r="O1837" s="747"/>
      <c r="P1837" s="747"/>
      <c r="Q1837" s="748"/>
      <c r="R1837" s="758" t="s">
        <v>280</v>
      </c>
      <c r="S1837" s="748"/>
      <c r="T1837" s="762" t="str">
        <f>IF(COUNTIF(AE1837:AF1837,"VERIFICAR")&gt;0,"VERIFICAR",IF(COUNTIF(AE1837:AF1837,"NO CUMPLE")&gt;0,"NO CUMPLE","CUMPLE"))</f>
        <v>VERIFICAR</v>
      </c>
      <c r="U1837" s="108"/>
      <c r="Y1837" s="533" t="e">
        <f>IF(F1838="","",IF(F1838=1,"INDIVIDUAL","ESTRUCTURA PLURAL"))</f>
        <v>#N/A</v>
      </c>
      <c r="AC1837" s="52"/>
      <c r="AD1837" s="475" t="s">
        <v>303</v>
      </c>
      <c r="AE1837" s="476" t="str">
        <f>IF(COUNTIF(AE1823:AE1832,"")=10,"VERIFICAR",IF(COUNTIF(AE1823:AE1832,"SI")&gt;0,"CUMPLE","NO CUMPLE"))</f>
        <v>VERIFICAR</v>
      </c>
      <c r="AF1837" s="477" t="str">
        <f>IF(COUNTIF(AF1823:AF1832,"")=10,"VERIFICAR",IF(COUNTIF(AF1823:AF1832,"SI")&gt;=$AI$22,"CUMPLE","NO CUMPLE"))</f>
        <v>VERIFICAR</v>
      </c>
      <c r="AG1837" s="52"/>
      <c r="AH1837" s="87"/>
      <c r="AI1837" s="87"/>
    </row>
    <row r="1838" spans="1:35" ht="16.5" hidden="1" customHeight="1" thickBot="1">
      <c r="A1838" s="218" t="e">
        <f>"L"&amp;E1819</f>
        <v>#N/A</v>
      </c>
      <c r="B1838" s="702"/>
      <c r="C1838" s="751" t="s">
        <v>103</v>
      </c>
      <c r="D1838" s="751"/>
      <c r="E1838" s="752"/>
      <c r="F1838" s="557" t="e">
        <f>IF(VLOOKUP(E1819,PROPONENTES!$C$19:$E$218,3,0)="","",VLOOKUP(E1819,PROPONENTES!$C$19:$E$218,3,0))</f>
        <v>#N/A</v>
      </c>
      <c r="G1838" s="753" t="s">
        <v>104</v>
      </c>
      <c r="H1838" s="751"/>
      <c r="I1838" s="715" t="e">
        <f>IF(OR(F1838="",F1838=1),"INTERESADO PERSONA NATURAL O JURIDICA","CONSORCIO O UNION TEMPORAL")</f>
        <v>#N/A</v>
      </c>
      <c r="J1838" s="725"/>
      <c r="K1838" s="728"/>
      <c r="L1838" s="723"/>
      <c r="M1838" s="749"/>
      <c r="N1838" s="749"/>
      <c r="O1838" s="749"/>
      <c r="P1838" s="749"/>
      <c r="Q1838" s="750"/>
      <c r="R1838" s="712"/>
      <c r="S1838" s="750"/>
      <c r="T1838" s="763"/>
      <c r="U1838" s="108"/>
      <c r="Y1838" s="534"/>
      <c r="AA1838" s="52"/>
      <c r="AB1838" s="52"/>
      <c r="AC1838" s="52"/>
      <c r="AG1838" s="52"/>
      <c r="AH1838" s="87"/>
      <c r="AI1838" s="87"/>
    </row>
    <row r="1839" spans="1:35" ht="56.25" hidden="1" customHeight="1" thickBot="1">
      <c r="A1839" s="218" t="e">
        <f>"M"&amp;E1819</f>
        <v>#N/A</v>
      </c>
      <c r="B1839" s="702"/>
      <c r="C1839" s="725" t="s">
        <v>101</v>
      </c>
      <c r="D1839" s="716"/>
      <c r="E1839" s="558" t="s">
        <v>105</v>
      </c>
      <c r="F1839" s="554" t="s">
        <v>87</v>
      </c>
      <c r="G1839" s="553" t="s">
        <v>86</v>
      </c>
      <c r="H1839" s="559" t="s">
        <v>85</v>
      </c>
      <c r="I1839" s="554" t="s">
        <v>252</v>
      </c>
      <c r="J1839" s="553" t="str">
        <f>"¿EL INTEGRANTE TIENE UNA PARTICIPACIÓN DEL "&amp;PORCREQUERIDOINT*100&amp;"%?"</f>
        <v>¿EL INTEGRANTE TIENE UNA PARTICIPACIÓN DEL 60%?</v>
      </c>
      <c r="K1839" s="554" t="s">
        <v>107</v>
      </c>
      <c r="L1839" s="724"/>
      <c r="M1839" s="717" t="s">
        <v>115</v>
      </c>
      <c r="N1839" s="718"/>
      <c r="O1839" s="718"/>
      <c r="P1839" s="718"/>
      <c r="Q1839" s="223">
        <f>IF(AND(H1823="SI",P1823&gt;=0),1,0)+IF(AND(H1824="SI",P1824&gt;=0),1,0)+IF(AND(H1825="SI",P1825&gt;=0),1,0)+IF(AND(H1826="SI",P1826&gt;=0),1,0)+IF(AND(H1827="SI",P1827&gt;=0),1,0)+IF(AND(H1828="SI",P1828&gt;=0),1,0)+IF(AND(H1829="SI",P1829&gt;=0),1,0)+IF(AND(H1830="SI",P1830&gt;=0),1,0)+IF(AND(H1831="SI",P1831&gt;=0),1,0)+IF(AND(H1832="SI",P1832&gt;=0),1,0)</f>
        <v>0</v>
      </c>
      <c r="R1839" s="759"/>
      <c r="S1839" s="761"/>
      <c r="T1839" s="764"/>
      <c r="U1839" s="219"/>
      <c r="V1839" s="464"/>
      <c r="Y1839" s="532" t="s">
        <v>342</v>
      </c>
      <c r="AA1839" s="550" t="s">
        <v>344</v>
      </c>
      <c r="AB1839" s="693" t="s">
        <v>345</v>
      </c>
      <c r="AC1839" s="693" t="s">
        <v>346</v>
      </c>
      <c r="AD1839" s="685" t="s">
        <v>347</v>
      </c>
      <c r="AE1839" s="52"/>
      <c r="AF1839" s="52"/>
      <c r="AG1839" s="52"/>
      <c r="AH1839" s="87"/>
      <c r="AI1839" s="87"/>
    </row>
    <row r="1840" spans="1:35" ht="15.75" hidden="1" customHeight="1" thickBot="1">
      <c r="A1840" s="218" t="e">
        <f>"N"&amp;E1819</f>
        <v>#N/A</v>
      </c>
      <c r="B1840" s="702"/>
      <c r="C1840" s="114">
        <v>1</v>
      </c>
      <c r="D1840" s="194" t="e">
        <f>IF(AND(C1840&lt;=F1838,F1838&gt;1,F1838&lt;&gt;""),VLOOKUP(VALUE(E1819&amp;","&amp;C1840),INTEGRANTES!$D$18:$F$235,2,0),"")</f>
        <v>#N/A</v>
      </c>
      <c r="E1840" s="211" t="e">
        <f>IF(D1840&lt;&gt;"",VLOOKUP(VALUE(E1819&amp;","&amp;C1840),INTEGRANTES!$D$18:$F$235,3,0),"")</f>
        <v>#N/A</v>
      </c>
      <c r="F1840" s="547" t="e">
        <f>IF(D1840="","",SUMIF($I1823:$I1832,D1840,$P1823:$P1832))</f>
        <v>#N/A</v>
      </c>
      <c r="G1840" s="333" t="e">
        <f>IF(D1840="","",SUMIF($I1823:$I1832,D1840,$M1823:$M1832))</f>
        <v>#N/A</v>
      </c>
      <c r="H1840" s="535" t="e">
        <f t="shared" ref="H1840:H1845" si="533">IF(D1840="","",IF(OR(F1840=0,G1840=0),"NO APORTA",ROUND($F1840/$G1840,3)))</f>
        <v>#N/A</v>
      </c>
      <c r="I1840" s="212" t="e">
        <f>IF(D1840="","",IF(H1840="NO APORTA","NO",IF(H1840=MAX($H1840:$H1845),"SI","NO")))</f>
        <v>#N/A</v>
      </c>
      <c r="J1840" s="213" t="e">
        <f t="shared" ref="J1840:J1845" si="534">IF(D1840="","",IF(E1840&gt;=PORCREQUERIDOINT,"SI","NO"))</f>
        <v>#N/A</v>
      </c>
      <c r="K1840" s="200" t="e">
        <f t="shared" ref="K1840:K1845" si="535">IF(D1840="","",IF(AND(I1840="SI",J1840="SI"),"CUMPLE",IF(AND(I1840="NO",OR(J1840="SI",J1840="NO")),"","NO CUMPLE")))</f>
        <v>#N/A</v>
      </c>
      <c r="L1840" s="722" t="s">
        <v>108</v>
      </c>
      <c r="M1840" s="726" t="s">
        <v>119</v>
      </c>
      <c r="N1840" s="726"/>
      <c r="O1840" s="726"/>
      <c r="P1840" s="726"/>
      <c r="Q1840" s="727"/>
      <c r="R1840" s="758" t="s">
        <v>80</v>
      </c>
      <c r="S1840" s="747"/>
      <c r="T1840" s="748"/>
      <c r="U1840" s="219"/>
      <c r="V1840" s="464"/>
      <c r="Y1840" s="533" t="e">
        <f>IF(Y1837="","",IF(Y1837="INDIVIDUAL","NO APLICA","VERIFICAR CUADRO"))</f>
        <v>#N/A</v>
      </c>
      <c r="AA1840" s="551"/>
      <c r="AB1840" s="694"/>
      <c r="AC1840" s="694"/>
      <c r="AD1840" s="686"/>
      <c r="AE1840" s="52"/>
      <c r="AF1840" s="52"/>
      <c r="AG1840" s="52"/>
      <c r="AH1840" s="87"/>
      <c r="AI1840" s="87"/>
    </row>
    <row r="1841" spans="1:35" ht="27" hidden="1" customHeight="1" thickBot="1">
      <c r="A1841" s="218" t="e">
        <f>"O"&amp;E1819</f>
        <v>#N/A</v>
      </c>
      <c r="B1841" s="702"/>
      <c r="C1841" s="114">
        <v>2</v>
      </c>
      <c r="D1841" s="194" t="e">
        <f>IF(AND(C1841&lt;=F1838,F1838&lt;&gt;""),VLOOKUP(VALUE(E1819&amp;","&amp;C1841),INTEGRANTES!$D$18:$F$235,2,0),"")</f>
        <v>#N/A</v>
      </c>
      <c r="E1841" s="211" t="e">
        <f>IF(D1841&lt;&gt;"",VLOOKUP(VALUE(E1819&amp;","&amp;C1841),INTEGRANTES!$D$18:$F$235,3,0),"")</f>
        <v>#N/A</v>
      </c>
      <c r="F1841" s="547" t="e">
        <f>IF(D1841="","",SUMIF($I1823:$I1832,D1841,$P1823:$P1832))</f>
        <v>#N/A</v>
      </c>
      <c r="G1841" s="333" t="e">
        <f>IF(D1841="","",SUMIF($I1823:$I1832,D1841,$M1823:$M1832))</f>
        <v>#N/A</v>
      </c>
      <c r="H1841" s="535" t="e">
        <f t="shared" si="533"/>
        <v>#N/A</v>
      </c>
      <c r="I1841" s="212" t="e">
        <f>IF(D1841="","",IF(H1841="NO APORTA","NO",IF(H1841=MAX($H1840:$H1845),"SI","NO")))</f>
        <v>#N/A</v>
      </c>
      <c r="J1841" s="213" t="e">
        <f t="shared" si="534"/>
        <v>#N/A</v>
      </c>
      <c r="K1841" s="200" t="e">
        <f t="shared" si="535"/>
        <v>#N/A</v>
      </c>
      <c r="L1841" s="723"/>
      <c r="M1841" s="715" t="s">
        <v>116</v>
      </c>
      <c r="N1841" s="716"/>
      <c r="O1841" s="556" t="s">
        <v>113</v>
      </c>
      <c r="P1841" s="715" t="s">
        <v>117</v>
      </c>
      <c r="Q1841" s="728"/>
      <c r="R1841" s="759"/>
      <c r="S1841" s="760"/>
      <c r="T1841" s="761"/>
      <c r="U1841" s="219"/>
      <c r="V1841" s="464"/>
      <c r="Y1841" s="414"/>
      <c r="AA1841" s="542" t="e">
        <f>IF(AND(C1840&lt;=F1838,F1838&gt;1,F1838&lt;&gt;""),VLOOKUP(VALUE(E1819&amp;","&amp;C1840),INTEGRANTES!$D$18:$F$235,2,0),"")</f>
        <v>#N/A</v>
      </c>
      <c r="AB1841" s="544" t="e">
        <f t="shared" ref="AB1841:AB1846" si="536">IF(D1840="","",IF(OR(F1840=0,G1840=0),"NO APORTA",ROUND($F1840/$G1840,3)))</f>
        <v>#N/A</v>
      </c>
      <c r="AC1841" s="529"/>
      <c r="AD1841" s="200" t="e">
        <f t="shared" ref="AD1841:AD1846" si="537">IF(OR(AA1841="",AB1841=""),"",IF(AND(AC1841="X",AB1841&gt;=EXPREQVTD),"CUMPLE","NO CUMPLE"))</f>
        <v>#N/A</v>
      </c>
      <c r="AE1841" s="52"/>
      <c r="AF1841" s="52"/>
      <c r="AG1841" s="52"/>
      <c r="AH1841" s="87"/>
      <c r="AI1841" s="87"/>
    </row>
    <row r="1842" spans="1:35" ht="16.5" hidden="1" thickBot="1">
      <c r="A1842" s="218" t="e">
        <f>"P"&amp;E1819</f>
        <v>#N/A</v>
      </c>
      <c r="B1842" s="702"/>
      <c r="C1842" s="114">
        <v>3</v>
      </c>
      <c r="D1842" s="194" t="e">
        <f>IF(AND(C1842&lt;=F1838,F1838&lt;&gt;""),VLOOKUP(VALUE(E1819&amp;","&amp;C1842),INTEGRANTES!$D$18:$F$235,2,0),"")</f>
        <v>#N/A</v>
      </c>
      <c r="E1842" s="211" t="e">
        <f>IF(D1842&lt;&gt;"",VLOOKUP(VALUE(E1819&amp;","&amp;C1842),INTEGRANTES!$D$18:$F$235,3,0),"")</f>
        <v>#N/A</v>
      </c>
      <c r="F1842" s="547" t="e">
        <f>IF(D1842="","",SUMIF($I1823:$I1832,D1842,$P1823:$P1832))</f>
        <v>#N/A</v>
      </c>
      <c r="G1842" s="333" t="e">
        <f>IF(D1842="","",SUMIF($I1823:$I1832,D1842,$M1823:$M1832))</f>
        <v>#N/A</v>
      </c>
      <c r="H1842" s="535" t="e">
        <f t="shared" si="533"/>
        <v>#N/A</v>
      </c>
      <c r="I1842" s="212" t="e">
        <f>IF(D1842="","",IF(H1842="NO APORTA","NO",IF(H1842=MAX($H1840:$H1845),"SI","NO")))</f>
        <v>#N/A</v>
      </c>
      <c r="J1842" s="213" t="e">
        <f t="shared" si="534"/>
        <v>#N/A</v>
      </c>
      <c r="K1842" s="200" t="e">
        <f t="shared" si="535"/>
        <v>#N/A</v>
      </c>
      <c r="L1842" s="724"/>
      <c r="M1842" s="729">
        <f>NUMMOD</f>
        <v>1</v>
      </c>
      <c r="N1842" s="730"/>
      <c r="O1842" s="443">
        <f>IF(M1842="","",VLOOKUP(M1842,PRESUPUESTOS!$B$16:$H$16,5,FALSE))</f>
        <v>2</v>
      </c>
      <c r="P1842" s="713">
        <f>IF(OR(COUNTIF(M1823:M1832,"")&gt;=10,Q1839&lt;NUMMINCONT,OR(T1837="NO CUMPLE",T1837="VERIFICAR")),0,ROUND(AVERAGE(M1823:M1832),3))</f>
        <v>0</v>
      </c>
      <c r="Q1842" s="714"/>
      <c r="R1842" s="458"/>
      <c r="S1842" s="459"/>
      <c r="T1842" s="460"/>
      <c r="U1842" s="219"/>
      <c r="V1842" s="464"/>
      <c r="Y1842" s="532" t="str">
        <f>"40% * ("&amp;PRESUPUESTOS!$H$13&amp;")"</f>
        <v>40% * (50% PFMO)</v>
      </c>
      <c r="AA1842" s="540" t="e">
        <f>IF(AND(C1841&lt;=F1838,F1838&lt;&gt;""),VLOOKUP(VALUE(E1819&amp;","&amp;C1841),INTEGRANTES!$D$18:$F$235,2,0),"")</f>
        <v>#N/A</v>
      </c>
      <c r="AB1842" s="545" t="e">
        <f t="shared" si="536"/>
        <v>#N/A</v>
      </c>
      <c r="AC1842" s="529"/>
      <c r="AD1842" s="200" t="e">
        <f t="shared" si="537"/>
        <v>#N/A</v>
      </c>
      <c r="AE1842" s="52"/>
      <c r="AF1842" s="52"/>
      <c r="AG1842" s="52"/>
      <c r="AH1842" s="87"/>
      <c r="AI1842" s="87"/>
    </row>
    <row r="1843" spans="1:35" ht="15.75" hidden="1" customHeight="1" thickBot="1">
      <c r="A1843" s="218" t="e">
        <f>"Q"&amp;E1819</f>
        <v>#N/A</v>
      </c>
      <c r="B1843" s="702"/>
      <c r="C1843" s="114">
        <v>4</v>
      </c>
      <c r="D1843" s="194" t="e">
        <f>IF(AND(C1843&lt;=F1838,F1838&lt;&gt;""),VLOOKUP(VALUE(E1819&amp;","&amp;C1843),INTEGRANTES!$D$18:$F$235,2,0),"")</f>
        <v>#N/A</v>
      </c>
      <c r="E1843" s="211" t="e">
        <f>IF(D1843&lt;&gt;"",VLOOKUP(VALUE(E1819&amp;","&amp;C1843),INTEGRANTES!$D$18:$F$235,3,0),"")</f>
        <v>#N/A</v>
      </c>
      <c r="F1843" s="547" t="e">
        <f>IF(D1843="","",SUMIF($I1823:$I1832,D1843,$P1823:$P1832))</f>
        <v>#N/A</v>
      </c>
      <c r="G1843" s="333" t="e">
        <f>IF(D1843="","",SUMIF($I1823:$I1832,D1843,$M1823:$M1832))</f>
        <v>#N/A</v>
      </c>
      <c r="H1843" s="535" t="e">
        <f t="shared" si="533"/>
        <v>#N/A</v>
      </c>
      <c r="I1843" s="212" t="e">
        <f>IF(D1843="","",IF(H1843="NO APORTA","NO",IF(H1843=MAX($H1840:$H1845),"SI","NO")))</f>
        <v>#N/A</v>
      </c>
      <c r="J1843" s="213" t="e">
        <f t="shared" si="534"/>
        <v>#N/A</v>
      </c>
      <c r="K1843" s="200" t="e">
        <f t="shared" si="535"/>
        <v>#N/A</v>
      </c>
      <c r="L1843" s="720" t="s">
        <v>109</v>
      </c>
      <c r="M1843" s="757" t="s">
        <v>120</v>
      </c>
      <c r="N1843" s="726"/>
      <c r="O1843" s="726"/>
      <c r="P1843" s="726"/>
      <c r="Q1843" s="727"/>
      <c r="R1843" s="458"/>
      <c r="S1843" s="459"/>
      <c r="T1843" s="460"/>
      <c r="U1843" s="219"/>
      <c r="V1843" s="464"/>
      <c r="Y1843" s="537">
        <f>0.4*PRESUPUESTOS!$H$16</f>
        <v>10.3124</v>
      </c>
      <c r="AA1843" s="540" t="e">
        <f>IF(AND(C1842&lt;=F1838,F1838&lt;&gt;""),VLOOKUP(VALUE(E1819&amp;","&amp;C1842),INTEGRANTES!$D$18:$F$235,2,0),"")</f>
        <v>#N/A</v>
      </c>
      <c r="AB1843" s="545" t="e">
        <f t="shared" si="536"/>
        <v>#N/A</v>
      </c>
      <c r="AC1843" s="529"/>
      <c r="AD1843" s="200" t="e">
        <f t="shared" si="537"/>
        <v>#N/A</v>
      </c>
      <c r="AE1843" s="52"/>
      <c r="AF1843" s="52"/>
      <c r="AG1843" s="52"/>
      <c r="AH1843" s="87"/>
      <c r="AI1843" s="87"/>
    </row>
    <row r="1844" spans="1:35" ht="27" hidden="1" customHeight="1" thickBot="1">
      <c r="A1844" s="218" t="e">
        <f>"R"&amp;E1819</f>
        <v>#N/A</v>
      </c>
      <c r="B1844" s="702"/>
      <c r="C1844" s="114">
        <v>5</v>
      </c>
      <c r="D1844" s="194" t="e">
        <f>IF(AND(C1844&lt;=F1838,F1838&lt;&gt;""),VLOOKUP(VALUE(E1819&amp;","&amp;C1844),INTEGRANTES!$D$18:$F$235,2,0),"")</f>
        <v>#N/A</v>
      </c>
      <c r="E1844" s="211" t="e">
        <f>IF(D1844&lt;&gt;"",VLOOKUP(VALUE(E1819&amp;","&amp;C1844),INTEGRANTES!$D$18:$F$235,3,0),"")</f>
        <v>#N/A</v>
      </c>
      <c r="F1844" s="547" t="e">
        <f>IF(D1844="","",SUMIF($I1823:$I1832,D1844,$P1823:$P1832))</f>
        <v>#N/A</v>
      </c>
      <c r="G1844" s="333" t="e">
        <f>IF(D1844="","",SUMIF($I1823:$I1832,D1844,$M1823:$M1832))</f>
        <v>#N/A</v>
      </c>
      <c r="H1844" s="535" t="e">
        <f t="shared" si="533"/>
        <v>#N/A</v>
      </c>
      <c r="I1844" s="212" t="e">
        <f>IF(D1844="","",IF(H1844="NO APORTA","NO",IF(H1844=MAX($H1840:$H1845),"SI","NO")))</f>
        <v>#N/A</v>
      </c>
      <c r="J1844" s="213" t="e">
        <f t="shared" si="534"/>
        <v>#N/A</v>
      </c>
      <c r="K1844" s="200" t="e">
        <f t="shared" si="535"/>
        <v>#N/A</v>
      </c>
      <c r="L1844" s="721"/>
      <c r="M1844" s="715" t="s">
        <v>116</v>
      </c>
      <c r="N1844" s="716"/>
      <c r="O1844" s="556" t="str">
        <f>PORCREQUERIDO*100&amp;"% PMFO DEL MÓDULO"</f>
        <v>50% PMFO DEL MÓDULO</v>
      </c>
      <c r="P1844" s="715" t="s">
        <v>118</v>
      </c>
      <c r="Q1844" s="728"/>
      <c r="R1844" s="458"/>
      <c r="S1844" s="459"/>
      <c r="T1844" s="460"/>
      <c r="U1844" s="219"/>
      <c r="V1844" s="464"/>
      <c r="Y1844" s="414"/>
      <c r="AA1844" s="540" t="e">
        <f>IF(AND(C1843&lt;=F1838,F1838&lt;&gt;""),VLOOKUP(VALUE(E1819&amp;","&amp;C1843),INTEGRANTES!$D$18:$F$235,2,0),"")</f>
        <v>#N/A</v>
      </c>
      <c r="AB1844" s="545" t="e">
        <f t="shared" si="536"/>
        <v>#N/A</v>
      </c>
      <c r="AC1844" s="529"/>
      <c r="AD1844" s="200" t="e">
        <f t="shared" si="537"/>
        <v>#N/A</v>
      </c>
      <c r="AE1844" s="52"/>
      <c r="AF1844" s="52"/>
      <c r="AG1844" s="52"/>
      <c r="AH1844" s="87"/>
      <c r="AI1844" s="87"/>
    </row>
    <row r="1845" spans="1:35" ht="16.5" hidden="1" thickBot="1">
      <c r="A1845" s="218" t="e">
        <f>"S"&amp;E1819</f>
        <v>#N/A</v>
      </c>
      <c r="B1845" s="702"/>
      <c r="C1845" s="215">
        <v>6</v>
      </c>
      <c r="D1845" s="216" t="e">
        <f>IF(AND(C1845&lt;=F1838,F1838&lt;&gt;""),VLOOKUP(VALUE(E1819&amp;","&amp;C1845),INTEGRANTES!$D$18:$F$235,2,0),"")</f>
        <v>#N/A</v>
      </c>
      <c r="E1845" s="217" t="e">
        <f>IF(D1845&lt;&gt;"",VLOOKUP(VALUE(E1819&amp;","&amp;C1845),INTEGRANTES!$D$18:$F$235,3,0),"")</f>
        <v>#N/A</v>
      </c>
      <c r="F1845" s="548" t="e">
        <f>IF(D1845="","",SUMIF($I1823:$I1832,D1845,$P1823:$P1832))</f>
        <v>#N/A</v>
      </c>
      <c r="G1845" s="334" t="e">
        <f>IF(D1845="","",SUMIF($I1823:$I1832,D1845,$M1823:$M1832))</f>
        <v>#N/A</v>
      </c>
      <c r="H1845" s="536" t="e">
        <f t="shared" si="533"/>
        <v>#N/A</v>
      </c>
      <c r="I1845" s="214" t="e">
        <f>IF(D1845="","",IF(H1845="NO APORTA","NO",IF(H1845=MAX($H1840:$H1845),"SI","NO")))</f>
        <v>#N/A</v>
      </c>
      <c r="J1845" s="213" t="e">
        <f t="shared" si="534"/>
        <v>#N/A</v>
      </c>
      <c r="K1845" s="200" t="e">
        <f t="shared" si="535"/>
        <v>#N/A</v>
      </c>
      <c r="L1845" s="721"/>
      <c r="M1845" s="729">
        <f>NUMMOD</f>
        <v>1</v>
      </c>
      <c r="N1845" s="730"/>
      <c r="O1845" s="443">
        <f>IF(M1845="","",ROUND(VLOOKUP(M1845,PRESUPUESTOS!$B$16:$H$16,7,FALSE),3))</f>
        <v>25.780999999999999</v>
      </c>
      <c r="P1845" s="713">
        <f>IF(OR(COUNTIF(P1823:P1832,"")&gt;=10,Q1839&lt;NUMMINCONT,OR(T1837="NO CUMPLE",T1837="VERIFICAR")),0,ROUND((SUM(P1823:P1832)/SUM(M1823:M1832)),3))</f>
        <v>0</v>
      </c>
      <c r="Q1845" s="714"/>
      <c r="R1845" s="458"/>
      <c r="S1845" s="459"/>
      <c r="T1845" s="460"/>
      <c r="U1845" s="219"/>
      <c r="V1845" s="464"/>
      <c r="Y1845" s="532" t="s">
        <v>343</v>
      </c>
      <c r="AA1845" s="540" t="e">
        <f>IF(AND(C1844&lt;=F1838,F1838&lt;&gt;""),VLOOKUP(VALUE(E1819&amp;","&amp;C1844),INTEGRANTES!$D$18:$F$235,2,0),"")</f>
        <v>#N/A</v>
      </c>
      <c r="AB1845" s="545" t="e">
        <f t="shared" si="536"/>
        <v>#N/A</v>
      </c>
      <c r="AC1845" s="529"/>
      <c r="AD1845" s="200" t="e">
        <f t="shared" si="537"/>
        <v>#N/A</v>
      </c>
      <c r="AE1845" s="52"/>
      <c r="AF1845" s="52"/>
      <c r="AG1845" s="52"/>
      <c r="AH1845" s="87"/>
      <c r="AI1845" s="87"/>
    </row>
    <row r="1846" spans="1:35" ht="16.5" hidden="1" customHeight="1" thickBot="1">
      <c r="A1846" s="218" t="e">
        <f>"T"&amp;E1819</f>
        <v>#N/A</v>
      </c>
      <c r="B1846" s="703"/>
      <c r="C1846" s="719"/>
      <c r="D1846" s="719"/>
      <c r="E1846" s="719"/>
      <c r="F1846" s="719"/>
      <c r="G1846" s="719"/>
      <c r="H1846" s="719" t="s">
        <v>110</v>
      </c>
      <c r="I1846" s="719"/>
      <c r="J1846" s="719"/>
      <c r="K1846" s="201" t="str">
        <f>IF(COUNTIF(K1840:K1845,"")=6,"",IF(COUNTIF(K1840:K1845,"CUMPLE")&gt;0,"CUMPLE","NO CUMPLE"))</f>
        <v>NO CUMPLE</v>
      </c>
      <c r="L1846" s="754"/>
      <c r="M1846" s="755"/>
      <c r="N1846" s="755"/>
      <c r="O1846" s="755"/>
      <c r="P1846" s="755"/>
      <c r="Q1846" s="756"/>
      <c r="R1846" s="461"/>
      <c r="S1846" s="462"/>
      <c r="T1846" s="463"/>
      <c r="U1846" s="219"/>
      <c r="V1846" s="464"/>
      <c r="Y1846" s="549" t="e">
        <f>IF(Y1840="NO APLICA","NO APLICA",IF(COUNTIF(AD1841:AD1846,"CUMPLE")&gt;0,"CUMPLE","NO CUMPLE"))</f>
        <v>#N/A</v>
      </c>
      <c r="AA1846" s="541" t="e">
        <f>IF(AND(C1845&lt;=F1838,F1838&lt;&gt;""),VLOOKUP(VALUE(E1819&amp;","&amp;C1845),INTEGRANTES!$D$18:$F$235,2,0),"")</f>
        <v>#N/A</v>
      </c>
      <c r="AB1846" s="546" t="e">
        <f t="shared" si="536"/>
        <v>#N/A</v>
      </c>
      <c r="AC1846" s="543"/>
      <c r="AD1846" s="201" t="e">
        <f t="shared" si="537"/>
        <v>#N/A</v>
      </c>
      <c r="AE1846" s="52"/>
      <c r="AF1846" s="52"/>
      <c r="AG1846" s="52"/>
      <c r="AH1846" s="87"/>
      <c r="AI1846" s="87"/>
    </row>
    <row r="1847" spans="1:35" hidden="1">
      <c r="A1847" s="103"/>
      <c r="B1847" s="206"/>
      <c r="C1847" s="206"/>
      <c r="D1847" s="206"/>
      <c r="E1847" s="206"/>
      <c r="F1847" s="206"/>
      <c r="G1847" s="206"/>
      <c r="H1847" s="206"/>
      <c r="I1847" s="104"/>
      <c r="J1847" s="206"/>
      <c r="K1847" s="113"/>
      <c r="L1847" s="113"/>
      <c r="M1847" s="113"/>
      <c r="N1847" s="222"/>
      <c r="O1847" s="113"/>
      <c r="P1847" s="113"/>
      <c r="Q1847" s="113"/>
      <c r="R1847" s="206"/>
      <c r="S1847" s="104"/>
      <c r="T1847" s="206"/>
      <c r="U1847" s="474"/>
      <c r="AH1847" s="87"/>
      <c r="AI1847" s="87"/>
    </row>
    <row r="1848" spans="1:35" hidden="1">
      <c r="H1848" s="220"/>
      <c r="AH1848" s="87"/>
      <c r="AI1848" s="87"/>
    </row>
    <row r="1849" spans="1:35" ht="24" hidden="1" thickBot="1">
      <c r="A1849" s="61">
        <v>62</v>
      </c>
      <c r="B1849" s="704" t="s">
        <v>51</v>
      </c>
      <c r="C1849" s="704"/>
      <c r="D1849" s="704"/>
      <c r="E1849" s="62" t="e">
        <f>VLOOKUP(A1849,PROPONENTES!$B$19:$E$218,2,FALSE)</f>
        <v>#N/A</v>
      </c>
      <c r="F1849" s="63" t="e">
        <f>VLOOKUP(A1849,PROPONENTES!$B$19:$E$218,3,FALSE)</f>
        <v>#N/A</v>
      </c>
      <c r="G1849" s="64"/>
      <c r="H1849" s="64"/>
      <c r="I1849" s="63"/>
      <c r="J1849" s="63"/>
      <c r="K1849" s="65"/>
      <c r="L1849" s="65"/>
      <c r="M1849" s="64"/>
      <c r="N1849" s="64"/>
      <c r="O1849" s="66"/>
      <c r="P1849" s="66"/>
      <c r="Q1849" s="66"/>
      <c r="R1849" s="66"/>
      <c r="S1849" s="67"/>
      <c r="T1849" s="68"/>
      <c r="U1849" s="68"/>
      <c r="AC1849" s="68"/>
      <c r="AD1849" s="68"/>
      <c r="AE1849" s="68"/>
      <c r="AF1849" s="68"/>
      <c r="AG1849" s="68"/>
      <c r="AH1849" s="87"/>
      <c r="AI1849" s="87"/>
    </row>
    <row r="1850" spans="1:35" ht="15.75" hidden="1" customHeight="1">
      <c r="A1850" s="44"/>
      <c r="B1850" s="709" t="s">
        <v>59</v>
      </c>
      <c r="C1850" s="552" t="s">
        <v>60</v>
      </c>
      <c r="D1850" s="70" t="s">
        <v>17</v>
      </c>
      <c r="E1850" s="70"/>
      <c r="F1850" s="70" t="s">
        <v>61</v>
      </c>
      <c r="G1850" s="71"/>
      <c r="H1850" s="699" t="s">
        <v>62</v>
      </c>
      <c r="I1850" s="699" t="s">
        <v>18</v>
      </c>
      <c r="J1850" s="699" t="s">
        <v>63</v>
      </c>
      <c r="K1850" s="699" t="s">
        <v>64</v>
      </c>
      <c r="L1850" s="699" t="s">
        <v>65</v>
      </c>
      <c r="M1850" s="743" t="s">
        <v>66</v>
      </c>
      <c r="N1850" s="699" t="s">
        <v>282</v>
      </c>
      <c r="O1850" s="745" t="s">
        <v>67</v>
      </c>
      <c r="P1850" s="746"/>
      <c r="Q1850" s="102" t="s">
        <v>75</v>
      </c>
      <c r="R1850" s="731" t="s">
        <v>22</v>
      </c>
      <c r="S1850" s="732"/>
      <c r="T1850" s="733"/>
      <c r="U1850" s="712" t="s">
        <v>298</v>
      </c>
      <c r="W1850" s="690" t="s">
        <v>268</v>
      </c>
      <c r="X1850" s="691"/>
      <c r="Y1850" s="692"/>
      <c r="Z1850" s="428"/>
      <c r="AA1850" s="697" t="s">
        <v>315</v>
      </c>
      <c r="AB1850" s="695" t="s">
        <v>322</v>
      </c>
      <c r="AC1850" s="49"/>
      <c r="AD1850" s="690" t="s">
        <v>297</v>
      </c>
      <c r="AE1850" s="691"/>
      <c r="AF1850" s="692"/>
      <c r="AG1850" s="49"/>
      <c r="AH1850" s="87"/>
      <c r="AI1850" s="87"/>
    </row>
    <row r="1851" spans="1:35" ht="72" hidden="1">
      <c r="A1851" s="44"/>
      <c r="B1851" s="710"/>
      <c r="C1851" s="553" t="s">
        <v>68</v>
      </c>
      <c r="D1851" s="73" t="s">
        <v>3</v>
      </c>
      <c r="E1851" s="73" t="s">
        <v>19</v>
      </c>
      <c r="F1851" s="73" t="s">
        <v>69</v>
      </c>
      <c r="G1851" s="74" t="s">
        <v>70</v>
      </c>
      <c r="H1851" s="700"/>
      <c r="I1851" s="700"/>
      <c r="J1851" s="700"/>
      <c r="K1851" s="700"/>
      <c r="L1851" s="700"/>
      <c r="M1851" s="744"/>
      <c r="N1851" s="700"/>
      <c r="O1851" s="553" t="s">
        <v>279</v>
      </c>
      <c r="P1851" s="73" t="s">
        <v>88</v>
      </c>
      <c r="Q1851" s="555" t="s">
        <v>76</v>
      </c>
      <c r="R1851" s="734"/>
      <c r="S1851" s="735"/>
      <c r="T1851" s="736"/>
      <c r="U1851" s="712"/>
      <c r="W1851" s="429" t="s">
        <v>269</v>
      </c>
      <c r="X1851" s="457" t="s">
        <v>278</v>
      </c>
      <c r="Y1851" s="430" t="s">
        <v>324</v>
      </c>
      <c r="Z1851" s="428"/>
      <c r="AA1851" s="698"/>
      <c r="AB1851" s="696"/>
      <c r="AC1851" s="49"/>
      <c r="AD1851" s="429" t="s">
        <v>292</v>
      </c>
      <c r="AE1851" s="431" t="s">
        <v>300</v>
      </c>
      <c r="AF1851" s="468" t="s">
        <v>301</v>
      </c>
      <c r="AG1851" s="49"/>
      <c r="AH1851" s="87"/>
      <c r="AI1851" s="87"/>
    </row>
    <row r="1852" spans="1:35" hidden="1">
      <c r="A1852" s="44"/>
      <c r="B1852" s="76"/>
      <c r="C1852" s="77"/>
      <c r="D1852" s="77"/>
      <c r="E1852" s="77"/>
      <c r="F1852" s="77"/>
      <c r="G1852" s="77"/>
      <c r="H1852" s="77"/>
      <c r="I1852" s="77"/>
      <c r="J1852" s="77"/>
      <c r="K1852" s="77"/>
      <c r="L1852" s="77"/>
      <c r="M1852" s="77"/>
      <c r="N1852" s="77"/>
      <c r="O1852" s="77"/>
      <c r="P1852" s="77"/>
      <c r="Q1852" s="77"/>
      <c r="R1852" s="77"/>
      <c r="S1852" s="78"/>
      <c r="T1852" s="79"/>
      <c r="U1852" s="109"/>
      <c r="V1852" s="49"/>
      <c r="W1852" s="432"/>
      <c r="X1852" s="454"/>
      <c r="Y1852" s="433"/>
      <c r="Z1852" s="6"/>
      <c r="AA1852" s="500"/>
      <c r="AB1852" s="562"/>
      <c r="AC1852" s="49"/>
      <c r="AD1852" s="210"/>
      <c r="AE1852" s="434"/>
      <c r="AF1852" s="435"/>
      <c r="AG1852" s="49"/>
      <c r="AH1852" s="87"/>
      <c r="AI1852" s="87"/>
    </row>
    <row r="1853" spans="1:35" hidden="1">
      <c r="A1853" s="80" t="e">
        <f>"A"&amp;E1849</f>
        <v>#N/A</v>
      </c>
      <c r="B1853" s="81">
        <v>1</v>
      </c>
      <c r="C1853" s="82"/>
      <c r="D1853" s="82"/>
      <c r="E1853" s="82"/>
      <c r="F1853" s="82"/>
      <c r="G1853" s="83"/>
      <c r="H1853" s="83"/>
      <c r="I1853" s="84"/>
      <c r="J1853" s="85"/>
      <c r="K1853" s="382"/>
      <c r="L1853" s="85"/>
      <c r="M1853" s="332" t="str">
        <f t="shared" ref="M1853:M1862" si="538">IF(OR(J1853="",L1853="",H1853="NO"),"",IF(OR(J1853&gt;$P$17,J1853&lt;$O$17,L1853&gt;$P$17,AND(J1853&lt;$O$17,L1853&lt;$O$17)),"FUERA DE RANGO",IF(OR(K1853="---",K1853=""),IF(J1853&gt;=$O$17,ROUND((L1853-J1853+1)/360*12,3),ROUND((L1853-$O$17+1)/360*12,3)),IF(J1853&gt;=$O$17,ROUND((L1853-J1853+1)/360*12-ROUND(K1853,3),3),ROUND((L1853-$O$17+1)/360*12-ROUND(K1853,3),3)))))</f>
        <v/>
      </c>
      <c r="N1853" s="86"/>
      <c r="O1853" s="453" t="str">
        <f>IF(OR(G1853="",N1853=""),"",N1853*G1853)</f>
        <v/>
      </c>
      <c r="P1853" s="538" t="str">
        <f>IF(OR(H1853="",M1853="FUERA DE RANGO"),"",IF(OR(L1853&lt;$O$17,L1853&gt;$P$17,L1853="",H1853="NO"),"",IF(OR(N1853="",O1853=""),"",ROUND(O1853,3))))</f>
        <v/>
      </c>
      <c r="Q1853" s="539" t="str">
        <f t="shared" ref="Q1853:Q1862" si="539">IF(AND(H1853="SI",P1853&lt;&gt;""),ROUND(P1853/M1853,3),"")</f>
        <v/>
      </c>
      <c r="R1853" s="737"/>
      <c r="S1853" s="738"/>
      <c r="T1853" s="739"/>
      <c r="U1853" s="470"/>
      <c r="V1853" s="165"/>
      <c r="W1853" s="446"/>
      <c r="X1853" s="456"/>
      <c r="Y1853" s="436"/>
      <c r="Z1853" s="437"/>
      <c r="AA1853" s="560"/>
      <c r="AB1853" s="561"/>
      <c r="AC1853" s="87"/>
      <c r="AD1853" s="466"/>
      <c r="AE1853" s="456"/>
      <c r="AF1853" s="467"/>
      <c r="AG1853" s="87"/>
      <c r="AH1853" s="87"/>
      <c r="AI1853" s="87"/>
    </row>
    <row r="1854" spans="1:35" hidden="1">
      <c r="A1854" s="80" t="e">
        <f>"B"&amp;E1849</f>
        <v>#N/A</v>
      </c>
      <c r="B1854" s="81">
        <v>2</v>
      </c>
      <c r="C1854" s="106"/>
      <c r="D1854" s="106"/>
      <c r="E1854" s="106"/>
      <c r="F1854" s="106"/>
      <c r="G1854" s="83"/>
      <c r="H1854" s="83"/>
      <c r="I1854" s="84"/>
      <c r="J1854" s="85"/>
      <c r="K1854" s="382"/>
      <c r="L1854" s="85"/>
      <c r="M1854" s="332" t="str">
        <f t="shared" si="538"/>
        <v/>
      </c>
      <c r="N1854" s="86"/>
      <c r="O1854" s="453" t="str">
        <f t="shared" ref="O1854:O1862" si="540">IF(OR(G1854="",N1854=""),"",N1854*G1854)</f>
        <v/>
      </c>
      <c r="P1854" s="538" t="str">
        <f t="shared" ref="P1854:P1862" si="541">IF(OR(H1854="",M1854="FUERA DE RANGO"),"",IF(OR(L1854&lt;$O$17,L1854&gt;$P$17,L1854="",H1854="NO"),"",IF(OR(N1854="",O1854=""),"",ROUND(O1854,3))))</f>
        <v/>
      </c>
      <c r="Q1854" s="539" t="str">
        <f t="shared" si="539"/>
        <v/>
      </c>
      <c r="R1854" s="740"/>
      <c r="S1854" s="741"/>
      <c r="T1854" s="742"/>
      <c r="U1854" s="471"/>
      <c r="V1854" s="165"/>
      <c r="W1854" s="446"/>
      <c r="X1854" s="456"/>
      <c r="Y1854" s="436"/>
      <c r="Z1854" s="437"/>
      <c r="AA1854" s="560"/>
      <c r="AB1854" s="561"/>
      <c r="AC1854" s="87"/>
      <c r="AD1854" s="466"/>
      <c r="AE1854" s="456"/>
      <c r="AF1854" s="467"/>
      <c r="AG1854" s="87"/>
      <c r="AH1854" s="87"/>
      <c r="AI1854" s="87"/>
    </row>
    <row r="1855" spans="1:35" hidden="1">
      <c r="A1855" s="80" t="e">
        <f>"C"&amp;E1849</f>
        <v>#N/A</v>
      </c>
      <c r="B1855" s="88">
        <v>3</v>
      </c>
      <c r="C1855" s="82"/>
      <c r="D1855" s="82"/>
      <c r="E1855" s="82"/>
      <c r="F1855" s="82"/>
      <c r="G1855" s="83"/>
      <c r="H1855" s="83"/>
      <c r="I1855" s="84"/>
      <c r="J1855" s="85"/>
      <c r="K1855" s="382"/>
      <c r="L1855" s="85"/>
      <c r="M1855" s="332" t="str">
        <f t="shared" si="538"/>
        <v/>
      </c>
      <c r="N1855" s="86"/>
      <c r="O1855" s="453" t="str">
        <f t="shared" si="540"/>
        <v/>
      </c>
      <c r="P1855" s="538" t="str">
        <f t="shared" si="541"/>
        <v/>
      </c>
      <c r="Q1855" s="539" t="str">
        <f t="shared" si="539"/>
        <v/>
      </c>
      <c r="R1855" s="706"/>
      <c r="S1855" s="707"/>
      <c r="T1855" s="708"/>
      <c r="U1855" s="472"/>
      <c r="V1855" s="166"/>
      <c r="W1855" s="446"/>
      <c r="X1855" s="456"/>
      <c r="Y1855" s="436"/>
      <c r="Z1855" s="437"/>
      <c r="AA1855" s="560"/>
      <c r="AB1855" s="561"/>
      <c r="AC1855" s="87"/>
      <c r="AD1855" s="466"/>
      <c r="AE1855" s="456"/>
      <c r="AF1855" s="467"/>
      <c r="AG1855" s="87"/>
      <c r="AH1855" s="87"/>
      <c r="AI1855" s="87"/>
    </row>
    <row r="1856" spans="1:35" hidden="1">
      <c r="A1856" s="80" t="e">
        <f>"D"&amp;E1849</f>
        <v>#N/A</v>
      </c>
      <c r="B1856" s="105">
        <v>4</v>
      </c>
      <c r="C1856" s="107"/>
      <c r="D1856" s="107"/>
      <c r="E1856" s="107"/>
      <c r="F1856" s="107"/>
      <c r="G1856" s="83"/>
      <c r="H1856" s="83"/>
      <c r="I1856" s="84"/>
      <c r="J1856" s="85"/>
      <c r="K1856" s="382"/>
      <c r="L1856" s="85"/>
      <c r="M1856" s="332" t="str">
        <f t="shared" si="538"/>
        <v/>
      </c>
      <c r="N1856" s="86"/>
      <c r="O1856" s="453" t="str">
        <f t="shared" si="540"/>
        <v/>
      </c>
      <c r="P1856" s="538" t="str">
        <f t="shared" si="541"/>
        <v/>
      </c>
      <c r="Q1856" s="539" t="str">
        <f t="shared" si="539"/>
        <v/>
      </c>
      <c r="R1856" s="706"/>
      <c r="S1856" s="707"/>
      <c r="T1856" s="708"/>
      <c r="U1856" s="472"/>
      <c r="V1856" s="166"/>
      <c r="W1856" s="446"/>
      <c r="X1856" s="456"/>
      <c r="Y1856" s="436"/>
      <c r="Z1856" s="437"/>
      <c r="AA1856" s="560"/>
      <c r="AB1856" s="561"/>
      <c r="AC1856" s="87"/>
      <c r="AD1856" s="466"/>
      <c r="AE1856" s="456"/>
      <c r="AF1856" s="467"/>
      <c r="AG1856" s="87"/>
      <c r="AH1856" s="87"/>
      <c r="AI1856" s="87"/>
    </row>
    <row r="1857" spans="1:35" hidden="1">
      <c r="A1857" s="80" t="e">
        <f>"E"&amp;E1849</f>
        <v>#N/A</v>
      </c>
      <c r="B1857" s="105">
        <v>5</v>
      </c>
      <c r="C1857" s="107"/>
      <c r="D1857" s="107"/>
      <c r="E1857" s="107"/>
      <c r="F1857" s="107"/>
      <c r="G1857" s="83"/>
      <c r="H1857" s="83"/>
      <c r="I1857" s="84"/>
      <c r="J1857" s="85"/>
      <c r="K1857" s="382"/>
      <c r="L1857" s="85"/>
      <c r="M1857" s="332" t="str">
        <f t="shared" si="538"/>
        <v/>
      </c>
      <c r="N1857" s="86"/>
      <c r="O1857" s="453" t="str">
        <f t="shared" si="540"/>
        <v/>
      </c>
      <c r="P1857" s="538" t="str">
        <f t="shared" si="541"/>
        <v/>
      </c>
      <c r="Q1857" s="539" t="str">
        <f t="shared" si="539"/>
        <v/>
      </c>
      <c r="R1857" s="706"/>
      <c r="S1857" s="707"/>
      <c r="T1857" s="708"/>
      <c r="U1857" s="472"/>
      <c r="V1857" s="167"/>
      <c r="W1857" s="446"/>
      <c r="X1857" s="456"/>
      <c r="Y1857" s="436"/>
      <c r="Z1857" s="437"/>
      <c r="AA1857" s="560"/>
      <c r="AB1857" s="561"/>
      <c r="AC1857" s="87"/>
      <c r="AD1857" s="466"/>
      <c r="AE1857" s="456"/>
      <c r="AF1857" s="467"/>
      <c r="AG1857" s="87"/>
      <c r="AH1857" s="87"/>
      <c r="AI1857" s="87"/>
    </row>
    <row r="1858" spans="1:35" hidden="1">
      <c r="A1858" s="80" t="e">
        <f>"F"&amp;E1849</f>
        <v>#N/A</v>
      </c>
      <c r="B1858" s="105">
        <v>6</v>
      </c>
      <c r="C1858" s="107"/>
      <c r="D1858" s="107"/>
      <c r="E1858" s="107"/>
      <c r="F1858" s="107"/>
      <c r="G1858" s="83"/>
      <c r="H1858" s="83"/>
      <c r="I1858" s="84"/>
      <c r="J1858" s="85"/>
      <c r="K1858" s="382"/>
      <c r="L1858" s="85"/>
      <c r="M1858" s="332" t="str">
        <f t="shared" si="538"/>
        <v/>
      </c>
      <c r="N1858" s="86"/>
      <c r="O1858" s="453" t="str">
        <f t="shared" si="540"/>
        <v/>
      </c>
      <c r="P1858" s="538" t="str">
        <f t="shared" si="541"/>
        <v/>
      </c>
      <c r="Q1858" s="539" t="str">
        <f t="shared" si="539"/>
        <v/>
      </c>
      <c r="R1858" s="706"/>
      <c r="S1858" s="707"/>
      <c r="T1858" s="708"/>
      <c r="U1858" s="472"/>
      <c r="V1858" s="167"/>
      <c r="W1858" s="446"/>
      <c r="X1858" s="456"/>
      <c r="Y1858" s="436"/>
      <c r="Z1858" s="437"/>
      <c r="AA1858" s="560"/>
      <c r="AB1858" s="561"/>
      <c r="AC1858" s="87"/>
      <c r="AD1858" s="466"/>
      <c r="AE1858" s="456"/>
      <c r="AF1858" s="467"/>
      <c r="AG1858" s="87"/>
      <c r="AH1858" s="87"/>
      <c r="AI1858" s="87"/>
    </row>
    <row r="1859" spans="1:35" hidden="1">
      <c r="A1859" s="80" t="e">
        <f>"G"&amp;E1849</f>
        <v>#N/A</v>
      </c>
      <c r="B1859" s="105">
        <v>7</v>
      </c>
      <c r="C1859" s="107"/>
      <c r="D1859" s="107"/>
      <c r="E1859" s="107"/>
      <c r="F1859" s="107"/>
      <c r="G1859" s="83"/>
      <c r="H1859" s="83"/>
      <c r="I1859" s="84"/>
      <c r="J1859" s="85"/>
      <c r="K1859" s="382"/>
      <c r="L1859" s="85"/>
      <c r="M1859" s="332" t="str">
        <f t="shared" si="538"/>
        <v/>
      </c>
      <c r="N1859" s="86"/>
      <c r="O1859" s="86" t="str">
        <f t="shared" si="540"/>
        <v/>
      </c>
      <c r="P1859" s="538" t="str">
        <f t="shared" si="541"/>
        <v/>
      </c>
      <c r="Q1859" s="539" t="str">
        <f t="shared" si="539"/>
        <v/>
      </c>
      <c r="R1859" s="706"/>
      <c r="S1859" s="707"/>
      <c r="T1859" s="708"/>
      <c r="U1859" s="472"/>
      <c r="V1859" s="167"/>
      <c r="W1859" s="446"/>
      <c r="X1859" s="456"/>
      <c r="Y1859" s="436"/>
      <c r="Z1859" s="437"/>
      <c r="AA1859" s="560"/>
      <c r="AB1859" s="561"/>
      <c r="AC1859" s="87"/>
      <c r="AD1859" s="466"/>
      <c r="AE1859" s="456"/>
      <c r="AF1859" s="467"/>
      <c r="AG1859" s="87"/>
      <c r="AH1859" s="87"/>
      <c r="AI1859" s="87"/>
    </row>
    <row r="1860" spans="1:35" hidden="1">
      <c r="A1860" s="80" t="e">
        <f>"H"&amp;E1849</f>
        <v>#N/A</v>
      </c>
      <c r="B1860" s="105">
        <v>8</v>
      </c>
      <c r="C1860" s="107"/>
      <c r="D1860" s="107"/>
      <c r="E1860" s="107"/>
      <c r="F1860" s="107"/>
      <c r="G1860" s="83"/>
      <c r="H1860" s="83"/>
      <c r="I1860" s="84"/>
      <c r="J1860" s="85"/>
      <c r="K1860" s="382"/>
      <c r="L1860" s="85"/>
      <c r="M1860" s="332" t="str">
        <f t="shared" si="538"/>
        <v/>
      </c>
      <c r="N1860" s="453"/>
      <c r="O1860" s="86" t="str">
        <f t="shared" si="540"/>
        <v/>
      </c>
      <c r="P1860" s="538" t="str">
        <f t="shared" si="541"/>
        <v/>
      </c>
      <c r="Q1860" s="539" t="str">
        <f t="shared" si="539"/>
        <v/>
      </c>
      <c r="R1860" s="706"/>
      <c r="S1860" s="707"/>
      <c r="T1860" s="708"/>
      <c r="U1860" s="472"/>
      <c r="V1860" s="167"/>
      <c r="W1860" s="446"/>
      <c r="X1860" s="456"/>
      <c r="Y1860" s="436"/>
      <c r="Z1860" s="437"/>
      <c r="AA1860" s="560"/>
      <c r="AB1860" s="561"/>
      <c r="AC1860" s="87"/>
      <c r="AD1860" s="466"/>
      <c r="AE1860" s="456"/>
      <c r="AF1860" s="467"/>
      <c r="AG1860" s="87"/>
      <c r="AH1860" s="87"/>
      <c r="AI1860" s="87"/>
    </row>
    <row r="1861" spans="1:35" hidden="1">
      <c r="A1861" s="80" t="e">
        <f>"I"&amp;E1849</f>
        <v>#N/A</v>
      </c>
      <c r="B1861" s="105">
        <v>9</v>
      </c>
      <c r="C1861" s="107"/>
      <c r="D1861" s="107"/>
      <c r="E1861" s="107"/>
      <c r="F1861" s="107"/>
      <c r="G1861" s="83"/>
      <c r="H1861" s="83"/>
      <c r="I1861" s="84"/>
      <c r="J1861" s="85"/>
      <c r="K1861" s="382"/>
      <c r="L1861" s="85"/>
      <c r="M1861" s="332" t="str">
        <f t="shared" si="538"/>
        <v/>
      </c>
      <c r="N1861" s="453"/>
      <c r="O1861" s="86" t="str">
        <f t="shared" si="540"/>
        <v/>
      </c>
      <c r="P1861" s="538" t="str">
        <f t="shared" si="541"/>
        <v/>
      </c>
      <c r="Q1861" s="539" t="str">
        <f t="shared" si="539"/>
        <v/>
      </c>
      <c r="R1861" s="706"/>
      <c r="S1861" s="707"/>
      <c r="T1861" s="708"/>
      <c r="U1861" s="472"/>
      <c r="V1861" s="167"/>
      <c r="W1861" s="446"/>
      <c r="X1861" s="456"/>
      <c r="Y1861" s="436"/>
      <c r="Z1861" s="437"/>
      <c r="AA1861" s="560"/>
      <c r="AB1861" s="561"/>
      <c r="AC1861" s="87"/>
      <c r="AD1861" s="466"/>
      <c r="AE1861" s="456"/>
      <c r="AF1861" s="467"/>
      <c r="AG1861" s="87"/>
      <c r="AH1861" s="87"/>
      <c r="AI1861" s="87"/>
    </row>
    <row r="1862" spans="1:35" hidden="1">
      <c r="A1862" s="80" t="e">
        <f>"J"&amp;E1849</f>
        <v>#N/A</v>
      </c>
      <c r="B1862" s="105">
        <v>10</v>
      </c>
      <c r="C1862" s="107"/>
      <c r="D1862" s="107"/>
      <c r="E1862" s="107"/>
      <c r="F1862" s="107"/>
      <c r="G1862" s="83"/>
      <c r="H1862" s="83"/>
      <c r="I1862" s="84"/>
      <c r="J1862" s="85"/>
      <c r="K1862" s="382"/>
      <c r="L1862" s="85"/>
      <c r="M1862" s="332" t="str">
        <f t="shared" si="538"/>
        <v/>
      </c>
      <c r="N1862" s="453"/>
      <c r="O1862" s="86" t="str">
        <f t="shared" si="540"/>
        <v/>
      </c>
      <c r="P1862" s="538" t="str">
        <f t="shared" si="541"/>
        <v/>
      </c>
      <c r="Q1862" s="539" t="str">
        <f t="shared" si="539"/>
        <v/>
      </c>
      <c r="R1862" s="706"/>
      <c r="S1862" s="707"/>
      <c r="T1862" s="708"/>
      <c r="U1862" s="472"/>
      <c r="V1862" s="167"/>
      <c r="W1862" s="446"/>
      <c r="X1862" s="456"/>
      <c r="Y1862" s="436"/>
      <c r="Z1862" s="437"/>
      <c r="AA1862" s="560"/>
      <c r="AB1862" s="561"/>
      <c r="AC1862" s="87"/>
      <c r="AD1862" s="466"/>
      <c r="AE1862" s="456"/>
      <c r="AF1862" s="467"/>
      <c r="AG1862" s="87"/>
      <c r="AH1862" s="87"/>
      <c r="AI1862" s="87"/>
    </row>
    <row r="1863" spans="1:35" ht="16.5" hidden="1" thickBot="1">
      <c r="A1863" s="44"/>
      <c r="B1863" s="89"/>
      <c r="C1863" s="90"/>
      <c r="D1863" s="90"/>
      <c r="E1863" s="90"/>
      <c r="F1863" s="90"/>
      <c r="G1863" s="90"/>
      <c r="H1863" s="90"/>
      <c r="I1863" s="90"/>
      <c r="J1863" s="90"/>
      <c r="K1863" s="90"/>
      <c r="L1863" s="90"/>
      <c r="M1863" s="90"/>
      <c r="N1863" s="90"/>
      <c r="O1863" s="90"/>
      <c r="P1863" s="90"/>
      <c r="Q1863" s="90"/>
      <c r="R1863" s="90"/>
      <c r="S1863" s="91"/>
      <c r="T1863" s="92"/>
      <c r="U1863" s="473"/>
      <c r="W1863" s="438"/>
      <c r="X1863" s="455"/>
      <c r="Y1863" s="439"/>
      <c r="Z1863" s="437"/>
      <c r="AA1863" s="530"/>
      <c r="AB1863" s="563"/>
      <c r="AC1863" s="87"/>
      <c r="AD1863" s="440"/>
      <c r="AE1863" s="441"/>
      <c r="AF1863" s="442"/>
      <c r="AG1863" s="49"/>
      <c r="AH1863" s="87"/>
      <c r="AI1863" s="87"/>
    </row>
    <row r="1864" spans="1:35" ht="16.5" hidden="1" thickBot="1">
      <c r="A1864" s="93"/>
      <c r="B1864" s="94"/>
      <c r="C1864" s="96"/>
      <c r="D1864" s="96"/>
      <c r="E1864" s="96"/>
      <c r="F1864" s="96"/>
      <c r="G1864" s="96"/>
      <c r="H1864" s="96"/>
      <c r="I1864" s="96"/>
      <c r="J1864" s="96"/>
      <c r="K1864" s="96"/>
      <c r="L1864" s="96"/>
      <c r="M1864" s="136"/>
      <c r="N1864" s="96"/>
      <c r="O1864" s="96"/>
      <c r="P1864" s="97"/>
      <c r="Q1864" s="97"/>
      <c r="R1864" s="98"/>
      <c r="S1864" s="95"/>
      <c r="T1864" s="99"/>
      <c r="U1864" s="469"/>
      <c r="AC1864" s="58"/>
      <c r="AG1864" s="58"/>
      <c r="AH1864" s="87"/>
      <c r="AI1864" s="87"/>
    </row>
    <row r="1865" spans="1:35" ht="16.5" hidden="1" thickBot="1">
      <c r="B1865" s="101"/>
      <c r="C1865" s="101"/>
      <c r="D1865" s="101"/>
      <c r="E1865" s="101"/>
      <c r="F1865" s="101"/>
      <c r="G1865" s="101"/>
      <c r="H1865" s="101"/>
      <c r="I1865" s="101"/>
      <c r="J1865" s="101"/>
      <c r="K1865" s="101"/>
      <c r="L1865" s="101"/>
      <c r="M1865" s="101"/>
      <c r="N1865" s="101"/>
      <c r="O1865" s="101"/>
      <c r="P1865" s="101"/>
      <c r="Q1865" s="101"/>
      <c r="R1865" s="101"/>
      <c r="S1865" s="101"/>
      <c r="U1865" s="50"/>
      <c r="AH1865" s="87"/>
      <c r="AI1865" s="87"/>
    </row>
    <row r="1866" spans="1:35" ht="16.5" hidden="1" customHeight="1" thickBot="1">
      <c r="A1866" s="44"/>
      <c r="B1866" s="705" t="s">
        <v>74</v>
      </c>
      <c r="C1866" s="705"/>
      <c r="D1866" s="705"/>
      <c r="E1866" s="705"/>
      <c r="F1866" s="705"/>
      <c r="G1866" s="705"/>
      <c r="H1866" s="705"/>
      <c r="I1866" s="705"/>
      <c r="J1866" s="705"/>
      <c r="K1866" s="705"/>
      <c r="L1866" s="705"/>
      <c r="M1866" s="705"/>
      <c r="N1866" s="705"/>
      <c r="O1866" s="705"/>
      <c r="P1866" s="705"/>
      <c r="Q1866" s="705"/>
      <c r="R1866" s="705"/>
      <c r="S1866" s="705"/>
      <c r="T1866" s="705"/>
      <c r="U1866" s="108"/>
      <c r="Y1866" s="532" t="s">
        <v>341</v>
      </c>
      <c r="AC1866" s="49"/>
      <c r="AD1866" s="687" t="s">
        <v>302</v>
      </c>
      <c r="AE1866" s="688"/>
      <c r="AF1866" s="689"/>
      <c r="AG1866" s="49"/>
      <c r="AH1866" s="87"/>
      <c r="AI1866" s="87"/>
    </row>
    <row r="1867" spans="1:35" ht="15.75" hidden="1" customHeight="1" thickBot="1">
      <c r="A1867" s="218" t="e">
        <f>"K"&amp;E1849</f>
        <v>#N/A</v>
      </c>
      <c r="B1867" s="701" t="s">
        <v>71</v>
      </c>
      <c r="C1867" s="751" t="s">
        <v>102</v>
      </c>
      <c r="D1867" s="751"/>
      <c r="E1867" s="751"/>
      <c r="F1867" s="751"/>
      <c r="G1867" s="751"/>
      <c r="H1867" s="751"/>
      <c r="I1867" s="751"/>
      <c r="J1867" s="751"/>
      <c r="K1867" s="751"/>
      <c r="L1867" s="722" t="s">
        <v>100</v>
      </c>
      <c r="M1867" s="747" t="s">
        <v>114</v>
      </c>
      <c r="N1867" s="747"/>
      <c r="O1867" s="747"/>
      <c r="P1867" s="747"/>
      <c r="Q1867" s="748"/>
      <c r="R1867" s="758" t="s">
        <v>280</v>
      </c>
      <c r="S1867" s="748"/>
      <c r="T1867" s="762" t="str">
        <f>IF(COUNTIF(AE1867:AF1867,"VERIFICAR")&gt;0,"VERIFICAR",IF(COUNTIF(AE1867:AF1867,"NO CUMPLE")&gt;0,"NO CUMPLE","CUMPLE"))</f>
        <v>VERIFICAR</v>
      </c>
      <c r="U1867" s="108"/>
      <c r="Y1867" s="533" t="e">
        <f>IF(F1868="","",IF(F1868=1,"INDIVIDUAL","ESTRUCTURA PLURAL"))</f>
        <v>#N/A</v>
      </c>
      <c r="AC1867" s="52"/>
      <c r="AD1867" s="475" t="s">
        <v>303</v>
      </c>
      <c r="AE1867" s="476" t="str">
        <f>IF(COUNTIF(AE1853:AE1862,"")=10,"VERIFICAR",IF(COUNTIF(AE1853:AE1862,"SI")&gt;0,"CUMPLE","NO CUMPLE"))</f>
        <v>VERIFICAR</v>
      </c>
      <c r="AF1867" s="477" t="str">
        <f>IF(COUNTIF(AF1853:AF1862,"")=10,"VERIFICAR",IF(COUNTIF(AF1853:AF1862,"SI")&gt;=$AI$22,"CUMPLE","NO CUMPLE"))</f>
        <v>VERIFICAR</v>
      </c>
      <c r="AG1867" s="52"/>
      <c r="AH1867" s="87"/>
      <c r="AI1867" s="87"/>
    </row>
    <row r="1868" spans="1:35" ht="16.5" hidden="1" customHeight="1" thickBot="1">
      <c r="A1868" s="218" t="e">
        <f>"L"&amp;E1849</f>
        <v>#N/A</v>
      </c>
      <c r="B1868" s="702"/>
      <c r="C1868" s="751" t="s">
        <v>103</v>
      </c>
      <c r="D1868" s="751"/>
      <c r="E1868" s="752"/>
      <c r="F1868" s="557" t="e">
        <f>IF(VLOOKUP(E1849,PROPONENTES!$C$19:$E$218,3,0)="","",VLOOKUP(E1849,PROPONENTES!$C$19:$E$218,3,0))</f>
        <v>#N/A</v>
      </c>
      <c r="G1868" s="753" t="s">
        <v>104</v>
      </c>
      <c r="H1868" s="751"/>
      <c r="I1868" s="715" t="e">
        <f>IF(OR(F1868="",F1868=1),"INTERESADO PERSONA NATURAL O JURIDICA","CONSORCIO O UNION TEMPORAL")</f>
        <v>#N/A</v>
      </c>
      <c r="J1868" s="725"/>
      <c r="K1868" s="728"/>
      <c r="L1868" s="723"/>
      <c r="M1868" s="749"/>
      <c r="N1868" s="749"/>
      <c r="O1868" s="749"/>
      <c r="P1868" s="749"/>
      <c r="Q1868" s="750"/>
      <c r="R1868" s="712"/>
      <c r="S1868" s="750"/>
      <c r="T1868" s="763"/>
      <c r="U1868" s="108"/>
      <c r="Y1868" s="534"/>
      <c r="AA1868" s="52"/>
      <c r="AB1868" s="52"/>
      <c r="AC1868" s="52"/>
      <c r="AG1868" s="52"/>
      <c r="AH1868" s="87"/>
      <c r="AI1868" s="87"/>
    </row>
    <row r="1869" spans="1:35" ht="56.25" hidden="1" customHeight="1" thickBot="1">
      <c r="A1869" s="218" t="e">
        <f>"M"&amp;E1849</f>
        <v>#N/A</v>
      </c>
      <c r="B1869" s="702"/>
      <c r="C1869" s="725" t="s">
        <v>101</v>
      </c>
      <c r="D1869" s="716"/>
      <c r="E1869" s="558" t="s">
        <v>105</v>
      </c>
      <c r="F1869" s="554" t="s">
        <v>87</v>
      </c>
      <c r="G1869" s="553" t="s">
        <v>86</v>
      </c>
      <c r="H1869" s="559" t="s">
        <v>85</v>
      </c>
      <c r="I1869" s="554" t="s">
        <v>252</v>
      </c>
      <c r="J1869" s="553" t="str">
        <f>"¿EL INTEGRANTE TIENE UNA PARTICIPACIÓN DEL "&amp;PORCREQUERIDOINT*100&amp;"%?"</f>
        <v>¿EL INTEGRANTE TIENE UNA PARTICIPACIÓN DEL 60%?</v>
      </c>
      <c r="K1869" s="554" t="s">
        <v>107</v>
      </c>
      <c r="L1869" s="724"/>
      <c r="M1869" s="717" t="s">
        <v>115</v>
      </c>
      <c r="N1869" s="718"/>
      <c r="O1869" s="718"/>
      <c r="P1869" s="718"/>
      <c r="Q1869" s="223">
        <f>IF(AND(H1853="SI",P1853&gt;=0),1,0)+IF(AND(H1854="SI",P1854&gt;=0),1,0)+IF(AND(H1855="SI",P1855&gt;=0),1,0)+IF(AND(H1856="SI",P1856&gt;=0),1,0)+IF(AND(H1857="SI",P1857&gt;=0),1,0)+IF(AND(H1858="SI",P1858&gt;=0),1,0)+IF(AND(H1859="SI",P1859&gt;=0),1,0)+IF(AND(H1860="SI",P1860&gt;=0),1,0)+IF(AND(H1861="SI",P1861&gt;=0),1,0)+IF(AND(H1862="SI",P1862&gt;=0),1,0)</f>
        <v>0</v>
      </c>
      <c r="R1869" s="759"/>
      <c r="S1869" s="761"/>
      <c r="T1869" s="764"/>
      <c r="U1869" s="219"/>
      <c r="V1869" s="464"/>
      <c r="Y1869" s="532" t="s">
        <v>342</v>
      </c>
      <c r="AA1869" s="550" t="s">
        <v>344</v>
      </c>
      <c r="AB1869" s="693" t="s">
        <v>345</v>
      </c>
      <c r="AC1869" s="693" t="s">
        <v>346</v>
      </c>
      <c r="AD1869" s="685" t="s">
        <v>347</v>
      </c>
      <c r="AE1869" s="52"/>
      <c r="AF1869" s="52"/>
      <c r="AG1869" s="52"/>
      <c r="AH1869" s="87"/>
      <c r="AI1869" s="87"/>
    </row>
    <row r="1870" spans="1:35" ht="15.75" hidden="1" customHeight="1" thickBot="1">
      <c r="A1870" s="218" t="e">
        <f>"N"&amp;E1849</f>
        <v>#N/A</v>
      </c>
      <c r="B1870" s="702"/>
      <c r="C1870" s="114">
        <v>1</v>
      </c>
      <c r="D1870" s="194" t="e">
        <f>IF(AND(C1870&lt;=F1868,F1868&gt;1,F1868&lt;&gt;""),VLOOKUP(VALUE(E1849&amp;","&amp;C1870),INTEGRANTES!$D$18:$F$235,2,0),"")</f>
        <v>#N/A</v>
      </c>
      <c r="E1870" s="211" t="e">
        <f>IF(D1870&lt;&gt;"",VLOOKUP(VALUE(E1849&amp;","&amp;C1870),INTEGRANTES!$D$18:$F$235,3,0),"")</f>
        <v>#N/A</v>
      </c>
      <c r="F1870" s="547" t="e">
        <f>IF(D1870="","",SUMIF($I1853:$I1862,D1870,$P1853:$P1862))</f>
        <v>#N/A</v>
      </c>
      <c r="G1870" s="333" t="e">
        <f>IF(D1870="","",SUMIF($I1853:$I1862,D1870,$M1853:$M1862))</f>
        <v>#N/A</v>
      </c>
      <c r="H1870" s="535" t="e">
        <f t="shared" ref="H1870:H1875" si="542">IF(D1870="","",IF(OR(F1870=0,G1870=0),"NO APORTA",ROUND($F1870/$G1870,3)))</f>
        <v>#N/A</v>
      </c>
      <c r="I1870" s="212" t="e">
        <f>IF(D1870="","",IF(H1870="NO APORTA","NO",IF(H1870=MAX($H1870:$H1875),"SI","NO")))</f>
        <v>#N/A</v>
      </c>
      <c r="J1870" s="213" t="e">
        <f t="shared" ref="J1870:J1875" si="543">IF(D1870="","",IF(E1870&gt;=PORCREQUERIDOINT,"SI","NO"))</f>
        <v>#N/A</v>
      </c>
      <c r="K1870" s="200" t="e">
        <f t="shared" ref="K1870:K1875" si="544">IF(D1870="","",IF(AND(I1870="SI",J1870="SI"),"CUMPLE",IF(AND(I1870="NO",OR(J1870="SI",J1870="NO")),"","NO CUMPLE")))</f>
        <v>#N/A</v>
      </c>
      <c r="L1870" s="722" t="s">
        <v>108</v>
      </c>
      <c r="M1870" s="726" t="s">
        <v>119</v>
      </c>
      <c r="N1870" s="726"/>
      <c r="O1870" s="726"/>
      <c r="P1870" s="726"/>
      <c r="Q1870" s="727"/>
      <c r="R1870" s="758" t="s">
        <v>80</v>
      </c>
      <c r="S1870" s="747"/>
      <c r="T1870" s="748"/>
      <c r="U1870" s="219"/>
      <c r="V1870" s="464"/>
      <c r="Y1870" s="533" t="e">
        <f>IF(Y1867="","",IF(Y1867="INDIVIDUAL","NO APLICA","VERIFICAR CUADRO"))</f>
        <v>#N/A</v>
      </c>
      <c r="AA1870" s="551"/>
      <c r="AB1870" s="694"/>
      <c r="AC1870" s="694"/>
      <c r="AD1870" s="686"/>
      <c r="AE1870" s="52"/>
      <c r="AF1870" s="52"/>
      <c r="AG1870" s="52"/>
      <c r="AH1870" s="87"/>
      <c r="AI1870" s="87"/>
    </row>
    <row r="1871" spans="1:35" ht="27" hidden="1" customHeight="1" thickBot="1">
      <c r="A1871" s="218" t="e">
        <f>"O"&amp;E1849</f>
        <v>#N/A</v>
      </c>
      <c r="B1871" s="702"/>
      <c r="C1871" s="114">
        <v>2</v>
      </c>
      <c r="D1871" s="194" t="e">
        <f>IF(AND(C1871&lt;=F1868,F1868&lt;&gt;""),VLOOKUP(VALUE(E1849&amp;","&amp;C1871),INTEGRANTES!$D$18:$F$235,2,0),"")</f>
        <v>#N/A</v>
      </c>
      <c r="E1871" s="211" t="e">
        <f>IF(D1871&lt;&gt;"",VLOOKUP(VALUE(E1849&amp;","&amp;C1871),INTEGRANTES!$D$18:$F$235,3,0),"")</f>
        <v>#N/A</v>
      </c>
      <c r="F1871" s="547" t="e">
        <f>IF(D1871="","",SUMIF($I1853:$I1862,D1871,$P1853:$P1862))</f>
        <v>#N/A</v>
      </c>
      <c r="G1871" s="333" t="e">
        <f>IF(D1871="","",SUMIF($I1853:$I1862,D1871,$M1853:$M1862))</f>
        <v>#N/A</v>
      </c>
      <c r="H1871" s="535" t="e">
        <f t="shared" si="542"/>
        <v>#N/A</v>
      </c>
      <c r="I1871" s="212" t="e">
        <f>IF(D1871="","",IF(H1871="NO APORTA","NO",IF(H1871=MAX($H1870:$H1875),"SI","NO")))</f>
        <v>#N/A</v>
      </c>
      <c r="J1871" s="213" t="e">
        <f t="shared" si="543"/>
        <v>#N/A</v>
      </c>
      <c r="K1871" s="200" t="e">
        <f t="shared" si="544"/>
        <v>#N/A</v>
      </c>
      <c r="L1871" s="723"/>
      <c r="M1871" s="715" t="s">
        <v>116</v>
      </c>
      <c r="N1871" s="716"/>
      <c r="O1871" s="556" t="s">
        <v>113</v>
      </c>
      <c r="P1871" s="715" t="s">
        <v>117</v>
      </c>
      <c r="Q1871" s="728"/>
      <c r="R1871" s="759"/>
      <c r="S1871" s="760"/>
      <c r="T1871" s="761"/>
      <c r="U1871" s="219"/>
      <c r="V1871" s="464"/>
      <c r="Y1871" s="414"/>
      <c r="AA1871" s="542" t="e">
        <f>IF(AND(C1870&lt;=F1868,F1868&gt;1,F1868&lt;&gt;""),VLOOKUP(VALUE(E1849&amp;","&amp;C1870),INTEGRANTES!$D$18:$F$235,2,0),"")</f>
        <v>#N/A</v>
      </c>
      <c r="AB1871" s="544" t="e">
        <f t="shared" ref="AB1871:AB1876" si="545">IF(D1870="","",IF(OR(F1870=0,G1870=0),"NO APORTA",ROUND($F1870/$G1870,3)))</f>
        <v>#N/A</v>
      </c>
      <c r="AC1871" s="529"/>
      <c r="AD1871" s="200" t="e">
        <f t="shared" ref="AD1871:AD1876" si="546">IF(OR(AA1871="",AB1871=""),"",IF(AND(AC1871="X",AB1871&gt;=EXPREQVTD),"CUMPLE","NO CUMPLE"))</f>
        <v>#N/A</v>
      </c>
      <c r="AE1871" s="52"/>
      <c r="AF1871" s="52"/>
      <c r="AG1871" s="52"/>
      <c r="AH1871" s="87"/>
      <c r="AI1871" s="87"/>
    </row>
    <row r="1872" spans="1:35" ht="16.5" hidden="1" thickBot="1">
      <c r="A1872" s="218" t="e">
        <f>"P"&amp;E1849</f>
        <v>#N/A</v>
      </c>
      <c r="B1872" s="702"/>
      <c r="C1872" s="114">
        <v>3</v>
      </c>
      <c r="D1872" s="194" t="e">
        <f>IF(AND(C1872&lt;=F1868,F1868&lt;&gt;""),VLOOKUP(VALUE(E1849&amp;","&amp;C1872),INTEGRANTES!$D$18:$F$235,2,0),"")</f>
        <v>#N/A</v>
      </c>
      <c r="E1872" s="211" t="e">
        <f>IF(D1872&lt;&gt;"",VLOOKUP(VALUE(E1849&amp;","&amp;C1872),INTEGRANTES!$D$18:$F$235,3,0),"")</f>
        <v>#N/A</v>
      </c>
      <c r="F1872" s="547" t="e">
        <f>IF(D1872="","",SUMIF($I1853:$I1862,D1872,$P1853:$P1862))</f>
        <v>#N/A</v>
      </c>
      <c r="G1872" s="333" t="e">
        <f>IF(D1872="","",SUMIF($I1853:$I1862,D1872,$M1853:$M1862))</f>
        <v>#N/A</v>
      </c>
      <c r="H1872" s="535" t="e">
        <f t="shared" si="542"/>
        <v>#N/A</v>
      </c>
      <c r="I1872" s="212" t="e">
        <f>IF(D1872="","",IF(H1872="NO APORTA","NO",IF(H1872=MAX($H1870:$H1875),"SI","NO")))</f>
        <v>#N/A</v>
      </c>
      <c r="J1872" s="213" t="e">
        <f t="shared" si="543"/>
        <v>#N/A</v>
      </c>
      <c r="K1872" s="200" t="e">
        <f t="shared" si="544"/>
        <v>#N/A</v>
      </c>
      <c r="L1872" s="724"/>
      <c r="M1872" s="729">
        <f>NUMMOD</f>
        <v>1</v>
      </c>
      <c r="N1872" s="730"/>
      <c r="O1872" s="443">
        <f>IF(M1872="","",VLOOKUP(M1872,PRESUPUESTOS!$B$16:$H$16,5,FALSE))</f>
        <v>2</v>
      </c>
      <c r="P1872" s="713">
        <f>IF(OR(COUNTIF(M1853:M1862,"")&gt;=10,Q1869&lt;NUMMINCONT,OR(T1867="NO CUMPLE",T1867="VERIFICAR")),0,ROUND(AVERAGE(M1853:M1862),3))</f>
        <v>0</v>
      </c>
      <c r="Q1872" s="714"/>
      <c r="R1872" s="458"/>
      <c r="S1872" s="459"/>
      <c r="T1872" s="460"/>
      <c r="U1872" s="219"/>
      <c r="V1872" s="464"/>
      <c r="Y1872" s="532" t="str">
        <f>"40% * ("&amp;PRESUPUESTOS!$H$13&amp;")"</f>
        <v>40% * (50% PFMO)</v>
      </c>
      <c r="AA1872" s="540" t="e">
        <f>IF(AND(C1871&lt;=F1868,F1868&lt;&gt;""),VLOOKUP(VALUE(E1849&amp;","&amp;C1871),INTEGRANTES!$D$18:$F$235,2,0),"")</f>
        <v>#N/A</v>
      </c>
      <c r="AB1872" s="545" t="e">
        <f t="shared" si="545"/>
        <v>#N/A</v>
      </c>
      <c r="AC1872" s="529"/>
      <c r="AD1872" s="200" t="e">
        <f t="shared" si="546"/>
        <v>#N/A</v>
      </c>
      <c r="AE1872" s="52"/>
      <c r="AF1872" s="52"/>
      <c r="AG1872" s="52"/>
      <c r="AH1872" s="87"/>
      <c r="AI1872" s="87"/>
    </row>
    <row r="1873" spans="1:35" ht="15.75" hidden="1" customHeight="1" thickBot="1">
      <c r="A1873" s="218" t="e">
        <f>"Q"&amp;E1849</f>
        <v>#N/A</v>
      </c>
      <c r="B1873" s="702"/>
      <c r="C1873" s="114">
        <v>4</v>
      </c>
      <c r="D1873" s="194" t="e">
        <f>IF(AND(C1873&lt;=F1868,F1868&lt;&gt;""),VLOOKUP(VALUE(E1849&amp;","&amp;C1873),INTEGRANTES!$D$18:$F$235,2,0),"")</f>
        <v>#N/A</v>
      </c>
      <c r="E1873" s="211" t="e">
        <f>IF(D1873&lt;&gt;"",VLOOKUP(VALUE(E1849&amp;","&amp;C1873),INTEGRANTES!$D$18:$F$235,3,0),"")</f>
        <v>#N/A</v>
      </c>
      <c r="F1873" s="547" t="e">
        <f>IF(D1873="","",SUMIF($I1853:$I1862,D1873,$P1853:$P1862))</f>
        <v>#N/A</v>
      </c>
      <c r="G1873" s="333" t="e">
        <f>IF(D1873="","",SUMIF($I1853:$I1862,D1873,$M1853:$M1862))</f>
        <v>#N/A</v>
      </c>
      <c r="H1873" s="535" t="e">
        <f t="shared" si="542"/>
        <v>#N/A</v>
      </c>
      <c r="I1873" s="212" t="e">
        <f>IF(D1873="","",IF(H1873="NO APORTA","NO",IF(H1873=MAX($H1870:$H1875),"SI","NO")))</f>
        <v>#N/A</v>
      </c>
      <c r="J1873" s="213" t="e">
        <f t="shared" si="543"/>
        <v>#N/A</v>
      </c>
      <c r="K1873" s="200" t="e">
        <f t="shared" si="544"/>
        <v>#N/A</v>
      </c>
      <c r="L1873" s="720" t="s">
        <v>109</v>
      </c>
      <c r="M1873" s="757" t="s">
        <v>120</v>
      </c>
      <c r="N1873" s="726"/>
      <c r="O1873" s="726"/>
      <c r="P1873" s="726"/>
      <c r="Q1873" s="727"/>
      <c r="R1873" s="458"/>
      <c r="S1873" s="459"/>
      <c r="T1873" s="460"/>
      <c r="U1873" s="219"/>
      <c r="V1873" s="464"/>
      <c r="Y1873" s="537">
        <f>0.4*PRESUPUESTOS!$H$16</f>
        <v>10.3124</v>
      </c>
      <c r="AA1873" s="540" t="e">
        <f>IF(AND(C1872&lt;=F1868,F1868&lt;&gt;""),VLOOKUP(VALUE(E1849&amp;","&amp;C1872),INTEGRANTES!$D$18:$F$235,2,0),"")</f>
        <v>#N/A</v>
      </c>
      <c r="AB1873" s="545" t="e">
        <f t="shared" si="545"/>
        <v>#N/A</v>
      </c>
      <c r="AC1873" s="529"/>
      <c r="AD1873" s="200" t="e">
        <f t="shared" si="546"/>
        <v>#N/A</v>
      </c>
      <c r="AE1873" s="52"/>
      <c r="AF1873" s="52"/>
      <c r="AG1873" s="52"/>
      <c r="AH1873" s="87"/>
      <c r="AI1873" s="87"/>
    </row>
    <row r="1874" spans="1:35" ht="27" hidden="1" customHeight="1" thickBot="1">
      <c r="A1874" s="218" t="e">
        <f>"R"&amp;E1849</f>
        <v>#N/A</v>
      </c>
      <c r="B1874" s="702"/>
      <c r="C1874" s="114">
        <v>5</v>
      </c>
      <c r="D1874" s="194" t="e">
        <f>IF(AND(C1874&lt;=F1868,F1868&lt;&gt;""),VLOOKUP(VALUE(E1849&amp;","&amp;C1874),INTEGRANTES!$D$18:$F$235,2,0),"")</f>
        <v>#N/A</v>
      </c>
      <c r="E1874" s="211" t="e">
        <f>IF(D1874&lt;&gt;"",VLOOKUP(VALUE(E1849&amp;","&amp;C1874),INTEGRANTES!$D$18:$F$235,3,0),"")</f>
        <v>#N/A</v>
      </c>
      <c r="F1874" s="547" t="e">
        <f>IF(D1874="","",SUMIF($I1853:$I1862,D1874,$P1853:$P1862))</f>
        <v>#N/A</v>
      </c>
      <c r="G1874" s="333" t="e">
        <f>IF(D1874="","",SUMIF($I1853:$I1862,D1874,$M1853:$M1862))</f>
        <v>#N/A</v>
      </c>
      <c r="H1874" s="535" t="e">
        <f t="shared" si="542"/>
        <v>#N/A</v>
      </c>
      <c r="I1874" s="212" t="e">
        <f>IF(D1874="","",IF(H1874="NO APORTA","NO",IF(H1874=MAX($H1870:$H1875),"SI","NO")))</f>
        <v>#N/A</v>
      </c>
      <c r="J1874" s="213" t="e">
        <f t="shared" si="543"/>
        <v>#N/A</v>
      </c>
      <c r="K1874" s="200" t="e">
        <f t="shared" si="544"/>
        <v>#N/A</v>
      </c>
      <c r="L1874" s="721"/>
      <c r="M1874" s="715" t="s">
        <v>116</v>
      </c>
      <c r="N1874" s="716"/>
      <c r="O1874" s="556" t="str">
        <f>PORCREQUERIDO*100&amp;"% PMFO DEL MÓDULO"</f>
        <v>50% PMFO DEL MÓDULO</v>
      </c>
      <c r="P1874" s="715" t="s">
        <v>118</v>
      </c>
      <c r="Q1874" s="728"/>
      <c r="R1874" s="458"/>
      <c r="S1874" s="459"/>
      <c r="T1874" s="460"/>
      <c r="U1874" s="219"/>
      <c r="V1874" s="464"/>
      <c r="Y1874" s="414"/>
      <c r="AA1874" s="540" t="e">
        <f>IF(AND(C1873&lt;=F1868,F1868&lt;&gt;""),VLOOKUP(VALUE(E1849&amp;","&amp;C1873),INTEGRANTES!$D$18:$F$235,2,0),"")</f>
        <v>#N/A</v>
      </c>
      <c r="AB1874" s="545" t="e">
        <f t="shared" si="545"/>
        <v>#N/A</v>
      </c>
      <c r="AC1874" s="529"/>
      <c r="AD1874" s="200" t="e">
        <f t="shared" si="546"/>
        <v>#N/A</v>
      </c>
      <c r="AE1874" s="52"/>
      <c r="AF1874" s="52"/>
      <c r="AG1874" s="52"/>
      <c r="AH1874" s="87"/>
      <c r="AI1874" s="87"/>
    </row>
    <row r="1875" spans="1:35" ht="16.5" hidden="1" thickBot="1">
      <c r="A1875" s="218" t="e">
        <f>"S"&amp;E1849</f>
        <v>#N/A</v>
      </c>
      <c r="B1875" s="702"/>
      <c r="C1875" s="215">
        <v>6</v>
      </c>
      <c r="D1875" s="216" t="e">
        <f>IF(AND(C1875&lt;=F1868,F1868&lt;&gt;""),VLOOKUP(VALUE(E1849&amp;","&amp;C1875),INTEGRANTES!$D$18:$F$235,2,0),"")</f>
        <v>#N/A</v>
      </c>
      <c r="E1875" s="217" t="e">
        <f>IF(D1875&lt;&gt;"",VLOOKUP(VALUE(E1849&amp;","&amp;C1875),INTEGRANTES!$D$18:$F$235,3,0),"")</f>
        <v>#N/A</v>
      </c>
      <c r="F1875" s="548" t="e">
        <f>IF(D1875="","",SUMIF($I1853:$I1862,D1875,$P1853:$P1862))</f>
        <v>#N/A</v>
      </c>
      <c r="G1875" s="334" t="e">
        <f>IF(D1875="","",SUMIF($I1853:$I1862,D1875,$M1853:$M1862))</f>
        <v>#N/A</v>
      </c>
      <c r="H1875" s="536" t="e">
        <f t="shared" si="542"/>
        <v>#N/A</v>
      </c>
      <c r="I1875" s="214" t="e">
        <f>IF(D1875="","",IF(H1875="NO APORTA","NO",IF(H1875=MAX($H1870:$H1875),"SI","NO")))</f>
        <v>#N/A</v>
      </c>
      <c r="J1875" s="213" t="e">
        <f t="shared" si="543"/>
        <v>#N/A</v>
      </c>
      <c r="K1875" s="200" t="e">
        <f t="shared" si="544"/>
        <v>#N/A</v>
      </c>
      <c r="L1875" s="721"/>
      <c r="M1875" s="729">
        <f>NUMMOD</f>
        <v>1</v>
      </c>
      <c r="N1875" s="730"/>
      <c r="O1875" s="443">
        <f>IF(M1875="","",ROUND(VLOOKUP(M1875,PRESUPUESTOS!$B$16:$H$16,7,FALSE),3))</f>
        <v>25.780999999999999</v>
      </c>
      <c r="P1875" s="713">
        <f>IF(OR(COUNTIF(P1853:P1862,"")&gt;=10,Q1869&lt;NUMMINCONT,OR(T1867="NO CUMPLE",T1867="VERIFICAR")),0,ROUND((SUM(P1853:P1862)/SUM(M1853:M1862)),3))</f>
        <v>0</v>
      </c>
      <c r="Q1875" s="714"/>
      <c r="R1875" s="458"/>
      <c r="S1875" s="459"/>
      <c r="T1875" s="460"/>
      <c r="U1875" s="219"/>
      <c r="V1875" s="464"/>
      <c r="Y1875" s="532" t="s">
        <v>343</v>
      </c>
      <c r="AA1875" s="540" t="e">
        <f>IF(AND(C1874&lt;=F1868,F1868&lt;&gt;""),VLOOKUP(VALUE(E1849&amp;","&amp;C1874),INTEGRANTES!$D$18:$F$235,2,0),"")</f>
        <v>#N/A</v>
      </c>
      <c r="AB1875" s="545" t="e">
        <f t="shared" si="545"/>
        <v>#N/A</v>
      </c>
      <c r="AC1875" s="529"/>
      <c r="AD1875" s="200" t="e">
        <f t="shared" si="546"/>
        <v>#N/A</v>
      </c>
      <c r="AE1875" s="52"/>
      <c r="AF1875" s="52"/>
      <c r="AG1875" s="52"/>
      <c r="AH1875" s="87"/>
      <c r="AI1875" s="87"/>
    </row>
    <row r="1876" spans="1:35" ht="16.5" hidden="1" customHeight="1" thickBot="1">
      <c r="A1876" s="218" t="e">
        <f>"T"&amp;E1849</f>
        <v>#N/A</v>
      </c>
      <c r="B1876" s="703"/>
      <c r="C1876" s="719"/>
      <c r="D1876" s="719"/>
      <c r="E1876" s="719"/>
      <c r="F1876" s="719"/>
      <c r="G1876" s="719"/>
      <c r="H1876" s="719" t="s">
        <v>110</v>
      </c>
      <c r="I1876" s="719"/>
      <c r="J1876" s="719"/>
      <c r="K1876" s="201" t="str">
        <f>IF(COUNTIF(K1870:K1875,"")=6,"",IF(COUNTIF(K1870:K1875,"CUMPLE")&gt;0,"CUMPLE","NO CUMPLE"))</f>
        <v>NO CUMPLE</v>
      </c>
      <c r="L1876" s="754"/>
      <c r="M1876" s="755"/>
      <c r="N1876" s="755"/>
      <c r="O1876" s="755"/>
      <c r="P1876" s="755"/>
      <c r="Q1876" s="756"/>
      <c r="R1876" s="461"/>
      <c r="S1876" s="462"/>
      <c r="T1876" s="463"/>
      <c r="U1876" s="219"/>
      <c r="V1876" s="464"/>
      <c r="Y1876" s="549" t="e">
        <f>IF(Y1870="NO APLICA","NO APLICA",IF(COUNTIF(AD1871:AD1876,"CUMPLE")&gt;0,"CUMPLE","NO CUMPLE"))</f>
        <v>#N/A</v>
      </c>
      <c r="AA1876" s="541" t="e">
        <f>IF(AND(C1875&lt;=F1868,F1868&lt;&gt;""),VLOOKUP(VALUE(E1849&amp;","&amp;C1875),INTEGRANTES!$D$18:$F$235,2,0),"")</f>
        <v>#N/A</v>
      </c>
      <c r="AB1876" s="546" t="e">
        <f t="shared" si="545"/>
        <v>#N/A</v>
      </c>
      <c r="AC1876" s="543"/>
      <c r="AD1876" s="201" t="e">
        <f t="shared" si="546"/>
        <v>#N/A</v>
      </c>
      <c r="AE1876" s="52"/>
      <c r="AF1876" s="52"/>
      <c r="AG1876" s="52"/>
      <c r="AH1876" s="87"/>
      <c r="AI1876" s="87"/>
    </row>
    <row r="1877" spans="1:35" hidden="1">
      <c r="AH1877" s="87"/>
      <c r="AI1877" s="87"/>
    </row>
    <row r="1878" spans="1:35" hidden="1">
      <c r="AH1878" s="87"/>
      <c r="AI1878" s="87"/>
    </row>
    <row r="1879" spans="1:35" ht="24" hidden="1" thickBot="1">
      <c r="A1879" s="61">
        <v>63</v>
      </c>
      <c r="B1879" s="704" t="s">
        <v>51</v>
      </c>
      <c r="C1879" s="704"/>
      <c r="D1879" s="704"/>
      <c r="E1879" s="62" t="e">
        <f>VLOOKUP(A1879,PROPONENTES!$B$19:$E$218,2,FALSE)</f>
        <v>#N/A</v>
      </c>
      <c r="F1879" s="63" t="e">
        <f>VLOOKUP(A1879,PROPONENTES!$B$19:$E$218,3,FALSE)</f>
        <v>#N/A</v>
      </c>
      <c r="G1879" s="64"/>
      <c r="H1879" s="64"/>
      <c r="I1879" s="63"/>
      <c r="J1879" s="63"/>
      <c r="K1879" s="65"/>
      <c r="L1879" s="65"/>
      <c r="M1879" s="64"/>
      <c r="N1879" s="64"/>
      <c r="O1879" s="66"/>
      <c r="P1879" s="66"/>
      <c r="Q1879" s="66"/>
      <c r="R1879" s="66"/>
      <c r="S1879" s="67"/>
      <c r="T1879" s="68"/>
      <c r="U1879" s="68"/>
      <c r="AC1879" s="68"/>
      <c r="AD1879" s="68"/>
      <c r="AE1879" s="68"/>
      <c r="AF1879" s="68"/>
      <c r="AG1879" s="68"/>
      <c r="AH1879" s="87"/>
      <c r="AI1879" s="87"/>
    </row>
    <row r="1880" spans="1:35" ht="15.75" hidden="1" customHeight="1">
      <c r="A1880" s="44"/>
      <c r="B1880" s="709" t="s">
        <v>59</v>
      </c>
      <c r="C1880" s="552" t="s">
        <v>60</v>
      </c>
      <c r="D1880" s="70" t="s">
        <v>17</v>
      </c>
      <c r="E1880" s="70"/>
      <c r="F1880" s="70" t="s">
        <v>61</v>
      </c>
      <c r="G1880" s="71"/>
      <c r="H1880" s="699" t="s">
        <v>62</v>
      </c>
      <c r="I1880" s="699" t="s">
        <v>18</v>
      </c>
      <c r="J1880" s="699" t="s">
        <v>63</v>
      </c>
      <c r="K1880" s="699" t="s">
        <v>64</v>
      </c>
      <c r="L1880" s="699" t="s">
        <v>65</v>
      </c>
      <c r="M1880" s="743" t="s">
        <v>66</v>
      </c>
      <c r="N1880" s="699" t="s">
        <v>282</v>
      </c>
      <c r="O1880" s="745" t="s">
        <v>67</v>
      </c>
      <c r="P1880" s="746"/>
      <c r="Q1880" s="102" t="s">
        <v>75</v>
      </c>
      <c r="R1880" s="731" t="s">
        <v>22</v>
      </c>
      <c r="S1880" s="732"/>
      <c r="T1880" s="733"/>
      <c r="U1880" s="712" t="s">
        <v>298</v>
      </c>
      <c r="W1880" s="690" t="s">
        <v>268</v>
      </c>
      <c r="X1880" s="691"/>
      <c r="Y1880" s="692"/>
      <c r="Z1880" s="428"/>
      <c r="AA1880" s="697" t="s">
        <v>315</v>
      </c>
      <c r="AB1880" s="695" t="s">
        <v>322</v>
      </c>
      <c r="AC1880" s="49"/>
      <c r="AD1880" s="690" t="s">
        <v>297</v>
      </c>
      <c r="AE1880" s="691"/>
      <c r="AF1880" s="692"/>
      <c r="AG1880" s="49"/>
      <c r="AH1880" s="87"/>
      <c r="AI1880" s="87"/>
    </row>
    <row r="1881" spans="1:35" ht="72" hidden="1">
      <c r="A1881" s="44"/>
      <c r="B1881" s="710"/>
      <c r="C1881" s="553" t="s">
        <v>68</v>
      </c>
      <c r="D1881" s="73" t="s">
        <v>3</v>
      </c>
      <c r="E1881" s="73" t="s">
        <v>19</v>
      </c>
      <c r="F1881" s="73" t="s">
        <v>69</v>
      </c>
      <c r="G1881" s="74" t="s">
        <v>70</v>
      </c>
      <c r="H1881" s="700"/>
      <c r="I1881" s="700"/>
      <c r="J1881" s="700"/>
      <c r="K1881" s="700"/>
      <c r="L1881" s="700"/>
      <c r="M1881" s="744"/>
      <c r="N1881" s="700"/>
      <c r="O1881" s="553" t="s">
        <v>279</v>
      </c>
      <c r="P1881" s="73" t="s">
        <v>88</v>
      </c>
      <c r="Q1881" s="555" t="s">
        <v>76</v>
      </c>
      <c r="R1881" s="734"/>
      <c r="S1881" s="735"/>
      <c r="T1881" s="736"/>
      <c r="U1881" s="712"/>
      <c r="W1881" s="429" t="s">
        <v>269</v>
      </c>
      <c r="X1881" s="457" t="s">
        <v>278</v>
      </c>
      <c r="Y1881" s="430" t="s">
        <v>324</v>
      </c>
      <c r="Z1881" s="428"/>
      <c r="AA1881" s="698"/>
      <c r="AB1881" s="696"/>
      <c r="AC1881" s="49"/>
      <c r="AD1881" s="429" t="s">
        <v>292</v>
      </c>
      <c r="AE1881" s="431" t="s">
        <v>300</v>
      </c>
      <c r="AF1881" s="468" t="s">
        <v>301</v>
      </c>
      <c r="AG1881" s="49"/>
      <c r="AH1881" s="87"/>
      <c r="AI1881" s="87"/>
    </row>
    <row r="1882" spans="1:35" hidden="1">
      <c r="A1882" s="44"/>
      <c r="B1882" s="76"/>
      <c r="C1882" s="77"/>
      <c r="D1882" s="77"/>
      <c r="E1882" s="77"/>
      <c r="F1882" s="77"/>
      <c r="G1882" s="77"/>
      <c r="H1882" s="77"/>
      <c r="I1882" s="77"/>
      <c r="J1882" s="77"/>
      <c r="K1882" s="77"/>
      <c r="L1882" s="77"/>
      <c r="M1882" s="77"/>
      <c r="N1882" s="77"/>
      <c r="O1882" s="77"/>
      <c r="P1882" s="77"/>
      <c r="Q1882" s="77"/>
      <c r="R1882" s="77"/>
      <c r="S1882" s="78"/>
      <c r="T1882" s="79"/>
      <c r="U1882" s="109"/>
      <c r="V1882" s="49"/>
      <c r="W1882" s="432"/>
      <c r="X1882" s="454"/>
      <c r="Y1882" s="433"/>
      <c r="Z1882" s="6"/>
      <c r="AA1882" s="500"/>
      <c r="AB1882" s="562"/>
      <c r="AC1882" s="49"/>
      <c r="AD1882" s="210"/>
      <c r="AE1882" s="434"/>
      <c r="AF1882" s="435"/>
      <c r="AG1882" s="49"/>
      <c r="AH1882" s="87"/>
      <c r="AI1882" s="87"/>
    </row>
    <row r="1883" spans="1:35" hidden="1">
      <c r="A1883" s="80" t="e">
        <f>"A"&amp;E1879</f>
        <v>#N/A</v>
      </c>
      <c r="B1883" s="81">
        <v>1</v>
      </c>
      <c r="C1883" s="82"/>
      <c r="D1883" s="82"/>
      <c r="E1883" s="82"/>
      <c r="F1883" s="82"/>
      <c r="G1883" s="83"/>
      <c r="H1883" s="83"/>
      <c r="I1883" s="84"/>
      <c r="J1883" s="85"/>
      <c r="K1883" s="382"/>
      <c r="L1883" s="85"/>
      <c r="M1883" s="332" t="str">
        <f t="shared" ref="M1883:M1892" si="547">IF(OR(J1883="",L1883="",H1883="NO"),"",IF(OR(J1883&gt;$P$17,J1883&lt;$O$17,L1883&gt;$P$17,AND(J1883&lt;$O$17,L1883&lt;$O$17)),"FUERA DE RANGO",IF(OR(K1883="---",K1883=""),IF(J1883&gt;=$O$17,ROUND((L1883-J1883+1)/360*12,3),ROUND((L1883-$O$17+1)/360*12,3)),IF(J1883&gt;=$O$17,ROUND((L1883-J1883+1)/360*12-ROUND(K1883,3),3),ROUND((L1883-$O$17+1)/360*12-ROUND(K1883,3),3)))))</f>
        <v/>
      </c>
      <c r="N1883" s="86"/>
      <c r="O1883" s="453" t="str">
        <f>IF(OR(G1883="",N1883=""),"",N1883*G1883)</f>
        <v/>
      </c>
      <c r="P1883" s="538" t="str">
        <f>IF(OR(H1883="",M1883="FUERA DE RANGO"),"",IF(OR(L1883&lt;$O$17,L1883&gt;$P$17,L1883="",H1883="NO"),"",IF(OR(N1883="",O1883=""),"",ROUND(O1883,3))))</f>
        <v/>
      </c>
      <c r="Q1883" s="539" t="str">
        <f t="shared" ref="Q1883:Q1892" si="548">IF(AND(H1883="SI",P1883&lt;&gt;""),ROUND(P1883/M1883,3),"")</f>
        <v/>
      </c>
      <c r="R1883" s="737"/>
      <c r="S1883" s="738"/>
      <c r="T1883" s="739"/>
      <c r="U1883" s="470"/>
      <c r="V1883" s="165"/>
      <c r="W1883" s="446"/>
      <c r="X1883" s="456"/>
      <c r="Y1883" s="436"/>
      <c r="Z1883" s="437"/>
      <c r="AA1883" s="560"/>
      <c r="AB1883" s="561"/>
      <c r="AC1883" s="87"/>
      <c r="AD1883" s="466"/>
      <c r="AE1883" s="456"/>
      <c r="AF1883" s="467"/>
      <c r="AG1883" s="87"/>
      <c r="AH1883" s="87"/>
      <c r="AI1883" s="87"/>
    </row>
    <row r="1884" spans="1:35" hidden="1">
      <c r="A1884" s="80" t="e">
        <f>"B"&amp;E1879</f>
        <v>#N/A</v>
      </c>
      <c r="B1884" s="81">
        <v>2</v>
      </c>
      <c r="C1884" s="106"/>
      <c r="D1884" s="106"/>
      <c r="E1884" s="106"/>
      <c r="F1884" s="106"/>
      <c r="G1884" s="83"/>
      <c r="H1884" s="83"/>
      <c r="I1884" s="84"/>
      <c r="J1884" s="85"/>
      <c r="K1884" s="382"/>
      <c r="L1884" s="85"/>
      <c r="M1884" s="332" t="str">
        <f t="shared" si="547"/>
        <v/>
      </c>
      <c r="N1884" s="86"/>
      <c r="O1884" s="453" t="str">
        <f t="shared" ref="O1884:O1892" si="549">IF(OR(G1884="",N1884=""),"",N1884*G1884)</f>
        <v/>
      </c>
      <c r="P1884" s="538" t="str">
        <f t="shared" ref="P1884:P1892" si="550">IF(OR(H1884="",M1884="FUERA DE RANGO"),"",IF(OR(L1884&lt;$O$17,L1884&gt;$P$17,L1884="",H1884="NO"),"",IF(OR(N1884="",O1884=""),"",ROUND(O1884,3))))</f>
        <v/>
      </c>
      <c r="Q1884" s="539" t="str">
        <f t="shared" si="548"/>
        <v/>
      </c>
      <c r="R1884" s="740"/>
      <c r="S1884" s="741"/>
      <c r="T1884" s="742"/>
      <c r="U1884" s="471"/>
      <c r="V1884" s="165"/>
      <c r="W1884" s="446"/>
      <c r="X1884" s="456"/>
      <c r="Y1884" s="436"/>
      <c r="Z1884" s="437"/>
      <c r="AA1884" s="560"/>
      <c r="AB1884" s="561"/>
      <c r="AC1884" s="87"/>
      <c r="AD1884" s="466"/>
      <c r="AE1884" s="456"/>
      <c r="AF1884" s="467"/>
      <c r="AG1884" s="87"/>
      <c r="AH1884" s="87"/>
      <c r="AI1884" s="87"/>
    </row>
    <row r="1885" spans="1:35" hidden="1">
      <c r="A1885" s="80" t="e">
        <f>"C"&amp;E1879</f>
        <v>#N/A</v>
      </c>
      <c r="B1885" s="88">
        <v>3</v>
      </c>
      <c r="C1885" s="82"/>
      <c r="D1885" s="82"/>
      <c r="E1885" s="82"/>
      <c r="F1885" s="82"/>
      <c r="G1885" s="83"/>
      <c r="H1885" s="83"/>
      <c r="I1885" s="84"/>
      <c r="J1885" s="85"/>
      <c r="K1885" s="382"/>
      <c r="L1885" s="85"/>
      <c r="M1885" s="332" t="str">
        <f t="shared" si="547"/>
        <v/>
      </c>
      <c r="N1885" s="86"/>
      <c r="O1885" s="453" t="str">
        <f t="shared" si="549"/>
        <v/>
      </c>
      <c r="P1885" s="538" t="str">
        <f t="shared" si="550"/>
        <v/>
      </c>
      <c r="Q1885" s="539" t="str">
        <f t="shared" si="548"/>
        <v/>
      </c>
      <c r="R1885" s="706"/>
      <c r="S1885" s="707"/>
      <c r="T1885" s="708"/>
      <c r="U1885" s="472"/>
      <c r="V1885" s="166"/>
      <c r="W1885" s="446"/>
      <c r="X1885" s="456"/>
      <c r="Y1885" s="436"/>
      <c r="Z1885" s="437"/>
      <c r="AA1885" s="560"/>
      <c r="AB1885" s="561"/>
      <c r="AC1885" s="87"/>
      <c r="AD1885" s="466"/>
      <c r="AE1885" s="456"/>
      <c r="AF1885" s="467"/>
      <c r="AG1885" s="87"/>
      <c r="AH1885" s="87"/>
      <c r="AI1885" s="87"/>
    </row>
    <row r="1886" spans="1:35" hidden="1">
      <c r="A1886" s="80" t="e">
        <f>"D"&amp;E1879</f>
        <v>#N/A</v>
      </c>
      <c r="B1886" s="105">
        <v>4</v>
      </c>
      <c r="C1886" s="107"/>
      <c r="D1886" s="107"/>
      <c r="E1886" s="107"/>
      <c r="F1886" s="107"/>
      <c r="G1886" s="83"/>
      <c r="H1886" s="83"/>
      <c r="I1886" s="84"/>
      <c r="J1886" s="85"/>
      <c r="K1886" s="382"/>
      <c r="L1886" s="85"/>
      <c r="M1886" s="332" t="str">
        <f t="shared" si="547"/>
        <v/>
      </c>
      <c r="N1886" s="86"/>
      <c r="O1886" s="453" t="str">
        <f t="shared" si="549"/>
        <v/>
      </c>
      <c r="P1886" s="538" t="str">
        <f t="shared" si="550"/>
        <v/>
      </c>
      <c r="Q1886" s="539" t="str">
        <f t="shared" si="548"/>
        <v/>
      </c>
      <c r="R1886" s="706"/>
      <c r="S1886" s="707"/>
      <c r="T1886" s="708"/>
      <c r="U1886" s="472"/>
      <c r="V1886" s="166"/>
      <c r="W1886" s="446"/>
      <c r="X1886" s="456"/>
      <c r="Y1886" s="436"/>
      <c r="Z1886" s="437"/>
      <c r="AA1886" s="560"/>
      <c r="AB1886" s="561"/>
      <c r="AC1886" s="87"/>
      <c r="AD1886" s="466"/>
      <c r="AE1886" s="456"/>
      <c r="AF1886" s="467"/>
      <c r="AG1886" s="87"/>
      <c r="AH1886" s="87"/>
      <c r="AI1886" s="87"/>
    </row>
    <row r="1887" spans="1:35" hidden="1">
      <c r="A1887" s="80" t="e">
        <f>"E"&amp;E1879</f>
        <v>#N/A</v>
      </c>
      <c r="B1887" s="105">
        <v>5</v>
      </c>
      <c r="C1887" s="107"/>
      <c r="D1887" s="107"/>
      <c r="E1887" s="107"/>
      <c r="F1887" s="107"/>
      <c r="G1887" s="83"/>
      <c r="H1887" s="83"/>
      <c r="I1887" s="84"/>
      <c r="J1887" s="85"/>
      <c r="K1887" s="382"/>
      <c r="L1887" s="85"/>
      <c r="M1887" s="332" t="str">
        <f t="shared" si="547"/>
        <v/>
      </c>
      <c r="N1887" s="86"/>
      <c r="O1887" s="453" t="str">
        <f t="shared" si="549"/>
        <v/>
      </c>
      <c r="P1887" s="538" t="str">
        <f t="shared" si="550"/>
        <v/>
      </c>
      <c r="Q1887" s="539" t="str">
        <f t="shared" si="548"/>
        <v/>
      </c>
      <c r="R1887" s="706"/>
      <c r="S1887" s="707"/>
      <c r="T1887" s="708"/>
      <c r="U1887" s="472"/>
      <c r="V1887" s="167"/>
      <c r="W1887" s="446"/>
      <c r="X1887" s="456"/>
      <c r="Y1887" s="436"/>
      <c r="Z1887" s="437"/>
      <c r="AA1887" s="560"/>
      <c r="AB1887" s="561"/>
      <c r="AC1887" s="87"/>
      <c r="AD1887" s="466"/>
      <c r="AE1887" s="456"/>
      <c r="AF1887" s="467"/>
      <c r="AG1887" s="87"/>
      <c r="AH1887" s="87"/>
      <c r="AI1887" s="87"/>
    </row>
    <row r="1888" spans="1:35" hidden="1">
      <c r="A1888" s="80" t="e">
        <f>"F"&amp;E1879</f>
        <v>#N/A</v>
      </c>
      <c r="B1888" s="105">
        <v>6</v>
      </c>
      <c r="C1888" s="107"/>
      <c r="D1888" s="107"/>
      <c r="E1888" s="107"/>
      <c r="F1888" s="107"/>
      <c r="G1888" s="83"/>
      <c r="H1888" s="83"/>
      <c r="I1888" s="84"/>
      <c r="J1888" s="85"/>
      <c r="K1888" s="382"/>
      <c r="L1888" s="85"/>
      <c r="M1888" s="332" t="str">
        <f t="shared" si="547"/>
        <v/>
      </c>
      <c r="N1888" s="86"/>
      <c r="O1888" s="453" t="str">
        <f t="shared" si="549"/>
        <v/>
      </c>
      <c r="P1888" s="538" t="str">
        <f t="shared" si="550"/>
        <v/>
      </c>
      <c r="Q1888" s="539" t="str">
        <f t="shared" si="548"/>
        <v/>
      </c>
      <c r="R1888" s="706"/>
      <c r="S1888" s="707"/>
      <c r="T1888" s="708"/>
      <c r="U1888" s="472"/>
      <c r="V1888" s="167"/>
      <c r="W1888" s="446"/>
      <c r="X1888" s="456"/>
      <c r="Y1888" s="436"/>
      <c r="Z1888" s="437"/>
      <c r="AA1888" s="560"/>
      <c r="AB1888" s="561"/>
      <c r="AC1888" s="87"/>
      <c r="AD1888" s="466"/>
      <c r="AE1888" s="456"/>
      <c r="AF1888" s="467"/>
      <c r="AG1888" s="87"/>
      <c r="AH1888" s="87"/>
      <c r="AI1888" s="87"/>
    </row>
    <row r="1889" spans="1:35" hidden="1">
      <c r="A1889" s="80" t="e">
        <f>"G"&amp;E1879</f>
        <v>#N/A</v>
      </c>
      <c r="B1889" s="105">
        <v>7</v>
      </c>
      <c r="C1889" s="107"/>
      <c r="D1889" s="107"/>
      <c r="E1889" s="107"/>
      <c r="F1889" s="107"/>
      <c r="G1889" s="83"/>
      <c r="H1889" s="83"/>
      <c r="I1889" s="84"/>
      <c r="J1889" s="85"/>
      <c r="K1889" s="382"/>
      <c r="L1889" s="85"/>
      <c r="M1889" s="332" t="str">
        <f t="shared" si="547"/>
        <v/>
      </c>
      <c r="N1889" s="86"/>
      <c r="O1889" s="86" t="str">
        <f t="shared" si="549"/>
        <v/>
      </c>
      <c r="P1889" s="538" t="str">
        <f t="shared" si="550"/>
        <v/>
      </c>
      <c r="Q1889" s="539" t="str">
        <f t="shared" si="548"/>
        <v/>
      </c>
      <c r="R1889" s="706"/>
      <c r="S1889" s="707"/>
      <c r="T1889" s="708"/>
      <c r="U1889" s="472"/>
      <c r="V1889" s="167"/>
      <c r="W1889" s="446"/>
      <c r="X1889" s="456"/>
      <c r="Y1889" s="436"/>
      <c r="Z1889" s="437"/>
      <c r="AA1889" s="560"/>
      <c r="AB1889" s="561"/>
      <c r="AC1889" s="87"/>
      <c r="AD1889" s="466"/>
      <c r="AE1889" s="456"/>
      <c r="AF1889" s="467"/>
      <c r="AG1889" s="87"/>
      <c r="AH1889" s="87"/>
      <c r="AI1889" s="87"/>
    </row>
    <row r="1890" spans="1:35" hidden="1">
      <c r="A1890" s="80" t="e">
        <f>"H"&amp;E1879</f>
        <v>#N/A</v>
      </c>
      <c r="B1890" s="105">
        <v>8</v>
      </c>
      <c r="C1890" s="107"/>
      <c r="D1890" s="107"/>
      <c r="E1890" s="107"/>
      <c r="F1890" s="107"/>
      <c r="G1890" s="83"/>
      <c r="H1890" s="83"/>
      <c r="I1890" s="84"/>
      <c r="J1890" s="85"/>
      <c r="K1890" s="382"/>
      <c r="L1890" s="85"/>
      <c r="M1890" s="332" t="str">
        <f t="shared" si="547"/>
        <v/>
      </c>
      <c r="N1890" s="453"/>
      <c r="O1890" s="86" t="str">
        <f t="shared" si="549"/>
        <v/>
      </c>
      <c r="P1890" s="538" t="str">
        <f t="shared" si="550"/>
        <v/>
      </c>
      <c r="Q1890" s="539" t="str">
        <f t="shared" si="548"/>
        <v/>
      </c>
      <c r="R1890" s="706"/>
      <c r="S1890" s="707"/>
      <c r="T1890" s="708"/>
      <c r="U1890" s="472"/>
      <c r="V1890" s="167"/>
      <c r="W1890" s="446"/>
      <c r="X1890" s="456"/>
      <c r="Y1890" s="436"/>
      <c r="Z1890" s="437"/>
      <c r="AA1890" s="560"/>
      <c r="AB1890" s="561"/>
      <c r="AC1890" s="87"/>
      <c r="AD1890" s="466"/>
      <c r="AE1890" s="456"/>
      <c r="AF1890" s="467"/>
      <c r="AG1890" s="87"/>
      <c r="AH1890" s="87"/>
      <c r="AI1890" s="87"/>
    </row>
    <row r="1891" spans="1:35" hidden="1">
      <c r="A1891" s="80" t="e">
        <f>"I"&amp;E1879</f>
        <v>#N/A</v>
      </c>
      <c r="B1891" s="105">
        <v>9</v>
      </c>
      <c r="C1891" s="107"/>
      <c r="D1891" s="107"/>
      <c r="E1891" s="107"/>
      <c r="F1891" s="107"/>
      <c r="G1891" s="83"/>
      <c r="H1891" s="83"/>
      <c r="I1891" s="84"/>
      <c r="J1891" s="85"/>
      <c r="K1891" s="382"/>
      <c r="L1891" s="85"/>
      <c r="M1891" s="332" t="str">
        <f t="shared" si="547"/>
        <v/>
      </c>
      <c r="N1891" s="453"/>
      <c r="O1891" s="86" t="str">
        <f t="shared" si="549"/>
        <v/>
      </c>
      <c r="P1891" s="538" t="str">
        <f t="shared" si="550"/>
        <v/>
      </c>
      <c r="Q1891" s="539" t="str">
        <f t="shared" si="548"/>
        <v/>
      </c>
      <c r="R1891" s="706"/>
      <c r="S1891" s="707"/>
      <c r="T1891" s="708"/>
      <c r="U1891" s="472"/>
      <c r="V1891" s="167"/>
      <c r="W1891" s="446"/>
      <c r="X1891" s="456"/>
      <c r="Y1891" s="436"/>
      <c r="Z1891" s="437"/>
      <c r="AA1891" s="560"/>
      <c r="AB1891" s="561"/>
      <c r="AC1891" s="87"/>
      <c r="AD1891" s="466"/>
      <c r="AE1891" s="456"/>
      <c r="AF1891" s="467"/>
      <c r="AG1891" s="87"/>
      <c r="AH1891" s="87"/>
      <c r="AI1891" s="87"/>
    </row>
    <row r="1892" spans="1:35" hidden="1">
      <c r="A1892" s="80" t="e">
        <f>"J"&amp;E1879</f>
        <v>#N/A</v>
      </c>
      <c r="B1892" s="105">
        <v>10</v>
      </c>
      <c r="C1892" s="107"/>
      <c r="D1892" s="107"/>
      <c r="E1892" s="107"/>
      <c r="F1892" s="107"/>
      <c r="G1892" s="83"/>
      <c r="H1892" s="83"/>
      <c r="I1892" s="84"/>
      <c r="J1892" s="85"/>
      <c r="K1892" s="382"/>
      <c r="L1892" s="85"/>
      <c r="M1892" s="332" t="str">
        <f t="shared" si="547"/>
        <v/>
      </c>
      <c r="N1892" s="453"/>
      <c r="O1892" s="86" t="str">
        <f t="shared" si="549"/>
        <v/>
      </c>
      <c r="P1892" s="538" t="str">
        <f t="shared" si="550"/>
        <v/>
      </c>
      <c r="Q1892" s="539" t="str">
        <f t="shared" si="548"/>
        <v/>
      </c>
      <c r="R1892" s="706"/>
      <c r="S1892" s="707"/>
      <c r="T1892" s="708"/>
      <c r="U1892" s="472"/>
      <c r="V1892" s="167"/>
      <c r="W1892" s="446"/>
      <c r="X1892" s="456"/>
      <c r="Y1892" s="436"/>
      <c r="Z1892" s="437"/>
      <c r="AA1892" s="560"/>
      <c r="AB1892" s="561"/>
      <c r="AC1892" s="87"/>
      <c r="AD1892" s="466"/>
      <c r="AE1892" s="456"/>
      <c r="AF1892" s="467"/>
      <c r="AG1892" s="87"/>
      <c r="AH1892" s="87"/>
      <c r="AI1892" s="87"/>
    </row>
    <row r="1893" spans="1:35" ht="16.5" hidden="1" thickBot="1">
      <c r="A1893" s="44"/>
      <c r="B1893" s="89"/>
      <c r="C1893" s="90"/>
      <c r="D1893" s="90"/>
      <c r="E1893" s="90"/>
      <c r="F1893" s="90"/>
      <c r="G1893" s="90"/>
      <c r="H1893" s="90"/>
      <c r="I1893" s="90"/>
      <c r="J1893" s="90"/>
      <c r="K1893" s="90"/>
      <c r="L1893" s="90"/>
      <c r="M1893" s="90"/>
      <c r="N1893" s="90"/>
      <c r="O1893" s="90"/>
      <c r="P1893" s="90"/>
      <c r="Q1893" s="90"/>
      <c r="R1893" s="90"/>
      <c r="S1893" s="91"/>
      <c r="T1893" s="92"/>
      <c r="U1893" s="473"/>
      <c r="W1893" s="438"/>
      <c r="X1893" s="455"/>
      <c r="Y1893" s="439"/>
      <c r="Z1893" s="437"/>
      <c r="AA1893" s="530"/>
      <c r="AB1893" s="563"/>
      <c r="AC1893" s="87"/>
      <c r="AD1893" s="440"/>
      <c r="AE1893" s="441"/>
      <c r="AF1893" s="442"/>
      <c r="AG1893" s="49"/>
      <c r="AH1893" s="87"/>
      <c r="AI1893" s="87"/>
    </row>
    <row r="1894" spans="1:35" ht="16.5" hidden="1" thickBot="1">
      <c r="A1894" s="93"/>
      <c r="B1894" s="94"/>
      <c r="C1894" s="96"/>
      <c r="D1894" s="96"/>
      <c r="E1894" s="96"/>
      <c r="F1894" s="96"/>
      <c r="G1894" s="96"/>
      <c r="H1894" s="96"/>
      <c r="I1894" s="96"/>
      <c r="J1894" s="96"/>
      <c r="K1894" s="96"/>
      <c r="L1894" s="96"/>
      <c r="M1894" s="136"/>
      <c r="N1894" s="96"/>
      <c r="O1894" s="96"/>
      <c r="P1894" s="97"/>
      <c r="Q1894" s="97"/>
      <c r="R1894" s="98"/>
      <c r="S1894" s="95"/>
      <c r="T1894" s="99"/>
      <c r="U1894" s="469"/>
      <c r="AC1894" s="58"/>
      <c r="AG1894" s="58"/>
      <c r="AH1894" s="87"/>
      <c r="AI1894" s="87"/>
    </row>
    <row r="1895" spans="1:35" ht="16.5" hidden="1" thickBot="1">
      <c r="B1895" s="101"/>
      <c r="C1895" s="101"/>
      <c r="D1895" s="101"/>
      <c r="E1895" s="101"/>
      <c r="F1895" s="101"/>
      <c r="G1895" s="101"/>
      <c r="H1895" s="101"/>
      <c r="I1895" s="101"/>
      <c r="J1895" s="101"/>
      <c r="K1895" s="101"/>
      <c r="L1895" s="101"/>
      <c r="M1895" s="101"/>
      <c r="N1895" s="101"/>
      <c r="O1895" s="101"/>
      <c r="P1895" s="101"/>
      <c r="Q1895" s="101"/>
      <c r="R1895" s="101"/>
      <c r="S1895" s="101"/>
      <c r="U1895" s="50"/>
      <c r="AH1895" s="87"/>
      <c r="AI1895" s="87"/>
    </row>
    <row r="1896" spans="1:35" ht="16.5" hidden="1" customHeight="1" thickBot="1">
      <c r="A1896" s="44"/>
      <c r="B1896" s="705" t="s">
        <v>74</v>
      </c>
      <c r="C1896" s="705"/>
      <c r="D1896" s="705"/>
      <c r="E1896" s="705"/>
      <c r="F1896" s="705"/>
      <c r="G1896" s="705"/>
      <c r="H1896" s="705"/>
      <c r="I1896" s="705"/>
      <c r="J1896" s="705"/>
      <c r="K1896" s="705"/>
      <c r="L1896" s="705"/>
      <c r="M1896" s="705"/>
      <c r="N1896" s="705"/>
      <c r="O1896" s="705"/>
      <c r="P1896" s="705"/>
      <c r="Q1896" s="705"/>
      <c r="R1896" s="705"/>
      <c r="S1896" s="705"/>
      <c r="T1896" s="705"/>
      <c r="U1896" s="108"/>
      <c r="Y1896" s="532" t="s">
        <v>341</v>
      </c>
      <c r="AC1896" s="49"/>
      <c r="AD1896" s="687" t="s">
        <v>302</v>
      </c>
      <c r="AE1896" s="688"/>
      <c r="AF1896" s="689"/>
      <c r="AG1896" s="49"/>
      <c r="AH1896" s="87"/>
      <c r="AI1896" s="87"/>
    </row>
    <row r="1897" spans="1:35" ht="15.75" hidden="1" customHeight="1" thickBot="1">
      <c r="A1897" s="218" t="e">
        <f>"K"&amp;E1879</f>
        <v>#N/A</v>
      </c>
      <c r="B1897" s="701" t="s">
        <v>71</v>
      </c>
      <c r="C1897" s="751" t="s">
        <v>102</v>
      </c>
      <c r="D1897" s="751"/>
      <c r="E1897" s="751"/>
      <c r="F1897" s="751"/>
      <c r="G1897" s="751"/>
      <c r="H1897" s="751"/>
      <c r="I1897" s="751"/>
      <c r="J1897" s="751"/>
      <c r="K1897" s="751"/>
      <c r="L1897" s="722" t="s">
        <v>100</v>
      </c>
      <c r="M1897" s="747" t="s">
        <v>114</v>
      </c>
      <c r="N1897" s="747"/>
      <c r="O1897" s="747"/>
      <c r="P1897" s="747"/>
      <c r="Q1897" s="748"/>
      <c r="R1897" s="758" t="s">
        <v>280</v>
      </c>
      <c r="S1897" s="748"/>
      <c r="T1897" s="762" t="str">
        <f>IF(COUNTIF(AE1897:AF1897,"VERIFICAR")&gt;0,"VERIFICAR",IF(COUNTIF(AE1897:AF1897,"NO CUMPLE")&gt;0,"NO CUMPLE","CUMPLE"))</f>
        <v>VERIFICAR</v>
      </c>
      <c r="U1897" s="108"/>
      <c r="Y1897" s="533" t="e">
        <f>IF(F1898="","",IF(F1898=1,"INDIVIDUAL","ESTRUCTURA PLURAL"))</f>
        <v>#N/A</v>
      </c>
      <c r="AC1897" s="52"/>
      <c r="AD1897" s="475" t="s">
        <v>303</v>
      </c>
      <c r="AE1897" s="476" t="str">
        <f>IF(COUNTIF(AE1883:AE1892,"")=10,"VERIFICAR",IF(COUNTIF(AE1883:AE1892,"SI")&gt;0,"CUMPLE","NO CUMPLE"))</f>
        <v>VERIFICAR</v>
      </c>
      <c r="AF1897" s="477" t="str">
        <f>IF(COUNTIF(AF1883:AF1892,"")=10,"VERIFICAR",IF(COUNTIF(AF1883:AF1892,"SI")&gt;=$AI$22,"CUMPLE","NO CUMPLE"))</f>
        <v>VERIFICAR</v>
      </c>
      <c r="AG1897" s="52"/>
      <c r="AH1897" s="87"/>
      <c r="AI1897" s="87"/>
    </row>
    <row r="1898" spans="1:35" ht="16.5" hidden="1" customHeight="1" thickBot="1">
      <c r="A1898" s="218" t="e">
        <f>"L"&amp;E1879</f>
        <v>#N/A</v>
      </c>
      <c r="B1898" s="702"/>
      <c r="C1898" s="751" t="s">
        <v>103</v>
      </c>
      <c r="D1898" s="751"/>
      <c r="E1898" s="752"/>
      <c r="F1898" s="557" t="e">
        <f>IF(VLOOKUP(E1879,PROPONENTES!$C$19:$E$218,3,0)="","",VLOOKUP(E1879,PROPONENTES!$C$19:$E$218,3,0))</f>
        <v>#N/A</v>
      </c>
      <c r="G1898" s="753" t="s">
        <v>104</v>
      </c>
      <c r="H1898" s="751"/>
      <c r="I1898" s="715" t="e">
        <f>IF(OR(F1898="",F1898=1),"INTERESADO PERSONA NATURAL O JURIDICA","CONSORCIO O UNION TEMPORAL")</f>
        <v>#N/A</v>
      </c>
      <c r="J1898" s="725"/>
      <c r="K1898" s="728"/>
      <c r="L1898" s="723"/>
      <c r="M1898" s="749"/>
      <c r="N1898" s="749"/>
      <c r="O1898" s="749"/>
      <c r="P1898" s="749"/>
      <c r="Q1898" s="750"/>
      <c r="R1898" s="712"/>
      <c r="S1898" s="750"/>
      <c r="T1898" s="763"/>
      <c r="U1898" s="108"/>
      <c r="Y1898" s="534"/>
      <c r="AA1898" s="52"/>
      <c r="AB1898" s="52"/>
      <c r="AC1898" s="52"/>
      <c r="AG1898" s="52"/>
      <c r="AH1898" s="87"/>
      <c r="AI1898" s="87"/>
    </row>
    <row r="1899" spans="1:35" ht="56.25" hidden="1" customHeight="1" thickBot="1">
      <c r="A1899" s="218" t="e">
        <f>"M"&amp;E1879</f>
        <v>#N/A</v>
      </c>
      <c r="B1899" s="702"/>
      <c r="C1899" s="725" t="s">
        <v>101</v>
      </c>
      <c r="D1899" s="716"/>
      <c r="E1899" s="558" t="s">
        <v>105</v>
      </c>
      <c r="F1899" s="554" t="s">
        <v>87</v>
      </c>
      <c r="G1899" s="553" t="s">
        <v>86</v>
      </c>
      <c r="H1899" s="559" t="s">
        <v>85</v>
      </c>
      <c r="I1899" s="554" t="s">
        <v>252</v>
      </c>
      <c r="J1899" s="553" t="str">
        <f>"¿EL INTEGRANTE TIENE UNA PARTICIPACIÓN DEL "&amp;PORCREQUERIDOINT*100&amp;"%?"</f>
        <v>¿EL INTEGRANTE TIENE UNA PARTICIPACIÓN DEL 60%?</v>
      </c>
      <c r="K1899" s="554" t="s">
        <v>107</v>
      </c>
      <c r="L1899" s="724"/>
      <c r="M1899" s="717" t="s">
        <v>115</v>
      </c>
      <c r="N1899" s="718"/>
      <c r="O1899" s="718"/>
      <c r="P1899" s="718"/>
      <c r="Q1899" s="223">
        <f>IF(AND(H1883="SI",P1883&gt;=0),1,0)+IF(AND(H1884="SI",P1884&gt;=0),1,0)+IF(AND(H1885="SI",P1885&gt;=0),1,0)+IF(AND(H1886="SI",P1886&gt;=0),1,0)+IF(AND(H1887="SI",P1887&gt;=0),1,0)+IF(AND(H1888="SI",P1888&gt;=0),1,0)+IF(AND(H1889="SI",P1889&gt;=0),1,0)+IF(AND(H1890="SI",P1890&gt;=0),1,0)+IF(AND(H1891="SI",P1891&gt;=0),1,0)+IF(AND(H1892="SI",P1892&gt;=0),1,0)</f>
        <v>0</v>
      </c>
      <c r="R1899" s="759"/>
      <c r="S1899" s="761"/>
      <c r="T1899" s="764"/>
      <c r="U1899" s="219"/>
      <c r="V1899" s="464"/>
      <c r="Y1899" s="532" t="s">
        <v>342</v>
      </c>
      <c r="AA1899" s="550" t="s">
        <v>344</v>
      </c>
      <c r="AB1899" s="693" t="s">
        <v>345</v>
      </c>
      <c r="AC1899" s="693" t="s">
        <v>346</v>
      </c>
      <c r="AD1899" s="685" t="s">
        <v>347</v>
      </c>
      <c r="AE1899" s="52"/>
      <c r="AF1899" s="52"/>
      <c r="AG1899" s="52"/>
      <c r="AH1899" s="87"/>
      <c r="AI1899" s="87"/>
    </row>
    <row r="1900" spans="1:35" ht="15.75" hidden="1" customHeight="1" thickBot="1">
      <c r="A1900" s="218" t="e">
        <f>"N"&amp;E1879</f>
        <v>#N/A</v>
      </c>
      <c r="B1900" s="702"/>
      <c r="C1900" s="114">
        <v>1</v>
      </c>
      <c r="D1900" s="194" t="e">
        <f>IF(AND(C1900&lt;=F1898,F1898&gt;1,F1898&lt;&gt;""),VLOOKUP(VALUE(E1879&amp;","&amp;C1900),INTEGRANTES!$D$18:$F$235,2,0),"")</f>
        <v>#N/A</v>
      </c>
      <c r="E1900" s="211" t="e">
        <f>IF(D1900&lt;&gt;"",VLOOKUP(VALUE(E1879&amp;","&amp;C1900),INTEGRANTES!$D$18:$F$235,3,0),"")</f>
        <v>#N/A</v>
      </c>
      <c r="F1900" s="547" t="e">
        <f>IF(D1900="","",SUMIF($I1883:$I1892,D1900,$P1883:$P1892))</f>
        <v>#N/A</v>
      </c>
      <c r="G1900" s="333" t="e">
        <f>IF(D1900="","",SUMIF($I1883:$I1892,D1900,$M1883:$M1892))</f>
        <v>#N/A</v>
      </c>
      <c r="H1900" s="535" t="e">
        <f t="shared" ref="H1900:H1905" si="551">IF(D1900="","",IF(OR(F1900=0,G1900=0),"NO APORTA",ROUND($F1900/$G1900,3)))</f>
        <v>#N/A</v>
      </c>
      <c r="I1900" s="212" t="e">
        <f>IF(D1900="","",IF(H1900="NO APORTA","NO",IF(H1900=MAX($H1900:$H1905),"SI","NO")))</f>
        <v>#N/A</v>
      </c>
      <c r="J1900" s="213" t="e">
        <f t="shared" ref="J1900:J1905" si="552">IF(D1900="","",IF(E1900&gt;=PORCREQUERIDOINT,"SI","NO"))</f>
        <v>#N/A</v>
      </c>
      <c r="K1900" s="200" t="e">
        <f t="shared" ref="K1900:K1905" si="553">IF(D1900="","",IF(AND(I1900="SI",J1900="SI"),"CUMPLE",IF(AND(I1900="NO",OR(J1900="SI",J1900="NO")),"","NO CUMPLE")))</f>
        <v>#N/A</v>
      </c>
      <c r="L1900" s="722" t="s">
        <v>108</v>
      </c>
      <c r="M1900" s="726" t="s">
        <v>119</v>
      </c>
      <c r="N1900" s="726"/>
      <c r="O1900" s="726"/>
      <c r="P1900" s="726"/>
      <c r="Q1900" s="727"/>
      <c r="R1900" s="758" t="s">
        <v>80</v>
      </c>
      <c r="S1900" s="747"/>
      <c r="T1900" s="748"/>
      <c r="U1900" s="219"/>
      <c r="V1900" s="464"/>
      <c r="Y1900" s="533" t="e">
        <f>IF(Y1897="","",IF(Y1897="INDIVIDUAL","NO APLICA","VERIFICAR CUADRO"))</f>
        <v>#N/A</v>
      </c>
      <c r="AA1900" s="551"/>
      <c r="AB1900" s="694"/>
      <c r="AC1900" s="694"/>
      <c r="AD1900" s="686"/>
      <c r="AE1900" s="52"/>
      <c r="AF1900" s="52"/>
      <c r="AG1900" s="52"/>
      <c r="AH1900" s="87"/>
      <c r="AI1900" s="87"/>
    </row>
    <row r="1901" spans="1:35" ht="27" hidden="1" customHeight="1" thickBot="1">
      <c r="A1901" s="218" t="e">
        <f>"O"&amp;E1879</f>
        <v>#N/A</v>
      </c>
      <c r="B1901" s="702"/>
      <c r="C1901" s="114">
        <v>2</v>
      </c>
      <c r="D1901" s="194" t="e">
        <f>IF(AND(C1901&lt;=F1898,F1898&lt;&gt;""),VLOOKUP(VALUE(E1879&amp;","&amp;C1901),INTEGRANTES!$D$18:$F$235,2,0),"")</f>
        <v>#N/A</v>
      </c>
      <c r="E1901" s="211" t="e">
        <f>IF(D1901&lt;&gt;"",VLOOKUP(VALUE(E1879&amp;","&amp;C1901),INTEGRANTES!$D$18:$F$235,3,0),"")</f>
        <v>#N/A</v>
      </c>
      <c r="F1901" s="547" t="e">
        <f>IF(D1901="","",SUMIF($I1883:$I1892,D1901,$P1883:$P1892))</f>
        <v>#N/A</v>
      </c>
      <c r="G1901" s="333" t="e">
        <f>IF(D1901="","",SUMIF($I1883:$I1892,D1901,$M1883:$M1892))</f>
        <v>#N/A</v>
      </c>
      <c r="H1901" s="535" t="e">
        <f t="shared" si="551"/>
        <v>#N/A</v>
      </c>
      <c r="I1901" s="212" t="e">
        <f>IF(D1901="","",IF(H1901="NO APORTA","NO",IF(H1901=MAX($H1900:$H1905),"SI","NO")))</f>
        <v>#N/A</v>
      </c>
      <c r="J1901" s="213" t="e">
        <f t="shared" si="552"/>
        <v>#N/A</v>
      </c>
      <c r="K1901" s="200" t="e">
        <f t="shared" si="553"/>
        <v>#N/A</v>
      </c>
      <c r="L1901" s="723"/>
      <c r="M1901" s="715" t="s">
        <v>116</v>
      </c>
      <c r="N1901" s="716"/>
      <c r="O1901" s="556" t="s">
        <v>113</v>
      </c>
      <c r="P1901" s="715" t="s">
        <v>117</v>
      </c>
      <c r="Q1901" s="728"/>
      <c r="R1901" s="759"/>
      <c r="S1901" s="760"/>
      <c r="T1901" s="761"/>
      <c r="U1901" s="219"/>
      <c r="V1901" s="464"/>
      <c r="Y1901" s="414"/>
      <c r="AA1901" s="542" t="e">
        <f>IF(AND(C1900&lt;=F1898,F1898&gt;1,F1898&lt;&gt;""),VLOOKUP(VALUE(E1879&amp;","&amp;C1900),INTEGRANTES!$D$18:$F$235,2,0),"")</f>
        <v>#N/A</v>
      </c>
      <c r="AB1901" s="544" t="e">
        <f t="shared" ref="AB1901:AB1906" si="554">IF(D1900="","",IF(OR(F1900=0,G1900=0),"NO APORTA",ROUND($F1900/$G1900,3)))</f>
        <v>#N/A</v>
      </c>
      <c r="AC1901" s="529"/>
      <c r="AD1901" s="200" t="e">
        <f t="shared" ref="AD1901:AD1906" si="555">IF(OR(AA1901="",AB1901=""),"",IF(AND(AC1901="X",AB1901&gt;=EXPREQVTD),"CUMPLE","NO CUMPLE"))</f>
        <v>#N/A</v>
      </c>
      <c r="AE1901" s="52"/>
      <c r="AF1901" s="52"/>
      <c r="AG1901" s="52"/>
      <c r="AH1901" s="87"/>
      <c r="AI1901" s="87"/>
    </row>
    <row r="1902" spans="1:35" ht="16.5" hidden="1" thickBot="1">
      <c r="A1902" s="218" t="e">
        <f>"P"&amp;E1879</f>
        <v>#N/A</v>
      </c>
      <c r="B1902" s="702"/>
      <c r="C1902" s="114">
        <v>3</v>
      </c>
      <c r="D1902" s="194" t="e">
        <f>IF(AND(C1902&lt;=F1898,F1898&lt;&gt;""),VLOOKUP(VALUE(E1879&amp;","&amp;C1902),INTEGRANTES!$D$18:$F$235,2,0),"")</f>
        <v>#N/A</v>
      </c>
      <c r="E1902" s="211" t="e">
        <f>IF(D1902&lt;&gt;"",VLOOKUP(VALUE(E1879&amp;","&amp;C1902),INTEGRANTES!$D$18:$F$235,3,0),"")</f>
        <v>#N/A</v>
      </c>
      <c r="F1902" s="547" t="e">
        <f>IF(D1902="","",SUMIF($I1883:$I1892,D1902,$P1883:$P1892))</f>
        <v>#N/A</v>
      </c>
      <c r="G1902" s="333" t="e">
        <f>IF(D1902="","",SUMIF($I1883:$I1892,D1902,$M1883:$M1892))</f>
        <v>#N/A</v>
      </c>
      <c r="H1902" s="535" t="e">
        <f t="shared" si="551"/>
        <v>#N/A</v>
      </c>
      <c r="I1902" s="212" t="e">
        <f>IF(D1902="","",IF(H1902="NO APORTA","NO",IF(H1902=MAX($H1900:$H1905),"SI","NO")))</f>
        <v>#N/A</v>
      </c>
      <c r="J1902" s="213" t="e">
        <f t="shared" si="552"/>
        <v>#N/A</v>
      </c>
      <c r="K1902" s="200" t="e">
        <f t="shared" si="553"/>
        <v>#N/A</v>
      </c>
      <c r="L1902" s="724"/>
      <c r="M1902" s="729">
        <f>NUMMOD</f>
        <v>1</v>
      </c>
      <c r="N1902" s="730"/>
      <c r="O1902" s="443">
        <f>IF(M1902="","",VLOOKUP(M1902,PRESUPUESTOS!$B$16:$H$16,5,FALSE))</f>
        <v>2</v>
      </c>
      <c r="P1902" s="713">
        <f>IF(OR(COUNTIF(M1883:M1892,"")&gt;=10,Q1899&lt;NUMMINCONT,OR(T1897="NO CUMPLE",T1897="VERIFICAR")),0,ROUND(AVERAGE(M1883:M1892),3))</f>
        <v>0</v>
      </c>
      <c r="Q1902" s="714"/>
      <c r="R1902" s="458"/>
      <c r="S1902" s="459"/>
      <c r="T1902" s="460"/>
      <c r="U1902" s="219"/>
      <c r="V1902" s="464"/>
      <c r="Y1902" s="532" t="str">
        <f>"40% * ("&amp;PRESUPUESTOS!$H$13&amp;")"</f>
        <v>40% * (50% PFMO)</v>
      </c>
      <c r="AA1902" s="540" t="e">
        <f>IF(AND(C1901&lt;=F1898,F1898&lt;&gt;""),VLOOKUP(VALUE(E1879&amp;","&amp;C1901),INTEGRANTES!$D$18:$F$235,2,0),"")</f>
        <v>#N/A</v>
      </c>
      <c r="AB1902" s="545" t="e">
        <f t="shared" si="554"/>
        <v>#N/A</v>
      </c>
      <c r="AC1902" s="529"/>
      <c r="AD1902" s="200" t="e">
        <f t="shared" si="555"/>
        <v>#N/A</v>
      </c>
      <c r="AE1902" s="52"/>
      <c r="AF1902" s="52"/>
      <c r="AG1902" s="52"/>
      <c r="AH1902" s="87"/>
      <c r="AI1902" s="87"/>
    </row>
    <row r="1903" spans="1:35" ht="15.75" hidden="1" customHeight="1" thickBot="1">
      <c r="A1903" s="218" t="e">
        <f>"Q"&amp;E1879</f>
        <v>#N/A</v>
      </c>
      <c r="B1903" s="702"/>
      <c r="C1903" s="114">
        <v>4</v>
      </c>
      <c r="D1903" s="194" t="e">
        <f>IF(AND(C1903&lt;=F1898,F1898&lt;&gt;""),VLOOKUP(VALUE(E1879&amp;","&amp;C1903),INTEGRANTES!$D$18:$F$235,2,0),"")</f>
        <v>#N/A</v>
      </c>
      <c r="E1903" s="211" t="e">
        <f>IF(D1903&lt;&gt;"",VLOOKUP(VALUE(E1879&amp;","&amp;C1903),INTEGRANTES!$D$18:$F$235,3,0),"")</f>
        <v>#N/A</v>
      </c>
      <c r="F1903" s="547" t="e">
        <f>IF(D1903="","",SUMIF($I1883:$I1892,D1903,$P1883:$P1892))</f>
        <v>#N/A</v>
      </c>
      <c r="G1903" s="333" t="e">
        <f>IF(D1903="","",SUMIF($I1883:$I1892,D1903,$M1883:$M1892))</f>
        <v>#N/A</v>
      </c>
      <c r="H1903" s="535" t="e">
        <f t="shared" si="551"/>
        <v>#N/A</v>
      </c>
      <c r="I1903" s="212" t="e">
        <f>IF(D1903="","",IF(H1903="NO APORTA","NO",IF(H1903=MAX($H1900:$H1905),"SI","NO")))</f>
        <v>#N/A</v>
      </c>
      <c r="J1903" s="213" t="e">
        <f t="shared" si="552"/>
        <v>#N/A</v>
      </c>
      <c r="K1903" s="200" t="e">
        <f t="shared" si="553"/>
        <v>#N/A</v>
      </c>
      <c r="L1903" s="720" t="s">
        <v>109</v>
      </c>
      <c r="M1903" s="757" t="s">
        <v>120</v>
      </c>
      <c r="N1903" s="726"/>
      <c r="O1903" s="726"/>
      <c r="P1903" s="726"/>
      <c r="Q1903" s="727"/>
      <c r="R1903" s="458"/>
      <c r="S1903" s="459"/>
      <c r="T1903" s="460"/>
      <c r="U1903" s="219"/>
      <c r="V1903" s="464"/>
      <c r="Y1903" s="537">
        <f>0.4*PRESUPUESTOS!$H$16</f>
        <v>10.3124</v>
      </c>
      <c r="AA1903" s="540" t="e">
        <f>IF(AND(C1902&lt;=F1898,F1898&lt;&gt;""),VLOOKUP(VALUE(E1879&amp;","&amp;C1902),INTEGRANTES!$D$18:$F$235,2,0),"")</f>
        <v>#N/A</v>
      </c>
      <c r="AB1903" s="545" t="e">
        <f t="shared" si="554"/>
        <v>#N/A</v>
      </c>
      <c r="AC1903" s="529"/>
      <c r="AD1903" s="200" t="e">
        <f t="shared" si="555"/>
        <v>#N/A</v>
      </c>
      <c r="AE1903" s="52"/>
      <c r="AF1903" s="52"/>
      <c r="AG1903" s="52"/>
      <c r="AH1903" s="87"/>
      <c r="AI1903" s="87"/>
    </row>
    <row r="1904" spans="1:35" ht="27" hidden="1" customHeight="1" thickBot="1">
      <c r="A1904" s="218" t="e">
        <f>"R"&amp;E1879</f>
        <v>#N/A</v>
      </c>
      <c r="B1904" s="702"/>
      <c r="C1904" s="114">
        <v>5</v>
      </c>
      <c r="D1904" s="194" t="e">
        <f>IF(AND(C1904&lt;=F1898,F1898&lt;&gt;""),VLOOKUP(VALUE(E1879&amp;","&amp;C1904),INTEGRANTES!$D$18:$F$235,2,0),"")</f>
        <v>#N/A</v>
      </c>
      <c r="E1904" s="211" t="e">
        <f>IF(D1904&lt;&gt;"",VLOOKUP(VALUE(E1879&amp;","&amp;C1904),INTEGRANTES!$D$18:$F$235,3,0),"")</f>
        <v>#N/A</v>
      </c>
      <c r="F1904" s="547" t="e">
        <f>IF(D1904="","",SUMIF($I1883:$I1892,D1904,$P1883:$P1892))</f>
        <v>#N/A</v>
      </c>
      <c r="G1904" s="333" t="e">
        <f>IF(D1904="","",SUMIF($I1883:$I1892,D1904,$M1883:$M1892))</f>
        <v>#N/A</v>
      </c>
      <c r="H1904" s="535" t="e">
        <f t="shared" si="551"/>
        <v>#N/A</v>
      </c>
      <c r="I1904" s="212" t="e">
        <f>IF(D1904="","",IF(H1904="NO APORTA","NO",IF(H1904=MAX($H1900:$H1905),"SI","NO")))</f>
        <v>#N/A</v>
      </c>
      <c r="J1904" s="213" t="e">
        <f t="shared" si="552"/>
        <v>#N/A</v>
      </c>
      <c r="K1904" s="200" t="e">
        <f t="shared" si="553"/>
        <v>#N/A</v>
      </c>
      <c r="L1904" s="721"/>
      <c r="M1904" s="715" t="s">
        <v>116</v>
      </c>
      <c r="N1904" s="716"/>
      <c r="O1904" s="556" t="str">
        <f>PORCREQUERIDO*100&amp;"% PMFO DEL MÓDULO"</f>
        <v>50% PMFO DEL MÓDULO</v>
      </c>
      <c r="P1904" s="715" t="s">
        <v>118</v>
      </c>
      <c r="Q1904" s="728"/>
      <c r="R1904" s="458"/>
      <c r="S1904" s="459"/>
      <c r="T1904" s="460"/>
      <c r="U1904" s="219"/>
      <c r="V1904" s="464"/>
      <c r="Y1904" s="414"/>
      <c r="AA1904" s="540" t="e">
        <f>IF(AND(C1903&lt;=F1898,F1898&lt;&gt;""),VLOOKUP(VALUE(E1879&amp;","&amp;C1903),INTEGRANTES!$D$18:$F$235,2,0),"")</f>
        <v>#N/A</v>
      </c>
      <c r="AB1904" s="545" t="e">
        <f t="shared" si="554"/>
        <v>#N/A</v>
      </c>
      <c r="AC1904" s="529"/>
      <c r="AD1904" s="200" t="e">
        <f t="shared" si="555"/>
        <v>#N/A</v>
      </c>
      <c r="AE1904" s="52"/>
      <c r="AF1904" s="52"/>
      <c r="AG1904" s="52"/>
      <c r="AH1904" s="87"/>
      <c r="AI1904" s="87"/>
    </row>
    <row r="1905" spans="1:35" ht="16.5" hidden="1" thickBot="1">
      <c r="A1905" s="218" t="e">
        <f>"S"&amp;E1879</f>
        <v>#N/A</v>
      </c>
      <c r="B1905" s="702"/>
      <c r="C1905" s="215">
        <v>6</v>
      </c>
      <c r="D1905" s="216" t="e">
        <f>IF(AND(C1905&lt;=F1898,F1898&lt;&gt;""),VLOOKUP(VALUE(E1879&amp;","&amp;C1905),INTEGRANTES!$D$18:$F$235,2,0),"")</f>
        <v>#N/A</v>
      </c>
      <c r="E1905" s="217" t="e">
        <f>IF(D1905&lt;&gt;"",VLOOKUP(VALUE(E1879&amp;","&amp;C1905),INTEGRANTES!$D$18:$F$235,3,0),"")</f>
        <v>#N/A</v>
      </c>
      <c r="F1905" s="548" t="e">
        <f>IF(D1905="","",SUMIF($I1883:$I1892,D1905,$P1883:$P1892))</f>
        <v>#N/A</v>
      </c>
      <c r="G1905" s="334" t="e">
        <f>IF(D1905="","",SUMIF($I1883:$I1892,D1905,$M1883:$M1892))</f>
        <v>#N/A</v>
      </c>
      <c r="H1905" s="536" t="e">
        <f t="shared" si="551"/>
        <v>#N/A</v>
      </c>
      <c r="I1905" s="214" t="e">
        <f>IF(D1905="","",IF(H1905="NO APORTA","NO",IF(H1905=MAX($H1900:$H1905),"SI","NO")))</f>
        <v>#N/A</v>
      </c>
      <c r="J1905" s="213" t="e">
        <f t="shared" si="552"/>
        <v>#N/A</v>
      </c>
      <c r="K1905" s="200" t="e">
        <f t="shared" si="553"/>
        <v>#N/A</v>
      </c>
      <c r="L1905" s="721"/>
      <c r="M1905" s="729">
        <f>NUMMOD</f>
        <v>1</v>
      </c>
      <c r="N1905" s="730"/>
      <c r="O1905" s="443">
        <f>IF(M1905="","",ROUND(VLOOKUP(M1905,PRESUPUESTOS!$B$16:$H$16,7,FALSE),3))</f>
        <v>25.780999999999999</v>
      </c>
      <c r="P1905" s="713">
        <f>IF(OR(COUNTIF(P1883:P1892,"")&gt;=10,Q1899&lt;NUMMINCONT,OR(T1897="NO CUMPLE",T1897="VERIFICAR")),0,ROUND((SUM(P1883:P1892)/SUM(M1883:M1892)),3))</f>
        <v>0</v>
      </c>
      <c r="Q1905" s="714"/>
      <c r="R1905" s="458"/>
      <c r="S1905" s="459"/>
      <c r="T1905" s="460"/>
      <c r="U1905" s="219"/>
      <c r="V1905" s="464"/>
      <c r="Y1905" s="532" t="s">
        <v>343</v>
      </c>
      <c r="AA1905" s="540" t="e">
        <f>IF(AND(C1904&lt;=F1898,F1898&lt;&gt;""),VLOOKUP(VALUE(E1879&amp;","&amp;C1904),INTEGRANTES!$D$18:$F$235,2,0),"")</f>
        <v>#N/A</v>
      </c>
      <c r="AB1905" s="545" t="e">
        <f t="shared" si="554"/>
        <v>#N/A</v>
      </c>
      <c r="AC1905" s="529"/>
      <c r="AD1905" s="200" t="e">
        <f t="shared" si="555"/>
        <v>#N/A</v>
      </c>
      <c r="AE1905" s="52"/>
      <c r="AF1905" s="52"/>
      <c r="AG1905" s="52"/>
      <c r="AH1905" s="87"/>
      <c r="AI1905" s="87"/>
    </row>
    <row r="1906" spans="1:35" ht="16.5" hidden="1" customHeight="1" thickBot="1">
      <c r="A1906" s="218" t="e">
        <f>"T"&amp;E1879</f>
        <v>#N/A</v>
      </c>
      <c r="B1906" s="703"/>
      <c r="C1906" s="719"/>
      <c r="D1906" s="719"/>
      <c r="E1906" s="719"/>
      <c r="F1906" s="719"/>
      <c r="G1906" s="719"/>
      <c r="H1906" s="719" t="s">
        <v>110</v>
      </c>
      <c r="I1906" s="719"/>
      <c r="J1906" s="719"/>
      <c r="K1906" s="201" t="str">
        <f>IF(COUNTIF(K1900:K1905,"")=6,"",IF(COUNTIF(K1900:K1905,"CUMPLE")&gt;0,"CUMPLE","NO CUMPLE"))</f>
        <v>NO CUMPLE</v>
      </c>
      <c r="L1906" s="754"/>
      <c r="M1906" s="755"/>
      <c r="N1906" s="755"/>
      <c r="O1906" s="755"/>
      <c r="P1906" s="755"/>
      <c r="Q1906" s="756"/>
      <c r="R1906" s="461"/>
      <c r="S1906" s="462"/>
      <c r="T1906" s="463"/>
      <c r="U1906" s="219"/>
      <c r="V1906" s="464"/>
      <c r="Y1906" s="549" t="e">
        <f>IF(Y1900="NO APLICA","NO APLICA",IF(COUNTIF(AD1901:AD1906,"CUMPLE")&gt;0,"CUMPLE","NO CUMPLE"))</f>
        <v>#N/A</v>
      </c>
      <c r="AA1906" s="541" t="e">
        <f>IF(AND(C1905&lt;=F1898,F1898&lt;&gt;""),VLOOKUP(VALUE(E1879&amp;","&amp;C1905),INTEGRANTES!$D$18:$F$235,2,0),"")</f>
        <v>#N/A</v>
      </c>
      <c r="AB1906" s="546" t="e">
        <f t="shared" si="554"/>
        <v>#N/A</v>
      </c>
      <c r="AC1906" s="543"/>
      <c r="AD1906" s="201" t="e">
        <f t="shared" si="555"/>
        <v>#N/A</v>
      </c>
      <c r="AE1906" s="52"/>
      <c r="AF1906" s="52"/>
      <c r="AG1906" s="52"/>
      <c r="AH1906" s="87"/>
      <c r="AI1906" s="87"/>
    </row>
    <row r="1907" spans="1:35" hidden="1">
      <c r="A1907" s="103"/>
      <c r="B1907" s="206"/>
      <c r="C1907" s="206"/>
      <c r="D1907" s="206"/>
      <c r="E1907" s="206"/>
      <c r="F1907" s="206"/>
      <c r="G1907" s="206"/>
      <c r="H1907" s="206"/>
      <c r="I1907" s="104"/>
      <c r="J1907" s="206"/>
      <c r="K1907" s="113"/>
      <c r="L1907" s="113"/>
      <c r="M1907" s="113"/>
      <c r="N1907" s="222"/>
      <c r="O1907" s="113"/>
      <c r="P1907" s="113"/>
      <c r="Q1907" s="113"/>
      <c r="R1907" s="206"/>
      <c r="S1907" s="104"/>
      <c r="T1907" s="206"/>
      <c r="U1907" s="474"/>
      <c r="AH1907" s="87"/>
      <c r="AI1907" s="87"/>
    </row>
    <row r="1908" spans="1:35" hidden="1">
      <c r="H1908" s="220"/>
      <c r="AH1908" s="87"/>
      <c r="AI1908" s="87"/>
    </row>
    <row r="1909" spans="1:35" ht="24" hidden="1" thickBot="1">
      <c r="A1909" s="61">
        <v>64</v>
      </c>
      <c r="B1909" s="704" t="s">
        <v>51</v>
      </c>
      <c r="C1909" s="704"/>
      <c r="D1909" s="704"/>
      <c r="E1909" s="62" t="e">
        <f>VLOOKUP(A1909,PROPONENTES!$B$19:$E$218,2,FALSE)</f>
        <v>#N/A</v>
      </c>
      <c r="F1909" s="63" t="e">
        <f>VLOOKUP(A1909,PROPONENTES!$B$19:$E$218,3,FALSE)</f>
        <v>#N/A</v>
      </c>
      <c r="G1909" s="64"/>
      <c r="H1909" s="64"/>
      <c r="I1909" s="63"/>
      <c r="J1909" s="63"/>
      <c r="K1909" s="65"/>
      <c r="L1909" s="65"/>
      <c r="M1909" s="64"/>
      <c r="N1909" s="64"/>
      <c r="O1909" s="66"/>
      <c r="P1909" s="66"/>
      <c r="Q1909" s="66"/>
      <c r="R1909" s="66"/>
      <c r="S1909" s="67"/>
      <c r="T1909" s="68"/>
      <c r="U1909" s="68"/>
      <c r="AC1909" s="68"/>
      <c r="AD1909" s="68"/>
      <c r="AE1909" s="68"/>
      <c r="AF1909" s="68"/>
      <c r="AG1909" s="68"/>
      <c r="AH1909" s="87"/>
      <c r="AI1909" s="87"/>
    </row>
    <row r="1910" spans="1:35" ht="15.75" hidden="1" customHeight="1">
      <c r="A1910" s="44"/>
      <c r="B1910" s="709" t="s">
        <v>59</v>
      </c>
      <c r="C1910" s="552" t="s">
        <v>60</v>
      </c>
      <c r="D1910" s="70" t="s">
        <v>17</v>
      </c>
      <c r="E1910" s="70"/>
      <c r="F1910" s="70" t="s">
        <v>61</v>
      </c>
      <c r="G1910" s="71"/>
      <c r="H1910" s="699" t="s">
        <v>62</v>
      </c>
      <c r="I1910" s="699" t="s">
        <v>18</v>
      </c>
      <c r="J1910" s="699" t="s">
        <v>63</v>
      </c>
      <c r="K1910" s="699" t="s">
        <v>64</v>
      </c>
      <c r="L1910" s="699" t="s">
        <v>65</v>
      </c>
      <c r="M1910" s="743" t="s">
        <v>66</v>
      </c>
      <c r="N1910" s="699" t="s">
        <v>282</v>
      </c>
      <c r="O1910" s="745" t="s">
        <v>67</v>
      </c>
      <c r="P1910" s="746"/>
      <c r="Q1910" s="102" t="s">
        <v>75</v>
      </c>
      <c r="R1910" s="731" t="s">
        <v>22</v>
      </c>
      <c r="S1910" s="732"/>
      <c r="T1910" s="733"/>
      <c r="U1910" s="712" t="s">
        <v>298</v>
      </c>
      <c r="W1910" s="690" t="s">
        <v>268</v>
      </c>
      <c r="X1910" s="691"/>
      <c r="Y1910" s="692"/>
      <c r="Z1910" s="428"/>
      <c r="AA1910" s="697" t="s">
        <v>315</v>
      </c>
      <c r="AB1910" s="695" t="s">
        <v>322</v>
      </c>
      <c r="AC1910" s="49"/>
      <c r="AD1910" s="690" t="s">
        <v>297</v>
      </c>
      <c r="AE1910" s="691"/>
      <c r="AF1910" s="692"/>
      <c r="AG1910" s="49"/>
      <c r="AH1910" s="87"/>
      <c r="AI1910" s="87"/>
    </row>
    <row r="1911" spans="1:35" ht="72" hidden="1">
      <c r="A1911" s="44"/>
      <c r="B1911" s="710"/>
      <c r="C1911" s="553" t="s">
        <v>68</v>
      </c>
      <c r="D1911" s="73" t="s">
        <v>3</v>
      </c>
      <c r="E1911" s="73" t="s">
        <v>19</v>
      </c>
      <c r="F1911" s="73" t="s">
        <v>69</v>
      </c>
      <c r="G1911" s="74" t="s">
        <v>70</v>
      </c>
      <c r="H1911" s="700"/>
      <c r="I1911" s="700"/>
      <c r="J1911" s="700"/>
      <c r="K1911" s="700"/>
      <c r="L1911" s="700"/>
      <c r="M1911" s="744"/>
      <c r="N1911" s="700"/>
      <c r="O1911" s="553" t="s">
        <v>279</v>
      </c>
      <c r="P1911" s="73" t="s">
        <v>88</v>
      </c>
      <c r="Q1911" s="555" t="s">
        <v>76</v>
      </c>
      <c r="R1911" s="734"/>
      <c r="S1911" s="735"/>
      <c r="T1911" s="736"/>
      <c r="U1911" s="712"/>
      <c r="W1911" s="429" t="s">
        <v>269</v>
      </c>
      <c r="X1911" s="457" t="s">
        <v>278</v>
      </c>
      <c r="Y1911" s="430" t="s">
        <v>324</v>
      </c>
      <c r="Z1911" s="428"/>
      <c r="AA1911" s="698"/>
      <c r="AB1911" s="696"/>
      <c r="AC1911" s="49"/>
      <c r="AD1911" s="429" t="s">
        <v>292</v>
      </c>
      <c r="AE1911" s="431" t="s">
        <v>300</v>
      </c>
      <c r="AF1911" s="468" t="s">
        <v>301</v>
      </c>
      <c r="AG1911" s="49"/>
      <c r="AH1911" s="87"/>
      <c r="AI1911" s="87"/>
    </row>
    <row r="1912" spans="1:35" hidden="1">
      <c r="A1912" s="44"/>
      <c r="B1912" s="76"/>
      <c r="C1912" s="77"/>
      <c r="D1912" s="77"/>
      <c r="E1912" s="77"/>
      <c r="F1912" s="77"/>
      <c r="G1912" s="77"/>
      <c r="H1912" s="77"/>
      <c r="I1912" s="77"/>
      <c r="J1912" s="77"/>
      <c r="K1912" s="77"/>
      <c r="L1912" s="77"/>
      <c r="M1912" s="77"/>
      <c r="N1912" s="77"/>
      <c r="O1912" s="77"/>
      <c r="P1912" s="77"/>
      <c r="Q1912" s="77"/>
      <c r="R1912" s="77"/>
      <c r="S1912" s="78"/>
      <c r="T1912" s="79"/>
      <c r="U1912" s="109"/>
      <c r="V1912" s="49"/>
      <c r="W1912" s="432"/>
      <c r="X1912" s="454"/>
      <c r="Y1912" s="433"/>
      <c r="Z1912" s="6"/>
      <c r="AA1912" s="500"/>
      <c r="AB1912" s="562"/>
      <c r="AC1912" s="49"/>
      <c r="AD1912" s="210"/>
      <c r="AE1912" s="434"/>
      <c r="AF1912" s="435"/>
      <c r="AG1912" s="49"/>
      <c r="AH1912" s="87"/>
      <c r="AI1912" s="87"/>
    </row>
    <row r="1913" spans="1:35" hidden="1">
      <c r="A1913" s="80" t="e">
        <f>"A"&amp;E1909</f>
        <v>#N/A</v>
      </c>
      <c r="B1913" s="81">
        <v>1</v>
      </c>
      <c r="C1913" s="82"/>
      <c r="D1913" s="82"/>
      <c r="E1913" s="82"/>
      <c r="F1913" s="82"/>
      <c r="G1913" s="83"/>
      <c r="H1913" s="83"/>
      <c r="I1913" s="84"/>
      <c r="J1913" s="85"/>
      <c r="K1913" s="382"/>
      <c r="L1913" s="85"/>
      <c r="M1913" s="332" t="str">
        <f t="shared" ref="M1913:M1922" si="556">IF(OR(J1913="",L1913="",H1913="NO"),"",IF(OR(J1913&gt;$P$17,J1913&lt;$O$17,L1913&gt;$P$17,AND(J1913&lt;$O$17,L1913&lt;$O$17)),"FUERA DE RANGO",IF(OR(K1913="---",K1913=""),IF(J1913&gt;=$O$17,ROUND((L1913-J1913+1)/360*12,3),ROUND((L1913-$O$17+1)/360*12,3)),IF(J1913&gt;=$O$17,ROUND((L1913-J1913+1)/360*12-ROUND(K1913,3),3),ROUND((L1913-$O$17+1)/360*12-ROUND(K1913,3),3)))))</f>
        <v/>
      </c>
      <c r="N1913" s="86"/>
      <c r="O1913" s="453" t="str">
        <f>IF(OR(G1913="",N1913=""),"",N1913*G1913)</f>
        <v/>
      </c>
      <c r="P1913" s="538" t="str">
        <f>IF(OR(H1913="",M1913="FUERA DE RANGO"),"",IF(OR(L1913&lt;$O$17,L1913&gt;$P$17,L1913="",H1913="NO"),"",IF(OR(N1913="",O1913=""),"",ROUND(O1913,3))))</f>
        <v/>
      </c>
      <c r="Q1913" s="539" t="str">
        <f t="shared" ref="Q1913:Q1922" si="557">IF(AND(H1913="SI",P1913&lt;&gt;""),ROUND(P1913/M1913,3),"")</f>
        <v/>
      </c>
      <c r="R1913" s="737"/>
      <c r="S1913" s="738"/>
      <c r="T1913" s="739"/>
      <c r="U1913" s="470"/>
      <c r="V1913" s="165"/>
      <c r="W1913" s="446"/>
      <c r="X1913" s="456"/>
      <c r="Y1913" s="436"/>
      <c r="Z1913" s="437"/>
      <c r="AA1913" s="560"/>
      <c r="AB1913" s="561"/>
      <c r="AC1913" s="87"/>
      <c r="AD1913" s="466"/>
      <c r="AE1913" s="456"/>
      <c r="AF1913" s="467"/>
      <c r="AG1913" s="87"/>
      <c r="AH1913" s="87"/>
      <c r="AI1913" s="87"/>
    </row>
    <row r="1914" spans="1:35" hidden="1">
      <c r="A1914" s="80" t="e">
        <f>"B"&amp;E1909</f>
        <v>#N/A</v>
      </c>
      <c r="B1914" s="81">
        <v>2</v>
      </c>
      <c r="C1914" s="106"/>
      <c r="D1914" s="106"/>
      <c r="E1914" s="106"/>
      <c r="F1914" s="106"/>
      <c r="G1914" s="83"/>
      <c r="H1914" s="83"/>
      <c r="I1914" s="84"/>
      <c r="J1914" s="85"/>
      <c r="K1914" s="382"/>
      <c r="L1914" s="85"/>
      <c r="M1914" s="332" t="str">
        <f t="shared" si="556"/>
        <v/>
      </c>
      <c r="N1914" s="86"/>
      <c r="O1914" s="453" t="str">
        <f t="shared" ref="O1914:O1922" si="558">IF(OR(G1914="",N1914=""),"",N1914*G1914)</f>
        <v/>
      </c>
      <c r="P1914" s="538" t="str">
        <f t="shared" ref="P1914:P1922" si="559">IF(OR(H1914="",M1914="FUERA DE RANGO"),"",IF(OR(L1914&lt;$O$17,L1914&gt;$P$17,L1914="",H1914="NO"),"",IF(OR(N1914="",O1914=""),"",ROUND(O1914,3))))</f>
        <v/>
      </c>
      <c r="Q1914" s="539" t="str">
        <f t="shared" si="557"/>
        <v/>
      </c>
      <c r="R1914" s="740"/>
      <c r="S1914" s="741"/>
      <c r="T1914" s="742"/>
      <c r="U1914" s="471"/>
      <c r="V1914" s="165"/>
      <c r="W1914" s="446"/>
      <c r="X1914" s="456"/>
      <c r="Y1914" s="436"/>
      <c r="Z1914" s="437"/>
      <c r="AA1914" s="560"/>
      <c r="AB1914" s="561"/>
      <c r="AC1914" s="87"/>
      <c r="AD1914" s="466"/>
      <c r="AE1914" s="456"/>
      <c r="AF1914" s="467"/>
      <c r="AG1914" s="87"/>
      <c r="AH1914" s="87"/>
      <c r="AI1914" s="87"/>
    </row>
    <row r="1915" spans="1:35" hidden="1">
      <c r="A1915" s="80" t="e">
        <f>"C"&amp;E1909</f>
        <v>#N/A</v>
      </c>
      <c r="B1915" s="88">
        <v>3</v>
      </c>
      <c r="C1915" s="82"/>
      <c r="D1915" s="82"/>
      <c r="E1915" s="82"/>
      <c r="F1915" s="82"/>
      <c r="G1915" s="83"/>
      <c r="H1915" s="83"/>
      <c r="I1915" s="84"/>
      <c r="J1915" s="85"/>
      <c r="K1915" s="382"/>
      <c r="L1915" s="85"/>
      <c r="M1915" s="332" t="str">
        <f t="shared" si="556"/>
        <v/>
      </c>
      <c r="N1915" s="86"/>
      <c r="O1915" s="453" t="str">
        <f t="shared" si="558"/>
        <v/>
      </c>
      <c r="P1915" s="538" t="str">
        <f t="shared" si="559"/>
        <v/>
      </c>
      <c r="Q1915" s="539" t="str">
        <f t="shared" si="557"/>
        <v/>
      </c>
      <c r="R1915" s="706"/>
      <c r="S1915" s="707"/>
      <c r="T1915" s="708"/>
      <c r="U1915" s="472"/>
      <c r="V1915" s="166"/>
      <c r="W1915" s="446"/>
      <c r="X1915" s="456"/>
      <c r="Y1915" s="436"/>
      <c r="Z1915" s="437"/>
      <c r="AA1915" s="560"/>
      <c r="AB1915" s="561"/>
      <c r="AC1915" s="87"/>
      <c r="AD1915" s="466"/>
      <c r="AE1915" s="456"/>
      <c r="AF1915" s="467"/>
      <c r="AG1915" s="87"/>
      <c r="AH1915" s="87"/>
      <c r="AI1915" s="87"/>
    </row>
    <row r="1916" spans="1:35" hidden="1">
      <c r="A1916" s="80" t="e">
        <f>"D"&amp;E1909</f>
        <v>#N/A</v>
      </c>
      <c r="B1916" s="105">
        <v>4</v>
      </c>
      <c r="C1916" s="107"/>
      <c r="D1916" s="107"/>
      <c r="E1916" s="107"/>
      <c r="F1916" s="107"/>
      <c r="G1916" s="83"/>
      <c r="H1916" s="83"/>
      <c r="I1916" s="84"/>
      <c r="J1916" s="85"/>
      <c r="K1916" s="382"/>
      <c r="L1916" s="85"/>
      <c r="M1916" s="332" t="str">
        <f t="shared" si="556"/>
        <v/>
      </c>
      <c r="N1916" s="86"/>
      <c r="O1916" s="453" t="str">
        <f t="shared" si="558"/>
        <v/>
      </c>
      <c r="P1916" s="538" t="str">
        <f t="shared" si="559"/>
        <v/>
      </c>
      <c r="Q1916" s="539" t="str">
        <f t="shared" si="557"/>
        <v/>
      </c>
      <c r="R1916" s="706"/>
      <c r="S1916" s="707"/>
      <c r="T1916" s="708"/>
      <c r="U1916" s="472"/>
      <c r="V1916" s="166"/>
      <c r="W1916" s="446"/>
      <c r="X1916" s="456"/>
      <c r="Y1916" s="436"/>
      <c r="Z1916" s="437"/>
      <c r="AA1916" s="560"/>
      <c r="AB1916" s="561"/>
      <c r="AC1916" s="87"/>
      <c r="AD1916" s="466"/>
      <c r="AE1916" s="456"/>
      <c r="AF1916" s="467"/>
      <c r="AG1916" s="87"/>
      <c r="AH1916" s="87"/>
      <c r="AI1916" s="87"/>
    </row>
    <row r="1917" spans="1:35" hidden="1">
      <c r="A1917" s="80" t="e">
        <f>"E"&amp;E1909</f>
        <v>#N/A</v>
      </c>
      <c r="B1917" s="105">
        <v>5</v>
      </c>
      <c r="C1917" s="107"/>
      <c r="D1917" s="107"/>
      <c r="E1917" s="107"/>
      <c r="F1917" s="107"/>
      <c r="G1917" s="83"/>
      <c r="H1917" s="83"/>
      <c r="I1917" s="84"/>
      <c r="J1917" s="85"/>
      <c r="K1917" s="382"/>
      <c r="L1917" s="85"/>
      <c r="M1917" s="332" t="str">
        <f t="shared" si="556"/>
        <v/>
      </c>
      <c r="N1917" s="86"/>
      <c r="O1917" s="453" t="str">
        <f t="shared" si="558"/>
        <v/>
      </c>
      <c r="P1917" s="538" t="str">
        <f t="shared" si="559"/>
        <v/>
      </c>
      <c r="Q1917" s="539" t="str">
        <f t="shared" si="557"/>
        <v/>
      </c>
      <c r="R1917" s="706"/>
      <c r="S1917" s="707"/>
      <c r="T1917" s="708"/>
      <c r="U1917" s="472"/>
      <c r="V1917" s="167"/>
      <c r="W1917" s="446"/>
      <c r="X1917" s="456"/>
      <c r="Y1917" s="436"/>
      <c r="Z1917" s="437"/>
      <c r="AA1917" s="560"/>
      <c r="AB1917" s="561"/>
      <c r="AC1917" s="87"/>
      <c r="AD1917" s="466"/>
      <c r="AE1917" s="456"/>
      <c r="AF1917" s="467"/>
      <c r="AG1917" s="87"/>
      <c r="AH1917" s="87"/>
      <c r="AI1917" s="87"/>
    </row>
    <row r="1918" spans="1:35" hidden="1">
      <c r="A1918" s="80" t="e">
        <f>"F"&amp;E1909</f>
        <v>#N/A</v>
      </c>
      <c r="B1918" s="105">
        <v>6</v>
      </c>
      <c r="C1918" s="107"/>
      <c r="D1918" s="107"/>
      <c r="E1918" s="107"/>
      <c r="F1918" s="107"/>
      <c r="G1918" s="83"/>
      <c r="H1918" s="83"/>
      <c r="I1918" s="84"/>
      <c r="J1918" s="85"/>
      <c r="K1918" s="382"/>
      <c r="L1918" s="85"/>
      <c r="M1918" s="332" t="str">
        <f t="shared" si="556"/>
        <v/>
      </c>
      <c r="N1918" s="86"/>
      <c r="O1918" s="453" t="str">
        <f t="shared" si="558"/>
        <v/>
      </c>
      <c r="P1918" s="538" t="str">
        <f t="shared" si="559"/>
        <v/>
      </c>
      <c r="Q1918" s="539" t="str">
        <f t="shared" si="557"/>
        <v/>
      </c>
      <c r="R1918" s="706"/>
      <c r="S1918" s="707"/>
      <c r="T1918" s="708"/>
      <c r="U1918" s="472"/>
      <c r="V1918" s="167"/>
      <c r="W1918" s="446"/>
      <c r="X1918" s="456"/>
      <c r="Y1918" s="436"/>
      <c r="Z1918" s="437"/>
      <c r="AA1918" s="560"/>
      <c r="AB1918" s="561"/>
      <c r="AC1918" s="87"/>
      <c r="AD1918" s="466"/>
      <c r="AE1918" s="456"/>
      <c r="AF1918" s="467"/>
      <c r="AG1918" s="87"/>
      <c r="AH1918" s="87"/>
      <c r="AI1918" s="87"/>
    </row>
    <row r="1919" spans="1:35" hidden="1">
      <c r="A1919" s="80" t="e">
        <f>"G"&amp;E1909</f>
        <v>#N/A</v>
      </c>
      <c r="B1919" s="105">
        <v>7</v>
      </c>
      <c r="C1919" s="107"/>
      <c r="D1919" s="107"/>
      <c r="E1919" s="107"/>
      <c r="F1919" s="107"/>
      <c r="G1919" s="83"/>
      <c r="H1919" s="83"/>
      <c r="I1919" s="84"/>
      <c r="J1919" s="85"/>
      <c r="K1919" s="382"/>
      <c r="L1919" s="85"/>
      <c r="M1919" s="332" t="str">
        <f t="shared" si="556"/>
        <v/>
      </c>
      <c r="N1919" s="86"/>
      <c r="O1919" s="86" t="str">
        <f t="shared" si="558"/>
        <v/>
      </c>
      <c r="P1919" s="538" t="str">
        <f t="shared" si="559"/>
        <v/>
      </c>
      <c r="Q1919" s="539" t="str">
        <f t="shared" si="557"/>
        <v/>
      </c>
      <c r="R1919" s="706"/>
      <c r="S1919" s="707"/>
      <c r="T1919" s="708"/>
      <c r="U1919" s="472"/>
      <c r="V1919" s="167"/>
      <c r="W1919" s="446"/>
      <c r="X1919" s="456"/>
      <c r="Y1919" s="436"/>
      <c r="Z1919" s="437"/>
      <c r="AA1919" s="560"/>
      <c r="AB1919" s="561"/>
      <c r="AC1919" s="87"/>
      <c r="AD1919" s="466"/>
      <c r="AE1919" s="456"/>
      <c r="AF1919" s="467"/>
      <c r="AG1919" s="87"/>
      <c r="AH1919" s="87"/>
      <c r="AI1919" s="87"/>
    </row>
    <row r="1920" spans="1:35" hidden="1">
      <c r="A1920" s="80" t="e">
        <f>"H"&amp;E1909</f>
        <v>#N/A</v>
      </c>
      <c r="B1920" s="105">
        <v>8</v>
      </c>
      <c r="C1920" s="107"/>
      <c r="D1920" s="107"/>
      <c r="E1920" s="107"/>
      <c r="F1920" s="107"/>
      <c r="G1920" s="83"/>
      <c r="H1920" s="83"/>
      <c r="I1920" s="84"/>
      <c r="J1920" s="85"/>
      <c r="K1920" s="382"/>
      <c r="L1920" s="85"/>
      <c r="M1920" s="332" t="str">
        <f t="shared" si="556"/>
        <v/>
      </c>
      <c r="N1920" s="453"/>
      <c r="O1920" s="86" t="str">
        <f t="shared" si="558"/>
        <v/>
      </c>
      <c r="P1920" s="538" t="str">
        <f t="shared" si="559"/>
        <v/>
      </c>
      <c r="Q1920" s="539" t="str">
        <f t="shared" si="557"/>
        <v/>
      </c>
      <c r="R1920" s="706"/>
      <c r="S1920" s="707"/>
      <c r="T1920" s="708"/>
      <c r="U1920" s="472"/>
      <c r="V1920" s="167"/>
      <c r="W1920" s="446"/>
      <c r="X1920" s="456"/>
      <c r="Y1920" s="436"/>
      <c r="Z1920" s="437"/>
      <c r="AA1920" s="560"/>
      <c r="AB1920" s="561"/>
      <c r="AC1920" s="87"/>
      <c r="AD1920" s="466"/>
      <c r="AE1920" s="456"/>
      <c r="AF1920" s="467"/>
      <c r="AG1920" s="87"/>
      <c r="AH1920" s="87"/>
      <c r="AI1920" s="87"/>
    </row>
    <row r="1921" spans="1:35" hidden="1">
      <c r="A1921" s="80" t="e">
        <f>"I"&amp;E1909</f>
        <v>#N/A</v>
      </c>
      <c r="B1921" s="105">
        <v>9</v>
      </c>
      <c r="C1921" s="107"/>
      <c r="D1921" s="107"/>
      <c r="E1921" s="107"/>
      <c r="F1921" s="107"/>
      <c r="G1921" s="83"/>
      <c r="H1921" s="83"/>
      <c r="I1921" s="84"/>
      <c r="J1921" s="85"/>
      <c r="K1921" s="382"/>
      <c r="L1921" s="85"/>
      <c r="M1921" s="332" t="str">
        <f t="shared" si="556"/>
        <v/>
      </c>
      <c r="N1921" s="453"/>
      <c r="O1921" s="86" t="str">
        <f t="shared" si="558"/>
        <v/>
      </c>
      <c r="P1921" s="538" t="str">
        <f t="shared" si="559"/>
        <v/>
      </c>
      <c r="Q1921" s="539" t="str">
        <f t="shared" si="557"/>
        <v/>
      </c>
      <c r="R1921" s="706"/>
      <c r="S1921" s="707"/>
      <c r="T1921" s="708"/>
      <c r="U1921" s="472"/>
      <c r="V1921" s="167"/>
      <c r="W1921" s="446"/>
      <c r="X1921" s="456"/>
      <c r="Y1921" s="436"/>
      <c r="Z1921" s="437"/>
      <c r="AA1921" s="560"/>
      <c r="AB1921" s="561"/>
      <c r="AC1921" s="87"/>
      <c r="AD1921" s="466"/>
      <c r="AE1921" s="456"/>
      <c r="AF1921" s="467"/>
      <c r="AG1921" s="87"/>
      <c r="AH1921" s="87"/>
      <c r="AI1921" s="87"/>
    </row>
    <row r="1922" spans="1:35" hidden="1">
      <c r="A1922" s="80" t="e">
        <f>"J"&amp;E1909</f>
        <v>#N/A</v>
      </c>
      <c r="B1922" s="105">
        <v>10</v>
      </c>
      <c r="C1922" s="107"/>
      <c r="D1922" s="107"/>
      <c r="E1922" s="107"/>
      <c r="F1922" s="107"/>
      <c r="G1922" s="83"/>
      <c r="H1922" s="83"/>
      <c r="I1922" s="84"/>
      <c r="J1922" s="85"/>
      <c r="K1922" s="382"/>
      <c r="L1922" s="85"/>
      <c r="M1922" s="332" t="str">
        <f t="shared" si="556"/>
        <v/>
      </c>
      <c r="N1922" s="453"/>
      <c r="O1922" s="86" t="str">
        <f t="shared" si="558"/>
        <v/>
      </c>
      <c r="P1922" s="538" t="str">
        <f t="shared" si="559"/>
        <v/>
      </c>
      <c r="Q1922" s="539" t="str">
        <f t="shared" si="557"/>
        <v/>
      </c>
      <c r="R1922" s="706"/>
      <c r="S1922" s="707"/>
      <c r="T1922" s="708"/>
      <c r="U1922" s="472"/>
      <c r="V1922" s="167"/>
      <c r="W1922" s="446"/>
      <c r="X1922" s="456"/>
      <c r="Y1922" s="436"/>
      <c r="Z1922" s="437"/>
      <c r="AA1922" s="560"/>
      <c r="AB1922" s="561"/>
      <c r="AC1922" s="87"/>
      <c r="AD1922" s="466"/>
      <c r="AE1922" s="456"/>
      <c r="AF1922" s="467"/>
      <c r="AG1922" s="87"/>
      <c r="AH1922" s="87"/>
      <c r="AI1922" s="87"/>
    </row>
    <row r="1923" spans="1:35" ht="16.5" hidden="1" thickBot="1">
      <c r="A1923" s="44"/>
      <c r="B1923" s="89"/>
      <c r="C1923" s="90"/>
      <c r="D1923" s="90"/>
      <c r="E1923" s="90"/>
      <c r="F1923" s="90"/>
      <c r="G1923" s="90"/>
      <c r="H1923" s="90"/>
      <c r="I1923" s="90"/>
      <c r="J1923" s="90"/>
      <c r="K1923" s="90"/>
      <c r="L1923" s="90"/>
      <c r="M1923" s="90"/>
      <c r="N1923" s="90"/>
      <c r="O1923" s="90"/>
      <c r="P1923" s="90"/>
      <c r="Q1923" s="90"/>
      <c r="R1923" s="90"/>
      <c r="S1923" s="91"/>
      <c r="T1923" s="92"/>
      <c r="U1923" s="473"/>
      <c r="W1923" s="438"/>
      <c r="X1923" s="455"/>
      <c r="Y1923" s="439"/>
      <c r="Z1923" s="437"/>
      <c r="AA1923" s="530"/>
      <c r="AB1923" s="563"/>
      <c r="AC1923" s="87"/>
      <c r="AD1923" s="440"/>
      <c r="AE1923" s="441"/>
      <c r="AF1923" s="442"/>
      <c r="AG1923" s="49"/>
      <c r="AH1923" s="87"/>
      <c r="AI1923" s="87"/>
    </row>
    <row r="1924" spans="1:35" ht="16.5" hidden="1" thickBot="1">
      <c r="A1924" s="93"/>
      <c r="B1924" s="94"/>
      <c r="C1924" s="96"/>
      <c r="D1924" s="96"/>
      <c r="E1924" s="96"/>
      <c r="F1924" s="96"/>
      <c r="G1924" s="96"/>
      <c r="H1924" s="96"/>
      <c r="I1924" s="96"/>
      <c r="J1924" s="96"/>
      <c r="K1924" s="96"/>
      <c r="L1924" s="96"/>
      <c r="M1924" s="136"/>
      <c r="N1924" s="96"/>
      <c r="O1924" s="96"/>
      <c r="P1924" s="97"/>
      <c r="Q1924" s="97"/>
      <c r="R1924" s="98"/>
      <c r="S1924" s="95"/>
      <c r="T1924" s="99"/>
      <c r="U1924" s="469"/>
      <c r="AC1924" s="58"/>
      <c r="AG1924" s="58"/>
      <c r="AH1924" s="87"/>
      <c r="AI1924" s="87"/>
    </row>
    <row r="1925" spans="1:35" ht="16.5" hidden="1" thickBot="1">
      <c r="B1925" s="101"/>
      <c r="C1925" s="101"/>
      <c r="D1925" s="101"/>
      <c r="E1925" s="101"/>
      <c r="F1925" s="101"/>
      <c r="G1925" s="101"/>
      <c r="H1925" s="101"/>
      <c r="I1925" s="101"/>
      <c r="J1925" s="101"/>
      <c r="K1925" s="101"/>
      <c r="L1925" s="101"/>
      <c r="M1925" s="101"/>
      <c r="N1925" s="101"/>
      <c r="O1925" s="101"/>
      <c r="P1925" s="101"/>
      <c r="Q1925" s="101"/>
      <c r="R1925" s="101"/>
      <c r="S1925" s="101"/>
      <c r="U1925" s="50"/>
      <c r="AH1925" s="87"/>
      <c r="AI1925" s="87"/>
    </row>
    <row r="1926" spans="1:35" ht="16.5" hidden="1" customHeight="1" thickBot="1">
      <c r="A1926" s="44"/>
      <c r="B1926" s="705" t="s">
        <v>74</v>
      </c>
      <c r="C1926" s="705"/>
      <c r="D1926" s="705"/>
      <c r="E1926" s="705"/>
      <c r="F1926" s="705"/>
      <c r="G1926" s="705"/>
      <c r="H1926" s="705"/>
      <c r="I1926" s="705"/>
      <c r="J1926" s="705"/>
      <c r="K1926" s="705"/>
      <c r="L1926" s="705"/>
      <c r="M1926" s="705"/>
      <c r="N1926" s="705"/>
      <c r="O1926" s="705"/>
      <c r="P1926" s="705"/>
      <c r="Q1926" s="705"/>
      <c r="R1926" s="705"/>
      <c r="S1926" s="705"/>
      <c r="T1926" s="705"/>
      <c r="U1926" s="108"/>
      <c r="Y1926" s="532" t="s">
        <v>341</v>
      </c>
      <c r="AC1926" s="49"/>
      <c r="AD1926" s="687" t="s">
        <v>302</v>
      </c>
      <c r="AE1926" s="688"/>
      <c r="AF1926" s="689"/>
      <c r="AG1926" s="49"/>
      <c r="AH1926" s="87"/>
      <c r="AI1926" s="87"/>
    </row>
    <row r="1927" spans="1:35" ht="15.75" hidden="1" customHeight="1" thickBot="1">
      <c r="A1927" s="218" t="e">
        <f>"K"&amp;E1909</f>
        <v>#N/A</v>
      </c>
      <c r="B1927" s="701" t="s">
        <v>71</v>
      </c>
      <c r="C1927" s="751" t="s">
        <v>102</v>
      </c>
      <c r="D1927" s="751"/>
      <c r="E1927" s="751"/>
      <c r="F1927" s="751"/>
      <c r="G1927" s="751"/>
      <c r="H1927" s="751"/>
      <c r="I1927" s="751"/>
      <c r="J1927" s="751"/>
      <c r="K1927" s="751"/>
      <c r="L1927" s="722" t="s">
        <v>100</v>
      </c>
      <c r="M1927" s="747" t="s">
        <v>114</v>
      </c>
      <c r="N1927" s="747"/>
      <c r="O1927" s="747"/>
      <c r="P1927" s="747"/>
      <c r="Q1927" s="748"/>
      <c r="R1927" s="758" t="s">
        <v>280</v>
      </c>
      <c r="S1927" s="748"/>
      <c r="T1927" s="762" t="str">
        <f>IF(COUNTIF(AE1927:AF1927,"VERIFICAR")&gt;0,"VERIFICAR",IF(COUNTIF(AE1927:AF1927,"NO CUMPLE")&gt;0,"NO CUMPLE","CUMPLE"))</f>
        <v>VERIFICAR</v>
      </c>
      <c r="U1927" s="108"/>
      <c r="Y1927" s="533" t="e">
        <f>IF(F1928="","",IF(F1928=1,"INDIVIDUAL","ESTRUCTURA PLURAL"))</f>
        <v>#N/A</v>
      </c>
      <c r="AC1927" s="52"/>
      <c r="AD1927" s="475" t="s">
        <v>303</v>
      </c>
      <c r="AE1927" s="476" t="str">
        <f>IF(COUNTIF(AE1913:AE1922,"")=10,"VERIFICAR",IF(COUNTIF(AE1913:AE1922,"SI")&gt;0,"CUMPLE","NO CUMPLE"))</f>
        <v>VERIFICAR</v>
      </c>
      <c r="AF1927" s="477" t="str">
        <f>IF(COUNTIF(AF1913:AF1922,"")=10,"VERIFICAR",IF(COUNTIF(AF1913:AF1922,"SI")&gt;=$AI$22,"CUMPLE","NO CUMPLE"))</f>
        <v>VERIFICAR</v>
      </c>
      <c r="AG1927" s="52"/>
      <c r="AH1927" s="87"/>
      <c r="AI1927" s="87"/>
    </row>
    <row r="1928" spans="1:35" ht="16.5" hidden="1" customHeight="1" thickBot="1">
      <c r="A1928" s="218" t="e">
        <f>"L"&amp;E1909</f>
        <v>#N/A</v>
      </c>
      <c r="B1928" s="702"/>
      <c r="C1928" s="751" t="s">
        <v>103</v>
      </c>
      <c r="D1928" s="751"/>
      <c r="E1928" s="752"/>
      <c r="F1928" s="557" t="e">
        <f>IF(VLOOKUP(E1909,PROPONENTES!$C$19:$E$218,3,0)="","",VLOOKUP(E1909,PROPONENTES!$C$19:$E$218,3,0))</f>
        <v>#N/A</v>
      </c>
      <c r="G1928" s="753" t="s">
        <v>104</v>
      </c>
      <c r="H1928" s="751"/>
      <c r="I1928" s="715" t="e">
        <f>IF(OR(F1928="",F1928=1),"INTERESADO PERSONA NATURAL O JURIDICA","CONSORCIO O UNION TEMPORAL")</f>
        <v>#N/A</v>
      </c>
      <c r="J1928" s="725"/>
      <c r="K1928" s="728"/>
      <c r="L1928" s="723"/>
      <c r="M1928" s="749"/>
      <c r="N1928" s="749"/>
      <c r="O1928" s="749"/>
      <c r="P1928" s="749"/>
      <c r="Q1928" s="750"/>
      <c r="R1928" s="712"/>
      <c r="S1928" s="750"/>
      <c r="T1928" s="763"/>
      <c r="U1928" s="108"/>
      <c r="Y1928" s="534"/>
      <c r="AA1928" s="52"/>
      <c r="AB1928" s="52"/>
      <c r="AC1928" s="52"/>
      <c r="AG1928" s="52"/>
      <c r="AH1928" s="87"/>
      <c r="AI1928" s="87"/>
    </row>
    <row r="1929" spans="1:35" ht="56.25" hidden="1" customHeight="1" thickBot="1">
      <c r="A1929" s="218" t="e">
        <f>"M"&amp;E1909</f>
        <v>#N/A</v>
      </c>
      <c r="B1929" s="702"/>
      <c r="C1929" s="725" t="s">
        <v>101</v>
      </c>
      <c r="D1929" s="716"/>
      <c r="E1929" s="558" t="s">
        <v>105</v>
      </c>
      <c r="F1929" s="554" t="s">
        <v>87</v>
      </c>
      <c r="G1929" s="553" t="s">
        <v>86</v>
      </c>
      <c r="H1929" s="559" t="s">
        <v>85</v>
      </c>
      <c r="I1929" s="554" t="s">
        <v>252</v>
      </c>
      <c r="J1929" s="553" t="str">
        <f>"¿EL INTEGRANTE TIENE UNA PARTICIPACIÓN DEL "&amp;PORCREQUERIDOINT*100&amp;"%?"</f>
        <v>¿EL INTEGRANTE TIENE UNA PARTICIPACIÓN DEL 60%?</v>
      </c>
      <c r="K1929" s="554" t="s">
        <v>107</v>
      </c>
      <c r="L1929" s="724"/>
      <c r="M1929" s="717" t="s">
        <v>115</v>
      </c>
      <c r="N1929" s="718"/>
      <c r="O1929" s="718"/>
      <c r="P1929" s="718"/>
      <c r="Q1929" s="223">
        <f>IF(AND(H1913="SI",P1913&gt;=0),1,0)+IF(AND(H1914="SI",P1914&gt;=0),1,0)+IF(AND(H1915="SI",P1915&gt;=0),1,0)+IF(AND(H1916="SI",P1916&gt;=0),1,0)+IF(AND(H1917="SI",P1917&gt;=0),1,0)+IF(AND(H1918="SI",P1918&gt;=0),1,0)+IF(AND(H1919="SI",P1919&gt;=0),1,0)+IF(AND(H1920="SI",P1920&gt;=0),1,0)+IF(AND(H1921="SI",P1921&gt;=0),1,0)+IF(AND(H1922="SI",P1922&gt;=0),1,0)</f>
        <v>0</v>
      </c>
      <c r="R1929" s="759"/>
      <c r="S1929" s="761"/>
      <c r="T1929" s="764"/>
      <c r="U1929" s="219"/>
      <c r="V1929" s="464"/>
      <c r="Y1929" s="532" t="s">
        <v>342</v>
      </c>
      <c r="AA1929" s="550" t="s">
        <v>344</v>
      </c>
      <c r="AB1929" s="693" t="s">
        <v>345</v>
      </c>
      <c r="AC1929" s="693" t="s">
        <v>346</v>
      </c>
      <c r="AD1929" s="685" t="s">
        <v>347</v>
      </c>
      <c r="AE1929" s="52"/>
      <c r="AF1929" s="52"/>
      <c r="AG1929" s="52"/>
      <c r="AH1929" s="87"/>
      <c r="AI1929" s="87"/>
    </row>
    <row r="1930" spans="1:35" ht="15.75" hidden="1" customHeight="1" thickBot="1">
      <c r="A1930" s="218" t="e">
        <f>"N"&amp;E1909</f>
        <v>#N/A</v>
      </c>
      <c r="B1930" s="702"/>
      <c r="C1930" s="114">
        <v>1</v>
      </c>
      <c r="D1930" s="194" t="e">
        <f>IF(AND(C1930&lt;=F1928,F1928&gt;1,F1928&lt;&gt;""),VLOOKUP(VALUE(E1909&amp;","&amp;C1930),INTEGRANTES!$D$18:$F$235,2,0),"")</f>
        <v>#N/A</v>
      </c>
      <c r="E1930" s="211" t="e">
        <f>IF(D1930&lt;&gt;"",VLOOKUP(VALUE(E1909&amp;","&amp;C1930),INTEGRANTES!$D$18:$F$235,3,0),"")</f>
        <v>#N/A</v>
      </c>
      <c r="F1930" s="547" t="e">
        <f>IF(D1930="","",SUMIF($I1913:$I1922,D1930,$P1913:$P1922))</f>
        <v>#N/A</v>
      </c>
      <c r="G1930" s="333" t="e">
        <f>IF(D1930="","",SUMIF($I1913:$I1922,D1930,$M1913:$M1922))</f>
        <v>#N/A</v>
      </c>
      <c r="H1930" s="535" t="e">
        <f t="shared" ref="H1930:H1935" si="560">IF(D1930="","",IF(OR(F1930=0,G1930=0),"NO APORTA",ROUND($F1930/$G1930,3)))</f>
        <v>#N/A</v>
      </c>
      <c r="I1930" s="212" t="e">
        <f>IF(D1930="","",IF(H1930="NO APORTA","NO",IF(H1930=MAX($H1930:$H1935),"SI","NO")))</f>
        <v>#N/A</v>
      </c>
      <c r="J1930" s="213" t="e">
        <f t="shared" ref="J1930:J1935" si="561">IF(D1930="","",IF(E1930&gt;=PORCREQUERIDOINT,"SI","NO"))</f>
        <v>#N/A</v>
      </c>
      <c r="K1930" s="200" t="e">
        <f t="shared" ref="K1930:K1935" si="562">IF(D1930="","",IF(AND(I1930="SI",J1930="SI"),"CUMPLE",IF(AND(I1930="NO",OR(J1930="SI",J1930="NO")),"","NO CUMPLE")))</f>
        <v>#N/A</v>
      </c>
      <c r="L1930" s="722" t="s">
        <v>108</v>
      </c>
      <c r="M1930" s="726" t="s">
        <v>119</v>
      </c>
      <c r="N1930" s="726"/>
      <c r="O1930" s="726"/>
      <c r="P1930" s="726"/>
      <c r="Q1930" s="727"/>
      <c r="R1930" s="758" t="s">
        <v>80</v>
      </c>
      <c r="S1930" s="747"/>
      <c r="T1930" s="748"/>
      <c r="U1930" s="219"/>
      <c r="V1930" s="464"/>
      <c r="Y1930" s="533" t="e">
        <f>IF(Y1927="","",IF(Y1927="INDIVIDUAL","NO APLICA","VERIFICAR CUADRO"))</f>
        <v>#N/A</v>
      </c>
      <c r="AA1930" s="551"/>
      <c r="AB1930" s="694"/>
      <c r="AC1930" s="694"/>
      <c r="AD1930" s="686"/>
      <c r="AE1930" s="52"/>
      <c r="AF1930" s="52"/>
      <c r="AG1930" s="52"/>
      <c r="AH1930" s="87"/>
      <c r="AI1930" s="87"/>
    </row>
    <row r="1931" spans="1:35" ht="27" hidden="1" customHeight="1" thickBot="1">
      <c r="A1931" s="218" t="e">
        <f>"O"&amp;E1909</f>
        <v>#N/A</v>
      </c>
      <c r="B1931" s="702"/>
      <c r="C1931" s="114">
        <v>2</v>
      </c>
      <c r="D1931" s="194" t="e">
        <f>IF(AND(C1931&lt;=F1928,F1928&lt;&gt;""),VLOOKUP(VALUE(E1909&amp;","&amp;C1931),INTEGRANTES!$D$18:$F$235,2,0),"")</f>
        <v>#N/A</v>
      </c>
      <c r="E1931" s="211" t="e">
        <f>IF(D1931&lt;&gt;"",VLOOKUP(VALUE(E1909&amp;","&amp;C1931),INTEGRANTES!$D$18:$F$235,3,0),"")</f>
        <v>#N/A</v>
      </c>
      <c r="F1931" s="547" t="e">
        <f>IF(D1931="","",SUMIF($I1913:$I1922,D1931,$P1913:$P1922))</f>
        <v>#N/A</v>
      </c>
      <c r="G1931" s="333" t="e">
        <f>IF(D1931="","",SUMIF($I1913:$I1922,D1931,$M1913:$M1922))</f>
        <v>#N/A</v>
      </c>
      <c r="H1931" s="535" t="e">
        <f t="shared" si="560"/>
        <v>#N/A</v>
      </c>
      <c r="I1931" s="212" t="e">
        <f>IF(D1931="","",IF(H1931="NO APORTA","NO",IF(H1931=MAX($H1930:$H1935),"SI","NO")))</f>
        <v>#N/A</v>
      </c>
      <c r="J1931" s="213" t="e">
        <f t="shared" si="561"/>
        <v>#N/A</v>
      </c>
      <c r="K1931" s="200" t="e">
        <f t="shared" si="562"/>
        <v>#N/A</v>
      </c>
      <c r="L1931" s="723"/>
      <c r="M1931" s="715" t="s">
        <v>116</v>
      </c>
      <c r="N1931" s="716"/>
      <c r="O1931" s="556" t="s">
        <v>113</v>
      </c>
      <c r="P1931" s="715" t="s">
        <v>117</v>
      </c>
      <c r="Q1931" s="728"/>
      <c r="R1931" s="759"/>
      <c r="S1931" s="760"/>
      <c r="T1931" s="761"/>
      <c r="U1931" s="219"/>
      <c r="V1931" s="464"/>
      <c r="Y1931" s="414"/>
      <c r="AA1931" s="542" t="e">
        <f>IF(AND(C1930&lt;=F1928,F1928&gt;1,F1928&lt;&gt;""),VLOOKUP(VALUE(E1909&amp;","&amp;C1930),INTEGRANTES!$D$18:$F$235,2,0),"")</f>
        <v>#N/A</v>
      </c>
      <c r="AB1931" s="544" t="e">
        <f t="shared" ref="AB1931:AB1936" si="563">IF(D1930="","",IF(OR(F1930=0,G1930=0),"NO APORTA",ROUND($F1930/$G1930,3)))</f>
        <v>#N/A</v>
      </c>
      <c r="AC1931" s="529"/>
      <c r="AD1931" s="200" t="e">
        <f t="shared" ref="AD1931:AD1936" si="564">IF(OR(AA1931="",AB1931=""),"",IF(AND(AC1931="X",AB1931&gt;=EXPREQVTD),"CUMPLE","NO CUMPLE"))</f>
        <v>#N/A</v>
      </c>
      <c r="AE1931" s="52"/>
      <c r="AF1931" s="52"/>
      <c r="AG1931" s="52"/>
      <c r="AH1931" s="87"/>
      <c r="AI1931" s="87"/>
    </row>
    <row r="1932" spans="1:35" ht="16.5" hidden="1" thickBot="1">
      <c r="A1932" s="218" t="e">
        <f>"P"&amp;E1909</f>
        <v>#N/A</v>
      </c>
      <c r="B1932" s="702"/>
      <c r="C1932" s="114">
        <v>3</v>
      </c>
      <c r="D1932" s="194" t="e">
        <f>IF(AND(C1932&lt;=F1928,F1928&lt;&gt;""),VLOOKUP(VALUE(E1909&amp;","&amp;C1932),INTEGRANTES!$D$18:$F$235,2,0),"")</f>
        <v>#N/A</v>
      </c>
      <c r="E1932" s="211" t="e">
        <f>IF(D1932&lt;&gt;"",VLOOKUP(VALUE(E1909&amp;","&amp;C1932),INTEGRANTES!$D$18:$F$235,3,0),"")</f>
        <v>#N/A</v>
      </c>
      <c r="F1932" s="547" t="e">
        <f>IF(D1932="","",SUMIF($I1913:$I1922,D1932,$P1913:$P1922))</f>
        <v>#N/A</v>
      </c>
      <c r="G1932" s="333" t="e">
        <f>IF(D1932="","",SUMIF($I1913:$I1922,D1932,$M1913:$M1922))</f>
        <v>#N/A</v>
      </c>
      <c r="H1932" s="535" t="e">
        <f t="shared" si="560"/>
        <v>#N/A</v>
      </c>
      <c r="I1932" s="212" t="e">
        <f>IF(D1932="","",IF(H1932="NO APORTA","NO",IF(H1932=MAX($H1930:$H1935),"SI","NO")))</f>
        <v>#N/A</v>
      </c>
      <c r="J1932" s="213" t="e">
        <f t="shared" si="561"/>
        <v>#N/A</v>
      </c>
      <c r="K1932" s="200" t="e">
        <f t="shared" si="562"/>
        <v>#N/A</v>
      </c>
      <c r="L1932" s="724"/>
      <c r="M1932" s="729">
        <f>NUMMOD</f>
        <v>1</v>
      </c>
      <c r="N1932" s="730"/>
      <c r="O1932" s="443">
        <f>IF(M1932="","",VLOOKUP(M1932,PRESUPUESTOS!$B$16:$H$16,5,FALSE))</f>
        <v>2</v>
      </c>
      <c r="P1932" s="713">
        <f>IF(OR(COUNTIF(M1913:M1922,"")&gt;=10,Q1929&lt;NUMMINCONT,OR(T1927="NO CUMPLE",T1927="VERIFICAR")),0,ROUND(AVERAGE(M1913:M1922),3))</f>
        <v>0</v>
      </c>
      <c r="Q1932" s="714"/>
      <c r="R1932" s="458"/>
      <c r="S1932" s="459"/>
      <c r="T1932" s="460"/>
      <c r="U1932" s="219"/>
      <c r="V1932" s="464"/>
      <c r="Y1932" s="532" t="str">
        <f>"40% * ("&amp;PRESUPUESTOS!$H$13&amp;")"</f>
        <v>40% * (50% PFMO)</v>
      </c>
      <c r="AA1932" s="540" t="e">
        <f>IF(AND(C1931&lt;=F1928,F1928&lt;&gt;""),VLOOKUP(VALUE(E1909&amp;","&amp;C1931),INTEGRANTES!$D$18:$F$235,2,0),"")</f>
        <v>#N/A</v>
      </c>
      <c r="AB1932" s="545" t="e">
        <f t="shared" si="563"/>
        <v>#N/A</v>
      </c>
      <c r="AC1932" s="529"/>
      <c r="AD1932" s="200" t="e">
        <f t="shared" si="564"/>
        <v>#N/A</v>
      </c>
      <c r="AE1932" s="52"/>
      <c r="AF1932" s="52"/>
      <c r="AG1932" s="52"/>
      <c r="AH1932" s="87"/>
      <c r="AI1932" s="87"/>
    </row>
    <row r="1933" spans="1:35" ht="15.75" hidden="1" customHeight="1" thickBot="1">
      <c r="A1933" s="218" t="e">
        <f>"Q"&amp;E1909</f>
        <v>#N/A</v>
      </c>
      <c r="B1933" s="702"/>
      <c r="C1933" s="114">
        <v>4</v>
      </c>
      <c r="D1933" s="194" t="e">
        <f>IF(AND(C1933&lt;=F1928,F1928&lt;&gt;""),VLOOKUP(VALUE(E1909&amp;","&amp;C1933),INTEGRANTES!$D$18:$F$235,2,0),"")</f>
        <v>#N/A</v>
      </c>
      <c r="E1933" s="211" t="e">
        <f>IF(D1933&lt;&gt;"",VLOOKUP(VALUE(E1909&amp;","&amp;C1933),INTEGRANTES!$D$18:$F$235,3,0),"")</f>
        <v>#N/A</v>
      </c>
      <c r="F1933" s="547" t="e">
        <f>IF(D1933="","",SUMIF($I1913:$I1922,D1933,$P1913:$P1922))</f>
        <v>#N/A</v>
      </c>
      <c r="G1933" s="333" t="e">
        <f>IF(D1933="","",SUMIF($I1913:$I1922,D1933,$M1913:$M1922))</f>
        <v>#N/A</v>
      </c>
      <c r="H1933" s="535" t="e">
        <f t="shared" si="560"/>
        <v>#N/A</v>
      </c>
      <c r="I1933" s="212" t="e">
        <f>IF(D1933="","",IF(H1933="NO APORTA","NO",IF(H1933=MAX($H1930:$H1935),"SI","NO")))</f>
        <v>#N/A</v>
      </c>
      <c r="J1933" s="213" t="e">
        <f t="shared" si="561"/>
        <v>#N/A</v>
      </c>
      <c r="K1933" s="200" t="e">
        <f t="shared" si="562"/>
        <v>#N/A</v>
      </c>
      <c r="L1933" s="720" t="s">
        <v>109</v>
      </c>
      <c r="M1933" s="757" t="s">
        <v>120</v>
      </c>
      <c r="N1933" s="726"/>
      <c r="O1933" s="726"/>
      <c r="P1933" s="726"/>
      <c r="Q1933" s="727"/>
      <c r="R1933" s="458"/>
      <c r="S1933" s="459"/>
      <c r="T1933" s="460"/>
      <c r="U1933" s="219"/>
      <c r="V1933" s="464"/>
      <c r="Y1933" s="537">
        <f>0.4*PRESUPUESTOS!$H$16</f>
        <v>10.3124</v>
      </c>
      <c r="AA1933" s="540" t="e">
        <f>IF(AND(C1932&lt;=F1928,F1928&lt;&gt;""),VLOOKUP(VALUE(E1909&amp;","&amp;C1932),INTEGRANTES!$D$18:$F$235,2,0),"")</f>
        <v>#N/A</v>
      </c>
      <c r="AB1933" s="545" t="e">
        <f t="shared" si="563"/>
        <v>#N/A</v>
      </c>
      <c r="AC1933" s="529"/>
      <c r="AD1933" s="200" t="e">
        <f t="shared" si="564"/>
        <v>#N/A</v>
      </c>
      <c r="AE1933" s="52"/>
      <c r="AF1933" s="52"/>
      <c r="AG1933" s="52"/>
      <c r="AH1933" s="87"/>
      <c r="AI1933" s="87"/>
    </row>
    <row r="1934" spans="1:35" ht="27" hidden="1" customHeight="1" thickBot="1">
      <c r="A1934" s="218" t="e">
        <f>"R"&amp;E1909</f>
        <v>#N/A</v>
      </c>
      <c r="B1934" s="702"/>
      <c r="C1934" s="114">
        <v>5</v>
      </c>
      <c r="D1934" s="194" t="e">
        <f>IF(AND(C1934&lt;=F1928,F1928&lt;&gt;""),VLOOKUP(VALUE(E1909&amp;","&amp;C1934),INTEGRANTES!$D$18:$F$235,2,0),"")</f>
        <v>#N/A</v>
      </c>
      <c r="E1934" s="211" t="e">
        <f>IF(D1934&lt;&gt;"",VLOOKUP(VALUE(E1909&amp;","&amp;C1934),INTEGRANTES!$D$18:$F$235,3,0),"")</f>
        <v>#N/A</v>
      </c>
      <c r="F1934" s="547" t="e">
        <f>IF(D1934="","",SUMIF($I1913:$I1922,D1934,$P1913:$P1922))</f>
        <v>#N/A</v>
      </c>
      <c r="G1934" s="333" t="e">
        <f>IF(D1934="","",SUMIF($I1913:$I1922,D1934,$M1913:$M1922))</f>
        <v>#N/A</v>
      </c>
      <c r="H1934" s="535" t="e">
        <f t="shared" si="560"/>
        <v>#N/A</v>
      </c>
      <c r="I1934" s="212" t="e">
        <f>IF(D1934="","",IF(H1934="NO APORTA","NO",IF(H1934=MAX($H1930:$H1935),"SI","NO")))</f>
        <v>#N/A</v>
      </c>
      <c r="J1934" s="213" t="e">
        <f t="shared" si="561"/>
        <v>#N/A</v>
      </c>
      <c r="K1934" s="200" t="e">
        <f t="shared" si="562"/>
        <v>#N/A</v>
      </c>
      <c r="L1934" s="721"/>
      <c r="M1934" s="715" t="s">
        <v>116</v>
      </c>
      <c r="N1934" s="716"/>
      <c r="O1934" s="556" t="str">
        <f>PORCREQUERIDO*100&amp;"% PMFO DEL MÓDULO"</f>
        <v>50% PMFO DEL MÓDULO</v>
      </c>
      <c r="P1934" s="715" t="s">
        <v>118</v>
      </c>
      <c r="Q1934" s="728"/>
      <c r="R1934" s="458"/>
      <c r="S1934" s="459"/>
      <c r="T1934" s="460"/>
      <c r="U1934" s="219"/>
      <c r="V1934" s="464"/>
      <c r="Y1934" s="414"/>
      <c r="AA1934" s="540" t="e">
        <f>IF(AND(C1933&lt;=F1928,F1928&lt;&gt;""),VLOOKUP(VALUE(E1909&amp;","&amp;C1933),INTEGRANTES!$D$18:$F$235,2,0),"")</f>
        <v>#N/A</v>
      </c>
      <c r="AB1934" s="545" t="e">
        <f t="shared" si="563"/>
        <v>#N/A</v>
      </c>
      <c r="AC1934" s="529"/>
      <c r="AD1934" s="200" t="e">
        <f t="shared" si="564"/>
        <v>#N/A</v>
      </c>
      <c r="AE1934" s="52"/>
      <c r="AF1934" s="52"/>
      <c r="AG1934" s="52"/>
      <c r="AH1934" s="87"/>
      <c r="AI1934" s="87"/>
    </row>
    <row r="1935" spans="1:35" ht="16.5" hidden="1" thickBot="1">
      <c r="A1935" s="218" t="e">
        <f>"S"&amp;E1909</f>
        <v>#N/A</v>
      </c>
      <c r="B1935" s="702"/>
      <c r="C1935" s="215">
        <v>6</v>
      </c>
      <c r="D1935" s="216" t="e">
        <f>IF(AND(C1935&lt;=F1928,F1928&lt;&gt;""),VLOOKUP(VALUE(E1909&amp;","&amp;C1935),INTEGRANTES!$D$18:$F$235,2,0),"")</f>
        <v>#N/A</v>
      </c>
      <c r="E1935" s="217" t="e">
        <f>IF(D1935&lt;&gt;"",VLOOKUP(VALUE(E1909&amp;","&amp;C1935),INTEGRANTES!$D$18:$F$235,3,0),"")</f>
        <v>#N/A</v>
      </c>
      <c r="F1935" s="548" t="e">
        <f>IF(D1935="","",SUMIF($I1913:$I1922,D1935,$P1913:$P1922))</f>
        <v>#N/A</v>
      </c>
      <c r="G1935" s="334" t="e">
        <f>IF(D1935="","",SUMIF($I1913:$I1922,D1935,$M1913:$M1922))</f>
        <v>#N/A</v>
      </c>
      <c r="H1935" s="536" t="e">
        <f t="shared" si="560"/>
        <v>#N/A</v>
      </c>
      <c r="I1935" s="214" t="e">
        <f>IF(D1935="","",IF(H1935="NO APORTA","NO",IF(H1935=MAX($H1930:$H1935),"SI","NO")))</f>
        <v>#N/A</v>
      </c>
      <c r="J1935" s="213" t="e">
        <f t="shared" si="561"/>
        <v>#N/A</v>
      </c>
      <c r="K1935" s="200" t="e">
        <f t="shared" si="562"/>
        <v>#N/A</v>
      </c>
      <c r="L1935" s="721"/>
      <c r="M1935" s="729">
        <f>NUMMOD</f>
        <v>1</v>
      </c>
      <c r="N1935" s="730"/>
      <c r="O1935" s="443">
        <f>IF(M1935="","",ROUND(VLOOKUP(M1935,PRESUPUESTOS!$B$16:$H$16,7,FALSE),3))</f>
        <v>25.780999999999999</v>
      </c>
      <c r="P1935" s="713">
        <f>IF(OR(COUNTIF(P1913:P1922,"")&gt;=10,Q1929&lt;NUMMINCONT,OR(T1927="NO CUMPLE",T1927="VERIFICAR")),0,ROUND((SUM(P1913:P1922)/SUM(M1913:M1922)),3))</f>
        <v>0</v>
      </c>
      <c r="Q1935" s="714"/>
      <c r="R1935" s="458"/>
      <c r="S1935" s="459"/>
      <c r="T1935" s="460"/>
      <c r="U1935" s="219"/>
      <c r="V1935" s="464"/>
      <c r="Y1935" s="532" t="s">
        <v>343</v>
      </c>
      <c r="AA1935" s="540" t="e">
        <f>IF(AND(C1934&lt;=F1928,F1928&lt;&gt;""),VLOOKUP(VALUE(E1909&amp;","&amp;C1934),INTEGRANTES!$D$18:$F$235,2,0),"")</f>
        <v>#N/A</v>
      </c>
      <c r="AB1935" s="545" t="e">
        <f t="shared" si="563"/>
        <v>#N/A</v>
      </c>
      <c r="AC1935" s="529"/>
      <c r="AD1935" s="200" t="e">
        <f t="shared" si="564"/>
        <v>#N/A</v>
      </c>
      <c r="AE1935" s="52"/>
      <c r="AF1935" s="52"/>
      <c r="AG1935" s="52"/>
      <c r="AH1935" s="87"/>
      <c r="AI1935" s="87"/>
    </row>
    <row r="1936" spans="1:35" ht="16.5" hidden="1" customHeight="1" thickBot="1">
      <c r="A1936" s="218" t="e">
        <f>"T"&amp;E1909</f>
        <v>#N/A</v>
      </c>
      <c r="B1936" s="703"/>
      <c r="C1936" s="719"/>
      <c r="D1936" s="719"/>
      <c r="E1936" s="719"/>
      <c r="F1936" s="719"/>
      <c r="G1936" s="719"/>
      <c r="H1936" s="719" t="s">
        <v>110</v>
      </c>
      <c r="I1936" s="719"/>
      <c r="J1936" s="719"/>
      <c r="K1936" s="201" t="str">
        <f>IF(COUNTIF(K1930:K1935,"")=6,"",IF(COUNTIF(K1930:K1935,"CUMPLE")&gt;0,"CUMPLE","NO CUMPLE"))</f>
        <v>NO CUMPLE</v>
      </c>
      <c r="L1936" s="754"/>
      <c r="M1936" s="755"/>
      <c r="N1936" s="755"/>
      <c r="O1936" s="755"/>
      <c r="P1936" s="755"/>
      <c r="Q1936" s="756"/>
      <c r="R1936" s="461"/>
      <c r="S1936" s="462"/>
      <c r="T1936" s="463"/>
      <c r="U1936" s="219"/>
      <c r="V1936" s="464"/>
      <c r="Y1936" s="549" t="e">
        <f>IF(Y1930="NO APLICA","NO APLICA",IF(COUNTIF(AD1931:AD1936,"CUMPLE")&gt;0,"CUMPLE","NO CUMPLE"))</f>
        <v>#N/A</v>
      </c>
      <c r="AA1936" s="541" t="e">
        <f>IF(AND(C1935&lt;=F1928,F1928&lt;&gt;""),VLOOKUP(VALUE(E1909&amp;","&amp;C1935),INTEGRANTES!$D$18:$F$235,2,0),"")</f>
        <v>#N/A</v>
      </c>
      <c r="AB1936" s="546" t="e">
        <f t="shared" si="563"/>
        <v>#N/A</v>
      </c>
      <c r="AC1936" s="543"/>
      <c r="AD1936" s="201" t="e">
        <f t="shared" si="564"/>
        <v>#N/A</v>
      </c>
      <c r="AE1936" s="52"/>
      <c r="AF1936" s="52"/>
      <c r="AG1936" s="52"/>
      <c r="AH1936" s="87"/>
      <c r="AI1936" s="87"/>
    </row>
    <row r="1937" spans="1:35" hidden="1">
      <c r="AH1937" s="87"/>
      <c r="AI1937" s="87"/>
    </row>
    <row r="1938" spans="1:35" hidden="1">
      <c r="AH1938" s="87"/>
      <c r="AI1938" s="87"/>
    </row>
    <row r="1939" spans="1:35" ht="24" hidden="1" thickBot="1">
      <c r="A1939" s="61">
        <v>65</v>
      </c>
      <c r="B1939" s="704" t="s">
        <v>51</v>
      </c>
      <c r="C1939" s="704"/>
      <c r="D1939" s="704"/>
      <c r="E1939" s="62" t="e">
        <f>VLOOKUP(A1939,PROPONENTES!$B$19:$E$218,2,FALSE)</f>
        <v>#N/A</v>
      </c>
      <c r="F1939" s="63" t="e">
        <f>VLOOKUP(A1939,PROPONENTES!$B$19:$E$218,3,FALSE)</f>
        <v>#N/A</v>
      </c>
      <c r="G1939" s="64"/>
      <c r="H1939" s="64"/>
      <c r="I1939" s="63"/>
      <c r="J1939" s="63"/>
      <c r="K1939" s="65"/>
      <c r="L1939" s="65"/>
      <c r="M1939" s="64"/>
      <c r="N1939" s="64"/>
      <c r="O1939" s="66"/>
      <c r="P1939" s="66"/>
      <c r="Q1939" s="66"/>
      <c r="R1939" s="66"/>
      <c r="S1939" s="67"/>
      <c r="T1939" s="68"/>
      <c r="U1939" s="68"/>
      <c r="AC1939" s="68"/>
      <c r="AD1939" s="68"/>
      <c r="AE1939" s="68"/>
      <c r="AF1939" s="68"/>
      <c r="AG1939" s="68"/>
      <c r="AH1939" s="87"/>
      <c r="AI1939" s="87"/>
    </row>
    <row r="1940" spans="1:35" ht="15.75" hidden="1" customHeight="1">
      <c r="A1940" s="44"/>
      <c r="B1940" s="709" t="s">
        <v>59</v>
      </c>
      <c r="C1940" s="552" t="s">
        <v>60</v>
      </c>
      <c r="D1940" s="70" t="s">
        <v>17</v>
      </c>
      <c r="E1940" s="70"/>
      <c r="F1940" s="70" t="s">
        <v>61</v>
      </c>
      <c r="G1940" s="71"/>
      <c r="H1940" s="699" t="s">
        <v>62</v>
      </c>
      <c r="I1940" s="699" t="s">
        <v>18</v>
      </c>
      <c r="J1940" s="699" t="s">
        <v>63</v>
      </c>
      <c r="K1940" s="699" t="s">
        <v>64</v>
      </c>
      <c r="L1940" s="699" t="s">
        <v>65</v>
      </c>
      <c r="M1940" s="743" t="s">
        <v>66</v>
      </c>
      <c r="N1940" s="699" t="s">
        <v>282</v>
      </c>
      <c r="O1940" s="745" t="s">
        <v>67</v>
      </c>
      <c r="P1940" s="746"/>
      <c r="Q1940" s="102" t="s">
        <v>75</v>
      </c>
      <c r="R1940" s="731" t="s">
        <v>22</v>
      </c>
      <c r="S1940" s="732"/>
      <c r="T1940" s="733"/>
      <c r="U1940" s="712" t="s">
        <v>298</v>
      </c>
      <c r="W1940" s="690" t="s">
        <v>268</v>
      </c>
      <c r="X1940" s="691"/>
      <c r="Y1940" s="692"/>
      <c r="Z1940" s="428"/>
      <c r="AA1940" s="697" t="s">
        <v>315</v>
      </c>
      <c r="AB1940" s="695" t="s">
        <v>322</v>
      </c>
      <c r="AC1940" s="49"/>
      <c r="AD1940" s="690" t="s">
        <v>297</v>
      </c>
      <c r="AE1940" s="691"/>
      <c r="AF1940" s="692"/>
      <c r="AG1940" s="49"/>
      <c r="AH1940" s="87"/>
      <c r="AI1940" s="87"/>
    </row>
    <row r="1941" spans="1:35" ht="72" hidden="1">
      <c r="A1941" s="44"/>
      <c r="B1941" s="710"/>
      <c r="C1941" s="553" t="s">
        <v>68</v>
      </c>
      <c r="D1941" s="73" t="s">
        <v>3</v>
      </c>
      <c r="E1941" s="73" t="s">
        <v>19</v>
      </c>
      <c r="F1941" s="73" t="s">
        <v>69</v>
      </c>
      <c r="G1941" s="74" t="s">
        <v>70</v>
      </c>
      <c r="H1941" s="700"/>
      <c r="I1941" s="700"/>
      <c r="J1941" s="700"/>
      <c r="K1941" s="700"/>
      <c r="L1941" s="700"/>
      <c r="M1941" s="744"/>
      <c r="N1941" s="700"/>
      <c r="O1941" s="553" t="s">
        <v>279</v>
      </c>
      <c r="P1941" s="73" t="s">
        <v>88</v>
      </c>
      <c r="Q1941" s="555" t="s">
        <v>76</v>
      </c>
      <c r="R1941" s="734"/>
      <c r="S1941" s="735"/>
      <c r="T1941" s="736"/>
      <c r="U1941" s="712"/>
      <c r="W1941" s="429" t="s">
        <v>269</v>
      </c>
      <c r="X1941" s="457" t="s">
        <v>278</v>
      </c>
      <c r="Y1941" s="430" t="s">
        <v>324</v>
      </c>
      <c r="Z1941" s="428"/>
      <c r="AA1941" s="698"/>
      <c r="AB1941" s="696"/>
      <c r="AC1941" s="49"/>
      <c r="AD1941" s="429" t="s">
        <v>292</v>
      </c>
      <c r="AE1941" s="431" t="s">
        <v>300</v>
      </c>
      <c r="AF1941" s="468" t="s">
        <v>301</v>
      </c>
      <c r="AG1941" s="49"/>
      <c r="AH1941" s="87"/>
      <c r="AI1941" s="87"/>
    </row>
    <row r="1942" spans="1:35" hidden="1">
      <c r="A1942" s="44"/>
      <c r="B1942" s="76"/>
      <c r="C1942" s="77"/>
      <c r="D1942" s="77"/>
      <c r="E1942" s="77"/>
      <c r="F1942" s="77"/>
      <c r="G1942" s="77"/>
      <c r="H1942" s="77"/>
      <c r="I1942" s="77"/>
      <c r="J1942" s="77"/>
      <c r="K1942" s="77"/>
      <c r="L1942" s="77"/>
      <c r="M1942" s="77"/>
      <c r="N1942" s="77"/>
      <c r="O1942" s="77"/>
      <c r="P1942" s="77"/>
      <c r="Q1942" s="77"/>
      <c r="R1942" s="77"/>
      <c r="S1942" s="78"/>
      <c r="T1942" s="79"/>
      <c r="U1942" s="109"/>
      <c r="V1942" s="49"/>
      <c r="W1942" s="432"/>
      <c r="X1942" s="454"/>
      <c r="Y1942" s="433"/>
      <c r="Z1942" s="6"/>
      <c r="AA1942" s="500"/>
      <c r="AB1942" s="562"/>
      <c r="AC1942" s="49"/>
      <c r="AD1942" s="210"/>
      <c r="AE1942" s="434"/>
      <c r="AF1942" s="435"/>
      <c r="AG1942" s="49"/>
      <c r="AH1942" s="87"/>
      <c r="AI1942" s="87"/>
    </row>
    <row r="1943" spans="1:35" hidden="1">
      <c r="A1943" s="80" t="e">
        <f>"A"&amp;E1939</f>
        <v>#N/A</v>
      </c>
      <c r="B1943" s="81">
        <v>1</v>
      </c>
      <c r="C1943" s="82"/>
      <c r="D1943" s="82"/>
      <c r="E1943" s="82"/>
      <c r="F1943" s="82"/>
      <c r="G1943" s="83"/>
      <c r="H1943" s="83"/>
      <c r="I1943" s="84"/>
      <c r="J1943" s="85"/>
      <c r="K1943" s="382"/>
      <c r="L1943" s="85"/>
      <c r="M1943" s="332" t="str">
        <f t="shared" ref="M1943:M1952" si="565">IF(OR(J1943="",L1943="",H1943="NO"),"",IF(OR(J1943&gt;$P$17,J1943&lt;$O$17,L1943&gt;$P$17,AND(J1943&lt;$O$17,L1943&lt;$O$17)),"FUERA DE RANGO",IF(OR(K1943="---",K1943=""),IF(J1943&gt;=$O$17,ROUND((L1943-J1943+1)/360*12,3),ROUND((L1943-$O$17+1)/360*12,3)),IF(J1943&gt;=$O$17,ROUND((L1943-J1943+1)/360*12-ROUND(K1943,3),3),ROUND((L1943-$O$17+1)/360*12-ROUND(K1943,3),3)))))</f>
        <v/>
      </c>
      <c r="N1943" s="86"/>
      <c r="O1943" s="453" t="str">
        <f>IF(OR(G1943="",N1943=""),"",N1943*G1943)</f>
        <v/>
      </c>
      <c r="P1943" s="538" t="str">
        <f>IF(OR(H1943="",M1943="FUERA DE RANGO"),"",IF(OR(L1943&lt;$O$17,L1943&gt;$P$17,L1943="",H1943="NO"),"",IF(OR(N1943="",O1943=""),"",ROUND(O1943,3))))</f>
        <v/>
      </c>
      <c r="Q1943" s="539" t="str">
        <f t="shared" ref="Q1943:Q1952" si="566">IF(AND(H1943="SI",P1943&lt;&gt;""),ROUND(P1943/M1943,3),"")</f>
        <v/>
      </c>
      <c r="R1943" s="737"/>
      <c r="S1943" s="738"/>
      <c r="T1943" s="739"/>
      <c r="U1943" s="470"/>
      <c r="V1943" s="165"/>
      <c r="W1943" s="446"/>
      <c r="X1943" s="456"/>
      <c r="Y1943" s="436"/>
      <c r="Z1943" s="437"/>
      <c r="AA1943" s="560"/>
      <c r="AB1943" s="561"/>
      <c r="AC1943" s="87"/>
      <c r="AD1943" s="466"/>
      <c r="AE1943" s="456"/>
      <c r="AF1943" s="467"/>
      <c r="AG1943" s="87"/>
      <c r="AH1943" s="87"/>
      <c r="AI1943" s="87"/>
    </row>
    <row r="1944" spans="1:35" hidden="1">
      <c r="A1944" s="80" t="e">
        <f>"B"&amp;E1939</f>
        <v>#N/A</v>
      </c>
      <c r="B1944" s="81">
        <v>2</v>
      </c>
      <c r="C1944" s="106"/>
      <c r="D1944" s="106"/>
      <c r="E1944" s="106"/>
      <c r="F1944" s="106"/>
      <c r="G1944" s="83"/>
      <c r="H1944" s="83"/>
      <c r="I1944" s="84"/>
      <c r="J1944" s="85"/>
      <c r="K1944" s="382"/>
      <c r="L1944" s="85"/>
      <c r="M1944" s="332" t="str">
        <f t="shared" si="565"/>
        <v/>
      </c>
      <c r="N1944" s="86"/>
      <c r="O1944" s="453" t="str">
        <f t="shared" ref="O1944:O1952" si="567">IF(OR(G1944="",N1944=""),"",N1944*G1944)</f>
        <v/>
      </c>
      <c r="P1944" s="538" t="str">
        <f t="shared" ref="P1944:P1952" si="568">IF(OR(H1944="",M1944="FUERA DE RANGO"),"",IF(OR(L1944&lt;$O$17,L1944&gt;$P$17,L1944="",H1944="NO"),"",IF(OR(N1944="",O1944=""),"",ROUND(O1944,3))))</f>
        <v/>
      </c>
      <c r="Q1944" s="539" t="str">
        <f t="shared" si="566"/>
        <v/>
      </c>
      <c r="R1944" s="740"/>
      <c r="S1944" s="741"/>
      <c r="T1944" s="742"/>
      <c r="U1944" s="471"/>
      <c r="V1944" s="165"/>
      <c r="W1944" s="446"/>
      <c r="X1944" s="456"/>
      <c r="Y1944" s="436"/>
      <c r="Z1944" s="437"/>
      <c r="AA1944" s="560"/>
      <c r="AB1944" s="561"/>
      <c r="AC1944" s="87"/>
      <c r="AD1944" s="466"/>
      <c r="AE1944" s="456"/>
      <c r="AF1944" s="467"/>
      <c r="AG1944" s="87"/>
      <c r="AH1944" s="87"/>
      <c r="AI1944" s="87"/>
    </row>
    <row r="1945" spans="1:35" hidden="1">
      <c r="A1945" s="80" t="e">
        <f>"C"&amp;E1939</f>
        <v>#N/A</v>
      </c>
      <c r="B1945" s="88">
        <v>3</v>
      </c>
      <c r="C1945" s="82"/>
      <c r="D1945" s="82"/>
      <c r="E1945" s="82"/>
      <c r="F1945" s="82"/>
      <c r="G1945" s="83"/>
      <c r="H1945" s="83"/>
      <c r="I1945" s="84"/>
      <c r="J1945" s="85"/>
      <c r="K1945" s="382"/>
      <c r="L1945" s="85"/>
      <c r="M1945" s="332" t="str">
        <f t="shared" si="565"/>
        <v/>
      </c>
      <c r="N1945" s="86"/>
      <c r="O1945" s="453" t="str">
        <f t="shared" si="567"/>
        <v/>
      </c>
      <c r="P1945" s="538" t="str">
        <f t="shared" si="568"/>
        <v/>
      </c>
      <c r="Q1945" s="539" t="str">
        <f t="shared" si="566"/>
        <v/>
      </c>
      <c r="R1945" s="706"/>
      <c r="S1945" s="707"/>
      <c r="T1945" s="708"/>
      <c r="U1945" s="472"/>
      <c r="V1945" s="166"/>
      <c r="W1945" s="446"/>
      <c r="X1945" s="456"/>
      <c r="Y1945" s="436"/>
      <c r="Z1945" s="437"/>
      <c r="AA1945" s="560"/>
      <c r="AB1945" s="561"/>
      <c r="AC1945" s="87"/>
      <c r="AD1945" s="466"/>
      <c r="AE1945" s="456"/>
      <c r="AF1945" s="467"/>
      <c r="AG1945" s="87"/>
      <c r="AH1945" s="87"/>
      <c r="AI1945" s="87"/>
    </row>
    <row r="1946" spans="1:35" hidden="1">
      <c r="A1946" s="80" t="e">
        <f>"D"&amp;E1939</f>
        <v>#N/A</v>
      </c>
      <c r="B1946" s="105">
        <v>4</v>
      </c>
      <c r="C1946" s="107"/>
      <c r="D1946" s="107"/>
      <c r="E1946" s="107"/>
      <c r="F1946" s="107"/>
      <c r="G1946" s="83"/>
      <c r="H1946" s="83"/>
      <c r="I1946" s="84"/>
      <c r="J1946" s="85"/>
      <c r="K1946" s="382"/>
      <c r="L1946" s="85"/>
      <c r="M1946" s="332" t="str">
        <f t="shared" si="565"/>
        <v/>
      </c>
      <c r="N1946" s="86"/>
      <c r="O1946" s="453" t="str">
        <f t="shared" si="567"/>
        <v/>
      </c>
      <c r="P1946" s="538" t="str">
        <f t="shared" si="568"/>
        <v/>
      </c>
      <c r="Q1946" s="539" t="str">
        <f t="shared" si="566"/>
        <v/>
      </c>
      <c r="R1946" s="706"/>
      <c r="S1946" s="707"/>
      <c r="T1946" s="708"/>
      <c r="U1946" s="472"/>
      <c r="V1946" s="166"/>
      <c r="W1946" s="446"/>
      <c r="X1946" s="456"/>
      <c r="Y1946" s="436"/>
      <c r="Z1946" s="437"/>
      <c r="AA1946" s="560"/>
      <c r="AB1946" s="561"/>
      <c r="AC1946" s="87"/>
      <c r="AD1946" s="466"/>
      <c r="AE1946" s="456"/>
      <c r="AF1946" s="467"/>
      <c r="AG1946" s="87"/>
      <c r="AH1946" s="87"/>
      <c r="AI1946" s="87"/>
    </row>
    <row r="1947" spans="1:35" hidden="1">
      <c r="A1947" s="80" t="e">
        <f>"E"&amp;E1939</f>
        <v>#N/A</v>
      </c>
      <c r="B1947" s="105">
        <v>5</v>
      </c>
      <c r="C1947" s="107"/>
      <c r="D1947" s="107"/>
      <c r="E1947" s="107"/>
      <c r="F1947" s="107"/>
      <c r="G1947" s="83"/>
      <c r="H1947" s="83"/>
      <c r="I1947" s="84"/>
      <c r="J1947" s="85"/>
      <c r="K1947" s="382"/>
      <c r="L1947" s="85"/>
      <c r="M1947" s="332" t="str">
        <f t="shared" si="565"/>
        <v/>
      </c>
      <c r="N1947" s="86"/>
      <c r="O1947" s="453" t="str">
        <f t="shared" si="567"/>
        <v/>
      </c>
      <c r="P1947" s="538" t="str">
        <f t="shared" si="568"/>
        <v/>
      </c>
      <c r="Q1947" s="539" t="str">
        <f t="shared" si="566"/>
        <v/>
      </c>
      <c r="R1947" s="706"/>
      <c r="S1947" s="707"/>
      <c r="T1947" s="708"/>
      <c r="U1947" s="472"/>
      <c r="V1947" s="167"/>
      <c r="W1947" s="446"/>
      <c r="X1947" s="456"/>
      <c r="Y1947" s="436"/>
      <c r="Z1947" s="437"/>
      <c r="AA1947" s="560"/>
      <c r="AB1947" s="561"/>
      <c r="AC1947" s="87"/>
      <c r="AD1947" s="466"/>
      <c r="AE1947" s="456"/>
      <c r="AF1947" s="467"/>
      <c r="AG1947" s="87"/>
      <c r="AH1947" s="87"/>
      <c r="AI1947" s="87"/>
    </row>
    <row r="1948" spans="1:35" hidden="1">
      <c r="A1948" s="80" t="e">
        <f>"F"&amp;E1939</f>
        <v>#N/A</v>
      </c>
      <c r="B1948" s="105">
        <v>6</v>
      </c>
      <c r="C1948" s="107"/>
      <c r="D1948" s="107"/>
      <c r="E1948" s="107"/>
      <c r="F1948" s="107"/>
      <c r="G1948" s="83"/>
      <c r="H1948" s="83"/>
      <c r="I1948" s="84"/>
      <c r="J1948" s="85"/>
      <c r="K1948" s="382"/>
      <c r="L1948" s="85"/>
      <c r="M1948" s="332" t="str">
        <f t="shared" si="565"/>
        <v/>
      </c>
      <c r="N1948" s="86"/>
      <c r="O1948" s="453" t="str">
        <f t="shared" si="567"/>
        <v/>
      </c>
      <c r="P1948" s="538" t="str">
        <f t="shared" si="568"/>
        <v/>
      </c>
      <c r="Q1948" s="539" t="str">
        <f t="shared" si="566"/>
        <v/>
      </c>
      <c r="R1948" s="706"/>
      <c r="S1948" s="707"/>
      <c r="T1948" s="708"/>
      <c r="U1948" s="472"/>
      <c r="V1948" s="167"/>
      <c r="W1948" s="446"/>
      <c r="X1948" s="456"/>
      <c r="Y1948" s="436"/>
      <c r="Z1948" s="437"/>
      <c r="AA1948" s="560"/>
      <c r="AB1948" s="561"/>
      <c r="AC1948" s="87"/>
      <c r="AD1948" s="466"/>
      <c r="AE1948" s="456"/>
      <c r="AF1948" s="467"/>
      <c r="AG1948" s="87"/>
      <c r="AH1948" s="87"/>
      <c r="AI1948" s="87"/>
    </row>
    <row r="1949" spans="1:35" hidden="1">
      <c r="A1949" s="80" t="e">
        <f>"G"&amp;E1939</f>
        <v>#N/A</v>
      </c>
      <c r="B1949" s="105">
        <v>7</v>
      </c>
      <c r="C1949" s="107"/>
      <c r="D1949" s="107"/>
      <c r="E1949" s="107"/>
      <c r="F1949" s="107"/>
      <c r="G1949" s="83"/>
      <c r="H1949" s="83"/>
      <c r="I1949" s="84"/>
      <c r="J1949" s="85"/>
      <c r="K1949" s="382"/>
      <c r="L1949" s="85"/>
      <c r="M1949" s="332" t="str">
        <f t="shared" si="565"/>
        <v/>
      </c>
      <c r="N1949" s="86"/>
      <c r="O1949" s="86" t="str">
        <f t="shared" si="567"/>
        <v/>
      </c>
      <c r="P1949" s="538" t="str">
        <f t="shared" si="568"/>
        <v/>
      </c>
      <c r="Q1949" s="539" t="str">
        <f t="shared" si="566"/>
        <v/>
      </c>
      <c r="R1949" s="706"/>
      <c r="S1949" s="707"/>
      <c r="T1949" s="708"/>
      <c r="U1949" s="472"/>
      <c r="V1949" s="167"/>
      <c r="W1949" s="446"/>
      <c r="X1949" s="456"/>
      <c r="Y1949" s="436"/>
      <c r="Z1949" s="437"/>
      <c r="AA1949" s="560"/>
      <c r="AB1949" s="561"/>
      <c r="AC1949" s="87"/>
      <c r="AD1949" s="466"/>
      <c r="AE1949" s="456"/>
      <c r="AF1949" s="467"/>
      <c r="AG1949" s="87"/>
      <c r="AH1949" s="87"/>
      <c r="AI1949" s="87"/>
    </row>
    <row r="1950" spans="1:35" hidden="1">
      <c r="A1950" s="80" t="e">
        <f>"H"&amp;E1939</f>
        <v>#N/A</v>
      </c>
      <c r="B1950" s="105">
        <v>8</v>
      </c>
      <c r="C1950" s="107"/>
      <c r="D1950" s="107"/>
      <c r="E1950" s="107"/>
      <c r="F1950" s="107"/>
      <c r="G1950" s="83"/>
      <c r="H1950" s="83"/>
      <c r="I1950" s="84"/>
      <c r="J1950" s="85"/>
      <c r="K1950" s="382"/>
      <c r="L1950" s="85"/>
      <c r="M1950" s="332" t="str">
        <f t="shared" si="565"/>
        <v/>
      </c>
      <c r="N1950" s="453"/>
      <c r="O1950" s="86" t="str">
        <f t="shared" si="567"/>
        <v/>
      </c>
      <c r="P1950" s="538" t="str">
        <f t="shared" si="568"/>
        <v/>
      </c>
      <c r="Q1950" s="539" t="str">
        <f t="shared" si="566"/>
        <v/>
      </c>
      <c r="R1950" s="706"/>
      <c r="S1950" s="707"/>
      <c r="T1950" s="708"/>
      <c r="U1950" s="472"/>
      <c r="V1950" s="167"/>
      <c r="W1950" s="446"/>
      <c r="X1950" s="456"/>
      <c r="Y1950" s="436"/>
      <c r="Z1950" s="437"/>
      <c r="AA1950" s="560"/>
      <c r="AB1950" s="561"/>
      <c r="AC1950" s="87"/>
      <c r="AD1950" s="466"/>
      <c r="AE1950" s="456"/>
      <c r="AF1950" s="467"/>
      <c r="AG1950" s="87"/>
      <c r="AH1950" s="87"/>
      <c r="AI1950" s="87"/>
    </row>
    <row r="1951" spans="1:35" hidden="1">
      <c r="A1951" s="80" t="e">
        <f>"I"&amp;E1939</f>
        <v>#N/A</v>
      </c>
      <c r="B1951" s="105">
        <v>9</v>
      </c>
      <c r="C1951" s="107"/>
      <c r="D1951" s="107"/>
      <c r="E1951" s="107"/>
      <c r="F1951" s="107"/>
      <c r="G1951" s="83"/>
      <c r="H1951" s="83"/>
      <c r="I1951" s="84"/>
      <c r="J1951" s="85"/>
      <c r="K1951" s="382"/>
      <c r="L1951" s="85"/>
      <c r="M1951" s="332" t="str">
        <f t="shared" si="565"/>
        <v/>
      </c>
      <c r="N1951" s="453"/>
      <c r="O1951" s="86" t="str">
        <f t="shared" si="567"/>
        <v/>
      </c>
      <c r="P1951" s="538" t="str">
        <f t="shared" si="568"/>
        <v/>
      </c>
      <c r="Q1951" s="539" t="str">
        <f t="shared" si="566"/>
        <v/>
      </c>
      <c r="R1951" s="706"/>
      <c r="S1951" s="707"/>
      <c r="T1951" s="708"/>
      <c r="U1951" s="472"/>
      <c r="V1951" s="167"/>
      <c r="W1951" s="446"/>
      <c r="X1951" s="456"/>
      <c r="Y1951" s="436"/>
      <c r="Z1951" s="437"/>
      <c r="AA1951" s="560"/>
      <c r="AB1951" s="561"/>
      <c r="AC1951" s="87"/>
      <c r="AD1951" s="466"/>
      <c r="AE1951" s="456"/>
      <c r="AF1951" s="467"/>
      <c r="AG1951" s="87"/>
      <c r="AH1951" s="87"/>
      <c r="AI1951" s="87"/>
    </row>
    <row r="1952" spans="1:35" hidden="1">
      <c r="A1952" s="80" t="e">
        <f>"J"&amp;E1939</f>
        <v>#N/A</v>
      </c>
      <c r="B1952" s="105">
        <v>10</v>
      </c>
      <c r="C1952" s="107"/>
      <c r="D1952" s="107"/>
      <c r="E1952" s="107"/>
      <c r="F1952" s="107"/>
      <c r="G1952" s="83"/>
      <c r="H1952" s="83"/>
      <c r="I1952" s="84"/>
      <c r="J1952" s="85"/>
      <c r="K1952" s="382"/>
      <c r="L1952" s="85"/>
      <c r="M1952" s="332" t="str">
        <f t="shared" si="565"/>
        <v/>
      </c>
      <c r="N1952" s="453"/>
      <c r="O1952" s="86" t="str">
        <f t="shared" si="567"/>
        <v/>
      </c>
      <c r="P1952" s="538" t="str">
        <f t="shared" si="568"/>
        <v/>
      </c>
      <c r="Q1952" s="539" t="str">
        <f t="shared" si="566"/>
        <v/>
      </c>
      <c r="R1952" s="706"/>
      <c r="S1952" s="707"/>
      <c r="T1952" s="708"/>
      <c r="U1952" s="472"/>
      <c r="V1952" s="167"/>
      <c r="W1952" s="446"/>
      <c r="X1952" s="456"/>
      <c r="Y1952" s="436"/>
      <c r="Z1952" s="437"/>
      <c r="AA1952" s="560"/>
      <c r="AB1952" s="561"/>
      <c r="AC1952" s="87"/>
      <c r="AD1952" s="466"/>
      <c r="AE1952" s="456"/>
      <c r="AF1952" s="467"/>
      <c r="AG1952" s="87"/>
      <c r="AH1952" s="87"/>
      <c r="AI1952" s="87"/>
    </row>
    <row r="1953" spans="1:35" ht="16.5" hidden="1" thickBot="1">
      <c r="A1953" s="44"/>
      <c r="B1953" s="89"/>
      <c r="C1953" s="90"/>
      <c r="D1953" s="90"/>
      <c r="E1953" s="90"/>
      <c r="F1953" s="90"/>
      <c r="G1953" s="90"/>
      <c r="H1953" s="90"/>
      <c r="I1953" s="90"/>
      <c r="J1953" s="90"/>
      <c r="K1953" s="90"/>
      <c r="L1953" s="90"/>
      <c r="M1953" s="90"/>
      <c r="N1953" s="90"/>
      <c r="O1953" s="90"/>
      <c r="P1953" s="90"/>
      <c r="Q1953" s="90"/>
      <c r="R1953" s="90"/>
      <c r="S1953" s="91"/>
      <c r="T1953" s="92"/>
      <c r="U1953" s="473"/>
      <c r="W1953" s="438"/>
      <c r="X1953" s="455"/>
      <c r="Y1953" s="439"/>
      <c r="Z1953" s="437"/>
      <c r="AA1953" s="530"/>
      <c r="AB1953" s="563"/>
      <c r="AC1953" s="87"/>
      <c r="AD1953" s="440"/>
      <c r="AE1953" s="441"/>
      <c r="AF1953" s="442"/>
      <c r="AG1953" s="49"/>
      <c r="AH1953" s="87"/>
      <c r="AI1953" s="87"/>
    </row>
    <row r="1954" spans="1:35" ht="16.5" hidden="1" thickBot="1">
      <c r="A1954" s="93"/>
      <c r="B1954" s="94"/>
      <c r="C1954" s="96"/>
      <c r="D1954" s="96"/>
      <c r="E1954" s="96"/>
      <c r="F1954" s="96"/>
      <c r="G1954" s="96"/>
      <c r="H1954" s="96"/>
      <c r="I1954" s="96"/>
      <c r="J1954" s="96"/>
      <c r="K1954" s="96"/>
      <c r="L1954" s="96"/>
      <c r="M1954" s="136"/>
      <c r="N1954" s="96"/>
      <c r="O1954" s="96"/>
      <c r="P1954" s="97"/>
      <c r="Q1954" s="97"/>
      <c r="R1954" s="98"/>
      <c r="S1954" s="95"/>
      <c r="T1954" s="99"/>
      <c r="U1954" s="469"/>
      <c r="AC1954" s="58"/>
      <c r="AG1954" s="58"/>
      <c r="AH1954" s="87"/>
      <c r="AI1954" s="87"/>
    </row>
    <row r="1955" spans="1:35" ht="16.5" hidden="1" thickBot="1">
      <c r="B1955" s="101"/>
      <c r="C1955" s="101"/>
      <c r="D1955" s="101"/>
      <c r="E1955" s="101"/>
      <c r="F1955" s="101"/>
      <c r="G1955" s="101"/>
      <c r="H1955" s="101"/>
      <c r="I1955" s="101"/>
      <c r="J1955" s="101"/>
      <c r="K1955" s="101"/>
      <c r="L1955" s="101"/>
      <c r="M1955" s="101"/>
      <c r="N1955" s="101"/>
      <c r="O1955" s="101"/>
      <c r="P1955" s="101"/>
      <c r="Q1955" s="101"/>
      <c r="R1955" s="101"/>
      <c r="S1955" s="101"/>
      <c r="U1955" s="50"/>
      <c r="AH1955" s="87"/>
      <c r="AI1955" s="87"/>
    </row>
    <row r="1956" spans="1:35" ht="16.5" hidden="1" customHeight="1" thickBot="1">
      <c r="A1956" s="44"/>
      <c r="B1956" s="705" t="s">
        <v>74</v>
      </c>
      <c r="C1956" s="705"/>
      <c r="D1956" s="705"/>
      <c r="E1956" s="705"/>
      <c r="F1956" s="705"/>
      <c r="G1956" s="705"/>
      <c r="H1956" s="705"/>
      <c r="I1956" s="705"/>
      <c r="J1956" s="705"/>
      <c r="K1956" s="705"/>
      <c r="L1956" s="705"/>
      <c r="M1956" s="705"/>
      <c r="N1956" s="705"/>
      <c r="O1956" s="705"/>
      <c r="P1956" s="705"/>
      <c r="Q1956" s="705"/>
      <c r="R1956" s="705"/>
      <c r="S1956" s="705"/>
      <c r="T1956" s="705"/>
      <c r="U1956" s="108"/>
      <c r="Y1956" s="532" t="s">
        <v>341</v>
      </c>
      <c r="AC1956" s="49"/>
      <c r="AD1956" s="687" t="s">
        <v>302</v>
      </c>
      <c r="AE1956" s="688"/>
      <c r="AF1956" s="689"/>
      <c r="AG1956" s="49"/>
      <c r="AH1956" s="87"/>
      <c r="AI1956" s="87"/>
    </row>
    <row r="1957" spans="1:35" ht="15.75" hidden="1" customHeight="1" thickBot="1">
      <c r="A1957" s="218" t="e">
        <f>"K"&amp;E1939</f>
        <v>#N/A</v>
      </c>
      <c r="B1957" s="701" t="s">
        <v>71</v>
      </c>
      <c r="C1957" s="751" t="s">
        <v>102</v>
      </c>
      <c r="D1957" s="751"/>
      <c r="E1957" s="751"/>
      <c r="F1957" s="751"/>
      <c r="G1957" s="751"/>
      <c r="H1957" s="751"/>
      <c r="I1957" s="751"/>
      <c r="J1957" s="751"/>
      <c r="K1957" s="751"/>
      <c r="L1957" s="722" t="s">
        <v>100</v>
      </c>
      <c r="M1957" s="747" t="s">
        <v>114</v>
      </c>
      <c r="N1957" s="747"/>
      <c r="O1957" s="747"/>
      <c r="P1957" s="747"/>
      <c r="Q1957" s="748"/>
      <c r="R1957" s="758" t="s">
        <v>280</v>
      </c>
      <c r="S1957" s="748"/>
      <c r="T1957" s="762" t="str">
        <f>IF(COUNTIF(AE1957:AF1957,"VERIFICAR")&gt;0,"VERIFICAR",IF(COUNTIF(AE1957:AF1957,"NO CUMPLE")&gt;0,"NO CUMPLE","CUMPLE"))</f>
        <v>VERIFICAR</v>
      </c>
      <c r="U1957" s="108"/>
      <c r="Y1957" s="533" t="e">
        <f>IF(F1958="","",IF(F1958=1,"INDIVIDUAL","ESTRUCTURA PLURAL"))</f>
        <v>#N/A</v>
      </c>
      <c r="AC1957" s="52"/>
      <c r="AD1957" s="475" t="s">
        <v>303</v>
      </c>
      <c r="AE1957" s="476" t="str">
        <f>IF(COUNTIF(AE1943:AE1952,"")=10,"VERIFICAR",IF(COUNTIF(AE1943:AE1952,"SI")&gt;0,"CUMPLE","NO CUMPLE"))</f>
        <v>VERIFICAR</v>
      </c>
      <c r="AF1957" s="477" t="str">
        <f>IF(COUNTIF(AF1943:AF1952,"")=10,"VERIFICAR",IF(COUNTIF(AF1943:AF1952,"SI")&gt;=$AI$22,"CUMPLE","NO CUMPLE"))</f>
        <v>VERIFICAR</v>
      </c>
      <c r="AG1957" s="52"/>
      <c r="AH1957" s="87"/>
      <c r="AI1957" s="87"/>
    </row>
    <row r="1958" spans="1:35" ht="16.5" hidden="1" customHeight="1" thickBot="1">
      <c r="A1958" s="218" t="e">
        <f>"L"&amp;E1939</f>
        <v>#N/A</v>
      </c>
      <c r="B1958" s="702"/>
      <c r="C1958" s="751" t="s">
        <v>103</v>
      </c>
      <c r="D1958" s="751"/>
      <c r="E1958" s="752"/>
      <c r="F1958" s="557" t="e">
        <f>IF(VLOOKUP(E1939,PROPONENTES!$C$19:$E$218,3,0)="","",VLOOKUP(E1939,PROPONENTES!$C$19:$E$218,3,0))</f>
        <v>#N/A</v>
      </c>
      <c r="G1958" s="753" t="s">
        <v>104</v>
      </c>
      <c r="H1958" s="751"/>
      <c r="I1958" s="715" t="e">
        <f>IF(OR(F1958="",F1958=1),"INTERESADO PERSONA NATURAL O JURIDICA","CONSORCIO O UNION TEMPORAL")</f>
        <v>#N/A</v>
      </c>
      <c r="J1958" s="725"/>
      <c r="K1958" s="728"/>
      <c r="L1958" s="723"/>
      <c r="M1958" s="749"/>
      <c r="N1958" s="749"/>
      <c r="O1958" s="749"/>
      <c r="P1958" s="749"/>
      <c r="Q1958" s="750"/>
      <c r="R1958" s="712"/>
      <c r="S1958" s="750"/>
      <c r="T1958" s="763"/>
      <c r="U1958" s="108"/>
      <c r="Y1958" s="534"/>
      <c r="AA1958" s="52"/>
      <c r="AB1958" s="52"/>
      <c r="AC1958" s="52"/>
      <c r="AG1958" s="52"/>
      <c r="AH1958" s="87"/>
      <c r="AI1958" s="87"/>
    </row>
    <row r="1959" spans="1:35" ht="56.25" hidden="1" customHeight="1" thickBot="1">
      <c r="A1959" s="218" t="e">
        <f>"M"&amp;E1939</f>
        <v>#N/A</v>
      </c>
      <c r="B1959" s="702"/>
      <c r="C1959" s="725" t="s">
        <v>101</v>
      </c>
      <c r="D1959" s="716"/>
      <c r="E1959" s="558" t="s">
        <v>105</v>
      </c>
      <c r="F1959" s="554" t="s">
        <v>87</v>
      </c>
      <c r="G1959" s="553" t="s">
        <v>86</v>
      </c>
      <c r="H1959" s="559" t="s">
        <v>85</v>
      </c>
      <c r="I1959" s="554" t="s">
        <v>252</v>
      </c>
      <c r="J1959" s="553" t="str">
        <f>"¿EL INTEGRANTE TIENE UNA PARTICIPACIÓN DEL "&amp;PORCREQUERIDOINT*100&amp;"%?"</f>
        <v>¿EL INTEGRANTE TIENE UNA PARTICIPACIÓN DEL 60%?</v>
      </c>
      <c r="K1959" s="554" t="s">
        <v>107</v>
      </c>
      <c r="L1959" s="724"/>
      <c r="M1959" s="717" t="s">
        <v>115</v>
      </c>
      <c r="N1959" s="718"/>
      <c r="O1959" s="718"/>
      <c r="P1959" s="718"/>
      <c r="Q1959" s="223">
        <f>IF(AND(H1943="SI",P1943&gt;=0),1,0)+IF(AND(H1944="SI",P1944&gt;=0),1,0)+IF(AND(H1945="SI",P1945&gt;=0),1,0)+IF(AND(H1946="SI",P1946&gt;=0),1,0)+IF(AND(H1947="SI",P1947&gt;=0),1,0)+IF(AND(H1948="SI",P1948&gt;=0),1,0)+IF(AND(H1949="SI",P1949&gt;=0),1,0)+IF(AND(H1950="SI",P1950&gt;=0),1,0)+IF(AND(H1951="SI",P1951&gt;=0),1,0)+IF(AND(H1952="SI",P1952&gt;=0),1,0)</f>
        <v>0</v>
      </c>
      <c r="R1959" s="759"/>
      <c r="S1959" s="761"/>
      <c r="T1959" s="764"/>
      <c r="U1959" s="219"/>
      <c r="V1959" s="464"/>
      <c r="Y1959" s="532" t="s">
        <v>342</v>
      </c>
      <c r="AA1959" s="550" t="s">
        <v>344</v>
      </c>
      <c r="AB1959" s="693" t="s">
        <v>345</v>
      </c>
      <c r="AC1959" s="693" t="s">
        <v>346</v>
      </c>
      <c r="AD1959" s="685" t="s">
        <v>347</v>
      </c>
      <c r="AE1959" s="52"/>
      <c r="AF1959" s="52"/>
      <c r="AG1959" s="52"/>
      <c r="AH1959" s="87"/>
      <c r="AI1959" s="87"/>
    </row>
    <row r="1960" spans="1:35" ht="15.75" hidden="1" customHeight="1" thickBot="1">
      <c r="A1960" s="218" t="e">
        <f>"N"&amp;E1939</f>
        <v>#N/A</v>
      </c>
      <c r="B1960" s="702"/>
      <c r="C1960" s="114">
        <v>1</v>
      </c>
      <c r="D1960" s="194" t="e">
        <f>IF(AND(C1960&lt;=F1958,F1958&gt;1,F1958&lt;&gt;""),VLOOKUP(VALUE(E1939&amp;","&amp;C1960),INTEGRANTES!$D$18:$F$235,2,0),"")</f>
        <v>#N/A</v>
      </c>
      <c r="E1960" s="211" t="e">
        <f>IF(D1960&lt;&gt;"",VLOOKUP(VALUE(E1939&amp;","&amp;C1960),INTEGRANTES!$D$18:$F$235,3,0),"")</f>
        <v>#N/A</v>
      </c>
      <c r="F1960" s="547" t="e">
        <f>IF(D1960="","",SUMIF($I1943:$I1952,D1960,$P1943:$P1952))</f>
        <v>#N/A</v>
      </c>
      <c r="G1960" s="333" t="e">
        <f>IF(D1960="","",SUMIF($I1943:$I1952,D1960,$M1943:$M1952))</f>
        <v>#N/A</v>
      </c>
      <c r="H1960" s="535" t="e">
        <f t="shared" ref="H1960:H1965" si="569">IF(D1960="","",IF(OR(F1960=0,G1960=0),"NO APORTA",ROUND($F1960/$G1960,3)))</f>
        <v>#N/A</v>
      </c>
      <c r="I1960" s="212" t="e">
        <f>IF(D1960="","",IF(H1960="NO APORTA","NO",IF(H1960=MAX($H1960:$H1965),"SI","NO")))</f>
        <v>#N/A</v>
      </c>
      <c r="J1960" s="213" t="e">
        <f t="shared" ref="J1960:J1965" si="570">IF(D1960="","",IF(E1960&gt;=PORCREQUERIDOINT,"SI","NO"))</f>
        <v>#N/A</v>
      </c>
      <c r="K1960" s="200" t="e">
        <f t="shared" ref="K1960:K1965" si="571">IF(D1960="","",IF(AND(I1960="SI",J1960="SI"),"CUMPLE",IF(AND(I1960="NO",OR(J1960="SI",J1960="NO")),"","NO CUMPLE")))</f>
        <v>#N/A</v>
      </c>
      <c r="L1960" s="722" t="s">
        <v>108</v>
      </c>
      <c r="M1960" s="726" t="s">
        <v>119</v>
      </c>
      <c r="N1960" s="726"/>
      <c r="O1960" s="726"/>
      <c r="P1960" s="726"/>
      <c r="Q1960" s="727"/>
      <c r="R1960" s="758" t="s">
        <v>80</v>
      </c>
      <c r="S1960" s="747"/>
      <c r="T1960" s="748"/>
      <c r="U1960" s="219"/>
      <c r="V1960" s="464"/>
      <c r="Y1960" s="533" t="e">
        <f>IF(Y1957="","",IF(Y1957="INDIVIDUAL","NO APLICA","VERIFICAR CUADRO"))</f>
        <v>#N/A</v>
      </c>
      <c r="AA1960" s="551"/>
      <c r="AB1960" s="694"/>
      <c r="AC1960" s="694"/>
      <c r="AD1960" s="686"/>
      <c r="AE1960" s="52"/>
      <c r="AF1960" s="52"/>
      <c r="AG1960" s="52"/>
      <c r="AH1960" s="87"/>
      <c r="AI1960" s="87"/>
    </row>
    <row r="1961" spans="1:35" ht="27" hidden="1" customHeight="1" thickBot="1">
      <c r="A1961" s="218" t="e">
        <f>"O"&amp;E1939</f>
        <v>#N/A</v>
      </c>
      <c r="B1961" s="702"/>
      <c r="C1961" s="114">
        <v>2</v>
      </c>
      <c r="D1961" s="194" t="e">
        <f>IF(AND(C1961&lt;=F1958,F1958&lt;&gt;""),VLOOKUP(VALUE(E1939&amp;","&amp;C1961),INTEGRANTES!$D$18:$F$235,2,0),"")</f>
        <v>#N/A</v>
      </c>
      <c r="E1961" s="211" t="e">
        <f>IF(D1961&lt;&gt;"",VLOOKUP(VALUE(E1939&amp;","&amp;C1961),INTEGRANTES!$D$18:$F$235,3,0),"")</f>
        <v>#N/A</v>
      </c>
      <c r="F1961" s="547" t="e">
        <f>IF(D1961="","",SUMIF($I1943:$I1952,D1961,$P1943:$P1952))</f>
        <v>#N/A</v>
      </c>
      <c r="G1961" s="333" t="e">
        <f>IF(D1961="","",SUMIF($I1943:$I1952,D1961,$M1943:$M1952))</f>
        <v>#N/A</v>
      </c>
      <c r="H1961" s="535" t="e">
        <f t="shared" si="569"/>
        <v>#N/A</v>
      </c>
      <c r="I1961" s="212" t="e">
        <f>IF(D1961="","",IF(H1961="NO APORTA","NO",IF(H1961=MAX($H1960:$H1965),"SI","NO")))</f>
        <v>#N/A</v>
      </c>
      <c r="J1961" s="213" t="e">
        <f t="shared" si="570"/>
        <v>#N/A</v>
      </c>
      <c r="K1961" s="200" t="e">
        <f t="shared" si="571"/>
        <v>#N/A</v>
      </c>
      <c r="L1961" s="723"/>
      <c r="M1961" s="715" t="s">
        <v>116</v>
      </c>
      <c r="N1961" s="716"/>
      <c r="O1961" s="556" t="s">
        <v>113</v>
      </c>
      <c r="P1961" s="715" t="s">
        <v>117</v>
      </c>
      <c r="Q1961" s="728"/>
      <c r="R1961" s="759"/>
      <c r="S1961" s="760"/>
      <c r="T1961" s="761"/>
      <c r="U1961" s="219"/>
      <c r="V1961" s="464"/>
      <c r="Y1961" s="414"/>
      <c r="AA1961" s="542" t="e">
        <f>IF(AND(C1960&lt;=F1958,F1958&gt;1,F1958&lt;&gt;""),VLOOKUP(VALUE(E1939&amp;","&amp;C1960),INTEGRANTES!$D$18:$F$235,2,0),"")</f>
        <v>#N/A</v>
      </c>
      <c r="AB1961" s="544" t="e">
        <f t="shared" ref="AB1961:AB1966" si="572">IF(D1960="","",IF(OR(F1960=0,G1960=0),"NO APORTA",ROUND($F1960/$G1960,3)))</f>
        <v>#N/A</v>
      </c>
      <c r="AC1961" s="529"/>
      <c r="AD1961" s="200" t="e">
        <f t="shared" ref="AD1961:AD1966" si="573">IF(OR(AA1961="",AB1961=""),"",IF(AND(AC1961="X",AB1961&gt;=EXPREQVTD),"CUMPLE","NO CUMPLE"))</f>
        <v>#N/A</v>
      </c>
      <c r="AE1961" s="52"/>
      <c r="AF1961" s="52"/>
      <c r="AG1961" s="52"/>
      <c r="AH1961" s="87"/>
      <c r="AI1961" s="87"/>
    </row>
    <row r="1962" spans="1:35" ht="16.5" hidden="1" thickBot="1">
      <c r="A1962" s="218" t="e">
        <f>"P"&amp;E1939</f>
        <v>#N/A</v>
      </c>
      <c r="B1962" s="702"/>
      <c r="C1962" s="114">
        <v>3</v>
      </c>
      <c r="D1962" s="194" t="e">
        <f>IF(AND(C1962&lt;=F1958,F1958&lt;&gt;""),VLOOKUP(VALUE(E1939&amp;","&amp;C1962),INTEGRANTES!$D$18:$F$235,2,0),"")</f>
        <v>#N/A</v>
      </c>
      <c r="E1962" s="211" t="e">
        <f>IF(D1962&lt;&gt;"",VLOOKUP(VALUE(E1939&amp;","&amp;C1962),INTEGRANTES!$D$18:$F$235,3,0),"")</f>
        <v>#N/A</v>
      </c>
      <c r="F1962" s="547" t="e">
        <f>IF(D1962="","",SUMIF($I1943:$I1952,D1962,$P1943:$P1952))</f>
        <v>#N/A</v>
      </c>
      <c r="G1962" s="333" t="e">
        <f>IF(D1962="","",SUMIF($I1943:$I1952,D1962,$M1943:$M1952))</f>
        <v>#N/A</v>
      </c>
      <c r="H1962" s="535" t="e">
        <f t="shared" si="569"/>
        <v>#N/A</v>
      </c>
      <c r="I1962" s="212" t="e">
        <f>IF(D1962="","",IF(H1962="NO APORTA","NO",IF(H1962=MAX($H1960:$H1965),"SI","NO")))</f>
        <v>#N/A</v>
      </c>
      <c r="J1962" s="213" t="e">
        <f t="shared" si="570"/>
        <v>#N/A</v>
      </c>
      <c r="K1962" s="200" t="e">
        <f t="shared" si="571"/>
        <v>#N/A</v>
      </c>
      <c r="L1962" s="724"/>
      <c r="M1962" s="729">
        <f>NUMMOD</f>
        <v>1</v>
      </c>
      <c r="N1962" s="730"/>
      <c r="O1962" s="443">
        <f>IF(M1962="","",VLOOKUP(M1962,PRESUPUESTOS!$B$16:$H$16,5,FALSE))</f>
        <v>2</v>
      </c>
      <c r="P1962" s="713">
        <f>IF(OR(COUNTIF(M1943:M1952,"")&gt;=10,Q1959&lt;NUMMINCONT,OR(T1957="NO CUMPLE",T1957="VERIFICAR")),0,ROUND(AVERAGE(M1943:M1952),3))</f>
        <v>0</v>
      </c>
      <c r="Q1962" s="714"/>
      <c r="R1962" s="458"/>
      <c r="S1962" s="459"/>
      <c r="T1962" s="460"/>
      <c r="U1962" s="219"/>
      <c r="V1962" s="464"/>
      <c r="Y1962" s="532" t="str">
        <f>"40% * ("&amp;PRESUPUESTOS!$H$13&amp;")"</f>
        <v>40% * (50% PFMO)</v>
      </c>
      <c r="AA1962" s="540" t="e">
        <f>IF(AND(C1961&lt;=F1958,F1958&lt;&gt;""),VLOOKUP(VALUE(E1939&amp;","&amp;C1961),INTEGRANTES!$D$18:$F$235,2,0),"")</f>
        <v>#N/A</v>
      </c>
      <c r="AB1962" s="545" t="e">
        <f t="shared" si="572"/>
        <v>#N/A</v>
      </c>
      <c r="AC1962" s="529"/>
      <c r="AD1962" s="200" t="e">
        <f t="shared" si="573"/>
        <v>#N/A</v>
      </c>
      <c r="AE1962" s="52"/>
      <c r="AF1962" s="52"/>
      <c r="AG1962" s="52"/>
      <c r="AH1962" s="87"/>
      <c r="AI1962" s="87"/>
    </row>
    <row r="1963" spans="1:35" ht="15.75" hidden="1" customHeight="1" thickBot="1">
      <c r="A1963" s="218" t="e">
        <f>"Q"&amp;E1939</f>
        <v>#N/A</v>
      </c>
      <c r="B1963" s="702"/>
      <c r="C1963" s="114">
        <v>4</v>
      </c>
      <c r="D1963" s="194" t="e">
        <f>IF(AND(C1963&lt;=F1958,F1958&lt;&gt;""),VLOOKUP(VALUE(E1939&amp;","&amp;C1963),INTEGRANTES!$D$18:$F$235,2,0),"")</f>
        <v>#N/A</v>
      </c>
      <c r="E1963" s="211" t="e">
        <f>IF(D1963&lt;&gt;"",VLOOKUP(VALUE(E1939&amp;","&amp;C1963),INTEGRANTES!$D$18:$F$235,3,0),"")</f>
        <v>#N/A</v>
      </c>
      <c r="F1963" s="547" t="e">
        <f>IF(D1963="","",SUMIF($I1943:$I1952,D1963,$P1943:$P1952))</f>
        <v>#N/A</v>
      </c>
      <c r="G1963" s="333" t="e">
        <f>IF(D1963="","",SUMIF($I1943:$I1952,D1963,$M1943:$M1952))</f>
        <v>#N/A</v>
      </c>
      <c r="H1963" s="535" t="e">
        <f t="shared" si="569"/>
        <v>#N/A</v>
      </c>
      <c r="I1963" s="212" t="e">
        <f>IF(D1963="","",IF(H1963="NO APORTA","NO",IF(H1963=MAX($H1960:$H1965),"SI","NO")))</f>
        <v>#N/A</v>
      </c>
      <c r="J1963" s="213" t="e">
        <f t="shared" si="570"/>
        <v>#N/A</v>
      </c>
      <c r="K1963" s="200" t="e">
        <f t="shared" si="571"/>
        <v>#N/A</v>
      </c>
      <c r="L1963" s="720" t="s">
        <v>109</v>
      </c>
      <c r="M1963" s="757" t="s">
        <v>120</v>
      </c>
      <c r="N1963" s="726"/>
      <c r="O1963" s="726"/>
      <c r="P1963" s="726"/>
      <c r="Q1963" s="727"/>
      <c r="R1963" s="458"/>
      <c r="S1963" s="459"/>
      <c r="T1963" s="460"/>
      <c r="U1963" s="219"/>
      <c r="V1963" s="464"/>
      <c r="Y1963" s="537">
        <f>0.4*PRESUPUESTOS!$H$16</f>
        <v>10.3124</v>
      </c>
      <c r="AA1963" s="540" t="e">
        <f>IF(AND(C1962&lt;=F1958,F1958&lt;&gt;""),VLOOKUP(VALUE(E1939&amp;","&amp;C1962),INTEGRANTES!$D$18:$F$235,2,0),"")</f>
        <v>#N/A</v>
      </c>
      <c r="AB1963" s="545" t="e">
        <f t="shared" si="572"/>
        <v>#N/A</v>
      </c>
      <c r="AC1963" s="529"/>
      <c r="AD1963" s="200" t="e">
        <f t="shared" si="573"/>
        <v>#N/A</v>
      </c>
      <c r="AE1963" s="52"/>
      <c r="AF1963" s="52"/>
      <c r="AG1963" s="52"/>
      <c r="AH1963" s="87"/>
      <c r="AI1963" s="87"/>
    </row>
    <row r="1964" spans="1:35" ht="27" hidden="1" customHeight="1" thickBot="1">
      <c r="A1964" s="218" t="e">
        <f>"R"&amp;E1939</f>
        <v>#N/A</v>
      </c>
      <c r="B1964" s="702"/>
      <c r="C1964" s="114">
        <v>5</v>
      </c>
      <c r="D1964" s="194" t="e">
        <f>IF(AND(C1964&lt;=F1958,F1958&lt;&gt;""),VLOOKUP(VALUE(E1939&amp;","&amp;C1964),INTEGRANTES!$D$18:$F$235,2,0),"")</f>
        <v>#N/A</v>
      </c>
      <c r="E1964" s="211" t="e">
        <f>IF(D1964&lt;&gt;"",VLOOKUP(VALUE(E1939&amp;","&amp;C1964),INTEGRANTES!$D$18:$F$235,3,0),"")</f>
        <v>#N/A</v>
      </c>
      <c r="F1964" s="547" t="e">
        <f>IF(D1964="","",SUMIF($I1943:$I1952,D1964,$P1943:$P1952))</f>
        <v>#N/A</v>
      </c>
      <c r="G1964" s="333" t="e">
        <f>IF(D1964="","",SUMIF($I1943:$I1952,D1964,$M1943:$M1952))</f>
        <v>#N/A</v>
      </c>
      <c r="H1964" s="535" t="e">
        <f t="shared" si="569"/>
        <v>#N/A</v>
      </c>
      <c r="I1964" s="212" t="e">
        <f>IF(D1964="","",IF(H1964="NO APORTA","NO",IF(H1964=MAX($H1960:$H1965),"SI","NO")))</f>
        <v>#N/A</v>
      </c>
      <c r="J1964" s="213" t="e">
        <f t="shared" si="570"/>
        <v>#N/A</v>
      </c>
      <c r="K1964" s="200" t="e">
        <f t="shared" si="571"/>
        <v>#N/A</v>
      </c>
      <c r="L1964" s="721"/>
      <c r="M1964" s="715" t="s">
        <v>116</v>
      </c>
      <c r="N1964" s="716"/>
      <c r="O1964" s="556" t="str">
        <f>PORCREQUERIDO*100&amp;"% PMFO DEL MÓDULO"</f>
        <v>50% PMFO DEL MÓDULO</v>
      </c>
      <c r="P1964" s="715" t="s">
        <v>118</v>
      </c>
      <c r="Q1964" s="728"/>
      <c r="R1964" s="458"/>
      <c r="S1964" s="459"/>
      <c r="T1964" s="460"/>
      <c r="U1964" s="219"/>
      <c r="V1964" s="464"/>
      <c r="Y1964" s="414"/>
      <c r="AA1964" s="540" t="e">
        <f>IF(AND(C1963&lt;=F1958,F1958&lt;&gt;""),VLOOKUP(VALUE(E1939&amp;","&amp;C1963),INTEGRANTES!$D$18:$F$235,2,0),"")</f>
        <v>#N/A</v>
      </c>
      <c r="AB1964" s="545" t="e">
        <f t="shared" si="572"/>
        <v>#N/A</v>
      </c>
      <c r="AC1964" s="529"/>
      <c r="AD1964" s="200" t="e">
        <f t="shared" si="573"/>
        <v>#N/A</v>
      </c>
      <c r="AE1964" s="52"/>
      <c r="AF1964" s="52"/>
      <c r="AG1964" s="52"/>
      <c r="AH1964" s="87"/>
      <c r="AI1964" s="87"/>
    </row>
    <row r="1965" spans="1:35" ht="16.5" hidden="1" thickBot="1">
      <c r="A1965" s="218" t="e">
        <f>"S"&amp;E1939</f>
        <v>#N/A</v>
      </c>
      <c r="B1965" s="702"/>
      <c r="C1965" s="215">
        <v>6</v>
      </c>
      <c r="D1965" s="216" t="e">
        <f>IF(AND(C1965&lt;=F1958,F1958&lt;&gt;""),VLOOKUP(VALUE(E1939&amp;","&amp;C1965),INTEGRANTES!$D$18:$F$235,2,0),"")</f>
        <v>#N/A</v>
      </c>
      <c r="E1965" s="217" t="e">
        <f>IF(D1965&lt;&gt;"",VLOOKUP(VALUE(E1939&amp;","&amp;C1965),INTEGRANTES!$D$18:$F$235,3,0),"")</f>
        <v>#N/A</v>
      </c>
      <c r="F1965" s="548" t="e">
        <f>IF(D1965="","",SUMIF($I1943:$I1952,D1965,$P1943:$P1952))</f>
        <v>#N/A</v>
      </c>
      <c r="G1965" s="334" t="e">
        <f>IF(D1965="","",SUMIF($I1943:$I1952,D1965,$M1943:$M1952))</f>
        <v>#N/A</v>
      </c>
      <c r="H1965" s="536" t="e">
        <f t="shared" si="569"/>
        <v>#N/A</v>
      </c>
      <c r="I1965" s="214" t="e">
        <f>IF(D1965="","",IF(H1965="NO APORTA","NO",IF(H1965=MAX($H1960:$H1965),"SI","NO")))</f>
        <v>#N/A</v>
      </c>
      <c r="J1965" s="213" t="e">
        <f t="shared" si="570"/>
        <v>#N/A</v>
      </c>
      <c r="K1965" s="200" t="e">
        <f t="shared" si="571"/>
        <v>#N/A</v>
      </c>
      <c r="L1965" s="721"/>
      <c r="M1965" s="729">
        <f>NUMMOD</f>
        <v>1</v>
      </c>
      <c r="N1965" s="730"/>
      <c r="O1965" s="443">
        <f>IF(M1965="","",ROUND(VLOOKUP(M1965,PRESUPUESTOS!$B$16:$H$16,7,FALSE),3))</f>
        <v>25.780999999999999</v>
      </c>
      <c r="P1965" s="713">
        <f>IF(OR(COUNTIF(P1943:P1952,"")&gt;=10,Q1959&lt;NUMMINCONT,OR(T1957="NO CUMPLE",T1957="VERIFICAR")),0,ROUND((SUM(P1943:P1952)/SUM(M1943:M1952)),3))</f>
        <v>0</v>
      </c>
      <c r="Q1965" s="714"/>
      <c r="R1965" s="458"/>
      <c r="S1965" s="459"/>
      <c r="T1965" s="460"/>
      <c r="U1965" s="219"/>
      <c r="V1965" s="464"/>
      <c r="Y1965" s="532" t="s">
        <v>343</v>
      </c>
      <c r="AA1965" s="540" t="e">
        <f>IF(AND(C1964&lt;=F1958,F1958&lt;&gt;""),VLOOKUP(VALUE(E1939&amp;","&amp;C1964),INTEGRANTES!$D$18:$F$235,2,0),"")</f>
        <v>#N/A</v>
      </c>
      <c r="AB1965" s="545" t="e">
        <f t="shared" si="572"/>
        <v>#N/A</v>
      </c>
      <c r="AC1965" s="529"/>
      <c r="AD1965" s="200" t="e">
        <f t="shared" si="573"/>
        <v>#N/A</v>
      </c>
      <c r="AE1965" s="52"/>
      <c r="AF1965" s="52"/>
      <c r="AG1965" s="52"/>
      <c r="AH1965" s="87"/>
      <c r="AI1965" s="87"/>
    </row>
    <row r="1966" spans="1:35" ht="16.5" hidden="1" customHeight="1" thickBot="1">
      <c r="A1966" s="218" t="e">
        <f>"T"&amp;E1939</f>
        <v>#N/A</v>
      </c>
      <c r="B1966" s="703"/>
      <c r="C1966" s="719"/>
      <c r="D1966" s="719"/>
      <c r="E1966" s="719"/>
      <c r="F1966" s="719"/>
      <c r="G1966" s="719"/>
      <c r="H1966" s="719" t="s">
        <v>110</v>
      </c>
      <c r="I1966" s="719"/>
      <c r="J1966" s="719"/>
      <c r="K1966" s="201" t="str">
        <f>IF(COUNTIF(K1960:K1965,"")=6,"",IF(COUNTIF(K1960:K1965,"CUMPLE")&gt;0,"CUMPLE","NO CUMPLE"))</f>
        <v>NO CUMPLE</v>
      </c>
      <c r="L1966" s="754"/>
      <c r="M1966" s="755"/>
      <c r="N1966" s="755"/>
      <c r="O1966" s="755"/>
      <c r="P1966" s="755"/>
      <c r="Q1966" s="756"/>
      <c r="R1966" s="461"/>
      <c r="S1966" s="462"/>
      <c r="T1966" s="463"/>
      <c r="U1966" s="219"/>
      <c r="V1966" s="464"/>
      <c r="Y1966" s="549" t="e">
        <f>IF(Y1960="NO APLICA","NO APLICA",IF(COUNTIF(AD1961:AD1966,"CUMPLE")&gt;0,"CUMPLE","NO CUMPLE"))</f>
        <v>#N/A</v>
      </c>
      <c r="AA1966" s="541" t="e">
        <f>IF(AND(C1965&lt;=F1958,F1958&lt;&gt;""),VLOOKUP(VALUE(E1939&amp;","&amp;C1965),INTEGRANTES!$D$18:$F$235,2,0),"")</f>
        <v>#N/A</v>
      </c>
      <c r="AB1966" s="546" t="e">
        <f t="shared" si="572"/>
        <v>#N/A</v>
      </c>
      <c r="AC1966" s="543"/>
      <c r="AD1966" s="201" t="e">
        <f t="shared" si="573"/>
        <v>#N/A</v>
      </c>
      <c r="AE1966" s="52"/>
      <c r="AF1966" s="52"/>
      <c r="AG1966" s="52"/>
      <c r="AH1966" s="87"/>
      <c r="AI1966" s="87"/>
    </row>
    <row r="1967" spans="1:35" hidden="1">
      <c r="A1967" s="103"/>
      <c r="B1967" s="206"/>
      <c r="C1967" s="206"/>
      <c r="D1967" s="206"/>
      <c r="E1967" s="206"/>
      <c r="F1967" s="206"/>
      <c r="G1967" s="206"/>
      <c r="H1967" s="206"/>
      <c r="I1967" s="104"/>
      <c r="J1967" s="206"/>
      <c r="K1967" s="113"/>
      <c r="L1967" s="113"/>
      <c r="M1967" s="113"/>
      <c r="N1967" s="222"/>
      <c r="O1967" s="113"/>
      <c r="P1967" s="113"/>
      <c r="Q1967" s="113"/>
      <c r="R1967" s="206"/>
      <c r="S1967" s="104"/>
      <c r="T1967" s="206"/>
      <c r="U1967" s="474"/>
      <c r="AH1967" s="87"/>
      <c r="AI1967" s="87"/>
    </row>
    <row r="1968" spans="1:35" hidden="1">
      <c r="H1968" s="220"/>
      <c r="AH1968" s="87"/>
      <c r="AI1968" s="87"/>
    </row>
    <row r="1969" spans="1:35" ht="24" hidden="1" thickBot="1">
      <c r="A1969" s="61">
        <v>66</v>
      </c>
      <c r="B1969" s="704" t="s">
        <v>51</v>
      </c>
      <c r="C1969" s="704"/>
      <c r="D1969" s="704"/>
      <c r="E1969" s="62" t="e">
        <f>VLOOKUP(A1969,PROPONENTES!$B$19:$E$218,2,FALSE)</f>
        <v>#N/A</v>
      </c>
      <c r="F1969" s="63" t="e">
        <f>VLOOKUP(A1969,PROPONENTES!$B$19:$E$218,3,FALSE)</f>
        <v>#N/A</v>
      </c>
      <c r="G1969" s="64"/>
      <c r="H1969" s="64"/>
      <c r="I1969" s="63"/>
      <c r="J1969" s="63"/>
      <c r="K1969" s="65"/>
      <c r="L1969" s="65"/>
      <c r="M1969" s="64"/>
      <c r="N1969" s="64"/>
      <c r="O1969" s="66"/>
      <c r="P1969" s="66"/>
      <c r="Q1969" s="66"/>
      <c r="R1969" s="66"/>
      <c r="S1969" s="67"/>
      <c r="T1969" s="68"/>
      <c r="U1969" s="68"/>
      <c r="AC1969" s="68"/>
      <c r="AD1969" s="68"/>
      <c r="AE1969" s="68"/>
      <c r="AF1969" s="68"/>
      <c r="AG1969" s="68"/>
      <c r="AH1969" s="87"/>
      <c r="AI1969" s="87"/>
    </row>
    <row r="1970" spans="1:35" ht="15.75" hidden="1" customHeight="1">
      <c r="A1970" s="44"/>
      <c r="B1970" s="709" t="s">
        <v>59</v>
      </c>
      <c r="C1970" s="552" t="s">
        <v>60</v>
      </c>
      <c r="D1970" s="70" t="s">
        <v>17</v>
      </c>
      <c r="E1970" s="70"/>
      <c r="F1970" s="70" t="s">
        <v>61</v>
      </c>
      <c r="G1970" s="71"/>
      <c r="H1970" s="699" t="s">
        <v>62</v>
      </c>
      <c r="I1970" s="699" t="s">
        <v>18</v>
      </c>
      <c r="J1970" s="699" t="s">
        <v>63</v>
      </c>
      <c r="K1970" s="699" t="s">
        <v>64</v>
      </c>
      <c r="L1970" s="699" t="s">
        <v>65</v>
      </c>
      <c r="M1970" s="743" t="s">
        <v>66</v>
      </c>
      <c r="N1970" s="699" t="s">
        <v>282</v>
      </c>
      <c r="O1970" s="745" t="s">
        <v>67</v>
      </c>
      <c r="P1970" s="746"/>
      <c r="Q1970" s="102" t="s">
        <v>75</v>
      </c>
      <c r="R1970" s="731" t="s">
        <v>22</v>
      </c>
      <c r="S1970" s="732"/>
      <c r="T1970" s="733"/>
      <c r="U1970" s="712" t="s">
        <v>298</v>
      </c>
      <c r="W1970" s="690" t="s">
        <v>268</v>
      </c>
      <c r="X1970" s="691"/>
      <c r="Y1970" s="692"/>
      <c r="Z1970" s="428"/>
      <c r="AA1970" s="697" t="s">
        <v>315</v>
      </c>
      <c r="AB1970" s="695" t="s">
        <v>322</v>
      </c>
      <c r="AC1970" s="49"/>
      <c r="AD1970" s="690" t="s">
        <v>297</v>
      </c>
      <c r="AE1970" s="691"/>
      <c r="AF1970" s="692"/>
      <c r="AG1970" s="49"/>
      <c r="AH1970" s="87"/>
      <c r="AI1970" s="87"/>
    </row>
    <row r="1971" spans="1:35" ht="72" hidden="1">
      <c r="A1971" s="44"/>
      <c r="B1971" s="710"/>
      <c r="C1971" s="553" t="s">
        <v>68</v>
      </c>
      <c r="D1971" s="73" t="s">
        <v>3</v>
      </c>
      <c r="E1971" s="73" t="s">
        <v>19</v>
      </c>
      <c r="F1971" s="73" t="s">
        <v>69</v>
      </c>
      <c r="G1971" s="74" t="s">
        <v>70</v>
      </c>
      <c r="H1971" s="700"/>
      <c r="I1971" s="700"/>
      <c r="J1971" s="700"/>
      <c r="K1971" s="700"/>
      <c r="L1971" s="700"/>
      <c r="M1971" s="744"/>
      <c r="N1971" s="700"/>
      <c r="O1971" s="553" t="s">
        <v>279</v>
      </c>
      <c r="P1971" s="73" t="s">
        <v>88</v>
      </c>
      <c r="Q1971" s="555" t="s">
        <v>76</v>
      </c>
      <c r="R1971" s="734"/>
      <c r="S1971" s="735"/>
      <c r="T1971" s="736"/>
      <c r="U1971" s="712"/>
      <c r="W1971" s="429" t="s">
        <v>269</v>
      </c>
      <c r="X1971" s="457" t="s">
        <v>278</v>
      </c>
      <c r="Y1971" s="430" t="s">
        <v>324</v>
      </c>
      <c r="Z1971" s="428"/>
      <c r="AA1971" s="698"/>
      <c r="AB1971" s="696"/>
      <c r="AC1971" s="49"/>
      <c r="AD1971" s="429" t="s">
        <v>292</v>
      </c>
      <c r="AE1971" s="431" t="s">
        <v>300</v>
      </c>
      <c r="AF1971" s="468" t="s">
        <v>301</v>
      </c>
      <c r="AG1971" s="49"/>
      <c r="AH1971" s="87"/>
      <c r="AI1971" s="87"/>
    </row>
    <row r="1972" spans="1:35" hidden="1">
      <c r="A1972" s="44"/>
      <c r="B1972" s="76"/>
      <c r="C1972" s="77"/>
      <c r="D1972" s="77"/>
      <c r="E1972" s="77"/>
      <c r="F1972" s="77"/>
      <c r="G1972" s="77"/>
      <c r="H1972" s="77"/>
      <c r="I1972" s="77"/>
      <c r="J1972" s="77"/>
      <c r="K1972" s="77"/>
      <c r="L1972" s="77"/>
      <c r="M1972" s="77"/>
      <c r="N1972" s="77"/>
      <c r="O1972" s="77"/>
      <c r="P1972" s="77"/>
      <c r="Q1972" s="77"/>
      <c r="R1972" s="77"/>
      <c r="S1972" s="78"/>
      <c r="T1972" s="79"/>
      <c r="U1972" s="109"/>
      <c r="V1972" s="49"/>
      <c r="W1972" s="432"/>
      <c r="X1972" s="454"/>
      <c r="Y1972" s="433"/>
      <c r="Z1972" s="6"/>
      <c r="AA1972" s="500"/>
      <c r="AB1972" s="562"/>
      <c r="AC1972" s="49"/>
      <c r="AD1972" s="210"/>
      <c r="AE1972" s="434"/>
      <c r="AF1972" s="435"/>
      <c r="AG1972" s="49"/>
      <c r="AH1972" s="87"/>
      <c r="AI1972" s="87"/>
    </row>
    <row r="1973" spans="1:35" hidden="1">
      <c r="A1973" s="80" t="e">
        <f>"A"&amp;E1969</f>
        <v>#N/A</v>
      </c>
      <c r="B1973" s="81">
        <v>1</v>
      </c>
      <c r="C1973" s="82"/>
      <c r="D1973" s="82"/>
      <c r="E1973" s="82"/>
      <c r="F1973" s="82"/>
      <c r="G1973" s="83"/>
      <c r="H1973" s="83"/>
      <c r="I1973" s="84"/>
      <c r="J1973" s="85"/>
      <c r="K1973" s="382"/>
      <c r="L1973" s="85"/>
      <c r="M1973" s="332" t="str">
        <f t="shared" ref="M1973:M1982" si="574">IF(OR(J1973="",L1973="",H1973="NO"),"",IF(OR(J1973&gt;$P$17,J1973&lt;$O$17,L1973&gt;$P$17,AND(J1973&lt;$O$17,L1973&lt;$O$17)),"FUERA DE RANGO",IF(OR(K1973="---",K1973=""),IF(J1973&gt;=$O$17,ROUND((L1973-J1973+1)/360*12,3),ROUND((L1973-$O$17+1)/360*12,3)),IF(J1973&gt;=$O$17,ROUND((L1973-J1973+1)/360*12-ROUND(K1973,3),3),ROUND((L1973-$O$17+1)/360*12-ROUND(K1973,3),3)))))</f>
        <v/>
      </c>
      <c r="N1973" s="86"/>
      <c r="O1973" s="453" t="str">
        <f>IF(OR(G1973="",N1973=""),"",N1973*G1973)</f>
        <v/>
      </c>
      <c r="P1973" s="538" t="str">
        <f>IF(OR(H1973="",M1973="FUERA DE RANGO"),"",IF(OR(L1973&lt;$O$17,L1973&gt;$P$17,L1973="",H1973="NO"),"",IF(OR(N1973="",O1973=""),"",ROUND(O1973,3))))</f>
        <v/>
      </c>
      <c r="Q1973" s="539" t="str">
        <f t="shared" ref="Q1973:Q1982" si="575">IF(AND(H1973="SI",P1973&lt;&gt;""),ROUND(P1973/M1973,3),"")</f>
        <v/>
      </c>
      <c r="R1973" s="737"/>
      <c r="S1973" s="738"/>
      <c r="T1973" s="739"/>
      <c r="U1973" s="470"/>
      <c r="V1973" s="165"/>
      <c r="W1973" s="446"/>
      <c r="X1973" s="456"/>
      <c r="Y1973" s="436"/>
      <c r="Z1973" s="437"/>
      <c r="AA1973" s="560"/>
      <c r="AB1973" s="561"/>
      <c r="AC1973" s="87"/>
      <c r="AD1973" s="466"/>
      <c r="AE1973" s="456"/>
      <c r="AF1973" s="467"/>
      <c r="AG1973" s="87"/>
      <c r="AH1973" s="87"/>
      <c r="AI1973" s="87"/>
    </row>
    <row r="1974" spans="1:35" hidden="1">
      <c r="A1974" s="80" t="e">
        <f>"B"&amp;E1969</f>
        <v>#N/A</v>
      </c>
      <c r="B1974" s="81">
        <v>2</v>
      </c>
      <c r="C1974" s="106"/>
      <c r="D1974" s="106"/>
      <c r="E1974" s="106"/>
      <c r="F1974" s="106"/>
      <c r="G1974" s="83"/>
      <c r="H1974" s="83"/>
      <c r="I1974" s="84"/>
      <c r="J1974" s="85"/>
      <c r="K1974" s="382"/>
      <c r="L1974" s="85"/>
      <c r="M1974" s="332" t="str">
        <f t="shared" si="574"/>
        <v/>
      </c>
      <c r="N1974" s="86"/>
      <c r="O1974" s="453" t="str">
        <f t="shared" ref="O1974:O1982" si="576">IF(OR(G1974="",N1974=""),"",N1974*G1974)</f>
        <v/>
      </c>
      <c r="P1974" s="538" t="str">
        <f t="shared" ref="P1974:P1982" si="577">IF(OR(H1974="",M1974="FUERA DE RANGO"),"",IF(OR(L1974&lt;$O$17,L1974&gt;$P$17,L1974="",H1974="NO"),"",IF(OR(N1974="",O1974=""),"",ROUND(O1974,3))))</f>
        <v/>
      </c>
      <c r="Q1974" s="539" t="str">
        <f t="shared" si="575"/>
        <v/>
      </c>
      <c r="R1974" s="740"/>
      <c r="S1974" s="741"/>
      <c r="T1974" s="742"/>
      <c r="U1974" s="471"/>
      <c r="V1974" s="165"/>
      <c r="W1974" s="446"/>
      <c r="X1974" s="456"/>
      <c r="Y1974" s="436"/>
      <c r="Z1974" s="437"/>
      <c r="AA1974" s="560"/>
      <c r="AB1974" s="561"/>
      <c r="AC1974" s="87"/>
      <c r="AD1974" s="466"/>
      <c r="AE1974" s="456"/>
      <c r="AF1974" s="467"/>
      <c r="AG1974" s="87"/>
      <c r="AH1974" s="87"/>
      <c r="AI1974" s="87"/>
    </row>
    <row r="1975" spans="1:35" hidden="1">
      <c r="A1975" s="80" t="e">
        <f>"C"&amp;E1969</f>
        <v>#N/A</v>
      </c>
      <c r="B1975" s="88">
        <v>3</v>
      </c>
      <c r="C1975" s="82"/>
      <c r="D1975" s="82"/>
      <c r="E1975" s="82"/>
      <c r="F1975" s="82"/>
      <c r="G1975" s="83"/>
      <c r="H1975" s="83"/>
      <c r="I1975" s="84"/>
      <c r="J1975" s="85"/>
      <c r="K1975" s="382"/>
      <c r="L1975" s="85"/>
      <c r="M1975" s="332" t="str">
        <f t="shared" si="574"/>
        <v/>
      </c>
      <c r="N1975" s="86"/>
      <c r="O1975" s="453" t="str">
        <f t="shared" si="576"/>
        <v/>
      </c>
      <c r="P1975" s="538" t="str">
        <f t="shared" si="577"/>
        <v/>
      </c>
      <c r="Q1975" s="539" t="str">
        <f t="shared" si="575"/>
        <v/>
      </c>
      <c r="R1975" s="706"/>
      <c r="S1975" s="707"/>
      <c r="T1975" s="708"/>
      <c r="U1975" s="472"/>
      <c r="V1975" s="166"/>
      <c r="W1975" s="446"/>
      <c r="X1975" s="456"/>
      <c r="Y1975" s="436"/>
      <c r="Z1975" s="437"/>
      <c r="AA1975" s="560"/>
      <c r="AB1975" s="561"/>
      <c r="AC1975" s="87"/>
      <c r="AD1975" s="466"/>
      <c r="AE1975" s="456"/>
      <c r="AF1975" s="467"/>
      <c r="AG1975" s="87"/>
      <c r="AH1975" s="87"/>
      <c r="AI1975" s="87"/>
    </row>
    <row r="1976" spans="1:35" hidden="1">
      <c r="A1976" s="80" t="e">
        <f>"D"&amp;E1969</f>
        <v>#N/A</v>
      </c>
      <c r="B1976" s="105">
        <v>4</v>
      </c>
      <c r="C1976" s="107"/>
      <c r="D1976" s="107"/>
      <c r="E1976" s="107"/>
      <c r="F1976" s="107"/>
      <c r="G1976" s="83"/>
      <c r="H1976" s="83"/>
      <c r="I1976" s="84"/>
      <c r="J1976" s="85"/>
      <c r="K1976" s="382"/>
      <c r="L1976" s="85"/>
      <c r="M1976" s="332" t="str">
        <f t="shared" si="574"/>
        <v/>
      </c>
      <c r="N1976" s="86"/>
      <c r="O1976" s="453" t="str">
        <f t="shared" si="576"/>
        <v/>
      </c>
      <c r="P1976" s="538" t="str">
        <f t="shared" si="577"/>
        <v/>
      </c>
      <c r="Q1976" s="539" t="str">
        <f t="shared" si="575"/>
        <v/>
      </c>
      <c r="R1976" s="706"/>
      <c r="S1976" s="707"/>
      <c r="T1976" s="708"/>
      <c r="U1976" s="472"/>
      <c r="V1976" s="166"/>
      <c r="W1976" s="446"/>
      <c r="X1976" s="456"/>
      <c r="Y1976" s="436"/>
      <c r="Z1976" s="437"/>
      <c r="AA1976" s="560"/>
      <c r="AB1976" s="561"/>
      <c r="AC1976" s="87"/>
      <c r="AD1976" s="466"/>
      <c r="AE1976" s="456"/>
      <c r="AF1976" s="467"/>
      <c r="AG1976" s="87"/>
      <c r="AH1976" s="87"/>
      <c r="AI1976" s="87"/>
    </row>
    <row r="1977" spans="1:35" hidden="1">
      <c r="A1977" s="80" t="e">
        <f>"E"&amp;E1969</f>
        <v>#N/A</v>
      </c>
      <c r="B1977" s="105">
        <v>5</v>
      </c>
      <c r="C1977" s="107"/>
      <c r="D1977" s="107"/>
      <c r="E1977" s="107"/>
      <c r="F1977" s="107"/>
      <c r="G1977" s="83"/>
      <c r="H1977" s="83"/>
      <c r="I1977" s="84"/>
      <c r="J1977" s="85"/>
      <c r="K1977" s="382"/>
      <c r="L1977" s="85"/>
      <c r="M1977" s="332" t="str">
        <f t="shared" si="574"/>
        <v/>
      </c>
      <c r="N1977" s="86"/>
      <c r="O1977" s="453" t="str">
        <f t="shared" si="576"/>
        <v/>
      </c>
      <c r="P1977" s="538" t="str">
        <f t="shared" si="577"/>
        <v/>
      </c>
      <c r="Q1977" s="539" t="str">
        <f t="shared" si="575"/>
        <v/>
      </c>
      <c r="R1977" s="706"/>
      <c r="S1977" s="707"/>
      <c r="T1977" s="708"/>
      <c r="U1977" s="472"/>
      <c r="V1977" s="167"/>
      <c r="W1977" s="446"/>
      <c r="X1977" s="456"/>
      <c r="Y1977" s="436"/>
      <c r="Z1977" s="437"/>
      <c r="AA1977" s="560"/>
      <c r="AB1977" s="561"/>
      <c r="AC1977" s="87"/>
      <c r="AD1977" s="466"/>
      <c r="AE1977" s="456"/>
      <c r="AF1977" s="467"/>
      <c r="AG1977" s="87"/>
      <c r="AH1977" s="87"/>
      <c r="AI1977" s="87"/>
    </row>
    <row r="1978" spans="1:35" hidden="1">
      <c r="A1978" s="80" t="e">
        <f>"F"&amp;E1969</f>
        <v>#N/A</v>
      </c>
      <c r="B1978" s="105">
        <v>6</v>
      </c>
      <c r="C1978" s="107"/>
      <c r="D1978" s="107"/>
      <c r="E1978" s="107"/>
      <c r="F1978" s="107"/>
      <c r="G1978" s="83"/>
      <c r="H1978" s="83"/>
      <c r="I1978" s="84"/>
      <c r="J1978" s="85"/>
      <c r="K1978" s="382"/>
      <c r="L1978" s="85"/>
      <c r="M1978" s="332" t="str">
        <f t="shared" si="574"/>
        <v/>
      </c>
      <c r="N1978" s="86"/>
      <c r="O1978" s="453" t="str">
        <f t="shared" si="576"/>
        <v/>
      </c>
      <c r="P1978" s="538" t="str">
        <f t="shared" si="577"/>
        <v/>
      </c>
      <c r="Q1978" s="539" t="str">
        <f t="shared" si="575"/>
        <v/>
      </c>
      <c r="R1978" s="706"/>
      <c r="S1978" s="707"/>
      <c r="T1978" s="708"/>
      <c r="U1978" s="472"/>
      <c r="V1978" s="167"/>
      <c r="W1978" s="446"/>
      <c r="X1978" s="456"/>
      <c r="Y1978" s="436"/>
      <c r="Z1978" s="437"/>
      <c r="AA1978" s="560"/>
      <c r="AB1978" s="561"/>
      <c r="AC1978" s="87"/>
      <c r="AD1978" s="466"/>
      <c r="AE1978" s="456"/>
      <c r="AF1978" s="467"/>
      <c r="AG1978" s="87"/>
      <c r="AH1978" s="87"/>
      <c r="AI1978" s="87"/>
    </row>
    <row r="1979" spans="1:35" hidden="1">
      <c r="A1979" s="80" t="e">
        <f>"G"&amp;E1969</f>
        <v>#N/A</v>
      </c>
      <c r="B1979" s="105">
        <v>7</v>
      </c>
      <c r="C1979" s="107"/>
      <c r="D1979" s="107"/>
      <c r="E1979" s="107"/>
      <c r="F1979" s="107"/>
      <c r="G1979" s="83"/>
      <c r="H1979" s="83"/>
      <c r="I1979" s="84"/>
      <c r="J1979" s="85"/>
      <c r="K1979" s="382"/>
      <c r="L1979" s="85"/>
      <c r="M1979" s="332" t="str">
        <f t="shared" si="574"/>
        <v/>
      </c>
      <c r="N1979" s="86"/>
      <c r="O1979" s="86" t="str">
        <f t="shared" si="576"/>
        <v/>
      </c>
      <c r="P1979" s="538" t="str">
        <f t="shared" si="577"/>
        <v/>
      </c>
      <c r="Q1979" s="539" t="str">
        <f t="shared" si="575"/>
        <v/>
      </c>
      <c r="R1979" s="706"/>
      <c r="S1979" s="707"/>
      <c r="T1979" s="708"/>
      <c r="U1979" s="472"/>
      <c r="V1979" s="167"/>
      <c r="W1979" s="446"/>
      <c r="X1979" s="456"/>
      <c r="Y1979" s="436"/>
      <c r="Z1979" s="437"/>
      <c r="AA1979" s="560"/>
      <c r="AB1979" s="561"/>
      <c r="AC1979" s="87"/>
      <c r="AD1979" s="466"/>
      <c r="AE1979" s="456"/>
      <c r="AF1979" s="467"/>
      <c r="AG1979" s="87"/>
      <c r="AH1979" s="87"/>
      <c r="AI1979" s="87"/>
    </row>
    <row r="1980" spans="1:35" hidden="1">
      <c r="A1980" s="80" t="e">
        <f>"H"&amp;E1969</f>
        <v>#N/A</v>
      </c>
      <c r="B1980" s="105">
        <v>8</v>
      </c>
      <c r="C1980" s="107"/>
      <c r="D1980" s="107"/>
      <c r="E1980" s="107"/>
      <c r="F1980" s="107"/>
      <c r="G1980" s="83"/>
      <c r="H1980" s="83"/>
      <c r="I1980" s="84"/>
      <c r="J1980" s="85"/>
      <c r="K1980" s="382"/>
      <c r="L1980" s="85"/>
      <c r="M1980" s="332" t="str">
        <f t="shared" si="574"/>
        <v/>
      </c>
      <c r="N1980" s="453"/>
      <c r="O1980" s="86" t="str">
        <f t="shared" si="576"/>
        <v/>
      </c>
      <c r="P1980" s="538" t="str">
        <f t="shared" si="577"/>
        <v/>
      </c>
      <c r="Q1980" s="539" t="str">
        <f t="shared" si="575"/>
        <v/>
      </c>
      <c r="R1980" s="706"/>
      <c r="S1980" s="707"/>
      <c r="T1980" s="708"/>
      <c r="U1980" s="472"/>
      <c r="V1980" s="167"/>
      <c r="W1980" s="446"/>
      <c r="X1980" s="456"/>
      <c r="Y1980" s="436"/>
      <c r="Z1980" s="437"/>
      <c r="AA1980" s="560"/>
      <c r="AB1980" s="561"/>
      <c r="AC1980" s="87"/>
      <c r="AD1980" s="466"/>
      <c r="AE1980" s="456"/>
      <c r="AF1980" s="467"/>
      <c r="AG1980" s="87"/>
      <c r="AH1980" s="87"/>
      <c r="AI1980" s="87"/>
    </row>
    <row r="1981" spans="1:35" hidden="1">
      <c r="A1981" s="80" t="e">
        <f>"I"&amp;E1969</f>
        <v>#N/A</v>
      </c>
      <c r="B1981" s="105">
        <v>9</v>
      </c>
      <c r="C1981" s="107"/>
      <c r="D1981" s="107"/>
      <c r="E1981" s="107"/>
      <c r="F1981" s="107"/>
      <c r="G1981" s="83"/>
      <c r="H1981" s="83"/>
      <c r="I1981" s="84"/>
      <c r="J1981" s="85"/>
      <c r="K1981" s="382"/>
      <c r="L1981" s="85"/>
      <c r="M1981" s="332" t="str">
        <f t="shared" si="574"/>
        <v/>
      </c>
      <c r="N1981" s="453"/>
      <c r="O1981" s="86" t="str">
        <f t="shared" si="576"/>
        <v/>
      </c>
      <c r="P1981" s="538" t="str">
        <f t="shared" si="577"/>
        <v/>
      </c>
      <c r="Q1981" s="539" t="str">
        <f t="shared" si="575"/>
        <v/>
      </c>
      <c r="R1981" s="706"/>
      <c r="S1981" s="707"/>
      <c r="T1981" s="708"/>
      <c r="U1981" s="472"/>
      <c r="V1981" s="167"/>
      <c r="W1981" s="446"/>
      <c r="X1981" s="456"/>
      <c r="Y1981" s="436"/>
      <c r="Z1981" s="437"/>
      <c r="AA1981" s="560"/>
      <c r="AB1981" s="561"/>
      <c r="AC1981" s="87"/>
      <c r="AD1981" s="466"/>
      <c r="AE1981" s="456"/>
      <c r="AF1981" s="467"/>
      <c r="AG1981" s="87"/>
      <c r="AH1981" s="87"/>
      <c r="AI1981" s="87"/>
    </row>
    <row r="1982" spans="1:35" hidden="1">
      <c r="A1982" s="80" t="e">
        <f>"J"&amp;E1969</f>
        <v>#N/A</v>
      </c>
      <c r="B1982" s="105">
        <v>10</v>
      </c>
      <c r="C1982" s="107"/>
      <c r="D1982" s="107"/>
      <c r="E1982" s="107"/>
      <c r="F1982" s="107"/>
      <c r="G1982" s="83"/>
      <c r="H1982" s="83"/>
      <c r="I1982" s="84"/>
      <c r="J1982" s="85"/>
      <c r="K1982" s="382"/>
      <c r="L1982" s="85"/>
      <c r="M1982" s="332" t="str">
        <f t="shared" si="574"/>
        <v/>
      </c>
      <c r="N1982" s="453"/>
      <c r="O1982" s="86" t="str">
        <f t="shared" si="576"/>
        <v/>
      </c>
      <c r="P1982" s="538" t="str">
        <f t="shared" si="577"/>
        <v/>
      </c>
      <c r="Q1982" s="539" t="str">
        <f t="shared" si="575"/>
        <v/>
      </c>
      <c r="R1982" s="706"/>
      <c r="S1982" s="707"/>
      <c r="T1982" s="708"/>
      <c r="U1982" s="472"/>
      <c r="V1982" s="167"/>
      <c r="W1982" s="446"/>
      <c r="X1982" s="456"/>
      <c r="Y1982" s="436"/>
      <c r="Z1982" s="437"/>
      <c r="AA1982" s="560"/>
      <c r="AB1982" s="561"/>
      <c r="AC1982" s="87"/>
      <c r="AD1982" s="466"/>
      <c r="AE1982" s="456"/>
      <c r="AF1982" s="467"/>
      <c r="AG1982" s="87"/>
      <c r="AH1982" s="87"/>
      <c r="AI1982" s="87"/>
    </row>
    <row r="1983" spans="1:35" ht="16.5" hidden="1" thickBot="1">
      <c r="A1983" s="44"/>
      <c r="B1983" s="89"/>
      <c r="C1983" s="90"/>
      <c r="D1983" s="90"/>
      <c r="E1983" s="90"/>
      <c r="F1983" s="90"/>
      <c r="G1983" s="90"/>
      <c r="H1983" s="90"/>
      <c r="I1983" s="90"/>
      <c r="J1983" s="90"/>
      <c r="K1983" s="90"/>
      <c r="L1983" s="90"/>
      <c r="M1983" s="90"/>
      <c r="N1983" s="90"/>
      <c r="O1983" s="90"/>
      <c r="P1983" s="90"/>
      <c r="Q1983" s="90"/>
      <c r="R1983" s="90"/>
      <c r="S1983" s="91"/>
      <c r="T1983" s="92"/>
      <c r="U1983" s="473"/>
      <c r="W1983" s="438"/>
      <c r="X1983" s="455"/>
      <c r="Y1983" s="439"/>
      <c r="Z1983" s="437"/>
      <c r="AA1983" s="530"/>
      <c r="AB1983" s="563"/>
      <c r="AC1983" s="87"/>
      <c r="AD1983" s="440"/>
      <c r="AE1983" s="441"/>
      <c r="AF1983" s="442"/>
      <c r="AG1983" s="49"/>
      <c r="AH1983" s="87"/>
      <c r="AI1983" s="87"/>
    </row>
    <row r="1984" spans="1:35" ht="16.5" hidden="1" thickBot="1">
      <c r="A1984" s="93"/>
      <c r="B1984" s="94"/>
      <c r="C1984" s="96"/>
      <c r="D1984" s="96"/>
      <c r="E1984" s="96"/>
      <c r="F1984" s="96"/>
      <c r="G1984" s="96"/>
      <c r="H1984" s="96"/>
      <c r="I1984" s="96"/>
      <c r="J1984" s="96"/>
      <c r="K1984" s="96"/>
      <c r="L1984" s="96"/>
      <c r="M1984" s="136"/>
      <c r="N1984" s="96"/>
      <c r="O1984" s="96"/>
      <c r="P1984" s="97"/>
      <c r="Q1984" s="97"/>
      <c r="R1984" s="98"/>
      <c r="S1984" s="95"/>
      <c r="T1984" s="99"/>
      <c r="U1984" s="469"/>
      <c r="AC1984" s="58"/>
      <c r="AG1984" s="58"/>
      <c r="AH1984" s="87"/>
      <c r="AI1984" s="87"/>
    </row>
    <row r="1985" spans="1:35" ht="16.5" hidden="1" thickBot="1">
      <c r="B1985" s="101"/>
      <c r="C1985" s="101"/>
      <c r="D1985" s="101"/>
      <c r="E1985" s="101"/>
      <c r="F1985" s="101"/>
      <c r="G1985" s="101"/>
      <c r="H1985" s="101"/>
      <c r="I1985" s="101"/>
      <c r="J1985" s="101"/>
      <c r="K1985" s="101"/>
      <c r="L1985" s="101"/>
      <c r="M1985" s="101"/>
      <c r="N1985" s="101"/>
      <c r="O1985" s="101"/>
      <c r="P1985" s="101"/>
      <c r="Q1985" s="101"/>
      <c r="R1985" s="101"/>
      <c r="S1985" s="101"/>
      <c r="U1985" s="50"/>
      <c r="AH1985" s="87"/>
      <c r="AI1985" s="87"/>
    </row>
    <row r="1986" spans="1:35" ht="16.5" hidden="1" customHeight="1" thickBot="1">
      <c r="A1986" s="44"/>
      <c r="B1986" s="705" t="s">
        <v>74</v>
      </c>
      <c r="C1986" s="705"/>
      <c r="D1986" s="705"/>
      <c r="E1986" s="705"/>
      <c r="F1986" s="705"/>
      <c r="G1986" s="705"/>
      <c r="H1986" s="705"/>
      <c r="I1986" s="705"/>
      <c r="J1986" s="705"/>
      <c r="K1986" s="705"/>
      <c r="L1986" s="705"/>
      <c r="M1986" s="705"/>
      <c r="N1986" s="705"/>
      <c r="O1986" s="705"/>
      <c r="P1986" s="705"/>
      <c r="Q1986" s="705"/>
      <c r="R1986" s="705"/>
      <c r="S1986" s="705"/>
      <c r="T1986" s="705"/>
      <c r="U1986" s="108"/>
      <c r="Y1986" s="532" t="s">
        <v>341</v>
      </c>
      <c r="AC1986" s="49"/>
      <c r="AD1986" s="687" t="s">
        <v>302</v>
      </c>
      <c r="AE1986" s="688"/>
      <c r="AF1986" s="689"/>
      <c r="AG1986" s="49"/>
      <c r="AH1986" s="87"/>
      <c r="AI1986" s="87"/>
    </row>
    <row r="1987" spans="1:35" ht="15.75" hidden="1" customHeight="1" thickBot="1">
      <c r="A1987" s="218" t="e">
        <f>"K"&amp;E1969</f>
        <v>#N/A</v>
      </c>
      <c r="B1987" s="701" t="s">
        <v>71</v>
      </c>
      <c r="C1987" s="751" t="s">
        <v>102</v>
      </c>
      <c r="D1987" s="751"/>
      <c r="E1987" s="751"/>
      <c r="F1987" s="751"/>
      <c r="G1987" s="751"/>
      <c r="H1987" s="751"/>
      <c r="I1987" s="751"/>
      <c r="J1987" s="751"/>
      <c r="K1987" s="751"/>
      <c r="L1987" s="722" t="s">
        <v>100</v>
      </c>
      <c r="M1987" s="747" t="s">
        <v>114</v>
      </c>
      <c r="N1987" s="747"/>
      <c r="O1987" s="747"/>
      <c r="P1987" s="747"/>
      <c r="Q1987" s="748"/>
      <c r="R1987" s="758" t="s">
        <v>280</v>
      </c>
      <c r="S1987" s="748"/>
      <c r="T1987" s="762" t="str">
        <f>IF(COUNTIF(AE1987:AF1987,"VERIFICAR")&gt;0,"VERIFICAR",IF(COUNTIF(AE1987:AF1987,"NO CUMPLE")&gt;0,"NO CUMPLE","CUMPLE"))</f>
        <v>VERIFICAR</v>
      </c>
      <c r="U1987" s="108"/>
      <c r="Y1987" s="533" t="e">
        <f>IF(F1988="","",IF(F1988=1,"INDIVIDUAL","ESTRUCTURA PLURAL"))</f>
        <v>#N/A</v>
      </c>
      <c r="AC1987" s="52"/>
      <c r="AD1987" s="475" t="s">
        <v>303</v>
      </c>
      <c r="AE1987" s="476" t="str">
        <f>IF(COUNTIF(AE1973:AE1982,"")=10,"VERIFICAR",IF(COUNTIF(AE1973:AE1982,"SI")&gt;0,"CUMPLE","NO CUMPLE"))</f>
        <v>VERIFICAR</v>
      </c>
      <c r="AF1987" s="477" t="str">
        <f>IF(COUNTIF(AF1973:AF1982,"")=10,"VERIFICAR",IF(COUNTIF(AF1973:AF1982,"SI")&gt;=$AI$22,"CUMPLE","NO CUMPLE"))</f>
        <v>VERIFICAR</v>
      </c>
      <c r="AG1987" s="52"/>
      <c r="AH1987" s="87"/>
      <c r="AI1987" s="87"/>
    </row>
    <row r="1988" spans="1:35" ht="16.5" hidden="1" customHeight="1" thickBot="1">
      <c r="A1988" s="218" t="e">
        <f>"L"&amp;E1969</f>
        <v>#N/A</v>
      </c>
      <c r="B1988" s="702"/>
      <c r="C1988" s="751" t="s">
        <v>103</v>
      </c>
      <c r="D1988" s="751"/>
      <c r="E1988" s="752"/>
      <c r="F1988" s="557" t="e">
        <f>IF(VLOOKUP(E1969,PROPONENTES!$C$19:$E$218,3,0)="","",VLOOKUP(E1969,PROPONENTES!$C$19:$E$218,3,0))</f>
        <v>#N/A</v>
      </c>
      <c r="G1988" s="753" t="s">
        <v>104</v>
      </c>
      <c r="H1988" s="751"/>
      <c r="I1988" s="715" t="e">
        <f>IF(OR(F1988="",F1988=1),"INTERESADO PERSONA NATURAL O JURIDICA","CONSORCIO O UNION TEMPORAL")</f>
        <v>#N/A</v>
      </c>
      <c r="J1988" s="725"/>
      <c r="K1988" s="728"/>
      <c r="L1988" s="723"/>
      <c r="M1988" s="749"/>
      <c r="N1988" s="749"/>
      <c r="O1988" s="749"/>
      <c r="P1988" s="749"/>
      <c r="Q1988" s="750"/>
      <c r="R1988" s="712"/>
      <c r="S1988" s="750"/>
      <c r="T1988" s="763"/>
      <c r="U1988" s="108"/>
      <c r="Y1988" s="534"/>
      <c r="AA1988" s="52"/>
      <c r="AB1988" s="52"/>
      <c r="AC1988" s="52"/>
      <c r="AG1988" s="52"/>
      <c r="AH1988" s="87"/>
      <c r="AI1988" s="87"/>
    </row>
    <row r="1989" spans="1:35" ht="56.25" hidden="1" customHeight="1" thickBot="1">
      <c r="A1989" s="218" t="e">
        <f>"M"&amp;E1969</f>
        <v>#N/A</v>
      </c>
      <c r="B1989" s="702"/>
      <c r="C1989" s="725" t="s">
        <v>101</v>
      </c>
      <c r="D1989" s="716"/>
      <c r="E1989" s="558" t="s">
        <v>105</v>
      </c>
      <c r="F1989" s="554" t="s">
        <v>87</v>
      </c>
      <c r="G1989" s="553" t="s">
        <v>86</v>
      </c>
      <c r="H1989" s="559" t="s">
        <v>85</v>
      </c>
      <c r="I1989" s="554" t="s">
        <v>252</v>
      </c>
      <c r="J1989" s="553" t="str">
        <f>"¿EL INTEGRANTE TIENE UNA PARTICIPACIÓN DEL "&amp;PORCREQUERIDOINT*100&amp;"%?"</f>
        <v>¿EL INTEGRANTE TIENE UNA PARTICIPACIÓN DEL 60%?</v>
      </c>
      <c r="K1989" s="554" t="s">
        <v>107</v>
      </c>
      <c r="L1989" s="724"/>
      <c r="M1989" s="717" t="s">
        <v>115</v>
      </c>
      <c r="N1989" s="718"/>
      <c r="O1989" s="718"/>
      <c r="P1989" s="718"/>
      <c r="Q1989" s="223">
        <f>IF(AND(H1973="SI",P1973&gt;=0),1,0)+IF(AND(H1974="SI",P1974&gt;=0),1,0)+IF(AND(H1975="SI",P1975&gt;=0),1,0)+IF(AND(H1976="SI",P1976&gt;=0),1,0)+IF(AND(H1977="SI",P1977&gt;=0),1,0)+IF(AND(H1978="SI",P1978&gt;=0),1,0)+IF(AND(H1979="SI",P1979&gt;=0),1,0)+IF(AND(H1980="SI",P1980&gt;=0),1,0)+IF(AND(H1981="SI",P1981&gt;=0),1,0)+IF(AND(H1982="SI",P1982&gt;=0),1,0)</f>
        <v>0</v>
      </c>
      <c r="R1989" s="759"/>
      <c r="S1989" s="761"/>
      <c r="T1989" s="764"/>
      <c r="U1989" s="219"/>
      <c r="V1989" s="464"/>
      <c r="Y1989" s="532" t="s">
        <v>342</v>
      </c>
      <c r="AA1989" s="550" t="s">
        <v>344</v>
      </c>
      <c r="AB1989" s="693" t="s">
        <v>345</v>
      </c>
      <c r="AC1989" s="693" t="s">
        <v>346</v>
      </c>
      <c r="AD1989" s="685" t="s">
        <v>347</v>
      </c>
      <c r="AE1989" s="52"/>
      <c r="AF1989" s="52"/>
      <c r="AG1989" s="52"/>
      <c r="AH1989" s="87"/>
      <c r="AI1989" s="87"/>
    </row>
    <row r="1990" spans="1:35" ht="15.75" hidden="1" customHeight="1" thickBot="1">
      <c r="A1990" s="218" t="e">
        <f>"N"&amp;E1969</f>
        <v>#N/A</v>
      </c>
      <c r="B1990" s="702"/>
      <c r="C1990" s="114">
        <v>1</v>
      </c>
      <c r="D1990" s="194" t="e">
        <f>IF(AND(C1990&lt;=F1988,F1988&gt;1,F1988&lt;&gt;""),VLOOKUP(VALUE(E1969&amp;","&amp;C1990),INTEGRANTES!$D$18:$F$235,2,0),"")</f>
        <v>#N/A</v>
      </c>
      <c r="E1990" s="211" t="e">
        <f>IF(D1990&lt;&gt;"",VLOOKUP(VALUE(E1969&amp;","&amp;C1990),INTEGRANTES!$D$18:$F$235,3,0),"")</f>
        <v>#N/A</v>
      </c>
      <c r="F1990" s="547" t="e">
        <f>IF(D1990="","",SUMIF($I1973:$I1982,D1990,$P1973:$P1982))</f>
        <v>#N/A</v>
      </c>
      <c r="G1990" s="333" t="e">
        <f>IF(D1990="","",SUMIF($I1973:$I1982,D1990,$M1973:$M1982))</f>
        <v>#N/A</v>
      </c>
      <c r="H1990" s="535" t="e">
        <f t="shared" ref="H1990:H1995" si="578">IF(D1990="","",IF(OR(F1990=0,G1990=0),"NO APORTA",ROUND($F1990/$G1990,3)))</f>
        <v>#N/A</v>
      </c>
      <c r="I1990" s="212" t="e">
        <f>IF(D1990="","",IF(H1990="NO APORTA","NO",IF(H1990=MAX($H1990:$H1995),"SI","NO")))</f>
        <v>#N/A</v>
      </c>
      <c r="J1990" s="213" t="e">
        <f t="shared" ref="J1990:J1995" si="579">IF(D1990="","",IF(E1990&gt;=PORCREQUERIDOINT,"SI","NO"))</f>
        <v>#N/A</v>
      </c>
      <c r="K1990" s="200" t="e">
        <f t="shared" ref="K1990:K1995" si="580">IF(D1990="","",IF(AND(I1990="SI",J1990="SI"),"CUMPLE",IF(AND(I1990="NO",OR(J1990="SI",J1990="NO")),"","NO CUMPLE")))</f>
        <v>#N/A</v>
      </c>
      <c r="L1990" s="722" t="s">
        <v>108</v>
      </c>
      <c r="M1990" s="726" t="s">
        <v>119</v>
      </c>
      <c r="N1990" s="726"/>
      <c r="O1990" s="726"/>
      <c r="P1990" s="726"/>
      <c r="Q1990" s="727"/>
      <c r="R1990" s="758" t="s">
        <v>80</v>
      </c>
      <c r="S1990" s="747"/>
      <c r="T1990" s="748"/>
      <c r="U1990" s="219"/>
      <c r="V1990" s="464"/>
      <c r="Y1990" s="533" t="e">
        <f>IF(Y1987="","",IF(Y1987="INDIVIDUAL","NO APLICA","VERIFICAR CUADRO"))</f>
        <v>#N/A</v>
      </c>
      <c r="AA1990" s="551"/>
      <c r="AB1990" s="694"/>
      <c r="AC1990" s="694"/>
      <c r="AD1990" s="686"/>
      <c r="AE1990" s="52"/>
      <c r="AF1990" s="52"/>
      <c r="AG1990" s="52"/>
      <c r="AH1990" s="87"/>
      <c r="AI1990" s="87"/>
    </row>
    <row r="1991" spans="1:35" ht="27" hidden="1" customHeight="1" thickBot="1">
      <c r="A1991" s="218" t="e">
        <f>"O"&amp;E1969</f>
        <v>#N/A</v>
      </c>
      <c r="B1991" s="702"/>
      <c r="C1991" s="114">
        <v>2</v>
      </c>
      <c r="D1991" s="194" t="e">
        <f>IF(AND(C1991&lt;=F1988,F1988&lt;&gt;""),VLOOKUP(VALUE(E1969&amp;","&amp;C1991),INTEGRANTES!$D$18:$F$235,2,0),"")</f>
        <v>#N/A</v>
      </c>
      <c r="E1991" s="211" t="e">
        <f>IF(D1991&lt;&gt;"",VLOOKUP(VALUE(E1969&amp;","&amp;C1991),INTEGRANTES!$D$18:$F$235,3,0),"")</f>
        <v>#N/A</v>
      </c>
      <c r="F1991" s="547" t="e">
        <f>IF(D1991="","",SUMIF($I1973:$I1982,D1991,$P1973:$P1982))</f>
        <v>#N/A</v>
      </c>
      <c r="G1991" s="333" t="e">
        <f>IF(D1991="","",SUMIF($I1973:$I1982,D1991,$M1973:$M1982))</f>
        <v>#N/A</v>
      </c>
      <c r="H1991" s="535" t="e">
        <f t="shared" si="578"/>
        <v>#N/A</v>
      </c>
      <c r="I1991" s="212" t="e">
        <f>IF(D1991="","",IF(H1991="NO APORTA","NO",IF(H1991=MAX($H1990:$H1995),"SI","NO")))</f>
        <v>#N/A</v>
      </c>
      <c r="J1991" s="213" t="e">
        <f t="shared" si="579"/>
        <v>#N/A</v>
      </c>
      <c r="K1991" s="200" t="e">
        <f t="shared" si="580"/>
        <v>#N/A</v>
      </c>
      <c r="L1991" s="723"/>
      <c r="M1991" s="715" t="s">
        <v>116</v>
      </c>
      <c r="N1991" s="716"/>
      <c r="O1991" s="556" t="s">
        <v>113</v>
      </c>
      <c r="P1991" s="715" t="s">
        <v>117</v>
      </c>
      <c r="Q1991" s="728"/>
      <c r="R1991" s="759"/>
      <c r="S1991" s="760"/>
      <c r="T1991" s="761"/>
      <c r="U1991" s="219"/>
      <c r="V1991" s="464"/>
      <c r="Y1991" s="414"/>
      <c r="AA1991" s="542" t="e">
        <f>IF(AND(C1990&lt;=F1988,F1988&gt;1,F1988&lt;&gt;""),VLOOKUP(VALUE(E1969&amp;","&amp;C1990),INTEGRANTES!$D$18:$F$235,2,0),"")</f>
        <v>#N/A</v>
      </c>
      <c r="AB1991" s="544" t="e">
        <f t="shared" ref="AB1991:AB1996" si="581">IF(D1990="","",IF(OR(F1990=0,G1990=0),"NO APORTA",ROUND($F1990/$G1990,3)))</f>
        <v>#N/A</v>
      </c>
      <c r="AC1991" s="529"/>
      <c r="AD1991" s="200" t="e">
        <f t="shared" ref="AD1991:AD1996" si="582">IF(OR(AA1991="",AB1991=""),"",IF(AND(AC1991="X",AB1991&gt;=EXPREQVTD),"CUMPLE","NO CUMPLE"))</f>
        <v>#N/A</v>
      </c>
      <c r="AE1991" s="52"/>
      <c r="AF1991" s="52"/>
      <c r="AG1991" s="52"/>
      <c r="AH1991" s="87"/>
      <c r="AI1991" s="87"/>
    </row>
    <row r="1992" spans="1:35" ht="16.5" hidden="1" thickBot="1">
      <c r="A1992" s="218" t="e">
        <f>"P"&amp;E1969</f>
        <v>#N/A</v>
      </c>
      <c r="B1992" s="702"/>
      <c r="C1992" s="114">
        <v>3</v>
      </c>
      <c r="D1992" s="194" t="e">
        <f>IF(AND(C1992&lt;=F1988,F1988&lt;&gt;""),VLOOKUP(VALUE(E1969&amp;","&amp;C1992),INTEGRANTES!$D$18:$F$235,2,0),"")</f>
        <v>#N/A</v>
      </c>
      <c r="E1992" s="211" t="e">
        <f>IF(D1992&lt;&gt;"",VLOOKUP(VALUE(E1969&amp;","&amp;C1992),INTEGRANTES!$D$18:$F$235,3,0),"")</f>
        <v>#N/A</v>
      </c>
      <c r="F1992" s="547" t="e">
        <f>IF(D1992="","",SUMIF($I1973:$I1982,D1992,$P1973:$P1982))</f>
        <v>#N/A</v>
      </c>
      <c r="G1992" s="333" t="e">
        <f>IF(D1992="","",SUMIF($I1973:$I1982,D1992,$M1973:$M1982))</f>
        <v>#N/A</v>
      </c>
      <c r="H1992" s="535" t="e">
        <f t="shared" si="578"/>
        <v>#N/A</v>
      </c>
      <c r="I1992" s="212" t="e">
        <f>IF(D1992="","",IF(H1992="NO APORTA","NO",IF(H1992=MAX($H1990:$H1995),"SI","NO")))</f>
        <v>#N/A</v>
      </c>
      <c r="J1992" s="213" t="e">
        <f t="shared" si="579"/>
        <v>#N/A</v>
      </c>
      <c r="K1992" s="200" t="e">
        <f t="shared" si="580"/>
        <v>#N/A</v>
      </c>
      <c r="L1992" s="724"/>
      <c r="M1992" s="729">
        <f>NUMMOD</f>
        <v>1</v>
      </c>
      <c r="N1992" s="730"/>
      <c r="O1992" s="443">
        <f>IF(M1992="","",VLOOKUP(M1992,PRESUPUESTOS!$B$16:$H$16,5,FALSE))</f>
        <v>2</v>
      </c>
      <c r="P1992" s="713">
        <f>IF(OR(COUNTIF(M1973:M1982,"")&gt;=10,Q1989&lt;NUMMINCONT,OR(T1987="NO CUMPLE",T1987="VERIFICAR")),0,ROUND(AVERAGE(M1973:M1982),3))</f>
        <v>0</v>
      </c>
      <c r="Q1992" s="714"/>
      <c r="R1992" s="458"/>
      <c r="S1992" s="459"/>
      <c r="T1992" s="460"/>
      <c r="U1992" s="219"/>
      <c r="V1992" s="464"/>
      <c r="Y1992" s="532" t="str">
        <f>"40% * ("&amp;PRESUPUESTOS!$H$13&amp;")"</f>
        <v>40% * (50% PFMO)</v>
      </c>
      <c r="AA1992" s="540" t="e">
        <f>IF(AND(C1991&lt;=F1988,F1988&lt;&gt;""),VLOOKUP(VALUE(E1969&amp;","&amp;C1991),INTEGRANTES!$D$18:$F$235,2,0),"")</f>
        <v>#N/A</v>
      </c>
      <c r="AB1992" s="545" t="e">
        <f t="shared" si="581"/>
        <v>#N/A</v>
      </c>
      <c r="AC1992" s="529"/>
      <c r="AD1992" s="200" t="e">
        <f t="shared" si="582"/>
        <v>#N/A</v>
      </c>
      <c r="AE1992" s="52"/>
      <c r="AF1992" s="52"/>
      <c r="AG1992" s="52"/>
      <c r="AH1992" s="87"/>
      <c r="AI1992" s="87"/>
    </row>
    <row r="1993" spans="1:35" ht="15.75" hidden="1" customHeight="1" thickBot="1">
      <c r="A1993" s="218" t="e">
        <f>"Q"&amp;E1969</f>
        <v>#N/A</v>
      </c>
      <c r="B1993" s="702"/>
      <c r="C1993" s="114">
        <v>4</v>
      </c>
      <c r="D1993" s="194" t="e">
        <f>IF(AND(C1993&lt;=F1988,F1988&lt;&gt;""),VLOOKUP(VALUE(E1969&amp;","&amp;C1993),INTEGRANTES!$D$18:$F$235,2,0),"")</f>
        <v>#N/A</v>
      </c>
      <c r="E1993" s="211" t="e">
        <f>IF(D1993&lt;&gt;"",VLOOKUP(VALUE(E1969&amp;","&amp;C1993),INTEGRANTES!$D$18:$F$235,3,0),"")</f>
        <v>#N/A</v>
      </c>
      <c r="F1993" s="547" t="e">
        <f>IF(D1993="","",SUMIF($I1973:$I1982,D1993,$P1973:$P1982))</f>
        <v>#N/A</v>
      </c>
      <c r="G1993" s="333" t="e">
        <f>IF(D1993="","",SUMIF($I1973:$I1982,D1993,$M1973:$M1982))</f>
        <v>#N/A</v>
      </c>
      <c r="H1993" s="535" t="e">
        <f t="shared" si="578"/>
        <v>#N/A</v>
      </c>
      <c r="I1993" s="212" t="e">
        <f>IF(D1993="","",IF(H1993="NO APORTA","NO",IF(H1993=MAX($H1990:$H1995),"SI","NO")))</f>
        <v>#N/A</v>
      </c>
      <c r="J1993" s="213" t="e">
        <f t="shared" si="579"/>
        <v>#N/A</v>
      </c>
      <c r="K1993" s="200" t="e">
        <f t="shared" si="580"/>
        <v>#N/A</v>
      </c>
      <c r="L1993" s="720" t="s">
        <v>109</v>
      </c>
      <c r="M1993" s="757" t="s">
        <v>120</v>
      </c>
      <c r="N1993" s="726"/>
      <c r="O1993" s="726"/>
      <c r="P1993" s="726"/>
      <c r="Q1993" s="727"/>
      <c r="R1993" s="458"/>
      <c r="S1993" s="459"/>
      <c r="T1993" s="460"/>
      <c r="U1993" s="219"/>
      <c r="V1993" s="464"/>
      <c r="Y1993" s="537">
        <f>0.4*PRESUPUESTOS!$H$16</f>
        <v>10.3124</v>
      </c>
      <c r="AA1993" s="540" t="e">
        <f>IF(AND(C1992&lt;=F1988,F1988&lt;&gt;""),VLOOKUP(VALUE(E1969&amp;","&amp;C1992),INTEGRANTES!$D$18:$F$235,2,0),"")</f>
        <v>#N/A</v>
      </c>
      <c r="AB1993" s="545" t="e">
        <f t="shared" si="581"/>
        <v>#N/A</v>
      </c>
      <c r="AC1993" s="529"/>
      <c r="AD1993" s="200" t="e">
        <f t="shared" si="582"/>
        <v>#N/A</v>
      </c>
      <c r="AE1993" s="52"/>
      <c r="AF1993" s="52"/>
      <c r="AG1993" s="52"/>
      <c r="AH1993" s="87"/>
      <c r="AI1993" s="87"/>
    </row>
    <row r="1994" spans="1:35" ht="27" hidden="1" customHeight="1" thickBot="1">
      <c r="A1994" s="218" t="e">
        <f>"R"&amp;E1969</f>
        <v>#N/A</v>
      </c>
      <c r="B1994" s="702"/>
      <c r="C1994" s="114">
        <v>5</v>
      </c>
      <c r="D1994" s="194" t="e">
        <f>IF(AND(C1994&lt;=F1988,F1988&lt;&gt;""),VLOOKUP(VALUE(E1969&amp;","&amp;C1994),INTEGRANTES!$D$18:$F$235,2,0),"")</f>
        <v>#N/A</v>
      </c>
      <c r="E1994" s="211" t="e">
        <f>IF(D1994&lt;&gt;"",VLOOKUP(VALUE(E1969&amp;","&amp;C1994),INTEGRANTES!$D$18:$F$235,3,0),"")</f>
        <v>#N/A</v>
      </c>
      <c r="F1994" s="547" t="e">
        <f>IF(D1994="","",SUMIF($I1973:$I1982,D1994,$P1973:$P1982))</f>
        <v>#N/A</v>
      </c>
      <c r="G1994" s="333" t="e">
        <f>IF(D1994="","",SUMIF($I1973:$I1982,D1994,$M1973:$M1982))</f>
        <v>#N/A</v>
      </c>
      <c r="H1994" s="535" t="e">
        <f t="shared" si="578"/>
        <v>#N/A</v>
      </c>
      <c r="I1994" s="212" t="e">
        <f>IF(D1994="","",IF(H1994="NO APORTA","NO",IF(H1994=MAX($H1990:$H1995),"SI","NO")))</f>
        <v>#N/A</v>
      </c>
      <c r="J1994" s="213" t="e">
        <f t="shared" si="579"/>
        <v>#N/A</v>
      </c>
      <c r="K1994" s="200" t="e">
        <f t="shared" si="580"/>
        <v>#N/A</v>
      </c>
      <c r="L1994" s="721"/>
      <c r="M1994" s="715" t="s">
        <v>116</v>
      </c>
      <c r="N1994" s="716"/>
      <c r="O1994" s="556" t="str">
        <f>PORCREQUERIDO*100&amp;"% PMFO DEL MÓDULO"</f>
        <v>50% PMFO DEL MÓDULO</v>
      </c>
      <c r="P1994" s="715" t="s">
        <v>118</v>
      </c>
      <c r="Q1994" s="728"/>
      <c r="R1994" s="458"/>
      <c r="S1994" s="459"/>
      <c r="T1994" s="460"/>
      <c r="U1994" s="219"/>
      <c r="V1994" s="464"/>
      <c r="Y1994" s="414"/>
      <c r="AA1994" s="540" t="e">
        <f>IF(AND(C1993&lt;=F1988,F1988&lt;&gt;""),VLOOKUP(VALUE(E1969&amp;","&amp;C1993),INTEGRANTES!$D$18:$F$235,2,0),"")</f>
        <v>#N/A</v>
      </c>
      <c r="AB1994" s="545" t="e">
        <f t="shared" si="581"/>
        <v>#N/A</v>
      </c>
      <c r="AC1994" s="529"/>
      <c r="AD1994" s="200" t="e">
        <f t="shared" si="582"/>
        <v>#N/A</v>
      </c>
      <c r="AE1994" s="52"/>
      <c r="AF1994" s="52"/>
      <c r="AG1994" s="52"/>
      <c r="AH1994" s="87"/>
      <c r="AI1994" s="87"/>
    </row>
    <row r="1995" spans="1:35" ht="16.5" hidden="1" thickBot="1">
      <c r="A1995" s="218" t="e">
        <f>"S"&amp;E1969</f>
        <v>#N/A</v>
      </c>
      <c r="B1995" s="702"/>
      <c r="C1995" s="215">
        <v>6</v>
      </c>
      <c r="D1995" s="216" t="e">
        <f>IF(AND(C1995&lt;=F1988,F1988&lt;&gt;""),VLOOKUP(VALUE(E1969&amp;","&amp;C1995),INTEGRANTES!$D$18:$F$235,2,0),"")</f>
        <v>#N/A</v>
      </c>
      <c r="E1995" s="217" t="e">
        <f>IF(D1995&lt;&gt;"",VLOOKUP(VALUE(E1969&amp;","&amp;C1995),INTEGRANTES!$D$18:$F$235,3,0),"")</f>
        <v>#N/A</v>
      </c>
      <c r="F1995" s="548" t="e">
        <f>IF(D1995="","",SUMIF($I1973:$I1982,D1995,$P1973:$P1982))</f>
        <v>#N/A</v>
      </c>
      <c r="G1995" s="334" t="e">
        <f>IF(D1995="","",SUMIF($I1973:$I1982,D1995,$M1973:$M1982))</f>
        <v>#N/A</v>
      </c>
      <c r="H1995" s="536" t="e">
        <f t="shared" si="578"/>
        <v>#N/A</v>
      </c>
      <c r="I1995" s="214" t="e">
        <f>IF(D1995="","",IF(H1995="NO APORTA","NO",IF(H1995=MAX($H1990:$H1995),"SI","NO")))</f>
        <v>#N/A</v>
      </c>
      <c r="J1995" s="213" t="e">
        <f t="shared" si="579"/>
        <v>#N/A</v>
      </c>
      <c r="K1995" s="200" t="e">
        <f t="shared" si="580"/>
        <v>#N/A</v>
      </c>
      <c r="L1995" s="721"/>
      <c r="M1995" s="729">
        <f>NUMMOD</f>
        <v>1</v>
      </c>
      <c r="N1995" s="730"/>
      <c r="O1995" s="443">
        <f>IF(M1995="","",ROUND(VLOOKUP(M1995,PRESUPUESTOS!$B$16:$H$16,7,FALSE),3))</f>
        <v>25.780999999999999</v>
      </c>
      <c r="P1995" s="713">
        <f>IF(OR(COUNTIF(P1973:P1982,"")&gt;=10,Q1989&lt;NUMMINCONT,OR(T1987="NO CUMPLE",T1987="VERIFICAR")),0,ROUND((SUM(P1973:P1982)/SUM(M1973:M1982)),3))</f>
        <v>0</v>
      </c>
      <c r="Q1995" s="714"/>
      <c r="R1995" s="458"/>
      <c r="S1995" s="459"/>
      <c r="T1995" s="460"/>
      <c r="U1995" s="219"/>
      <c r="V1995" s="464"/>
      <c r="Y1995" s="532" t="s">
        <v>343</v>
      </c>
      <c r="AA1995" s="540" t="e">
        <f>IF(AND(C1994&lt;=F1988,F1988&lt;&gt;""),VLOOKUP(VALUE(E1969&amp;","&amp;C1994),INTEGRANTES!$D$18:$F$235,2,0),"")</f>
        <v>#N/A</v>
      </c>
      <c r="AB1995" s="545" t="e">
        <f t="shared" si="581"/>
        <v>#N/A</v>
      </c>
      <c r="AC1995" s="529"/>
      <c r="AD1995" s="200" t="e">
        <f t="shared" si="582"/>
        <v>#N/A</v>
      </c>
      <c r="AE1995" s="52"/>
      <c r="AF1995" s="52"/>
      <c r="AG1995" s="52"/>
      <c r="AH1995" s="87"/>
      <c r="AI1995" s="87"/>
    </row>
    <row r="1996" spans="1:35" ht="16.5" hidden="1" customHeight="1" thickBot="1">
      <c r="A1996" s="218" t="e">
        <f>"T"&amp;E1969</f>
        <v>#N/A</v>
      </c>
      <c r="B1996" s="703"/>
      <c r="C1996" s="719"/>
      <c r="D1996" s="719"/>
      <c r="E1996" s="719"/>
      <c r="F1996" s="719"/>
      <c r="G1996" s="719"/>
      <c r="H1996" s="719" t="s">
        <v>110</v>
      </c>
      <c r="I1996" s="719"/>
      <c r="J1996" s="719"/>
      <c r="K1996" s="201" t="str">
        <f>IF(COUNTIF(K1990:K1995,"")=6,"",IF(COUNTIF(K1990:K1995,"CUMPLE")&gt;0,"CUMPLE","NO CUMPLE"))</f>
        <v>NO CUMPLE</v>
      </c>
      <c r="L1996" s="754"/>
      <c r="M1996" s="755"/>
      <c r="N1996" s="755"/>
      <c r="O1996" s="755"/>
      <c r="P1996" s="755"/>
      <c r="Q1996" s="756"/>
      <c r="R1996" s="461"/>
      <c r="S1996" s="462"/>
      <c r="T1996" s="463"/>
      <c r="U1996" s="219"/>
      <c r="V1996" s="464"/>
      <c r="Y1996" s="549" t="e">
        <f>IF(Y1990="NO APLICA","NO APLICA",IF(COUNTIF(AD1991:AD1996,"CUMPLE")&gt;0,"CUMPLE","NO CUMPLE"))</f>
        <v>#N/A</v>
      </c>
      <c r="AA1996" s="541" t="e">
        <f>IF(AND(C1995&lt;=F1988,F1988&lt;&gt;""),VLOOKUP(VALUE(E1969&amp;","&amp;C1995),INTEGRANTES!$D$18:$F$235,2,0),"")</f>
        <v>#N/A</v>
      </c>
      <c r="AB1996" s="546" t="e">
        <f t="shared" si="581"/>
        <v>#N/A</v>
      </c>
      <c r="AC1996" s="543"/>
      <c r="AD1996" s="201" t="e">
        <f t="shared" si="582"/>
        <v>#N/A</v>
      </c>
      <c r="AE1996" s="52"/>
      <c r="AF1996" s="52"/>
      <c r="AG1996" s="52"/>
      <c r="AH1996" s="87"/>
      <c r="AI1996" s="87"/>
    </row>
    <row r="1997" spans="1:35" hidden="1">
      <c r="AH1997" s="87"/>
      <c r="AI1997" s="87"/>
    </row>
    <row r="1998" spans="1:35" hidden="1">
      <c r="AH1998" s="87"/>
      <c r="AI1998" s="87"/>
    </row>
    <row r="1999" spans="1:35" ht="24" hidden="1" thickBot="1">
      <c r="A1999" s="61">
        <v>67</v>
      </c>
      <c r="B1999" s="704" t="s">
        <v>51</v>
      </c>
      <c r="C1999" s="704"/>
      <c r="D1999" s="704"/>
      <c r="E1999" s="62" t="e">
        <f>VLOOKUP(A1999,PROPONENTES!$B$19:$E$218,2,FALSE)</f>
        <v>#N/A</v>
      </c>
      <c r="F1999" s="63" t="e">
        <f>VLOOKUP(A1999,PROPONENTES!$B$19:$E$218,3,FALSE)</f>
        <v>#N/A</v>
      </c>
      <c r="G1999" s="64"/>
      <c r="H1999" s="64"/>
      <c r="I1999" s="63"/>
      <c r="J1999" s="63"/>
      <c r="K1999" s="65"/>
      <c r="L1999" s="65"/>
      <c r="M1999" s="64"/>
      <c r="N1999" s="64"/>
      <c r="O1999" s="66"/>
      <c r="P1999" s="66"/>
      <c r="Q1999" s="66"/>
      <c r="R1999" s="66"/>
      <c r="S1999" s="67"/>
      <c r="T1999" s="68"/>
      <c r="U1999" s="68"/>
      <c r="AC1999" s="68"/>
      <c r="AD1999" s="68"/>
      <c r="AE1999" s="68"/>
      <c r="AF1999" s="68"/>
      <c r="AG1999" s="68"/>
      <c r="AH1999" s="87"/>
      <c r="AI1999" s="87"/>
    </row>
    <row r="2000" spans="1:35" ht="15.75" hidden="1" customHeight="1">
      <c r="A2000" s="44"/>
      <c r="B2000" s="709" t="s">
        <v>59</v>
      </c>
      <c r="C2000" s="552" t="s">
        <v>60</v>
      </c>
      <c r="D2000" s="70" t="s">
        <v>17</v>
      </c>
      <c r="E2000" s="70"/>
      <c r="F2000" s="70" t="s">
        <v>61</v>
      </c>
      <c r="G2000" s="71"/>
      <c r="H2000" s="699" t="s">
        <v>62</v>
      </c>
      <c r="I2000" s="699" t="s">
        <v>18</v>
      </c>
      <c r="J2000" s="699" t="s">
        <v>63</v>
      </c>
      <c r="K2000" s="699" t="s">
        <v>64</v>
      </c>
      <c r="L2000" s="699" t="s">
        <v>65</v>
      </c>
      <c r="M2000" s="743" t="s">
        <v>66</v>
      </c>
      <c r="N2000" s="699" t="s">
        <v>282</v>
      </c>
      <c r="O2000" s="745" t="s">
        <v>67</v>
      </c>
      <c r="P2000" s="746"/>
      <c r="Q2000" s="102" t="s">
        <v>75</v>
      </c>
      <c r="R2000" s="731" t="s">
        <v>22</v>
      </c>
      <c r="S2000" s="732"/>
      <c r="T2000" s="733"/>
      <c r="U2000" s="712" t="s">
        <v>298</v>
      </c>
      <c r="W2000" s="690" t="s">
        <v>268</v>
      </c>
      <c r="X2000" s="691"/>
      <c r="Y2000" s="692"/>
      <c r="Z2000" s="428"/>
      <c r="AA2000" s="697" t="s">
        <v>315</v>
      </c>
      <c r="AB2000" s="695" t="s">
        <v>322</v>
      </c>
      <c r="AC2000" s="49"/>
      <c r="AD2000" s="690" t="s">
        <v>297</v>
      </c>
      <c r="AE2000" s="691"/>
      <c r="AF2000" s="692"/>
      <c r="AG2000" s="49"/>
      <c r="AH2000" s="87"/>
      <c r="AI2000" s="87"/>
    </row>
    <row r="2001" spans="1:35" ht="72" hidden="1">
      <c r="A2001" s="44"/>
      <c r="B2001" s="710"/>
      <c r="C2001" s="553" t="s">
        <v>68</v>
      </c>
      <c r="D2001" s="73" t="s">
        <v>3</v>
      </c>
      <c r="E2001" s="73" t="s">
        <v>19</v>
      </c>
      <c r="F2001" s="73" t="s">
        <v>69</v>
      </c>
      <c r="G2001" s="74" t="s">
        <v>70</v>
      </c>
      <c r="H2001" s="700"/>
      <c r="I2001" s="700"/>
      <c r="J2001" s="700"/>
      <c r="K2001" s="700"/>
      <c r="L2001" s="700"/>
      <c r="M2001" s="744"/>
      <c r="N2001" s="700"/>
      <c r="O2001" s="553" t="s">
        <v>279</v>
      </c>
      <c r="P2001" s="73" t="s">
        <v>88</v>
      </c>
      <c r="Q2001" s="555" t="s">
        <v>76</v>
      </c>
      <c r="R2001" s="734"/>
      <c r="S2001" s="735"/>
      <c r="T2001" s="736"/>
      <c r="U2001" s="712"/>
      <c r="W2001" s="429" t="s">
        <v>269</v>
      </c>
      <c r="X2001" s="457" t="s">
        <v>278</v>
      </c>
      <c r="Y2001" s="430" t="s">
        <v>324</v>
      </c>
      <c r="Z2001" s="428"/>
      <c r="AA2001" s="698"/>
      <c r="AB2001" s="696"/>
      <c r="AC2001" s="49"/>
      <c r="AD2001" s="429" t="s">
        <v>292</v>
      </c>
      <c r="AE2001" s="431" t="s">
        <v>300</v>
      </c>
      <c r="AF2001" s="468" t="s">
        <v>301</v>
      </c>
      <c r="AG2001" s="49"/>
      <c r="AH2001" s="87"/>
      <c r="AI2001" s="87"/>
    </row>
    <row r="2002" spans="1:35" hidden="1">
      <c r="A2002" s="44"/>
      <c r="B2002" s="76"/>
      <c r="C2002" s="77"/>
      <c r="D2002" s="77"/>
      <c r="E2002" s="77"/>
      <c r="F2002" s="77"/>
      <c r="G2002" s="77"/>
      <c r="H2002" s="77"/>
      <c r="I2002" s="77"/>
      <c r="J2002" s="77"/>
      <c r="K2002" s="77"/>
      <c r="L2002" s="77"/>
      <c r="M2002" s="77"/>
      <c r="N2002" s="77"/>
      <c r="O2002" s="77"/>
      <c r="P2002" s="77"/>
      <c r="Q2002" s="77"/>
      <c r="R2002" s="77"/>
      <c r="S2002" s="78"/>
      <c r="T2002" s="79"/>
      <c r="U2002" s="109"/>
      <c r="V2002" s="49"/>
      <c r="W2002" s="432"/>
      <c r="X2002" s="454"/>
      <c r="Y2002" s="433"/>
      <c r="Z2002" s="6"/>
      <c r="AA2002" s="500"/>
      <c r="AB2002" s="562"/>
      <c r="AC2002" s="49"/>
      <c r="AD2002" s="210"/>
      <c r="AE2002" s="434"/>
      <c r="AF2002" s="435"/>
      <c r="AG2002" s="49"/>
      <c r="AH2002" s="87"/>
      <c r="AI2002" s="87"/>
    </row>
    <row r="2003" spans="1:35" hidden="1">
      <c r="A2003" s="80" t="e">
        <f>"A"&amp;E1999</f>
        <v>#N/A</v>
      </c>
      <c r="B2003" s="81">
        <v>1</v>
      </c>
      <c r="C2003" s="82"/>
      <c r="D2003" s="82"/>
      <c r="E2003" s="82"/>
      <c r="F2003" s="82"/>
      <c r="G2003" s="83"/>
      <c r="H2003" s="83"/>
      <c r="I2003" s="84"/>
      <c r="J2003" s="85"/>
      <c r="K2003" s="382"/>
      <c r="L2003" s="85"/>
      <c r="M2003" s="332" t="str">
        <f t="shared" ref="M2003:M2012" si="583">IF(OR(J2003="",L2003="",H2003="NO"),"",IF(OR(J2003&gt;$P$17,J2003&lt;$O$17,L2003&gt;$P$17,AND(J2003&lt;$O$17,L2003&lt;$O$17)),"FUERA DE RANGO",IF(OR(K2003="---",K2003=""),IF(J2003&gt;=$O$17,ROUND((L2003-J2003+1)/360*12,3),ROUND((L2003-$O$17+1)/360*12,3)),IF(J2003&gt;=$O$17,ROUND((L2003-J2003+1)/360*12-ROUND(K2003,3),3),ROUND((L2003-$O$17+1)/360*12-ROUND(K2003,3),3)))))</f>
        <v/>
      </c>
      <c r="N2003" s="86"/>
      <c r="O2003" s="453" t="str">
        <f>IF(OR(G2003="",N2003=""),"",N2003*G2003)</f>
        <v/>
      </c>
      <c r="P2003" s="538" t="str">
        <f>IF(OR(H2003="",M2003="FUERA DE RANGO"),"",IF(OR(L2003&lt;$O$17,L2003&gt;$P$17,L2003="",H2003="NO"),"",IF(OR(N2003="",O2003=""),"",ROUND(O2003,3))))</f>
        <v/>
      </c>
      <c r="Q2003" s="539" t="str">
        <f t="shared" ref="Q2003:Q2012" si="584">IF(AND(H2003="SI",P2003&lt;&gt;""),ROUND(P2003/M2003,3),"")</f>
        <v/>
      </c>
      <c r="R2003" s="737"/>
      <c r="S2003" s="738"/>
      <c r="T2003" s="739"/>
      <c r="U2003" s="470"/>
      <c r="V2003" s="165"/>
      <c r="W2003" s="446"/>
      <c r="X2003" s="456"/>
      <c r="Y2003" s="436"/>
      <c r="Z2003" s="437"/>
      <c r="AA2003" s="560"/>
      <c r="AB2003" s="561"/>
      <c r="AC2003" s="87"/>
      <c r="AD2003" s="466"/>
      <c r="AE2003" s="456"/>
      <c r="AF2003" s="467"/>
      <c r="AG2003" s="87"/>
      <c r="AH2003" s="87"/>
      <c r="AI2003" s="87"/>
    </row>
    <row r="2004" spans="1:35" hidden="1">
      <c r="A2004" s="80" t="e">
        <f>"B"&amp;E1999</f>
        <v>#N/A</v>
      </c>
      <c r="B2004" s="81">
        <v>2</v>
      </c>
      <c r="C2004" s="106"/>
      <c r="D2004" s="106"/>
      <c r="E2004" s="106"/>
      <c r="F2004" s="106"/>
      <c r="G2004" s="83"/>
      <c r="H2004" s="83"/>
      <c r="I2004" s="84"/>
      <c r="J2004" s="85"/>
      <c r="K2004" s="382"/>
      <c r="L2004" s="85"/>
      <c r="M2004" s="332" t="str">
        <f t="shared" si="583"/>
        <v/>
      </c>
      <c r="N2004" s="86"/>
      <c r="O2004" s="453" t="str">
        <f t="shared" ref="O2004:O2012" si="585">IF(OR(G2004="",N2004=""),"",N2004*G2004)</f>
        <v/>
      </c>
      <c r="P2004" s="538" t="str">
        <f t="shared" ref="P2004:P2012" si="586">IF(OR(H2004="",M2004="FUERA DE RANGO"),"",IF(OR(L2004&lt;$O$17,L2004&gt;$P$17,L2004="",H2004="NO"),"",IF(OR(N2004="",O2004=""),"",ROUND(O2004,3))))</f>
        <v/>
      </c>
      <c r="Q2004" s="539" t="str">
        <f t="shared" si="584"/>
        <v/>
      </c>
      <c r="R2004" s="740"/>
      <c r="S2004" s="741"/>
      <c r="T2004" s="742"/>
      <c r="U2004" s="471"/>
      <c r="V2004" s="165"/>
      <c r="W2004" s="446"/>
      <c r="X2004" s="456"/>
      <c r="Y2004" s="436"/>
      <c r="Z2004" s="437"/>
      <c r="AA2004" s="560"/>
      <c r="AB2004" s="561"/>
      <c r="AC2004" s="87"/>
      <c r="AD2004" s="466"/>
      <c r="AE2004" s="456"/>
      <c r="AF2004" s="467"/>
      <c r="AG2004" s="87"/>
      <c r="AH2004" s="87"/>
      <c r="AI2004" s="87"/>
    </row>
    <row r="2005" spans="1:35" hidden="1">
      <c r="A2005" s="80" t="e">
        <f>"C"&amp;E1999</f>
        <v>#N/A</v>
      </c>
      <c r="B2005" s="88">
        <v>3</v>
      </c>
      <c r="C2005" s="82"/>
      <c r="D2005" s="82"/>
      <c r="E2005" s="82"/>
      <c r="F2005" s="82"/>
      <c r="G2005" s="83"/>
      <c r="H2005" s="83"/>
      <c r="I2005" s="84"/>
      <c r="J2005" s="85"/>
      <c r="K2005" s="382"/>
      <c r="L2005" s="85"/>
      <c r="M2005" s="332" t="str">
        <f t="shared" si="583"/>
        <v/>
      </c>
      <c r="N2005" s="86"/>
      <c r="O2005" s="453" t="str">
        <f t="shared" si="585"/>
        <v/>
      </c>
      <c r="P2005" s="538" t="str">
        <f t="shared" si="586"/>
        <v/>
      </c>
      <c r="Q2005" s="539" t="str">
        <f t="shared" si="584"/>
        <v/>
      </c>
      <c r="R2005" s="706"/>
      <c r="S2005" s="707"/>
      <c r="T2005" s="708"/>
      <c r="U2005" s="472"/>
      <c r="V2005" s="166"/>
      <c r="W2005" s="446"/>
      <c r="X2005" s="456"/>
      <c r="Y2005" s="436"/>
      <c r="Z2005" s="437"/>
      <c r="AA2005" s="560"/>
      <c r="AB2005" s="561"/>
      <c r="AC2005" s="87"/>
      <c r="AD2005" s="466"/>
      <c r="AE2005" s="456"/>
      <c r="AF2005" s="467"/>
      <c r="AG2005" s="87"/>
      <c r="AH2005" s="87"/>
      <c r="AI2005" s="87"/>
    </row>
    <row r="2006" spans="1:35" hidden="1">
      <c r="A2006" s="80" t="e">
        <f>"D"&amp;E1999</f>
        <v>#N/A</v>
      </c>
      <c r="B2006" s="105">
        <v>4</v>
      </c>
      <c r="C2006" s="107"/>
      <c r="D2006" s="107"/>
      <c r="E2006" s="107"/>
      <c r="F2006" s="107"/>
      <c r="G2006" s="83"/>
      <c r="H2006" s="83"/>
      <c r="I2006" s="84"/>
      <c r="J2006" s="85"/>
      <c r="K2006" s="382"/>
      <c r="L2006" s="85"/>
      <c r="M2006" s="332" t="str">
        <f t="shared" si="583"/>
        <v/>
      </c>
      <c r="N2006" s="86"/>
      <c r="O2006" s="453" t="str">
        <f t="shared" si="585"/>
        <v/>
      </c>
      <c r="P2006" s="538" t="str">
        <f t="shared" si="586"/>
        <v/>
      </c>
      <c r="Q2006" s="539" t="str">
        <f t="shared" si="584"/>
        <v/>
      </c>
      <c r="R2006" s="706"/>
      <c r="S2006" s="707"/>
      <c r="T2006" s="708"/>
      <c r="U2006" s="472"/>
      <c r="V2006" s="166"/>
      <c r="W2006" s="446"/>
      <c r="X2006" s="456"/>
      <c r="Y2006" s="436"/>
      <c r="Z2006" s="437"/>
      <c r="AA2006" s="560"/>
      <c r="AB2006" s="561"/>
      <c r="AC2006" s="87"/>
      <c r="AD2006" s="466"/>
      <c r="AE2006" s="456"/>
      <c r="AF2006" s="467"/>
      <c r="AG2006" s="87"/>
      <c r="AH2006" s="87"/>
      <c r="AI2006" s="87"/>
    </row>
    <row r="2007" spans="1:35" hidden="1">
      <c r="A2007" s="80" t="e">
        <f>"E"&amp;E1999</f>
        <v>#N/A</v>
      </c>
      <c r="B2007" s="105">
        <v>5</v>
      </c>
      <c r="C2007" s="107"/>
      <c r="D2007" s="107"/>
      <c r="E2007" s="107"/>
      <c r="F2007" s="107"/>
      <c r="G2007" s="83"/>
      <c r="H2007" s="83"/>
      <c r="I2007" s="84"/>
      <c r="J2007" s="85"/>
      <c r="K2007" s="382"/>
      <c r="L2007" s="85"/>
      <c r="M2007" s="332" t="str">
        <f t="shared" si="583"/>
        <v/>
      </c>
      <c r="N2007" s="86"/>
      <c r="O2007" s="453" t="str">
        <f t="shared" si="585"/>
        <v/>
      </c>
      <c r="P2007" s="538" t="str">
        <f t="shared" si="586"/>
        <v/>
      </c>
      <c r="Q2007" s="539" t="str">
        <f t="shared" si="584"/>
        <v/>
      </c>
      <c r="R2007" s="706"/>
      <c r="S2007" s="707"/>
      <c r="T2007" s="708"/>
      <c r="U2007" s="472"/>
      <c r="V2007" s="167"/>
      <c r="W2007" s="446"/>
      <c r="X2007" s="456"/>
      <c r="Y2007" s="436"/>
      <c r="Z2007" s="437"/>
      <c r="AA2007" s="560"/>
      <c r="AB2007" s="561"/>
      <c r="AC2007" s="87"/>
      <c r="AD2007" s="466"/>
      <c r="AE2007" s="456"/>
      <c r="AF2007" s="467"/>
      <c r="AG2007" s="87"/>
      <c r="AH2007" s="87"/>
      <c r="AI2007" s="87"/>
    </row>
    <row r="2008" spans="1:35" hidden="1">
      <c r="A2008" s="80" t="e">
        <f>"F"&amp;E1999</f>
        <v>#N/A</v>
      </c>
      <c r="B2008" s="105">
        <v>6</v>
      </c>
      <c r="C2008" s="107"/>
      <c r="D2008" s="107"/>
      <c r="E2008" s="107"/>
      <c r="F2008" s="107"/>
      <c r="G2008" s="83"/>
      <c r="H2008" s="83"/>
      <c r="I2008" s="84"/>
      <c r="J2008" s="85"/>
      <c r="K2008" s="382"/>
      <c r="L2008" s="85"/>
      <c r="M2008" s="332" t="str">
        <f t="shared" si="583"/>
        <v/>
      </c>
      <c r="N2008" s="86"/>
      <c r="O2008" s="453" t="str">
        <f t="shared" si="585"/>
        <v/>
      </c>
      <c r="P2008" s="538" t="str">
        <f t="shared" si="586"/>
        <v/>
      </c>
      <c r="Q2008" s="539" t="str">
        <f t="shared" si="584"/>
        <v/>
      </c>
      <c r="R2008" s="706"/>
      <c r="S2008" s="707"/>
      <c r="T2008" s="708"/>
      <c r="U2008" s="472"/>
      <c r="V2008" s="167"/>
      <c r="W2008" s="446"/>
      <c r="X2008" s="456"/>
      <c r="Y2008" s="436"/>
      <c r="Z2008" s="437"/>
      <c r="AA2008" s="560"/>
      <c r="AB2008" s="561"/>
      <c r="AC2008" s="87"/>
      <c r="AD2008" s="466"/>
      <c r="AE2008" s="456"/>
      <c r="AF2008" s="467"/>
      <c r="AG2008" s="87"/>
      <c r="AH2008" s="87"/>
      <c r="AI2008" s="87"/>
    </row>
    <row r="2009" spans="1:35" hidden="1">
      <c r="A2009" s="80" t="e">
        <f>"G"&amp;E1999</f>
        <v>#N/A</v>
      </c>
      <c r="B2009" s="105">
        <v>7</v>
      </c>
      <c r="C2009" s="107"/>
      <c r="D2009" s="107"/>
      <c r="E2009" s="107"/>
      <c r="F2009" s="107"/>
      <c r="G2009" s="83"/>
      <c r="H2009" s="83"/>
      <c r="I2009" s="84"/>
      <c r="J2009" s="85"/>
      <c r="K2009" s="382"/>
      <c r="L2009" s="85"/>
      <c r="M2009" s="332" t="str">
        <f t="shared" si="583"/>
        <v/>
      </c>
      <c r="N2009" s="86"/>
      <c r="O2009" s="86" t="str">
        <f t="shared" si="585"/>
        <v/>
      </c>
      <c r="P2009" s="538" t="str">
        <f t="shared" si="586"/>
        <v/>
      </c>
      <c r="Q2009" s="539" t="str">
        <f t="shared" si="584"/>
        <v/>
      </c>
      <c r="R2009" s="706"/>
      <c r="S2009" s="707"/>
      <c r="T2009" s="708"/>
      <c r="U2009" s="472"/>
      <c r="V2009" s="167"/>
      <c r="W2009" s="446"/>
      <c r="X2009" s="456"/>
      <c r="Y2009" s="436"/>
      <c r="Z2009" s="437"/>
      <c r="AA2009" s="560"/>
      <c r="AB2009" s="561"/>
      <c r="AC2009" s="87"/>
      <c r="AD2009" s="466"/>
      <c r="AE2009" s="456"/>
      <c r="AF2009" s="467"/>
      <c r="AG2009" s="87"/>
      <c r="AH2009" s="87"/>
      <c r="AI2009" s="87"/>
    </row>
    <row r="2010" spans="1:35" hidden="1">
      <c r="A2010" s="80" t="e">
        <f>"H"&amp;E1999</f>
        <v>#N/A</v>
      </c>
      <c r="B2010" s="105">
        <v>8</v>
      </c>
      <c r="C2010" s="107"/>
      <c r="D2010" s="107"/>
      <c r="E2010" s="107"/>
      <c r="F2010" s="107"/>
      <c r="G2010" s="83"/>
      <c r="H2010" s="83"/>
      <c r="I2010" s="84"/>
      <c r="J2010" s="85"/>
      <c r="K2010" s="382"/>
      <c r="L2010" s="85"/>
      <c r="M2010" s="332" t="str">
        <f t="shared" si="583"/>
        <v/>
      </c>
      <c r="N2010" s="453"/>
      <c r="O2010" s="86" t="str">
        <f t="shared" si="585"/>
        <v/>
      </c>
      <c r="P2010" s="538" t="str">
        <f t="shared" si="586"/>
        <v/>
      </c>
      <c r="Q2010" s="539" t="str">
        <f t="shared" si="584"/>
        <v/>
      </c>
      <c r="R2010" s="706"/>
      <c r="S2010" s="707"/>
      <c r="T2010" s="708"/>
      <c r="U2010" s="472"/>
      <c r="V2010" s="167"/>
      <c r="W2010" s="446"/>
      <c r="X2010" s="456"/>
      <c r="Y2010" s="436"/>
      <c r="Z2010" s="437"/>
      <c r="AA2010" s="560"/>
      <c r="AB2010" s="561"/>
      <c r="AC2010" s="87"/>
      <c r="AD2010" s="466"/>
      <c r="AE2010" s="456"/>
      <c r="AF2010" s="467"/>
      <c r="AG2010" s="87"/>
      <c r="AH2010" s="87"/>
      <c r="AI2010" s="87"/>
    </row>
    <row r="2011" spans="1:35" hidden="1">
      <c r="A2011" s="80" t="e">
        <f>"I"&amp;E1999</f>
        <v>#N/A</v>
      </c>
      <c r="B2011" s="105">
        <v>9</v>
      </c>
      <c r="C2011" s="107"/>
      <c r="D2011" s="107"/>
      <c r="E2011" s="107"/>
      <c r="F2011" s="107"/>
      <c r="G2011" s="83"/>
      <c r="H2011" s="83"/>
      <c r="I2011" s="84"/>
      <c r="J2011" s="85"/>
      <c r="K2011" s="382"/>
      <c r="L2011" s="85"/>
      <c r="M2011" s="332" t="str">
        <f t="shared" si="583"/>
        <v/>
      </c>
      <c r="N2011" s="453"/>
      <c r="O2011" s="86" t="str">
        <f t="shared" si="585"/>
        <v/>
      </c>
      <c r="P2011" s="538" t="str">
        <f t="shared" si="586"/>
        <v/>
      </c>
      <c r="Q2011" s="539" t="str">
        <f t="shared" si="584"/>
        <v/>
      </c>
      <c r="R2011" s="706"/>
      <c r="S2011" s="707"/>
      <c r="T2011" s="708"/>
      <c r="U2011" s="472"/>
      <c r="V2011" s="167"/>
      <c r="W2011" s="446"/>
      <c r="X2011" s="456"/>
      <c r="Y2011" s="436"/>
      <c r="Z2011" s="437"/>
      <c r="AA2011" s="560"/>
      <c r="AB2011" s="561"/>
      <c r="AC2011" s="87"/>
      <c r="AD2011" s="466"/>
      <c r="AE2011" s="456"/>
      <c r="AF2011" s="467"/>
      <c r="AG2011" s="87"/>
      <c r="AH2011" s="87"/>
      <c r="AI2011" s="87"/>
    </row>
    <row r="2012" spans="1:35" hidden="1">
      <c r="A2012" s="80" t="e">
        <f>"J"&amp;E1999</f>
        <v>#N/A</v>
      </c>
      <c r="B2012" s="105">
        <v>10</v>
      </c>
      <c r="C2012" s="107"/>
      <c r="D2012" s="107"/>
      <c r="E2012" s="107"/>
      <c r="F2012" s="107"/>
      <c r="G2012" s="83"/>
      <c r="H2012" s="83"/>
      <c r="I2012" s="84"/>
      <c r="J2012" s="85"/>
      <c r="K2012" s="382"/>
      <c r="L2012" s="85"/>
      <c r="M2012" s="332" t="str">
        <f t="shared" si="583"/>
        <v/>
      </c>
      <c r="N2012" s="453"/>
      <c r="O2012" s="86" t="str">
        <f t="shared" si="585"/>
        <v/>
      </c>
      <c r="P2012" s="538" t="str">
        <f t="shared" si="586"/>
        <v/>
      </c>
      <c r="Q2012" s="539" t="str">
        <f t="shared" si="584"/>
        <v/>
      </c>
      <c r="R2012" s="706"/>
      <c r="S2012" s="707"/>
      <c r="T2012" s="708"/>
      <c r="U2012" s="472"/>
      <c r="V2012" s="167"/>
      <c r="W2012" s="446"/>
      <c r="X2012" s="456"/>
      <c r="Y2012" s="436"/>
      <c r="Z2012" s="437"/>
      <c r="AA2012" s="560"/>
      <c r="AB2012" s="561"/>
      <c r="AC2012" s="87"/>
      <c r="AD2012" s="466"/>
      <c r="AE2012" s="456"/>
      <c r="AF2012" s="467"/>
      <c r="AG2012" s="87"/>
      <c r="AH2012" s="87"/>
      <c r="AI2012" s="87"/>
    </row>
    <row r="2013" spans="1:35" ht="16.5" hidden="1" thickBot="1">
      <c r="A2013" s="44"/>
      <c r="B2013" s="89"/>
      <c r="C2013" s="90"/>
      <c r="D2013" s="90"/>
      <c r="E2013" s="90"/>
      <c r="F2013" s="90"/>
      <c r="G2013" s="90"/>
      <c r="H2013" s="90"/>
      <c r="I2013" s="90"/>
      <c r="J2013" s="90"/>
      <c r="K2013" s="90"/>
      <c r="L2013" s="90"/>
      <c r="M2013" s="90"/>
      <c r="N2013" s="90"/>
      <c r="O2013" s="90"/>
      <c r="P2013" s="90"/>
      <c r="Q2013" s="90"/>
      <c r="R2013" s="90"/>
      <c r="S2013" s="91"/>
      <c r="T2013" s="92"/>
      <c r="U2013" s="473"/>
      <c r="W2013" s="438"/>
      <c r="X2013" s="455"/>
      <c r="Y2013" s="439"/>
      <c r="Z2013" s="437"/>
      <c r="AA2013" s="530"/>
      <c r="AB2013" s="563"/>
      <c r="AC2013" s="87"/>
      <c r="AD2013" s="440"/>
      <c r="AE2013" s="441"/>
      <c r="AF2013" s="442"/>
      <c r="AG2013" s="49"/>
      <c r="AH2013" s="87"/>
      <c r="AI2013" s="87"/>
    </row>
    <row r="2014" spans="1:35" ht="16.5" hidden="1" thickBot="1">
      <c r="A2014" s="93"/>
      <c r="B2014" s="94"/>
      <c r="C2014" s="96"/>
      <c r="D2014" s="96"/>
      <c r="E2014" s="96"/>
      <c r="F2014" s="96"/>
      <c r="G2014" s="96"/>
      <c r="H2014" s="96"/>
      <c r="I2014" s="96"/>
      <c r="J2014" s="96"/>
      <c r="K2014" s="96"/>
      <c r="L2014" s="96"/>
      <c r="M2014" s="136"/>
      <c r="N2014" s="96"/>
      <c r="O2014" s="96"/>
      <c r="P2014" s="97"/>
      <c r="Q2014" s="97"/>
      <c r="R2014" s="98"/>
      <c r="S2014" s="95"/>
      <c r="T2014" s="99"/>
      <c r="U2014" s="469"/>
      <c r="AC2014" s="58"/>
      <c r="AG2014" s="58"/>
      <c r="AH2014" s="87"/>
      <c r="AI2014" s="87"/>
    </row>
    <row r="2015" spans="1:35" ht="16.5" hidden="1" thickBot="1">
      <c r="B2015" s="101"/>
      <c r="C2015" s="101"/>
      <c r="D2015" s="101"/>
      <c r="E2015" s="101"/>
      <c r="F2015" s="101"/>
      <c r="G2015" s="101"/>
      <c r="H2015" s="101"/>
      <c r="I2015" s="101"/>
      <c r="J2015" s="101"/>
      <c r="K2015" s="101"/>
      <c r="L2015" s="101"/>
      <c r="M2015" s="101"/>
      <c r="N2015" s="101"/>
      <c r="O2015" s="101"/>
      <c r="P2015" s="101"/>
      <c r="Q2015" s="101"/>
      <c r="R2015" s="101"/>
      <c r="S2015" s="101"/>
      <c r="U2015" s="50"/>
      <c r="AH2015" s="87"/>
      <c r="AI2015" s="87"/>
    </row>
    <row r="2016" spans="1:35" ht="16.5" hidden="1" customHeight="1" thickBot="1">
      <c r="A2016" s="44"/>
      <c r="B2016" s="705" t="s">
        <v>74</v>
      </c>
      <c r="C2016" s="705"/>
      <c r="D2016" s="705"/>
      <c r="E2016" s="705"/>
      <c r="F2016" s="705"/>
      <c r="G2016" s="705"/>
      <c r="H2016" s="705"/>
      <c r="I2016" s="705"/>
      <c r="J2016" s="705"/>
      <c r="K2016" s="705"/>
      <c r="L2016" s="705"/>
      <c r="M2016" s="705"/>
      <c r="N2016" s="705"/>
      <c r="O2016" s="705"/>
      <c r="P2016" s="705"/>
      <c r="Q2016" s="705"/>
      <c r="R2016" s="705"/>
      <c r="S2016" s="705"/>
      <c r="T2016" s="705"/>
      <c r="U2016" s="108"/>
      <c r="Y2016" s="532" t="s">
        <v>341</v>
      </c>
      <c r="AC2016" s="49"/>
      <c r="AD2016" s="687" t="s">
        <v>302</v>
      </c>
      <c r="AE2016" s="688"/>
      <c r="AF2016" s="689"/>
      <c r="AG2016" s="49"/>
      <c r="AH2016" s="87"/>
      <c r="AI2016" s="87"/>
    </row>
    <row r="2017" spans="1:35" ht="15.75" hidden="1" customHeight="1" thickBot="1">
      <c r="A2017" s="218" t="e">
        <f>"K"&amp;E1999</f>
        <v>#N/A</v>
      </c>
      <c r="B2017" s="701" t="s">
        <v>71</v>
      </c>
      <c r="C2017" s="751" t="s">
        <v>102</v>
      </c>
      <c r="D2017" s="751"/>
      <c r="E2017" s="751"/>
      <c r="F2017" s="751"/>
      <c r="G2017" s="751"/>
      <c r="H2017" s="751"/>
      <c r="I2017" s="751"/>
      <c r="J2017" s="751"/>
      <c r="K2017" s="751"/>
      <c r="L2017" s="722" t="s">
        <v>100</v>
      </c>
      <c r="M2017" s="747" t="s">
        <v>114</v>
      </c>
      <c r="N2017" s="747"/>
      <c r="O2017" s="747"/>
      <c r="P2017" s="747"/>
      <c r="Q2017" s="748"/>
      <c r="R2017" s="758" t="s">
        <v>280</v>
      </c>
      <c r="S2017" s="748"/>
      <c r="T2017" s="762" t="str">
        <f>IF(COUNTIF(AE2017:AF2017,"VERIFICAR")&gt;0,"VERIFICAR",IF(COUNTIF(AE2017:AF2017,"NO CUMPLE")&gt;0,"NO CUMPLE","CUMPLE"))</f>
        <v>VERIFICAR</v>
      </c>
      <c r="U2017" s="108"/>
      <c r="Y2017" s="533" t="e">
        <f>IF(F2018="","",IF(F2018=1,"INDIVIDUAL","ESTRUCTURA PLURAL"))</f>
        <v>#N/A</v>
      </c>
      <c r="AC2017" s="52"/>
      <c r="AD2017" s="475" t="s">
        <v>303</v>
      </c>
      <c r="AE2017" s="476" t="str">
        <f>IF(COUNTIF(AE2003:AE2012,"")=10,"VERIFICAR",IF(COUNTIF(AE2003:AE2012,"SI")&gt;0,"CUMPLE","NO CUMPLE"))</f>
        <v>VERIFICAR</v>
      </c>
      <c r="AF2017" s="477" t="str">
        <f>IF(COUNTIF(AF2003:AF2012,"")=10,"VERIFICAR",IF(COUNTIF(AF2003:AF2012,"SI")&gt;=$AI$22,"CUMPLE","NO CUMPLE"))</f>
        <v>VERIFICAR</v>
      </c>
      <c r="AG2017" s="52"/>
      <c r="AH2017" s="87"/>
      <c r="AI2017" s="87"/>
    </row>
    <row r="2018" spans="1:35" ht="16.5" hidden="1" customHeight="1" thickBot="1">
      <c r="A2018" s="218" t="e">
        <f>"L"&amp;E1999</f>
        <v>#N/A</v>
      </c>
      <c r="B2018" s="702"/>
      <c r="C2018" s="751" t="s">
        <v>103</v>
      </c>
      <c r="D2018" s="751"/>
      <c r="E2018" s="752"/>
      <c r="F2018" s="557" t="e">
        <f>IF(VLOOKUP(E1999,PROPONENTES!$C$19:$E$218,3,0)="","",VLOOKUP(E1999,PROPONENTES!$C$19:$E$218,3,0))</f>
        <v>#N/A</v>
      </c>
      <c r="G2018" s="753" t="s">
        <v>104</v>
      </c>
      <c r="H2018" s="751"/>
      <c r="I2018" s="715" t="e">
        <f>IF(OR(F2018="",F2018=1),"INTERESADO PERSONA NATURAL O JURIDICA","CONSORCIO O UNION TEMPORAL")</f>
        <v>#N/A</v>
      </c>
      <c r="J2018" s="725"/>
      <c r="K2018" s="728"/>
      <c r="L2018" s="723"/>
      <c r="M2018" s="749"/>
      <c r="N2018" s="749"/>
      <c r="O2018" s="749"/>
      <c r="P2018" s="749"/>
      <c r="Q2018" s="750"/>
      <c r="R2018" s="712"/>
      <c r="S2018" s="750"/>
      <c r="T2018" s="763"/>
      <c r="U2018" s="108"/>
      <c r="Y2018" s="534"/>
      <c r="AA2018" s="52"/>
      <c r="AB2018" s="52"/>
      <c r="AC2018" s="52"/>
      <c r="AG2018" s="52"/>
      <c r="AH2018" s="87"/>
      <c r="AI2018" s="87"/>
    </row>
    <row r="2019" spans="1:35" ht="56.25" hidden="1" customHeight="1" thickBot="1">
      <c r="A2019" s="218" t="e">
        <f>"M"&amp;E1999</f>
        <v>#N/A</v>
      </c>
      <c r="B2019" s="702"/>
      <c r="C2019" s="725" t="s">
        <v>101</v>
      </c>
      <c r="D2019" s="716"/>
      <c r="E2019" s="558" t="s">
        <v>105</v>
      </c>
      <c r="F2019" s="554" t="s">
        <v>87</v>
      </c>
      <c r="G2019" s="553" t="s">
        <v>86</v>
      </c>
      <c r="H2019" s="559" t="s">
        <v>85</v>
      </c>
      <c r="I2019" s="554" t="s">
        <v>252</v>
      </c>
      <c r="J2019" s="553" t="str">
        <f>"¿EL INTEGRANTE TIENE UNA PARTICIPACIÓN DEL "&amp;PORCREQUERIDOINT*100&amp;"%?"</f>
        <v>¿EL INTEGRANTE TIENE UNA PARTICIPACIÓN DEL 60%?</v>
      </c>
      <c r="K2019" s="554" t="s">
        <v>107</v>
      </c>
      <c r="L2019" s="724"/>
      <c r="M2019" s="717" t="s">
        <v>115</v>
      </c>
      <c r="N2019" s="718"/>
      <c r="O2019" s="718"/>
      <c r="P2019" s="718"/>
      <c r="Q2019" s="223">
        <f>IF(AND(H2003="SI",P2003&gt;=0),1,0)+IF(AND(H2004="SI",P2004&gt;=0),1,0)+IF(AND(H2005="SI",P2005&gt;=0),1,0)+IF(AND(H2006="SI",P2006&gt;=0),1,0)+IF(AND(H2007="SI",P2007&gt;=0),1,0)+IF(AND(H2008="SI",P2008&gt;=0),1,0)+IF(AND(H2009="SI",P2009&gt;=0),1,0)+IF(AND(H2010="SI",P2010&gt;=0),1,0)+IF(AND(H2011="SI",P2011&gt;=0),1,0)+IF(AND(H2012="SI",P2012&gt;=0),1,0)</f>
        <v>0</v>
      </c>
      <c r="R2019" s="759"/>
      <c r="S2019" s="761"/>
      <c r="T2019" s="764"/>
      <c r="U2019" s="219"/>
      <c r="V2019" s="464"/>
      <c r="Y2019" s="532" t="s">
        <v>342</v>
      </c>
      <c r="AA2019" s="550" t="s">
        <v>344</v>
      </c>
      <c r="AB2019" s="693" t="s">
        <v>345</v>
      </c>
      <c r="AC2019" s="693" t="s">
        <v>346</v>
      </c>
      <c r="AD2019" s="685" t="s">
        <v>347</v>
      </c>
      <c r="AE2019" s="52"/>
      <c r="AF2019" s="52"/>
      <c r="AG2019" s="52"/>
      <c r="AH2019" s="87"/>
      <c r="AI2019" s="87"/>
    </row>
    <row r="2020" spans="1:35" ht="15.75" hidden="1" customHeight="1" thickBot="1">
      <c r="A2020" s="218" t="e">
        <f>"N"&amp;E1999</f>
        <v>#N/A</v>
      </c>
      <c r="B2020" s="702"/>
      <c r="C2020" s="114">
        <v>1</v>
      </c>
      <c r="D2020" s="194" t="e">
        <f>IF(AND(C2020&lt;=F2018,F2018&gt;1,F2018&lt;&gt;""),VLOOKUP(VALUE(E1999&amp;","&amp;C2020),INTEGRANTES!$D$18:$F$235,2,0),"")</f>
        <v>#N/A</v>
      </c>
      <c r="E2020" s="211" t="e">
        <f>IF(D2020&lt;&gt;"",VLOOKUP(VALUE(E1999&amp;","&amp;C2020),INTEGRANTES!$D$18:$F$235,3,0),"")</f>
        <v>#N/A</v>
      </c>
      <c r="F2020" s="547" t="e">
        <f>IF(D2020="","",SUMIF($I2003:$I2012,D2020,$P2003:$P2012))</f>
        <v>#N/A</v>
      </c>
      <c r="G2020" s="333" t="e">
        <f>IF(D2020="","",SUMIF($I2003:$I2012,D2020,$M2003:$M2012))</f>
        <v>#N/A</v>
      </c>
      <c r="H2020" s="535" t="e">
        <f t="shared" ref="H2020:H2025" si="587">IF(D2020="","",IF(OR(F2020=0,G2020=0),"NO APORTA",ROUND($F2020/$G2020,3)))</f>
        <v>#N/A</v>
      </c>
      <c r="I2020" s="212" t="e">
        <f>IF(D2020="","",IF(H2020="NO APORTA","NO",IF(H2020=MAX($H2020:$H2025),"SI","NO")))</f>
        <v>#N/A</v>
      </c>
      <c r="J2020" s="213" t="e">
        <f t="shared" ref="J2020:J2025" si="588">IF(D2020="","",IF(E2020&gt;=PORCREQUERIDOINT,"SI","NO"))</f>
        <v>#N/A</v>
      </c>
      <c r="K2020" s="200" t="e">
        <f t="shared" ref="K2020:K2025" si="589">IF(D2020="","",IF(AND(I2020="SI",J2020="SI"),"CUMPLE",IF(AND(I2020="NO",OR(J2020="SI",J2020="NO")),"","NO CUMPLE")))</f>
        <v>#N/A</v>
      </c>
      <c r="L2020" s="722" t="s">
        <v>108</v>
      </c>
      <c r="M2020" s="726" t="s">
        <v>119</v>
      </c>
      <c r="N2020" s="726"/>
      <c r="O2020" s="726"/>
      <c r="P2020" s="726"/>
      <c r="Q2020" s="727"/>
      <c r="R2020" s="758" t="s">
        <v>80</v>
      </c>
      <c r="S2020" s="747"/>
      <c r="T2020" s="748"/>
      <c r="U2020" s="219"/>
      <c r="V2020" s="464"/>
      <c r="Y2020" s="533" t="e">
        <f>IF(Y2017="","",IF(Y2017="INDIVIDUAL","NO APLICA","VERIFICAR CUADRO"))</f>
        <v>#N/A</v>
      </c>
      <c r="AA2020" s="551"/>
      <c r="AB2020" s="694"/>
      <c r="AC2020" s="694"/>
      <c r="AD2020" s="686"/>
      <c r="AE2020" s="52"/>
      <c r="AF2020" s="52"/>
      <c r="AG2020" s="52"/>
      <c r="AH2020" s="87"/>
      <c r="AI2020" s="87"/>
    </row>
    <row r="2021" spans="1:35" ht="27" hidden="1" customHeight="1" thickBot="1">
      <c r="A2021" s="218" t="e">
        <f>"O"&amp;E1999</f>
        <v>#N/A</v>
      </c>
      <c r="B2021" s="702"/>
      <c r="C2021" s="114">
        <v>2</v>
      </c>
      <c r="D2021" s="194" t="e">
        <f>IF(AND(C2021&lt;=F2018,F2018&lt;&gt;""),VLOOKUP(VALUE(E1999&amp;","&amp;C2021),INTEGRANTES!$D$18:$F$235,2,0),"")</f>
        <v>#N/A</v>
      </c>
      <c r="E2021" s="211" t="e">
        <f>IF(D2021&lt;&gt;"",VLOOKUP(VALUE(E1999&amp;","&amp;C2021),INTEGRANTES!$D$18:$F$235,3,0),"")</f>
        <v>#N/A</v>
      </c>
      <c r="F2021" s="547" t="e">
        <f>IF(D2021="","",SUMIF($I2003:$I2012,D2021,$P2003:$P2012))</f>
        <v>#N/A</v>
      </c>
      <c r="G2021" s="333" t="e">
        <f>IF(D2021="","",SUMIF($I2003:$I2012,D2021,$M2003:$M2012))</f>
        <v>#N/A</v>
      </c>
      <c r="H2021" s="535" t="e">
        <f t="shared" si="587"/>
        <v>#N/A</v>
      </c>
      <c r="I2021" s="212" t="e">
        <f>IF(D2021="","",IF(H2021="NO APORTA","NO",IF(H2021=MAX($H2020:$H2025),"SI","NO")))</f>
        <v>#N/A</v>
      </c>
      <c r="J2021" s="213" t="e">
        <f t="shared" si="588"/>
        <v>#N/A</v>
      </c>
      <c r="K2021" s="200" t="e">
        <f t="shared" si="589"/>
        <v>#N/A</v>
      </c>
      <c r="L2021" s="723"/>
      <c r="M2021" s="715" t="s">
        <v>116</v>
      </c>
      <c r="N2021" s="716"/>
      <c r="O2021" s="556" t="s">
        <v>113</v>
      </c>
      <c r="P2021" s="715" t="s">
        <v>117</v>
      </c>
      <c r="Q2021" s="728"/>
      <c r="R2021" s="759"/>
      <c r="S2021" s="760"/>
      <c r="T2021" s="761"/>
      <c r="U2021" s="219"/>
      <c r="V2021" s="464"/>
      <c r="Y2021" s="414"/>
      <c r="AA2021" s="542" t="e">
        <f>IF(AND(C2020&lt;=F2018,F2018&gt;1,F2018&lt;&gt;""),VLOOKUP(VALUE(E1999&amp;","&amp;C2020),INTEGRANTES!$D$18:$F$235,2,0),"")</f>
        <v>#N/A</v>
      </c>
      <c r="AB2021" s="544" t="e">
        <f t="shared" ref="AB2021:AB2026" si="590">IF(D2020="","",IF(OR(F2020=0,G2020=0),"NO APORTA",ROUND($F2020/$G2020,3)))</f>
        <v>#N/A</v>
      </c>
      <c r="AC2021" s="529"/>
      <c r="AD2021" s="200" t="e">
        <f t="shared" ref="AD2021:AD2026" si="591">IF(OR(AA2021="",AB2021=""),"",IF(AND(AC2021="X",AB2021&gt;=EXPREQVTD),"CUMPLE","NO CUMPLE"))</f>
        <v>#N/A</v>
      </c>
      <c r="AE2021" s="52"/>
      <c r="AF2021" s="52"/>
      <c r="AG2021" s="52"/>
      <c r="AH2021" s="87"/>
      <c r="AI2021" s="87"/>
    </row>
    <row r="2022" spans="1:35" ht="16.5" hidden="1" thickBot="1">
      <c r="A2022" s="218" t="e">
        <f>"P"&amp;E1999</f>
        <v>#N/A</v>
      </c>
      <c r="B2022" s="702"/>
      <c r="C2022" s="114">
        <v>3</v>
      </c>
      <c r="D2022" s="194" t="e">
        <f>IF(AND(C2022&lt;=F2018,F2018&lt;&gt;""),VLOOKUP(VALUE(E1999&amp;","&amp;C2022),INTEGRANTES!$D$18:$F$235,2,0),"")</f>
        <v>#N/A</v>
      </c>
      <c r="E2022" s="211" t="e">
        <f>IF(D2022&lt;&gt;"",VLOOKUP(VALUE(E1999&amp;","&amp;C2022),INTEGRANTES!$D$18:$F$235,3,0),"")</f>
        <v>#N/A</v>
      </c>
      <c r="F2022" s="547" t="e">
        <f>IF(D2022="","",SUMIF($I2003:$I2012,D2022,$P2003:$P2012))</f>
        <v>#N/A</v>
      </c>
      <c r="G2022" s="333" t="e">
        <f>IF(D2022="","",SUMIF($I2003:$I2012,D2022,$M2003:$M2012))</f>
        <v>#N/A</v>
      </c>
      <c r="H2022" s="535" t="e">
        <f t="shared" si="587"/>
        <v>#N/A</v>
      </c>
      <c r="I2022" s="212" t="e">
        <f>IF(D2022="","",IF(H2022="NO APORTA","NO",IF(H2022=MAX($H2020:$H2025),"SI","NO")))</f>
        <v>#N/A</v>
      </c>
      <c r="J2022" s="213" t="e">
        <f t="shared" si="588"/>
        <v>#N/A</v>
      </c>
      <c r="K2022" s="200" t="e">
        <f t="shared" si="589"/>
        <v>#N/A</v>
      </c>
      <c r="L2022" s="724"/>
      <c r="M2022" s="729">
        <f>NUMMOD</f>
        <v>1</v>
      </c>
      <c r="N2022" s="730"/>
      <c r="O2022" s="443">
        <f>IF(M2022="","",VLOOKUP(M2022,PRESUPUESTOS!$B$16:$H$16,5,FALSE))</f>
        <v>2</v>
      </c>
      <c r="P2022" s="713">
        <f>IF(OR(COUNTIF(M2003:M2012,"")&gt;=10,Q2019&lt;NUMMINCONT,OR(T2017="NO CUMPLE",T2017="VERIFICAR")),0,ROUND(AVERAGE(M2003:M2012),3))</f>
        <v>0</v>
      </c>
      <c r="Q2022" s="714"/>
      <c r="R2022" s="458"/>
      <c r="S2022" s="459"/>
      <c r="T2022" s="460"/>
      <c r="U2022" s="219"/>
      <c r="V2022" s="464"/>
      <c r="Y2022" s="532" t="str">
        <f>"40% * ("&amp;PRESUPUESTOS!$H$13&amp;")"</f>
        <v>40% * (50% PFMO)</v>
      </c>
      <c r="AA2022" s="540" t="e">
        <f>IF(AND(C2021&lt;=F2018,F2018&lt;&gt;""),VLOOKUP(VALUE(E1999&amp;","&amp;C2021),INTEGRANTES!$D$18:$F$235,2,0),"")</f>
        <v>#N/A</v>
      </c>
      <c r="AB2022" s="545" t="e">
        <f t="shared" si="590"/>
        <v>#N/A</v>
      </c>
      <c r="AC2022" s="529"/>
      <c r="AD2022" s="200" t="e">
        <f t="shared" si="591"/>
        <v>#N/A</v>
      </c>
      <c r="AE2022" s="52"/>
      <c r="AF2022" s="52"/>
      <c r="AG2022" s="52"/>
      <c r="AH2022" s="87"/>
      <c r="AI2022" s="87"/>
    </row>
    <row r="2023" spans="1:35" ht="15.75" hidden="1" customHeight="1" thickBot="1">
      <c r="A2023" s="218" t="e">
        <f>"Q"&amp;E1999</f>
        <v>#N/A</v>
      </c>
      <c r="B2023" s="702"/>
      <c r="C2023" s="114">
        <v>4</v>
      </c>
      <c r="D2023" s="194" t="e">
        <f>IF(AND(C2023&lt;=F2018,F2018&lt;&gt;""),VLOOKUP(VALUE(E1999&amp;","&amp;C2023),INTEGRANTES!$D$18:$F$235,2,0),"")</f>
        <v>#N/A</v>
      </c>
      <c r="E2023" s="211" t="e">
        <f>IF(D2023&lt;&gt;"",VLOOKUP(VALUE(E1999&amp;","&amp;C2023),INTEGRANTES!$D$18:$F$235,3,0),"")</f>
        <v>#N/A</v>
      </c>
      <c r="F2023" s="547" t="e">
        <f>IF(D2023="","",SUMIF($I2003:$I2012,D2023,$P2003:$P2012))</f>
        <v>#N/A</v>
      </c>
      <c r="G2023" s="333" t="e">
        <f>IF(D2023="","",SUMIF($I2003:$I2012,D2023,$M2003:$M2012))</f>
        <v>#N/A</v>
      </c>
      <c r="H2023" s="535" t="e">
        <f t="shared" si="587"/>
        <v>#N/A</v>
      </c>
      <c r="I2023" s="212" t="e">
        <f>IF(D2023="","",IF(H2023="NO APORTA","NO",IF(H2023=MAX($H2020:$H2025),"SI","NO")))</f>
        <v>#N/A</v>
      </c>
      <c r="J2023" s="213" t="e">
        <f t="shared" si="588"/>
        <v>#N/A</v>
      </c>
      <c r="K2023" s="200" t="e">
        <f t="shared" si="589"/>
        <v>#N/A</v>
      </c>
      <c r="L2023" s="720" t="s">
        <v>109</v>
      </c>
      <c r="M2023" s="757" t="s">
        <v>120</v>
      </c>
      <c r="N2023" s="726"/>
      <c r="O2023" s="726"/>
      <c r="P2023" s="726"/>
      <c r="Q2023" s="727"/>
      <c r="R2023" s="458"/>
      <c r="S2023" s="459"/>
      <c r="T2023" s="460"/>
      <c r="U2023" s="219"/>
      <c r="V2023" s="464"/>
      <c r="Y2023" s="537">
        <f>0.4*PRESUPUESTOS!$H$16</f>
        <v>10.3124</v>
      </c>
      <c r="AA2023" s="540" t="e">
        <f>IF(AND(C2022&lt;=F2018,F2018&lt;&gt;""),VLOOKUP(VALUE(E1999&amp;","&amp;C2022),INTEGRANTES!$D$18:$F$235,2,0),"")</f>
        <v>#N/A</v>
      </c>
      <c r="AB2023" s="545" t="e">
        <f t="shared" si="590"/>
        <v>#N/A</v>
      </c>
      <c r="AC2023" s="529"/>
      <c r="AD2023" s="200" t="e">
        <f t="shared" si="591"/>
        <v>#N/A</v>
      </c>
      <c r="AE2023" s="52"/>
      <c r="AF2023" s="52"/>
      <c r="AG2023" s="52"/>
      <c r="AH2023" s="87"/>
      <c r="AI2023" s="87"/>
    </row>
    <row r="2024" spans="1:35" ht="27" hidden="1" customHeight="1" thickBot="1">
      <c r="A2024" s="218" t="e">
        <f>"R"&amp;E1999</f>
        <v>#N/A</v>
      </c>
      <c r="B2024" s="702"/>
      <c r="C2024" s="114">
        <v>5</v>
      </c>
      <c r="D2024" s="194" t="e">
        <f>IF(AND(C2024&lt;=F2018,F2018&lt;&gt;""),VLOOKUP(VALUE(E1999&amp;","&amp;C2024),INTEGRANTES!$D$18:$F$235,2,0),"")</f>
        <v>#N/A</v>
      </c>
      <c r="E2024" s="211" t="e">
        <f>IF(D2024&lt;&gt;"",VLOOKUP(VALUE(E1999&amp;","&amp;C2024),INTEGRANTES!$D$18:$F$235,3,0),"")</f>
        <v>#N/A</v>
      </c>
      <c r="F2024" s="547" t="e">
        <f>IF(D2024="","",SUMIF($I2003:$I2012,D2024,$P2003:$P2012))</f>
        <v>#N/A</v>
      </c>
      <c r="G2024" s="333" t="e">
        <f>IF(D2024="","",SUMIF($I2003:$I2012,D2024,$M2003:$M2012))</f>
        <v>#N/A</v>
      </c>
      <c r="H2024" s="535" t="e">
        <f t="shared" si="587"/>
        <v>#N/A</v>
      </c>
      <c r="I2024" s="212" t="e">
        <f>IF(D2024="","",IF(H2024="NO APORTA","NO",IF(H2024=MAX($H2020:$H2025),"SI","NO")))</f>
        <v>#N/A</v>
      </c>
      <c r="J2024" s="213" t="e">
        <f t="shared" si="588"/>
        <v>#N/A</v>
      </c>
      <c r="K2024" s="200" t="e">
        <f t="shared" si="589"/>
        <v>#N/A</v>
      </c>
      <c r="L2024" s="721"/>
      <c r="M2024" s="715" t="s">
        <v>116</v>
      </c>
      <c r="N2024" s="716"/>
      <c r="O2024" s="556" t="str">
        <f>PORCREQUERIDO*100&amp;"% PMFO DEL MÓDULO"</f>
        <v>50% PMFO DEL MÓDULO</v>
      </c>
      <c r="P2024" s="715" t="s">
        <v>118</v>
      </c>
      <c r="Q2024" s="728"/>
      <c r="R2024" s="458"/>
      <c r="S2024" s="459"/>
      <c r="T2024" s="460"/>
      <c r="U2024" s="219"/>
      <c r="V2024" s="464"/>
      <c r="Y2024" s="414"/>
      <c r="AA2024" s="540" t="e">
        <f>IF(AND(C2023&lt;=F2018,F2018&lt;&gt;""),VLOOKUP(VALUE(E1999&amp;","&amp;C2023),INTEGRANTES!$D$18:$F$235,2,0),"")</f>
        <v>#N/A</v>
      </c>
      <c r="AB2024" s="545" t="e">
        <f t="shared" si="590"/>
        <v>#N/A</v>
      </c>
      <c r="AC2024" s="529"/>
      <c r="AD2024" s="200" t="e">
        <f t="shared" si="591"/>
        <v>#N/A</v>
      </c>
      <c r="AE2024" s="52"/>
      <c r="AF2024" s="52"/>
      <c r="AG2024" s="52"/>
      <c r="AH2024" s="87"/>
      <c r="AI2024" s="87"/>
    </row>
    <row r="2025" spans="1:35" ht="16.5" hidden="1" thickBot="1">
      <c r="A2025" s="218" t="e">
        <f>"S"&amp;E1999</f>
        <v>#N/A</v>
      </c>
      <c r="B2025" s="702"/>
      <c r="C2025" s="215">
        <v>6</v>
      </c>
      <c r="D2025" s="216" t="e">
        <f>IF(AND(C2025&lt;=F2018,F2018&lt;&gt;""),VLOOKUP(VALUE(E1999&amp;","&amp;C2025),INTEGRANTES!$D$18:$F$235,2,0),"")</f>
        <v>#N/A</v>
      </c>
      <c r="E2025" s="217" t="e">
        <f>IF(D2025&lt;&gt;"",VLOOKUP(VALUE(E1999&amp;","&amp;C2025),INTEGRANTES!$D$18:$F$235,3,0),"")</f>
        <v>#N/A</v>
      </c>
      <c r="F2025" s="548" t="e">
        <f>IF(D2025="","",SUMIF($I2003:$I2012,D2025,$P2003:$P2012))</f>
        <v>#N/A</v>
      </c>
      <c r="G2025" s="334" t="e">
        <f>IF(D2025="","",SUMIF($I2003:$I2012,D2025,$M2003:$M2012))</f>
        <v>#N/A</v>
      </c>
      <c r="H2025" s="536" t="e">
        <f t="shared" si="587"/>
        <v>#N/A</v>
      </c>
      <c r="I2025" s="214" t="e">
        <f>IF(D2025="","",IF(H2025="NO APORTA","NO",IF(H2025=MAX($H2020:$H2025),"SI","NO")))</f>
        <v>#N/A</v>
      </c>
      <c r="J2025" s="213" t="e">
        <f t="shared" si="588"/>
        <v>#N/A</v>
      </c>
      <c r="K2025" s="200" t="e">
        <f t="shared" si="589"/>
        <v>#N/A</v>
      </c>
      <c r="L2025" s="721"/>
      <c r="M2025" s="729">
        <f>NUMMOD</f>
        <v>1</v>
      </c>
      <c r="N2025" s="730"/>
      <c r="O2025" s="443">
        <f>IF(M2025="","",ROUND(VLOOKUP(M2025,PRESUPUESTOS!$B$16:$H$16,7,FALSE),3))</f>
        <v>25.780999999999999</v>
      </c>
      <c r="P2025" s="713">
        <f>IF(OR(COUNTIF(P2003:P2012,"")&gt;=10,Q2019&lt;NUMMINCONT,OR(T2017="NO CUMPLE",T2017="VERIFICAR")),0,ROUND((SUM(P2003:P2012)/SUM(M2003:M2012)),3))</f>
        <v>0</v>
      </c>
      <c r="Q2025" s="714"/>
      <c r="R2025" s="458"/>
      <c r="S2025" s="459"/>
      <c r="T2025" s="460"/>
      <c r="U2025" s="219"/>
      <c r="V2025" s="464"/>
      <c r="Y2025" s="532" t="s">
        <v>343</v>
      </c>
      <c r="AA2025" s="540" t="e">
        <f>IF(AND(C2024&lt;=F2018,F2018&lt;&gt;""),VLOOKUP(VALUE(E1999&amp;","&amp;C2024),INTEGRANTES!$D$18:$F$235,2,0),"")</f>
        <v>#N/A</v>
      </c>
      <c r="AB2025" s="545" t="e">
        <f t="shared" si="590"/>
        <v>#N/A</v>
      </c>
      <c r="AC2025" s="529"/>
      <c r="AD2025" s="200" t="e">
        <f t="shared" si="591"/>
        <v>#N/A</v>
      </c>
      <c r="AE2025" s="52"/>
      <c r="AF2025" s="52"/>
      <c r="AG2025" s="52"/>
      <c r="AH2025" s="87"/>
      <c r="AI2025" s="87"/>
    </row>
    <row r="2026" spans="1:35" ht="16.5" hidden="1" customHeight="1" thickBot="1">
      <c r="A2026" s="218" t="e">
        <f>"T"&amp;E1999</f>
        <v>#N/A</v>
      </c>
      <c r="B2026" s="703"/>
      <c r="C2026" s="719"/>
      <c r="D2026" s="719"/>
      <c r="E2026" s="719"/>
      <c r="F2026" s="719"/>
      <c r="G2026" s="719"/>
      <c r="H2026" s="719" t="s">
        <v>110</v>
      </c>
      <c r="I2026" s="719"/>
      <c r="J2026" s="719"/>
      <c r="K2026" s="201" t="str">
        <f>IF(COUNTIF(K2020:K2025,"")=6,"",IF(COUNTIF(K2020:K2025,"CUMPLE")&gt;0,"CUMPLE","NO CUMPLE"))</f>
        <v>NO CUMPLE</v>
      </c>
      <c r="L2026" s="754"/>
      <c r="M2026" s="755"/>
      <c r="N2026" s="755"/>
      <c r="O2026" s="755"/>
      <c r="P2026" s="755"/>
      <c r="Q2026" s="756"/>
      <c r="R2026" s="461"/>
      <c r="S2026" s="462"/>
      <c r="T2026" s="463"/>
      <c r="U2026" s="219"/>
      <c r="V2026" s="464"/>
      <c r="Y2026" s="549" t="e">
        <f>IF(Y2020="NO APLICA","NO APLICA",IF(COUNTIF(AD2021:AD2026,"CUMPLE")&gt;0,"CUMPLE","NO CUMPLE"))</f>
        <v>#N/A</v>
      </c>
      <c r="AA2026" s="541" t="e">
        <f>IF(AND(C2025&lt;=F2018,F2018&lt;&gt;""),VLOOKUP(VALUE(E1999&amp;","&amp;C2025),INTEGRANTES!$D$18:$F$235,2,0),"")</f>
        <v>#N/A</v>
      </c>
      <c r="AB2026" s="546" t="e">
        <f t="shared" si="590"/>
        <v>#N/A</v>
      </c>
      <c r="AC2026" s="543"/>
      <c r="AD2026" s="201" t="e">
        <f t="shared" si="591"/>
        <v>#N/A</v>
      </c>
      <c r="AE2026" s="52"/>
      <c r="AF2026" s="52"/>
      <c r="AG2026" s="52"/>
      <c r="AH2026" s="87"/>
      <c r="AI2026" s="87"/>
    </row>
    <row r="2027" spans="1:35" hidden="1">
      <c r="A2027" s="103"/>
      <c r="B2027" s="206"/>
      <c r="C2027" s="206"/>
      <c r="D2027" s="206"/>
      <c r="E2027" s="206"/>
      <c r="F2027" s="206"/>
      <c r="G2027" s="206"/>
      <c r="H2027" s="206"/>
      <c r="I2027" s="104"/>
      <c r="J2027" s="206"/>
      <c r="K2027" s="113"/>
      <c r="L2027" s="113"/>
      <c r="M2027" s="113"/>
      <c r="N2027" s="222"/>
      <c r="O2027" s="113"/>
      <c r="P2027" s="113"/>
      <c r="Q2027" s="113"/>
      <c r="R2027" s="206"/>
      <c r="S2027" s="104"/>
      <c r="T2027" s="206"/>
      <c r="U2027" s="474"/>
      <c r="AH2027" s="87"/>
      <c r="AI2027" s="87"/>
    </row>
    <row r="2028" spans="1:35" hidden="1">
      <c r="H2028" s="220"/>
      <c r="AH2028" s="87"/>
      <c r="AI2028" s="87"/>
    </row>
    <row r="2029" spans="1:35" ht="24" hidden="1" thickBot="1">
      <c r="A2029" s="61">
        <v>68</v>
      </c>
      <c r="B2029" s="704" t="s">
        <v>51</v>
      </c>
      <c r="C2029" s="704"/>
      <c r="D2029" s="704"/>
      <c r="E2029" s="62" t="e">
        <f>VLOOKUP(A2029,PROPONENTES!$B$19:$E$218,2,FALSE)</f>
        <v>#N/A</v>
      </c>
      <c r="F2029" s="63" t="e">
        <f>VLOOKUP(A2029,PROPONENTES!$B$19:$E$218,3,FALSE)</f>
        <v>#N/A</v>
      </c>
      <c r="G2029" s="64"/>
      <c r="H2029" s="64"/>
      <c r="I2029" s="63"/>
      <c r="J2029" s="63"/>
      <c r="K2029" s="65"/>
      <c r="L2029" s="65"/>
      <c r="M2029" s="64"/>
      <c r="N2029" s="64"/>
      <c r="O2029" s="66"/>
      <c r="P2029" s="66"/>
      <c r="Q2029" s="66"/>
      <c r="R2029" s="66"/>
      <c r="S2029" s="67"/>
      <c r="T2029" s="68"/>
      <c r="U2029" s="68"/>
      <c r="AC2029" s="68"/>
      <c r="AD2029" s="68"/>
      <c r="AE2029" s="68"/>
      <c r="AF2029" s="68"/>
      <c r="AG2029" s="68"/>
      <c r="AH2029" s="87"/>
      <c r="AI2029" s="87"/>
    </row>
    <row r="2030" spans="1:35" ht="15.75" hidden="1" customHeight="1">
      <c r="A2030" s="44"/>
      <c r="B2030" s="709" t="s">
        <v>59</v>
      </c>
      <c r="C2030" s="552" t="s">
        <v>60</v>
      </c>
      <c r="D2030" s="70" t="s">
        <v>17</v>
      </c>
      <c r="E2030" s="70"/>
      <c r="F2030" s="70" t="s">
        <v>61</v>
      </c>
      <c r="G2030" s="71"/>
      <c r="H2030" s="699" t="s">
        <v>62</v>
      </c>
      <c r="I2030" s="699" t="s">
        <v>18</v>
      </c>
      <c r="J2030" s="699" t="s">
        <v>63</v>
      </c>
      <c r="K2030" s="699" t="s">
        <v>64</v>
      </c>
      <c r="L2030" s="699" t="s">
        <v>65</v>
      </c>
      <c r="M2030" s="743" t="s">
        <v>66</v>
      </c>
      <c r="N2030" s="699" t="s">
        <v>282</v>
      </c>
      <c r="O2030" s="745" t="s">
        <v>67</v>
      </c>
      <c r="P2030" s="746"/>
      <c r="Q2030" s="102" t="s">
        <v>75</v>
      </c>
      <c r="R2030" s="731" t="s">
        <v>22</v>
      </c>
      <c r="S2030" s="732"/>
      <c r="T2030" s="733"/>
      <c r="U2030" s="712" t="s">
        <v>298</v>
      </c>
      <c r="W2030" s="690" t="s">
        <v>268</v>
      </c>
      <c r="X2030" s="691"/>
      <c r="Y2030" s="692"/>
      <c r="Z2030" s="428"/>
      <c r="AA2030" s="697" t="s">
        <v>315</v>
      </c>
      <c r="AB2030" s="695" t="s">
        <v>322</v>
      </c>
      <c r="AC2030" s="49"/>
      <c r="AD2030" s="690" t="s">
        <v>297</v>
      </c>
      <c r="AE2030" s="691"/>
      <c r="AF2030" s="692"/>
      <c r="AG2030" s="49"/>
      <c r="AH2030" s="87"/>
      <c r="AI2030" s="87"/>
    </row>
    <row r="2031" spans="1:35" ht="72" hidden="1">
      <c r="A2031" s="44"/>
      <c r="B2031" s="710"/>
      <c r="C2031" s="553" t="s">
        <v>68</v>
      </c>
      <c r="D2031" s="73" t="s">
        <v>3</v>
      </c>
      <c r="E2031" s="73" t="s">
        <v>19</v>
      </c>
      <c r="F2031" s="73" t="s">
        <v>69</v>
      </c>
      <c r="G2031" s="74" t="s">
        <v>70</v>
      </c>
      <c r="H2031" s="700"/>
      <c r="I2031" s="700"/>
      <c r="J2031" s="700"/>
      <c r="K2031" s="700"/>
      <c r="L2031" s="700"/>
      <c r="M2031" s="744"/>
      <c r="N2031" s="700"/>
      <c r="O2031" s="553" t="s">
        <v>279</v>
      </c>
      <c r="P2031" s="73" t="s">
        <v>88</v>
      </c>
      <c r="Q2031" s="555" t="s">
        <v>76</v>
      </c>
      <c r="R2031" s="734"/>
      <c r="S2031" s="735"/>
      <c r="T2031" s="736"/>
      <c r="U2031" s="712"/>
      <c r="W2031" s="429" t="s">
        <v>269</v>
      </c>
      <c r="X2031" s="457" t="s">
        <v>278</v>
      </c>
      <c r="Y2031" s="430" t="s">
        <v>324</v>
      </c>
      <c r="Z2031" s="428"/>
      <c r="AA2031" s="698"/>
      <c r="AB2031" s="696"/>
      <c r="AC2031" s="49"/>
      <c r="AD2031" s="429" t="s">
        <v>292</v>
      </c>
      <c r="AE2031" s="431" t="s">
        <v>300</v>
      </c>
      <c r="AF2031" s="468" t="s">
        <v>301</v>
      </c>
      <c r="AG2031" s="49"/>
      <c r="AH2031" s="87"/>
      <c r="AI2031" s="87"/>
    </row>
    <row r="2032" spans="1:35" hidden="1">
      <c r="A2032" s="44"/>
      <c r="B2032" s="76"/>
      <c r="C2032" s="77"/>
      <c r="D2032" s="77"/>
      <c r="E2032" s="77"/>
      <c r="F2032" s="77"/>
      <c r="G2032" s="77"/>
      <c r="H2032" s="77"/>
      <c r="I2032" s="77"/>
      <c r="J2032" s="77"/>
      <c r="K2032" s="77"/>
      <c r="L2032" s="77"/>
      <c r="M2032" s="77"/>
      <c r="N2032" s="77"/>
      <c r="O2032" s="77"/>
      <c r="P2032" s="77"/>
      <c r="Q2032" s="77"/>
      <c r="R2032" s="77"/>
      <c r="S2032" s="78"/>
      <c r="T2032" s="79"/>
      <c r="U2032" s="109"/>
      <c r="V2032" s="49"/>
      <c r="W2032" s="432"/>
      <c r="X2032" s="454"/>
      <c r="Y2032" s="433"/>
      <c r="Z2032" s="6"/>
      <c r="AA2032" s="500"/>
      <c r="AB2032" s="562"/>
      <c r="AC2032" s="49"/>
      <c r="AD2032" s="210"/>
      <c r="AE2032" s="434"/>
      <c r="AF2032" s="435"/>
      <c r="AG2032" s="49"/>
      <c r="AH2032" s="87"/>
      <c r="AI2032" s="87"/>
    </row>
    <row r="2033" spans="1:35" hidden="1">
      <c r="A2033" s="80" t="e">
        <f>"A"&amp;E2029</f>
        <v>#N/A</v>
      </c>
      <c r="B2033" s="81">
        <v>1</v>
      </c>
      <c r="C2033" s="82"/>
      <c r="D2033" s="82"/>
      <c r="E2033" s="82"/>
      <c r="F2033" s="82"/>
      <c r="G2033" s="83"/>
      <c r="H2033" s="83"/>
      <c r="I2033" s="84"/>
      <c r="J2033" s="85"/>
      <c r="K2033" s="382"/>
      <c r="L2033" s="85"/>
      <c r="M2033" s="332" t="str">
        <f t="shared" ref="M2033:M2042" si="592">IF(OR(J2033="",L2033="",H2033="NO"),"",IF(OR(J2033&gt;$P$17,J2033&lt;$O$17,L2033&gt;$P$17,AND(J2033&lt;$O$17,L2033&lt;$O$17)),"FUERA DE RANGO",IF(OR(K2033="---",K2033=""),IF(J2033&gt;=$O$17,ROUND((L2033-J2033+1)/360*12,3),ROUND((L2033-$O$17+1)/360*12,3)),IF(J2033&gt;=$O$17,ROUND((L2033-J2033+1)/360*12-ROUND(K2033,3),3),ROUND((L2033-$O$17+1)/360*12-ROUND(K2033,3),3)))))</f>
        <v/>
      </c>
      <c r="N2033" s="86"/>
      <c r="O2033" s="453" t="str">
        <f>IF(OR(G2033="",N2033=""),"",N2033*G2033)</f>
        <v/>
      </c>
      <c r="P2033" s="538" t="str">
        <f>IF(OR(H2033="",M2033="FUERA DE RANGO"),"",IF(OR(L2033&lt;$O$17,L2033&gt;$P$17,L2033="",H2033="NO"),"",IF(OR(N2033="",O2033=""),"",ROUND(O2033,3))))</f>
        <v/>
      </c>
      <c r="Q2033" s="539" t="str">
        <f t="shared" ref="Q2033:Q2042" si="593">IF(AND(H2033="SI",P2033&lt;&gt;""),ROUND(P2033/M2033,3),"")</f>
        <v/>
      </c>
      <c r="R2033" s="737"/>
      <c r="S2033" s="738"/>
      <c r="T2033" s="739"/>
      <c r="U2033" s="470"/>
      <c r="V2033" s="165"/>
      <c r="W2033" s="446"/>
      <c r="X2033" s="456"/>
      <c r="Y2033" s="436"/>
      <c r="Z2033" s="437"/>
      <c r="AA2033" s="560"/>
      <c r="AB2033" s="561"/>
      <c r="AC2033" s="87"/>
      <c r="AD2033" s="466"/>
      <c r="AE2033" s="456"/>
      <c r="AF2033" s="467"/>
      <c r="AG2033" s="87"/>
      <c r="AH2033" s="87"/>
      <c r="AI2033" s="87"/>
    </row>
    <row r="2034" spans="1:35" hidden="1">
      <c r="A2034" s="80" t="e">
        <f>"B"&amp;E2029</f>
        <v>#N/A</v>
      </c>
      <c r="B2034" s="81">
        <v>2</v>
      </c>
      <c r="C2034" s="106"/>
      <c r="D2034" s="106"/>
      <c r="E2034" s="106"/>
      <c r="F2034" s="106"/>
      <c r="G2034" s="83"/>
      <c r="H2034" s="83"/>
      <c r="I2034" s="84"/>
      <c r="J2034" s="85"/>
      <c r="K2034" s="382"/>
      <c r="L2034" s="85"/>
      <c r="M2034" s="332" t="str">
        <f t="shared" si="592"/>
        <v/>
      </c>
      <c r="N2034" s="86"/>
      <c r="O2034" s="453" t="str">
        <f t="shared" ref="O2034:O2042" si="594">IF(OR(G2034="",N2034=""),"",N2034*G2034)</f>
        <v/>
      </c>
      <c r="P2034" s="538" t="str">
        <f t="shared" ref="P2034:P2042" si="595">IF(OR(H2034="",M2034="FUERA DE RANGO"),"",IF(OR(L2034&lt;$O$17,L2034&gt;$P$17,L2034="",H2034="NO"),"",IF(OR(N2034="",O2034=""),"",ROUND(O2034,3))))</f>
        <v/>
      </c>
      <c r="Q2034" s="539" t="str">
        <f t="shared" si="593"/>
        <v/>
      </c>
      <c r="R2034" s="740"/>
      <c r="S2034" s="741"/>
      <c r="T2034" s="742"/>
      <c r="U2034" s="471"/>
      <c r="V2034" s="165"/>
      <c r="W2034" s="446"/>
      <c r="X2034" s="456"/>
      <c r="Y2034" s="436"/>
      <c r="Z2034" s="437"/>
      <c r="AA2034" s="560"/>
      <c r="AB2034" s="561"/>
      <c r="AC2034" s="87"/>
      <c r="AD2034" s="466"/>
      <c r="AE2034" s="456"/>
      <c r="AF2034" s="467"/>
      <c r="AG2034" s="87"/>
      <c r="AH2034" s="87"/>
      <c r="AI2034" s="87"/>
    </row>
    <row r="2035" spans="1:35" hidden="1">
      <c r="A2035" s="80" t="e">
        <f>"C"&amp;E2029</f>
        <v>#N/A</v>
      </c>
      <c r="B2035" s="88">
        <v>3</v>
      </c>
      <c r="C2035" s="82"/>
      <c r="D2035" s="82"/>
      <c r="E2035" s="82"/>
      <c r="F2035" s="82"/>
      <c r="G2035" s="83"/>
      <c r="H2035" s="83"/>
      <c r="I2035" s="84"/>
      <c r="J2035" s="85"/>
      <c r="K2035" s="382"/>
      <c r="L2035" s="85"/>
      <c r="M2035" s="332" t="str">
        <f t="shared" si="592"/>
        <v/>
      </c>
      <c r="N2035" s="86"/>
      <c r="O2035" s="453" t="str">
        <f t="shared" si="594"/>
        <v/>
      </c>
      <c r="P2035" s="538" t="str">
        <f t="shared" si="595"/>
        <v/>
      </c>
      <c r="Q2035" s="539" t="str">
        <f t="shared" si="593"/>
        <v/>
      </c>
      <c r="R2035" s="706"/>
      <c r="S2035" s="707"/>
      <c r="T2035" s="708"/>
      <c r="U2035" s="472"/>
      <c r="V2035" s="166"/>
      <c r="W2035" s="446"/>
      <c r="X2035" s="456"/>
      <c r="Y2035" s="436"/>
      <c r="Z2035" s="437"/>
      <c r="AA2035" s="560"/>
      <c r="AB2035" s="561"/>
      <c r="AC2035" s="87"/>
      <c r="AD2035" s="466"/>
      <c r="AE2035" s="456"/>
      <c r="AF2035" s="467"/>
      <c r="AG2035" s="87"/>
      <c r="AH2035" s="87"/>
      <c r="AI2035" s="87"/>
    </row>
    <row r="2036" spans="1:35" hidden="1">
      <c r="A2036" s="80" t="e">
        <f>"D"&amp;E2029</f>
        <v>#N/A</v>
      </c>
      <c r="B2036" s="105">
        <v>4</v>
      </c>
      <c r="C2036" s="107"/>
      <c r="D2036" s="107"/>
      <c r="E2036" s="107"/>
      <c r="F2036" s="107"/>
      <c r="G2036" s="83"/>
      <c r="H2036" s="83"/>
      <c r="I2036" s="84"/>
      <c r="J2036" s="85"/>
      <c r="K2036" s="382"/>
      <c r="L2036" s="85"/>
      <c r="M2036" s="332" t="str">
        <f t="shared" si="592"/>
        <v/>
      </c>
      <c r="N2036" s="86"/>
      <c r="O2036" s="453" t="str">
        <f t="shared" si="594"/>
        <v/>
      </c>
      <c r="P2036" s="538" t="str">
        <f t="shared" si="595"/>
        <v/>
      </c>
      <c r="Q2036" s="539" t="str">
        <f t="shared" si="593"/>
        <v/>
      </c>
      <c r="R2036" s="706"/>
      <c r="S2036" s="707"/>
      <c r="T2036" s="708"/>
      <c r="U2036" s="472"/>
      <c r="V2036" s="166"/>
      <c r="W2036" s="446"/>
      <c r="X2036" s="456"/>
      <c r="Y2036" s="436"/>
      <c r="Z2036" s="437"/>
      <c r="AA2036" s="560"/>
      <c r="AB2036" s="561"/>
      <c r="AC2036" s="87"/>
      <c r="AD2036" s="466"/>
      <c r="AE2036" s="456"/>
      <c r="AF2036" s="467"/>
      <c r="AG2036" s="87"/>
      <c r="AH2036" s="87"/>
      <c r="AI2036" s="87"/>
    </row>
    <row r="2037" spans="1:35" hidden="1">
      <c r="A2037" s="80" t="e">
        <f>"E"&amp;E2029</f>
        <v>#N/A</v>
      </c>
      <c r="B2037" s="105">
        <v>5</v>
      </c>
      <c r="C2037" s="107"/>
      <c r="D2037" s="107"/>
      <c r="E2037" s="107"/>
      <c r="F2037" s="107"/>
      <c r="G2037" s="83"/>
      <c r="H2037" s="83"/>
      <c r="I2037" s="84"/>
      <c r="J2037" s="85"/>
      <c r="K2037" s="382"/>
      <c r="L2037" s="85"/>
      <c r="M2037" s="332" t="str">
        <f t="shared" si="592"/>
        <v/>
      </c>
      <c r="N2037" s="86"/>
      <c r="O2037" s="453" t="str">
        <f t="shared" si="594"/>
        <v/>
      </c>
      <c r="P2037" s="538" t="str">
        <f t="shared" si="595"/>
        <v/>
      </c>
      <c r="Q2037" s="539" t="str">
        <f t="shared" si="593"/>
        <v/>
      </c>
      <c r="R2037" s="706"/>
      <c r="S2037" s="707"/>
      <c r="T2037" s="708"/>
      <c r="U2037" s="472"/>
      <c r="V2037" s="167"/>
      <c r="W2037" s="446"/>
      <c r="X2037" s="456"/>
      <c r="Y2037" s="436"/>
      <c r="Z2037" s="437"/>
      <c r="AA2037" s="560"/>
      <c r="AB2037" s="561"/>
      <c r="AC2037" s="87"/>
      <c r="AD2037" s="466"/>
      <c r="AE2037" s="456"/>
      <c r="AF2037" s="467"/>
      <c r="AG2037" s="87"/>
      <c r="AH2037" s="87"/>
      <c r="AI2037" s="87"/>
    </row>
    <row r="2038" spans="1:35" hidden="1">
      <c r="A2038" s="80" t="e">
        <f>"F"&amp;E2029</f>
        <v>#N/A</v>
      </c>
      <c r="B2038" s="105">
        <v>6</v>
      </c>
      <c r="C2038" s="107"/>
      <c r="D2038" s="107"/>
      <c r="E2038" s="107"/>
      <c r="F2038" s="107"/>
      <c r="G2038" s="83"/>
      <c r="H2038" s="83"/>
      <c r="I2038" s="84"/>
      <c r="J2038" s="85"/>
      <c r="K2038" s="382"/>
      <c r="L2038" s="85"/>
      <c r="M2038" s="332" t="str">
        <f t="shared" si="592"/>
        <v/>
      </c>
      <c r="N2038" s="86"/>
      <c r="O2038" s="453" t="str">
        <f t="shared" si="594"/>
        <v/>
      </c>
      <c r="P2038" s="538" t="str">
        <f t="shared" si="595"/>
        <v/>
      </c>
      <c r="Q2038" s="539" t="str">
        <f t="shared" si="593"/>
        <v/>
      </c>
      <c r="R2038" s="706"/>
      <c r="S2038" s="707"/>
      <c r="T2038" s="708"/>
      <c r="U2038" s="472"/>
      <c r="V2038" s="167"/>
      <c r="W2038" s="446"/>
      <c r="X2038" s="456"/>
      <c r="Y2038" s="436"/>
      <c r="Z2038" s="437"/>
      <c r="AA2038" s="560"/>
      <c r="AB2038" s="561"/>
      <c r="AC2038" s="87"/>
      <c r="AD2038" s="466"/>
      <c r="AE2038" s="456"/>
      <c r="AF2038" s="467"/>
      <c r="AG2038" s="87"/>
      <c r="AH2038" s="87"/>
      <c r="AI2038" s="87"/>
    </row>
    <row r="2039" spans="1:35" hidden="1">
      <c r="A2039" s="80" t="e">
        <f>"G"&amp;E2029</f>
        <v>#N/A</v>
      </c>
      <c r="B2039" s="105">
        <v>7</v>
      </c>
      <c r="C2039" s="107"/>
      <c r="D2039" s="107"/>
      <c r="E2039" s="107"/>
      <c r="F2039" s="107"/>
      <c r="G2039" s="83"/>
      <c r="H2039" s="83"/>
      <c r="I2039" s="84"/>
      <c r="J2039" s="85"/>
      <c r="K2039" s="382"/>
      <c r="L2039" s="85"/>
      <c r="M2039" s="332" t="str">
        <f t="shared" si="592"/>
        <v/>
      </c>
      <c r="N2039" s="86"/>
      <c r="O2039" s="86" t="str">
        <f t="shared" si="594"/>
        <v/>
      </c>
      <c r="P2039" s="538" t="str">
        <f t="shared" si="595"/>
        <v/>
      </c>
      <c r="Q2039" s="539" t="str">
        <f t="shared" si="593"/>
        <v/>
      </c>
      <c r="R2039" s="706"/>
      <c r="S2039" s="707"/>
      <c r="T2039" s="708"/>
      <c r="U2039" s="472"/>
      <c r="V2039" s="167"/>
      <c r="W2039" s="446"/>
      <c r="X2039" s="456"/>
      <c r="Y2039" s="436"/>
      <c r="Z2039" s="437"/>
      <c r="AA2039" s="560"/>
      <c r="AB2039" s="561"/>
      <c r="AC2039" s="87"/>
      <c r="AD2039" s="466"/>
      <c r="AE2039" s="456"/>
      <c r="AF2039" s="467"/>
      <c r="AG2039" s="87"/>
      <c r="AH2039" s="87"/>
      <c r="AI2039" s="87"/>
    </row>
    <row r="2040" spans="1:35" hidden="1">
      <c r="A2040" s="80" t="e">
        <f>"H"&amp;E2029</f>
        <v>#N/A</v>
      </c>
      <c r="B2040" s="105">
        <v>8</v>
      </c>
      <c r="C2040" s="107"/>
      <c r="D2040" s="107"/>
      <c r="E2040" s="107"/>
      <c r="F2040" s="107"/>
      <c r="G2040" s="83"/>
      <c r="H2040" s="83"/>
      <c r="I2040" s="84"/>
      <c r="J2040" s="85"/>
      <c r="K2040" s="382"/>
      <c r="L2040" s="85"/>
      <c r="M2040" s="332" t="str">
        <f t="shared" si="592"/>
        <v/>
      </c>
      <c r="N2040" s="453"/>
      <c r="O2040" s="86" t="str">
        <f t="shared" si="594"/>
        <v/>
      </c>
      <c r="P2040" s="538" t="str">
        <f t="shared" si="595"/>
        <v/>
      </c>
      <c r="Q2040" s="539" t="str">
        <f t="shared" si="593"/>
        <v/>
      </c>
      <c r="R2040" s="706"/>
      <c r="S2040" s="707"/>
      <c r="T2040" s="708"/>
      <c r="U2040" s="472"/>
      <c r="V2040" s="167"/>
      <c r="W2040" s="446"/>
      <c r="X2040" s="456"/>
      <c r="Y2040" s="436"/>
      <c r="Z2040" s="437"/>
      <c r="AA2040" s="560"/>
      <c r="AB2040" s="561"/>
      <c r="AC2040" s="87"/>
      <c r="AD2040" s="466"/>
      <c r="AE2040" s="456"/>
      <c r="AF2040" s="467"/>
      <c r="AG2040" s="87"/>
      <c r="AH2040" s="87"/>
      <c r="AI2040" s="87"/>
    </row>
    <row r="2041" spans="1:35" hidden="1">
      <c r="A2041" s="80" t="e">
        <f>"I"&amp;E2029</f>
        <v>#N/A</v>
      </c>
      <c r="B2041" s="105">
        <v>9</v>
      </c>
      <c r="C2041" s="107"/>
      <c r="D2041" s="107"/>
      <c r="E2041" s="107"/>
      <c r="F2041" s="107"/>
      <c r="G2041" s="83"/>
      <c r="H2041" s="83"/>
      <c r="I2041" s="84"/>
      <c r="J2041" s="85"/>
      <c r="K2041" s="382"/>
      <c r="L2041" s="85"/>
      <c r="M2041" s="332" t="str">
        <f t="shared" si="592"/>
        <v/>
      </c>
      <c r="N2041" s="453"/>
      <c r="O2041" s="86" t="str">
        <f t="shared" si="594"/>
        <v/>
      </c>
      <c r="P2041" s="538" t="str">
        <f t="shared" si="595"/>
        <v/>
      </c>
      <c r="Q2041" s="539" t="str">
        <f t="shared" si="593"/>
        <v/>
      </c>
      <c r="R2041" s="706"/>
      <c r="S2041" s="707"/>
      <c r="T2041" s="708"/>
      <c r="U2041" s="472"/>
      <c r="V2041" s="167"/>
      <c r="W2041" s="446"/>
      <c r="X2041" s="456"/>
      <c r="Y2041" s="436"/>
      <c r="Z2041" s="437"/>
      <c r="AA2041" s="560"/>
      <c r="AB2041" s="561"/>
      <c r="AC2041" s="87"/>
      <c r="AD2041" s="466"/>
      <c r="AE2041" s="456"/>
      <c r="AF2041" s="467"/>
      <c r="AG2041" s="87"/>
      <c r="AH2041" s="87"/>
      <c r="AI2041" s="87"/>
    </row>
    <row r="2042" spans="1:35" hidden="1">
      <c r="A2042" s="80" t="e">
        <f>"J"&amp;E2029</f>
        <v>#N/A</v>
      </c>
      <c r="B2042" s="105">
        <v>10</v>
      </c>
      <c r="C2042" s="107"/>
      <c r="D2042" s="107"/>
      <c r="E2042" s="107"/>
      <c r="F2042" s="107"/>
      <c r="G2042" s="83"/>
      <c r="H2042" s="83"/>
      <c r="I2042" s="84"/>
      <c r="J2042" s="85"/>
      <c r="K2042" s="382"/>
      <c r="L2042" s="85"/>
      <c r="M2042" s="332" t="str">
        <f t="shared" si="592"/>
        <v/>
      </c>
      <c r="N2042" s="453"/>
      <c r="O2042" s="86" t="str">
        <f t="shared" si="594"/>
        <v/>
      </c>
      <c r="P2042" s="538" t="str">
        <f t="shared" si="595"/>
        <v/>
      </c>
      <c r="Q2042" s="539" t="str">
        <f t="shared" si="593"/>
        <v/>
      </c>
      <c r="R2042" s="706"/>
      <c r="S2042" s="707"/>
      <c r="T2042" s="708"/>
      <c r="U2042" s="472"/>
      <c r="V2042" s="167"/>
      <c r="W2042" s="446"/>
      <c r="X2042" s="456"/>
      <c r="Y2042" s="436"/>
      <c r="Z2042" s="437"/>
      <c r="AA2042" s="560"/>
      <c r="AB2042" s="561"/>
      <c r="AC2042" s="87"/>
      <c r="AD2042" s="466"/>
      <c r="AE2042" s="456"/>
      <c r="AF2042" s="467"/>
      <c r="AG2042" s="87"/>
      <c r="AH2042" s="87"/>
      <c r="AI2042" s="87"/>
    </row>
    <row r="2043" spans="1:35" ht="16.5" hidden="1" thickBot="1">
      <c r="A2043" s="44"/>
      <c r="B2043" s="89"/>
      <c r="C2043" s="90"/>
      <c r="D2043" s="90"/>
      <c r="E2043" s="90"/>
      <c r="F2043" s="90"/>
      <c r="G2043" s="90"/>
      <c r="H2043" s="90"/>
      <c r="I2043" s="90"/>
      <c r="J2043" s="90"/>
      <c r="K2043" s="90"/>
      <c r="L2043" s="90"/>
      <c r="M2043" s="90"/>
      <c r="N2043" s="90"/>
      <c r="O2043" s="90"/>
      <c r="P2043" s="90"/>
      <c r="Q2043" s="90"/>
      <c r="R2043" s="90"/>
      <c r="S2043" s="91"/>
      <c r="T2043" s="92"/>
      <c r="U2043" s="473"/>
      <c r="W2043" s="438"/>
      <c r="X2043" s="455"/>
      <c r="Y2043" s="439"/>
      <c r="Z2043" s="437"/>
      <c r="AA2043" s="530"/>
      <c r="AB2043" s="563"/>
      <c r="AC2043" s="87"/>
      <c r="AD2043" s="440"/>
      <c r="AE2043" s="441"/>
      <c r="AF2043" s="442"/>
      <c r="AG2043" s="49"/>
      <c r="AH2043" s="87"/>
      <c r="AI2043" s="87"/>
    </row>
    <row r="2044" spans="1:35" ht="16.5" hidden="1" thickBot="1">
      <c r="A2044" s="93"/>
      <c r="B2044" s="94"/>
      <c r="C2044" s="96"/>
      <c r="D2044" s="96"/>
      <c r="E2044" s="96"/>
      <c r="F2044" s="96"/>
      <c r="G2044" s="96"/>
      <c r="H2044" s="96"/>
      <c r="I2044" s="96"/>
      <c r="J2044" s="96"/>
      <c r="K2044" s="96"/>
      <c r="L2044" s="96"/>
      <c r="M2044" s="136"/>
      <c r="N2044" s="96"/>
      <c r="O2044" s="96"/>
      <c r="P2044" s="97"/>
      <c r="Q2044" s="97"/>
      <c r="R2044" s="98"/>
      <c r="S2044" s="95"/>
      <c r="T2044" s="99"/>
      <c r="U2044" s="469"/>
      <c r="AC2044" s="58"/>
      <c r="AG2044" s="58"/>
      <c r="AH2044" s="87"/>
      <c r="AI2044" s="87"/>
    </row>
    <row r="2045" spans="1:35" ht="16.5" hidden="1" thickBot="1">
      <c r="B2045" s="101"/>
      <c r="C2045" s="101"/>
      <c r="D2045" s="101"/>
      <c r="E2045" s="101"/>
      <c r="F2045" s="101"/>
      <c r="G2045" s="101"/>
      <c r="H2045" s="101"/>
      <c r="I2045" s="101"/>
      <c r="J2045" s="101"/>
      <c r="K2045" s="101"/>
      <c r="L2045" s="101"/>
      <c r="M2045" s="101"/>
      <c r="N2045" s="101"/>
      <c r="O2045" s="101"/>
      <c r="P2045" s="101"/>
      <c r="Q2045" s="101"/>
      <c r="R2045" s="101"/>
      <c r="S2045" s="101"/>
      <c r="U2045" s="50"/>
      <c r="AH2045" s="87"/>
      <c r="AI2045" s="87"/>
    </row>
    <row r="2046" spans="1:35" ht="16.5" hidden="1" customHeight="1" thickBot="1">
      <c r="A2046" s="44"/>
      <c r="B2046" s="705" t="s">
        <v>74</v>
      </c>
      <c r="C2046" s="705"/>
      <c r="D2046" s="705"/>
      <c r="E2046" s="705"/>
      <c r="F2046" s="705"/>
      <c r="G2046" s="705"/>
      <c r="H2046" s="705"/>
      <c r="I2046" s="705"/>
      <c r="J2046" s="705"/>
      <c r="K2046" s="705"/>
      <c r="L2046" s="705"/>
      <c r="M2046" s="705"/>
      <c r="N2046" s="705"/>
      <c r="O2046" s="705"/>
      <c r="P2046" s="705"/>
      <c r="Q2046" s="705"/>
      <c r="R2046" s="705"/>
      <c r="S2046" s="705"/>
      <c r="T2046" s="705"/>
      <c r="U2046" s="108"/>
      <c r="Y2046" s="532" t="s">
        <v>341</v>
      </c>
      <c r="AC2046" s="49"/>
      <c r="AD2046" s="687" t="s">
        <v>302</v>
      </c>
      <c r="AE2046" s="688"/>
      <c r="AF2046" s="689"/>
      <c r="AG2046" s="49"/>
      <c r="AH2046" s="87"/>
      <c r="AI2046" s="87"/>
    </row>
    <row r="2047" spans="1:35" ht="15.75" hidden="1" customHeight="1" thickBot="1">
      <c r="A2047" s="218" t="e">
        <f>"K"&amp;E2029</f>
        <v>#N/A</v>
      </c>
      <c r="B2047" s="701" t="s">
        <v>71</v>
      </c>
      <c r="C2047" s="751" t="s">
        <v>102</v>
      </c>
      <c r="D2047" s="751"/>
      <c r="E2047" s="751"/>
      <c r="F2047" s="751"/>
      <c r="G2047" s="751"/>
      <c r="H2047" s="751"/>
      <c r="I2047" s="751"/>
      <c r="J2047" s="751"/>
      <c r="K2047" s="751"/>
      <c r="L2047" s="722" t="s">
        <v>100</v>
      </c>
      <c r="M2047" s="747" t="s">
        <v>114</v>
      </c>
      <c r="N2047" s="747"/>
      <c r="O2047" s="747"/>
      <c r="P2047" s="747"/>
      <c r="Q2047" s="748"/>
      <c r="R2047" s="758" t="s">
        <v>280</v>
      </c>
      <c r="S2047" s="748"/>
      <c r="T2047" s="762" t="str">
        <f>IF(COUNTIF(AE2047:AF2047,"VERIFICAR")&gt;0,"VERIFICAR",IF(COUNTIF(AE2047:AF2047,"NO CUMPLE")&gt;0,"NO CUMPLE","CUMPLE"))</f>
        <v>VERIFICAR</v>
      </c>
      <c r="U2047" s="108"/>
      <c r="Y2047" s="533" t="e">
        <f>IF(F2048="","",IF(F2048=1,"INDIVIDUAL","ESTRUCTURA PLURAL"))</f>
        <v>#N/A</v>
      </c>
      <c r="AC2047" s="52"/>
      <c r="AD2047" s="475" t="s">
        <v>303</v>
      </c>
      <c r="AE2047" s="476" t="str">
        <f>IF(COUNTIF(AE2033:AE2042,"")=10,"VERIFICAR",IF(COUNTIF(AE2033:AE2042,"SI")&gt;0,"CUMPLE","NO CUMPLE"))</f>
        <v>VERIFICAR</v>
      </c>
      <c r="AF2047" s="477" t="str">
        <f>IF(COUNTIF(AF2033:AF2042,"")=10,"VERIFICAR",IF(COUNTIF(AF2033:AF2042,"SI")&gt;=$AI$22,"CUMPLE","NO CUMPLE"))</f>
        <v>VERIFICAR</v>
      </c>
      <c r="AG2047" s="52"/>
      <c r="AH2047" s="87"/>
      <c r="AI2047" s="87"/>
    </row>
    <row r="2048" spans="1:35" ht="16.5" hidden="1" customHeight="1" thickBot="1">
      <c r="A2048" s="218" t="e">
        <f>"L"&amp;E2029</f>
        <v>#N/A</v>
      </c>
      <c r="B2048" s="702"/>
      <c r="C2048" s="751" t="s">
        <v>103</v>
      </c>
      <c r="D2048" s="751"/>
      <c r="E2048" s="752"/>
      <c r="F2048" s="557" t="e">
        <f>IF(VLOOKUP(E2029,PROPONENTES!$C$19:$E$218,3,0)="","",VLOOKUP(E2029,PROPONENTES!$C$19:$E$218,3,0))</f>
        <v>#N/A</v>
      </c>
      <c r="G2048" s="753" t="s">
        <v>104</v>
      </c>
      <c r="H2048" s="751"/>
      <c r="I2048" s="715" t="e">
        <f>IF(OR(F2048="",F2048=1),"INTERESADO PERSONA NATURAL O JURIDICA","CONSORCIO O UNION TEMPORAL")</f>
        <v>#N/A</v>
      </c>
      <c r="J2048" s="725"/>
      <c r="K2048" s="728"/>
      <c r="L2048" s="723"/>
      <c r="M2048" s="749"/>
      <c r="N2048" s="749"/>
      <c r="O2048" s="749"/>
      <c r="P2048" s="749"/>
      <c r="Q2048" s="750"/>
      <c r="R2048" s="712"/>
      <c r="S2048" s="750"/>
      <c r="T2048" s="763"/>
      <c r="U2048" s="108"/>
      <c r="Y2048" s="534"/>
      <c r="AA2048" s="52"/>
      <c r="AB2048" s="52"/>
      <c r="AC2048" s="52"/>
      <c r="AG2048" s="52"/>
      <c r="AH2048" s="87"/>
      <c r="AI2048" s="87"/>
    </row>
    <row r="2049" spans="1:35" ht="56.25" hidden="1" customHeight="1" thickBot="1">
      <c r="A2049" s="218" t="e">
        <f>"M"&amp;E2029</f>
        <v>#N/A</v>
      </c>
      <c r="B2049" s="702"/>
      <c r="C2049" s="725" t="s">
        <v>101</v>
      </c>
      <c r="D2049" s="716"/>
      <c r="E2049" s="558" t="s">
        <v>105</v>
      </c>
      <c r="F2049" s="554" t="s">
        <v>87</v>
      </c>
      <c r="G2049" s="553" t="s">
        <v>86</v>
      </c>
      <c r="H2049" s="559" t="s">
        <v>85</v>
      </c>
      <c r="I2049" s="554" t="s">
        <v>252</v>
      </c>
      <c r="J2049" s="553" t="str">
        <f>"¿EL INTEGRANTE TIENE UNA PARTICIPACIÓN DEL "&amp;PORCREQUERIDOINT*100&amp;"%?"</f>
        <v>¿EL INTEGRANTE TIENE UNA PARTICIPACIÓN DEL 60%?</v>
      </c>
      <c r="K2049" s="554" t="s">
        <v>107</v>
      </c>
      <c r="L2049" s="724"/>
      <c r="M2049" s="717" t="s">
        <v>115</v>
      </c>
      <c r="N2049" s="718"/>
      <c r="O2049" s="718"/>
      <c r="P2049" s="718"/>
      <c r="Q2049" s="223">
        <f>IF(AND(H2033="SI",P2033&gt;=0),1,0)+IF(AND(H2034="SI",P2034&gt;=0),1,0)+IF(AND(H2035="SI",P2035&gt;=0),1,0)+IF(AND(H2036="SI",P2036&gt;=0),1,0)+IF(AND(H2037="SI",P2037&gt;=0),1,0)+IF(AND(H2038="SI",P2038&gt;=0),1,0)+IF(AND(H2039="SI",P2039&gt;=0),1,0)+IF(AND(H2040="SI",P2040&gt;=0),1,0)+IF(AND(H2041="SI",P2041&gt;=0),1,0)+IF(AND(H2042="SI",P2042&gt;=0),1,0)</f>
        <v>0</v>
      </c>
      <c r="R2049" s="759"/>
      <c r="S2049" s="761"/>
      <c r="T2049" s="764"/>
      <c r="U2049" s="219"/>
      <c r="V2049" s="464"/>
      <c r="Y2049" s="532" t="s">
        <v>342</v>
      </c>
      <c r="AA2049" s="550" t="s">
        <v>344</v>
      </c>
      <c r="AB2049" s="693" t="s">
        <v>345</v>
      </c>
      <c r="AC2049" s="693" t="s">
        <v>346</v>
      </c>
      <c r="AD2049" s="685" t="s">
        <v>347</v>
      </c>
      <c r="AE2049" s="52"/>
      <c r="AF2049" s="52"/>
      <c r="AG2049" s="52"/>
      <c r="AH2049" s="87"/>
      <c r="AI2049" s="87"/>
    </row>
    <row r="2050" spans="1:35" ht="15.75" hidden="1" customHeight="1" thickBot="1">
      <c r="A2050" s="218" t="e">
        <f>"N"&amp;E2029</f>
        <v>#N/A</v>
      </c>
      <c r="B2050" s="702"/>
      <c r="C2050" s="114">
        <v>1</v>
      </c>
      <c r="D2050" s="194" t="e">
        <f>IF(AND(C2050&lt;=F2048,F2048&gt;1,F2048&lt;&gt;""),VLOOKUP(VALUE(E2029&amp;","&amp;C2050),INTEGRANTES!$D$18:$F$235,2,0),"")</f>
        <v>#N/A</v>
      </c>
      <c r="E2050" s="211" t="e">
        <f>IF(D2050&lt;&gt;"",VLOOKUP(VALUE(E2029&amp;","&amp;C2050),INTEGRANTES!$D$18:$F$235,3,0),"")</f>
        <v>#N/A</v>
      </c>
      <c r="F2050" s="547" t="e">
        <f>IF(D2050="","",SUMIF($I2033:$I2042,D2050,$P2033:$P2042))</f>
        <v>#N/A</v>
      </c>
      <c r="G2050" s="333" t="e">
        <f>IF(D2050="","",SUMIF($I2033:$I2042,D2050,$M2033:$M2042))</f>
        <v>#N/A</v>
      </c>
      <c r="H2050" s="535" t="e">
        <f t="shared" ref="H2050:H2055" si="596">IF(D2050="","",IF(OR(F2050=0,G2050=0),"NO APORTA",ROUND($F2050/$G2050,3)))</f>
        <v>#N/A</v>
      </c>
      <c r="I2050" s="212" t="e">
        <f>IF(D2050="","",IF(H2050="NO APORTA","NO",IF(H2050=MAX($H2050:$H2055),"SI","NO")))</f>
        <v>#N/A</v>
      </c>
      <c r="J2050" s="213" t="e">
        <f t="shared" ref="J2050:J2055" si="597">IF(D2050="","",IF(E2050&gt;=PORCREQUERIDOINT,"SI","NO"))</f>
        <v>#N/A</v>
      </c>
      <c r="K2050" s="200" t="e">
        <f t="shared" ref="K2050:K2055" si="598">IF(D2050="","",IF(AND(I2050="SI",J2050="SI"),"CUMPLE",IF(AND(I2050="NO",OR(J2050="SI",J2050="NO")),"","NO CUMPLE")))</f>
        <v>#N/A</v>
      </c>
      <c r="L2050" s="722" t="s">
        <v>108</v>
      </c>
      <c r="M2050" s="726" t="s">
        <v>119</v>
      </c>
      <c r="N2050" s="726"/>
      <c r="O2050" s="726"/>
      <c r="P2050" s="726"/>
      <c r="Q2050" s="727"/>
      <c r="R2050" s="758" t="s">
        <v>80</v>
      </c>
      <c r="S2050" s="747"/>
      <c r="T2050" s="748"/>
      <c r="U2050" s="219"/>
      <c r="V2050" s="464"/>
      <c r="Y2050" s="533" t="e">
        <f>IF(Y2047="","",IF(Y2047="INDIVIDUAL","NO APLICA","VERIFICAR CUADRO"))</f>
        <v>#N/A</v>
      </c>
      <c r="AA2050" s="551"/>
      <c r="AB2050" s="694"/>
      <c r="AC2050" s="694"/>
      <c r="AD2050" s="686"/>
      <c r="AE2050" s="52"/>
      <c r="AF2050" s="52"/>
      <c r="AG2050" s="52"/>
      <c r="AH2050" s="87"/>
      <c r="AI2050" s="87"/>
    </row>
    <row r="2051" spans="1:35" ht="27" hidden="1" customHeight="1" thickBot="1">
      <c r="A2051" s="218" t="e">
        <f>"O"&amp;E2029</f>
        <v>#N/A</v>
      </c>
      <c r="B2051" s="702"/>
      <c r="C2051" s="114">
        <v>2</v>
      </c>
      <c r="D2051" s="194" t="e">
        <f>IF(AND(C2051&lt;=F2048,F2048&lt;&gt;""),VLOOKUP(VALUE(E2029&amp;","&amp;C2051),INTEGRANTES!$D$18:$F$235,2,0),"")</f>
        <v>#N/A</v>
      </c>
      <c r="E2051" s="211" t="e">
        <f>IF(D2051&lt;&gt;"",VLOOKUP(VALUE(E2029&amp;","&amp;C2051),INTEGRANTES!$D$18:$F$235,3,0),"")</f>
        <v>#N/A</v>
      </c>
      <c r="F2051" s="547" t="e">
        <f>IF(D2051="","",SUMIF($I2033:$I2042,D2051,$P2033:$P2042))</f>
        <v>#N/A</v>
      </c>
      <c r="G2051" s="333" t="e">
        <f>IF(D2051="","",SUMIF($I2033:$I2042,D2051,$M2033:$M2042))</f>
        <v>#N/A</v>
      </c>
      <c r="H2051" s="535" t="e">
        <f t="shared" si="596"/>
        <v>#N/A</v>
      </c>
      <c r="I2051" s="212" t="e">
        <f>IF(D2051="","",IF(H2051="NO APORTA","NO",IF(H2051=MAX($H2050:$H2055),"SI","NO")))</f>
        <v>#N/A</v>
      </c>
      <c r="J2051" s="213" t="e">
        <f t="shared" si="597"/>
        <v>#N/A</v>
      </c>
      <c r="K2051" s="200" t="e">
        <f t="shared" si="598"/>
        <v>#N/A</v>
      </c>
      <c r="L2051" s="723"/>
      <c r="M2051" s="715" t="s">
        <v>116</v>
      </c>
      <c r="N2051" s="716"/>
      <c r="O2051" s="556" t="s">
        <v>113</v>
      </c>
      <c r="P2051" s="715" t="s">
        <v>117</v>
      </c>
      <c r="Q2051" s="728"/>
      <c r="R2051" s="759"/>
      <c r="S2051" s="760"/>
      <c r="T2051" s="761"/>
      <c r="U2051" s="219"/>
      <c r="V2051" s="464"/>
      <c r="Y2051" s="414"/>
      <c r="AA2051" s="542" t="e">
        <f>IF(AND(C2050&lt;=F2048,F2048&gt;1,F2048&lt;&gt;""),VLOOKUP(VALUE(E2029&amp;","&amp;C2050),INTEGRANTES!$D$18:$F$235,2,0),"")</f>
        <v>#N/A</v>
      </c>
      <c r="AB2051" s="544" t="e">
        <f t="shared" ref="AB2051:AB2056" si="599">IF(D2050="","",IF(OR(F2050=0,G2050=0),"NO APORTA",ROUND($F2050/$G2050,3)))</f>
        <v>#N/A</v>
      </c>
      <c r="AC2051" s="529"/>
      <c r="AD2051" s="200" t="e">
        <f t="shared" ref="AD2051:AD2056" si="600">IF(OR(AA2051="",AB2051=""),"",IF(AND(AC2051="X",AB2051&gt;=EXPREQVTD),"CUMPLE","NO CUMPLE"))</f>
        <v>#N/A</v>
      </c>
      <c r="AE2051" s="52"/>
      <c r="AF2051" s="52"/>
      <c r="AG2051" s="52"/>
      <c r="AH2051" s="87"/>
      <c r="AI2051" s="87"/>
    </row>
    <row r="2052" spans="1:35" ht="16.5" hidden="1" thickBot="1">
      <c r="A2052" s="218" t="e">
        <f>"P"&amp;E2029</f>
        <v>#N/A</v>
      </c>
      <c r="B2052" s="702"/>
      <c r="C2052" s="114">
        <v>3</v>
      </c>
      <c r="D2052" s="194" t="e">
        <f>IF(AND(C2052&lt;=F2048,F2048&lt;&gt;""),VLOOKUP(VALUE(E2029&amp;","&amp;C2052),INTEGRANTES!$D$18:$F$235,2,0),"")</f>
        <v>#N/A</v>
      </c>
      <c r="E2052" s="211" t="e">
        <f>IF(D2052&lt;&gt;"",VLOOKUP(VALUE(E2029&amp;","&amp;C2052),INTEGRANTES!$D$18:$F$235,3,0),"")</f>
        <v>#N/A</v>
      </c>
      <c r="F2052" s="547" t="e">
        <f>IF(D2052="","",SUMIF($I2033:$I2042,D2052,$P2033:$P2042))</f>
        <v>#N/A</v>
      </c>
      <c r="G2052" s="333" t="e">
        <f>IF(D2052="","",SUMIF($I2033:$I2042,D2052,$M2033:$M2042))</f>
        <v>#N/A</v>
      </c>
      <c r="H2052" s="535" t="e">
        <f t="shared" si="596"/>
        <v>#N/A</v>
      </c>
      <c r="I2052" s="212" t="e">
        <f>IF(D2052="","",IF(H2052="NO APORTA","NO",IF(H2052=MAX($H2050:$H2055),"SI","NO")))</f>
        <v>#N/A</v>
      </c>
      <c r="J2052" s="213" t="e">
        <f t="shared" si="597"/>
        <v>#N/A</v>
      </c>
      <c r="K2052" s="200" t="e">
        <f t="shared" si="598"/>
        <v>#N/A</v>
      </c>
      <c r="L2052" s="724"/>
      <c r="M2052" s="729">
        <f>NUMMOD</f>
        <v>1</v>
      </c>
      <c r="N2052" s="730"/>
      <c r="O2052" s="443">
        <f>IF(M2052="","",VLOOKUP(M2052,PRESUPUESTOS!$B$16:$H$16,5,FALSE))</f>
        <v>2</v>
      </c>
      <c r="P2052" s="713">
        <f>IF(OR(COUNTIF(M2033:M2042,"")&gt;=10,Q2049&lt;NUMMINCONT,OR(T2047="NO CUMPLE",T2047="VERIFICAR")),0,ROUND(AVERAGE(M2033:M2042),3))</f>
        <v>0</v>
      </c>
      <c r="Q2052" s="714"/>
      <c r="R2052" s="458"/>
      <c r="S2052" s="459"/>
      <c r="T2052" s="460"/>
      <c r="U2052" s="219"/>
      <c r="V2052" s="464"/>
      <c r="Y2052" s="532" t="str">
        <f>"40% * ("&amp;PRESUPUESTOS!$H$13&amp;")"</f>
        <v>40% * (50% PFMO)</v>
      </c>
      <c r="AA2052" s="540" t="e">
        <f>IF(AND(C2051&lt;=F2048,F2048&lt;&gt;""),VLOOKUP(VALUE(E2029&amp;","&amp;C2051),INTEGRANTES!$D$18:$F$235,2,0),"")</f>
        <v>#N/A</v>
      </c>
      <c r="AB2052" s="545" t="e">
        <f t="shared" si="599"/>
        <v>#N/A</v>
      </c>
      <c r="AC2052" s="529"/>
      <c r="AD2052" s="200" t="e">
        <f t="shared" si="600"/>
        <v>#N/A</v>
      </c>
      <c r="AE2052" s="52"/>
      <c r="AF2052" s="52"/>
      <c r="AG2052" s="52"/>
      <c r="AH2052" s="87"/>
      <c r="AI2052" s="87"/>
    </row>
    <row r="2053" spans="1:35" ht="15.75" hidden="1" customHeight="1" thickBot="1">
      <c r="A2053" s="218" t="e">
        <f>"Q"&amp;E2029</f>
        <v>#N/A</v>
      </c>
      <c r="B2053" s="702"/>
      <c r="C2053" s="114">
        <v>4</v>
      </c>
      <c r="D2053" s="194" t="e">
        <f>IF(AND(C2053&lt;=F2048,F2048&lt;&gt;""),VLOOKUP(VALUE(E2029&amp;","&amp;C2053),INTEGRANTES!$D$18:$F$235,2,0),"")</f>
        <v>#N/A</v>
      </c>
      <c r="E2053" s="211" t="e">
        <f>IF(D2053&lt;&gt;"",VLOOKUP(VALUE(E2029&amp;","&amp;C2053),INTEGRANTES!$D$18:$F$235,3,0),"")</f>
        <v>#N/A</v>
      </c>
      <c r="F2053" s="547" t="e">
        <f>IF(D2053="","",SUMIF($I2033:$I2042,D2053,$P2033:$P2042))</f>
        <v>#N/A</v>
      </c>
      <c r="G2053" s="333" t="e">
        <f>IF(D2053="","",SUMIF($I2033:$I2042,D2053,$M2033:$M2042))</f>
        <v>#N/A</v>
      </c>
      <c r="H2053" s="535" t="e">
        <f t="shared" si="596"/>
        <v>#N/A</v>
      </c>
      <c r="I2053" s="212" t="e">
        <f>IF(D2053="","",IF(H2053="NO APORTA","NO",IF(H2053=MAX($H2050:$H2055),"SI","NO")))</f>
        <v>#N/A</v>
      </c>
      <c r="J2053" s="213" t="e">
        <f t="shared" si="597"/>
        <v>#N/A</v>
      </c>
      <c r="K2053" s="200" t="e">
        <f t="shared" si="598"/>
        <v>#N/A</v>
      </c>
      <c r="L2053" s="720" t="s">
        <v>109</v>
      </c>
      <c r="M2053" s="757" t="s">
        <v>120</v>
      </c>
      <c r="N2053" s="726"/>
      <c r="O2053" s="726"/>
      <c r="P2053" s="726"/>
      <c r="Q2053" s="727"/>
      <c r="R2053" s="458"/>
      <c r="S2053" s="459"/>
      <c r="T2053" s="460"/>
      <c r="U2053" s="219"/>
      <c r="V2053" s="464"/>
      <c r="Y2053" s="537">
        <f>0.4*PRESUPUESTOS!$H$16</f>
        <v>10.3124</v>
      </c>
      <c r="AA2053" s="540" t="e">
        <f>IF(AND(C2052&lt;=F2048,F2048&lt;&gt;""),VLOOKUP(VALUE(E2029&amp;","&amp;C2052),INTEGRANTES!$D$18:$F$235,2,0),"")</f>
        <v>#N/A</v>
      </c>
      <c r="AB2053" s="545" t="e">
        <f t="shared" si="599"/>
        <v>#N/A</v>
      </c>
      <c r="AC2053" s="529"/>
      <c r="AD2053" s="200" t="e">
        <f t="shared" si="600"/>
        <v>#N/A</v>
      </c>
      <c r="AE2053" s="52"/>
      <c r="AF2053" s="52"/>
      <c r="AG2053" s="52"/>
      <c r="AH2053" s="87"/>
      <c r="AI2053" s="87"/>
    </row>
    <row r="2054" spans="1:35" ht="27" hidden="1" customHeight="1" thickBot="1">
      <c r="A2054" s="218" t="e">
        <f>"R"&amp;E2029</f>
        <v>#N/A</v>
      </c>
      <c r="B2054" s="702"/>
      <c r="C2054" s="114">
        <v>5</v>
      </c>
      <c r="D2054" s="194" t="e">
        <f>IF(AND(C2054&lt;=F2048,F2048&lt;&gt;""),VLOOKUP(VALUE(E2029&amp;","&amp;C2054),INTEGRANTES!$D$18:$F$235,2,0),"")</f>
        <v>#N/A</v>
      </c>
      <c r="E2054" s="211" t="e">
        <f>IF(D2054&lt;&gt;"",VLOOKUP(VALUE(E2029&amp;","&amp;C2054),INTEGRANTES!$D$18:$F$235,3,0),"")</f>
        <v>#N/A</v>
      </c>
      <c r="F2054" s="547" t="e">
        <f>IF(D2054="","",SUMIF($I2033:$I2042,D2054,$P2033:$P2042))</f>
        <v>#N/A</v>
      </c>
      <c r="G2054" s="333" t="e">
        <f>IF(D2054="","",SUMIF($I2033:$I2042,D2054,$M2033:$M2042))</f>
        <v>#N/A</v>
      </c>
      <c r="H2054" s="535" t="e">
        <f t="shared" si="596"/>
        <v>#N/A</v>
      </c>
      <c r="I2054" s="212" t="e">
        <f>IF(D2054="","",IF(H2054="NO APORTA","NO",IF(H2054=MAX($H2050:$H2055),"SI","NO")))</f>
        <v>#N/A</v>
      </c>
      <c r="J2054" s="213" t="e">
        <f t="shared" si="597"/>
        <v>#N/A</v>
      </c>
      <c r="K2054" s="200" t="e">
        <f t="shared" si="598"/>
        <v>#N/A</v>
      </c>
      <c r="L2054" s="721"/>
      <c r="M2054" s="715" t="s">
        <v>116</v>
      </c>
      <c r="N2054" s="716"/>
      <c r="O2054" s="556" t="str">
        <f>PORCREQUERIDO*100&amp;"% PMFO DEL MÓDULO"</f>
        <v>50% PMFO DEL MÓDULO</v>
      </c>
      <c r="P2054" s="715" t="s">
        <v>118</v>
      </c>
      <c r="Q2054" s="728"/>
      <c r="R2054" s="458"/>
      <c r="S2054" s="459"/>
      <c r="T2054" s="460"/>
      <c r="U2054" s="219"/>
      <c r="V2054" s="464"/>
      <c r="Y2054" s="414"/>
      <c r="AA2054" s="540" t="e">
        <f>IF(AND(C2053&lt;=F2048,F2048&lt;&gt;""),VLOOKUP(VALUE(E2029&amp;","&amp;C2053),INTEGRANTES!$D$18:$F$235,2,0),"")</f>
        <v>#N/A</v>
      </c>
      <c r="AB2054" s="545" t="e">
        <f t="shared" si="599"/>
        <v>#N/A</v>
      </c>
      <c r="AC2054" s="529"/>
      <c r="AD2054" s="200" t="e">
        <f t="shared" si="600"/>
        <v>#N/A</v>
      </c>
      <c r="AE2054" s="52"/>
      <c r="AF2054" s="52"/>
      <c r="AG2054" s="52"/>
      <c r="AH2054" s="87"/>
      <c r="AI2054" s="87"/>
    </row>
    <row r="2055" spans="1:35" ht="16.5" hidden="1" thickBot="1">
      <c r="A2055" s="218" t="e">
        <f>"S"&amp;E2029</f>
        <v>#N/A</v>
      </c>
      <c r="B2055" s="702"/>
      <c r="C2055" s="215">
        <v>6</v>
      </c>
      <c r="D2055" s="216" t="e">
        <f>IF(AND(C2055&lt;=F2048,F2048&lt;&gt;""),VLOOKUP(VALUE(E2029&amp;","&amp;C2055),INTEGRANTES!$D$18:$F$235,2,0),"")</f>
        <v>#N/A</v>
      </c>
      <c r="E2055" s="217" t="e">
        <f>IF(D2055&lt;&gt;"",VLOOKUP(VALUE(E2029&amp;","&amp;C2055),INTEGRANTES!$D$18:$F$235,3,0),"")</f>
        <v>#N/A</v>
      </c>
      <c r="F2055" s="548" t="e">
        <f>IF(D2055="","",SUMIF($I2033:$I2042,D2055,$P2033:$P2042))</f>
        <v>#N/A</v>
      </c>
      <c r="G2055" s="334" t="e">
        <f>IF(D2055="","",SUMIF($I2033:$I2042,D2055,$M2033:$M2042))</f>
        <v>#N/A</v>
      </c>
      <c r="H2055" s="536" t="e">
        <f t="shared" si="596"/>
        <v>#N/A</v>
      </c>
      <c r="I2055" s="214" t="e">
        <f>IF(D2055="","",IF(H2055="NO APORTA","NO",IF(H2055=MAX($H2050:$H2055),"SI","NO")))</f>
        <v>#N/A</v>
      </c>
      <c r="J2055" s="213" t="e">
        <f t="shared" si="597"/>
        <v>#N/A</v>
      </c>
      <c r="K2055" s="200" t="e">
        <f t="shared" si="598"/>
        <v>#N/A</v>
      </c>
      <c r="L2055" s="721"/>
      <c r="M2055" s="729">
        <f>NUMMOD</f>
        <v>1</v>
      </c>
      <c r="N2055" s="730"/>
      <c r="O2055" s="443">
        <f>IF(M2055="","",ROUND(VLOOKUP(M2055,PRESUPUESTOS!$B$16:$H$16,7,FALSE),3))</f>
        <v>25.780999999999999</v>
      </c>
      <c r="P2055" s="713">
        <f>IF(OR(COUNTIF(P2033:P2042,"")&gt;=10,Q2049&lt;NUMMINCONT,OR(T2047="NO CUMPLE",T2047="VERIFICAR")),0,ROUND((SUM(P2033:P2042)/SUM(M2033:M2042)),3))</f>
        <v>0</v>
      </c>
      <c r="Q2055" s="714"/>
      <c r="R2055" s="458"/>
      <c r="S2055" s="459"/>
      <c r="T2055" s="460"/>
      <c r="U2055" s="219"/>
      <c r="V2055" s="464"/>
      <c r="Y2055" s="532" t="s">
        <v>343</v>
      </c>
      <c r="AA2055" s="540" t="e">
        <f>IF(AND(C2054&lt;=F2048,F2048&lt;&gt;""),VLOOKUP(VALUE(E2029&amp;","&amp;C2054),INTEGRANTES!$D$18:$F$235,2,0),"")</f>
        <v>#N/A</v>
      </c>
      <c r="AB2055" s="545" t="e">
        <f t="shared" si="599"/>
        <v>#N/A</v>
      </c>
      <c r="AC2055" s="529"/>
      <c r="AD2055" s="200" t="e">
        <f t="shared" si="600"/>
        <v>#N/A</v>
      </c>
      <c r="AE2055" s="52"/>
      <c r="AF2055" s="52"/>
      <c r="AG2055" s="52"/>
      <c r="AH2055" s="87"/>
      <c r="AI2055" s="87"/>
    </row>
    <row r="2056" spans="1:35" ht="16.5" hidden="1" customHeight="1" thickBot="1">
      <c r="A2056" s="218" t="e">
        <f>"T"&amp;E2029</f>
        <v>#N/A</v>
      </c>
      <c r="B2056" s="703"/>
      <c r="C2056" s="719"/>
      <c r="D2056" s="719"/>
      <c r="E2056" s="719"/>
      <c r="F2056" s="719"/>
      <c r="G2056" s="719"/>
      <c r="H2056" s="719" t="s">
        <v>110</v>
      </c>
      <c r="I2056" s="719"/>
      <c r="J2056" s="719"/>
      <c r="K2056" s="201" t="str">
        <f>IF(COUNTIF(K2050:K2055,"")=6,"",IF(COUNTIF(K2050:K2055,"CUMPLE")&gt;0,"CUMPLE","NO CUMPLE"))</f>
        <v>NO CUMPLE</v>
      </c>
      <c r="L2056" s="754"/>
      <c r="M2056" s="755"/>
      <c r="N2056" s="755"/>
      <c r="O2056" s="755"/>
      <c r="P2056" s="755"/>
      <c r="Q2056" s="756"/>
      <c r="R2056" s="461"/>
      <c r="S2056" s="462"/>
      <c r="T2056" s="463"/>
      <c r="U2056" s="219"/>
      <c r="V2056" s="464"/>
      <c r="Y2056" s="549" t="e">
        <f>IF(Y2050="NO APLICA","NO APLICA",IF(COUNTIF(AD2051:AD2056,"CUMPLE")&gt;0,"CUMPLE","NO CUMPLE"))</f>
        <v>#N/A</v>
      </c>
      <c r="AA2056" s="541" t="e">
        <f>IF(AND(C2055&lt;=F2048,F2048&lt;&gt;""),VLOOKUP(VALUE(E2029&amp;","&amp;C2055),INTEGRANTES!$D$18:$F$235,2,0),"")</f>
        <v>#N/A</v>
      </c>
      <c r="AB2056" s="546" t="e">
        <f t="shared" si="599"/>
        <v>#N/A</v>
      </c>
      <c r="AC2056" s="543"/>
      <c r="AD2056" s="201" t="e">
        <f t="shared" si="600"/>
        <v>#N/A</v>
      </c>
      <c r="AE2056" s="52"/>
      <c r="AF2056" s="52"/>
      <c r="AG2056" s="52"/>
      <c r="AH2056" s="87"/>
      <c r="AI2056" s="87"/>
    </row>
    <row r="2057" spans="1:35" hidden="1">
      <c r="AH2057" s="87"/>
      <c r="AI2057" s="87"/>
    </row>
    <row r="2058" spans="1:35" hidden="1">
      <c r="AH2058" s="87"/>
      <c r="AI2058" s="87"/>
    </row>
    <row r="2059" spans="1:35" ht="24" hidden="1" thickBot="1">
      <c r="A2059" s="61">
        <v>69</v>
      </c>
      <c r="B2059" s="704" t="s">
        <v>51</v>
      </c>
      <c r="C2059" s="704"/>
      <c r="D2059" s="704"/>
      <c r="E2059" s="62" t="e">
        <f>VLOOKUP(A2059,PROPONENTES!$B$19:$E$218,2,FALSE)</f>
        <v>#N/A</v>
      </c>
      <c r="F2059" s="63" t="e">
        <f>VLOOKUP(A2059,PROPONENTES!$B$19:$E$218,3,FALSE)</f>
        <v>#N/A</v>
      </c>
      <c r="G2059" s="64"/>
      <c r="H2059" s="64"/>
      <c r="I2059" s="63"/>
      <c r="J2059" s="63"/>
      <c r="K2059" s="65"/>
      <c r="L2059" s="65"/>
      <c r="M2059" s="64"/>
      <c r="N2059" s="64"/>
      <c r="O2059" s="66"/>
      <c r="P2059" s="66"/>
      <c r="Q2059" s="66"/>
      <c r="R2059" s="66"/>
      <c r="S2059" s="67"/>
      <c r="T2059" s="68"/>
      <c r="U2059" s="68"/>
      <c r="AC2059" s="68"/>
      <c r="AD2059" s="68"/>
      <c r="AE2059" s="68"/>
      <c r="AF2059" s="68"/>
      <c r="AG2059" s="68"/>
      <c r="AH2059" s="87"/>
      <c r="AI2059" s="87"/>
    </row>
    <row r="2060" spans="1:35" ht="15.75" hidden="1" customHeight="1">
      <c r="A2060" s="44"/>
      <c r="B2060" s="709" t="s">
        <v>59</v>
      </c>
      <c r="C2060" s="552" t="s">
        <v>60</v>
      </c>
      <c r="D2060" s="70" t="s">
        <v>17</v>
      </c>
      <c r="E2060" s="70"/>
      <c r="F2060" s="70" t="s">
        <v>61</v>
      </c>
      <c r="G2060" s="71"/>
      <c r="H2060" s="699" t="s">
        <v>62</v>
      </c>
      <c r="I2060" s="699" t="s">
        <v>18</v>
      </c>
      <c r="J2060" s="699" t="s">
        <v>63</v>
      </c>
      <c r="K2060" s="699" t="s">
        <v>64</v>
      </c>
      <c r="L2060" s="699" t="s">
        <v>65</v>
      </c>
      <c r="M2060" s="743" t="s">
        <v>66</v>
      </c>
      <c r="N2060" s="699" t="s">
        <v>282</v>
      </c>
      <c r="O2060" s="745" t="s">
        <v>67</v>
      </c>
      <c r="P2060" s="746"/>
      <c r="Q2060" s="102" t="s">
        <v>75</v>
      </c>
      <c r="R2060" s="731" t="s">
        <v>22</v>
      </c>
      <c r="S2060" s="732"/>
      <c r="T2060" s="733"/>
      <c r="U2060" s="712" t="s">
        <v>298</v>
      </c>
      <c r="W2060" s="690" t="s">
        <v>268</v>
      </c>
      <c r="X2060" s="691"/>
      <c r="Y2060" s="692"/>
      <c r="Z2060" s="428"/>
      <c r="AA2060" s="697" t="s">
        <v>315</v>
      </c>
      <c r="AB2060" s="695" t="s">
        <v>322</v>
      </c>
      <c r="AC2060" s="49"/>
      <c r="AD2060" s="690" t="s">
        <v>297</v>
      </c>
      <c r="AE2060" s="691"/>
      <c r="AF2060" s="692"/>
      <c r="AG2060" s="49"/>
      <c r="AH2060" s="87"/>
      <c r="AI2060" s="87"/>
    </row>
    <row r="2061" spans="1:35" ht="72" hidden="1">
      <c r="A2061" s="44"/>
      <c r="B2061" s="710"/>
      <c r="C2061" s="553" t="s">
        <v>68</v>
      </c>
      <c r="D2061" s="73" t="s">
        <v>3</v>
      </c>
      <c r="E2061" s="73" t="s">
        <v>19</v>
      </c>
      <c r="F2061" s="73" t="s">
        <v>69</v>
      </c>
      <c r="G2061" s="74" t="s">
        <v>70</v>
      </c>
      <c r="H2061" s="700"/>
      <c r="I2061" s="700"/>
      <c r="J2061" s="700"/>
      <c r="K2061" s="700"/>
      <c r="L2061" s="700"/>
      <c r="M2061" s="744"/>
      <c r="N2061" s="700"/>
      <c r="O2061" s="553" t="s">
        <v>279</v>
      </c>
      <c r="P2061" s="73" t="s">
        <v>88</v>
      </c>
      <c r="Q2061" s="555" t="s">
        <v>76</v>
      </c>
      <c r="R2061" s="734"/>
      <c r="S2061" s="735"/>
      <c r="T2061" s="736"/>
      <c r="U2061" s="712"/>
      <c r="W2061" s="429" t="s">
        <v>269</v>
      </c>
      <c r="X2061" s="457" t="s">
        <v>278</v>
      </c>
      <c r="Y2061" s="430" t="s">
        <v>324</v>
      </c>
      <c r="Z2061" s="428"/>
      <c r="AA2061" s="698"/>
      <c r="AB2061" s="696"/>
      <c r="AC2061" s="49"/>
      <c r="AD2061" s="429" t="s">
        <v>292</v>
      </c>
      <c r="AE2061" s="431" t="s">
        <v>300</v>
      </c>
      <c r="AF2061" s="468" t="s">
        <v>301</v>
      </c>
      <c r="AG2061" s="49"/>
      <c r="AH2061" s="87"/>
      <c r="AI2061" s="87"/>
    </row>
    <row r="2062" spans="1:35" hidden="1">
      <c r="A2062" s="44"/>
      <c r="B2062" s="76"/>
      <c r="C2062" s="77"/>
      <c r="D2062" s="77"/>
      <c r="E2062" s="77"/>
      <c r="F2062" s="77"/>
      <c r="G2062" s="77"/>
      <c r="H2062" s="77"/>
      <c r="I2062" s="77"/>
      <c r="J2062" s="77"/>
      <c r="K2062" s="77"/>
      <c r="L2062" s="77"/>
      <c r="M2062" s="77"/>
      <c r="N2062" s="77"/>
      <c r="O2062" s="77"/>
      <c r="P2062" s="77"/>
      <c r="Q2062" s="77"/>
      <c r="R2062" s="77"/>
      <c r="S2062" s="78"/>
      <c r="T2062" s="79"/>
      <c r="U2062" s="109"/>
      <c r="V2062" s="49"/>
      <c r="W2062" s="432"/>
      <c r="X2062" s="454"/>
      <c r="Y2062" s="433"/>
      <c r="Z2062" s="6"/>
      <c r="AA2062" s="500"/>
      <c r="AB2062" s="562"/>
      <c r="AC2062" s="49"/>
      <c r="AD2062" s="210"/>
      <c r="AE2062" s="434"/>
      <c r="AF2062" s="435"/>
      <c r="AG2062" s="49"/>
      <c r="AH2062" s="87"/>
      <c r="AI2062" s="87"/>
    </row>
    <row r="2063" spans="1:35" hidden="1">
      <c r="A2063" s="80" t="e">
        <f>"A"&amp;E2059</f>
        <v>#N/A</v>
      </c>
      <c r="B2063" s="81">
        <v>1</v>
      </c>
      <c r="C2063" s="82"/>
      <c r="D2063" s="82"/>
      <c r="E2063" s="82"/>
      <c r="F2063" s="82"/>
      <c r="G2063" s="83"/>
      <c r="H2063" s="83"/>
      <c r="I2063" s="84"/>
      <c r="J2063" s="85"/>
      <c r="K2063" s="382"/>
      <c r="L2063" s="85"/>
      <c r="M2063" s="332" t="str">
        <f t="shared" ref="M2063:M2072" si="601">IF(OR(J2063="",L2063="",H2063="NO"),"",IF(OR(J2063&gt;$P$17,J2063&lt;$O$17,L2063&gt;$P$17,AND(J2063&lt;$O$17,L2063&lt;$O$17)),"FUERA DE RANGO",IF(OR(K2063="---",K2063=""),IF(J2063&gt;=$O$17,ROUND((L2063-J2063+1)/360*12,3),ROUND((L2063-$O$17+1)/360*12,3)),IF(J2063&gt;=$O$17,ROUND((L2063-J2063+1)/360*12-ROUND(K2063,3),3),ROUND((L2063-$O$17+1)/360*12-ROUND(K2063,3),3)))))</f>
        <v/>
      </c>
      <c r="N2063" s="86"/>
      <c r="O2063" s="453" t="str">
        <f>IF(OR(G2063="",N2063=""),"",N2063*G2063)</f>
        <v/>
      </c>
      <c r="P2063" s="538" t="str">
        <f>IF(OR(H2063="",M2063="FUERA DE RANGO"),"",IF(OR(L2063&lt;$O$17,L2063&gt;$P$17,L2063="",H2063="NO"),"",IF(OR(N2063="",O2063=""),"",ROUND(O2063,3))))</f>
        <v/>
      </c>
      <c r="Q2063" s="539" t="str">
        <f t="shared" ref="Q2063:Q2072" si="602">IF(AND(H2063="SI",P2063&lt;&gt;""),ROUND(P2063/M2063,3),"")</f>
        <v/>
      </c>
      <c r="R2063" s="737"/>
      <c r="S2063" s="738"/>
      <c r="T2063" s="739"/>
      <c r="U2063" s="470"/>
      <c r="V2063" s="165"/>
      <c r="W2063" s="446"/>
      <c r="X2063" s="456"/>
      <c r="Y2063" s="436"/>
      <c r="Z2063" s="437"/>
      <c r="AA2063" s="560"/>
      <c r="AB2063" s="561"/>
      <c r="AC2063" s="87"/>
      <c r="AD2063" s="466"/>
      <c r="AE2063" s="456"/>
      <c r="AF2063" s="467"/>
      <c r="AG2063" s="87"/>
      <c r="AH2063" s="87"/>
      <c r="AI2063" s="87"/>
    </row>
    <row r="2064" spans="1:35" hidden="1">
      <c r="A2064" s="80" t="e">
        <f>"B"&amp;E2059</f>
        <v>#N/A</v>
      </c>
      <c r="B2064" s="81">
        <v>2</v>
      </c>
      <c r="C2064" s="106"/>
      <c r="D2064" s="106"/>
      <c r="E2064" s="106"/>
      <c r="F2064" s="106"/>
      <c r="G2064" s="83"/>
      <c r="H2064" s="83"/>
      <c r="I2064" s="84"/>
      <c r="J2064" s="85"/>
      <c r="K2064" s="382"/>
      <c r="L2064" s="85"/>
      <c r="M2064" s="332" t="str">
        <f t="shared" si="601"/>
        <v/>
      </c>
      <c r="N2064" s="86"/>
      <c r="O2064" s="453" t="str">
        <f t="shared" ref="O2064:O2072" si="603">IF(OR(G2064="",N2064=""),"",N2064*G2064)</f>
        <v/>
      </c>
      <c r="P2064" s="538" t="str">
        <f t="shared" ref="P2064:P2072" si="604">IF(OR(H2064="",M2064="FUERA DE RANGO"),"",IF(OR(L2064&lt;$O$17,L2064&gt;$P$17,L2064="",H2064="NO"),"",IF(OR(N2064="",O2064=""),"",ROUND(O2064,3))))</f>
        <v/>
      </c>
      <c r="Q2064" s="539" t="str">
        <f t="shared" si="602"/>
        <v/>
      </c>
      <c r="R2064" s="740"/>
      <c r="S2064" s="741"/>
      <c r="T2064" s="742"/>
      <c r="U2064" s="471"/>
      <c r="V2064" s="165"/>
      <c r="W2064" s="446"/>
      <c r="X2064" s="456"/>
      <c r="Y2064" s="436"/>
      <c r="Z2064" s="437"/>
      <c r="AA2064" s="560"/>
      <c r="AB2064" s="561"/>
      <c r="AC2064" s="87"/>
      <c r="AD2064" s="466"/>
      <c r="AE2064" s="456"/>
      <c r="AF2064" s="467"/>
      <c r="AG2064" s="87"/>
      <c r="AH2064" s="87"/>
      <c r="AI2064" s="87"/>
    </row>
    <row r="2065" spans="1:35" hidden="1">
      <c r="A2065" s="80" t="e">
        <f>"C"&amp;E2059</f>
        <v>#N/A</v>
      </c>
      <c r="B2065" s="88">
        <v>3</v>
      </c>
      <c r="C2065" s="82"/>
      <c r="D2065" s="82"/>
      <c r="E2065" s="82"/>
      <c r="F2065" s="82"/>
      <c r="G2065" s="83"/>
      <c r="H2065" s="83"/>
      <c r="I2065" s="84"/>
      <c r="J2065" s="85"/>
      <c r="K2065" s="382"/>
      <c r="L2065" s="85"/>
      <c r="M2065" s="332" t="str">
        <f t="shared" si="601"/>
        <v/>
      </c>
      <c r="N2065" s="86"/>
      <c r="O2065" s="453" t="str">
        <f t="shared" si="603"/>
        <v/>
      </c>
      <c r="P2065" s="538" t="str">
        <f t="shared" si="604"/>
        <v/>
      </c>
      <c r="Q2065" s="539" t="str">
        <f t="shared" si="602"/>
        <v/>
      </c>
      <c r="R2065" s="706"/>
      <c r="S2065" s="707"/>
      <c r="T2065" s="708"/>
      <c r="U2065" s="472"/>
      <c r="V2065" s="166"/>
      <c r="W2065" s="446"/>
      <c r="X2065" s="456"/>
      <c r="Y2065" s="436"/>
      <c r="Z2065" s="437"/>
      <c r="AA2065" s="560"/>
      <c r="AB2065" s="561"/>
      <c r="AC2065" s="87"/>
      <c r="AD2065" s="466"/>
      <c r="AE2065" s="456"/>
      <c r="AF2065" s="467"/>
      <c r="AG2065" s="87"/>
      <c r="AH2065" s="87"/>
      <c r="AI2065" s="87"/>
    </row>
    <row r="2066" spans="1:35" hidden="1">
      <c r="A2066" s="80" t="e">
        <f>"D"&amp;E2059</f>
        <v>#N/A</v>
      </c>
      <c r="B2066" s="105">
        <v>4</v>
      </c>
      <c r="C2066" s="107"/>
      <c r="D2066" s="107"/>
      <c r="E2066" s="107"/>
      <c r="F2066" s="107"/>
      <c r="G2066" s="83"/>
      <c r="H2066" s="83"/>
      <c r="I2066" s="84"/>
      <c r="J2066" s="85"/>
      <c r="K2066" s="382"/>
      <c r="L2066" s="85"/>
      <c r="M2066" s="332" t="str">
        <f t="shared" si="601"/>
        <v/>
      </c>
      <c r="N2066" s="86"/>
      <c r="O2066" s="453" t="str">
        <f t="shared" si="603"/>
        <v/>
      </c>
      <c r="P2066" s="538" t="str">
        <f t="shared" si="604"/>
        <v/>
      </c>
      <c r="Q2066" s="539" t="str">
        <f t="shared" si="602"/>
        <v/>
      </c>
      <c r="R2066" s="706"/>
      <c r="S2066" s="707"/>
      <c r="T2066" s="708"/>
      <c r="U2066" s="472"/>
      <c r="V2066" s="166"/>
      <c r="W2066" s="446"/>
      <c r="X2066" s="456"/>
      <c r="Y2066" s="436"/>
      <c r="Z2066" s="437"/>
      <c r="AA2066" s="560"/>
      <c r="AB2066" s="561"/>
      <c r="AC2066" s="87"/>
      <c r="AD2066" s="466"/>
      <c r="AE2066" s="456"/>
      <c r="AF2066" s="467"/>
      <c r="AG2066" s="87"/>
      <c r="AH2066" s="87"/>
      <c r="AI2066" s="87"/>
    </row>
    <row r="2067" spans="1:35" hidden="1">
      <c r="A2067" s="80" t="e">
        <f>"E"&amp;E2059</f>
        <v>#N/A</v>
      </c>
      <c r="B2067" s="105">
        <v>5</v>
      </c>
      <c r="C2067" s="107"/>
      <c r="D2067" s="107"/>
      <c r="E2067" s="107"/>
      <c r="F2067" s="107"/>
      <c r="G2067" s="83"/>
      <c r="H2067" s="83"/>
      <c r="I2067" s="84"/>
      <c r="J2067" s="85"/>
      <c r="K2067" s="382"/>
      <c r="L2067" s="85"/>
      <c r="M2067" s="332" t="str">
        <f t="shared" si="601"/>
        <v/>
      </c>
      <c r="N2067" s="86"/>
      <c r="O2067" s="453" t="str">
        <f t="shared" si="603"/>
        <v/>
      </c>
      <c r="P2067" s="538" t="str">
        <f t="shared" si="604"/>
        <v/>
      </c>
      <c r="Q2067" s="539" t="str">
        <f t="shared" si="602"/>
        <v/>
      </c>
      <c r="R2067" s="706"/>
      <c r="S2067" s="707"/>
      <c r="T2067" s="708"/>
      <c r="U2067" s="472"/>
      <c r="V2067" s="167"/>
      <c r="W2067" s="446"/>
      <c r="X2067" s="456"/>
      <c r="Y2067" s="436"/>
      <c r="Z2067" s="437"/>
      <c r="AA2067" s="560"/>
      <c r="AB2067" s="561"/>
      <c r="AC2067" s="87"/>
      <c r="AD2067" s="466"/>
      <c r="AE2067" s="456"/>
      <c r="AF2067" s="467"/>
      <c r="AG2067" s="87"/>
      <c r="AH2067" s="87"/>
      <c r="AI2067" s="87"/>
    </row>
    <row r="2068" spans="1:35" hidden="1">
      <c r="A2068" s="80" t="e">
        <f>"F"&amp;E2059</f>
        <v>#N/A</v>
      </c>
      <c r="B2068" s="105">
        <v>6</v>
      </c>
      <c r="C2068" s="107"/>
      <c r="D2068" s="107"/>
      <c r="E2068" s="107"/>
      <c r="F2068" s="107"/>
      <c r="G2068" s="83"/>
      <c r="H2068" s="83"/>
      <c r="I2068" s="84"/>
      <c r="J2068" s="85"/>
      <c r="K2068" s="382"/>
      <c r="L2068" s="85"/>
      <c r="M2068" s="332" t="str">
        <f t="shared" si="601"/>
        <v/>
      </c>
      <c r="N2068" s="86"/>
      <c r="O2068" s="453" t="str">
        <f t="shared" si="603"/>
        <v/>
      </c>
      <c r="P2068" s="538" t="str">
        <f t="shared" si="604"/>
        <v/>
      </c>
      <c r="Q2068" s="539" t="str">
        <f t="shared" si="602"/>
        <v/>
      </c>
      <c r="R2068" s="706"/>
      <c r="S2068" s="707"/>
      <c r="T2068" s="708"/>
      <c r="U2068" s="472"/>
      <c r="V2068" s="167"/>
      <c r="W2068" s="446"/>
      <c r="X2068" s="456"/>
      <c r="Y2068" s="436"/>
      <c r="Z2068" s="437"/>
      <c r="AA2068" s="560"/>
      <c r="AB2068" s="561"/>
      <c r="AC2068" s="87"/>
      <c r="AD2068" s="466"/>
      <c r="AE2068" s="456"/>
      <c r="AF2068" s="467"/>
      <c r="AG2068" s="87"/>
      <c r="AH2068" s="87"/>
      <c r="AI2068" s="87"/>
    </row>
    <row r="2069" spans="1:35" hidden="1">
      <c r="A2069" s="80" t="e">
        <f>"G"&amp;E2059</f>
        <v>#N/A</v>
      </c>
      <c r="B2069" s="105">
        <v>7</v>
      </c>
      <c r="C2069" s="107"/>
      <c r="D2069" s="107"/>
      <c r="E2069" s="107"/>
      <c r="F2069" s="107"/>
      <c r="G2069" s="83"/>
      <c r="H2069" s="83"/>
      <c r="I2069" s="84"/>
      <c r="J2069" s="85"/>
      <c r="K2069" s="382"/>
      <c r="L2069" s="85"/>
      <c r="M2069" s="332" t="str">
        <f t="shared" si="601"/>
        <v/>
      </c>
      <c r="N2069" s="86"/>
      <c r="O2069" s="86" t="str">
        <f t="shared" si="603"/>
        <v/>
      </c>
      <c r="P2069" s="538" t="str">
        <f t="shared" si="604"/>
        <v/>
      </c>
      <c r="Q2069" s="539" t="str">
        <f t="shared" si="602"/>
        <v/>
      </c>
      <c r="R2069" s="706"/>
      <c r="S2069" s="707"/>
      <c r="T2069" s="708"/>
      <c r="U2069" s="472"/>
      <c r="V2069" s="167"/>
      <c r="W2069" s="446"/>
      <c r="X2069" s="456"/>
      <c r="Y2069" s="436"/>
      <c r="Z2069" s="437"/>
      <c r="AA2069" s="560"/>
      <c r="AB2069" s="561"/>
      <c r="AC2069" s="87"/>
      <c r="AD2069" s="466"/>
      <c r="AE2069" s="456"/>
      <c r="AF2069" s="467"/>
      <c r="AG2069" s="87"/>
      <c r="AH2069" s="87"/>
      <c r="AI2069" s="87"/>
    </row>
    <row r="2070" spans="1:35" hidden="1">
      <c r="A2070" s="80" t="e">
        <f>"H"&amp;E2059</f>
        <v>#N/A</v>
      </c>
      <c r="B2070" s="105">
        <v>8</v>
      </c>
      <c r="C2070" s="107"/>
      <c r="D2070" s="107"/>
      <c r="E2070" s="107"/>
      <c r="F2070" s="107"/>
      <c r="G2070" s="83"/>
      <c r="H2070" s="83"/>
      <c r="I2070" s="84"/>
      <c r="J2070" s="85"/>
      <c r="K2070" s="382"/>
      <c r="L2070" s="85"/>
      <c r="M2070" s="332" t="str">
        <f t="shared" si="601"/>
        <v/>
      </c>
      <c r="N2070" s="453"/>
      <c r="O2070" s="86" t="str">
        <f t="shared" si="603"/>
        <v/>
      </c>
      <c r="P2070" s="538" t="str">
        <f t="shared" si="604"/>
        <v/>
      </c>
      <c r="Q2070" s="539" t="str">
        <f t="shared" si="602"/>
        <v/>
      </c>
      <c r="R2070" s="706"/>
      <c r="S2070" s="707"/>
      <c r="T2070" s="708"/>
      <c r="U2070" s="472"/>
      <c r="V2070" s="167"/>
      <c r="W2070" s="446"/>
      <c r="X2070" s="456"/>
      <c r="Y2070" s="436"/>
      <c r="Z2070" s="437"/>
      <c r="AA2070" s="560"/>
      <c r="AB2070" s="561"/>
      <c r="AC2070" s="87"/>
      <c r="AD2070" s="466"/>
      <c r="AE2070" s="456"/>
      <c r="AF2070" s="467"/>
      <c r="AG2070" s="87"/>
      <c r="AH2070" s="87"/>
      <c r="AI2070" s="87"/>
    </row>
    <row r="2071" spans="1:35" hidden="1">
      <c r="A2071" s="80" t="e">
        <f>"I"&amp;E2059</f>
        <v>#N/A</v>
      </c>
      <c r="B2071" s="105">
        <v>9</v>
      </c>
      <c r="C2071" s="107"/>
      <c r="D2071" s="107"/>
      <c r="E2071" s="107"/>
      <c r="F2071" s="107"/>
      <c r="G2071" s="83"/>
      <c r="H2071" s="83"/>
      <c r="I2071" s="84"/>
      <c r="J2071" s="85"/>
      <c r="K2071" s="382"/>
      <c r="L2071" s="85"/>
      <c r="M2071" s="332" t="str">
        <f t="shared" si="601"/>
        <v/>
      </c>
      <c r="N2071" s="453"/>
      <c r="O2071" s="86" t="str">
        <f t="shared" si="603"/>
        <v/>
      </c>
      <c r="P2071" s="538" t="str">
        <f t="shared" si="604"/>
        <v/>
      </c>
      <c r="Q2071" s="539" t="str">
        <f t="shared" si="602"/>
        <v/>
      </c>
      <c r="R2071" s="706"/>
      <c r="S2071" s="707"/>
      <c r="T2071" s="708"/>
      <c r="U2071" s="472"/>
      <c r="V2071" s="167"/>
      <c r="W2071" s="446"/>
      <c r="X2071" s="456"/>
      <c r="Y2071" s="436"/>
      <c r="Z2071" s="437"/>
      <c r="AA2071" s="560"/>
      <c r="AB2071" s="561"/>
      <c r="AC2071" s="87"/>
      <c r="AD2071" s="466"/>
      <c r="AE2071" s="456"/>
      <c r="AF2071" s="467"/>
      <c r="AG2071" s="87"/>
      <c r="AH2071" s="87"/>
      <c r="AI2071" s="87"/>
    </row>
    <row r="2072" spans="1:35" hidden="1">
      <c r="A2072" s="80" t="e">
        <f>"J"&amp;E2059</f>
        <v>#N/A</v>
      </c>
      <c r="B2072" s="105">
        <v>10</v>
      </c>
      <c r="C2072" s="107"/>
      <c r="D2072" s="107"/>
      <c r="E2072" s="107"/>
      <c r="F2072" s="107"/>
      <c r="G2072" s="83"/>
      <c r="H2072" s="83"/>
      <c r="I2072" s="84"/>
      <c r="J2072" s="85"/>
      <c r="K2072" s="382"/>
      <c r="L2072" s="85"/>
      <c r="M2072" s="332" t="str">
        <f t="shared" si="601"/>
        <v/>
      </c>
      <c r="N2072" s="453"/>
      <c r="O2072" s="86" t="str">
        <f t="shared" si="603"/>
        <v/>
      </c>
      <c r="P2072" s="538" t="str">
        <f t="shared" si="604"/>
        <v/>
      </c>
      <c r="Q2072" s="539" t="str">
        <f t="shared" si="602"/>
        <v/>
      </c>
      <c r="R2072" s="706"/>
      <c r="S2072" s="707"/>
      <c r="T2072" s="708"/>
      <c r="U2072" s="472"/>
      <c r="V2072" s="167"/>
      <c r="W2072" s="446"/>
      <c r="X2072" s="456"/>
      <c r="Y2072" s="436"/>
      <c r="Z2072" s="437"/>
      <c r="AA2072" s="560"/>
      <c r="AB2072" s="561"/>
      <c r="AC2072" s="87"/>
      <c r="AD2072" s="466"/>
      <c r="AE2072" s="456"/>
      <c r="AF2072" s="467"/>
      <c r="AG2072" s="87"/>
      <c r="AH2072" s="87"/>
      <c r="AI2072" s="87"/>
    </row>
    <row r="2073" spans="1:35" ht="16.5" hidden="1" thickBot="1">
      <c r="A2073" s="44"/>
      <c r="B2073" s="89"/>
      <c r="C2073" s="90"/>
      <c r="D2073" s="90"/>
      <c r="E2073" s="90"/>
      <c r="F2073" s="90"/>
      <c r="G2073" s="90"/>
      <c r="H2073" s="90"/>
      <c r="I2073" s="90"/>
      <c r="J2073" s="90"/>
      <c r="K2073" s="90"/>
      <c r="L2073" s="90"/>
      <c r="M2073" s="90"/>
      <c r="N2073" s="90"/>
      <c r="O2073" s="90"/>
      <c r="P2073" s="90"/>
      <c r="Q2073" s="90"/>
      <c r="R2073" s="90"/>
      <c r="S2073" s="91"/>
      <c r="T2073" s="92"/>
      <c r="U2073" s="473"/>
      <c r="W2073" s="438"/>
      <c r="X2073" s="455"/>
      <c r="Y2073" s="439"/>
      <c r="Z2073" s="437"/>
      <c r="AA2073" s="530"/>
      <c r="AB2073" s="563"/>
      <c r="AC2073" s="87"/>
      <c r="AD2073" s="440"/>
      <c r="AE2073" s="441"/>
      <c r="AF2073" s="442"/>
      <c r="AG2073" s="49"/>
      <c r="AH2073" s="87"/>
      <c r="AI2073" s="87"/>
    </row>
    <row r="2074" spans="1:35" ht="16.5" hidden="1" thickBot="1">
      <c r="A2074" s="93"/>
      <c r="B2074" s="94"/>
      <c r="C2074" s="96"/>
      <c r="D2074" s="96"/>
      <c r="E2074" s="96"/>
      <c r="F2074" s="96"/>
      <c r="G2074" s="96"/>
      <c r="H2074" s="96"/>
      <c r="I2074" s="96"/>
      <c r="J2074" s="96"/>
      <c r="K2074" s="96"/>
      <c r="L2074" s="96"/>
      <c r="M2074" s="136"/>
      <c r="N2074" s="96"/>
      <c r="O2074" s="96"/>
      <c r="P2074" s="97"/>
      <c r="Q2074" s="97"/>
      <c r="R2074" s="98"/>
      <c r="S2074" s="95"/>
      <c r="T2074" s="99"/>
      <c r="U2074" s="469"/>
      <c r="AC2074" s="58"/>
      <c r="AG2074" s="58"/>
      <c r="AH2074" s="87"/>
      <c r="AI2074" s="87"/>
    </row>
    <row r="2075" spans="1:35" ht="16.5" hidden="1" thickBot="1">
      <c r="B2075" s="101"/>
      <c r="C2075" s="101"/>
      <c r="D2075" s="101"/>
      <c r="E2075" s="101"/>
      <c r="F2075" s="101"/>
      <c r="G2075" s="101"/>
      <c r="H2075" s="101"/>
      <c r="I2075" s="101"/>
      <c r="J2075" s="101"/>
      <c r="K2075" s="101"/>
      <c r="L2075" s="101"/>
      <c r="M2075" s="101"/>
      <c r="N2075" s="101"/>
      <c r="O2075" s="101"/>
      <c r="P2075" s="101"/>
      <c r="Q2075" s="101"/>
      <c r="R2075" s="101"/>
      <c r="S2075" s="101"/>
      <c r="U2075" s="50"/>
      <c r="AH2075" s="87"/>
      <c r="AI2075" s="87"/>
    </row>
    <row r="2076" spans="1:35" ht="16.5" hidden="1" customHeight="1" thickBot="1">
      <c r="A2076" s="44"/>
      <c r="B2076" s="705" t="s">
        <v>74</v>
      </c>
      <c r="C2076" s="705"/>
      <c r="D2076" s="705"/>
      <c r="E2076" s="705"/>
      <c r="F2076" s="705"/>
      <c r="G2076" s="705"/>
      <c r="H2076" s="705"/>
      <c r="I2076" s="705"/>
      <c r="J2076" s="705"/>
      <c r="K2076" s="705"/>
      <c r="L2076" s="705"/>
      <c r="M2076" s="705"/>
      <c r="N2076" s="705"/>
      <c r="O2076" s="705"/>
      <c r="P2076" s="705"/>
      <c r="Q2076" s="705"/>
      <c r="R2076" s="705"/>
      <c r="S2076" s="705"/>
      <c r="T2076" s="705"/>
      <c r="U2076" s="108"/>
      <c r="Y2076" s="532" t="s">
        <v>341</v>
      </c>
      <c r="AC2076" s="49"/>
      <c r="AD2076" s="687" t="s">
        <v>302</v>
      </c>
      <c r="AE2076" s="688"/>
      <c r="AF2076" s="689"/>
      <c r="AG2076" s="49"/>
      <c r="AH2076" s="87"/>
      <c r="AI2076" s="87"/>
    </row>
    <row r="2077" spans="1:35" ht="15.75" hidden="1" customHeight="1" thickBot="1">
      <c r="A2077" s="218" t="e">
        <f>"K"&amp;E2059</f>
        <v>#N/A</v>
      </c>
      <c r="B2077" s="701" t="s">
        <v>71</v>
      </c>
      <c r="C2077" s="751" t="s">
        <v>102</v>
      </c>
      <c r="D2077" s="751"/>
      <c r="E2077" s="751"/>
      <c r="F2077" s="751"/>
      <c r="G2077" s="751"/>
      <c r="H2077" s="751"/>
      <c r="I2077" s="751"/>
      <c r="J2077" s="751"/>
      <c r="K2077" s="751"/>
      <c r="L2077" s="722" t="s">
        <v>100</v>
      </c>
      <c r="M2077" s="747" t="s">
        <v>114</v>
      </c>
      <c r="N2077" s="747"/>
      <c r="O2077" s="747"/>
      <c r="P2077" s="747"/>
      <c r="Q2077" s="748"/>
      <c r="R2077" s="758" t="s">
        <v>280</v>
      </c>
      <c r="S2077" s="748"/>
      <c r="T2077" s="762" t="str">
        <f>IF(COUNTIF(AE2077:AF2077,"VERIFICAR")&gt;0,"VERIFICAR",IF(COUNTIF(AE2077:AF2077,"NO CUMPLE")&gt;0,"NO CUMPLE","CUMPLE"))</f>
        <v>VERIFICAR</v>
      </c>
      <c r="U2077" s="108"/>
      <c r="Y2077" s="533" t="e">
        <f>IF(F2078="","",IF(F2078=1,"INDIVIDUAL","ESTRUCTURA PLURAL"))</f>
        <v>#N/A</v>
      </c>
      <c r="AC2077" s="52"/>
      <c r="AD2077" s="475" t="s">
        <v>303</v>
      </c>
      <c r="AE2077" s="476" t="str">
        <f>IF(COUNTIF(AE2063:AE2072,"")=10,"VERIFICAR",IF(COUNTIF(AE2063:AE2072,"SI")&gt;0,"CUMPLE","NO CUMPLE"))</f>
        <v>VERIFICAR</v>
      </c>
      <c r="AF2077" s="477" t="str">
        <f>IF(COUNTIF(AF2063:AF2072,"")=10,"VERIFICAR",IF(COUNTIF(AF2063:AF2072,"SI")&gt;=$AI$22,"CUMPLE","NO CUMPLE"))</f>
        <v>VERIFICAR</v>
      </c>
      <c r="AG2077" s="52"/>
      <c r="AH2077" s="87"/>
      <c r="AI2077" s="87"/>
    </row>
    <row r="2078" spans="1:35" ht="16.5" hidden="1" customHeight="1" thickBot="1">
      <c r="A2078" s="218" t="e">
        <f>"L"&amp;E2059</f>
        <v>#N/A</v>
      </c>
      <c r="B2078" s="702"/>
      <c r="C2078" s="751" t="s">
        <v>103</v>
      </c>
      <c r="D2078" s="751"/>
      <c r="E2078" s="752"/>
      <c r="F2078" s="557" t="e">
        <f>IF(VLOOKUP(E2059,PROPONENTES!$C$19:$E$218,3,0)="","",VLOOKUP(E2059,PROPONENTES!$C$19:$E$218,3,0))</f>
        <v>#N/A</v>
      </c>
      <c r="G2078" s="753" t="s">
        <v>104</v>
      </c>
      <c r="H2078" s="751"/>
      <c r="I2078" s="715" t="e">
        <f>IF(OR(F2078="",F2078=1),"INTERESADO PERSONA NATURAL O JURIDICA","CONSORCIO O UNION TEMPORAL")</f>
        <v>#N/A</v>
      </c>
      <c r="J2078" s="725"/>
      <c r="K2078" s="728"/>
      <c r="L2078" s="723"/>
      <c r="M2078" s="749"/>
      <c r="N2078" s="749"/>
      <c r="O2078" s="749"/>
      <c r="P2078" s="749"/>
      <c r="Q2078" s="750"/>
      <c r="R2078" s="712"/>
      <c r="S2078" s="750"/>
      <c r="T2078" s="763"/>
      <c r="U2078" s="108"/>
      <c r="Y2078" s="534"/>
      <c r="AA2078" s="52"/>
      <c r="AB2078" s="52"/>
      <c r="AC2078" s="52"/>
      <c r="AG2078" s="52"/>
      <c r="AH2078" s="87"/>
      <c r="AI2078" s="87"/>
    </row>
    <row r="2079" spans="1:35" ht="56.25" hidden="1" customHeight="1" thickBot="1">
      <c r="A2079" s="218" t="e">
        <f>"M"&amp;E2059</f>
        <v>#N/A</v>
      </c>
      <c r="B2079" s="702"/>
      <c r="C2079" s="725" t="s">
        <v>101</v>
      </c>
      <c r="D2079" s="716"/>
      <c r="E2079" s="558" t="s">
        <v>105</v>
      </c>
      <c r="F2079" s="554" t="s">
        <v>87</v>
      </c>
      <c r="G2079" s="553" t="s">
        <v>86</v>
      </c>
      <c r="H2079" s="559" t="s">
        <v>85</v>
      </c>
      <c r="I2079" s="554" t="s">
        <v>252</v>
      </c>
      <c r="J2079" s="553" t="str">
        <f>"¿EL INTEGRANTE TIENE UNA PARTICIPACIÓN DEL "&amp;PORCREQUERIDOINT*100&amp;"%?"</f>
        <v>¿EL INTEGRANTE TIENE UNA PARTICIPACIÓN DEL 60%?</v>
      </c>
      <c r="K2079" s="554" t="s">
        <v>107</v>
      </c>
      <c r="L2079" s="724"/>
      <c r="M2079" s="717" t="s">
        <v>115</v>
      </c>
      <c r="N2079" s="718"/>
      <c r="O2079" s="718"/>
      <c r="P2079" s="718"/>
      <c r="Q2079" s="223">
        <f>IF(AND(H2063="SI",P2063&gt;=0),1,0)+IF(AND(H2064="SI",P2064&gt;=0),1,0)+IF(AND(H2065="SI",P2065&gt;=0),1,0)+IF(AND(H2066="SI",P2066&gt;=0),1,0)+IF(AND(H2067="SI",P2067&gt;=0),1,0)+IF(AND(H2068="SI",P2068&gt;=0),1,0)+IF(AND(H2069="SI",P2069&gt;=0),1,0)+IF(AND(H2070="SI",P2070&gt;=0),1,0)+IF(AND(H2071="SI",P2071&gt;=0),1,0)+IF(AND(H2072="SI",P2072&gt;=0),1,0)</f>
        <v>0</v>
      </c>
      <c r="R2079" s="759"/>
      <c r="S2079" s="761"/>
      <c r="T2079" s="764"/>
      <c r="U2079" s="219"/>
      <c r="V2079" s="464"/>
      <c r="Y2079" s="532" t="s">
        <v>342</v>
      </c>
      <c r="AA2079" s="550" t="s">
        <v>344</v>
      </c>
      <c r="AB2079" s="693" t="s">
        <v>345</v>
      </c>
      <c r="AC2079" s="693" t="s">
        <v>346</v>
      </c>
      <c r="AD2079" s="685" t="s">
        <v>347</v>
      </c>
      <c r="AE2079" s="52"/>
      <c r="AF2079" s="52"/>
      <c r="AG2079" s="52"/>
      <c r="AH2079" s="87"/>
      <c r="AI2079" s="87"/>
    </row>
    <row r="2080" spans="1:35" ht="15.75" hidden="1" customHeight="1" thickBot="1">
      <c r="A2080" s="218" t="e">
        <f>"N"&amp;E2059</f>
        <v>#N/A</v>
      </c>
      <c r="B2080" s="702"/>
      <c r="C2080" s="114">
        <v>1</v>
      </c>
      <c r="D2080" s="194" t="e">
        <f>IF(AND(C2080&lt;=F2078,F2078&gt;1,F2078&lt;&gt;""),VLOOKUP(VALUE(E2059&amp;","&amp;C2080),INTEGRANTES!$D$18:$F$235,2,0),"")</f>
        <v>#N/A</v>
      </c>
      <c r="E2080" s="211" t="e">
        <f>IF(D2080&lt;&gt;"",VLOOKUP(VALUE(E2059&amp;","&amp;C2080),INTEGRANTES!$D$18:$F$235,3,0),"")</f>
        <v>#N/A</v>
      </c>
      <c r="F2080" s="547" t="e">
        <f>IF(D2080="","",SUMIF($I2063:$I2072,D2080,$P2063:$P2072))</f>
        <v>#N/A</v>
      </c>
      <c r="G2080" s="333" t="e">
        <f>IF(D2080="","",SUMIF($I2063:$I2072,D2080,$M2063:$M2072))</f>
        <v>#N/A</v>
      </c>
      <c r="H2080" s="535" t="e">
        <f t="shared" ref="H2080:H2085" si="605">IF(D2080="","",IF(OR(F2080=0,G2080=0),"NO APORTA",ROUND($F2080/$G2080,3)))</f>
        <v>#N/A</v>
      </c>
      <c r="I2080" s="212" t="e">
        <f>IF(D2080="","",IF(H2080="NO APORTA","NO",IF(H2080=MAX($H2080:$H2085),"SI","NO")))</f>
        <v>#N/A</v>
      </c>
      <c r="J2080" s="213" t="e">
        <f t="shared" ref="J2080:J2085" si="606">IF(D2080="","",IF(E2080&gt;=PORCREQUERIDOINT,"SI","NO"))</f>
        <v>#N/A</v>
      </c>
      <c r="K2080" s="200" t="e">
        <f t="shared" ref="K2080:K2085" si="607">IF(D2080="","",IF(AND(I2080="SI",J2080="SI"),"CUMPLE",IF(AND(I2080="NO",OR(J2080="SI",J2080="NO")),"","NO CUMPLE")))</f>
        <v>#N/A</v>
      </c>
      <c r="L2080" s="722" t="s">
        <v>108</v>
      </c>
      <c r="M2080" s="726" t="s">
        <v>119</v>
      </c>
      <c r="N2080" s="726"/>
      <c r="O2080" s="726"/>
      <c r="P2080" s="726"/>
      <c r="Q2080" s="727"/>
      <c r="R2080" s="758" t="s">
        <v>80</v>
      </c>
      <c r="S2080" s="747"/>
      <c r="T2080" s="748"/>
      <c r="U2080" s="219"/>
      <c r="V2080" s="464"/>
      <c r="Y2080" s="533" t="e">
        <f>IF(Y2077="","",IF(Y2077="INDIVIDUAL","NO APLICA","VERIFICAR CUADRO"))</f>
        <v>#N/A</v>
      </c>
      <c r="AA2080" s="551"/>
      <c r="AB2080" s="694"/>
      <c r="AC2080" s="694"/>
      <c r="AD2080" s="686"/>
      <c r="AE2080" s="52"/>
      <c r="AF2080" s="52"/>
      <c r="AG2080" s="52"/>
      <c r="AH2080" s="87"/>
      <c r="AI2080" s="87"/>
    </row>
    <row r="2081" spans="1:35" ht="27" hidden="1" customHeight="1" thickBot="1">
      <c r="A2081" s="218" t="e">
        <f>"O"&amp;E2059</f>
        <v>#N/A</v>
      </c>
      <c r="B2081" s="702"/>
      <c r="C2081" s="114">
        <v>2</v>
      </c>
      <c r="D2081" s="194" t="e">
        <f>IF(AND(C2081&lt;=F2078,F2078&lt;&gt;""),VLOOKUP(VALUE(E2059&amp;","&amp;C2081),INTEGRANTES!$D$18:$F$235,2,0),"")</f>
        <v>#N/A</v>
      </c>
      <c r="E2081" s="211" t="e">
        <f>IF(D2081&lt;&gt;"",VLOOKUP(VALUE(E2059&amp;","&amp;C2081),INTEGRANTES!$D$18:$F$235,3,0),"")</f>
        <v>#N/A</v>
      </c>
      <c r="F2081" s="547" t="e">
        <f>IF(D2081="","",SUMIF($I2063:$I2072,D2081,$P2063:$P2072))</f>
        <v>#N/A</v>
      </c>
      <c r="G2081" s="333" t="e">
        <f>IF(D2081="","",SUMIF($I2063:$I2072,D2081,$M2063:$M2072))</f>
        <v>#N/A</v>
      </c>
      <c r="H2081" s="535" t="e">
        <f t="shared" si="605"/>
        <v>#N/A</v>
      </c>
      <c r="I2081" s="212" t="e">
        <f>IF(D2081="","",IF(H2081="NO APORTA","NO",IF(H2081=MAX($H2080:$H2085),"SI","NO")))</f>
        <v>#N/A</v>
      </c>
      <c r="J2081" s="213" t="e">
        <f t="shared" si="606"/>
        <v>#N/A</v>
      </c>
      <c r="K2081" s="200" t="e">
        <f t="shared" si="607"/>
        <v>#N/A</v>
      </c>
      <c r="L2081" s="723"/>
      <c r="M2081" s="715" t="s">
        <v>116</v>
      </c>
      <c r="N2081" s="716"/>
      <c r="O2081" s="556" t="s">
        <v>113</v>
      </c>
      <c r="P2081" s="715" t="s">
        <v>117</v>
      </c>
      <c r="Q2081" s="728"/>
      <c r="R2081" s="759"/>
      <c r="S2081" s="760"/>
      <c r="T2081" s="761"/>
      <c r="U2081" s="219"/>
      <c r="V2081" s="464"/>
      <c r="Y2081" s="414"/>
      <c r="AA2081" s="542" t="e">
        <f>IF(AND(C2080&lt;=F2078,F2078&gt;1,F2078&lt;&gt;""),VLOOKUP(VALUE(E2059&amp;","&amp;C2080),INTEGRANTES!$D$18:$F$235,2,0),"")</f>
        <v>#N/A</v>
      </c>
      <c r="AB2081" s="544" t="e">
        <f t="shared" ref="AB2081:AB2086" si="608">IF(D2080="","",IF(OR(F2080=0,G2080=0),"NO APORTA",ROUND($F2080/$G2080,3)))</f>
        <v>#N/A</v>
      </c>
      <c r="AC2081" s="529"/>
      <c r="AD2081" s="200" t="e">
        <f t="shared" ref="AD2081:AD2086" si="609">IF(OR(AA2081="",AB2081=""),"",IF(AND(AC2081="X",AB2081&gt;=EXPREQVTD),"CUMPLE","NO CUMPLE"))</f>
        <v>#N/A</v>
      </c>
      <c r="AE2081" s="52"/>
      <c r="AF2081" s="52"/>
      <c r="AG2081" s="52"/>
      <c r="AH2081" s="87"/>
      <c r="AI2081" s="87"/>
    </row>
    <row r="2082" spans="1:35" ht="16.5" hidden="1" thickBot="1">
      <c r="A2082" s="218" t="e">
        <f>"P"&amp;E2059</f>
        <v>#N/A</v>
      </c>
      <c r="B2082" s="702"/>
      <c r="C2082" s="114">
        <v>3</v>
      </c>
      <c r="D2082" s="194" t="e">
        <f>IF(AND(C2082&lt;=F2078,F2078&lt;&gt;""),VLOOKUP(VALUE(E2059&amp;","&amp;C2082),INTEGRANTES!$D$18:$F$235,2,0),"")</f>
        <v>#N/A</v>
      </c>
      <c r="E2082" s="211" t="e">
        <f>IF(D2082&lt;&gt;"",VLOOKUP(VALUE(E2059&amp;","&amp;C2082),INTEGRANTES!$D$18:$F$235,3,0),"")</f>
        <v>#N/A</v>
      </c>
      <c r="F2082" s="547" t="e">
        <f>IF(D2082="","",SUMIF($I2063:$I2072,D2082,$P2063:$P2072))</f>
        <v>#N/A</v>
      </c>
      <c r="G2082" s="333" t="e">
        <f>IF(D2082="","",SUMIF($I2063:$I2072,D2082,$M2063:$M2072))</f>
        <v>#N/A</v>
      </c>
      <c r="H2082" s="535" t="e">
        <f t="shared" si="605"/>
        <v>#N/A</v>
      </c>
      <c r="I2082" s="212" t="e">
        <f>IF(D2082="","",IF(H2082="NO APORTA","NO",IF(H2082=MAX($H2080:$H2085),"SI","NO")))</f>
        <v>#N/A</v>
      </c>
      <c r="J2082" s="213" t="e">
        <f t="shared" si="606"/>
        <v>#N/A</v>
      </c>
      <c r="K2082" s="200" t="e">
        <f t="shared" si="607"/>
        <v>#N/A</v>
      </c>
      <c r="L2082" s="724"/>
      <c r="M2082" s="729">
        <f>NUMMOD</f>
        <v>1</v>
      </c>
      <c r="N2082" s="730"/>
      <c r="O2082" s="443">
        <f>IF(M2082="","",VLOOKUP(M2082,PRESUPUESTOS!$B$16:$H$16,5,FALSE))</f>
        <v>2</v>
      </c>
      <c r="P2082" s="713">
        <f>IF(OR(COUNTIF(M2063:M2072,"")&gt;=10,Q2079&lt;NUMMINCONT,OR(T2077="NO CUMPLE",T2077="VERIFICAR")),0,ROUND(AVERAGE(M2063:M2072),3))</f>
        <v>0</v>
      </c>
      <c r="Q2082" s="714"/>
      <c r="R2082" s="458"/>
      <c r="S2082" s="459"/>
      <c r="T2082" s="460"/>
      <c r="U2082" s="219"/>
      <c r="V2082" s="464"/>
      <c r="Y2082" s="532" t="str">
        <f>"40% * ("&amp;PRESUPUESTOS!$H$13&amp;")"</f>
        <v>40% * (50% PFMO)</v>
      </c>
      <c r="AA2082" s="540" t="e">
        <f>IF(AND(C2081&lt;=F2078,F2078&lt;&gt;""),VLOOKUP(VALUE(E2059&amp;","&amp;C2081),INTEGRANTES!$D$18:$F$235,2,0),"")</f>
        <v>#N/A</v>
      </c>
      <c r="AB2082" s="545" t="e">
        <f t="shared" si="608"/>
        <v>#N/A</v>
      </c>
      <c r="AC2082" s="529"/>
      <c r="AD2082" s="200" t="e">
        <f t="shared" si="609"/>
        <v>#N/A</v>
      </c>
      <c r="AE2082" s="52"/>
      <c r="AF2082" s="52"/>
      <c r="AG2082" s="52"/>
      <c r="AH2082" s="87"/>
      <c r="AI2082" s="87"/>
    </row>
    <row r="2083" spans="1:35" ht="15.75" hidden="1" customHeight="1" thickBot="1">
      <c r="A2083" s="218" t="e">
        <f>"Q"&amp;E2059</f>
        <v>#N/A</v>
      </c>
      <c r="B2083" s="702"/>
      <c r="C2083" s="114">
        <v>4</v>
      </c>
      <c r="D2083" s="194" t="e">
        <f>IF(AND(C2083&lt;=F2078,F2078&lt;&gt;""),VLOOKUP(VALUE(E2059&amp;","&amp;C2083),INTEGRANTES!$D$18:$F$235,2,0),"")</f>
        <v>#N/A</v>
      </c>
      <c r="E2083" s="211" t="e">
        <f>IF(D2083&lt;&gt;"",VLOOKUP(VALUE(E2059&amp;","&amp;C2083),INTEGRANTES!$D$18:$F$235,3,0),"")</f>
        <v>#N/A</v>
      </c>
      <c r="F2083" s="547" t="e">
        <f>IF(D2083="","",SUMIF($I2063:$I2072,D2083,$P2063:$P2072))</f>
        <v>#N/A</v>
      </c>
      <c r="G2083" s="333" t="e">
        <f>IF(D2083="","",SUMIF($I2063:$I2072,D2083,$M2063:$M2072))</f>
        <v>#N/A</v>
      </c>
      <c r="H2083" s="535" t="e">
        <f t="shared" si="605"/>
        <v>#N/A</v>
      </c>
      <c r="I2083" s="212" t="e">
        <f>IF(D2083="","",IF(H2083="NO APORTA","NO",IF(H2083=MAX($H2080:$H2085),"SI","NO")))</f>
        <v>#N/A</v>
      </c>
      <c r="J2083" s="213" t="e">
        <f t="shared" si="606"/>
        <v>#N/A</v>
      </c>
      <c r="K2083" s="200" t="e">
        <f t="shared" si="607"/>
        <v>#N/A</v>
      </c>
      <c r="L2083" s="720" t="s">
        <v>109</v>
      </c>
      <c r="M2083" s="757" t="s">
        <v>120</v>
      </c>
      <c r="N2083" s="726"/>
      <c r="O2083" s="726"/>
      <c r="P2083" s="726"/>
      <c r="Q2083" s="727"/>
      <c r="R2083" s="458"/>
      <c r="S2083" s="459"/>
      <c r="T2083" s="460"/>
      <c r="U2083" s="219"/>
      <c r="V2083" s="464"/>
      <c r="Y2083" s="537">
        <f>0.4*PRESUPUESTOS!$H$16</f>
        <v>10.3124</v>
      </c>
      <c r="AA2083" s="540" t="e">
        <f>IF(AND(C2082&lt;=F2078,F2078&lt;&gt;""),VLOOKUP(VALUE(E2059&amp;","&amp;C2082),INTEGRANTES!$D$18:$F$235,2,0),"")</f>
        <v>#N/A</v>
      </c>
      <c r="AB2083" s="545" t="e">
        <f t="shared" si="608"/>
        <v>#N/A</v>
      </c>
      <c r="AC2083" s="529"/>
      <c r="AD2083" s="200" t="e">
        <f t="shared" si="609"/>
        <v>#N/A</v>
      </c>
      <c r="AE2083" s="52"/>
      <c r="AF2083" s="52"/>
      <c r="AG2083" s="52"/>
      <c r="AH2083" s="87"/>
      <c r="AI2083" s="87"/>
    </row>
    <row r="2084" spans="1:35" ht="27" hidden="1" customHeight="1" thickBot="1">
      <c r="A2084" s="218" t="e">
        <f>"R"&amp;E2059</f>
        <v>#N/A</v>
      </c>
      <c r="B2084" s="702"/>
      <c r="C2084" s="114">
        <v>5</v>
      </c>
      <c r="D2084" s="194" t="e">
        <f>IF(AND(C2084&lt;=F2078,F2078&lt;&gt;""),VLOOKUP(VALUE(E2059&amp;","&amp;C2084),INTEGRANTES!$D$18:$F$235,2,0),"")</f>
        <v>#N/A</v>
      </c>
      <c r="E2084" s="211" t="e">
        <f>IF(D2084&lt;&gt;"",VLOOKUP(VALUE(E2059&amp;","&amp;C2084),INTEGRANTES!$D$18:$F$235,3,0),"")</f>
        <v>#N/A</v>
      </c>
      <c r="F2084" s="547" t="e">
        <f>IF(D2084="","",SUMIF($I2063:$I2072,D2084,$P2063:$P2072))</f>
        <v>#N/A</v>
      </c>
      <c r="G2084" s="333" t="e">
        <f>IF(D2084="","",SUMIF($I2063:$I2072,D2084,$M2063:$M2072))</f>
        <v>#N/A</v>
      </c>
      <c r="H2084" s="535" t="e">
        <f t="shared" si="605"/>
        <v>#N/A</v>
      </c>
      <c r="I2084" s="212" t="e">
        <f>IF(D2084="","",IF(H2084="NO APORTA","NO",IF(H2084=MAX($H2080:$H2085),"SI","NO")))</f>
        <v>#N/A</v>
      </c>
      <c r="J2084" s="213" t="e">
        <f t="shared" si="606"/>
        <v>#N/A</v>
      </c>
      <c r="K2084" s="200" t="e">
        <f t="shared" si="607"/>
        <v>#N/A</v>
      </c>
      <c r="L2084" s="721"/>
      <c r="M2084" s="715" t="s">
        <v>116</v>
      </c>
      <c r="N2084" s="716"/>
      <c r="O2084" s="556" t="str">
        <f>PORCREQUERIDO*100&amp;"% PMFO DEL MÓDULO"</f>
        <v>50% PMFO DEL MÓDULO</v>
      </c>
      <c r="P2084" s="715" t="s">
        <v>118</v>
      </c>
      <c r="Q2084" s="728"/>
      <c r="R2084" s="458"/>
      <c r="S2084" s="459"/>
      <c r="T2084" s="460"/>
      <c r="U2084" s="219"/>
      <c r="V2084" s="464"/>
      <c r="Y2084" s="414"/>
      <c r="AA2084" s="540" t="e">
        <f>IF(AND(C2083&lt;=F2078,F2078&lt;&gt;""),VLOOKUP(VALUE(E2059&amp;","&amp;C2083),INTEGRANTES!$D$18:$F$235,2,0),"")</f>
        <v>#N/A</v>
      </c>
      <c r="AB2084" s="545" t="e">
        <f t="shared" si="608"/>
        <v>#N/A</v>
      </c>
      <c r="AC2084" s="529"/>
      <c r="AD2084" s="200" t="e">
        <f t="shared" si="609"/>
        <v>#N/A</v>
      </c>
      <c r="AE2084" s="52"/>
      <c r="AF2084" s="52"/>
      <c r="AG2084" s="52"/>
      <c r="AH2084" s="87"/>
      <c r="AI2084" s="87"/>
    </row>
    <row r="2085" spans="1:35" ht="16.5" hidden="1" thickBot="1">
      <c r="A2085" s="218" t="e">
        <f>"S"&amp;E2059</f>
        <v>#N/A</v>
      </c>
      <c r="B2085" s="702"/>
      <c r="C2085" s="215">
        <v>6</v>
      </c>
      <c r="D2085" s="216" t="e">
        <f>IF(AND(C2085&lt;=F2078,F2078&lt;&gt;""),VLOOKUP(VALUE(E2059&amp;","&amp;C2085),INTEGRANTES!$D$18:$F$235,2,0),"")</f>
        <v>#N/A</v>
      </c>
      <c r="E2085" s="217" t="e">
        <f>IF(D2085&lt;&gt;"",VLOOKUP(VALUE(E2059&amp;","&amp;C2085),INTEGRANTES!$D$18:$F$235,3,0),"")</f>
        <v>#N/A</v>
      </c>
      <c r="F2085" s="548" t="e">
        <f>IF(D2085="","",SUMIF($I2063:$I2072,D2085,$P2063:$P2072))</f>
        <v>#N/A</v>
      </c>
      <c r="G2085" s="334" t="e">
        <f>IF(D2085="","",SUMIF($I2063:$I2072,D2085,$M2063:$M2072))</f>
        <v>#N/A</v>
      </c>
      <c r="H2085" s="536" t="e">
        <f t="shared" si="605"/>
        <v>#N/A</v>
      </c>
      <c r="I2085" s="214" t="e">
        <f>IF(D2085="","",IF(H2085="NO APORTA","NO",IF(H2085=MAX($H2080:$H2085),"SI","NO")))</f>
        <v>#N/A</v>
      </c>
      <c r="J2085" s="213" t="e">
        <f t="shared" si="606"/>
        <v>#N/A</v>
      </c>
      <c r="K2085" s="200" t="e">
        <f t="shared" si="607"/>
        <v>#N/A</v>
      </c>
      <c r="L2085" s="721"/>
      <c r="M2085" s="729">
        <f>NUMMOD</f>
        <v>1</v>
      </c>
      <c r="N2085" s="730"/>
      <c r="O2085" s="443">
        <f>IF(M2085="","",ROUND(VLOOKUP(M2085,PRESUPUESTOS!$B$16:$H$16,7,FALSE),3))</f>
        <v>25.780999999999999</v>
      </c>
      <c r="P2085" s="713">
        <f>IF(OR(COUNTIF(P2063:P2072,"")&gt;=10,Q2079&lt;NUMMINCONT,OR(T2077="NO CUMPLE",T2077="VERIFICAR")),0,ROUND((SUM(P2063:P2072)/SUM(M2063:M2072)),3))</f>
        <v>0</v>
      </c>
      <c r="Q2085" s="714"/>
      <c r="R2085" s="458"/>
      <c r="S2085" s="459"/>
      <c r="T2085" s="460"/>
      <c r="U2085" s="219"/>
      <c r="V2085" s="464"/>
      <c r="Y2085" s="532" t="s">
        <v>343</v>
      </c>
      <c r="AA2085" s="540" t="e">
        <f>IF(AND(C2084&lt;=F2078,F2078&lt;&gt;""),VLOOKUP(VALUE(E2059&amp;","&amp;C2084),INTEGRANTES!$D$18:$F$235,2,0),"")</f>
        <v>#N/A</v>
      </c>
      <c r="AB2085" s="545" t="e">
        <f t="shared" si="608"/>
        <v>#N/A</v>
      </c>
      <c r="AC2085" s="529"/>
      <c r="AD2085" s="200" t="e">
        <f t="shared" si="609"/>
        <v>#N/A</v>
      </c>
      <c r="AE2085" s="52"/>
      <c r="AF2085" s="52"/>
      <c r="AG2085" s="52"/>
      <c r="AH2085" s="87"/>
      <c r="AI2085" s="87"/>
    </row>
    <row r="2086" spans="1:35" ht="16.5" hidden="1" customHeight="1" thickBot="1">
      <c r="A2086" s="218" t="e">
        <f>"T"&amp;E2059</f>
        <v>#N/A</v>
      </c>
      <c r="B2086" s="703"/>
      <c r="C2086" s="719"/>
      <c r="D2086" s="719"/>
      <c r="E2086" s="719"/>
      <c r="F2086" s="719"/>
      <c r="G2086" s="719"/>
      <c r="H2086" s="719" t="s">
        <v>110</v>
      </c>
      <c r="I2086" s="719"/>
      <c r="J2086" s="719"/>
      <c r="K2086" s="201" t="str">
        <f>IF(COUNTIF(K2080:K2085,"")=6,"",IF(COUNTIF(K2080:K2085,"CUMPLE")&gt;0,"CUMPLE","NO CUMPLE"))</f>
        <v>NO CUMPLE</v>
      </c>
      <c r="L2086" s="754"/>
      <c r="M2086" s="755"/>
      <c r="N2086" s="755"/>
      <c r="O2086" s="755"/>
      <c r="P2086" s="755"/>
      <c r="Q2086" s="756"/>
      <c r="R2086" s="461"/>
      <c r="S2086" s="462"/>
      <c r="T2086" s="463"/>
      <c r="U2086" s="219"/>
      <c r="V2086" s="464"/>
      <c r="Y2086" s="549" t="e">
        <f>IF(Y2080="NO APLICA","NO APLICA",IF(COUNTIF(AD2081:AD2086,"CUMPLE")&gt;0,"CUMPLE","NO CUMPLE"))</f>
        <v>#N/A</v>
      </c>
      <c r="AA2086" s="541" t="e">
        <f>IF(AND(C2085&lt;=F2078,F2078&lt;&gt;""),VLOOKUP(VALUE(E2059&amp;","&amp;C2085),INTEGRANTES!$D$18:$F$235,2,0),"")</f>
        <v>#N/A</v>
      </c>
      <c r="AB2086" s="546" t="e">
        <f t="shared" si="608"/>
        <v>#N/A</v>
      </c>
      <c r="AC2086" s="543"/>
      <c r="AD2086" s="201" t="e">
        <f t="shared" si="609"/>
        <v>#N/A</v>
      </c>
      <c r="AE2086" s="52"/>
      <c r="AF2086" s="52"/>
      <c r="AG2086" s="52"/>
      <c r="AH2086" s="87"/>
      <c r="AI2086" s="87"/>
    </row>
    <row r="2087" spans="1:35" hidden="1">
      <c r="A2087" s="103"/>
      <c r="B2087" s="206"/>
      <c r="C2087" s="206"/>
      <c r="D2087" s="206"/>
      <c r="E2087" s="206"/>
      <c r="F2087" s="206"/>
      <c r="G2087" s="206"/>
      <c r="H2087" s="206"/>
      <c r="I2087" s="104"/>
      <c r="J2087" s="206"/>
      <c r="K2087" s="113"/>
      <c r="L2087" s="113"/>
      <c r="M2087" s="113"/>
      <c r="N2087" s="222"/>
      <c r="O2087" s="113"/>
      <c r="P2087" s="113"/>
      <c r="Q2087" s="113"/>
      <c r="R2087" s="206"/>
      <c r="S2087" s="104"/>
      <c r="T2087" s="206"/>
      <c r="U2087" s="474"/>
      <c r="AH2087" s="87"/>
      <c r="AI2087" s="87"/>
    </row>
    <row r="2088" spans="1:35" hidden="1">
      <c r="H2088" s="220"/>
      <c r="AH2088" s="87"/>
      <c r="AI2088" s="87"/>
    </row>
    <row r="2089" spans="1:35" ht="24" hidden="1" thickBot="1">
      <c r="A2089" s="61">
        <v>70</v>
      </c>
      <c r="B2089" s="704" t="s">
        <v>51</v>
      </c>
      <c r="C2089" s="704"/>
      <c r="D2089" s="704"/>
      <c r="E2089" s="62" t="e">
        <f>VLOOKUP(A2089,PROPONENTES!$B$19:$E$218,2,FALSE)</f>
        <v>#N/A</v>
      </c>
      <c r="F2089" s="63" t="e">
        <f>VLOOKUP(A2089,PROPONENTES!$B$19:$E$218,3,FALSE)</f>
        <v>#N/A</v>
      </c>
      <c r="G2089" s="64"/>
      <c r="H2089" s="64"/>
      <c r="I2089" s="63"/>
      <c r="J2089" s="63"/>
      <c r="K2089" s="65"/>
      <c r="L2089" s="65"/>
      <c r="M2089" s="64"/>
      <c r="N2089" s="64"/>
      <c r="O2089" s="66"/>
      <c r="P2089" s="66"/>
      <c r="Q2089" s="66"/>
      <c r="R2089" s="66"/>
      <c r="S2089" s="67"/>
      <c r="T2089" s="68"/>
      <c r="U2089" s="68"/>
      <c r="AC2089" s="68"/>
      <c r="AD2089" s="68"/>
      <c r="AE2089" s="68"/>
      <c r="AF2089" s="68"/>
      <c r="AG2089" s="68"/>
      <c r="AH2089" s="87"/>
      <c r="AI2089" s="87"/>
    </row>
    <row r="2090" spans="1:35" ht="15.75" hidden="1" customHeight="1">
      <c r="A2090" s="44"/>
      <c r="B2090" s="709" t="s">
        <v>59</v>
      </c>
      <c r="C2090" s="552" t="s">
        <v>60</v>
      </c>
      <c r="D2090" s="70" t="s">
        <v>17</v>
      </c>
      <c r="E2090" s="70"/>
      <c r="F2090" s="70" t="s">
        <v>61</v>
      </c>
      <c r="G2090" s="71"/>
      <c r="H2090" s="699" t="s">
        <v>62</v>
      </c>
      <c r="I2090" s="699" t="s">
        <v>18</v>
      </c>
      <c r="J2090" s="699" t="s">
        <v>63</v>
      </c>
      <c r="K2090" s="699" t="s">
        <v>64</v>
      </c>
      <c r="L2090" s="699" t="s">
        <v>65</v>
      </c>
      <c r="M2090" s="743" t="s">
        <v>66</v>
      </c>
      <c r="N2090" s="699" t="s">
        <v>282</v>
      </c>
      <c r="O2090" s="745" t="s">
        <v>67</v>
      </c>
      <c r="P2090" s="746"/>
      <c r="Q2090" s="102" t="s">
        <v>75</v>
      </c>
      <c r="R2090" s="731" t="s">
        <v>22</v>
      </c>
      <c r="S2090" s="732"/>
      <c r="T2090" s="733"/>
      <c r="U2090" s="712" t="s">
        <v>298</v>
      </c>
      <c r="W2090" s="690" t="s">
        <v>268</v>
      </c>
      <c r="X2090" s="691"/>
      <c r="Y2090" s="692"/>
      <c r="Z2090" s="428"/>
      <c r="AA2090" s="697" t="s">
        <v>315</v>
      </c>
      <c r="AB2090" s="695" t="s">
        <v>322</v>
      </c>
      <c r="AC2090" s="49"/>
      <c r="AD2090" s="690" t="s">
        <v>297</v>
      </c>
      <c r="AE2090" s="691"/>
      <c r="AF2090" s="692"/>
      <c r="AG2090" s="49"/>
      <c r="AH2090" s="87"/>
      <c r="AI2090" s="87"/>
    </row>
    <row r="2091" spans="1:35" ht="72" hidden="1">
      <c r="A2091" s="44"/>
      <c r="B2091" s="710"/>
      <c r="C2091" s="553" t="s">
        <v>68</v>
      </c>
      <c r="D2091" s="73" t="s">
        <v>3</v>
      </c>
      <c r="E2091" s="73" t="s">
        <v>19</v>
      </c>
      <c r="F2091" s="73" t="s">
        <v>69</v>
      </c>
      <c r="G2091" s="74" t="s">
        <v>70</v>
      </c>
      <c r="H2091" s="700"/>
      <c r="I2091" s="700"/>
      <c r="J2091" s="700"/>
      <c r="K2091" s="700"/>
      <c r="L2091" s="700"/>
      <c r="M2091" s="744"/>
      <c r="N2091" s="700"/>
      <c r="O2091" s="553" t="s">
        <v>279</v>
      </c>
      <c r="P2091" s="73" t="s">
        <v>88</v>
      </c>
      <c r="Q2091" s="555" t="s">
        <v>76</v>
      </c>
      <c r="R2091" s="734"/>
      <c r="S2091" s="735"/>
      <c r="T2091" s="736"/>
      <c r="U2091" s="712"/>
      <c r="W2091" s="429" t="s">
        <v>269</v>
      </c>
      <c r="X2091" s="457" t="s">
        <v>278</v>
      </c>
      <c r="Y2091" s="430" t="s">
        <v>324</v>
      </c>
      <c r="Z2091" s="428"/>
      <c r="AA2091" s="698"/>
      <c r="AB2091" s="696"/>
      <c r="AC2091" s="49"/>
      <c r="AD2091" s="429" t="s">
        <v>292</v>
      </c>
      <c r="AE2091" s="431" t="s">
        <v>300</v>
      </c>
      <c r="AF2091" s="468" t="s">
        <v>301</v>
      </c>
      <c r="AG2091" s="49"/>
      <c r="AH2091" s="87"/>
      <c r="AI2091" s="87"/>
    </row>
    <row r="2092" spans="1:35" hidden="1">
      <c r="A2092" s="44"/>
      <c r="B2092" s="76"/>
      <c r="C2092" s="77"/>
      <c r="D2092" s="77"/>
      <c r="E2092" s="77"/>
      <c r="F2092" s="77"/>
      <c r="G2092" s="77"/>
      <c r="H2092" s="77"/>
      <c r="I2092" s="77"/>
      <c r="J2092" s="77"/>
      <c r="K2092" s="77"/>
      <c r="L2092" s="77"/>
      <c r="M2092" s="77"/>
      <c r="N2092" s="77"/>
      <c r="O2092" s="77"/>
      <c r="P2092" s="77"/>
      <c r="Q2092" s="77"/>
      <c r="R2092" s="77"/>
      <c r="S2092" s="78"/>
      <c r="T2092" s="79"/>
      <c r="U2092" s="109"/>
      <c r="V2092" s="49"/>
      <c r="W2092" s="432"/>
      <c r="X2092" s="454"/>
      <c r="Y2092" s="433"/>
      <c r="Z2092" s="6"/>
      <c r="AA2092" s="500"/>
      <c r="AB2092" s="562"/>
      <c r="AC2092" s="49"/>
      <c r="AD2092" s="210"/>
      <c r="AE2092" s="434"/>
      <c r="AF2092" s="435"/>
      <c r="AG2092" s="49"/>
      <c r="AH2092" s="87"/>
      <c r="AI2092" s="87"/>
    </row>
    <row r="2093" spans="1:35" hidden="1">
      <c r="A2093" s="80" t="e">
        <f>"A"&amp;E2089</f>
        <v>#N/A</v>
      </c>
      <c r="B2093" s="81">
        <v>1</v>
      </c>
      <c r="C2093" s="82"/>
      <c r="D2093" s="82"/>
      <c r="E2093" s="82"/>
      <c r="F2093" s="82"/>
      <c r="G2093" s="83"/>
      <c r="H2093" s="83"/>
      <c r="I2093" s="84"/>
      <c r="J2093" s="85"/>
      <c r="K2093" s="382"/>
      <c r="L2093" s="85"/>
      <c r="M2093" s="332" t="str">
        <f t="shared" ref="M2093:M2102" si="610">IF(OR(J2093="",L2093="",H2093="NO"),"",IF(OR(J2093&gt;$P$17,J2093&lt;$O$17,L2093&gt;$P$17,AND(J2093&lt;$O$17,L2093&lt;$O$17)),"FUERA DE RANGO",IF(OR(K2093="---",K2093=""),IF(J2093&gt;=$O$17,ROUND((L2093-J2093+1)/360*12,3),ROUND((L2093-$O$17+1)/360*12,3)),IF(J2093&gt;=$O$17,ROUND((L2093-J2093+1)/360*12-ROUND(K2093,3),3),ROUND((L2093-$O$17+1)/360*12-ROUND(K2093,3),3)))))</f>
        <v/>
      </c>
      <c r="N2093" s="86"/>
      <c r="O2093" s="453" t="str">
        <f>IF(OR(G2093="",N2093=""),"",N2093*G2093)</f>
        <v/>
      </c>
      <c r="P2093" s="538" t="str">
        <f>IF(OR(H2093="",M2093="FUERA DE RANGO"),"",IF(OR(L2093&lt;$O$17,L2093&gt;$P$17,L2093="",H2093="NO"),"",IF(OR(N2093="",O2093=""),"",ROUND(O2093,3))))</f>
        <v/>
      </c>
      <c r="Q2093" s="539" t="str">
        <f t="shared" ref="Q2093:Q2102" si="611">IF(AND(H2093="SI",P2093&lt;&gt;""),ROUND(P2093/M2093,3),"")</f>
        <v/>
      </c>
      <c r="R2093" s="737"/>
      <c r="S2093" s="738"/>
      <c r="T2093" s="739"/>
      <c r="U2093" s="470"/>
      <c r="V2093" s="165"/>
      <c r="W2093" s="446"/>
      <c r="X2093" s="456"/>
      <c r="Y2093" s="436"/>
      <c r="Z2093" s="437"/>
      <c r="AA2093" s="560"/>
      <c r="AB2093" s="561"/>
      <c r="AC2093" s="87"/>
      <c r="AD2093" s="466"/>
      <c r="AE2093" s="456"/>
      <c r="AF2093" s="467"/>
      <c r="AG2093" s="87"/>
      <c r="AH2093" s="87"/>
      <c r="AI2093" s="87"/>
    </row>
    <row r="2094" spans="1:35" hidden="1">
      <c r="A2094" s="80" t="e">
        <f>"B"&amp;E2089</f>
        <v>#N/A</v>
      </c>
      <c r="B2094" s="81">
        <v>2</v>
      </c>
      <c r="C2094" s="106"/>
      <c r="D2094" s="106"/>
      <c r="E2094" s="106"/>
      <c r="F2094" s="106"/>
      <c r="G2094" s="83"/>
      <c r="H2094" s="83"/>
      <c r="I2094" s="84"/>
      <c r="J2094" s="85"/>
      <c r="K2094" s="382"/>
      <c r="L2094" s="85"/>
      <c r="M2094" s="332" t="str">
        <f t="shared" si="610"/>
        <v/>
      </c>
      <c r="N2094" s="86"/>
      <c r="O2094" s="453" t="str">
        <f t="shared" ref="O2094:O2102" si="612">IF(OR(G2094="",N2094=""),"",N2094*G2094)</f>
        <v/>
      </c>
      <c r="P2094" s="538" t="str">
        <f t="shared" ref="P2094:P2102" si="613">IF(OR(H2094="",M2094="FUERA DE RANGO"),"",IF(OR(L2094&lt;$O$17,L2094&gt;$P$17,L2094="",H2094="NO"),"",IF(OR(N2094="",O2094=""),"",ROUND(O2094,3))))</f>
        <v/>
      </c>
      <c r="Q2094" s="539" t="str">
        <f t="shared" si="611"/>
        <v/>
      </c>
      <c r="R2094" s="740"/>
      <c r="S2094" s="741"/>
      <c r="T2094" s="742"/>
      <c r="U2094" s="471"/>
      <c r="V2094" s="165"/>
      <c r="W2094" s="446"/>
      <c r="X2094" s="456"/>
      <c r="Y2094" s="436"/>
      <c r="Z2094" s="437"/>
      <c r="AA2094" s="560"/>
      <c r="AB2094" s="561"/>
      <c r="AC2094" s="87"/>
      <c r="AD2094" s="466"/>
      <c r="AE2094" s="456"/>
      <c r="AF2094" s="467"/>
      <c r="AG2094" s="87"/>
      <c r="AH2094" s="87"/>
      <c r="AI2094" s="87"/>
    </row>
    <row r="2095" spans="1:35" hidden="1">
      <c r="A2095" s="80" t="e">
        <f>"C"&amp;E2089</f>
        <v>#N/A</v>
      </c>
      <c r="B2095" s="88">
        <v>3</v>
      </c>
      <c r="C2095" s="82"/>
      <c r="D2095" s="82"/>
      <c r="E2095" s="82"/>
      <c r="F2095" s="82"/>
      <c r="G2095" s="83"/>
      <c r="H2095" s="83"/>
      <c r="I2095" s="84"/>
      <c r="J2095" s="85"/>
      <c r="K2095" s="382"/>
      <c r="L2095" s="85"/>
      <c r="M2095" s="332" t="str">
        <f t="shared" si="610"/>
        <v/>
      </c>
      <c r="N2095" s="86"/>
      <c r="O2095" s="453" t="str">
        <f t="shared" si="612"/>
        <v/>
      </c>
      <c r="P2095" s="538" t="str">
        <f t="shared" si="613"/>
        <v/>
      </c>
      <c r="Q2095" s="539" t="str">
        <f t="shared" si="611"/>
        <v/>
      </c>
      <c r="R2095" s="706"/>
      <c r="S2095" s="707"/>
      <c r="T2095" s="708"/>
      <c r="U2095" s="472"/>
      <c r="V2095" s="166"/>
      <c r="W2095" s="446"/>
      <c r="X2095" s="456"/>
      <c r="Y2095" s="436"/>
      <c r="Z2095" s="437"/>
      <c r="AA2095" s="560"/>
      <c r="AB2095" s="561"/>
      <c r="AC2095" s="87"/>
      <c r="AD2095" s="466"/>
      <c r="AE2095" s="456"/>
      <c r="AF2095" s="467"/>
      <c r="AG2095" s="87"/>
      <c r="AH2095" s="87"/>
      <c r="AI2095" s="87"/>
    </row>
    <row r="2096" spans="1:35" hidden="1">
      <c r="A2096" s="80" t="e">
        <f>"D"&amp;E2089</f>
        <v>#N/A</v>
      </c>
      <c r="B2096" s="105">
        <v>4</v>
      </c>
      <c r="C2096" s="107"/>
      <c r="D2096" s="107"/>
      <c r="E2096" s="107"/>
      <c r="F2096" s="107"/>
      <c r="G2096" s="83"/>
      <c r="H2096" s="83"/>
      <c r="I2096" s="84"/>
      <c r="J2096" s="85"/>
      <c r="K2096" s="382"/>
      <c r="L2096" s="85"/>
      <c r="M2096" s="332" t="str">
        <f t="shared" si="610"/>
        <v/>
      </c>
      <c r="N2096" s="86"/>
      <c r="O2096" s="453" t="str">
        <f t="shared" si="612"/>
        <v/>
      </c>
      <c r="P2096" s="538" t="str">
        <f t="shared" si="613"/>
        <v/>
      </c>
      <c r="Q2096" s="539" t="str">
        <f t="shared" si="611"/>
        <v/>
      </c>
      <c r="R2096" s="706"/>
      <c r="S2096" s="707"/>
      <c r="T2096" s="708"/>
      <c r="U2096" s="472"/>
      <c r="V2096" s="166"/>
      <c r="W2096" s="446"/>
      <c r="X2096" s="456"/>
      <c r="Y2096" s="436"/>
      <c r="Z2096" s="437"/>
      <c r="AA2096" s="560"/>
      <c r="AB2096" s="561"/>
      <c r="AC2096" s="87"/>
      <c r="AD2096" s="466"/>
      <c r="AE2096" s="456"/>
      <c r="AF2096" s="467"/>
      <c r="AG2096" s="87"/>
      <c r="AH2096" s="87"/>
      <c r="AI2096" s="87"/>
    </row>
    <row r="2097" spans="1:35" hidden="1">
      <c r="A2097" s="80" t="e">
        <f>"E"&amp;E2089</f>
        <v>#N/A</v>
      </c>
      <c r="B2097" s="105">
        <v>5</v>
      </c>
      <c r="C2097" s="107"/>
      <c r="D2097" s="107"/>
      <c r="E2097" s="107"/>
      <c r="F2097" s="107"/>
      <c r="G2097" s="83"/>
      <c r="H2097" s="83"/>
      <c r="I2097" s="84"/>
      <c r="J2097" s="85"/>
      <c r="K2097" s="382"/>
      <c r="L2097" s="85"/>
      <c r="M2097" s="332" t="str">
        <f t="shared" si="610"/>
        <v/>
      </c>
      <c r="N2097" s="86"/>
      <c r="O2097" s="453" t="str">
        <f t="shared" si="612"/>
        <v/>
      </c>
      <c r="P2097" s="538" t="str">
        <f t="shared" si="613"/>
        <v/>
      </c>
      <c r="Q2097" s="539" t="str">
        <f t="shared" si="611"/>
        <v/>
      </c>
      <c r="R2097" s="706"/>
      <c r="S2097" s="707"/>
      <c r="T2097" s="708"/>
      <c r="U2097" s="472"/>
      <c r="V2097" s="167"/>
      <c r="W2097" s="446"/>
      <c r="X2097" s="456"/>
      <c r="Y2097" s="436"/>
      <c r="Z2097" s="437"/>
      <c r="AA2097" s="560"/>
      <c r="AB2097" s="561"/>
      <c r="AC2097" s="87"/>
      <c r="AD2097" s="466"/>
      <c r="AE2097" s="456"/>
      <c r="AF2097" s="467"/>
      <c r="AG2097" s="87"/>
      <c r="AH2097" s="87"/>
      <c r="AI2097" s="87"/>
    </row>
    <row r="2098" spans="1:35" hidden="1">
      <c r="A2098" s="80" t="e">
        <f>"F"&amp;E2089</f>
        <v>#N/A</v>
      </c>
      <c r="B2098" s="105">
        <v>6</v>
      </c>
      <c r="C2098" s="107"/>
      <c r="D2098" s="107"/>
      <c r="E2098" s="107"/>
      <c r="F2098" s="107"/>
      <c r="G2098" s="83"/>
      <c r="H2098" s="83"/>
      <c r="I2098" s="84"/>
      <c r="J2098" s="85"/>
      <c r="K2098" s="382"/>
      <c r="L2098" s="85"/>
      <c r="M2098" s="332" t="str">
        <f t="shared" si="610"/>
        <v/>
      </c>
      <c r="N2098" s="86"/>
      <c r="O2098" s="453" t="str">
        <f t="shared" si="612"/>
        <v/>
      </c>
      <c r="P2098" s="538" t="str">
        <f t="shared" si="613"/>
        <v/>
      </c>
      <c r="Q2098" s="539" t="str">
        <f t="shared" si="611"/>
        <v/>
      </c>
      <c r="R2098" s="706"/>
      <c r="S2098" s="707"/>
      <c r="T2098" s="708"/>
      <c r="U2098" s="472"/>
      <c r="V2098" s="167"/>
      <c r="W2098" s="446"/>
      <c r="X2098" s="456"/>
      <c r="Y2098" s="436"/>
      <c r="Z2098" s="437"/>
      <c r="AA2098" s="560"/>
      <c r="AB2098" s="561"/>
      <c r="AC2098" s="87"/>
      <c r="AD2098" s="466"/>
      <c r="AE2098" s="456"/>
      <c r="AF2098" s="467"/>
      <c r="AG2098" s="87"/>
      <c r="AH2098" s="87"/>
      <c r="AI2098" s="87"/>
    </row>
    <row r="2099" spans="1:35" hidden="1">
      <c r="A2099" s="80" t="e">
        <f>"G"&amp;E2089</f>
        <v>#N/A</v>
      </c>
      <c r="B2099" s="105">
        <v>7</v>
      </c>
      <c r="C2099" s="107"/>
      <c r="D2099" s="107"/>
      <c r="E2099" s="107"/>
      <c r="F2099" s="107"/>
      <c r="G2099" s="83"/>
      <c r="H2099" s="83"/>
      <c r="I2099" s="84"/>
      <c r="J2099" s="85"/>
      <c r="K2099" s="382"/>
      <c r="L2099" s="85"/>
      <c r="M2099" s="332" t="str">
        <f t="shared" si="610"/>
        <v/>
      </c>
      <c r="N2099" s="86"/>
      <c r="O2099" s="86" t="str">
        <f t="shared" si="612"/>
        <v/>
      </c>
      <c r="P2099" s="538" t="str">
        <f t="shared" si="613"/>
        <v/>
      </c>
      <c r="Q2099" s="539" t="str">
        <f t="shared" si="611"/>
        <v/>
      </c>
      <c r="R2099" s="706"/>
      <c r="S2099" s="707"/>
      <c r="T2099" s="708"/>
      <c r="U2099" s="472"/>
      <c r="V2099" s="167"/>
      <c r="W2099" s="446"/>
      <c r="X2099" s="456"/>
      <c r="Y2099" s="436"/>
      <c r="Z2099" s="437"/>
      <c r="AA2099" s="560"/>
      <c r="AB2099" s="561"/>
      <c r="AC2099" s="87"/>
      <c r="AD2099" s="466"/>
      <c r="AE2099" s="456"/>
      <c r="AF2099" s="467"/>
      <c r="AG2099" s="87"/>
      <c r="AH2099" s="87"/>
      <c r="AI2099" s="87"/>
    </row>
    <row r="2100" spans="1:35" hidden="1">
      <c r="A2100" s="80" t="e">
        <f>"H"&amp;E2089</f>
        <v>#N/A</v>
      </c>
      <c r="B2100" s="105">
        <v>8</v>
      </c>
      <c r="C2100" s="107"/>
      <c r="D2100" s="107"/>
      <c r="E2100" s="107"/>
      <c r="F2100" s="107"/>
      <c r="G2100" s="83"/>
      <c r="H2100" s="83"/>
      <c r="I2100" s="84"/>
      <c r="J2100" s="85"/>
      <c r="K2100" s="382"/>
      <c r="L2100" s="85"/>
      <c r="M2100" s="332" t="str">
        <f t="shared" si="610"/>
        <v/>
      </c>
      <c r="N2100" s="453"/>
      <c r="O2100" s="86" t="str">
        <f t="shared" si="612"/>
        <v/>
      </c>
      <c r="P2100" s="538" t="str">
        <f t="shared" si="613"/>
        <v/>
      </c>
      <c r="Q2100" s="539" t="str">
        <f t="shared" si="611"/>
        <v/>
      </c>
      <c r="R2100" s="706"/>
      <c r="S2100" s="707"/>
      <c r="T2100" s="708"/>
      <c r="U2100" s="472"/>
      <c r="V2100" s="167"/>
      <c r="W2100" s="446"/>
      <c r="X2100" s="456"/>
      <c r="Y2100" s="436"/>
      <c r="Z2100" s="437"/>
      <c r="AA2100" s="560"/>
      <c r="AB2100" s="561"/>
      <c r="AC2100" s="87"/>
      <c r="AD2100" s="466"/>
      <c r="AE2100" s="456"/>
      <c r="AF2100" s="467"/>
      <c r="AG2100" s="87"/>
      <c r="AH2100" s="87"/>
      <c r="AI2100" s="87"/>
    </row>
    <row r="2101" spans="1:35" hidden="1">
      <c r="A2101" s="80" t="e">
        <f>"I"&amp;E2089</f>
        <v>#N/A</v>
      </c>
      <c r="B2101" s="105">
        <v>9</v>
      </c>
      <c r="C2101" s="107"/>
      <c r="D2101" s="107"/>
      <c r="E2101" s="107"/>
      <c r="F2101" s="107"/>
      <c r="G2101" s="83"/>
      <c r="H2101" s="83"/>
      <c r="I2101" s="84"/>
      <c r="J2101" s="85"/>
      <c r="K2101" s="382"/>
      <c r="L2101" s="85"/>
      <c r="M2101" s="332" t="str">
        <f t="shared" si="610"/>
        <v/>
      </c>
      <c r="N2101" s="453"/>
      <c r="O2101" s="86" t="str">
        <f t="shared" si="612"/>
        <v/>
      </c>
      <c r="P2101" s="538" t="str">
        <f t="shared" si="613"/>
        <v/>
      </c>
      <c r="Q2101" s="539" t="str">
        <f t="shared" si="611"/>
        <v/>
      </c>
      <c r="R2101" s="706"/>
      <c r="S2101" s="707"/>
      <c r="T2101" s="708"/>
      <c r="U2101" s="472"/>
      <c r="V2101" s="167"/>
      <c r="W2101" s="446"/>
      <c r="X2101" s="456"/>
      <c r="Y2101" s="436"/>
      <c r="Z2101" s="437"/>
      <c r="AA2101" s="560"/>
      <c r="AB2101" s="561"/>
      <c r="AC2101" s="87"/>
      <c r="AD2101" s="466"/>
      <c r="AE2101" s="456"/>
      <c r="AF2101" s="467"/>
      <c r="AG2101" s="87"/>
      <c r="AH2101" s="87"/>
      <c r="AI2101" s="87"/>
    </row>
    <row r="2102" spans="1:35" hidden="1">
      <c r="A2102" s="80" t="e">
        <f>"J"&amp;E2089</f>
        <v>#N/A</v>
      </c>
      <c r="B2102" s="105">
        <v>10</v>
      </c>
      <c r="C2102" s="107"/>
      <c r="D2102" s="107"/>
      <c r="E2102" s="107"/>
      <c r="F2102" s="107"/>
      <c r="G2102" s="83"/>
      <c r="H2102" s="83"/>
      <c r="I2102" s="84"/>
      <c r="J2102" s="85"/>
      <c r="K2102" s="382"/>
      <c r="L2102" s="85"/>
      <c r="M2102" s="332" t="str">
        <f t="shared" si="610"/>
        <v/>
      </c>
      <c r="N2102" s="453"/>
      <c r="O2102" s="86" t="str">
        <f t="shared" si="612"/>
        <v/>
      </c>
      <c r="P2102" s="538" t="str">
        <f t="shared" si="613"/>
        <v/>
      </c>
      <c r="Q2102" s="539" t="str">
        <f t="shared" si="611"/>
        <v/>
      </c>
      <c r="R2102" s="706"/>
      <c r="S2102" s="707"/>
      <c r="T2102" s="708"/>
      <c r="U2102" s="472"/>
      <c r="V2102" s="167"/>
      <c r="W2102" s="446"/>
      <c r="X2102" s="456"/>
      <c r="Y2102" s="436"/>
      <c r="Z2102" s="437"/>
      <c r="AA2102" s="560"/>
      <c r="AB2102" s="561"/>
      <c r="AC2102" s="87"/>
      <c r="AD2102" s="466"/>
      <c r="AE2102" s="456"/>
      <c r="AF2102" s="467"/>
      <c r="AG2102" s="87"/>
      <c r="AH2102" s="87"/>
      <c r="AI2102" s="87"/>
    </row>
    <row r="2103" spans="1:35" ht="16.5" hidden="1" thickBot="1">
      <c r="A2103" s="44"/>
      <c r="B2103" s="89"/>
      <c r="C2103" s="90"/>
      <c r="D2103" s="90"/>
      <c r="E2103" s="90"/>
      <c r="F2103" s="90"/>
      <c r="G2103" s="90"/>
      <c r="H2103" s="90"/>
      <c r="I2103" s="90"/>
      <c r="J2103" s="90"/>
      <c r="K2103" s="90"/>
      <c r="L2103" s="90"/>
      <c r="M2103" s="90"/>
      <c r="N2103" s="90"/>
      <c r="O2103" s="90"/>
      <c r="P2103" s="90"/>
      <c r="Q2103" s="90"/>
      <c r="R2103" s="90"/>
      <c r="S2103" s="91"/>
      <c r="T2103" s="92"/>
      <c r="U2103" s="473"/>
      <c r="W2103" s="438"/>
      <c r="X2103" s="455"/>
      <c r="Y2103" s="439"/>
      <c r="Z2103" s="437"/>
      <c r="AA2103" s="530"/>
      <c r="AB2103" s="563"/>
      <c r="AC2103" s="87"/>
      <c r="AD2103" s="440"/>
      <c r="AE2103" s="441"/>
      <c r="AF2103" s="442"/>
      <c r="AG2103" s="49"/>
      <c r="AH2103" s="87"/>
      <c r="AI2103" s="87"/>
    </row>
    <row r="2104" spans="1:35" ht="16.5" hidden="1" thickBot="1">
      <c r="A2104" s="93"/>
      <c r="B2104" s="94"/>
      <c r="C2104" s="96"/>
      <c r="D2104" s="96"/>
      <c r="E2104" s="96"/>
      <c r="F2104" s="96"/>
      <c r="G2104" s="96"/>
      <c r="H2104" s="96"/>
      <c r="I2104" s="96"/>
      <c r="J2104" s="96"/>
      <c r="K2104" s="96"/>
      <c r="L2104" s="96"/>
      <c r="M2104" s="136"/>
      <c r="N2104" s="96"/>
      <c r="O2104" s="96"/>
      <c r="P2104" s="97"/>
      <c r="Q2104" s="97"/>
      <c r="R2104" s="98"/>
      <c r="S2104" s="95"/>
      <c r="T2104" s="99"/>
      <c r="U2104" s="469"/>
      <c r="AC2104" s="58"/>
      <c r="AG2104" s="58"/>
      <c r="AH2104" s="87"/>
      <c r="AI2104" s="87"/>
    </row>
    <row r="2105" spans="1:35" ht="16.5" hidden="1" thickBot="1">
      <c r="B2105" s="101"/>
      <c r="C2105" s="101"/>
      <c r="D2105" s="101"/>
      <c r="E2105" s="101"/>
      <c r="F2105" s="101"/>
      <c r="G2105" s="101"/>
      <c r="H2105" s="101"/>
      <c r="I2105" s="101"/>
      <c r="J2105" s="101"/>
      <c r="K2105" s="101"/>
      <c r="L2105" s="101"/>
      <c r="M2105" s="101"/>
      <c r="N2105" s="101"/>
      <c r="O2105" s="101"/>
      <c r="P2105" s="101"/>
      <c r="Q2105" s="101"/>
      <c r="R2105" s="101"/>
      <c r="S2105" s="101"/>
      <c r="U2105" s="50"/>
      <c r="AH2105" s="87"/>
      <c r="AI2105" s="87"/>
    </row>
    <row r="2106" spans="1:35" ht="16.5" hidden="1" customHeight="1" thickBot="1">
      <c r="A2106" s="44"/>
      <c r="B2106" s="705" t="s">
        <v>74</v>
      </c>
      <c r="C2106" s="705"/>
      <c r="D2106" s="705"/>
      <c r="E2106" s="705"/>
      <c r="F2106" s="705"/>
      <c r="G2106" s="705"/>
      <c r="H2106" s="705"/>
      <c r="I2106" s="705"/>
      <c r="J2106" s="705"/>
      <c r="K2106" s="705"/>
      <c r="L2106" s="705"/>
      <c r="M2106" s="705"/>
      <c r="N2106" s="705"/>
      <c r="O2106" s="705"/>
      <c r="P2106" s="705"/>
      <c r="Q2106" s="705"/>
      <c r="R2106" s="705"/>
      <c r="S2106" s="705"/>
      <c r="T2106" s="705"/>
      <c r="U2106" s="108"/>
      <c r="Y2106" s="532" t="s">
        <v>341</v>
      </c>
      <c r="AC2106" s="49"/>
      <c r="AD2106" s="687" t="s">
        <v>302</v>
      </c>
      <c r="AE2106" s="688"/>
      <c r="AF2106" s="689"/>
      <c r="AG2106" s="49"/>
      <c r="AH2106" s="87"/>
      <c r="AI2106" s="87"/>
    </row>
    <row r="2107" spans="1:35" ht="15.75" hidden="1" customHeight="1" thickBot="1">
      <c r="A2107" s="218" t="e">
        <f>"K"&amp;E2089</f>
        <v>#N/A</v>
      </c>
      <c r="B2107" s="701" t="s">
        <v>71</v>
      </c>
      <c r="C2107" s="751" t="s">
        <v>102</v>
      </c>
      <c r="D2107" s="751"/>
      <c r="E2107" s="751"/>
      <c r="F2107" s="751"/>
      <c r="G2107" s="751"/>
      <c r="H2107" s="751"/>
      <c r="I2107" s="751"/>
      <c r="J2107" s="751"/>
      <c r="K2107" s="751"/>
      <c r="L2107" s="722" t="s">
        <v>100</v>
      </c>
      <c r="M2107" s="747" t="s">
        <v>114</v>
      </c>
      <c r="N2107" s="747"/>
      <c r="O2107" s="747"/>
      <c r="P2107" s="747"/>
      <c r="Q2107" s="748"/>
      <c r="R2107" s="758" t="s">
        <v>280</v>
      </c>
      <c r="S2107" s="748"/>
      <c r="T2107" s="762" t="str">
        <f>IF(COUNTIF(AE2107:AF2107,"VERIFICAR")&gt;0,"VERIFICAR",IF(COUNTIF(AE2107:AF2107,"NO CUMPLE")&gt;0,"NO CUMPLE","CUMPLE"))</f>
        <v>VERIFICAR</v>
      </c>
      <c r="U2107" s="108"/>
      <c r="Y2107" s="533" t="e">
        <f>IF(F2108="","",IF(F2108=1,"INDIVIDUAL","ESTRUCTURA PLURAL"))</f>
        <v>#N/A</v>
      </c>
      <c r="AC2107" s="52"/>
      <c r="AD2107" s="475" t="s">
        <v>303</v>
      </c>
      <c r="AE2107" s="476" t="str">
        <f>IF(COUNTIF(AE2093:AE2102,"")=10,"VERIFICAR",IF(COUNTIF(AE2093:AE2102,"SI")&gt;0,"CUMPLE","NO CUMPLE"))</f>
        <v>VERIFICAR</v>
      </c>
      <c r="AF2107" s="477" t="str">
        <f>IF(COUNTIF(AF2093:AF2102,"")=10,"VERIFICAR",IF(COUNTIF(AF2093:AF2102,"SI")&gt;=$AI$22,"CUMPLE","NO CUMPLE"))</f>
        <v>VERIFICAR</v>
      </c>
      <c r="AG2107" s="52"/>
      <c r="AH2107" s="87"/>
      <c r="AI2107" s="87"/>
    </row>
    <row r="2108" spans="1:35" ht="16.5" hidden="1" customHeight="1" thickBot="1">
      <c r="A2108" s="218" t="e">
        <f>"L"&amp;E2089</f>
        <v>#N/A</v>
      </c>
      <c r="B2108" s="702"/>
      <c r="C2108" s="751" t="s">
        <v>103</v>
      </c>
      <c r="D2108" s="751"/>
      <c r="E2108" s="752"/>
      <c r="F2108" s="557" t="e">
        <f>IF(VLOOKUP(E2089,PROPONENTES!$C$19:$E$218,3,0)="","",VLOOKUP(E2089,PROPONENTES!$C$19:$E$218,3,0))</f>
        <v>#N/A</v>
      </c>
      <c r="G2108" s="753" t="s">
        <v>104</v>
      </c>
      <c r="H2108" s="751"/>
      <c r="I2108" s="715" t="e">
        <f>IF(OR(F2108="",F2108=1),"INTERESADO PERSONA NATURAL O JURIDICA","CONSORCIO O UNION TEMPORAL")</f>
        <v>#N/A</v>
      </c>
      <c r="J2108" s="725"/>
      <c r="K2108" s="728"/>
      <c r="L2108" s="723"/>
      <c r="M2108" s="749"/>
      <c r="N2108" s="749"/>
      <c r="O2108" s="749"/>
      <c r="P2108" s="749"/>
      <c r="Q2108" s="750"/>
      <c r="R2108" s="712"/>
      <c r="S2108" s="750"/>
      <c r="T2108" s="763"/>
      <c r="U2108" s="108"/>
      <c r="Y2108" s="534"/>
      <c r="AA2108" s="52"/>
      <c r="AB2108" s="52"/>
      <c r="AC2108" s="52"/>
      <c r="AG2108" s="52"/>
      <c r="AH2108" s="87"/>
      <c r="AI2108" s="87"/>
    </row>
    <row r="2109" spans="1:35" ht="56.25" hidden="1" customHeight="1" thickBot="1">
      <c r="A2109" s="218" t="e">
        <f>"M"&amp;E2089</f>
        <v>#N/A</v>
      </c>
      <c r="B2109" s="702"/>
      <c r="C2109" s="725" t="s">
        <v>101</v>
      </c>
      <c r="D2109" s="716"/>
      <c r="E2109" s="558" t="s">
        <v>105</v>
      </c>
      <c r="F2109" s="554" t="s">
        <v>87</v>
      </c>
      <c r="G2109" s="553" t="s">
        <v>86</v>
      </c>
      <c r="H2109" s="559" t="s">
        <v>85</v>
      </c>
      <c r="I2109" s="554" t="s">
        <v>252</v>
      </c>
      <c r="J2109" s="553" t="str">
        <f>"¿EL INTEGRANTE TIENE UNA PARTICIPACIÓN DEL "&amp;PORCREQUERIDOINT*100&amp;"%?"</f>
        <v>¿EL INTEGRANTE TIENE UNA PARTICIPACIÓN DEL 60%?</v>
      </c>
      <c r="K2109" s="554" t="s">
        <v>107</v>
      </c>
      <c r="L2109" s="724"/>
      <c r="M2109" s="717" t="s">
        <v>115</v>
      </c>
      <c r="N2109" s="718"/>
      <c r="O2109" s="718"/>
      <c r="P2109" s="718"/>
      <c r="Q2109" s="223">
        <f>IF(AND(H2093="SI",P2093&gt;=0),1,0)+IF(AND(H2094="SI",P2094&gt;=0),1,0)+IF(AND(H2095="SI",P2095&gt;=0),1,0)+IF(AND(H2096="SI",P2096&gt;=0),1,0)+IF(AND(H2097="SI",P2097&gt;=0),1,0)+IF(AND(H2098="SI",P2098&gt;=0),1,0)+IF(AND(H2099="SI",P2099&gt;=0),1,0)+IF(AND(H2100="SI",P2100&gt;=0),1,0)+IF(AND(H2101="SI",P2101&gt;=0),1,0)+IF(AND(H2102="SI",P2102&gt;=0),1,0)</f>
        <v>0</v>
      </c>
      <c r="R2109" s="759"/>
      <c r="S2109" s="761"/>
      <c r="T2109" s="764"/>
      <c r="U2109" s="219"/>
      <c r="V2109" s="464"/>
      <c r="Y2109" s="532" t="s">
        <v>342</v>
      </c>
      <c r="AA2109" s="550" t="s">
        <v>344</v>
      </c>
      <c r="AB2109" s="693" t="s">
        <v>345</v>
      </c>
      <c r="AC2109" s="693" t="s">
        <v>346</v>
      </c>
      <c r="AD2109" s="685" t="s">
        <v>347</v>
      </c>
      <c r="AE2109" s="52"/>
      <c r="AF2109" s="52"/>
      <c r="AG2109" s="52"/>
      <c r="AH2109" s="87"/>
      <c r="AI2109" s="87"/>
    </row>
    <row r="2110" spans="1:35" ht="15.75" hidden="1" customHeight="1" thickBot="1">
      <c r="A2110" s="218" t="e">
        <f>"N"&amp;E2089</f>
        <v>#N/A</v>
      </c>
      <c r="B2110" s="702"/>
      <c r="C2110" s="114">
        <v>1</v>
      </c>
      <c r="D2110" s="194" t="e">
        <f>IF(AND(C2110&lt;=F2108,F2108&gt;1,F2108&lt;&gt;""),VLOOKUP(VALUE(E2089&amp;","&amp;C2110),INTEGRANTES!$D$18:$F$235,2,0),"")</f>
        <v>#N/A</v>
      </c>
      <c r="E2110" s="211" t="e">
        <f>IF(D2110&lt;&gt;"",VLOOKUP(VALUE(E2089&amp;","&amp;C2110),INTEGRANTES!$D$18:$F$235,3,0),"")</f>
        <v>#N/A</v>
      </c>
      <c r="F2110" s="547" t="e">
        <f>IF(D2110="","",SUMIF($I2093:$I2102,D2110,$P2093:$P2102))</f>
        <v>#N/A</v>
      </c>
      <c r="G2110" s="333" t="e">
        <f>IF(D2110="","",SUMIF($I2093:$I2102,D2110,$M2093:$M2102))</f>
        <v>#N/A</v>
      </c>
      <c r="H2110" s="535" t="e">
        <f t="shared" ref="H2110:H2115" si="614">IF(D2110="","",IF(OR(F2110=0,G2110=0),"NO APORTA",ROUND($F2110/$G2110,3)))</f>
        <v>#N/A</v>
      </c>
      <c r="I2110" s="212" t="e">
        <f>IF(D2110="","",IF(H2110="NO APORTA","NO",IF(H2110=MAX($H2110:$H2115),"SI","NO")))</f>
        <v>#N/A</v>
      </c>
      <c r="J2110" s="213" t="e">
        <f t="shared" ref="J2110:J2115" si="615">IF(D2110="","",IF(E2110&gt;=PORCREQUERIDOINT,"SI","NO"))</f>
        <v>#N/A</v>
      </c>
      <c r="K2110" s="200" t="e">
        <f t="shared" ref="K2110:K2115" si="616">IF(D2110="","",IF(AND(I2110="SI",J2110="SI"),"CUMPLE",IF(AND(I2110="NO",OR(J2110="SI",J2110="NO")),"","NO CUMPLE")))</f>
        <v>#N/A</v>
      </c>
      <c r="L2110" s="722" t="s">
        <v>108</v>
      </c>
      <c r="M2110" s="726" t="s">
        <v>119</v>
      </c>
      <c r="N2110" s="726"/>
      <c r="O2110" s="726"/>
      <c r="P2110" s="726"/>
      <c r="Q2110" s="727"/>
      <c r="R2110" s="758" t="s">
        <v>80</v>
      </c>
      <c r="S2110" s="747"/>
      <c r="T2110" s="748"/>
      <c r="U2110" s="219"/>
      <c r="V2110" s="464"/>
      <c r="Y2110" s="533" t="e">
        <f>IF(Y2107="","",IF(Y2107="INDIVIDUAL","NO APLICA","VERIFICAR CUADRO"))</f>
        <v>#N/A</v>
      </c>
      <c r="AA2110" s="551"/>
      <c r="AB2110" s="694"/>
      <c r="AC2110" s="694"/>
      <c r="AD2110" s="686"/>
      <c r="AE2110" s="52"/>
      <c r="AF2110" s="52"/>
      <c r="AG2110" s="52"/>
      <c r="AH2110" s="87"/>
      <c r="AI2110" s="87"/>
    </row>
    <row r="2111" spans="1:35" ht="27" hidden="1" customHeight="1" thickBot="1">
      <c r="A2111" s="218" t="e">
        <f>"O"&amp;E2089</f>
        <v>#N/A</v>
      </c>
      <c r="B2111" s="702"/>
      <c r="C2111" s="114">
        <v>2</v>
      </c>
      <c r="D2111" s="194" t="e">
        <f>IF(AND(C2111&lt;=F2108,F2108&lt;&gt;""),VLOOKUP(VALUE(E2089&amp;","&amp;C2111),INTEGRANTES!$D$18:$F$235,2,0),"")</f>
        <v>#N/A</v>
      </c>
      <c r="E2111" s="211" t="e">
        <f>IF(D2111&lt;&gt;"",VLOOKUP(VALUE(E2089&amp;","&amp;C2111),INTEGRANTES!$D$18:$F$235,3,0),"")</f>
        <v>#N/A</v>
      </c>
      <c r="F2111" s="547" t="e">
        <f>IF(D2111="","",SUMIF($I2093:$I2102,D2111,$P2093:$P2102))</f>
        <v>#N/A</v>
      </c>
      <c r="G2111" s="333" t="e">
        <f>IF(D2111="","",SUMIF($I2093:$I2102,D2111,$M2093:$M2102))</f>
        <v>#N/A</v>
      </c>
      <c r="H2111" s="535" t="e">
        <f t="shared" si="614"/>
        <v>#N/A</v>
      </c>
      <c r="I2111" s="212" t="e">
        <f>IF(D2111="","",IF(H2111="NO APORTA","NO",IF(H2111=MAX($H2110:$H2115),"SI","NO")))</f>
        <v>#N/A</v>
      </c>
      <c r="J2111" s="213" t="e">
        <f t="shared" si="615"/>
        <v>#N/A</v>
      </c>
      <c r="K2111" s="200" t="e">
        <f t="shared" si="616"/>
        <v>#N/A</v>
      </c>
      <c r="L2111" s="723"/>
      <c r="M2111" s="715" t="s">
        <v>116</v>
      </c>
      <c r="N2111" s="716"/>
      <c r="O2111" s="556" t="s">
        <v>113</v>
      </c>
      <c r="P2111" s="715" t="s">
        <v>117</v>
      </c>
      <c r="Q2111" s="728"/>
      <c r="R2111" s="759"/>
      <c r="S2111" s="760"/>
      <c r="T2111" s="761"/>
      <c r="U2111" s="219"/>
      <c r="V2111" s="464"/>
      <c r="Y2111" s="414"/>
      <c r="AA2111" s="542" t="e">
        <f>IF(AND(C2110&lt;=F2108,F2108&gt;1,F2108&lt;&gt;""),VLOOKUP(VALUE(E2089&amp;","&amp;C2110),INTEGRANTES!$D$18:$F$235,2,0),"")</f>
        <v>#N/A</v>
      </c>
      <c r="AB2111" s="544" t="e">
        <f t="shared" ref="AB2111:AB2116" si="617">IF(D2110="","",IF(OR(F2110=0,G2110=0),"NO APORTA",ROUND($F2110/$G2110,3)))</f>
        <v>#N/A</v>
      </c>
      <c r="AC2111" s="529"/>
      <c r="AD2111" s="200" t="e">
        <f t="shared" ref="AD2111:AD2116" si="618">IF(OR(AA2111="",AB2111=""),"",IF(AND(AC2111="X",AB2111&gt;=EXPREQVTD),"CUMPLE","NO CUMPLE"))</f>
        <v>#N/A</v>
      </c>
      <c r="AE2111" s="52"/>
      <c r="AF2111" s="52"/>
      <c r="AG2111" s="52"/>
      <c r="AH2111" s="87"/>
      <c r="AI2111" s="87"/>
    </row>
    <row r="2112" spans="1:35" ht="16.5" hidden="1" thickBot="1">
      <c r="A2112" s="218" t="e">
        <f>"P"&amp;E2089</f>
        <v>#N/A</v>
      </c>
      <c r="B2112" s="702"/>
      <c r="C2112" s="114">
        <v>3</v>
      </c>
      <c r="D2112" s="194" t="e">
        <f>IF(AND(C2112&lt;=F2108,F2108&lt;&gt;""),VLOOKUP(VALUE(E2089&amp;","&amp;C2112),INTEGRANTES!$D$18:$F$235,2,0),"")</f>
        <v>#N/A</v>
      </c>
      <c r="E2112" s="211" t="e">
        <f>IF(D2112&lt;&gt;"",VLOOKUP(VALUE(E2089&amp;","&amp;C2112),INTEGRANTES!$D$18:$F$235,3,0),"")</f>
        <v>#N/A</v>
      </c>
      <c r="F2112" s="547" t="e">
        <f>IF(D2112="","",SUMIF($I2093:$I2102,D2112,$P2093:$P2102))</f>
        <v>#N/A</v>
      </c>
      <c r="G2112" s="333" t="e">
        <f>IF(D2112="","",SUMIF($I2093:$I2102,D2112,$M2093:$M2102))</f>
        <v>#N/A</v>
      </c>
      <c r="H2112" s="535" t="e">
        <f t="shared" si="614"/>
        <v>#N/A</v>
      </c>
      <c r="I2112" s="212" t="e">
        <f>IF(D2112="","",IF(H2112="NO APORTA","NO",IF(H2112=MAX($H2110:$H2115),"SI","NO")))</f>
        <v>#N/A</v>
      </c>
      <c r="J2112" s="213" t="e">
        <f t="shared" si="615"/>
        <v>#N/A</v>
      </c>
      <c r="K2112" s="200" t="e">
        <f t="shared" si="616"/>
        <v>#N/A</v>
      </c>
      <c r="L2112" s="724"/>
      <c r="M2112" s="729">
        <f>NUMMOD</f>
        <v>1</v>
      </c>
      <c r="N2112" s="730"/>
      <c r="O2112" s="443">
        <f>IF(M2112="","",VLOOKUP(M2112,PRESUPUESTOS!$B$16:$H$16,5,FALSE))</f>
        <v>2</v>
      </c>
      <c r="P2112" s="713">
        <f>IF(OR(COUNTIF(M2093:M2102,"")&gt;=10,Q2109&lt;NUMMINCONT,OR(T2107="NO CUMPLE",T2107="VERIFICAR")),0,ROUND(AVERAGE(M2093:M2102),3))</f>
        <v>0</v>
      </c>
      <c r="Q2112" s="714"/>
      <c r="R2112" s="458"/>
      <c r="S2112" s="459"/>
      <c r="T2112" s="460"/>
      <c r="U2112" s="219"/>
      <c r="V2112" s="464"/>
      <c r="Y2112" s="532" t="str">
        <f>"40% * ("&amp;PRESUPUESTOS!$H$13&amp;")"</f>
        <v>40% * (50% PFMO)</v>
      </c>
      <c r="AA2112" s="540" t="e">
        <f>IF(AND(C2111&lt;=F2108,F2108&lt;&gt;""),VLOOKUP(VALUE(E2089&amp;","&amp;C2111),INTEGRANTES!$D$18:$F$235,2,0),"")</f>
        <v>#N/A</v>
      </c>
      <c r="AB2112" s="545" t="e">
        <f t="shared" si="617"/>
        <v>#N/A</v>
      </c>
      <c r="AC2112" s="529"/>
      <c r="AD2112" s="200" t="e">
        <f t="shared" si="618"/>
        <v>#N/A</v>
      </c>
      <c r="AE2112" s="52"/>
      <c r="AF2112" s="52"/>
      <c r="AG2112" s="52"/>
      <c r="AH2112" s="87"/>
      <c r="AI2112" s="87"/>
    </row>
    <row r="2113" spans="1:35" ht="15.75" hidden="1" customHeight="1" thickBot="1">
      <c r="A2113" s="218" t="e">
        <f>"Q"&amp;E2089</f>
        <v>#N/A</v>
      </c>
      <c r="B2113" s="702"/>
      <c r="C2113" s="114">
        <v>4</v>
      </c>
      <c r="D2113" s="194" t="e">
        <f>IF(AND(C2113&lt;=F2108,F2108&lt;&gt;""),VLOOKUP(VALUE(E2089&amp;","&amp;C2113),INTEGRANTES!$D$18:$F$235,2,0),"")</f>
        <v>#N/A</v>
      </c>
      <c r="E2113" s="211" t="e">
        <f>IF(D2113&lt;&gt;"",VLOOKUP(VALUE(E2089&amp;","&amp;C2113),INTEGRANTES!$D$18:$F$235,3,0),"")</f>
        <v>#N/A</v>
      </c>
      <c r="F2113" s="547" t="e">
        <f>IF(D2113="","",SUMIF($I2093:$I2102,D2113,$P2093:$P2102))</f>
        <v>#N/A</v>
      </c>
      <c r="G2113" s="333" t="e">
        <f>IF(D2113="","",SUMIF($I2093:$I2102,D2113,$M2093:$M2102))</f>
        <v>#N/A</v>
      </c>
      <c r="H2113" s="535" t="e">
        <f t="shared" si="614"/>
        <v>#N/A</v>
      </c>
      <c r="I2113" s="212" t="e">
        <f>IF(D2113="","",IF(H2113="NO APORTA","NO",IF(H2113=MAX($H2110:$H2115),"SI","NO")))</f>
        <v>#N/A</v>
      </c>
      <c r="J2113" s="213" t="e">
        <f t="shared" si="615"/>
        <v>#N/A</v>
      </c>
      <c r="K2113" s="200" t="e">
        <f t="shared" si="616"/>
        <v>#N/A</v>
      </c>
      <c r="L2113" s="720" t="s">
        <v>109</v>
      </c>
      <c r="M2113" s="757" t="s">
        <v>120</v>
      </c>
      <c r="N2113" s="726"/>
      <c r="O2113" s="726"/>
      <c r="P2113" s="726"/>
      <c r="Q2113" s="727"/>
      <c r="R2113" s="458"/>
      <c r="S2113" s="459"/>
      <c r="T2113" s="460"/>
      <c r="U2113" s="219"/>
      <c r="V2113" s="464"/>
      <c r="Y2113" s="537">
        <f>0.4*PRESUPUESTOS!$H$16</f>
        <v>10.3124</v>
      </c>
      <c r="AA2113" s="540" t="e">
        <f>IF(AND(C2112&lt;=F2108,F2108&lt;&gt;""),VLOOKUP(VALUE(E2089&amp;","&amp;C2112),INTEGRANTES!$D$18:$F$235,2,0),"")</f>
        <v>#N/A</v>
      </c>
      <c r="AB2113" s="545" t="e">
        <f t="shared" si="617"/>
        <v>#N/A</v>
      </c>
      <c r="AC2113" s="529"/>
      <c r="AD2113" s="200" t="e">
        <f t="shared" si="618"/>
        <v>#N/A</v>
      </c>
      <c r="AE2113" s="52"/>
      <c r="AF2113" s="52"/>
      <c r="AG2113" s="52"/>
      <c r="AH2113" s="87"/>
      <c r="AI2113" s="87"/>
    </row>
    <row r="2114" spans="1:35" ht="27" hidden="1" customHeight="1" thickBot="1">
      <c r="A2114" s="218" t="e">
        <f>"R"&amp;E2089</f>
        <v>#N/A</v>
      </c>
      <c r="B2114" s="702"/>
      <c r="C2114" s="114">
        <v>5</v>
      </c>
      <c r="D2114" s="194" t="e">
        <f>IF(AND(C2114&lt;=F2108,F2108&lt;&gt;""),VLOOKUP(VALUE(E2089&amp;","&amp;C2114),INTEGRANTES!$D$18:$F$235,2,0),"")</f>
        <v>#N/A</v>
      </c>
      <c r="E2114" s="211" t="e">
        <f>IF(D2114&lt;&gt;"",VLOOKUP(VALUE(E2089&amp;","&amp;C2114),INTEGRANTES!$D$18:$F$235,3,0),"")</f>
        <v>#N/A</v>
      </c>
      <c r="F2114" s="547" t="e">
        <f>IF(D2114="","",SUMIF($I2093:$I2102,D2114,$P2093:$P2102))</f>
        <v>#N/A</v>
      </c>
      <c r="G2114" s="333" t="e">
        <f>IF(D2114="","",SUMIF($I2093:$I2102,D2114,$M2093:$M2102))</f>
        <v>#N/A</v>
      </c>
      <c r="H2114" s="535" t="e">
        <f t="shared" si="614"/>
        <v>#N/A</v>
      </c>
      <c r="I2114" s="212" t="e">
        <f>IF(D2114="","",IF(H2114="NO APORTA","NO",IF(H2114=MAX($H2110:$H2115),"SI","NO")))</f>
        <v>#N/A</v>
      </c>
      <c r="J2114" s="213" t="e">
        <f t="shared" si="615"/>
        <v>#N/A</v>
      </c>
      <c r="K2114" s="200" t="e">
        <f t="shared" si="616"/>
        <v>#N/A</v>
      </c>
      <c r="L2114" s="721"/>
      <c r="M2114" s="715" t="s">
        <v>116</v>
      </c>
      <c r="N2114" s="716"/>
      <c r="O2114" s="556" t="str">
        <f>PORCREQUERIDO*100&amp;"% PMFO DEL MÓDULO"</f>
        <v>50% PMFO DEL MÓDULO</v>
      </c>
      <c r="P2114" s="715" t="s">
        <v>118</v>
      </c>
      <c r="Q2114" s="728"/>
      <c r="R2114" s="458"/>
      <c r="S2114" s="459"/>
      <c r="T2114" s="460"/>
      <c r="U2114" s="219"/>
      <c r="V2114" s="464"/>
      <c r="Y2114" s="414"/>
      <c r="AA2114" s="540" t="e">
        <f>IF(AND(C2113&lt;=F2108,F2108&lt;&gt;""),VLOOKUP(VALUE(E2089&amp;","&amp;C2113),INTEGRANTES!$D$18:$F$235,2,0),"")</f>
        <v>#N/A</v>
      </c>
      <c r="AB2114" s="545" t="e">
        <f t="shared" si="617"/>
        <v>#N/A</v>
      </c>
      <c r="AC2114" s="529"/>
      <c r="AD2114" s="200" t="e">
        <f t="shared" si="618"/>
        <v>#N/A</v>
      </c>
      <c r="AE2114" s="52"/>
      <c r="AF2114" s="52"/>
      <c r="AG2114" s="52"/>
      <c r="AH2114" s="87"/>
      <c r="AI2114" s="87"/>
    </row>
    <row r="2115" spans="1:35" ht="16.5" hidden="1" thickBot="1">
      <c r="A2115" s="218" t="e">
        <f>"S"&amp;E2089</f>
        <v>#N/A</v>
      </c>
      <c r="B2115" s="702"/>
      <c r="C2115" s="215">
        <v>6</v>
      </c>
      <c r="D2115" s="216" t="e">
        <f>IF(AND(C2115&lt;=F2108,F2108&lt;&gt;""),VLOOKUP(VALUE(E2089&amp;","&amp;C2115),INTEGRANTES!$D$18:$F$235,2,0),"")</f>
        <v>#N/A</v>
      </c>
      <c r="E2115" s="217" t="e">
        <f>IF(D2115&lt;&gt;"",VLOOKUP(VALUE(E2089&amp;","&amp;C2115),INTEGRANTES!$D$18:$F$235,3,0),"")</f>
        <v>#N/A</v>
      </c>
      <c r="F2115" s="548" t="e">
        <f>IF(D2115="","",SUMIF($I2093:$I2102,D2115,$P2093:$P2102))</f>
        <v>#N/A</v>
      </c>
      <c r="G2115" s="334" t="e">
        <f>IF(D2115="","",SUMIF($I2093:$I2102,D2115,$M2093:$M2102))</f>
        <v>#N/A</v>
      </c>
      <c r="H2115" s="536" t="e">
        <f t="shared" si="614"/>
        <v>#N/A</v>
      </c>
      <c r="I2115" s="214" t="e">
        <f>IF(D2115="","",IF(H2115="NO APORTA","NO",IF(H2115=MAX($H2110:$H2115),"SI","NO")))</f>
        <v>#N/A</v>
      </c>
      <c r="J2115" s="213" t="e">
        <f t="shared" si="615"/>
        <v>#N/A</v>
      </c>
      <c r="K2115" s="200" t="e">
        <f t="shared" si="616"/>
        <v>#N/A</v>
      </c>
      <c r="L2115" s="721"/>
      <c r="M2115" s="729">
        <f>NUMMOD</f>
        <v>1</v>
      </c>
      <c r="N2115" s="730"/>
      <c r="O2115" s="443">
        <f>IF(M2115="","",ROUND(VLOOKUP(M2115,PRESUPUESTOS!$B$16:$H$16,7,FALSE),3))</f>
        <v>25.780999999999999</v>
      </c>
      <c r="P2115" s="713">
        <f>IF(OR(COUNTIF(P2093:P2102,"")&gt;=10,Q2109&lt;NUMMINCONT,OR(T2107="NO CUMPLE",T2107="VERIFICAR")),0,ROUND((SUM(P2093:P2102)/SUM(M2093:M2102)),3))</f>
        <v>0</v>
      </c>
      <c r="Q2115" s="714"/>
      <c r="R2115" s="458"/>
      <c r="S2115" s="459"/>
      <c r="T2115" s="460"/>
      <c r="U2115" s="219"/>
      <c r="V2115" s="464"/>
      <c r="Y2115" s="532" t="s">
        <v>343</v>
      </c>
      <c r="AA2115" s="540" t="e">
        <f>IF(AND(C2114&lt;=F2108,F2108&lt;&gt;""),VLOOKUP(VALUE(E2089&amp;","&amp;C2114),INTEGRANTES!$D$18:$F$235,2,0),"")</f>
        <v>#N/A</v>
      </c>
      <c r="AB2115" s="545" t="e">
        <f t="shared" si="617"/>
        <v>#N/A</v>
      </c>
      <c r="AC2115" s="529"/>
      <c r="AD2115" s="200" t="e">
        <f t="shared" si="618"/>
        <v>#N/A</v>
      </c>
      <c r="AE2115" s="52"/>
      <c r="AF2115" s="52"/>
      <c r="AG2115" s="52"/>
      <c r="AH2115" s="87"/>
      <c r="AI2115" s="87"/>
    </row>
    <row r="2116" spans="1:35" ht="16.5" hidden="1" customHeight="1" thickBot="1">
      <c r="A2116" s="218" t="e">
        <f>"T"&amp;E2089</f>
        <v>#N/A</v>
      </c>
      <c r="B2116" s="703"/>
      <c r="C2116" s="719"/>
      <c r="D2116" s="719"/>
      <c r="E2116" s="719"/>
      <c r="F2116" s="719"/>
      <c r="G2116" s="719"/>
      <c r="H2116" s="719" t="s">
        <v>110</v>
      </c>
      <c r="I2116" s="719"/>
      <c r="J2116" s="719"/>
      <c r="K2116" s="201" t="str">
        <f>IF(COUNTIF(K2110:K2115,"")=6,"",IF(COUNTIF(K2110:K2115,"CUMPLE")&gt;0,"CUMPLE","NO CUMPLE"))</f>
        <v>NO CUMPLE</v>
      </c>
      <c r="L2116" s="754"/>
      <c r="M2116" s="755"/>
      <c r="N2116" s="755"/>
      <c r="O2116" s="755"/>
      <c r="P2116" s="755"/>
      <c r="Q2116" s="756"/>
      <c r="R2116" s="461"/>
      <c r="S2116" s="462"/>
      <c r="T2116" s="463"/>
      <c r="U2116" s="219"/>
      <c r="V2116" s="464"/>
      <c r="Y2116" s="549" t="e">
        <f>IF(Y2110="NO APLICA","NO APLICA",IF(COUNTIF(AD2111:AD2116,"CUMPLE")&gt;0,"CUMPLE","NO CUMPLE"))</f>
        <v>#N/A</v>
      </c>
      <c r="AA2116" s="541" t="e">
        <f>IF(AND(C2115&lt;=F2108,F2108&lt;&gt;""),VLOOKUP(VALUE(E2089&amp;","&amp;C2115),INTEGRANTES!$D$18:$F$235,2,0),"")</f>
        <v>#N/A</v>
      </c>
      <c r="AB2116" s="546" t="e">
        <f t="shared" si="617"/>
        <v>#N/A</v>
      </c>
      <c r="AC2116" s="543"/>
      <c r="AD2116" s="201" t="e">
        <f t="shared" si="618"/>
        <v>#N/A</v>
      </c>
      <c r="AE2116" s="52"/>
      <c r="AF2116" s="52"/>
      <c r="AG2116" s="52"/>
      <c r="AH2116" s="87"/>
      <c r="AI2116" s="87"/>
    </row>
    <row r="2117" spans="1:35" hidden="1">
      <c r="AH2117" s="87"/>
      <c r="AI2117" s="87"/>
    </row>
    <row r="2118" spans="1:35" hidden="1">
      <c r="AH2118" s="87"/>
      <c r="AI2118" s="87"/>
    </row>
    <row r="2119" spans="1:35" ht="24" hidden="1" thickBot="1">
      <c r="A2119" s="61">
        <v>71</v>
      </c>
      <c r="B2119" s="704" t="s">
        <v>51</v>
      </c>
      <c r="C2119" s="704"/>
      <c r="D2119" s="704"/>
      <c r="E2119" s="62" t="e">
        <f>VLOOKUP(A2119,PROPONENTES!$B$19:$E$218,2,FALSE)</f>
        <v>#N/A</v>
      </c>
      <c r="F2119" s="63" t="e">
        <f>VLOOKUP(A2119,PROPONENTES!$B$19:$E$218,3,FALSE)</f>
        <v>#N/A</v>
      </c>
      <c r="G2119" s="64"/>
      <c r="H2119" s="64"/>
      <c r="I2119" s="63"/>
      <c r="J2119" s="63"/>
      <c r="K2119" s="65"/>
      <c r="L2119" s="65"/>
      <c r="M2119" s="64"/>
      <c r="N2119" s="64"/>
      <c r="O2119" s="66"/>
      <c r="P2119" s="66"/>
      <c r="Q2119" s="66"/>
      <c r="R2119" s="66"/>
      <c r="S2119" s="67"/>
      <c r="T2119" s="68"/>
      <c r="U2119" s="68"/>
      <c r="AC2119" s="68"/>
      <c r="AD2119" s="68"/>
      <c r="AE2119" s="68"/>
      <c r="AF2119" s="68"/>
      <c r="AG2119" s="68"/>
      <c r="AH2119" s="87"/>
      <c r="AI2119" s="87"/>
    </row>
    <row r="2120" spans="1:35" ht="15.75" hidden="1" customHeight="1">
      <c r="A2120" s="44"/>
      <c r="B2120" s="709" t="s">
        <v>59</v>
      </c>
      <c r="C2120" s="552" t="s">
        <v>60</v>
      </c>
      <c r="D2120" s="70" t="s">
        <v>17</v>
      </c>
      <c r="E2120" s="70"/>
      <c r="F2120" s="70" t="s">
        <v>61</v>
      </c>
      <c r="G2120" s="71"/>
      <c r="H2120" s="699" t="s">
        <v>62</v>
      </c>
      <c r="I2120" s="699" t="s">
        <v>18</v>
      </c>
      <c r="J2120" s="699" t="s">
        <v>63</v>
      </c>
      <c r="K2120" s="699" t="s">
        <v>64</v>
      </c>
      <c r="L2120" s="699" t="s">
        <v>65</v>
      </c>
      <c r="M2120" s="743" t="s">
        <v>66</v>
      </c>
      <c r="N2120" s="699" t="s">
        <v>282</v>
      </c>
      <c r="O2120" s="745" t="s">
        <v>67</v>
      </c>
      <c r="P2120" s="746"/>
      <c r="Q2120" s="102" t="s">
        <v>75</v>
      </c>
      <c r="R2120" s="731" t="s">
        <v>22</v>
      </c>
      <c r="S2120" s="732"/>
      <c r="T2120" s="733"/>
      <c r="U2120" s="712" t="s">
        <v>298</v>
      </c>
      <c r="W2120" s="690" t="s">
        <v>268</v>
      </c>
      <c r="X2120" s="691"/>
      <c r="Y2120" s="692"/>
      <c r="Z2120" s="428"/>
      <c r="AA2120" s="697" t="s">
        <v>315</v>
      </c>
      <c r="AB2120" s="695" t="s">
        <v>322</v>
      </c>
      <c r="AC2120" s="49"/>
      <c r="AD2120" s="690" t="s">
        <v>297</v>
      </c>
      <c r="AE2120" s="691"/>
      <c r="AF2120" s="692"/>
      <c r="AG2120" s="49"/>
      <c r="AH2120" s="87"/>
      <c r="AI2120" s="87"/>
    </row>
    <row r="2121" spans="1:35" ht="72" hidden="1">
      <c r="A2121" s="44"/>
      <c r="B2121" s="710"/>
      <c r="C2121" s="553" t="s">
        <v>68</v>
      </c>
      <c r="D2121" s="73" t="s">
        <v>3</v>
      </c>
      <c r="E2121" s="73" t="s">
        <v>19</v>
      </c>
      <c r="F2121" s="73" t="s">
        <v>69</v>
      </c>
      <c r="G2121" s="74" t="s">
        <v>70</v>
      </c>
      <c r="H2121" s="700"/>
      <c r="I2121" s="700"/>
      <c r="J2121" s="700"/>
      <c r="K2121" s="700"/>
      <c r="L2121" s="700"/>
      <c r="M2121" s="744"/>
      <c r="N2121" s="700"/>
      <c r="O2121" s="553" t="s">
        <v>279</v>
      </c>
      <c r="P2121" s="73" t="s">
        <v>88</v>
      </c>
      <c r="Q2121" s="555" t="s">
        <v>76</v>
      </c>
      <c r="R2121" s="734"/>
      <c r="S2121" s="735"/>
      <c r="T2121" s="736"/>
      <c r="U2121" s="712"/>
      <c r="W2121" s="429" t="s">
        <v>269</v>
      </c>
      <c r="X2121" s="457" t="s">
        <v>278</v>
      </c>
      <c r="Y2121" s="430" t="s">
        <v>324</v>
      </c>
      <c r="Z2121" s="428"/>
      <c r="AA2121" s="698"/>
      <c r="AB2121" s="696"/>
      <c r="AC2121" s="49"/>
      <c r="AD2121" s="429" t="s">
        <v>292</v>
      </c>
      <c r="AE2121" s="431" t="s">
        <v>300</v>
      </c>
      <c r="AF2121" s="468" t="s">
        <v>301</v>
      </c>
      <c r="AG2121" s="49"/>
      <c r="AH2121" s="87"/>
      <c r="AI2121" s="87"/>
    </row>
    <row r="2122" spans="1:35" hidden="1">
      <c r="A2122" s="44"/>
      <c r="B2122" s="76"/>
      <c r="C2122" s="77"/>
      <c r="D2122" s="77"/>
      <c r="E2122" s="77"/>
      <c r="F2122" s="77"/>
      <c r="G2122" s="77"/>
      <c r="H2122" s="77"/>
      <c r="I2122" s="77"/>
      <c r="J2122" s="77"/>
      <c r="K2122" s="77"/>
      <c r="L2122" s="77"/>
      <c r="M2122" s="77"/>
      <c r="N2122" s="77"/>
      <c r="O2122" s="77"/>
      <c r="P2122" s="77"/>
      <c r="Q2122" s="77"/>
      <c r="R2122" s="77"/>
      <c r="S2122" s="78"/>
      <c r="T2122" s="79"/>
      <c r="U2122" s="109"/>
      <c r="V2122" s="49"/>
      <c r="W2122" s="432"/>
      <c r="X2122" s="454"/>
      <c r="Y2122" s="433"/>
      <c r="Z2122" s="6"/>
      <c r="AA2122" s="500"/>
      <c r="AB2122" s="562"/>
      <c r="AC2122" s="49"/>
      <c r="AD2122" s="210"/>
      <c r="AE2122" s="434"/>
      <c r="AF2122" s="435"/>
      <c r="AG2122" s="49"/>
      <c r="AH2122" s="87"/>
      <c r="AI2122" s="87"/>
    </row>
    <row r="2123" spans="1:35" hidden="1">
      <c r="A2123" s="80" t="e">
        <f>"A"&amp;E2119</f>
        <v>#N/A</v>
      </c>
      <c r="B2123" s="81">
        <v>1</v>
      </c>
      <c r="C2123" s="82"/>
      <c r="D2123" s="82"/>
      <c r="E2123" s="82"/>
      <c r="F2123" s="82"/>
      <c r="G2123" s="83"/>
      <c r="H2123" s="83"/>
      <c r="I2123" s="84"/>
      <c r="J2123" s="85"/>
      <c r="K2123" s="382"/>
      <c r="L2123" s="85"/>
      <c r="M2123" s="332" t="str">
        <f t="shared" ref="M2123:M2132" si="619">IF(OR(J2123="",L2123="",H2123="NO"),"",IF(OR(J2123&gt;$P$17,J2123&lt;$O$17,L2123&gt;$P$17,AND(J2123&lt;$O$17,L2123&lt;$O$17)),"FUERA DE RANGO",IF(OR(K2123="---",K2123=""),IF(J2123&gt;=$O$17,ROUND((L2123-J2123+1)/360*12,3),ROUND((L2123-$O$17+1)/360*12,3)),IF(J2123&gt;=$O$17,ROUND((L2123-J2123+1)/360*12-ROUND(K2123,3),3),ROUND((L2123-$O$17+1)/360*12-ROUND(K2123,3),3)))))</f>
        <v/>
      </c>
      <c r="N2123" s="86"/>
      <c r="O2123" s="453" t="str">
        <f>IF(OR(G2123="",N2123=""),"",N2123*G2123)</f>
        <v/>
      </c>
      <c r="P2123" s="538" t="str">
        <f>IF(OR(H2123="",M2123="FUERA DE RANGO"),"",IF(OR(L2123&lt;$O$17,L2123&gt;$P$17,L2123="",H2123="NO"),"",IF(OR(N2123="",O2123=""),"",ROUND(O2123,3))))</f>
        <v/>
      </c>
      <c r="Q2123" s="539" t="str">
        <f t="shared" ref="Q2123:Q2132" si="620">IF(AND(H2123="SI",P2123&lt;&gt;""),ROUND(P2123/M2123,3),"")</f>
        <v/>
      </c>
      <c r="R2123" s="737"/>
      <c r="S2123" s="738"/>
      <c r="T2123" s="739"/>
      <c r="U2123" s="470"/>
      <c r="V2123" s="165"/>
      <c r="W2123" s="446"/>
      <c r="X2123" s="456"/>
      <c r="Y2123" s="436"/>
      <c r="Z2123" s="437"/>
      <c r="AA2123" s="560"/>
      <c r="AB2123" s="561"/>
      <c r="AC2123" s="87"/>
      <c r="AD2123" s="466"/>
      <c r="AE2123" s="456"/>
      <c r="AF2123" s="467"/>
      <c r="AG2123" s="87"/>
      <c r="AH2123" s="87"/>
      <c r="AI2123" s="87"/>
    </row>
    <row r="2124" spans="1:35" hidden="1">
      <c r="A2124" s="80" t="e">
        <f>"B"&amp;E2119</f>
        <v>#N/A</v>
      </c>
      <c r="B2124" s="81">
        <v>2</v>
      </c>
      <c r="C2124" s="106"/>
      <c r="D2124" s="106"/>
      <c r="E2124" s="106"/>
      <c r="F2124" s="106"/>
      <c r="G2124" s="83"/>
      <c r="H2124" s="83"/>
      <c r="I2124" s="84"/>
      <c r="J2124" s="85"/>
      <c r="K2124" s="382"/>
      <c r="L2124" s="85"/>
      <c r="M2124" s="332" t="str">
        <f t="shared" si="619"/>
        <v/>
      </c>
      <c r="N2124" s="86"/>
      <c r="O2124" s="453" t="str">
        <f t="shared" ref="O2124:O2132" si="621">IF(OR(G2124="",N2124=""),"",N2124*G2124)</f>
        <v/>
      </c>
      <c r="P2124" s="538" t="str">
        <f t="shared" ref="P2124:P2132" si="622">IF(OR(H2124="",M2124="FUERA DE RANGO"),"",IF(OR(L2124&lt;$O$17,L2124&gt;$P$17,L2124="",H2124="NO"),"",IF(OR(N2124="",O2124=""),"",ROUND(O2124,3))))</f>
        <v/>
      </c>
      <c r="Q2124" s="539" t="str">
        <f t="shared" si="620"/>
        <v/>
      </c>
      <c r="R2124" s="740"/>
      <c r="S2124" s="741"/>
      <c r="T2124" s="742"/>
      <c r="U2124" s="471"/>
      <c r="V2124" s="165"/>
      <c r="W2124" s="446"/>
      <c r="X2124" s="456"/>
      <c r="Y2124" s="436"/>
      <c r="Z2124" s="437"/>
      <c r="AA2124" s="560"/>
      <c r="AB2124" s="561"/>
      <c r="AC2124" s="87"/>
      <c r="AD2124" s="466"/>
      <c r="AE2124" s="456"/>
      <c r="AF2124" s="467"/>
      <c r="AG2124" s="87"/>
      <c r="AH2124" s="87"/>
      <c r="AI2124" s="87"/>
    </row>
    <row r="2125" spans="1:35" hidden="1">
      <c r="A2125" s="80" t="e">
        <f>"C"&amp;E2119</f>
        <v>#N/A</v>
      </c>
      <c r="B2125" s="88">
        <v>3</v>
      </c>
      <c r="C2125" s="82"/>
      <c r="D2125" s="82"/>
      <c r="E2125" s="82"/>
      <c r="F2125" s="82"/>
      <c r="G2125" s="83"/>
      <c r="H2125" s="83"/>
      <c r="I2125" s="84"/>
      <c r="J2125" s="85"/>
      <c r="K2125" s="382"/>
      <c r="L2125" s="85"/>
      <c r="M2125" s="332" t="str">
        <f t="shared" si="619"/>
        <v/>
      </c>
      <c r="N2125" s="86"/>
      <c r="O2125" s="453" t="str">
        <f t="shared" si="621"/>
        <v/>
      </c>
      <c r="P2125" s="538" t="str">
        <f t="shared" si="622"/>
        <v/>
      </c>
      <c r="Q2125" s="539" t="str">
        <f t="shared" si="620"/>
        <v/>
      </c>
      <c r="R2125" s="706"/>
      <c r="S2125" s="707"/>
      <c r="T2125" s="708"/>
      <c r="U2125" s="472"/>
      <c r="V2125" s="166"/>
      <c r="W2125" s="446"/>
      <c r="X2125" s="456"/>
      <c r="Y2125" s="436"/>
      <c r="Z2125" s="437"/>
      <c r="AA2125" s="560"/>
      <c r="AB2125" s="561"/>
      <c r="AC2125" s="87"/>
      <c r="AD2125" s="466"/>
      <c r="AE2125" s="456"/>
      <c r="AF2125" s="467"/>
      <c r="AG2125" s="87"/>
      <c r="AH2125" s="87"/>
      <c r="AI2125" s="87"/>
    </row>
    <row r="2126" spans="1:35" hidden="1">
      <c r="A2126" s="80" t="e">
        <f>"D"&amp;E2119</f>
        <v>#N/A</v>
      </c>
      <c r="B2126" s="105">
        <v>4</v>
      </c>
      <c r="C2126" s="107"/>
      <c r="D2126" s="107"/>
      <c r="E2126" s="107"/>
      <c r="F2126" s="107"/>
      <c r="G2126" s="83"/>
      <c r="H2126" s="83"/>
      <c r="I2126" s="84"/>
      <c r="J2126" s="85"/>
      <c r="K2126" s="382"/>
      <c r="L2126" s="85"/>
      <c r="M2126" s="332" t="str">
        <f t="shared" si="619"/>
        <v/>
      </c>
      <c r="N2126" s="86"/>
      <c r="O2126" s="453" t="str">
        <f t="shared" si="621"/>
        <v/>
      </c>
      <c r="P2126" s="538" t="str">
        <f t="shared" si="622"/>
        <v/>
      </c>
      <c r="Q2126" s="539" t="str">
        <f t="shared" si="620"/>
        <v/>
      </c>
      <c r="R2126" s="706"/>
      <c r="S2126" s="707"/>
      <c r="T2126" s="708"/>
      <c r="U2126" s="472"/>
      <c r="V2126" s="166"/>
      <c r="W2126" s="446"/>
      <c r="X2126" s="456"/>
      <c r="Y2126" s="436"/>
      <c r="Z2126" s="437"/>
      <c r="AA2126" s="560"/>
      <c r="AB2126" s="561"/>
      <c r="AC2126" s="87"/>
      <c r="AD2126" s="466"/>
      <c r="AE2126" s="456"/>
      <c r="AF2126" s="467"/>
      <c r="AG2126" s="87"/>
      <c r="AH2126" s="87"/>
      <c r="AI2126" s="87"/>
    </row>
    <row r="2127" spans="1:35" hidden="1">
      <c r="A2127" s="80" t="e">
        <f>"E"&amp;E2119</f>
        <v>#N/A</v>
      </c>
      <c r="B2127" s="105">
        <v>5</v>
      </c>
      <c r="C2127" s="107"/>
      <c r="D2127" s="107"/>
      <c r="E2127" s="107"/>
      <c r="F2127" s="107"/>
      <c r="G2127" s="83"/>
      <c r="H2127" s="83"/>
      <c r="I2127" s="84"/>
      <c r="J2127" s="85"/>
      <c r="K2127" s="382"/>
      <c r="L2127" s="85"/>
      <c r="M2127" s="332" t="str">
        <f t="shared" si="619"/>
        <v/>
      </c>
      <c r="N2127" s="86"/>
      <c r="O2127" s="453" t="str">
        <f t="shared" si="621"/>
        <v/>
      </c>
      <c r="P2127" s="538" t="str">
        <f t="shared" si="622"/>
        <v/>
      </c>
      <c r="Q2127" s="539" t="str">
        <f t="shared" si="620"/>
        <v/>
      </c>
      <c r="R2127" s="706"/>
      <c r="S2127" s="707"/>
      <c r="T2127" s="708"/>
      <c r="U2127" s="472"/>
      <c r="V2127" s="167"/>
      <c r="W2127" s="446"/>
      <c r="X2127" s="456"/>
      <c r="Y2127" s="436"/>
      <c r="Z2127" s="437"/>
      <c r="AA2127" s="560"/>
      <c r="AB2127" s="561"/>
      <c r="AC2127" s="87"/>
      <c r="AD2127" s="466"/>
      <c r="AE2127" s="456"/>
      <c r="AF2127" s="467"/>
      <c r="AG2127" s="87"/>
      <c r="AH2127" s="87"/>
      <c r="AI2127" s="87"/>
    </row>
    <row r="2128" spans="1:35" hidden="1">
      <c r="A2128" s="80" t="e">
        <f>"F"&amp;E2119</f>
        <v>#N/A</v>
      </c>
      <c r="B2128" s="105">
        <v>6</v>
      </c>
      <c r="C2128" s="107"/>
      <c r="D2128" s="107"/>
      <c r="E2128" s="107"/>
      <c r="F2128" s="107"/>
      <c r="G2128" s="83"/>
      <c r="H2128" s="83"/>
      <c r="I2128" s="84"/>
      <c r="J2128" s="85"/>
      <c r="K2128" s="382"/>
      <c r="L2128" s="85"/>
      <c r="M2128" s="332" t="str">
        <f t="shared" si="619"/>
        <v/>
      </c>
      <c r="N2128" s="86"/>
      <c r="O2128" s="453" t="str">
        <f t="shared" si="621"/>
        <v/>
      </c>
      <c r="P2128" s="538" t="str">
        <f t="shared" si="622"/>
        <v/>
      </c>
      <c r="Q2128" s="539" t="str">
        <f t="shared" si="620"/>
        <v/>
      </c>
      <c r="R2128" s="706"/>
      <c r="S2128" s="707"/>
      <c r="T2128" s="708"/>
      <c r="U2128" s="472"/>
      <c r="V2128" s="167"/>
      <c r="W2128" s="446"/>
      <c r="X2128" s="456"/>
      <c r="Y2128" s="436"/>
      <c r="Z2128" s="437"/>
      <c r="AA2128" s="560"/>
      <c r="AB2128" s="561"/>
      <c r="AC2128" s="87"/>
      <c r="AD2128" s="466"/>
      <c r="AE2128" s="456"/>
      <c r="AF2128" s="467"/>
      <c r="AG2128" s="87"/>
      <c r="AH2128" s="87"/>
      <c r="AI2128" s="87"/>
    </row>
    <row r="2129" spans="1:35" hidden="1">
      <c r="A2129" s="80" t="e">
        <f>"G"&amp;E2119</f>
        <v>#N/A</v>
      </c>
      <c r="B2129" s="105">
        <v>7</v>
      </c>
      <c r="C2129" s="107"/>
      <c r="D2129" s="107"/>
      <c r="E2129" s="107"/>
      <c r="F2129" s="107"/>
      <c r="G2129" s="83"/>
      <c r="H2129" s="83"/>
      <c r="I2129" s="84"/>
      <c r="J2129" s="85"/>
      <c r="K2129" s="382"/>
      <c r="L2129" s="85"/>
      <c r="M2129" s="332" t="str">
        <f t="shared" si="619"/>
        <v/>
      </c>
      <c r="N2129" s="86"/>
      <c r="O2129" s="86" t="str">
        <f t="shared" si="621"/>
        <v/>
      </c>
      <c r="P2129" s="538" t="str">
        <f t="shared" si="622"/>
        <v/>
      </c>
      <c r="Q2129" s="539" t="str">
        <f t="shared" si="620"/>
        <v/>
      </c>
      <c r="R2129" s="706"/>
      <c r="S2129" s="707"/>
      <c r="T2129" s="708"/>
      <c r="U2129" s="472"/>
      <c r="V2129" s="167"/>
      <c r="W2129" s="446"/>
      <c r="X2129" s="456"/>
      <c r="Y2129" s="436"/>
      <c r="Z2129" s="437"/>
      <c r="AA2129" s="560"/>
      <c r="AB2129" s="561"/>
      <c r="AC2129" s="87"/>
      <c r="AD2129" s="466"/>
      <c r="AE2129" s="456"/>
      <c r="AF2129" s="467"/>
      <c r="AG2129" s="87"/>
      <c r="AH2129" s="87"/>
      <c r="AI2129" s="87"/>
    </row>
    <row r="2130" spans="1:35" hidden="1">
      <c r="A2130" s="80" t="e">
        <f>"H"&amp;E2119</f>
        <v>#N/A</v>
      </c>
      <c r="B2130" s="105">
        <v>8</v>
      </c>
      <c r="C2130" s="107"/>
      <c r="D2130" s="107"/>
      <c r="E2130" s="107"/>
      <c r="F2130" s="107"/>
      <c r="G2130" s="83"/>
      <c r="H2130" s="83"/>
      <c r="I2130" s="84"/>
      <c r="J2130" s="85"/>
      <c r="K2130" s="382"/>
      <c r="L2130" s="85"/>
      <c r="M2130" s="332" t="str">
        <f t="shared" si="619"/>
        <v/>
      </c>
      <c r="N2130" s="453"/>
      <c r="O2130" s="86" t="str">
        <f t="shared" si="621"/>
        <v/>
      </c>
      <c r="P2130" s="538" t="str">
        <f t="shared" si="622"/>
        <v/>
      </c>
      <c r="Q2130" s="539" t="str">
        <f t="shared" si="620"/>
        <v/>
      </c>
      <c r="R2130" s="706"/>
      <c r="S2130" s="707"/>
      <c r="T2130" s="708"/>
      <c r="U2130" s="472"/>
      <c r="V2130" s="167"/>
      <c r="W2130" s="446"/>
      <c r="X2130" s="456"/>
      <c r="Y2130" s="436"/>
      <c r="Z2130" s="437"/>
      <c r="AA2130" s="560"/>
      <c r="AB2130" s="561"/>
      <c r="AC2130" s="87"/>
      <c r="AD2130" s="466"/>
      <c r="AE2130" s="456"/>
      <c r="AF2130" s="467"/>
      <c r="AG2130" s="87"/>
      <c r="AH2130" s="87"/>
      <c r="AI2130" s="87"/>
    </row>
    <row r="2131" spans="1:35" hidden="1">
      <c r="A2131" s="80" t="e">
        <f>"I"&amp;E2119</f>
        <v>#N/A</v>
      </c>
      <c r="B2131" s="105">
        <v>9</v>
      </c>
      <c r="C2131" s="107"/>
      <c r="D2131" s="107"/>
      <c r="E2131" s="107"/>
      <c r="F2131" s="107"/>
      <c r="G2131" s="83"/>
      <c r="H2131" s="83"/>
      <c r="I2131" s="84"/>
      <c r="J2131" s="85"/>
      <c r="K2131" s="382"/>
      <c r="L2131" s="85"/>
      <c r="M2131" s="332" t="str">
        <f t="shared" si="619"/>
        <v/>
      </c>
      <c r="N2131" s="453"/>
      <c r="O2131" s="86" t="str">
        <f t="shared" si="621"/>
        <v/>
      </c>
      <c r="P2131" s="538" t="str">
        <f t="shared" si="622"/>
        <v/>
      </c>
      <c r="Q2131" s="539" t="str">
        <f t="shared" si="620"/>
        <v/>
      </c>
      <c r="R2131" s="706"/>
      <c r="S2131" s="707"/>
      <c r="T2131" s="708"/>
      <c r="U2131" s="472"/>
      <c r="V2131" s="167"/>
      <c r="W2131" s="446"/>
      <c r="X2131" s="456"/>
      <c r="Y2131" s="436"/>
      <c r="Z2131" s="437"/>
      <c r="AA2131" s="560"/>
      <c r="AB2131" s="561"/>
      <c r="AC2131" s="87"/>
      <c r="AD2131" s="466"/>
      <c r="AE2131" s="456"/>
      <c r="AF2131" s="467"/>
      <c r="AG2131" s="87"/>
      <c r="AH2131" s="87"/>
      <c r="AI2131" s="87"/>
    </row>
    <row r="2132" spans="1:35" hidden="1">
      <c r="A2132" s="80" t="e">
        <f>"J"&amp;E2119</f>
        <v>#N/A</v>
      </c>
      <c r="B2132" s="105">
        <v>10</v>
      </c>
      <c r="C2132" s="107"/>
      <c r="D2132" s="107"/>
      <c r="E2132" s="107"/>
      <c r="F2132" s="107"/>
      <c r="G2132" s="83"/>
      <c r="H2132" s="83"/>
      <c r="I2132" s="84"/>
      <c r="J2132" s="85"/>
      <c r="K2132" s="382"/>
      <c r="L2132" s="85"/>
      <c r="M2132" s="332" t="str">
        <f t="shared" si="619"/>
        <v/>
      </c>
      <c r="N2132" s="453"/>
      <c r="O2132" s="86" t="str">
        <f t="shared" si="621"/>
        <v/>
      </c>
      <c r="P2132" s="538" t="str">
        <f t="shared" si="622"/>
        <v/>
      </c>
      <c r="Q2132" s="539" t="str">
        <f t="shared" si="620"/>
        <v/>
      </c>
      <c r="R2132" s="706"/>
      <c r="S2132" s="707"/>
      <c r="T2132" s="708"/>
      <c r="U2132" s="472"/>
      <c r="V2132" s="167"/>
      <c r="W2132" s="446"/>
      <c r="X2132" s="456"/>
      <c r="Y2132" s="436"/>
      <c r="Z2132" s="437"/>
      <c r="AA2132" s="560"/>
      <c r="AB2132" s="561"/>
      <c r="AC2132" s="87"/>
      <c r="AD2132" s="466"/>
      <c r="AE2132" s="456"/>
      <c r="AF2132" s="467"/>
      <c r="AG2132" s="87"/>
      <c r="AH2132" s="87"/>
      <c r="AI2132" s="87"/>
    </row>
    <row r="2133" spans="1:35" ht="16.5" hidden="1" thickBot="1">
      <c r="A2133" s="44"/>
      <c r="B2133" s="89"/>
      <c r="C2133" s="90"/>
      <c r="D2133" s="90"/>
      <c r="E2133" s="90"/>
      <c r="F2133" s="90"/>
      <c r="G2133" s="90"/>
      <c r="H2133" s="90"/>
      <c r="I2133" s="90"/>
      <c r="J2133" s="90"/>
      <c r="K2133" s="90"/>
      <c r="L2133" s="90"/>
      <c r="M2133" s="90"/>
      <c r="N2133" s="90"/>
      <c r="O2133" s="90"/>
      <c r="P2133" s="90"/>
      <c r="Q2133" s="90"/>
      <c r="R2133" s="90"/>
      <c r="S2133" s="91"/>
      <c r="T2133" s="92"/>
      <c r="U2133" s="473"/>
      <c r="W2133" s="438"/>
      <c r="X2133" s="455"/>
      <c r="Y2133" s="439"/>
      <c r="Z2133" s="437"/>
      <c r="AA2133" s="530"/>
      <c r="AB2133" s="563"/>
      <c r="AC2133" s="87"/>
      <c r="AD2133" s="440"/>
      <c r="AE2133" s="441"/>
      <c r="AF2133" s="442"/>
      <c r="AG2133" s="49"/>
      <c r="AH2133" s="87"/>
      <c r="AI2133" s="87"/>
    </row>
    <row r="2134" spans="1:35" ht="16.5" hidden="1" thickBot="1">
      <c r="A2134" s="93"/>
      <c r="B2134" s="94"/>
      <c r="C2134" s="96"/>
      <c r="D2134" s="96"/>
      <c r="E2134" s="96"/>
      <c r="F2134" s="96"/>
      <c r="G2134" s="96"/>
      <c r="H2134" s="96"/>
      <c r="I2134" s="96"/>
      <c r="J2134" s="96"/>
      <c r="K2134" s="96"/>
      <c r="L2134" s="96"/>
      <c r="M2134" s="136"/>
      <c r="N2134" s="96"/>
      <c r="O2134" s="96"/>
      <c r="P2134" s="97"/>
      <c r="Q2134" s="97"/>
      <c r="R2134" s="98"/>
      <c r="S2134" s="95"/>
      <c r="T2134" s="99"/>
      <c r="U2134" s="469"/>
      <c r="AC2134" s="58"/>
      <c r="AG2134" s="58"/>
      <c r="AH2134" s="87"/>
      <c r="AI2134" s="87"/>
    </row>
    <row r="2135" spans="1:35" ht="16.5" hidden="1" thickBot="1">
      <c r="B2135" s="101"/>
      <c r="C2135" s="101"/>
      <c r="D2135" s="101"/>
      <c r="E2135" s="101"/>
      <c r="F2135" s="101"/>
      <c r="G2135" s="101"/>
      <c r="H2135" s="101"/>
      <c r="I2135" s="101"/>
      <c r="J2135" s="101"/>
      <c r="K2135" s="101"/>
      <c r="L2135" s="101"/>
      <c r="M2135" s="101"/>
      <c r="N2135" s="101"/>
      <c r="O2135" s="101"/>
      <c r="P2135" s="101"/>
      <c r="Q2135" s="101"/>
      <c r="R2135" s="101"/>
      <c r="S2135" s="101"/>
      <c r="U2135" s="50"/>
      <c r="AH2135" s="87"/>
      <c r="AI2135" s="87"/>
    </row>
    <row r="2136" spans="1:35" ht="16.5" hidden="1" customHeight="1" thickBot="1">
      <c r="A2136" s="44"/>
      <c r="B2136" s="705" t="s">
        <v>74</v>
      </c>
      <c r="C2136" s="705"/>
      <c r="D2136" s="705"/>
      <c r="E2136" s="705"/>
      <c r="F2136" s="705"/>
      <c r="G2136" s="705"/>
      <c r="H2136" s="705"/>
      <c r="I2136" s="705"/>
      <c r="J2136" s="705"/>
      <c r="K2136" s="705"/>
      <c r="L2136" s="705"/>
      <c r="M2136" s="705"/>
      <c r="N2136" s="705"/>
      <c r="O2136" s="705"/>
      <c r="P2136" s="705"/>
      <c r="Q2136" s="705"/>
      <c r="R2136" s="705"/>
      <c r="S2136" s="705"/>
      <c r="T2136" s="705"/>
      <c r="U2136" s="108"/>
      <c r="Y2136" s="532" t="s">
        <v>341</v>
      </c>
      <c r="AC2136" s="49"/>
      <c r="AD2136" s="687" t="s">
        <v>302</v>
      </c>
      <c r="AE2136" s="688"/>
      <c r="AF2136" s="689"/>
      <c r="AG2136" s="49"/>
      <c r="AH2136" s="87"/>
      <c r="AI2136" s="87"/>
    </row>
    <row r="2137" spans="1:35" ht="15.75" hidden="1" customHeight="1" thickBot="1">
      <c r="A2137" s="218" t="e">
        <f>"K"&amp;E2119</f>
        <v>#N/A</v>
      </c>
      <c r="B2137" s="701" t="s">
        <v>71</v>
      </c>
      <c r="C2137" s="751" t="s">
        <v>102</v>
      </c>
      <c r="D2137" s="751"/>
      <c r="E2137" s="751"/>
      <c r="F2137" s="751"/>
      <c r="G2137" s="751"/>
      <c r="H2137" s="751"/>
      <c r="I2137" s="751"/>
      <c r="J2137" s="751"/>
      <c r="K2137" s="751"/>
      <c r="L2137" s="722" t="s">
        <v>100</v>
      </c>
      <c r="M2137" s="747" t="s">
        <v>114</v>
      </c>
      <c r="N2137" s="747"/>
      <c r="O2137" s="747"/>
      <c r="P2137" s="747"/>
      <c r="Q2137" s="748"/>
      <c r="R2137" s="758" t="s">
        <v>280</v>
      </c>
      <c r="S2137" s="748"/>
      <c r="T2137" s="762" t="str">
        <f>IF(COUNTIF(AE2137:AF2137,"VERIFICAR")&gt;0,"VERIFICAR",IF(COUNTIF(AE2137:AF2137,"NO CUMPLE")&gt;0,"NO CUMPLE","CUMPLE"))</f>
        <v>VERIFICAR</v>
      </c>
      <c r="U2137" s="108"/>
      <c r="Y2137" s="533" t="e">
        <f>IF(F2138="","",IF(F2138=1,"INDIVIDUAL","ESTRUCTURA PLURAL"))</f>
        <v>#N/A</v>
      </c>
      <c r="AC2137" s="52"/>
      <c r="AD2137" s="475" t="s">
        <v>303</v>
      </c>
      <c r="AE2137" s="476" t="str">
        <f>IF(COUNTIF(AE2123:AE2132,"")=10,"VERIFICAR",IF(COUNTIF(AE2123:AE2132,"SI")&gt;0,"CUMPLE","NO CUMPLE"))</f>
        <v>VERIFICAR</v>
      </c>
      <c r="AF2137" s="477" t="str">
        <f>IF(COUNTIF(AF2123:AF2132,"")=10,"VERIFICAR",IF(COUNTIF(AF2123:AF2132,"SI")&gt;=$AI$22,"CUMPLE","NO CUMPLE"))</f>
        <v>VERIFICAR</v>
      </c>
      <c r="AG2137" s="52"/>
      <c r="AH2137" s="87"/>
      <c r="AI2137" s="87"/>
    </row>
    <row r="2138" spans="1:35" ht="16.5" hidden="1" customHeight="1" thickBot="1">
      <c r="A2138" s="218" t="e">
        <f>"L"&amp;E2119</f>
        <v>#N/A</v>
      </c>
      <c r="B2138" s="702"/>
      <c r="C2138" s="751" t="s">
        <v>103</v>
      </c>
      <c r="D2138" s="751"/>
      <c r="E2138" s="752"/>
      <c r="F2138" s="557" t="e">
        <f>IF(VLOOKUP(E2119,PROPONENTES!$C$19:$E$218,3,0)="","",VLOOKUP(E2119,PROPONENTES!$C$19:$E$218,3,0))</f>
        <v>#N/A</v>
      </c>
      <c r="G2138" s="753" t="s">
        <v>104</v>
      </c>
      <c r="H2138" s="751"/>
      <c r="I2138" s="715" t="e">
        <f>IF(OR(F2138="",F2138=1),"INTERESADO PERSONA NATURAL O JURIDICA","CONSORCIO O UNION TEMPORAL")</f>
        <v>#N/A</v>
      </c>
      <c r="J2138" s="725"/>
      <c r="K2138" s="728"/>
      <c r="L2138" s="723"/>
      <c r="M2138" s="749"/>
      <c r="N2138" s="749"/>
      <c r="O2138" s="749"/>
      <c r="P2138" s="749"/>
      <c r="Q2138" s="750"/>
      <c r="R2138" s="712"/>
      <c r="S2138" s="750"/>
      <c r="T2138" s="763"/>
      <c r="U2138" s="108"/>
      <c r="Y2138" s="534"/>
      <c r="AA2138" s="52"/>
      <c r="AB2138" s="52"/>
      <c r="AC2138" s="52"/>
      <c r="AG2138" s="52"/>
      <c r="AH2138" s="87"/>
      <c r="AI2138" s="87"/>
    </row>
    <row r="2139" spans="1:35" ht="56.25" hidden="1" customHeight="1" thickBot="1">
      <c r="A2139" s="218" t="e">
        <f>"M"&amp;E2119</f>
        <v>#N/A</v>
      </c>
      <c r="B2139" s="702"/>
      <c r="C2139" s="725" t="s">
        <v>101</v>
      </c>
      <c r="D2139" s="716"/>
      <c r="E2139" s="558" t="s">
        <v>105</v>
      </c>
      <c r="F2139" s="554" t="s">
        <v>87</v>
      </c>
      <c r="G2139" s="553" t="s">
        <v>86</v>
      </c>
      <c r="H2139" s="559" t="s">
        <v>85</v>
      </c>
      <c r="I2139" s="554" t="s">
        <v>252</v>
      </c>
      <c r="J2139" s="553" t="str">
        <f>"¿EL INTEGRANTE TIENE UNA PARTICIPACIÓN DEL "&amp;PORCREQUERIDOINT*100&amp;"%?"</f>
        <v>¿EL INTEGRANTE TIENE UNA PARTICIPACIÓN DEL 60%?</v>
      </c>
      <c r="K2139" s="554" t="s">
        <v>107</v>
      </c>
      <c r="L2139" s="724"/>
      <c r="M2139" s="717" t="s">
        <v>115</v>
      </c>
      <c r="N2139" s="718"/>
      <c r="O2139" s="718"/>
      <c r="P2139" s="718"/>
      <c r="Q2139" s="223">
        <f>IF(AND(H2123="SI",P2123&gt;=0),1,0)+IF(AND(H2124="SI",P2124&gt;=0),1,0)+IF(AND(H2125="SI",P2125&gt;=0),1,0)+IF(AND(H2126="SI",P2126&gt;=0),1,0)+IF(AND(H2127="SI",P2127&gt;=0),1,0)+IF(AND(H2128="SI",P2128&gt;=0),1,0)+IF(AND(H2129="SI",P2129&gt;=0),1,0)+IF(AND(H2130="SI",P2130&gt;=0),1,0)+IF(AND(H2131="SI",P2131&gt;=0),1,0)+IF(AND(H2132="SI",P2132&gt;=0),1,0)</f>
        <v>0</v>
      </c>
      <c r="R2139" s="759"/>
      <c r="S2139" s="761"/>
      <c r="T2139" s="764"/>
      <c r="U2139" s="219"/>
      <c r="V2139" s="464"/>
      <c r="Y2139" s="532" t="s">
        <v>342</v>
      </c>
      <c r="AA2139" s="550" t="s">
        <v>344</v>
      </c>
      <c r="AB2139" s="693" t="s">
        <v>345</v>
      </c>
      <c r="AC2139" s="693" t="s">
        <v>346</v>
      </c>
      <c r="AD2139" s="685" t="s">
        <v>347</v>
      </c>
      <c r="AE2139" s="52"/>
      <c r="AF2139" s="52"/>
      <c r="AG2139" s="52"/>
      <c r="AH2139" s="87"/>
      <c r="AI2139" s="87"/>
    </row>
    <row r="2140" spans="1:35" ht="15.75" hidden="1" customHeight="1" thickBot="1">
      <c r="A2140" s="218" t="e">
        <f>"N"&amp;E2119</f>
        <v>#N/A</v>
      </c>
      <c r="B2140" s="702"/>
      <c r="C2140" s="114">
        <v>1</v>
      </c>
      <c r="D2140" s="194" t="e">
        <f>IF(AND(C2140&lt;=F2138,F2138&gt;1,F2138&lt;&gt;""),VLOOKUP(VALUE(E2119&amp;","&amp;C2140),INTEGRANTES!$D$18:$F$235,2,0),"")</f>
        <v>#N/A</v>
      </c>
      <c r="E2140" s="211" t="e">
        <f>IF(D2140&lt;&gt;"",VLOOKUP(VALUE(E2119&amp;","&amp;C2140),INTEGRANTES!$D$18:$F$235,3,0),"")</f>
        <v>#N/A</v>
      </c>
      <c r="F2140" s="547" t="e">
        <f>IF(D2140="","",SUMIF($I2123:$I2132,D2140,$P2123:$P2132))</f>
        <v>#N/A</v>
      </c>
      <c r="G2140" s="333" t="e">
        <f>IF(D2140="","",SUMIF($I2123:$I2132,D2140,$M2123:$M2132))</f>
        <v>#N/A</v>
      </c>
      <c r="H2140" s="535" t="e">
        <f t="shared" ref="H2140:H2145" si="623">IF(D2140="","",IF(OR(F2140=0,G2140=0),"NO APORTA",ROUND($F2140/$G2140,3)))</f>
        <v>#N/A</v>
      </c>
      <c r="I2140" s="212" t="e">
        <f>IF(D2140="","",IF(H2140="NO APORTA","NO",IF(H2140=MAX($H2140:$H2145),"SI","NO")))</f>
        <v>#N/A</v>
      </c>
      <c r="J2140" s="213" t="e">
        <f t="shared" ref="J2140:J2145" si="624">IF(D2140="","",IF(E2140&gt;=PORCREQUERIDOINT,"SI","NO"))</f>
        <v>#N/A</v>
      </c>
      <c r="K2140" s="200" t="e">
        <f t="shared" ref="K2140:K2145" si="625">IF(D2140="","",IF(AND(I2140="SI",J2140="SI"),"CUMPLE",IF(AND(I2140="NO",OR(J2140="SI",J2140="NO")),"","NO CUMPLE")))</f>
        <v>#N/A</v>
      </c>
      <c r="L2140" s="722" t="s">
        <v>108</v>
      </c>
      <c r="M2140" s="726" t="s">
        <v>119</v>
      </c>
      <c r="N2140" s="726"/>
      <c r="O2140" s="726"/>
      <c r="P2140" s="726"/>
      <c r="Q2140" s="727"/>
      <c r="R2140" s="758" t="s">
        <v>80</v>
      </c>
      <c r="S2140" s="747"/>
      <c r="T2140" s="748"/>
      <c r="U2140" s="219"/>
      <c r="V2140" s="464"/>
      <c r="Y2140" s="533" t="e">
        <f>IF(Y2137="","",IF(Y2137="INDIVIDUAL","NO APLICA","VERIFICAR CUADRO"))</f>
        <v>#N/A</v>
      </c>
      <c r="AA2140" s="551"/>
      <c r="AB2140" s="694"/>
      <c r="AC2140" s="694"/>
      <c r="AD2140" s="686"/>
      <c r="AE2140" s="52"/>
      <c r="AF2140" s="52"/>
      <c r="AG2140" s="52"/>
      <c r="AH2140" s="87"/>
      <c r="AI2140" s="87"/>
    </row>
    <row r="2141" spans="1:35" ht="27" hidden="1" customHeight="1" thickBot="1">
      <c r="A2141" s="218" t="e">
        <f>"O"&amp;E2119</f>
        <v>#N/A</v>
      </c>
      <c r="B2141" s="702"/>
      <c r="C2141" s="114">
        <v>2</v>
      </c>
      <c r="D2141" s="194" t="e">
        <f>IF(AND(C2141&lt;=F2138,F2138&lt;&gt;""),VLOOKUP(VALUE(E2119&amp;","&amp;C2141),INTEGRANTES!$D$18:$F$235,2,0),"")</f>
        <v>#N/A</v>
      </c>
      <c r="E2141" s="211" t="e">
        <f>IF(D2141&lt;&gt;"",VLOOKUP(VALUE(E2119&amp;","&amp;C2141),INTEGRANTES!$D$18:$F$235,3,0),"")</f>
        <v>#N/A</v>
      </c>
      <c r="F2141" s="547" t="e">
        <f>IF(D2141="","",SUMIF($I2123:$I2132,D2141,$P2123:$P2132))</f>
        <v>#N/A</v>
      </c>
      <c r="G2141" s="333" t="e">
        <f>IF(D2141="","",SUMIF($I2123:$I2132,D2141,$M2123:$M2132))</f>
        <v>#N/A</v>
      </c>
      <c r="H2141" s="535" t="e">
        <f t="shared" si="623"/>
        <v>#N/A</v>
      </c>
      <c r="I2141" s="212" t="e">
        <f>IF(D2141="","",IF(H2141="NO APORTA","NO",IF(H2141=MAX($H2140:$H2145),"SI","NO")))</f>
        <v>#N/A</v>
      </c>
      <c r="J2141" s="213" t="e">
        <f t="shared" si="624"/>
        <v>#N/A</v>
      </c>
      <c r="K2141" s="200" t="e">
        <f t="shared" si="625"/>
        <v>#N/A</v>
      </c>
      <c r="L2141" s="723"/>
      <c r="M2141" s="715" t="s">
        <v>116</v>
      </c>
      <c r="N2141" s="716"/>
      <c r="O2141" s="556" t="s">
        <v>113</v>
      </c>
      <c r="P2141" s="715" t="s">
        <v>117</v>
      </c>
      <c r="Q2141" s="728"/>
      <c r="R2141" s="759"/>
      <c r="S2141" s="760"/>
      <c r="T2141" s="761"/>
      <c r="U2141" s="219"/>
      <c r="V2141" s="464"/>
      <c r="Y2141" s="414"/>
      <c r="AA2141" s="542" t="e">
        <f>IF(AND(C2140&lt;=F2138,F2138&gt;1,F2138&lt;&gt;""),VLOOKUP(VALUE(E2119&amp;","&amp;C2140),INTEGRANTES!$D$18:$F$235,2,0),"")</f>
        <v>#N/A</v>
      </c>
      <c r="AB2141" s="544" t="e">
        <f t="shared" ref="AB2141:AB2146" si="626">IF(D2140="","",IF(OR(F2140=0,G2140=0),"NO APORTA",ROUND($F2140/$G2140,3)))</f>
        <v>#N/A</v>
      </c>
      <c r="AC2141" s="529"/>
      <c r="AD2141" s="200" t="e">
        <f t="shared" ref="AD2141:AD2146" si="627">IF(OR(AA2141="",AB2141=""),"",IF(AND(AC2141="X",AB2141&gt;=EXPREQVTD),"CUMPLE","NO CUMPLE"))</f>
        <v>#N/A</v>
      </c>
      <c r="AE2141" s="52"/>
      <c r="AF2141" s="52"/>
      <c r="AG2141" s="52"/>
      <c r="AH2141" s="87"/>
      <c r="AI2141" s="87"/>
    </row>
    <row r="2142" spans="1:35" ht="16.5" hidden="1" thickBot="1">
      <c r="A2142" s="218" t="e">
        <f>"P"&amp;E2119</f>
        <v>#N/A</v>
      </c>
      <c r="B2142" s="702"/>
      <c r="C2142" s="114">
        <v>3</v>
      </c>
      <c r="D2142" s="194" t="e">
        <f>IF(AND(C2142&lt;=F2138,F2138&lt;&gt;""),VLOOKUP(VALUE(E2119&amp;","&amp;C2142),INTEGRANTES!$D$18:$F$235,2,0),"")</f>
        <v>#N/A</v>
      </c>
      <c r="E2142" s="211" t="e">
        <f>IF(D2142&lt;&gt;"",VLOOKUP(VALUE(E2119&amp;","&amp;C2142),INTEGRANTES!$D$18:$F$235,3,0),"")</f>
        <v>#N/A</v>
      </c>
      <c r="F2142" s="547" t="e">
        <f>IF(D2142="","",SUMIF($I2123:$I2132,D2142,$P2123:$P2132))</f>
        <v>#N/A</v>
      </c>
      <c r="G2142" s="333" t="e">
        <f>IF(D2142="","",SUMIF($I2123:$I2132,D2142,$M2123:$M2132))</f>
        <v>#N/A</v>
      </c>
      <c r="H2142" s="535" t="e">
        <f t="shared" si="623"/>
        <v>#N/A</v>
      </c>
      <c r="I2142" s="212" t="e">
        <f>IF(D2142="","",IF(H2142="NO APORTA","NO",IF(H2142=MAX($H2140:$H2145),"SI","NO")))</f>
        <v>#N/A</v>
      </c>
      <c r="J2142" s="213" t="e">
        <f t="shared" si="624"/>
        <v>#N/A</v>
      </c>
      <c r="K2142" s="200" t="e">
        <f t="shared" si="625"/>
        <v>#N/A</v>
      </c>
      <c r="L2142" s="724"/>
      <c r="M2142" s="729">
        <f>NUMMOD</f>
        <v>1</v>
      </c>
      <c r="N2142" s="730"/>
      <c r="O2142" s="443">
        <f>IF(M2142="","",VLOOKUP(M2142,PRESUPUESTOS!$B$16:$H$16,5,FALSE))</f>
        <v>2</v>
      </c>
      <c r="P2142" s="713">
        <f>IF(OR(COUNTIF(M2123:M2132,"")&gt;=10,Q2139&lt;NUMMINCONT,OR(T2137="NO CUMPLE",T2137="VERIFICAR")),0,ROUND(AVERAGE(M2123:M2132),3))</f>
        <v>0</v>
      </c>
      <c r="Q2142" s="714"/>
      <c r="R2142" s="458"/>
      <c r="S2142" s="459"/>
      <c r="T2142" s="460"/>
      <c r="U2142" s="219"/>
      <c r="V2142" s="464"/>
      <c r="Y2142" s="532" t="str">
        <f>"40% * ("&amp;PRESUPUESTOS!$H$13&amp;")"</f>
        <v>40% * (50% PFMO)</v>
      </c>
      <c r="AA2142" s="540" t="e">
        <f>IF(AND(C2141&lt;=F2138,F2138&lt;&gt;""),VLOOKUP(VALUE(E2119&amp;","&amp;C2141),INTEGRANTES!$D$18:$F$235,2,0),"")</f>
        <v>#N/A</v>
      </c>
      <c r="AB2142" s="545" t="e">
        <f t="shared" si="626"/>
        <v>#N/A</v>
      </c>
      <c r="AC2142" s="529"/>
      <c r="AD2142" s="200" t="e">
        <f t="shared" si="627"/>
        <v>#N/A</v>
      </c>
      <c r="AE2142" s="52"/>
      <c r="AF2142" s="52"/>
      <c r="AG2142" s="52"/>
      <c r="AH2142" s="87"/>
      <c r="AI2142" s="87"/>
    </row>
    <row r="2143" spans="1:35" ht="15.75" hidden="1" customHeight="1" thickBot="1">
      <c r="A2143" s="218" t="e">
        <f>"Q"&amp;E2119</f>
        <v>#N/A</v>
      </c>
      <c r="B2143" s="702"/>
      <c r="C2143" s="114">
        <v>4</v>
      </c>
      <c r="D2143" s="194" t="e">
        <f>IF(AND(C2143&lt;=F2138,F2138&lt;&gt;""),VLOOKUP(VALUE(E2119&amp;","&amp;C2143),INTEGRANTES!$D$18:$F$235,2,0),"")</f>
        <v>#N/A</v>
      </c>
      <c r="E2143" s="211" t="e">
        <f>IF(D2143&lt;&gt;"",VLOOKUP(VALUE(E2119&amp;","&amp;C2143),INTEGRANTES!$D$18:$F$235,3,0),"")</f>
        <v>#N/A</v>
      </c>
      <c r="F2143" s="547" t="e">
        <f>IF(D2143="","",SUMIF($I2123:$I2132,D2143,$P2123:$P2132))</f>
        <v>#N/A</v>
      </c>
      <c r="G2143" s="333" t="e">
        <f>IF(D2143="","",SUMIF($I2123:$I2132,D2143,$M2123:$M2132))</f>
        <v>#N/A</v>
      </c>
      <c r="H2143" s="535" t="e">
        <f t="shared" si="623"/>
        <v>#N/A</v>
      </c>
      <c r="I2143" s="212" t="e">
        <f>IF(D2143="","",IF(H2143="NO APORTA","NO",IF(H2143=MAX($H2140:$H2145),"SI","NO")))</f>
        <v>#N/A</v>
      </c>
      <c r="J2143" s="213" t="e">
        <f t="shared" si="624"/>
        <v>#N/A</v>
      </c>
      <c r="K2143" s="200" t="e">
        <f t="shared" si="625"/>
        <v>#N/A</v>
      </c>
      <c r="L2143" s="720" t="s">
        <v>109</v>
      </c>
      <c r="M2143" s="757" t="s">
        <v>120</v>
      </c>
      <c r="N2143" s="726"/>
      <c r="O2143" s="726"/>
      <c r="P2143" s="726"/>
      <c r="Q2143" s="727"/>
      <c r="R2143" s="458"/>
      <c r="S2143" s="459"/>
      <c r="T2143" s="460"/>
      <c r="U2143" s="219"/>
      <c r="V2143" s="464"/>
      <c r="Y2143" s="537">
        <f>0.4*PRESUPUESTOS!$H$16</f>
        <v>10.3124</v>
      </c>
      <c r="AA2143" s="540" t="e">
        <f>IF(AND(C2142&lt;=F2138,F2138&lt;&gt;""),VLOOKUP(VALUE(E2119&amp;","&amp;C2142),INTEGRANTES!$D$18:$F$235,2,0),"")</f>
        <v>#N/A</v>
      </c>
      <c r="AB2143" s="545" t="e">
        <f t="shared" si="626"/>
        <v>#N/A</v>
      </c>
      <c r="AC2143" s="529"/>
      <c r="AD2143" s="200" t="e">
        <f t="shared" si="627"/>
        <v>#N/A</v>
      </c>
      <c r="AE2143" s="52"/>
      <c r="AF2143" s="52"/>
      <c r="AG2143" s="52"/>
      <c r="AH2143" s="87"/>
      <c r="AI2143" s="87"/>
    </row>
    <row r="2144" spans="1:35" ht="27" hidden="1" customHeight="1" thickBot="1">
      <c r="A2144" s="218" t="e">
        <f>"R"&amp;E2119</f>
        <v>#N/A</v>
      </c>
      <c r="B2144" s="702"/>
      <c r="C2144" s="114">
        <v>5</v>
      </c>
      <c r="D2144" s="194" t="e">
        <f>IF(AND(C2144&lt;=F2138,F2138&lt;&gt;""),VLOOKUP(VALUE(E2119&amp;","&amp;C2144),INTEGRANTES!$D$18:$F$235,2,0),"")</f>
        <v>#N/A</v>
      </c>
      <c r="E2144" s="211" t="e">
        <f>IF(D2144&lt;&gt;"",VLOOKUP(VALUE(E2119&amp;","&amp;C2144),INTEGRANTES!$D$18:$F$235,3,0),"")</f>
        <v>#N/A</v>
      </c>
      <c r="F2144" s="547" t="e">
        <f>IF(D2144="","",SUMIF($I2123:$I2132,D2144,$P2123:$P2132))</f>
        <v>#N/A</v>
      </c>
      <c r="G2144" s="333" t="e">
        <f>IF(D2144="","",SUMIF($I2123:$I2132,D2144,$M2123:$M2132))</f>
        <v>#N/A</v>
      </c>
      <c r="H2144" s="535" t="e">
        <f t="shared" si="623"/>
        <v>#N/A</v>
      </c>
      <c r="I2144" s="212" t="e">
        <f>IF(D2144="","",IF(H2144="NO APORTA","NO",IF(H2144=MAX($H2140:$H2145),"SI","NO")))</f>
        <v>#N/A</v>
      </c>
      <c r="J2144" s="213" t="e">
        <f t="shared" si="624"/>
        <v>#N/A</v>
      </c>
      <c r="K2144" s="200" t="e">
        <f t="shared" si="625"/>
        <v>#N/A</v>
      </c>
      <c r="L2144" s="721"/>
      <c r="M2144" s="715" t="s">
        <v>116</v>
      </c>
      <c r="N2144" s="716"/>
      <c r="O2144" s="556" t="str">
        <f>PORCREQUERIDO*100&amp;"% PMFO DEL MÓDULO"</f>
        <v>50% PMFO DEL MÓDULO</v>
      </c>
      <c r="P2144" s="715" t="s">
        <v>118</v>
      </c>
      <c r="Q2144" s="728"/>
      <c r="R2144" s="458"/>
      <c r="S2144" s="459"/>
      <c r="T2144" s="460"/>
      <c r="U2144" s="219"/>
      <c r="V2144" s="464"/>
      <c r="Y2144" s="414"/>
      <c r="AA2144" s="540" t="e">
        <f>IF(AND(C2143&lt;=F2138,F2138&lt;&gt;""),VLOOKUP(VALUE(E2119&amp;","&amp;C2143),INTEGRANTES!$D$18:$F$235,2,0),"")</f>
        <v>#N/A</v>
      </c>
      <c r="AB2144" s="545" t="e">
        <f t="shared" si="626"/>
        <v>#N/A</v>
      </c>
      <c r="AC2144" s="529"/>
      <c r="AD2144" s="200" t="e">
        <f t="shared" si="627"/>
        <v>#N/A</v>
      </c>
      <c r="AE2144" s="52"/>
      <c r="AF2144" s="52"/>
      <c r="AG2144" s="52"/>
      <c r="AH2144" s="87"/>
      <c r="AI2144" s="87"/>
    </row>
    <row r="2145" spans="1:35" ht="16.5" hidden="1" thickBot="1">
      <c r="A2145" s="218" t="e">
        <f>"S"&amp;E2119</f>
        <v>#N/A</v>
      </c>
      <c r="B2145" s="702"/>
      <c r="C2145" s="215">
        <v>6</v>
      </c>
      <c r="D2145" s="216" t="e">
        <f>IF(AND(C2145&lt;=F2138,F2138&lt;&gt;""),VLOOKUP(VALUE(E2119&amp;","&amp;C2145),INTEGRANTES!$D$18:$F$235,2,0),"")</f>
        <v>#N/A</v>
      </c>
      <c r="E2145" s="217" t="e">
        <f>IF(D2145&lt;&gt;"",VLOOKUP(VALUE(E2119&amp;","&amp;C2145),INTEGRANTES!$D$18:$F$235,3,0),"")</f>
        <v>#N/A</v>
      </c>
      <c r="F2145" s="548" t="e">
        <f>IF(D2145="","",SUMIF($I2123:$I2132,D2145,$P2123:$P2132))</f>
        <v>#N/A</v>
      </c>
      <c r="G2145" s="334" t="e">
        <f>IF(D2145="","",SUMIF($I2123:$I2132,D2145,$M2123:$M2132))</f>
        <v>#N/A</v>
      </c>
      <c r="H2145" s="536" t="e">
        <f t="shared" si="623"/>
        <v>#N/A</v>
      </c>
      <c r="I2145" s="214" t="e">
        <f>IF(D2145="","",IF(H2145="NO APORTA","NO",IF(H2145=MAX($H2140:$H2145),"SI","NO")))</f>
        <v>#N/A</v>
      </c>
      <c r="J2145" s="213" t="e">
        <f t="shared" si="624"/>
        <v>#N/A</v>
      </c>
      <c r="K2145" s="200" t="e">
        <f t="shared" si="625"/>
        <v>#N/A</v>
      </c>
      <c r="L2145" s="721"/>
      <c r="M2145" s="729">
        <f>NUMMOD</f>
        <v>1</v>
      </c>
      <c r="N2145" s="730"/>
      <c r="O2145" s="443">
        <f>IF(M2145="","",ROUND(VLOOKUP(M2145,PRESUPUESTOS!$B$16:$H$16,7,FALSE),3))</f>
        <v>25.780999999999999</v>
      </c>
      <c r="P2145" s="713">
        <f>IF(OR(COUNTIF(P2123:P2132,"")&gt;=10,Q2139&lt;NUMMINCONT,OR(T2137="NO CUMPLE",T2137="VERIFICAR")),0,ROUND((SUM(P2123:P2132)/SUM(M2123:M2132)),3))</f>
        <v>0</v>
      </c>
      <c r="Q2145" s="714"/>
      <c r="R2145" s="458"/>
      <c r="S2145" s="459"/>
      <c r="T2145" s="460"/>
      <c r="U2145" s="219"/>
      <c r="V2145" s="464"/>
      <c r="Y2145" s="532" t="s">
        <v>343</v>
      </c>
      <c r="AA2145" s="540" t="e">
        <f>IF(AND(C2144&lt;=F2138,F2138&lt;&gt;""),VLOOKUP(VALUE(E2119&amp;","&amp;C2144),INTEGRANTES!$D$18:$F$235,2,0),"")</f>
        <v>#N/A</v>
      </c>
      <c r="AB2145" s="545" t="e">
        <f t="shared" si="626"/>
        <v>#N/A</v>
      </c>
      <c r="AC2145" s="529"/>
      <c r="AD2145" s="200" t="e">
        <f t="shared" si="627"/>
        <v>#N/A</v>
      </c>
      <c r="AE2145" s="52"/>
      <c r="AF2145" s="52"/>
      <c r="AG2145" s="52"/>
      <c r="AH2145" s="87"/>
      <c r="AI2145" s="87"/>
    </row>
    <row r="2146" spans="1:35" ht="16.5" hidden="1" customHeight="1" thickBot="1">
      <c r="A2146" s="218" t="e">
        <f>"T"&amp;E2119</f>
        <v>#N/A</v>
      </c>
      <c r="B2146" s="703"/>
      <c r="C2146" s="719"/>
      <c r="D2146" s="719"/>
      <c r="E2146" s="719"/>
      <c r="F2146" s="719"/>
      <c r="G2146" s="719"/>
      <c r="H2146" s="719" t="s">
        <v>110</v>
      </c>
      <c r="I2146" s="719"/>
      <c r="J2146" s="719"/>
      <c r="K2146" s="201" t="str">
        <f>IF(COUNTIF(K2140:K2145,"")=6,"",IF(COUNTIF(K2140:K2145,"CUMPLE")&gt;0,"CUMPLE","NO CUMPLE"))</f>
        <v>NO CUMPLE</v>
      </c>
      <c r="L2146" s="754"/>
      <c r="M2146" s="755"/>
      <c r="N2146" s="755"/>
      <c r="O2146" s="755"/>
      <c r="P2146" s="755"/>
      <c r="Q2146" s="756"/>
      <c r="R2146" s="461"/>
      <c r="S2146" s="462"/>
      <c r="T2146" s="463"/>
      <c r="U2146" s="219"/>
      <c r="V2146" s="464"/>
      <c r="Y2146" s="549" t="e">
        <f>IF(Y2140="NO APLICA","NO APLICA",IF(COUNTIF(AD2141:AD2146,"CUMPLE")&gt;0,"CUMPLE","NO CUMPLE"))</f>
        <v>#N/A</v>
      </c>
      <c r="AA2146" s="541" t="e">
        <f>IF(AND(C2145&lt;=F2138,F2138&lt;&gt;""),VLOOKUP(VALUE(E2119&amp;","&amp;C2145),INTEGRANTES!$D$18:$F$235,2,0),"")</f>
        <v>#N/A</v>
      </c>
      <c r="AB2146" s="546" t="e">
        <f t="shared" si="626"/>
        <v>#N/A</v>
      </c>
      <c r="AC2146" s="543"/>
      <c r="AD2146" s="201" t="e">
        <f t="shared" si="627"/>
        <v>#N/A</v>
      </c>
      <c r="AE2146" s="52"/>
      <c r="AF2146" s="52"/>
      <c r="AG2146" s="52"/>
      <c r="AH2146" s="87"/>
      <c r="AI2146" s="87"/>
    </row>
    <row r="2147" spans="1:35" hidden="1">
      <c r="A2147" s="103"/>
      <c r="B2147" s="206"/>
      <c r="C2147" s="206"/>
      <c r="D2147" s="206"/>
      <c r="E2147" s="206"/>
      <c r="F2147" s="206"/>
      <c r="G2147" s="206"/>
      <c r="H2147" s="206"/>
      <c r="I2147" s="104"/>
      <c r="J2147" s="206"/>
      <c r="K2147" s="113"/>
      <c r="L2147" s="113"/>
      <c r="M2147" s="113"/>
      <c r="N2147" s="222"/>
      <c r="O2147" s="113"/>
      <c r="P2147" s="113"/>
      <c r="Q2147" s="113"/>
      <c r="R2147" s="206"/>
      <c r="S2147" s="104"/>
      <c r="T2147" s="206"/>
      <c r="U2147" s="474"/>
      <c r="AH2147" s="87"/>
      <c r="AI2147" s="87"/>
    </row>
    <row r="2148" spans="1:35" hidden="1">
      <c r="H2148" s="220"/>
      <c r="AH2148" s="87"/>
      <c r="AI2148" s="87"/>
    </row>
    <row r="2149" spans="1:35" ht="24" hidden="1" thickBot="1">
      <c r="A2149" s="61">
        <v>72</v>
      </c>
      <c r="B2149" s="704" t="s">
        <v>51</v>
      </c>
      <c r="C2149" s="704"/>
      <c r="D2149" s="704"/>
      <c r="E2149" s="62" t="e">
        <f>VLOOKUP(A2149,PROPONENTES!$B$19:$E$218,2,FALSE)</f>
        <v>#N/A</v>
      </c>
      <c r="F2149" s="63" t="e">
        <f>VLOOKUP(A2149,PROPONENTES!$B$19:$E$218,3,FALSE)</f>
        <v>#N/A</v>
      </c>
      <c r="G2149" s="64"/>
      <c r="H2149" s="64"/>
      <c r="I2149" s="63"/>
      <c r="J2149" s="63"/>
      <c r="K2149" s="65"/>
      <c r="L2149" s="65"/>
      <c r="M2149" s="64"/>
      <c r="N2149" s="64"/>
      <c r="O2149" s="66"/>
      <c r="P2149" s="66"/>
      <c r="Q2149" s="66"/>
      <c r="R2149" s="66"/>
      <c r="S2149" s="67"/>
      <c r="T2149" s="68"/>
      <c r="U2149" s="68"/>
      <c r="AC2149" s="68"/>
      <c r="AD2149" s="68"/>
      <c r="AE2149" s="68"/>
      <c r="AF2149" s="68"/>
      <c r="AG2149" s="68"/>
      <c r="AH2149" s="87"/>
      <c r="AI2149" s="87"/>
    </row>
    <row r="2150" spans="1:35" ht="15.75" hidden="1" customHeight="1">
      <c r="A2150" s="44"/>
      <c r="B2150" s="709" t="s">
        <v>59</v>
      </c>
      <c r="C2150" s="552" t="s">
        <v>60</v>
      </c>
      <c r="D2150" s="70" t="s">
        <v>17</v>
      </c>
      <c r="E2150" s="70"/>
      <c r="F2150" s="70" t="s">
        <v>61</v>
      </c>
      <c r="G2150" s="71"/>
      <c r="H2150" s="699" t="s">
        <v>62</v>
      </c>
      <c r="I2150" s="699" t="s">
        <v>18</v>
      </c>
      <c r="J2150" s="699" t="s">
        <v>63</v>
      </c>
      <c r="K2150" s="699" t="s">
        <v>64</v>
      </c>
      <c r="L2150" s="699" t="s">
        <v>65</v>
      </c>
      <c r="M2150" s="743" t="s">
        <v>66</v>
      </c>
      <c r="N2150" s="699" t="s">
        <v>282</v>
      </c>
      <c r="O2150" s="745" t="s">
        <v>67</v>
      </c>
      <c r="P2150" s="746"/>
      <c r="Q2150" s="102" t="s">
        <v>75</v>
      </c>
      <c r="R2150" s="731" t="s">
        <v>22</v>
      </c>
      <c r="S2150" s="732"/>
      <c r="T2150" s="733"/>
      <c r="U2150" s="712" t="s">
        <v>298</v>
      </c>
      <c r="W2150" s="690" t="s">
        <v>268</v>
      </c>
      <c r="X2150" s="691"/>
      <c r="Y2150" s="692"/>
      <c r="Z2150" s="428"/>
      <c r="AA2150" s="697" t="s">
        <v>315</v>
      </c>
      <c r="AB2150" s="695" t="s">
        <v>322</v>
      </c>
      <c r="AC2150" s="49"/>
      <c r="AD2150" s="690" t="s">
        <v>297</v>
      </c>
      <c r="AE2150" s="691"/>
      <c r="AF2150" s="692"/>
      <c r="AG2150" s="49"/>
      <c r="AH2150" s="87"/>
      <c r="AI2150" s="87"/>
    </row>
    <row r="2151" spans="1:35" ht="72" hidden="1">
      <c r="A2151" s="44"/>
      <c r="B2151" s="710"/>
      <c r="C2151" s="553" t="s">
        <v>68</v>
      </c>
      <c r="D2151" s="73" t="s">
        <v>3</v>
      </c>
      <c r="E2151" s="73" t="s">
        <v>19</v>
      </c>
      <c r="F2151" s="73" t="s">
        <v>69</v>
      </c>
      <c r="G2151" s="74" t="s">
        <v>70</v>
      </c>
      <c r="H2151" s="700"/>
      <c r="I2151" s="700"/>
      <c r="J2151" s="700"/>
      <c r="K2151" s="700"/>
      <c r="L2151" s="700"/>
      <c r="M2151" s="744"/>
      <c r="N2151" s="700"/>
      <c r="O2151" s="553" t="s">
        <v>279</v>
      </c>
      <c r="P2151" s="73" t="s">
        <v>88</v>
      </c>
      <c r="Q2151" s="555" t="s">
        <v>76</v>
      </c>
      <c r="R2151" s="734"/>
      <c r="S2151" s="735"/>
      <c r="T2151" s="736"/>
      <c r="U2151" s="712"/>
      <c r="W2151" s="429" t="s">
        <v>269</v>
      </c>
      <c r="X2151" s="457" t="s">
        <v>278</v>
      </c>
      <c r="Y2151" s="430" t="s">
        <v>324</v>
      </c>
      <c r="Z2151" s="428"/>
      <c r="AA2151" s="698"/>
      <c r="AB2151" s="696"/>
      <c r="AC2151" s="49"/>
      <c r="AD2151" s="429" t="s">
        <v>292</v>
      </c>
      <c r="AE2151" s="431" t="s">
        <v>300</v>
      </c>
      <c r="AF2151" s="468" t="s">
        <v>301</v>
      </c>
      <c r="AG2151" s="49"/>
      <c r="AH2151" s="87"/>
      <c r="AI2151" s="87"/>
    </row>
    <row r="2152" spans="1:35" hidden="1">
      <c r="A2152" s="44"/>
      <c r="B2152" s="76"/>
      <c r="C2152" s="77"/>
      <c r="D2152" s="77"/>
      <c r="E2152" s="77"/>
      <c r="F2152" s="77"/>
      <c r="G2152" s="77"/>
      <c r="H2152" s="77"/>
      <c r="I2152" s="77"/>
      <c r="J2152" s="77"/>
      <c r="K2152" s="77"/>
      <c r="L2152" s="77"/>
      <c r="M2152" s="77"/>
      <c r="N2152" s="77"/>
      <c r="O2152" s="77"/>
      <c r="P2152" s="77"/>
      <c r="Q2152" s="77"/>
      <c r="R2152" s="77"/>
      <c r="S2152" s="78"/>
      <c r="T2152" s="79"/>
      <c r="U2152" s="109"/>
      <c r="V2152" s="49"/>
      <c r="W2152" s="432"/>
      <c r="X2152" s="454"/>
      <c r="Y2152" s="433"/>
      <c r="Z2152" s="6"/>
      <c r="AA2152" s="500"/>
      <c r="AB2152" s="562"/>
      <c r="AC2152" s="49"/>
      <c r="AD2152" s="210"/>
      <c r="AE2152" s="434"/>
      <c r="AF2152" s="435"/>
      <c r="AG2152" s="49"/>
      <c r="AH2152" s="87"/>
      <c r="AI2152" s="87"/>
    </row>
    <row r="2153" spans="1:35" hidden="1">
      <c r="A2153" s="80" t="e">
        <f>"A"&amp;E2149</f>
        <v>#N/A</v>
      </c>
      <c r="B2153" s="81">
        <v>1</v>
      </c>
      <c r="C2153" s="82"/>
      <c r="D2153" s="82"/>
      <c r="E2153" s="82"/>
      <c r="F2153" s="82"/>
      <c r="G2153" s="83"/>
      <c r="H2153" s="83"/>
      <c r="I2153" s="84"/>
      <c r="J2153" s="85"/>
      <c r="K2153" s="382"/>
      <c r="L2153" s="85"/>
      <c r="M2153" s="332" t="str">
        <f t="shared" ref="M2153:M2162" si="628">IF(OR(J2153="",L2153="",H2153="NO"),"",IF(OR(J2153&gt;$P$17,J2153&lt;$O$17,L2153&gt;$P$17,AND(J2153&lt;$O$17,L2153&lt;$O$17)),"FUERA DE RANGO",IF(OR(K2153="---",K2153=""),IF(J2153&gt;=$O$17,ROUND((L2153-J2153+1)/360*12,3),ROUND((L2153-$O$17+1)/360*12,3)),IF(J2153&gt;=$O$17,ROUND((L2153-J2153+1)/360*12-ROUND(K2153,3),3),ROUND((L2153-$O$17+1)/360*12-ROUND(K2153,3),3)))))</f>
        <v/>
      </c>
      <c r="N2153" s="86"/>
      <c r="O2153" s="453" t="str">
        <f>IF(OR(G2153="",N2153=""),"",N2153*G2153)</f>
        <v/>
      </c>
      <c r="P2153" s="538" t="str">
        <f>IF(OR(H2153="",M2153="FUERA DE RANGO"),"",IF(OR(L2153&lt;$O$17,L2153&gt;$P$17,L2153="",H2153="NO"),"",IF(OR(N2153="",O2153=""),"",ROUND(O2153,3))))</f>
        <v/>
      </c>
      <c r="Q2153" s="539" t="str">
        <f t="shared" ref="Q2153:Q2162" si="629">IF(AND(H2153="SI",P2153&lt;&gt;""),ROUND(P2153/M2153,3),"")</f>
        <v/>
      </c>
      <c r="R2153" s="737"/>
      <c r="S2153" s="738"/>
      <c r="T2153" s="739"/>
      <c r="U2153" s="470"/>
      <c r="V2153" s="165"/>
      <c r="W2153" s="446"/>
      <c r="X2153" s="456"/>
      <c r="Y2153" s="436"/>
      <c r="Z2153" s="437"/>
      <c r="AA2153" s="560"/>
      <c r="AB2153" s="561"/>
      <c r="AC2153" s="87"/>
      <c r="AD2153" s="466"/>
      <c r="AE2153" s="456"/>
      <c r="AF2153" s="467"/>
      <c r="AG2153" s="87"/>
      <c r="AH2153" s="87"/>
      <c r="AI2153" s="87"/>
    </row>
    <row r="2154" spans="1:35" hidden="1">
      <c r="A2154" s="80" t="e">
        <f>"B"&amp;E2149</f>
        <v>#N/A</v>
      </c>
      <c r="B2154" s="81">
        <v>2</v>
      </c>
      <c r="C2154" s="106"/>
      <c r="D2154" s="106"/>
      <c r="E2154" s="106"/>
      <c r="F2154" s="106"/>
      <c r="G2154" s="83"/>
      <c r="H2154" s="83"/>
      <c r="I2154" s="84"/>
      <c r="J2154" s="85"/>
      <c r="K2154" s="382"/>
      <c r="L2154" s="85"/>
      <c r="M2154" s="332" t="str">
        <f t="shared" si="628"/>
        <v/>
      </c>
      <c r="N2154" s="86"/>
      <c r="O2154" s="453" t="str">
        <f t="shared" ref="O2154:O2162" si="630">IF(OR(G2154="",N2154=""),"",N2154*G2154)</f>
        <v/>
      </c>
      <c r="P2154" s="538" t="str">
        <f t="shared" ref="P2154:P2162" si="631">IF(OR(H2154="",M2154="FUERA DE RANGO"),"",IF(OR(L2154&lt;$O$17,L2154&gt;$P$17,L2154="",H2154="NO"),"",IF(OR(N2154="",O2154=""),"",ROUND(O2154,3))))</f>
        <v/>
      </c>
      <c r="Q2154" s="539" t="str">
        <f t="shared" si="629"/>
        <v/>
      </c>
      <c r="R2154" s="740"/>
      <c r="S2154" s="741"/>
      <c r="T2154" s="742"/>
      <c r="U2154" s="471"/>
      <c r="V2154" s="165"/>
      <c r="W2154" s="446"/>
      <c r="X2154" s="456"/>
      <c r="Y2154" s="436"/>
      <c r="Z2154" s="437"/>
      <c r="AA2154" s="560"/>
      <c r="AB2154" s="561"/>
      <c r="AC2154" s="87"/>
      <c r="AD2154" s="466"/>
      <c r="AE2154" s="456"/>
      <c r="AF2154" s="467"/>
      <c r="AG2154" s="87"/>
      <c r="AH2154" s="87"/>
      <c r="AI2154" s="87"/>
    </row>
    <row r="2155" spans="1:35" hidden="1">
      <c r="A2155" s="80" t="e">
        <f>"C"&amp;E2149</f>
        <v>#N/A</v>
      </c>
      <c r="B2155" s="88">
        <v>3</v>
      </c>
      <c r="C2155" s="82"/>
      <c r="D2155" s="82"/>
      <c r="E2155" s="82"/>
      <c r="F2155" s="82"/>
      <c r="G2155" s="83"/>
      <c r="H2155" s="83"/>
      <c r="I2155" s="84"/>
      <c r="J2155" s="85"/>
      <c r="K2155" s="382"/>
      <c r="L2155" s="85"/>
      <c r="M2155" s="332" t="str">
        <f t="shared" si="628"/>
        <v/>
      </c>
      <c r="N2155" s="86"/>
      <c r="O2155" s="453" t="str">
        <f t="shared" si="630"/>
        <v/>
      </c>
      <c r="P2155" s="538" t="str">
        <f t="shared" si="631"/>
        <v/>
      </c>
      <c r="Q2155" s="539" t="str">
        <f t="shared" si="629"/>
        <v/>
      </c>
      <c r="R2155" s="706"/>
      <c r="S2155" s="707"/>
      <c r="T2155" s="708"/>
      <c r="U2155" s="472"/>
      <c r="V2155" s="166"/>
      <c r="W2155" s="446"/>
      <c r="X2155" s="456"/>
      <c r="Y2155" s="436"/>
      <c r="Z2155" s="437"/>
      <c r="AA2155" s="560"/>
      <c r="AB2155" s="561"/>
      <c r="AC2155" s="87"/>
      <c r="AD2155" s="466"/>
      <c r="AE2155" s="456"/>
      <c r="AF2155" s="467"/>
      <c r="AG2155" s="87"/>
      <c r="AH2155" s="87"/>
      <c r="AI2155" s="87"/>
    </row>
    <row r="2156" spans="1:35" hidden="1">
      <c r="A2156" s="80" t="e">
        <f>"D"&amp;E2149</f>
        <v>#N/A</v>
      </c>
      <c r="B2156" s="105">
        <v>4</v>
      </c>
      <c r="C2156" s="107"/>
      <c r="D2156" s="107"/>
      <c r="E2156" s="107"/>
      <c r="F2156" s="107"/>
      <c r="G2156" s="83"/>
      <c r="H2156" s="83"/>
      <c r="I2156" s="84"/>
      <c r="J2156" s="85"/>
      <c r="K2156" s="382"/>
      <c r="L2156" s="85"/>
      <c r="M2156" s="332" t="str">
        <f t="shared" si="628"/>
        <v/>
      </c>
      <c r="N2156" s="86"/>
      <c r="O2156" s="453" t="str">
        <f t="shared" si="630"/>
        <v/>
      </c>
      <c r="P2156" s="538" t="str">
        <f t="shared" si="631"/>
        <v/>
      </c>
      <c r="Q2156" s="539" t="str">
        <f t="shared" si="629"/>
        <v/>
      </c>
      <c r="R2156" s="706"/>
      <c r="S2156" s="707"/>
      <c r="T2156" s="708"/>
      <c r="U2156" s="472"/>
      <c r="V2156" s="166"/>
      <c r="W2156" s="446"/>
      <c r="X2156" s="456"/>
      <c r="Y2156" s="436"/>
      <c r="Z2156" s="437"/>
      <c r="AA2156" s="560"/>
      <c r="AB2156" s="561"/>
      <c r="AC2156" s="87"/>
      <c r="AD2156" s="466"/>
      <c r="AE2156" s="456"/>
      <c r="AF2156" s="467"/>
      <c r="AG2156" s="87"/>
      <c r="AH2156" s="87"/>
      <c r="AI2156" s="87"/>
    </row>
    <row r="2157" spans="1:35" hidden="1">
      <c r="A2157" s="80" t="e">
        <f>"E"&amp;E2149</f>
        <v>#N/A</v>
      </c>
      <c r="B2157" s="105">
        <v>5</v>
      </c>
      <c r="C2157" s="107"/>
      <c r="D2157" s="107"/>
      <c r="E2157" s="107"/>
      <c r="F2157" s="107"/>
      <c r="G2157" s="83"/>
      <c r="H2157" s="83"/>
      <c r="I2157" s="84"/>
      <c r="J2157" s="85"/>
      <c r="K2157" s="382"/>
      <c r="L2157" s="85"/>
      <c r="M2157" s="332" t="str">
        <f t="shared" si="628"/>
        <v/>
      </c>
      <c r="N2157" s="86"/>
      <c r="O2157" s="453" t="str">
        <f t="shared" si="630"/>
        <v/>
      </c>
      <c r="P2157" s="538" t="str">
        <f t="shared" si="631"/>
        <v/>
      </c>
      <c r="Q2157" s="539" t="str">
        <f t="shared" si="629"/>
        <v/>
      </c>
      <c r="R2157" s="706"/>
      <c r="S2157" s="707"/>
      <c r="T2157" s="708"/>
      <c r="U2157" s="472"/>
      <c r="V2157" s="167"/>
      <c r="W2157" s="446"/>
      <c r="X2157" s="456"/>
      <c r="Y2157" s="436"/>
      <c r="Z2157" s="437"/>
      <c r="AA2157" s="560"/>
      <c r="AB2157" s="561"/>
      <c r="AC2157" s="87"/>
      <c r="AD2157" s="466"/>
      <c r="AE2157" s="456"/>
      <c r="AF2157" s="467"/>
      <c r="AG2157" s="87"/>
      <c r="AH2157" s="87"/>
      <c r="AI2157" s="87"/>
    </row>
    <row r="2158" spans="1:35" hidden="1">
      <c r="A2158" s="80" t="e">
        <f>"F"&amp;E2149</f>
        <v>#N/A</v>
      </c>
      <c r="B2158" s="105">
        <v>6</v>
      </c>
      <c r="C2158" s="107"/>
      <c r="D2158" s="107"/>
      <c r="E2158" s="107"/>
      <c r="F2158" s="107"/>
      <c r="G2158" s="83"/>
      <c r="H2158" s="83"/>
      <c r="I2158" s="84"/>
      <c r="J2158" s="85"/>
      <c r="K2158" s="382"/>
      <c r="L2158" s="85"/>
      <c r="M2158" s="332" t="str">
        <f t="shared" si="628"/>
        <v/>
      </c>
      <c r="N2158" s="86"/>
      <c r="O2158" s="453" t="str">
        <f t="shared" si="630"/>
        <v/>
      </c>
      <c r="P2158" s="538" t="str">
        <f t="shared" si="631"/>
        <v/>
      </c>
      <c r="Q2158" s="539" t="str">
        <f t="shared" si="629"/>
        <v/>
      </c>
      <c r="R2158" s="706"/>
      <c r="S2158" s="707"/>
      <c r="T2158" s="708"/>
      <c r="U2158" s="472"/>
      <c r="V2158" s="167"/>
      <c r="W2158" s="446"/>
      <c r="X2158" s="456"/>
      <c r="Y2158" s="436"/>
      <c r="Z2158" s="437"/>
      <c r="AA2158" s="560"/>
      <c r="AB2158" s="561"/>
      <c r="AC2158" s="87"/>
      <c r="AD2158" s="466"/>
      <c r="AE2158" s="456"/>
      <c r="AF2158" s="467"/>
      <c r="AG2158" s="87"/>
      <c r="AH2158" s="87"/>
      <c r="AI2158" s="87"/>
    </row>
    <row r="2159" spans="1:35" hidden="1">
      <c r="A2159" s="80" t="e">
        <f>"G"&amp;E2149</f>
        <v>#N/A</v>
      </c>
      <c r="B2159" s="105">
        <v>7</v>
      </c>
      <c r="C2159" s="107"/>
      <c r="D2159" s="107"/>
      <c r="E2159" s="107"/>
      <c r="F2159" s="107"/>
      <c r="G2159" s="83"/>
      <c r="H2159" s="83"/>
      <c r="I2159" s="84"/>
      <c r="J2159" s="85"/>
      <c r="K2159" s="382"/>
      <c r="L2159" s="85"/>
      <c r="M2159" s="332" t="str">
        <f t="shared" si="628"/>
        <v/>
      </c>
      <c r="N2159" s="86"/>
      <c r="O2159" s="86" t="str">
        <f t="shared" si="630"/>
        <v/>
      </c>
      <c r="P2159" s="538" t="str">
        <f t="shared" si="631"/>
        <v/>
      </c>
      <c r="Q2159" s="539" t="str">
        <f t="shared" si="629"/>
        <v/>
      </c>
      <c r="R2159" s="706"/>
      <c r="S2159" s="707"/>
      <c r="T2159" s="708"/>
      <c r="U2159" s="472"/>
      <c r="V2159" s="167"/>
      <c r="W2159" s="446"/>
      <c r="X2159" s="456"/>
      <c r="Y2159" s="436"/>
      <c r="Z2159" s="437"/>
      <c r="AA2159" s="560"/>
      <c r="AB2159" s="561"/>
      <c r="AC2159" s="87"/>
      <c r="AD2159" s="466"/>
      <c r="AE2159" s="456"/>
      <c r="AF2159" s="467"/>
      <c r="AG2159" s="87"/>
      <c r="AH2159" s="87"/>
      <c r="AI2159" s="87"/>
    </row>
    <row r="2160" spans="1:35" hidden="1">
      <c r="A2160" s="80" t="e">
        <f>"H"&amp;E2149</f>
        <v>#N/A</v>
      </c>
      <c r="B2160" s="105">
        <v>8</v>
      </c>
      <c r="C2160" s="107"/>
      <c r="D2160" s="107"/>
      <c r="E2160" s="107"/>
      <c r="F2160" s="107"/>
      <c r="G2160" s="83"/>
      <c r="H2160" s="83"/>
      <c r="I2160" s="84"/>
      <c r="J2160" s="85"/>
      <c r="K2160" s="382"/>
      <c r="L2160" s="85"/>
      <c r="M2160" s="332" t="str">
        <f t="shared" si="628"/>
        <v/>
      </c>
      <c r="N2160" s="453"/>
      <c r="O2160" s="86" t="str">
        <f t="shared" si="630"/>
        <v/>
      </c>
      <c r="P2160" s="538" t="str">
        <f t="shared" si="631"/>
        <v/>
      </c>
      <c r="Q2160" s="539" t="str">
        <f t="shared" si="629"/>
        <v/>
      </c>
      <c r="R2160" s="706"/>
      <c r="S2160" s="707"/>
      <c r="T2160" s="708"/>
      <c r="U2160" s="472"/>
      <c r="V2160" s="167"/>
      <c r="W2160" s="446"/>
      <c r="X2160" s="456"/>
      <c r="Y2160" s="436"/>
      <c r="Z2160" s="437"/>
      <c r="AA2160" s="560"/>
      <c r="AB2160" s="561"/>
      <c r="AC2160" s="87"/>
      <c r="AD2160" s="466"/>
      <c r="AE2160" s="456"/>
      <c r="AF2160" s="467"/>
      <c r="AG2160" s="87"/>
      <c r="AH2160" s="87"/>
      <c r="AI2160" s="87"/>
    </row>
    <row r="2161" spans="1:35" hidden="1">
      <c r="A2161" s="80" t="e">
        <f>"I"&amp;E2149</f>
        <v>#N/A</v>
      </c>
      <c r="B2161" s="105">
        <v>9</v>
      </c>
      <c r="C2161" s="107"/>
      <c r="D2161" s="107"/>
      <c r="E2161" s="107"/>
      <c r="F2161" s="107"/>
      <c r="G2161" s="83"/>
      <c r="H2161" s="83"/>
      <c r="I2161" s="84"/>
      <c r="J2161" s="85"/>
      <c r="K2161" s="382"/>
      <c r="L2161" s="85"/>
      <c r="M2161" s="332" t="str">
        <f t="shared" si="628"/>
        <v/>
      </c>
      <c r="N2161" s="453"/>
      <c r="O2161" s="86" t="str">
        <f t="shared" si="630"/>
        <v/>
      </c>
      <c r="P2161" s="538" t="str">
        <f t="shared" si="631"/>
        <v/>
      </c>
      <c r="Q2161" s="539" t="str">
        <f t="shared" si="629"/>
        <v/>
      </c>
      <c r="R2161" s="706"/>
      <c r="S2161" s="707"/>
      <c r="T2161" s="708"/>
      <c r="U2161" s="472"/>
      <c r="V2161" s="167"/>
      <c r="W2161" s="446"/>
      <c r="X2161" s="456"/>
      <c r="Y2161" s="436"/>
      <c r="Z2161" s="437"/>
      <c r="AA2161" s="560"/>
      <c r="AB2161" s="561"/>
      <c r="AC2161" s="87"/>
      <c r="AD2161" s="466"/>
      <c r="AE2161" s="456"/>
      <c r="AF2161" s="467"/>
      <c r="AG2161" s="87"/>
      <c r="AH2161" s="87"/>
      <c r="AI2161" s="87"/>
    </row>
    <row r="2162" spans="1:35" hidden="1">
      <c r="A2162" s="80" t="e">
        <f>"J"&amp;E2149</f>
        <v>#N/A</v>
      </c>
      <c r="B2162" s="105">
        <v>10</v>
      </c>
      <c r="C2162" s="107"/>
      <c r="D2162" s="107"/>
      <c r="E2162" s="107"/>
      <c r="F2162" s="107"/>
      <c r="G2162" s="83"/>
      <c r="H2162" s="83"/>
      <c r="I2162" s="84"/>
      <c r="J2162" s="85"/>
      <c r="K2162" s="382"/>
      <c r="L2162" s="85"/>
      <c r="M2162" s="332" t="str">
        <f t="shared" si="628"/>
        <v/>
      </c>
      <c r="N2162" s="453"/>
      <c r="O2162" s="86" t="str">
        <f t="shared" si="630"/>
        <v/>
      </c>
      <c r="P2162" s="538" t="str">
        <f t="shared" si="631"/>
        <v/>
      </c>
      <c r="Q2162" s="539" t="str">
        <f t="shared" si="629"/>
        <v/>
      </c>
      <c r="R2162" s="706"/>
      <c r="S2162" s="707"/>
      <c r="T2162" s="708"/>
      <c r="U2162" s="472"/>
      <c r="V2162" s="167"/>
      <c r="W2162" s="446"/>
      <c r="X2162" s="456"/>
      <c r="Y2162" s="436"/>
      <c r="Z2162" s="437"/>
      <c r="AA2162" s="560"/>
      <c r="AB2162" s="561"/>
      <c r="AC2162" s="87"/>
      <c r="AD2162" s="466"/>
      <c r="AE2162" s="456"/>
      <c r="AF2162" s="467"/>
      <c r="AG2162" s="87"/>
      <c r="AH2162" s="87"/>
      <c r="AI2162" s="87"/>
    </row>
    <row r="2163" spans="1:35" ht="16.5" hidden="1" thickBot="1">
      <c r="A2163" s="44"/>
      <c r="B2163" s="89"/>
      <c r="C2163" s="90"/>
      <c r="D2163" s="90"/>
      <c r="E2163" s="90"/>
      <c r="F2163" s="90"/>
      <c r="G2163" s="90"/>
      <c r="H2163" s="90"/>
      <c r="I2163" s="90"/>
      <c r="J2163" s="90"/>
      <c r="K2163" s="90"/>
      <c r="L2163" s="90"/>
      <c r="M2163" s="90"/>
      <c r="N2163" s="90"/>
      <c r="O2163" s="90"/>
      <c r="P2163" s="90"/>
      <c r="Q2163" s="90"/>
      <c r="R2163" s="90"/>
      <c r="S2163" s="91"/>
      <c r="T2163" s="92"/>
      <c r="U2163" s="473"/>
      <c r="W2163" s="438"/>
      <c r="X2163" s="455"/>
      <c r="Y2163" s="439"/>
      <c r="Z2163" s="437"/>
      <c r="AA2163" s="530"/>
      <c r="AB2163" s="563"/>
      <c r="AC2163" s="87"/>
      <c r="AD2163" s="440"/>
      <c r="AE2163" s="441"/>
      <c r="AF2163" s="442"/>
      <c r="AG2163" s="49"/>
      <c r="AH2163" s="87"/>
      <c r="AI2163" s="87"/>
    </row>
    <row r="2164" spans="1:35" ht="16.5" hidden="1" thickBot="1">
      <c r="A2164" s="93"/>
      <c r="B2164" s="94"/>
      <c r="C2164" s="96"/>
      <c r="D2164" s="96"/>
      <c r="E2164" s="96"/>
      <c r="F2164" s="96"/>
      <c r="G2164" s="96"/>
      <c r="H2164" s="96"/>
      <c r="I2164" s="96"/>
      <c r="J2164" s="96"/>
      <c r="K2164" s="96"/>
      <c r="L2164" s="96"/>
      <c r="M2164" s="136"/>
      <c r="N2164" s="96"/>
      <c r="O2164" s="96"/>
      <c r="P2164" s="97"/>
      <c r="Q2164" s="97"/>
      <c r="R2164" s="98"/>
      <c r="S2164" s="95"/>
      <c r="T2164" s="99"/>
      <c r="U2164" s="469"/>
      <c r="AC2164" s="58"/>
      <c r="AG2164" s="58"/>
      <c r="AH2164" s="87"/>
      <c r="AI2164" s="87"/>
    </row>
    <row r="2165" spans="1:35" ht="16.5" hidden="1" thickBot="1">
      <c r="B2165" s="101"/>
      <c r="C2165" s="101"/>
      <c r="D2165" s="101"/>
      <c r="E2165" s="101"/>
      <c r="F2165" s="101"/>
      <c r="G2165" s="101"/>
      <c r="H2165" s="101"/>
      <c r="I2165" s="101"/>
      <c r="J2165" s="101"/>
      <c r="K2165" s="101"/>
      <c r="L2165" s="101"/>
      <c r="M2165" s="101"/>
      <c r="N2165" s="101"/>
      <c r="O2165" s="101"/>
      <c r="P2165" s="101"/>
      <c r="Q2165" s="101"/>
      <c r="R2165" s="101"/>
      <c r="S2165" s="101"/>
      <c r="U2165" s="50"/>
      <c r="AH2165" s="87"/>
      <c r="AI2165" s="87"/>
    </row>
    <row r="2166" spans="1:35" ht="16.5" hidden="1" customHeight="1" thickBot="1">
      <c r="A2166" s="44"/>
      <c r="B2166" s="705" t="s">
        <v>74</v>
      </c>
      <c r="C2166" s="705"/>
      <c r="D2166" s="705"/>
      <c r="E2166" s="705"/>
      <c r="F2166" s="705"/>
      <c r="G2166" s="705"/>
      <c r="H2166" s="705"/>
      <c r="I2166" s="705"/>
      <c r="J2166" s="705"/>
      <c r="K2166" s="705"/>
      <c r="L2166" s="705"/>
      <c r="M2166" s="705"/>
      <c r="N2166" s="705"/>
      <c r="O2166" s="705"/>
      <c r="P2166" s="705"/>
      <c r="Q2166" s="705"/>
      <c r="R2166" s="705"/>
      <c r="S2166" s="705"/>
      <c r="T2166" s="705"/>
      <c r="U2166" s="108"/>
      <c r="Y2166" s="532" t="s">
        <v>341</v>
      </c>
      <c r="AC2166" s="49"/>
      <c r="AD2166" s="687" t="s">
        <v>302</v>
      </c>
      <c r="AE2166" s="688"/>
      <c r="AF2166" s="689"/>
      <c r="AG2166" s="49"/>
      <c r="AH2166" s="87"/>
      <c r="AI2166" s="87"/>
    </row>
    <row r="2167" spans="1:35" ht="15.75" hidden="1" customHeight="1" thickBot="1">
      <c r="A2167" s="218" t="e">
        <f>"K"&amp;E2149</f>
        <v>#N/A</v>
      </c>
      <c r="B2167" s="701" t="s">
        <v>71</v>
      </c>
      <c r="C2167" s="751" t="s">
        <v>102</v>
      </c>
      <c r="D2167" s="751"/>
      <c r="E2167" s="751"/>
      <c r="F2167" s="751"/>
      <c r="G2167" s="751"/>
      <c r="H2167" s="751"/>
      <c r="I2167" s="751"/>
      <c r="J2167" s="751"/>
      <c r="K2167" s="751"/>
      <c r="L2167" s="722" t="s">
        <v>100</v>
      </c>
      <c r="M2167" s="747" t="s">
        <v>114</v>
      </c>
      <c r="N2167" s="747"/>
      <c r="O2167" s="747"/>
      <c r="P2167" s="747"/>
      <c r="Q2167" s="748"/>
      <c r="R2167" s="758" t="s">
        <v>280</v>
      </c>
      <c r="S2167" s="748"/>
      <c r="T2167" s="762" t="str">
        <f>IF(COUNTIF(AE2167:AF2167,"VERIFICAR")&gt;0,"VERIFICAR",IF(COUNTIF(AE2167:AF2167,"NO CUMPLE")&gt;0,"NO CUMPLE","CUMPLE"))</f>
        <v>VERIFICAR</v>
      </c>
      <c r="U2167" s="108"/>
      <c r="Y2167" s="533" t="e">
        <f>IF(F2168="","",IF(F2168=1,"INDIVIDUAL","ESTRUCTURA PLURAL"))</f>
        <v>#N/A</v>
      </c>
      <c r="AC2167" s="52"/>
      <c r="AD2167" s="475" t="s">
        <v>303</v>
      </c>
      <c r="AE2167" s="476" t="str">
        <f>IF(COUNTIF(AE2153:AE2162,"")=10,"VERIFICAR",IF(COUNTIF(AE2153:AE2162,"SI")&gt;0,"CUMPLE","NO CUMPLE"))</f>
        <v>VERIFICAR</v>
      </c>
      <c r="AF2167" s="477" t="str">
        <f>IF(COUNTIF(AF2153:AF2162,"")=10,"VERIFICAR",IF(COUNTIF(AF2153:AF2162,"SI")&gt;=$AI$22,"CUMPLE","NO CUMPLE"))</f>
        <v>VERIFICAR</v>
      </c>
      <c r="AG2167" s="52"/>
      <c r="AH2167" s="87"/>
      <c r="AI2167" s="87"/>
    </row>
    <row r="2168" spans="1:35" ht="16.5" hidden="1" customHeight="1" thickBot="1">
      <c r="A2168" s="218" t="e">
        <f>"L"&amp;E2149</f>
        <v>#N/A</v>
      </c>
      <c r="B2168" s="702"/>
      <c r="C2168" s="751" t="s">
        <v>103</v>
      </c>
      <c r="D2168" s="751"/>
      <c r="E2168" s="752"/>
      <c r="F2168" s="557" t="e">
        <f>IF(VLOOKUP(E2149,PROPONENTES!$C$19:$E$218,3,0)="","",VLOOKUP(E2149,PROPONENTES!$C$19:$E$218,3,0))</f>
        <v>#N/A</v>
      </c>
      <c r="G2168" s="753" t="s">
        <v>104</v>
      </c>
      <c r="H2168" s="751"/>
      <c r="I2168" s="715" t="e">
        <f>IF(OR(F2168="",F2168=1),"INTERESADO PERSONA NATURAL O JURIDICA","CONSORCIO O UNION TEMPORAL")</f>
        <v>#N/A</v>
      </c>
      <c r="J2168" s="725"/>
      <c r="K2168" s="728"/>
      <c r="L2168" s="723"/>
      <c r="M2168" s="749"/>
      <c r="N2168" s="749"/>
      <c r="O2168" s="749"/>
      <c r="P2168" s="749"/>
      <c r="Q2168" s="750"/>
      <c r="R2168" s="712"/>
      <c r="S2168" s="750"/>
      <c r="T2168" s="763"/>
      <c r="U2168" s="108"/>
      <c r="Y2168" s="534"/>
      <c r="AA2168" s="52"/>
      <c r="AB2168" s="52"/>
      <c r="AC2168" s="52"/>
      <c r="AG2168" s="52"/>
      <c r="AH2168" s="87"/>
      <c r="AI2168" s="87"/>
    </row>
    <row r="2169" spans="1:35" ht="56.25" hidden="1" customHeight="1" thickBot="1">
      <c r="A2169" s="218" t="e">
        <f>"M"&amp;E2149</f>
        <v>#N/A</v>
      </c>
      <c r="B2169" s="702"/>
      <c r="C2169" s="725" t="s">
        <v>101</v>
      </c>
      <c r="D2169" s="716"/>
      <c r="E2169" s="558" t="s">
        <v>105</v>
      </c>
      <c r="F2169" s="554" t="s">
        <v>87</v>
      </c>
      <c r="G2169" s="553" t="s">
        <v>86</v>
      </c>
      <c r="H2169" s="559" t="s">
        <v>85</v>
      </c>
      <c r="I2169" s="554" t="s">
        <v>252</v>
      </c>
      <c r="J2169" s="553" t="str">
        <f>"¿EL INTEGRANTE TIENE UNA PARTICIPACIÓN DEL "&amp;PORCREQUERIDOINT*100&amp;"%?"</f>
        <v>¿EL INTEGRANTE TIENE UNA PARTICIPACIÓN DEL 60%?</v>
      </c>
      <c r="K2169" s="554" t="s">
        <v>107</v>
      </c>
      <c r="L2169" s="724"/>
      <c r="M2169" s="717" t="s">
        <v>115</v>
      </c>
      <c r="N2169" s="718"/>
      <c r="O2169" s="718"/>
      <c r="P2169" s="718"/>
      <c r="Q2169" s="223">
        <f>IF(AND(H2153="SI",P2153&gt;=0),1,0)+IF(AND(H2154="SI",P2154&gt;=0),1,0)+IF(AND(H2155="SI",P2155&gt;=0),1,0)+IF(AND(H2156="SI",P2156&gt;=0),1,0)+IF(AND(H2157="SI",P2157&gt;=0),1,0)+IF(AND(H2158="SI",P2158&gt;=0),1,0)+IF(AND(H2159="SI",P2159&gt;=0),1,0)+IF(AND(H2160="SI",P2160&gt;=0),1,0)+IF(AND(H2161="SI",P2161&gt;=0),1,0)+IF(AND(H2162="SI",P2162&gt;=0),1,0)</f>
        <v>0</v>
      </c>
      <c r="R2169" s="759"/>
      <c r="S2169" s="761"/>
      <c r="T2169" s="764"/>
      <c r="U2169" s="219"/>
      <c r="V2169" s="464"/>
      <c r="Y2169" s="532" t="s">
        <v>342</v>
      </c>
      <c r="AA2169" s="550" t="s">
        <v>344</v>
      </c>
      <c r="AB2169" s="693" t="s">
        <v>345</v>
      </c>
      <c r="AC2169" s="693" t="s">
        <v>346</v>
      </c>
      <c r="AD2169" s="685" t="s">
        <v>347</v>
      </c>
      <c r="AE2169" s="52"/>
      <c r="AF2169" s="52"/>
      <c r="AG2169" s="52"/>
      <c r="AH2169" s="87"/>
      <c r="AI2169" s="87"/>
    </row>
    <row r="2170" spans="1:35" ht="15.75" hidden="1" customHeight="1" thickBot="1">
      <c r="A2170" s="218" t="e">
        <f>"N"&amp;E2149</f>
        <v>#N/A</v>
      </c>
      <c r="B2170" s="702"/>
      <c r="C2170" s="114">
        <v>1</v>
      </c>
      <c r="D2170" s="194" t="e">
        <f>IF(AND(C2170&lt;=F2168,F2168&gt;1,F2168&lt;&gt;""),VLOOKUP(VALUE(E2149&amp;","&amp;C2170),INTEGRANTES!$D$18:$F$235,2,0),"")</f>
        <v>#N/A</v>
      </c>
      <c r="E2170" s="211" t="e">
        <f>IF(D2170&lt;&gt;"",VLOOKUP(VALUE(E2149&amp;","&amp;C2170),INTEGRANTES!$D$18:$F$235,3,0),"")</f>
        <v>#N/A</v>
      </c>
      <c r="F2170" s="547" t="e">
        <f>IF(D2170="","",SUMIF($I2153:$I2162,D2170,$P2153:$P2162))</f>
        <v>#N/A</v>
      </c>
      <c r="G2170" s="333" t="e">
        <f>IF(D2170="","",SUMIF($I2153:$I2162,D2170,$M2153:$M2162))</f>
        <v>#N/A</v>
      </c>
      <c r="H2170" s="535" t="e">
        <f t="shared" ref="H2170:H2175" si="632">IF(D2170="","",IF(OR(F2170=0,G2170=0),"NO APORTA",ROUND($F2170/$G2170,3)))</f>
        <v>#N/A</v>
      </c>
      <c r="I2170" s="212" t="e">
        <f>IF(D2170="","",IF(H2170="NO APORTA","NO",IF(H2170=MAX($H2170:$H2175),"SI","NO")))</f>
        <v>#N/A</v>
      </c>
      <c r="J2170" s="213" t="e">
        <f t="shared" ref="J2170:J2175" si="633">IF(D2170="","",IF(E2170&gt;=PORCREQUERIDOINT,"SI","NO"))</f>
        <v>#N/A</v>
      </c>
      <c r="K2170" s="200" t="e">
        <f t="shared" ref="K2170:K2175" si="634">IF(D2170="","",IF(AND(I2170="SI",J2170="SI"),"CUMPLE",IF(AND(I2170="NO",OR(J2170="SI",J2170="NO")),"","NO CUMPLE")))</f>
        <v>#N/A</v>
      </c>
      <c r="L2170" s="722" t="s">
        <v>108</v>
      </c>
      <c r="M2170" s="726" t="s">
        <v>119</v>
      </c>
      <c r="N2170" s="726"/>
      <c r="O2170" s="726"/>
      <c r="P2170" s="726"/>
      <c r="Q2170" s="727"/>
      <c r="R2170" s="758" t="s">
        <v>80</v>
      </c>
      <c r="S2170" s="747"/>
      <c r="T2170" s="748"/>
      <c r="U2170" s="219"/>
      <c r="V2170" s="464"/>
      <c r="Y2170" s="533" t="e">
        <f>IF(Y2167="","",IF(Y2167="INDIVIDUAL","NO APLICA","VERIFICAR CUADRO"))</f>
        <v>#N/A</v>
      </c>
      <c r="AA2170" s="551"/>
      <c r="AB2170" s="694"/>
      <c r="AC2170" s="694"/>
      <c r="AD2170" s="686"/>
      <c r="AE2170" s="52"/>
      <c r="AF2170" s="52"/>
      <c r="AG2170" s="52"/>
      <c r="AH2170" s="87"/>
      <c r="AI2170" s="87"/>
    </row>
    <row r="2171" spans="1:35" ht="27" hidden="1" customHeight="1" thickBot="1">
      <c r="A2171" s="218" t="e">
        <f>"O"&amp;E2149</f>
        <v>#N/A</v>
      </c>
      <c r="B2171" s="702"/>
      <c r="C2171" s="114">
        <v>2</v>
      </c>
      <c r="D2171" s="194" t="e">
        <f>IF(AND(C2171&lt;=F2168,F2168&lt;&gt;""),VLOOKUP(VALUE(E2149&amp;","&amp;C2171),INTEGRANTES!$D$18:$F$235,2,0),"")</f>
        <v>#N/A</v>
      </c>
      <c r="E2171" s="211" t="e">
        <f>IF(D2171&lt;&gt;"",VLOOKUP(VALUE(E2149&amp;","&amp;C2171),INTEGRANTES!$D$18:$F$235,3,0),"")</f>
        <v>#N/A</v>
      </c>
      <c r="F2171" s="547" t="e">
        <f>IF(D2171="","",SUMIF($I2153:$I2162,D2171,$P2153:$P2162))</f>
        <v>#N/A</v>
      </c>
      <c r="G2171" s="333" t="e">
        <f>IF(D2171="","",SUMIF($I2153:$I2162,D2171,$M2153:$M2162))</f>
        <v>#N/A</v>
      </c>
      <c r="H2171" s="535" t="e">
        <f t="shared" si="632"/>
        <v>#N/A</v>
      </c>
      <c r="I2171" s="212" t="e">
        <f>IF(D2171="","",IF(H2171="NO APORTA","NO",IF(H2171=MAX($H2170:$H2175),"SI","NO")))</f>
        <v>#N/A</v>
      </c>
      <c r="J2171" s="213" t="e">
        <f t="shared" si="633"/>
        <v>#N/A</v>
      </c>
      <c r="K2171" s="200" t="e">
        <f t="shared" si="634"/>
        <v>#N/A</v>
      </c>
      <c r="L2171" s="723"/>
      <c r="M2171" s="715" t="s">
        <v>116</v>
      </c>
      <c r="N2171" s="716"/>
      <c r="O2171" s="556" t="s">
        <v>113</v>
      </c>
      <c r="P2171" s="715" t="s">
        <v>117</v>
      </c>
      <c r="Q2171" s="728"/>
      <c r="R2171" s="759"/>
      <c r="S2171" s="760"/>
      <c r="T2171" s="761"/>
      <c r="U2171" s="219"/>
      <c r="V2171" s="464"/>
      <c r="Y2171" s="414"/>
      <c r="AA2171" s="542" t="e">
        <f>IF(AND(C2170&lt;=F2168,F2168&gt;1,F2168&lt;&gt;""),VLOOKUP(VALUE(E2149&amp;","&amp;C2170),INTEGRANTES!$D$18:$F$235,2,0),"")</f>
        <v>#N/A</v>
      </c>
      <c r="AB2171" s="544" t="e">
        <f t="shared" ref="AB2171:AB2176" si="635">IF(D2170="","",IF(OR(F2170=0,G2170=0),"NO APORTA",ROUND($F2170/$G2170,3)))</f>
        <v>#N/A</v>
      </c>
      <c r="AC2171" s="529"/>
      <c r="AD2171" s="200" t="e">
        <f t="shared" ref="AD2171:AD2176" si="636">IF(OR(AA2171="",AB2171=""),"",IF(AND(AC2171="X",AB2171&gt;=EXPREQVTD),"CUMPLE","NO CUMPLE"))</f>
        <v>#N/A</v>
      </c>
      <c r="AE2171" s="52"/>
      <c r="AF2171" s="52"/>
      <c r="AG2171" s="52"/>
      <c r="AH2171" s="87"/>
      <c r="AI2171" s="87"/>
    </row>
    <row r="2172" spans="1:35" ht="16.5" hidden="1" thickBot="1">
      <c r="A2172" s="218" t="e">
        <f>"P"&amp;E2149</f>
        <v>#N/A</v>
      </c>
      <c r="B2172" s="702"/>
      <c r="C2172" s="114">
        <v>3</v>
      </c>
      <c r="D2172" s="194" t="e">
        <f>IF(AND(C2172&lt;=F2168,F2168&lt;&gt;""),VLOOKUP(VALUE(E2149&amp;","&amp;C2172),INTEGRANTES!$D$18:$F$235,2,0),"")</f>
        <v>#N/A</v>
      </c>
      <c r="E2172" s="211" t="e">
        <f>IF(D2172&lt;&gt;"",VLOOKUP(VALUE(E2149&amp;","&amp;C2172),INTEGRANTES!$D$18:$F$235,3,0),"")</f>
        <v>#N/A</v>
      </c>
      <c r="F2172" s="547" t="e">
        <f>IF(D2172="","",SUMIF($I2153:$I2162,D2172,$P2153:$P2162))</f>
        <v>#N/A</v>
      </c>
      <c r="G2172" s="333" t="e">
        <f>IF(D2172="","",SUMIF($I2153:$I2162,D2172,$M2153:$M2162))</f>
        <v>#N/A</v>
      </c>
      <c r="H2172" s="535" t="e">
        <f t="shared" si="632"/>
        <v>#N/A</v>
      </c>
      <c r="I2172" s="212" t="e">
        <f>IF(D2172="","",IF(H2172="NO APORTA","NO",IF(H2172=MAX($H2170:$H2175),"SI","NO")))</f>
        <v>#N/A</v>
      </c>
      <c r="J2172" s="213" t="e">
        <f t="shared" si="633"/>
        <v>#N/A</v>
      </c>
      <c r="K2172" s="200" t="e">
        <f t="shared" si="634"/>
        <v>#N/A</v>
      </c>
      <c r="L2172" s="724"/>
      <c r="M2172" s="729">
        <f>NUMMOD</f>
        <v>1</v>
      </c>
      <c r="N2172" s="730"/>
      <c r="O2172" s="443">
        <f>IF(M2172="","",VLOOKUP(M2172,PRESUPUESTOS!$B$16:$H$16,5,FALSE))</f>
        <v>2</v>
      </c>
      <c r="P2172" s="713">
        <f>IF(OR(COUNTIF(M2153:M2162,"")&gt;=10,Q2169&lt;NUMMINCONT,OR(T2167="NO CUMPLE",T2167="VERIFICAR")),0,ROUND(AVERAGE(M2153:M2162),3))</f>
        <v>0</v>
      </c>
      <c r="Q2172" s="714"/>
      <c r="R2172" s="458"/>
      <c r="S2172" s="459"/>
      <c r="T2172" s="460"/>
      <c r="U2172" s="219"/>
      <c r="V2172" s="464"/>
      <c r="Y2172" s="532" t="str">
        <f>"40% * ("&amp;PRESUPUESTOS!$H$13&amp;")"</f>
        <v>40% * (50% PFMO)</v>
      </c>
      <c r="AA2172" s="540" t="e">
        <f>IF(AND(C2171&lt;=F2168,F2168&lt;&gt;""),VLOOKUP(VALUE(E2149&amp;","&amp;C2171),INTEGRANTES!$D$18:$F$235,2,0),"")</f>
        <v>#N/A</v>
      </c>
      <c r="AB2172" s="545" t="e">
        <f t="shared" si="635"/>
        <v>#N/A</v>
      </c>
      <c r="AC2172" s="529"/>
      <c r="AD2172" s="200" t="e">
        <f t="shared" si="636"/>
        <v>#N/A</v>
      </c>
      <c r="AE2172" s="52"/>
      <c r="AF2172" s="52"/>
      <c r="AG2172" s="52"/>
      <c r="AH2172" s="87"/>
      <c r="AI2172" s="87"/>
    </row>
    <row r="2173" spans="1:35" ht="15.75" hidden="1" customHeight="1" thickBot="1">
      <c r="A2173" s="218" t="e">
        <f>"Q"&amp;E2149</f>
        <v>#N/A</v>
      </c>
      <c r="B2173" s="702"/>
      <c r="C2173" s="114">
        <v>4</v>
      </c>
      <c r="D2173" s="194" t="e">
        <f>IF(AND(C2173&lt;=F2168,F2168&lt;&gt;""),VLOOKUP(VALUE(E2149&amp;","&amp;C2173),INTEGRANTES!$D$18:$F$235,2,0),"")</f>
        <v>#N/A</v>
      </c>
      <c r="E2173" s="211" t="e">
        <f>IF(D2173&lt;&gt;"",VLOOKUP(VALUE(E2149&amp;","&amp;C2173),INTEGRANTES!$D$18:$F$235,3,0),"")</f>
        <v>#N/A</v>
      </c>
      <c r="F2173" s="547" t="e">
        <f>IF(D2173="","",SUMIF($I2153:$I2162,D2173,$P2153:$P2162))</f>
        <v>#N/A</v>
      </c>
      <c r="G2173" s="333" t="e">
        <f>IF(D2173="","",SUMIF($I2153:$I2162,D2173,$M2153:$M2162))</f>
        <v>#N/A</v>
      </c>
      <c r="H2173" s="535" t="e">
        <f t="shared" si="632"/>
        <v>#N/A</v>
      </c>
      <c r="I2173" s="212" t="e">
        <f>IF(D2173="","",IF(H2173="NO APORTA","NO",IF(H2173=MAX($H2170:$H2175),"SI","NO")))</f>
        <v>#N/A</v>
      </c>
      <c r="J2173" s="213" t="e">
        <f t="shared" si="633"/>
        <v>#N/A</v>
      </c>
      <c r="K2173" s="200" t="e">
        <f t="shared" si="634"/>
        <v>#N/A</v>
      </c>
      <c r="L2173" s="720" t="s">
        <v>109</v>
      </c>
      <c r="M2173" s="757" t="s">
        <v>120</v>
      </c>
      <c r="N2173" s="726"/>
      <c r="O2173" s="726"/>
      <c r="P2173" s="726"/>
      <c r="Q2173" s="727"/>
      <c r="R2173" s="458"/>
      <c r="S2173" s="459"/>
      <c r="T2173" s="460"/>
      <c r="U2173" s="219"/>
      <c r="V2173" s="464"/>
      <c r="Y2173" s="537">
        <f>0.4*PRESUPUESTOS!$H$16</f>
        <v>10.3124</v>
      </c>
      <c r="AA2173" s="540" t="e">
        <f>IF(AND(C2172&lt;=F2168,F2168&lt;&gt;""),VLOOKUP(VALUE(E2149&amp;","&amp;C2172),INTEGRANTES!$D$18:$F$235,2,0),"")</f>
        <v>#N/A</v>
      </c>
      <c r="AB2173" s="545" t="e">
        <f t="shared" si="635"/>
        <v>#N/A</v>
      </c>
      <c r="AC2173" s="529"/>
      <c r="AD2173" s="200" t="e">
        <f t="shared" si="636"/>
        <v>#N/A</v>
      </c>
      <c r="AE2173" s="52"/>
      <c r="AF2173" s="52"/>
      <c r="AG2173" s="52"/>
      <c r="AH2173" s="87"/>
      <c r="AI2173" s="87"/>
    </row>
    <row r="2174" spans="1:35" ht="27" hidden="1" customHeight="1" thickBot="1">
      <c r="A2174" s="218" t="e">
        <f>"R"&amp;E2149</f>
        <v>#N/A</v>
      </c>
      <c r="B2174" s="702"/>
      <c r="C2174" s="114">
        <v>5</v>
      </c>
      <c r="D2174" s="194" t="e">
        <f>IF(AND(C2174&lt;=F2168,F2168&lt;&gt;""),VLOOKUP(VALUE(E2149&amp;","&amp;C2174),INTEGRANTES!$D$18:$F$235,2,0),"")</f>
        <v>#N/A</v>
      </c>
      <c r="E2174" s="211" t="e">
        <f>IF(D2174&lt;&gt;"",VLOOKUP(VALUE(E2149&amp;","&amp;C2174),INTEGRANTES!$D$18:$F$235,3,0),"")</f>
        <v>#N/A</v>
      </c>
      <c r="F2174" s="547" t="e">
        <f>IF(D2174="","",SUMIF($I2153:$I2162,D2174,$P2153:$P2162))</f>
        <v>#N/A</v>
      </c>
      <c r="G2174" s="333" t="e">
        <f>IF(D2174="","",SUMIF($I2153:$I2162,D2174,$M2153:$M2162))</f>
        <v>#N/A</v>
      </c>
      <c r="H2174" s="535" t="e">
        <f t="shared" si="632"/>
        <v>#N/A</v>
      </c>
      <c r="I2174" s="212" t="e">
        <f>IF(D2174="","",IF(H2174="NO APORTA","NO",IF(H2174=MAX($H2170:$H2175),"SI","NO")))</f>
        <v>#N/A</v>
      </c>
      <c r="J2174" s="213" t="e">
        <f t="shared" si="633"/>
        <v>#N/A</v>
      </c>
      <c r="K2174" s="200" t="e">
        <f t="shared" si="634"/>
        <v>#N/A</v>
      </c>
      <c r="L2174" s="721"/>
      <c r="M2174" s="715" t="s">
        <v>116</v>
      </c>
      <c r="N2174" s="716"/>
      <c r="O2174" s="556" t="str">
        <f>PORCREQUERIDO*100&amp;"% PMFO DEL MÓDULO"</f>
        <v>50% PMFO DEL MÓDULO</v>
      </c>
      <c r="P2174" s="715" t="s">
        <v>118</v>
      </c>
      <c r="Q2174" s="728"/>
      <c r="R2174" s="458"/>
      <c r="S2174" s="459"/>
      <c r="T2174" s="460"/>
      <c r="U2174" s="219"/>
      <c r="V2174" s="464"/>
      <c r="Y2174" s="414"/>
      <c r="AA2174" s="540" t="e">
        <f>IF(AND(C2173&lt;=F2168,F2168&lt;&gt;""),VLOOKUP(VALUE(E2149&amp;","&amp;C2173),INTEGRANTES!$D$18:$F$235,2,0),"")</f>
        <v>#N/A</v>
      </c>
      <c r="AB2174" s="545" t="e">
        <f t="shared" si="635"/>
        <v>#N/A</v>
      </c>
      <c r="AC2174" s="529"/>
      <c r="AD2174" s="200" t="e">
        <f t="shared" si="636"/>
        <v>#N/A</v>
      </c>
      <c r="AE2174" s="52"/>
      <c r="AF2174" s="52"/>
      <c r="AG2174" s="52"/>
      <c r="AH2174" s="87"/>
      <c r="AI2174" s="87"/>
    </row>
    <row r="2175" spans="1:35" ht="16.5" hidden="1" thickBot="1">
      <c r="A2175" s="218" t="e">
        <f>"S"&amp;E2149</f>
        <v>#N/A</v>
      </c>
      <c r="B2175" s="702"/>
      <c r="C2175" s="215">
        <v>6</v>
      </c>
      <c r="D2175" s="216" t="e">
        <f>IF(AND(C2175&lt;=F2168,F2168&lt;&gt;""),VLOOKUP(VALUE(E2149&amp;","&amp;C2175),INTEGRANTES!$D$18:$F$235,2,0),"")</f>
        <v>#N/A</v>
      </c>
      <c r="E2175" s="217" t="e">
        <f>IF(D2175&lt;&gt;"",VLOOKUP(VALUE(E2149&amp;","&amp;C2175),INTEGRANTES!$D$18:$F$235,3,0),"")</f>
        <v>#N/A</v>
      </c>
      <c r="F2175" s="548" t="e">
        <f>IF(D2175="","",SUMIF($I2153:$I2162,D2175,$P2153:$P2162))</f>
        <v>#N/A</v>
      </c>
      <c r="G2175" s="334" t="e">
        <f>IF(D2175="","",SUMIF($I2153:$I2162,D2175,$M2153:$M2162))</f>
        <v>#N/A</v>
      </c>
      <c r="H2175" s="536" t="e">
        <f t="shared" si="632"/>
        <v>#N/A</v>
      </c>
      <c r="I2175" s="214" t="e">
        <f>IF(D2175="","",IF(H2175="NO APORTA","NO",IF(H2175=MAX($H2170:$H2175),"SI","NO")))</f>
        <v>#N/A</v>
      </c>
      <c r="J2175" s="213" t="e">
        <f t="shared" si="633"/>
        <v>#N/A</v>
      </c>
      <c r="K2175" s="200" t="e">
        <f t="shared" si="634"/>
        <v>#N/A</v>
      </c>
      <c r="L2175" s="721"/>
      <c r="M2175" s="729">
        <f>NUMMOD</f>
        <v>1</v>
      </c>
      <c r="N2175" s="730"/>
      <c r="O2175" s="443">
        <f>IF(M2175="","",ROUND(VLOOKUP(M2175,PRESUPUESTOS!$B$16:$H$16,7,FALSE),3))</f>
        <v>25.780999999999999</v>
      </c>
      <c r="P2175" s="713">
        <f>IF(OR(COUNTIF(P2153:P2162,"")&gt;=10,Q2169&lt;NUMMINCONT,OR(T2167="NO CUMPLE",T2167="VERIFICAR")),0,ROUND((SUM(P2153:P2162)/SUM(M2153:M2162)),3))</f>
        <v>0</v>
      </c>
      <c r="Q2175" s="714"/>
      <c r="R2175" s="458"/>
      <c r="S2175" s="459"/>
      <c r="T2175" s="460"/>
      <c r="U2175" s="219"/>
      <c r="V2175" s="464"/>
      <c r="Y2175" s="532" t="s">
        <v>343</v>
      </c>
      <c r="AA2175" s="540" t="e">
        <f>IF(AND(C2174&lt;=F2168,F2168&lt;&gt;""),VLOOKUP(VALUE(E2149&amp;","&amp;C2174),INTEGRANTES!$D$18:$F$235,2,0),"")</f>
        <v>#N/A</v>
      </c>
      <c r="AB2175" s="545" t="e">
        <f t="shared" si="635"/>
        <v>#N/A</v>
      </c>
      <c r="AC2175" s="529"/>
      <c r="AD2175" s="200" t="e">
        <f t="shared" si="636"/>
        <v>#N/A</v>
      </c>
      <c r="AE2175" s="52"/>
      <c r="AF2175" s="52"/>
      <c r="AG2175" s="52"/>
      <c r="AH2175" s="87"/>
      <c r="AI2175" s="87"/>
    </row>
    <row r="2176" spans="1:35" ht="16.5" hidden="1" customHeight="1" thickBot="1">
      <c r="A2176" s="218" t="e">
        <f>"T"&amp;E2149</f>
        <v>#N/A</v>
      </c>
      <c r="B2176" s="703"/>
      <c r="C2176" s="719"/>
      <c r="D2176" s="719"/>
      <c r="E2176" s="719"/>
      <c r="F2176" s="719"/>
      <c r="G2176" s="719"/>
      <c r="H2176" s="719" t="s">
        <v>110</v>
      </c>
      <c r="I2176" s="719"/>
      <c r="J2176" s="719"/>
      <c r="K2176" s="201" t="str">
        <f>IF(COUNTIF(K2170:K2175,"")=6,"",IF(COUNTIF(K2170:K2175,"CUMPLE")&gt;0,"CUMPLE","NO CUMPLE"))</f>
        <v>NO CUMPLE</v>
      </c>
      <c r="L2176" s="754"/>
      <c r="M2176" s="755"/>
      <c r="N2176" s="755"/>
      <c r="O2176" s="755"/>
      <c r="P2176" s="755"/>
      <c r="Q2176" s="756"/>
      <c r="R2176" s="461"/>
      <c r="S2176" s="462"/>
      <c r="T2176" s="463"/>
      <c r="U2176" s="219"/>
      <c r="V2176" s="464"/>
      <c r="Y2176" s="549" t="e">
        <f>IF(Y2170="NO APLICA","NO APLICA",IF(COUNTIF(AD2171:AD2176,"CUMPLE")&gt;0,"CUMPLE","NO CUMPLE"))</f>
        <v>#N/A</v>
      </c>
      <c r="AA2176" s="541" t="e">
        <f>IF(AND(C2175&lt;=F2168,F2168&lt;&gt;""),VLOOKUP(VALUE(E2149&amp;","&amp;C2175),INTEGRANTES!$D$18:$F$235,2,0),"")</f>
        <v>#N/A</v>
      </c>
      <c r="AB2176" s="546" t="e">
        <f t="shared" si="635"/>
        <v>#N/A</v>
      </c>
      <c r="AC2176" s="543"/>
      <c r="AD2176" s="201" t="e">
        <f t="shared" si="636"/>
        <v>#N/A</v>
      </c>
      <c r="AE2176" s="52"/>
      <c r="AF2176" s="52"/>
      <c r="AG2176" s="52"/>
      <c r="AH2176" s="87"/>
      <c r="AI2176" s="87"/>
    </row>
    <row r="2177" spans="1:35" hidden="1">
      <c r="AH2177" s="87"/>
      <c r="AI2177" s="87"/>
    </row>
    <row r="2178" spans="1:35" hidden="1">
      <c r="AH2178" s="87"/>
      <c r="AI2178" s="87"/>
    </row>
    <row r="2179" spans="1:35" ht="24" hidden="1" thickBot="1">
      <c r="A2179" s="61">
        <v>73</v>
      </c>
      <c r="B2179" s="704" t="s">
        <v>51</v>
      </c>
      <c r="C2179" s="704"/>
      <c r="D2179" s="704"/>
      <c r="E2179" s="62" t="e">
        <f>VLOOKUP(A2179,PROPONENTES!$B$19:$E$218,2,FALSE)</f>
        <v>#N/A</v>
      </c>
      <c r="F2179" s="63" t="e">
        <f>VLOOKUP(A2179,PROPONENTES!$B$19:$E$218,3,FALSE)</f>
        <v>#N/A</v>
      </c>
      <c r="G2179" s="64"/>
      <c r="H2179" s="64"/>
      <c r="I2179" s="63"/>
      <c r="J2179" s="63"/>
      <c r="K2179" s="65"/>
      <c r="L2179" s="65"/>
      <c r="M2179" s="64"/>
      <c r="N2179" s="64"/>
      <c r="O2179" s="66"/>
      <c r="P2179" s="66"/>
      <c r="Q2179" s="66"/>
      <c r="R2179" s="66"/>
      <c r="S2179" s="67"/>
      <c r="T2179" s="68"/>
      <c r="U2179" s="68"/>
      <c r="AC2179" s="68"/>
      <c r="AD2179" s="68"/>
      <c r="AE2179" s="68"/>
      <c r="AF2179" s="68"/>
      <c r="AG2179" s="68"/>
      <c r="AH2179" s="87"/>
      <c r="AI2179" s="87"/>
    </row>
    <row r="2180" spans="1:35" ht="15.75" hidden="1" customHeight="1">
      <c r="A2180" s="44"/>
      <c r="B2180" s="709" t="s">
        <v>59</v>
      </c>
      <c r="C2180" s="552" t="s">
        <v>60</v>
      </c>
      <c r="D2180" s="70" t="s">
        <v>17</v>
      </c>
      <c r="E2180" s="70"/>
      <c r="F2180" s="70" t="s">
        <v>61</v>
      </c>
      <c r="G2180" s="71"/>
      <c r="H2180" s="699" t="s">
        <v>62</v>
      </c>
      <c r="I2180" s="699" t="s">
        <v>18</v>
      </c>
      <c r="J2180" s="699" t="s">
        <v>63</v>
      </c>
      <c r="K2180" s="699" t="s">
        <v>64</v>
      </c>
      <c r="L2180" s="699" t="s">
        <v>65</v>
      </c>
      <c r="M2180" s="743" t="s">
        <v>66</v>
      </c>
      <c r="N2180" s="699" t="s">
        <v>282</v>
      </c>
      <c r="O2180" s="745" t="s">
        <v>67</v>
      </c>
      <c r="P2180" s="746"/>
      <c r="Q2180" s="102" t="s">
        <v>75</v>
      </c>
      <c r="R2180" s="731" t="s">
        <v>22</v>
      </c>
      <c r="S2180" s="732"/>
      <c r="T2180" s="733"/>
      <c r="U2180" s="712" t="s">
        <v>298</v>
      </c>
      <c r="W2180" s="690" t="s">
        <v>268</v>
      </c>
      <c r="X2180" s="691"/>
      <c r="Y2180" s="692"/>
      <c r="Z2180" s="428"/>
      <c r="AA2180" s="697" t="s">
        <v>315</v>
      </c>
      <c r="AB2180" s="695" t="s">
        <v>322</v>
      </c>
      <c r="AC2180" s="49"/>
      <c r="AD2180" s="690" t="s">
        <v>297</v>
      </c>
      <c r="AE2180" s="691"/>
      <c r="AF2180" s="692"/>
      <c r="AG2180" s="49"/>
      <c r="AH2180" s="87"/>
      <c r="AI2180" s="87"/>
    </row>
    <row r="2181" spans="1:35" ht="72" hidden="1">
      <c r="A2181" s="44"/>
      <c r="B2181" s="710"/>
      <c r="C2181" s="553" t="s">
        <v>68</v>
      </c>
      <c r="D2181" s="73" t="s">
        <v>3</v>
      </c>
      <c r="E2181" s="73" t="s">
        <v>19</v>
      </c>
      <c r="F2181" s="73" t="s">
        <v>69</v>
      </c>
      <c r="G2181" s="74" t="s">
        <v>70</v>
      </c>
      <c r="H2181" s="700"/>
      <c r="I2181" s="700"/>
      <c r="J2181" s="700"/>
      <c r="K2181" s="700"/>
      <c r="L2181" s="700"/>
      <c r="M2181" s="744"/>
      <c r="N2181" s="700"/>
      <c r="O2181" s="553" t="s">
        <v>279</v>
      </c>
      <c r="P2181" s="73" t="s">
        <v>88</v>
      </c>
      <c r="Q2181" s="555" t="s">
        <v>76</v>
      </c>
      <c r="R2181" s="734"/>
      <c r="S2181" s="735"/>
      <c r="T2181" s="736"/>
      <c r="U2181" s="712"/>
      <c r="W2181" s="429" t="s">
        <v>269</v>
      </c>
      <c r="X2181" s="457" t="s">
        <v>278</v>
      </c>
      <c r="Y2181" s="430" t="s">
        <v>324</v>
      </c>
      <c r="Z2181" s="428"/>
      <c r="AA2181" s="698"/>
      <c r="AB2181" s="696"/>
      <c r="AC2181" s="49"/>
      <c r="AD2181" s="429" t="s">
        <v>292</v>
      </c>
      <c r="AE2181" s="431" t="s">
        <v>300</v>
      </c>
      <c r="AF2181" s="468" t="s">
        <v>301</v>
      </c>
      <c r="AG2181" s="49"/>
      <c r="AH2181" s="87"/>
      <c r="AI2181" s="87"/>
    </row>
    <row r="2182" spans="1:35" hidden="1">
      <c r="A2182" s="44"/>
      <c r="B2182" s="76"/>
      <c r="C2182" s="77"/>
      <c r="D2182" s="77"/>
      <c r="E2182" s="77"/>
      <c r="F2182" s="77"/>
      <c r="G2182" s="77"/>
      <c r="H2182" s="77"/>
      <c r="I2182" s="77"/>
      <c r="J2182" s="77"/>
      <c r="K2182" s="77"/>
      <c r="L2182" s="77"/>
      <c r="M2182" s="77"/>
      <c r="N2182" s="77"/>
      <c r="O2182" s="77"/>
      <c r="P2182" s="77"/>
      <c r="Q2182" s="77"/>
      <c r="R2182" s="77"/>
      <c r="S2182" s="78"/>
      <c r="T2182" s="79"/>
      <c r="U2182" s="109"/>
      <c r="V2182" s="49"/>
      <c r="W2182" s="432"/>
      <c r="X2182" s="454"/>
      <c r="Y2182" s="433"/>
      <c r="Z2182" s="6"/>
      <c r="AA2182" s="500"/>
      <c r="AB2182" s="562"/>
      <c r="AC2182" s="49"/>
      <c r="AD2182" s="210"/>
      <c r="AE2182" s="434"/>
      <c r="AF2182" s="435"/>
      <c r="AG2182" s="49"/>
      <c r="AH2182" s="87"/>
      <c r="AI2182" s="87"/>
    </row>
    <row r="2183" spans="1:35" hidden="1">
      <c r="A2183" s="80" t="e">
        <f>"A"&amp;E2179</f>
        <v>#N/A</v>
      </c>
      <c r="B2183" s="81">
        <v>1</v>
      </c>
      <c r="C2183" s="82"/>
      <c r="D2183" s="82"/>
      <c r="E2183" s="82"/>
      <c r="F2183" s="82"/>
      <c r="G2183" s="83"/>
      <c r="H2183" s="83"/>
      <c r="I2183" s="84"/>
      <c r="J2183" s="85"/>
      <c r="K2183" s="382"/>
      <c r="L2183" s="85"/>
      <c r="M2183" s="332" t="str">
        <f t="shared" ref="M2183:M2192" si="637">IF(OR(J2183="",L2183="",H2183="NO"),"",IF(OR(J2183&gt;$P$17,J2183&lt;$O$17,L2183&gt;$P$17,AND(J2183&lt;$O$17,L2183&lt;$O$17)),"FUERA DE RANGO",IF(OR(K2183="---",K2183=""),IF(J2183&gt;=$O$17,ROUND((L2183-J2183+1)/360*12,3),ROUND((L2183-$O$17+1)/360*12,3)),IF(J2183&gt;=$O$17,ROUND((L2183-J2183+1)/360*12-ROUND(K2183,3),3),ROUND((L2183-$O$17+1)/360*12-ROUND(K2183,3),3)))))</f>
        <v/>
      </c>
      <c r="N2183" s="86"/>
      <c r="O2183" s="453" t="str">
        <f>IF(OR(G2183="",N2183=""),"",N2183*G2183)</f>
        <v/>
      </c>
      <c r="P2183" s="538" t="str">
        <f>IF(OR(H2183="",M2183="FUERA DE RANGO"),"",IF(OR(L2183&lt;$O$17,L2183&gt;$P$17,L2183="",H2183="NO"),"",IF(OR(N2183="",O2183=""),"",ROUND(O2183,3))))</f>
        <v/>
      </c>
      <c r="Q2183" s="539" t="str">
        <f t="shared" ref="Q2183:Q2192" si="638">IF(AND(H2183="SI",P2183&lt;&gt;""),ROUND(P2183/M2183,3),"")</f>
        <v/>
      </c>
      <c r="R2183" s="737"/>
      <c r="S2183" s="738"/>
      <c r="T2183" s="739"/>
      <c r="U2183" s="470"/>
      <c r="V2183" s="165"/>
      <c r="W2183" s="446"/>
      <c r="X2183" s="456"/>
      <c r="Y2183" s="436"/>
      <c r="Z2183" s="437"/>
      <c r="AA2183" s="560"/>
      <c r="AB2183" s="561"/>
      <c r="AC2183" s="87"/>
      <c r="AD2183" s="466"/>
      <c r="AE2183" s="456"/>
      <c r="AF2183" s="467"/>
      <c r="AG2183" s="87"/>
      <c r="AH2183" s="87"/>
      <c r="AI2183" s="87"/>
    </row>
    <row r="2184" spans="1:35" hidden="1">
      <c r="A2184" s="80" t="e">
        <f>"B"&amp;E2179</f>
        <v>#N/A</v>
      </c>
      <c r="B2184" s="81">
        <v>2</v>
      </c>
      <c r="C2184" s="106"/>
      <c r="D2184" s="106"/>
      <c r="E2184" s="106"/>
      <c r="F2184" s="106"/>
      <c r="G2184" s="83"/>
      <c r="H2184" s="83"/>
      <c r="I2184" s="84"/>
      <c r="J2184" s="85"/>
      <c r="K2184" s="382"/>
      <c r="L2184" s="85"/>
      <c r="M2184" s="332" t="str">
        <f t="shared" si="637"/>
        <v/>
      </c>
      <c r="N2184" s="86"/>
      <c r="O2184" s="453" t="str">
        <f t="shared" ref="O2184:O2192" si="639">IF(OR(G2184="",N2184=""),"",N2184*G2184)</f>
        <v/>
      </c>
      <c r="P2184" s="538" t="str">
        <f t="shared" ref="P2184:P2192" si="640">IF(OR(H2184="",M2184="FUERA DE RANGO"),"",IF(OR(L2184&lt;$O$17,L2184&gt;$P$17,L2184="",H2184="NO"),"",IF(OR(N2184="",O2184=""),"",ROUND(O2184,3))))</f>
        <v/>
      </c>
      <c r="Q2184" s="539" t="str">
        <f t="shared" si="638"/>
        <v/>
      </c>
      <c r="R2184" s="740"/>
      <c r="S2184" s="741"/>
      <c r="T2184" s="742"/>
      <c r="U2184" s="471"/>
      <c r="V2184" s="165"/>
      <c r="W2184" s="446"/>
      <c r="X2184" s="456"/>
      <c r="Y2184" s="436"/>
      <c r="Z2184" s="437"/>
      <c r="AA2184" s="560"/>
      <c r="AB2184" s="561"/>
      <c r="AC2184" s="87"/>
      <c r="AD2184" s="466"/>
      <c r="AE2184" s="456"/>
      <c r="AF2184" s="467"/>
      <c r="AG2184" s="87"/>
      <c r="AH2184" s="87"/>
      <c r="AI2184" s="87"/>
    </row>
    <row r="2185" spans="1:35" hidden="1">
      <c r="A2185" s="80" t="e">
        <f>"C"&amp;E2179</f>
        <v>#N/A</v>
      </c>
      <c r="B2185" s="88">
        <v>3</v>
      </c>
      <c r="C2185" s="82"/>
      <c r="D2185" s="82"/>
      <c r="E2185" s="82"/>
      <c r="F2185" s="82"/>
      <c r="G2185" s="83"/>
      <c r="H2185" s="83"/>
      <c r="I2185" s="84"/>
      <c r="J2185" s="85"/>
      <c r="K2185" s="382"/>
      <c r="L2185" s="85"/>
      <c r="M2185" s="332" t="str">
        <f t="shared" si="637"/>
        <v/>
      </c>
      <c r="N2185" s="86"/>
      <c r="O2185" s="453" t="str">
        <f t="shared" si="639"/>
        <v/>
      </c>
      <c r="P2185" s="538" t="str">
        <f t="shared" si="640"/>
        <v/>
      </c>
      <c r="Q2185" s="539" t="str">
        <f t="shared" si="638"/>
        <v/>
      </c>
      <c r="R2185" s="706"/>
      <c r="S2185" s="707"/>
      <c r="T2185" s="708"/>
      <c r="U2185" s="472"/>
      <c r="V2185" s="166"/>
      <c r="W2185" s="446"/>
      <c r="X2185" s="456"/>
      <c r="Y2185" s="436"/>
      <c r="Z2185" s="437"/>
      <c r="AA2185" s="560"/>
      <c r="AB2185" s="561"/>
      <c r="AC2185" s="87"/>
      <c r="AD2185" s="466"/>
      <c r="AE2185" s="456"/>
      <c r="AF2185" s="467"/>
      <c r="AG2185" s="87"/>
      <c r="AH2185" s="87"/>
      <c r="AI2185" s="87"/>
    </row>
    <row r="2186" spans="1:35" hidden="1">
      <c r="A2186" s="80" t="e">
        <f>"D"&amp;E2179</f>
        <v>#N/A</v>
      </c>
      <c r="B2186" s="105">
        <v>4</v>
      </c>
      <c r="C2186" s="107"/>
      <c r="D2186" s="107"/>
      <c r="E2186" s="107"/>
      <c r="F2186" s="107"/>
      <c r="G2186" s="83"/>
      <c r="H2186" s="83"/>
      <c r="I2186" s="84"/>
      <c r="J2186" s="85"/>
      <c r="K2186" s="382"/>
      <c r="L2186" s="85"/>
      <c r="M2186" s="332" t="str">
        <f t="shared" si="637"/>
        <v/>
      </c>
      <c r="N2186" s="86"/>
      <c r="O2186" s="453" t="str">
        <f t="shared" si="639"/>
        <v/>
      </c>
      <c r="P2186" s="538" t="str">
        <f t="shared" si="640"/>
        <v/>
      </c>
      <c r="Q2186" s="539" t="str">
        <f t="shared" si="638"/>
        <v/>
      </c>
      <c r="R2186" s="706"/>
      <c r="S2186" s="707"/>
      <c r="T2186" s="708"/>
      <c r="U2186" s="472"/>
      <c r="V2186" s="166"/>
      <c r="W2186" s="446"/>
      <c r="X2186" s="456"/>
      <c r="Y2186" s="436"/>
      <c r="Z2186" s="437"/>
      <c r="AA2186" s="560"/>
      <c r="AB2186" s="561"/>
      <c r="AC2186" s="87"/>
      <c r="AD2186" s="466"/>
      <c r="AE2186" s="456"/>
      <c r="AF2186" s="467"/>
      <c r="AG2186" s="87"/>
      <c r="AH2186" s="87"/>
      <c r="AI2186" s="87"/>
    </row>
    <row r="2187" spans="1:35" hidden="1">
      <c r="A2187" s="80" t="e">
        <f>"E"&amp;E2179</f>
        <v>#N/A</v>
      </c>
      <c r="B2187" s="105">
        <v>5</v>
      </c>
      <c r="C2187" s="107"/>
      <c r="D2187" s="107"/>
      <c r="E2187" s="107"/>
      <c r="F2187" s="107"/>
      <c r="G2187" s="83"/>
      <c r="H2187" s="83"/>
      <c r="I2187" s="84"/>
      <c r="J2187" s="85"/>
      <c r="K2187" s="382"/>
      <c r="L2187" s="85"/>
      <c r="M2187" s="332" t="str">
        <f t="shared" si="637"/>
        <v/>
      </c>
      <c r="N2187" s="86"/>
      <c r="O2187" s="453" t="str">
        <f t="shared" si="639"/>
        <v/>
      </c>
      <c r="P2187" s="538" t="str">
        <f t="shared" si="640"/>
        <v/>
      </c>
      <c r="Q2187" s="539" t="str">
        <f t="shared" si="638"/>
        <v/>
      </c>
      <c r="R2187" s="706"/>
      <c r="S2187" s="707"/>
      <c r="T2187" s="708"/>
      <c r="U2187" s="472"/>
      <c r="V2187" s="167"/>
      <c r="W2187" s="446"/>
      <c r="X2187" s="456"/>
      <c r="Y2187" s="436"/>
      <c r="Z2187" s="437"/>
      <c r="AA2187" s="560"/>
      <c r="AB2187" s="561"/>
      <c r="AC2187" s="87"/>
      <c r="AD2187" s="466"/>
      <c r="AE2187" s="456"/>
      <c r="AF2187" s="467"/>
      <c r="AG2187" s="87"/>
      <c r="AH2187" s="87"/>
      <c r="AI2187" s="87"/>
    </row>
    <row r="2188" spans="1:35" hidden="1">
      <c r="A2188" s="80" t="e">
        <f>"F"&amp;E2179</f>
        <v>#N/A</v>
      </c>
      <c r="B2188" s="105">
        <v>6</v>
      </c>
      <c r="C2188" s="107"/>
      <c r="D2188" s="107"/>
      <c r="E2188" s="107"/>
      <c r="F2188" s="107"/>
      <c r="G2188" s="83"/>
      <c r="H2188" s="83"/>
      <c r="I2188" s="84"/>
      <c r="J2188" s="85"/>
      <c r="K2188" s="382"/>
      <c r="L2188" s="85"/>
      <c r="M2188" s="332" t="str">
        <f t="shared" si="637"/>
        <v/>
      </c>
      <c r="N2188" s="86"/>
      <c r="O2188" s="453" t="str">
        <f t="shared" si="639"/>
        <v/>
      </c>
      <c r="P2188" s="538" t="str">
        <f t="shared" si="640"/>
        <v/>
      </c>
      <c r="Q2188" s="539" t="str">
        <f t="shared" si="638"/>
        <v/>
      </c>
      <c r="R2188" s="706"/>
      <c r="S2188" s="707"/>
      <c r="T2188" s="708"/>
      <c r="U2188" s="472"/>
      <c r="V2188" s="167"/>
      <c r="W2188" s="446"/>
      <c r="X2188" s="456"/>
      <c r="Y2188" s="436"/>
      <c r="Z2188" s="437"/>
      <c r="AA2188" s="560"/>
      <c r="AB2188" s="561"/>
      <c r="AC2188" s="87"/>
      <c r="AD2188" s="466"/>
      <c r="AE2188" s="456"/>
      <c r="AF2188" s="467"/>
      <c r="AG2188" s="87"/>
      <c r="AH2188" s="87"/>
      <c r="AI2188" s="87"/>
    </row>
    <row r="2189" spans="1:35" hidden="1">
      <c r="A2189" s="80" t="e">
        <f>"G"&amp;E2179</f>
        <v>#N/A</v>
      </c>
      <c r="B2189" s="105">
        <v>7</v>
      </c>
      <c r="C2189" s="107"/>
      <c r="D2189" s="107"/>
      <c r="E2189" s="107"/>
      <c r="F2189" s="107"/>
      <c r="G2189" s="83"/>
      <c r="H2189" s="83"/>
      <c r="I2189" s="84"/>
      <c r="J2189" s="85"/>
      <c r="K2189" s="382"/>
      <c r="L2189" s="85"/>
      <c r="M2189" s="332" t="str">
        <f t="shared" si="637"/>
        <v/>
      </c>
      <c r="N2189" s="86"/>
      <c r="O2189" s="86" t="str">
        <f t="shared" si="639"/>
        <v/>
      </c>
      <c r="P2189" s="538" t="str">
        <f t="shared" si="640"/>
        <v/>
      </c>
      <c r="Q2189" s="539" t="str">
        <f t="shared" si="638"/>
        <v/>
      </c>
      <c r="R2189" s="706"/>
      <c r="S2189" s="707"/>
      <c r="T2189" s="708"/>
      <c r="U2189" s="472"/>
      <c r="V2189" s="167"/>
      <c r="W2189" s="446"/>
      <c r="X2189" s="456"/>
      <c r="Y2189" s="436"/>
      <c r="Z2189" s="437"/>
      <c r="AA2189" s="560"/>
      <c r="AB2189" s="561"/>
      <c r="AC2189" s="87"/>
      <c r="AD2189" s="466"/>
      <c r="AE2189" s="456"/>
      <c r="AF2189" s="467"/>
      <c r="AG2189" s="87"/>
      <c r="AH2189" s="87"/>
      <c r="AI2189" s="87"/>
    </row>
    <row r="2190" spans="1:35" hidden="1">
      <c r="A2190" s="80" t="e">
        <f>"H"&amp;E2179</f>
        <v>#N/A</v>
      </c>
      <c r="B2190" s="105">
        <v>8</v>
      </c>
      <c r="C2190" s="107"/>
      <c r="D2190" s="107"/>
      <c r="E2190" s="107"/>
      <c r="F2190" s="107"/>
      <c r="G2190" s="83"/>
      <c r="H2190" s="83"/>
      <c r="I2190" s="84"/>
      <c r="J2190" s="85"/>
      <c r="K2190" s="382"/>
      <c r="L2190" s="85"/>
      <c r="M2190" s="332" t="str">
        <f t="shared" si="637"/>
        <v/>
      </c>
      <c r="N2190" s="453"/>
      <c r="O2190" s="86" t="str">
        <f t="shared" si="639"/>
        <v/>
      </c>
      <c r="P2190" s="538" t="str">
        <f t="shared" si="640"/>
        <v/>
      </c>
      <c r="Q2190" s="539" t="str">
        <f t="shared" si="638"/>
        <v/>
      </c>
      <c r="R2190" s="706"/>
      <c r="S2190" s="707"/>
      <c r="T2190" s="708"/>
      <c r="U2190" s="472"/>
      <c r="V2190" s="167"/>
      <c r="W2190" s="446"/>
      <c r="X2190" s="456"/>
      <c r="Y2190" s="436"/>
      <c r="Z2190" s="437"/>
      <c r="AA2190" s="560"/>
      <c r="AB2190" s="561"/>
      <c r="AC2190" s="87"/>
      <c r="AD2190" s="466"/>
      <c r="AE2190" s="456"/>
      <c r="AF2190" s="467"/>
      <c r="AG2190" s="87"/>
      <c r="AH2190" s="87"/>
      <c r="AI2190" s="87"/>
    </row>
    <row r="2191" spans="1:35" hidden="1">
      <c r="A2191" s="80" t="e">
        <f>"I"&amp;E2179</f>
        <v>#N/A</v>
      </c>
      <c r="B2191" s="105">
        <v>9</v>
      </c>
      <c r="C2191" s="107"/>
      <c r="D2191" s="107"/>
      <c r="E2191" s="107"/>
      <c r="F2191" s="107"/>
      <c r="G2191" s="83"/>
      <c r="H2191" s="83"/>
      <c r="I2191" s="84"/>
      <c r="J2191" s="85"/>
      <c r="K2191" s="382"/>
      <c r="L2191" s="85"/>
      <c r="M2191" s="332" t="str">
        <f t="shared" si="637"/>
        <v/>
      </c>
      <c r="N2191" s="453"/>
      <c r="O2191" s="86" t="str">
        <f t="shared" si="639"/>
        <v/>
      </c>
      <c r="P2191" s="538" t="str">
        <f t="shared" si="640"/>
        <v/>
      </c>
      <c r="Q2191" s="539" t="str">
        <f t="shared" si="638"/>
        <v/>
      </c>
      <c r="R2191" s="706"/>
      <c r="S2191" s="707"/>
      <c r="T2191" s="708"/>
      <c r="U2191" s="472"/>
      <c r="V2191" s="167"/>
      <c r="W2191" s="446"/>
      <c r="X2191" s="456"/>
      <c r="Y2191" s="436"/>
      <c r="Z2191" s="437"/>
      <c r="AA2191" s="560"/>
      <c r="AB2191" s="561"/>
      <c r="AC2191" s="87"/>
      <c r="AD2191" s="466"/>
      <c r="AE2191" s="456"/>
      <c r="AF2191" s="467"/>
      <c r="AG2191" s="87"/>
      <c r="AH2191" s="87"/>
      <c r="AI2191" s="87"/>
    </row>
    <row r="2192" spans="1:35" hidden="1">
      <c r="A2192" s="80" t="e">
        <f>"J"&amp;E2179</f>
        <v>#N/A</v>
      </c>
      <c r="B2192" s="105">
        <v>10</v>
      </c>
      <c r="C2192" s="107"/>
      <c r="D2192" s="107"/>
      <c r="E2192" s="107"/>
      <c r="F2192" s="107"/>
      <c r="G2192" s="83"/>
      <c r="H2192" s="83"/>
      <c r="I2192" s="84"/>
      <c r="J2192" s="85"/>
      <c r="K2192" s="382"/>
      <c r="L2192" s="85"/>
      <c r="M2192" s="332" t="str">
        <f t="shared" si="637"/>
        <v/>
      </c>
      <c r="N2192" s="453"/>
      <c r="O2192" s="86" t="str">
        <f t="shared" si="639"/>
        <v/>
      </c>
      <c r="P2192" s="538" t="str">
        <f t="shared" si="640"/>
        <v/>
      </c>
      <c r="Q2192" s="539" t="str">
        <f t="shared" si="638"/>
        <v/>
      </c>
      <c r="R2192" s="706"/>
      <c r="S2192" s="707"/>
      <c r="T2192" s="708"/>
      <c r="U2192" s="472"/>
      <c r="V2192" s="167"/>
      <c r="W2192" s="446"/>
      <c r="X2192" s="456"/>
      <c r="Y2192" s="436"/>
      <c r="Z2192" s="437"/>
      <c r="AA2192" s="560"/>
      <c r="AB2192" s="561"/>
      <c r="AC2192" s="87"/>
      <c r="AD2192" s="466"/>
      <c r="AE2192" s="456"/>
      <c r="AF2192" s="467"/>
      <c r="AG2192" s="87"/>
      <c r="AH2192" s="87"/>
      <c r="AI2192" s="87"/>
    </row>
    <row r="2193" spans="1:35" ht="16.5" hidden="1" thickBot="1">
      <c r="A2193" s="44"/>
      <c r="B2193" s="89"/>
      <c r="C2193" s="90"/>
      <c r="D2193" s="90"/>
      <c r="E2193" s="90"/>
      <c r="F2193" s="90"/>
      <c r="G2193" s="90"/>
      <c r="H2193" s="90"/>
      <c r="I2193" s="90"/>
      <c r="J2193" s="90"/>
      <c r="K2193" s="90"/>
      <c r="L2193" s="90"/>
      <c r="M2193" s="90"/>
      <c r="N2193" s="90"/>
      <c r="O2193" s="90"/>
      <c r="P2193" s="90"/>
      <c r="Q2193" s="90"/>
      <c r="R2193" s="90"/>
      <c r="S2193" s="91"/>
      <c r="T2193" s="92"/>
      <c r="U2193" s="473"/>
      <c r="W2193" s="438"/>
      <c r="X2193" s="455"/>
      <c r="Y2193" s="439"/>
      <c r="Z2193" s="437"/>
      <c r="AA2193" s="530"/>
      <c r="AB2193" s="563"/>
      <c r="AC2193" s="87"/>
      <c r="AD2193" s="440"/>
      <c r="AE2193" s="441"/>
      <c r="AF2193" s="442"/>
      <c r="AG2193" s="49"/>
      <c r="AH2193" s="87"/>
      <c r="AI2193" s="87"/>
    </row>
    <row r="2194" spans="1:35" ht="16.5" hidden="1" thickBot="1">
      <c r="A2194" s="93"/>
      <c r="B2194" s="94"/>
      <c r="C2194" s="96"/>
      <c r="D2194" s="96"/>
      <c r="E2194" s="96"/>
      <c r="F2194" s="96"/>
      <c r="G2194" s="96"/>
      <c r="H2194" s="96"/>
      <c r="I2194" s="96"/>
      <c r="J2194" s="96"/>
      <c r="K2194" s="96"/>
      <c r="L2194" s="96"/>
      <c r="M2194" s="136"/>
      <c r="N2194" s="96"/>
      <c r="O2194" s="96"/>
      <c r="P2194" s="97"/>
      <c r="Q2194" s="97"/>
      <c r="R2194" s="98"/>
      <c r="S2194" s="95"/>
      <c r="T2194" s="99"/>
      <c r="U2194" s="469"/>
      <c r="AC2194" s="58"/>
      <c r="AG2194" s="58"/>
      <c r="AH2194" s="87"/>
      <c r="AI2194" s="87"/>
    </row>
    <row r="2195" spans="1:35" ht="16.5" hidden="1" thickBot="1">
      <c r="B2195" s="101"/>
      <c r="C2195" s="101"/>
      <c r="D2195" s="101"/>
      <c r="E2195" s="101"/>
      <c r="F2195" s="101"/>
      <c r="G2195" s="101"/>
      <c r="H2195" s="101"/>
      <c r="I2195" s="101"/>
      <c r="J2195" s="101"/>
      <c r="K2195" s="101"/>
      <c r="L2195" s="101"/>
      <c r="M2195" s="101"/>
      <c r="N2195" s="101"/>
      <c r="O2195" s="101"/>
      <c r="P2195" s="101"/>
      <c r="Q2195" s="101"/>
      <c r="R2195" s="101"/>
      <c r="S2195" s="101"/>
      <c r="U2195" s="50"/>
      <c r="AH2195" s="87"/>
      <c r="AI2195" s="87"/>
    </row>
    <row r="2196" spans="1:35" ht="16.5" hidden="1" customHeight="1" thickBot="1">
      <c r="A2196" s="44"/>
      <c r="B2196" s="705" t="s">
        <v>74</v>
      </c>
      <c r="C2196" s="705"/>
      <c r="D2196" s="705"/>
      <c r="E2196" s="705"/>
      <c r="F2196" s="705"/>
      <c r="G2196" s="705"/>
      <c r="H2196" s="705"/>
      <c r="I2196" s="705"/>
      <c r="J2196" s="705"/>
      <c r="K2196" s="705"/>
      <c r="L2196" s="705"/>
      <c r="M2196" s="705"/>
      <c r="N2196" s="705"/>
      <c r="O2196" s="705"/>
      <c r="P2196" s="705"/>
      <c r="Q2196" s="705"/>
      <c r="R2196" s="705"/>
      <c r="S2196" s="705"/>
      <c r="T2196" s="705"/>
      <c r="U2196" s="108"/>
      <c r="Y2196" s="532" t="s">
        <v>341</v>
      </c>
      <c r="AC2196" s="49"/>
      <c r="AD2196" s="687" t="s">
        <v>302</v>
      </c>
      <c r="AE2196" s="688"/>
      <c r="AF2196" s="689"/>
      <c r="AG2196" s="49"/>
      <c r="AH2196" s="87"/>
      <c r="AI2196" s="87"/>
    </row>
    <row r="2197" spans="1:35" ht="15.75" hidden="1" customHeight="1" thickBot="1">
      <c r="A2197" s="218" t="e">
        <f>"K"&amp;E2179</f>
        <v>#N/A</v>
      </c>
      <c r="B2197" s="701" t="s">
        <v>71</v>
      </c>
      <c r="C2197" s="751" t="s">
        <v>102</v>
      </c>
      <c r="D2197" s="751"/>
      <c r="E2197" s="751"/>
      <c r="F2197" s="751"/>
      <c r="G2197" s="751"/>
      <c r="H2197" s="751"/>
      <c r="I2197" s="751"/>
      <c r="J2197" s="751"/>
      <c r="K2197" s="751"/>
      <c r="L2197" s="722" t="s">
        <v>100</v>
      </c>
      <c r="M2197" s="747" t="s">
        <v>114</v>
      </c>
      <c r="N2197" s="747"/>
      <c r="O2197" s="747"/>
      <c r="P2197" s="747"/>
      <c r="Q2197" s="748"/>
      <c r="R2197" s="758" t="s">
        <v>280</v>
      </c>
      <c r="S2197" s="748"/>
      <c r="T2197" s="762" t="str">
        <f>IF(COUNTIF(AE2197:AF2197,"VERIFICAR")&gt;0,"VERIFICAR",IF(COUNTIF(AE2197:AF2197,"NO CUMPLE")&gt;0,"NO CUMPLE","CUMPLE"))</f>
        <v>VERIFICAR</v>
      </c>
      <c r="U2197" s="108"/>
      <c r="Y2197" s="533" t="e">
        <f>IF(F2198="","",IF(F2198=1,"INDIVIDUAL","ESTRUCTURA PLURAL"))</f>
        <v>#N/A</v>
      </c>
      <c r="AC2197" s="52"/>
      <c r="AD2197" s="475" t="s">
        <v>303</v>
      </c>
      <c r="AE2197" s="476" t="str">
        <f>IF(COUNTIF(AE2183:AE2192,"")=10,"VERIFICAR",IF(COUNTIF(AE2183:AE2192,"SI")&gt;0,"CUMPLE","NO CUMPLE"))</f>
        <v>VERIFICAR</v>
      </c>
      <c r="AF2197" s="477" t="str">
        <f>IF(COUNTIF(AF2183:AF2192,"")=10,"VERIFICAR",IF(COUNTIF(AF2183:AF2192,"SI")&gt;=$AI$22,"CUMPLE","NO CUMPLE"))</f>
        <v>VERIFICAR</v>
      </c>
      <c r="AG2197" s="52"/>
      <c r="AH2197" s="87"/>
      <c r="AI2197" s="87"/>
    </row>
    <row r="2198" spans="1:35" ht="16.5" hidden="1" customHeight="1" thickBot="1">
      <c r="A2198" s="218" t="e">
        <f>"L"&amp;E2179</f>
        <v>#N/A</v>
      </c>
      <c r="B2198" s="702"/>
      <c r="C2198" s="751" t="s">
        <v>103</v>
      </c>
      <c r="D2198" s="751"/>
      <c r="E2198" s="752"/>
      <c r="F2198" s="557" t="e">
        <f>IF(VLOOKUP(E2179,PROPONENTES!$C$19:$E$218,3,0)="","",VLOOKUP(E2179,PROPONENTES!$C$19:$E$218,3,0))</f>
        <v>#N/A</v>
      </c>
      <c r="G2198" s="753" t="s">
        <v>104</v>
      </c>
      <c r="H2198" s="751"/>
      <c r="I2198" s="715" t="e">
        <f>IF(OR(F2198="",F2198=1),"INTERESADO PERSONA NATURAL O JURIDICA","CONSORCIO O UNION TEMPORAL")</f>
        <v>#N/A</v>
      </c>
      <c r="J2198" s="725"/>
      <c r="K2198" s="728"/>
      <c r="L2198" s="723"/>
      <c r="M2198" s="749"/>
      <c r="N2198" s="749"/>
      <c r="O2198" s="749"/>
      <c r="P2198" s="749"/>
      <c r="Q2198" s="750"/>
      <c r="R2198" s="712"/>
      <c r="S2198" s="750"/>
      <c r="T2198" s="763"/>
      <c r="U2198" s="108"/>
      <c r="Y2198" s="534"/>
      <c r="AA2198" s="52"/>
      <c r="AB2198" s="52"/>
      <c r="AC2198" s="52"/>
      <c r="AG2198" s="52"/>
      <c r="AH2198" s="87"/>
      <c r="AI2198" s="87"/>
    </row>
    <row r="2199" spans="1:35" ht="56.25" hidden="1" customHeight="1" thickBot="1">
      <c r="A2199" s="218" t="e">
        <f>"M"&amp;E2179</f>
        <v>#N/A</v>
      </c>
      <c r="B2199" s="702"/>
      <c r="C2199" s="725" t="s">
        <v>101</v>
      </c>
      <c r="D2199" s="716"/>
      <c r="E2199" s="558" t="s">
        <v>105</v>
      </c>
      <c r="F2199" s="554" t="s">
        <v>87</v>
      </c>
      <c r="G2199" s="553" t="s">
        <v>86</v>
      </c>
      <c r="H2199" s="559" t="s">
        <v>85</v>
      </c>
      <c r="I2199" s="554" t="s">
        <v>252</v>
      </c>
      <c r="J2199" s="553" t="str">
        <f>"¿EL INTEGRANTE TIENE UNA PARTICIPACIÓN DEL "&amp;PORCREQUERIDOINT*100&amp;"%?"</f>
        <v>¿EL INTEGRANTE TIENE UNA PARTICIPACIÓN DEL 60%?</v>
      </c>
      <c r="K2199" s="554" t="s">
        <v>107</v>
      </c>
      <c r="L2199" s="724"/>
      <c r="M2199" s="717" t="s">
        <v>115</v>
      </c>
      <c r="N2199" s="718"/>
      <c r="O2199" s="718"/>
      <c r="P2199" s="718"/>
      <c r="Q2199" s="223">
        <f>IF(AND(H2183="SI",P2183&gt;=0),1,0)+IF(AND(H2184="SI",P2184&gt;=0),1,0)+IF(AND(H2185="SI",P2185&gt;=0),1,0)+IF(AND(H2186="SI",P2186&gt;=0),1,0)+IF(AND(H2187="SI",P2187&gt;=0),1,0)+IF(AND(H2188="SI",P2188&gt;=0),1,0)+IF(AND(H2189="SI",P2189&gt;=0),1,0)+IF(AND(H2190="SI",P2190&gt;=0),1,0)+IF(AND(H2191="SI",P2191&gt;=0),1,0)+IF(AND(H2192="SI",P2192&gt;=0),1,0)</f>
        <v>0</v>
      </c>
      <c r="R2199" s="759"/>
      <c r="S2199" s="761"/>
      <c r="T2199" s="764"/>
      <c r="U2199" s="219"/>
      <c r="V2199" s="464"/>
      <c r="Y2199" s="532" t="s">
        <v>342</v>
      </c>
      <c r="AA2199" s="550" t="s">
        <v>344</v>
      </c>
      <c r="AB2199" s="693" t="s">
        <v>345</v>
      </c>
      <c r="AC2199" s="693" t="s">
        <v>346</v>
      </c>
      <c r="AD2199" s="685" t="s">
        <v>347</v>
      </c>
      <c r="AE2199" s="52"/>
      <c r="AF2199" s="52"/>
      <c r="AG2199" s="52"/>
      <c r="AH2199" s="87"/>
      <c r="AI2199" s="87"/>
    </row>
    <row r="2200" spans="1:35" ht="15.75" hidden="1" customHeight="1" thickBot="1">
      <c r="A2200" s="218" t="e">
        <f>"N"&amp;E2179</f>
        <v>#N/A</v>
      </c>
      <c r="B2200" s="702"/>
      <c r="C2200" s="114">
        <v>1</v>
      </c>
      <c r="D2200" s="194" t="e">
        <f>IF(AND(C2200&lt;=F2198,F2198&gt;1,F2198&lt;&gt;""),VLOOKUP(VALUE(E2179&amp;","&amp;C2200),INTEGRANTES!$D$18:$F$235,2,0),"")</f>
        <v>#N/A</v>
      </c>
      <c r="E2200" s="211" t="e">
        <f>IF(D2200&lt;&gt;"",VLOOKUP(VALUE(E2179&amp;","&amp;C2200),INTEGRANTES!$D$18:$F$235,3,0),"")</f>
        <v>#N/A</v>
      </c>
      <c r="F2200" s="547" t="e">
        <f>IF(D2200="","",SUMIF($I2183:$I2192,D2200,$P2183:$P2192))</f>
        <v>#N/A</v>
      </c>
      <c r="G2200" s="333" t="e">
        <f>IF(D2200="","",SUMIF($I2183:$I2192,D2200,$M2183:$M2192))</f>
        <v>#N/A</v>
      </c>
      <c r="H2200" s="535" t="e">
        <f t="shared" ref="H2200:H2205" si="641">IF(D2200="","",IF(OR(F2200=0,G2200=0),"NO APORTA",ROUND($F2200/$G2200,3)))</f>
        <v>#N/A</v>
      </c>
      <c r="I2200" s="212" t="e">
        <f>IF(D2200="","",IF(H2200="NO APORTA","NO",IF(H2200=MAX($H2200:$H2205),"SI","NO")))</f>
        <v>#N/A</v>
      </c>
      <c r="J2200" s="213" t="e">
        <f t="shared" ref="J2200:J2205" si="642">IF(D2200="","",IF(E2200&gt;=PORCREQUERIDOINT,"SI","NO"))</f>
        <v>#N/A</v>
      </c>
      <c r="K2200" s="200" t="e">
        <f t="shared" ref="K2200:K2205" si="643">IF(D2200="","",IF(AND(I2200="SI",J2200="SI"),"CUMPLE",IF(AND(I2200="NO",OR(J2200="SI",J2200="NO")),"","NO CUMPLE")))</f>
        <v>#N/A</v>
      </c>
      <c r="L2200" s="722" t="s">
        <v>108</v>
      </c>
      <c r="M2200" s="726" t="s">
        <v>119</v>
      </c>
      <c r="N2200" s="726"/>
      <c r="O2200" s="726"/>
      <c r="P2200" s="726"/>
      <c r="Q2200" s="727"/>
      <c r="R2200" s="758" t="s">
        <v>80</v>
      </c>
      <c r="S2200" s="747"/>
      <c r="T2200" s="748"/>
      <c r="U2200" s="219"/>
      <c r="V2200" s="464"/>
      <c r="Y2200" s="533" t="e">
        <f>IF(Y2197="","",IF(Y2197="INDIVIDUAL","NO APLICA","VERIFICAR CUADRO"))</f>
        <v>#N/A</v>
      </c>
      <c r="AA2200" s="551"/>
      <c r="AB2200" s="694"/>
      <c r="AC2200" s="694"/>
      <c r="AD2200" s="686"/>
      <c r="AE2200" s="52"/>
      <c r="AF2200" s="52"/>
      <c r="AG2200" s="52"/>
      <c r="AH2200" s="87"/>
      <c r="AI2200" s="87"/>
    </row>
    <row r="2201" spans="1:35" ht="27" hidden="1" customHeight="1" thickBot="1">
      <c r="A2201" s="218" t="e">
        <f>"O"&amp;E2179</f>
        <v>#N/A</v>
      </c>
      <c r="B2201" s="702"/>
      <c r="C2201" s="114">
        <v>2</v>
      </c>
      <c r="D2201" s="194" t="e">
        <f>IF(AND(C2201&lt;=F2198,F2198&lt;&gt;""),VLOOKUP(VALUE(E2179&amp;","&amp;C2201),INTEGRANTES!$D$18:$F$235,2,0),"")</f>
        <v>#N/A</v>
      </c>
      <c r="E2201" s="211" t="e">
        <f>IF(D2201&lt;&gt;"",VLOOKUP(VALUE(E2179&amp;","&amp;C2201),INTEGRANTES!$D$18:$F$235,3,0),"")</f>
        <v>#N/A</v>
      </c>
      <c r="F2201" s="547" t="e">
        <f>IF(D2201="","",SUMIF($I2183:$I2192,D2201,$P2183:$P2192))</f>
        <v>#N/A</v>
      </c>
      <c r="G2201" s="333" t="e">
        <f>IF(D2201="","",SUMIF($I2183:$I2192,D2201,$M2183:$M2192))</f>
        <v>#N/A</v>
      </c>
      <c r="H2201" s="535" t="e">
        <f t="shared" si="641"/>
        <v>#N/A</v>
      </c>
      <c r="I2201" s="212" t="e">
        <f>IF(D2201="","",IF(H2201="NO APORTA","NO",IF(H2201=MAX($H2200:$H2205),"SI","NO")))</f>
        <v>#N/A</v>
      </c>
      <c r="J2201" s="213" t="e">
        <f t="shared" si="642"/>
        <v>#N/A</v>
      </c>
      <c r="K2201" s="200" t="e">
        <f t="shared" si="643"/>
        <v>#N/A</v>
      </c>
      <c r="L2201" s="723"/>
      <c r="M2201" s="715" t="s">
        <v>116</v>
      </c>
      <c r="N2201" s="716"/>
      <c r="O2201" s="556" t="s">
        <v>113</v>
      </c>
      <c r="P2201" s="715" t="s">
        <v>117</v>
      </c>
      <c r="Q2201" s="728"/>
      <c r="R2201" s="759"/>
      <c r="S2201" s="760"/>
      <c r="T2201" s="761"/>
      <c r="U2201" s="219"/>
      <c r="V2201" s="464"/>
      <c r="Y2201" s="414"/>
      <c r="AA2201" s="542" t="e">
        <f>IF(AND(C2200&lt;=F2198,F2198&gt;1,F2198&lt;&gt;""),VLOOKUP(VALUE(E2179&amp;","&amp;C2200),INTEGRANTES!$D$18:$F$235,2,0),"")</f>
        <v>#N/A</v>
      </c>
      <c r="AB2201" s="544" t="e">
        <f t="shared" ref="AB2201:AB2206" si="644">IF(D2200="","",IF(OR(F2200=0,G2200=0),"NO APORTA",ROUND($F2200/$G2200,3)))</f>
        <v>#N/A</v>
      </c>
      <c r="AC2201" s="529"/>
      <c r="AD2201" s="200" t="e">
        <f t="shared" ref="AD2201:AD2206" si="645">IF(OR(AA2201="",AB2201=""),"",IF(AND(AC2201="X",AB2201&gt;=EXPREQVTD),"CUMPLE","NO CUMPLE"))</f>
        <v>#N/A</v>
      </c>
      <c r="AE2201" s="52"/>
      <c r="AF2201" s="52"/>
      <c r="AG2201" s="52"/>
      <c r="AH2201" s="87"/>
      <c r="AI2201" s="87"/>
    </row>
    <row r="2202" spans="1:35" ht="16.5" hidden="1" thickBot="1">
      <c r="A2202" s="218" t="e">
        <f>"P"&amp;E2179</f>
        <v>#N/A</v>
      </c>
      <c r="B2202" s="702"/>
      <c r="C2202" s="114">
        <v>3</v>
      </c>
      <c r="D2202" s="194" t="e">
        <f>IF(AND(C2202&lt;=F2198,F2198&lt;&gt;""),VLOOKUP(VALUE(E2179&amp;","&amp;C2202),INTEGRANTES!$D$18:$F$235,2,0),"")</f>
        <v>#N/A</v>
      </c>
      <c r="E2202" s="211" t="e">
        <f>IF(D2202&lt;&gt;"",VLOOKUP(VALUE(E2179&amp;","&amp;C2202),INTEGRANTES!$D$18:$F$235,3,0),"")</f>
        <v>#N/A</v>
      </c>
      <c r="F2202" s="547" t="e">
        <f>IF(D2202="","",SUMIF($I2183:$I2192,D2202,$P2183:$P2192))</f>
        <v>#N/A</v>
      </c>
      <c r="G2202" s="333" t="e">
        <f>IF(D2202="","",SUMIF($I2183:$I2192,D2202,$M2183:$M2192))</f>
        <v>#N/A</v>
      </c>
      <c r="H2202" s="535" t="e">
        <f t="shared" si="641"/>
        <v>#N/A</v>
      </c>
      <c r="I2202" s="212" t="e">
        <f>IF(D2202="","",IF(H2202="NO APORTA","NO",IF(H2202=MAX($H2200:$H2205),"SI","NO")))</f>
        <v>#N/A</v>
      </c>
      <c r="J2202" s="213" t="e">
        <f t="shared" si="642"/>
        <v>#N/A</v>
      </c>
      <c r="K2202" s="200" t="e">
        <f t="shared" si="643"/>
        <v>#N/A</v>
      </c>
      <c r="L2202" s="724"/>
      <c r="M2202" s="729">
        <f>NUMMOD</f>
        <v>1</v>
      </c>
      <c r="N2202" s="730"/>
      <c r="O2202" s="443">
        <f>IF(M2202="","",VLOOKUP(M2202,PRESUPUESTOS!$B$16:$H$16,5,FALSE))</f>
        <v>2</v>
      </c>
      <c r="P2202" s="713">
        <f>IF(OR(COUNTIF(M2183:M2192,"")&gt;=10,Q2199&lt;NUMMINCONT,OR(T2197="NO CUMPLE",T2197="VERIFICAR")),0,ROUND(AVERAGE(M2183:M2192),3))</f>
        <v>0</v>
      </c>
      <c r="Q2202" s="714"/>
      <c r="R2202" s="458"/>
      <c r="S2202" s="459"/>
      <c r="T2202" s="460"/>
      <c r="U2202" s="219"/>
      <c r="V2202" s="464"/>
      <c r="Y2202" s="532" t="str">
        <f>"40% * ("&amp;PRESUPUESTOS!$H$13&amp;")"</f>
        <v>40% * (50% PFMO)</v>
      </c>
      <c r="AA2202" s="540" t="e">
        <f>IF(AND(C2201&lt;=F2198,F2198&lt;&gt;""),VLOOKUP(VALUE(E2179&amp;","&amp;C2201),INTEGRANTES!$D$18:$F$235,2,0),"")</f>
        <v>#N/A</v>
      </c>
      <c r="AB2202" s="545" t="e">
        <f t="shared" si="644"/>
        <v>#N/A</v>
      </c>
      <c r="AC2202" s="529"/>
      <c r="AD2202" s="200" t="e">
        <f t="shared" si="645"/>
        <v>#N/A</v>
      </c>
      <c r="AE2202" s="52"/>
      <c r="AF2202" s="52"/>
      <c r="AG2202" s="52"/>
      <c r="AH2202" s="87"/>
      <c r="AI2202" s="87"/>
    </row>
    <row r="2203" spans="1:35" ht="15.75" hidden="1" customHeight="1" thickBot="1">
      <c r="A2203" s="218" t="e">
        <f>"Q"&amp;E2179</f>
        <v>#N/A</v>
      </c>
      <c r="B2203" s="702"/>
      <c r="C2203" s="114">
        <v>4</v>
      </c>
      <c r="D2203" s="194" t="e">
        <f>IF(AND(C2203&lt;=F2198,F2198&lt;&gt;""),VLOOKUP(VALUE(E2179&amp;","&amp;C2203),INTEGRANTES!$D$18:$F$235,2,0),"")</f>
        <v>#N/A</v>
      </c>
      <c r="E2203" s="211" t="e">
        <f>IF(D2203&lt;&gt;"",VLOOKUP(VALUE(E2179&amp;","&amp;C2203),INTEGRANTES!$D$18:$F$235,3,0),"")</f>
        <v>#N/A</v>
      </c>
      <c r="F2203" s="547" t="e">
        <f>IF(D2203="","",SUMIF($I2183:$I2192,D2203,$P2183:$P2192))</f>
        <v>#N/A</v>
      </c>
      <c r="G2203" s="333" t="e">
        <f>IF(D2203="","",SUMIF($I2183:$I2192,D2203,$M2183:$M2192))</f>
        <v>#N/A</v>
      </c>
      <c r="H2203" s="535" t="e">
        <f t="shared" si="641"/>
        <v>#N/A</v>
      </c>
      <c r="I2203" s="212" t="e">
        <f>IF(D2203="","",IF(H2203="NO APORTA","NO",IF(H2203=MAX($H2200:$H2205),"SI","NO")))</f>
        <v>#N/A</v>
      </c>
      <c r="J2203" s="213" t="e">
        <f t="shared" si="642"/>
        <v>#N/A</v>
      </c>
      <c r="K2203" s="200" t="e">
        <f t="shared" si="643"/>
        <v>#N/A</v>
      </c>
      <c r="L2203" s="720" t="s">
        <v>109</v>
      </c>
      <c r="M2203" s="757" t="s">
        <v>120</v>
      </c>
      <c r="N2203" s="726"/>
      <c r="O2203" s="726"/>
      <c r="P2203" s="726"/>
      <c r="Q2203" s="727"/>
      <c r="R2203" s="458"/>
      <c r="S2203" s="459"/>
      <c r="T2203" s="460"/>
      <c r="U2203" s="219"/>
      <c r="V2203" s="464"/>
      <c r="Y2203" s="537">
        <f>0.4*PRESUPUESTOS!$H$16</f>
        <v>10.3124</v>
      </c>
      <c r="AA2203" s="540" t="e">
        <f>IF(AND(C2202&lt;=F2198,F2198&lt;&gt;""),VLOOKUP(VALUE(E2179&amp;","&amp;C2202),INTEGRANTES!$D$18:$F$235,2,0),"")</f>
        <v>#N/A</v>
      </c>
      <c r="AB2203" s="545" t="e">
        <f t="shared" si="644"/>
        <v>#N/A</v>
      </c>
      <c r="AC2203" s="529"/>
      <c r="AD2203" s="200" t="e">
        <f t="shared" si="645"/>
        <v>#N/A</v>
      </c>
      <c r="AE2203" s="52"/>
      <c r="AF2203" s="52"/>
      <c r="AG2203" s="52"/>
      <c r="AH2203" s="87"/>
      <c r="AI2203" s="87"/>
    </row>
    <row r="2204" spans="1:35" ht="27" hidden="1" customHeight="1" thickBot="1">
      <c r="A2204" s="218" t="e">
        <f>"R"&amp;E2179</f>
        <v>#N/A</v>
      </c>
      <c r="B2204" s="702"/>
      <c r="C2204" s="114">
        <v>5</v>
      </c>
      <c r="D2204" s="194" t="e">
        <f>IF(AND(C2204&lt;=F2198,F2198&lt;&gt;""),VLOOKUP(VALUE(E2179&amp;","&amp;C2204),INTEGRANTES!$D$18:$F$235,2,0),"")</f>
        <v>#N/A</v>
      </c>
      <c r="E2204" s="211" t="e">
        <f>IF(D2204&lt;&gt;"",VLOOKUP(VALUE(E2179&amp;","&amp;C2204),INTEGRANTES!$D$18:$F$235,3,0),"")</f>
        <v>#N/A</v>
      </c>
      <c r="F2204" s="547" t="e">
        <f>IF(D2204="","",SUMIF($I2183:$I2192,D2204,$P2183:$P2192))</f>
        <v>#N/A</v>
      </c>
      <c r="G2204" s="333" t="e">
        <f>IF(D2204="","",SUMIF($I2183:$I2192,D2204,$M2183:$M2192))</f>
        <v>#N/A</v>
      </c>
      <c r="H2204" s="535" t="e">
        <f t="shared" si="641"/>
        <v>#N/A</v>
      </c>
      <c r="I2204" s="212" t="e">
        <f>IF(D2204="","",IF(H2204="NO APORTA","NO",IF(H2204=MAX($H2200:$H2205),"SI","NO")))</f>
        <v>#N/A</v>
      </c>
      <c r="J2204" s="213" t="e">
        <f t="shared" si="642"/>
        <v>#N/A</v>
      </c>
      <c r="K2204" s="200" t="e">
        <f t="shared" si="643"/>
        <v>#N/A</v>
      </c>
      <c r="L2204" s="721"/>
      <c r="M2204" s="715" t="s">
        <v>116</v>
      </c>
      <c r="N2204" s="716"/>
      <c r="O2204" s="556" t="str">
        <f>PORCREQUERIDO*100&amp;"% PMFO DEL MÓDULO"</f>
        <v>50% PMFO DEL MÓDULO</v>
      </c>
      <c r="P2204" s="715" t="s">
        <v>118</v>
      </c>
      <c r="Q2204" s="728"/>
      <c r="R2204" s="458"/>
      <c r="S2204" s="459"/>
      <c r="T2204" s="460"/>
      <c r="U2204" s="219"/>
      <c r="V2204" s="464"/>
      <c r="Y2204" s="414"/>
      <c r="AA2204" s="540" t="e">
        <f>IF(AND(C2203&lt;=F2198,F2198&lt;&gt;""),VLOOKUP(VALUE(E2179&amp;","&amp;C2203),INTEGRANTES!$D$18:$F$235,2,0),"")</f>
        <v>#N/A</v>
      </c>
      <c r="AB2204" s="545" t="e">
        <f t="shared" si="644"/>
        <v>#N/A</v>
      </c>
      <c r="AC2204" s="529"/>
      <c r="AD2204" s="200" t="e">
        <f t="shared" si="645"/>
        <v>#N/A</v>
      </c>
      <c r="AE2204" s="52"/>
      <c r="AF2204" s="52"/>
      <c r="AG2204" s="52"/>
      <c r="AH2204" s="87"/>
      <c r="AI2204" s="87"/>
    </row>
    <row r="2205" spans="1:35" ht="16.5" hidden="1" thickBot="1">
      <c r="A2205" s="218" t="e">
        <f>"S"&amp;E2179</f>
        <v>#N/A</v>
      </c>
      <c r="B2205" s="702"/>
      <c r="C2205" s="215">
        <v>6</v>
      </c>
      <c r="D2205" s="216" t="e">
        <f>IF(AND(C2205&lt;=F2198,F2198&lt;&gt;""),VLOOKUP(VALUE(E2179&amp;","&amp;C2205),INTEGRANTES!$D$18:$F$235,2,0),"")</f>
        <v>#N/A</v>
      </c>
      <c r="E2205" s="217" t="e">
        <f>IF(D2205&lt;&gt;"",VLOOKUP(VALUE(E2179&amp;","&amp;C2205),INTEGRANTES!$D$18:$F$235,3,0),"")</f>
        <v>#N/A</v>
      </c>
      <c r="F2205" s="548" t="e">
        <f>IF(D2205="","",SUMIF($I2183:$I2192,D2205,$P2183:$P2192))</f>
        <v>#N/A</v>
      </c>
      <c r="G2205" s="334" t="e">
        <f>IF(D2205="","",SUMIF($I2183:$I2192,D2205,$M2183:$M2192))</f>
        <v>#N/A</v>
      </c>
      <c r="H2205" s="536" t="e">
        <f t="shared" si="641"/>
        <v>#N/A</v>
      </c>
      <c r="I2205" s="214" t="e">
        <f>IF(D2205="","",IF(H2205="NO APORTA","NO",IF(H2205=MAX($H2200:$H2205),"SI","NO")))</f>
        <v>#N/A</v>
      </c>
      <c r="J2205" s="213" t="e">
        <f t="shared" si="642"/>
        <v>#N/A</v>
      </c>
      <c r="K2205" s="200" t="e">
        <f t="shared" si="643"/>
        <v>#N/A</v>
      </c>
      <c r="L2205" s="721"/>
      <c r="M2205" s="729">
        <f>NUMMOD</f>
        <v>1</v>
      </c>
      <c r="N2205" s="730"/>
      <c r="O2205" s="443">
        <f>IF(M2205="","",ROUND(VLOOKUP(M2205,PRESUPUESTOS!$B$16:$H$16,7,FALSE),3))</f>
        <v>25.780999999999999</v>
      </c>
      <c r="P2205" s="713">
        <f>IF(OR(COUNTIF(P2183:P2192,"")&gt;=10,Q2199&lt;NUMMINCONT,OR(T2197="NO CUMPLE",T2197="VERIFICAR")),0,ROUND((SUM(P2183:P2192)/SUM(M2183:M2192)),3))</f>
        <v>0</v>
      </c>
      <c r="Q2205" s="714"/>
      <c r="R2205" s="458"/>
      <c r="S2205" s="459"/>
      <c r="T2205" s="460"/>
      <c r="U2205" s="219"/>
      <c r="V2205" s="464"/>
      <c r="Y2205" s="532" t="s">
        <v>343</v>
      </c>
      <c r="AA2205" s="540" t="e">
        <f>IF(AND(C2204&lt;=F2198,F2198&lt;&gt;""),VLOOKUP(VALUE(E2179&amp;","&amp;C2204),INTEGRANTES!$D$18:$F$235,2,0),"")</f>
        <v>#N/A</v>
      </c>
      <c r="AB2205" s="545" t="e">
        <f t="shared" si="644"/>
        <v>#N/A</v>
      </c>
      <c r="AC2205" s="529"/>
      <c r="AD2205" s="200" t="e">
        <f t="shared" si="645"/>
        <v>#N/A</v>
      </c>
      <c r="AE2205" s="52"/>
      <c r="AF2205" s="52"/>
      <c r="AG2205" s="52"/>
      <c r="AH2205" s="87"/>
      <c r="AI2205" s="87"/>
    </row>
    <row r="2206" spans="1:35" ht="16.5" hidden="1" customHeight="1" thickBot="1">
      <c r="A2206" s="218" t="e">
        <f>"T"&amp;E2179</f>
        <v>#N/A</v>
      </c>
      <c r="B2206" s="703"/>
      <c r="C2206" s="719"/>
      <c r="D2206" s="719"/>
      <c r="E2206" s="719"/>
      <c r="F2206" s="719"/>
      <c r="G2206" s="719"/>
      <c r="H2206" s="719" t="s">
        <v>110</v>
      </c>
      <c r="I2206" s="719"/>
      <c r="J2206" s="719"/>
      <c r="K2206" s="201" t="str">
        <f>IF(COUNTIF(K2200:K2205,"")=6,"",IF(COUNTIF(K2200:K2205,"CUMPLE")&gt;0,"CUMPLE","NO CUMPLE"))</f>
        <v>NO CUMPLE</v>
      </c>
      <c r="L2206" s="754"/>
      <c r="M2206" s="755"/>
      <c r="N2206" s="755"/>
      <c r="O2206" s="755"/>
      <c r="P2206" s="755"/>
      <c r="Q2206" s="756"/>
      <c r="R2206" s="461"/>
      <c r="S2206" s="462"/>
      <c r="T2206" s="463"/>
      <c r="U2206" s="219"/>
      <c r="V2206" s="464"/>
      <c r="Y2206" s="549" t="e">
        <f>IF(Y2200="NO APLICA","NO APLICA",IF(COUNTIF(AD2201:AD2206,"CUMPLE")&gt;0,"CUMPLE","NO CUMPLE"))</f>
        <v>#N/A</v>
      </c>
      <c r="AA2206" s="541" t="e">
        <f>IF(AND(C2205&lt;=F2198,F2198&lt;&gt;""),VLOOKUP(VALUE(E2179&amp;","&amp;C2205),INTEGRANTES!$D$18:$F$235,2,0),"")</f>
        <v>#N/A</v>
      </c>
      <c r="AB2206" s="546" t="e">
        <f t="shared" si="644"/>
        <v>#N/A</v>
      </c>
      <c r="AC2206" s="543"/>
      <c r="AD2206" s="201" t="e">
        <f t="shared" si="645"/>
        <v>#N/A</v>
      </c>
      <c r="AE2206" s="52"/>
      <c r="AF2206" s="52"/>
      <c r="AG2206" s="52"/>
      <c r="AH2206" s="87"/>
      <c r="AI2206" s="87"/>
    </row>
    <row r="2207" spans="1:35" hidden="1">
      <c r="A2207" s="103"/>
      <c r="B2207" s="206"/>
      <c r="C2207" s="206"/>
      <c r="D2207" s="206"/>
      <c r="E2207" s="206"/>
      <c r="F2207" s="206"/>
      <c r="G2207" s="206"/>
      <c r="H2207" s="206"/>
      <c r="I2207" s="104"/>
      <c r="J2207" s="206"/>
      <c r="K2207" s="113"/>
      <c r="L2207" s="113"/>
      <c r="M2207" s="113"/>
      <c r="N2207" s="222"/>
      <c r="O2207" s="113"/>
      <c r="P2207" s="113"/>
      <c r="Q2207" s="113"/>
      <c r="R2207" s="206"/>
      <c r="S2207" s="104"/>
      <c r="T2207" s="206"/>
      <c r="U2207" s="474"/>
      <c r="AH2207" s="87"/>
      <c r="AI2207" s="87"/>
    </row>
    <row r="2208" spans="1:35" hidden="1">
      <c r="H2208" s="220"/>
      <c r="AH2208" s="87"/>
      <c r="AI2208" s="87"/>
    </row>
    <row r="2209" spans="1:35" ht="24" hidden="1" thickBot="1">
      <c r="A2209" s="61">
        <v>74</v>
      </c>
      <c r="B2209" s="704" t="s">
        <v>51</v>
      </c>
      <c r="C2209" s="704"/>
      <c r="D2209" s="704"/>
      <c r="E2209" s="62" t="e">
        <f>VLOOKUP(A2209,PROPONENTES!$B$19:$E$218,2,FALSE)</f>
        <v>#N/A</v>
      </c>
      <c r="F2209" s="63" t="e">
        <f>VLOOKUP(A2209,PROPONENTES!$B$19:$E$218,3,FALSE)</f>
        <v>#N/A</v>
      </c>
      <c r="G2209" s="64"/>
      <c r="H2209" s="64"/>
      <c r="I2209" s="63"/>
      <c r="J2209" s="63"/>
      <c r="K2209" s="65"/>
      <c r="L2209" s="65"/>
      <c r="M2209" s="64"/>
      <c r="N2209" s="64"/>
      <c r="O2209" s="66"/>
      <c r="P2209" s="66"/>
      <c r="Q2209" s="66"/>
      <c r="R2209" s="66"/>
      <c r="S2209" s="67"/>
      <c r="T2209" s="68"/>
      <c r="U2209" s="68"/>
      <c r="AC2209" s="68"/>
      <c r="AD2209" s="68"/>
      <c r="AE2209" s="68"/>
      <c r="AF2209" s="68"/>
      <c r="AG2209" s="68"/>
      <c r="AH2209" s="87"/>
      <c r="AI2209" s="87"/>
    </row>
    <row r="2210" spans="1:35" ht="15.75" hidden="1" customHeight="1">
      <c r="A2210" s="44"/>
      <c r="B2210" s="709" t="s">
        <v>59</v>
      </c>
      <c r="C2210" s="552" t="s">
        <v>60</v>
      </c>
      <c r="D2210" s="70" t="s">
        <v>17</v>
      </c>
      <c r="E2210" s="70"/>
      <c r="F2210" s="70" t="s">
        <v>61</v>
      </c>
      <c r="G2210" s="71"/>
      <c r="H2210" s="699" t="s">
        <v>62</v>
      </c>
      <c r="I2210" s="699" t="s">
        <v>18</v>
      </c>
      <c r="J2210" s="699" t="s">
        <v>63</v>
      </c>
      <c r="K2210" s="699" t="s">
        <v>64</v>
      </c>
      <c r="L2210" s="699" t="s">
        <v>65</v>
      </c>
      <c r="M2210" s="743" t="s">
        <v>66</v>
      </c>
      <c r="N2210" s="699" t="s">
        <v>282</v>
      </c>
      <c r="O2210" s="745" t="s">
        <v>67</v>
      </c>
      <c r="P2210" s="746"/>
      <c r="Q2210" s="102" t="s">
        <v>75</v>
      </c>
      <c r="R2210" s="731" t="s">
        <v>22</v>
      </c>
      <c r="S2210" s="732"/>
      <c r="T2210" s="733"/>
      <c r="U2210" s="712" t="s">
        <v>298</v>
      </c>
      <c r="W2210" s="690" t="s">
        <v>268</v>
      </c>
      <c r="X2210" s="691"/>
      <c r="Y2210" s="692"/>
      <c r="Z2210" s="428"/>
      <c r="AA2210" s="697" t="s">
        <v>315</v>
      </c>
      <c r="AB2210" s="695" t="s">
        <v>322</v>
      </c>
      <c r="AC2210" s="49"/>
      <c r="AD2210" s="690" t="s">
        <v>297</v>
      </c>
      <c r="AE2210" s="691"/>
      <c r="AF2210" s="692"/>
      <c r="AG2210" s="49"/>
      <c r="AH2210" s="87"/>
      <c r="AI2210" s="87"/>
    </row>
    <row r="2211" spans="1:35" ht="72" hidden="1">
      <c r="A2211" s="44"/>
      <c r="B2211" s="710"/>
      <c r="C2211" s="553" t="s">
        <v>68</v>
      </c>
      <c r="D2211" s="73" t="s">
        <v>3</v>
      </c>
      <c r="E2211" s="73" t="s">
        <v>19</v>
      </c>
      <c r="F2211" s="73" t="s">
        <v>69</v>
      </c>
      <c r="G2211" s="74" t="s">
        <v>70</v>
      </c>
      <c r="H2211" s="700"/>
      <c r="I2211" s="700"/>
      <c r="J2211" s="700"/>
      <c r="K2211" s="700"/>
      <c r="L2211" s="700"/>
      <c r="M2211" s="744"/>
      <c r="N2211" s="700"/>
      <c r="O2211" s="553" t="s">
        <v>279</v>
      </c>
      <c r="P2211" s="73" t="s">
        <v>88</v>
      </c>
      <c r="Q2211" s="555" t="s">
        <v>76</v>
      </c>
      <c r="R2211" s="734"/>
      <c r="S2211" s="735"/>
      <c r="T2211" s="736"/>
      <c r="U2211" s="712"/>
      <c r="W2211" s="429" t="s">
        <v>269</v>
      </c>
      <c r="X2211" s="457" t="s">
        <v>278</v>
      </c>
      <c r="Y2211" s="430" t="s">
        <v>324</v>
      </c>
      <c r="Z2211" s="428"/>
      <c r="AA2211" s="698"/>
      <c r="AB2211" s="696"/>
      <c r="AC2211" s="49"/>
      <c r="AD2211" s="429" t="s">
        <v>292</v>
      </c>
      <c r="AE2211" s="431" t="s">
        <v>300</v>
      </c>
      <c r="AF2211" s="468" t="s">
        <v>301</v>
      </c>
      <c r="AG2211" s="49"/>
      <c r="AH2211" s="87"/>
      <c r="AI2211" s="87"/>
    </row>
    <row r="2212" spans="1:35" hidden="1">
      <c r="A2212" s="44"/>
      <c r="B2212" s="76"/>
      <c r="C2212" s="77"/>
      <c r="D2212" s="77"/>
      <c r="E2212" s="77"/>
      <c r="F2212" s="77"/>
      <c r="G2212" s="77"/>
      <c r="H2212" s="77"/>
      <c r="I2212" s="77"/>
      <c r="J2212" s="77"/>
      <c r="K2212" s="77"/>
      <c r="L2212" s="77"/>
      <c r="M2212" s="77"/>
      <c r="N2212" s="77"/>
      <c r="O2212" s="77"/>
      <c r="P2212" s="77"/>
      <c r="Q2212" s="77"/>
      <c r="R2212" s="77"/>
      <c r="S2212" s="78"/>
      <c r="T2212" s="79"/>
      <c r="U2212" s="109"/>
      <c r="V2212" s="49"/>
      <c r="W2212" s="432"/>
      <c r="X2212" s="454"/>
      <c r="Y2212" s="433"/>
      <c r="Z2212" s="6"/>
      <c r="AA2212" s="500"/>
      <c r="AB2212" s="562"/>
      <c r="AC2212" s="49"/>
      <c r="AD2212" s="210"/>
      <c r="AE2212" s="434"/>
      <c r="AF2212" s="435"/>
      <c r="AG2212" s="49"/>
      <c r="AH2212" s="87"/>
      <c r="AI2212" s="87"/>
    </row>
    <row r="2213" spans="1:35" hidden="1">
      <c r="A2213" s="80" t="e">
        <f>"A"&amp;E2209</f>
        <v>#N/A</v>
      </c>
      <c r="B2213" s="81">
        <v>1</v>
      </c>
      <c r="C2213" s="82"/>
      <c r="D2213" s="82"/>
      <c r="E2213" s="82"/>
      <c r="F2213" s="82"/>
      <c r="G2213" s="83"/>
      <c r="H2213" s="83"/>
      <c r="I2213" s="84"/>
      <c r="J2213" s="85"/>
      <c r="K2213" s="382"/>
      <c r="L2213" s="85"/>
      <c r="M2213" s="332" t="str">
        <f t="shared" ref="M2213:M2222" si="646">IF(OR(J2213="",L2213="",H2213="NO"),"",IF(OR(J2213&gt;$P$17,J2213&lt;$O$17,L2213&gt;$P$17,AND(J2213&lt;$O$17,L2213&lt;$O$17)),"FUERA DE RANGO",IF(OR(K2213="---",K2213=""),IF(J2213&gt;=$O$17,ROUND((L2213-J2213+1)/360*12,3),ROUND((L2213-$O$17+1)/360*12,3)),IF(J2213&gt;=$O$17,ROUND((L2213-J2213+1)/360*12-ROUND(K2213,3),3),ROUND((L2213-$O$17+1)/360*12-ROUND(K2213,3),3)))))</f>
        <v/>
      </c>
      <c r="N2213" s="86"/>
      <c r="O2213" s="453" t="str">
        <f>IF(OR(G2213="",N2213=""),"",N2213*G2213)</f>
        <v/>
      </c>
      <c r="P2213" s="538" t="str">
        <f>IF(OR(H2213="",M2213="FUERA DE RANGO"),"",IF(OR(L2213&lt;$O$17,L2213&gt;$P$17,L2213="",H2213="NO"),"",IF(OR(N2213="",O2213=""),"",ROUND(O2213,3))))</f>
        <v/>
      </c>
      <c r="Q2213" s="539" t="str">
        <f t="shared" ref="Q2213:Q2222" si="647">IF(AND(H2213="SI",P2213&lt;&gt;""),ROUND(P2213/M2213,3),"")</f>
        <v/>
      </c>
      <c r="R2213" s="737"/>
      <c r="S2213" s="738"/>
      <c r="T2213" s="739"/>
      <c r="U2213" s="470"/>
      <c r="V2213" s="165"/>
      <c r="W2213" s="446"/>
      <c r="X2213" s="456"/>
      <c r="Y2213" s="436"/>
      <c r="Z2213" s="437"/>
      <c r="AA2213" s="560"/>
      <c r="AB2213" s="561"/>
      <c r="AC2213" s="87"/>
      <c r="AD2213" s="466"/>
      <c r="AE2213" s="456"/>
      <c r="AF2213" s="467"/>
      <c r="AG2213" s="87"/>
      <c r="AH2213" s="87"/>
      <c r="AI2213" s="87"/>
    </row>
    <row r="2214" spans="1:35" hidden="1">
      <c r="A2214" s="80" t="e">
        <f>"B"&amp;E2209</f>
        <v>#N/A</v>
      </c>
      <c r="B2214" s="81">
        <v>2</v>
      </c>
      <c r="C2214" s="106"/>
      <c r="D2214" s="106"/>
      <c r="E2214" s="106"/>
      <c r="F2214" s="106"/>
      <c r="G2214" s="83"/>
      <c r="H2214" s="83"/>
      <c r="I2214" s="84"/>
      <c r="J2214" s="85"/>
      <c r="K2214" s="382"/>
      <c r="L2214" s="85"/>
      <c r="M2214" s="332" t="str">
        <f t="shared" si="646"/>
        <v/>
      </c>
      <c r="N2214" s="86"/>
      <c r="O2214" s="453" t="str">
        <f t="shared" ref="O2214:O2222" si="648">IF(OR(G2214="",N2214=""),"",N2214*G2214)</f>
        <v/>
      </c>
      <c r="P2214" s="538" t="str">
        <f t="shared" ref="P2214:P2222" si="649">IF(OR(H2214="",M2214="FUERA DE RANGO"),"",IF(OR(L2214&lt;$O$17,L2214&gt;$P$17,L2214="",H2214="NO"),"",IF(OR(N2214="",O2214=""),"",ROUND(O2214,3))))</f>
        <v/>
      </c>
      <c r="Q2214" s="539" t="str">
        <f t="shared" si="647"/>
        <v/>
      </c>
      <c r="R2214" s="740"/>
      <c r="S2214" s="741"/>
      <c r="T2214" s="742"/>
      <c r="U2214" s="471"/>
      <c r="V2214" s="165"/>
      <c r="W2214" s="446"/>
      <c r="X2214" s="456"/>
      <c r="Y2214" s="436"/>
      <c r="Z2214" s="437"/>
      <c r="AA2214" s="560"/>
      <c r="AB2214" s="561"/>
      <c r="AC2214" s="87"/>
      <c r="AD2214" s="466"/>
      <c r="AE2214" s="456"/>
      <c r="AF2214" s="467"/>
      <c r="AG2214" s="87"/>
      <c r="AH2214" s="87"/>
      <c r="AI2214" s="87"/>
    </row>
    <row r="2215" spans="1:35" hidden="1">
      <c r="A2215" s="80" t="e">
        <f>"C"&amp;E2209</f>
        <v>#N/A</v>
      </c>
      <c r="B2215" s="88">
        <v>3</v>
      </c>
      <c r="C2215" s="82"/>
      <c r="D2215" s="82"/>
      <c r="E2215" s="82"/>
      <c r="F2215" s="82"/>
      <c r="G2215" s="83"/>
      <c r="H2215" s="83"/>
      <c r="I2215" s="84"/>
      <c r="J2215" s="85"/>
      <c r="K2215" s="382"/>
      <c r="L2215" s="85"/>
      <c r="M2215" s="332" t="str">
        <f t="shared" si="646"/>
        <v/>
      </c>
      <c r="N2215" s="86"/>
      <c r="O2215" s="453" t="str">
        <f t="shared" si="648"/>
        <v/>
      </c>
      <c r="P2215" s="538" t="str">
        <f t="shared" si="649"/>
        <v/>
      </c>
      <c r="Q2215" s="539" t="str">
        <f t="shared" si="647"/>
        <v/>
      </c>
      <c r="R2215" s="706"/>
      <c r="S2215" s="707"/>
      <c r="T2215" s="708"/>
      <c r="U2215" s="472"/>
      <c r="V2215" s="166"/>
      <c r="W2215" s="446"/>
      <c r="X2215" s="456"/>
      <c r="Y2215" s="436"/>
      <c r="Z2215" s="437"/>
      <c r="AA2215" s="560"/>
      <c r="AB2215" s="561"/>
      <c r="AC2215" s="87"/>
      <c r="AD2215" s="466"/>
      <c r="AE2215" s="456"/>
      <c r="AF2215" s="467"/>
      <c r="AG2215" s="87"/>
      <c r="AH2215" s="87"/>
      <c r="AI2215" s="87"/>
    </row>
    <row r="2216" spans="1:35" hidden="1">
      <c r="A2216" s="80" t="e">
        <f>"D"&amp;E2209</f>
        <v>#N/A</v>
      </c>
      <c r="B2216" s="105">
        <v>4</v>
      </c>
      <c r="C2216" s="107"/>
      <c r="D2216" s="107"/>
      <c r="E2216" s="107"/>
      <c r="F2216" s="107"/>
      <c r="G2216" s="83"/>
      <c r="H2216" s="83"/>
      <c r="I2216" s="84"/>
      <c r="J2216" s="85"/>
      <c r="K2216" s="382"/>
      <c r="L2216" s="85"/>
      <c r="M2216" s="332" t="str">
        <f t="shared" si="646"/>
        <v/>
      </c>
      <c r="N2216" s="86"/>
      <c r="O2216" s="453" t="str">
        <f t="shared" si="648"/>
        <v/>
      </c>
      <c r="P2216" s="538" t="str">
        <f t="shared" si="649"/>
        <v/>
      </c>
      <c r="Q2216" s="539" t="str">
        <f t="shared" si="647"/>
        <v/>
      </c>
      <c r="R2216" s="706"/>
      <c r="S2216" s="707"/>
      <c r="T2216" s="708"/>
      <c r="U2216" s="472"/>
      <c r="V2216" s="166"/>
      <c r="W2216" s="446"/>
      <c r="X2216" s="456"/>
      <c r="Y2216" s="436"/>
      <c r="Z2216" s="437"/>
      <c r="AA2216" s="560"/>
      <c r="AB2216" s="561"/>
      <c r="AC2216" s="87"/>
      <c r="AD2216" s="466"/>
      <c r="AE2216" s="456"/>
      <c r="AF2216" s="467"/>
      <c r="AG2216" s="87"/>
      <c r="AH2216" s="87"/>
      <c r="AI2216" s="87"/>
    </row>
    <row r="2217" spans="1:35" hidden="1">
      <c r="A2217" s="80" t="e">
        <f>"E"&amp;E2209</f>
        <v>#N/A</v>
      </c>
      <c r="B2217" s="105">
        <v>5</v>
      </c>
      <c r="C2217" s="107"/>
      <c r="D2217" s="107"/>
      <c r="E2217" s="107"/>
      <c r="F2217" s="107"/>
      <c r="G2217" s="83"/>
      <c r="H2217" s="83"/>
      <c r="I2217" s="84"/>
      <c r="J2217" s="85"/>
      <c r="K2217" s="382"/>
      <c r="L2217" s="85"/>
      <c r="M2217" s="332" t="str">
        <f t="shared" si="646"/>
        <v/>
      </c>
      <c r="N2217" s="86"/>
      <c r="O2217" s="453" t="str">
        <f t="shared" si="648"/>
        <v/>
      </c>
      <c r="P2217" s="538" t="str">
        <f t="shared" si="649"/>
        <v/>
      </c>
      <c r="Q2217" s="539" t="str">
        <f t="shared" si="647"/>
        <v/>
      </c>
      <c r="R2217" s="706"/>
      <c r="S2217" s="707"/>
      <c r="T2217" s="708"/>
      <c r="U2217" s="472"/>
      <c r="V2217" s="167"/>
      <c r="W2217" s="446"/>
      <c r="X2217" s="456"/>
      <c r="Y2217" s="436"/>
      <c r="Z2217" s="437"/>
      <c r="AA2217" s="560"/>
      <c r="AB2217" s="561"/>
      <c r="AC2217" s="87"/>
      <c r="AD2217" s="466"/>
      <c r="AE2217" s="456"/>
      <c r="AF2217" s="467"/>
      <c r="AG2217" s="87"/>
      <c r="AH2217" s="87"/>
      <c r="AI2217" s="87"/>
    </row>
    <row r="2218" spans="1:35" hidden="1">
      <c r="A2218" s="80" t="e">
        <f>"F"&amp;E2209</f>
        <v>#N/A</v>
      </c>
      <c r="B2218" s="105">
        <v>6</v>
      </c>
      <c r="C2218" s="107"/>
      <c r="D2218" s="107"/>
      <c r="E2218" s="107"/>
      <c r="F2218" s="107"/>
      <c r="G2218" s="83"/>
      <c r="H2218" s="83"/>
      <c r="I2218" s="84"/>
      <c r="J2218" s="85"/>
      <c r="K2218" s="382"/>
      <c r="L2218" s="85"/>
      <c r="M2218" s="332" t="str">
        <f t="shared" si="646"/>
        <v/>
      </c>
      <c r="N2218" s="86"/>
      <c r="O2218" s="453" t="str">
        <f t="shared" si="648"/>
        <v/>
      </c>
      <c r="P2218" s="538" t="str">
        <f t="shared" si="649"/>
        <v/>
      </c>
      <c r="Q2218" s="539" t="str">
        <f t="shared" si="647"/>
        <v/>
      </c>
      <c r="R2218" s="706"/>
      <c r="S2218" s="707"/>
      <c r="T2218" s="708"/>
      <c r="U2218" s="472"/>
      <c r="V2218" s="167"/>
      <c r="W2218" s="446"/>
      <c r="X2218" s="456"/>
      <c r="Y2218" s="436"/>
      <c r="Z2218" s="437"/>
      <c r="AA2218" s="560"/>
      <c r="AB2218" s="561"/>
      <c r="AC2218" s="87"/>
      <c r="AD2218" s="466"/>
      <c r="AE2218" s="456"/>
      <c r="AF2218" s="467"/>
      <c r="AG2218" s="87"/>
      <c r="AH2218" s="87"/>
      <c r="AI2218" s="87"/>
    </row>
    <row r="2219" spans="1:35" hidden="1">
      <c r="A2219" s="80" t="e">
        <f>"G"&amp;E2209</f>
        <v>#N/A</v>
      </c>
      <c r="B2219" s="105">
        <v>7</v>
      </c>
      <c r="C2219" s="107"/>
      <c r="D2219" s="107"/>
      <c r="E2219" s="107"/>
      <c r="F2219" s="107"/>
      <c r="G2219" s="83"/>
      <c r="H2219" s="83"/>
      <c r="I2219" s="84"/>
      <c r="J2219" s="85"/>
      <c r="K2219" s="382"/>
      <c r="L2219" s="85"/>
      <c r="M2219" s="332" t="str">
        <f t="shared" si="646"/>
        <v/>
      </c>
      <c r="N2219" s="86"/>
      <c r="O2219" s="86" t="str">
        <f t="shared" si="648"/>
        <v/>
      </c>
      <c r="P2219" s="538" t="str">
        <f t="shared" si="649"/>
        <v/>
      </c>
      <c r="Q2219" s="539" t="str">
        <f t="shared" si="647"/>
        <v/>
      </c>
      <c r="R2219" s="706"/>
      <c r="S2219" s="707"/>
      <c r="T2219" s="708"/>
      <c r="U2219" s="472"/>
      <c r="V2219" s="167"/>
      <c r="W2219" s="446"/>
      <c r="X2219" s="456"/>
      <c r="Y2219" s="436"/>
      <c r="Z2219" s="437"/>
      <c r="AA2219" s="560"/>
      <c r="AB2219" s="561"/>
      <c r="AC2219" s="87"/>
      <c r="AD2219" s="466"/>
      <c r="AE2219" s="456"/>
      <c r="AF2219" s="467"/>
      <c r="AG2219" s="87"/>
      <c r="AH2219" s="87"/>
      <c r="AI2219" s="87"/>
    </row>
    <row r="2220" spans="1:35" hidden="1">
      <c r="A2220" s="80" t="e">
        <f>"H"&amp;E2209</f>
        <v>#N/A</v>
      </c>
      <c r="B2220" s="105">
        <v>8</v>
      </c>
      <c r="C2220" s="107"/>
      <c r="D2220" s="107"/>
      <c r="E2220" s="107"/>
      <c r="F2220" s="107"/>
      <c r="G2220" s="83"/>
      <c r="H2220" s="83"/>
      <c r="I2220" s="84"/>
      <c r="J2220" s="85"/>
      <c r="K2220" s="382"/>
      <c r="L2220" s="85"/>
      <c r="M2220" s="332" t="str">
        <f t="shared" si="646"/>
        <v/>
      </c>
      <c r="N2220" s="453"/>
      <c r="O2220" s="86" t="str">
        <f t="shared" si="648"/>
        <v/>
      </c>
      <c r="P2220" s="538" t="str">
        <f t="shared" si="649"/>
        <v/>
      </c>
      <c r="Q2220" s="539" t="str">
        <f t="shared" si="647"/>
        <v/>
      </c>
      <c r="R2220" s="706"/>
      <c r="S2220" s="707"/>
      <c r="T2220" s="708"/>
      <c r="U2220" s="472"/>
      <c r="V2220" s="167"/>
      <c r="W2220" s="446"/>
      <c r="X2220" s="456"/>
      <c r="Y2220" s="436"/>
      <c r="Z2220" s="437"/>
      <c r="AA2220" s="560"/>
      <c r="AB2220" s="561"/>
      <c r="AC2220" s="87"/>
      <c r="AD2220" s="466"/>
      <c r="AE2220" s="456"/>
      <c r="AF2220" s="467"/>
      <c r="AG2220" s="87"/>
      <c r="AH2220" s="87"/>
      <c r="AI2220" s="87"/>
    </row>
    <row r="2221" spans="1:35" hidden="1">
      <c r="A2221" s="80" t="e">
        <f>"I"&amp;E2209</f>
        <v>#N/A</v>
      </c>
      <c r="B2221" s="105">
        <v>9</v>
      </c>
      <c r="C2221" s="107"/>
      <c r="D2221" s="107"/>
      <c r="E2221" s="107"/>
      <c r="F2221" s="107"/>
      <c r="G2221" s="83"/>
      <c r="H2221" s="83"/>
      <c r="I2221" s="84"/>
      <c r="J2221" s="85"/>
      <c r="K2221" s="382"/>
      <c r="L2221" s="85"/>
      <c r="M2221" s="332" t="str">
        <f t="shared" si="646"/>
        <v/>
      </c>
      <c r="N2221" s="453"/>
      <c r="O2221" s="86" t="str">
        <f t="shared" si="648"/>
        <v/>
      </c>
      <c r="P2221" s="538" t="str">
        <f t="shared" si="649"/>
        <v/>
      </c>
      <c r="Q2221" s="539" t="str">
        <f t="shared" si="647"/>
        <v/>
      </c>
      <c r="R2221" s="706"/>
      <c r="S2221" s="707"/>
      <c r="T2221" s="708"/>
      <c r="U2221" s="472"/>
      <c r="V2221" s="167"/>
      <c r="W2221" s="446"/>
      <c r="X2221" s="456"/>
      <c r="Y2221" s="436"/>
      <c r="Z2221" s="437"/>
      <c r="AA2221" s="560"/>
      <c r="AB2221" s="561"/>
      <c r="AC2221" s="87"/>
      <c r="AD2221" s="466"/>
      <c r="AE2221" s="456"/>
      <c r="AF2221" s="467"/>
      <c r="AG2221" s="87"/>
      <c r="AH2221" s="87"/>
      <c r="AI2221" s="87"/>
    </row>
    <row r="2222" spans="1:35" hidden="1">
      <c r="A2222" s="80" t="e">
        <f>"J"&amp;E2209</f>
        <v>#N/A</v>
      </c>
      <c r="B2222" s="105">
        <v>10</v>
      </c>
      <c r="C2222" s="107"/>
      <c r="D2222" s="107"/>
      <c r="E2222" s="107"/>
      <c r="F2222" s="107"/>
      <c r="G2222" s="83"/>
      <c r="H2222" s="83"/>
      <c r="I2222" s="84"/>
      <c r="J2222" s="85"/>
      <c r="K2222" s="382"/>
      <c r="L2222" s="85"/>
      <c r="M2222" s="332" t="str">
        <f t="shared" si="646"/>
        <v/>
      </c>
      <c r="N2222" s="453"/>
      <c r="O2222" s="86" t="str">
        <f t="shared" si="648"/>
        <v/>
      </c>
      <c r="P2222" s="538" t="str">
        <f t="shared" si="649"/>
        <v/>
      </c>
      <c r="Q2222" s="539" t="str">
        <f t="shared" si="647"/>
        <v/>
      </c>
      <c r="R2222" s="706"/>
      <c r="S2222" s="707"/>
      <c r="T2222" s="708"/>
      <c r="U2222" s="472"/>
      <c r="V2222" s="167"/>
      <c r="W2222" s="446"/>
      <c r="X2222" s="456"/>
      <c r="Y2222" s="436"/>
      <c r="Z2222" s="437"/>
      <c r="AA2222" s="560"/>
      <c r="AB2222" s="561"/>
      <c r="AC2222" s="87"/>
      <c r="AD2222" s="466"/>
      <c r="AE2222" s="456"/>
      <c r="AF2222" s="467"/>
      <c r="AG2222" s="87"/>
      <c r="AH2222" s="87"/>
      <c r="AI2222" s="87"/>
    </row>
    <row r="2223" spans="1:35" ht="16.5" hidden="1" thickBot="1">
      <c r="A2223" s="44"/>
      <c r="B2223" s="89"/>
      <c r="C2223" s="90"/>
      <c r="D2223" s="90"/>
      <c r="E2223" s="90"/>
      <c r="F2223" s="90"/>
      <c r="G2223" s="90"/>
      <c r="H2223" s="90"/>
      <c r="I2223" s="90"/>
      <c r="J2223" s="90"/>
      <c r="K2223" s="90"/>
      <c r="L2223" s="90"/>
      <c r="M2223" s="90"/>
      <c r="N2223" s="90"/>
      <c r="O2223" s="90"/>
      <c r="P2223" s="90"/>
      <c r="Q2223" s="90"/>
      <c r="R2223" s="90"/>
      <c r="S2223" s="91"/>
      <c r="T2223" s="92"/>
      <c r="U2223" s="473"/>
      <c r="W2223" s="438"/>
      <c r="X2223" s="455"/>
      <c r="Y2223" s="439"/>
      <c r="Z2223" s="437"/>
      <c r="AA2223" s="530"/>
      <c r="AB2223" s="563"/>
      <c r="AC2223" s="87"/>
      <c r="AD2223" s="440"/>
      <c r="AE2223" s="441"/>
      <c r="AF2223" s="442"/>
      <c r="AG2223" s="49"/>
      <c r="AH2223" s="87"/>
      <c r="AI2223" s="87"/>
    </row>
    <row r="2224" spans="1:35" ht="16.5" hidden="1" thickBot="1">
      <c r="A2224" s="93"/>
      <c r="B2224" s="94"/>
      <c r="C2224" s="96"/>
      <c r="D2224" s="96"/>
      <c r="E2224" s="96"/>
      <c r="F2224" s="96"/>
      <c r="G2224" s="96"/>
      <c r="H2224" s="96"/>
      <c r="I2224" s="96"/>
      <c r="J2224" s="96"/>
      <c r="K2224" s="96"/>
      <c r="L2224" s="96"/>
      <c r="M2224" s="136"/>
      <c r="N2224" s="96"/>
      <c r="O2224" s="96"/>
      <c r="P2224" s="97"/>
      <c r="Q2224" s="97"/>
      <c r="R2224" s="98"/>
      <c r="S2224" s="95"/>
      <c r="T2224" s="99"/>
      <c r="U2224" s="469"/>
      <c r="AC2224" s="58"/>
      <c r="AG2224" s="58"/>
      <c r="AH2224" s="87"/>
      <c r="AI2224" s="87"/>
    </row>
    <row r="2225" spans="1:35" ht="16.5" hidden="1" thickBot="1">
      <c r="B2225" s="101"/>
      <c r="C2225" s="101"/>
      <c r="D2225" s="101"/>
      <c r="E2225" s="101"/>
      <c r="F2225" s="101"/>
      <c r="G2225" s="101"/>
      <c r="H2225" s="101"/>
      <c r="I2225" s="101"/>
      <c r="J2225" s="101"/>
      <c r="K2225" s="101"/>
      <c r="L2225" s="101"/>
      <c r="M2225" s="101"/>
      <c r="N2225" s="101"/>
      <c r="O2225" s="101"/>
      <c r="P2225" s="101"/>
      <c r="Q2225" s="101"/>
      <c r="R2225" s="101"/>
      <c r="S2225" s="101"/>
      <c r="U2225" s="50"/>
      <c r="AH2225" s="87"/>
      <c r="AI2225" s="87"/>
    </row>
    <row r="2226" spans="1:35" ht="16.5" hidden="1" customHeight="1" thickBot="1">
      <c r="A2226" s="44"/>
      <c r="B2226" s="705" t="s">
        <v>74</v>
      </c>
      <c r="C2226" s="705"/>
      <c r="D2226" s="705"/>
      <c r="E2226" s="705"/>
      <c r="F2226" s="705"/>
      <c r="G2226" s="705"/>
      <c r="H2226" s="705"/>
      <c r="I2226" s="705"/>
      <c r="J2226" s="705"/>
      <c r="K2226" s="705"/>
      <c r="L2226" s="705"/>
      <c r="M2226" s="705"/>
      <c r="N2226" s="705"/>
      <c r="O2226" s="705"/>
      <c r="P2226" s="705"/>
      <c r="Q2226" s="705"/>
      <c r="R2226" s="705"/>
      <c r="S2226" s="705"/>
      <c r="T2226" s="705"/>
      <c r="U2226" s="108"/>
      <c r="Y2226" s="532" t="s">
        <v>341</v>
      </c>
      <c r="AC2226" s="49"/>
      <c r="AD2226" s="687" t="s">
        <v>302</v>
      </c>
      <c r="AE2226" s="688"/>
      <c r="AF2226" s="689"/>
      <c r="AG2226" s="49"/>
      <c r="AH2226" s="87"/>
      <c r="AI2226" s="87"/>
    </row>
    <row r="2227" spans="1:35" ht="15.75" hidden="1" customHeight="1" thickBot="1">
      <c r="A2227" s="218" t="e">
        <f>"K"&amp;E2209</f>
        <v>#N/A</v>
      </c>
      <c r="B2227" s="701" t="s">
        <v>71</v>
      </c>
      <c r="C2227" s="751" t="s">
        <v>102</v>
      </c>
      <c r="D2227" s="751"/>
      <c r="E2227" s="751"/>
      <c r="F2227" s="751"/>
      <c r="G2227" s="751"/>
      <c r="H2227" s="751"/>
      <c r="I2227" s="751"/>
      <c r="J2227" s="751"/>
      <c r="K2227" s="751"/>
      <c r="L2227" s="722" t="s">
        <v>100</v>
      </c>
      <c r="M2227" s="747" t="s">
        <v>114</v>
      </c>
      <c r="N2227" s="747"/>
      <c r="O2227" s="747"/>
      <c r="P2227" s="747"/>
      <c r="Q2227" s="748"/>
      <c r="R2227" s="758" t="s">
        <v>280</v>
      </c>
      <c r="S2227" s="748"/>
      <c r="T2227" s="762" t="str">
        <f>IF(COUNTIF(AE2227:AF2227,"VERIFICAR")&gt;0,"VERIFICAR",IF(COUNTIF(AE2227:AF2227,"NO CUMPLE")&gt;0,"NO CUMPLE","CUMPLE"))</f>
        <v>VERIFICAR</v>
      </c>
      <c r="U2227" s="108"/>
      <c r="Y2227" s="533" t="e">
        <f>IF(F2228="","",IF(F2228=1,"INDIVIDUAL","ESTRUCTURA PLURAL"))</f>
        <v>#N/A</v>
      </c>
      <c r="AC2227" s="52"/>
      <c r="AD2227" s="475" t="s">
        <v>303</v>
      </c>
      <c r="AE2227" s="476" t="str">
        <f>IF(COUNTIF(AE2213:AE2222,"")=10,"VERIFICAR",IF(COUNTIF(AE2213:AE2222,"SI")&gt;0,"CUMPLE","NO CUMPLE"))</f>
        <v>VERIFICAR</v>
      </c>
      <c r="AF2227" s="477" t="str">
        <f>IF(COUNTIF(AF2213:AF2222,"")=10,"VERIFICAR",IF(COUNTIF(AF2213:AF2222,"SI")&gt;=$AI$22,"CUMPLE","NO CUMPLE"))</f>
        <v>VERIFICAR</v>
      </c>
      <c r="AG2227" s="52"/>
      <c r="AH2227" s="87"/>
      <c r="AI2227" s="87"/>
    </row>
    <row r="2228" spans="1:35" ht="16.5" hidden="1" customHeight="1" thickBot="1">
      <c r="A2228" s="218" t="e">
        <f>"L"&amp;E2209</f>
        <v>#N/A</v>
      </c>
      <c r="B2228" s="702"/>
      <c r="C2228" s="751" t="s">
        <v>103</v>
      </c>
      <c r="D2228" s="751"/>
      <c r="E2228" s="752"/>
      <c r="F2228" s="557" t="e">
        <f>IF(VLOOKUP(E2209,PROPONENTES!$C$19:$E$218,3,0)="","",VLOOKUP(E2209,PROPONENTES!$C$19:$E$218,3,0))</f>
        <v>#N/A</v>
      </c>
      <c r="G2228" s="753" t="s">
        <v>104</v>
      </c>
      <c r="H2228" s="751"/>
      <c r="I2228" s="715" t="e">
        <f>IF(OR(F2228="",F2228=1),"INTERESADO PERSONA NATURAL O JURIDICA","CONSORCIO O UNION TEMPORAL")</f>
        <v>#N/A</v>
      </c>
      <c r="J2228" s="725"/>
      <c r="K2228" s="728"/>
      <c r="L2228" s="723"/>
      <c r="M2228" s="749"/>
      <c r="N2228" s="749"/>
      <c r="O2228" s="749"/>
      <c r="P2228" s="749"/>
      <c r="Q2228" s="750"/>
      <c r="R2228" s="712"/>
      <c r="S2228" s="750"/>
      <c r="T2228" s="763"/>
      <c r="U2228" s="108"/>
      <c r="Y2228" s="534"/>
      <c r="AA2228" s="52"/>
      <c r="AB2228" s="52"/>
      <c r="AC2228" s="52"/>
      <c r="AG2228" s="52"/>
      <c r="AH2228" s="87"/>
      <c r="AI2228" s="87"/>
    </row>
    <row r="2229" spans="1:35" ht="56.25" hidden="1" customHeight="1" thickBot="1">
      <c r="A2229" s="218" t="e">
        <f>"M"&amp;E2209</f>
        <v>#N/A</v>
      </c>
      <c r="B2229" s="702"/>
      <c r="C2229" s="725" t="s">
        <v>101</v>
      </c>
      <c r="D2229" s="716"/>
      <c r="E2229" s="558" t="s">
        <v>105</v>
      </c>
      <c r="F2229" s="554" t="s">
        <v>87</v>
      </c>
      <c r="G2229" s="553" t="s">
        <v>86</v>
      </c>
      <c r="H2229" s="559" t="s">
        <v>85</v>
      </c>
      <c r="I2229" s="554" t="s">
        <v>252</v>
      </c>
      <c r="J2229" s="553" t="str">
        <f>"¿EL INTEGRANTE TIENE UNA PARTICIPACIÓN DEL "&amp;PORCREQUERIDOINT*100&amp;"%?"</f>
        <v>¿EL INTEGRANTE TIENE UNA PARTICIPACIÓN DEL 60%?</v>
      </c>
      <c r="K2229" s="554" t="s">
        <v>107</v>
      </c>
      <c r="L2229" s="724"/>
      <c r="M2229" s="717" t="s">
        <v>115</v>
      </c>
      <c r="N2229" s="718"/>
      <c r="O2229" s="718"/>
      <c r="P2229" s="718"/>
      <c r="Q2229" s="223">
        <f>IF(AND(H2213="SI",P2213&gt;=0),1,0)+IF(AND(H2214="SI",P2214&gt;=0),1,0)+IF(AND(H2215="SI",P2215&gt;=0),1,0)+IF(AND(H2216="SI",P2216&gt;=0),1,0)+IF(AND(H2217="SI",P2217&gt;=0),1,0)+IF(AND(H2218="SI",P2218&gt;=0),1,0)+IF(AND(H2219="SI",P2219&gt;=0),1,0)+IF(AND(H2220="SI",P2220&gt;=0),1,0)+IF(AND(H2221="SI",P2221&gt;=0),1,0)+IF(AND(H2222="SI",P2222&gt;=0),1,0)</f>
        <v>0</v>
      </c>
      <c r="R2229" s="759"/>
      <c r="S2229" s="761"/>
      <c r="T2229" s="764"/>
      <c r="U2229" s="219"/>
      <c r="V2229" s="464"/>
      <c r="Y2229" s="532" t="s">
        <v>342</v>
      </c>
      <c r="AA2229" s="550" t="s">
        <v>344</v>
      </c>
      <c r="AB2229" s="693" t="s">
        <v>345</v>
      </c>
      <c r="AC2229" s="693" t="s">
        <v>346</v>
      </c>
      <c r="AD2229" s="685" t="s">
        <v>347</v>
      </c>
      <c r="AE2229" s="52"/>
      <c r="AF2229" s="52"/>
      <c r="AG2229" s="52"/>
      <c r="AH2229" s="87"/>
      <c r="AI2229" s="87"/>
    </row>
    <row r="2230" spans="1:35" ht="15.75" hidden="1" customHeight="1" thickBot="1">
      <c r="A2230" s="218" t="e">
        <f>"N"&amp;E2209</f>
        <v>#N/A</v>
      </c>
      <c r="B2230" s="702"/>
      <c r="C2230" s="114">
        <v>1</v>
      </c>
      <c r="D2230" s="194" t="e">
        <f>IF(AND(C2230&lt;=F2228,F2228&gt;1,F2228&lt;&gt;""),VLOOKUP(VALUE(E2209&amp;","&amp;C2230),INTEGRANTES!$D$18:$F$235,2,0),"")</f>
        <v>#N/A</v>
      </c>
      <c r="E2230" s="211" t="e">
        <f>IF(D2230&lt;&gt;"",VLOOKUP(VALUE(E2209&amp;","&amp;C2230),INTEGRANTES!$D$18:$F$235,3,0),"")</f>
        <v>#N/A</v>
      </c>
      <c r="F2230" s="547" t="e">
        <f>IF(D2230="","",SUMIF($I2213:$I2222,D2230,$P2213:$P2222))</f>
        <v>#N/A</v>
      </c>
      <c r="G2230" s="333" t="e">
        <f>IF(D2230="","",SUMIF($I2213:$I2222,D2230,$M2213:$M2222))</f>
        <v>#N/A</v>
      </c>
      <c r="H2230" s="535" t="e">
        <f t="shared" ref="H2230:H2235" si="650">IF(D2230="","",IF(OR(F2230=0,G2230=0),"NO APORTA",ROUND($F2230/$G2230,3)))</f>
        <v>#N/A</v>
      </c>
      <c r="I2230" s="212" t="e">
        <f>IF(D2230="","",IF(H2230="NO APORTA","NO",IF(H2230=MAX($H2230:$H2235),"SI","NO")))</f>
        <v>#N/A</v>
      </c>
      <c r="J2230" s="213" t="e">
        <f t="shared" ref="J2230:J2235" si="651">IF(D2230="","",IF(E2230&gt;=PORCREQUERIDOINT,"SI","NO"))</f>
        <v>#N/A</v>
      </c>
      <c r="K2230" s="200" t="e">
        <f t="shared" ref="K2230:K2235" si="652">IF(D2230="","",IF(AND(I2230="SI",J2230="SI"),"CUMPLE",IF(AND(I2230="NO",OR(J2230="SI",J2230="NO")),"","NO CUMPLE")))</f>
        <v>#N/A</v>
      </c>
      <c r="L2230" s="722" t="s">
        <v>108</v>
      </c>
      <c r="M2230" s="726" t="s">
        <v>119</v>
      </c>
      <c r="N2230" s="726"/>
      <c r="O2230" s="726"/>
      <c r="P2230" s="726"/>
      <c r="Q2230" s="727"/>
      <c r="R2230" s="758" t="s">
        <v>80</v>
      </c>
      <c r="S2230" s="747"/>
      <c r="T2230" s="748"/>
      <c r="U2230" s="219"/>
      <c r="V2230" s="464"/>
      <c r="Y2230" s="533" t="e">
        <f>IF(Y2227="","",IF(Y2227="INDIVIDUAL","NO APLICA","VERIFICAR CUADRO"))</f>
        <v>#N/A</v>
      </c>
      <c r="AA2230" s="551"/>
      <c r="AB2230" s="694"/>
      <c r="AC2230" s="694"/>
      <c r="AD2230" s="686"/>
      <c r="AE2230" s="52"/>
      <c r="AF2230" s="52"/>
      <c r="AG2230" s="52"/>
      <c r="AH2230" s="87"/>
      <c r="AI2230" s="87"/>
    </row>
    <row r="2231" spans="1:35" ht="27" hidden="1" customHeight="1" thickBot="1">
      <c r="A2231" s="218" t="e">
        <f>"O"&amp;E2209</f>
        <v>#N/A</v>
      </c>
      <c r="B2231" s="702"/>
      <c r="C2231" s="114">
        <v>2</v>
      </c>
      <c r="D2231" s="194" t="e">
        <f>IF(AND(C2231&lt;=F2228,F2228&lt;&gt;""),VLOOKUP(VALUE(E2209&amp;","&amp;C2231),INTEGRANTES!$D$18:$F$235,2,0),"")</f>
        <v>#N/A</v>
      </c>
      <c r="E2231" s="211" t="e">
        <f>IF(D2231&lt;&gt;"",VLOOKUP(VALUE(E2209&amp;","&amp;C2231),INTEGRANTES!$D$18:$F$235,3,0),"")</f>
        <v>#N/A</v>
      </c>
      <c r="F2231" s="547" t="e">
        <f>IF(D2231="","",SUMIF($I2213:$I2222,D2231,$P2213:$P2222))</f>
        <v>#N/A</v>
      </c>
      <c r="G2231" s="333" t="e">
        <f>IF(D2231="","",SUMIF($I2213:$I2222,D2231,$M2213:$M2222))</f>
        <v>#N/A</v>
      </c>
      <c r="H2231" s="535" t="e">
        <f t="shared" si="650"/>
        <v>#N/A</v>
      </c>
      <c r="I2231" s="212" t="e">
        <f>IF(D2231="","",IF(H2231="NO APORTA","NO",IF(H2231=MAX($H2230:$H2235),"SI","NO")))</f>
        <v>#N/A</v>
      </c>
      <c r="J2231" s="213" t="e">
        <f t="shared" si="651"/>
        <v>#N/A</v>
      </c>
      <c r="K2231" s="200" t="e">
        <f t="shared" si="652"/>
        <v>#N/A</v>
      </c>
      <c r="L2231" s="723"/>
      <c r="M2231" s="715" t="s">
        <v>116</v>
      </c>
      <c r="N2231" s="716"/>
      <c r="O2231" s="556" t="s">
        <v>113</v>
      </c>
      <c r="P2231" s="715" t="s">
        <v>117</v>
      </c>
      <c r="Q2231" s="728"/>
      <c r="R2231" s="759"/>
      <c r="S2231" s="760"/>
      <c r="T2231" s="761"/>
      <c r="U2231" s="219"/>
      <c r="V2231" s="464"/>
      <c r="Y2231" s="414"/>
      <c r="AA2231" s="542" t="e">
        <f>IF(AND(C2230&lt;=F2228,F2228&gt;1,F2228&lt;&gt;""),VLOOKUP(VALUE(E2209&amp;","&amp;C2230),INTEGRANTES!$D$18:$F$235,2,0),"")</f>
        <v>#N/A</v>
      </c>
      <c r="AB2231" s="544" t="e">
        <f t="shared" ref="AB2231:AB2236" si="653">IF(D2230="","",IF(OR(F2230=0,G2230=0),"NO APORTA",ROUND($F2230/$G2230,3)))</f>
        <v>#N/A</v>
      </c>
      <c r="AC2231" s="529"/>
      <c r="AD2231" s="200" t="e">
        <f t="shared" ref="AD2231:AD2236" si="654">IF(OR(AA2231="",AB2231=""),"",IF(AND(AC2231="X",AB2231&gt;=EXPREQVTD),"CUMPLE","NO CUMPLE"))</f>
        <v>#N/A</v>
      </c>
      <c r="AE2231" s="52"/>
      <c r="AF2231" s="52"/>
      <c r="AG2231" s="52"/>
      <c r="AH2231" s="87"/>
      <c r="AI2231" s="87"/>
    </row>
    <row r="2232" spans="1:35" ht="16.5" hidden="1" thickBot="1">
      <c r="A2232" s="218" t="e">
        <f>"P"&amp;E2209</f>
        <v>#N/A</v>
      </c>
      <c r="B2232" s="702"/>
      <c r="C2232" s="114">
        <v>3</v>
      </c>
      <c r="D2232" s="194" t="e">
        <f>IF(AND(C2232&lt;=F2228,F2228&lt;&gt;""),VLOOKUP(VALUE(E2209&amp;","&amp;C2232),INTEGRANTES!$D$18:$F$235,2,0),"")</f>
        <v>#N/A</v>
      </c>
      <c r="E2232" s="211" t="e">
        <f>IF(D2232&lt;&gt;"",VLOOKUP(VALUE(E2209&amp;","&amp;C2232),INTEGRANTES!$D$18:$F$235,3,0),"")</f>
        <v>#N/A</v>
      </c>
      <c r="F2232" s="547" t="e">
        <f>IF(D2232="","",SUMIF($I2213:$I2222,D2232,$P2213:$P2222))</f>
        <v>#N/A</v>
      </c>
      <c r="G2232" s="333" t="e">
        <f>IF(D2232="","",SUMIF($I2213:$I2222,D2232,$M2213:$M2222))</f>
        <v>#N/A</v>
      </c>
      <c r="H2232" s="535" t="e">
        <f t="shared" si="650"/>
        <v>#N/A</v>
      </c>
      <c r="I2232" s="212" t="e">
        <f>IF(D2232="","",IF(H2232="NO APORTA","NO",IF(H2232=MAX($H2230:$H2235),"SI","NO")))</f>
        <v>#N/A</v>
      </c>
      <c r="J2232" s="213" t="e">
        <f t="shared" si="651"/>
        <v>#N/A</v>
      </c>
      <c r="K2232" s="200" t="e">
        <f t="shared" si="652"/>
        <v>#N/A</v>
      </c>
      <c r="L2232" s="724"/>
      <c r="M2232" s="729">
        <f>NUMMOD</f>
        <v>1</v>
      </c>
      <c r="N2232" s="730"/>
      <c r="O2232" s="443">
        <f>IF(M2232="","",VLOOKUP(M2232,PRESUPUESTOS!$B$16:$H$16,5,FALSE))</f>
        <v>2</v>
      </c>
      <c r="P2232" s="713">
        <f>IF(OR(COUNTIF(M2213:M2222,"")&gt;=10,Q2229&lt;NUMMINCONT,OR(T2227="NO CUMPLE",T2227="VERIFICAR")),0,ROUND(AVERAGE(M2213:M2222),3))</f>
        <v>0</v>
      </c>
      <c r="Q2232" s="714"/>
      <c r="R2232" s="458"/>
      <c r="S2232" s="459"/>
      <c r="T2232" s="460"/>
      <c r="U2232" s="219"/>
      <c r="V2232" s="464"/>
      <c r="Y2232" s="532" t="str">
        <f>"40% * ("&amp;PRESUPUESTOS!$H$13&amp;")"</f>
        <v>40% * (50% PFMO)</v>
      </c>
      <c r="AA2232" s="540" t="e">
        <f>IF(AND(C2231&lt;=F2228,F2228&lt;&gt;""),VLOOKUP(VALUE(E2209&amp;","&amp;C2231),INTEGRANTES!$D$18:$F$235,2,0),"")</f>
        <v>#N/A</v>
      </c>
      <c r="AB2232" s="545" t="e">
        <f t="shared" si="653"/>
        <v>#N/A</v>
      </c>
      <c r="AC2232" s="529"/>
      <c r="AD2232" s="200" t="e">
        <f t="shared" si="654"/>
        <v>#N/A</v>
      </c>
      <c r="AE2232" s="52"/>
      <c r="AF2232" s="52"/>
      <c r="AG2232" s="52"/>
      <c r="AH2232" s="87"/>
      <c r="AI2232" s="87"/>
    </row>
    <row r="2233" spans="1:35" ht="15.75" hidden="1" customHeight="1" thickBot="1">
      <c r="A2233" s="218" t="e">
        <f>"Q"&amp;E2209</f>
        <v>#N/A</v>
      </c>
      <c r="B2233" s="702"/>
      <c r="C2233" s="114">
        <v>4</v>
      </c>
      <c r="D2233" s="194" t="e">
        <f>IF(AND(C2233&lt;=F2228,F2228&lt;&gt;""),VLOOKUP(VALUE(E2209&amp;","&amp;C2233),INTEGRANTES!$D$18:$F$235,2,0),"")</f>
        <v>#N/A</v>
      </c>
      <c r="E2233" s="211" t="e">
        <f>IF(D2233&lt;&gt;"",VLOOKUP(VALUE(E2209&amp;","&amp;C2233),INTEGRANTES!$D$18:$F$235,3,0),"")</f>
        <v>#N/A</v>
      </c>
      <c r="F2233" s="547" t="e">
        <f>IF(D2233="","",SUMIF($I2213:$I2222,D2233,$P2213:$P2222))</f>
        <v>#N/A</v>
      </c>
      <c r="G2233" s="333" t="e">
        <f>IF(D2233="","",SUMIF($I2213:$I2222,D2233,$M2213:$M2222))</f>
        <v>#N/A</v>
      </c>
      <c r="H2233" s="535" t="e">
        <f t="shared" si="650"/>
        <v>#N/A</v>
      </c>
      <c r="I2233" s="212" t="e">
        <f>IF(D2233="","",IF(H2233="NO APORTA","NO",IF(H2233=MAX($H2230:$H2235),"SI","NO")))</f>
        <v>#N/A</v>
      </c>
      <c r="J2233" s="213" t="e">
        <f t="shared" si="651"/>
        <v>#N/A</v>
      </c>
      <c r="K2233" s="200" t="e">
        <f t="shared" si="652"/>
        <v>#N/A</v>
      </c>
      <c r="L2233" s="720" t="s">
        <v>109</v>
      </c>
      <c r="M2233" s="757" t="s">
        <v>120</v>
      </c>
      <c r="N2233" s="726"/>
      <c r="O2233" s="726"/>
      <c r="P2233" s="726"/>
      <c r="Q2233" s="727"/>
      <c r="R2233" s="458"/>
      <c r="S2233" s="459"/>
      <c r="T2233" s="460"/>
      <c r="U2233" s="219"/>
      <c r="V2233" s="464"/>
      <c r="Y2233" s="537">
        <f>0.4*PRESUPUESTOS!$H$16</f>
        <v>10.3124</v>
      </c>
      <c r="AA2233" s="540" t="e">
        <f>IF(AND(C2232&lt;=F2228,F2228&lt;&gt;""),VLOOKUP(VALUE(E2209&amp;","&amp;C2232),INTEGRANTES!$D$18:$F$235,2,0),"")</f>
        <v>#N/A</v>
      </c>
      <c r="AB2233" s="545" t="e">
        <f t="shared" si="653"/>
        <v>#N/A</v>
      </c>
      <c r="AC2233" s="529"/>
      <c r="AD2233" s="200" t="e">
        <f t="shared" si="654"/>
        <v>#N/A</v>
      </c>
      <c r="AE2233" s="52"/>
      <c r="AF2233" s="52"/>
      <c r="AG2233" s="52"/>
      <c r="AH2233" s="87"/>
      <c r="AI2233" s="87"/>
    </row>
    <row r="2234" spans="1:35" ht="27" hidden="1" customHeight="1" thickBot="1">
      <c r="A2234" s="218" t="e">
        <f>"R"&amp;E2209</f>
        <v>#N/A</v>
      </c>
      <c r="B2234" s="702"/>
      <c r="C2234" s="114">
        <v>5</v>
      </c>
      <c r="D2234" s="194" t="e">
        <f>IF(AND(C2234&lt;=F2228,F2228&lt;&gt;""),VLOOKUP(VALUE(E2209&amp;","&amp;C2234),INTEGRANTES!$D$18:$F$235,2,0),"")</f>
        <v>#N/A</v>
      </c>
      <c r="E2234" s="211" t="e">
        <f>IF(D2234&lt;&gt;"",VLOOKUP(VALUE(E2209&amp;","&amp;C2234),INTEGRANTES!$D$18:$F$235,3,0),"")</f>
        <v>#N/A</v>
      </c>
      <c r="F2234" s="547" t="e">
        <f>IF(D2234="","",SUMIF($I2213:$I2222,D2234,$P2213:$P2222))</f>
        <v>#N/A</v>
      </c>
      <c r="G2234" s="333" t="e">
        <f>IF(D2234="","",SUMIF($I2213:$I2222,D2234,$M2213:$M2222))</f>
        <v>#N/A</v>
      </c>
      <c r="H2234" s="535" t="e">
        <f t="shared" si="650"/>
        <v>#N/A</v>
      </c>
      <c r="I2234" s="212" t="e">
        <f>IF(D2234="","",IF(H2234="NO APORTA","NO",IF(H2234=MAX($H2230:$H2235),"SI","NO")))</f>
        <v>#N/A</v>
      </c>
      <c r="J2234" s="213" t="e">
        <f t="shared" si="651"/>
        <v>#N/A</v>
      </c>
      <c r="K2234" s="200" t="e">
        <f t="shared" si="652"/>
        <v>#N/A</v>
      </c>
      <c r="L2234" s="721"/>
      <c r="M2234" s="715" t="s">
        <v>116</v>
      </c>
      <c r="N2234" s="716"/>
      <c r="O2234" s="556" t="str">
        <f>PORCREQUERIDO*100&amp;"% PMFO DEL MÓDULO"</f>
        <v>50% PMFO DEL MÓDULO</v>
      </c>
      <c r="P2234" s="715" t="s">
        <v>118</v>
      </c>
      <c r="Q2234" s="728"/>
      <c r="R2234" s="458"/>
      <c r="S2234" s="459"/>
      <c r="T2234" s="460"/>
      <c r="U2234" s="219"/>
      <c r="V2234" s="464"/>
      <c r="Y2234" s="414"/>
      <c r="AA2234" s="540" t="e">
        <f>IF(AND(C2233&lt;=F2228,F2228&lt;&gt;""),VLOOKUP(VALUE(E2209&amp;","&amp;C2233),INTEGRANTES!$D$18:$F$235,2,0),"")</f>
        <v>#N/A</v>
      </c>
      <c r="AB2234" s="545" t="e">
        <f t="shared" si="653"/>
        <v>#N/A</v>
      </c>
      <c r="AC2234" s="529"/>
      <c r="AD2234" s="200" t="e">
        <f t="shared" si="654"/>
        <v>#N/A</v>
      </c>
      <c r="AE2234" s="52"/>
      <c r="AF2234" s="52"/>
      <c r="AG2234" s="52"/>
      <c r="AH2234" s="87"/>
      <c r="AI2234" s="87"/>
    </row>
    <row r="2235" spans="1:35" ht="16.5" hidden="1" thickBot="1">
      <c r="A2235" s="218" t="e">
        <f>"S"&amp;E2209</f>
        <v>#N/A</v>
      </c>
      <c r="B2235" s="702"/>
      <c r="C2235" s="215">
        <v>6</v>
      </c>
      <c r="D2235" s="216" t="e">
        <f>IF(AND(C2235&lt;=F2228,F2228&lt;&gt;""),VLOOKUP(VALUE(E2209&amp;","&amp;C2235),INTEGRANTES!$D$18:$F$235,2,0),"")</f>
        <v>#N/A</v>
      </c>
      <c r="E2235" s="217" t="e">
        <f>IF(D2235&lt;&gt;"",VLOOKUP(VALUE(E2209&amp;","&amp;C2235),INTEGRANTES!$D$18:$F$235,3,0),"")</f>
        <v>#N/A</v>
      </c>
      <c r="F2235" s="548" t="e">
        <f>IF(D2235="","",SUMIF($I2213:$I2222,D2235,$P2213:$P2222))</f>
        <v>#N/A</v>
      </c>
      <c r="G2235" s="334" t="e">
        <f>IF(D2235="","",SUMIF($I2213:$I2222,D2235,$M2213:$M2222))</f>
        <v>#N/A</v>
      </c>
      <c r="H2235" s="536" t="e">
        <f t="shared" si="650"/>
        <v>#N/A</v>
      </c>
      <c r="I2235" s="214" t="e">
        <f>IF(D2235="","",IF(H2235="NO APORTA","NO",IF(H2235=MAX($H2230:$H2235),"SI","NO")))</f>
        <v>#N/A</v>
      </c>
      <c r="J2235" s="213" t="e">
        <f t="shared" si="651"/>
        <v>#N/A</v>
      </c>
      <c r="K2235" s="200" t="e">
        <f t="shared" si="652"/>
        <v>#N/A</v>
      </c>
      <c r="L2235" s="721"/>
      <c r="M2235" s="729">
        <f>NUMMOD</f>
        <v>1</v>
      </c>
      <c r="N2235" s="730"/>
      <c r="O2235" s="443">
        <f>IF(M2235="","",ROUND(VLOOKUP(M2235,PRESUPUESTOS!$B$16:$H$16,7,FALSE),3))</f>
        <v>25.780999999999999</v>
      </c>
      <c r="P2235" s="713">
        <f>IF(OR(COUNTIF(P2213:P2222,"")&gt;=10,Q2229&lt;NUMMINCONT,OR(T2227="NO CUMPLE",T2227="VERIFICAR")),0,ROUND((SUM(P2213:P2222)/SUM(M2213:M2222)),3))</f>
        <v>0</v>
      </c>
      <c r="Q2235" s="714"/>
      <c r="R2235" s="458"/>
      <c r="S2235" s="459"/>
      <c r="T2235" s="460"/>
      <c r="U2235" s="219"/>
      <c r="V2235" s="464"/>
      <c r="Y2235" s="532" t="s">
        <v>343</v>
      </c>
      <c r="AA2235" s="540" t="e">
        <f>IF(AND(C2234&lt;=F2228,F2228&lt;&gt;""),VLOOKUP(VALUE(E2209&amp;","&amp;C2234),INTEGRANTES!$D$18:$F$235,2,0),"")</f>
        <v>#N/A</v>
      </c>
      <c r="AB2235" s="545" t="e">
        <f t="shared" si="653"/>
        <v>#N/A</v>
      </c>
      <c r="AC2235" s="529"/>
      <c r="AD2235" s="200" t="e">
        <f t="shared" si="654"/>
        <v>#N/A</v>
      </c>
      <c r="AE2235" s="52"/>
      <c r="AF2235" s="52"/>
      <c r="AG2235" s="52"/>
      <c r="AH2235" s="87"/>
      <c r="AI2235" s="87"/>
    </row>
    <row r="2236" spans="1:35" ht="16.5" hidden="1" customHeight="1" thickBot="1">
      <c r="A2236" s="218" t="e">
        <f>"T"&amp;E2209</f>
        <v>#N/A</v>
      </c>
      <c r="B2236" s="703"/>
      <c r="C2236" s="719"/>
      <c r="D2236" s="719"/>
      <c r="E2236" s="719"/>
      <c r="F2236" s="719"/>
      <c r="G2236" s="719"/>
      <c r="H2236" s="719" t="s">
        <v>110</v>
      </c>
      <c r="I2236" s="719"/>
      <c r="J2236" s="719"/>
      <c r="K2236" s="201" t="str">
        <f>IF(COUNTIF(K2230:K2235,"")=6,"",IF(COUNTIF(K2230:K2235,"CUMPLE")&gt;0,"CUMPLE","NO CUMPLE"))</f>
        <v>NO CUMPLE</v>
      </c>
      <c r="L2236" s="754"/>
      <c r="M2236" s="755"/>
      <c r="N2236" s="755"/>
      <c r="O2236" s="755"/>
      <c r="P2236" s="755"/>
      <c r="Q2236" s="756"/>
      <c r="R2236" s="461"/>
      <c r="S2236" s="462"/>
      <c r="T2236" s="463"/>
      <c r="U2236" s="219"/>
      <c r="V2236" s="464"/>
      <c r="Y2236" s="549" t="e">
        <f>IF(Y2230="NO APLICA","NO APLICA",IF(COUNTIF(AD2231:AD2236,"CUMPLE")&gt;0,"CUMPLE","NO CUMPLE"))</f>
        <v>#N/A</v>
      </c>
      <c r="AA2236" s="541" t="e">
        <f>IF(AND(C2235&lt;=F2228,F2228&lt;&gt;""),VLOOKUP(VALUE(E2209&amp;","&amp;C2235),INTEGRANTES!$D$18:$F$235,2,0),"")</f>
        <v>#N/A</v>
      </c>
      <c r="AB2236" s="546" t="e">
        <f t="shared" si="653"/>
        <v>#N/A</v>
      </c>
      <c r="AC2236" s="543"/>
      <c r="AD2236" s="201" t="e">
        <f t="shared" si="654"/>
        <v>#N/A</v>
      </c>
      <c r="AE2236" s="52"/>
      <c r="AF2236" s="52"/>
      <c r="AG2236" s="52"/>
      <c r="AH2236" s="87"/>
      <c r="AI2236" s="87"/>
    </row>
    <row r="2237" spans="1:35" hidden="1">
      <c r="AH2237" s="87"/>
      <c r="AI2237" s="87"/>
    </row>
    <row r="2238" spans="1:35" hidden="1">
      <c r="AH2238" s="87"/>
      <c r="AI2238" s="87"/>
    </row>
    <row r="2239" spans="1:35" ht="24" hidden="1" thickBot="1">
      <c r="A2239" s="61">
        <v>75</v>
      </c>
      <c r="B2239" s="704" t="s">
        <v>51</v>
      </c>
      <c r="C2239" s="704"/>
      <c r="D2239" s="704"/>
      <c r="E2239" s="62" t="e">
        <f>VLOOKUP(A2239,PROPONENTES!$B$19:$E$218,2,FALSE)</f>
        <v>#N/A</v>
      </c>
      <c r="F2239" s="63" t="e">
        <f>VLOOKUP(A2239,PROPONENTES!$B$19:$E$218,3,FALSE)</f>
        <v>#N/A</v>
      </c>
      <c r="G2239" s="64"/>
      <c r="H2239" s="64"/>
      <c r="I2239" s="63"/>
      <c r="J2239" s="63"/>
      <c r="K2239" s="65"/>
      <c r="L2239" s="65"/>
      <c r="M2239" s="64"/>
      <c r="N2239" s="64"/>
      <c r="O2239" s="66"/>
      <c r="P2239" s="66"/>
      <c r="Q2239" s="66"/>
      <c r="R2239" s="66"/>
      <c r="S2239" s="67"/>
      <c r="T2239" s="68"/>
      <c r="U2239" s="68"/>
      <c r="AC2239" s="68"/>
      <c r="AD2239" s="68"/>
      <c r="AE2239" s="68"/>
      <c r="AF2239" s="68"/>
      <c r="AG2239" s="68"/>
      <c r="AH2239" s="87"/>
      <c r="AI2239" s="87"/>
    </row>
    <row r="2240" spans="1:35" ht="15.75" hidden="1" customHeight="1">
      <c r="A2240" s="44"/>
      <c r="B2240" s="709" t="s">
        <v>59</v>
      </c>
      <c r="C2240" s="552" t="s">
        <v>60</v>
      </c>
      <c r="D2240" s="70" t="s">
        <v>17</v>
      </c>
      <c r="E2240" s="70"/>
      <c r="F2240" s="70" t="s">
        <v>61</v>
      </c>
      <c r="G2240" s="71"/>
      <c r="H2240" s="699" t="s">
        <v>62</v>
      </c>
      <c r="I2240" s="699" t="s">
        <v>18</v>
      </c>
      <c r="J2240" s="699" t="s">
        <v>63</v>
      </c>
      <c r="K2240" s="699" t="s">
        <v>64</v>
      </c>
      <c r="L2240" s="699" t="s">
        <v>65</v>
      </c>
      <c r="M2240" s="743" t="s">
        <v>66</v>
      </c>
      <c r="N2240" s="699" t="s">
        <v>282</v>
      </c>
      <c r="O2240" s="745" t="s">
        <v>67</v>
      </c>
      <c r="P2240" s="746"/>
      <c r="Q2240" s="102" t="s">
        <v>75</v>
      </c>
      <c r="R2240" s="731" t="s">
        <v>22</v>
      </c>
      <c r="S2240" s="732"/>
      <c r="T2240" s="733"/>
      <c r="U2240" s="712" t="s">
        <v>298</v>
      </c>
      <c r="W2240" s="690" t="s">
        <v>268</v>
      </c>
      <c r="X2240" s="691"/>
      <c r="Y2240" s="692"/>
      <c r="Z2240" s="428"/>
      <c r="AA2240" s="697" t="s">
        <v>315</v>
      </c>
      <c r="AB2240" s="695" t="s">
        <v>322</v>
      </c>
      <c r="AC2240" s="49"/>
      <c r="AD2240" s="690" t="s">
        <v>297</v>
      </c>
      <c r="AE2240" s="691"/>
      <c r="AF2240" s="692"/>
      <c r="AG2240" s="49"/>
      <c r="AH2240" s="87"/>
      <c r="AI2240" s="87"/>
    </row>
    <row r="2241" spans="1:35" ht="72" hidden="1">
      <c r="A2241" s="44"/>
      <c r="B2241" s="710"/>
      <c r="C2241" s="553" t="s">
        <v>68</v>
      </c>
      <c r="D2241" s="73" t="s">
        <v>3</v>
      </c>
      <c r="E2241" s="73" t="s">
        <v>19</v>
      </c>
      <c r="F2241" s="73" t="s">
        <v>69</v>
      </c>
      <c r="G2241" s="74" t="s">
        <v>70</v>
      </c>
      <c r="H2241" s="700"/>
      <c r="I2241" s="700"/>
      <c r="J2241" s="700"/>
      <c r="K2241" s="700"/>
      <c r="L2241" s="700"/>
      <c r="M2241" s="744"/>
      <c r="N2241" s="700"/>
      <c r="O2241" s="553" t="s">
        <v>279</v>
      </c>
      <c r="P2241" s="73" t="s">
        <v>88</v>
      </c>
      <c r="Q2241" s="555" t="s">
        <v>76</v>
      </c>
      <c r="R2241" s="734"/>
      <c r="S2241" s="735"/>
      <c r="T2241" s="736"/>
      <c r="U2241" s="712"/>
      <c r="W2241" s="429" t="s">
        <v>269</v>
      </c>
      <c r="X2241" s="457" t="s">
        <v>278</v>
      </c>
      <c r="Y2241" s="430" t="s">
        <v>324</v>
      </c>
      <c r="Z2241" s="428"/>
      <c r="AA2241" s="698"/>
      <c r="AB2241" s="696"/>
      <c r="AC2241" s="49"/>
      <c r="AD2241" s="429" t="s">
        <v>292</v>
      </c>
      <c r="AE2241" s="431" t="s">
        <v>300</v>
      </c>
      <c r="AF2241" s="468" t="s">
        <v>301</v>
      </c>
      <c r="AG2241" s="49"/>
      <c r="AH2241" s="87"/>
      <c r="AI2241" s="87"/>
    </row>
    <row r="2242" spans="1:35" hidden="1">
      <c r="A2242" s="44"/>
      <c r="B2242" s="76"/>
      <c r="C2242" s="77"/>
      <c r="D2242" s="77"/>
      <c r="E2242" s="77"/>
      <c r="F2242" s="77"/>
      <c r="G2242" s="77"/>
      <c r="H2242" s="77"/>
      <c r="I2242" s="77"/>
      <c r="J2242" s="77"/>
      <c r="K2242" s="77"/>
      <c r="L2242" s="77"/>
      <c r="M2242" s="77"/>
      <c r="N2242" s="77"/>
      <c r="O2242" s="77"/>
      <c r="P2242" s="77"/>
      <c r="Q2242" s="77"/>
      <c r="R2242" s="77"/>
      <c r="S2242" s="78"/>
      <c r="T2242" s="79"/>
      <c r="U2242" s="109"/>
      <c r="V2242" s="49"/>
      <c r="W2242" s="432"/>
      <c r="X2242" s="454"/>
      <c r="Y2242" s="433"/>
      <c r="Z2242" s="6"/>
      <c r="AA2242" s="500"/>
      <c r="AB2242" s="562"/>
      <c r="AC2242" s="49"/>
      <c r="AD2242" s="210"/>
      <c r="AE2242" s="434"/>
      <c r="AF2242" s="435"/>
      <c r="AG2242" s="49"/>
      <c r="AH2242" s="87"/>
      <c r="AI2242" s="87"/>
    </row>
    <row r="2243" spans="1:35" hidden="1">
      <c r="A2243" s="80" t="e">
        <f>"A"&amp;E2239</f>
        <v>#N/A</v>
      </c>
      <c r="B2243" s="81">
        <v>1</v>
      </c>
      <c r="C2243" s="82"/>
      <c r="D2243" s="82"/>
      <c r="E2243" s="82"/>
      <c r="F2243" s="82"/>
      <c r="G2243" s="83"/>
      <c r="H2243" s="83"/>
      <c r="I2243" s="84"/>
      <c r="J2243" s="85"/>
      <c r="K2243" s="382"/>
      <c r="L2243" s="85"/>
      <c r="M2243" s="332" t="str">
        <f t="shared" ref="M2243:M2252" si="655">IF(OR(J2243="",L2243="",H2243="NO"),"",IF(OR(J2243&gt;$P$17,J2243&lt;$O$17,L2243&gt;$P$17,AND(J2243&lt;$O$17,L2243&lt;$O$17)),"FUERA DE RANGO",IF(OR(K2243="---",K2243=""),IF(J2243&gt;=$O$17,ROUND((L2243-J2243+1)/360*12,3),ROUND((L2243-$O$17+1)/360*12,3)),IF(J2243&gt;=$O$17,ROUND((L2243-J2243+1)/360*12-ROUND(K2243,3),3),ROUND((L2243-$O$17+1)/360*12-ROUND(K2243,3),3)))))</f>
        <v/>
      </c>
      <c r="N2243" s="86"/>
      <c r="O2243" s="453" t="str">
        <f>IF(OR(G2243="",N2243=""),"",N2243*G2243)</f>
        <v/>
      </c>
      <c r="P2243" s="538" t="str">
        <f>IF(OR(H2243="",M2243="FUERA DE RANGO"),"",IF(OR(L2243&lt;$O$17,L2243&gt;$P$17,L2243="",H2243="NO"),"",IF(OR(N2243="",O2243=""),"",ROUND(O2243,3))))</f>
        <v/>
      </c>
      <c r="Q2243" s="539" t="str">
        <f t="shared" ref="Q2243:Q2252" si="656">IF(AND(H2243="SI",P2243&lt;&gt;""),ROUND(P2243/M2243,3),"")</f>
        <v/>
      </c>
      <c r="R2243" s="737"/>
      <c r="S2243" s="738"/>
      <c r="T2243" s="739"/>
      <c r="U2243" s="470"/>
      <c r="V2243" s="165"/>
      <c r="W2243" s="446"/>
      <c r="X2243" s="456"/>
      <c r="Y2243" s="436"/>
      <c r="Z2243" s="437"/>
      <c r="AA2243" s="560"/>
      <c r="AB2243" s="561"/>
      <c r="AC2243" s="87"/>
      <c r="AD2243" s="466"/>
      <c r="AE2243" s="456"/>
      <c r="AF2243" s="467"/>
      <c r="AG2243" s="87"/>
      <c r="AH2243" s="87"/>
      <c r="AI2243" s="87"/>
    </row>
    <row r="2244" spans="1:35" hidden="1">
      <c r="A2244" s="80" t="e">
        <f>"B"&amp;E2239</f>
        <v>#N/A</v>
      </c>
      <c r="B2244" s="81">
        <v>2</v>
      </c>
      <c r="C2244" s="106"/>
      <c r="D2244" s="106"/>
      <c r="E2244" s="106"/>
      <c r="F2244" s="106"/>
      <c r="G2244" s="83"/>
      <c r="H2244" s="83"/>
      <c r="I2244" s="84"/>
      <c r="J2244" s="85"/>
      <c r="K2244" s="382"/>
      <c r="L2244" s="85"/>
      <c r="M2244" s="332" t="str">
        <f t="shared" si="655"/>
        <v/>
      </c>
      <c r="N2244" s="86"/>
      <c r="O2244" s="453" t="str">
        <f t="shared" ref="O2244:O2252" si="657">IF(OR(G2244="",N2244=""),"",N2244*G2244)</f>
        <v/>
      </c>
      <c r="P2244" s="538" t="str">
        <f t="shared" ref="P2244:P2252" si="658">IF(OR(H2244="",M2244="FUERA DE RANGO"),"",IF(OR(L2244&lt;$O$17,L2244&gt;$P$17,L2244="",H2244="NO"),"",IF(OR(N2244="",O2244=""),"",ROUND(O2244,3))))</f>
        <v/>
      </c>
      <c r="Q2244" s="539" t="str">
        <f t="shared" si="656"/>
        <v/>
      </c>
      <c r="R2244" s="740"/>
      <c r="S2244" s="741"/>
      <c r="T2244" s="742"/>
      <c r="U2244" s="471"/>
      <c r="V2244" s="165"/>
      <c r="W2244" s="446"/>
      <c r="X2244" s="456"/>
      <c r="Y2244" s="436"/>
      <c r="Z2244" s="437"/>
      <c r="AA2244" s="560"/>
      <c r="AB2244" s="561"/>
      <c r="AC2244" s="87"/>
      <c r="AD2244" s="466"/>
      <c r="AE2244" s="456"/>
      <c r="AF2244" s="467"/>
      <c r="AG2244" s="87"/>
      <c r="AH2244" s="87"/>
      <c r="AI2244" s="87"/>
    </row>
    <row r="2245" spans="1:35" hidden="1">
      <c r="A2245" s="80" t="e">
        <f>"C"&amp;E2239</f>
        <v>#N/A</v>
      </c>
      <c r="B2245" s="88">
        <v>3</v>
      </c>
      <c r="C2245" s="82"/>
      <c r="D2245" s="82"/>
      <c r="E2245" s="82"/>
      <c r="F2245" s="82"/>
      <c r="G2245" s="83"/>
      <c r="H2245" s="83"/>
      <c r="I2245" s="84"/>
      <c r="J2245" s="85"/>
      <c r="K2245" s="382"/>
      <c r="L2245" s="85"/>
      <c r="M2245" s="332" t="str">
        <f t="shared" si="655"/>
        <v/>
      </c>
      <c r="N2245" s="86"/>
      <c r="O2245" s="453" t="str">
        <f t="shared" si="657"/>
        <v/>
      </c>
      <c r="P2245" s="538" t="str">
        <f t="shared" si="658"/>
        <v/>
      </c>
      <c r="Q2245" s="539" t="str">
        <f t="shared" si="656"/>
        <v/>
      </c>
      <c r="R2245" s="706"/>
      <c r="S2245" s="707"/>
      <c r="T2245" s="708"/>
      <c r="U2245" s="472"/>
      <c r="V2245" s="166"/>
      <c r="W2245" s="446"/>
      <c r="X2245" s="456"/>
      <c r="Y2245" s="436"/>
      <c r="Z2245" s="437"/>
      <c r="AA2245" s="560"/>
      <c r="AB2245" s="561"/>
      <c r="AC2245" s="87"/>
      <c r="AD2245" s="466"/>
      <c r="AE2245" s="456"/>
      <c r="AF2245" s="467"/>
      <c r="AG2245" s="87"/>
      <c r="AH2245" s="87"/>
      <c r="AI2245" s="87"/>
    </row>
    <row r="2246" spans="1:35" hidden="1">
      <c r="A2246" s="80" t="e">
        <f>"D"&amp;E2239</f>
        <v>#N/A</v>
      </c>
      <c r="B2246" s="105">
        <v>4</v>
      </c>
      <c r="C2246" s="107"/>
      <c r="D2246" s="107"/>
      <c r="E2246" s="107"/>
      <c r="F2246" s="107"/>
      <c r="G2246" s="83"/>
      <c r="H2246" s="83"/>
      <c r="I2246" s="84"/>
      <c r="J2246" s="85"/>
      <c r="K2246" s="382"/>
      <c r="L2246" s="85"/>
      <c r="M2246" s="332" t="str">
        <f t="shared" si="655"/>
        <v/>
      </c>
      <c r="N2246" s="86"/>
      <c r="O2246" s="453" t="str">
        <f t="shared" si="657"/>
        <v/>
      </c>
      <c r="P2246" s="538" t="str">
        <f t="shared" si="658"/>
        <v/>
      </c>
      <c r="Q2246" s="539" t="str">
        <f t="shared" si="656"/>
        <v/>
      </c>
      <c r="R2246" s="706"/>
      <c r="S2246" s="707"/>
      <c r="T2246" s="708"/>
      <c r="U2246" s="472"/>
      <c r="V2246" s="166"/>
      <c r="W2246" s="446"/>
      <c r="X2246" s="456"/>
      <c r="Y2246" s="436"/>
      <c r="Z2246" s="437"/>
      <c r="AA2246" s="560"/>
      <c r="AB2246" s="561"/>
      <c r="AC2246" s="87"/>
      <c r="AD2246" s="466"/>
      <c r="AE2246" s="456"/>
      <c r="AF2246" s="467"/>
      <c r="AG2246" s="87"/>
      <c r="AH2246" s="87"/>
      <c r="AI2246" s="87"/>
    </row>
    <row r="2247" spans="1:35" hidden="1">
      <c r="A2247" s="80" t="e">
        <f>"E"&amp;E2239</f>
        <v>#N/A</v>
      </c>
      <c r="B2247" s="105">
        <v>5</v>
      </c>
      <c r="C2247" s="107"/>
      <c r="D2247" s="107"/>
      <c r="E2247" s="107"/>
      <c r="F2247" s="107"/>
      <c r="G2247" s="83"/>
      <c r="H2247" s="83"/>
      <c r="I2247" s="84"/>
      <c r="J2247" s="85"/>
      <c r="K2247" s="382"/>
      <c r="L2247" s="85"/>
      <c r="M2247" s="332" t="str">
        <f t="shared" si="655"/>
        <v/>
      </c>
      <c r="N2247" s="86"/>
      <c r="O2247" s="453" t="str">
        <f t="shared" si="657"/>
        <v/>
      </c>
      <c r="P2247" s="538" t="str">
        <f t="shared" si="658"/>
        <v/>
      </c>
      <c r="Q2247" s="539" t="str">
        <f t="shared" si="656"/>
        <v/>
      </c>
      <c r="R2247" s="706"/>
      <c r="S2247" s="707"/>
      <c r="T2247" s="708"/>
      <c r="U2247" s="472"/>
      <c r="V2247" s="167"/>
      <c r="W2247" s="446"/>
      <c r="X2247" s="456"/>
      <c r="Y2247" s="436"/>
      <c r="Z2247" s="437"/>
      <c r="AA2247" s="560"/>
      <c r="AB2247" s="561"/>
      <c r="AC2247" s="87"/>
      <c r="AD2247" s="466"/>
      <c r="AE2247" s="456"/>
      <c r="AF2247" s="467"/>
      <c r="AG2247" s="87"/>
      <c r="AH2247" s="87"/>
      <c r="AI2247" s="87"/>
    </row>
    <row r="2248" spans="1:35" hidden="1">
      <c r="A2248" s="80" t="e">
        <f>"F"&amp;E2239</f>
        <v>#N/A</v>
      </c>
      <c r="B2248" s="105">
        <v>6</v>
      </c>
      <c r="C2248" s="107"/>
      <c r="D2248" s="107"/>
      <c r="E2248" s="107"/>
      <c r="F2248" s="107"/>
      <c r="G2248" s="83"/>
      <c r="H2248" s="83"/>
      <c r="I2248" s="84"/>
      <c r="J2248" s="85"/>
      <c r="K2248" s="382"/>
      <c r="L2248" s="85"/>
      <c r="M2248" s="332" t="str">
        <f t="shared" si="655"/>
        <v/>
      </c>
      <c r="N2248" s="86"/>
      <c r="O2248" s="453" t="str">
        <f t="shared" si="657"/>
        <v/>
      </c>
      <c r="P2248" s="538" t="str">
        <f t="shared" si="658"/>
        <v/>
      </c>
      <c r="Q2248" s="539" t="str">
        <f t="shared" si="656"/>
        <v/>
      </c>
      <c r="R2248" s="706"/>
      <c r="S2248" s="707"/>
      <c r="T2248" s="708"/>
      <c r="U2248" s="472"/>
      <c r="V2248" s="167"/>
      <c r="W2248" s="446"/>
      <c r="X2248" s="456"/>
      <c r="Y2248" s="436"/>
      <c r="Z2248" s="437"/>
      <c r="AA2248" s="560"/>
      <c r="AB2248" s="561"/>
      <c r="AC2248" s="87"/>
      <c r="AD2248" s="466"/>
      <c r="AE2248" s="456"/>
      <c r="AF2248" s="467"/>
      <c r="AG2248" s="87"/>
      <c r="AH2248" s="87"/>
      <c r="AI2248" s="87"/>
    </row>
    <row r="2249" spans="1:35" hidden="1">
      <c r="A2249" s="80" t="e">
        <f>"G"&amp;E2239</f>
        <v>#N/A</v>
      </c>
      <c r="B2249" s="105">
        <v>7</v>
      </c>
      <c r="C2249" s="107"/>
      <c r="D2249" s="107"/>
      <c r="E2249" s="107"/>
      <c r="F2249" s="107"/>
      <c r="G2249" s="83"/>
      <c r="H2249" s="83"/>
      <c r="I2249" s="84"/>
      <c r="J2249" s="85"/>
      <c r="K2249" s="382"/>
      <c r="L2249" s="85"/>
      <c r="M2249" s="332" t="str">
        <f t="shared" si="655"/>
        <v/>
      </c>
      <c r="N2249" s="86"/>
      <c r="O2249" s="86" t="str">
        <f t="shared" si="657"/>
        <v/>
      </c>
      <c r="P2249" s="538" t="str">
        <f t="shared" si="658"/>
        <v/>
      </c>
      <c r="Q2249" s="539" t="str">
        <f t="shared" si="656"/>
        <v/>
      </c>
      <c r="R2249" s="706"/>
      <c r="S2249" s="707"/>
      <c r="T2249" s="708"/>
      <c r="U2249" s="472"/>
      <c r="V2249" s="167"/>
      <c r="W2249" s="446"/>
      <c r="X2249" s="456"/>
      <c r="Y2249" s="436"/>
      <c r="Z2249" s="437"/>
      <c r="AA2249" s="560"/>
      <c r="AB2249" s="561"/>
      <c r="AC2249" s="87"/>
      <c r="AD2249" s="466"/>
      <c r="AE2249" s="456"/>
      <c r="AF2249" s="467"/>
      <c r="AG2249" s="87"/>
      <c r="AH2249" s="87"/>
      <c r="AI2249" s="87"/>
    </row>
    <row r="2250" spans="1:35" hidden="1">
      <c r="A2250" s="80" t="e">
        <f>"H"&amp;E2239</f>
        <v>#N/A</v>
      </c>
      <c r="B2250" s="105">
        <v>8</v>
      </c>
      <c r="C2250" s="107"/>
      <c r="D2250" s="107"/>
      <c r="E2250" s="107"/>
      <c r="F2250" s="107"/>
      <c r="G2250" s="83"/>
      <c r="H2250" s="83"/>
      <c r="I2250" s="84"/>
      <c r="J2250" s="85"/>
      <c r="K2250" s="382"/>
      <c r="L2250" s="85"/>
      <c r="M2250" s="332" t="str">
        <f t="shared" si="655"/>
        <v/>
      </c>
      <c r="N2250" s="453"/>
      <c r="O2250" s="86" t="str">
        <f t="shared" si="657"/>
        <v/>
      </c>
      <c r="P2250" s="538" t="str">
        <f t="shared" si="658"/>
        <v/>
      </c>
      <c r="Q2250" s="539" t="str">
        <f t="shared" si="656"/>
        <v/>
      </c>
      <c r="R2250" s="706"/>
      <c r="S2250" s="707"/>
      <c r="T2250" s="708"/>
      <c r="U2250" s="472"/>
      <c r="V2250" s="167"/>
      <c r="W2250" s="446"/>
      <c r="X2250" s="456"/>
      <c r="Y2250" s="436"/>
      <c r="Z2250" s="437"/>
      <c r="AA2250" s="560"/>
      <c r="AB2250" s="561"/>
      <c r="AC2250" s="87"/>
      <c r="AD2250" s="466"/>
      <c r="AE2250" s="456"/>
      <c r="AF2250" s="467"/>
      <c r="AG2250" s="87"/>
      <c r="AH2250" s="87"/>
      <c r="AI2250" s="87"/>
    </row>
    <row r="2251" spans="1:35" hidden="1">
      <c r="A2251" s="80" t="e">
        <f>"I"&amp;E2239</f>
        <v>#N/A</v>
      </c>
      <c r="B2251" s="105">
        <v>9</v>
      </c>
      <c r="C2251" s="107"/>
      <c r="D2251" s="107"/>
      <c r="E2251" s="107"/>
      <c r="F2251" s="107"/>
      <c r="G2251" s="83"/>
      <c r="H2251" s="83"/>
      <c r="I2251" s="84"/>
      <c r="J2251" s="85"/>
      <c r="K2251" s="382"/>
      <c r="L2251" s="85"/>
      <c r="M2251" s="332" t="str">
        <f t="shared" si="655"/>
        <v/>
      </c>
      <c r="N2251" s="453"/>
      <c r="O2251" s="86" t="str">
        <f t="shared" si="657"/>
        <v/>
      </c>
      <c r="P2251" s="538" t="str">
        <f t="shared" si="658"/>
        <v/>
      </c>
      <c r="Q2251" s="539" t="str">
        <f t="shared" si="656"/>
        <v/>
      </c>
      <c r="R2251" s="706"/>
      <c r="S2251" s="707"/>
      <c r="T2251" s="708"/>
      <c r="U2251" s="472"/>
      <c r="V2251" s="167"/>
      <c r="W2251" s="446"/>
      <c r="X2251" s="456"/>
      <c r="Y2251" s="436"/>
      <c r="Z2251" s="437"/>
      <c r="AA2251" s="560"/>
      <c r="AB2251" s="561"/>
      <c r="AC2251" s="87"/>
      <c r="AD2251" s="466"/>
      <c r="AE2251" s="456"/>
      <c r="AF2251" s="467"/>
      <c r="AG2251" s="87"/>
      <c r="AH2251" s="87"/>
      <c r="AI2251" s="87"/>
    </row>
    <row r="2252" spans="1:35" hidden="1">
      <c r="A2252" s="80" t="e">
        <f>"J"&amp;E2239</f>
        <v>#N/A</v>
      </c>
      <c r="B2252" s="105">
        <v>10</v>
      </c>
      <c r="C2252" s="107"/>
      <c r="D2252" s="107"/>
      <c r="E2252" s="107"/>
      <c r="F2252" s="107"/>
      <c r="G2252" s="83"/>
      <c r="H2252" s="83"/>
      <c r="I2252" s="84"/>
      <c r="J2252" s="85"/>
      <c r="K2252" s="382"/>
      <c r="L2252" s="85"/>
      <c r="M2252" s="332" t="str">
        <f t="shared" si="655"/>
        <v/>
      </c>
      <c r="N2252" s="453"/>
      <c r="O2252" s="86" t="str">
        <f t="shared" si="657"/>
        <v/>
      </c>
      <c r="P2252" s="538" t="str">
        <f t="shared" si="658"/>
        <v/>
      </c>
      <c r="Q2252" s="539" t="str">
        <f t="shared" si="656"/>
        <v/>
      </c>
      <c r="R2252" s="706"/>
      <c r="S2252" s="707"/>
      <c r="T2252" s="708"/>
      <c r="U2252" s="472"/>
      <c r="V2252" s="167"/>
      <c r="W2252" s="446"/>
      <c r="X2252" s="456"/>
      <c r="Y2252" s="436"/>
      <c r="Z2252" s="437"/>
      <c r="AA2252" s="560"/>
      <c r="AB2252" s="561"/>
      <c r="AC2252" s="87"/>
      <c r="AD2252" s="466"/>
      <c r="AE2252" s="456"/>
      <c r="AF2252" s="467"/>
      <c r="AG2252" s="87"/>
      <c r="AH2252" s="87"/>
      <c r="AI2252" s="87"/>
    </row>
    <row r="2253" spans="1:35" ht="16.5" hidden="1" thickBot="1">
      <c r="A2253" s="44"/>
      <c r="B2253" s="89"/>
      <c r="C2253" s="90"/>
      <c r="D2253" s="90"/>
      <c r="E2253" s="90"/>
      <c r="F2253" s="90"/>
      <c r="G2253" s="90"/>
      <c r="H2253" s="90"/>
      <c r="I2253" s="90"/>
      <c r="J2253" s="90"/>
      <c r="K2253" s="90"/>
      <c r="L2253" s="90"/>
      <c r="M2253" s="90"/>
      <c r="N2253" s="90"/>
      <c r="O2253" s="90"/>
      <c r="P2253" s="90"/>
      <c r="Q2253" s="90"/>
      <c r="R2253" s="90"/>
      <c r="S2253" s="91"/>
      <c r="T2253" s="92"/>
      <c r="U2253" s="473"/>
      <c r="W2253" s="438"/>
      <c r="X2253" s="455"/>
      <c r="Y2253" s="439"/>
      <c r="Z2253" s="437"/>
      <c r="AA2253" s="530"/>
      <c r="AB2253" s="563"/>
      <c r="AC2253" s="87"/>
      <c r="AD2253" s="440"/>
      <c r="AE2253" s="441"/>
      <c r="AF2253" s="442"/>
      <c r="AG2253" s="49"/>
      <c r="AH2253" s="87"/>
      <c r="AI2253" s="87"/>
    </row>
    <row r="2254" spans="1:35" ht="16.5" hidden="1" thickBot="1">
      <c r="A2254" s="93"/>
      <c r="B2254" s="94"/>
      <c r="C2254" s="96"/>
      <c r="D2254" s="96"/>
      <c r="E2254" s="96"/>
      <c r="F2254" s="96"/>
      <c r="G2254" s="96"/>
      <c r="H2254" s="96"/>
      <c r="I2254" s="96"/>
      <c r="J2254" s="96"/>
      <c r="K2254" s="96"/>
      <c r="L2254" s="96"/>
      <c r="M2254" s="136"/>
      <c r="N2254" s="96"/>
      <c r="O2254" s="96"/>
      <c r="P2254" s="97"/>
      <c r="Q2254" s="97"/>
      <c r="R2254" s="98"/>
      <c r="S2254" s="95"/>
      <c r="T2254" s="99"/>
      <c r="U2254" s="469"/>
      <c r="AC2254" s="58"/>
      <c r="AG2254" s="58"/>
      <c r="AH2254" s="87"/>
      <c r="AI2254" s="87"/>
    </row>
    <row r="2255" spans="1:35" ht="16.5" hidden="1" thickBot="1">
      <c r="B2255" s="101"/>
      <c r="C2255" s="101"/>
      <c r="D2255" s="101"/>
      <c r="E2255" s="101"/>
      <c r="F2255" s="101"/>
      <c r="G2255" s="101"/>
      <c r="H2255" s="101"/>
      <c r="I2255" s="101"/>
      <c r="J2255" s="101"/>
      <c r="K2255" s="101"/>
      <c r="L2255" s="101"/>
      <c r="M2255" s="101"/>
      <c r="N2255" s="101"/>
      <c r="O2255" s="101"/>
      <c r="P2255" s="101"/>
      <c r="Q2255" s="101"/>
      <c r="R2255" s="101"/>
      <c r="S2255" s="101"/>
      <c r="U2255" s="50"/>
      <c r="AH2255" s="87"/>
      <c r="AI2255" s="87"/>
    </row>
    <row r="2256" spans="1:35" ht="16.5" hidden="1" customHeight="1" thickBot="1">
      <c r="A2256" s="44"/>
      <c r="B2256" s="705" t="s">
        <v>74</v>
      </c>
      <c r="C2256" s="705"/>
      <c r="D2256" s="705"/>
      <c r="E2256" s="705"/>
      <c r="F2256" s="705"/>
      <c r="G2256" s="705"/>
      <c r="H2256" s="705"/>
      <c r="I2256" s="705"/>
      <c r="J2256" s="705"/>
      <c r="K2256" s="705"/>
      <c r="L2256" s="705"/>
      <c r="M2256" s="705"/>
      <c r="N2256" s="705"/>
      <c r="O2256" s="705"/>
      <c r="P2256" s="705"/>
      <c r="Q2256" s="705"/>
      <c r="R2256" s="705"/>
      <c r="S2256" s="705"/>
      <c r="T2256" s="705"/>
      <c r="U2256" s="108"/>
      <c r="Y2256" s="532" t="s">
        <v>341</v>
      </c>
      <c r="AC2256" s="49"/>
      <c r="AD2256" s="687" t="s">
        <v>302</v>
      </c>
      <c r="AE2256" s="688"/>
      <c r="AF2256" s="689"/>
      <c r="AG2256" s="49"/>
      <c r="AH2256" s="87"/>
      <c r="AI2256" s="87"/>
    </row>
    <row r="2257" spans="1:35" ht="15.75" hidden="1" customHeight="1" thickBot="1">
      <c r="A2257" s="218" t="e">
        <f>"K"&amp;E2239</f>
        <v>#N/A</v>
      </c>
      <c r="B2257" s="701" t="s">
        <v>71</v>
      </c>
      <c r="C2257" s="751" t="s">
        <v>102</v>
      </c>
      <c r="D2257" s="751"/>
      <c r="E2257" s="751"/>
      <c r="F2257" s="751"/>
      <c r="G2257" s="751"/>
      <c r="H2257" s="751"/>
      <c r="I2257" s="751"/>
      <c r="J2257" s="751"/>
      <c r="K2257" s="751"/>
      <c r="L2257" s="722" t="s">
        <v>100</v>
      </c>
      <c r="M2257" s="747" t="s">
        <v>114</v>
      </c>
      <c r="N2257" s="747"/>
      <c r="O2257" s="747"/>
      <c r="P2257" s="747"/>
      <c r="Q2257" s="748"/>
      <c r="R2257" s="758" t="s">
        <v>280</v>
      </c>
      <c r="S2257" s="748"/>
      <c r="T2257" s="762" t="str">
        <f>IF(COUNTIF(AE2257:AF2257,"VERIFICAR")&gt;0,"VERIFICAR",IF(COUNTIF(AE2257:AF2257,"NO CUMPLE")&gt;0,"NO CUMPLE","CUMPLE"))</f>
        <v>VERIFICAR</v>
      </c>
      <c r="U2257" s="108"/>
      <c r="Y2257" s="533" t="e">
        <f>IF(F2258="","",IF(F2258=1,"INDIVIDUAL","ESTRUCTURA PLURAL"))</f>
        <v>#N/A</v>
      </c>
      <c r="AC2257" s="52"/>
      <c r="AD2257" s="475" t="s">
        <v>303</v>
      </c>
      <c r="AE2257" s="476" t="str">
        <f>IF(COUNTIF(AE2243:AE2252,"")=10,"VERIFICAR",IF(COUNTIF(AE2243:AE2252,"SI")&gt;0,"CUMPLE","NO CUMPLE"))</f>
        <v>VERIFICAR</v>
      </c>
      <c r="AF2257" s="477" t="str">
        <f>IF(COUNTIF(AF2243:AF2252,"")=10,"VERIFICAR",IF(COUNTIF(AF2243:AF2252,"SI")&gt;=$AI$22,"CUMPLE","NO CUMPLE"))</f>
        <v>VERIFICAR</v>
      </c>
      <c r="AG2257" s="52"/>
      <c r="AH2257" s="87"/>
      <c r="AI2257" s="87"/>
    </row>
    <row r="2258" spans="1:35" ht="16.5" hidden="1" customHeight="1" thickBot="1">
      <c r="A2258" s="218" t="e">
        <f>"L"&amp;E2239</f>
        <v>#N/A</v>
      </c>
      <c r="B2258" s="702"/>
      <c r="C2258" s="751" t="s">
        <v>103</v>
      </c>
      <c r="D2258" s="751"/>
      <c r="E2258" s="752"/>
      <c r="F2258" s="557" t="e">
        <f>IF(VLOOKUP(E2239,PROPONENTES!$C$19:$E$218,3,0)="","",VLOOKUP(E2239,PROPONENTES!$C$19:$E$218,3,0))</f>
        <v>#N/A</v>
      </c>
      <c r="G2258" s="753" t="s">
        <v>104</v>
      </c>
      <c r="H2258" s="751"/>
      <c r="I2258" s="715" t="e">
        <f>IF(OR(F2258="",F2258=1),"INTERESADO PERSONA NATURAL O JURIDICA","CONSORCIO O UNION TEMPORAL")</f>
        <v>#N/A</v>
      </c>
      <c r="J2258" s="725"/>
      <c r="K2258" s="728"/>
      <c r="L2258" s="723"/>
      <c r="M2258" s="749"/>
      <c r="N2258" s="749"/>
      <c r="O2258" s="749"/>
      <c r="P2258" s="749"/>
      <c r="Q2258" s="750"/>
      <c r="R2258" s="712"/>
      <c r="S2258" s="750"/>
      <c r="T2258" s="763"/>
      <c r="U2258" s="108"/>
      <c r="Y2258" s="534"/>
      <c r="AA2258" s="52"/>
      <c r="AB2258" s="52"/>
      <c r="AC2258" s="52"/>
      <c r="AG2258" s="52"/>
      <c r="AH2258" s="87"/>
      <c r="AI2258" s="87"/>
    </row>
    <row r="2259" spans="1:35" ht="56.25" hidden="1" customHeight="1" thickBot="1">
      <c r="A2259" s="218" t="e">
        <f>"M"&amp;E2239</f>
        <v>#N/A</v>
      </c>
      <c r="B2259" s="702"/>
      <c r="C2259" s="725" t="s">
        <v>101</v>
      </c>
      <c r="D2259" s="716"/>
      <c r="E2259" s="558" t="s">
        <v>105</v>
      </c>
      <c r="F2259" s="554" t="s">
        <v>87</v>
      </c>
      <c r="G2259" s="553" t="s">
        <v>86</v>
      </c>
      <c r="H2259" s="559" t="s">
        <v>85</v>
      </c>
      <c r="I2259" s="554" t="s">
        <v>252</v>
      </c>
      <c r="J2259" s="553" t="str">
        <f>"¿EL INTEGRANTE TIENE UNA PARTICIPACIÓN DEL "&amp;PORCREQUERIDOINT*100&amp;"%?"</f>
        <v>¿EL INTEGRANTE TIENE UNA PARTICIPACIÓN DEL 60%?</v>
      </c>
      <c r="K2259" s="554" t="s">
        <v>107</v>
      </c>
      <c r="L2259" s="724"/>
      <c r="M2259" s="717" t="s">
        <v>115</v>
      </c>
      <c r="N2259" s="718"/>
      <c r="O2259" s="718"/>
      <c r="P2259" s="718"/>
      <c r="Q2259" s="223">
        <f>IF(AND(H2243="SI",P2243&gt;=0),1,0)+IF(AND(H2244="SI",P2244&gt;=0),1,0)+IF(AND(H2245="SI",P2245&gt;=0),1,0)+IF(AND(H2246="SI",P2246&gt;=0),1,0)+IF(AND(H2247="SI",P2247&gt;=0),1,0)+IF(AND(H2248="SI",P2248&gt;=0),1,0)+IF(AND(H2249="SI",P2249&gt;=0),1,0)+IF(AND(H2250="SI",P2250&gt;=0),1,0)+IF(AND(H2251="SI",P2251&gt;=0),1,0)+IF(AND(H2252="SI",P2252&gt;=0),1,0)</f>
        <v>0</v>
      </c>
      <c r="R2259" s="759"/>
      <c r="S2259" s="761"/>
      <c r="T2259" s="764"/>
      <c r="U2259" s="219"/>
      <c r="V2259" s="464"/>
      <c r="Y2259" s="532" t="s">
        <v>342</v>
      </c>
      <c r="AA2259" s="550" t="s">
        <v>344</v>
      </c>
      <c r="AB2259" s="693" t="s">
        <v>345</v>
      </c>
      <c r="AC2259" s="693" t="s">
        <v>346</v>
      </c>
      <c r="AD2259" s="685" t="s">
        <v>347</v>
      </c>
      <c r="AE2259" s="52"/>
      <c r="AF2259" s="52"/>
      <c r="AG2259" s="52"/>
      <c r="AH2259" s="87"/>
      <c r="AI2259" s="87"/>
    </row>
    <row r="2260" spans="1:35" ht="15.75" hidden="1" customHeight="1" thickBot="1">
      <c r="A2260" s="218" t="e">
        <f>"N"&amp;E2239</f>
        <v>#N/A</v>
      </c>
      <c r="B2260" s="702"/>
      <c r="C2260" s="114">
        <v>1</v>
      </c>
      <c r="D2260" s="194" t="e">
        <f>IF(AND(C2260&lt;=F2258,F2258&gt;1,F2258&lt;&gt;""),VLOOKUP(VALUE(E2239&amp;","&amp;C2260),INTEGRANTES!$D$18:$F$235,2,0),"")</f>
        <v>#N/A</v>
      </c>
      <c r="E2260" s="211" t="e">
        <f>IF(D2260&lt;&gt;"",VLOOKUP(VALUE(E2239&amp;","&amp;C2260),INTEGRANTES!$D$18:$F$235,3,0),"")</f>
        <v>#N/A</v>
      </c>
      <c r="F2260" s="547" t="e">
        <f>IF(D2260="","",SUMIF($I2243:$I2252,D2260,$P2243:$P2252))</f>
        <v>#N/A</v>
      </c>
      <c r="G2260" s="333" t="e">
        <f>IF(D2260="","",SUMIF($I2243:$I2252,D2260,$M2243:$M2252))</f>
        <v>#N/A</v>
      </c>
      <c r="H2260" s="535" t="e">
        <f t="shared" ref="H2260:H2265" si="659">IF(D2260="","",IF(OR(F2260=0,G2260=0),"NO APORTA",ROUND($F2260/$G2260,3)))</f>
        <v>#N/A</v>
      </c>
      <c r="I2260" s="212" t="e">
        <f>IF(D2260="","",IF(H2260="NO APORTA","NO",IF(H2260=MAX($H2260:$H2265),"SI","NO")))</f>
        <v>#N/A</v>
      </c>
      <c r="J2260" s="213" t="e">
        <f t="shared" ref="J2260:J2265" si="660">IF(D2260="","",IF(E2260&gt;=PORCREQUERIDOINT,"SI","NO"))</f>
        <v>#N/A</v>
      </c>
      <c r="K2260" s="200" t="e">
        <f t="shared" ref="K2260:K2265" si="661">IF(D2260="","",IF(AND(I2260="SI",J2260="SI"),"CUMPLE",IF(AND(I2260="NO",OR(J2260="SI",J2260="NO")),"","NO CUMPLE")))</f>
        <v>#N/A</v>
      </c>
      <c r="L2260" s="722" t="s">
        <v>108</v>
      </c>
      <c r="M2260" s="726" t="s">
        <v>119</v>
      </c>
      <c r="N2260" s="726"/>
      <c r="O2260" s="726"/>
      <c r="P2260" s="726"/>
      <c r="Q2260" s="727"/>
      <c r="R2260" s="758" t="s">
        <v>80</v>
      </c>
      <c r="S2260" s="747"/>
      <c r="T2260" s="748"/>
      <c r="U2260" s="219"/>
      <c r="V2260" s="464"/>
      <c r="Y2260" s="533" t="e">
        <f>IF(Y2257="","",IF(Y2257="INDIVIDUAL","NO APLICA","VERIFICAR CUADRO"))</f>
        <v>#N/A</v>
      </c>
      <c r="AA2260" s="551"/>
      <c r="AB2260" s="694"/>
      <c r="AC2260" s="694"/>
      <c r="AD2260" s="686"/>
      <c r="AE2260" s="52"/>
      <c r="AF2260" s="52"/>
      <c r="AG2260" s="52"/>
      <c r="AH2260" s="87"/>
      <c r="AI2260" s="87"/>
    </row>
    <row r="2261" spans="1:35" ht="27" hidden="1" customHeight="1" thickBot="1">
      <c r="A2261" s="218" t="e">
        <f>"O"&amp;E2239</f>
        <v>#N/A</v>
      </c>
      <c r="B2261" s="702"/>
      <c r="C2261" s="114">
        <v>2</v>
      </c>
      <c r="D2261" s="194" t="e">
        <f>IF(AND(C2261&lt;=F2258,F2258&lt;&gt;""),VLOOKUP(VALUE(E2239&amp;","&amp;C2261),INTEGRANTES!$D$18:$F$235,2,0),"")</f>
        <v>#N/A</v>
      </c>
      <c r="E2261" s="211" t="e">
        <f>IF(D2261&lt;&gt;"",VLOOKUP(VALUE(E2239&amp;","&amp;C2261),INTEGRANTES!$D$18:$F$235,3,0),"")</f>
        <v>#N/A</v>
      </c>
      <c r="F2261" s="547" t="e">
        <f>IF(D2261="","",SUMIF($I2243:$I2252,D2261,$P2243:$P2252))</f>
        <v>#N/A</v>
      </c>
      <c r="G2261" s="333" t="e">
        <f>IF(D2261="","",SUMIF($I2243:$I2252,D2261,$M2243:$M2252))</f>
        <v>#N/A</v>
      </c>
      <c r="H2261" s="535" t="e">
        <f t="shared" si="659"/>
        <v>#N/A</v>
      </c>
      <c r="I2261" s="212" t="e">
        <f>IF(D2261="","",IF(H2261="NO APORTA","NO",IF(H2261=MAX($H2260:$H2265),"SI","NO")))</f>
        <v>#N/A</v>
      </c>
      <c r="J2261" s="213" t="e">
        <f t="shared" si="660"/>
        <v>#N/A</v>
      </c>
      <c r="K2261" s="200" t="e">
        <f t="shared" si="661"/>
        <v>#N/A</v>
      </c>
      <c r="L2261" s="723"/>
      <c r="M2261" s="715" t="s">
        <v>116</v>
      </c>
      <c r="N2261" s="716"/>
      <c r="O2261" s="556" t="s">
        <v>113</v>
      </c>
      <c r="P2261" s="715" t="s">
        <v>117</v>
      </c>
      <c r="Q2261" s="728"/>
      <c r="R2261" s="759"/>
      <c r="S2261" s="760"/>
      <c r="T2261" s="761"/>
      <c r="U2261" s="219"/>
      <c r="V2261" s="464"/>
      <c r="Y2261" s="414"/>
      <c r="AA2261" s="542" t="e">
        <f>IF(AND(C2260&lt;=F2258,F2258&gt;1,F2258&lt;&gt;""),VLOOKUP(VALUE(E2239&amp;","&amp;C2260),INTEGRANTES!$D$18:$F$235,2,0),"")</f>
        <v>#N/A</v>
      </c>
      <c r="AB2261" s="544" t="e">
        <f t="shared" ref="AB2261:AB2266" si="662">IF(D2260="","",IF(OR(F2260=0,G2260=0),"NO APORTA",ROUND($F2260/$G2260,3)))</f>
        <v>#N/A</v>
      </c>
      <c r="AC2261" s="529"/>
      <c r="AD2261" s="200" t="e">
        <f t="shared" ref="AD2261:AD2266" si="663">IF(OR(AA2261="",AB2261=""),"",IF(AND(AC2261="X",AB2261&gt;=EXPREQVTD),"CUMPLE","NO CUMPLE"))</f>
        <v>#N/A</v>
      </c>
      <c r="AE2261" s="52"/>
      <c r="AF2261" s="52"/>
      <c r="AG2261" s="52"/>
      <c r="AH2261" s="87"/>
      <c r="AI2261" s="87"/>
    </row>
    <row r="2262" spans="1:35" ht="16.5" hidden="1" thickBot="1">
      <c r="A2262" s="218" t="e">
        <f>"P"&amp;E2239</f>
        <v>#N/A</v>
      </c>
      <c r="B2262" s="702"/>
      <c r="C2262" s="114">
        <v>3</v>
      </c>
      <c r="D2262" s="194" t="e">
        <f>IF(AND(C2262&lt;=F2258,F2258&lt;&gt;""),VLOOKUP(VALUE(E2239&amp;","&amp;C2262),INTEGRANTES!$D$18:$F$235,2,0),"")</f>
        <v>#N/A</v>
      </c>
      <c r="E2262" s="211" t="e">
        <f>IF(D2262&lt;&gt;"",VLOOKUP(VALUE(E2239&amp;","&amp;C2262),INTEGRANTES!$D$18:$F$235,3,0),"")</f>
        <v>#N/A</v>
      </c>
      <c r="F2262" s="547" t="e">
        <f>IF(D2262="","",SUMIF($I2243:$I2252,D2262,$P2243:$P2252))</f>
        <v>#N/A</v>
      </c>
      <c r="G2262" s="333" t="e">
        <f>IF(D2262="","",SUMIF($I2243:$I2252,D2262,$M2243:$M2252))</f>
        <v>#N/A</v>
      </c>
      <c r="H2262" s="535" t="e">
        <f t="shared" si="659"/>
        <v>#N/A</v>
      </c>
      <c r="I2262" s="212" t="e">
        <f>IF(D2262="","",IF(H2262="NO APORTA","NO",IF(H2262=MAX($H2260:$H2265),"SI","NO")))</f>
        <v>#N/A</v>
      </c>
      <c r="J2262" s="213" t="e">
        <f t="shared" si="660"/>
        <v>#N/A</v>
      </c>
      <c r="K2262" s="200" t="e">
        <f t="shared" si="661"/>
        <v>#N/A</v>
      </c>
      <c r="L2262" s="724"/>
      <c r="M2262" s="729">
        <f>NUMMOD</f>
        <v>1</v>
      </c>
      <c r="N2262" s="730"/>
      <c r="O2262" s="443">
        <f>IF(M2262="","",VLOOKUP(M2262,PRESUPUESTOS!$B$16:$H$16,5,FALSE))</f>
        <v>2</v>
      </c>
      <c r="P2262" s="713">
        <f>IF(OR(COUNTIF(M2243:M2252,"")&gt;=10,Q2259&lt;NUMMINCONT,OR(T2257="NO CUMPLE",T2257="VERIFICAR")),0,ROUND(AVERAGE(M2243:M2252),3))</f>
        <v>0</v>
      </c>
      <c r="Q2262" s="714"/>
      <c r="R2262" s="458"/>
      <c r="S2262" s="459"/>
      <c r="T2262" s="460"/>
      <c r="U2262" s="219"/>
      <c r="V2262" s="464"/>
      <c r="Y2262" s="532" t="str">
        <f>"40% * ("&amp;PRESUPUESTOS!$H$13&amp;")"</f>
        <v>40% * (50% PFMO)</v>
      </c>
      <c r="AA2262" s="540" t="e">
        <f>IF(AND(C2261&lt;=F2258,F2258&lt;&gt;""),VLOOKUP(VALUE(E2239&amp;","&amp;C2261),INTEGRANTES!$D$18:$F$235,2,0),"")</f>
        <v>#N/A</v>
      </c>
      <c r="AB2262" s="545" t="e">
        <f t="shared" si="662"/>
        <v>#N/A</v>
      </c>
      <c r="AC2262" s="529"/>
      <c r="AD2262" s="200" t="e">
        <f t="shared" si="663"/>
        <v>#N/A</v>
      </c>
      <c r="AE2262" s="52"/>
      <c r="AF2262" s="52"/>
      <c r="AG2262" s="52"/>
      <c r="AH2262" s="87"/>
      <c r="AI2262" s="87"/>
    </row>
    <row r="2263" spans="1:35" ht="15.75" hidden="1" customHeight="1" thickBot="1">
      <c r="A2263" s="218" t="e">
        <f>"Q"&amp;E2239</f>
        <v>#N/A</v>
      </c>
      <c r="B2263" s="702"/>
      <c r="C2263" s="114">
        <v>4</v>
      </c>
      <c r="D2263" s="194" t="e">
        <f>IF(AND(C2263&lt;=F2258,F2258&lt;&gt;""),VLOOKUP(VALUE(E2239&amp;","&amp;C2263),INTEGRANTES!$D$18:$F$235,2,0),"")</f>
        <v>#N/A</v>
      </c>
      <c r="E2263" s="211" t="e">
        <f>IF(D2263&lt;&gt;"",VLOOKUP(VALUE(E2239&amp;","&amp;C2263),INTEGRANTES!$D$18:$F$235,3,0),"")</f>
        <v>#N/A</v>
      </c>
      <c r="F2263" s="547" t="e">
        <f>IF(D2263="","",SUMIF($I2243:$I2252,D2263,$P2243:$P2252))</f>
        <v>#N/A</v>
      </c>
      <c r="G2263" s="333" t="e">
        <f>IF(D2263="","",SUMIF($I2243:$I2252,D2263,$M2243:$M2252))</f>
        <v>#N/A</v>
      </c>
      <c r="H2263" s="535" t="e">
        <f t="shared" si="659"/>
        <v>#N/A</v>
      </c>
      <c r="I2263" s="212" t="e">
        <f>IF(D2263="","",IF(H2263="NO APORTA","NO",IF(H2263=MAX($H2260:$H2265),"SI","NO")))</f>
        <v>#N/A</v>
      </c>
      <c r="J2263" s="213" t="e">
        <f t="shared" si="660"/>
        <v>#N/A</v>
      </c>
      <c r="K2263" s="200" t="e">
        <f t="shared" si="661"/>
        <v>#N/A</v>
      </c>
      <c r="L2263" s="720" t="s">
        <v>109</v>
      </c>
      <c r="M2263" s="757" t="s">
        <v>120</v>
      </c>
      <c r="N2263" s="726"/>
      <c r="O2263" s="726"/>
      <c r="P2263" s="726"/>
      <c r="Q2263" s="727"/>
      <c r="R2263" s="458"/>
      <c r="S2263" s="459"/>
      <c r="T2263" s="460"/>
      <c r="U2263" s="219"/>
      <c r="V2263" s="464"/>
      <c r="Y2263" s="537">
        <f>0.4*PRESUPUESTOS!$H$16</f>
        <v>10.3124</v>
      </c>
      <c r="AA2263" s="540" t="e">
        <f>IF(AND(C2262&lt;=F2258,F2258&lt;&gt;""),VLOOKUP(VALUE(E2239&amp;","&amp;C2262),INTEGRANTES!$D$18:$F$235,2,0),"")</f>
        <v>#N/A</v>
      </c>
      <c r="AB2263" s="545" t="e">
        <f t="shared" si="662"/>
        <v>#N/A</v>
      </c>
      <c r="AC2263" s="529"/>
      <c r="AD2263" s="200" t="e">
        <f t="shared" si="663"/>
        <v>#N/A</v>
      </c>
      <c r="AE2263" s="52"/>
      <c r="AF2263" s="52"/>
      <c r="AG2263" s="52"/>
      <c r="AH2263" s="87"/>
      <c r="AI2263" s="87"/>
    </row>
    <row r="2264" spans="1:35" ht="27" hidden="1" customHeight="1" thickBot="1">
      <c r="A2264" s="218" t="e">
        <f>"R"&amp;E2239</f>
        <v>#N/A</v>
      </c>
      <c r="B2264" s="702"/>
      <c r="C2264" s="114">
        <v>5</v>
      </c>
      <c r="D2264" s="194" t="e">
        <f>IF(AND(C2264&lt;=F2258,F2258&lt;&gt;""),VLOOKUP(VALUE(E2239&amp;","&amp;C2264),INTEGRANTES!$D$18:$F$235,2,0),"")</f>
        <v>#N/A</v>
      </c>
      <c r="E2264" s="211" t="e">
        <f>IF(D2264&lt;&gt;"",VLOOKUP(VALUE(E2239&amp;","&amp;C2264),INTEGRANTES!$D$18:$F$235,3,0),"")</f>
        <v>#N/A</v>
      </c>
      <c r="F2264" s="547" t="e">
        <f>IF(D2264="","",SUMIF($I2243:$I2252,D2264,$P2243:$P2252))</f>
        <v>#N/A</v>
      </c>
      <c r="G2264" s="333" t="e">
        <f>IF(D2264="","",SUMIF($I2243:$I2252,D2264,$M2243:$M2252))</f>
        <v>#N/A</v>
      </c>
      <c r="H2264" s="535" t="e">
        <f t="shared" si="659"/>
        <v>#N/A</v>
      </c>
      <c r="I2264" s="212" t="e">
        <f>IF(D2264="","",IF(H2264="NO APORTA","NO",IF(H2264=MAX($H2260:$H2265),"SI","NO")))</f>
        <v>#N/A</v>
      </c>
      <c r="J2264" s="213" t="e">
        <f t="shared" si="660"/>
        <v>#N/A</v>
      </c>
      <c r="K2264" s="200" t="e">
        <f t="shared" si="661"/>
        <v>#N/A</v>
      </c>
      <c r="L2264" s="721"/>
      <c r="M2264" s="715" t="s">
        <v>116</v>
      </c>
      <c r="N2264" s="716"/>
      <c r="O2264" s="556" t="str">
        <f>PORCREQUERIDO*100&amp;"% PMFO DEL MÓDULO"</f>
        <v>50% PMFO DEL MÓDULO</v>
      </c>
      <c r="P2264" s="715" t="s">
        <v>118</v>
      </c>
      <c r="Q2264" s="728"/>
      <c r="R2264" s="458"/>
      <c r="S2264" s="459"/>
      <c r="T2264" s="460"/>
      <c r="U2264" s="219"/>
      <c r="V2264" s="464"/>
      <c r="Y2264" s="414"/>
      <c r="AA2264" s="540" t="e">
        <f>IF(AND(C2263&lt;=F2258,F2258&lt;&gt;""),VLOOKUP(VALUE(E2239&amp;","&amp;C2263),INTEGRANTES!$D$18:$F$235,2,0),"")</f>
        <v>#N/A</v>
      </c>
      <c r="AB2264" s="545" t="e">
        <f t="shared" si="662"/>
        <v>#N/A</v>
      </c>
      <c r="AC2264" s="529"/>
      <c r="AD2264" s="200" t="e">
        <f t="shared" si="663"/>
        <v>#N/A</v>
      </c>
      <c r="AE2264" s="52"/>
      <c r="AF2264" s="52"/>
      <c r="AG2264" s="52"/>
      <c r="AH2264" s="87"/>
      <c r="AI2264" s="87"/>
    </row>
    <row r="2265" spans="1:35" ht="16.5" hidden="1" thickBot="1">
      <c r="A2265" s="218" t="e">
        <f>"S"&amp;E2239</f>
        <v>#N/A</v>
      </c>
      <c r="B2265" s="702"/>
      <c r="C2265" s="215">
        <v>6</v>
      </c>
      <c r="D2265" s="216" t="e">
        <f>IF(AND(C2265&lt;=F2258,F2258&lt;&gt;""),VLOOKUP(VALUE(E2239&amp;","&amp;C2265),INTEGRANTES!$D$18:$F$235,2,0),"")</f>
        <v>#N/A</v>
      </c>
      <c r="E2265" s="217" t="e">
        <f>IF(D2265&lt;&gt;"",VLOOKUP(VALUE(E2239&amp;","&amp;C2265),INTEGRANTES!$D$18:$F$235,3,0),"")</f>
        <v>#N/A</v>
      </c>
      <c r="F2265" s="548" t="e">
        <f>IF(D2265="","",SUMIF($I2243:$I2252,D2265,$P2243:$P2252))</f>
        <v>#N/A</v>
      </c>
      <c r="G2265" s="334" t="e">
        <f>IF(D2265="","",SUMIF($I2243:$I2252,D2265,$M2243:$M2252))</f>
        <v>#N/A</v>
      </c>
      <c r="H2265" s="536" t="e">
        <f t="shared" si="659"/>
        <v>#N/A</v>
      </c>
      <c r="I2265" s="214" t="e">
        <f>IF(D2265="","",IF(H2265="NO APORTA","NO",IF(H2265=MAX($H2260:$H2265),"SI","NO")))</f>
        <v>#N/A</v>
      </c>
      <c r="J2265" s="213" t="e">
        <f t="shared" si="660"/>
        <v>#N/A</v>
      </c>
      <c r="K2265" s="200" t="e">
        <f t="shared" si="661"/>
        <v>#N/A</v>
      </c>
      <c r="L2265" s="721"/>
      <c r="M2265" s="729">
        <f>NUMMOD</f>
        <v>1</v>
      </c>
      <c r="N2265" s="730"/>
      <c r="O2265" s="443">
        <f>IF(M2265="","",ROUND(VLOOKUP(M2265,PRESUPUESTOS!$B$16:$H$16,7,FALSE),3))</f>
        <v>25.780999999999999</v>
      </c>
      <c r="P2265" s="713">
        <f>IF(OR(COUNTIF(P2243:P2252,"")&gt;=10,Q2259&lt;NUMMINCONT,OR(T2257="NO CUMPLE",T2257="VERIFICAR")),0,ROUND((SUM(P2243:P2252)/SUM(M2243:M2252)),3))</f>
        <v>0</v>
      </c>
      <c r="Q2265" s="714"/>
      <c r="R2265" s="458"/>
      <c r="S2265" s="459"/>
      <c r="T2265" s="460"/>
      <c r="U2265" s="219"/>
      <c r="V2265" s="464"/>
      <c r="Y2265" s="532" t="s">
        <v>343</v>
      </c>
      <c r="AA2265" s="540" t="e">
        <f>IF(AND(C2264&lt;=F2258,F2258&lt;&gt;""),VLOOKUP(VALUE(E2239&amp;","&amp;C2264),INTEGRANTES!$D$18:$F$235,2,0),"")</f>
        <v>#N/A</v>
      </c>
      <c r="AB2265" s="545" t="e">
        <f t="shared" si="662"/>
        <v>#N/A</v>
      </c>
      <c r="AC2265" s="529"/>
      <c r="AD2265" s="200" t="e">
        <f t="shared" si="663"/>
        <v>#N/A</v>
      </c>
      <c r="AE2265" s="52"/>
      <c r="AF2265" s="52"/>
      <c r="AG2265" s="52"/>
      <c r="AH2265" s="87"/>
      <c r="AI2265" s="87"/>
    </row>
    <row r="2266" spans="1:35" ht="16.5" hidden="1" customHeight="1" thickBot="1">
      <c r="A2266" s="218" t="e">
        <f>"T"&amp;E2239</f>
        <v>#N/A</v>
      </c>
      <c r="B2266" s="703"/>
      <c r="C2266" s="719"/>
      <c r="D2266" s="719"/>
      <c r="E2266" s="719"/>
      <c r="F2266" s="719"/>
      <c r="G2266" s="719"/>
      <c r="H2266" s="719" t="s">
        <v>110</v>
      </c>
      <c r="I2266" s="719"/>
      <c r="J2266" s="719"/>
      <c r="K2266" s="201" t="str">
        <f>IF(COUNTIF(K2260:K2265,"")=6,"",IF(COUNTIF(K2260:K2265,"CUMPLE")&gt;0,"CUMPLE","NO CUMPLE"))</f>
        <v>NO CUMPLE</v>
      </c>
      <c r="L2266" s="754"/>
      <c r="M2266" s="755"/>
      <c r="N2266" s="755"/>
      <c r="O2266" s="755"/>
      <c r="P2266" s="755"/>
      <c r="Q2266" s="756"/>
      <c r="R2266" s="461"/>
      <c r="S2266" s="462"/>
      <c r="T2266" s="463"/>
      <c r="U2266" s="219"/>
      <c r="V2266" s="464"/>
      <c r="Y2266" s="549" t="e">
        <f>IF(Y2260="NO APLICA","NO APLICA",IF(COUNTIF(AD2261:AD2266,"CUMPLE")&gt;0,"CUMPLE","NO CUMPLE"))</f>
        <v>#N/A</v>
      </c>
      <c r="AA2266" s="541" t="e">
        <f>IF(AND(C2265&lt;=F2258,F2258&lt;&gt;""),VLOOKUP(VALUE(E2239&amp;","&amp;C2265),INTEGRANTES!$D$18:$F$235,2,0),"")</f>
        <v>#N/A</v>
      </c>
      <c r="AB2266" s="546" t="e">
        <f t="shared" si="662"/>
        <v>#N/A</v>
      </c>
      <c r="AC2266" s="543"/>
      <c r="AD2266" s="201" t="e">
        <f t="shared" si="663"/>
        <v>#N/A</v>
      </c>
      <c r="AE2266" s="52"/>
      <c r="AF2266" s="52"/>
      <c r="AG2266" s="52"/>
      <c r="AH2266" s="87"/>
      <c r="AI2266" s="87"/>
    </row>
    <row r="2267" spans="1:35" hidden="1">
      <c r="A2267" s="103"/>
      <c r="B2267" s="206"/>
      <c r="C2267" s="206"/>
      <c r="D2267" s="206"/>
      <c r="E2267" s="206"/>
      <c r="F2267" s="206"/>
      <c r="G2267" s="206"/>
      <c r="H2267" s="206"/>
      <c r="I2267" s="104"/>
      <c r="J2267" s="206"/>
      <c r="K2267" s="113"/>
      <c r="L2267" s="113"/>
      <c r="M2267" s="113"/>
      <c r="N2267" s="222"/>
      <c r="O2267" s="113"/>
      <c r="P2267" s="113"/>
      <c r="Q2267" s="113"/>
      <c r="R2267" s="206"/>
      <c r="S2267" s="104"/>
      <c r="T2267" s="206"/>
      <c r="U2267" s="474"/>
      <c r="AH2267" s="87"/>
      <c r="AI2267" s="87"/>
    </row>
    <row r="2268" spans="1:35" hidden="1">
      <c r="H2268" s="220"/>
      <c r="AH2268" s="87"/>
      <c r="AI2268" s="87"/>
    </row>
    <row r="2269" spans="1:35" ht="24" hidden="1" thickBot="1">
      <c r="A2269" s="61">
        <v>76</v>
      </c>
      <c r="B2269" s="704" t="s">
        <v>51</v>
      </c>
      <c r="C2269" s="704"/>
      <c r="D2269" s="704"/>
      <c r="E2269" s="62" t="e">
        <f>VLOOKUP(A2269,PROPONENTES!$B$19:$E$218,2,FALSE)</f>
        <v>#N/A</v>
      </c>
      <c r="F2269" s="63" t="e">
        <f>VLOOKUP(A2269,PROPONENTES!$B$19:$E$218,3,FALSE)</f>
        <v>#N/A</v>
      </c>
      <c r="G2269" s="64"/>
      <c r="H2269" s="64"/>
      <c r="I2269" s="63"/>
      <c r="J2269" s="63"/>
      <c r="K2269" s="65"/>
      <c r="L2269" s="65"/>
      <c r="M2269" s="64"/>
      <c r="N2269" s="64"/>
      <c r="O2269" s="66"/>
      <c r="P2269" s="66"/>
      <c r="Q2269" s="66"/>
      <c r="R2269" s="66"/>
      <c r="S2269" s="67"/>
      <c r="T2269" s="68"/>
      <c r="U2269" s="68"/>
      <c r="AC2269" s="68"/>
      <c r="AD2269" s="68"/>
      <c r="AE2269" s="68"/>
      <c r="AF2269" s="68"/>
      <c r="AG2269" s="68"/>
      <c r="AH2269" s="87"/>
      <c r="AI2269" s="87"/>
    </row>
    <row r="2270" spans="1:35" ht="15.75" hidden="1" customHeight="1">
      <c r="A2270" s="44"/>
      <c r="B2270" s="709" t="s">
        <v>59</v>
      </c>
      <c r="C2270" s="552" t="s">
        <v>60</v>
      </c>
      <c r="D2270" s="70" t="s">
        <v>17</v>
      </c>
      <c r="E2270" s="70"/>
      <c r="F2270" s="70" t="s">
        <v>61</v>
      </c>
      <c r="G2270" s="71"/>
      <c r="H2270" s="699" t="s">
        <v>62</v>
      </c>
      <c r="I2270" s="699" t="s">
        <v>18</v>
      </c>
      <c r="J2270" s="699" t="s">
        <v>63</v>
      </c>
      <c r="K2270" s="699" t="s">
        <v>64</v>
      </c>
      <c r="L2270" s="699" t="s">
        <v>65</v>
      </c>
      <c r="M2270" s="743" t="s">
        <v>66</v>
      </c>
      <c r="N2270" s="699" t="s">
        <v>282</v>
      </c>
      <c r="O2270" s="745" t="s">
        <v>67</v>
      </c>
      <c r="P2270" s="746"/>
      <c r="Q2270" s="102" t="s">
        <v>75</v>
      </c>
      <c r="R2270" s="731" t="s">
        <v>22</v>
      </c>
      <c r="S2270" s="732"/>
      <c r="T2270" s="733"/>
      <c r="U2270" s="712" t="s">
        <v>298</v>
      </c>
      <c r="W2270" s="690" t="s">
        <v>268</v>
      </c>
      <c r="X2270" s="691"/>
      <c r="Y2270" s="692"/>
      <c r="Z2270" s="428"/>
      <c r="AA2270" s="697" t="s">
        <v>315</v>
      </c>
      <c r="AB2270" s="695" t="s">
        <v>322</v>
      </c>
      <c r="AC2270" s="49"/>
      <c r="AD2270" s="690" t="s">
        <v>297</v>
      </c>
      <c r="AE2270" s="691"/>
      <c r="AF2270" s="692"/>
      <c r="AG2270" s="49"/>
      <c r="AH2270" s="87"/>
      <c r="AI2270" s="87"/>
    </row>
    <row r="2271" spans="1:35" ht="72" hidden="1">
      <c r="A2271" s="44"/>
      <c r="B2271" s="710"/>
      <c r="C2271" s="553" t="s">
        <v>68</v>
      </c>
      <c r="D2271" s="73" t="s">
        <v>3</v>
      </c>
      <c r="E2271" s="73" t="s">
        <v>19</v>
      </c>
      <c r="F2271" s="73" t="s">
        <v>69</v>
      </c>
      <c r="G2271" s="74" t="s">
        <v>70</v>
      </c>
      <c r="H2271" s="700"/>
      <c r="I2271" s="700"/>
      <c r="J2271" s="700"/>
      <c r="K2271" s="700"/>
      <c r="L2271" s="700"/>
      <c r="M2271" s="744"/>
      <c r="N2271" s="700"/>
      <c r="O2271" s="553" t="s">
        <v>279</v>
      </c>
      <c r="P2271" s="73" t="s">
        <v>88</v>
      </c>
      <c r="Q2271" s="555" t="s">
        <v>76</v>
      </c>
      <c r="R2271" s="734"/>
      <c r="S2271" s="735"/>
      <c r="T2271" s="736"/>
      <c r="U2271" s="712"/>
      <c r="W2271" s="429" t="s">
        <v>269</v>
      </c>
      <c r="X2271" s="457" t="s">
        <v>278</v>
      </c>
      <c r="Y2271" s="430" t="s">
        <v>324</v>
      </c>
      <c r="Z2271" s="428"/>
      <c r="AA2271" s="698"/>
      <c r="AB2271" s="696"/>
      <c r="AC2271" s="49"/>
      <c r="AD2271" s="429" t="s">
        <v>292</v>
      </c>
      <c r="AE2271" s="431" t="s">
        <v>300</v>
      </c>
      <c r="AF2271" s="468" t="s">
        <v>301</v>
      </c>
      <c r="AG2271" s="49"/>
      <c r="AH2271" s="87"/>
      <c r="AI2271" s="87"/>
    </row>
    <row r="2272" spans="1:35" hidden="1">
      <c r="A2272" s="44"/>
      <c r="B2272" s="76"/>
      <c r="C2272" s="77"/>
      <c r="D2272" s="77"/>
      <c r="E2272" s="77"/>
      <c r="F2272" s="77"/>
      <c r="G2272" s="77"/>
      <c r="H2272" s="77"/>
      <c r="I2272" s="77"/>
      <c r="J2272" s="77"/>
      <c r="K2272" s="77"/>
      <c r="L2272" s="77"/>
      <c r="M2272" s="77"/>
      <c r="N2272" s="77"/>
      <c r="O2272" s="77"/>
      <c r="P2272" s="77"/>
      <c r="Q2272" s="77"/>
      <c r="R2272" s="77"/>
      <c r="S2272" s="78"/>
      <c r="T2272" s="79"/>
      <c r="U2272" s="109"/>
      <c r="V2272" s="49"/>
      <c r="W2272" s="432"/>
      <c r="X2272" s="454"/>
      <c r="Y2272" s="433"/>
      <c r="Z2272" s="6"/>
      <c r="AA2272" s="500"/>
      <c r="AB2272" s="562"/>
      <c r="AC2272" s="49"/>
      <c r="AD2272" s="210"/>
      <c r="AE2272" s="434"/>
      <c r="AF2272" s="435"/>
      <c r="AG2272" s="49"/>
      <c r="AH2272" s="87"/>
      <c r="AI2272" s="87"/>
    </row>
    <row r="2273" spans="1:35" hidden="1">
      <c r="A2273" s="80" t="e">
        <f>"A"&amp;E2269</f>
        <v>#N/A</v>
      </c>
      <c r="B2273" s="81">
        <v>1</v>
      </c>
      <c r="C2273" s="82"/>
      <c r="D2273" s="82"/>
      <c r="E2273" s="82"/>
      <c r="F2273" s="82"/>
      <c r="G2273" s="83"/>
      <c r="H2273" s="83"/>
      <c r="I2273" s="84"/>
      <c r="J2273" s="85"/>
      <c r="K2273" s="382"/>
      <c r="L2273" s="85"/>
      <c r="M2273" s="332" t="str">
        <f t="shared" ref="M2273:M2282" si="664">IF(OR(J2273="",L2273="",H2273="NO"),"",IF(OR(J2273&gt;$P$17,J2273&lt;$O$17,L2273&gt;$P$17,AND(J2273&lt;$O$17,L2273&lt;$O$17)),"FUERA DE RANGO",IF(OR(K2273="---",K2273=""),IF(J2273&gt;=$O$17,ROUND((L2273-J2273+1)/360*12,3),ROUND((L2273-$O$17+1)/360*12,3)),IF(J2273&gt;=$O$17,ROUND((L2273-J2273+1)/360*12-ROUND(K2273,3),3),ROUND((L2273-$O$17+1)/360*12-ROUND(K2273,3),3)))))</f>
        <v/>
      </c>
      <c r="N2273" s="86"/>
      <c r="O2273" s="453" t="str">
        <f>IF(OR(G2273="",N2273=""),"",N2273*G2273)</f>
        <v/>
      </c>
      <c r="P2273" s="538" t="str">
        <f>IF(OR(H2273="",M2273="FUERA DE RANGO"),"",IF(OR(L2273&lt;$O$17,L2273&gt;$P$17,L2273="",H2273="NO"),"",IF(OR(N2273="",O2273=""),"",ROUND(O2273,3))))</f>
        <v/>
      </c>
      <c r="Q2273" s="539" t="str">
        <f t="shared" ref="Q2273:Q2282" si="665">IF(AND(H2273="SI",P2273&lt;&gt;""),ROUND(P2273/M2273,3),"")</f>
        <v/>
      </c>
      <c r="R2273" s="737"/>
      <c r="S2273" s="738"/>
      <c r="T2273" s="739"/>
      <c r="U2273" s="470"/>
      <c r="V2273" s="165"/>
      <c r="W2273" s="446"/>
      <c r="X2273" s="456"/>
      <c r="Y2273" s="436"/>
      <c r="Z2273" s="437"/>
      <c r="AA2273" s="560"/>
      <c r="AB2273" s="561"/>
      <c r="AC2273" s="87"/>
      <c r="AD2273" s="466"/>
      <c r="AE2273" s="456"/>
      <c r="AF2273" s="467"/>
      <c r="AG2273" s="87"/>
      <c r="AH2273" s="87"/>
      <c r="AI2273" s="87"/>
    </row>
    <row r="2274" spans="1:35" hidden="1">
      <c r="A2274" s="80" t="e">
        <f>"B"&amp;E2269</f>
        <v>#N/A</v>
      </c>
      <c r="B2274" s="81">
        <v>2</v>
      </c>
      <c r="C2274" s="106"/>
      <c r="D2274" s="106"/>
      <c r="E2274" s="106"/>
      <c r="F2274" s="106"/>
      <c r="G2274" s="83"/>
      <c r="H2274" s="83"/>
      <c r="I2274" s="84"/>
      <c r="J2274" s="85"/>
      <c r="K2274" s="382"/>
      <c r="L2274" s="85"/>
      <c r="M2274" s="332" t="str">
        <f t="shared" si="664"/>
        <v/>
      </c>
      <c r="N2274" s="86"/>
      <c r="O2274" s="453" t="str">
        <f t="shared" ref="O2274:O2282" si="666">IF(OR(G2274="",N2274=""),"",N2274*G2274)</f>
        <v/>
      </c>
      <c r="P2274" s="538" t="str">
        <f t="shared" ref="P2274:P2282" si="667">IF(OR(H2274="",M2274="FUERA DE RANGO"),"",IF(OR(L2274&lt;$O$17,L2274&gt;$P$17,L2274="",H2274="NO"),"",IF(OR(N2274="",O2274=""),"",ROUND(O2274,3))))</f>
        <v/>
      </c>
      <c r="Q2274" s="539" t="str">
        <f t="shared" si="665"/>
        <v/>
      </c>
      <c r="R2274" s="740"/>
      <c r="S2274" s="741"/>
      <c r="T2274" s="742"/>
      <c r="U2274" s="471"/>
      <c r="V2274" s="165"/>
      <c r="W2274" s="446"/>
      <c r="X2274" s="456"/>
      <c r="Y2274" s="436"/>
      <c r="Z2274" s="437"/>
      <c r="AA2274" s="560"/>
      <c r="AB2274" s="561"/>
      <c r="AC2274" s="87"/>
      <c r="AD2274" s="466"/>
      <c r="AE2274" s="456"/>
      <c r="AF2274" s="467"/>
      <c r="AG2274" s="87"/>
      <c r="AH2274" s="87"/>
      <c r="AI2274" s="87"/>
    </row>
    <row r="2275" spans="1:35" hidden="1">
      <c r="A2275" s="80" t="e">
        <f>"C"&amp;E2269</f>
        <v>#N/A</v>
      </c>
      <c r="B2275" s="88">
        <v>3</v>
      </c>
      <c r="C2275" s="82"/>
      <c r="D2275" s="82"/>
      <c r="E2275" s="82"/>
      <c r="F2275" s="82"/>
      <c r="G2275" s="83"/>
      <c r="H2275" s="83"/>
      <c r="I2275" s="84"/>
      <c r="J2275" s="85"/>
      <c r="K2275" s="382"/>
      <c r="L2275" s="85"/>
      <c r="M2275" s="332" t="str">
        <f t="shared" si="664"/>
        <v/>
      </c>
      <c r="N2275" s="86"/>
      <c r="O2275" s="453" t="str">
        <f t="shared" si="666"/>
        <v/>
      </c>
      <c r="P2275" s="538" t="str">
        <f t="shared" si="667"/>
        <v/>
      </c>
      <c r="Q2275" s="539" t="str">
        <f t="shared" si="665"/>
        <v/>
      </c>
      <c r="R2275" s="706"/>
      <c r="S2275" s="707"/>
      <c r="T2275" s="708"/>
      <c r="U2275" s="472"/>
      <c r="V2275" s="166"/>
      <c r="W2275" s="446"/>
      <c r="X2275" s="456"/>
      <c r="Y2275" s="436"/>
      <c r="Z2275" s="437"/>
      <c r="AA2275" s="560"/>
      <c r="AB2275" s="561"/>
      <c r="AC2275" s="87"/>
      <c r="AD2275" s="466"/>
      <c r="AE2275" s="456"/>
      <c r="AF2275" s="467"/>
      <c r="AG2275" s="87"/>
      <c r="AH2275" s="87"/>
      <c r="AI2275" s="87"/>
    </row>
    <row r="2276" spans="1:35" hidden="1">
      <c r="A2276" s="80" t="e">
        <f>"D"&amp;E2269</f>
        <v>#N/A</v>
      </c>
      <c r="B2276" s="105">
        <v>4</v>
      </c>
      <c r="C2276" s="107"/>
      <c r="D2276" s="107"/>
      <c r="E2276" s="107"/>
      <c r="F2276" s="107"/>
      <c r="G2276" s="83"/>
      <c r="H2276" s="83"/>
      <c r="I2276" s="84"/>
      <c r="J2276" s="85"/>
      <c r="K2276" s="382"/>
      <c r="L2276" s="85"/>
      <c r="M2276" s="332" t="str">
        <f t="shared" si="664"/>
        <v/>
      </c>
      <c r="N2276" s="86"/>
      <c r="O2276" s="453" t="str">
        <f t="shared" si="666"/>
        <v/>
      </c>
      <c r="P2276" s="538" t="str">
        <f t="shared" si="667"/>
        <v/>
      </c>
      <c r="Q2276" s="539" t="str">
        <f t="shared" si="665"/>
        <v/>
      </c>
      <c r="R2276" s="706"/>
      <c r="S2276" s="707"/>
      <c r="T2276" s="708"/>
      <c r="U2276" s="472"/>
      <c r="V2276" s="166"/>
      <c r="W2276" s="446"/>
      <c r="X2276" s="456"/>
      <c r="Y2276" s="436"/>
      <c r="Z2276" s="437"/>
      <c r="AA2276" s="560"/>
      <c r="AB2276" s="561"/>
      <c r="AC2276" s="87"/>
      <c r="AD2276" s="466"/>
      <c r="AE2276" s="456"/>
      <c r="AF2276" s="467"/>
      <c r="AG2276" s="87"/>
      <c r="AH2276" s="87"/>
      <c r="AI2276" s="87"/>
    </row>
    <row r="2277" spans="1:35" hidden="1">
      <c r="A2277" s="80" t="e">
        <f>"E"&amp;E2269</f>
        <v>#N/A</v>
      </c>
      <c r="B2277" s="105">
        <v>5</v>
      </c>
      <c r="C2277" s="107"/>
      <c r="D2277" s="107"/>
      <c r="E2277" s="107"/>
      <c r="F2277" s="107"/>
      <c r="G2277" s="83"/>
      <c r="H2277" s="83"/>
      <c r="I2277" s="84"/>
      <c r="J2277" s="85"/>
      <c r="K2277" s="382"/>
      <c r="L2277" s="85"/>
      <c r="M2277" s="332" t="str">
        <f t="shared" si="664"/>
        <v/>
      </c>
      <c r="N2277" s="86"/>
      <c r="O2277" s="453" t="str">
        <f t="shared" si="666"/>
        <v/>
      </c>
      <c r="P2277" s="538" t="str">
        <f t="shared" si="667"/>
        <v/>
      </c>
      <c r="Q2277" s="539" t="str">
        <f t="shared" si="665"/>
        <v/>
      </c>
      <c r="R2277" s="706"/>
      <c r="S2277" s="707"/>
      <c r="T2277" s="708"/>
      <c r="U2277" s="472"/>
      <c r="V2277" s="167"/>
      <c r="W2277" s="446"/>
      <c r="X2277" s="456"/>
      <c r="Y2277" s="436"/>
      <c r="Z2277" s="437"/>
      <c r="AA2277" s="560"/>
      <c r="AB2277" s="561"/>
      <c r="AC2277" s="87"/>
      <c r="AD2277" s="466"/>
      <c r="AE2277" s="456"/>
      <c r="AF2277" s="467"/>
      <c r="AG2277" s="87"/>
      <c r="AH2277" s="87"/>
      <c r="AI2277" s="87"/>
    </row>
    <row r="2278" spans="1:35" hidden="1">
      <c r="A2278" s="80" t="e">
        <f>"F"&amp;E2269</f>
        <v>#N/A</v>
      </c>
      <c r="B2278" s="105">
        <v>6</v>
      </c>
      <c r="C2278" s="107"/>
      <c r="D2278" s="107"/>
      <c r="E2278" s="107"/>
      <c r="F2278" s="107"/>
      <c r="G2278" s="83"/>
      <c r="H2278" s="83"/>
      <c r="I2278" s="84"/>
      <c r="J2278" s="85"/>
      <c r="K2278" s="382"/>
      <c r="L2278" s="85"/>
      <c r="M2278" s="332" t="str">
        <f t="shared" si="664"/>
        <v/>
      </c>
      <c r="N2278" s="86"/>
      <c r="O2278" s="453" t="str">
        <f t="shared" si="666"/>
        <v/>
      </c>
      <c r="P2278" s="538" t="str">
        <f t="shared" si="667"/>
        <v/>
      </c>
      <c r="Q2278" s="539" t="str">
        <f t="shared" si="665"/>
        <v/>
      </c>
      <c r="R2278" s="706"/>
      <c r="S2278" s="707"/>
      <c r="T2278" s="708"/>
      <c r="U2278" s="472"/>
      <c r="V2278" s="167"/>
      <c r="W2278" s="446"/>
      <c r="X2278" s="456"/>
      <c r="Y2278" s="436"/>
      <c r="Z2278" s="437"/>
      <c r="AA2278" s="560"/>
      <c r="AB2278" s="561"/>
      <c r="AC2278" s="87"/>
      <c r="AD2278" s="466"/>
      <c r="AE2278" s="456"/>
      <c r="AF2278" s="467"/>
      <c r="AG2278" s="87"/>
      <c r="AH2278" s="87"/>
      <c r="AI2278" s="87"/>
    </row>
    <row r="2279" spans="1:35" hidden="1">
      <c r="A2279" s="80" t="e">
        <f>"G"&amp;E2269</f>
        <v>#N/A</v>
      </c>
      <c r="B2279" s="105">
        <v>7</v>
      </c>
      <c r="C2279" s="107"/>
      <c r="D2279" s="107"/>
      <c r="E2279" s="107"/>
      <c r="F2279" s="107"/>
      <c r="G2279" s="83"/>
      <c r="H2279" s="83"/>
      <c r="I2279" s="84"/>
      <c r="J2279" s="85"/>
      <c r="K2279" s="382"/>
      <c r="L2279" s="85"/>
      <c r="M2279" s="332" t="str">
        <f t="shared" si="664"/>
        <v/>
      </c>
      <c r="N2279" s="86"/>
      <c r="O2279" s="86" t="str">
        <f t="shared" si="666"/>
        <v/>
      </c>
      <c r="P2279" s="538" t="str">
        <f t="shared" si="667"/>
        <v/>
      </c>
      <c r="Q2279" s="539" t="str">
        <f t="shared" si="665"/>
        <v/>
      </c>
      <c r="R2279" s="706"/>
      <c r="S2279" s="707"/>
      <c r="T2279" s="708"/>
      <c r="U2279" s="472"/>
      <c r="V2279" s="167"/>
      <c r="W2279" s="446"/>
      <c r="X2279" s="456"/>
      <c r="Y2279" s="436"/>
      <c r="Z2279" s="437"/>
      <c r="AA2279" s="560"/>
      <c r="AB2279" s="561"/>
      <c r="AC2279" s="87"/>
      <c r="AD2279" s="466"/>
      <c r="AE2279" s="456"/>
      <c r="AF2279" s="467"/>
      <c r="AG2279" s="87"/>
      <c r="AH2279" s="87"/>
      <c r="AI2279" s="87"/>
    </row>
    <row r="2280" spans="1:35" hidden="1">
      <c r="A2280" s="80" t="e">
        <f>"H"&amp;E2269</f>
        <v>#N/A</v>
      </c>
      <c r="B2280" s="105">
        <v>8</v>
      </c>
      <c r="C2280" s="107"/>
      <c r="D2280" s="107"/>
      <c r="E2280" s="107"/>
      <c r="F2280" s="107"/>
      <c r="G2280" s="83"/>
      <c r="H2280" s="83"/>
      <c r="I2280" s="84"/>
      <c r="J2280" s="85"/>
      <c r="K2280" s="382"/>
      <c r="L2280" s="85"/>
      <c r="M2280" s="332" t="str">
        <f t="shared" si="664"/>
        <v/>
      </c>
      <c r="N2280" s="453"/>
      <c r="O2280" s="86" t="str">
        <f t="shared" si="666"/>
        <v/>
      </c>
      <c r="P2280" s="538" t="str">
        <f t="shared" si="667"/>
        <v/>
      </c>
      <c r="Q2280" s="539" t="str">
        <f t="shared" si="665"/>
        <v/>
      </c>
      <c r="R2280" s="706"/>
      <c r="S2280" s="707"/>
      <c r="T2280" s="708"/>
      <c r="U2280" s="472"/>
      <c r="V2280" s="167"/>
      <c r="W2280" s="446"/>
      <c r="X2280" s="456"/>
      <c r="Y2280" s="436"/>
      <c r="Z2280" s="437"/>
      <c r="AA2280" s="560"/>
      <c r="AB2280" s="561"/>
      <c r="AC2280" s="87"/>
      <c r="AD2280" s="466"/>
      <c r="AE2280" s="456"/>
      <c r="AF2280" s="467"/>
      <c r="AG2280" s="87"/>
      <c r="AH2280" s="87"/>
      <c r="AI2280" s="87"/>
    </row>
    <row r="2281" spans="1:35" hidden="1">
      <c r="A2281" s="80" t="e">
        <f>"I"&amp;E2269</f>
        <v>#N/A</v>
      </c>
      <c r="B2281" s="105">
        <v>9</v>
      </c>
      <c r="C2281" s="107"/>
      <c r="D2281" s="107"/>
      <c r="E2281" s="107"/>
      <c r="F2281" s="107"/>
      <c r="G2281" s="83"/>
      <c r="H2281" s="83"/>
      <c r="I2281" s="84"/>
      <c r="J2281" s="85"/>
      <c r="K2281" s="382"/>
      <c r="L2281" s="85"/>
      <c r="M2281" s="332" t="str">
        <f t="shared" si="664"/>
        <v/>
      </c>
      <c r="N2281" s="453"/>
      <c r="O2281" s="86" t="str">
        <f t="shared" si="666"/>
        <v/>
      </c>
      <c r="P2281" s="538" t="str">
        <f t="shared" si="667"/>
        <v/>
      </c>
      <c r="Q2281" s="539" t="str">
        <f t="shared" si="665"/>
        <v/>
      </c>
      <c r="R2281" s="706"/>
      <c r="S2281" s="707"/>
      <c r="T2281" s="708"/>
      <c r="U2281" s="472"/>
      <c r="V2281" s="167"/>
      <c r="W2281" s="446"/>
      <c r="X2281" s="456"/>
      <c r="Y2281" s="436"/>
      <c r="Z2281" s="437"/>
      <c r="AA2281" s="560"/>
      <c r="AB2281" s="561"/>
      <c r="AC2281" s="87"/>
      <c r="AD2281" s="466"/>
      <c r="AE2281" s="456"/>
      <c r="AF2281" s="467"/>
      <c r="AG2281" s="87"/>
      <c r="AH2281" s="87"/>
      <c r="AI2281" s="87"/>
    </row>
    <row r="2282" spans="1:35" hidden="1">
      <c r="A2282" s="80" t="e">
        <f>"J"&amp;E2269</f>
        <v>#N/A</v>
      </c>
      <c r="B2282" s="105">
        <v>10</v>
      </c>
      <c r="C2282" s="107"/>
      <c r="D2282" s="107"/>
      <c r="E2282" s="107"/>
      <c r="F2282" s="107"/>
      <c r="G2282" s="83"/>
      <c r="H2282" s="83"/>
      <c r="I2282" s="84"/>
      <c r="J2282" s="85"/>
      <c r="K2282" s="382"/>
      <c r="L2282" s="85"/>
      <c r="M2282" s="332" t="str">
        <f t="shared" si="664"/>
        <v/>
      </c>
      <c r="N2282" s="453"/>
      <c r="O2282" s="86" t="str">
        <f t="shared" si="666"/>
        <v/>
      </c>
      <c r="P2282" s="538" t="str">
        <f t="shared" si="667"/>
        <v/>
      </c>
      <c r="Q2282" s="539" t="str">
        <f t="shared" si="665"/>
        <v/>
      </c>
      <c r="R2282" s="706"/>
      <c r="S2282" s="707"/>
      <c r="T2282" s="708"/>
      <c r="U2282" s="472"/>
      <c r="V2282" s="167"/>
      <c r="W2282" s="446"/>
      <c r="X2282" s="456"/>
      <c r="Y2282" s="436"/>
      <c r="Z2282" s="437"/>
      <c r="AA2282" s="560"/>
      <c r="AB2282" s="561"/>
      <c r="AC2282" s="87"/>
      <c r="AD2282" s="466"/>
      <c r="AE2282" s="456"/>
      <c r="AF2282" s="467"/>
      <c r="AG2282" s="87"/>
      <c r="AH2282" s="87"/>
      <c r="AI2282" s="87"/>
    </row>
    <row r="2283" spans="1:35" ht="16.5" hidden="1" thickBot="1">
      <c r="A2283" s="44"/>
      <c r="B2283" s="89"/>
      <c r="C2283" s="90"/>
      <c r="D2283" s="90"/>
      <c r="E2283" s="90"/>
      <c r="F2283" s="90"/>
      <c r="G2283" s="90"/>
      <c r="H2283" s="90"/>
      <c r="I2283" s="90"/>
      <c r="J2283" s="90"/>
      <c r="K2283" s="90"/>
      <c r="L2283" s="90"/>
      <c r="M2283" s="90"/>
      <c r="N2283" s="90"/>
      <c r="O2283" s="90"/>
      <c r="P2283" s="90"/>
      <c r="Q2283" s="90"/>
      <c r="R2283" s="90"/>
      <c r="S2283" s="91"/>
      <c r="T2283" s="92"/>
      <c r="U2283" s="473"/>
      <c r="W2283" s="438"/>
      <c r="X2283" s="455"/>
      <c r="Y2283" s="439"/>
      <c r="Z2283" s="437"/>
      <c r="AA2283" s="530"/>
      <c r="AB2283" s="563"/>
      <c r="AC2283" s="87"/>
      <c r="AD2283" s="440"/>
      <c r="AE2283" s="441"/>
      <c r="AF2283" s="442"/>
      <c r="AG2283" s="49"/>
      <c r="AH2283" s="87"/>
      <c r="AI2283" s="87"/>
    </row>
    <row r="2284" spans="1:35" ht="16.5" hidden="1" thickBot="1">
      <c r="A2284" s="93"/>
      <c r="B2284" s="94"/>
      <c r="C2284" s="96"/>
      <c r="D2284" s="96"/>
      <c r="E2284" s="96"/>
      <c r="F2284" s="96"/>
      <c r="G2284" s="96"/>
      <c r="H2284" s="96"/>
      <c r="I2284" s="96"/>
      <c r="J2284" s="96"/>
      <c r="K2284" s="96"/>
      <c r="L2284" s="96"/>
      <c r="M2284" s="136"/>
      <c r="N2284" s="96"/>
      <c r="O2284" s="96"/>
      <c r="P2284" s="97"/>
      <c r="Q2284" s="97"/>
      <c r="R2284" s="98"/>
      <c r="S2284" s="95"/>
      <c r="T2284" s="99"/>
      <c r="U2284" s="469"/>
      <c r="AC2284" s="58"/>
      <c r="AG2284" s="58"/>
      <c r="AH2284" s="87"/>
      <c r="AI2284" s="87"/>
    </row>
    <row r="2285" spans="1:35" ht="16.5" hidden="1" thickBot="1">
      <c r="B2285" s="101"/>
      <c r="C2285" s="101"/>
      <c r="D2285" s="101"/>
      <c r="E2285" s="101"/>
      <c r="F2285" s="101"/>
      <c r="G2285" s="101"/>
      <c r="H2285" s="101"/>
      <c r="I2285" s="101"/>
      <c r="J2285" s="101"/>
      <c r="K2285" s="101"/>
      <c r="L2285" s="101"/>
      <c r="M2285" s="101"/>
      <c r="N2285" s="101"/>
      <c r="O2285" s="101"/>
      <c r="P2285" s="101"/>
      <c r="Q2285" s="101"/>
      <c r="R2285" s="101"/>
      <c r="S2285" s="101"/>
      <c r="U2285" s="50"/>
      <c r="AH2285" s="87"/>
      <c r="AI2285" s="87"/>
    </row>
    <row r="2286" spans="1:35" ht="16.5" hidden="1" customHeight="1" thickBot="1">
      <c r="A2286" s="44"/>
      <c r="B2286" s="705" t="s">
        <v>74</v>
      </c>
      <c r="C2286" s="705"/>
      <c r="D2286" s="705"/>
      <c r="E2286" s="705"/>
      <c r="F2286" s="705"/>
      <c r="G2286" s="705"/>
      <c r="H2286" s="705"/>
      <c r="I2286" s="705"/>
      <c r="J2286" s="705"/>
      <c r="K2286" s="705"/>
      <c r="L2286" s="705"/>
      <c r="M2286" s="705"/>
      <c r="N2286" s="705"/>
      <c r="O2286" s="705"/>
      <c r="P2286" s="705"/>
      <c r="Q2286" s="705"/>
      <c r="R2286" s="705"/>
      <c r="S2286" s="705"/>
      <c r="T2286" s="705"/>
      <c r="U2286" s="108"/>
      <c r="Y2286" s="532" t="s">
        <v>341</v>
      </c>
      <c r="AC2286" s="49"/>
      <c r="AD2286" s="687" t="s">
        <v>302</v>
      </c>
      <c r="AE2286" s="688"/>
      <c r="AF2286" s="689"/>
      <c r="AG2286" s="49"/>
      <c r="AH2286" s="87"/>
      <c r="AI2286" s="87"/>
    </row>
    <row r="2287" spans="1:35" ht="15.75" hidden="1" customHeight="1" thickBot="1">
      <c r="A2287" s="218" t="e">
        <f>"K"&amp;E2269</f>
        <v>#N/A</v>
      </c>
      <c r="B2287" s="701" t="s">
        <v>71</v>
      </c>
      <c r="C2287" s="751" t="s">
        <v>102</v>
      </c>
      <c r="D2287" s="751"/>
      <c r="E2287" s="751"/>
      <c r="F2287" s="751"/>
      <c r="G2287" s="751"/>
      <c r="H2287" s="751"/>
      <c r="I2287" s="751"/>
      <c r="J2287" s="751"/>
      <c r="K2287" s="751"/>
      <c r="L2287" s="722" t="s">
        <v>100</v>
      </c>
      <c r="M2287" s="747" t="s">
        <v>114</v>
      </c>
      <c r="N2287" s="747"/>
      <c r="O2287" s="747"/>
      <c r="P2287" s="747"/>
      <c r="Q2287" s="748"/>
      <c r="R2287" s="758" t="s">
        <v>280</v>
      </c>
      <c r="S2287" s="748"/>
      <c r="T2287" s="762" t="str">
        <f>IF(COUNTIF(AE2287:AF2287,"VERIFICAR")&gt;0,"VERIFICAR",IF(COUNTIF(AE2287:AF2287,"NO CUMPLE")&gt;0,"NO CUMPLE","CUMPLE"))</f>
        <v>VERIFICAR</v>
      </c>
      <c r="U2287" s="108"/>
      <c r="Y2287" s="533" t="e">
        <f>IF(F2288="","",IF(F2288=1,"INDIVIDUAL","ESTRUCTURA PLURAL"))</f>
        <v>#N/A</v>
      </c>
      <c r="AC2287" s="52"/>
      <c r="AD2287" s="475" t="s">
        <v>303</v>
      </c>
      <c r="AE2287" s="476" t="str">
        <f>IF(COUNTIF(AE2273:AE2282,"")=10,"VERIFICAR",IF(COUNTIF(AE2273:AE2282,"SI")&gt;0,"CUMPLE","NO CUMPLE"))</f>
        <v>VERIFICAR</v>
      </c>
      <c r="AF2287" s="477" t="str">
        <f>IF(COUNTIF(AF2273:AF2282,"")=10,"VERIFICAR",IF(COUNTIF(AF2273:AF2282,"SI")&gt;=$AI$22,"CUMPLE","NO CUMPLE"))</f>
        <v>VERIFICAR</v>
      </c>
      <c r="AG2287" s="52"/>
      <c r="AH2287" s="87"/>
      <c r="AI2287" s="87"/>
    </row>
    <row r="2288" spans="1:35" ht="16.5" hidden="1" customHeight="1" thickBot="1">
      <c r="A2288" s="218" t="e">
        <f>"L"&amp;E2269</f>
        <v>#N/A</v>
      </c>
      <c r="B2288" s="702"/>
      <c r="C2288" s="751" t="s">
        <v>103</v>
      </c>
      <c r="D2288" s="751"/>
      <c r="E2288" s="752"/>
      <c r="F2288" s="557" t="e">
        <f>IF(VLOOKUP(E2269,PROPONENTES!$C$19:$E$218,3,0)="","",VLOOKUP(E2269,PROPONENTES!$C$19:$E$218,3,0))</f>
        <v>#N/A</v>
      </c>
      <c r="G2288" s="753" t="s">
        <v>104</v>
      </c>
      <c r="H2288" s="751"/>
      <c r="I2288" s="715" t="e">
        <f>IF(OR(F2288="",F2288=1),"INTERESADO PERSONA NATURAL O JURIDICA","CONSORCIO O UNION TEMPORAL")</f>
        <v>#N/A</v>
      </c>
      <c r="J2288" s="725"/>
      <c r="K2288" s="728"/>
      <c r="L2288" s="723"/>
      <c r="M2288" s="749"/>
      <c r="N2288" s="749"/>
      <c r="O2288" s="749"/>
      <c r="P2288" s="749"/>
      <c r="Q2288" s="750"/>
      <c r="R2288" s="712"/>
      <c r="S2288" s="750"/>
      <c r="T2288" s="763"/>
      <c r="U2288" s="108"/>
      <c r="Y2288" s="534"/>
      <c r="AA2288" s="52"/>
      <c r="AB2288" s="52"/>
      <c r="AC2288" s="52"/>
      <c r="AG2288" s="52"/>
      <c r="AH2288" s="87"/>
      <c r="AI2288" s="87"/>
    </row>
    <row r="2289" spans="1:35" ht="56.25" hidden="1" customHeight="1" thickBot="1">
      <c r="A2289" s="218" t="e">
        <f>"M"&amp;E2269</f>
        <v>#N/A</v>
      </c>
      <c r="B2289" s="702"/>
      <c r="C2289" s="725" t="s">
        <v>101</v>
      </c>
      <c r="D2289" s="716"/>
      <c r="E2289" s="558" t="s">
        <v>105</v>
      </c>
      <c r="F2289" s="554" t="s">
        <v>87</v>
      </c>
      <c r="G2289" s="553" t="s">
        <v>86</v>
      </c>
      <c r="H2289" s="559" t="s">
        <v>85</v>
      </c>
      <c r="I2289" s="554" t="s">
        <v>252</v>
      </c>
      <c r="J2289" s="553" t="str">
        <f>"¿EL INTEGRANTE TIENE UNA PARTICIPACIÓN DEL "&amp;PORCREQUERIDOINT*100&amp;"%?"</f>
        <v>¿EL INTEGRANTE TIENE UNA PARTICIPACIÓN DEL 60%?</v>
      </c>
      <c r="K2289" s="554" t="s">
        <v>107</v>
      </c>
      <c r="L2289" s="724"/>
      <c r="M2289" s="717" t="s">
        <v>115</v>
      </c>
      <c r="N2289" s="718"/>
      <c r="O2289" s="718"/>
      <c r="P2289" s="718"/>
      <c r="Q2289" s="223">
        <f>IF(AND(H2273="SI",P2273&gt;=0),1,0)+IF(AND(H2274="SI",P2274&gt;=0),1,0)+IF(AND(H2275="SI",P2275&gt;=0),1,0)+IF(AND(H2276="SI",P2276&gt;=0),1,0)+IF(AND(H2277="SI",P2277&gt;=0),1,0)+IF(AND(H2278="SI",P2278&gt;=0),1,0)+IF(AND(H2279="SI",P2279&gt;=0),1,0)+IF(AND(H2280="SI",P2280&gt;=0),1,0)+IF(AND(H2281="SI",P2281&gt;=0),1,0)+IF(AND(H2282="SI",P2282&gt;=0),1,0)</f>
        <v>0</v>
      </c>
      <c r="R2289" s="759"/>
      <c r="S2289" s="761"/>
      <c r="T2289" s="764"/>
      <c r="U2289" s="219"/>
      <c r="V2289" s="464"/>
      <c r="Y2289" s="532" t="s">
        <v>342</v>
      </c>
      <c r="AA2289" s="550" t="s">
        <v>344</v>
      </c>
      <c r="AB2289" s="693" t="s">
        <v>345</v>
      </c>
      <c r="AC2289" s="693" t="s">
        <v>346</v>
      </c>
      <c r="AD2289" s="685" t="s">
        <v>347</v>
      </c>
      <c r="AE2289" s="52"/>
      <c r="AF2289" s="52"/>
      <c r="AG2289" s="52"/>
      <c r="AH2289" s="87"/>
      <c r="AI2289" s="87"/>
    </row>
    <row r="2290" spans="1:35" ht="15.75" hidden="1" customHeight="1" thickBot="1">
      <c r="A2290" s="218" t="e">
        <f>"N"&amp;E2269</f>
        <v>#N/A</v>
      </c>
      <c r="B2290" s="702"/>
      <c r="C2290" s="114">
        <v>1</v>
      </c>
      <c r="D2290" s="194" t="e">
        <f>IF(AND(C2290&lt;=F2288,F2288&gt;1,F2288&lt;&gt;""),VLOOKUP(VALUE(E2269&amp;","&amp;C2290),INTEGRANTES!$D$18:$F$235,2,0),"")</f>
        <v>#N/A</v>
      </c>
      <c r="E2290" s="211" t="e">
        <f>IF(D2290&lt;&gt;"",VLOOKUP(VALUE(E2269&amp;","&amp;C2290),INTEGRANTES!$D$18:$F$235,3,0),"")</f>
        <v>#N/A</v>
      </c>
      <c r="F2290" s="547" t="e">
        <f>IF(D2290="","",SUMIF($I2273:$I2282,D2290,$P2273:$P2282))</f>
        <v>#N/A</v>
      </c>
      <c r="G2290" s="333" t="e">
        <f>IF(D2290="","",SUMIF($I2273:$I2282,D2290,$M2273:$M2282))</f>
        <v>#N/A</v>
      </c>
      <c r="H2290" s="535" t="e">
        <f t="shared" ref="H2290:H2295" si="668">IF(D2290="","",IF(OR(F2290=0,G2290=0),"NO APORTA",ROUND($F2290/$G2290,3)))</f>
        <v>#N/A</v>
      </c>
      <c r="I2290" s="212" t="e">
        <f>IF(D2290="","",IF(H2290="NO APORTA","NO",IF(H2290=MAX($H2290:$H2295),"SI","NO")))</f>
        <v>#N/A</v>
      </c>
      <c r="J2290" s="213" t="e">
        <f t="shared" ref="J2290:J2295" si="669">IF(D2290="","",IF(E2290&gt;=PORCREQUERIDOINT,"SI","NO"))</f>
        <v>#N/A</v>
      </c>
      <c r="K2290" s="200" t="e">
        <f t="shared" ref="K2290:K2295" si="670">IF(D2290="","",IF(AND(I2290="SI",J2290="SI"),"CUMPLE",IF(AND(I2290="NO",OR(J2290="SI",J2290="NO")),"","NO CUMPLE")))</f>
        <v>#N/A</v>
      </c>
      <c r="L2290" s="722" t="s">
        <v>108</v>
      </c>
      <c r="M2290" s="726" t="s">
        <v>119</v>
      </c>
      <c r="N2290" s="726"/>
      <c r="O2290" s="726"/>
      <c r="P2290" s="726"/>
      <c r="Q2290" s="727"/>
      <c r="R2290" s="758" t="s">
        <v>80</v>
      </c>
      <c r="S2290" s="747"/>
      <c r="T2290" s="748"/>
      <c r="U2290" s="219"/>
      <c r="V2290" s="464"/>
      <c r="Y2290" s="533" t="e">
        <f>IF(Y2287="","",IF(Y2287="INDIVIDUAL","NO APLICA","VERIFICAR CUADRO"))</f>
        <v>#N/A</v>
      </c>
      <c r="AA2290" s="551"/>
      <c r="AB2290" s="694"/>
      <c r="AC2290" s="694"/>
      <c r="AD2290" s="686"/>
      <c r="AE2290" s="52"/>
      <c r="AF2290" s="52"/>
      <c r="AG2290" s="52"/>
      <c r="AH2290" s="87"/>
      <c r="AI2290" s="87"/>
    </row>
    <row r="2291" spans="1:35" ht="27" hidden="1" customHeight="1" thickBot="1">
      <c r="A2291" s="218" t="e">
        <f>"O"&amp;E2269</f>
        <v>#N/A</v>
      </c>
      <c r="B2291" s="702"/>
      <c r="C2291" s="114">
        <v>2</v>
      </c>
      <c r="D2291" s="194" t="e">
        <f>IF(AND(C2291&lt;=F2288,F2288&lt;&gt;""),VLOOKUP(VALUE(E2269&amp;","&amp;C2291),INTEGRANTES!$D$18:$F$235,2,0),"")</f>
        <v>#N/A</v>
      </c>
      <c r="E2291" s="211" t="e">
        <f>IF(D2291&lt;&gt;"",VLOOKUP(VALUE(E2269&amp;","&amp;C2291),INTEGRANTES!$D$18:$F$235,3,0),"")</f>
        <v>#N/A</v>
      </c>
      <c r="F2291" s="547" t="e">
        <f>IF(D2291="","",SUMIF($I2273:$I2282,D2291,$P2273:$P2282))</f>
        <v>#N/A</v>
      </c>
      <c r="G2291" s="333" t="e">
        <f>IF(D2291="","",SUMIF($I2273:$I2282,D2291,$M2273:$M2282))</f>
        <v>#N/A</v>
      </c>
      <c r="H2291" s="535" t="e">
        <f t="shared" si="668"/>
        <v>#N/A</v>
      </c>
      <c r="I2291" s="212" t="e">
        <f>IF(D2291="","",IF(H2291="NO APORTA","NO",IF(H2291=MAX($H2290:$H2295),"SI","NO")))</f>
        <v>#N/A</v>
      </c>
      <c r="J2291" s="213" t="e">
        <f t="shared" si="669"/>
        <v>#N/A</v>
      </c>
      <c r="K2291" s="200" t="e">
        <f t="shared" si="670"/>
        <v>#N/A</v>
      </c>
      <c r="L2291" s="723"/>
      <c r="M2291" s="715" t="s">
        <v>116</v>
      </c>
      <c r="N2291" s="716"/>
      <c r="O2291" s="556" t="s">
        <v>113</v>
      </c>
      <c r="P2291" s="715" t="s">
        <v>117</v>
      </c>
      <c r="Q2291" s="728"/>
      <c r="R2291" s="759"/>
      <c r="S2291" s="760"/>
      <c r="T2291" s="761"/>
      <c r="U2291" s="219"/>
      <c r="V2291" s="464"/>
      <c r="Y2291" s="414"/>
      <c r="AA2291" s="542" t="e">
        <f>IF(AND(C2290&lt;=F2288,F2288&gt;1,F2288&lt;&gt;""),VLOOKUP(VALUE(E2269&amp;","&amp;C2290),INTEGRANTES!$D$18:$F$235,2,0),"")</f>
        <v>#N/A</v>
      </c>
      <c r="AB2291" s="544" t="e">
        <f t="shared" ref="AB2291:AB2296" si="671">IF(D2290="","",IF(OR(F2290=0,G2290=0),"NO APORTA",ROUND($F2290/$G2290,3)))</f>
        <v>#N/A</v>
      </c>
      <c r="AC2291" s="529"/>
      <c r="AD2291" s="200" t="e">
        <f t="shared" ref="AD2291:AD2296" si="672">IF(OR(AA2291="",AB2291=""),"",IF(AND(AC2291="X",AB2291&gt;=EXPREQVTD),"CUMPLE","NO CUMPLE"))</f>
        <v>#N/A</v>
      </c>
      <c r="AE2291" s="52"/>
      <c r="AF2291" s="52"/>
      <c r="AG2291" s="52"/>
      <c r="AH2291" s="87"/>
      <c r="AI2291" s="87"/>
    </row>
    <row r="2292" spans="1:35" ht="16.5" hidden="1" thickBot="1">
      <c r="A2292" s="218" t="e">
        <f>"P"&amp;E2269</f>
        <v>#N/A</v>
      </c>
      <c r="B2292" s="702"/>
      <c r="C2292" s="114">
        <v>3</v>
      </c>
      <c r="D2292" s="194" t="e">
        <f>IF(AND(C2292&lt;=F2288,F2288&lt;&gt;""),VLOOKUP(VALUE(E2269&amp;","&amp;C2292),INTEGRANTES!$D$18:$F$235,2,0),"")</f>
        <v>#N/A</v>
      </c>
      <c r="E2292" s="211" t="e">
        <f>IF(D2292&lt;&gt;"",VLOOKUP(VALUE(E2269&amp;","&amp;C2292),INTEGRANTES!$D$18:$F$235,3,0),"")</f>
        <v>#N/A</v>
      </c>
      <c r="F2292" s="547" t="e">
        <f>IF(D2292="","",SUMIF($I2273:$I2282,D2292,$P2273:$P2282))</f>
        <v>#N/A</v>
      </c>
      <c r="G2292" s="333" t="e">
        <f>IF(D2292="","",SUMIF($I2273:$I2282,D2292,$M2273:$M2282))</f>
        <v>#N/A</v>
      </c>
      <c r="H2292" s="535" t="e">
        <f t="shared" si="668"/>
        <v>#N/A</v>
      </c>
      <c r="I2292" s="212" t="e">
        <f>IF(D2292="","",IF(H2292="NO APORTA","NO",IF(H2292=MAX($H2290:$H2295),"SI","NO")))</f>
        <v>#N/A</v>
      </c>
      <c r="J2292" s="213" t="e">
        <f t="shared" si="669"/>
        <v>#N/A</v>
      </c>
      <c r="K2292" s="200" t="e">
        <f t="shared" si="670"/>
        <v>#N/A</v>
      </c>
      <c r="L2292" s="724"/>
      <c r="M2292" s="729">
        <f>NUMMOD</f>
        <v>1</v>
      </c>
      <c r="N2292" s="730"/>
      <c r="O2292" s="443">
        <f>IF(M2292="","",VLOOKUP(M2292,PRESUPUESTOS!$B$16:$H$16,5,FALSE))</f>
        <v>2</v>
      </c>
      <c r="P2292" s="713">
        <f>IF(OR(COUNTIF(M2273:M2282,"")&gt;=10,Q2289&lt;NUMMINCONT,OR(T2287="NO CUMPLE",T2287="VERIFICAR")),0,ROUND(AVERAGE(M2273:M2282),3))</f>
        <v>0</v>
      </c>
      <c r="Q2292" s="714"/>
      <c r="R2292" s="458"/>
      <c r="S2292" s="459"/>
      <c r="T2292" s="460"/>
      <c r="U2292" s="219"/>
      <c r="V2292" s="464"/>
      <c r="Y2292" s="532" t="str">
        <f>"40% * ("&amp;PRESUPUESTOS!$H$13&amp;")"</f>
        <v>40% * (50% PFMO)</v>
      </c>
      <c r="AA2292" s="540" t="e">
        <f>IF(AND(C2291&lt;=F2288,F2288&lt;&gt;""),VLOOKUP(VALUE(E2269&amp;","&amp;C2291),INTEGRANTES!$D$18:$F$235,2,0),"")</f>
        <v>#N/A</v>
      </c>
      <c r="AB2292" s="545" t="e">
        <f t="shared" si="671"/>
        <v>#N/A</v>
      </c>
      <c r="AC2292" s="529"/>
      <c r="AD2292" s="200" t="e">
        <f t="shared" si="672"/>
        <v>#N/A</v>
      </c>
      <c r="AE2292" s="52"/>
      <c r="AF2292" s="52"/>
      <c r="AG2292" s="52"/>
      <c r="AH2292" s="87"/>
      <c r="AI2292" s="87"/>
    </row>
    <row r="2293" spans="1:35" ht="15.75" hidden="1" customHeight="1" thickBot="1">
      <c r="A2293" s="218" t="e">
        <f>"Q"&amp;E2269</f>
        <v>#N/A</v>
      </c>
      <c r="B2293" s="702"/>
      <c r="C2293" s="114">
        <v>4</v>
      </c>
      <c r="D2293" s="194" t="e">
        <f>IF(AND(C2293&lt;=F2288,F2288&lt;&gt;""),VLOOKUP(VALUE(E2269&amp;","&amp;C2293),INTEGRANTES!$D$18:$F$235,2,0),"")</f>
        <v>#N/A</v>
      </c>
      <c r="E2293" s="211" t="e">
        <f>IF(D2293&lt;&gt;"",VLOOKUP(VALUE(E2269&amp;","&amp;C2293),INTEGRANTES!$D$18:$F$235,3,0),"")</f>
        <v>#N/A</v>
      </c>
      <c r="F2293" s="547" t="e">
        <f>IF(D2293="","",SUMIF($I2273:$I2282,D2293,$P2273:$P2282))</f>
        <v>#N/A</v>
      </c>
      <c r="G2293" s="333" t="e">
        <f>IF(D2293="","",SUMIF($I2273:$I2282,D2293,$M2273:$M2282))</f>
        <v>#N/A</v>
      </c>
      <c r="H2293" s="535" t="e">
        <f t="shared" si="668"/>
        <v>#N/A</v>
      </c>
      <c r="I2293" s="212" t="e">
        <f>IF(D2293="","",IF(H2293="NO APORTA","NO",IF(H2293=MAX($H2290:$H2295),"SI","NO")))</f>
        <v>#N/A</v>
      </c>
      <c r="J2293" s="213" t="e">
        <f t="shared" si="669"/>
        <v>#N/A</v>
      </c>
      <c r="K2293" s="200" t="e">
        <f t="shared" si="670"/>
        <v>#N/A</v>
      </c>
      <c r="L2293" s="720" t="s">
        <v>109</v>
      </c>
      <c r="M2293" s="757" t="s">
        <v>120</v>
      </c>
      <c r="N2293" s="726"/>
      <c r="O2293" s="726"/>
      <c r="P2293" s="726"/>
      <c r="Q2293" s="727"/>
      <c r="R2293" s="458"/>
      <c r="S2293" s="459"/>
      <c r="T2293" s="460"/>
      <c r="U2293" s="219"/>
      <c r="V2293" s="464"/>
      <c r="Y2293" s="537">
        <f>0.4*PRESUPUESTOS!$H$16</f>
        <v>10.3124</v>
      </c>
      <c r="AA2293" s="540" t="e">
        <f>IF(AND(C2292&lt;=F2288,F2288&lt;&gt;""),VLOOKUP(VALUE(E2269&amp;","&amp;C2292),INTEGRANTES!$D$18:$F$235,2,0),"")</f>
        <v>#N/A</v>
      </c>
      <c r="AB2293" s="545" t="e">
        <f t="shared" si="671"/>
        <v>#N/A</v>
      </c>
      <c r="AC2293" s="529"/>
      <c r="AD2293" s="200" t="e">
        <f t="shared" si="672"/>
        <v>#N/A</v>
      </c>
      <c r="AE2293" s="52"/>
      <c r="AF2293" s="52"/>
      <c r="AG2293" s="52"/>
      <c r="AH2293" s="87"/>
      <c r="AI2293" s="87"/>
    </row>
    <row r="2294" spans="1:35" ht="27" hidden="1" customHeight="1" thickBot="1">
      <c r="A2294" s="218" t="e">
        <f>"R"&amp;E2269</f>
        <v>#N/A</v>
      </c>
      <c r="B2294" s="702"/>
      <c r="C2294" s="114">
        <v>5</v>
      </c>
      <c r="D2294" s="194" t="e">
        <f>IF(AND(C2294&lt;=F2288,F2288&lt;&gt;""),VLOOKUP(VALUE(E2269&amp;","&amp;C2294),INTEGRANTES!$D$18:$F$235,2,0),"")</f>
        <v>#N/A</v>
      </c>
      <c r="E2294" s="211" t="e">
        <f>IF(D2294&lt;&gt;"",VLOOKUP(VALUE(E2269&amp;","&amp;C2294),INTEGRANTES!$D$18:$F$235,3,0),"")</f>
        <v>#N/A</v>
      </c>
      <c r="F2294" s="547" t="e">
        <f>IF(D2294="","",SUMIF($I2273:$I2282,D2294,$P2273:$P2282))</f>
        <v>#N/A</v>
      </c>
      <c r="G2294" s="333" t="e">
        <f>IF(D2294="","",SUMIF($I2273:$I2282,D2294,$M2273:$M2282))</f>
        <v>#N/A</v>
      </c>
      <c r="H2294" s="535" t="e">
        <f t="shared" si="668"/>
        <v>#N/A</v>
      </c>
      <c r="I2294" s="212" t="e">
        <f>IF(D2294="","",IF(H2294="NO APORTA","NO",IF(H2294=MAX($H2290:$H2295),"SI","NO")))</f>
        <v>#N/A</v>
      </c>
      <c r="J2294" s="213" t="e">
        <f t="shared" si="669"/>
        <v>#N/A</v>
      </c>
      <c r="K2294" s="200" t="e">
        <f t="shared" si="670"/>
        <v>#N/A</v>
      </c>
      <c r="L2294" s="721"/>
      <c r="M2294" s="715" t="s">
        <v>116</v>
      </c>
      <c r="N2294" s="716"/>
      <c r="O2294" s="556" t="str">
        <f>PORCREQUERIDO*100&amp;"% PMFO DEL MÓDULO"</f>
        <v>50% PMFO DEL MÓDULO</v>
      </c>
      <c r="P2294" s="715" t="s">
        <v>118</v>
      </c>
      <c r="Q2294" s="728"/>
      <c r="R2294" s="458"/>
      <c r="S2294" s="459"/>
      <c r="T2294" s="460"/>
      <c r="U2294" s="219"/>
      <c r="V2294" s="464"/>
      <c r="Y2294" s="414"/>
      <c r="AA2294" s="540" t="e">
        <f>IF(AND(C2293&lt;=F2288,F2288&lt;&gt;""),VLOOKUP(VALUE(E2269&amp;","&amp;C2293),INTEGRANTES!$D$18:$F$235,2,0),"")</f>
        <v>#N/A</v>
      </c>
      <c r="AB2294" s="545" t="e">
        <f t="shared" si="671"/>
        <v>#N/A</v>
      </c>
      <c r="AC2294" s="529"/>
      <c r="AD2294" s="200" t="e">
        <f t="shared" si="672"/>
        <v>#N/A</v>
      </c>
      <c r="AE2294" s="52"/>
      <c r="AF2294" s="52"/>
      <c r="AG2294" s="52"/>
      <c r="AH2294" s="87"/>
      <c r="AI2294" s="87"/>
    </row>
    <row r="2295" spans="1:35" ht="16.5" hidden="1" thickBot="1">
      <c r="A2295" s="218" t="e">
        <f>"S"&amp;E2269</f>
        <v>#N/A</v>
      </c>
      <c r="B2295" s="702"/>
      <c r="C2295" s="215">
        <v>6</v>
      </c>
      <c r="D2295" s="216" t="e">
        <f>IF(AND(C2295&lt;=F2288,F2288&lt;&gt;""),VLOOKUP(VALUE(E2269&amp;","&amp;C2295),INTEGRANTES!$D$18:$F$235,2,0),"")</f>
        <v>#N/A</v>
      </c>
      <c r="E2295" s="217" t="e">
        <f>IF(D2295&lt;&gt;"",VLOOKUP(VALUE(E2269&amp;","&amp;C2295),INTEGRANTES!$D$18:$F$235,3,0),"")</f>
        <v>#N/A</v>
      </c>
      <c r="F2295" s="548" t="e">
        <f>IF(D2295="","",SUMIF($I2273:$I2282,D2295,$P2273:$P2282))</f>
        <v>#N/A</v>
      </c>
      <c r="G2295" s="334" t="e">
        <f>IF(D2295="","",SUMIF($I2273:$I2282,D2295,$M2273:$M2282))</f>
        <v>#N/A</v>
      </c>
      <c r="H2295" s="536" t="e">
        <f t="shared" si="668"/>
        <v>#N/A</v>
      </c>
      <c r="I2295" s="214" t="e">
        <f>IF(D2295="","",IF(H2295="NO APORTA","NO",IF(H2295=MAX($H2290:$H2295),"SI","NO")))</f>
        <v>#N/A</v>
      </c>
      <c r="J2295" s="213" t="e">
        <f t="shared" si="669"/>
        <v>#N/A</v>
      </c>
      <c r="K2295" s="200" t="e">
        <f t="shared" si="670"/>
        <v>#N/A</v>
      </c>
      <c r="L2295" s="721"/>
      <c r="M2295" s="729">
        <f>NUMMOD</f>
        <v>1</v>
      </c>
      <c r="N2295" s="730"/>
      <c r="O2295" s="443">
        <f>IF(M2295="","",ROUND(VLOOKUP(M2295,PRESUPUESTOS!$B$16:$H$16,7,FALSE),3))</f>
        <v>25.780999999999999</v>
      </c>
      <c r="P2295" s="713">
        <f>IF(OR(COUNTIF(P2273:P2282,"")&gt;=10,Q2289&lt;NUMMINCONT,OR(T2287="NO CUMPLE",T2287="VERIFICAR")),0,ROUND((SUM(P2273:P2282)/SUM(M2273:M2282)),3))</f>
        <v>0</v>
      </c>
      <c r="Q2295" s="714"/>
      <c r="R2295" s="458"/>
      <c r="S2295" s="459"/>
      <c r="T2295" s="460"/>
      <c r="U2295" s="219"/>
      <c r="V2295" s="464"/>
      <c r="Y2295" s="532" t="s">
        <v>343</v>
      </c>
      <c r="AA2295" s="540" t="e">
        <f>IF(AND(C2294&lt;=F2288,F2288&lt;&gt;""),VLOOKUP(VALUE(E2269&amp;","&amp;C2294),INTEGRANTES!$D$18:$F$235,2,0),"")</f>
        <v>#N/A</v>
      </c>
      <c r="AB2295" s="545" t="e">
        <f t="shared" si="671"/>
        <v>#N/A</v>
      </c>
      <c r="AC2295" s="529"/>
      <c r="AD2295" s="200" t="e">
        <f t="shared" si="672"/>
        <v>#N/A</v>
      </c>
      <c r="AE2295" s="52"/>
      <c r="AF2295" s="52"/>
      <c r="AG2295" s="52"/>
      <c r="AH2295" s="87"/>
      <c r="AI2295" s="87"/>
    </row>
    <row r="2296" spans="1:35" ht="16.5" hidden="1" customHeight="1" thickBot="1">
      <c r="A2296" s="218" t="e">
        <f>"T"&amp;E2269</f>
        <v>#N/A</v>
      </c>
      <c r="B2296" s="703"/>
      <c r="C2296" s="719"/>
      <c r="D2296" s="719"/>
      <c r="E2296" s="719"/>
      <c r="F2296" s="719"/>
      <c r="G2296" s="719"/>
      <c r="H2296" s="719" t="s">
        <v>110</v>
      </c>
      <c r="I2296" s="719"/>
      <c r="J2296" s="719"/>
      <c r="K2296" s="201" t="str">
        <f>IF(COUNTIF(K2290:K2295,"")=6,"",IF(COUNTIF(K2290:K2295,"CUMPLE")&gt;0,"CUMPLE","NO CUMPLE"))</f>
        <v>NO CUMPLE</v>
      </c>
      <c r="L2296" s="754"/>
      <c r="M2296" s="755"/>
      <c r="N2296" s="755"/>
      <c r="O2296" s="755"/>
      <c r="P2296" s="755"/>
      <c r="Q2296" s="756"/>
      <c r="R2296" s="461"/>
      <c r="S2296" s="462"/>
      <c r="T2296" s="463"/>
      <c r="U2296" s="219"/>
      <c r="V2296" s="464"/>
      <c r="Y2296" s="549" t="e">
        <f>IF(Y2290="NO APLICA","NO APLICA",IF(COUNTIF(AD2291:AD2296,"CUMPLE")&gt;0,"CUMPLE","NO CUMPLE"))</f>
        <v>#N/A</v>
      </c>
      <c r="AA2296" s="541" t="e">
        <f>IF(AND(C2295&lt;=F2288,F2288&lt;&gt;""),VLOOKUP(VALUE(E2269&amp;","&amp;C2295),INTEGRANTES!$D$18:$F$235,2,0),"")</f>
        <v>#N/A</v>
      </c>
      <c r="AB2296" s="546" t="e">
        <f t="shared" si="671"/>
        <v>#N/A</v>
      </c>
      <c r="AC2296" s="543"/>
      <c r="AD2296" s="201" t="e">
        <f t="shared" si="672"/>
        <v>#N/A</v>
      </c>
      <c r="AE2296" s="52"/>
      <c r="AF2296" s="52"/>
      <c r="AG2296" s="52"/>
      <c r="AH2296" s="87"/>
      <c r="AI2296" s="87"/>
    </row>
    <row r="2297" spans="1:35" hidden="1">
      <c r="AH2297" s="87"/>
      <c r="AI2297" s="87"/>
    </row>
    <row r="2298" spans="1:35" hidden="1">
      <c r="AH2298" s="87"/>
      <c r="AI2298" s="87"/>
    </row>
    <row r="2299" spans="1:35" ht="24" hidden="1" thickBot="1">
      <c r="A2299" s="61">
        <v>77</v>
      </c>
      <c r="B2299" s="704" t="s">
        <v>51</v>
      </c>
      <c r="C2299" s="704"/>
      <c r="D2299" s="704"/>
      <c r="E2299" s="62" t="e">
        <f>VLOOKUP(A2299,PROPONENTES!$B$19:$E$218,2,FALSE)</f>
        <v>#N/A</v>
      </c>
      <c r="F2299" s="63" t="e">
        <f>VLOOKUP(A2299,PROPONENTES!$B$19:$E$218,3,FALSE)</f>
        <v>#N/A</v>
      </c>
      <c r="G2299" s="64"/>
      <c r="H2299" s="64"/>
      <c r="I2299" s="63"/>
      <c r="J2299" s="63"/>
      <c r="K2299" s="65"/>
      <c r="L2299" s="65"/>
      <c r="M2299" s="64"/>
      <c r="N2299" s="64"/>
      <c r="O2299" s="66"/>
      <c r="P2299" s="66"/>
      <c r="Q2299" s="66"/>
      <c r="R2299" s="66"/>
      <c r="S2299" s="67"/>
      <c r="T2299" s="68"/>
      <c r="U2299" s="68"/>
      <c r="AC2299" s="68"/>
      <c r="AD2299" s="68"/>
      <c r="AE2299" s="68"/>
      <c r="AF2299" s="68"/>
      <c r="AG2299" s="68"/>
      <c r="AH2299" s="87"/>
      <c r="AI2299" s="87"/>
    </row>
    <row r="2300" spans="1:35" ht="15.75" hidden="1" customHeight="1">
      <c r="A2300" s="44"/>
      <c r="B2300" s="709" t="s">
        <v>59</v>
      </c>
      <c r="C2300" s="552" t="s">
        <v>60</v>
      </c>
      <c r="D2300" s="70" t="s">
        <v>17</v>
      </c>
      <c r="E2300" s="70"/>
      <c r="F2300" s="70" t="s">
        <v>61</v>
      </c>
      <c r="G2300" s="71"/>
      <c r="H2300" s="699" t="s">
        <v>62</v>
      </c>
      <c r="I2300" s="699" t="s">
        <v>18</v>
      </c>
      <c r="J2300" s="699" t="s">
        <v>63</v>
      </c>
      <c r="K2300" s="699" t="s">
        <v>64</v>
      </c>
      <c r="L2300" s="699" t="s">
        <v>65</v>
      </c>
      <c r="M2300" s="743" t="s">
        <v>66</v>
      </c>
      <c r="N2300" s="699" t="s">
        <v>282</v>
      </c>
      <c r="O2300" s="745" t="s">
        <v>67</v>
      </c>
      <c r="P2300" s="746"/>
      <c r="Q2300" s="102" t="s">
        <v>75</v>
      </c>
      <c r="R2300" s="731" t="s">
        <v>22</v>
      </c>
      <c r="S2300" s="732"/>
      <c r="T2300" s="733"/>
      <c r="U2300" s="712" t="s">
        <v>298</v>
      </c>
      <c r="W2300" s="690" t="s">
        <v>268</v>
      </c>
      <c r="X2300" s="691"/>
      <c r="Y2300" s="692"/>
      <c r="Z2300" s="428"/>
      <c r="AA2300" s="697" t="s">
        <v>315</v>
      </c>
      <c r="AB2300" s="695" t="s">
        <v>322</v>
      </c>
      <c r="AC2300" s="49"/>
      <c r="AD2300" s="690" t="s">
        <v>297</v>
      </c>
      <c r="AE2300" s="691"/>
      <c r="AF2300" s="692"/>
      <c r="AG2300" s="49"/>
      <c r="AH2300" s="87"/>
      <c r="AI2300" s="87"/>
    </row>
    <row r="2301" spans="1:35" ht="72" hidden="1">
      <c r="A2301" s="44"/>
      <c r="B2301" s="710"/>
      <c r="C2301" s="553" t="s">
        <v>68</v>
      </c>
      <c r="D2301" s="73" t="s">
        <v>3</v>
      </c>
      <c r="E2301" s="73" t="s">
        <v>19</v>
      </c>
      <c r="F2301" s="73" t="s">
        <v>69</v>
      </c>
      <c r="G2301" s="74" t="s">
        <v>70</v>
      </c>
      <c r="H2301" s="700"/>
      <c r="I2301" s="700"/>
      <c r="J2301" s="700"/>
      <c r="K2301" s="700"/>
      <c r="L2301" s="700"/>
      <c r="M2301" s="744"/>
      <c r="N2301" s="700"/>
      <c r="O2301" s="553" t="s">
        <v>279</v>
      </c>
      <c r="P2301" s="73" t="s">
        <v>88</v>
      </c>
      <c r="Q2301" s="555" t="s">
        <v>76</v>
      </c>
      <c r="R2301" s="734"/>
      <c r="S2301" s="735"/>
      <c r="T2301" s="736"/>
      <c r="U2301" s="712"/>
      <c r="W2301" s="429" t="s">
        <v>269</v>
      </c>
      <c r="X2301" s="457" t="s">
        <v>278</v>
      </c>
      <c r="Y2301" s="430" t="s">
        <v>324</v>
      </c>
      <c r="Z2301" s="428"/>
      <c r="AA2301" s="698"/>
      <c r="AB2301" s="696"/>
      <c r="AC2301" s="49"/>
      <c r="AD2301" s="429" t="s">
        <v>292</v>
      </c>
      <c r="AE2301" s="431" t="s">
        <v>300</v>
      </c>
      <c r="AF2301" s="468" t="s">
        <v>301</v>
      </c>
      <c r="AG2301" s="49"/>
      <c r="AH2301" s="87"/>
      <c r="AI2301" s="87"/>
    </row>
    <row r="2302" spans="1:35" hidden="1">
      <c r="A2302" s="44"/>
      <c r="B2302" s="76"/>
      <c r="C2302" s="77"/>
      <c r="D2302" s="77"/>
      <c r="E2302" s="77"/>
      <c r="F2302" s="77"/>
      <c r="G2302" s="77"/>
      <c r="H2302" s="77"/>
      <c r="I2302" s="77"/>
      <c r="J2302" s="77"/>
      <c r="K2302" s="77"/>
      <c r="L2302" s="77"/>
      <c r="M2302" s="77"/>
      <c r="N2302" s="77"/>
      <c r="O2302" s="77"/>
      <c r="P2302" s="77"/>
      <c r="Q2302" s="77"/>
      <c r="R2302" s="77"/>
      <c r="S2302" s="78"/>
      <c r="T2302" s="79"/>
      <c r="U2302" s="109"/>
      <c r="V2302" s="49"/>
      <c r="W2302" s="432"/>
      <c r="X2302" s="454"/>
      <c r="Y2302" s="433"/>
      <c r="Z2302" s="6"/>
      <c r="AA2302" s="500"/>
      <c r="AB2302" s="562"/>
      <c r="AC2302" s="49"/>
      <c r="AD2302" s="210"/>
      <c r="AE2302" s="434"/>
      <c r="AF2302" s="435"/>
      <c r="AG2302" s="49"/>
      <c r="AH2302" s="87"/>
      <c r="AI2302" s="87"/>
    </row>
    <row r="2303" spans="1:35" hidden="1">
      <c r="A2303" s="80" t="e">
        <f>"A"&amp;E2299</f>
        <v>#N/A</v>
      </c>
      <c r="B2303" s="81">
        <v>1</v>
      </c>
      <c r="C2303" s="82"/>
      <c r="D2303" s="82"/>
      <c r="E2303" s="82"/>
      <c r="F2303" s="82"/>
      <c r="G2303" s="83"/>
      <c r="H2303" s="83"/>
      <c r="I2303" s="84"/>
      <c r="J2303" s="85"/>
      <c r="K2303" s="382"/>
      <c r="L2303" s="85"/>
      <c r="M2303" s="332" t="str">
        <f t="shared" ref="M2303:M2312" si="673">IF(OR(J2303="",L2303="",H2303="NO"),"",IF(OR(J2303&gt;$P$17,J2303&lt;$O$17,L2303&gt;$P$17,AND(J2303&lt;$O$17,L2303&lt;$O$17)),"FUERA DE RANGO",IF(OR(K2303="---",K2303=""),IF(J2303&gt;=$O$17,ROUND((L2303-J2303+1)/360*12,3),ROUND((L2303-$O$17+1)/360*12,3)),IF(J2303&gt;=$O$17,ROUND((L2303-J2303+1)/360*12-ROUND(K2303,3),3),ROUND((L2303-$O$17+1)/360*12-ROUND(K2303,3),3)))))</f>
        <v/>
      </c>
      <c r="N2303" s="86"/>
      <c r="O2303" s="453" t="str">
        <f>IF(OR(G2303="",N2303=""),"",N2303*G2303)</f>
        <v/>
      </c>
      <c r="P2303" s="538" t="str">
        <f>IF(OR(H2303="",M2303="FUERA DE RANGO"),"",IF(OR(L2303&lt;$O$17,L2303&gt;$P$17,L2303="",H2303="NO"),"",IF(OR(N2303="",O2303=""),"",ROUND(O2303,3))))</f>
        <v/>
      </c>
      <c r="Q2303" s="539" t="str">
        <f t="shared" ref="Q2303:Q2312" si="674">IF(AND(H2303="SI",P2303&lt;&gt;""),ROUND(P2303/M2303,3),"")</f>
        <v/>
      </c>
      <c r="R2303" s="737"/>
      <c r="S2303" s="738"/>
      <c r="T2303" s="739"/>
      <c r="U2303" s="470"/>
      <c r="V2303" s="165"/>
      <c r="W2303" s="446"/>
      <c r="X2303" s="456"/>
      <c r="Y2303" s="436"/>
      <c r="Z2303" s="437"/>
      <c r="AA2303" s="560"/>
      <c r="AB2303" s="561"/>
      <c r="AC2303" s="87"/>
      <c r="AD2303" s="466"/>
      <c r="AE2303" s="456"/>
      <c r="AF2303" s="467"/>
      <c r="AG2303" s="87"/>
      <c r="AH2303" s="87"/>
      <c r="AI2303" s="87"/>
    </row>
    <row r="2304" spans="1:35" hidden="1">
      <c r="A2304" s="80" t="e">
        <f>"B"&amp;E2299</f>
        <v>#N/A</v>
      </c>
      <c r="B2304" s="81">
        <v>2</v>
      </c>
      <c r="C2304" s="106"/>
      <c r="D2304" s="106"/>
      <c r="E2304" s="106"/>
      <c r="F2304" s="106"/>
      <c r="G2304" s="83"/>
      <c r="H2304" s="83"/>
      <c r="I2304" s="84"/>
      <c r="J2304" s="85"/>
      <c r="K2304" s="382"/>
      <c r="L2304" s="85"/>
      <c r="M2304" s="332" t="str">
        <f t="shared" si="673"/>
        <v/>
      </c>
      <c r="N2304" s="86"/>
      <c r="O2304" s="453" t="str">
        <f t="shared" ref="O2304:O2312" si="675">IF(OR(G2304="",N2304=""),"",N2304*G2304)</f>
        <v/>
      </c>
      <c r="P2304" s="538" t="str">
        <f t="shared" ref="P2304:P2312" si="676">IF(OR(H2304="",M2304="FUERA DE RANGO"),"",IF(OR(L2304&lt;$O$17,L2304&gt;$P$17,L2304="",H2304="NO"),"",IF(OR(N2304="",O2304=""),"",ROUND(O2304,3))))</f>
        <v/>
      </c>
      <c r="Q2304" s="539" t="str">
        <f t="shared" si="674"/>
        <v/>
      </c>
      <c r="R2304" s="740"/>
      <c r="S2304" s="741"/>
      <c r="T2304" s="742"/>
      <c r="U2304" s="471"/>
      <c r="V2304" s="165"/>
      <c r="W2304" s="446"/>
      <c r="X2304" s="456"/>
      <c r="Y2304" s="436"/>
      <c r="Z2304" s="437"/>
      <c r="AA2304" s="560"/>
      <c r="AB2304" s="561"/>
      <c r="AC2304" s="87"/>
      <c r="AD2304" s="466"/>
      <c r="AE2304" s="456"/>
      <c r="AF2304" s="467"/>
      <c r="AG2304" s="87"/>
      <c r="AH2304" s="87"/>
      <c r="AI2304" s="87"/>
    </row>
    <row r="2305" spans="1:35" hidden="1">
      <c r="A2305" s="80" t="e">
        <f>"C"&amp;E2299</f>
        <v>#N/A</v>
      </c>
      <c r="B2305" s="88">
        <v>3</v>
      </c>
      <c r="C2305" s="82"/>
      <c r="D2305" s="82"/>
      <c r="E2305" s="82"/>
      <c r="F2305" s="82"/>
      <c r="G2305" s="83"/>
      <c r="H2305" s="83"/>
      <c r="I2305" s="84"/>
      <c r="J2305" s="85"/>
      <c r="K2305" s="382"/>
      <c r="L2305" s="85"/>
      <c r="M2305" s="332" t="str">
        <f t="shared" si="673"/>
        <v/>
      </c>
      <c r="N2305" s="86"/>
      <c r="O2305" s="453" t="str">
        <f t="shared" si="675"/>
        <v/>
      </c>
      <c r="P2305" s="538" t="str">
        <f t="shared" si="676"/>
        <v/>
      </c>
      <c r="Q2305" s="539" t="str">
        <f t="shared" si="674"/>
        <v/>
      </c>
      <c r="R2305" s="706"/>
      <c r="S2305" s="707"/>
      <c r="T2305" s="708"/>
      <c r="U2305" s="472"/>
      <c r="V2305" s="166"/>
      <c r="W2305" s="446"/>
      <c r="X2305" s="456"/>
      <c r="Y2305" s="436"/>
      <c r="Z2305" s="437"/>
      <c r="AA2305" s="560"/>
      <c r="AB2305" s="561"/>
      <c r="AC2305" s="87"/>
      <c r="AD2305" s="466"/>
      <c r="AE2305" s="456"/>
      <c r="AF2305" s="467"/>
      <c r="AG2305" s="87"/>
      <c r="AH2305" s="87"/>
      <c r="AI2305" s="87"/>
    </row>
    <row r="2306" spans="1:35" hidden="1">
      <c r="A2306" s="80" t="e">
        <f>"D"&amp;E2299</f>
        <v>#N/A</v>
      </c>
      <c r="B2306" s="105">
        <v>4</v>
      </c>
      <c r="C2306" s="107"/>
      <c r="D2306" s="107"/>
      <c r="E2306" s="107"/>
      <c r="F2306" s="107"/>
      <c r="G2306" s="83"/>
      <c r="H2306" s="83"/>
      <c r="I2306" s="84"/>
      <c r="J2306" s="85"/>
      <c r="K2306" s="382"/>
      <c r="L2306" s="85"/>
      <c r="M2306" s="332" t="str">
        <f t="shared" si="673"/>
        <v/>
      </c>
      <c r="N2306" s="86"/>
      <c r="O2306" s="453" t="str">
        <f t="shared" si="675"/>
        <v/>
      </c>
      <c r="P2306" s="538" t="str">
        <f t="shared" si="676"/>
        <v/>
      </c>
      <c r="Q2306" s="539" t="str">
        <f t="shared" si="674"/>
        <v/>
      </c>
      <c r="R2306" s="706"/>
      <c r="S2306" s="707"/>
      <c r="T2306" s="708"/>
      <c r="U2306" s="472"/>
      <c r="V2306" s="166"/>
      <c r="W2306" s="446"/>
      <c r="X2306" s="456"/>
      <c r="Y2306" s="436"/>
      <c r="Z2306" s="437"/>
      <c r="AA2306" s="560"/>
      <c r="AB2306" s="561"/>
      <c r="AC2306" s="87"/>
      <c r="AD2306" s="466"/>
      <c r="AE2306" s="456"/>
      <c r="AF2306" s="467"/>
      <c r="AG2306" s="87"/>
      <c r="AH2306" s="87"/>
      <c r="AI2306" s="87"/>
    </row>
    <row r="2307" spans="1:35" hidden="1">
      <c r="A2307" s="80" t="e">
        <f>"E"&amp;E2299</f>
        <v>#N/A</v>
      </c>
      <c r="B2307" s="105">
        <v>5</v>
      </c>
      <c r="C2307" s="107"/>
      <c r="D2307" s="107"/>
      <c r="E2307" s="107"/>
      <c r="F2307" s="107"/>
      <c r="G2307" s="83"/>
      <c r="H2307" s="83"/>
      <c r="I2307" s="84"/>
      <c r="J2307" s="85"/>
      <c r="K2307" s="382"/>
      <c r="L2307" s="85"/>
      <c r="M2307" s="332" t="str">
        <f t="shared" si="673"/>
        <v/>
      </c>
      <c r="N2307" s="86"/>
      <c r="O2307" s="453" t="str">
        <f t="shared" si="675"/>
        <v/>
      </c>
      <c r="P2307" s="538" t="str">
        <f t="shared" si="676"/>
        <v/>
      </c>
      <c r="Q2307" s="539" t="str">
        <f t="shared" si="674"/>
        <v/>
      </c>
      <c r="R2307" s="706"/>
      <c r="S2307" s="707"/>
      <c r="T2307" s="708"/>
      <c r="U2307" s="472"/>
      <c r="V2307" s="167"/>
      <c r="W2307" s="446"/>
      <c r="X2307" s="456"/>
      <c r="Y2307" s="436"/>
      <c r="Z2307" s="437"/>
      <c r="AA2307" s="560"/>
      <c r="AB2307" s="561"/>
      <c r="AC2307" s="87"/>
      <c r="AD2307" s="466"/>
      <c r="AE2307" s="456"/>
      <c r="AF2307" s="467"/>
      <c r="AG2307" s="87"/>
      <c r="AH2307" s="87"/>
      <c r="AI2307" s="87"/>
    </row>
    <row r="2308" spans="1:35" hidden="1">
      <c r="A2308" s="80" t="e">
        <f>"F"&amp;E2299</f>
        <v>#N/A</v>
      </c>
      <c r="B2308" s="105">
        <v>6</v>
      </c>
      <c r="C2308" s="107"/>
      <c r="D2308" s="107"/>
      <c r="E2308" s="107"/>
      <c r="F2308" s="107"/>
      <c r="G2308" s="83"/>
      <c r="H2308" s="83"/>
      <c r="I2308" s="84"/>
      <c r="J2308" s="85"/>
      <c r="K2308" s="382"/>
      <c r="L2308" s="85"/>
      <c r="M2308" s="332" t="str">
        <f t="shared" si="673"/>
        <v/>
      </c>
      <c r="N2308" s="86"/>
      <c r="O2308" s="453" t="str">
        <f t="shared" si="675"/>
        <v/>
      </c>
      <c r="P2308" s="538" t="str">
        <f t="shared" si="676"/>
        <v/>
      </c>
      <c r="Q2308" s="539" t="str">
        <f t="shared" si="674"/>
        <v/>
      </c>
      <c r="R2308" s="706"/>
      <c r="S2308" s="707"/>
      <c r="T2308" s="708"/>
      <c r="U2308" s="472"/>
      <c r="V2308" s="167"/>
      <c r="W2308" s="446"/>
      <c r="X2308" s="456"/>
      <c r="Y2308" s="436"/>
      <c r="Z2308" s="437"/>
      <c r="AA2308" s="560"/>
      <c r="AB2308" s="561"/>
      <c r="AC2308" s="87"/>
      <c r="AD2308" s="466"/>
      <c r="AE2308" s="456"/>
      <c r="AF2308" s="467"/>
      <c r="AG2308" s="87"/>
      <c r="AH2308" s="87"/>
      <c r="AI2308" s="87"/>
    </row>
    <row r="2309" spans="1:35" hidden="1">
      <c r="A2309" s="80" t="e">
        <f>"G"&amp;E2299</f>
        <v>#N/A</v>
      </c>
      <c r="B2309" s="105">
        <v>7</v>
      </c>
      <c r="C2309" s="107"/>
      <c r="D2309" s="107"/>
      <c r="E2309" s="107"/>
      <c r="F2309" s="107"/>
      <c r="G2309" s="83"/>
      <c r="H2309" s="83"/>
      <c r="I2309" s="84"/>
      <c r="J2309" s="85"/>
      <c r="K2309" s="382"/>
      <c r="L2309" s="85"/>
      <c r="M2309" s="332" t="str">
        <f t="shared" si="673"/>
        <v/>
      </c>
      <c r="N2309" s="86"/>
      <c r="O2309" s="86" t="str">
        <f t="shared" si="675"/>
        <v/>
      </c>
      <c r="P2309" s="538" t="str">
        <f t="shared" si="676"/>
        <v/>
      </c>
      <c r="Q2309" s="539" t="str">
        <f t="shared" si="674"/>
        <v/>
      </c>
      <c r="R2309" s="706"/>
      <c r="S2309" s="707"/>
      <c r="T2309" s="708"/>
      <c r="U2309" s="472"/>
      <c r="V2309" s="167"/>
      <c r="W2309" s="446"/>
      <c r="X2309" s="456"/>
      <c r="Y2309" s="436"/>
      <c r="Z2309" s="437"/>
      <c r="AA2309" s="560"/>
      <c r="AB2309" s="561"/>
      <c r="AC2309" s="87"/>
      <c r="AD2309" s="466"/>
      <c r="AE2309" s="456"/>
      <c r="AF2309" s="467"/>
      <c r="AG2309" s="87"/>
      <c r="AH2309" s="87"/>
      <c r="AI2309" s="87"/>
    </row>
    <row r="2310" spans="1:35" hidden="1">
      <c r="A2310" s="80" t="e">
        <f>"H"&amp;E2299</f>
        <v>#N/A</v>
      </c>
      <c r="B2310" s="105">
        <v>8</v>
      </c>
      <c r="C2310" s="107"/>
      <c r="D2310" s="107"/>
      <c r="E2310" s="107"/>
      <c r="F2310" s="107"/>
      <c r="G2310" s="83"/>
      <c r="H2310" s="83"/>
      <c r="I2310" s="84"/>
      <c r="J2310" s="85"/>
      <c r="K2310" s="382"/>
      <c r="L2310" s="85"/>
      <c r="M2310" s="332" t="str">
        <f t="shared" si="673"/>
        <v/>
      </c>
      <c r="N2310" s="453"/>
      <c r="O2310" s="86" t="str">
        <f t="shared" si="675"/>
        <v/>
      </c>
      <c r="P2310" s="538" t="str">
        <f t="shared" si="676"/>
        <v/>
      </c>
      <c r="Q2310" s="539" t="str">
        <f t="shared" si="674"/>
        <v/>
      </c>
      <c r="R2310" s="706"/>
      <c r="S2310" s="707"/>
      <c r="T2310" s="708"/>
      <c r="U2310" s="472"/>
      <c r="V2310" s="167"/>
      <c r="W2310" s="446"/>
      <c r="X2310" s="456"/>
      <c r="Y2310" s="436"/>
      <c r="Z2310" s="437"/>
      <c r="AA2310" s="560"/>
      <c r="AB2310" s="561"/>
      <c r="AC2310" s="87"/>
      <c r="AD2310" s="466"/>
      <c r="AE2310" s="456"/>
      <c r="AF2310" s="467"/>
      <c r="AG2310" s="87"/>
      <c r="AH2310" s="87"/>
      <c r="AI2310" s="87"/>
    </row>
    <row r="2311" spans="1:35" hidden="1">
      <c r="A2311" s="80" t="e">
        <f>"I"&amp;E2299</f>
        <v>#N/A</v>
      </c>
      <c r="B2311" s="105">
        <v>9</v>
      </c>
      <c r="C2311" s="107"/>
      <c r="D2311" s="107"/>
      <c r="E2311" s="107"/>
      <c r="F2311" s="107"/>
      <c r="G2311" s="83"/>
      <c r="H2311" s="83"/>
      <c r="I2311" s="84"/>
      <c r="J2311" s="85"/>
      <c r="K2311" s="382"/>
      <c r="L2311" s="85"/>
      <c r="M2311" s="332" t="str">
        <f t="shared" si="673"/>
        <v/>
      </c>
      <c r="N2311" s="453"/>
      <c r="O2311" s="86" t="str">
        <f t="shared" si="675"/>
        <v/>
      </c>
      <c r="P2311" s="538" t="str">
        <f t="shared" si="676"/>
        <v/>
      </c>
      <c r="Q2311" s="539" t="str">
        <f t="shared" si="674"/>
        <v/>
      </c>
      <c r="R2311" s="706"/>
      <c r="S2311" s="707"/>
      <c r="T2311" s="708"/>
      <c r="U2311" s="472"/>
      <c r="V2311" s="167"/>
      <c r="W2311" s="446"/>
      <c r="X2311" s="456"/>
      <c r="Y2311" s="436"/>
      <c r="Z2311" s="437"/>
      <c r="AA2311" s="560"/>
      <c r="AB2311" s="561"/>
      <c r="AC2311" s="87"/>
      <c r="AD2311" s="466"/>
      <c r="AE2311" s="456"/>
      <c r="AF2311" s="467"/>
      <c r="AG2311" s="87"/>
      <c r="AH2311" s="87"/>
      <c r="AI2311" s="87"/>
    </row>
    <row r="2312" spans="1:35" hidden="1">
      <c r="A2312" s="80" t="e">
        <f>"J"&amp;E2299</f>
        <v>#N/A</v>
      </c>
      <c r="B2312" s="105">
        <v>10</v>
      </c>
      <c r="C2312" s="107"/>
      <c r="D2312" s="107"/>
      <c r="E2312" s="107"/>
      <c r="F2312" s="107"/>
      <c r="G2312" s="83"/>
      <c r="H2312" s="83"/>
      <c r="I2312" s="84"/>
      <c r="J2312" s="85"/>
      <c r="K2312" s="382"/>
      <c r="L2312" s="85"/>
      <c r="M2312" s="332" t="str">
        <f t="shared" si="673"/>
        <v/>
      </c>
      <c r="N2312" s="453"/>
      <c r="O2312" s="86" t="str">
        <f t="shared" si="675"/>
        <v/>
      </c>
      <c r="P2312" s="538" t="str">
        <f t="shared" si="676"/>
        <v/>
      </c>
      <c r="Q2312" s="539" t="str">
        <f t="shared" si="674"/>
        <v/>
      </c>
      <c r="R2312" s="706"/>
      <c r="S2312" s="707"/>
      <c r="T2312" s="708"/>
      <c r="U2312" s="472"/>
      <c r="V2312" s="167"/>
      <c r="W2312" s="446"/>
      <c r="X2312" s="456"/>
      <c r="Y2312" s="436"/>
      <c r="Z2312" s="437"/>
      <c r="AA2312" s="560"/>
      <c r="AB2312" s="561"/>
      <c r="AC2312" s="87"/>
      <c r="AD2312" s="466"/>
      <c r="AE2312" s="456"/>
      <c r="AF2312" s="467"/>
      <c r="AG2312" s="87"/>
      <c r="AH2312" s="87"/>
      <c r="AI2312" s="87"/>
    </row>
    <row r="2313" spans="1:35" ht="16.5" hidden="1" thickBot="1">
      <c r="A2313" s="44"/>
      <c r="B2313" s="89"/>
      <c r="C2313" s="90"/>
      <c r="D2313" s="90"/>
      <c r="E2313" s="90"/>
      <c r="F2313" s="90"/>
      <c r="G2313" s="90"/>
      <c r="H2313" s="90"/>
      <c r="I2313" s="90"/>
      <c r="J2313" s="90"/>
      <c r="K2313" s="90"/>
      <c r="L2313" s="90"/>
      <c r="M2313" s="90"/>
      <c r="N2313" s="90"/>
      <c r="O2313" s="90"/>
      <c r="P2313" s="90"/>
      <c r="Q2313" s="90"/>
      <c r="R2313" s="90"/>
      <c r="S2313" s="91"/>
      <c r="T2313" s="92"/>
      <c r="U2313" s="473"/>
      <c r="W2313" s="438"/>
      <c r="X2313" s="455"/>
      <c r="Y2313" s="439"/>
      <c r="Z2313" s="437"/>
      <c r="AA2313" s="530"/>
      <c r="AB2313" s="563"/>
      <c r="AC2313" s="87"/>
      <c r="AD2313" s="440"/>
      <c r="AE2313" s="441"/>
      <c r="AF2313" s="442"/>
      <c r="AG2313" s="49"/>
      <c r="AH2313" s="87"/>
      <c r="AI2313" s="87"/>
    </row>
    <row r="2314" spans="1:35" ht="16.5" hidden="1" thickBot="1">
      <c r="A2314" s="93"/>
      <c r="B2314" s="94"/>
      <c r="C2314" s="96"/>
      <c r="D2314" s="96"/>
      <c r="E2314" s="96"/>
      <c r="F2314" s="96"/>
      <c r="G2314" s="96"/>
      <c r="H2314" s="96"/>
      <c r="I2314" s="96"/>
      <c r="J2314" s="96"/>
      <c r="K2314" s="96"/>
      <c r="L2314" s="96"/>
      <c r="M2314" s="136"/>
      <c r="N2314" s="96"/>
      <c r="O2314" s="96"/>
      <c r="P2314" s="97"/>
      <c r="Q2314" s="97"/>
      <c r="R2314" s="98"/>
      <c r="S2314" s="95"/>
      <c r="T2314" s="99"/>
      <c r="U2314" s="469"/>
      <c r="AC2314" s="58"/>
      <c r="AG2314" s="58"/>
      <c r="AH2314" s="87"/>
      <c r="AI2314" s="87"/>
    </row>
    <row r="2315" spans="1:35" ht="16.5" hidden="1" thickBot="1">
      <c r="B2315" s="101"/>
      <c r="C2315" s="101"/>
      <c r="D2315" s="101"/>
      <c r="E2315" s="101"/>
      <c r="F2315" s="101"/>
      <c r="G2315" s="101"/>
      <c r="H2315" s="101"/>
      <c r="I2315" s="101"/>
      <c r="J2315" s="101"/>
      <c r="K2315" s="101"/>
      <c r="L2315" s="101"/>
      <c r="M2315" s="101"/>
      <c r="N2315" s="101"/>
      <c r="O2315" s="101"/>
      <c r="P2315" s="101"/>
      <c r="Q2315" s="101"/>
      <c r="R2315" s="101"/>
      <c r="S2315" s="101"/>
      <c r="U2315" s="50"/>
      <c r="AH2315" s="87"/>
      <c r="AI2315" s="87"/>
    </row>
    <row r="2316" spans="1:35" ht="16.5" hidden="1" customHeight="1" thickBot="1">
      <c r="A2316" s="44"/>
      <c r="B2316" s="705" t="s">
        <v>74</v>
      </c>
      <c r="C2316" s="705"/>
      <c r="D2316" s="705"/>
      <c r="E2316" s="705"/>
      <c r="F2316" s="705"/>
      <c r="G2316" s="705"/>
      <c r="H2316" s="705"/>
      <c r="I2316" s="705"/>
      <c r="J2316" s="705"/>
      <c r="K2316" s="705"/>
      <c r="L2316" s="705"/>
      <c r="M2316" s="705"/>
      <c r="N2316" s="705"/>
      <c r="O2316" s="705"/>
      <c r="P2316" s="705"/>
      <c r="Q2316" s="705"/>
      <c r="R2316" s="705"/>
      <c r="S2316" s="705"/>
      <c r="T2316" s="705"/>
      <c r="U2316" s="108"/>
      <c r="Y2316" s="532" t="s">
        <v>341</v>
      </c>
      <c r="AC2316" s="49"/>
      <c r="AD2316" s="687" t="s">
        <v>302</v>
      </c>
      <c r="AE2316" s="688"/>
      <c r="AF2316" s="689"/>
      <c r="AG2316" s="49"/>
      <c r="AH2316" s="87"/>
      <c r="AI2316" s="87"/>
    </row>
    <row r="2317" spans="1:35" ht="15.75" hidden="1" customHeight="1" thickBot="1">
      <c r="A2317" s="218" t="e">
        <f>"K"&amp;E2299</f>
        <v>#N/A</v>
      </c>
      <c r="B2317" s="701" t="s">
        <v>71</v>
      </c>
      <c r="C2317" s="751" t="s">
        <v>102</v>
      </c>
      <c r="D2317" s="751"/>
      <c r="E2317" s="751"/>
      <c r="F2317" s="751"/>
      <c r="G2317" s="751"/>
      <c r="H2317" s="751"/>
      <c r="I2317" s="751"/>
      <c r="J2317" s="751"/>
      <c r="K2317" s="751"/>
      <c r="L2317" s="722" t="s">
        <v>100</v>
      </c>
      <c r="M2317" s="747" t="s">
        <v>114</v>
      </c>
      <c r="N2317" s="747"/>
      <c r="O2317" s="747"/>
      <c r="P2317" s="747"/>
      <c r="Q2317" s="748"/>
      <c r="R2317" s="758" t="s">
        <v>280</v>
      </c>
      <c r="S2317" s="748"/>
      <c r="T2317" s="762" t="str">
        <f>IF(COUNTIF(AE2317:AF2317,"VERIFICAR")&gt;0,"VERIFICAR",IF(COUNTIF(AE2317:AF2317,"NO CUMPLE")&gt;0,"NO CUMPLE","CUMPLE"))</f>
        <v>VERIFICAR</v>
      </c>
      <c r="U2317" s="108"/>
      <c r="Y2317" s="533" t="e">
        <f>IF(F2318="","",IF(F2318=1,"INDIVIDUAL","ESTRUCTURA PLURAL"))</f>
        <v>#N/A</v>
      </c>
      <c r="AC2317" s="52"/>
      <c r="AD2317" s="475" t="s">
        <v>303</v>
      </c>
      <c r="AE2317" s="476" t="str">
        <f>IF(COUNTIF(AE2303:AE2312,"")=10,"VERIFICAR",IF(COUNTIF(AE2303:AE2312,"SI")&gt;0,"CUMPLE","NO CUMPLE"))</f>
        <v>VERIFICAR</v>
      </c>
      <c r="AF2317" s="477" t="str">
        <f>IF(COUNTIF(AF2303:AF2312,"")=10,"VERIFICAR",IF(COUNTIF(AF2303:AF2312,"SI")&gt;=$AI$22,"CUMPLE","NO CUMPLE"))</f>
        <v>VERIFICAR</v>
      </c>
      <c r="AG2317" s="52"/>
      <c r="AH2317" s="87"/>
      <c r="AI2317" s="87"/>
    </row>
    <row r="2318" spans="1:35" ht="16.5" hidden="1" customHeight="1" thickBot="1">
      <c r="A2318" s="218" t="e">
        <f>"L"&amp;E2299</f>
        <v>#N/A</v>
      </c>
      <c r="B2318" s="702"/>
      <c r="C2318" s="751" t="s">
        <v>103</v>
      </c>
      <c r="D2318" s="751"/>
      <c r="E2318" s="752"/>
      <c r="F2318" s="557" t="e">
        <f>IF(VLOOKUP(E2299,PROPONENTES!$C$19:$E$218,3,0)="","",VLOOKUP(E2299,PROPONENTES!$C$19:$E$218,3,0))</f>
        <v>#N/A</v>
      </c>
      <c r="G2318" s="753" t="s">
        <v>104</v>
      </c>
      <c r="H2318" s="751"/>
      <c r="I2318" s="715" t="e">
        <f>IF(OR(F2318="",F2318=1),"INTERESADO PERSONA NATURAL O JURIDICA","CONSORCIO O UNION TEMPORAL")</f>
        <v>#N/A</v>
      </c>
      <c r="J2318" s="725"/>
      <c r="K2318" s="728"/>
      <c r="L2318" s="723"/>
      <c r="M2318" s="749"/>
      <c r="N2318" s="749"/>
      <c r="O2318" s="749"/>
      <c r="P2318" s="749"/>
      <c r="Q2318" s="750"/>
      <c r="R2318" s="712"/>
      <c r="S2318" s="750"/>
      <c r="T2318" s="763"/>
      <c r="U2318" s="108"/>
      <c r="Y2318" s="534"/>
      <c r="AA2318" s="52"/>
      <c r="AB2318" s="52"/>
      <c r="AC2318" s="52"/>
      <c r="AG2318" s="52"/>
      <c r="AH2318" s="87"/>
      <c r="AI2318" s="87"/>
    </row>
    <row r="2319" spans="1:35" ht="56.25" hidden="1" customHeight="1" thickBot="1">
      <c r="A2319" s="218" t="e">
        <f>"M"&amp;E2299</f>
        <v>#N/A</v>
      </c>
      <c r="B2319" s="702"/>
      <c r="C2319" s="725" t="s">
        <v>101</v>
      </c>
      <c r="D2319" s="716"/>
      <c r="E2319" s="558" t="s">
        <v>105</v>
      </c>
      <c r="F2319" s="554" t="s">
        <v>87</v>
      </c>
      <c r="G2319" s="553" t="s">
        <v>86</v>
      </c>
      <c r="H2319" s="559" t="s">
        <v>85</v>
      </c>
      <c r="I2319" s="554" t="s">
        <v>252</v>
      </c>
      <c r="J2319" s="553" t="str">
        <f>"¿EL INTEGRANTE TIENE UNA PARTICIPACIÓN DEL "&amp;PORCREQUERIDOINT*100&amp;"%?"</f>
        <v>¿EL INTEGRANTE TIENE UNA PARTICIPACIÓN DEL 60%?</v>
      </c>
      <c r="K2319" s="554" t="s">
        <v>107</v>
      </c>
      <c r="L2319" s="724"/>
      <c r="M2319" s="717" t="s">
        <v>115</v>
      </c>
      <c r="N2319" s="718"/>
      <c r="O2319" s="718"/>
      <c r="P2319" s="718"/>
      <c r="Q2319" s="223">
        <f>IF(AND(H2303="SI",P2303&gt;=0),1,0)+IF(AND(H2304="SI",P2304&gt;=0),1,0)+IF(AND(H2305="SI",P2305&gt;=0),1,0)+IF(AND(H2306="SI",P2306&gt;=0),1,0)+IF(AND(H2307="SI",P2307&gt;=0),1,0)+IF(AND(H2308="SI",P2308&gt;=0),1,0)+IF(AND(H2309="SI",P2309&gt;=0),1,0)+IF(AND(H2310="SI",P2310&gt;=0),1,0)+IF(AND(H2311="SI",P2311&gt;=0),1,0)+IF(AND(H2312="SI",P2312&gt;=0),1,0)</f>
        <v>0</v>
      </c>
      <c r="R2319" s="759"/>
      <c r="S2319" s="761"/>
      <c r="T2319" s="764"/>
      <c r="U2319" s="219"/>
      <c r="V2319" s="464"/>
      <c r="Y2319" s="532" t="s">
        <v>342</v>
      </c>
      <c r="AA2319" s="550" t="s">
        <v>344</v>
      </c>
      <c r="AB2319" s="693" t="s">
        <v>345</v>
      </c>
      <c r="AC2319" s="693" t="s">
        <v>346</v>
      </c>
      <c r="AD2319" s="685" t="s">
        <v>347</v>
      </c>
      <c r="AE2319" s="52"/>
      <c r="AF2319" s="52"/>
      <c r="AG2319" s="52"/>
      <c r="AH2319" s="87"/>
      <c r="AI2319" s="87"/>
    </row>
    <row r="2320" spans="1:35" ht="15.75" hidden="1" customHeight="1" thickBot="1">
      <c r="A2320" s="218" t="e">
        <f>"N"&amp;E2299</f>
        <v>#N/A</v>
      </c>
      <c r="B2320" s="702"/>
      <c r="C2320" s="114">
        <v>1</v>
      </c>
      <c r="D2320" s="194" t="e">
        <f>IF(AND(C2320&lt;=F2318,F2318&gt;1,F2318&lt;&gt;""),VLOOKUP(VALUE(E2299&amp;","&amp;C2320),INTEGRANTES!$D$18:$F$235,2,0),"")</f>
        <v>#N/A</v>
      </c>
      <c r="E2320" s="211" t="e">
        <f>IF(D2320&lt;&gt;"",VLOOKUP(VALUE(E2299&amp;","&amp;C2320),INTEGRANTES!$D$18:$F$235,3,0),"")</f>
        <v>#N/A</v>
      </c>
      <c r="F2320" s="547" t="e">
        <f>IF(D2320="","",SUMIF($I2303:$I2312,D2320,$P2303:$P2312))</f>
        <v>#N/A</v>
      </c>
      <c r="G2320" s="333" t="e">
        <f>IF(D2320="","",SUMIF($I2303:$I2312,D2320,$M2303:$M2312))</f>
        <v>#N/A</v>
      </c>
      <c r="H2320" s="535" t="e">
        <f t="shared" ref="H2320:H2325" si="677">IF(D2320="","",IF(OR(F2320=0,G2320=0),"NO APORTA",ROUND($F2320/$G2320,3)))</f>
        <v>#N/A</v>
      </c>
      <c r="I2320" s="212" t="e">
        <f>IF(D2320="","",IF(H2320="NO APORTA","NO",IF(H2320=MAX($H2320:$H2325),"SI","NO")))</f>
        <v>#N/A</v>
      </c>
      <c r="J2320" s="213" t="e">
        <f t="shared" ref="J2320:J2325" si="678">IF(D2320="","",IF(E2320&gt;=PORCREQUERIDOINT,"SI","NO"))</f>
        <v>#N/A</v>
      </c>
      <c r="K2320" s="200" t="e">
        <f t="shared" ref="K2320:K2325" si="679">IF(D2320="","",IF(AND(I2320="SI",J2320="SI"),"CUMPLE",IF(AND(I2320="NO",OR(J2320="SI",J2320="NO")),"","NO CUMPLE")))</f>
        <v>#N/A</v>
      </c>
      <c r="L2320" s="722" t="s">
        <v>108</v>
      </c>
      <c r="M2320" s="726" t="s">
        <v>119</v>
      </c>
      <c r="N2320" s="726"/>
      <c r="O2320" s="726"/>
      <c r="P2320" s="726"/>
      <c r="Q2320" s="727"/>
      <c r="R2320" s="758" t="s">
        <v>80</v>
      </c>
      <c r="S2320" s="747"/>
      <c r="T2320" s="748"/>
      <c r="U2320" s="219"/>
      <c r="V2320" s="464"/>
      <c r="Y2320" s="533" t="e">
        <f>IF(Y2317="","",IF(Y2317="INDIVIDUAL","NO APLICA","VERIFICAR CUADRO"))</f>
        <v>#N/A</v>
      </c>
      <c r="AA2320" s="551"/>
      <c r="AB2320" s="694"/>
      <c r="AC2320" s="694"/>
      <c r="AD2320" s="686"/>
      <c r="AE2320" s="52"/>
      <c r="AF2320" s="52"/>
      <c r="AG2320" s="52"/>
      <c r="AH2320" s="87"/>
      <c r="AI2320" s="87"/>
    </row>
    <row r="2321" spans="1:35" ht="27" hidden="1" customHeight="1" thickBot="1">
      <c r="A2321" s="218" t="e">
        <f>"O"&amp;E2299</f>
        <v>#N/A</v>
      </c>
      <c r="B2321" s="702"/>
      <c r="C2321" s="114">
        <v>2</v>
      </c>
      <c r="D2321" s="194" t="e">
        <f>IF(AND(C2321&lt;=F2318,F2318&lt;&gt;""),VLOOKUP(VALUE(E2299&amp;","&amp;C2321),INTEGRANTES!$D$18:$F$235,2,0),"")</f>
        <v>#N/A</v>
      </c>
      <c r="E2321" s="211" t="e">
        <f>IF(D2321&lt;&gt;"",VLOOKUP(VALUE(E2299&amp;","&amp;C2321),INTEGRANTES!$D$18:$F$235,3,0),"")</f>
        <v>#N/A</v>
      </c>
      <c r="F2321" s="547" t="e">
        <f>IF(D2321="","",SUMIF($I2303:$I2312,D2321,$P2303:$P2312))</f>
        <v>#N/A</v>
      </c>
      <c r="G2321" s="333" t="e">
        <f>IF(D2321="","",SUMIF($I2303:$I2312,D2321,$M2303:$M2312))</f>
        <v>#N/A</v>
      </c>
      <c r="H2321" s="535" t="e">
        <f t="shared" si="677"/>
        <v>#N/A</v>
      </c>
      <c r="I2321" s="212" t="e">
        <f>IF(D2321="","",IF(H2321="NO APORTA","NO",IF(H2321=MAX($H2320:$H2325),"SI","NO")))</f>
        <v>#N/A</v>
      </c>
      <c r="J2321" s="213" t="e">
        <f t="shared" si="678"/>
        <v>#N/A</v>
      </c>
      <c r="K2321" s="200" t="e">
        <f t="shared" si="679"/>
        <v>#N/A</v>
      </c>
      <c r="L2321" s="723"/>
      <c r="M2321" s="715" t="s">
        <v>116</v>
      </c>
      <c r="N2321" s="716"/>
      <c r="O2321" s="556" t="s">
        <v>113</v>
      </c>
      <c r="P2321" s="715" t="s">
        <v>117</v>
      </c>
      <c r="Q2321" s="728"/>
      <c r="R2321" s="759"/>
      <c r="S2321" s="760"/>
      <c r="T2321" s="761"/>
      <c r="U2321" s="219"/>
      <c r="V2321" s="464"/>
      <c r="Y2321" s="414"/>
      <c r="AA2321" s="542" t="e">
        <f>IF(AND(C2320&lt;=F2318,F2318&gt;1,F2318&lt;&gt;""),VLOOKUP(VALUE(E2299&amp;","&amp;C2320),INTEGRANTES!$D$18:$F$235,2,0),"")</f>
        <v>#N/A</v>
      </c>
      <c r="AB2321" s="544" t="e">
        <f t="shared" ref="AB2321:AB2326" si="680">IF(D2320="","",IF(OR(F2320=0,G2320=0),"NO APORTA",ROUND($F2320/$G2320,3)))</f>
        <v>#N/A</v>
      </c>
      <c r="AC2321" s="529"/>
      <c r="AD2321" s="200" t="e">
        <f t="shared" ref="AD2321:AD2326" si="681">IF(OR(AA2321="",AB2321=""),"",IF(AND(AC2321="X",AB2321&gt;=EXPREQVTD),"CUMPLE","NO CUMPLE"))</f>
        <v>#N/A</v>
      </c>
      <c r="AE2321" s="52"/>
      <c r="AF2321" s="52"/>
      <c r="AG2321" s="52"/>
      <c r="AH2321" s="87"/>
      <c r="AI2321" s="87"/>
    </row>
    <row r="2322" spans="1:35" ht="16.5" hidden="1" thickBot="1">
      <c r="A2322" s="218" t="e">
        <f>"P"&amp;E2299</f>
        <v>#N/A</v>
      </c>
      <c r="B2322" s="702"/>
      <c r="C2322" s="114">
        <v>3</v>
      </c>
      <c r="D2322" s="194" t="e">
        <f>IF(AND(C2322&lt;=F2318,F2318&lt;&gt;""),VLOOKUP(VALUE(E2299&amp;","&amp;C2322),INTEGRANTES!$D$18:$F$235,2,0),"")</f>
        <v>#N/A</v>
      </c>
      <c r="E2322" s="211" t="e">
        <f>IF(D2322&lt;&gt;"",VLOOKUP(VALUE(E2299&amp;","&amp;C2322),INTEGRANTES!$D$18:$F$235,3,0),"")</f>
        <v>#N/A</v>
      </c>
      <c r="F2322" s="547" t="e">
        <f>IF(D2322="","",SUMIF($I2303:$I2312,D2322,$P2303:$P2312))</f>
        <v>#N/A</v>
      </c>
      <c r="G2322" s="333" t="e">
        <f>IF(D2322="","",SUMIF($I2303:$I2312,D2322,$M2303:$M2312))</f>
        <v>#N/A</v>
      </c>
      <c r="H2322" s="535" t="e">
        <f t="shared" si="677"/>
        <v>#N/A</v>
      </c>
      <c r="I2322" s="212" t="e">
        <f>IF(D2322="","",IF(H2322="NO APORTA","NO",IF(H2322=MAX($H2320:$H2325),"SI","NO")))</f>
        <v>#N/A</v>
      </c>
      <c r="J2322" s="213" t="e">
        <f t="shared" si="678"/>
        <v>#N/A</v>
      </c>
      <c r="K2322" s="200" t="e">
        <f t="shared" si="679"/>
        <v>#N/A</v>
      </c>
      <c r="L2322" s="724"/>
      <c r="M2322" s="729">
        <f>NUMMOD</f>
        <v>1</v>
      </c>
      <c r="N2322" s="730"/>
      <c r="O2322" s="443">
        <f>IF(M2322="","",VLOOKUP(M2322,PRESUPUESTOS!$B$16:$H$16,5,FALSE))</f>
        <v>2</v>
      </c>
      <c r="P2322" s="713">
        <f>IF(OR(COUNTIF(M2303:M2312,"")&gt;=10,Q2319&lt;NUMMINCONT,OR(T2317="NO CUMPLE",T2317="VERIFICAR")),0,ROUND(AVERAGE(M2303:M2312),3))</f>
        <v>0</v>
      </c>
      <c r="Q2322" s="714"/>
      <c r="R2322" s="458"/>
      <c r="S2322" s="459"/>
      <c r="T2322" s="460"/>
      <c r="U2322" s="219"/>
      <c r="V2322" s="464"/>
      <c r="Y2322" s="532" t="str">
        <f>"40% * ("&amp;PRESUPUESTOS!$H$13&amp;")"</f>
        <v>40% * (50% PFMO)</v>
      </c>
      <c r="AA2322" s="540" t="e">
        <f>IF(AND(C2321&lt;=F2318,F2318&lt;&gt;""),VLOOKUP(VALUE(E2299&amp;","&amp;C2321),INTEGRANTES!$D$18:$F$235,2,0),"")</f>
        <v>#N/A</v>
      </c>
      <c r="AB2322" s="545" t="e">
        <f t="shared" si="680"/>
        <v>#N/A</v>
      </c>
      <c r="AC2322" s="529"/>
      <c r="AD2322" s="200" t="e">
        <f t="shared" si="681"/>
        <v>#N/A</v>
      </c>
      <c r="AE2322" s="52"/>
      <c r="AF2322" s="52"/>
      <c r="AG2322" s="52"/>
      <c r="AH2322" s="87"/>
      <c r="AI2322" s="87"/>
    </row>
    <row r="2323" spans="1:35" ht="15.75" hidden="1" customHeight="1" thickBot="1">
      <c r="A2323" s="218" t="e">
        <f>"Q"&amp;E2299</f>
        <v>#N/A</v>
      </c>
      <c r="B2323" s="702"/>
      <c r="C2323" s="114">
        <v>4</v>
      </c>
      <c r="D2323" s="194" t="e">
        <f>IF(AND(C2323&lt;=F2318,F2318&lt;&gt;""),VLOOKUP(VALUE(E2299&amp;","&amp;C2323),INTEGRANTES!$D$18:$F$235,2,0),"")</f>
        <v>#N/A</v>
      </c>
      <c r="E2323" s="211" t="e">
        <f>IF(D2323&lt;&gt;"",VLOOKUP(VALUE(E2299&amp;","&amp;C2323),INTEGRANTES!$D$18:$F$235,3,0),"")</f>
        <v>#N/A</v>
      </c>
      <c r="F2323" s="547" t="e">
        <f>IF(D2323="","",SUMIF($I2303:$I2312,D2323,$P2303:$P2312))</f>
        <v>#N/A</v>
      </c>
      <c r="G2323" s="333" t="e">
        <f>IF(D2323="","",SUMIF($I2303:$I2312,D2323,$M2303:$M2312))</f>
        <v>#N/A</v>
      </c>
      <c r="H2323" s="535" t="e">
        <f t="shared" si="677"/>
        <v>#N/A</v>
      </c>
      <c r="I2323" s="212" t="e">
        <f>IF(D2323="","",IF(H2323="NO APORTA","NO",IF(H2323=MAX($H2320:$H2325),"SI","NO")))</f>
        <v>#N/A</v>
      </c>
      <c r="J2323" s="213" t="e">
        <f t="shared" si="678"/>
        <v>#N/A</v>
      </c>
      <c r="K2323" s="200" t="e">
        <f t="shared" si="679"/>
        <v>#N/A</v>
      </c>
      <c r="L2323" s="720" t="s">
        <v>109</v>
      </c>
      <c r="M2323" s="757" t="s">
        <v>120</v>
      </c>
      <c r="N2323" s="726"/>
      <c r="O2323" s="726"/>
      <c r="P2323" s="726"/>
      <c r="Q2323" s="727"/>
      <c r="R2323" s="458"/>
      <c r="S2323" s="459"/>
      <c r="T2323" s="460"/>
      <c r="U2323" s="219"/>
      <c r="V2323" s="464"/>
      <c r="Y2323" s="537">
        <f>0.4*PRESUPUESTOS!$H$16</f>
        <v>10.3124</v>
      </c>
      <c r="AA2323" s="540" t="e">
        <f>IF(AND(C2322&lt;=F2318,F2318&lt;&gt;""),VLOOKUP(VALUE(E2299&amp;","&amp;C2322),INTEGRANTES!$D$18:$F$235,2,0),"")</f>
        <v>#N/A</v>
      </c>
      <c r="AB2323" s="545" t="e">
        <f t="shared" si="680"/>
        <v>#N/A</v>
      </c>
      <c r="AC2323" s="529"/>
      <c r="AD2323" s="200" t="e">
        <f t="shared" si="681"/>
        <v>#N/A</v>
      </c>
      <c r="AE2323" s="52"/>
      <c r="AF2323" s="52"/>
      <c r="AG2323" s="52"/>
      <c r="AH2323" s="87"/>
      <c r="AI2323" s="87"/>
    </row>
    <row r="2324" spans="1:35" ht="27" hidden="1" customHeight="1" thickBot="1">
      <c r="A2324" s="218" t="e">
        <f>"R"&amp;E2299</f>
        <v>#N/A</v>
      </c>
      <c r="B2324" s="702"/>
      <c r="C2324" s="114">
        <v>5</v>
      </c>
      <c r="D2324" s="194" t="e">
        <f>IF(AND(C2324&lt;=F2318,F2318&lt;&gt;""),VLOOKUP(VALUE(E2299&amp;","&amp;C2324),INTEGRANTES!$D$18:$F$235,2,0),"")</f>
        <v>#N/A</v>
      </c>
      <c r="E2324" s="211" t="e">
        <f>IF(D2324&lt;&gt;"",VLOOKUP(VALUE(E2299&amp;","&amp;C2324),INTEGRANTES!$D$18:$F$235,3,0),"")</f>
        <v>#N/A</v>
      </c>
      <c r="F2324" s="547" t="e">
        <f>IF(D2324="","",SUMIF($I2303:$I2312,D2324,$P2303:$P2312))</f>
        <v>#N/A</v>
      </c>
      <c r="G2324" s="333" t="e">
        <f>IF(D2324="","",SUMIF($I2303:$I2312,D2324,$M2303:$M2312))</f>
        <v>#N/A</v>
      </c>
      <c r="H2324" s="535" t="e">
        <f t="shared" si="677"/>
        <v>#N/A</v>
      </c>
      <c r="I2324" s="212" t="e">
        <f>IF(D2324="","",IF(H2324="NO APORTA","NO",IF(H2324=MAX($H2320:$H2325),"SI","NO")))</f>
        <v>#N/A</v>
      </c>
      <c r="J2324" s="213" t="e">
        <f t="shared" si="678"/>
        <v>#N/A</v>
      </c>
      <c r="K2324" s="200" t="e">
        <f t="shared" si="679"/>
        <v>#N/A</v>
      </c>
      <c r="L2324" s="721"/>
      <c r="M2324" s="715" t="s">
        <v>116</v>
      </c>
      <c r="N2324" s="716"/>
      <c r="O2324" s="556" t="str">
        <f>PORCREQUERIDO*100&amp;"% PMFO DEL MÓDULO"</f>
        <v>50% PMFO DEL MÓDULO</v>
      </c>
      <c r="P2324" s="715" t="s">
        <v>118</v>
      </c>
      <c r="Q2324" s="728"/>
      <c r="R2324" s="458"/>
      <c r="S2324" s="459"/>
      <c r="T2324" s="460"/>
      <c r="U2324" s="219"/>
      <c r="V2324" s="464"/>
      <c r="Y2324" s="414"/>
      <c r="AA2324" s="540" t="e">
        <f>IF(AND(C2323&lt;=F2318,F2318&lt;&gt;""),VLOOKUP(VALUE(E2299&amp;","&amp;C2323),INTEGRANTES!$D$18:$F$235,2,0),"")</f>
        <v>#N/A</v>
      </c>
      <c r="AB2324" s="545" t="e">
        <f t="shared" si="680"/>
        <v>#N/A</v>
      </c>
      <c r="AC2324" s="529"/>
      <c r="AD2324" s="200" t="e">
        <f t="shared" si="681"/>
        <v>#N/A</v>
      </c>
      <c r="AE2324" s="52"/>
      <c r="AF2324" s="52"/>
      <c r="AG2324" s="52"/>
      <c r="AH2324" s="87"/>
      <c r="AI2324" s="87"/>
    </row>
    <row r="2325" spans="1:35" ht="16.5" hidden="1" thickBot="1">
      <c r="A2325" s="218" t="e">
        <f>"S"&amp;E2299</f>
        <v>#N/A</v>
      </c>
      <c r="B2325" s="702"/>
      <c r="C2325" s="215">
        <v>6</v>
      </c>
      <c r="D2325" s="216" t="e">
        <f>IF(AND(C2325&lt;=F2318,F2318&lt;&gt;""),VLOOKUP(VALUE(E2299&amp;","&amp;C2325),INTEGRANTES!$D$18:$F$235,2,0),"")</f>
        <v>#N/A</v>
      </c>
      <c r="E2325" s="217" t="e">
        <f>IF(D2325&lt;&gt;"",VLOOKUP(VALUE(E2299&amp;","&amp;C2325),INTEGRANTES!$D$18:$F$235,3,0),"")</f>
        <v>#N/A</v>
      </c>
      <c r="F2325" s="548" t="e">
        <f>IF(D2325="","",SUMIF($I2303:$I2312,D2325,$P2303:$P2312))</f>
        <v>#N/A</v>
      </c>
      <c r="G2325" s="334" t="e">
        <f>IF(D2325="","",SUMIF($I2303:$I2312,D2325,$M2303:$M2312))</f>
        <v>#N/A</v>
      </c>
      <c r="H2325" s="536" t="e">
        <f t="shared" si="677"/>
        <v>#N/A</v>
      </c>
      <c r="I2325" s="214" t="e">
        <f>IF(D2325="","",IF(H2325="NO APORTA","NO",IF(H2325=MAX($H2320:$H2325),"SI","NO")))</f>
        <v>#N/A</v>
      </c>
      <c r="J2325" s="213" t="e">
        <f t="shared" si="678"/>
        <v>#N/A</v>
      </c>
      <c r="K2325" s="200" t="e">
        <f t="shared" si="679"/>
        <v>#N/A</v>
      </c>
      <c r="L2325" s="721"/>
      <c r="M2325" s="729">
        <f>NUMMOD</f>
        <v>1</v>
      </c>
      <c r="N2325" s="730"/>
      <c r="O2325" s="443">
        <f>IF(M2325="","",ROUND(VLOOKUP(M2325,PRESUPUESTOS!$B$16:$H$16,7,FALSE),3))</f>
        <v>25.780999999999999</v>
      </c>
      <c r="P2325" s="713">
        <f>IF(OR(COUNTIF(P2303:P2312,"")&gt;=10,Q2319&lt;NUMMINCONT,OR(T2317="NO CUMPLE",T2317="VERIFICAR")),0,ROUND((SUM(P2303:P2312)/SUM(M2303:M2312)),3))</f>
        <v>0</v>
      </c>
      <c r="Q2325" s="714"/>
      <c r="R2325" s="458"/>
      <c r="S2325" s="459"/>
      <c r="T2325" s="460"/>
      <c r="U2325" s="219"/>
      <c r="V2325" s="464"/>
      <c r="Y2325" s="532" t="s">
        <v>343</v>
      </c>
      <c r="AA2325" s="540" t="e">
        <f>IF(AND(C2324&lt;=F2318,F2318&lt;&gt;""),VLOOKUP(VALUE(E2299&amp;","&amp;C2324),INTEGRANTES!$D$18:$F$235,2,0),"")</f>
        <v>#N/A</v>
      </c>
      <c r="AB2325" s="545" t="e">
        <f t="shared" si="680"/>
        <v>#N/A</v>
      </c>
      <c r="AC2325" s="529"/>
      <c r="AD2325" s="200" t="e">
        <f t="shared" si="681"/>
        <v>#N/A</v>
      </c>
      <c r="AE2325" s="52"/>
      <c r="AF2325" s="52"/>
      <c r="AG2325" s="52"/>
      <c r="AH2325" s="87"/>
      <c r="AI2325" s="87"/>
    </row>
    <row r="2326" spans="1:35" ht="16.5" hidden="1" customHeight="1" thickBot="1">
      <c r="A2326" s="218" t="e">
        <f>"T"&amp;E2299</f>
        <v>#N/A</v>
      </c>
      <c r="B2326" s="703"/>
      <c r="C2326" s="719"/>
      <c r="D2326" s="719"/>
      <c r="E2326" s="719"/>
      <c r="F2326" s="719"/>
      <c r="G2326" s="719"/>
      <c r="H2326" s="719" t="s">
        <v>110</v>
      </c>
      <c r="I2326" s="719"/>
      <c r="J2326" s="719"/>
      <c r="K2326" s="201" t="str">
        <f>IF(COUNTIF(K2320:K2325,"")=6,"",IF(COUNTIF(K2320:K2325,"CUMPLE")&gt;0,"CUMPLE","NO CUMPLE"))</f>
        <v>NO CUMPLE</v>
      </c>
      <c r="L2326" s="754"/>
      <c r="M2326" s="755"/>
      <c r="N2326" s="755"/>
      <c r="O2326" s="755"/>
      <c r="P2326" s="755"/>
      <c r="Q2326" s="756"/>
      <c r="R2326" s="461"/>
      <c r="S2326" s="462"/>
      <c r="T2326" s="463"/>
      <c r="U2326" s="219"/>
      <c r="V2326" s="464"/>
      <c r="Y2326" s="549" t="e">
        <f>IF(Y2320="NO APLICA","NO APLICA",IF(COUNTIF(AD2321:AD2326,"CUMPLE")&gt;0,"CUMPLE","NO CUMPLE"))</f>
        <v>#N/A</v>
      </c>
      <c r="AA2326" s="541" t="e">
        <f>IF(AND(C2325&lt;=F2318,F2318&lt;&gt;""),VLOOKUP(VALUE(E2299&amp;","&amp;C2325),INTEGRANTES!$D$18:$F$235,2,0),"")</f>
        <v>#N/A</v>
      </c>
      <c r="AB2326" s="546" t="e">
        <f t="shared" si="680"/>
        <v>#N/A</v>
      </c>
      <c r="AC2326" s="543"/>
      <c r="AD2326" s="201" t="e">
        <f t="shared" si="681"/>
        <v>#N/A</v>
      </c>
      <c r="AE2326" s="52"/>
      <c r="AF2326" s="52"/>
      <c r="AG2326" s="52"/>
      <c r="AH2326" s="87"/>
      <c r="AI2326" s="87"/>
    </row>
    <row r="2327" spans="1:35" hidden="1">
      <c r="A2327" s="103"/>
      <c r="B2327" s="206"/>
      <c r="C2327" s="206"/>
      <c r="D2327" s="206"/>
      <c r="E2327" s="206"/>
      <c r="F2327" s="206"/>
      <c r="G2327" s="206"/>
      <c r="H2327" s="206"/>
      <c r="I2327" s="104"/>
      <c r="J2327" s="206"/>
      <c r="K2327" s="113"/>
      <c r="L2327" s="113"/>
      <c r="M2327" s="113"/>
      <c r="N2327" s="222"/>
      <c r="O2327" s="113"/>
      <c r="P2327" s="113"/>
      <c r="Q2327" s="113"/>
      <c r="R2327" s="206"/>
      <c r="S2327" s="104"/>
      <c r="T2327" s="206"/>
      <c r="U2327" s="474"/>
      <c r="AH2327" s="87"/>
      <c r="AI2327" s="87"/>
    </row>
    <row r="2328" spans="1:35" hidden="1">
      <c r="H2328" s="220"/>
      <c r="AH2328" s="87"/>
      <c r="AI2328" s="87"/>
    </row>
    <row r="2329" spans="1:35" ht="24" hidden="1" thickBot="1">
      <c r="A2329" s="61">
        <v>78</v>
      </c>
      <c r="B2329" s="704" t="s">
        <v>51</v>
      </c>
      <c r="C2329" s="704"/>
      <c r="D2329" s="704"/>
      <c r="E2329" s="62" t="e">
        <f>VLOOKUP(A2329,PROPONENTES!$B$19:$E$218,2,FALSE)</f>
        <v>#N/A</v>
      </c>
      <c r="F2329" s="63" t="e">
        <f>VLOOKUP(A2329,PROPONENTES!$B$19:$E$218,3,FALSE)</f>
        <v>#N/A</v>
      </c>
      <c r="G2329" s="64"/>
      <c r="H2329" s="64"/>
      <c r="I2329" s="63"/>
      <c r="J2329" s="63"/>
      <c r="K2329" s="65"/>
      <c r="L2329" s="65"/>
      <c r="M2329" s="64"/>
      <c r="N2329" s="64"/>
      <c r="O2329" s="66"/>
      <c r="P2329" s="66"/>
      <c r="Q2329" s="66"/>
      <c r="R2329" s="66"/>
      <c r="S2329" s="67"/>
      <c r="T2329" s="68"/>
      <c r="U2329" s="68"/>
      <c r="AC2329" s="68"/>
      <c r="AD2329" s="68"/>
      <c r="AE2329" s="68"/>
      <c r="AF2329" s="68"/>
      <c r="AG2329" s="68"/>
      <c r="AH2329" s="87"/>
      <c r="AI2329" s="87"/>
    </row>
    <row r="2330" spans="1:35" ht="15.75" hidden="1" customHeight="1">
      <c r="A2330" s="44"/>
      <c r="B2330" s="709" t="s">
        <v>59</v>
      </c>
      <c r="C2330" s="552" t="s">
        <v>60</v>
      </c>
      <c r="D2330" s="70" t="s">
        <v>17</v>
      </c>
      <c r="E2330" s="70"/>
      <c r="F2330" s="70" t="s">
        <v>61</v>
      </c>
      <c r="G2330" s="71"/>
      <c r="H2330" s="699" t="s">
        <v>62</v>
      </c>
      <c r="I2330" s="699" t="s">
        <v>18</v>
      </c>
      <c r="J2330" s="699" t="s">
        <v>63</v>
      </c>
      <c r="K2330" s="699" t="s">
        <v>64</v>
      </c>
      <c r="L2330" s="699" t="s">
        <v>65</v>
      </c>
      <c r="M2330" s="743" t="s">
        <v>66</v>
      </c>
      <c r="N2330" s="699" t="s">
        <v>282</v>
      </c>
      <c r="O2330" s="745" t="s">
        <v>67</v>
      </c>
      <c r="P2330" s="746"/>
      <c r="Q2330" s="102" t="s">
        <v>75</v>
      </c>
      <c r="R2330" s="731" t="s">
        <v>22</v>
      </c>
      <c r="S2330" s="732"/>
      <c r="T2330" s="733"/>
      <c r="U2330" s="712" t="s">
        <v>298</v>
      </c>
      <c r="W2330" s="690" t="s">
        <v>268</v>
      </c>
      <c r="X2330" s="691"/>
      <c r="Y2330" s="692"/>
      <c r="Z2330" s="428"/>
      <c r="AA2330" s="697" t="s">
        <v>315</v>
      </c>
      <c r="AB2330" s="695" t="s">
        <v>322</v>
      </c>
      <c r="AC2330" s="49"/>
      <c r="AD2330" s="690" t="s">
        <v>297</v>
      </c>
      <c r="AE2330" s="691"/>
      <c r="AF2330" s="692"/>
      <c r="AG2330" s="49"/>
      <c r="AH2330" s="87"/>
      <c r="AI2330" s="87"/>
    </row>
    <row r="2331" spans="1:35" ht="72" hidden="1">
      <c r="A2331" s="44"/>
      <c r="B2331" s="710"/>
      <c r="C2331" s="553" t="s">
        <v>68</v>
      </c>
      <c r="D2331" s="73" t="s">
        <v>3</v>
      </c>
      <c r="E2331" s="73" t="s">
        <v>19</v>
      </c>
      <c r="F2331" s="73" t="s">
        <v>69</v>
      </c>
      <c r="G2331" s="74" t="s">
        <v>70</v>
      </c>
      <c r="H2331" s="700"/>
      <c r="I2331" s="700"/>
      <c r="J2331" s="700"/>
      <c r="K2331" s="700"/>
      <c r="L2331" s="700"/>
      <c r="M2331" s="744"/>
      <c r="N2331" s="700"/>
      <c r="O2331" s="553" t="s">
        <v>279</v>
      </c>
      <c r="P2331" s="73" t="s">
        <v>88</v>
      </c>
      <c r="Q2331" s="555" t="s">
        <v>76</v>
      </c>
      <c r="R2331" s="734"/>
      <c r="S2331" s="735"/>
      <c r="T2331" s="736"/>
      <c r="U2331" s="712"/>
      <c r="W2331" s="429" t="s">
        <v>269</v>
      </c>
      <c r="X2331" s="457" t="s">
        <v>278</v>
      </c>
      <c r="Y2331" s="430" t="s">
        <v>324</v>
      </c>
      <c r="Z2331" s="428"/>
      <c r="AA2331" s="698"/>
      <c r="AB2331" s="696"/>
      <c r="AC2331" s="49"/>
      <c r="AD2331" s="429" t="s">
        <v>292</v>
      </c>
      <c r="AE2331" s="431" t="s">
        <v>300</v>
      </c>
      <c r="AF2331" s="468" t="s">
        <v>301</v>
      </c>
      <c r="AG2331" s="49"/>
      <c r="AH2331" s="87"/>
      <c r="AI2331" s="87"/>
    </row>
    <row r="2332" spans="1:35" hidden="1">
      <c r="A2332" s="44"/>
      <c r="B2332" s="76"/>
      <c r="C2332" s="77"/>
      <c r="D2332" s="77"/>
      <c r="E2332" s="77"/>
      <c r="F2332" s="77"/>
      <c r="G2332" s="77"/>
      <c r="H2332" s="77"/>
      <c r="I2332" s="77"/>
      <c r="J2332" s="77"/>
      <c r="K2332" s="77"/>
      <c r="L2332" s="77"/>
      <c r="M2332" s="77"/>
      <c r="N2332" s="77"/>
      <c r="O2332" s="77"/>
      <c r="P2332" s="77"/>
      <c r="Q2332" s="77"/>
      <c r="R2332" s="77"/>
      <c r="S2332" s="78"/>
      <c r="T2332" s="79"/>
      <c r="U2332" s="109"/>
      <c r="V2332" s="49"/>
      <c r="W2332" s="432"/>
      <c r="X2332" s="454"/>
      <c r="Y2332" s="433"/>
      <c r="Z2332" s="6"/>
      <c r="AA2332" s="500"/>
      <c r="AB2332" s="562"/>
      <c r="AC2332" s="49"/>
      <c r="AD2332" s="210"/>
      <c r="AE2332" s="434"/>
      <c r="AF2332" s="435"/>
      <c r="AG2332" s="49"/>
      <c r="AH2332" s="87"/>
      <c r="AI2332" s="87"/>
    </row>
    <row r="2333" spans="1:35" hidden="1">
      <c r="A2333" s="80" t="e">
        <f>"A"&amp;E2329</f>
        <v>#N/A</v>
      </c>
      <c r="B2333" s="81">
        <v>1</v>
      </c>
      <c r="C2333" s="82"/>
      <c r="D2333" s="82"/>
      <c r="E2333" s="82"/>
      <c r="F2333" s="82"/>
      <c r="G2333" s="83"/>
      <c r="H2333" s="83"/>
      <c r="I2333" s="84"/>
      <c r="J2333" s="85"/>
      <c r="K2333" s="382"/>
      <c r="L2333" s="85"/>
      <c r="M2333" s="332" t="str">
        <f t="shared" ref="M2333:M2342" si="682">IF(OR(J2333="",L2333="",H2333="NO"),"",IF(OR(J2333&gt;$P$17,J2333&lt;$O$17,L2333&gt;$P$17,AND(J2333&lt;$O$17,L2333&lt;$O$17)),"FUERA DE RANGO",IF(OR(K2333="---",K2333=""),IF(J2333&gt;=$O$17,ROUND((L2333-J2333+1)/360*12,3),ROUND((L2333-$O$17+1)/360*12,3)),IF(J2333&gt;=$O$17,ROUND((L2333-J2333+1)/360*12-ROUND(K2333,3),3),ROUND((L2333-$O$17+1)/360*12-ROUND(K2333,3),3)))))</f>
        <v/>
      </c>
      <c r="N2333" s="86"/>
      <c r="O2333" s="453" t="str">
        <f>IF(OR(G2333="",N2333=""),"",N2333*G2333)</f>
        <v/>
      </c>
      <c r="P2333" s="538" t="str">
        <f>IF(OR(H2333="",M2333="FUERA DE RANGO"),"",IF(OR(L2333&lt;$O$17,L2333&gt;$P$17,L2333="",H2333="NO"),"",IF(OR(N2333="",O2333=""),"",ROUND(O2333,3))))</f>
        <v/>
      </c>
      <c r="Q2333" s="539" t="str">
        <f t="shared" ref="Q2333:Q2342" si="683">IF(AND(H2333="SI",P2333&lt;&gt;""),ROUND(P2333/M2333,3),"")</f>
        <v/>
      </c>
      <c r="R2333" s="737"/>
      <c r="S2333" s="738"/>
      <c r="T2333" s="739"/>
      <c r="U2333" s="470"/>
      <c r="V2333" s="165"/>
      <c r="W2333" s="446"/>
      <c r="X2333" s="456"/>
      <c r="Y2333" s="436"/>
      <c r="Z2333" s="437"/>
      <c r="AA2333" s="560"/>
      <c r="AB2333" s="561"/>
      <c r="AC2333" s="87"/>
      <c r="AD2333" s="466"/>
      <c r="AE2333" s="456"/>
      <c r="AF2333" s="467"/>
      <c r="AG2333" s="87"/>
      <c r="AH2333" s="87"/>
      <c r="AI2333" s="87"/>
    </row>
    <row r="2334" spans="1:35" hidden="1">
      <c r="A2334" s="80" t="e">
        <f>"B"&amp;E2329</f>
        <v>#N/A</v>
      </c>
      <c r="B2334" s="81">
        <v>2</v>
      </c>
      <c r="C2334" s="106"/>
      <c r="D2334" s="106"/>
      <c r="E2334" s="106"/>
      <c r="F2334" s="106"/>
      <c r="G2334" s="83"/>
      <c r="H2334" s="83"/>
      <c r="I2334" s="84"/>
      <c r="J2334" s="85"/>
      <c r="K2334" s="382"/>
      <c r="L2334" s="85"/>
      <c r="M2334" s="332" t="str">
        <f t="shared" si="682"/>
        <v/>
      </c>
      <c r="N2334" s="86"/>
      <c r="O2334" s="453" t="str">
        <f t="shared" ref="O2334:O2342" si="684">IF(OR(G2334="",N2334=""),"",N2334*G2334)</f>
        <v/>
      </c>
      <c r="P2334" s="538" t="str">
        <f t="shared" ref="P2334:P2342" si="685">IF(OR(H2334="",M2334="FUERA DE RANGO"),"",IF(OR(L2334&lt;$O$17,L2334&gt;$P$17,L2334="",H2334="NO"),"",IF(OR(N2334="",O2334=""),"",ROUND(O2334,3))))</f>
        <v/>
      </c>
      <c r="Q2334" s="539" t="str">
        <f t="shared" si="683"/>
        <v/>
      </c>
      <c r="R2334" s="740"/>
      <c r="S2334" s="741"/>
      <c r="T2334" s="742"/>
      <c r="U2334" s="471"/>
      <c r="V2334" s="165"/>
      <c r="W2334" s="446"/>
      <c r="X2334" s="456"/>
      <c r="Y2334" s="436"/>
      <c r="Z2334" s="437"/>
      <c r="AA2334" s="560"/>
      <c r="AB2334" s="561"/>
      <c r="AC2334" s="87"/>
      <c r="AD2334" s="466"/>
      <c r="AE2334" s="456"/>
      <c r="AF2334" s="467"/>
      <c r="AG2334" s="87"/>
      <c r="AH2334" s="87"/>
      <c r="AI2334" s="87"/>
    </row>
    <row r="2335" spans="1:35" hidden="1">
      <c r="A2335" s="80" t="e">
        <f>"C"&amp;E2329</f>
        <v>#N/A</v>
      </c>
      <c r="B2335" s="88">
        <v>3</v>
      </c>
      <c r="C2335" s="82"/>
      <c r="D2335" s="82"/>
      <c r="E2335" s="82"/>
      <c r="F2335" s="82"/>
      <c r="G2335" s="83"/>
      <c r="H2335" s="83"/>
      <c r="I2335" s="84"/>
      <c r="J2335" s="85"/>
      <c r="K2335" s="382"/>
      <c r="L2335" s="85"/>
      <c r="M2335" s="332" t="str">
        <f t="shared" si="682"/>
        <v/>
      </c>
      <c r="N2335" s="86"/>
      <c r="O2335" s="453" t="str">
        <f t="shared" si="684"/>
        <v/>
      </c>
      <c r="P2335" s="538" t="str">
        <f t="shared" si="685"/>
        <v/>
      </c>
      <c r="Q2335" s="539" t="str">
        <f t="shared" si="683"/>
        <v/>
      </c>
      <c r="R2335" s="706"/>
      <c r="S2335" s="707"/>
      <c r="T2335" s="708"/>
      <c r="U2335" s="472"/>
      <c r="V2335" s="166"/>
      <c r="W2335" s="446"/>
      <c r="X2335" s="456"/>
      <c r="Y2335" s="436"/>
      <c r="Z2335" s="437"/>
      <c r="AA2335" s="560"/>
      <c r="AB2335" s="561"/>
      <c r="AC2335" s="87"/>
      <c r="AD2335" s="466"/>
      <c r="AE2335" s="456"/>
      <c r="AF2335" s="467"/>
      <c r="AG2335" s="87"/>
      <c r="AH2335" s="87"/>
      <c r="AI2335" s="87"/>
    </row>
    <row r="2336" spans="1:35" hidden="1">
      <c r="A2336" s="80" t="e">
        <f>"D"&amp;E2329</f>
        <v>#N/A</v>
      </c>
      <c r="B2336" s="105">
        <v>4</v>
      </c>
      <c r="C2336" s="107"/>
      <c r="D2336" s="107"/>
      <c r="E2336" s="107"/>
      <c r="F2336" s="107"/>
      <c r="G2336" s="83"/>
      <c r="H2336" s="83"/>
      <c r="I2336" s="84"/>
      <c r="J2336" s="85"/>
      <c r="K2336" s="382"/>
      <c r="L2336" s="85"/>
      <c r="M2336" s="332" t="str">
        <f t="shared" si="682"/>
        <v/>
      </c>
      <c r="N2336" s="86"/>
      <c r="O2336" s="453" t="str">
        <f t="shared" si="684"/>
        <v/>
      </c>
      <c r="P2336" s="538" t="str">
        <f t="shared" si="685"/>
        <v/>
      </c>
      <c r="Q2336" s="539" t="str">
        <f t="shared" si="683"/>
        <v/>
      </c>
      <c r="R2336" s="706"/>
      <c r="S2336" s="707"/>
      <c r="T2336" s="708"/>
      <c r="U2336" s="472"/>
      <c r="V2336" s="166"/>
      <c r="W2336" s="446"/>
      <c r="X2336" s="456"/>
      <c r="Y2336" s="436"/>
      <c r="Z2336" s="437"/>
      <c r="AA2336" s="560"/>
      <c r="AB2336" s="561"/>
      <c r="AC2336" s="87"/>
      <c r="AD2336" s="466"/>
      <c r="AE2336" s="456"/>
      <c r="AF2336" s="467"/>
      <c r="AG2336" s="87"/>
      <c r="AH2336" s="87"/>
      <c r="AI2336" s="87"/>
    </row>
    <row r="2337" spans="1:35" hidden="1">
      <c r="A2337" s="80" t="e">
        <f>"E"&amp;E2329</f>
        <v>#N/A</v>
      </c>
      <c r="B2337" s="105">
        <v>5</v>
      </c>
      <c r="C2337" s="107"/>
      <c r="D2337" s="107"/>
      <c r="E2337" s="107"/>
      <c r="F2337" s="107"/>
      <c r="G2337" s="83"/>
      <c r="H2337" s="83"/>
      <c r="I2337" s="84"/>
      <c r="J2337" s="85"/>
      <c r="K2337" s="382"/>
      <c r="L2337" s="85"/>
      <c r="M2337" s="332" t="str">
        <f t="shared" si="682"/>
        <v/>
      </c>
      <c r="N2337" s="86"/>
      <c r="O2337" s="453" t="str">
        <f t="shared" si="684"/>
        <v/>
      </c>
      <c r="P2337" s="538" t="str">
        <f t="shared" si="685"/>
        <v/>
      </c>
      <c r="Q2337" s="539" t="str">
        <f t="shared" si="683"/>
        <v/>
      </c>
      <c r="R2337" s="706"/>
      <c r="S2337" s="707"/>
      <c r="T2337" s="708"/>
      <c r="U2337" s="472"/>
      <c r="V2337" s="167"/>
      <c r="W2337" s="446"/>
      <c r="X2337" s="456"/>
      <c r="Y2337" s="436"/>
      <c r="Z2337" s="437"/>
      <c r="AA2337" s="560"/>
      <c r="AB2337" s="561"/>
      <c r="AC2337" s="87"/>
      <c r="AD2337" s="466"/>
      <c r="AE2337" s="456"/>
      <c r="AF2337" s="467"/>
      <c r="AG2337" s="87"/>
      <c r="AH2337" s="87"/>
      <c r="AI2337" s="87"/>
    </row>
    <row r="2338" spans="1:35" hidden="1">
      <c r="A2338" s="80" t="e">
        <f>"F"&amp;E2329</f>
        <v>#N/A</v>
      </c>
      <c r="B2338" s="105">
        <v>6</v>
      </c>
      <c r="C2338" s="107"/>
      <c r="D2338" s="107"/>
      <c r="E2338" s="107"/>
      <c r="F2338" s="107"/>
      <c r="G2338" s="83"/>
      <c r="H2338" s="83"/>
      <c r="I2338" s="84"/>
      <c r="J2338" s="85"/>
      <c r="K2338" s="382"/>
      <c r="L2338" s="85"/>
      <c r="M2338" s="332" t="str">
        <f t="shared" si="682"/>
        <v/>
      </c>
      <c r="N2338" s="86"/>
      <c r="O2338" s="453" t="str">
        <f t="shared" si="684"/>
        <v/>
      </c>
      <c r="P2338" s="538" t="str">
        <f t="shared" si="685"/>
        <v/>
      </c>
      <c r="Q2338" s="539" t="str">
        <f t="shared" si="683"/>
        <v/>
      </c>
      <c r="R2338" s="706"/>
      <c r="S2338" s="707"/>
      <c r="T2338" s="708"/>
      <c r="U2338" s="472"/>
      <c r="V2338" s="167"/>
      <c r="W2338" s="446"/>
      <c r="X2338" s="456"/>
      <c r="Y2338" s="436"/>
      <c r="Z2338" s="437"/>
      <c r="AA2338" s="560"/>
      <c r="AB2338" s="561"/>
      <c r="AC2338" s="87"/>
      <c r="AD2338" s="466"/>
      <c r="AE2338" s="456"/>
      <c r="AF2338" s="467"/>
      <c r="AG2338" s="87"/>
      <c r="AH2338" s="87"/>
      <c r="AI2338" s="87"/>
    </row>
    <row r="2339" spans="1:35" hidden="1">
      <c r="A2339" s="80" t="e">
        <f>"G"&amp;E2329</f>
        <v>#N/A</v>
      </c>
      <c r="B2339" s="105">
        <v>7</v>
      </c>
      <c r="C2339" s="107"/>
      <c r="D2339" s="107"/>
      <c r="E2339" s="107"/>
      <c r="F2339" s="107"/>
      <c r="G2339" s="83"/>
      <c r="H2339" s="83"/>
      <c r="I2339" s="84"/>
      <c r="J2339" s="85"/>
      <c r="K2339" s="382"/>
      <c r="L2339" s="85"/>
      <c r="M2339" s="332" t="str">
        <f t="shared" si="682"/>
        <v/>
      </c>
      <c r="N2339" s="86"/>
      <c r="O2339" s="86" t="str">
        <f t="shared" si="684"/>
        <v/>
      </c>
      <c r="P2339" s="538" t="str">
        <f t="shared" si="685"/>
        <v/>
      </c>
      <c r="Q2339" s="539" t="str">
        <f t="shared" si="683"/>
        <v/>
      </c>
      <c r="R2339" s="706"/>
      <c r="S2339" s="707"/>
      <c r="T2339" s="708"/>
      <c r="U2339" s="472"/>
      <c r="V2339" s="167"/>
      <c r="W2339" s="446"/>
      <c r="X2339" s="456"/>
      <c r="Y2339" s="436"/>
      <c r="Z2339" s="437"/>
      <c r="AA2339" s="560"/>
      <c r="AB2339" s="561"/>
      <c r="AC2339" s="87"/>
      <c r="AD2339" s="466"/>
      <c r="AE2339" s="456"/>
      <c r="AF2339" s="467"/>
      <c r="AG2339" s="87"/>
      <c r="AH2339" s="87"/>
      <c r="AI2339" s="87"/>
    </row>
    <row r="2340" spans="1:35" hidden="1">
      <c r="A2340" s="80" t="e">
        <f>"H"&amp;E2329</f>
        <v>#N/A</v>
      </c>
      <c r="B2340" s="105">
        <v>8</v>
      </c>
      <c r="C2340" s="107"/>
      <c r="D2340" s="107"/>
      <c r="E2340" s="107"/>
      <c r="F2340" s="107"/>
      <c r="G2340" s="83"/>
      <c r="H2340" s="83"/>
      <c r="I2340" s="84"/>
      <c r="J2340" s="85"/>
      <c r="K2340" s="382"/>
      <c r="L2340" s="85"/>
      <c r="M2340" s="332" t="str">
        <f t="shared" si="682"/>
        <v/>
      </c>
      <c r="N2340" s="453"/>
      <c r="O2340" s="86" t="str">
        <f t="shared" si="684"/>
        <v/>
      </c>
      <c r="P2340" s="538" t="str">
        <f t="shared" si="685"/>
        <v/>
      </c>
      <c r="Q2340" s="539" t="str">
        <f t="shared" si="683"/>
        <v/>
      </c>
      <c r="R2340" s="706"/>
      <c r="S2340" s="707"/>
      <c r="T2340" s="708"/>
      <c r="U2340" s="472"/>
      <c r="V2340" s="167"/>
      <c r="W2340" s="446"/>
      <c r="X2340" s="456"/>
      <c r="Y2340" s="436"/>
      <c r="Z2340" s="437"/>
      <c r="AA2340" s="560"/>
      <c r="AB2340" s="561"/>
      <c r="AC2340" s="87"/>
      <c r="AD2340" s="466"/>
      <c r="AE2340" s="456"/>
      <c r="AF2340" s="467"/>
      <c r="AG2340" s="87"/>
      <c r="AH2340" s="87"/>
      <c r="AI2340" s="87"/>
    </row>
    <row r="2341" spans="1:35" hidden="1">
      <c r="A2341" s="80" t="e">
        <f>"I"&amp;E2329</f>
        <v>#N/A</v>
      </c>
      <c r="B2341" s="105">
        <v>9</v>
      </c>
      <c r="C2341" s="107"/>
      <c r="D2341" s="107"/>
      <c r="E2341" s="107"/>
      <c r="F2341" s="107"/>
      <c r="G2341" s="83"/>
      <c r="H2341" s="83"/>
      <c r="I2341" s="84"/>
      <c r="J2341" s="85"/>
      <c r="K2341" s="382"/>
      <c r="L2341" s="85"/>
      <c r="M2341" s="332" t="str">
        <f t="shared" si="682"/>
        <v/>
      </c>
      <c r="N2341" s="453"/>
      <c r="O2341" s="86" t="str">
        <f t="shared" si="684"/>
        <v/>
      </c>
      <c r="P2341" s="538" t="str">
        <f t="shared" si="685"/>
        <v/>
      </c>
      <c r="Q2341" s="539" t="str">
        <f t="shared" si="683"/>
        <v/>
      </c>
      <c r="R2341" s="706"/>
      <c r="S2341" s="707"/>
      <c r="T2341" s="708"/>
      <c r="U2341" s="472"/>
      <c r="V2341" s="167"/>
      <c r="W2341" s="446"/>
      <c r="X2341" s="456"/>
      <c r="Y2341" s="436"/>
      <c r="Z2341" s="437"/>
      <c r="AA2341" s="560"/>
      <c r="AB2341" s="561"/>
      <c r="AC2341" s="87"/>
      <c r="AD2341" s="466"/>
      <c r="AE2341" s="456"/>
      <c r="AF2341" s="467"/>
      <c r="AG2341" s="87"/>
      <c r="AH2341" s="87"/>
      <c r="AI2341" s="87"/>
    </row>
    <row r="2342" spans="1:35" hidden="1">
      <c r="A2342" s="80" t="e">
        <f>"J"&amp;E2329</f>
        <v>#N/A</v>
      </c>
      <c r="B2342" s="105">
        <v>10</v>
      </c>
      <c r="C2342" s="107"/>
      <c r="D2342" s="107"/>
      <c r="E2342" s="107"/>
      <c r="F2342" s="107"/>
      <c r="G2342" s="83"/>
      <c r="H2342" s="83"/>
      <c r="I2342" s="84"/>
      <c r="J2342" s="85"/>
      <c r="K2342" s="382"/>
      <c r="L2342" s="85"/>
      <c r="M2342" s="332" t="str">
        <f t="shared" si="682"/>
        <v/>
      </c>
      <c r="N2342" s="453"/>
      <c r="O2342" s="86" t="str">
        <f t="shared" si="684"/>
        <v/>
      </c>
      <c r="P2342" s="538" t="str">
        <f t="shared" si="685"/>
        <v/>
      </c>
      <c r="Q2342" s="539" t="str">
        <f t="shared" si="683"/>
        <v/>
      </c>
      <c r="R2342" s="706"/>
      <c r="S2342" s="707"/>
      <c r="T2342" s="708"/>
      <c r="U2342" s="472"/>
      <c r="V2342" s="167"/>
      <c r="W2342" s="446"/>
      <c r="X2342" s="456"/>
      <c r="Y2342" s="436"/>
      <c r="Z2342" s="437"/>
      <c r="AA2342" s="560"/>
      <c r="AB2342" s="561"/>
      <c r="AC2342" s="87"/>
      <c r="AD2342" s="466"/>
      <c r="AE2342" s="456"/>
      <c r="AF2342" s="467"/>
      <c r="AG2342" s="87"/>
      <c r="AH2342" s="87"/>
      <c r="AI2342" s="87"/>
    </row>
    <row r="2343" spans="1:35" ht="16.5" hidden="1" thickBot="1">
      <c r="A2343" s="44"/>
      <c r="B2343" s="89"/>
      <c r="C2343" s="90"/>
      <c r="D2343" s="90"/>
      <c r="E2343" s="90"/>
      <c r="F2343" s="90"/>
      <c r="G2343" s="90"/>
      <c r="H2343" s="90"/>
      <c r="I2343" s="90"/>
      <c r="J2343" s="90"/>
      <c r="K2343" s="90"/>
      <c r="L2343" s="90"/>
      <c r="M2343" s="90"/>
      <c r="N2343" s="90"/>
      <c r="O2343" s="90"/>
      <c r="P2343" s="90"/>
      <c r="Q2343" s="90"/>
      <c r="R2343" s="90"/>
      <c r="S2343" s="91"/>
      <c r="T2343" s="92"/>
      <c r="U2343" s="473"/>
      <c r="W2343" s="438"/>
      <c r="X2343" s="455"/>
      <c r="Y2343" s="439"/>
      <c r="Z2343" s="437"/>
      <c r="AA2343" s="530"/>
      <c r="AB2343" s="563"/>
      <c r="AC2343" s="87"/>
      <c r="AD2343" s="440"/>
      <c r="AE2343" s="441"/>
      <c r="AF2343" s="442"/>
      <c r="AG2343" s="49"/>
      <c r="AH2343" s="87"/>
      <c r="AI2343" s="87"/>
    </row>
    <row r="2344" spans="1:35" ht="16.5" hidden="1" thickBot="1">
      <c r="A2344" s="93"/>
      <c r="B2344" s="94"/>
      <c r="C2344" s="96"/>
      <c r="D2344" s="96"/>
      <c r="E2344" s="96"/>
      <c r="F2344" s="96"/>
      <c r="G2344" s="96"/>
      <c r="H2344" s="96"/>
      <c r="I2344" s="96"/>
      <c r="J2344" s="96"/>
      <c r="K2344" s="96"/>
      <c r="L2344" s="96"/>
      <c r="M2344" s="136"/>
      <c r="N2344" s="96"/>
      <c r="O2344" s="96"/>
      <c r="P2344" s="97"/>
      <c r="Q2344" s="97"/>
      <c r="R2344" s="98"/>
      <c r="S2344" s="95"/>
      <c r="T2344" s="99"/>
      <c r="U2344" s="469"/>
      <c r="AC2344" s="58"/>
      <c r="AG2344" s="58"/>
      <c r="AH2344" s="87"/>
      <c r="AI2344" s="87"/>
    </row>
    <row r="2345" spans="1:35" ht="16.5" hidden="1" thickBot="1">
      <c r="B2345" s="101"/>
      <c r="C2345" s="101"/>
      <c r="D2345" s="101"/>
      <c r="E2345" s="101"/>
      <c r="F2345" s="101"/>
      <c r="G2345" s="101"/>
      <c r="H2345" s="101"/>
      <c r="I2345" s="101"/>
      <c r="J2345" s="101"/>
      <c r="K2345" s="101"/>
      <c r="L2345" s="101"/>
      <c r="M2345" s="101"/>
      <c r="N2345" s="101"/>
      <c r="O2345" s="101"/>
      <c r="P2345" s="101"/>
      <c r="Q2345" s="101"/>
      <c r="R2345" s="101"/>
      <c r="S2345" s="101"/>
      <c r="U2345" s="50"/>
      <c r="AH2345" s="87"/>
      <c r="AI2345" s="87"/>
    </row>
    <row r="2346" spans="1:35" ht="16.5" hidden="1" customHeight="1" thickBot="1">
      <c r="A2346" s="44"/>
      <c r="B2346" s="705" t="s">
        <v>74</v>
      </c>
      <c r="C2346" s="705"/>
      <c r="D2346" s="705"/>
      <c r="E2346" s="705"/>
      <c r="F2346" s="705"/>
      <c r="G2346" s="705"/>
      <c r="H2346" s="705"/>
      <c r="I2346" s="705"/>
      <c r="J2346" s="705"/>
      <c r="K2346" s="705"/>
      <c r="L2346" s="705"/>
      <c r="M2346" s="705"/>
      <c r="N2346" s="705"/>
      <c r="O2346" s="705"/>
      <c r="P2346" s="705"/>
      <c r="Q2346" s="705"/>
      <c r="R2346" s="705"/>
      <c r="S2346" s="705"/>
      <c r="T2346" s="705"/>
      <c r="U2346" s="108"/>
      <c r="Y2346" s="532" t="s">
        <v>341</v>
      </c>
      <c r="AC2346" s="49"/>
      <c r="AD2346" s="687" t="s">
        <v>302</v>
      </c>
      <c r="AE2346" s="688"/>
      <c r="AF2346" s="689"/>
      <c r="AG2346" s="49"/>
      <c r="AH2346" s="87"/>
      <c r="AI2346" s="87"/>
    </row>
    <row r="2347" spans="1:35" ht="15.75" hidden="1" customHeight="1" thickBot="1">
      <c r="A2347" s="218" t="e">
        <f>"K"&amp;E2329</f>
        <v>#N/A</v>
      </c>
      <c r="B2347" s="701" t="s">
        <v>71</v>
      </c>
      <c r="C2347" s="751" t="s">
        <v>102</v>
      </c>
      <c r="D2347" s="751"/>
      <c r="E2347" s="751"/>
      <c r="F2347" s="751"/>
      <c r="G2347" s="751"/>
      <c r="H2347" s="751"/>
      <c r="I2347" s="751"/>
      <c r="J2347" s="751"/>
      <c r="K2347" s="751"/>
      <c r="L2347" s="722" t="s">
        <v>100</v>
      </c>
      <c r="M2347" s="747" t="s">
        <v>114</v>
      </c>
      <c r="N2347" s="747"/>
      <c r="O2347" s="747"/>
      <c r="P2347" s="747"/>
      <c r="Q2347" s="748"/>
      <c r="R2347" s="758" t="s">
        <v>280</v>
      </c>
      <c r="S2347" s="748"/>
      <c r="T2347" s="762" t="str">
        <f>IF(COUNTIF(AE2347:AF2347,"VERIFICAR")&gt;0,"VERIFICAR",IF(COUNTIF(AE2347:AF2347,"NO CUMPLE")&gt;0,"NO CUMPLE","CUMPLE"))</f>
        <v>VERIFICAR</v>
      </c>
      <c r="U2347" s="108"/>
      <c r="Y2347" s="533" t="e">
        <f>IF(F2348="","",IF(F2348=1,"INDIVIDUAL","ESTRUCTURA PLURAL"))</f>
        <v>#N/A</v>
      </c>
      <c r="AC2347" s="52"/>
      <c r="AD2347" s="475" t="s">
        <v>303</v>
      </c>
      <c r="AE2347" s="476" t="str">
        <f>IF(COUNTIF(AE2333:AE2342,"")=10,"VERIFICAR",IF(COUNTIF(AE2333:AE2342,"SI")&gt;0,"CUMPLE","NO CUMPLE"))</f>
        <v>VERIFICAR</v>
      </c>
      <c r="AF2347" s="477" t="str">
        <f>IF(COUNTIF(AF2333:AF2342,"")=10,"VERIFICAR",IF(COUNTIF(AF2333:AF2342,"SI")&gt;=$AI$22,"CUMPLE","NO CUMPLE"))</f>
        <v>VERIFICAR</v>
      </c>
      <c r="AG2347" s="52"/>
      <c r="AH2347" s="87"/>
      <c r="AI2347" s="87"/>
    </row>
    <row r="2348" spans="1:35" ht="16.5" hidden="1" customHeight="1" thickBot="1">
      <c r="A2348" s="218" t="e">
        <f>"L"&amp;E2329</f>
        <v>#N/A</v>
      </c>
      <c r="B2348" s="702"/>
      <c r="C2348" s="751" t="s">
        <v>103</v>
      </c>
      <c r="D2348" s="751"/>
      <c r="E2348" s="752"/>
      <c r="F2348" s="557" t="e">
        <f>IF(VLOOKUP(E2329,PROPONENTES!$C$19:$E$218,3,0)="","",VLOOKUP(E2329,PROPONENTES!$C$19:$E$218,3,0))</f>
        <v>#N/A</v>
      </c>
      <c r="G2348" s="753" t="s">
        <v>104</v>
      </c>
      <c r="H2348" s="751"/>
      <c r="I2348" s="715" t="e">
        <f>IF(OR(F2348="",F2348=1),"INTERESADO PERSONA NATURAL O JURIDICA","CONSORCIO O UNION TEMPORAL")</f>
        <v>#N/A</v>
      </c>
      <c r="J2348" s="725"/>
      <c r="K2348" s="728"/>
      <c r="L2348" s="723"/>
      <c r="M2348" s="749"/>
      <c r="N2348" s="749"/>
      <c r="O2348" s="749"/>
      <c r="P2348" s="749"/>
      <c r="Q2348" s="750"/>
      <c r="R2348" s="712"/>
      <c r="S2348" s="750"/>
      <c r="T2348" s="763"/>
      <c r="U2348" s="108"/>
      <c r="Y2348" s="534"/>
      <c r="AA2348" s="52"/>
      <c r="AB2348" s="52"/>
      <c r="AC2348" s="52"/>
      <c r="AG2348" s="52"/>
      <c r="AH2348" s="87"/>
      <c r="AI2348" s="87"/>
    </row>
    <row r="2349" spans="1:35" ht="56.25" hidden="1" customHeight="1" thickBot="1">
      <c r="A2349" s="218" t="e">
        <f>"M"&amp;E2329</f>
        <v>#N/A</v>
      </c>
      <c r="B2349" s="702"/>
      <c r="C2349" s="725" t="s">
        <v>101</v>
      </c>
      <c r="D2349" s="716"/>
      <c r="E2349" s="558" t="s">
        <v>105</v>
      </c>
      <c r="F2349" s="554" t="s">
        <v>87</v>
      </c>
      <c r="G2349" s="553" t="s">
        <v>86</v>
      </c>
      <c r="H2349" s="559" t="s">
        <v>85</v>
      </c>
      <c r="I2349" s="554" t="s">
        <v>252</v>
      </c>
      <c r="J2349" s="553" t="str">
        <f>"¿EL INTEGRANTE TIENE UNA PARTICIPACIÓN DEL "&amp;PORCREQUERIDOINT*100&amp;"%?"</f>
        <v>¿EL INTEGRANTE TIENE UNA PARTICIPACIÓN DEL 60%?</v>
      </c>
      <c r="K2349" s="554" t="s">
        <v>107</v>
      </c>
      <c r="L2349" s="724"/>
      <c r="M2349" s="717" t="s">
        <v>115</v>
      </c>
      <c r="N2349" s="718"/>
      <c r="O2349" s="718"/>
      <c r="P2349" s="718"/>
      <c r="Q2349" s="223">
        <f>IF(AND(H2333="SI",P2333&gt;=0),1,0)+IF(AND(H2334="SI",P2334&gt;=0),1,0)+IF(AND(H2335="SI",P2335&gt;=0),1,0)+IF(AND(H2336="SI",P2336&gt;=0),1,0)+IF(AND(H2337="SI",P2337&gt;=0),1,0)+IF(AND(H2338="SI",P2338&gt;=0),1,0)+IF(AND(H2339="SI",P2339&gt;=0),1,0)+IF(AND(H2340="SI",P2340&gt;=0),1,0)+IF(AND(H2341="SI",P2341&gt;=0),1,0)+IF(AND(H2342="SI",P2342&gt;=0),1,0)</f>
        <v>0</v>
      </c>
      <c r="R2349" s="759"/>
      <c r="S2349" s="761"/>
      <c r="T2349" s="764"/>
      <c r="U2349" s="219"/>
      <c r="V2349" s="464"/>
      <c r="Y2349" s="532" t="s">
        <v>342</v>
      </c>
      <c r="AA2349" s="550" t="s">
        <v>344</v>
      </c>
      <c r="AB2349" s="693" t="s">
        <v>345</v>
      </c>
      <c r="AC2349" s="693" t="s">
        <v>346</v>
      </c>
      <c r="AD2349" s="685" t="s">
        <v>347</v>
      </c>
      <c r="AE2349" s="52"/>
      <c r="AF2349" s="52"/>
      <c r="AG2349" s="52"/>
      <c r="AH2349" s="87"/>
      <c r="AI2349" s="87"/>
    </row>
    <row r="2350" spans="1:35" ht="15.75" hidden="1" customHeight="1" thickBot="1">
      <c r="A2350" s="218" t="e">
        <f>"N"&amp;E2329</f>
        <v>#N/A</v>
      </c>
      <c r="B2350" s="702"/>
      <c r="C2350" s="114">
        <v>1</v>
      </c>
      <c r="D2350" s="194" t="e">
        <f>IF(AND(C2350&lt;=F2348,F2348&gt;1,F2348&lt;&gt;""),VLOOKUP(VALUE(E2329&amp;","&amp;C2350),INTEGRANTES!$D$18:$F$235,2,0),"")</f>
        <v>#N/A</v>
      </c>
      <c r="E2350" s="211" t="e">
        <f>IF(D2350&lt;&gt;"",VLOOKUP(VALUE(E2329&amp;","&amp;C2350),INTEGRANTES!$D$18:$F$235,3,0),"")</f>
        <v>#N/A</v>
      </c>
      <c r="F2350" s="547" t="e">
        <f>IF(D2350="","",SUMIF($I2333:$I2342,D2350,$P2333:$P2342))</f>
        <v>#N/A</v>
      </c>
      <c r="G2350" s="333" t="e">
        <f>IF(D2350="","",SUMIF($I2333:$I2342,D2350,$M2333:$M2342))</f>
        <v>#N/A</v>
      </c>
      <c r="H2350" s="535" t="e">
        <f t="shared" ref="H2350:H2355" si="686">IF(D2350="","",IF(OR(F2350=0,G2350=0),"NO APORTA",ROUND($F2350/$G2350,3)))</f>
        <v>#N/A</v>
      </c>
      <c r="I2350" s="212" t="e">
        <f>IF(D2350="","",IF(H2350="NO APORTA","NO",IF(H2350=MAX($H2350:$H2355),"SI","NO")))</f>
        <v>#N/A</v>
      </c>
      <c r="J2350" s="213" t="e">
        <f t="shared" ref="J2350:J2355" si="687">IF(D2350="","",IF(E2350&gt;=PORCREQUERIDOINT,"SI","NO"))</f>
        <v>#N/A</v>
      </c>
      <c r="K2350" s="200" t="e">
        <f t="shared" ref="K2350:K2355" si="688">IF(D2350="","",IF(AND(I2350="SI",J2350="SI"),"CUMPLE",IF(AND(I2350="NO",OR(J2350="SI",J2350="NO")),"","NO CUMPLE")))</f>
        <v>#N/A</v>
      </c>
      <c r="L2350" s="722" t="s">
        <v>108</v>
      </c>
      <c r="M2350" s="726" t="s">
        <v>119</v>
      </c>
      <c r="N2350" s="726"/>
      <c r="O2350" s="726"/>
      <c r="P2350" s="726"/>
      <c r="Q2350" s="727"/>
      <c r="R2350" s="758" t="s">
        <v>80</v>
      </c>
      <c r="S2350" s="747"/>
      <c r="T2350" s="748"/>
      <c r="U2350" s="219"/>
      <c r="V2350" s="464"/>
      <c r="Y2350" s="533" t="e">
        <f>IF(Y2347="","",IF(Y2347="INDIVIDUAL","NO APLICA","VERIFICAR CUADRO"))</f>
        <v>#N/A</v>
      </c>
      <c r="AA2350" s="551"/>
      <c r="AB2350" s="694"/>
      <c r="AC2350" s="694"/>
      <c r="AD2350" s="686"/>
      <c r="AE2350" s="52"/>
      <c r="AF2350" s="52"/>
      <c r="AG2350" s="52"/>
      <c r="AH2350" s="87"/>
      <c r="AI2350" s="87"/>
    </row>
    <row r="2351" spans="1:35" ht="27" hidden="1" customHeight="1" thickBot="1">
      <c r="A2351" s="218" t="e">
        <f>"O"&amp;E2329</f>
        <v>#N/A</v>
      </c>
      <c r="B2351" s="702"/>
      <c r="C2351" s="114">
        <v>2</v>
      </c>
      <c r="D2351" s="194" t="e">
        <f>IF(AND(C2351&lt;=F2348,F2348&lt;&gt;""),VLOOKUP(VALUE(E2329&amp;","&amp;C2351),INTEGRANTES!$D$18:$F$235,2,0),"")</f>
        <v>#N/A</v>
      </c>
      <c r="E2351" s="211" t="e">
        <f>IF(D2351&lt;&gt;"",VLOOKUP(VALUE(E2329&amp;","&amp;C2351),INTEGRANTES!$D$18:$F$235,3,0),"")</f>
        <v>#N/A</v>
      </c>
      <c r="F2351" s="547" t="e">
        <f>IF(D2351="","",SUMIF($I2333:$I2342,D2351,$P2333:$P2342))</f>
        <v>#N/A</v>
      </c>
      <c r="G2351" s="333" t="e">
        <f>IF(D2351="","",SUMIF($I2333:$I2342,D2351,$M2333:$M2342))</f>
        <v>#N/A</v>
      </c>
      <c r="H2351" s="535" t="e">
        <f t="shared" si="686"/>
        <v>#N/A</v>
      </c>
      <c r="I2351" s="212" t="e">
        <f>IF(D2351="","",IF(H2351="NO APORTA","NO",IF(H2351=MAX($H2350:$H2355),"SI","NO")))</f>
        <v>#N/A</v>
      </c>
      <c r="J2351" s="213" t="e">
        <f t="shared" si="687"/>
        <v>#N/A</v>
      </c>
      <c r="K2351" s="200" t="e">
        <f t="shared" si="688"/>
        <v>#N/A</v>
      </c>
      <c r="L2351" s="723"/>
      <c r="M2351" s="715" t="s">
        <v>116</v>
      </c>
      <c r="N2351" s="716"/>
      <c r="O2351" s="556" t="s">
        <v>113</v>
      </c>
      <c r="P2351" s="715" t="s">
        <v>117</v>
      </c>
      <c r="Q2351" s="728"/>
      <c r="R2351" s="759"/>
      <c r="S2351" s="760"/>
      <c r="T2351" s="761"/>
      <c r="U2351" s="219"/>
      <c r="V2351" s="464"/>
      <c r="Y2351" s="414"/>
      <c r="AA2351" s="542" t="e">
        <f>IF(AND(C2350&lt;=F2348,F2348&gt;1,F2348&lt;&gt;""),VLOOKUP(VALUE(E2329&amp;","&amp;C2350),INTEGRANTES!$D$18:$F$235,2,0),"")</f>
        <v>#N/A</v>
      </c>
      <c r="AB2351" s="544" t="e">
        <f t="shared" ref="AB2351:AB2356" si="689">IF(D2350="","",IF(OR(F2350=0,G2350=0),"NO APORTA",ROUND($F2350/$G2350,3)))</f>
        <v>#N/A</v>
      </c>
      <c r="AC2351" s="529"/>
      <c r="AD2351" s="200" t="e">
        <f t="shared" ref="AD2351:AD2356" si="690">IF(OR(AA2351="",AB2351=""),"",IF(AND(AC2351="X",AB2351&gt;=EXPREQVTD),"CUMPLE","NO CUMPLE"))</f>
        <v>#N/A</v>
      </c>
      <c r="AE2351" s="52"/>
      <c r="AF2351" s="52"/>
      <c r="AG2351" s="52"/>
      <c r="AH2351" s="87"/>
      <c r="AI2351" s="87"/>
    </row>
    <row r="2352" spans="1:35" ht="16.5" hidden="1" thickBot="1">
      <c r="A2352" s="218" t="e">
        <f>"P"&amp;E2329</f>
        <v>#N/A</v>
      </c>
      <c r="B2352" s="702"/>
      <c r="C2352" s="114">
        <v>3</v>
      </c>
      <c r="D2352" s="194" t="e">
        <f>IF(AND(C2352&lt;=F2348,F2348&lt;&gt;""),VLOOKUP(VALUE(E2329&amp;","&amp;C2352),INTEGRANTES!$D$18:$F$235,2,0),"")</f>
        <v>#N/A</v>
      </c>
      <c r="E2352" s="211" t="e">
        <f>IF(D2352&lt;&gt;"",VLOOKUP(VALUE(E2329&amp;","&amp;C2352),INTEGRANTES!$D$18:$F$235,3,0),"")</f>
        <v>#N/A</v>
      </c>
      <c r="F2352" s="547" t="e">
        <f>IF(D2352="","",SUMIF($I2333:$I2342,D2352,$P2333:$P2342))</f>
        <v>#N/A</v>
      </c>
      <c r="G2352" s="333" t="e">
        <f>IF(D2352="","",SUMIF($I2333:$I2342,D2352,$M2333:$M2342))</f>
        <v>#N/A</v>
      </c>
      <c r="H2352" s="535" t="e">
        <f t="shared" si="686"/>
        <v>#N/A</v>
      </c>
      <c r="I2352" s="212" t="e">
        <f>IF(D2352="","",IF(H2352="NO APORTA","NO",IF(H2352=MAX($H2350:$H2355),"SI","NO")))</f>
        <v>#N/A</v>
      </c>
      <c r="J2352" s="213" t="e">
        <f t="shared" si="687"/>
        <v>#N/A</v>
      </c>
      <c r="K2352" s="200" t="e">
        <f t="shared" si="688"/>
        <v>#N/A</v>
      </c>
      <c r="L2352" s="724"/>
      <c r="M2352" s="729">
        <f>NUMMOD</f>
        <v>1</v>
      </c>
      <c r="N2352" s="730"/>
      <c r="O2352" s="443">
        <f>IF(M2352="","",VLOOKUP(M2352,PRESUPUESTOS!$B$16:$H$16,5,FALSE))</f>
        <v>2</v>
      </c>
      <c r="P2352" s="713">
        <f>IF(OR(COUNTIF(M2333:M2342,"")&gt;=10,Q2349&lt;NUMMINCONT,OR(T2347="NO CUMPLE",T2347="VERIFICAR")),0,ROUND(AVERAGE(M2333:M2342),3))</f>
        <v>0</v>
      </c>
      <c r="Q2352" s="714"/>
      <c r="R2352" s="458"/>
      <c r="S2352" s="459"/>
      <c r="T2352" s="460"/>
      <c r="U2352" s="219"/>
      <c r="V2352" s="464"/>
      <c r="Y2352" s="532" t="str">
        <f>"40% * ("&amp;PRESUPUESTOS!$H$13&amp;")"</f>
        <v>40% * (50% PFMO)</v>
      </c>
      <c r="AA2352" s="540" t="e">
        <f>IF(AND(C2351&lt;=F2348,F2348&lt;&gt;""),VLOOKUP(VALUE(E2329&amp;","&amp;C2351),INTEGRANTES!$D$18:$F$235,2,0),"")</f>
        <v>#N/A</v>
      </c>
      <c r="AB2352" s="545" t="e">
        <f t="shared" si="689"/>
        <v>#N/A</v>
      </c>
      <c r="AC2352" s="529"/>
      <c r="AD2352" s="200" t="e">
        <f t="shared" si="690"/>
        <v>#N/A</v>
      </c>
      <c r="AE2352" s="52"/>
      <c r="AF2352" s="52"/>
      <c r="AG2352" s="52"/>
      <c r="AH2352" s="87"/>
      <c r="AI2352" s="87"/>
    </row>
    <row r="2353" spans="1:35" ht="15.75" hidden="1" customHeight="1" thickBot="1">
      <c r="A2353" s="218" t="e">
        <f>"Q"&amp;E2329</f>
        <v>#N/A</v>
      </c>
      <c r="B2353" s="702"/>
      <c r="C2353" s="114">
        <v>4</v>
      </c>
      <c r="D2353" s="194" t="e">
        <f>IF(AND(C2353&lt;=F2348,F2348&lt;&gt;""),VLOOKUP(VALUE(E2329&amp;","&amp;C2353),INTEGRANTES!$D$18:$F$235,2,0),"")</f>
        <v>#N/A</v>
      </c>
      <c r="E2353" s="211" t="e">
        <f>IF(D2353&lt;&gt;"",VLOOKUP(VALUE(E2329&amp;","&amp;C2353),INTEGRANTES!$D$18:$F$235,3,0),"")</f>
        <v>#N/A</v>
      </c>
      <c r="F2353" s="547" t="e">
        <f>IF(D2353="","",SUMIF($I2333:$I2342,D2353,$P2333:$P2342))</f>
        <v>#N/A</v>
      </c>
      <c r="G2353" s="333" t="e">
        <f>IF(D2353="","",SUMIF($I2333:$I2342,D2353,$M2333:$M2342))</f>
        <v>#N/A</v>
      </c>
      <c r="H2353" s="535" t="e">
        <f t="shared" si="686"/>
        <v>#N/A</v>
      </c>
      <c r="I2353" s="212" t="e">
        <f>IF(D2353="","",IF(H2353="NO APORTA","NO",IF(H2353=MAX($H2350:$H2355),"SI","NO")))</f>
        <v>#N/A</v>
      </c>
      <c r="J2353" s="213" t="e">
        <f t="shared" si="687"/>
        <v>#N/A</v>
      </c>
      <c r="K2353" s="200" t="e">
        <f t="shared" si="688"/>
        <v>#N/A</v>
      </c>
      <c r="L2353" s="720" t="s">
        <v>109</v>
      </c>
      <c r="M2353" s="757" t="s">
        <v>120</v>
      </c>
      <c r="N2353" s="726"/>
      <c r="O2353" s="726"/>
      <c r="P2353" s="726"/>
      <c r="Q2353" s="727"/>
      <c r="R2353" s="458"/>
      <c r="S2353" s="459"/>
      <c r="T2353" s="460"/>
      <c r="U2353" s="219"/>
      <c r="V2353" s="464"/>
      <c r="Y2353" s="537">
        <f>0.4*PRESUPUESTOS!$H$16</f>
        <v>10.3124</v>
      </c>
      <c r="AA2353" s="540" t="e">
        <f>IF(AND(C2352&lt;=F2348,F2348&lt;&gt;""),VLOOKUP(VALUE(E2329&amp;","&amp;C2352),INTEGRANTES!$D$18:$F$235,2,0),"")</f>
        <v>#N/A</v>
      </c>
      <c r="AB2353" s="545" t="e">
        <f t="shared" si="689"/>
        <v>#N/A</v>
      </c>
      <c r="AC2353" s="529"/>
      <c r="AD2353" s="200" t="e">
        <f t="shared" si="690"/>
        <v>#N/A</v>
      </c>
      <c r="AE2353" s="52"/>
      <c r="AF2353" s="52"/>
      <c r="AG2353" s="52"/>
      <c r="AH2353" s="87"/>
      <c r="AI2353" s="87"/>
    </row>
    <row r="2354" spans="1:35" ht="27" hidden="1" customHeight="1" thickBot="1">
      <c r="A2354" s="218" t="e">
        <f>"R"&amp;E2329</f>
        <v>#N/A</v>
      </c>
      <c r="B2354" s="702"/>
      <c r="C2354" s="114">
        <v>5</v>
      </c>
      <c r="D2354" s="194" t="e">
        <f>IF(AND(C2354&lt;=F2348,F2348&lt;&gt;""),VLOOKUP(VALUE(E2329&amp;","&amp;C2354),INTEGRANTES!$D$18:$F$235,2,0),"")</f>
        <v>#N/A</v>
      </c>
      <c r="E2354" s="211" t="e">
        <f>IF(D2354&lt;&gt;"",VLOOKUP(VALUE(E2329&amp;","&amp;C2354),INTEGRANTES!$D$18:$F$235,3,0),"")</f>
        <v>#N/A</v>
      </c>
      <c r="F2354" s="547" t="e">
        <f>IF(D2354="","",SUMIF($I2333:$I2342,D2354,$P2333:$P2342))</f>
        <v>#N/A</v>
      </c>
      <c r="G2354" s="333" t="e">
        <f>IF(D2354="","",SUMIF($I2333:$I2342,D2354,$M2333:$M2342))</f>
        <v>#N/A</v>
      </c>
      <c r="H2354" s="535" t="e">
        <f t="shared" si="686"/>
        <v>#N/A</v>
      </c>
      <c r="I2354" s="212" t="e">
        <f>IF(D2354="","",IF(H2354="NO APORTA","NO",IF(H2354=MAX($H2350:$H2355),"SI","NO")))</f>
        <v>#N/A</v>
      </c>
      <c r="J2354" s="213" t="e">
        <f t="shared" si="687"/>
        <v>#N/A</v>
      </c>
      <c r="K2354" s="200" t="e">
        <f t="shared" si="688"/>
        <v>#N/A</v>
      </c>
      <c r="L2354" s="721"/>
      <c r="M2354" s="715" t="s">
        <v>116</v>
      </c>
      <c r="N2354" s="716"/>
      <c r="O2354" s="556" t="str">
        <f>PORCREQUERIDO*100&amp;"% PMFO DEL MÓDULO"</f>
        <v>50% PMFO DEL MÓDULO</v>
      </c>
      <c r="P2354" s="715" t="s">
        <v>118</v>
      </c>
      <c r="Q2354" s="728"/>
      <c r="R2354" s="458"/>
      <c r="S2354" s="459"/>
      <c r="T2354" s="460"/>
      <c r="U2354" s="219"/>
      <c r="V2354" s="464"/>
      <c r="Y2354" s="414"/>
      <c r="AA2354" s="540" t="e">
        <f>IF(AND(C2353&lt;=F2348,F2348&lt;&gt;""),VLOOKUP(VALUE(E2329&amp;","&amp;C2353),INTEGRANTES!$D$18:$F$235,2,0),"")</f>
        <v>#N/A</v>
      </c>
      <c r="AB2354" s="545" t="e">
        <f t="shared" si="689"/>
        <v>#N/A</v>
      </c>
      <c r="AC2354" s="529"/>
      <c r="AD2354" s="200" t="e">
        <f t="shared" si="690"/>
        <v>#N/A</v>
      </c>
      <c r="AE2354" s="52"/>
      <c r="AF2354" s="52"/>
      <c r="AG2354" s="52"/>
      <c r="AH2354" s="87"/>
      <c r="AI2354" s="87"/>
    </row>
    <row r="2355" spans="1:35" ht="16.5" hidden="1" thickBot="1">
      <c r="A2355" s="218" t="e">
        <f>"S"&amp;E2329</f>
        <v>#N/A</v>
      </c>
      <c r="B2355" s="702"/>
      <c r="C2355" s="215">
        <v>6</v>
      </c>
      <c r="D2355" s="216" t="e">
        <f>IF(AND(C2355&lt;=F2348,F2348&lt;&gt;""),VLOOKUP(VALUE(E2329&amp;","&amp;C2355),INTEGRANTES!$D$18:$F$235,2,0),"")</f>
        <v>#N/A</v>
      </c>
      <c r="E2355" s="217" t="e">
        <f>IF(D2355&lt;&gt;"",VLOOKUP(VALUE(E2329&amp;","&amp;C2355),INTEGRANTES!$D$18:$F$235,3,0),"")</f>
        <v>#N/A</v>
      </c>
      <c r="F2355" s="548" t="e">
        <f>IF(D2355="","",SUMIF($I2333:$I2342,D2355,$P2333:$P2342))</f>
        <v>#N/A</v>
      </c>
      <c r="G2355" s="334" t="e">
        <f>IF(D2355="","",SUMIF($I2333:$I2342,D2355,$M2333:$M2342))</f>
        <v>#N/A</v>
      </c>
      <c r="H2355" s="536" t="e">
        <f t="shared" si="686"/>
        <v>#N/A</v>
      </c>
      <c r="I2355" s="214" t="e">
        <f>IF(D2355="","",IF(H2355="NO APORTA","NO",IF(H2355=MAX($H2350:$H2355),"SI","NO")))</f>
        <v>#N/A</v>
      </c>
      <c r="J2355" s="213" t="e">
        <f t="shared" si="687"/>
        <v>#N/A</v>
      </c>
      <c r="K2355" s="200" t="e">
        <f t="shared" si="688"/>
        <v>#N/A</v>
      </c>
      <c r="L2355" s="721"/>
      <c r="M2355" s="729">
        <f>NUMMOD</f>
        <v>1</v>
      </c>
      <c r="N2355" s="730"/>
      <c r="O2355" s="443">
        <f>IF(M2355="","",ROUND(VLOOKUP(M2355,PRESUPUESTOS!$B$16:$H$16,7,FALSE),3))</f>
        <v>25.780999999999999</v>
      </c>
      <c r="P2355" s="713">
        <f>IF(OR(COUNTIF(P2333:P2342,"")&gt;=10,Q2349&lt;NUMMINCONT,OR(T2347="NO CUMPLE",T2347="VERIFICAR")),0,ROUND((SUM(P2333:P2342)/SUM(M2333:M2342)),3))</f>
        <v>0</v>
      </c>
      <c r="Q2355" s="714"/>
      <c r="R2355" s="458"/>
      <c r="S2355" s="459"/>
      <c r="T2355" s="460"/>
      <c r="U2355" s="219"/>
      <c r="V2355" s="464"/>
      <c r="Y2355" s="532" t="s">
        <v>343</v>
      </c>
      <c r="AA2355" s="540" t="e">
        <f>IF(AND(C2354&lt;=F2348,F2348&lt;&gt;""),VLOOKUP(VALUE(E2329&amp;","&amp;C2354),INTEGRANTES!$D$18:$F$235,2,0),"")</f>
        <v>#N/A</v>
      </c>
      <c r="AB2355" s="545" t="e">
        <f t="shared" si="689"/>
        <v>#N/A</v>
      </c>
      <c r="AC2355" s="529"/>
      <c r="AD2355" s="200" t="e">
        <f t="shared" si="690"/>
        <v>#N/A</v>
      </c>
      <c r="AE2355" s="52"/>
      <c r="AF2355" s="52"/>
      <c r="AG2355" s="52"/>
      <c r="AH2355" s="87"/>
      <c r="AI2355" s="87"/>
    </row>
    <row r="2356" spans="1:35" ht="16.5" hidden="1" customHeight="1" thickBot="1">
      <c r="A2356" s="218" t="e">
        <f>"T"&amp;E2329</f>
        <v>#N/A</v>
      </c>
      <c r="B2356" s="703"/>
      <c r="C2356" s="719"/>
      <c r="D2356" s="719"/>
      <c r="E2356" s="719"/>
      <c r="F2356" s="719"/>
      <c r="G2356" s="719"/>
      <c r="H2356" s="719" t="s">
        <v>110</v>
      </c>
      <c r="I2356" s="719"/>
      <c r="J2356" s="719"/>
      <c r="K2356" s="201" t="str">
        <f>IF(COUNTIF(K2350:K2355,"")=6,"",IF(COUNTIF(K2350:K2355,"CUMPLE")&gt;0,"CUMPLE","NO CUMPLE"))</f>
        <v>NO CUMPLE</v>
      </c>
      <c r="L2356" s="754"/>
      <c r="M2356" s="755"/>
      <c r="N2356" s="755"/>
      <c r="O2356" s="755"/>
      <c r="P2356" s="755"/>
      <c r="Q2356" s="756"/>
      <c r="R2356" s="461"/>
      <c r="S2356" s="462"/>
      <c r="T2356" s="463"/>
      <c r="U2356" s="219"/>
      <c r="V2356" s="464"/>
      <c r="Y2356" s="549" t="e">
        <f>IF(Y2350="NO APLICA","NO APLICA",IF(COUNTIF(AD2351:AD2356,"CUMPLE")&gt;0,"CUMPLE","NO CUMPLE"))</f>
        <v>#N/A</v>
      </c>
      <c r="AA2356" s="541" t="e">
        <f>IF(AND(C2355&lt;=F2348,F2348&lt;&gt;""),VLOOKUP(VALUE(E2329&amp;","&amp;C2355),INTEGRANTES!$D$18:$F$235,2,0),"")</f>
        <v>#N/A</v>
      </c>
      <c r="AB2356" s="546" t="e">
        <f t="shared" si="689"/>
        <v>#N/A</v>
      </c>
      <c r="AC2356" s="543"/>
      <c r="AD2356" s="201" t="e">
        <f t="shared" si="690"/>
        <v>#N/A</v>
      </c>
      <c r="AE2356" s="52"/>
      <c r="AF2356" s="52"/>
      <c r="AG2356" s="52"/>
      <c r="AH2356" s="87"/>
      <c r="AI2356" s="87"/>
    </row>
    <row r="2357" spans="1:35" hidden="1">
      <c r="AH2357" s="87"/>
      <c r="AI2357" s="87"/>
    </row>
    <row r="2358" spans="1:35" hidden="1">
      <c r="AH2358" s="87"/>
      <c r="AI2358" s="87"/>
    </row>
    <row r="2359" spans="1:35" ht="24" hidden="1" thickBot="1">
      <c r="A2359" s="61">
        <v>79</v>
      </c>
      <c r="B2359" s="704" t="s">
        <v>51</v>
      </c>
      <c r="C2359" s="704"/>
      <c r="D2359" s="704"/>
      <c r="E2359" s="62" t="e">
        <f>VLOOKUP(A2359,PROPONENTES!$B$19:$E$218,2,FALSE)</f>
        <v>#N/A</v>
      </c>
      <c r="F2359" s="63" t="e">
        <f>VLOOKUP(A2359,PROPONENTES!$B$19:$E$218,3,FALSE)</f>
        <v>#N/A</v>
      </c>
      <c r="G2359" s="64"/>
      <c r="H2359" s="64"/>
      <c r="I2359" s="63"/>
      <c r="J2359" s="63"/>
      <c r="K2359" s="65"/>
      <c r="L2359" s="65"/>
      <c r="M2359" s="64"/>
      <c r="N2359" s="64"/>
      <c r="O2359" s="66"/>
      <c r="P2359" s="66"/>
      <c r="Q2359" s="66"/>
      <c r="R2359" s="66"/>
      <c r="S2359" s="67"/>
      <c r="T2359" s="68"/>
      <c r="U2359" s="68"/>
      <c r="AC2359" s="68"/>
      <c r="AD2359" s="68"/>
      <c r="AE2359" s="68"/>
      <c r="AF2359" s="68"/>
      <c r="AG2359" s="68"/>
      <c r="AH2359" s="87"/>
      <c r="AI2359" s="87"/>
    </row>
    <row r="2360" spans="1:35" ht="15.75" hidden="1" customHeight="1">
      <c r="A2360" s="44"/>
      <c r="B2360" s="709" t="s">
        <v>59</v>
      </c>
      <c r="C2360" s="552" t="s">
        <v>60</v>
      </c>
      <c r="D2360" s="70" t="s">
        <v>17</v>
      </c>
      <c r="E2360" s="70"/>
      <c r="F2360" s="70" t="s">
        <v>61</v>
      </c>
      <c r="G2360" s="71"/>
      <c r="H2360" s="699" t="s">
        <v>62</v>
      </c>
      <c r="I2360" s="699" t="s">
        <v>18</v>
      </c>
      <c r="J2360" s="699" t="s">
        <v>63</v>
      </c>
      <c r="K2360" s="699" t="s">
        <v>64</v>
      </c>
      <c r="L2360" s="699" t="s">
        <v>65</v>
      </c>
      <c r="M2360" s="743" t="s">
        <v>66</v>
      </c>
      <c r="N2360" s="699" t="s">
        <v>282</v>
      </c>
      <c r="O2360" s="745" t="s">
        <v>67</v>
      </c>
      <c r="P2360" s="746"/>
      <c r="Q2360" s="102" t="s">
        <v>75</v>
      </c>
      <c r="R2360" s="731" t="s">
        <v>22</v>
      </c>
      <c r="S2360" s="732"/>
      <c r="T2360" s="733"/>
      <c r="U2360" s="712" t="s">
        <v>298</v>
      </c>
      <c r="W2360" s="690" t="s">
        <v>268</v>
      </c>
      <c r="X2360" s="691"/>
      <c r="Y2360" s="692"/>
      <c r="Z2360" s="428"/>
      <c r="AA2360" s="697" t="s">
        <v>315</v>
      </c>
      <c r="AB2360" s="695" t="s">
        <v>322</v>
      </c>
      <c r="AC2360" s="49"/>
      <c r="AD2360" s="690" t="s">
        <v>297</v>
      </c>
      <c r="AE2360" s="691"/>
      <c r="AF2360" s="692"/>
      <c r="AG2360" s="49"/>
      <c r="AH2360" s="87"/>
      <c r="AI2360" s="87"/>
    </row>
    <row r="2361" spans="1:35" ht="72" hidden="1">
      <c r="A2361" s="44"/>
      <c r="B2361" s="710"/>
      <c r="C2361" s="553" t="s">
        <v>68</v>
      </c>
      <c r="D2361" s="73" t="s">
        <v>3</v>
      </c>
      <c r="E2361" s="73" t="s">
        <v>19</v>
      </c>
      <c r="F2361" s="73" t="s">
        <v>69</v>
      </c>
      <c r="G2361" s="74" t="s">
        <v>70</v>
      </c>
      <c r="H2361" s="700"/>
      <c r="I2361" s="700"/>
      <c r="J2361" s="700"/>
      <c r="K2361" s="700"/>
      <c r="L2361" s="700"/>
      <c r="M2361" s="744"/>
      <c r="N2361" s="700"/>
      <c r="O2361" s="553" t="s">
        <v>279</v>
      </c>
      <c r="P2361" s="73" t="s">
        <v>88</v>
      </c>
      <c r="Q2361" s="555" t="s">
        <v>76</v>
      </c>
      <c r="R2361" s="734"/>
      <c r="S2361" s="735"/>
      <c r="T2361" s="736"/>
      <c r="U2361" s="712"/>
      <c r="W2361" s="429" t="s">
        <v>269</v>
      </c>
      <c r="X2361" s="457" t="s">
        <v>278</v>
      </c>
      <c r="Y2361" s="430" t="s">
        <v>324</v>
      </c>
      <c r="Z2361" s="428"/>
      <c r="AA2361" s="698"/>
      <c r="AB2361" s="696"/>
      <c r="AC2361" s="49"/>
      <c r="AD2361" s="429" t="s">
        <v>292</v>
      </c>
      <c r="AE2361" s="431" t="s">
        <v>300</v>
      </c>
      <c r="AF2361" s="468" t="s">
        <v>301</v>
      </c>
      <c r="AG2361" s="49"/>
      <c r="AH2361" s="87"/>
      <c r="AI2361" s="87"/>
    </row>
    <row r="2362" spans="1:35" hidden="1">
      <c r="A2362" s="44"/>
      <c r="B2362" s="76"/>
      <c r="C2362" s="77"/>
      <c r="D2362" s="77"/>
      <c r="E2362" s="77"/>
      <c r="F2362" s="77"/>
      <c r="G2362" s="77"/>
      <c r="H2362" s="77"/>
      <c r="I2362" s="77"/>
      <c r="J2362" s="77"/>
      <c r="K2362" s="77"/>
      <c r="L2362" s="77"/>
      <c r="M2362" s="77"/>
      <c r="N2362" s="77"/>
      <c r="O2362" s="77"/>
      <c r="P2362" s="77"/>
      <c r="Q2362" s="77"/>
      <c r="R2362" s="77"/>
      <c r="S2362" s="78"/>
      <c r="T2362" s="79"/>
      <c r="U2362" s="109"/>
      <c r="V2362" s="49"/>
      <c r="W2362" s="432"/>
      <c r="X2362" s="454"/>
      <c r="Y2362" s="433"/>
      <c r="Z2362" s="6"/>
      <c r="AA2362" s="500"/>
      <c r="AB2362" s="562"/>
      <c r="AC2362" s="49"/>
      <c r="AD2362" s="210"/>
      <c r="AE2362" s="434"/>
      <c r="AF2362" s="435"/>
      <c r="AG2362" s="49"/>
      <c r="AH2362" s="87"/>
      <c r="AI2362" s="87"/>
    </row>
    <row r="2363" spans="1:35" hidden="1">
      <c r="A2363" s="80" t="e">
        <f>"A"&amp;E2359</f>
        <v>#N/A</v>
      </c>
      <c r="B2363" s="81">
        <v>1</v>
      </c>
      <c r="C2363" s="82"/>
      <c r="D2363" s="82"/>
      <c r="E2363" s="82"/>
      <c r="F2363" s="82"/>
      <c r="G2363" s="83"/>
      <c r="H2363" s="83"/>
      <c r="I2363" s="84"/>
      <c r="J2363" s="85"/>
      <c r="K2363" s="382"/>
      <c r="L2363" s="85"/>
      <c r="M2363" s="332" t="str">
        <f t="shared" ref="M2363:M2372" si="691">IF(OR(J2363="",L2363="",H2363="NO"),"",IF(OR(J2363&gt;$P$17,J2363&lt;$O$17,L2363&gt;$P$17,AND(J2363&lt;$O$17,L2363&lt;$O$17)),"FUERA DE RANGO",IF(OR(K2363="---",K2363=""),IF(J2363&gt;=$O$17,ROUND((L2363-J2363+1)/360*12,3),ROUND((L2363-$O$17+1)/360*12,3)),IF(J2363&gt;=$O$17,ROUND((L2363-J2363+1)/360*12-ROUND(K2363,3),3),ROUND((L2363-$O$17+1)/360*12-ROUND(K2363,3),3)))))</f>
        <v/>
      </c>
      <c r="N2363" s="86"/>
      <c r="O2363" s="453" t="str">
        <f>IF(OR(G2363="",N2363=""),"",N2363*G2363)</f>
        <v/>
      </c>
      <c r="P2363" s="538" t="str">
        <f>IF(OR(H2363="",M2363="FUERA DE RANGO"),"",IF(OR(L2363&lt;$O$17,L2363&gt;$P$17,L2363="",H2363="NO"),"",IF(OR(N2363="",O2363=""),"",ROUND(O2363,3))))</f>
        <v/>
      </c>
      <c r="Q2363" s="539" t="str">
        <f t="shared" ref="Q2363:Q2372" si="692">IF(AND(H2363="SI",P2363&lt;&gt;""),ROUND(P2363/M2363,3),"")</f>
        <v/>
      </c>
      <c r="R2363" s="737"/>
      <c r="S2363" s="738"/>
      <c r="T2363" s="739"/>
      <c r="U2363" s="470"/>
      <c r="V2363" s="165"/>
      <c r="W2363" s="446"/>
      <c r="X2363" s="456"/>
      <c r="Y2363" s="436"/>
      <c r="Z2363" s="437"/>
      <c r="AA2363" s="560"/>
      <c r="AB2363" s="561"/>
      <c r="AC2363" s="87"/>
      <c r="AD2363" s="466"/>
      <c r="AE2363" s="456"/>
      <c r="AF2363" s="467"/>
      <c r="AG2363" s="87"/>
      <c r="AH2363" s="87"/>
      <c r="AI2363" s="87"/>
    </row>
    <row r="2364" spans="1:35" hidden="1">
      <c r="A2364" s="80" t="e">
        <f>"B"&amp;E2359</f>
        <v>#N/A</v>
      </c>
      <c r="B2364" s="81">
        <v>2</v>
      </c>
      <c r="C2364" s="106"/>
      <c r="D2364" s="106"/>
      <c r="E2364" s="106"/>
      <c r="F2364" s="106"/>
      <c r="G2364" s="83"/>
      <c r="H2364" s="83"/>
      <c r="I2364" s="84"/>
      <c r="J2364" s="85"/>
      <c r="K2364" s="382"/>
      <c r="L2364" s="85"/>
      <c r="M2364" s="332" t="str">
        <f t="shared" si="691"/>
        <v/>
      </c>
      <c r="N2364" s="86"/>
      <c r="O2364" s="453" t="str">
        <f t="shared" ref="O2364:O2372" si="693">IF(OR(G2364="",N2364=""),"",N2364*G2364)</f>
        <v/>
      </c>
      <c r="P2364" s="538" t="str">
        <f t="shared" ref="P2364:P2372" si="694">IF(OR(H2364="",M2364="FUERA DE RANGO"),"",IF(OR(L2364&lt;$O$17,L2364&gt;$P$17,L2364="",H2364="NO"),"",IF(OR(N2364="",O2364=""),"",ROUND(O2364,3))))</f>
        <v/>
      </c>
      <c r="Q2364" s="539" t="str">
        <f t="shared" si="692"/>
        <v/>
      </c>
      <c r="R2364" s="740"/>
      <c r="S2364" s="741"/>
      <c r="T2364" s="742"/>
      <c r="U2364" s="471"/>
      <c r="V2364" s="165"/>
      <c r="W2364" s="446"/>
      <c r="X2364" s="456"/>
      <c r="Y2364" s="436"/>
      <c r="Z2364" s="437"/>
      <c r="AA2364" s="560"/>
      <c r="AB2364" s="561"/>
      <c r="AC2364" s="87"/>
      <c r="AD2364" s="466"/>
      <c r="AE2364" s="456"/>
      <c r="AF2364" s="467"/>
      <c r="AG2364" s="87"/>
      <c r="AH2364" s="87"/>
      <c r="AI2364" s="87"/>
    </row>
    <row r="2365" spans="1:35" hidden="1">
      <c r="A2365" s="80" t="e">
        <f>"C"&amp;E2359</f>
        <v>#N/A</v>
      </c>
      <c r="B2365" s="88">
        <v>3</v>
      </c>
      <c r="C2365" s="82"/>
      <c r="D2365" s="82"/>
      <c r="E2365" s="82"/>
      <c r="F2365" s="82"/>
      <c r="G2365" s="83"/>
      <c r="H2365" s="83"/>
      <c r="I2365" s="84"/>
      <c r="J2365" s="85"/>
      <c r="K2365" s="382"/>
      <c r="L2365" s="85"/>
      <c r="M2365" s="332" t="str">
        <f t="shared" si="691"/>
        <v/>
      </c>
      <c r="N2365" s="86"/>
      <c r="O2365" s="453" t="str">
        <f t="shared" si="693"/>
        <v/>
      </c>
      <c r="P2365" s="538" t="str">
        <f t="shared" si="694"/>
        <v/>
      </c>
      <c r="Q2365" s="539" t="str">
        <f t="shared" si="692"/>
        <v/>
      </c>
      <c r="R2365" s="706"/>
      <c r="S2365" s="707"/>
      <c r="T2365" s="708"/>
      <c r="U2365" s="472"/>
      <c r="V2365" s="166"/>
      <c r="W2365" s="446"/>
      <c r="X2365" s="456"/>
      <c r="Y2365" s="436"/>
      <c r="Z2365" s="437"/>
      <c r="AA2365" s="560"/>
      <c r="AB2365" s="561"/>
      <c r="AC2365" s="87"/>
      <c r="AD2365" s="466"/>
      <c r="AE2365" s="456"/>
      <c r="AF2365" s="467"/>
      <c r="AG2365" s="87"/>
      <c r="AH2365" s="87"/>
      <c r="AI2365" s="87"/>
    </row>
    <row r="2366" spans="1:35" hidden="1">
      <c r="A2366" s="80" t="e">
        <f>"D"&amp;E2359</f>
        <v>#N/A</v>
      </c>
      <c r="B2366" s="105">
        <v>4</v>
      </c>
      <c r="C2366" s="107"/>
      <c r="D2366" s="107"/>
      <c r="E2366" s="107"/>
      <c r="F2366" s="107"/>
      <c r="G2366" s="83"/>
      <c r="H2366" s="83"/>
      <c r="I2366" s="84"/>
      <c r="J2366" s="85"/>
      <c r="K2366" s="382"/>
      <c r="L2366" s="85"/>
      <c r="M2366" s="332" t="str">
        <f t="shared" si="691"/>
        <v/>
      </c>
      <c r="N2366" s="86"/>
      <c r="O2366" s="453" t="str">
        <f t="shared" si="693"/>
        <v/>
      </c>
      <c r="P2366" s="538" t="str">
        <f t="shared" si="694"/>
        <v/>
      </c>
      <c r="Q2366" s="539" t="str">
        <f t="shared" si="692"/>
        <v/>
      </c>
      <c r="R2366" s="706"/>
      <c r="S2366" s="707"/>
      <c r="T2366" s="708"/>
      <c r="U2366" s="472"/>
      <c r="V2366" s="166"/>
      <c r="W2366" s="446"/>
      <c r="X2366" s="456"/>
      <c r="Y2366" s="436"/>
      <c r="Z2366" s="437"/>
      <c r="AA2366" s="560"/>
      <c r="AB2366" s="561"/>
      <c r="AC2366" s="87"/>
      <c r="AD2366" s="466"/>
      <c r="AE2366" s="456"/>
      <c r="AF2366" s="467"/>
      <c r="AG2366" s="87"/>
      <c r="AH2366" s="87"/>
      <c r="AI2366" s="87"/>
    </row>
    <row r="2367" spans="1:35" hidden="1">
      <c r="A2367" s="80" t="e">
        <f>"E"&amp;E2359</f>
        <v>#N/A</v>
      </c>
      <c r="B2367" s="105">
        <v>5</v>
      </c>
      <c r="C2367" s="107"/>
      <c r="D2367" s="107"/>
      <c r="E2367" s="107"/>
      <c r="F2367" s="107"/>
      <c r="G2367" s="83"/>
      <c r="H2367" s="83"/>
      <c r="I2367" s="84"/>
      <c r="J2367" s="85"/>
      <c r="K2367" s="382"/>
      <c r="L2367" s="85"/>
      <c r="M2367" s="332" t="str">
        <f t="shared" si="691"/>
        <v/>
      </c>
      <c r="N2367" s="86"/>
      <c r="O2367" s="453" t="str">
        <f t="shared" si="693"/>
        <v/>
      </c>
      <c r="P2367" s="538" t="str">
        <f t="shared" si="694"/>
        <v/>
      </c>
      <c r="Q2367" s="539" t="str">
        <f t="shared" si="692"/>
        <v/>
      </c>
      <c r="R2367" s="706"/>
      <c r="S2367" s="707"/>
      <c r="T2367" s="708"/>
      <c r="U2367" s="472"/>
      <c r="V2367" s="167"/>
      <c r="W2367" s="446"/>
      <c r="X2367" s="456"/>
      <c r="Y2367" s="436"/>
      <c r="Z2367" s="437"/>
      <c r="AA2367" s="560"/>
      <c r="AB2367" s="561"/>
      <c r="AC2367" s="87"/>
      <c r="AD2367" s="466"/>
      <c r="AE2367" s="456"/>
      <c r="AF2367" s="467"/>
      <c r="AG2367" s="87"/>
      <c r="AH2367" s="87"/>
      <c r="AI2367" s="87"/>
    </row>
    <row r="2368" spans="1:35" hidden="1">
      <c r="A2368" s="80" t="e">
        <f>"F"&amp;E2359</f>
        <v>#N/A</v>
      </c>
      <c r="B2368" s="105">
        <v>6</v>
      </c>
      <c r="C2368" s="107"/>
      <c r="D2368" s="107"/>
      <c r="E2368" s="107"/>
      <c r="F2368" s="107"/>
      <c r="G2368" s="83"/>
      <c r="H2368" s="83"/>
      <c r="I2368" s="84"/>
      <c r="J2368" s="85"/>
      <c r="K2368" s="382"/>
      <c r="L2368" s="85"/>
      <c r="M2368" s="332" t="str">
        <f t="shared" si="691"/>
        <v/>
      </c>
      <c r="N2368" s="86"/>
      <c r="O2368" s="453" t="str">
        <f t="shared" si="693"/>
        <v/>
      </c>
      <c r="P2368" s="538" t="str">
        <f t="shared" si="694"/>
        <v/>
      </c>
      <c r="Q2368" s="539" t="str">
        <f t="shared" si="692"/>
        <v/>
      </c>
      <c r="R2368" s="706"/>
      <c r="S2368" s="707"/>
      <c r="T2368" s="708"/>
      <c r="U2368" s="472"/>
      <c r="V2368" s="167"/>
      <c r="W2368" s="446"/>
      <c r="X2368" s="456"/>
      <c r="Y2368" s="436"/>
      <c r="Z2368" s="437"/>
      <c r="AA2368" s="560"/>
      <c r="AB2368" s="561"/>
      <c r="AC2368" s="87"/>
      <c r="AD2368" s="466"/>
      <c r="AE2368" s="456"/>
      <c r="AF2368" s="467"/>
      <c r="AG2368" s="87"/>
      <c r="AH2368" s="87"/>
      <c r="AI2368" s="87"/>
    </row>
    <row r="2369" spans="1:35" hidden="1">
      <c r="A2369" s="80" t="e">
        <f>"G"&amp;E2359</f>
        <v>#N/A</v>
      </c>
      <c r="B2369" s="105">
        <v>7</v>
      </c>
      <c r="C2369" s="107"/>
      <c r="D2369" s="107"/>
      <c r="E2369" s="107"/>
      <c r="F2369" s="107"/>
      <c r="G2369" s="83"/>
      <c r="H2369" s="83"/>
      <c r="I2369" s="84"/>
      <c r="J2369" s="85"/>
      <c r="K2369" s="382"/>
      <c r="L2369" s="85"/>
      <c r="M2369" s="332" t="str">
        <f t="shared" si="691"/>
        <v/>
      </c>
      <c r="N2369" s="86"/>
      <c r="O2369" s="86" t="str">
        <f t="shared" si="693"/>
        <v/>
      </c>
      <c r="P2369" s="538" t="str">
        <f t="shared" si="694"/>
        <v/>
      </c>
      <c r="Q2369" s="539" t="str">
        <f t="shared" si="692"/>
        <v/>
      </c>
      <c r="R2369" s="706"/>
      <c r="S2369" s="707"/>
      <c r="T2369" s="708"/>
      <c r="U2369" s="472"/>
      <c r="V2369" s="167"/>
      <c r="W2369" s="446"/>
      <c r="X2369" s="456"/>
      <c r="Y2369" s="436"/>
      <c r="Z2369" s="437"/>
      <c r="AA2369" s="560"/>
      <c r="AB2369" s="561"/>
      <c r="AC2369" s="87"/>
      <c r="AD2369" s="466"/>
      <c r="AE2369" s="456"/>
      <c r="AF2369" s="467"/>
      <c r="AG2369" s="87"/>
      <c r="AH2369" s="87"/>
      <c r="AI2369" s="87"/>
    </row>
    <row r="2370" spans="1:35" hidden="1">
      <c r="A2370" s="80" t="e">
        <f>"H"&amp;E2359</f>
        <v>#N/A</v>
      </c>
      <c r="B2370" s="105">
        <v>8</v>
      </c>
      <c r="C2370" s="107"/>
      <c r="D2370" s="107"/>
      <c r="E2370" s="107"/>
      <c r="F2370" s="107"/>
      <c r="G2370" s="83"/>
      <c r="H2370" s="83"/>
      <c r="I2370" s="84"/>
      <c r="J2370" s="85"/>
      <c r="K2370" s="382"/>
      <c r="L2370" s="85"/>
      <c r="M2370" s="332" t="str">
        <f t="shared" si="691"/>
        <v/>
      </c>
      <c r="N2370" s="453"/>
      <c r="O2370" s="86" t="str">
        <f t="shared" si="693"/>
        <v/>
      </c>
      <c r="P2370" s="538" t="str">
        <f t="shared" si="694"/>
        <v/>
      </c>
      <c r="Q2370" s="539" t="str">
        <f t="shared" si="692"/>
        <v/>
      </c>
      <c r="R2370" s="706"/>
      <c r="S2370" s="707"/>
      <c r="T2370" s="708"/>
      <c r="U2370" s="472"/>
      <c r="V2370" s="167"/>
      <c r="W2370" s="446"/>
      <c r="X2370" s="456"/>
      <c r="Y2370" s="436"/>
      <c r="Z2370" s="437"/>
      <c r="AA2370" s="560"/>
      <c r="AB2370" s="561"/>
      <c r="AC2370" s="87"/>
      <c r="AD2370" s="466"/>
      <c r="AE2370" s="456"/>
      <c r="AF2370" s="467"/>
      <c r="AG2370" s="87"/>
      <c r="AH2370" s="87"/>
      <c r="AI2370" s="87"/>
    </row>
    <row r="2371" spans="1:35" hidden="1">
      <c r="A2371" s="80" t="e">
        <f>"I"&amp;E2359</f>
        <v>#N/A</v>
      </c>
      <c r="B2371" s="105">
        <v>9</v>
      </c>
      <c r="C2371" s="107"/>
      <c r="D2371" s="107"/>
      <c r="E2371" s="107"/>
      <c r="F2371" s="107"/>
      <c r="G2371" s="83"/>
      <c r="H2371" s="83"/>
      <c r="I2371" s="84"/>
      <c r="J2371" s="85"/>
      <c r="K2371" s="382"/>
      <c r="L2371" s="85"/>
      <c r="M2371" s="332" t="str">
        <f t="shared" si="691"/>
        <v/>
      </c>
      <c r="N2371" s="453"/>
      <c r="O2371" s="86" t="str">
        <f t="shared" si="693"/>
        <v/>
      </c>
      <c r="P2371" s="538" t="str">
        <f t="shared" si="694"/>
        <v/>
      </c>
      <c r="Q2371" s="539" t="str">
        <f t="shared" si="692"/>
        <v/>
      </c>
      <c r="R2371" s="706"/>
      <c r="S2371" s="707"/>
      <c r="T2371" s="708"/>
      <c r="U2371" s="472"/>
      <c r="V2371" s="167"/>
      <c r="W2371" s="446"/>
      <c r="X2371" s="456"/>
      <c r="Y2371" s="436"/>
      <c r="Z2371" s="437"/>
      <c r="AA2371" s="560"/>
      <c r="AB2371" s="561"/>
      <c r="AC2371" s="87"/>
      <c r="AD2371" s="466"/>
      <c r="AE2371" s="456"/>
      <c r="AF2371" s="467"/>
      <c r="AG2371" s="87"/>
      <c r="AH2371" s="87"/>
      <c r="AI2371" s="87"/>
    </row>
    <row r="2372" spans="1:35" hidden="1">
      <c r="A2372" s="80" t="e">
        <f>"J"&amp;E2359</f>
        <v>#N/A</v>
      </c>
      <c r="B2372" s="105">
        <v>10</v>
      </c>
      <c r="C2372" s="107"/>
      <c r="D2372" s="107"/>
      <c r="E2372" s="107"/>
      <c r="F2372" s="107"/>
      <c r="G2372" s="83"/>
      <c r="H2372" s="83"/>
      <c r="I2372" s="84"/>
      <c r="J2372" s="85"/>
      <c r="K2372" s="382"/>
      <c r="L2372" s="85"/>
      <c r="M2372" s="332" t="str">
        <f t="shared" si="691"/>
        <v/>
      </c>
      <c r="N2372" s="453"/>
      <c r="O2372" s="86" t="str">
        <f t="shared" si="693"/>
        <v/>
      </c>
      <c r="P2372" s="538" t="str">
        <f t="shared" si="694"/>
        <v/>
      </c>
      <c r="Q2372" s="539" t="str">
        <f t="shared" si="692"/>
        <v/>
      </c>
      <c r="R2372" s="706"/>
      <c r="S2372" s="707"/>
      <c r="T2372" s="708"/>
      <c r="U2372" s="472"/>
      <c r="V2372" s="167"/>
      <c r="W2372" s="446"/>
      <c r="X2372" s="456"/>
      <c r="Y2372" s="436"/>
      <c r="Z2372" s="437"/>
      <c r="AA2372" s="560"/>
      <c r="AB2372" s="561"/>
      <c r="AC2372" s="87"/>
      <c r="AD2372" s="466"/>
      <c r="AE2372" s="456"/>
      <c r="AF2372" s="467"/>
      <c r="AG2372" s="87"/>
      <c r="AH2372" s="87"/>
      <c r="AI2372" s="87"/>
    </row>
    <row r="2373" spans="1:35" ht="16.5" hidden="1" thickBot="1">
      <c r="A2373" s="44"/>
      <c r="B2373" s="89"/>
      <c r="C2373" s="90"/>
      <c r="D2373" s="90"/>
      <c r="E2373" s="90"/>
      <c r="F2373" s="90"/>
      <c r="G2373" s="90"/>
      <c r="H2373" s="90"/>
      <c r="I2373" s="90"/>
      <c r="J2373" s="90"/>
      <c r="K2373" s="90"/>
      <c r="L2373" s="90"/>
      <c r="M2373" s="90"/>
      <c r="N2373" s="90"/>
      <c r="O2373" s="90"/>
      <c r="P2373" s="90"/>
      <c r="Q2373" s="90"/>
      <c r="R2373" s="90"/>
      <c r="S2373" s="91"/>
      <c r="T2373" s="92"/>
      <c r="U2373" s="473"/>
      <c r="W2373" s="438"/>
      <c r="X2373" s="455"/>
      <c r="Y2373" s="439"/>
      <c r="Z2373" s="437"/>
      <c r="AA2373" s="530"/>
      <c r="AB2373" s="563"/>
      <c r="AC2373" s="87"/>
      <c r="AD2373" s="440"/>
      <c r="AE2373" s="441"/>
      <c r="AF2373" s="442"/>
      <c r="AG2373" s="49"/>
      <c r="AH2373" s="87"/>
      <c r="AI2373" s="87"/>
    </row>
    <row r="2374" spans="1:35" ht="16.5" hidden="1" thickBot="1">
      <c r="A2374" s="93"/>
      <c r="B2374" s="94"/>
      <c r="C2374" s="96"/>
      <c r="D2374" s="96"/>
      <c r="E2374" s="96"/>
      <c r="F2374" s="96"/>
      <c r="G2374" s="96"/>
      <c r="H2374" s="96"/>
      <c r="I2374" s="96"/>
      <c r="J2374" s="96"/>
      <c r="K2374" s="96"/>
      <c r="L2374" s="96"/>
      <c r="M2374" s="136"/>
      <c r="N2374" s="96"/>
      <c r="O2374" s="96"/>
      <c r="P2374" s="97"/>
      <c r="Q2374" s="97"/>
      <c r="R2374" s="98"/>
      <c r="S2374" s="95"/>
      <c r="T2374" s="99"/>
      <c r="U2374" s="469"/>
      <c r="AC2374" s="58"/>
      <c r="AG2374" s="58"/>
      <c r="AH2374" s="87"/>
      <c r="AI2374" s="87"/>
    </row>
    <row r="2375" spans="1:35" ht="16.5" hidden="1" thickBot="1">
      <c r="B2375" s="101"/>
      <c r="C2375" s="101"/>
      <c r="D2375" s="101"/>
      <c r="E2375" s="101"/>
      <c r="F2375" s="101"/>
      <c r="G2375" s="101"/>
      <c r="H2375" s="101"/>
      <c r="I2375" s="101"/>
      <c r="J2375" s="101"/>
      <c r="K2375" s="101"/>
      <c r="L2375" s="101"/>
      <c r="M2375" s="101"/>
      <c r="N2375" s="101"/>
      <c r="O2375" s="101"/>
      <c r="P2375" s="101"/>
      <c r="Q2375" s="101"/>
      <c r="R2375" s="101"/>
      <c r="S2375" s="101"/>
      <c r="U2375" s="50"/>
      <c r="AH2375" s="87"/>
      <c r="AI2375" s="87"/>
    </row>
    <row r="2376" spans="1:35" ht="16.5" hidden="1" customHeight="1" thickBot="1">
      <c r="A2376" s="44"/>
      <c r="B2376" s="705" t="s">
        <v>74</v>
      </c>
      <c r="C2376" s="705"/>
      <c r="D2376" s="705"/>
      <c r="E2376" s="705"/>
      <c r="F2376" s="705"/>
      <c r="G2376" s="705"/>
      <c r="H2376" s="705"/>
      <c r="I2376" s="705"/>
      <c r="J2376" s="705"/>
      <c r="K2376" s="705"/>
      <c r="L2376" s="705"/>
      <c r="M2376" s="705"/>
      <c r="N2376" s="705"/>
      <c r="O2376" s="705"/>
      <c r="P2376" s="705"/>
      <c r="Q2376" s="705"/>
      <c r="R2376" s="705"/>
      <c r="S2376" s="705"/>
      <c r="T2376" s="705"/>
      <c r="U2376" s="108"/>
      <c r="Y2376" s="532" t="s">
        <v>341</v>
      </c>
      <c r="AC2376" s="49"/>
      <c r="AD2376" s="687" t="s">
        <v>302</v>
      </c>
      <c r="AE2376" s="688"/>
      <c r="AF2376" s="689"/>
      <c r="AG2376" s="49"/>
      <c r="AH2376" s="87"/>
      <c r="AI2376" s="87"/>
    </row>
    <row r="2377" spans="1:35" ht="15.75" hidden="1" customHeight="1" thickBot="1">
      <c r="A2377" s="218" t="e">
        <f>"K"&amp;E2359</f>
        <v>#N/A</v>
      </c>
      <c r="B2377" s="701" t="s">
        <v>71</v>
      </c>
      <c r="C2377" s="751" t="s">
        <v>102</v>
      </c>
      <c r="D2377" s="751"/>
      <c r="E2377" s="751"/>
      <c r="F2377" s="751"/>
      <c r="G2377" s="751"/>
      <c r="H2377" s="751"/>
      <c r="I2377" s="751"/>
      <c r="J2377" s="751"/>
      <c r="K2377" s="751"/>
      <c r="L2377" s="722" t="s">
        <v>100</v>
      </c>
      <c r="M2377" s="747" t="s">
        <v>114</v>
      </c>
      <c r="N2377" s="747"/>
      <c r="O2377" s="747"/>
      <c r="P2377" s="747"/>
      <c r="Q2377" s="748"/>
      <c r="R2377" s="758" t="s">
        <v>280</v>
      </c>
      <c r="S2377" s="748"/>
      <c r="T2377" s="762" t="str">
        <f>IF(COUNTIF(AE2377:AF2377,"VERIFICAR")&gt;0,"VERIFICAR",IF(COUNTIF(AE2377:AF2377,"NO CUMPLE")&gt;0,"NO CUMPLE","CUMPLE"))</f>
        <v>VERIFICAR</v>
      </c>
      <c r="U2377" s="108"/>
      <c r="Y2377" s="533" t="e">
        <f>IF(F2378="","",IF(F2378=1,"INDIVIDUAL","ESTRUCTURA PLURAL"))</f>
        <v>#N/A</v>
      </c>
      <c r="AC2377" s="52"/>
      <c r="AD2377" s="475" t="s">
        <v>303</v>
      </c>
      <c r="AE2377" s="476" t="str">
        <f>IF(COUNTIF(AE2363:AE2372,"")=10,"VERIFICAR",IF(COUNTIF(AE2363:AE2372,"SI")&gt;0,"CUMPLE","NO CUMPLE"))</f>
        <v>VERIFICAR</v>
      </c>
      <c r="AF2377" s="477" t="str">
        <f>IF(COUNTIF(AF2363:AF2372,"")=10,"VERIFICAR",IF(COUNTIF(AF2363:AF2372,"SI")&gt;=$AI$22,"CUMPLE","NO CUMPLE"))</f>
        <v>VERIFICAR</v>
      </c>
      <c r="AG2377" s="52"/>
      <c r="AH2377" s="87"/>
      <c r="AI2377" s="87"/>
    </row>
    <row r="2378" spans="1:35" ht="16.5" hidden="1" customHeight="1" thickBot="1">
      <c r="A2378" s="218" t="e">
        <f>"L"&amp;E2359</f>
        <v>#N/A</v>
      </c>
      <c r="B2378" s="702"/>
      <c r="C2378" s="751" t="s">
        <v>103</v>
      </c>
      <c r="D2378" s="751"/>
      <c r="E2378" s="752"/>
      <c r="F2378" s="557" t="e">
        <f>IF(VLOOKUP(E2359,PROPONENTES!$C$19:$E$218,3,0)="","",VLOOKUP(E2359,PROPONENTES!$C$19:$E$218,3,0))</f>
        <v>#N/A</v>
      </c>
      <c r="G2378" s="753" t="s">
        <v>104</v>
      </c>
      <c r="H2378" s="751"/>
      <c r="I2378" s="715" t="e">
        <f>IF(OR(F2378="",F2378=1),"INTERESADO PERSONA NATURAL O JURIDICA","CONSORCIO O UNION TEMPORAL")</f>
        <v>#N/A</v>
      </c>
      <c r="J2378" s="725"/>
      <c r="K2378" s="728"/>
      <c r="L2378" s="723"/>
      <c r="M2378" s="749"/>
      <c r="N2378" s="749"/>
      <c r="O2378" s="749"/>
      <c r="P2378" s="749"/>
      <c r="Q2378" s="750"/>
      <c r="R2378" s="712"/>
      <c r="S2378" s="750"/>
      <c r="T2378" s="763"/>
      <c r="U2378" s="108"/>
      <c r="Y2378" s="534"/>
      <c r="AA2378" s="52"/>
      <c r="AB2378" s="52"/>
      <c r="AC2378" s="52"/>
      <c r="AG2378" s="52"/>
      <c r="AH2378" s="87"/>
      <c r="AI2378" s="87"/>
    </row>
    <row r="2379" spans="1:35" ht="56.25" hidden="1" customHeight="1" thickBot="1">
      <c r="A2379" s="218" t="e">
        <f>"M"&amp;E2359</f>
        <v>#N/A</v>
      </c>
      <c r="B2379" s="702"/>
      <c r="C2379" s="725" t="s">
        <v>101</v>
      </c>
      <c r="D2379" s="716"/>
      <c r="E2379" s="558" t="s">
        <v>105</v>
      </c>
      <c r="F2379" s="554" t="s">
        <v>87</v>
      </c>
      <c r="G2379" s="553" t="s">
        <v>86</v>
      </c>
      <c r="H2379" s="559" t="s">
        <v>85</v>
      </c>
      <c r="I2379" s="554" t="s">
        <v>252</v>
      </c>
      <c r="J2379" s="553" t="str">
        <f>"¿EL INTEGRANTE TIENE UNA PARTICIPACIÓN DEL "&amp;PORCREQUERIDOINT*100&amp;"%?"</f>
        <v>¿EL INTEGRANTE TIENE UNA PARTICIPACIÓN DEL 60%?</v>
      </c>
      <c r="K2379" s="554" t="s">
        <v>107</v>
      </c>
      <c r="L2379" s="724"/>
      <c r="M2379" s="717" t="s">
        <v>115</v>
      </c>
      <c r="N2379" s="718"/>
      <c r="O2379" s="718"/>
      <c r="P2379" s="718"/>
      <c r="Q2379" s="223">
        <f>IF(AND(H2363="SI",P2363&gt;=0),1,0)+IF(AND(H2364="SI",P2364&gt;=0),1,0)+IF(AND(H2365="SI",P2365&gt;=0),1,0)+IF(AND(H2366="SI",P2366&gt;=0),1,0)+IF(AND(H2367="SI",P2367&gt;=0),1,0)+IF(AND(H2368="SI",P2368&gt;=0),1,0)+IF(AND(H2369="SI",P2369&gt;=0),1,0)+IF(AND(H2370="SI",P2370&gt;=0),1,0)+IF(AND(H2371="SI",P2371&gt;=0),1,0)+IF(AND(H2372="SI",P2372&gt;=0),1,0)</f>
        <v>0</v>
      </c>
      <c r="R2379" s="759"/>
      <c r="S2379" s="761"/>
      <c r="T2379" s="764"/>
      <c r="U2379" s="219"/>
      <c r="V2379" s="464"/>
      <c r="Y2379" s="532" t="s">
        <v>342</v>
      </c>
      <c r="AA2379" s="550" t="s">
        <v>344</v>
      </c>
      <c r="AB2379" s="693" t="s">
        <v>345</v>
      </c>
      <c r="AC2379" s="693" t="s">
        <v>346</v>
      </c>
      <c r="AD2379" s="685" t="s">
        <v>347</v>
      </c>
      <c r="AE2379" s="52"/>
      <c r="AF2379" s="52"/>
      <c r="AG2379" s="52"/>
      <c r="AH2379" s="87"/>
      <c r="AI2379" s="87"/>
    </row>
    <row r="2380" spans="1:35" ht="15.75" hidden="1" customHeight="1" thickBot="1">
      <c r="A2380" s="218" t="e">
        <f>"N"&amp;E2359</f>
        <v>#N/A</v>
      </c>
      <c r="B2380" s="702"/>
      <c r="C2380" s="114">
        <v>1</v>
      </c>
      <c r="D2380" s="194" t="e">
        <f>IF(AND(C2380&lt;=F2378,F2378&gt;1,F2378&lt;&gt;""),VLOOKUP(VALUE(E2359&amp;","&amp;C2380),INTEGRANTES!$D$18:$F$235,2,0),"")</f>
        <v>#N/A</v>
      </c>
      <c r="E2380" s="211" t="e">
        <f>IF(D2380&lt;&gt;"",VLOOKUP(VALUE(E2359&amp;","&amp;C2380),INTEGRANTES!$D$18:$F$235,3,0),"")</f>
        <v>#N/A</v>
      </c>
      <c r="F2380" s="547" t="e">
        <f>IF(D2380="","",SUMIF($I2363:$I2372,D2380,$P2363:$P2372))</f>
        <v>#N/A</v>
      </c>
      <c r="G2380" s="333" t="e">
        <f>IF(D2380="","",SUMIF($I2363:$I2372,D2380,$M2363:$M2372))</f>
        <v>#N/A</v>
      </c>
      <c r="H2380" s="535" t="e">
        <f t="shared" ref="H2380:H2385" si="695">IF(D2380="","",IF(OR(F2380=0,G2380=0),"NO APORTA",ROUND($F2380/$G2380,3)))</f>
        <v>#N/A</v>
      </c>
      <c r="I2380" s="212" t="e">
        <f>IF(D2380="","",IF(H2380="NO APORTA","NO",IF(H2380=MAX($H2380:$H2385),"SI","NO")))</f>
        <v>#N/A</v>
      </c>
      <c r="J2380" s="213" t="e">
        <f t="shared" ref="J2380:J2385" si="696">IF(D2380="","",IF(E2380&gt;=PORCREQUERIDOINT,"SI","NO"))</f>
        <v>#N/A</v>
      </c>
      <c r="K2380" s="200" t="e">
        <f t="shared" ref="K2380:K2385" si="697">IF(D2380="","",IF(AND(I2380="SI",J2380="SI"),"CUMPLE",IF(AND(I2380="NO",OR(J2380="SI",J2380="NO")),"","NO CUMPLE")))</f>
        <v>#N/A</v>
      </c>
      <c r="L2380" s="722" t="s">
        <v>108</v>
      </c>
      <c r="M2380" s="726" t="s">
        <v>119</v>
      </c>
      <c r="N2380" s="726"/>
      <c r="O2380" s="726"/>
      <c r="P2380" s="726"/>
      <c r="Q2380" s="727"/>
      <c r="R2380" s="758" t="s">
        <v>80</v>
      </c>
      <c r="S2380" s="747"/>
      <c r="T2380" s="748"/>
      <c r="U2380" s="219"/>
      <c r="V2380" s="464"/>
      <c r="Y2380" s="533" t="e">
        <f>IF(Y2377="","",IF(Y2377="INDIVIDUAL","NO APLICA","VERIFICAR CUADRO"))</f>
        <v>#N/A</v>
      </c>
      <c r="AA2380" s="551"/>
      <c r="AB2380" s="694"/>
      <c r="AC2380" s="694"/>
      <c r="AD2380" s="686"/>
      <c r="AE2380" s="52"/>
      <c r="AF2380" s="52"/>
      <c r="AG2380" s="52"/>
      <c r="AH2380" s="87"/>
      <c r="AI2380" s="87"/>
    </row>
    <row r="2381" spans="1:35" ht="27" hidden="1" customHeight="1" thickBot="1">
      <c r="A2381" s="218" t="e">
        <f>"O"&amp;E2359</f>
        <v>#N/A</v>
      </c>
      <c r="B2381" s="702"/>
      <c r="C2381" s="114">
        <v>2</v>
      </c>
      <c r="D2381" s="194" t="e">
        <f>IF(AND(C2381&lt;=F2378,F2378&lt;&gt;""),VLOOKUP(VALUE(E2359&amp;","&amp;C2381),INTEGRANTES!$D$18:$F$235,2,0),"")</f>
        <v>#N/A</v>
      </c>
      <c r="E2381" s="211" t="e">
        <f>IF(D2381&lt;&gt;"",VLOOKUP(VALUE(E2359&amp;","&amp;C2381),INTEGRANTES!$D$18:$F$235,3,0),"")</f>
        <v>#N/A</v>
      </c>
      <c r="F2381" s="547" t="e">
        <f>IF(D2381="","",SUMIF($I2363:$I2372,D2381,$P2363:$P2372))</f>
        <v>#N/A</v>
      </c>
      <c r="G2381" s="333" t="e">
        <f>IF(D2381="","",SUMIF($I2363:$I2372,D2381,$M2363:$M2372))</f>
        <v>#N/A</v>
      </c>
      <c r="H2381" s="535" t="e">
        <f t="shared" si="695"/>
        <v>#N/A</v>
      </c>
      <c r="I2381" s="212" t="e">
        <f>IF(D2381="","",IF(H2381="NO APORTA","NO",IF(H2381=MAX($H2380:$H2385),"SI","NO")))</f>
        <v>#N/A</v>
      </c>
      <c r="J2381" s="213" t="e">
        <f t="shared" si="696"/>
        <v>#N/A</v>
      </c>
      <c r="K2381" s="200" t="e">
        <f t="shared" si="697"/>
        <v>#N/A</v>
      </c>
      <c r="L2381" s="723"/>
      <c r="M2381" s="715" t="s">
        <v>116</v>
      </c>
      <c r="N2381" s="716"/>
      <c r="O2381" s="556" t="s">
        <v>113</v>
      </c>
      <c r="P2381" s="715" t="s">
        <v>117</v>
      </c>
      <c r="Q2381" s="728"/>
      <c r="R2381" s="759"/>
      <c r="S2381" s="760"/>
      <c r="T2381" s="761"/>
      <c r="U2381" s="219"/>
      <c r="V2381" s="464"/>
      <c r="Y2381" s="414"/>
      <c r="AA2381" s="542" t="e">
        <f>IF(AND(C2380&lt;=F2378,F2378&gt;1,F2378&lt;&gt;""),VLOOKUP(VALUE(E2359&amp;","&amp;C2380),INTEGRANTES!$D$18:$F$235,2,0),"")</f>
        <v>#N/A</v>
      </c>
      <c r="AB2381" s="544" t="e">
        <f t="shared" ref="AB2381:AB2386" si="698">IF(D2380="","",IF(OR(F2380=0,G2380=0),"NO APORTA",ROUND($F2380/$G2380,3)))</f>
        <v>#N/A</v>
      </c>
      <c r="AC2381" s="529"/>
      <c r="AD2381" s="200" t="e">
        <f t="shared" ref="AD2381:AD2386" si="699">IF(OR(AA2381="",AB2381=""),"",IF(AND(AC2381="X",AB2381&gt;=EXPREQVTD),"CUMPLE","NO CUMPLE"))</f>
        <v>#N/A</v>
      </c>
      <c r="AE2381" s="52"/>
      <c r="AF2381" s="52"/>
      <c r="AG2381" s="52"/>
      <c r="AH2381" s="87"/>
      <c r="AI2381" s="87"/>
    </row>
    <row r="2382" spans="1:35" ht="16.5" hidden="1" thickBot="1">
      <c r="A2382" s="218" t="e">
        <f>"P"&amp;E2359</f>
        <v>#N/A</v>
      </c>
      <c r="B2382" s="702"/>
      <c r="C2382" s="114">
        <v>3</v>
      </c>
      <c r="D2382" s="194" t="e">
        <f>IF(AND(C2382&lt;=F2378,F2378&lt;&gt;""),VLOOKUP(VALUE(E2359&amp;","&amp;C2382),INTEGRANTES!$D$18:$F$235,2,0),"")</f>
        <v>#N/A</v>
      </c>
      <c r="E2382" s="211" t="e">
        <f>IF(D2382&lt;&gt;"",VLOOKUP(VALUE(E2359&amp;","&amp;C2382),INTEGRANTES!$D$18:$F$235,3,0),"")</f>
        <v>#N/A</v>
      </c>
      <c r="F2382" s="547" t="e">
        <f>IF(D2382="","",SUMIF($I2363:$I2372,D2382,$P2363:$P2372))</f>
        <v>#N/A</v>
      </c>
      <c r="G2382" s="333" t="e">
        <f>IF(D2382="","",SUMIF($I2363:$I2372,D2382,$M2363:$M2372))</f>
        <v>#N/A</v>
      </c>
      <c r="H2382" s="535" t="e">
        <f t="shared" si="695"/>
        <v>#N/A</v>
      </c>
      <c r="I2382" s="212" t="e">
        <f>IF(D2382="","",IF(H2382="NO APORTA","NO",IF(H2382=MAX($H2380:$H2385),"SI","NO")))</f>
        <v>#N/A</v>
      </c>
      <c r="J2382" s="213" t="e">
        <f t="shared" si="696"/>
        <v>#N/A</v>
      </c>
      <c r="K2382" s="200" t="e">
        <f t="shared" si="697"/>
        <v>#N/A</v>
      </c>
      <c r="L2382" s="724"/>
      <c r="M2382" s="729">
        <f>NUMMOD</f>
        <v>1</v>
      </c>
      <c r="N2382" s="730"/>
      <c r="O2382" s="443">
        <f>IF(M2382="","",VLOOKUP(M2382,PRESUPUESTOS!$B$16:$H$16,5,FALSE))</f>
        <v>2</v>
      </c>
      <c r="P2382" s="713">
        <f>IF(OR(COUNTIF(M2363:M2372,"")&gt;=10,Q2379&lt;NUMMINCONT,OR(T2377="NO CUMPLE",T2377="VERIFICAR")),0,ROUND(AVERAGE(M2363:M2372),3))</f>
        <v>0</v>
      </c>
      <c r="Q2382" s="714"/>
      <c r="R2382" s="458"/>
      <c r="S2382" s="459"/>
      <c r="T2382" s="460"/>
      <c r="U2382" s="219"/>
      <c r="V2382" s="464"/>
      <c r="Y2382" s="532" t="str">
        <f>"40% * ("&amp;PRESUPUESTOS!$H$13&amp;")"</f>
        <v>40% * (50% PFMO)</v>
      </c>
      <c r="AA2382" s="540" t="e">
        <f>IF(AND(C2381&lt;=F2378,F2378&lt;&gt;""),VLOOKUP(VALUE(E2359&amp;","&amp;C2381),INTEGRANTES!$D$18:$F$235,2,0),"")</f>
        <v>#N/A</v>
      </c>
      <c r="AB2382" s="545" t="e">
        <f t="shared" si="698"/>
        <v>#N/A</v>
      </c>
      <c r="AC2382" s="529"/>
      <c r="AD2382" s="200" t="e">
        <f t="shared" si="699"/>
        <v>#N/A</v>
      </c>
      <c r="AE2382" s="52"/>
      <c r="AF2382" s="52"/>
      <c r="AG2382" s="52"/>
      <c r="AH2382" s="87"/>
      <c r="AI2382" s="87"/>
    </row>
    <row r="2383" spans="1:35" ht="15.75" hidden="1" customHeight="1" thickBot="1">
      <c r="A2383" s="218" t="e">
        <f>"Q"&amp;E2359</f>
        <v>#N/A</v>
      </c>
      <c r="B2383" s="702"/>
      <c r="C2383" s="114">
        <v>4</v>
      </c>
      <c r="D2383" s="194" t="e">
        <f>IF(AND(C2383&lt;=F2378,F2378&lt;&gt;""),VLOOKUP(VALUE(E2359&amp;","&amp;C2383),INTEGRANTES!$D$18:$F$235,2,0),"")</f>
        <v>#N/A</v>
      </c>
      <c r="E2383" s="211" t="e">
        <f>IF(D2383&lt;&gt;"",VLOOKUP(VALUE(E2359&amp;","&amp;C2383),INTEGRANTES!$D$18:$F$235,3,0),"")</f>
        <v>#N/A</v>
      </c>
      <c r="F2383" s="547" t="e">
        <f>IF(D2383="","",SUMIF($I2363:$I2372,D2383,$P2363:$P2372))</f>
        <v>#N/A</v>
      </c>
      <c r="G2383" s="333" t="e">
        <f>IF(D2383="","",SUMIF($I2363:$I2372,D2383,$M2363:$M2372))</f>
        <v>#N/A</v>
      </c>
      <c r="H2383" s="535" t="e">
        <f t="shared" si="695"/>
        <v>#N/A</v>
      </c>
      <c r="I2383" s="212" t="e">
        <f>IF(D2383="","",IF(H2383="NO APORTA","NO",IF(H2383=MAX($H2380:$H2385),"SI","NO")))</f>
        <v>#N/A</v>
      </c>
      <c r="J2383" s="213" t="e">
        <f t="shared" si="696"/>
        <v>#N/A</v>
      </c>
      <c r="K2383" s="200" t="e">
        <f t="shared" si="697"/>
        <v>#N/A</v>
      </c>
      <c r="L2383" s="720" t="s">
        <v>109</v>
      </c>
      <c r="M2383" s="757" t="s">
        <v>120</v>
      </c>
      <c r="N2383" s="726"/>
      <c r="O2383" s="726"/>
      <c r="P2383" s="726"/>
      <c r="Q2383" s="727"/>
      <c r="R2383" s="458"/>
      <c r="S2383" s="459"/>
      <c r="T2383" s="460"/>
      <c r="U2383" s="219"/>
      <c r="V2383" s="464"/>
      <c r="Y2383" s="537">
        <f>0.4*PRESUPUESTOS!$H$16</f>
        <v>10.3124</v>
      </c>
      <c r="AA2383" s="540" t="e">
        <f>IF(AND(C2382&lt;=F2378,F2378&lt;&gt;""),VLOOKUP(VALUE(E2359&amp;","&amp;C2382),INTEGRANTES!$D$18:$F$235,2,0),"")</f>
        <v>#N/A</v>
      </c>
      <c r="AB2383" s="545" t="e">
        <f t="shared" si="698"/>
        <v>#N/A</v>
      </c>
      <c r="AC2383" s="529"/>
      <c r="AD2383" s="200" t="e">
        <f t="shared" si="699"/>
        <v>#N/A</v>
      </c>
      <c r="AE2383" s="52"/>
      <c r="AF2383" s="52"/>
      <c r="AG2383" s="52"/>
      <c r="AH2383" s="87"/>
      <c r="AI2383" s="87"/>
    </row>
    <row r="2384" spans="1:35" ht="27" hidden="1" customHeight="1" thickBot="1">
      <c r="A2384" s="218" t="e">
        <f>"R"&amp;E2359</f>
        <v>#N/A</v>
      </c>
      <c r="B2384" s="702"/>
      <c r="C2384" s="114">
        <v>5</v>
      </c>
      <c r="D2384" s="194" t="e">
        <f>IF(AND(C2384&lt;=F2378,F2378&lt;&gt;""),VLOOKUP(VALUE(E2359&amp;","&amp;C2384),INTEGRANTES!$D$18:$F$235,2,0),"")</f>
        <v>#N/A</v>
      </c>
      <c r="E2384" s="211" t="e">
        <f>IF(D2384&lt;&gt;"",VLOOKUP(VALUE(E2359&amp;","&amp;C2384),INTEGRANTES!$D$18:$F$235,3,0),"")</f>
        <v>#N/A</v>
      </c>
      <c r="F2384" s="547" t="e">
        <f>IF(D2384="","",SUMIF($I2363:$I2372,D2384,$P2363:$P2372))</f>
        <v>#N/A</v>
      </c>
      <c r="G2384" s="333" t="e">
        <f>IF(D2384="","",SUMIF($I2363:$I2372,D2384,$M2363:$M2372))</f>
        <v>#N/A</v>
      </c>
      <c r="H2384" s="535" t="e">
        <f t="shared" si="695"/>
        <v>#N/A</v>
      </c>
      <c r="I2384" s="212" t="e">
        <f>IF(D2384="","",IF(H2384="NO APORTA","NO",IF(H2384=MAX($H2380:$H2385),"SI","NO")))</f>
        <v>#N/A</v>
      </c>
      <c r="J2384" s="213" t="e">
        <f t="shared" si="696"/>
        <v>#N/A</v>
      </c>
      <c r="K2384" s="200" t="e">
        <f t="shared" si="697"/>
        <v>#N/A</v>
      </c>
      <c r="L2384" s="721"/>
      <c r="M2384" s="715" t="s">
        <v>116</v>
      </c>
      <c r="N2384" s="716"/>
      <c r="O2384" s="556" t="str">
        <f>PORCREQUERIDO*100&amp;"% PMFO DEL MÓDULO"</f>
        <v>50% PMFO DEL MÓDULO</v>
      </c>
      <c r="P2384" s="715" t="s">
        <v>118</v>
      </c>
      <c r="Q2384" s="728"/>
      <c r="R2384" s="458"/>
      <c r="S2384" s="459"/>
      <c r="T2384" s="460"/>
      <c r="U2384" s="219"/>
      <c r="V2384" s="464"/>
      <c r="Y2384" s="414"/>
      <c r="AA2384" s="540" t="e">
        <f>IF(AND(C2383&lt;=F2378,F2378&lt;&gt;""),VLOOKUP(VALUE(E2359&amp;","&amp;C2383),INTEGRANTES!$D$18:$F$235,2,0),"")</f>
        <v>#N/A</v>
      </c>
      <c r="AB2384" s="545" t="e">
        <f t="shared" si="698"/>
        <v>#N/A</v>
      </c>
      <c r="AC2384" s="529"/>
      <c r="AD2384" s="200" t="e">
        <f t="shared" si="699"/>
        <v>#N/A</v>
      </c>
      <c r="AE2384" s="52"/>
      <c r="AF2384" s="52"/>
      <c r="AG2384" s="52"/>
      <c r="AH2384" s="87"/>
      <c r="AI2384" s="87"/>
    </row>
    <row r="2385" spans="1:35" ht="16.5" hidden="1" thickBot="1">
      <c r="A2385" s="218" t="e">
        <f>"S"&amp;E2359</f>
        <v>#N/A</v>
      </c>
      <c r="B2385" s="702"/>
      <c r="C2385" s="215">
        <v>6</v>
      </c>
      <c r="D2385" s="216" t="e">
        <f>IF(AND(C2385&lt;=F2378,F2378&lt;&gt;""),VLOOKUP(VALUE(E2359&amp;","&amp;C2385),INTEGRANTES!$D$18:$F$235,2,0),"")</f>
        <v>#N/A</v>
      </c>
      <c r="E2385" s="217" t="e">
        <f>IF(D2385&lt;&gt;"",VLOOKUP(VALUE(E2359&amp;","&amp;C2385),INTEGRANTES!$D$18:$F$235,3,0),"")</f>
        <v>#N/A</v>
      </c>
      <c r="F2385" s="548" t="e">
        <f>IF(D2385="","",SUMIF($I2363:$I2372,D2385,$P2363:$P2372))</f>
        <v>#N/A</v>
      </c>
      <c r="G2385" s="334" t="e">
        <f>IF(D2385="","",SUMIF($I2363:$I2372,D2385,$M2363:$M2372))</f>
        <v>#N/A</v>
      </c>
      <c r="H2385" s="536" t="e">
        <f t="shared" si="695"/>
        <v>#N/A</v>
      </c>
      <c r="I2385" s="214" t="e">
        <f>IF(D2385="","",IF(H2385="NO APORTA","NO",IF(H2385=MAX($H2380:$H2385),"SI","NO")))</f>
        <v>#N/A</v>
      </c>
      <c r="J2385" s="213" t="e">
        <f t="shared" si="696"/>
        <v>#N/A</v>
      </c>
      <c r="K2385" s="200" t="e">
        <f t="shared" si="697"/>
        <v>#N/A</v>
      </c>
      <c r="L2385" s="721"/>
      <c r="M2385" s="729">
        <f>NUMMOD</f>
        <v>1</v>
      </c>
      <c r="N2385" s="730"/>
      <c r="O2385" s="443">
        <f>IF(M2385="","",ROUND(VLOOKUP(M2385,PRESUPUESTOS!$B$16:$H$16,7,FALSE),3))</f>
        <v>25.780999999999999</v>
      </c>
      <c r="P2385" s="713">
        <f>IF(OR(COUNTIF(P2363:P2372,"")&gt;=10,Q2379&lt;NUMMINCONT,OR(T2377="NO CUMPLE",T2377="VERIFICAR")),0,ROUND((SUM(P2363:P2372)/SUM(M2363:M2372)),3))</f>
        <v>0</v>
      </c>
      <c r="Q2385" s="714"/>
      <c r="R2385" s="458"/>
      <c r="S2385" s="459"/>
      <c r="T2385" s="460"/>
      <c r="U2385" s="219"/>
      <c r="V2385" s="464"/>
      <c r="Y2385" s="532" t="s">
        <v>343</v>
      </c>
      <c r="AA2385" s="540" t="e">
        <f>IF(AND(C2384&lt;=F2378,F2378&lt;&gt;""),VLOOKUP(VALUE(E2359&amp;","&amp;C2384),INTEGRANTES!$D$18:$F$235,2,0),"")</f>
        <v>#N/A</v>
      </c>
      <c r="AB2385" s="545" t="e">
        <f t="shared" si="698"/>
        <v>#N/A</v>
      </c>
      <c r="AC2385" s="529"/>
      <c r="AD2385" s="200" t="e">
        <f t="shared" si="699"/>
        <v>#N/A</v>
      </c>
      <c r="AE2385" s="52"/>
      <c r="AF2385" s="52"/>
      <c r="AG2385" s="52"/>
      <c r="AH2385" s="87"/>
      <c r="AI2385" s="87"/>
    </row>
    <row r="2386" spans="1:35" ht="16.5" hidden="1" customHeight="1" thickBot="1">
      <c r="A2386" s="218" t="e">
        <f>"T"&amp;E2359</f>
        <v>#N/A</v>
      </c>
      <c r="B2386" s="703"/>
      <c r="C2386" s="719"/>
      <c r="D2386" s="719"/>
      <c r="E2386" s="719"/>
      <c r="F2386" s="719"/>
      <c r="G2386" s="719"/>
      <c r="H2386" s="719" t="s">
        <v>110</v>
      </c>
      <c r="I2386" s="719"/>
      <c r="J2386" s="719"/>
      <c r="K2386" s="201" t="str">
        <f>IF(COUNTIF(K2380:K2385,"")=6,"",IF(COUNTIF(K2380:K2385,"CUMPLE")&gt;0,"CUMPLE","NO CUMPLE"))</f>
        <v>NO CUMPLE</v>
      </c>
      <c r="L2386" s="754"/>
      <c r="M2386" s="755"/>
      <c r="N2386" s="755"/>
      <c r="O2386" s="755"/>
      <c r="P2386" s="755"/>
      <c r="Q2386" s="756"/>
      <c r="R2386" s="461"/>
      <c r="S2386" s="462"/>
      <c r="T2386" s="463"/>
      <c r="U2386" s="219"/>
      <c r="V2386" s="464"/>
      <c r="Y2386" s="549" t="e">
        <f>IF(Y2380="NO APLICA","NO APLICA",IF(COUNTIF(AD2381:AD2386,"CUMPLE")&gt;0,"CUMPLE","NO CUMPLE"))</f>
        <v>#N/A</v>
      </c>
      <c r="AA2386" s="541" t="e">
        <f>IF(AND(C2385&lt;=F2378,F2378&lt;&gt;""),VLOOKUP(VALUE(E2359&amp;","&amp;C2385),INTEGRANTES!$D$18:$F$235,2,0),"")</f>
        <v>#N/A</v>
      </c>
      <c r="AB2386" s="546" t="e">
        <f t="shared" si="698"/>
        <v>#N/A</v>
      </c>
      <c r="AC2386" s="543"/>
      <c r="AD2386" s="201" t="e">
        <f t="shared" si="699"/>
        <v>#N/A</v>
      </c>
      <c r="AE2386" s="52"/>
      <c r="AF2386" s="52"/>
      <c r="AG2386" s="52"/>
      <c r="AH2386" s="87"/>
      <c r="AI2386" s="87"/>
    </row>
    <row r="2387" spans="1:35" hidden="1">
      <c r="A2387" s="103"/>
      <c r="B2387" s="206"/>
      <c r="C2387" s="206"/>
      <c r="D2387" s="206"/>
      <c r="E2387" s="206"/>
      <c r="F2387" s="206"/>
      <c r="G2387" s="206"/>
      <c r="H2387" s="206"/>
      <c r="I2387" s="104"/>
      <c r="J2387" s="206"/>
      <c r="K2387" s="113"/>
      <c r="L2387" s="113"/>
      <c r="M2387" s="113"/>
      <c r="N2387" s="222"/>
      <c r="O2387" s="113"/>
      <c r="P2387" s="113"/>
      <c r="Q2387" s="113"/>
      <c r="R2387" s="206"/>
      <c r="S2387" s="104"/>
      <c r="T2387" s="206"/>
      <c r="U2387" s="474"/>
      <c r="AH2387" s="87"/>
      <c r="AI2387" s="87"/>
    </row>
    <row r="2388" spans="1:35" hidden="1">
      <c r="H2388" s="220"/>
      <c r="AH2388" s="87"/>
      <c r="AI2388" s="87"/>
    </row>
    <row r="2389" spans="1:35" ht="24" hidden="1" thickBot="1">
      <c r="A2389" s="61">
        <v>80</v>
      </c>
      <c r="B2389" s="704" t="s">
        <v>51</v>
      </c>
      <c r="C2389" s="704"/>
      <c r="D2389" s="704"/>
      <c r="E2389" s="62" t="e">
        <f>VLOOKUP(A2389,PROPONENTES!$B$19:$E$218,2,FALSE)</f>
        <v>#N/A</v>
      </c>
      <c r="F2389" s="63" t="e">
        <f>VLOOKUP(A2389,PROPONENTES!$B$19:$E$218,3,FALSE)</f>
        <v>#N/A</v>
      </c>
      <c r="G2389" s="64"/>
      <c r="H2389" s="64"/>
      <c r="I2389" s="63"/>
      <c r="J2389" s="63"/>
      <c r="K2389" s="65"/>
      <c r="L2389" s="65"/>
      <c r="M2389" s="64"/>
      <c r="N2389" s="64"/>
      <c r="O2389" s="66"/>
      <c r="P2389" s="66"/>
      <c r="Q2389" s="66"/>
      <c r="R2389" s="66"/>
      <c r="S2389" s="67"/>
      <c r="T2389" s="68"/>
      <c r="U2389" s="68"/>
      <c r="AC2389" s="68"/>
      <c r="AD2389" s="68"/>
      <c r="AE2389" s="68"/>
      <c r="AF2389" s="68"/>
      <c r="AG2389" s="68"/>
      <c r="AH2389" s="87"/>
      <c r="AI2389" s="87"/>
    </row>
    <row r="2390" spans="1:35" ht="15.75" hidden="1" customHeight="1">
      <c r="A2390" s="44"/>
      <c r="B2390" s="709" t="s">
        <v>59</v>
      </c>
      <c r="C2390" s="552" t="s">
        <v>60</v>
      </c>
      <c r="D2390" s="70" t="s">
        <v>17</v>
      </c>
      <c r="E2390" s="70"/>
      <c r="F2390" s="70" t="s">
        <v>61</v>
      </c>
      <c r="G2390" s="71"/>
      <c r="H2390" s="699" t="s">
        <v>62</v>
      </c>
      <c r="I2390" s="699" t="s">
        <v>18</v>
      </c>
      <c r="J2390" s="699" t="s">
        <v>63</v>
      </c>
      <c r="K2390" s="699" t="s">
        <v>64</v>
      </c>
      <c r="L2390" s="699" t="s">
        <v>65</v>
      </c>
      <c r="M2390" s="743" t="s">
        <v>66</v>
      </c>
      <c r="N2390" s="699" t="s">
        <v>282</v>
      </c>
      <c r="O2390" s="745" t="s">
        <v>67</v>
      </c>
      <c r="P2390" s="746"/>
      <c r="Q2390" s="102" t="s">
        <v>75</v>
      </c>
      <c r="R2390" s="731" t="s">
        <v>22</v>
      </c>
      <c r="S2390" s="732"/>
      <c r="T2390" s="733"/>
      <c r="U2390" s="712" t="s">
        <v>298</v>
      </c>
      <c r="W2390" s="690" t="s">
        <v>268</v>
      </c>
      <c r="X2390" s="691"/>
      <c r="Y2390" s="692"/>
      <c r="Z2390" s="428"/>
      <c r="AA2390" s="697" t="s">
        <v>315</v>
      </c>
      <c r="AB2390" s="695" t="s">
        <v>322</v>
      </c>
      <c r="AC2390" s="49"/>
      <c r="AD2390" s="690" t="s">
        <v>297</v>
      </c>
      <c r="AE2390" s="691"/>
      <c r="AF2390" s="692"/>
      <c r="AG2390" s="49"/>
      <c r="AH2390" s="87"/>
      <c r="AI2390" s="87"/>
    </row>
    <row r="2391" spans="1:35" ht="72" hidden="1">
      <c r="A2391" s="44"/>
      <c r="B2391" s="710"/>
      <c r="C2391" s="553" t="s">
        <v>68</v>
      </c>
      <c r="D2391" s="73" t="s">
        <v>3</v>
      </c>
      <c r="E2391" s="73" t="s">
        <v>19</v>
      </c>
      <c r="F2391" s="73" t="s">
        <v>69</v>
      </c>
      <c r="G2391" s="74" t="s">
        <v>70</v>
      </c>
      <c r="H2391" s="700"/>
      <c r="I2391" s="700"/>
      <c r="J2391" s="700"/>
      <c r="K2391" s="700"/>
      <c r="L2391" s="700"/>
      <c r="M2391" s="744"/>
      <c r="N2391" s="700"/>
      <c r="O2391" s="553" t="s">
        <v>279</v>
      </c>
      <c r="P2391" s="73" t="s">
        <v>88</v>
      </c>
      <c r="Q2391" s="555" t="s">
        <v>76</v>
      </c>
      <c r="R2391" s="734"/>
      <c r="S2391" s="735"/>
      <c r="T2391" s="736"/>
      <c r="U2391" s="712"/>
      <c r="W2391" s="429" t="s">
        <v>269</v>
      </c>
      <c r="X2391" s="457" t="s">
        <v>278</v>
      </c>
      <c r="Y2391" s="430" t="s">
        <v>324</v>
      </c>
      <c r="Z2391" s="428"/>
      <c r="AA2391" s="698"/>
      <c r="AB2391" s="696"/>
      <c r="AC2391" s="49"/>
      <c r="AD2391" s="429" t="s">
        <v>292</v>
      </c>
      <c r="AE2391" s="431" t="s">
        <v>300</v>
      </c>
      <c r="AF2391" s="468" t="s">
        <v>301</v>
      </c>
      <c r="AG2391" s="49"/>
      <c r="AH2391" s="87"/>
      <c r="AI2391" s="87"/>
    </row>
    <row r="2392" spans="1:35" hidden="1">
      <c r="A2392" s="44"/>
      <c r="B2392" s="76"/>
      <c r="C2392" s="77"/>
      <c r="D2392" s="77"/>
      <c r="E2392" s="77"/>
      <c r="F2392" s="77"/>
      <c r="G2392" s="77"/>
      <c r="H2392" s="77"/>
      <c r="I2392" s="77"/>
      <c r="J2392" s="77"/>
      <c r="K2392" s="77"/>
      <c r="L2392" s="77"/>
      <c r="M2392" s="77"/>
      <c r="N2392" s="77"/>
      <c r="O2392" s="77"/>
      <c r="P2392" s="77"/>
      <c r="Q2392" s="77"/>
      <c r="R2392" s="77"/>
      <c r="S2392" s="78"/>
      <c r="T2392" s="79"/>
      <c r="U2392" s="109"/>
      <c r="V2392" s="49"/>
      <c r="W2392" s="432"/>
      <c r="X2392" s="454"/>
      <c r="Y2392" s="433"/>
      <c r="Z2392" s="6"/>
      <c r="AA2392" s="500"/>
      <c r="AB2392" s="562"/>
      <c r="AC2392" s="49"/>
      <c r="AD2392" s="210"/>
      <c r="AE2392" s="434"/>
      <c r="AF2392" s="435"/>
      <c r="AG2392" s="49"/>
      <c r="AH2392" s="87"/>
      <c r="AI2392" s="87"/>
    </row>
    <row r="2393" spans="1:35" hidden="1">
      <c r="A2393" s="80" t="e">
        <f>"A"&amp;E2389</f>
        <v>#N/A</v>
      </c>
      <c r="B2393" s="81">
        <v>1</v>
      </c>
      <c r="C2393" s="82"/>
      <c r="D2393" s="82"/>
      <c r="E2393" s="82"/>
      <c r="F2393" s="82"/>
      <c r="G2393" s="83"/>
      <c r="H2393" s="83"/>
      <c r="I2393" s="84"/>
      <c r="J2393" s="85"/>
      <c r="K2393" s="382"/>
      <c r="L2393" s="85"/>
      <c r="M2393" s="332" t="str">
        <f t="shared" ref="M2393:M2402" si="700">IF(OR(J2393="",L2393="",H2393="NO"),"",IF(OR(J2393&gt;$P$17,J2393&lt;$O$17,L2393&gt;$P$17,AND(J2393&lt;$O$17,L2393&lt;$O$17)),"FUERA DE RANGO",IF(OR(K2393="---",K2393=""),IF(J2393&gt;=$O$17,ROUND((L2393-J2393+1)/360*12,3),ROUND((L2393-$O$17+1)/360*12,3)),IF(J2393&gt;=$O$17,ROUND((L2393-J2393+1)/360*12-ROUND(K2393,3),3),ROUND((L2393-$O$17+1)/360*12-ROUND(K2393,3),3)))))</f>
        <v/>
      </c>
      <c r="N2393" s="86"/>
      <c r="O2393" s="453" t="str">
        <f>IF(OR(G2393="",N2393=""),"",N2393*G2393)</f>
        <v/>
      </c>
      <c r="P2393" s="538" t="str">
        <f>IF(OR(H2393="",M2393="FUERA DE RANGO"),"",IF(OR(L2393&lt;$O$17,L2393&gt;$P$17,L2393="",H2393="NO"),"",IF(OR(N2393="",O2393=""),"",ROUND(O2393,3))))</f>
        <v/>
      </c>
      <c r="Q2393" s="539" t="str">
        <f t="shared" ref="Q2393:Q2402" si="701">IF(AND(H2393="SI",P2393&lt;&gt;""),ROUND(P2393/M2393,3),"")</f>
        <v/>
      </c>
      <c r="R2393" s="737"/>
      <c r="S2393" s="738"/>
      <c r="T2393" s="739"/>
      <c r="U2393" s="470"/>
      <c r="V2393" s="165"/>
      <c r="W2393" s="446"/>
      <c r="X2393" s="456"/>
      <c r="Y2393" s="436"/>
      <c r="Z2393" s="437"/>
      <c r="AA2393" s="560"/>
      <c r="AB2393" s="561"/>
      <c r="AC2393" s="87"/>
      <c r="AD2393" s="466"/>
      <c r="AE2393" s="456"/>
      <c r="AF2393" s="467"/>
      <c r="AG2393" s="87"/>
      <c r="AH2393" s="87"/>
      <c r="AI2393" s="87"/>
    </row>
    <row r="2394" spans="1:35" hidden="1">
      <c r="A2394" s="80" t="e">
        <f>"B"&amp;E2389</f>
        <v>#N/A</v>
      </c>
      <c r="B2394" s="81">
        <v>2</v>
      </c>
      <c r="C2394" s="106"/>
      <c r="D2394" s="106"/>
      <c r="E2394" s="106"/>
      <c r="F2394" s="106"/>
      <c r="G2394" s="83"/>
      <c r="H2394" s="83"/>
      <c r="I2394" s="84"/>
      <c r="J2394" s="85"/>
      <c r="K2394" s="382"/>
      <c r="L2394" s="85"/>
      <c r="M2394" s="332" t="str">
        <f t="shared" si="700"/>
        <v/>
      </c>
      <c r="N2394" s="86"/>
      <c r="O2394" s="453" t="str">
        <f t="shared" ref="O2394:O2402" si="702">IF(OR(G2394="",N2394=""),"",N2394*G2394)</f>
        <v/>
      </c>
      <c r="P2394" s="538" t="str">
        <f t="shared" ref="P2394:P2402" si="703">IF(OR(H2394="",M2394="FUERA DE RANGO"),"",IF(OR(L2394&lt;$O$17,L2394&gt;$P$17,L2394="",H2394="NO"),"",IF(OR(N2394="",O2394=""),"",ROUND(O2394,3))))</f>
        <v/>
      </c>
      <c r="Q2394" s="539" t="str">
        <f t="shared" si="701"/>
        <v/>
      </c>
      <c r="R2394" s="740"/>
      <c r="S2394" s="741"/>
      <c r="T2394" s="742"/>
      <c r="U2394" s="471"/>
      <c r="V2394" s="165"/>
      <c r="W2394" s="446"/>
      <c r="X2394" s="456"/>
      <c r="Y2394" s="436"/>
      <c r="Z2394" s="437"/>
      <c r="AA2394" s="560"/>
      <c r="AB2394" s="561"/>
      <c r="AC2394" s="87"/>
      <c r="AD2394" s="466"/>
      <c r="AE2394" s="456"/>
      <c r="AF2394" s="467"/>
      <c r="AG2394" s="87"/>
      <c r="AH2394" s="87"/>
      <c r="AI2394" s="87"/>
    </row>
    <row r="2395" spans="1:35" hidden="1">
      <c r="A2395" s="80" t="e">
        <f>"C"&amp;E2389</f>
        <v>#N/A</v>
      </c>
      <c r="B2395" s="88">
        <v>3</v>
      </c>
      <c r="C2395" s="82"/>
      <c r="D2395" s="82"/>
      <c r="E2395" s="82"/>
      <c r="F2395" s="82"/>
      <c r="G2395" s="83"/>
      <c r="H2395" s="83"/>
      <c r="I2395" s="84"/>
      <c r="J2395" s="85"/>
      <c r="K2395" s="382"/>
      <c r="L2395" s="85"/>
      <c r="M2395" s="332" t="str">
        <f t="shared" si="700"/>
        <v/>
      </c>
      <c r="N2395" s="86"/>
      <c r="O2395" s="453" t="str">
        <f t="shared" si="702"/>
        <v/>
      </c>
      <c r="P2395" s="538" t="str">
        <f t="shared" si="703"/>
        <v/>
      </c>
      <c r="Q2395" s="539" t="str">
        <f t="shared" si="701"/>
        <v/>
      </c>
      <c r="R2395" s="706"/>
      <c r="S2395" s="707"/>
      <c r="T2395" s="708"/>
      <c r="U2395" s="472"/>
      <c r="V2395" s="166"/>
      <c r="W2395" s="446"/>
      <c r="X2395" s="456"/>
      <c r="Y2395" s="436"/>
      <c r="Z2395" s="437"/>
      <c r="AA2395" s="560"/>
      <c r="AB2395" s="561"/>
      <c r="AC2395" s="87"/>
      <c r="AD2395" s="466"/>
      <c r="AE2395" s="456"/>
      <c r="AF2395" s="467"/>
      <c r="AG2395" s="87"/>
      <c r="AH2395" s="87"/>
      <c r="AI2395" s="87"/>
    </row>
    <row r="2396" spans="1:35" hidden="1">
      <c r="A2396" s="80" t="e">
        <f>"D"&amp;E2389</f>
        <v>#N/A</v>
      </c>
      <c r="B2396" s="105">
        <v>4</v>
      </c>
      <c r="C2396" s="107"/>
      <c r="D2396" s="107"/>
      <c r="E2396" s="107"/>
      <c r="F2396" s="107"/>
      <c r="G2396" s="83"/>
      <c r="H2396" s="83"/>
      <c r="I2396" s="84"/>
      <c r="J2396" s="85"/>
      <c r="K2396" s="382"/>
      <c r="L2396" s="85"/>
      <c r="M2396" s="332" t="str">
        <f t="shared" si="700"/>
        <v/>
      </c>
      <c r="N2396" s="86"/>
      <c r="O2396" s="453" t="str">
        <f t="shared" si="702"/>
        <v/>
      </c>
      <c r="P2396" s="538" t="str">
        <f t="shared" si="703"/>
        <v/>
      </c>
      <c r="Q2396" s="539" t="str">
        <f t="shared" si="701"/>
        <v/>
      </c>
      <c r="R2396" s="706"/>
      <c r="S2396" s="707"/>
      <c r="T2396" s="708"/>
      <c r="U2396" s="472"/>
      <c r="V2396" s="166"/>
      <c r="W2396" s="446"/>
      <c r="X2396" s="456"/>
      <c r="Y2396" s="436"/>
      <c r="Z2396" s="437"/>
      <c r="AA2396" s="560"/>
      <c r="AB2396" s="561"/>
      <c r="AC2396" s="87"/>
      <c r="AD2396" s="466"/>
      <c r="AE2396" s="456"/>
      <c r="AF2396" s="467"/>
      <c r="AG2396" s="87"/>
      <c r="AH2396" s="87"/>
      <c r="AI2396" s="87"/>
    </row>
    <row r="2397" spans="1:35" hidden="1">
      <c r="A2397" s="80" t="e">
        <f>"E"&amp;E2389</f>
        <v>#N/A</v>
      </c>
      <c r="B2397" s="105">
        <v>5</v>
      </c>
      <c r="C2397" s="107"/>
      <c r="D2397" s="107"/>
      <c r="E2397" s="107"/>
      <c r="F2397" s="107"/>
      <c r="G2397" s="83"/>
      <c r="H2397" s="83"/>
      <c r="I2397" s="84"/>
      <c r="J2397" s="85"/>
      <c r="K2397" s="382"/>
      <c r="L2397" s="85"/>
      <c r="M2397" s="332" t="str">
        <f t="shared" si="700"/>
        <v/>
      </c>
      <c r="N2397" s="86"/>
      <c r="O2397" s="453" t="str">
        <f t="shared" si="702"/>
        <v/>
      </c>
      <c r="P2397" s="538" t="str">
        <f t="shared" si="703"/>
        <v/>
      </c>
      <c r="Q2397" s="539" t="str">
        <f t="shared" si="701"/>
        <v/>
      </c>
      <c r="R2397" s="706"/>
      <c r="S2397" s="707"/>
      <c r="T2397" s="708"/>
      <c r="U2397" s="472"/>
      <c r="V2397" s="167"/>
      <c r="W2397" s="446"/>
      <c r="X2397" s="456"/>
      <c r="Y2397" s="436"/>
      <c r="Z2397" s="437"/>
      <c r="AA2397" s="560"/>
      <c r="AB2397" s="561"/>
      <c r="AC2397" s="87"/>
      <c r="AD2397" s="466"/>
      <c r="AE2397" s="456"/>
      <c r="AF2397" s="467"/>
      <c r="AG2397" s="87"/>
      <c r="AH2397" s="87"/>
      <c r="AI2397" s="87"/>
    </row>
    <row r="2398" spans="1:35" hidden="1">
      <c r="A2398" s="80" t="e">
        <f>"F"&amp;E2389</f>
        <v>#N/A</v>
      </c>
      <c r="B2398" s="105">
        <v>6</v>
      </c>
      <c r="C2398" s="107"/>
      <c r="D2398" s="107"/>
      <c r="E2398" s="107"/>
      <c r="F2398" s="107"/>
      <c r="G2398" s="83"/>
      <c r="H2398" s="83"/>
      <c r="I2398" s="84"/>
      <c r="J2398" s="85"/>
      <c r="K2398" s="382"/>
      <c r="L2398" s="85"/>
      <c r="M2398" s="332" t="str">
        <f t="shared" si="700"/>
        <v/>
      </c>
      <c r="N2398" s="86"/>
      <c r="O2398" s="453" t="str">
        <f t="shared" si="702"/>
        <v/>
      </c>
      <c r="P2398" s="538" t="str">
        <f t="shared" si="703"/>
        <v/>
      </c>
      <c r="Q2398" s="539" t="str">
        <f t="shared" si="701"/>
        <v/>
      </c>
      <c r="R2398" s="706"/>
      <c r="S2398" s="707"/>
      <c r="T2398" s="708"/>
      <c r="U2398" s="472"/>
      <c r="V2398" s="167"/>
      <c r="W2398" s="446"/>
      <c r="X2398" s="456"/>
      <c r="Y2398" s="436"/>
      <c r="Z2398" s="437"/>
      <c r="AA2398" s="560"/>
      <c r="AB2398" s="561"/>
      <c r="AC2398" s="87"/>
      <c r="AD2398" s="466"/>
      <c r="AE2398" s="456"/>
      <c r="AF2398" s="467"/>
      <c r="AG2398" s="87"/>
      <c r="AH2398" s="87"/>
      <c r="AI2398" s="87"/>
    </row>
    <row r="2399" spans="1:35" hidden="1">
      <c r="A2399" s="80" t="e">
        <f>"G"&amp;E2389</f>
        <v>#N/A</v>
      </c>
      <c r="B2399" s="105">
        <v>7</v>
      </c>
      <c r="C2399" s="107"/>
      <c r="D2399" s="107"/>
      <c r="E2399" s="107"/>
      <c r="F2399" s="107"/>
      <c r="G2399" s="83"/>
      <c r="H2399" s="83"/>
      <c r="I2399" s="84"/>
      <c r="J2399" s="85"/>
      <c r="K2399" s="382"/>
      <c r="L2399" s="85"/>
      <c r="M2399" s="332" t="str">
        <f t="shared" si="700"/>
        <v/>
      </c>
      <c r="N2399" s="86"/>
      <c r="O2399" s="86" t="str">
        <f t="shared" si="702"/>
        <v/>
      </c>
      <c r="P2399" s="538" t="str">
        <f t="shared" si="703"/>
        <v/>
      </c>
      <c r="Q2399" s="539" t="str">
        <f t="shared" si="701"/>
        <v/>
      </c>
      <c r="R2399" s="706"/>
      <c r="S2399" s="707"/>
      <c r="T2399" s="708"/>
      <c r="U2399" s="472"/>
      <c r="V2399" s="167"/>
      <c r="W2399" s="446"/>
      <c r="X2399" s="456"/>
      <c r="Y2399" s="436"/>
      <c r="Z2399" s="437"/>
      <c r="AA2399" s="560"/>
      <c r="AB2399" s="561"/>
      <c r="AC2399" s="87"/>
      <c r="AD2399" s="466"/>
      <c r="AE2399" s="456"/>
      <c r="AF2399" s="467"/>
      <c r="AG2399" s="87"/>
      <c r="AH2399" s="87"/>
      <c r="AI2399" s="87"/>
    </row>
    <row r="2400" spans="1:35" hidden="1">
      <c r="A2400" s="80" t="e">
        <f>"H"&amp;E2389</f>
        <v>#N/A</v>
      </c>
      <c r="B2400" s="105">
        <v>8</v>
      </c>
      <c r="C2400" s="107"/>
      <c r="D2400" s="107"/>
      <c r="E2400" s="107"/>
      <c r="F2400" s="107"/>
      <c r="G2400" s="83"/>
      <c r="H2400" s="83"/>
      <c r="I2400" s="84"/>
      <c r="J2400" s="85"/>
      <c r="K2400" s="382"/>
      <c r="L2400" s="85"/>
      <c r="M2400" s="332" t="str">
        <f t="shared" si="700"/>
        <v/>
      </c>
      <c r="N2400" s="453"/>
      <c r="O2400" s="86" t="str">
        <f t="shared" si="702"/>
        <v/>
      </c>
      <c r="P2400" s="538" t="str">
        <f t="shared" si="703"/>
        <v/>
      </c>
      <c r="Q2400" s="539" t="str">
        <f t="shared" si="701"/>
        <v/>
      </c>
      <c r="R2400" s="706"/>
      <c r="S2400" s="707"/>
      <c r="T2400" s="708"/>
      <c r="U2400" s="472"/>
      <c r="V2400" s="167"/>
      <c r="W2400" s="446"/>
      <c r="X2400" s="456"/>
      <c r="Y2400" s="436"/>
      <c r="Z2400" s="437"/>
      <c r="AA2400" s="560"/>
      <c r="AB2400" s="561"/>
      <c r="AC2400" s="87"/>
      <c r="AD2400" s="466"/>
      <c r="AE2400" s="456"/>
      <c r="AF2400" s="467"/>
      <c r="AG2400" s="87"/>
      <c r="AH2400" s="87"/>
      <c r="AI2400" s="87"/>
    </row>
    <row r="2401" spans="1:35" hidden="1">
      <c r="A2401" s="80" t="e">
        <f>"I"&amp;E2389</f>
        <v>#N/A</v>
      </c>
      <c r="B2401" s="105">
        <v>9</v>
      </c>
      <c r="C2401" s="107"/>
      <c r="D2401" s="107"/>
      <c r="E2401" s="107"/>
      <c r="F2401" s="107"/>
      <c r="G2401" s="83"/>
      <c r="H2401" s="83"/>
      <c r="I2401" s="84"/>
      <c r="J2401" s="85"/>
      <c r="K2401" s="382"/>
      <c r="L2401" s="85"/>
      <c r="M2401" s="332" t="str">
        <f t="shared" si="700"/>
        <v/>
      </c>
      <c r="N2401" s="453"/>
      <c r="O2401" s="86" t="str">
        <f t="shared" si="702"/>
        <v/>
      </c>
      <c r="P2401" s="538" t="str">
        <f t="shared" si="703"/>
        <v/>
      </c>
      <c r="Q2401" s="539" t="str">
        <f t="shared" si="701"/>
        <v/>
      </c>
      <c r="R2401" s="706"/>
      <c r="S2401" s="707"/>
      <c r="T2401" s="708"/>
      <c r="U2401" s="472"/>
      <c r="V2401" s="167"/>
      <c r="W2401" s="446"/>
      <c r="X2401" s="456"/>
      <c r="Y2401" s="436"/>
      <c r="Z2401" s="437"/>
      <c r="AA2401" s="560"/>
      <c r="AB2401" s="561"/>
      <c r="AC2401" s="87"/>
      <c r="AD2401" s="466"/>
      <c r="AE2401" s="456"/>
      <c r="AF2401" s="467"/>
      <c r="AG2401" s="87"/>
      <c r="AH2401" s="87"/>
      <c r="AI2401" s="87"/>
    </row>
    <row r="2402" spans="1:35" hidden="1">
      <c r="A2402" s="80" t="e">
        <f>"J"&amp;E2389</f>
        <v>#N/A</v>
      </c>
      <c r="B2402" s="105">
        <v>10</v>
      </c>
      <c r="C2402" s="107"/>
      <c r="D2402" s="107"/>
      <c r="E2402" s="107"/>
      <c r="F2402" s="107"/>
      <c r="G2402" s="83"/>
      <c r="H2402" s="83"/>
      <c r="I2402" s="84"/>
      <c r="J2402" s="85"/>
      <c r="K2402" s="382"/>
      <c r="L2402" s="85"/>
      <c r="M2402" s="332" t="str">
        <f t="shared" si="700"/>
        <v/>
      </c>
      <c r="N2402" s="453"/>
      <c r="O2402" s="86" t="str">
        <f t="shared" si="702"/>
        <v/>
      </c>
      <c r="P2402" s="538" t="str">
        <f t="shared" si="703"/>
        <v/>
      </c>
      <c r="Q2402" s="539" t="str">
        <f t="shared" si="701"/>
        <v/>
      </c>
      <c r="R2402" s="706"/>
      <c r="S2402" s="707"/>
      <c r="T2402" s="708"/>
      <c r="U2402" s="472"/>
      <c r="V2402" s="167"/>
      <c r="W2402" s="446"/>
      <c r="X2402" s="456"/>
      <c r="Y2402" s="436"/>
      <c r="Z2402" s="437"/>
      <c r="AA2402" s="560"/>
      <c r="AB2402" s="561"/>
      <c r="AC2402" s="87"/>
      <c r="AD2402" s="466"/>
      <c r="AE2402" s="456"/>
      <c r="AF2402" s="467"/>
      <c r="AG2402" s="87"/>
      <c r="AH2402" s="87"/>
      <c r="AI2402" s="87"/>
    </row>
    <row r="2403" spans="1:35" ht="16.5" hidden="1" thickBot="1">
      <c r="A2403" s="44"/>
      <c r="B2403" s="89"/>
      <c r="C2403" s="90"/>
      <c r="D2403" s="90"/>
      <c r="E2403" s="90"/>
      <c r="F2403" s="90"/>
      <c r="G2403" s="90"/>
      <c r="H2403" s="90"/>
      <c r="I2403" s="90"/>
      <c r="J2403" s="90"/>
      <c r="K2403" s="90"/>
      <c r="L2403" s="90"/>
      <c r="M2403" s="90"/>
      <c r="N2403" s="90"/>
      <c r="O2403" s="90"/>
      <c r="P2403" s="90"/>
      <c r="Q2403" s="90"/>
      <c r="R2403" s="90"/>
      <c r="S2403" s="91"/>
      <c r="T2403" s="92"/>
      <c r="U2403" s="473"/>
      <c r="W2403" s="438"/>
      <c r="X2403" s="455"/>
      <c r="Y2403" s="439"/>
      <c r="Z2403" s="437"/>
      <c r="AA2403" s="530"/>
      <c r="AB2403" s="563"/>
      <c r="AC2403" s="87"/>
      <c r="AD2403" s="440"/>
      <c r="AE2403" s="441"/>
      <c r="AF2403" s="442"/>
      <c r="AG2403" s="49"/>
      <c r="AH2403" s="87"/>
      <c r="AI2403" s="87"/>
    </row>
    <row r="2404" spans="1:35" ht="16.5" hidden="1" thickBot="1">
      <c r="A2404" s="93"/>
      <c r="B2404" s="94"/>
      <c r="C2404" s="96"/>
      <c r="D2404" s="96"/>
      <c r="E2404" s="96"/>
      <c r="F2404" s="96"/>
      <c r="G2404" s="96"/>
      <c r="H2404" s="96"/>
      <c r="I2404" s="96"/>
      <c r="J2404" s="96"/>
      <c r="K2404" s="96"/>
      <c r="L2404" s="96"/>
      <c r="M2404" s="136"/>
      <c r="N2404" s="96"/>
      <c r="O2404" s="96"/>
      <c r="P2404" s="97"/>
      <c r="Q2404" s="97"/>
      <c r="R2404" s="98"/>
      <c r="S2404" s="95"/>
      <c r="T2404" s="99"/>
      <c r="U2404" s="469"/>
      <c r="AC2404" s="58"/>
      <c r="AG2404" s="58"/>
      <c r="AH2404" s="87"/>
      <c r="AI2404" s="87"/>
    </row>
    <row r="2405" spans="1:35" ht="16.5" hidden="1" thickBot="1">
      <c r="B2405" s="101"/>
      <c r="C2405" s="101"/>
      <c r="D2405" s="101"/>
      <c r="E2405" s="101"/>
      <c r="F2405" s="101"/>
      <c r="G2405" s="101"/>
      <c r="H2405" s="101"/>
      <c r="I2405" s="101"/>
      <c r="J2405" s="101"/>
      <c r="K2405" s="101"/>
      <c r="L2405" s="101"/>
      <c r="M2405" s="101"/>
      <c r="N2405" s="101"/>
      <c r="O2405" s="101"/>
      <c r="P2405" s="101"/>
      <c r="Q2405" s="101"/>
      <c r="R2405" s="101"/>
      <c r="S2405" s="101"/>
      <c r="U2405" s="50"/>
      <c r="AH2405" s="87"/>
      <c r="AI2405" s="87"/>
    </row>
    <row r="2406" spans="1:35" ht="16.5" hidden="1" customHeight="1" thickBot="1">
      <c r="A2406" s="44"/>
      <c r="B2406" s="705" t="s">
        <v>74</v>
      </c>
      <c r="C2406" s="705"/>
      <c r="D2406" s="705"/>
      <c r="E2406" s="705"/>
      <c r="F2406" s="705"/>
      <c r="G2406" s="705"/>
      <c r="H2406" s="705"/>
      <c r="I2406" s="705"/>
      <c r="J2406" s="705"/>
      <c r="K2406" s="705"/>
      <c r="L2406" s="705"/>
      <c r="M2406" s="705"/>
      <c r="N2406" s="705"/>
      <c r="O2406" s="705"/>
      <c r="P2406" s="705"/>
      <c r="Q2406" s="705"/>
      <c r="R2406" s="705"/>
      <c r="S2406" s="705"/>
      <c r="T2406" s="705"/>
      <c r="U2406" s="108"/>
      <c r="Y2406" s="532" t="s">
        <v>341</v>
      </c>
      <c r="AC2406" s="49"/>
      <c r="AD2406" s="687" t="s">
        <v>302</v>
      </c>
      <c r="AE2406" s="688"/>
      <c r="AF2406" s="689"/>
      <c r="AG2406" s="49"/>
      <c r="AH2406" s="87"/>
      <c r="AI2406" s="87"/>
    </row>
    <row r="2407" spans="1:35" ht="15.75" hidden="1" customHeight="1" thickBot="1">
      <c r="A2407" s="218" t="e">
        <f>"K"&amp;E2389</f>
        <v>#N/A</v>
      </c>
      <c r="B2407" s="701" t="s">
        <v>71</v>
      </c>
      <c r="C2407" s="751" t="s">
        <v>102</v>
      </c>
      <c r="D2407" s="751"/>
      <c r="E2407" s="751"/>
      <c r="F2407" s="751"/>
      <c r="G2407" s="751"/>
      <c r="H2407" s="751"/>
      <c r="I2407" s="751"/>
      <c r="J2407" s="751"/>
      <c r="K2407" s="751"/>
      <c r="L2407" s="722" t="s">
        <v>100</v>
      </c>
      <c r="M2407" s="747" t="s">
        <v>114</v>
      </c>
      <c r="N2407" s="747"/>
      <c r="O2407" s="747"/>
      <c r="P2407" s="747"/>
      <c r="Q2407" s="748"/>
      <c r="R2407" s="758" t="s">
        <v>280</v>
      </c>
      <c r="S2407" s="748"/>
      <c r="T2407" s="762" t="str">
        <f>IF(COUNTIF(AE2407:AF2407,"VERIFICAR")&gt;0,"VERIFICAR",IF(COUNTIF(AE2407:AF2407,"NO CUMPLE")&gt;0,"NO CUMPLE","CUMPLE"))</f>
        <v>VERIFICAR</v>
      </c>
      <c r="U2407" s="108"/>
      <c r="Y2407" s="533" t="e">
        <f>IF(F2408="","",IF(F2408=1,"INDIVIDUAL","ESTRUCTURA PLURAL"))</f>
        <v>#N/A</v>
      </c>
      <c r="AC2407" s="52"/>
      <c r="AD2407" s="475" t="s">
        <v>303</v>
      </c>
      <c r="AE2407" s="476" t="str">
        <f>IF(COUNTIF(AE2393:AE2402,"")=10,"VERIFICAR",IF(COUNTIF(AE2393:AE2402,"SI")&gt;0,"CUMPLE","NO CUMPLE"))</f>
        <v>VERIFICAR</v>
      </c>
      <c r="AF2407" s="477" t="str">
        <f>IF(COUNTIF(AF2393:AF2402,"")=10,"VERIFICAR",IF(COUNTIF(AF2393:AF2402,"SI")&gt;=$AI$22,"CUMPLE","NO CUMPLE"))</f>
        <v>VERIFICAR</v>
      </c>
      <c r="AG2407" s="52"/>
      <c r="AH2407" s="87"/>
      <c r="AI2407" s="87"/>
    </row>
    <row r="2408" spans="1:35" ht="16.5" hidden="1" customHeight="1" thickBot="1">
      <c r="A2408" s="218" t="e">
        <f>"L"&amp;E2389</f>
        <v>#N/A</v>
      </c>
      <c r="B2408" s="702"/>
      <c r="C2408" s="751" t="s">
        <v>103</v>
      </c>
      <c r="D2408" s="751"/>
      <c r="E2408" s="752"/>
      <c r="F2408" s="557" t="e">
        <f>IF(VLOOKUP(E2389,PROPONENTES!$C$19:$E$218,3,0)="","",VLOOKUP(E2389,PROPONENTES!$C$19:$E$218,3,0))</f>
        <v>#N/A</v>
      </c>
      <c r="G2408" s="753" t="s">
        <v>104</v>
      </c>
      <c r="H2408" s="751"/>
      <c r="I2408" s="715" t="e">
        <f>IF(OR(F2408="",F2408=1),"INTERESADO PERSONA NATURAL O JURIDICA","CONSORCIO O UNION TEMPORAL")</f>
        <v>#N/A</v>
      </c>
      <c r="J2408" s="725"/>
      <c r="K2408" s="728"/>
      <c r="L2408" s="723"/>
      <c r="M2408" s="749"/>
      <c r="N2408" s="749"/>
      <c r="O2408" s="749"/>
      <c r="P2408" s="749"/>
      <c r="Q2408" s="750"/>
      <c r="R2408" s="712"/>
      <c r="S2408" s="750"/>
      <c r="T2408" s="763"/>
      <c r="U2408" s="108"/>
      <c r="Y2408" s="534"/>
      <c r="AA2408" s="52"/>
      <c r="AB2408" s="52"/>
      <c r="AC2408" s="52"/>
      <c r="AG2408" s="52"/>
      <c r="AH2408" s="87"/>
      <c r="AI2408" s="87"/>
    </row>
    <row r="2409" spans="1:35" ht="56.25" hidden="1" customHeight="1" thickBot="1">
      <c r="A2409" s="218" t="e">
        <f>"M"&amp;E2389</f>
        <v>#N/A</v>
      </c>
      <c r="B2409" s="702"/>
      <c r="C2409" s="725" t="s">
        <v>101</v>
      </c>
      <c r="D2409" s="716"/>
      <c r="E2409" s="558" t="s">
        <v>105</v>
      </c>
      <c r="F2409" s="554" t="s">
        <v>87</v>
      </c>
      <c r="G2409" s="553" t="s">
        <v>86</v>
      </c>
      <c r="H2409" s="559" t="s">
        <v>85</v>
      </c>
      <c r="I2409" s="554" t="s">
        <v>252</v>
      </c>
      <c r="J2409" s="553" t="str">
        <f>"¿EL INTEGRANTE TIENE UNA PARTICIPACIÓN DEL "&amp;PORCREQUERIDOINT*100&amp;"%?"</f>
        <v>¿EL INTEGRANTE TIENE UNA PARTICIPACIÓN DEL 60%?</v>
      </c>
      <c r="K2409" s="554" t="s">
        <v>107</v>
      </c>
      <c r="L2409" s="724"/>
      <c r="M2409" s="717" t="s">
        <v>115</v>
      </c>
      <c r="N2409" s="718"/>
      <c r="O2409" s="718"/>
      <c r="P2409" s="718"/>
      <c r="Q2409" s="223">
        <f>IF(AND(H2393="SI",P2393&gt;=0),1,0)+IF(AND(H2394="SI",P2394&gt;=0),1,0)+IF(AND(H2395="SI",P2395&gt;=0),1,0)+IF(AND(H2396="SI",P2396&gt;=0),1,0)+IF(AND(H2397="SI",P2397&gt;=0),1,0)+IF(AND(H2398="SI",P2398&gt;=0),1,0)+IF(AND(H2399="SI",P2399&gt;=0),1,0)+IF(AND(H2400="SI",P2400&gt;=0),1,0)+IF(AND(H2401="SI",P2401&gt;=0),1,0)+IF(AND(H2402="SI",P2402&gt;=0),1,0)</f>
        <v>0</v>
      </c>
      <c r="R2409" s="759"/>
      <c r="S2409" s="761"/>
      <c r="T2409" s="764"/>
      <c r="U2409" s="219"/>
      <c r="V2409" s="464"/>
      <c r="Y2409" s="532" t="s">
        <v>342</v>
      </c>
      <c r="AA2409" s="550" t="s">
        <v>344</v>
      </c>
      <c r="AB2409" s="693" t="s">
        <v>345</v>
      </c>
      <c r="AC2409" s="693" t="s">
        <v>346</v>
      </c>
      <c r="AD2409" s="685" t="s">
        <v>347</v>
      </c>
      <c r="AE2409" s="52"/>
      <c r="AF2409" s="52"/>
      <c r="AG2409" s="52"/>
      <c r="AH2409" s="87"/>
      <c r="AI2409" s="87"/>
    </row>
    <row r="2410" spans="1:35" ht="15.75" hidden="1" customHeight="1" thickBot="1">
      <c r="A2410" s="218" t="e">
        <f>"N"&amp;E2389</f>
        <v>#N/A</v>
      </c>
      <c r="B2410" s="702"/>
      <c r="C2410" s="114">
        <v>1</v>
      </c>
      <c r="D2410" s="194" t="e">
        <f>IF(AND(C2410&lt;=F2408,F2408&gt;1,F2408&lt;&gt;""),VLOOKUP(VALUE(E2389&amp;","&amp;C2410),INTEGRANTES!$D$18:$F$235,2,0),"")</f>
        <v>#N/A</v>
      </c>
      <c r="E2410" s="211" t="e">
        <f>IF(D2410&lt;&gt;"",VLOOKUP(VALUE(E2389&amp;","&amp;C2410),INTEGRANTES!$D$18:$F$235,3,0),"")</f>
        <v>#N/A</v>
      </c>
      <c r="F2410" s="547" t="e">
        <f>IF(D2410="","",SUMIF($I2393:$I2402,D2410,$P2393:$P2402))</f>
        <v>#N/A</v>
      </c>
      <c r="G2410" s="333" t="e">
        <f>IF(D2410="","",SUMIF($I2393:$I2402,D2410,$M2393:$M2402))</f>
        <v>#N/A</v>
      </c>
      <c r="H2410" s="535" t="e">
        <f t="shared" ref="H2410:H2415" si="704">IF(D2410="","",IF(OR(F2410=0,G2410=0),"NO APORTA",ROUND($F2410/$G2410,3)))</f>
        <v>#N/A</v>
      </c>
      <c r="I2410" s="212" t="e">
        <f>IF(D2410="","",IF(H2410="NO APORTA","NO",IF(H2410=MAX($H2410:$H2415),"SI","NO")))</f>
        <v>#N/A</v>
      </c>
      <c r="J2410" s="213" t="e">
        <f t="shared" ref="J2410:J2415" si="705">IF(D2410="","",IF(E2410&gt;=PORCREQUERIDOINT,"SI","NO"))</f>
        <v>#N/A</v>
      </c>
      <c r="K2410" s="200" t="e">
        <f t="shared" ref="K2410:K2415" si="706">IF(D2410="","",IF(AND(I2410="SI",J2410="SI"),"CUMPLE",IF(AND(I2410="NO",OR(J2410="SI",J2410="NO")),"","NO CUMPLE")))</f>
        <v>#N/A</v>
      </c>
      <c r="L2410" s="722" t="s">
        <v>108</v>
      </c>
      <c r="M2410" s="726" t="s">
        <v>119</v>
      </c>
      <c r="N2410" s="726"/>
      <c r="O2410" s="726"/>
      <c r="P2410" s="726"/>
      <c r="Q2410" s="727"/>
      <c r="R2410" s="758" t="s">
        <v>80</v>
      </c>
      <c r="S2410" s="747"/>
      <c r="T2410" s="748"/>
      <c r="U2410" s="219"/>
      <c r="V2410" s="464"/>
      <c r="Y2410" s="533" t="e">
        <f>IF(Y2407="","",IF(Y2407="INDIVIDUAL","NO APLICA","VERIFICAR CUADRO"))</f>
        <v>#N/A</v>
      </c>
      <c r="AA2410" s="551"/>
      <c r="AB2410" s="694"/>
      <c r="AC2410" s="694"/>
      <c r="AD2410" s="686"/>
      <c r="AE2410" s="52"/>
      <c r="AF2410" s="52"/>
      <c r="AG2410" s="52"/>
      <c r="AH2410" s="87"/>
      <c r="AI2410" s="87"/>
    </row>
    <row r="2411" spans="1:35" ht="27" hidden="1" customHeight="1" thickBot="1">
      <c r="A2411" s="218" t="e">
        <f>"O"&amp;E2389</f>
        <v>#N/A</v>
      </c>
      <c r="B2411" s="702"/>
      <c r="C2411" s="114">
        <v>2</v>
      </c>
      <c r="D2411" s="194" t="e">
        <f>IF(AND(C2411&lt;=F2408,F2408&lt;&gt;""),VLOOKUP(VALUE(E2389&amp;","&amp;C2411),INTEGRANTES!$D$18:$F$235,2,0),"")</f>
        <v>#N/A</v>
      </c>
      <c r="E2411" s="211" t="e">
        <f>IF(D2411&lt;&gt;"",VLOOKUP(VALUE(E2389&amp;","&amp;C2411),INTEGRANTES!$D$18:$F$235,3,0),"")</f>
        <v>#N/A</v>
      </c>
      <c r="F2411" s="547" t="e">
        <f>IF(D2411="","",SUMIF($I2393:$I2402,D2411,$P2393:$P2402))</f>
        <v>#N/A</v>
      </c>
      <c r="G2411" s="333" t="e">
        <f>IF(D2411="","",SUMIF($I2393:$I2402,D2411,$M2393:$M2402))</f>
        <v>#N/A</v>
      </c>
      <c r="H2411" s="535" t="e">
        <f t="shared" si="704"/>
        <v>#N/A</v>
      </c>
      <c r="I2411" s="212" t="e">
        <f>IF(D2411="","",IF(H2411="NO APORTA","NO",IF(H2411=MAX($H2410:$H2415),"SI","NO")))</f>
        <v>#N/A</v>
      </c>
      <c r="J2411" s="213" t="e">
        <f t="shared" si="705"/>
        <v>#N/A</v>
      </c>
      <c r="K2411" s="200" t="e">
        <f t="shared" si="706"/>
        <v>#N/A</v>
      </c>
      <c r="L2411" s="723"/>
      <c r="M2411" s="715" t="s">
        <v>116</v>
      </c>
      <c r="N2411" s="716"/>
      <c r="O2411" s="556" t="s">
        <v>113</v>
      </c>
      <c r="P2411" s="715" t="s">
        <v>117</v>
      </c>
      <c r="Q2411" s="728"/>
      <c r="R2411" s="759"/>
      <c r="S2411" s="760"/>
      <c r="T2411" s="761"/>
      <c r="U2411" s="219"/>
      <c r="V2411" s="464"/>
      <c r="Y2411" s="414"/>
      <c r="AA2411" s="542" t="e">
        <f>IF(AND(C2410&lt;=F2408,F2408&gt;1,F2408&lt;&gt;""),VLOOKUP(VALUE(E2389&amp;","&amp;C2410),INTEGRANTES!$D$18:$F$235,2,0),"")</f>
        <v>#N/A</v>
      </c>
      <c r="AB2411" s="544" t="e">
        <f t="shared" ref="AB2411:AB2416" si="707">IF(D2410="","",IF(OR(F2410=0,G2410=0),"NO APORTA",ROUND($F2410/$G2410,3)))</f>
        <v>#N/A</v>
      </c>
      <c r="AC2411" s="529"/>
      <c r="AD2411" s="200" t="e">
        <f t="shared" ref="AD2411:AD2416" si="708">IF(OR(AA2411="",AB2411=""),"",IF(AND(AC2411="X",AB2411&gt;=EXPREQVTD),"CUMPLE","NO CUMPLE"))</f>
        <v>#N/A</v>
      </c>
      <c r="AE2411" s="52"/>
      <c r="AF2411" s="52"/>
      <c r="AG2411" s="52"/>
      <c r="AH2411" s="87"/>
      <c r="AI2411" s="87"/>
    </row>
    <row r="2412" spans="1:35" ht="16.5" hidden="1" thickBot="1">
      <c r="A2412" s="218" t="e">
        <f>"P"&amp;E2389</f>
        <v>#N/A</v>
      </c>
      <c r="B2412" s="702"/>
      <c r="C2412" s="114">
        <v>3</v>
      </c>
      <c r="D2412" s="194" t="e">
        <f>IF(AND(C2412&lt;=F2408,F2408&lt;&gt;""),VLOOKUP(VALUE(E2389&amp;","&amp;C2412),INTEGRANTES!$D$18:$F$235,2,0),"")</f>
        <v>#N/A</v>
      </c>
      <c r="E2412" s="211" t="e">
        <f>IF(D2412&lt;&gt;"",VLOOKUP(VALUE(E2389&amp;","&amp;C2412),INTEGRANTES!$D$18:$F$235,3,0),"")</f>
        <v>#N/A</v>
      </c>
      <c r="F2412" s="547" t="e">
        <f>IF(D2412="","",SUMIF($I2393:$I2402,D2412,$P2393:$P2402))</f>
        <v>#N/A</v>
      </c>
      <c r="G2412" s="333" t="e">
        <f>IF(D2412="","",SUMIF($I2393:$I2402,D2412,$M2393:$M2402))</f>
        <v>#N/A</v>
      </c>
      <c r="H2412" s="535" t="e">
        <f t="shared" si="704"/>
        <v>#N/A</v>
      </c>
      <c r="I2412" s="212" t="e">
        <f>IF(D2412="","",IF(H2412="NO APORTA","NO",IF(H2412=MAX($H2410:$H2415),"SI","NO")))</f>
        <v>#N/A</v>
      </c>
      <c r="J2412" s="213" t="e">
        <f t="shared" si="705"/>
        <v>#N/A</v>
      </c>
      <c r="K2412" s="200" t="e">
        <f t="shared" si="706"/>
        <v>#N/A</v>
      </c>
      <c r="L2412" s="724"/>
      <c r="M2412" s="729">
        <f>NUMMOD</f>
        <v>1</v>
      </c>
      <c r="N2412" s="730"/>
      <c r="O2412" s="443">
        <f>IF(M2412="","",VLOOKUP(M2412,PRESUPUESTOS!$B$16:$H$16,5,FALSE))</f>
        <v>2</v>
      </c>
      <c r="P2412" s="713">
        <f>IF(OR(COUNTIF(M2393:M2402,"")&gt;=10,Q2409&lt;NUMMINCONT,OR(T2407="NO CUMPLE",T2407="VERIFICAR")),0,ROUND(AVERAGE(M2393:M2402),3))</f>
        <v>0</v>
      </c>
      <c r="Q2412" s="714"/>
      <c r="R2412" s="458"/>
      <c r="S2412" s="459"/>
      <c r="T2412" s="460"/>
      <c r="U2412" s="219"/>
      <c r="V2412" s="464"/>
      <c r="Y2412" s="532" t="str">
        <f>"40% * ("&amp;PRESUPUESTOS!$H$13&amp;")"</f>
        <v>40% * (50% PFMO)</v>
      </c>
      <c r="AA2412" s="540" t="e">
        <f>IF(AND(C2411&lt;=F2408,F2408&lt;&gt;""),VLOOKUP(VALUE(E2389&amp;","&amp;C2411),INTEGRANTES!$D$18:$F$235,2,0),"")</f>
        <v>#N/A</v>
      </c>
      <c r="AB2412" s="545" t="e">
        <f t="shared" si="707"/>
        <v>#N/A</v>
      </c>
      <c r="AC2412" s="529"/>
      <c r="AD2412" s="200" t="e">
        <f t="shared" si="708"/>
        <v>#N/A</v>
      </c>
      <c r="AE2412" s="52"/>
      <c r="AF2412" s="52"/>
      <c r="AG2412" s="52"/>
      <c r="AH2412" s="87"/>
      <c r="AI2412" s="87"/>
    </row>
    <row r="2413" spans="1:35" ht="15.75" hidden="1" customHeight="1" thickBot="1">
      <c r="A2413" s="218" t="e">
        <f>"Q"&amp;E2389</f>
        <v>#N/A</v>
      </c>
      <c r="B2413" s="702"/>
      <c r="C2413" s="114">
        <v>4</v>
      </c>
      <c r="D2413" s="194" t="e">
        <f>IF(AND(C2413&lt;=F2408,F2408&lt;&gt;""),VLOOKUP(VALUE(E2389&amp;","&amp;C2413),INTEGRANTES!$D$18:$F$235,2,0),"")</f>
        <v>#N/A</v>
      </c>
      <c r="E2413" s="211" t="e">
        <f>IF(D2413&lt;&gt;"",VLOOKUP(VALUE(E2389&amp;","&amp;C2413),INTEGRANTES!$D$18:$F$235,3,0),"")</f>
        <v>#N/A</v>
      </c>
      <c r="F2413" s="547" t="e">
        <f>IF(D2413="","",SUMIF($I2393:$I2402,D2413,$P2393:$P2402))</f>
        <v>#N/A</v>
      </c>
      <c r="G2413" s="333" t="e">
        <f>IF(D2413="","",SUMIF($I2393:$I2402,D2413,$M2393:$M2402))</f>
        <v>#N/A</v>
      </c>
      <c r="H2413" s="535" t="e">
        <f t="shared" si="704"/>
        <v>#N/A</v>
      </c>
      <c r="I2413" s="212" t="e">
        <f>IF(D2413="","",IF(H2413="NO APORTA","NO",IF(H2413=MAX($H2410:$H2415),"SI","NO")))</f>
        <v>#N/A</v>
      </c>
      <c r="J2413" s="213" t="e">
        <f t="shared" si="705"/>
        <v>#N/A</v>
      </c>
      <c r="K2413" s="200" t="e">
        <f t="shared" si="706"/>
        <v>#N/A</v>
      </c>
      <c r="L2413" s="720" t="s">
        <v>109</v>
      </c>
      <c r="M2413" s="757" t="s">
        <v>120</v>
      </c>
      <c r="N2413" s="726"/>
      <c r="O2413" s="726"/>
      <c r="P2413" s="726"/>
      <c r="Q2413" s="727"/>
      <c r="R2413" s="458"/>
      <c r="S2413" s="459"/>
      <c r="T2413" s="460"/>
      <c r="U2413" s="219"/>
      <c r="V2413" s="464"/>
      <c r="Y2413" s="537">
        <f>0.4*PRESUPUESTOS!$H$16</f>
        <v>10.3124</v>
      </c>
      <c r="AA2413" s="540" t="e">
        <f>IF(AND(C2412&lt;=F2408,F2408&lt;&gt;""),VLOOKUP(VALUE(E2389&amp;","&amp;C2412),INTEGRANTES!$D$18:$F$235,2,0),"")</f>
        <v>#N/A</v>
      </c>
      <c r="AB2413" s="545" t="e">
        <f t="shared" si="707"/>
        <v>#N/A</v>
      </c>
      <c r="AC2413" s="529"/>
      <c r="AD2413" s="200" t="e">
        <f t="shared" si="708"/>
        <v>#N/A</v>
      </c>
      <c r="AE2413" s="52"/>
      <c r="AF2413" s="52"/>
      <c r="AG2413" s="52"/>
      <c r="AH2413" s="87"/>
      <c r="AI2413" s="87"/>
    </row>
    <row r="2414" spans="1:35" ht="27" hidden="1" customHeight="1" thickBot="1">
      <c r="A2414" s="218" t="e">
        <f>"R"&amp;E2389</f>
        <v>#N/A</v>
      </c>
      <c r="B2414" s="702"/>
      <c r="C2414" s="114">
        <v>5</v>
      </c>
      <c r="D2414" s="194" t="e">
        <f>IF(AND(C2414&lt;=F2408,F2408&lt;&gt;""),VLOOKUP(VALUE(E2389&amp;","&amp;C2414),INTEGRANTES!$D$18:$F$235,2,0),"")</f>
        <v>#N/A</v>
      </c>
      <c r="E2414" s="211" t="e">
        <f>IF(D2414&lt;&gt;"",VLOOKUP(VALUE(E2389&amp;","&amp;C2414),INTEGRANTES!$D$18:$F$235,3,0),"")</f>
        <v>#N/A</v>
      </c>
      <c r="F2414" s="547" t="e">
        <f>IF(D2414="","",SUMIF($I2393:$I2402,D2414,$P2393:$P2402))</f>
        <v>#N/A</v>
      </c>
      <c r="G2414" s="333" t="e">
        <f>IF(D2414="","",SUMIF($I2393:$I2402,D2414,$M2393:$M2402))</f>
        <v>#N/A</v>
      </c>
      <c r="H2414" s="535" t="e">
        <f t="shared" si="704"/>
        <v>#N/A</v>
      </c>
      <c r="I2414" s="212" t="e">
        <f>IF(D2414="","",IF(H2414="NO APORTA","NO",IF(H2414=MAX($H2410:$H2415),"SI","NO")))</f>
        <v>#N/A</v>
      </c>
      <c r="J2414" s="213" t="e">
        <f t="shared" si="705"/>
        <v>#N/A</v>
      </c>
      <c r="K2414" s="200" t="e">
        <f t="shared" si="706"/>
        <v>#N/A</v>
      </c>
      <c r="L2414" s="721"/>
      <c r="M2414" s="715" t="s">
        <v>116</v>
      </c>
      <c r="N2414" s="716"/>
      <c r="O2414" s="556" t="str">
        <f>PORCREQUERIDO*100&amp;"% PMFO DEL MÓDULO"</f>
        <v>50% PMFO DEL MÓDULO</v>
      </c>
      <c r="P2414" s="715" t="s">
        <v>118</v>
      </c>
      <c r="Q2414" s="728"/>
      <c r="R2414" s="458"/>
      <c r="S2414" s="459"/>
      <c r="T2414" s="460"/>
      <c r="U2414" s="219"/>
      <c r="V2414" s="464"/>
      <c r="Y2414" s="414"/>
      <c r="AA2414" s="540" t="e">
        <f>IF(AND(C2413&lt;=F2408,F2408&lt;&gt;""),VLOOKUP(VALUE(E2389&amp;","&amp;C2413),INTEGRANTES!$D$18:$F$235,2,0),"")</f>
        <v>#N/A</v>
      </c>
      <c r="AB2414" s="545" t="e">
        <f t="shared" si="707"/>
        <v>#N/A</v>
      </c>
      <c r="AC2414" s="529"/>
      <c r="AD2414" s="200" t="e">
        <f t="shared" si="708"/>
        <v>#N/A</v>
      </c>
      <c r="AE2414" s="52"/>
      <c r="AF2414" s="52"/>
      <c r="AG2414" s="52"/>
      <c r="AH2414" s="87"/>
      <c r="AI2414" s="87"/>
    </row>
    <row r="2415" spans="1:35" ht="16.5" hidden="1" thickBot="1">
      <c r="A2415" s="218" t="e">
        <f>"S"&amp;E2389</f>
        <v>#N/A</v>
      </c>
      <c r="B2415" s="702"/>
      <c r="C2415" s="215">
        <v>6</v>
      </c>
      <c r="D2415" s="216" t="e">
        <f>IF(AND(C2415&lt;=F2408,F2408&lt;&gt;""),VLOOKUP(VALUE(E2389&amp;","&amp;C2415),INTEGRANTES!$D$18:$F$235,2,0),"")</f>
        <v>#N/A</v>
      </c>
      <c r="E2415" s="217" t="e">
        <f>IF(D2415&lt;&gt;"",VLOOKUP(VALUE(E2389&amp;","&amp;C2415),INTEGRANTES!$D$18:$F$235,3,0),"")</f>
        <v>#N/A</v>
      </c>
      <c r="F2415" s="548" t="e">
        <f>IF(D2415="","",SUMIF($I2393:$I2402,D2415,$P2393:$P2402))</f>
        <v>#N/A</v>
      </c>
      <c r="G2415" s="334" t="e">
        <f>IF(D2415="","",SUMIF($I2393:$I2402,D2415,$M2393:$M2402))</f>
        <v>#N/A</v>
      </c>
      <c r="H2415" s="536" t="e">
        <f t="shared" si="704"/>
        <v>#N/A</v>
      </c>
      <c r="I2415" s="214" t="e">
        <f>IF(D2415="","",IF(H2415="NO APORTA","NO",IF(H2415=MAX($H2410:$H2415),"SI","NO")))</f>
        <v>#N/A</v>
      </c>
      <c r="J2415" s="213" t="e">
        <f t="shared" si="705"/>
        <v>#N/A</v>
      </c>
      <c r="K2415" s="200" t="e">
        <f t="shared" si="706"/>
        <v>#N/A</v>
      </c>
      <c r="L2415" s="721"/>
      <c r="M2415" s="729">
        <f>NUMMOD</f>
        <v>1</v>
      </c>
      <c r="N2415" s="730"/>
      <c r="O2415" s="443">
        <f>IF(M2415="","",ROUND(VLOOKUP(M2415,PRESUPUESTOS!$B$16:$H$16,7,FALSE),3))</f>
        <v>25.780999999999999</v>
      </c>
      <c r="P2415" s="713">
        <f>IF(OR(COUNTIF(P2393:P2402,"")&gt;=10,Q2409&lt;NUMMINCONT,OR(T2407="NO CUMPLE",T2407="VERIFICAR")),0,ROUND((SUM(P2393:P2402)/SUM(M2393:M2402)),3))</f>
        <v>0</v>
      </c>
      <c r="Q2415" s="714"/>
      <c r="R2415" s="458"/>
      <c r="S2415" s="459"/>
      <c r="T2415" s="460"/>
      <c r="U2415" s="219"/>
      <c r="V2415" s="464"/>
      <c r="Y2415" s="532" t="s">
        <v>343</v>
      </c>
      <c r="AA2415" s="540" t="e">
        <f>IF(AND(C2414&lt;=F2408,F2408&lt;&gt;""),VLOOKUP(VALUE(E2389&amp;","&amp;C2414),INTEGRANTES!$D$18:$F$235,2,0),"")</f>
        <v>#N/A</v>
      </c>
      <c r="AB2415" s="545" t="e">
        <f t="shared" si="707"/>
        <v>#N/A</v>
      </c>
      <c r="AC2415" s="529"/>
      <c r="AD2415" s="200" t="e">
        <f t="shared" si="708"/>
        <v>#N/A</v>
      </c>
      <c r="AE2415" s="52"/>
      <c r="AF2415" s="52"/>
      <c r="AG2415" s="52"/>
      <c r="AH2415" s="87"/>
      <c r="AI2415" s="87"/>
    </row>
    <row r="2416" spans="1:35" ht="16.5" hidden="1" customHeight="1" thickBot="1">
      <c r="A2416" s="218" t="e">
        <f>"T"&amp;E2389</f>
        <v>#N/A</v>
      </c>
      <c r="B2416" s="703"/>
      <c r="C2416" s="719"/>
      <c r="D2416" s="719"/>
      <c r="E2416" s="719"/>
      <c r="F2416" s="719"/>
      <c r="G2416" s="719"/>
      <c r="H2416" s="719" t="s">
        <v>110</v>
      </c>
      <c r="I2416" s="719"/>
      <c r="J2416" s="719"/>
      <c r="K2416" s="201" t="str">
        <f>IF(COUNTIF(K2410:K2415,"")=6,"",IF(COUNTIF(K2410:K2415,"CUMPLE")&gt;0,"CUMPLE","NO CUMPLE"))</f>
        <v>NO CUMPLE</v>
      </c>
      <c r="L2416" s="754"/>
      <c r="M2416" s="755"/>
      <c r="N2416" s="755"/>
      <c r="O2416" s="755"/>
      <c r="P2416" s="755"/>
      <c r="Q2416" s="756"/>
      <c r="R2416" s="461"/>
      <c r="S2416" s="462"/>
      <c r="T2416" s="463"/>
      <c r="U2416" s="219"/>
      <c r="V2416" s="464"/>
      <c r="Y2416" s="549" t="e">
        <f>IF(Y2410="NO APLICA","NO APLICA",IF(COUNTIF(AD2411:AD2416,"CUMPLE")&gt;0,"CUMPLE","NO CUMPLE"))</f>
        <v>#N/A</v>
      </c>
      <c r="AA2416" s="541" t="e">
        <f>IF(AND(C2415&lt;=F2408,F2408&lt;&gt;""),VLOOKUP(VALUE(E2389&amp;","&amp;C2415),INTEGRANTES!$D$18:$F$235,2,0),"")</f>
        <v>#N/A</v>
      </c>
      <c r="AB2416" s="546" t="e">
        <f t="shared" si="707"/>
        <v>#N/A</v>
      </c>
      <c r="AC2416" s="543"/>
      <c r="AD2416" s="201" t="e">
        <f t="shared" si="708"/>
        <v>#N/A</v>
      </c>
      <c r="AE2416" s="52"/>
      <c r="AF2416" s="52"/>
      <c r="AG2416" s="52"/>
      <c r="AH2416" s="87"/>
      <c r="AI2416" s="87"/>
    </row>
    <row r="2417" spans="1:35" hidden="1">
      <c r="AH2417" s="87"/>
      <c r="AI2417" s="87"/>
    </row>
    <row r="2418" spans="1:35" hidden="1">
      <c r="AH2418" s="87"/>
      <c r="AI2418" s="87"/>
    </row>
    <row r="2419" spans="1:35" ht="24" hidden="1" thickBot="1">
      <c r="A2419" s="61">
        <v>81</v>
      </c>
      <c r="B2419" s="704" t="s">
        <v>51</v>
      </c>
      <c r="C2419" s="704"/>
      <c r="D2419" s="704"/>
      <c r="E2419" s="62" t="e">
        <f>VLOOKUP(A2419,PROPONENTES!$B$19:$E$218,2,FALSE)</f>
        <v>#N/A</v>
      </c>
      <c r="F2419" s="63" t="e">
        <f>VLOOKUP(A2419,PROPONENTES!$B$19:$E$218,3,FALSE)</f>
        <v>#N/A</v>
      </c>
      <c r="G2419" s="64"/>
      <c r="H2419" s="64"/>
      <c r="I2419" s="63"/>
      <c r="J2419" s="63"/>
      <c r="K2419" s="65"/>
      <c r="L2419" s="65"/>
      <c r="M2419" s="64"/>
      <c r="N2419" s="64"/>
      <c r="O2419" s="66"/>
      <c r="P2419" s="66"/>
      <c r="Q2419" s="66"/>
      <c r="R2419" s="66"/>
      <c r="S2419" s="67"/>
      <c r="T2419" s="68"/>
      <c r="U2419" s="68"/>
      <c r="AC2419" s="68"/>
      <c r="AD2419" s="68"/>
      <c r="AE2419" s="68"/>
      <c r="AF2419" s="68"/>
      <c r="AG2419" s="68"/>
      <c r="AH2419" s="87"/>
      <c r="AI2419" s="87"/>
    </row>
    <row r="2420" spans="1:35" ht="15.75" hidden="1" customHeight="1">
      <c r="A2420" s="44"/>
      <c r="B2420" s="709" t="s">
        <v>59</v>
      </c>
      <c r="C2420" s="552" t="s">
        <v>60</v>
      </c>
      <c r="D2420" s="70" t="s">
        <v>17</v>
      </c>
      <c r="E2420" s="70"/>
      <c r="F2420" s="70" t="s">
        <v>61</v>
      </c>
      <c r="G2420" s="71"/>
      <c r="H2420" s="699" t="s">
        <v>62</v>
      </c>
      <c r="I2420" s="699" t="s">
        <v>18</v>
      </c>
      <c r="J2420" s="699" t="s">
        <v>63</v>
      </c>
      <c r="K2420" s="699" t="s">
        <v>64</v>
      </c>
      <c r="L2420" s="699" t="s">
        <v>65</v>
      </c>
      <c r="M2420" s="743" t="s">
        <v>66</v>
      </c>
      <c r="N2420" s="699" t="s">
        <v>282</v>
      </c>
      <c r="O2420" s="745" t="s">
        <v>67</v>
      </c>
      <c r="P2420" s="746"/>
      <c r="Q2420" s="102" t="s">
        <v>75</v>
      </c>
      <c r="R2420" s="731" t="s">
        <v>22</v>
      </c>
      <c r="S2420" s="732"/>
      <c r="T2420" s="733"/>
      <c r="U2420" s="712" t="s">
        <v>298</v>
      </c>
      <c r="W2420" s="690" t="s">
        <v>268</v>
      </c>
      <c r="X2420" s="691"/>
      <c r="Y2420" s="692"/>
      <c r="Z2420" s="428"/>
      <c r="AA2420" s="697" t="s">
        <v>315</v>
      </c>
      <c r="AB2420" s="695" t="s">
        <v>322</v>
      </c>
      <c r="AC2420" s="49"/>
      <c r="AD2420" s="690" t="s">
        <v>297</v>
      </c>
      <c r="AE2420" s="691"/>
      <c r="AF2420" s="692"/>
      <c r="AG2420" s="49"/>
      <c r="AH2420" s="87"/>
      <c r="AI2420" s="87"/>
    </row>
    <row r="2421" spans="1:35" ht="72" hidden="1">
      <c r="A2421" s="44"/>
      <c r="B2421" s="710"/>
      <c r="C2421" s="553" t="s">
        <v>68</v>
      </c>
      <c r="D2421" s="73" t="s">
        <v>3</v>
      </c>
      <c r="E2421" s="73" t="s">
        <v>19</v>
      </c>
      <c r="F2421" s="73" t="s">
        <v>69</v>
      </c>
      <c r="G2421" s="74" t="s">
        <v>70</v>
      </c>
      <c r="H2421" s="700"/>
      <c r="I2421" s="700"/>
      <c r="J2421" s="700"/>
      <c r="K2421" s="700"/>
      <c r="L2421" s="700"/>
      <c r="M2421" s="744"/>
      <c r="N2421" s="700"/>
      <c r="O2421" s="553" t="s">
        <v>279</v>
      </c>
      <c r="P2421" s="73" t="s">
        <v>88</v>
      </c>
      <c r="Q2421" s="555" t="s">
        <v>76</v>
      </c>
      <c r="R2421" s="734"/>
      <c r="S2421" s="735"/>
      <c r="T2421" s="736"/>
      <c r="U2421" s="712"/>
      <c r="W2421" s="429" t="s">
        <v>269</v>
      </c>
      <c r="X2421" s="457" t="s">
        <v>278</v>
      </c>
      <c r="Y2421" s="430" t="s">
        <v>324</v>
      </c>
      <c r="Z2421" s="428"/>
      <c r="AA2421" s="698"/>
      <c r="AB2421" s="696"/>
      <c r="AC2421" s="49"/>
      <c r="AD2421" s="429" t="s">
        <v>292</v>
      </c>
      <c r="AE2421" s="431" t="s">
        <v>300</v>
      </c>
      <c r="AF2421" s="468" t="s">
        <v>301</v>
      </c>
      <c r="AG2421" s="49"/>
      <c r="AH2421" s="87"/>
      <c r="AI2421" s="87"/>
    </row>
    <row r="2422" spans="1:35" hidden="1">
      <c r="A2422" s="44"/>
      <c r="B2422" s="76"/>
      <c r="C2422" s="77"/>
      <c r="D2422" s="77"/>
      <c r="E2422" s="77"/>
      <c r="F2422" s="77"/>
      <c r="G2422" s="77"/>
      <c r="H2422" s="77"/>
      <c r="I2422" s="77"/>
      <c r="J2422" s="77"/>
      <c r="K2422" s="77"/>
      <c r="L2422" s="77"/>
      <c r="M2422" s="77"/>
      <c r="N2422" s="77"/>
      <c r="O2422" s="77"/>
      <c r="P2422" s="77"/>
      <c r="Q2422" s="77"/>
      <c r="R2422" s="77"/>
      <c r="S2422" s="78"/>
      <c r="T2422" s="79"/>
      <c r="U2422" s="109"/>
      <c r="V2422" s="49"/>
      <c r="W2422" s="432"/>
      <c r="X2422" s="454"/>
      <c r="Y2422" s="433"/>
      <c r="Z2422" s="6"/>
      <c r="AA2422" s="500"/>
      <c r="AB2422" s="562"/>
      <c r="AC2422" s="49"/>
      <c r="AD2422" s="210"/>
      <c r="AE2422" s="434"/>
      <c r="AF2422" s="435"/>
      <c r="AG2422" s="49"/>
      <c r="AH2422" s="87"/>
      <c r="AI2422" s="87"/>
    </row>
    <row r="2423" spans="1:35" hidden="1">
      <c r="A2423" s="80" t="e">
        <f>"A"&amp;E2419</f>
        <v>#N/A</v>
      </c>
      <c r="B2423" s="81">
        <v>1</v>
      </c>
      <c r="C2423" s="82"/>
      <c r="D2423" s="82"/>
      <c r="E2423" s="82"/>
      <c r="F2423" s="82"/>
      <c r="G2423" s="83"/>
      <c r="H2423" s="83"/>
      <c r="I2423" s="84"/>
      <c r="J2423" s="85"/>
      <c r="K2423" s="382"/>
      <c r="L2423" s="85"/>
      <c r="M2423" s="332" t="str">
        <f t="shared" ref="M2423:M2432" si="709">IF(OR(J2423="",L2423="",H2423="NO"),"",IF(OR(J2423&gt;$P$17,J2423&lt;$O$17,L2423&gt;$P$17,AND(J2423&lt;$O$17,L2423&lt;$O$17)),"FUERA DE RANGO",IF(OR(K2423="---",K2423=""),IF(J2423&gt;=$O$17,ROUND((L2423-J2423+1)/360*12,3),ROUND((L2423-$O$17+1)/360*12,3)),IF(J2423&gt;=$O$17,ROUND((L2423-J2423+1)/360*12-ROUND(K2423,3),3),ROUND((L2423-$O$17+1)/360*12-ROUND(K2423,3),3)))))</f>
        <v/>
      </c>
      <c r="N2423" s="86"/>
      <c r="O2423" s="453" t="str">
        <f>IF(OR(G2423="",N2423=""),"",N2423*G2423)</f>
        <v/>
      </c>
      <c r="P2423" s="538" t="str">
        <f>IF(OR(H2423="",M2423="FUERA DE RANGO"),"",IF(OR(L2423&lt;$O$17,L2423&gt;$P$17,L2423="",H2423="NO"),"",IF(OR(N2423="",O2423=""),"",ROUND(O2423,3))))</f>
        <v/>
      </c>
      <c r="Q2423" s="539" t="str">
        <f t="shared" ref="Q2423:Q2432" si="710">IF(AND(H2423="SI",P2423&lt;&gt;""),ROUND(P2423/M2423,3),"")</f>
        <v/>
      </c>
      <c r="R2423" s="737"/>
      <c r="S2423" s="738"/>
      <c r="T2423" s="739"/>
      <c r="U2423" s="470"/>
      <c r="V2423" s="165"/>
      <c r="W2423" s="446"/>
      <c r="X2423" s="456"/>
      <c r="Y2423" s="436"/>
      <c r="Z2423" s="437"/>
      <c r="AA2423" s="560"/>
      <c r="AB2423" s="561"/>
      <c r="AC2423" s="87"/>
      <c r="AD2423" s="466"/>
      <c r="AE2423" s="456"/>
      <c r="AF2423" s="467"/>
      <c r="AG2423" s="87"/>
      <c r="AH2423" s="87"/>
      <c r="AI2423" s="87"/>
    </row>
    <row r="2424" spans="1:35" hidden="1">
      <c r="A2424" s="80" t="e">
        <f>"B"&amp;E2419</f>
        <v>#N/A</v>
      </c>
      <c r="B2424" s="81">
        <v>2</v>
      </c>
      <c r="C2424" s="106"/>
      <c r="D2424" s="106"/>
      <c r="E2424" s="106"/>
      <c r="F2424" s="106"/>
      <c r="G2424" s="83"/>
      <c r="H2424" s="83"/>
      <c r="I2424" s="84"/>
      <c r="J2424" s="85"/>
      <c r="K2424" s="382"/>
      <c r="L2424" s="85"/>
      <c r="M2424" s="332" t="str">
        <f t="shared" si="709"/>
        <v/>
      </c>
      <c r="N2424" s="86"/>
      <c r="O2424" s="453" t="str">
        <f t="shared" ref="O2424:O2432" si="711">IF(OR(G2424="",N2424=""),"",N2424*G2424)</f>
        <v/>
      </c>
      <c r="P2424" s="538" t="str">
        <f t="shared" ref="P2424:P2432" si="712">IF(OR(H2424="",M2424="FUERA DE RANGO"),"",IF(OR(L2424&lt;$O$17,L2424&gt;$P$17,L2424="",H2424="NO"),"",IF(OR(N2424="",O2424=""),"",ROUND(O2424,3))))</f>
        <v/>
      </c>
      <c r="Q2424" s="539" t="str">
        <f t="shared" si="710"/>
        <v/>
      </c>
      <c r="R2424" s="740"/>
      <c r="S2424" s="741"/>
      <c r="T2424" s="742"/>
      <c r="U2424" s="471"/>
      <c r="V2424" s="165"/>
      <c r="W2424" s="446"/>
      <c r="X2424" s="456"/>
      <c r="Y2424" s="436"/>
      <c r="Z2424" s="437"/>
      <c r="AA2424" s="560"/>
      <c r="AB2424" s="561"/>
      <c r="AC2424" s="87"/>
      <c r="AD2424" s="466"/>
      <c r="AE2424" s="456"/>
      <c r="AF2424" s="467"/>
      <c r="AG2424" s="87"/>
      <c r="AH2424" s="87"/>
      <c r="AI2424" s="87"/>
    </row>
    <row r="2425" spans="1:35" hidden="1">
      <c r="A2425" s="80" t="e">
        <f>"C"&amp;E2419</f>
        <v>#N/A</v>
      </c>
      <c r="B2425" s="88">
        <v>3</v>
      </c>
      <c r="C2425" s="82"/>
      <c r="D2425" s="82"/>
      <c r="E2425" s="82"/>
      <c r="F2425" s="82"/>
      <c r="G2425" s="83"/>
      <c r="H2425" s="83"/>
      <c r="I2425" s="84"/>
      <c r="J2425" s="85"/>
      <c r="K2425" s="382"/>
      <c r="L2425" s="85"/>
      <c r="M2425" s="332" t="str">
        <f t="shared" si="709"/>
        <v/>
      </c>
      <c r="N2425" s="86"/>
      <c r="O2425" s="453" t="str">
        <f t="shared" si="711"/>
        <v/>
      </c>
      <c r="P2425" s="538" t="str">
        <f t="shared" si="712"/>
        <v/>
      </c>
      <c r="Q2425" s="539" t="str">
        <f t="shared" si="710"/>
        <v/>
      </c>
      <c r="R2425" s="706"/>
      <c r="S2425" s="707"/>
      <c r="T2425" s="708"/>
      <c r="U2425" s="472"/>
      <c r="V2425" s="166"/>
      <c r="W2425" s="446"/>
      <c r="X2425" s="456"/>
      <c r="Y2425" s="436"/>
      <c r="Z2425" s="437"/>
      <c r="AA2425" s="560"/>
      <c r="AB2425" s="561"/>
      <c r="AC2425" s="87"/>
      <c r="AD2425" s="466"/>
      <c r="AE2425" s="456"/>
      <c r="AF2425" s="467"/>
      <c r="AG2425" s="87"/>
      <c r="AH2425" s="87"/>
      <c r="AI2425" s="87"/>
    </row>
    <row r="2426" spans="1:35" hidden="1">
      <c r="A2426" s="80" t="e">
        <f>"D"&amp;E2419</f>
        <v>#N/A</v>
      </c>
      <c r="B2426" s="105">
        <v>4</v>
      </c>
      <c r="C2426" s="107"/>
      <c r="D2426" s="107"/>
      <c r="E2426" s="107"/>
      <c r="F2426" s="107"/>
      <c r="G2426" s="83"/>
      <c r="H2426" s="83"/>
      <c r="I2426" s="84"/>
      <c r="J2426" s="85"/>
      <c r="K2426" s="382"/>
      <c r="L2426" s="85"/>
      <c r="M2426" s="332" t="str">
        <f t="shared" si="709"/>
        <v/>
      </c>
      <c r="N2426" s="86"/>
      <c r="O2426" s="453" t="str">
        <f t="shared" si="711"/>
        <v/>
      </c>
      <c r="P2426" s="538" t="str">
        <f t="shared" si="712"/>
        <v/>
      </c>
      <c r="Q2426" s="539" t="str">
        <f t="shared" si="710"/>
        <v/>
      </c>
      <c r="R2426" s="706"/>
      <c r="S2426" s="707"/>
      <c r="T2426" s="708"/>
      <c r="U2426" s="472"/>
      <c r="V2426" s="166"/>
      <c r="W2426" s="446"/>
      <c r="X2426" s="456"/>
      <c r="Y2426" s="436"/>
      <c r="Z2426" s="437"/>
      <c r="AA2426" s="560"/>
      <c r="AB2426" s="561"/>
      <c r="AC2426" s="87"/>
      <c r="AD2426" s="466"/>
      <c r="AE2426" s="456"/>
      <c r="AF2426" s="467"/>
      <c r="AG2426" s="87"/>
      <c r="AH2426" s="87"/>
      <c r="AI2426" s="87"/>
    </row>
    <row r="2427" spans="1:35" hidden="1">
      <c r="A2427" s="80" t="e">
        <f>"E"&amp;E2419</f>
        <v>#N/A</v>
      </c>
      <c r="B2427" s="105">
        <v>5</v>
      </c>
      <c r="C2427" s="107"/>
      <c r="D2427" s="107"/>
      <c r="E2427" s="107"/>
      <c r="F2427" s="107"/>
      <c r="G2427" s="83"/>
      <c r="H2427" s="83"/>
      <c r="I2427" s="84"/>
      <c r="J2427" s="85"/>
      <c r="K2427" s="382"/>
      <c r="L2427" s="85"/>
      <c r="M2427" s="332" t="str">
        <f t="shared" si="709"/>
        <v/>
      </c>
      <c r="N2427" s="86"/>
      <c r="O2427" s="453" t="str">
        <f t="shared" si="711"/>
        <v/>
      </c>
      <c r="P2427" s="538" t="str">
        <f t="shared" si="712"/>
        <v/>
      </c>
      <c r="Q2427" s="539" t="str">
        <f t="shared" si="710"/>
        <v/>
      </c>
      <c r="R2427" s="706"/>
      <c r="S2427" s="707"/>
      <c r="T2427" s="708"/>
      <c r="U2427" s="472"/>
      <c r="V2427" s="167"/>
      <c r="W2427" s="446"/>
      <c r="X2427" s="456"/>
      <c r="Y2427" s="436"/>
      <c r="Z2427" s="437"/>
      <c r="AA2427" s="560"/>
      <c r="AB2427" s="561"/>
      <c r="AC2427" s="87"/>
      <c r="AD2427" s="466"/>
      <c r="AE2427" s="456"/>
      <c r="AF2427" s="467"/>
      <c r="AG2427" s="87"/>
      <c r="AH2427" s="87"/>
      <c r="AI2427" s="87"/>
    </row>
    <row r="2428" spans="1:35" hidden="1">
      <c r="A2428" s="80" t="e">
        <f>"F"&amp;E2419</f>
        <v>#N/A</v>
      </c>
      <c r="B2428" s="105">
        <v>6</v>
      </c>
      <c r="C2428" s="107"/>
      <c r="D2428" s="107"/>
      <c r="E2428" s="107"/>
      <c r="F2428" s="107"/>
      <c r="G2428" s="83"/>
      <c r="H2428" s="83"/>
      <c r="I2428" s="84"/>
      <c r="J2428" s="85"/>
      <c r="K2428" s="382"/>
      <c r="L2428" s="85"/>
      <c r="M2428" s="332" t="str">
        <f t="shared" si="709"/>
        <v/>
      </c>
      <c r="N2428" s="86"/>
      <c r="O2428" s="453" t="str">
        <f t="shared" si="711"/>
        <v/>
      </c>
      <c r="P2428" s="538" t="str">
        <f t="shared" si="712"/>
        <v/>
      </c>
      <c r="Q2428" s="539" t="str">
        <f t="shared" si="710"/>
        <v/>
      </c>
      <c r="R2428" s="706"/>
      <c r="S2428" s="707"/>
      <c r="T2428" s="708"/>
      <c r="U2428" s="472"/>
      <c r="V2428" s="167"/>
      <c r="W2428" s="446"/>
      <c r="X2428" s="456"/>
      <c r="Y2428" s="436"/>
      <c r="Z2428" s="437"/>
      <c r="AA2428" s="560"/>
      <c r="AB2428" s="561"/>
      <c r="AC2428" s="87"/>
      <c r="AD2428" s="466"/>
      <c r="AE2428" s="456"/>
      <c r="AF2428" s="467"/>
      <c r="AG2428" s="87"/>
      <c r="AH2428" s="87"/>
      <c r="AI2428" s="87"/>
    </row>
    <row r="2429" spans="1:35" hidden="1">
      <c r="A2429" s="80" t="e">
        <f>"G"&amp;E2419</f>
        <v>#N/A</v>
      </c>
      <c r="B2429" s="105">
        <v>7</v>
      </c>
      <c r="C2429" s="107"/>
      <c r="D2429" s="107"/>
      <c r="E2429" s="107"/>
      <c r="F2429" s="107"/>
      <c r="G2429" s="83"/>
      <c r="H2429" s="83"/>
      <c r="I2429" s="84"/>
      <c r="J2429" s="85"/>
      <c r="K2429" s="382"/>
      <c r="L2429" s="85"/>
      <c r="M2429" s="332" t="str">
        <f t="shared" si="709"/>
        <v/>
      </c>
      <c r="N2429" s="86"/>
      <c r="O2429" s="86" t="str">
        <f t="shared" si="711"/>
        <v/>
      </c>
      <c r="P2429" s="538" t="str">
        <f t="shared" si="712"/>
        <v/>
      </c>
      <c r="Q2429" s="539" t="str">
        <f t="shared" si="710"/>
        <v/>
      </c>
      <c r="R2429" s="706"/>
      <c r="S2429" s="707"/>
      <c r="T2429" s="708"/>
      <c r="U2429" s="472"/>
      <c r="V2429" s="167"/>
      <c r="W2429" s="446"/>
      <c r="X2429" s="456"/>
      <c r="Y2429" s="436"/>
      <c r="Z2429" s="437"/>
      <c r="AA2429" s="560"/>
      <c r="AB2429" s="561"/>
      <c r="AC2429" s="87"/>
      <c r="AD2429" s="466"/>
      <c r="AE2429" s="456"/>
      <c r="AF2429" s="467"/>
      <c r="AG2429" s="87"/>
      <c r="AH2429" s="87"/>
      <c r="AI2429" s="87"/>
    </row>
    <row r="2430" spans="1:35" hidden="1">
      <c r="A2430" s="80" t="e">
        <f>"H"&amp;E2419</f>
        <v>#N/A</v>
      </c>
      <c r="B2430" s="105">
        <v>8</v>
      </c>
      <c r="C2430" s="107"/>
      <c r="D2430" s="107"/>
      <c r="E2430" s="107"/>
      <c r="F2430" s="107"/>
      <c r="G2430" s="83"/>
      <c r="H2430" s="83"/>
      <c r="I2430" s="84"/>
      <c r="J2430" s="85"/>
      <c r="K2430" s="382"/>
      <c r="L2430" s="85"/>
      <c r="M2430" s="332" t="str">
        <f t="shared" si="709"/>
        <v/>
      </c>
      <c r="N2430" s="453"/>
      <c r="O2430" s="86" t="str">
        <f t="shared" si="711"/>
        <v/>
      </c>
      <c r="P2430" s="538" t="str">
        <f t="shared" si="712"/>
        <v/>
      </c>
      <c r="Q2430" s="539" t="str">
        <f t="shared" si="710"/>
        <v/>
      </c>
      <c r="R2430" s="706"/>
      <c r="S2430" s="707"/>
      <c r="T2430" s="708"/>
      <c r="U2430" s="472"/>
      <c r="V2430" s="167"/>
      <c r="W2430" s="446"/>
      <c r="X2430" s="456"/>
      <c r="Y2430" s="436"/>
      <c r="Z2430" s="437"/>
      <c r="AA2430" s="560"/>
      <c r="AB2430" s="561"/>
      <c r="AC2430" s="87"/>
      <c r="AD2430" s="466"/>
      <c r="AE2430" s="456"/>
      <c r="AF2430" s="467"/>
      <c r="AG2430" s="87"/>
      <c r="AH2430" s="87"/>
      <c r="AI2430" s="87"/>
    </row>
    <row r="2431" spans="1:35" hidden="1">
      <c r="A2431" s="80" t="e">
        <f>"I"&amp;E2419</f>
        <v>#N/A</v>
      </c>
      <c r="B2431" s="105">
        <v>9</v>
      </c>
      <c r="C2431" s="107"/>
      <c r="D2431" s="107"/>
      <c r="E2431" s="107"/>
      <c r="F2431" s="107"/>
      <c r="G2431" s="83"/>
      <c r="H2431" s="83"/>
      <c r="I2431" s="84"/>
      <c r="J2431" s="85"/>
      <c r="K2431" s="382"/>
      <c r="L2431" s="85"/>
      <c r="M2431" s="332" t="str">
        <f t="shared" si="709"/>
        <v/>
      </c>
      <c r="N2431" s="453"/>
      <c r="O2431" s="86" t="str">
        <f t="shared" si="711"/>
        <v/>
      </c>
      <c r="P2431" s="538" t="str">
        <f t="shared" si="712"/>
        <v/>
      </c>
      <c r="Q2431" s="539" t="str">
        <f t="shared" si="710"/>
        <v/>
      </c>
      <c r="R2431" s="706"/>
      <c r="S2431" s="707"/>
      <c r="T2431" s="708"/>
      <c r="U2431" s="472"/>
      <c r="V2431" s="167"/>
      <c r="W2431" s="446"/>
      <c r="X2431" s="456"/>
      <c r="Y2431" s="436"/>
      <c r="Z2431" s="437"/>
      <c r="AA2431" s="560"/>
      <c r="AB2431" s="561"/>
      <c r="AC2431" s="87"/>
      <c r="AD2431" s="466"/>
      <c r="AE2431" s="456"/>
      <c r="AF2431" s="467"/>
      <c r="AG2431" s="87"/>
      <c r="AH2431" s="87"/>
      <c r="AI2431" s="87"/>
    </row>
    <row r="2432" spans="1:35" hidden="1">
      <c r="A2432" s="80" t="e">
        <f>"J"&amp;E2419</f>
        <v>#N/A</v>
      </c>
      <c r="B2432" s="105">
        <v>10</v>
      </c>
      <c r="C2432" s="107"/>
      <c r="D2432" s="107"/>
      <c r="E2432" s="107"/>
      <c r="F2432" s="107"/>
      <c r="G2432" s="83"/>
      <c r="H2432" s="83"/>
      <c r="I2432" s="84"/>
      <c r="J2432" s="85"/>
      <c r="K2432" s="382"/>
      <c r="L2432" s="85"/>
      <c r="M2432" s="332" t="str">
        <f t="shared" si="709"/>
        <v/>
      </c>
      <c r="N2432" s="453"/>
      <c r="O2432" s="86" t="str">
        <f t="shared" si="711"/>
        <v/>
      </c>
      <c r="P2432" s="538" t="str">
        <f t="shared" si="712"/>
        <v/>
      </c>
      <c r="Q2432" s="539" t="str">
        <f t="shared" si="710"/>
        <v/>
      </c>
      <c r="R2432" s="706"/>
      <c r="S2432" s="707"/>
      <c r="T2432" s="708"/>
      <c r="U2432" s="472"/>
      <c r="V2432" s="167"/>
      <c r="W2432" s="446"/>
      <c r="X2432" s="456"/>
      <c r="Y2432" s="436"/>
      <c r="Z2432" s="437"/>
      <c r="AA2432" s="560"/>
      <c r="AB2432" s="561"/>
      <c r="AC2432" s="87"/>
      <c r="AD2432" s="466"/>
      <c r="AE2432" s="456"/>
      <c r="AF2432" s="467"/>
      <c r="AG2432" s="87"/>
      <c r="AH2432" s="87"/>
      <c r="AI2432" s="87"/>
    </row>
    <row r="2433" spans="1:35" ht="16.5" hidden="1" thickBot="1">
      <c r="A2433" s="44"/>
      <c r="B2433" s="89"/>
      <c r="C2433" s="90"/>
      <c r="D2433" s="90"/>
      <c r="E2433" s="90"/>
      <c r="F2433" s="90"/>
      <c r="G2433" s="90"/>
      <c r="H2433" s="90"/>
      <c r="I2433" s="90"/>
      <c r="J2433" s="90"/>
      <c r="K2433" s="90"/>
      <c r="L2433" s="90"/>
      <c r="M2433" s="90"/>
      <c r="N2433" s="90"/>
      <c r="O2433" s="90"/>
      <c r="P2433" s="90"/>
      <c r="Q2433" s="90"/>
      <c r="R2433" s="90"/>
      <c r="S2433" s="91"/>
      <c r="T2433" s="92"/>
      <c r="U2433" s="473"/>
      <c r="W2433" s="438"/>
      <c r="X2433" s="455"/>
      <c r="Y2433" s="439"/>
      <c r="Z2433" s="437"/>
      <c r="AA2433" s="530"/>
      <c r="AB2433" s="563"/>
      <c r="AC2433" s="87"/>
      <c r="AD2433" s="440"/>
      <c r="AE2433" s="441"/>
      <c r="AF2433" s="442"/>
      <c r="AG2433" s="49"/>
      <c r="AH2433" s="87"/>
      <c r="AI2433" s="87"/>
    </row>
    <row r="2434" spans="1:35" ht="16.5" hidden="1" thickBot="1">
      <c r="A2434" s="93"/>
      <c r="B2434" s="94"/>
      <c r="C2434" s="96"/>
      <c r="D2434" s="96"/>
      <c r="E2434" s="96"/>
      <c r="F2434" s="96"/>
      <c r="G2434" s="96"/>
      <c r="H2434" s="96"/>
      <c r="I2434" s="96"/>
      <c r="J2434" s="96"/>
      <c r="K2434" s="96"/>
      <c r="L2434" s="96"/>
      <c r="M2434" s="136"/>
      <c r="N2434" s="96"/>
      <c r="O2434" s="96"/>
      <c r="P2434" s="97"/>
      <c r="Q2434" s="97"/>
      <c r="R2434" s="98"/>
      <c r="S2434" s="95"/>
      <c r="T2434" s="99"/>
      <c r="U2434" s="469"/>
      <c r="AC2434" s="58"/>
      <c r="AG2434" s="58"/>
      <c r="AH2434" s="87"/>
      <c r="AI2434" s="87"/>
    </row>
    <row r="2435" spans="1:35" ht="16.5" hidden="1" thickBot="1">
      <c r="B2435" s="101"/>
      <c r="C2435" s="101"/>
      <c r="D2435" s="101"/>
      <c r="E2435" s="101"/>
      <c r="F2435" s="101"/>
      <c r="G2435" s="101"/>
      <c r="H2435" s="101"/>
      <c r="I2435" s="101"/>
      <c r="J2435" s="101"/>
      <c r="K2435" s="101"/>
      <c r="L2435" s="101"/>
      <c r="M2435" s="101"/>
      <c r="N2435" s="101"/>
      <c r="O2435" s="101"/>
      <c r="P2435" s="101"/>
      <c r="Q2435" s="101"/>
      <c r="R2435" s="101"/>
      <c r="S2435" s="101"/>
      <c r="U2435" s="50"/>
      <c r="AH2435" s="87"/>
      <c r="AI2435" s="87"/>
    </row>
    <row r="2436" spans="1:35" ht="16.5" hidden="1" customHeight="1" thickBot="1">
      <c r="A2436" s="44"/>
      <c r="B2436" s="705" t="s">
        <v>74</v>
      </c>
      <c r="C2436" s="705"/>
      <c r="D2436" s="705"/>
      <c r="E2436" s="705"/>
      <c r="F2436" s="705"/>
      <c r="G2436" s="705"/>
      <c r="H2436" s="705"/>
      <c r="I2436" s="705"/>
      <c r="J2436" s="705"/>
      <c r="K2436" s="705"/>
      <c r="L2436" s="705"/>
      <c r="M2436" s="705"/>
      <c r="N2436" s="705"/>
      <c r="O2436" s="705"/>
      <c r="P2436" s="705"/>
      <c r="Q2436" s="705"/>
      <c r="R2436" s="705"/>
      <c r="S2436" s="705"/>
      <c r="T2436" s="705"/>
      <c r="U2436" s="108"/>
      <c r="Y2436" s="532" t="s">
        <v>341</v>
      </c>
      <c r="AC2436" s="49"/>
      <c r="AD2436" s="687" t="s">
        <v>302</v>
      </c>
      <c r="AE2436" s="688"/>
      <c r="AF2436" s="689"/>
      <c r="AG2436" s="49"/>
      <c r="AH2436" s="87"/>
      <c r="AI2436" s="87"/>
    </row>
    <row r="2437" spans="1:35" ht="15.75" hidden="1" customHeight="1" thickBot="1">
      <c r="A2437" s="218" t="e">
        <f>"K"&amp;E2419</f>
        <v>#N/A</v>
      </c>
      <c r="B2437" s="701" t="s">
        <v>71</v>
      </c>
      <c r="C2437" s="751" t="s">
        <v>102</v>
      </c>
      <c r="D2437" s="751"/>
      <c r="E2437" s="751"/>
      <c r="F2437" s="751"/>
      <c r="G2437" s="751"/>
      <c r="H2437" s="751"/>
      <c r="I2437" s="751"/>
      <c r="J2437" s="751"/>
      <c r="K2437" s="751"/>
      <c r="L2437" s="722" t="s">
        <v>100</v>
      </c>
      <c r="M2437" s="747" t="s">
        <v>114</v>
      </c>
      <c r="N2437" s="747"/>
      <c r="O2437" s="747"/>
      <c r="P2437" s="747"/>
      <c r="Q2437" s="748"/>
      <c r="R2437" s="758" t="s">
        <v>280</v>
      </c>
      <c r="S2437" s="748"/>
      <c r="T2437" s="762" t="str">
        <f>IF(COUNTIF(AE2437:AF2437,"VERIFICAR")&gt;0,"VERIFICAR",IF(COUNTIF(AE2437:AF2437,"NO CUMPLE")&gt;0,"NO CUMPLE","CUMPLE"))</f>
        <v>VERIFICAR</v>
      </c>
      <c r="U2437" s="108"/>
      <c r="Y2437" s="533" t="e">
        <f>IF(F2438="","",IF(F2438=1,"INDIVIDUAL","ESTRUCTURA PLURAL"))</f>
        <v>#N/A</v>
      </c>
      <c r="AC2437" s="52"/>
      <c r="AD2437" s="475" t="s">
        <v>303</v>
      </c>
      <c r="AE2437" s="476" t="str">
        <f>IF(COUNTIF(AE2423:AE2432,"")=10,"VERIFICAR",IF(COUNTIF(AE2423:AE2432,"SI")&gt;0,"CUMPLE","NO CUMPLE"))</f>
        <v>VERIFICAR</v>
      </c>
      <c r="AF2437" s="477" t="str">
        <f>IF(COUNTIF(AF2423:AF2432,"")=10,"VERIFICAR",IF(COUNTIF(AF2423:AF2432,"SI")&gt;=$AI$22,"CUMPLE","NO CUMPLE"))</f>
        <v>VERIFICAR</v>
      </c>
      <c r="AG2437" s="52"/>
      <c r="AH2437" s="87"/>
      <c r="AI2437" s="87"/>
    </row>
    <row r="2438" spans="1:35" ht="16.5" hidden="1" customHeight="1" thickBot="1">
      <c r="A2438" s="218" t="e">
        <f>"L"&amp;E2419</f>
        <v>#N/A</v>
      </c>
      <c r="B2438" s="702"/>
      <c r="C2438" s="751" t="s">
        <v>103</v>
      </c>
      <c r="D2438" s="751"/>
      <c r="E2438" s="752"/>
      <c r="F2438" s="557" t="e">
        <f>IF(VLOOKUP(E2419,PROPONENTES!$C$19:$E$218,3,0)="","",VLOOKUP(E2419,PROPONENTES!$C$19:$E$218,3,0))</f>
        <v>#N/A</v>
      </c>
      <c r="G2438" s="753" t="s">
        <v>104</v>
      </c>
      <c r="H2438" s="751"/>
      <c r="I2438" s="715" t="e">
        <f>IF(OR(F2438="",F2438=1),"INTERESADO PERSONA NATURAL O JURIDICA","CONSORCIO O UNION TEMPORAL")</f>
        <v>#N/A</v>
      </c>
      <c r="J2438" s="725"/>
      <c r="K2438" s="728"/>
      <c r="L2438" s="723"/>
      <c r="M2438" s="749"/>
      <c r="N2438" s="749"/>
      <c r="O2438" s="749"/>
      <c r="P2438" s="749"/>
      <c r="Q2438" s="750"/>
      <c r="R2438" s="712"/>
      <c r="S2438" s="750"/>
      <c r="T2438" s="763"/>
      <c r="U2438" s="108"/>
      <c r="Y2438" s="534"/>
      <c r="AA2438" s="52"/>
      <c r="AB2438" s="52"/>
      <c r="AC2438" s="52"/>
      <c r="AG2438" s="52"/>
      <c r="AH2438" s="87"/>
      <c r="AI2438" s="87"/>
    </row>
    <row r="2439" spans="1:35" ht="56.25" hidden="1" customHeight="1" thickBot="1">
      <c r="A2439" s="218" t="e">
        <f>"M"&amp;E2419</f>
        <v>#N/A</v>
      </c>
      <c r="B2439" s="702"/>
      <c r="C2439" s="725" t="s">
        <v>101</v>
      </c>
      <c r="D2439" s="716"/>
      <c r="E2439" s="558" t="s">
        <v>105</v>
      </c>
      <c r="F2439" s="554" t="s">
        <v>87</v>
      </c>
      <c r="G2439" s="553" t="s">
        <v>86</v>
      </c>
      <c r="H2439" s="559" t="s">
        <v>85</v>
      </c>
      <c r="I2439" s="554" t="s">
        <v>252</v>
      </c>
      <c r="J2439" s="553" t="str">
        <f>"¿EL INTEGRANTE TIENE UNA PARTICIPACIÓN DEL "&amp;PORCREQUERIDOINT*100&amp;"%?"</f>
        <v>¿EL INTEGRANTE TIENE UNA PARTICIPACIÓN DEL 60%?</v>
      </c>
      <c r="K2439" s="554" t="s">
        <v>107</v>
      </c>
      <c r="L2439" s="724"/>
      <c r="M2439" s="717" t="s">
        <v>115</v>
      </c>
      <c r="N2439" s="718"/>
      <c r="O2439" s="718"/>
      <c r="P2439" s="718"/>
      <c r="Q2439" s="223">
        <f>IF(AND(H2423="SI",P2423&gt;=0),1,0)+IF(AND(H2424="SI",P2424&gt;=0),1,0)+IF(AND(H2425="SI",P2425&gt;=0),1,0)+IF(AND(H2426="SI",P2426&gt;=0),1,0)+IF(AND(H2427="SI",P2427&gt;=0),1,0)+IF(AND(H2428="SI",P2428&gt;=0),1,0)+IF(AND(H2429="SI",P2429&gt;=0),1,0)+IF(AND(H2430="SI",P2430&gt;=0),1,0)+IF(AND(H2431="SI",P2431&gt;=0),1,0)+IF(AND(H2432="SI",P2432&gt;=0),1,0)</f>
        <v>0</v>
      </c>
      <c r="R2439" s="759"/>
      <c r="S2439" s="761"/>
      <c r="T2439" s="764"/>
      <c r="U2439" s="219"/>
      <c r="V2439" s="464"/>
      <c r="Y2439" s="532" t="s">
        <v>342</v>
      </c>
      <c r="AA2439" s="550" t="s">
        <v>344</v>
      </c>
      <c r="AB2439" s="693" t="s">
        <v>345</v>
      </c>
      <c r="AC2439" s="693" t="s">
        <v>346</v>
      </c>
      <c r="AD2439" s="685" t="s">
        <v>347</v>
      </c>
      <c r="AE2439" s="52"/>
      <c r="AF2439" s="52"/>
      <c r="AG2439" s="52"/>
      <c r="AH2439" s="87"/>
      <c r="AI2439" s="87"/>
    </row>
    <row r="2440" spans="1:35" ht="15.75" hidden="1" customHeight="1" thickBot="1">
      <c r="A2440" s="218" t="e">
        <f>"N"&amp;E2419</f>
        <v>#N/A</v>
      </c>
      <c r="B2440" s="702"/>
      <c r="C2440" s="114">
        <v>1</v>
      </c>
      <c r="D2440" s="194" t="e">
        <f>IF(AND(C2440&lt;=F2438,F2438&gt;1,F2438&lt;&gt;""),VLOOKUP(VALUE(E2419&amp;","&amp;C2440),INTEGRANTES!$D$18:$F$235,2,0),"")</f>
        <v>#N/A</v>
      </c>
      <c r="E2440" s="211" t="e">
        <f>IF(D2440&lt;&gt;"",VLOOKUP(VALUE(E2419&amp;","&amp;C2440),INTEGRANTES!$D$18:$F$235,3,0),"")</f>
        <v>#N/A</v>
      </c>
      <c r="F2440" s="547" t="e">
        <f>IF(D2440="","",SUMIF($I2423:$I2432,D2440,$P2423:$P2432))</f>
        <v>#N/A</v>
      </c>
      <c r="G2440" s="333" t="e">
        <f>IF(D2440="","",SUMIF($I2423:$I2432,D2440,$M2423:$M2432))</f>
        <v>#N/A</v>
      </c>
      <c r="H2440" s="535" t="e">
        <f t="shared" ref="H2440:H2445" si="713">IF(D2440="","",IF(OR(F2440=0,G2440=0),"NO APORTA",ROUND($F2440/$G2440,3)))</f>
        <v>#N/A</v>
      </c>
      <c r="I2440" s="212" t="e">
        <f>IF(D2440="","",IF(H2440="NO APORTA","NO",IF(H2440=MAX($H2440:$H2445),"SI","NO")))</f>
        <v>#N/A</v>
      </c>
      <c r="J2440" s="213" t="e">
        <f t="shared" ref="J2440:J2445" si="714">IF(D2440="","",IF(E2440&gt;=PORCREQUERIDOINT,"SI","NO"))</f>
        <v>#N/A</v>
      </c>
      <c r="K2440" s="200" t="e">
        <f t="shared" ref="K2440:K2445" si="715">IF(D2440="","",IF(AND(I2440="SI",J2440="SI"),"CUMPLE",IF(AND(I2440="NO",OR(J2440="SI",J2440="NO")),"","NO CUMPLE")))</f>
        <v>#N/A</v>
      </c>
      <c r="L2440" s="722" t="s">
        <v>108</v>
      </c>
      <c r="M2440" s="726" t="s">
        <v>119</v>
      </c>
      <c r="N2440" s="726"/>
      <c r="O2440" s="726"/>
      <c r="P2440" s="726"/>
      <c r="Q2440" s="727"/>
      <c r="R2440" s="758" t="s">
        <v>80</v>
      </c>
      <c r="S2440" s="747"/>
      <c r="T2440" s="748"/>
      <c r="U2440" s="219"/>
      <c r="V2440" s="464"/>
      <c r="Y2440" s="533" t="e">
        <f>IF(Y2437="","",IF(Y2437="INDIVIDUAL","NO APLICA","VERIFICAR CUADRO"))</f>
        <v>#N/A</v>
      </c>
      <c r="AA2440" s="551"/>
      <c r="AB2440" s="694"/>
      <c r="AC2440" s="694"/>
      <c r="AD2440" s="686"/>
      <c r="AE2440" s="52"/>
      <c r="AF2440" s="52"/>
      <c r="AG2440" s="52"/>
      <c r="AH2440" s="87"/>
      <c r="AI2440" s="87"/>
    </row>
    <row r="2441" spans="1:35" ht="27" hidden="1" customHeight="1" thickBot="1">
      <c r="A2441" s="218" t="e">
        <f>"O"&amp;E2419</f>
        <v>#N/A</v>
      </c>
      <c r="B2441" s="702"/>
      <c r="C2441" s="114">
        <v>2</v>
      </c>
      <c r="D2441" s="194" t="e">
        <f>IF(AND(C2441&lt;=F2438,F2438&lt;&gt;""),VLOOKUP(VALUE(E2419&amp;","&amp;C2441),INTEGRANTES!$D$18:$F$235,2,0),"")</f>
        <v>#N/A</v>
      </c>
      <c r="E2441" s="211" t="e">
        <f>IF(D2441&lt;&gt;"",VLOOKUP(VALUE(E2419&amp;","&amp;C2441),INTEGRANTES!$D$18:$F$235,3,0),"")</f>
        <v>#N/A</v>
      </c>
      <c r="F2441" s="547" t="e">
        <f>IF(D2441="","",SUMIF($I2423:$I2432,D2441,$P2423:$P2432))</f>
        <v>#N/A</v>
      </c>
      <c r="G2441" s="333" t="e">
        <f>IF(D2441="","",SUMIF($I2423:$I2432,D2441,$M2423:$M2432))</f>
        <v>#N/A</v>
      </c>
      <c r="H2441" s="535" t="e">
        <f t="shared" si="713"/>
        <v>#N/A</v>
      </c>
      <c r="I2441" s="212" t="e">
        <f>IF(D2441="","",IF(H2441="NO APORTA","NO",IF(H2441=MAX($H2440:$H2445),"SI","NO")))</f>
        <v>#N/A</v>
      </c>
      <c r="J2441" s="213" t="e">
        <f t="shared" si="714"/>
        <v>#N/A</v>
      </c>
      <c r="K2441" s="200" t="e">
        <f t="shared" si="715"/>
        <v>#N/A</v>
      </c>
      <c r="L2441" s="723"/>
      <c r="M2441" s="715" t="s">
        <v>116</v>
      </c>
      <c r="N2441" s="716"/>
      <c r="O2441" s="556" t="s">
        <v>113</v>
      </c>
      <c r="P2441" s="715" t="s">
        <v>117</v>
      </c>
      <c r="Q2441" s="728"/>
      <c r="R2441" s="759"/>
      <c r="S2441" s="760"/>
      <c r="T2441" s="761"/>
      <c r="U2441" s="219"/>
      <c r="V2441" s="464"/>
      <c r="Y2441" s="414"/>
      <c r="AA2441" s="542" t="e">
        <f>IF(AND(C2440&lt;=F2438,F2438&gt;1,F2438&lt;&gt;""),VLOOKUP(VALUE(E2419&amp;","&amp;C2440),INTEGRANTES!$D$18:$F$235,2,0),"")</f>
        <v>#N/A</v>
      </c>
      <c r="AB2441" s="544" t="e">
        <f t="shared" ref="AB2441:AB2446" si="716">IF(D2440="","",IF(OR(F2440=0,G2440=0),"NO APORTA",ROUND($F2440/$G2440,3)))</f>
        <v>#N/A</v>
      </c>
      <c r="AC2441" s="529"/>
      <c r="AD2441" s="200" t="e">
        <f t="shared" ref="AD2441:AD2446" si="717">IF(OR(AA2441="",AB2441=""),"",IF(AND(AC2441="X",AB2441&gt;=EXPREQVTD),"CUMPLE","NO CUMPLE"))</f>
        <v>#N/A</v>
      </c>
      <c r="AE2441" s="52"/>
      <c r="AF2441" s="52"/>
      <c r="AG2441" s="52"/>
      <c r="AH2441" s="87"/>
      <c r="AI2441" s="87"/>
    </row>
    <row r="2442" spans="1:35" ht="16.5" hidden="1" thickBot="1">
      <c r="A2442" s="218" t="e">
        <f>"P"&amp;E2419</f>
        <v>#N/A</v>
      </c>
      <c r="B2442" s="702"/>
      <c r="C2442" s="114">
        <v>3</v>
      </c>
      <c r="D2442" s="194" t="e">
        <f>IF(AND(C2442&lt;=F2438,F2438&lt;&gt;""),VLOOKUP(VALUE(E2419&amp;","&amp;C2442),INTEGRANTES!$D$18:$F$235,2,0),"")</f>
        <v>#N/A</v>
      </c>
      <c r="E2442" s="211" t="e">
        <f>IF(D2442&lt;&gt;"",VLOOKUP(VALUE(E2419&amp;","&amp;C2442),INTEGRANTES!$D$18:$F$235,3,0),"")</f>
        <v>#N/A</v>
      </c>
      <c r="F2442" s="547" t="e">
        <f>IF(D2442="","",SUMIF($I2423:$I2432,D2442,$P2423:$P2432))</f>
        <v>#N/A</v>
      </c>
      <c r="G2442" s="333" t="e">
        <f>IF(D2442="","",SUMIF($I2423:$I2432,D2442,$M2423:$M2432))</f>
        <v>#N/A</v>
      </c>
      <c r="H2442" s="535" t="e">
        <f t="shared" si="713"/>
        <v>#N/A</v>
      </c>
      <c r="I2442" s="212" t="e">
        <f>IF(D2442="","",IF(H2442="NO APORTA","NO",IF(H2442=MAX($H2440:$H2445),"SI","NO")))</f>
        <v>#N/A</v>
      </c>
      <c r="J2442" s="213" t="e">
        <f t="shared" si="714"/>
        <v>#N/A</v>
      </c>
      <c r="K2442" s="200" t="e">
        <f t="shared" si="715"/>
        <v>#N/A</v>
      </c>
      <c r="L2442" s="724"/>
      <c r="M2442" s="729">
        <f>NUMMOD</f>
        <v>1</v>
      </c>
      <c r="N2442" s="730"/>
      <c r="O2442" s="443">
        <f>IF(M2442="","",VLOOKUP(M2442,PRESUPUESTOS!$B$16:$H$16,5,FALSE))</f>
        <v>2</v>
      </c>
      <c r="P2442" s="713">
        <f>IF(OR(COUNTIF(M2423:M2432,"")&gt;=10,Q2439&lt;NUMMINCONT,OR(T2437="NO CUMPLE",T2437="VERIFICAR")),0,ROUND(AVERAGE(M2423:M2432),3))</f>
        <v>0</v>
      </c>
      <c r="Q2442" s="714"/>
      <c r="R2442" s="458"/>
      <c r="S2442" s="459"/>
      <c r="T2442" s="460"/>
      <c r="U2442" s="219"/>
      <c r="V2442" s="464"/>
      <c r="Y2442" s="532" t="str">
        <f>"40% * ("&amp;PRESUPUESTOS!$H$13&amp;")"</f>
        <v>40% * (50% PFMO)</v>
      </c>
      <c r="AA2442" s="540" t="e">
        <f>IF(AND(C2441&lt;=F2438,F2438&lt;&gt;""),VLOOKUP(VALUE(E2419&amp;","&amp;C2441),INTEGRANTES!$D$18:$F$235,2,0),"")</f>
        <v>#N/A</v>
      </c>
      <c r="AB2442" s="545" t="e">
        <f t="shared" si="716"/>
        <v>#N/A</v>
      </c>
      <c r="AC2442" s="529"/>
      <c r="AD2442" s="200" t="e">
        <f t="shared" si="717"/>
        <v>#N/A</v>
      </c>
      <c r="AE2442" s="52"/>
      <c r="AF2442" s="52"/>
      <c r="AG2442" s="52"/>
      <c r="AH2442" s="87"/>
      <c r="AI2442" s="87"/>
    </row>
    <row r="2443" spans="1:35" ht="15.75" hidden="1" customHeight="1" thickBot="1">
      <c r="A2443" s="218" t="e">
        <f>"Q"&amp;E2419</f>
        <v>#N/A</v>
      </c>
      <c r="B2443" s="702"/>
      <c r="C2443" s="114">
        <v>4</v>
      </c>
      <c r="D2443" s="194" t="e">
        <f>IF(AND(C2443&lt;=F2438,F2438&lt;&gt;""),VLOOKUP(VALUE(E2419&amp;","&amp;C2443),INTEGRANTES!$D$18:$F$235,2,0),"")</f>
        <v>#N/A</v>
      </c>
      <c r="E2443" s="211" t="e">
        <f>IF(D2443&lt;&gt;"",VLOOKUP(VALUE(E2419&amp;","&amp;C2443),INTEGRANTES!$D$18:$F$235,3,0),"")</f>
        <v>#N/A</v>
      </c>
      <c r="F2443" s="547" t="e">
        <f>IF(D2443="","",SUMIF($I2423:$I2432,D2443,$P2423:$P2432))</f>
        <v>#N/A</v>
      </c>
      <c r="G2443" s="333" t="e">
        <f>IF(D2443="","",SUMIF($I2423:$I2432,D2443,$M2423:$M2432))</f>
        <v>#N/A</v>
      </c>
      <c r="H2443" s="535" t="e">
        <f t="shared" si="713"/>
        <v>#N/A</v>
      </c>
      <c r="I2443" s="212" t="e">
        <f>IF(D2443="","",IF(H2443="NO APORTA","NO",IF(H2443=MAX($H2440:$H2445),"SI","NO")))</f>
        <v>#N/A</v>
      </c>
      <c r="J2443" s="213" t="e">
        <f t="shared" si="714"/>
        <v>#N/A</v>
      </c>
      <c r="K2443" s="200" t="e">
        <f t="shared" si="715"/>
        <v>#N/A</v>
      </c>
      <c r="L2443" s="720" t="s">
        <v>109</v>
      </c>
      <c r="M2443" s="757" t="s">
        <v>120</v>
      </c>
      <c r="N2443" s="726"/>
      <c r="O2443" s="726"/>
      <c r="P2443" s="726"/>
      <c r="Q2443" s="727"/>
      <c r="R2443" s="458"/>
      <c r="S2443" s="459"/>
      <c r="T2443" s="460"/>
      <c r="U2443" s="219"/>
      <c r="V2443" s="464"/>
      <c r="Y2443" s="537">
        <f>0.4*PRESUPUESTOS!$H$16</f>
        <v>10.3124</v>
      </c>
      <c r="AA2443" s="540" t="e">
        <f>IF(AND(C2442&lt;=F2438,F2438&lt;&gt;""),VLOOKUP(VALUE(E2419&amp;","&amp;C2442),INTEGRANTES!$D$18:$F$235,2,0),"")</f>
        <v>#N/A</v>
      </c>
      <c r="AB2443" s="545" t="e">
        <f t="shared" si="716"/>
        <v>#N/A</v>
      </c>
      <c r="AC2443" s="529"/>
      <c r="AD2443" s="200" t="e">
        <f t="shared" si="717"/>
        <v>#N/A</v>
      </c>
      <c r="AE2443" s="52"/>
      <c r="AF2443" s="52"/>
      <c r="AG2443" s="52"/>
      <c r="AH2443" s="87"/>
      <c r="AI2443" s="87"/>
    </row>
    <row r="2444" spans="1:35" ht="27" hidden="1" customHeight="1" thickBot="1">
      <c r="A2444" s="218" t="e">
        <f>"R"&amp;E2419</f>
        <v>#N/A</v>
      </c>
      <c r="B2444" s="702"/>
      <c r="C2444" s="114">
        <v>5</v>
      </c>
      <c r="D2444" s="194" t="e">
        <f>IF(AND(C2444&lt;=F2438,F2438&lt;&gt;""),VLOOKUP(VALUE(E2419&amp;","&amp;C2444),INTEGRANTES!$D$18:$F$235,2,0),"")</f>
        <v>#N/A</v>
      </c>
      <c r="E2444" s="211" t="e">
        <f>IF(D2444&lt;&gt;"",VLOOKUP(VALUE(E2419&amp;","&amp;C2444),INTEGRANTES!$D$18:$F$235,3,0),"")</f>
        <v>#N/A</v>
      </c>
      <c r="F2444" s="547" t="e">
        <f>IF(D2444="","",SUMIF($I2423:$I2432,D2444,$P2423:$P2432))</f>
        <v>#N/A</v>
      </c>
      <c r="G2444" s="333" t="e">
        <f>IF(D2444="","",SUMIF($I2423:$I2432,D2444,$M2423:$M2432))</f>
        <v>#N/A</v>
      </c>
      <c r="H2444" s="535" t="e">
        <f t="shared" si="713"/>
        <v>#N/A</v>
      </c>
      <c r="I2444" s="212" t="e">
        <f>IF(D2444="","",IF(H2444="NO APORTA","NO",IF(H2444=MAX($H2440:$H2445),"SI","NO")))</f>
        <v>#N/A</v>
      </c>
      <c r="J2444" s="213" t="e">
        <f t="shared" si="714"/>
        <v>#N/A</v>
      </c>
      <c r="K2444" s="200" t="e">
        <f t="shared" si="715"/>
        <v>#N/A</v>
      </c>
      <c r="L2444" s="721"/>
      <c r="M2444" s="715" t="s">
        <v>116</v>
      </c>
      <c r="N2444" s="716"/>
      <c r="O2444" s="556" t="str">
        <f>PORCREQUERIDO*100&amp;"% PMFO DEL MÓDULO"</f>
        <v>50% PMFO DEL MÓDULO</v>
      </c>
      <c r="P2444" s="715" t="s">
        <v>118</v>
      </c>
      <c r="Q2444" s="728"/>
      <c r="R2444" s="458"/>
      <c r="S2444" s="459"/>
      <c r="T2444" s="460"/>
      <c r="U2444" s="219"/>
      <c r="V2444" s="464"/>
      <c r="Y2444" s="414"/>
      <c r="AA2444" s="540" t="e">
        <f>IF(AND(C2443&lt;=F2438,F2438&lt;&gt;""),VLOOKUP(VALUE(E2419&amp;","&amp;C2443),INTEGRANTES!$D$18:$F$235,2,0),"")</f>
        <v>#N/A</v>
      </c>
      <c r="AB2444" s="545" t="e">
        <f t="shared" si="716"/>
        <v>#N/A</v>
      </c>
      <c r="AC2444" s="529"/>
      <c r="AD2444" s="200" t="e">
        <f t="shared" si="717"/>
        <v>#N/A</v>
      </c>
      <c r="AE2444" s="52"/>
      <c r="AF2444" s="52"/>
      <c r="AG2444" s="52"/>
      <c r="AH2444" s="87"/>
      <c r="AI2444" s="87"/>
    </row>
    <row r="2445" spans="1:35" ht="16.5" hidden="1" thickBot="1">
      <c r="A2445" s="218" t="e">
        <f>"S"&amp;E2419</f>
        <v>#N/A</v>
      </c>
      <c r="B2445" s="702"/>
      <c r="C2445" s="215">
        <v>6</v>
      </c>
      <c r="D2445" s="216" t="e">
        <f>IF(AND(C2445&lt;=F2438,F2438&lt;&gt;""),VLOOKUP(VALUE(E2419&amp;","&amp;C2445),INTEGRANTES!$D$18:$F$235,2,0),"")</f>
        <v>#N/A</v>
      </c>
      <c r="E2445" s="217" t="e">
        <f>IF(D2445&lt;&gt;"",VLOOKUP(VALUE(E2419&amp;","&amp;C2445),INTEGRANTES!$D$18:$F$235,3,0),"")</f>
        <v>#N/A</v>
      </c>
      <c r="F2445" s="548" t="e">
        <f>IF(D2445="","",SUMIF($I2423:$I2432,D2445,$P2423:$P2432))</f>
        <v>#N/A</v>
      </c>
      <c r="G2445" s="334" t="e">
        <f>IF(D2445="","",SUMIF($I2423:$I2432,D2445,$M2423:$M2432))</f>
        <v>#N/A</v>
      </c>
      <c r="H2445" s="536" t="e">
        <f t="shared" si="713"/>
        <v>#N/A</v>
      </c>
      <c r="I2445" s="214" t="e">
        <f>IF(D2445="","",IF(H2445="NO APORTA","NO",IF(H2445=MAX($H2440:$H2445),"SI","NO")))</f>
        <v>#N/A</v>
      </c>
      <c r="J2445" s="213" t="e">
        <f t="shared" si="714"/>
        <v>#N/A</v>
      </c>
      <c r="K2445" s="200" t="e">
        <f t="shared" si="715"/>
        <v>#N/A</v>
      </c>
      <c r="L2445" s="721"/>
      <c r="M2445" s="729">
        <f>NUMMOD</f>
        <v>1</v>
      </c>
      <c r="N2445" s="730"/>
      <c r="O2445" s="443">
        <f>IF(M2445="","",ROUND(VLOOKUP(M2445,PRESUPUESTOS!$B$16:$H$16,7,FALSE),3))</f>
        <v>25.780999999999999</v>
      </c>
      <c r="P2445" s="713">
        <f>IF(OR(COUNTIF(P2423:P2432,"")&gt;=10,Q2439&lt;NUMMINCONT,OR(T2437="NO CUMPLE",T2437="VERIFICAR")),0,ROUND((SUM(P2423:P2432)/SUM(M2423:M2432)),3))</f>
        <v>0</v>
      </c>
      <c r="Q2445" s="714"/>
      <c r="R2445" s="458"/>
      <c r="S2445" s="459"/>
      <c r="T2445" s="460"/>
      <c r="U2445" s="219"/>
      <c r="V2445" s="464"/>
      <c r="Y2445" s="532" t="s">
        <v>343</v>
      </c>
      <c r="AA2445" s="540" t="e">
        <f>IF(AND(C2444&lt;=F2438,F2438&lt;&gt;""),VLOOKUP(VALUE(E2419&amp;","&amp;C2444),INTEGRANTES!$D$18:$F$235,2,0),"")</f>
        <v>#N/A</v>
      </c>
      <c r="AB2445" s="545" t="e">
        <f t="shared" si="716"/>
        <v>#N/A</v>
      </c>
      <c r="AC2445" s="529"/>
      <c r="AD2445" s="200" t="e">
        <f t="shared" si="717"/>
        <v>#N/A</v>
      </c>
      <c r="AE2445" s="52"/>
      <c r="AF2445" s="52"/>
      <c r="AG2445" s="52"/>
      <c r="AH2445" s="87"/>
      <c r="AI2445" s="87"/>
    </row>
    <row r="2446" spans="1:35" ht="16.5" hidden="1" customHeight="1" thickBot="1">
      <c r="A2446" s="218" t="e">
        <f>"T"&amp;E2419</f>
        <v>#N/A</v>
      </c>
      <c r="B2446" s="703"/>
      <c r="C2446" s="719"/>
      <c r="D2446" s="719"/>
      <c r="E2446" s="719"/>
      <c r="F2446" s="719"/>
      <c r="G2446" s="719"/>
      <c r="H2446" s="719" t="s">
        <v>110</v>
      </c>
      <c r="I2446" s="719"/>
      <c r="J2446" s="719"/>
      <c r="K2446" s="201" t="str">
        <f>IF(COUNTIF(K2440:K2445,"")=6,"",IF(COUNTIF(K2440:K2445,"CUMPLE")&gt;0,"CUMPLE","NO CUMPLE"))</f>
        <v>NO CUMPLE</v>
      </c>
      <c r="L2446" s="754"/>
      <c r="M2446" s="755"/>
      <c r="N2446" s="755"/>
      <c r="O2446" s="755"/>
      <c r="P2446" s="755"/>
      <c r="Q2446" s="756"/>
      <c r="R2446" s="461"/>
      <c r="S2446" s="462"/>
      <c r="T2446" s="463"/>
      <c r="U2446" s="219"/>
      <c r="V2446" s="464"/>
      <c r="Y2446" s="549" t="e">
        <f>IF(Y2440="NO APLICA","NO APLICA",IF(COUNTIF(AD2441:AD2446,"CUMPLE")&gt;0,"CUMPLE","NO CUMPLE"))</f>
        <v>#N/A</v>
      </c>
      <c r="AA2446" s="541" t="e">
        <f>IF(AND(C2445&lt;=F2438,F2438&lt;&gt;""),VLOOKUP(VALUE(E2419&amp;","&amp;C2445),INTEGRANTES!$D$18:$F$235,2,0),"")</f>
        <v>#N/A</v>
      </c>
      <c r="AB2446" s="546" t="e">
        <f t="shared" si="716"/>
        <v>#N/A</v>
      </c>
      <c r="AC2446" s="543"/>
      <c r="AD2446" s="201" t="e">
        <f t="shared" si="717"/>
        <v>#N/A</v>
      </c>
      <c r="AE2446" s="52"/>
      <c r="AF2446" s="52"/>
      <c r="AG2446" s="52"/>
      <c r="AH2446" s="87"/>
      <c r="AI2446" s="87"/>
    </row>
    <row r="2447" spans="1:35" hidden="1">
      <c r="A2447" s="103"/>
      <c r="B2447" s="206"/>
      <c r="C2447" s="206"/>
      <c r="D2447" s="206"/>
      <c r="E2447" s="206"/>
      <c r="F2447" s="206"/>
      <c r="G2447" s="206"/>
      <c r="H2447" s="206"/>
      <c r="I2447" s="104"/>
      <c r="J2447" s="206"/>
      <c r="K2447" s="113"/>
      <c r="L2447" s="113"/>
      <c r="M2447" s="113"/>
      <c r="N2447" s="222"/>
      <c r="O2447" s="113"/>
      <c r="P2447" s="113"/>
      <c r="Q2447" s="113"/>
      <c r="R2447" s="206"/>
      <c r="S2447" s="104"/>
      <c r="T2447" s="206"/>
      <c r="U2447" s="474"/>
      <c r="AH2447" s="87"/>
      <c r="AI2447" s="87"/>
    </row>
    <row r="2448" spans="1:35" hidden="1">
      <c r="H2448" s="220"/>
      <c r="AH2448" s="87"/>
      <c r="AI2448" s="87"/>
    </row>
    <row r="2449" spans="1:35" ht="24" hidden="1" thickBot="1">
      <c r="A2449" s="61">
        <v>82</v>
      </c>
      <c r="B2449" s="704" t="s">
        <v>51</v>
      </c>
      <c r="C2449" s="704"/>
      <c r="D2449" s="704"/>
      <c r="E2449" s="62" t="e">
        <f>VLOOKUP(A2449,PROPONENTES!$B$19:$E$218,2,FALSE)</f>
        <v>#N/A</v>
      </c>
      <c r="F2449" s="63" t="e">
        <f>VLOOKUP(A2449,PROPONENTES!$B$19:$E$218,3,FALSE)</f>
        <v>#N/A</v>
      </c>
      <c r="G2449" s="64"/>
      <c r="H2449" s="64"/>
      <c r="I2449" s="63"/>
      <c r="J2449" s="63"/>
      <c r="K2449" s="65"/>
      <c r="L2449" s="65"/>
      <c r="M2449" s="64"/>
      <c r="N2449" s="64"/>
      <c r="O2449" s="66"/>
      <c r="P2449" s="66"/>
      <c r="Q2449" s="66"/>
      <c r="R2449" s="66"/>
      <c r="S2449" s="67"/>
      <c r="T2449" s="68"/>
      <c r="U2449" s="68"/>
      <c r="AC2449" s="68"/>
      <c r="AD2449" s="68"/>
      <c r="AE2449" s="68"/>
      <c r="AF2449" s="68"/>
      <c r="AG2449" s="68"/>
      <c r="AH2449" s="87"/>
      <c r="AI2449" s="87"/>
    </row>
    <row r="2450" spans="1:35" ht="15.75" hidden="1" customHeight="1">
      <c r="A2450" s="44"/>
      <c r="B2450" s="709" t="s">
        <v>59</v>
      </c>
      <c r="C2450" s="552" t="s">
        <v>60</v>
      </c>
      <c r="D2450" s="70" t="s">
        <v>17</v>
      </c>
      <c r="E2450" s="70"/>
      <c r="F2450" s="70" t="s">
        <v>61</v>
      </c>
      <c r="G2450" s="71"/>
      <c r="H2450" s="699" t="s">
        <v>62</v>
      </c>
      <c r="I2450" s="699" t="s">
        <v>18</v>
      </c>
      <c r="J2450" s="699" t="s">
        <v>63</v>
      </c>
      <c r="K2450" s="699" t="s">
        <v>64</v>
      </c>
      <c r="L2450" s="699" t="s">
        <v>65</v>
      </c>
      <c r="M2450" s="743" t="s">
        <v>66</v>
      </c>
      <c r="N2450" s="699" t="s">
        <v>282</v>
      </c>
      <c r="O2450" s="745" t="s">
        <v>67</v>
      </c>
      <c r="P2450" s="746"/>
      <c r="Q2450" s="102" t="s">
        <v>75</v>
      </c>
      <c r="R2450" s="731" t="s">
        <v>22</v>
      </c>
      <c r="S2450" s="732"/>
      <c r="T2450" s="733"/>
      <c r="U2450" s="712" t="s">
        <v>298</v>
      </c>
      <c r="W2450" s="690" t="s">
        <v>268</v>
      </c>
      <c r="X2450" s="691"/>
      <c r="Y2450" s="692"/>
      <c r="Z2450" s="428"/>
      <c r="AA2450" s="697" t="s">
        <v>315</v>
      </c>
      <c r="AB2450" s="695" t="s">
        <v>322</v>
      </c>
      <c r="AC2450" s="49"/>
      <c r="AD2450" s="690" t="s">
        <v>297</v>
      </c>
      <c r="AE2450" s="691"/>
      <c r="AF2450" s="692"/>
      <c r="AG2450" s="49"/>
      <c r="AH2450" s="87"/>
      <c r="AI2450" s="87"/>
    </row>
    <row r="2451" spans="1:35" ht="72" hidden="1">
      <c r="A2451" s="44"/>
      <c r="B2451" s="710"/>
      <c r="C2451" s="553" t="s">
        <v>68</v>
      </c>
      <c r="D2451" s="73" t="s">
        <v>3</v>
      </c>
      <c r="E2451" s="73" t="s">
        <v>19</v>
      </c>
      <c r="F2451" s="73" t="s">
        <v>69</v>
      </c>
      <c r="G2451" s="74" t="s">
        <v>70</v>
      </c>
      <c r="H2451" s="700"/>
      <c r="I2451" s="700"/>
      <c r="J2451" s="700"/>
      <c r="K2451" s="700"/>
      <c r="L2451" s="700"/>
      <c r="M2451" s="744"/>
      <c r="N2451" s="700"/>
      <c r="O2451" s="553" t="s">
        <v>279</v>
      </c>
      <c r="P2451" s="73" t="s">
        <v>88</v>
      </c>
      <c r="Q2451" s="555" t="s">
        <v>76</v>
      </c>
      <c r="R2451" s="734"/>
      <c r="S2451" s="735"/>
      <c r="T2451" s="736"/>
      <c r="U2451" s="712"/>
      <c r="W2451" s="429" t="s">
        <v>269</v>
      </c>
      <c r="X2451" s="457" t="s">
        <v>278</v>
      </c>
      <c r="Y2451" s="430" t="s">
        <v>324</v>
      </c>
      <c r="Z2451" s="428"/>
      <c r="AA2451" s="698"/>
      <c r="AB2451" s="696"/>
      <c r="AC2451" s="49"/>
      <c r="AD2451" s="429" t="s">
        <v>292</v>
      </c>
      <c r="AE2451" s="431" t="s">
        <v>300</v>
      </c>
      <c r="AF2451" s="468" t="s">
        <v>301</v>
      </c>
      <c r="AG2451" s="49"/>
      <c r="AH2451" s="87"/>
      <c r="AI2451" s="87"/>
    </row>
    <row r="2452" spans="1:35" hidden="1">
      <c r="A2452" s="44"/>
      <c r="B2452" s="76"/>
      <c r="C2452" s="77"/>
      <c r="D2452" s="77"/>
      <c r="E2452" s="77"/>
      <c r="F2452" s="77"/>
      <c r="G2452" s="77"/>
      <c r="H2452" s="77"/>
      <c r="I2452" s="77"/>
      <c r="J2452" s="77"/>
      <c r="K2452" s="77"/>
      <c r="L2452" s="77"/>
      <c r="M2452" s="77"/>
      <c r="N2452" s="77"/>
      <c r="O2452" s="77"/>
      <c r="P2452" s="77"/>
      <c r="Q2452" s="77"/>
      <c r="R2452" s="77"/>
      <c r="S2452" s="78"/>
      <c r="T2452" s="79"/>
      <c r="U2452" s="109"/>
      <c r="V2452" s="49"/>
      <c r="W2452" s="432"/>
      <c r="X2452" s="454"/>
      <c r="Y2452" s="433"/>
      <c r="Z2452" s="6"/>
      <c r="AA2452" s="500"/>
      <c r="AB2452" s="562"/>
      <c r="AC2452" s="49"/>
      <c r="AD2452" s="210"/>
      <c r="AE2452" s="434"/>
      <c r="AF2452" s="435"/>
      <c r="AG2452" s="49"/>
      <c r="AH2452" s="87"/>
      <c r="AI2452" s="87"/>
    </row>
    <row r="2453" spans="1:35" hidden="1">
      <c r="A2453" s="80" t="e">
        <f>"A"&amp;E2449</f>
        <v>#N/A</v>
      </c>
      <c r="B2453" s="81">
        <v>1</v>
      </c>
      <c r="C2453" s="82"/>
      <c r="D2453" s="82"/>
      <c r="E2453" s="82"/>
      <c r="F2453" s="82"/>
      <c r="G2453" s="83"/>
      <c r="H2453" s="83"/>
      <c r="I2453" s="84"/>
      <c r="J2453" s="85"/>
      <c r="K2453" s="382"/>
      <c r="L2453" s="85"/>
      <c r="M2453" s="332" t="str">
        <f t="shared" ref="M2453:M2462" si="718">IF(OR(J2453="",L2453="",H2453="NO"),"",IF(OR(J2453&gt;$P$17,J2453&lt;$O$17,L2453&gt;$P$17,AND(J2453&lt;$O$17,L2453&lt;$O$17)),"FUERA DE RANGO",IF(OR(K2453="---",K2453=""),IF(J2453&gt;=$O$17,ROUND((L2453-J2453+1)/360*12,3),ROUND((L2453-$O$17+1)/360*12,3)),IF(J2453&gt;=$O$17,ROUND((L2453-J2453+1)/360*12-ROUND(K2453,3),3),ROUND((L2453-$O$17+1)/360*12-ROUND(K2453,3),3)))))</f>
        <v/>
      </c>
      <c r="N2453" s="86"/>
      <c r="O2453" s="453" t="str">
        <f>IF(OR(G2453="",N2453=""),"",N2453*G2453)</f>
        <v/>
      </c>
      <c r="P2453" s="538" t="str">
        <f>IF(OR(H2453="",M2453="FUERA DE RANGO"),"",IF(OR(L2453&lt;$O$17,L2453&gt;$P$17,L2453="",H2453="NO"),"",IF(OR(N2453="",O2453=""),"",ROUND(O2453,3))))</f>
        <v/>
      </c>
      <c r="Q2453" s="539" t="str">
        <f t="shared" ref="Q2453:Q2462" si="719">IF(AND(H2453="SI",P2453&lt;&gt;""),ROUND(P2453/M2453,3),"")</f>
        <v/>
      </c>
      <c r="R2453" s="737"/>
      <c r="S2453" s="738"/>
      <c r="T2453" s="739"/>
      <c r="U2453" s="470"/>
      <c r="V2453" s="165"/>
      <c r="W2453" s="446"/>
      <c r="X2453" s="456"/>
      <c r="Y2453" s="436"/>
      <c r="Z2453" s="437"/>
      <c r="AA2453" s="560"/>
      <c r="AB2453" s="561"/>
      <c r="AC2453" s="87"/>
      <c r="AD2453" s="466"/>
      <c r="AE2453" s="456"/>
      <c r="AF2453" s="467"/>
      <c r="AG2453" s="87"/>
      <c r="AH2453" s="87"/>
      <c r="AI2453" s="87"/>
    </row>
    <row r="2454" spans="1:35" hidden="1">
      <c r="A2454" s="80" t="e">
        <f>"B"&amp;E2449</f>
        <v>#N/A</v>
      </c>
      <c r="B2454" s="81">
        <v>2</v>
      </c>
      <c r="C2454" s="106"/>
      <c r="D2454" s="106"/>
      <c r="E2454" s="106"/>
      <c r="F2454" s="106"/>
      <c r="G2454" s="83"/>
      <c r="H2454" s="83"/>
      <c r="I2454" s="84"/>
      <c r="J2454" s="85"/>
      <c r="K2454" s="382"/>
      <c r="L2454" s="85"/>
      <c r="M2454" s="332" t="str">
        <f t="shared" si="718"/>
        <v/>
      </c>
      <c r="N2454" s="86"/>
      <c r="O2454" s="453" t="str">
        <f t="shared" ref="O2454:O2462" si="720">IF(OR(G2454="",N2454=""),"",N2454*G2454)</f>
        <v/>
      </c>
      <c r="P2454" s="538" t="str">
        <f t="shared" ref="P2454:P2462" si="721">IF(OR(H2454="",M2454="FUERA DE RANGO"),"",IF(OR(L2454&lt;$O$17,L2454&gt;$P$17,L2454="",H2454="NO"),"",IF(OR(N2454="",O2454=""),"",ROUND(O2454,3))))</f>
        <v/>
      </c>
      <c r="Q2454" s="539" t="str">
        <f t="shared" si="719"/>
        <v/>
      </c>
      <c r="R2454" s="740"/>
      <c r="S2454" s="741"/>
      <c r="T2454" s="742"/>
      <c r="U2454" s="471"/>
      <c r="V2454" s="165"/>
      <c r="W2454" s="446"/>
      <c r="X2454" s="456"/>
      <c r="Y2454" s="436"/>
      <c r="Z2454" s="437"/>
      <c r="AA2454" s="560"/>
      <c r="AB2454" s="561"/>
      <c r="AC2454" s="87"/>
      <c r="AD2454" s="466"/>
      <c r="AE2454" s="456"/>
      <c r="AF2454" s="467"/>
      <c r="AG2454" s="87"/>
      <c r="AH2454" s="87"/>
      <c r="AI2454" s="87"/>
    </row>
    <row r="2455" spans="1:35" hidden="1">
      <c r="A2455" s="80" t="e">
        <f>"C"&amp;E2449</f>
        <v>#N/A</v>
      </c>
      <c r="B2455" s="88">
        <v>3</v>
      </c>
      <c r="C2455" s="82"/>
      <c r="D2455" s="82"/>
      <c r="E2455" s="82"/>
      <c r="F2455" s="82"/>
      <c r="G2455" s="83"/>
      <c r="H2455" s="83"/>
      <c r="I2455" s="84"/>
      <c r="J2455" s="85"/>
      <c r="K2455" s="382"/>
      <c r="L2455" s="85"/>
      <c r="M2455" s="332" t="str">
        <f t="shared" si="718"/>
        <v/>
      </c>
      <c r="N2455" s="86"/>
      <c r="O2455" s="453" t="str">
        <f t="shared" si="720"/>
        <v/>
      </c>
      <c r="P2455" s="538" t="str">
        <f t="shared" si="721"/>
        <v/>
      </c>
      <c r="Q2455" s="539" t="str">
        <f t="shared" si="719"/>
        <v/>
      </c>
      <c r="R2455" s="706"/>
      <c r="S2455" s="707"/>
      <c r="T2455" s="708"/>
      <c r="U2455" s="472"/>
      <c r="V2455" s="166"/>
      <c r="W2455" s="446"/>
      <c r="X2455" s="456"/>
      <c r="Y2455" s="436"/>
      <c r="Z2455" s="437"/>
      <c r="AA2455" s="560"/>
      <c r="AB2455" s="561"/>
      <c r="AC2455" s="87"/>
      <c r="AD2455" s="466"/>
      <c r="AE2455" s="456"/>
      <c r="AF2455" s="467"/>
      <c r="AG2455" s="87"/>
      <c r="AH2455" s="87"/>
      <c r="AI2455" s="87"/>
    </row>
    <row r="2456" spans="1:35" hidden="1">
      <c r="A2456" s="80" t="e">
        <f>"D"&amp;E2449</f>
        <v>#N/A</v>
      </c>
      <c r="B2456" s="105">
        <v>4</v>
      </c>
      <c r="C2456" s="107"/>
      <c r="D2456" s="107"/>
      <c r="E2456" s="107"/>
      <c r="F2456" s="107"/>
      <c r="G2456" s="83"/>
      <c r="H2456" s="83"/>
      <c r="I2456" s="84"/>
      <c r="J2456" s="85"/>
      <c r="K2456" s="382"/>
      <c r="L2456" s="85"/>
      <c r="M2456" s="332" t="str">
        <f t="shared" si="718"/>
        <v/>
      </c>
      <c r="N2456" s="86"/>
      <c r="O2456" s="453" t="str">
        <f t="shared" si="720"/>
        <v/>
      </c>
      <c r="P2456" s="538" t="str">
        <f t="shared" si="721"/>
        <v/>
      </c>
      <c r="Q2456" s="539" t="str">
        <f t="shared" si="719"/>
        <v/>
      </c>
      <c r="R2456" s="706"/>
      <c r="S2456" s="707"/>
      <c r="T2456" s="708"/>
      <c r="U2456" s="472"/>
      <c r="V2456" s="166"/>
      <c r="W2456" s="446"/>
      <c r="X2456" s="456"/>
      <c r="Y2456" s="436"/>
      <c r="Z2456" s="437"/>
      <c r="AA2456" s="560"/>
      <c r="AB2456" s="561"/>
      <c r="AC2456" s="87"/>
      <c r="AD2456" s="466"/>
      <c r="AE2456" s="456"/>
      <c r="AF2456" s="467"/>
      <c r="AG2456" s="87"/>
      <c r="AH2456" s="87"/>
      <c r="AI2456" s="87"/>
    </row>
    <row r="2457" spans="1:35" hidden="1">
      <c r="A2457" s="80" t="e">
        <f>"E"&amp;E2449</f>
        <v>#N/A</v>
      </c>
      <c r="B2457" s="105">
        <v>5</v>
      </c>
      <c r="C2457" s="107"/>
      <c r="D2457" s="107"/>
      <c r="E2457" s="107"/>
      <c r="F2457" s="107"/>
      <c r="G2457" s="83"/>
      <c r="H2457" s="83"/>
      <c r="I2457" s="84"/>
      <c r="J2457" s="85"/>
      <c r="K2457" s="382"/>
      <c r="L2457" s="85"/>
      <c r="M2457" s="332" t="str">
        <f t="shared" si="718"/>
        <v/>
      </c>
      <c r="N2457" s="86"/>
      <c r="O2457" s="453" t="str">
        <f t="shared" si="720"/>
        <v/>
      </c>
      <c r="P2457" s="538" t="str">
        <f t="shared" si="721"/>
        <v/>
      </c>
      <c r="Q2457" s="539" t="str">
        <f t="shared" si="719"/>
        <v/>
      </c>
      <c r="R2457" s="706"/>
      <c r="S2457" s="707"/>
      <c r="T2457" s="708"/>
      <c r="U2457" s="472"/>
      <c r="V2457" s="167"/>
      <c r="W2457" s="446"/>
      <c r="X2457" s="456"/>
      <c r="Y2457" s="436"/>
      <c r="Z2457" s="437"/>
      <c r="AA2457" s="560"/>
      <c r="AB2457" s="561"/>
      <c r="AC2457" s="87"/>
      <c r="AD2457" s="466"/>
      <c r="AE2457" s="456"/>
      <c r="AF2457" s="467"/>
      <c r="AG2457" s="87"/>
      <c r="AH2457" s="87"/>
      <c r="AI2457" s="87"/>
    </row>
    <row r="2458" spans="1:35" hidden="1">
      <c r="A2458" s="80" t="e">
        <f>"F"&amp;E2449</f>
        <v>#N/A</v>
      </c>
      <c r="B2458" s="105">
        <v>6</v>
      </c>
      <c r="C2458" s="107"/>
      <c r="D2458" s="107"/>
      <c r="E2458" s="107"/>
      <c r="F2458" s="107"/>
      <c r="G2458" s="83"/>
      <c r="H2458" s="83"/>
      <c r="I2458" s="84"/>
      <c r="J2458" s="85"/>
      <c r="K2458" s="382"/>
      <c r="L2458" s="85"/>
      <c r="M2458" s="332" t="str">
        <f t="shared" si="718"/>
        <v/>
      </c>
      <c r="N2458" s="86"/>
      <c r="O2458" s="453" t="str">
        <f t="shared" si="720"/>
        <v/>
      </c>
      <c r="P2458" s="538" t="str">
        <f t="shared" si="721"/>
        <v/>
      </c>
      <c r="Q2458" s="539" t="str">
        <f t="shared" si="719"/>
        <v/>
      </c>
      <c r="R2458" s="706"/>
      <c r="S2458" s="707"/>
      <c r="T2458" s="708"/>
      <c r="U2458" s="472"/>
      <c r="V2458" s="167"/>
      <c r="W2458" s="446"/>
      <c r="X2458" s="456"/>
      <c r="Y2458" s="436"/>
      <c r="Z2458" s="437"/>
      <c r="AA2458" s="560"/>
      <c r="AB2458" s="561"/>
      <c r="AC2458" s="87"/>
      <c r="AD2458" s="466"/>
      <c r="AE2458" s="456"/>
      <c r="AF2458" s="467"/>
      <c r="AG2458" s="87"/>
      <c r="AH2458" s="87"/>
      <c r="AI2458" s="87"/>
    </row>
    <row r="2459" spans="1:35" hidden="1">
      <c r="A2459" s="80" t="e">
        <f>"G"&amp;E2449</f>
        <v>#N/A</v>
      </c>
      <c r="B2459" s="105">
        <v>7</v>
      </c>
      <c r="C2459" s="107"/>
      <c r="D2459" s="107"/>
      <c r="E2459" s="107"/>
      <c r="F2459" s="107"/>
      <c r="G2459" s="83"/>
      <c r="H2459" s="83"/>
      <c r="I2459" s="84"/>
      <c r="J2459" s="85"/>
      <c r="K2459" s="382"/>
      <c r="L2459" s="85"/>
      <c r="M2459" s="332" t="str">
        <f t="shared" si="718"/>
        <v/>
      </c>
      <c r="N2459" s="86"/>
      <c r="O2459" s="86" t="str">
        <f t="shared" si="720"/>
        <v/>
      </c>
      <c r="P2459" s="538" t="str">
        <f t="shared" si="721"/>
        <v/>
      </c>
      <c r="Q2459" s="539" t="str">
        <f t="shared" si="719"/>
        <v/>
      </c>
      <c r="R2459" s="706"/>
      <c r="S2459" s="707"/>
      <c r="T2459" s="708"/>
      <c r="U2459" s="472"/>
      <c r="V2459" s="167"/>
      <c r="W2459" s="446"/>
      <c r="X2459" s="456"/>
      <c r="Y2459" s="436"/>
      <c r="Z2459" s="437"/>
      <c r="AA2459" s="560"/>
      <c r="AB2459" s="561"/>
      <c r="AC2459" s="87"/>
      <c r="AD2459" s="466"/>
      <c r="AE2459" s="456"/>
      <c r="AF2459" s="467"/>
      <c r="AG2459" s="87"/>
      <c r="AH2459" s="87"/>
      <c r="AI2459" s="87"/>
    </row>
    <row r="2460" spans="1:35" hidden="1">
      <c r="A2460" s="80" t="e">
        <f>"H"&amp;E2449</f>
        <v>#N/A</v>
      </c>
      <c r="B2460" s="105">
        <v>8</v>
      </c>
      <c r="C2460" s="107"/>
      <c r="D2460" s="107"/>
      <c r="E2460" s="107"/>
      <c r="F2460" s="107"/>
      <c r="G2460" s="83"/>
      <c r="H2460" s="83"/>
      <c r="I2460" s="84"/>
      <c r="J2460" s="85"/>
      <c r="K2460" s="382"/>
      <c r="L2460" s="85"/>
      <c r="M2460" s="332" t="str">
        <f t="shared" si="718"/>
        <v/>
      </c>
      <c r="N2460" s="453"/>
      <c r="O2460" s="86" t="str">
        <f t="shared" si="720"/>
        <v/>
      </c>
      <c r="P2460" s="538" t="str">
        <f t="shared" si="721"/>
        <v/>
      </c>
      <c r="Q2460" s="539" t="str">
        <f t="shared" si="719"/>
        <v/>
      </c>
      <c r="R2460" s="706"/>
      <c r="S2460" s="707"/>
      <c r="T2460" s="708"/>
      <c r="U2460" s="472"/>
      <c r="V2460" s="167"/>
      <c r="W2460" s="446"/>
      <c r="X2460" s="456"/>
      <c r="Y2460" s="436"/>
      <c r="Z2460" s="437"/>
      <c r="AA2460" s="560"/>
      <c r="AB2460" s="561"/>
      <c r="AC2460" s="87"/>
      <c r="AD2460" s="466"/>
      <c r="AE2460" s="456"/>
      <c r="AF2460" s="467"/>
      <c r="AG2460" s="87"/>
      <c r="AH2460" s="87"/>
      <c r="AI2460" s="87"/>
    </row>
    <row r="2461" spans="1:35" hidden="1">
      <c r="A2461" s="80" t="e">
        <f>"I"&amp;E2449</f>
        <v>#N/A</v>
      </c>
      <c r="B2461" s="105">
        <v>9</v>
      </c>
      <c r="C2461" s="107"/>
      <c r="D2461" s="107"/>
      <c r="E2461" s="107"/>
      <c r="F2461" s="107"/>
      <c r="G2461" s="83"/>
      <c r="H2461" s="83"/>
      <c r="I2461" s="84"/>
      <c r="J2461" s="85"/>
      <c r="K2461" s="382"/>
      <c r="L2461" s="85"/>
      <c r="M2461" s="332" t="str">
        <f t="shared" si="718"/>
        <v/>
      </c>
      <c r="N2461" s="453"/>
      <c r="O2461" s="86" t="str">
        <f t="shared" si="720"/>
        <v/>
      </c>
      <c r="P2461" s="538" t="str">
        <f t="shared" si="721"/>
        <v/>
      </c>
      <c r="Q2461" s="539" t="str">
        <f t="shared" si="719"/>
        <v/>
      </c>
      <c r="R2461" s="706"/>
      <c r="S2461" s="707"/>
      <c r="T2461" s="708"/>
      <c r="U2461" s="472"/>
      <c r="V2461" s="167"/>
      <c r="W2461" s="446"/>
      <c r="X2461" s="456"/>
      <c r="Y2461" s="436"/>
      <c r="Z2461" s="437"/>
      <c r="AA2461" s="560"/>
      <c r="AB2461" s="561"/>
      <c r="AC2461" s="87"/>
      <c r="AD2461" s="466"/>
      <c r="AE2461" s="456"/>
      <c r="AF2461" s="467"/>
      <c r="AG2461" s="87"/>
      <c r="AH2461" s="87"/>
      <c r="AI2461" s="87"/>
    </row>
    <row r="2462" spans="1:35" hidden="1">
      <c r="A2462" s="80" t="e">
        <f>"J"&amp;E2449</f>
        <v>#N/A</v>
      </c>
      <c r="B2462" s="105">
        <v>10</v>
      </c>
      <c r="C2462" s="107"/>
      <c r="D2462" s="107"/>
      <c r="E2462" s="107"/>
      <c r="F2462" s="107"/>
      <c r="G2462" s="83"/>
      <c r="H2462" s="83"/>
      <c r="I2462" s="84"/>
      <c r="J2462" s="85"/>
      <c r="K2462" s="382"/>
      <c r="L2462" s="85"/>
      <c r="M2462" s="332" t="str">
        <f t="shared" si="718"/>
        <v/>
      </c>
      <c r="N2462" s="453"/>
      <c r="O2462" s="86" t="str">
        <f t="shared" si="720"/>
        <v/>
      </c>
      <c r="P2462" s="538" t="str">
        <f t="shared" si="721"/>
        <v/>
      </c>
      <c r="Q2462" s="539" t="str">
        <f t="shared" si="719"/>
        <v/>
      </c>
      <c r="R2462" s="706"/>
      <c r="S2462" s="707"/>
      <c r="T2462" s="708"/>
      <c r="U2462" s="472"/>
      <c r="V2462" s="167"/>
      <c r="W2462" s="446"/>
      <c r="X2462" s="456"/>
      <c r="Y2462" s="436"/>
      <c r="Z2462" s="437"/>
      <c r="AA2462" s="560"/>
      <c r="AB2462" s="561"/>
      <c r="AC2462" s="87"/>
      <c r="AD2462" s="466"/>
      <c r="AE2462" s="456"/>
      <c r="AF2462" s="467"/>
      <c r="AG2462" s="87"/>
      <c r="AH2462" s="87"/>
      <c r="AI2462" s="87"/>
    </row>
    <row r="2463" spans="1:35" ht="16.5" hidden="1" thickBot="1">
      <c r="A2463" s="44"/>
      <c r="B2463" s="89"/>
      <c r="C2463" s="90"/>
      <c r="D2463" s="90"/>
      <c r="E2463" s="90"/>
      <c r="F2463" s="90"/>
      <c r="G2463" s="90"/>
      <c r="H2463" s="90"/>
      <c r="I2463" s="90"/>
      <c r="J2463" s="90"/>
      <c r="K2463" s="90"/>
      <c r="L2463" s="90"/>
      <c r="M2463" s="90"/>
      <c r="N2463" s="90"/>
      <c r="O2463" s="90"/>
      <c r="P2463" s="90"/>
      <c r="Q2463" s="90"/>
      <c r="R2463" s="90"/>
      <c r="S2463" s="91"/>
      <c r="T2463" s="92"/>
      <c r="U2463" s="473"/>
      <c r="W2463" s="438"/>
      <c r="X2463" s="455"/>
      <c r="Y2463" s="439"/>
      <c r="Z2463" s="437"/>
      <c r="AA2463" s="530"/>
      <c r="AB2463" s="563"/>
      <c r="AC2463" s="87"/>
      <c r="AD2463" s="440"/>
      <c r="AE2463" s="441"/>
      <c r="AF2463" s="442"/>
      <c r="AG2463" s="49"/>
      <c r="AH2463" s="87"/>
      <c r="AI2463" s="87"/>
    </row>
    <row r="2464" spans="1:35" ht="16.5" hidden="1" thickBot="1">
      <c r="A2464" s="93"/>
      <c r="B2464" s="94"/>
      <c r="C2464" s="96"/>
      <c r="D2464" s="96"/>
      <c r="E2464" s="96"/>
      <c r="F2464" s="96"/>
      <c r="G2464" s="96"/>
      <c r="H2464" s="96"/>
      <c r="I2464" s="96"/>
      <c r="J2464" s="96"/>
      <c r="K2464" s="96"/>
      <c r="L2464" s="96"/>
      <c r="M2464" s="136"/>
      <c r="N2464" s="96"/>
      <c r="O2464" s="96"/>
      <c r="P2464" s="97"/>
      <c r="Q2464" s="97"/>
      <c r="R2464" s="98"/>
      <c r="S2464" s="95"/>
      <c r="T2464" s="99"/>
      <c r="U2464" s="469"/>
      <c r="AC2464" s="58"/>
      <c r="AG2464" s="58"/>
      <c r="AH2464" s="87"/>
      <c r="AI2464" s="87"/>
    </row>
    <row r="2465" spans="1:35" ht="16.5" hidden="1" thickBot="1">
      <c r="B2465" s="101"/>
      <c r="C2465" s="101"/>
      <c r="D2465" s="101"/>
      <c r="E2465" s="101"/>
      <c r="F2465" s="101"/>
      <c r="G2465" s="101"/>
      <c r="H2465" s="101"/>
      <c r="I2465" s="101"/>
      <c r="J2465" s="101"/>
      <c r="K2465" s="101"/>
      <c r="L2465" s="101"/>
      <c r="M2465" s="101"/>
      <c r="N2465" s="101"/>
      <c r="O2465" s="101"/>
      <c r="P2465" s="101"/>
      <c r="Q2465" s="101"/>
      <c r="R2465" s="101"/>
      <c r="S2465" s="101"/>
      <c r="U2465" s="50"/>
      <c r="AH2465" s="87"/>
      <c r="AI2465" s="87"/>
    </row>
    <row r="2466" spans="1:35" ht="16.5" hidden="1" customHeight="1" thickBot="1">
      <c r="A2466" s="44"/>
      <c r="B2466" s="705" t="s">
        <v>74</v>
      </c>
      <c r="C2466" s="705"/>
      <c r="D2466" s="705"/>
      <c r="E2466" s="705"/>
      <c r="F2466" s="705"/>
      <c r="G2466" s="705"/>
      <c r="H2466" s="705"/>
      <c r="I2466" s="705"/>
      <c r="J2466" s="705"/>
      <c r="K2466" s="705"/>
      <c r="L2466" s="705"/>
      <c r="M2466" s="705"/>
      <c r="N2466" s="705"/>
      <c r="O2466" s="705"/>
      <c r="P2466" s="705"/>
      <c r="Q2466" s="705"/>
      <c r="R2466" s="705"/>
      <c r="S2466" s="705"/>
      <c r="T2466" s="705"/>
      <c r="U2466" s="108"/>
      <c r="Y2466" s="532" t="s">
        <v>341</v>
      </c>
      <c r="AC2466" s="49"/>
      <c r="AD2466" s="687" t="s">
        <v>302</v>
      </c>
      <c r="AE2466" s="688"/>
      <c r="AF2466" s="689"/>
      <c r="AG2466" s="49"/>
      <c r="AH2466" s="87"/>
      <c r="AI2466" s="87"/>
    </row>
    <row r="2467" spans="1:35" ht="15.75" hidden="1" customHeight="1" thickBot="1">
      <c r="A2467" s="218" t="e">
        <f>"K"&amp;E2449</f>
        <v>#N/A</v>
      </c>
      <c r="B2467" s="701" t="s">
        <v>71</v>
      </c>
      <c r="C2467" s="751" t="s">
        <v>102</v>
      </c>
      <c r="D2467" s="751"/>
      <c r="E2467" s="751"/>
      <c r="F2467" s="751"/>
      <c r="G2467" s="751"/>
      <c r="H2467" s="751"/>
      <c r="I2467" s="751"/>
      <c r="J2467" s="751"/>
      <c r="K2467" s="751"/>
      <c r="L2467" s="722" t="s">
        <v>100</v>
      </c>
      <c r="M2467" s="747" t="s">
        <v>114</v>
      </c>
      <c r="N2467" s="747"/>
      <c r="O2467" s="747"/>
      <c r="P2467" s="747"/>
      <c r="Q2467" s="748"/>
      <c r="R2467" s="758" t="s">
        <v>280</v>
      </c>
      <c r="S2467" s="748"/>
      <c r="T2467" s="762" t="str">
        <f>IF(COUNTIF(AE2467:AF2467,"VERIFICAR")&gt;0,"VERIFICAR",IF(COUNTIF(AE2467:AF2467,"NO CUMPLE")&gt;0,"NO CUMPLE","CUMPLE"))</f>
        <v>VERIFICAR</v>
      </c>
      <c r="U2467" s="108"/>
      <c r="Y2467" s="533" t="e">
        <f>IF(F2468="","",IF(F2468=1,"INDIVIDUAL","ESTRUCTURA PLURAL"))</f>
        <v>#N/A</v>
      </c>
      <c r="AC2467" s="52"/>
      <c r="AD2467" s="475" t="s">
        <v>303</v>
      </c>
      <c r="AE2467" s="476" t="str">
        <f>IF(COUNTIF(AE2453:AE2462,"")=10,"VERIFICAR",IF(COUNTIF(AE2453:AE2462,"SI")&gt;0,"CUMPLE","NO CUMPLE"))</f>
        <v>VERIFICAR</v>
      </c>
      <c r="AF2467" s="477" t="str">
        <f>IF(COUNTIF(AF2453:AF2462,"")=10,"VERIFICAR",IF(COUNTIF(AF2453:AF2462,"SI")&gt;=$AI$22,"CUMPLE","NO CUMPLE"))</f>
        <v>VERIFICAR</v>
      </c>
      <c r="AG2467" s="52"/>
      <c r="AH2467" s="87"/>
      <c r="AI2467" s="87"/>
    </row>
    <row r="2468" spans="1:35" ht="16.5" hidden="1" customHeight="1" thickBot="1">
      <c r="A2468" s="218" t="e">
        <f>"L"&amp;E2449</f>
        <v>#N/A</v>
      </c>
      <c r="B2468" s="702"/>
      <c r="C2468" s="751" t="s">
        <v>103</v>
      </c>
      <c r="D2468" s="751"/>
      <c r="E2468" s="752"/>
      <c r="F2468" s="557" t="e">
        <f>IF(VLOOKUP(E2449,PROPONENTES!$C$19:$E$218,3,0)="","",VLOOKUP(E2449,PROPONENTES!$C$19:$E$218,3,0))</f>
        <v>#N/A</v>
      </c>
      <c r="G2468" s="753" t="s">
        <v>104</v>
      </c>
      <c r="H2468" s="751"/>
      <c r="I2468" s="715" t="e">
        <f>IF(OR(F2468="",F2468=1),"INTERESADO PERSONA NATURAL O JURIDICA","CONSORCIO O UNION TEMPORAL")</f>
        <v>#N/A</v>
      </c>
      <c r="J2468" s="725"/>
      <c r="K2468" s="728"/>
      <c r="L2468" s="723"/>
      <c r="M2468" s="749"/>
      <c r="N2468" s="749"/>
      <c r="O2468" s="749"/>
      <c r="P2468" s="749"/>
      <c r="Q2468" s="750"/>
      <c r="R2468" s="712"/>
      <c r="S2468" s="750"/>
      <c r="T2468" s="763"/>
      <c r="U2468" s="108"/>
      <c r="Y2468" s="534"/>
      <c r="AA2468" s="52"/>
      <c r="AB2468" s="52"/>
      <c r="AC2468" s="52"/>
      <c r="AG2468" s="52"/>
      <c r="AH2468" s="87"/>
      <c r="AI2468" s="87"/>
    </row>
    <row r="2469" spans="1:35" ht="56.25" hidden="1" customHeight="1" thickBot="1">
      <c r="A2469" s="218" t="e">
        <f>"M"&amp;E2449</f>
        <v>#N/A</v>
      </c>
      <c r="B2469" s="702"/>
      <c r="C2469" s="725" t="s">
        <v>101</v>
      </c>
      <c r="D2469" s="716"/>
      <c r="E2469" s="558" t="s">
        <v>105</v>
      </c>
      <c r="F2469" s="554" t="s">
        <v>87</v>
      </c>
      <c r="G2469" s="553" t="s">
        <v>86</v>
      </c>
      <c r="H2469" s="559" t="s">
        <v>85</v>
      </c>
      <c r="I2469" s="554" t="s">
        <v>252</v>
      </c>
      <c r="J2469" s="553" t="str">
        <f>"¿EL INTEGRANTE TIENE UNA PARTICIPACIÓN DEL "&amp;PORCREQUERIDOINT*100&amp;"%?"</f>
        <v>¿EL INTEGRANTE TIENE UNA PARTICIPACIÓN DEL 60%?</v>
      </c>
      <c r="K2469" s="554" t="s">
        <v>107</v>
      </c>
      <c r="L2469" s="724"/>
      <c r="M2469" s="717" t="s">
        <v>115</v>
      </c>
      <c r="N2469" s="718"/>
      <c r="O2469" s="718"/>
      <c r="P2469" s="718"/>
      <c r="Q2469" s="223">
        <f>IF(AND(H2453="SI",P2453&gt;=0),1,0)+IF(AND(H2454="SI",P2454&gt;=0),1,0)+IF(AND(H2455="SI",P2455&gt;=0),1,0)+IF(AND(H2456="SI",P2456&gt;=0),1,0)+IF(AND(H2457="SI",P2457&gt;=0),1,0)+IF(AND(H2458="SI",P2458&gt;=0),1,0)+IF(AND(H2459="SI",P2459&gt;=0),1,0)+IF(AND(H2460="SI",P2460&gt;=0),1,0)+IF(AND(H2461="SI",P2461&gt;=0),1,0)+IF(AND(H2462="SI",P2462&gt;=0),1,0)</f>
        <v>0</v>
      </c>
      <c r="R2469" s="759"/>
      <c r="S2469" s="761"/>
      <c r="T2469" s="764"/>
      <c r="U2469" s="219"/>
      <c r="V2469" s="464"/>
      <c r="Y2469" s="532" t="s">
        <v>342</v>
      </c>
      <c r="AA2469" s="550" t="s">
        <v>344</v>
      </c>
      <c r="AB2469" s="693" t="s">
        <v>345</v>
      </c>
      <c r="AC2469" s="693" t="s">
        <v>346</v>
      </c>
      <c r="AD2469" s="685" t="s">
        <v>347</v>
      </c>
      <c r="AE2469" s="52"/>
      <c r="AF2469" s="52"/>
      <c r="AG2469" s="52"/>
      <c r="AH2469" s="87"/>
      <c r="AI2469" s="87"/>
    </row>
    <row r="2470" spans="1:35" ht="15.75" hidden="1" customHeight="1" thickBot="1">
      <c r="A2470" s="218" t="e">
        <f>"N"&amp;E2449</f>
        <v>#N/A</v>
      </c>
      <c r="B2470" s="702"/>
      <c r="C2470" s="114">
        <v>1</v>
      </c>
      <c r="D2470" s="194" t="e">
        <f>IF(AND(C2470&lt;=F2468,F2468&gt;1,F2468&lt;&gt;""),VLOOKUP(VALUE(E2449&amp;","&amp;C2470),INTEGRANTES!$D$18:$F$235,2,0),"")</f>
        <v>#N/A</v>
      </c>
      <c r="E2470" s="211" t="e">
        <f>IF(D2470&lt;&gt;"",VLOOKUP(VALUE(E2449&amp;","&amp;C2470),INTEGRANTES!$D$18:$F$235,3,0),"")</f>
        <v>#N/A</v>
      </c>
      <c r="F2470" s="547" t="e">
        <f>IF(D2470="","",SUMIF($I2453:$I2462,D2470,$P2453:$P2462))</f>
        <v>#N/A</v>
      </c>
      <c r="G2470" s="333" t="e">
        <f>IF(D2470="","",SUMIF($I2453:$I2462,D2470,$M2453:$M2462))</f>
        <v>#N/A</v>
      </c>
      <c r="H2470" s="535" t="e">
        <f t="shared" ref="H2470:H2475" si="722">IF(D2470="","",IF(OR(F2470=0,G2470=0),"NO APORTA",ROUND($F2470/$G2470,3)))</f>
        <v>#N/A</v>
      </c>
      <c r="I2470" s="212" t="e">
        <f>IF(D2470="","",IF(H2470="NO APORTA","NO",IF(H2470=MAX($H2470:$H2475),"SI","NO")))</f>
        <v>#N/A</v>
      </c>
      <c r="J2470" s="213" t="e">
        <f t="shared" ref="J2470:J2475" si="723">IF(D2470="","",IF(E2470&gt;=PORCREQUERIDOINT,"SI","NO"))</f>
        <v>#N/A</v>
      </c>
      <c r="K2470" s="200" t="e">
        <f t="shared" ref="K2470:K2475" si="724">IF(D2470="","",IF(AND(I2470="SI",J2470="SI"),"CUMPLE",IF(AND(I2470="NO",OR(J2470="SI",J2470="NO")),"","NO CUMPLE")))</f>
        <v>#N/A</v>
      </c>
      <c r="L2470" s="722" t="s">
        <v>108</v>
      </c>
      <c r="M2470" s="726" t="s">
        <v>119</v>
      </c>
      <c r="N2470" s="726"/>
      <c r="O2470" s="726"/>
      <c r="P2470" s="726"/>
      <c r="Q2470" s="727"/>
      <c r="R2470" s="758" t="s">
        <v>80</v>
      </c>
      <c r="S2470" s="747"/>
      <c r="T2470" s="748"/>
      <c r="U2470" s="219"/>
      <c r="V2470" s="464"/>
      <c r="Y2470" s="533" t="e">
        <f>IF(Y2467="","",IF(Y2467="INDIVIDUAL","NO APLICA","VERIFICAR CUADRO"))</f>
        <v>#N/A</v>
      </c>
      <c r="AA2470" s="551"/>
      <c r="AB2470" s="694"/>
      <c r="AC2470" s="694"/>
      <c r="AD2470" s="686"/>
      <c r="AE2470" s="52"/>
      <c r="AF2470" s="52"/>
      <c r="AG2470" s="52"/>
      <c r="AH2470" s="87"/>
      <c r="AI2470" s="87"/>
    </row>
    <row r="2471" spans="1:35" ht="27" hidden="1" customHeight="1" thickBot="1">
      <c r="A2471" s="218" t="e">
        <f>"O"&amp;E2449</f>
        <v>#N/A</v>
      </c>
      <c r="B2471" s="702"/>
      <c r="C2471" s="114">
        <v>2</v>
      </c>
      <c r="D2471" s="194" t="e">
        <f>IF(AND(C2471&lt;=F2468,F2468&lt;&gt;""),VLOOKUP(VALUE(E2449&amp;","&amp;C2471),INTEGRANTES!$D$18:$F$235,2,0),"")</f>
        <v>#N/A</v>
      </c>
      <c r="E2471" s="211" t="e">
        <f>IF(D2471&lt;&gt;"",VLOOKUP(VALUE(E2449&amp;","&amp;C2471),INTEGRANTES!$D$18:$F$235,3,0),"")</f>
        <v>#N/A</v>
      </c>
      <c r="F2471" s="547" t="e">
        <f>IF(D2471="","",SUMIF($I2453:$I2462,D2471,$P2453:$P2462))</f>
        <v>#N/A</v>
      </c>
      <c r="G2471" s="333" t="e">
        <f>IF(D2471="","",SUMIF($I2453:$I2462,D2471,$M2453:$M2462))</f>
        <v>#N/A</v>
      </c>
      <c r="H2471" s="535" t="e">
        <f t="shared" si="722"/>
        <v>#N/A</v>
      </c>
      <c r="I2471" s="212" t="e">
        <f>IF(D2471="","",IF(H2471="NO APORTA","NO",IF(H2471=MAX($H2470:$H2475),"SI","NO")))</f>
        <v>#N/A</v>
      </c>
      <c r="J2471" s="213" t="e">
        <f t="shared" si="723"/>
        <v>#N/A</v>
      </c>
      <c r="K2471" s="200" t="e">
        <f t="shared" si="724"/>
        <v>#N/A</v>
      </c>
      <c r="L2471" s="723"/>
      <c r="M2471" s="715" t="s">
        <v>116</v>
      </c>
      <c r="N2471" s="716"/>
      <c r="O2471" s="556" t="s">
        <v>113</v>
      </c>
      <c r="P2471" s="715" t="s">
        <v>117</v>
      </c>
      <c r="Q2471" s="728"/>
      <c r="R2471" s="759"/>
      <c r="S2471" s="760"/>
      <c r="T2471" s="761"/>
      <c r="U2471" s="219"/>
      <c r="V2471" s="464"/>
      <c r="Y2471" s="414"/>
      <c r="AA2471" s="542" t="e">
        <f>IF(AND(C2470&lt;=F2468,F2468&gt;1,F2468&lt;&gt;""),VLOOKUP(VALUE(E2449&amp;","&amp;C2470),INTEGRANTES!$D$18:$F$235,2,0),"")</f>
        <v>#N/A</v>
      </c>
      <c r="AB2471" s="544" t="e">
        <f t="shared" ref="AB2471:AB2476" si="725">IF(D2470="","",IF(OR(F2470=0,G2470=0),"NO APORTA",ROUND($F2470/$G2470,3)))</f>
        <v>#N/A</v>
      </c>
      <c r="AC2471" s="529"/>
      <c r="AD2471" s="200" t="e">
        <f t="shared" ref="AD2471:AD2476" si="726">IF(OR(AA2471="",AB2471=""),"",IF(AND(AC2471="X",AB2471&gt;=EXPREQVTD),"CUMPLE","NO CUMPLE"))</f>
        <v>#N/A</v>
      </c>
      <c r="AE2471" s="52"/>
      <c r="AF2471" s="52"/>
      <c r="AG2471" s="52"/>
      <c r="AH2471" s="87"/>
      <c r="AI2471" s="87"/>
    </row>
    <row r="2472" spans="1:35" ht="16.5" hidden="1" thickBot="1">
      <c r="A2472" s="218" t="e">
        <f>"P"&amp;E2449</f>
        <v>#N/A</v>
      </c>
      <c r="B2472" s="702"/>
      <c r="C2472" s="114">
        <v>3</v>
      </c>
      <c r="D2472" s="194" t="e">
        <f>IF(AND(C2472&lt;=F2468,F2468&lt;&gt;""),VLOOKUP(VALUE(E2449&amp;","&amp;C2472),INTEGRANTES!$D$18:$F$235,2,0),"")</f>
        <v>#N/A</v>
      </c>
      <c r="E2472" s="211" t="e">
        <f>IF(D2472&lt;&gt;"",VLOOKUP(VALUE(E2449&amp;","&amp;C2472),INTEGRANTES!$D$18:$F$235,3,0),"")</f>
        <v>#N/A</v>
      </c>
      <c r="F2472" s="547" t="e">
        <f>IF(D2472="","",SUMIF($I2453:$I2462,D2472,$P2453:$P2462))</f>
        <v>#N/A</v>
      </c>
      <c r="G2472" s="333" t="e">
        <f>IF(D2472="","",SUMIF($I2453:$I2462,D2472,$M2453:$M2462))</f>
        <v>#N/A</v>
      </c>
      <c r="H2472" s="535" t="e">
        <f t="shared" si="722"/>
        <v>#N/A</v>
      </c>
      <c r="I2472" s="212" t="e">
        <f>IF(D2472="","",IF(H2472="NO APORTA","NO",IF(H2472=MAX($H2470:$H2475),"SI","NO")))</f>
        <v>#N/A</v>
      </c>
      <c r="J2472" s="213" t="e">
        <f t="shared" si="723"/>
        <v>#N/A</v>
      </c>
      <c r="K2472" s="200" t="e">
        <f t="shared" si="724"/>
        <v>#N/A</v>
      </c>
      <c r="L2472" s="724"/>
      <c r="M2472" s="729">
        <f>NUMMOD</f>
        <v>1</v>
      </c>
      <c r="N2472" s="730"/>
      <c r="O2472" s="443">
        <f>IF(M2472="","",VLOOKUP(M2472,PRESUPUESTOS!$B$16:$H$16,5,FALSE))</f>
        <v>2</v>
      </c>
      <c r="P2472" s="713">
        <f>IF(OR(COUNTIF(M2453:M2462,"")&gt;=10,Q2469&lt;NUMMINCONT,OR(T2467="NO CUMPLE",T2467="VERIFICAR")),0,ROUND(AVERAGE(M2453:M2462),3))</f>
        <v>0</v>
      </c>
      <c r="Q2472" s="714"/>
      <c r="R2472" s="458"/>
      <c r="S2472" s="459"/>
      <c r="T2472" s="460"/>
      <c r="U2472" s="219"/>
      <c r="V2472" s="464"/>
      <c r="Y2472" s="532" t="str">
        <f>"40% * ("&amp;PRESUPUESTOS!$H$13&amp;")"</f>
        <v>40% * (50% PFMO)</v>
      </c>
      <c r="AA2472" s="540" t="e">
        <f>IF(AND(C2471&lt;=F2468,F2468&lt;&gt;""),VLOOKUP(VALUE(E2449&amp;","&amp;C2471),INTEGRANTES!$D$18:$F$235,2,0),"")</f>
        <v>#N/A</v>
      </c>
      <c r="AB2472" s="545" t="e">
        <f t="shared" si="725"/>
        <v>#N/A</v>
      </c>
      <c r="AC2472" s="529"/>
      <c r="AD2472" s="200" t="e">
        <f t="shared" si="726"/>
        <v>#N/A</v>
      </c>
      <c r="AE2472" s="52"/>
      <c r="AF2472" s="52"/>
      <c r="AG2472" s="52"/>
      <c r="AH2472" s="87"/>
      <c r="AI2472" s="87"/>
    </row>
    <row r="2473" spans="1:35" ht="15.75" hidden="1" customHeight="1" thickBot="1">
      <c r="A2473" s="218" t="e">
        <f>"Q"&amp;E2449</f>
        <v>#N/A</v>
      </c>
      <c r="B2473" s="702"/>
      <c r="C2473" s="114">
        <v>4</v>
      </c>
      <c r="D2473" s="194" t="e">
        <f>IF(AND(C2473&lt;=F2468,F2468&lt;&gt;""),VLOOKUP(VALUE(E2449&amp;","&amp;C2473),INTEGRANTES!$D$18:$F$235,2,0),"")</f>
        <v>#N/A</v>
      </c>
      <c r="E2473" s="211" t="e">
        <f>IF(D2473&lt;&gt;"",VLOOKUP(VALUE(E2449&amp;","&amp;C2473),INTEGRANTES!$D$18:$F$235,3,0),"")</f>
        <v>#N/A</v>
      </c>
      <c r="F2473" s="547" t="e">
        <f>IF(D2473="","",SUMIF($I2453:$I2462,D2473,$P2453:$P2462))</f>
        <v>#N/A</v>
      </c>
      <c r="G2473" s="333" t="e">
        <f>IF(D2473="","",SUMIF($I2453:$I2462,D2473,$M2453:$M2462))</f>
        <v>#N/A</v>
      </c>
      <c r="H2473" s="535" t="e">
        <f t="shared" si="722"/>
        <v>#N/A</v>
      </c>
      <c r="I2473" s="212" t="e">
        <f>IF(D2473="","",IF(H2473="NO APORTA","NO",IF(H2473=MAX($H2470:$H2475),"SI","NO")))</f>
        <v>#N/A</v>
      </c>
      <c r="J2473" s="213" t="e">
        <f t="shared" si="723"/>
        <v>#N/A</v>
      </c>
      <c r="K2473" s="200" t="e">
        <f t="shared" si="724"/>
        <v>#N/A</v>
      </c>
      <c r="L2473" s="720" t="s">
        <v>109</v>
      </c>
      <c r="M2473" s="757" t="s">
        <v>120</v>
      </c>
      <c r="N2473" s="726"/>
      <c r="O2473" s="726"/>
      <c r="P2473" s="726"/>
      <c r="Q2473" s="727"/>
      <c r="R2473" s="458"/>
      <c r="S2473" s="459"/>
      <c r="T2473" s="460"/>
      <c r="U2473" s="219"/>
      <c r="V2473" s="464"/>
      <c r="Y2473" s="537">
        <f>0.4*PRESUPUESTOS!$H$16</f>
        <v>10.3124</v>
      </c>
      <c r="AA2473" s="540" t="e">
        <f>IF(AND(C2472&lt;=F2468,F2468&lt;&gt;""),VLOOKUP(VALUE(E2449&amp;","&amp;C2472),INTEGRANTES!$D$18:$F$235,2,0),"")</f>
        <v>#N/A</v>
      </c>
      <c r="AB2473" s="545" t="e">
        <f t="shared" si="725"/>
        <v>#N/A</v>
      </c>
      <c r="AC2473" s="529"/>
      <c r="AD2473" s="200" t="e">
        <f t="shared" si="726"/>
        <v>#N/A</v>
      </c>
      <c r="AE2473" s="52"/>
      <c r="AF2473" s="52"/>
      <c r="AG2473" s="52"/>
      <c r="AH2473" s="87"/>
      <c r="AI2473" s="87"/>
    </row>
    <row r="2474" spans="1:35" ht="27" hidden="1" customHeight="1" thickBot="1">
      <c r="A2474" s="218" t="e">
        <f>"R"&amp;E2449</f>
        <v>#N/A</v>
      </c>
      <c r="B2474" s="702"/>
      <c r="C2474" s="114">
        <v>5</v>
      </c>
      <c r="D2474" s="194" t="e">
        <f>IF(AND(C2474&lt;=F2468,F2468&lt;&gt;""),VLOOKUP(VALUE(E2449&amp;","&amp;C2474),INTEGRANTES!$D$18:$F$235,2,0),"")</f>
        <v>#N/A</v>
      </c>
      <c r="E2474" s="211" t="e">
        <f>IF(D2474&lt;&gt;"",VLOOKUP(VALUE(E2449&amp;","&amp;C2474),INTEGRANTES!$D$18:$F$235,3,0),"")</f>
        <v>#N/A</v>
      </c>
      <c r="F2474" s="547" t="e">
        <f>IF(D2474="","",SUMIF($I2453:$I2462,D2474,$P2453:$P2462))</f>
        <v>#N/A</v>
      </c>
      <c r="G2474" s="333" t="e">
        <f>IF(D2474="","",SUMIF($I2453:$I2462,D2474,$M2453:$M2462))</f>
        <v>#N/A</v>
      </c>
      <c r="H2474" s="535" t="e">
        <f t="shared" si="722"/>
        <v>#N/A</v>
      </c>
      <c r="I2474" s="212" t="e">
        <f>IF(D2474="","",IF(H2474="NO APORTA","NO",IF(H2474=MAX($H2470:$H2475),"SI","NO")))</f>
        <v>#N/A</v>
      </c>
      <c r="J2474" s="213" t="e">
        <f t="shared" si="723"/>
        <v>#N/A</v>
      </c>
      <c r="K2474" s="200" t="e">
        <f t="shared" si="724"/>
        <v>#N/A</v>
      </c>
      <c r="L2474" s="721"/>
      <c r="M2474" s="715" t="s">
        <v>116</v>
      </c>
      <c r="N2474" s="716"/>
      <c r="O2474" s="556" t="str">
        <f>PORCREQUERIDO*100&amp;"% PMFO DEL MÓDULO"</f>
        <v>50% PMFO DEL MÓDULO</v>
      </c>
      <c r="P2474" s="715" t="s">
        <v>118</v>
      </c>
      <c r="Q2474" s="728"/>
      <c r="R2474" s="458"/>
      <c r="S2474" s="459"/>
      <c r="T2474" s="460"/>
      <c r="U2474" s="219"/>
      <c r="V2474" s="464"/>
      <c r="Y2474" s="414"/>
      <c r="AA2474" s="540" t="e">
        <f>IF(AND(C2473&lt;=F2468,F2468&lt;&gt;""),VLOOKUP(VALUE(E2449&amp;","&amp;C2473),INTEGRANTES!$D$18:$F$235,2,0),"")</f>
        <v>#N/A</v>
      </c>
      <c r="AB2474" s="545" t="e">
        <f t="shared" si="725"/>
        <v>#N/A</v>
      </c>
      <c r="AC2474" s="529"/>
      <c r="AD2474" s="200" t="e">
        <f t="shared" si="726"/>
        <v>#N/A</v>
      </c>
      <c r="AE2474" s="52"/>
      <c r="AF2474" s="52"/>
      <c r="AG2474" s="52"/>
      <c r="AH2474" s="87"/>
      <c r="AI2474" s="87"/>
    </row>
    <row r="2475" spans="1:35" ht="16.5" hidden="1" thickBot="1">
      <c r="A2475" s="218" t="e">
        <f>"S"&amp;E2449</f>
        <v>#N/A</v>
      </c>
      <c r="B2475" s="702"/>
      <c r="C2475" s="215">
        <v>6</v>
      </c>
      <c r="D2475" s="216" t="e">
        <f>IF(AND(C2475&lt;=F2468,F2468&lt;&gt;""),VLOOKUP(VALUE(E2449&amp;","&amp;C2475),INTEGRANTES!$D$18:$F$235,2,0),"")</f>
        <v>#N/A</v>
      </c>
      <c r="E2475" s="217" t="e">
        <f>IF(D2475&lt;&gt;"",VLOOKUP(VALUE(E2449&amp;","&amp;C2475),INTEGRANTES!$D$18:$F$235,3,0),"")</f>
        <v>#N/A</v>
      </c>
      <c r="F2475" s="548" t="e">
        <f>IF(D2475="","",SUMIF($I2453:$I2462,D2475,$P2453:$P2462))</f>
        <v>#N/A</v>
      </c>
      <c r="G2475" s="334" t="e">
        <f>IF(D2475="","",SUMIF($I2453:$I2462,D2475,$M2453:$M2462))</f>
        <v>#N/A</v>
      </c>
      <c r="H2475" s="536" t="e">
        <f t="shared" si="722"/>
        <v>#N/A</v>
      </c>
      <c r="I2475" s="214" t="e">
        <f>IF(D2475="","",IF(H2475="NO APORTA","NO",IF(H2475=MAX($H2470:$H2475),"SI","NO")))</f>
        <v>#N/A</v>
      </c>
      <c r="J2475" s="213" t="e">
        <f t="shared" si="723"/>
        <v>#N/A</v>
      </c>
      <c r="K2475" s="200" t="e">
        <f t="shared" si="724"/>
        <v>#N/A</v>
      </c>
      <c r="L2475" s="721"/>
      <c r="M2475" s="729">
        <f>NUMMOD</f>
        <v>1</v>
      </c>
      <c r="N2475" s="730"/>
      <c r="O2475" s="443">
        <f>IF(M2475="","",ROUND(VLOOKUP(M2475,PRESUPUESTOS!$B$16:$H$16,7,FALSE),3))</f>
        <v>25.780999999999999</v>
      </c>
      <c r="P2475" s="713">
        <f>IF(OR(COUNTIF(P2453:P2462,"")&gt;=10,Q2469&lt;NUMMINCONT,OR(T2467="NO CUMPLE",T2467="VERIFICAR")),0,ROUND((SUM(P2453:P2462)/SUM(M2453:M2462)),3))</f>
        <v>0</v>
      </c>
      <c r="Q2475" s="714"/>
      <c r="R2475" s="458"/>
      <c r="S2475" s="459"/>
      <c r="T2475" s="460"/>
      <c r="U2475" s="219"/>
      <c r="V2475" s="464"/>
      <c r="Y2475" s="532" t="s">
        <v>343</v>
      </c>
      <c r="AA2475" s="540" t="e">
        <f>IF(AND(C2474&lt;=F2468,F2468&lt;&gt;""),VLOOKUP(VALUE(E2449&amp;","&amp;C2474),INTEGRANTES!$D$18:$F$235,2,0),"")</f>
        <v>#N/A</v>
      </c>
      <c r="AB2475" s="545" t="e">
        <f t="shared" si="725"/>
        <v>#N/A</v>
      </c>
      <c r="AC2475" s="529"/>
      <c r="AD2475" s="200" t="e">
        <f t="shared" si="726"/>
        <v>#N/A</v>
      </c>
      <c r="AE2475" s="52"/>
      <c r="AF2475" s="52"/>
      <c r="AG2475" s="52"/>
      <c r="AH2475" s="87"/>
      <c r="AI2475" s="87"/>
    </row>
    <row r="2476" spans="1:35" ht="16.5" hidden="1" customHeight="1" thickBot="1">
      <c r="A2476" s="218" t="e">
        <f>"T"&amp;E2449</f>
        <v>#N/A</v>
      </c>
      <c r="B2476" s="703"/>
      <c r="C2476" s="719"/>
      <c r="D2476" s="719"/>
      <c r="E2476" s="719"/>
      <c r="F2476" s="719"/>
      <c r="G2476" s="719"/>
      <c r="H2476" s="719" t="s">
        <v>110</v>
      </c>
      <c r="I2476" s="719"/>
      <c r="J2476" s="719"/>
      <c r="K2476" s="201" t="str">
        <f>IF(COUNTIF(K2470:K2475,"")=6,"",IF(COUNTIF(K2470:K2475,"CUMPLE")&gt;0,"CUMPLE","NO CUMPLE"))</f>
        <v>NO CUMPLE</v>
      </c>
      <c r="L2476" s="754"/>
      <c r="M2476" s="755"/>
      <c r="N2476" s="755"/>
      <c r="O2476" s="755"/>
      <c r="P2476" s="755"/>
      <c r="Q2476" s="756"/>
      <c r="R2476" s="461"/>
      <c r="S2476" s="462"/>
      <c r="T2476" s="463"/>
      <c r="U2476" s="219"/>
      <c r="V2476" s="464"/>
      <c r="Y2476" s="549" t="e">
        <f>IF(Y2470="NO APLICA","NO APLICA",IF(COUNTIF(AD2471:AD2476,"CUMPLE")&gt;0,"CUMPLE","NO CUMPLE"))</f>
        <v>#N/A</v>
      </c>
      <c r="AA2476" s="541" t="e">
        <f>IF(AND(C2475&lt;=F2468,F2468&lt;&gt;""),VLOOKUP(VALUE(E2449&amp;","&amp;C2475),INTEGRANTES!$D$18:$F$235,2,0),"")</f>
        <v>#N/A</v>
      </c>
      <c r="AB2476" s="546" t="e">
        <f t="shared" si="725"/>
        <v>#N/A</v>
      </c>
      <c r="AC2476" s="543"/>
      <c r="AD2476" s="201" t="e">
        <f t="shared" si="726"/>
        <v>#N/A</v>
      </c>
      <c r="AE2476" s="52"/>
      <c r="AF2476" s="52"/>
      <c r="AG2476" s="52"/>
      <c r="AH2476" s="87"/>
      <c r="AI2476" s="87"/>
    </row>
    <row r="2477" spans="1:35" hidden="1">
      <c r="AH2477" s="87"/>
      <c r="AI2477" s="87"/>
    </row>
    <row r="2478" spans="1:35" hidden="1">
      <c r="AH2478" s="87"/>
      <c r="AI2478" s="87"/>
    </row>
    <row r="2479" spans="1:35" ht="24" hidden="1" thickBot="1">
      <c r="A2479" s="61">
        <v>83</v>
      </c>
      <c r="B2479" s="704" t="s">
        <v>51</v>
      </c>
      <c r="C2479" s="704"/>
      <c r="D2479" s="704"/>
      <c r="E2479" s="62" t="e">
        <f>VLOOKUP(A2479,PROPONENTES!$B$19:$E$218,2,FALSE)</f>
        <v>#N/A</v>
      </c>
      <c r="F2479" s="63" t="e">
        <f>VLOOKUP(A2479,PROPONENTES!$B$19:$E$218,3,FALSE)</f>
        <v>#N/A</v>
      </c>
      <c r="G2479" s="64"/>
      <c r="H2479" s="64"/>
      <c r="I2479" s="63"/>
      <c r="J2479" s="63"/>
      <c r="K2479" s="65"/>
      <c r="L2479" s="65"/>
      <c r="M2479" s="64"/>
      <c r="N2479" s="64"/>
      <c r="O2479" s="66"/>
      <c r="P2479" s="66"/>
      <c r="Q2479" s="66"/>
      <c r="R2479" s="66"/>
      <c r="S2479" s="67"/>
      <c r="T2479" s="68"/>
      <c r="U2479" s="68"/>
      <c r="AC2479" s="68"/>
      <c r="AD2479" s="68"/>
      <c r="AE2479" s="68"/>
      <c r="AF2479" s="68"/>
      <c r="AG2479" s="68"/>
      <c r="AH2479" s="87"/>
      <c r="AI2479" s="87"/>
    </row>
    <row r="2480" spans="1:35" ht="15.75" hidden="1" customHeight="1">
      <c r="A2480" s="44"/>
      <c r="B2480" s="709" t="s">
        <v>59</v>
      </c>
      <c r="C2480" s="552" t="s">
        <v>60</v>
      </c>
      <c r="D2480" s="70" t="s">
        <v>17</v>
      </c>
      <c r="E2480" s="70"/>
      <c r="F2480" s="70" t="s">
        <v>61</v>
      </c>
      <c r="G2480" s="71"/>
      <c r="H2480" s="699" t="s">
        <v>62</v>
      </c>
      <c r="I2480" s="699" t="s">
        <v>18</v>
      </c>
      <c r="J2480" s="699" t="s">
        <v>63</v>
      </c>
      <c r="K2480" s="699" t="s">
        <v>64</v>
      </c>
      <c r="L2480" s="699" t="s">
        <v>65</v>
      </c>
      <c r="M2480" s="743" t="s">
        <v>66</v>
      </c>
      <c r="N2480" s="699" t="s">
        <v>282</v>
      </c>
      <c r="O2480" s="745" t="s">
        <v>67</v>
      </c>
      <c r="P2480" s="746"/>
      <c r="Q2480" s="102" t="s">
        <v>75</v>
      </c>
      <c r="R2480" s="731" t="s">
        <v>22</v>
      </c>
      <c r="S2480" s="732"/>
      <c r="T2480" s="733"/>
      <c r="U2480" s="712" t="s">
        <v>298</v>
      </c>
      <c r="W2480" s="690" t="s">
        <v>268</v>
      </c>
      <c r="X2480" s="691"/>
      <c r="Y2480" s="692"/>
      <c r="Z2480" s="428"/>
      <c r="AA2480" s="697" t="s">
        <v>315</v>
      </c>
      <c r="AB2480" s="695" t="s">
        <v>322</v>
      </c>
      <c r="AC2480" s="49"/>
      <c r="AD2480" s="690" t="s">
        <v>297</v>
      </c>
      <c r="AE2480" s="691"/>
      <c r="AF2480" s="692"/>
      <c r="AG2480" s="49"/>
      <c r="AH2480" s="87"/>
      <c r="AI2480" s="87"/>
    </row>
    <row r="2481" spans="1:35" ht="72" hidden="1">
      <c r="A2481" s="44"/>
      <c r="B2481" s="710"/>
      <c r="C2481" s="553" t="s">
        <v>68</v>
      </c>
      <c r="D2481" s="73" t="s">
        <v>3</v>
      </c>
      <c r="E2481" s="73" t="s">
        <v>19</v>
      </c>
      <c r="F2481" s="73" t="s">
        <v>69</v>
      </c>
      <c r="G2481" s="74" t="s">
        <v>70</v>
      </c>
      <c r="H2481" s="700"/>
      <c r="I2481" s="700"/>
      <c r="J2481" s="700"/>
      <c r="K2481" s="700"/>
      <c r="L2481" s="700"/>
      <c r="M2481" s="744"/>
      <c r="N2481" s="700"/>
      <c r="O2481" s="553" t="s">
        <v>279</v>
      </c>
      <c r="P2481" s="73" t="s">
        <v>88</v>
      </c>
      <c r="Q2481" s="555" t="s">
        <v>76</v>
      </c>
      <c r="R2481" s="734"/>
      <c r="S2481" s="735"/>
      <c r="T2481" s="736"/>
      <c r="U2481" s="712"/>
      <c r="W2481" s="429" t="s">
        <v>269</v>
      </c>
      <c r="X2481" s="457" t="s">
        <v>278</v>
      </c>
      <c r="Y2481" s="430" t="s">
        <v>324</v>
      </c>
      <c r="Z2481" s="428"/>
      <c r="AA2481" s="698"/>
      <c r="AB2481" s="696"/>
      <c r="AC2481" s="49"/>
      <c r="AD2481" s="429" t="s">
        <v>292</v>
      </c>
      <c r="AE2481" s="431" t="s">
        <v>300</v>
      </c>
      <c r="AF2481" s="468" t="s">
        <v>301</v>
      </c>
      <c r="AG2481" s="49"/>
      <c r="AH2481" s="87"/>
      <c r="AI2481" s="87"/>
    </row>
    <row r="2482" spans="1:35" hidden="1">
      <c r="A2482" s="44"/>
      <c r="B2482" s="76"/>
      <c r="C2482" s="77"/>
      <c r="D2482" s="77"/>
      <c r="E2482" s="77"/>
      <c r="F2482" s="77"/>
      <c r="G2482" s="77"/>
      <c r="H2482" s="77"/>
      <c r="I2482" s="77"/>
      <c r="J2482" s="77"/>
      <c r="K2482" s="77"/>
      <c r="L2482" s="77"/>
      <c r="M2482" s="77"/>
      <c r="N2482" s="77"/>
      <c r="O2482" s="77"/>
      <c r="P2482" s="77"/>
      <c r="Q2482" s="77"/>
      <c r="R2482" s="77"/>
      <c r="S2482" s="78"/>
      <c r="T2482" s="79"/>
      <c r="U2482" s="109"/>
      <c r="V2482" s="49"/>
      <c r="W2482" s="432"/>
      <c r="X2482" s="454"/>
      <c r="Y2482" s="433"/>
      <c r="Z2482" s="6"/>
      <c r="AA2482" s="500"/>
      <c r="AB2482" s="562"/>
      <c r="AC2482" s="49"/>
      <c r="AD2482" s="210"/>
      <c r="AE2482" s="434"/>
      <c r="AF2482" s="435"/>
      <c r="AG2482" s="49"/>
      <c r="AH2482" s="87"/>
      <c r="AI2482" s="87"/>
    </row>
    <row r="2483" spans="1:35" hidden="1">
      <c r="A2483" s="80" t="e">
        <f>"A"&amp;E2479</f>
        <v>#N/A</v>
      </c>
      <c r="B2483" s="81">
        <v>1</v>
      </c>
      <c r="C2483" s="82"/>
      <c r="D2483" s="82"/>
      <c r="E2483" s="82"/>
      <c r="F2483" s="82"/>
      <c r="G2483" s="83"/>
      <c r="H2483" s="83"/>
      <c r="I2483" s="84"/>
      <c r="J2483" s="85"/>
      <c r="K2483" s="382"/>
      <c r="L2483" s="85"/>
      <c r="M2483" s="332" t="str">
        <f t="shared" ref="M2483:M2492" si="727">IF(OR(J2483="",L2483="",H2483="NO"),"",IF(OR(J2483&gt;$P$17,J2483&lt;$O$17,L2483&gt;$P$17,AND(J2483&lt;$O$17,L2483&lt;$O$17)),"FUERA DE RANGO",IF(OR(K2483="---",K2483=""),IF(J2483&gt;=$O$17,ROUND((L2483-J2483+1)/360*12,3),ROUND((L2483-$O$17+1)/360*12,3)),IF(J2483&gt;=$O$17,ROUND((L2483-J2483+1)/360*12-ROUND(K2483,3),3),ROUND((L2483-$O$17+1)/360*12-ROUND(K2483,3),3)))))</f>
        <v/>
      </c>
      <c r="N2483" s="86"/>
      <c r="O2483" s="453" t="str">
        <f>IF(OR(G2483="",N2483=""),"",N2483*G2483)</f>
        <v/>
      </c>
      <c r="P2483" s="538" t="str">
        <f>IF(OR(H2483="",M2483="FUERA DE RANGO"),"",IF(OR(L2483&lt;$O$17,L2483&gt;$P$17,L2483="",H2483="NO"),"",IF(OR(N2483="",O2483=""),"",ROUND(O2483,3))))</f>
        <v/>
      </c>
      <c r="Q2483" s="539" t="str">
        <f t="shared" ref="Q2483:Q2492" si="728">IF(AND(H2483="SI",P2483&lt;&gt;""),ROUND(P2483/M2483,3),"")</f>
        <v/>
      </c>
      <c r="R2483" s="737"/>
      <c r="S2483" s="738"/>
      <c r="T2483" s="739"/>
      <c r="U2483" s="470"/>
      <c r="V2483" s="165"/>
      <c r="W2483" s="446"/>
      <c r="X2483" s="456"/>
      <c r="Y2483" s="436"/>
      <c r="Z2483" s="437"/>
      <c r="AA2483" s="560"/>
      <c r="AB2483" s="561"/>
      <c r="AC2483" s="87"/>
      <c r="AD2483" s="466"/>
      <c r="AE2483" s="456"/>
      <c r="AF2483" s="467"/>
      <c r="AG2483" s="87"/>
      <c r="AH2483" s="87"/>
      <c r="AI2483" s="87"/>
    </row>
    <row r="2484" spans="1:35" hidden="1">
      <c r="A2484" s="80" t="e">
        <f>"B"&amp;E2479</f>
        <v>#N/A</v>
      </c>
      <c r="B2484" s="81">
        <v>2</v>
      </c>
      <c r="C2484" s="106"/>
      <c r="D2484" s="106"/>
      <c r="E2484" s="106"/>
      <c r="F2484" s="106"/>
      <c r="G2484" s="83"/>
      <c r="H2484" s="83"/>
      <c r="I2484" s="84"/>
      <c r="J2484" s="85"/>
      <c r="K2484" s="382"/>
      <c r="L2484" s="85"/>
      <c r="M2484" s="332" t="str">
        <f t="shared" si="727"/>
        <v/>
      </c>
      <c r="N2484" s="86"/>
      <c r="O2484" s="453" t="str">
        <f t="shared" ref="O2484:O2492" si="729">IF(OR(G2484="",N2484=""),"",N2484*G2484)</f>
        <v/>
      </c>
      <c r="P2484" s="538" t="str">
        <f t="shared" ref="P2484:P2492" si="730">IF(OR(H2484="",M2484="FUERA DE RANGO"),"",IF(OR(L2484&lt;$O$17,L2484&gt;$P$17,L2484="",H2484="NO"),"",IF(OR(N2484="",O2484=""),"",ROUND(O2484,3))))</f>
        <v/>
      </c>
      <c r="Q2484" s="539" t="str">
        <f t="shared" si="728"/>
        <v/>
      </c>
      <c r="R2484" s="740"/>
      <c r="S2484" s="741"/>
      <c r="T2484" s="742"/>
      <c r="U2484" s="471"/>
      <c r="V2484" s="165"/>
      <c r="W2484" s="446"/>
      <c r="X2484" s="456"/>
      <c r="Y2484" s="436"/>
      <c r="Z2484" s="437"/>
      <c r="AA2484" s="560"/>
      <c r="AB2484" s="561"/>
      <c r="AC2484" s="87"/>
      <c r="AD2484" s="466"/>
      <c r="AE2484" s="456"/>
      <c r="AF2484" s="467"/>
      <c r="AG2484" s="87"/>
      <c r="AH2484" s="87"/>
      <c r="AI2484" s="87"/>
    </row>
    <row r="2485" spans="1:35" hidden="1">
      <c r="A2485" s="80" t="e">
        <f>"C"&amp;E2479</f>
        <v>#N/A</v>
      </c>
      <c r="B2485" s="88">
        <v>3</v>
      </c>
      <c r="C2485" s="82"/>
      <c r="D2485" s="82"/>
      <c r="E2485" s="82"/>
      <c r="F2485" s="82"/>
      <c r="G2485" s="83"/>
      <c r="H2485" s="83"/>
      <c r="I2485" s="84"/>
      <c r="J2485" s="85"/>
      <c r="K2485" s="382"/>
      <c r="L2485" s="85"/>
      <c r="M2485" s="332" t="str">
        <f t="shared" si="727"/>
        <v/>
      </c>
      <c r="N2485" s="86"/>
      <c r="O2485" s="453" t="str">
        <f t="shared" si="729"/>
        <v/>
      </c>
      <c r="P2485" s="538" t="str">
        <f t="shared" si="730"/>
        <v/>
      </c>
      <c r="Q2485" s="539" t="str">
        <f t="shared" si="728"/>
        <v/>
      </c>
      <c r="R2485" s="706"/>
      <c r="S2485" s="707"/>
      <c r="T2485" s="708"/>
      <c r="U2485" s="472"/>
      <c r="V2485" s="166"/>
      <c r="W2485" s="446"/>
      <c r="X2485" s="456"/>
      <c r="Y2485" s="436"/>
      <c r="Z2485" s="437"/>
      <c r="AA2485" s="560"/>
      <c r="AB2485" s="561"/>
      <c r="AC2485" s="87"/>
      <c r="AD2485" s="466"/>
      <c r="AE2485" s="456"/>
      <c r="AF2485" s="467"/>
      <c r="AG2485" s="87"/>
      <c r="AH2485" s="87"/>
      <c r="AI2485" s="87"/>
    </row>
    <row r="2486" spans="1:35" hidden="1">
      <c r="A2486" s="80" t="e">
        <f>"D"&amp;E2479</f>
        <v>#N/A</v>
      </c>
      <c r="B2486" s="105">
        <v>4</v>
      </c>
      <c r="C2486" s="107"/>
      <c r="D2486" s="107"/>
      <c r="E2486" s="107"/>
      <c r="F2486" s="107"/>
      <c r="G2486" s="83"/>
      <c r="H2486" s="83"/>
      <c r="I2486" s="84"/>
      <c r="J2486" s="85"/>
      <c r="K2486" s="382"/>
      <c r="L2486" s="85"/>
      <c r="M2486" s="332" t="str">
        <f t="shared" si="727"/>
        <v/>
      </c>
      <c r="N2486" s="86"/>
      <c r="O2486" s="453" t="str">
        <f t="shared" si="729"/>
        <v/>
      </c>
      <c r="P2486" s="538" t="str">
        <f t="shared" si="730"/>
        <v/>
      </c>
      <c r="Q2486" s="539" t="str">
        <f t="shared" si="728"/>
        <v/>
      </c>
      <c r="R2486" s="706"/>
      <c r="S2486" s="707"/>
      <c r="T2486" s="708"/>
      <c r="U2486" s="472"/>
      <c r="V2486" s="166"/>
      <c r="W2486" s="446"/>
      <c r="X2486" s="456"/>
      <c r="Y2486" s="436"/>
      <c r="Z2486" s="437"/>
      <c r="AA2486" s="560"/>
      <c r="AB2486" s="561"/>
      <c r="AC2486" s="87"/>
      <c r="AD2486" s="466"/>
      <c r="AE2486" s="456"/>
      <c r="AF2486" s="467"/>
      <c r="AG2486" s="87"/>
      <c r="AH2486" s="87"/>
      <c r="AI2486" s="87"/>
    </row>
    <row r="2487" spans="1:35" hidden="1">
      <c r="A2487" s="80" t="e">
        <f>"E"&amp;E2479</f>
        <v>#N/A</v>
      </c>
      <c r="B2487" s="105">
        <v>5</v>
      </c>
      <c r="C2487" s="107"/>
      <c r="D2487" s="107"/>
      <c r="E2487" s="107"/>
      <c r="F2487" s="107"/>
      <c r="G2487" s="83"/>
      <c r="H2487" s="83"/>
      <c r="I2487" s="84"/>
      <c r="J2487" s="85"/>
      <c r="K2487" s="382"/>
      <c r="L2487" s="85"/>
      <c r="M2487" s="332" t="str">
        <f t="shared" si="727"/>
        <v/>
      </c>
      <c r="N2487" s="86"/>
      <c r="O2487" s="453" t="str">
        <f t="shared" si="729"/>
        <v/>
      </c>
      <c r="P2487" s="538" t="str">
        <f t="shared" si="730"/>
        <v/>
      </c>
      <c r="Q2487" s="539" t="str">
        <f t="shared" si="728"/>
        <v/>
      </c>
      <c r="R2487" s="706"/>
      <c r="S2487" s="707"/>
      <c r="T2487" s="708"/>
      <c r="U2487" s="472"/>
      <c r="V2487" s="167"/>
      <c r="W2487" s="446"/>
      <c r="X2487" s="456"/>
      <c r="Y2487" s="436"/>
      <c r="Z2487" s="437"/>
      <c r="AA2487" s="560"/>
      <c r="AB2487" s="561"/>
      <c r="AC2487" s="87"/>
      <c r="AD2487" s="466"/>
      <c r="AE2487" s="456"/>
      <c r="AF2487" s="467"/>
      <c r="AG2487" s="87"/>
      <c r="AH2487" s="87"/>
      <c r="AI2487" s="87"/>
    </row>
    <row r="2488" spans="1:35" hidden="1">
      <c r="A2488" s="80" t="e">
        <f>"F"&amp;E2479</f>
        <v>#N/A</v>
      </c>
      <c r="B2488" s="105">
        <v>6</v>
      </c>
      <c r="C2488" s="107"/>
      <c r="D2488" s="107"/>
      <c r="E2488" s="107"/>
      <c r="F2488" s="107"/>
      <c r="G2488" s="83"/>
      <c r="H2488" s="83"/>
      <c r="I2488" s="84"/>
      <c r="J2488" s="85"/>
      <c r="K2488" s="382"/>
      <c r="L2488" s="85"/>
      <c r="M2488" s="332" t="str">
        <f t="shared" si="727"/>
        <v/>
      </c>
      <c r="N2488" s="86"/>
      <c r="O2488" s="453" t="str">
        <f t="shared" si="729"/>
        <v/>
      </c>
      <c r="P2488" s="538" t="str">
        <f t="shared" si="730"/>
        <v/>
      </c>
      <c r="Q2488" s="539" t="str">
        <f t="shared" si="728"/>
        <v/>
      </c>
      <c r="R2488" s="706"/>
      <c r="S2488" s="707"/>
      <c r="T2488" s="708"/>
      <c r="U2488" s="472"/>
      <c r="V2488" s="167"/>
      <c r="W2488" s="446"/>
      <c r="X2488" s="456"/>
      <c r="Y2488" s="436"/>
      <c r="Z2488" s="437"/>
      <c r="AA2488" s="560"/>
      <c r="AB2488" s="561"/>
      <c r="AC2488" s="87"/>
      <c r="AD2488" s="466"/>
      <c r="AE2488" s="456"/>
      <c r="AF2488" s="467"/>
      <c r="AG2488" s="87"/>
      <c r="AH2488" s="87"/>
      <c r="AI2488" s="87"/>
    </row>
    <row r="2489" spans="1:35" hidden="1">
      <c r="A2489" s="80" t="e">
        <f>"G"&amp;E2479</f>
        <v>#N/A</v>
      </c>
      <c r="B2489" s="105">
        <v>7</v>
      </c>
      <c r="C2489" s="107"/>
      <c r="D2489" s="107"/>
      <c r="E2489" s="107"/>
      <c r="F2489" s="107"/>
      <c r="G2489" s="83"/>
      <c r="H2489" s="83"/>
      <c r="I2489" s="84"/>
      <c r="J2489" s="85"/>
      <c r="K2489" s="382"/>
      <c r="L2489" s="85"/>
      <c r="M2489" s="332" t="str">
        <f t="shared" si="727"/>
        <v/>
      </c>
      <c r="N2489" s="86"/>
      <c r="O2489" s="86" t="str">
        <f t="shared" si="729"/>
        <v/>
      </c>
      <c r="P2489" s="538" t="str">
        <f t="shared" si="730"/>
        <v/>
      </c>
      <c r="Q2489" s="539" t="str">
        <f t="shared" si="728"/>
        <v/>
      </c>
      <c r="R2489" s="706"/>
      <c r="S2489" s="707"/>
      <c r="T2489" s="708"/>
      <c r="U2489" s="472"/>
      <c r="V2489" s="167"/>
      <c r="W2489" s="446"/>
      <c r="X2489" s="456"/>
      <c r="Y2489" s="436"/>
      <c r="Z2489" s="437"/>
      <c r="AA2489" s="560"/>
      <c r="AB2489" s="561"/>
      <c r="AC2489" s="87"/>
      <c r="AD2489" s="466"/>
      <c r="AE2489" s="456"/>
      <c r="AF2489" s="467"/>
      <c r="AG2489" s="87"/>
      <c r="AH2489" s="87"/>
      <c r="AI2489" s="87"/>
    </row>
    <row r="2490" spans="1:35" hidden="1">
      <c r="A2490" s="80" t="e">
        <f>"H"&amp;E2479</f>
        <v>#N/A</v>
      </c>
      <c r="B2490" s="105">
        <v>8</v>
      </c>
      <c r="C2490" s="107"/>
      <c r="D2490" s="107"/>
      <c r="E2490" s="107"/>
      <c r="F2490" s="107"/>
      <c r="G2490" s="83"/>
      <c r="H2490" s="83"/>
      <c r="I2490" s="84"/>
      <c r="J2490" s="85"/>
      <c r="K2490" s="382"/>
      <c r="L2490" s="85"/>
      <c r="M2490" s="332" t="str">
        <f t="shared" si="727"/>
        <v/>
      </c>
      <c r="N2490" s="453"/>
      <c r="O2490" s="86" t="str">
        <f t="shared" si="729"/>
        <v/>
      </c>
      <c r="P2490" s="538" t="str">
        <f t="shared" si="730"/>
        <v/>
      </c>
      <c r="Q2490" s="539" t="str">
        <f t="shared" si="728"/>
        <v/>
      </c>
      <c r="R2490" s="706"/>
      <c r="S2490" s="707"/>
      <c r="T2490" s="708"/>
      <c r="U2490" s="472"/>
      <c r="V2490" s="167"/>
      <c r="W2490" s="446"/>
      <c r="X2490" s="456"/>
      <c r="Y2490" s="436"/>
      <c r="Z2490" s="437"/>
      <c r="AA2490" s="560"/>
      <c r="AB2490" s="561"/>
      <c r="AC2490" s="87"/>
      <c r="AD2490" s="466"/>
      <c r="AE2490" s="456"/>
      <c r="AF2490" s="467"/>
      <c r="AG2490" s="87"/>
      <c r="AH2490" s="87"/>
      <c r="AI2490" s="87"/>
    </row>
    <row r="2491" spans="1:35" hidden="1">
      <c r="A2491" s="80" t="e">
        <f>"I"&amp;E2479</f>
        <v>#N/A</v>
      </c>
      <c r="B2491" s="105">
        <v>9</v>
      </c>
      <c r="C2491" s="107"/>
      <c r="D2491" s="107"/>
      <c r="E2491" s="107"/>
      <c r="F2491" s="107"/>
      <c r="G2491" s="83"/>
      <c r="H2491" s="83"/>
      <c r="I2491" s="84"/>
      <c r="J2491" s="85"/>
      <c r="K2491" s="382"/>
      <c r="L2491" s="85"/>
      <c r="M2491" s="332" t="str">
        <f t="shared" si="727"/>
        <v/>
      </c>
      <c r="N2491" s="453"/>
      <c r="O2491" s="86" t="str">
        <f t="shared" si="729"/>
        <v/>
      </c>
      <c r="P2491" s="538" t="str">
        <f t="shared" si="730"/>
        <v/>
      </c>
      <c r="Q2491" s="539" t="str">
        <f t="shared" si="728"/>
        <v/>
      </c>
      <c r="R2491" s="706"/>
      <c r="S2491" s="707"/>
      <c r="T2491" s="708"/>
      <c r="U2491" s="472"/>
      <c r="V2491" s="167"/>
      <c r="W2491" s="446"/>
      <c r="X2491" s="456"/>
      <c r="Y2491" s="436"/>
      <c r="Z2491" s="437"/>
      <c r="AA2491" s="560"/>
      <c r="AB2491" s="561"/>
      <c r="AC2491" s="87"/>
      <c r="AD2491" s="466"/>
      <c r="AE2491" s="456"/>
      <c r="AF2491" s="467"/>
      <c r="AG2491" s="87"/>
      <c r="AH2491" s="87"/>
      <c r="AI2491" s="87"/>
    </row>
    <row r="2492" spans="1:35" hidden="1">
      <c r="A2492" s="80" t="e">
        <f>"J"&amp;E2479</f>
        <v>#N/A</v>
      </c>
      <c r="B2492" s="105">
        <v>10</v>
      </c>
      <c r="C2492" s="107"/>
      <c r="D2492" s="107"/>
      <c r="E2492" s="107"/>
      <c r="F2492" s="107"/>
      <c r="G2492" s="83"/>
      <c r="H2492" s="83"/>
      <c r="I2492" s="84"/>
      <c r="J2492" s="85"/>
      <c r="K2492" s="382"/>
      <c r="L2492" s="85"/>
      <c r="M2492" s="332" t="str">
        <f t="shared" si="727"/>
        <v/>
      </c>
      <c r="N2492" s="453"/>
      <c r="O2492" s="86" t="str">
        <f t="shared" si="729"/>
        <v/>
      </c>
      <c r="P2492" s="538" t="str">
        <f t="shared" si="730"/>
        <v/>
      </c>
      <c r="Q2492" s="539" t="str">
        <f t="shared" si="728"/>
        <v/>
      </c>
      <c r="R2492" s="706"/>
      <c r="S2492" s="707"/>
      <c r="T2492" s="708"/>
      <c r="U2492" s="472"/>
      <c r="V2492" s="167"/>
      <c r="W2492" s="446"/>
      <c r="X2492" s="456"/>
      <c r="Y2492" s="436"/>
      <c r="Z2492" s="437"/>
      <c r="AA2492" s="560"/>
      <c r="AB2492" s="561"/>
      <c r="AC2492" s="87"/>
      <c r="AD2492" s="466"/>
      <c r="AE2492" s="456"/>
      <c r="AF2492" s="467"/>
      <c r="AG2492" s="87"/>
      <c r="AH2492" s="87"/>
      <c r="AI2492" s="87"/>
    </row>
    <row r="2493" spans="1:35" ht="16.5" hidden="1" thickBot="1">
      <c r="A2493" s="44"/>
      <c r="B2493" s="89"/>
      <c r="C2493" s="90"/>
      <c r="D2493" s="90"/>
      <c r="E2493" s="90"/>
      <c r="F2493" s="90"/>
      <c r="G2493" s="90"/>
      <c r="H2493" s="90"/>
      <c r="I2493" s="90"/>
      <c r="J2493" s="90"/>
      <c r="K2493" s="90"/>
      <c r="L2493" s="90"/>
      <c r="M2493" s="90"/>
      <c r="N2493" s="90"/>
      <c r="O2493" s="90"/>
      <c r="P2493" s="90"/>
      <c r="Q2493" s="90"/>
      <c r="R2493" s="90"/>
      <c r="S2493" s="91"/>
      <c r="T2493" s="92"/>
      <c r="U2493" s="473"/>
      <c r="W2493" s="438"/>
      <c r="X2493" s="455"/>
      <c r="Y2493" s="439"/>
      <c r="Z2493" s="437"/>
      <c r="AA2493" s="530"/>
      <c r="AB2493" s="563"/>
      <c r="AC2493" s="87"/>
      <c r="AD2493" s="440"/>
      <c r="AE2493" s="441"/>
      <c r="AF2493" s="442"/>
      <c r="AG2493" s="49"/>
      <c r="AH2493" s="87"/>
      <c r="AI2493" s="87"/>
    </row>
    <row r="2494" spans="1:35" ht="16.5" hidden="1" thickBot="1">
      <c r="A2494" s="93"/>
      <c r="B2494" s="94"/>
      <c r="C2494" s="96"/>
      <c r="D2494" s="96"/>
      <c r="E2494" s="96"/>
      <c r="F2494" s="96"/>
      <c r="G2494" s="96"/>
      <c r="H2494" s="96"/>
      <c r="I2494" s="96"/>
      <c r="J2494" s="96"/>
      <c r="K2494" s="96"/>
      <c r="L2494" s="96"/>
      <c r="M2494" s="136"/>
      <c r="N2494" s="96"/>
      <c r="O2494" s="96"/>
      <c r="P2494" s="97"/>
      <c r="Q2494" s="97"/>
      <c r="R2494" s="98"/>
      <c r="S2494" s="95"/>
      <c r="T2494" s="99"/>
      <c r="U2494" s="469"/>
      <c r="AC2494" s="58"/>
      <c r="AG2494" s="58"/>
      <c r="AH2494" s="87"/>
      <c r="AI2494" s="87"/>
    </row>
    <row r="2495" spans="1:35" ht="16.5" hidden="1" thickBot="1">
      <c r="B2495" s="101"/>
      <c r="C2495" s="101"/>
      <c r="D2495" s="101"/>
      <c r="E2495" s="101"/>
      <c r="F2495" s="101"/>
      <c r="G2495" s="101"/>
      <c r="H2495" s="101"/>
      <c r="I2495" s="101"/>
      <c r="J2495" s="101"/>
      <c r="K2495" s="101"/>
      <c r="L2495" s="101"/>
      <c r="M2495" s="101"/>
      <c r="N2495" s="101"/>
      <c r="O2495" s="101"/>
      <c r="P2495" s="101"/>
      <c r="Q2495" s="101"/>
      <c r="R2495" s="101"/>
      <c r="S2495" s="101"/>
      <c r="U2495" s="50"/>
      <c r="AH2495" s="87"/>
      <c r="AI2495" s="87"/>
    </row>
    <row r="2496" spans="1:35" ht="16.5" hidden="1" customHeight="1" thickBot="1">
      <c r="A2496" s="44"/>
      <c r="B2496" s="705" t="s">
        <v>74</v>
      </c>
      <c r="C2496" s="705"/>
      <c r="D2496" s="705"/>
      <c r="E2496" s="705"/>
      <c r="F2496" s="705"/>
      <c r="G2496" s="705"/>
      <c r="H2496" s="705"/>
      <c r="I2496" s="705"/>
      <c r="J2496" s="705"/>
      <c r="K2496" s="705"/>
      <c r="L2496" s="705"/>
      <c r="M2496" s="705"/>
      <c r="N2496" s="705"/>
      <c r="O2496" s="705"/>
      <c r="P2496" s="705"/>
      <c r="Q2496" s="705"/>
      <c r="R2496" s="705"/>
      <c r="S2496" s="705"/>
      <c r="T2496" s="705"/>
      <c r="U2496" s="108"/>
      <c r="Y2496" s="532" t="s">
        <v>341</v>
      </c>
      <c r="AC2496" s="49"/>
      <c r="AD2496" s="687" t="s">
        <v>302</v>
      </c>
      <c r="AE2496" s="688"/>
      <c r="AF2496" s="689"/>
      <c r="AG2496" s="49"/>
      <c r="AH2496" s="87"/>
      <c r="AI2496" s="87"/>
    </row>
    <row r="2497" spans="1:35" ht="15.75" hidden="1" customHeight="1" thickBot="1">
      <c r="A2497" s="218" t="e">
        <f>"K"&amp;E2479</f>
        <v>#N/A</v>
      </c>
      <c r="B2497" s="701" t="s">
        <v>71</v>
      </c>
      <c r="C2497" s="751" t="s">
        <v>102</v>
      </c>
      <c r="D2497" s="751"/>
      <c r="E2497" s="751"/>
      <c r="F2497" s="751"/>
      <c r="G2497" s="751"/>
      <c r="H2497" s="751"/>
      <c r="I2497" s="751"/>
      <c r="J2497" s="751"/>
      <c r="K2497" s="751"/>
      <c r="L2497" s="722" t="s">
        <v>100</v>
      </c>
      <c r="M2497" s="747" t="s">
        <v>114</v>
      </c>
      <c r="N2497" s="747"/>
      <c r="O2497" s="747"/>
      <c r="P2497" s="747"/>
      <c r="Q2497" s="748"/>
      <c r="R2497" s="758" t="s">
        <v>280</v>
      </c>
      <c r="S2497" s="748"/>
      <c r="T2497" s="762" t="str">
        <f>IF(COUNTIF(AE2497:AF2497,"VERIFICAR")&gt;0,"VERIFICAR",IF(COUNTIF(AE2497:AF2497,"NO CUMPLE")&gt;0,"NO CUMPLE","CUMPLE"))</f>
        <v>VERIFICAR</v>
      </c>
      <c r="U2497" s="108"/>
      <c r="Y2497" s="533" t="e">
        <f>IF(F2498="","",IF(F2498=1,"INDIVIDUAL","ESTRUCTURA PLURAL"))</f>
        <v>#N/A</v>
      </c>
      <c r="AC2497" s="52"/>
      <c r="AD2497" s="475" t="s">
        <v>303</v>
      </c>
      <c r="AE2497" s="476" t="str">
        <f>IF(COUNTIF(AE2483:AE2492,"")=10,"VERIFICAR",IF(COUNTIF(AE2483:AE2492,"SI")&gt;0,"CUMPLE","NO CUMPLE"))</f>
        <v>VERIFICAR</v>
      </c>
      <c r="AF2497" s="477" t="str">
        <f>IF(COUNTIF(AF2483:AF2492,"")=10,"VERIFICAR",IF(COUNTIF(AF2483:AF2492,"SI")&gt;=$AI$22,"CUMPLE","NO CUMPLE"))</f>
        <v>VERIFICAR</v>
      </c>
      <c r="AG2497" s="52"/>
      <c r="AH2497" s="87"/>
      <c r="AI2497" s="87"/>
    </row>
    <row r="2498" spans="1:35" ht="16.5" hidden="1" customHeight="1" thickBot="1">
      <c r="A2498" s="218" t="e">
        <f>"L"&amp;E2479</f>
        <v>#N/A</v>
      </c>
      <c r="B2498" s="702"/>
      <c r="C2498" s="751" t="s">
        <v>103</v>
      </c>
      <c r="D2498" s="751"/>
      <c r="E2498" s="752"/>
      <c r="F2498" s="557" t="e">
        <f>IF(VLOOKUP(E2479,PROPONENTES!$C$19:$E$218,3,0)="","",VLOOKUP(E2479,PROPONENTES!$C$19:$E$218,3,0))</f>
        <v>#N/A</v>
      </c>
      <c r="G2498" s="753" t="s">
        <v>104</v>
      </c>
      <c r="H2498" s="751"/>
      <c r="I2498" s="715" t="e">
        <f>IF(OR(F2498="",F2498=1),"INTERESADO PERSONA NATURAL O JURIDICA","CONSORCIO O UNION TEMPORAL")</f>
        <v>#N/A</v>
      </c>
      <c r="J2498" s="725"/>
      <c r="K2498" s="728"/>
      <c r="L2498" s="723"/>
      <c r="M2498" s="749"/>
      <c r="N2498" s="749"/>
      <c r="O2498" s="749"/>
      <c r="P2498" s="749"/>
      <c r="Q2498" s="750"/>
      <c r="R2498" s="712"/>
      <c r="S2498" s="750"/>
      <c r="T2498" s="763"/>
      <c r="U2498" s="108"/>
      <c r="Y2498" s="534"/>
      <c r="AA2498" s="52"/>
      <c r="AB2498" s="52"/>
      <c r="AC2498" s="52"/>
      <c r="AG2498" s="52"/>
      <c r="AH2498" s="87"/>
      <c r="AI2498" s="87"/>
    </row>
    <row r="2499" spans="1:35" ht="56.25" hidden="1" customHeight="1" thickBot="1">
      <c r="A2499" s="218" t="e">
        <f>"M"&amp;E2479</f>
        <v>#N/A</v>
      </c>
      <c r="B2499" s="702"/>
      <c r="C2499" s="725" t="s">
        <v>101</v>
      </c>
      <c r="D2499" s="716"/>
      <c r="E2499" s="558" t="s">
        <v>105</v>
      </c>
      <c r="F2499" s="554" t="s">
        <v>87</v>
      </c>
      <c r="G2499" s="553" t="s">
        <v>86</v>
      </c>
      <c r="H2499" s="559" t="s">
        <v>85</v>
      </c>
      <c r="I2499" s="554" t="s">
        <v>252</v>
      </c>
      <c r="J2499" s="553" t="str">
        <f>"¿EL INTEGRANTE TIENE UNA PARTICIPACIÓN DEL "&amp;PORCREQUERIDOINT*100&amp;"%?"</f>
        <v>¿EL INTEGRANTE TIENE UNA PARTICIPACIÓN DEL 60%?</v>
      </c>
      <c r="K2499" s="554" t="s">
        <v>107</v>
      </c>
      <c r="L2499" s="724"/>
      <c r="M2499" s="717" t="s">
        <v>115</v>
      </c>
      <c r="N2499" s="718"/>
      <c r="O2499" s="718"/>
      <c r="P2499" s="718"/>
      <c r="Q2499" s="223">
        <f>IF(AND(H2483="SI",P2483&gt;=0),1,0)+IF(AND(H2484="SI",P2484&gt;=0),1,0)+IF(AND(H2485="SI",P2485&gt;=0),1,0)+IF(AND(H2486="SI",P2486&gt;=0),1,0)+IF(AND(H2487="SI",P2487&gt;=0),1,0)+IF(AND(H2488="SI",P2488&gt;=0),1,0)+IF(AND(H2489="SI",P2489&gt;=0),1,0)+IF(AND(H2490="SI",P2490&gt;=0),1,0)+IF(AND(H2491="SI",P2491&gt;=0),1,0)+IF(AND(H2492="SI",P2492&gt;=0),1,0)</f>
        <v>0</v>
      </c>
      <c r="R2499" s="759"/>
      <c r="S2499" s="761"/>
      <c r="T2499" s="764"/>
      <c r="U2499" s="219"/>
      <c r="V2499" s="464"/>
      <c r="Y2499" s="532" t="s">
        <v>342</v>
      </c>
      <c r="AA2499" s="550" t="s">
        <v>344</v>
      </c>
      <c r="AB2499" s="693" t="s">
        <v>345</v>
      </c>
      <c r="AC2499" s="693" t="s">
        <v>346</v>
      </c>
      <c r="AD2499" s="685" t="s">
        <v>347</v>
      </c>
      <c r="AE2499" s="52"/>
      <c r="AF2499" s="52"/>
      <c r="AG2499" s="52"/>
      <c r="AH2499" s="87"/>
      <c r="AI2499" s="87"/>
    </row>
    <row r="2500" spans="1:35" ht="15.75" hidden="1" customHeight="1" thickBot="1">
      <c r="A2500" s="218" t="e">
        <f>"N"&amp;E2479</f>
        <v>#N/A</v>
      </c>
      <c r="B2500" s="702"/>
      <c r="C2500" s="114">
        <v>1</v>
      </c>
      <c r="D2500" s="194" t="e">
        <f>IF(AND(C2500&lt;=F2498,F2498&gt;1,F2498&lt;&gt;""),VLOOKUP(VALUE(E2479&amp;","&amp;C2500),INTEGRANTES!$D$18:$F$235,2,0),"")</f>
        <v>#N/A</v>
      </c>
      <c r="E2500" s="211" t="e">
        <f>IF(D2500&lt;&gt;"",VLOOKUP(VALUE(E2479&amp;","&amp;C2500),INTEGRANTES!$D$18:$F$235,3,0),"")</f>
        <v>#N/A</v>
      </c>
      <c r="F2500" s="547" t="e">
        <f>IF(D2500="","",SUMIF($I2483:$I2492,D2500,$P2483:$P2492))</f>
        <v>#N/A</v>
      </c>
      <c r="G2500" s="333" t="e">
        <f>IF(D2500="","",SUMIF($I2483:$I2492,D2500,$M2483:$M2492))</f>
        <v>#N/A</v>
      </c>
      <c r="H2500" s="535" t="e">
        <f t="shared" ref="H2500:H2505" si="731">IF(D2500="","",IF(OR(F2500=0,G2500=0),"NO APORTA",ROUND($F2500/$G2500,3)))</f>
        <v>#N/A</v>
      </c>
      <c r="I2500" s="212" t="e">
        <f>IF(D2500="","",IF(H2500="NO APORTA","NO",IF(H2500=MAX($H2500:$H2505),"SI","NO")))</f>
        <v>#N/A</v>
      </c>
      <c r="J2500" s="213" t="e">
        <f t="shared" ref="J2500:J2505" si="732">IF(D2500="","",IF(E2500&gt;=PORCREQUERIDOINT,"SI","NO"))</f>
        <v>#N/A</v>
      </c>
      <c r="K2500" s="200" t="e">
        <f t="shared" ref="K2500:K2505" si="733">IF(D2500="","",IF(AND(I2500="SI",J2500="SI"),"CUMPLE",IF(AND(I2500="NO",OR(J2500="SI",J2500="NO")),"","NO CUMPLE")))</f>
        <v>#N/A</v>
      </c>
      <c r="L2500" s="722" t="s">
        <v>108</v>
      </c>
      <c r="M2500" s="726" t="s">
        <v>119</v>
      </c>
      <c r="N2500" s="726"/>
      <c r="O2500" s="726"/>
      <c r="P2500" s="726"/>
      <c r="Q2500" s="727"/>
      <c r="R2500" s="758" t="s">
        <v>80</v>
      </c>
      <c r="S2500" s="747"/>
      <c r="T2500" s="748"/>
      <c r="U2500" s="219"/>
      <c r="V2500" s="464"/>
      <c r="Y2500" s="533" t="e">
        <f>IF(Y2497="","",IF(Y2497="INDIVIDUAL","NO APLICA","VERIFICAR CUADRO"))</f>
        <v>#N/A</v>
      </c>
      <c r="AA2500" s="551"/>
      <c r="AB2500" s="694"/>
      <c r="AC2500" s="694"/>
      <c r="AD2500" s="686"/>
      <c r="AE2500" s="52"/>
      <c r="AF2500" s="52"/>
      <c r="AG2500" s="52"/>
      <c r="AH2500" s="87"/>
      <c r="AI2500" s="87"/>
    </row>
    <row r="2501" spans="1:35" ht="27" hidden="1" customHeight="1" thickBot="1">
      <c r="A2501" s="218" t="e">
        <f>"O"&amp;E2479</f>
        <v>#N/A</v>
      </c>
      <c r="B2501" s="702"/>
      <c r="C2501" s="114">
        <v>2</v>
      </c>
      <c r="D2501" s="194" t="e">
        <f>IF(AND(C2501&lt;=F2498,F2498&lt;&gt;""),VLOOKUP(VALUE(E2479&amp;","&amp;C2501),INTEGRANTES!$D$18:$F$235,2,0),"")</f>
        <v>#N/A</v>
      </c>
      <c r="E2501" s="211" t="e">
        <f>IF(D2501&lt;&gt;"",VLOOKUP(VALUE(E2479&amp;","&amp;C2501),INTEGRANTES!$D$18:$F$235,3,0),"")</f>
        <v>#N/A</v>
      </c>
      <c r="F2501" s="547" t="e">
        <f>IF(D2501="","",SUMIF($I2483:$I2492,D2501,$P2483:$P2492))</f>
        <v>#N/A</v>
      </c>
      <c r="G2501" s="333" t="e">
        <f>IF(D2501="","",SUMIF($I2483:$I2492,D2501,$M2483:$M2492))</f>
        <v>#N/A</v>
      </c>
      <c r="H2501" s="535" t="e">
        <f t="shared" si="731"/>
        <v>#N/A</v>
      </c>
      <c r="I2501" s="212" t="e">
        <f>IF(D2501="","",IF(H2501="NO APORTA","NO",IF(H2501=MAX($H2500:$H2505),"SI","NO")))</f>
        <v>#N/A</v>
      </c>
      <c r="J2501" s="213" t="e">
        <f t="shared" si="732"/>
        <v>#N/A</v>
      </c>
      <c r="K2501" s="200" t="e">
        <f t="shared" si="733"/>
        <v>#N/A</v>
      </c>
      <c r="L2501" s="723"/>
      <c r="M2501" s="715" t="s">
        <v>116</v>
      </c>
      <c r="N2501" s="716"/>
      <c r="O2501" s="556" t="s">
        <v>113</v>
      </c>
      <c r="P2501" s="715" t="s">
        <v>117</v>
      </c>
      <c r="Q2501" s="728"/>
      <c r="R2501" s="759"/>
      <c r="S2501" s="760"/>
      <c r="T2501" s="761"/>
      <c r="U2501" s="219"/>
      <c r="V2501" s="464"/>
      <c r="Y2501" s="414"/>
      <c r="AA2501" s="542" t="e">
        <f>IF(AND(C2500&lt;=F2498,F2498&gt;1,F2498&lt;&gt;""),VLOOKUP(VALUE(E2479&amp;","&amp;C2500),INTEGRANTES!$D$18:$F$235,2,0),"")</f>
        <v>#N/A</v>
      </c>
      <c r="AB2501" s="544" t="e">
        <f t="shared" ref="AB2501:AB2506" si="734">IF(D2500="","",IF(OR(F2500=0,G2500=0),"NO APORTA",ROUND($F2500/$G2500,3)))</f>
        <v>#N/A</v>
      </c>
      <c r="AC2501" s="529"/>
      <c r="AD2501" s="200" t="e">
        <f t="shared" ref="AD2501:AD2506" si="735">IF(OR(AA2501="",AB2501=""),"",IF(AND(AC2501="X",AB2501&gt;=EXPREQVTD),"CUMPLE","NO CUMPLE"))</f>
        <v>#N/A</v>
      </c>
      <c r="AE2501" s="52"/>
      <c r="AF2501" s="52"/>
      <c r="AG2501" s="52"/>
      <c r="AH2501" s="87"/>
      <c r="AI2501" s="87"/>
    </row>
    <row r="2502" spans="1:35" ht="16.5" hidden="1" thickBot="1">
      <c r="A2502" s="218" t="e">
        <f>"P"&amp;E2479</f>
        <v>#N/A</v>
      </c>
      <c r="B2502" s="702"/>
      <c r="C2502" s="114">
        <v>3</v>
      </c>
      <c r="D2502" s="194" t="e">
        <f>IF(AND(C2502&lt;=F2498,F2498&lt;&gt;""),VLOOKUP(VALUE(E2479&amp;","&amp;C2502),INTEGRANTES!$D$18:$F$235,2,0),"")</f>
        <v>#N/A</v>
      </c>
      <c r="E2502" s="211" t="e">
        <f>IF(D2502&lt;&gt;"",VLOOKUP(VALUE(E2479&amp;","&amp;C2502),INTEGRANTES!$D$18:$F$235,3,0),"")</f>
        <v>#N/A</v>
      </c>
      <c r="F2502" s="547" t="e">
        <f>IF(D2502="","",SUMIF($I2483:$I2492,D2502,$P2483:$P2492))</f>
        <v>#N/A</v>
      </c>
      <c r="G2502" s="333" t="e">
        <f>IF(D2502="","",SUMIF($I2483:$I2492,D2502,$M2483:$M2492))</f>
        <v>#N/A</v>
      </c>
      <c r="H2502" s="535" t="e">
        <f t="shared" si="731"/>
        <v>#N/A</v>
      </c>
      <c r="I2502" s="212" t="e">
        <f>IF(D2502="","",IF(H2502="NO APORTA","NO",IF(H2502=MAX($H2500:$H2505),"SI","NO")))</f>
        <v>#N/A</v>
      </c>
      <c r="J2502" s="213" t="e">
        <f t="shared" si="732"/>
        <v>#N/A</v>
      </c>
      <c r="K2502" s="200" t="e">
        <f t="shared" si="733"/>
        <v>#N/A</v>
      </c>
      <c r="L2502" s="724"/>
      <c r="M2502" s="729">
        <f>NUMMOD</f>
        <v>1</v>
      </c>
      <c r="N2502" s="730"/>
      <c r="O2502" s="443">
        <f>IF(M2502="","",VLOOKUP(M2502,PRESUPUESTOS!$B$16:$H$16,5,FALSE))</f>
        <v>2</v>
      </c>
      <c r="P2502" s="713">
        <f>IF(OR(COUNTIF(M2483:M2492,"")&gt;=10,Q2499&lt;NUMMINCONT,OR(T2497="NO CUMPLE",T2497="VERIFICAR")),0,ROUND(AVERAGE(M2483:M2492),3))</f>
        <v>0</v>
      </c>
      <c r="Q2502" s="714"/>
      <c r="R2502" s="458"/>
      <c r="S2502" s="459"/>
      <c r="T2502" s="460"/>
      <c r="U2502" s="219"/>
      <c r="V2502" s="464"/>
      <c r="Y2502" s="532" t="str">
        <f>"40% * ("&amp;PRESUPUESTOS!$H$13&amp;")"</f>
        <v>40% * (50% PFMO)</v>
      </c>
      <c r="AA2502" s="540" t="e">
        <f>IF(AND(C2501&lt;=F2498,F2498&lt;&gt;""),VLOOKUP(VALUE(E2479&amp;","&amp;C2501),INTEGRANTES!$D$18:$F$235,2,0),"")</f>
        <v>#N/A</v>
      </c>
      <c r="AB2502" s="545" t="e">
        <f t="shared" si="734"/>
        <v>#N/A</v>
      </c>
      <c r="AC2502" s="529"/>
      <c r="AD2502" s="200" t="e">
        <f t="shared" si="735"/>
        <v>#N/A</v>
      </c>
      <c r="AE2502" s="52"/>
      <c r="AF2502" s="52"/>
      <c r="AG2502" s="52"/>
      <c r="AH2502" s="87"/>
      <c r="AI2502" s="87"/>
    </row>
    <row r="2503" spans="1:35" ht="15.75" hidden="1" customHeight="1" thickBot="1">
      <c r="A2503" s="218" t="e">
        <f>"Q"&amp;E2479</f>
        <v>#N/A</v>
      </c>
      <c r="B2503" s="702"/>
      <c r="C2503" s="114">
        <v>4</v>
      </c>
      <c r="D2503" s="194" t="e">
        <f>IF(AND(C2503&lt;=F2498,F2498&lt;&gt;""),VLOOKUP(VALUE(E2479&amp;","&amp;C2503),INTEGRANTES!$D$18:$F$235,2,0),"")</f>
        <v>#N/A</v>
      </c>
      <c r="E2503" s="211" t="e">
        <f>IF(D2503&lt;&gt;"",VLOOKUP(VALUE(E2479&amp;","&amp;C2503),INTEGRANTES!$D$18:$F$235,3,0),"")</f>
        <v>#N/A</v>
      </c>
      <c r="F2503" s="547" t="e">
        <f>IF(D2503="","",SUMIF($I2483:$I2492,D2503,$P2483:$P2492))</f>
        <v>#N/A</v>
      </c>
      <c r="G2503" s="333" t="e">
        <f>IF(D2503="","",SUMIF($I2483:$I2492,D2503,$M2483:$M2492))</f>
        <v>#N/A</v>
      </c>
      <c r="H2503" s="535" t="e">
        <f t="shared" si="731"/>
        <v>#N/A</v>
      </c>
      <c r="I2503" s="212" t="e">
        <f>IF(D2503="","",IF(H2503="NO APORTA","NO",IF(H2503=MAX($H2500:$H2505),"SI","NO")))</f>
        <v>#N/A</v>
      </c>
      <c r="J2503" s="213" t="e">
        <f t="shared" si="732"/>
        <v>#N/A</v>
      </c>
      <c r="K2503" s="200" t="e">
        <f t="shared" si="733"/>
        <v>#N/A</v>
      </c>
      <c r="L2503" s="720" t="s">
        <v>109</v>
      </c>
      <c r="M2503" s="757" t="s">
        <v>120</v>
      </c>
      <c r="N2503" s="726"/>
      <c r="O2503" s="726"/>
      <c r="P2503" s="726"/>
      <c r="Q2503" s="727"/>
      <c r="R2503" s="458"/>
      <c r="S2503" s="459"/>
      <c r="T2503" s="460"/>
      <c r="U2503" s="219"/>
      <c r="V2503" s="464"/>
      <c r="Y2503" s="537">
        <f>0.4*PRESUPUESTOS!$H$16</f>
        <v>10.3124</v>
      </c>
      <c r="AA2503" s="540" t="e">
        <f>IF(AND(C2502&lt;=F2498,F2498&lt;&gt;""),VLOOKUP(VALUE(E2479&amp;","&amp;C2502),INTEGRANTES!$D$18:$F$235,2,0),"")</f>
        <v>#N/A</v>
      </c>
      <c r="AB2503" s="545" t="e">
        <f t="shared" si="734"/>
        <v>#N/A</v>
      </c>
      <c r="AC2503" s="529"/>
      <c r="AD2503" s="200" t="e">
        <f t="shared" si="735"/>
        <v>#N/A</v>
      </c>
      <c r="AE2503" s="52"/>
      <c r="AF2503" s="52"/>
      <c r="AG2503" s="52"/>
      <c r="AH2503" s="87"/>
      <c r="AI2503" s="87"/>
    </row>
    <row r="2504" spans="1:35" ht="27" hidden="1" customHeight="1" thickBot="1">
      <c r="A2504" s="218" t="e">
        <f>"R"&amp;E2479</f>
        <v>#N/A</v>
      </c>
      <c r="B2504" s="702"/>
      <c r="C2504" s="114">
        <v>5</v>
      </c>
      <c r="D2504" s="194" t="e">
        <f>IF(AND(C2504&lt;=F2498,F2498&lt;&gt;""),VLOOKUP(VALUE(E2479&amp;","&amp;C2504),INTEGRANTES!$D$18:$F$235,2,0),"")</f>
        <v>#N/A</v>
      </c>
      <c r="E2504" s="211" t="e">
        <f>IF(D2504&lt;&gt;"",VLOOKUP(VALUE(E2479&amp;","&amp;C2504),INTEGRANTES!$D$18:$F$235,3,0),"")</f>
        <v>#N/A</v>
      </c>
      <c r="F2504" s="547" t="e">
        <f>IF(D2504="","",SUMIF($I2483:$I2492,D2504,$P2483:$P2492))</f>
        <v>#N/A</v>
      </c>
      <c r="G2504" s="333" t="e">
        <f>IF(D2504="","",SUMIF($I2483:$I2492,D2504,$M2483:$M2492))</f>
        <v>#N/A</v>
      </c>
      <c r="H2504" s="535" t="e">
        <f t="shared" si="731"/>
        <v>#N/A</v>
      </c>
      <c r="I2504" s="212" t="e">
        <f>IF(D2504="","",IF(H2504="NO APORTA","NO",IF(H2504=MAX($H2500:$H2505),"SI","NO")))</f>
        <v>#N/A</v>
      </c>
      <c r="J2504" s="213" t="e">
        <f t="shared" si="732"/>
        <v>#N/A</v>
      </c>
      <c r="K2504" s="200" t="e">
        <f t="shared" si="733"/>
        <v>#N/A</v>
      </c>
      <c r="L2504" s="721"/>
      <c r="M2504" s="715" t="s">
        <v>116</v>
      </c>
      <c r="N2504" s="716"/>
      <c r="O2504" s="556" t="str">
        <f>PORCREQUERIDO*100&amp;"% PMFO DEL MÓDULO"</f>
        <v>50% PMFO DEL MÓDULO</v>
      </c>
      <c r="P2504" s="715" t="s">
        <v>118</v>
      </c>
      <c r="Q2504" s="728"/>
      <c r="R2504" s="458"/>
      <c r="S2504" s="459"/>
      <c r="T2504" s="460"/>
      <c r="U2504" s="219"/>
      <c r="V2504" s="464"/>
      <c r="Y2504" s="414"/>
      <c r="AA2504" s="540" t="e">
        <f>IF(AND(C2503&lt;=F2498,F2498&lt;&gt;""),VLOOKUP(VALUE(E2479&amp;","&amp;C2503),INTEGRANTES!$D$18:$F$235,2,0),"")</f>
        <v>#N/A</v>
      </c>
      <c r="AB2504" s="545" t="e">
        <f t="shared" si="734"/>
        <v>#N/A</v>
      </c>
      <c r="AC2504" s="529"/>
      <c r="AD2504" s="200" t="e">
        <f t="shared" si="735"/>
        <v>#N/A</v>
      </c>
      <c r="AE2504" s="52"/>
      <c r="AF2504" s="52"/>
      <c r="AG2504" s="52"/>
      <c r="AH2504" s="87"/>
      <c r="AI2504" s="87"/>
    </row>
    <row r="2505" spans="1:35" ht="16.5" hidden="1" thickBot="1">
      <c r="A2505" s="218" t="e">
        <f>"S"&amp;E2479</f>
        <v>#N/A</v>
      </c>
      <c r="B2505" s="702"/>
      <c r="C2505" s="215">
        <v>6</v>
      </c>
      <c r="D2505" s="216" t="e">
        <f>IF(AND(C2505&lt;=F2498,F2498&lt;&gt;""),VLOOKUP(VALUE(E2479&amp;","&amp;C2505),INTEGRANTES!$D$18:$F$235,2,0),"")</f>
        <v>#N/A</v>
      </c>
      <c r="E2505" s="217" t="e">
        <f>IF(D2505&lt;&gt;"",VLOOKUP(VALUE(E2479&amp;","&amp;C2505),INTEGRANTES!$D$18:$F$235,3,0),"")</f>
        <v>#N/A</v>
      </c>
      <c r="F2505" s="548" t="e">
        <f>IF(D2505="","",SUMIF($I2483:$I2492,D2505,$P2483:$P2492))</f>
        <v>#N/A</v>
      </c>
      <c r="G2505" s="334" t="e">
        <f>IF(D2505="","",SUMIF($I2483:$I2492,D2505,$M2483:$M2492))</f>
        <v>#N/A</v>
      </c>
      <c r="H2505" s="536" t="e">
        <f t="shared" si="731"/>
        <v>#N/A</v>
      </c>
      <c r="I2505" s="214" t="e">
        <f>IF(D2505="","",IF(H2505="NO APORTA","NO",IF(H2505=MAX($H2500:$H2505),"SI","NO")))</f>
        <v>#N/A</v>
      </c>
      <c r="J2505" s="213" t="e">
        <f t="shared" si="732"/>
        <v>#N/A</v>
      </c>
      <c r="K2505" s="200" t="e">
        <f t="shared" si="733"/>
        <v>#N/A</v>
      </c>
      <c r="L2505" s="721"/>
      <c r="M2505" s="729">
        <f>NUMMOD</f>
        <v>1</v>
      </c>
      <c r="N2505" s="730"/>
      <c r="O2505" s="443">
        <f>IF(M2505="","",ROUND(VLOOKUP(M2505,PRESUPUESTOS!$B$16:$H$16,7,FALSE),3))</f>
        <v>25.780999999999999</v>
      </c>
      <c r="P2505" s="713">
        <f>IF(OR(COUNTIF(P2483:P2492,"")&gt;=10,Q2499&lt;NUMMINCONT,OR(T2497="NO CUMPLE",T2497="VERIFICAR")),0,ROUND((SUM(P2483:P2492)/SUM(M2483:M2492)),3))</f>
        <v>0</v>
      </c>
      <c r="Q2505" s="714"/>
      <c r="R2505" s="458"/>
      <c r="S2505" s="459"/>
      <c r="T2505" s="460"/>
      <c r="U2505" s="219"/>
      <c r="V2505" s="464"/>
      <c r="Y2505" s="532" t="s">
        <v>343</v>
      </c>
      <c r="AA2505" s="540" t="e">
        <f>IF(AND(C2504&lt;=F2498,F2498&lt;&gt;""),VLOOKUP(VALUE(E2479&amp;","&amp;C2504),INTEGRANTES!$D$18:$F$235,2,0),"")</f>
        <v>#N/A</v>
      </c>
      <c r="AB2505" s="545" t="e">
        <f t="shared" si="734"/>
        <v>#N/A</v>
      </c>
      <c r="AC2505" s="529"/>
      <c r="AD2505" s="200" t="e">
        <f t="shared" si="735"/>
        <v>#N/A</v>
      </c>
      <c r="AE2505" s="52"/>
      <c r="AF2505" s="52"/>
      <c r="AG2505" s="52"/>
      <c r="AH2505" s="87"/>
      <c r="AI2505" s="87"/>
    </row>
    <row r="2506" spans="1:35" ht="16.5" hidden="1" customHeight="1" thickBot="1">
      <c r="A2506" s="218" t="e">
        <f>"T"&amp;E2479</f>
        <v>#N/A</v>
      </c>
      <c r="B2506" s="703"/>
      <c r="C2506" s="719"/>
      <c r="D2506" s="719"/>
      <c r="E2506" s="719"/>
      <c r="F2506" s="719"/>
      <c r="G2506" s="719"/>
      <c r="H2506" s="719" t="s">
        <v>110</v>
      </c>
      <c r="I2506" s="719"/>
      <c r="J2506" s="719"/>
      <c r="K2506" s="201" t="str">
        <f>IF(COUNTIF(K2500:K2505,"")=6,"",IF(COUNTIF(K2500:K2505,"CUMPLE")&gt;0,"CUMPLE","NO CUMPLE"))</f>
        <v>NO CUMPLE</v>
      </c>
      <c r="L2506" s="754"/>
      <c r="M2506" s="755"/>
      <c r="N2506" s="755"/>
      <c r="O2506" s="755"/>
      <c r="P2506" s="755"/>
      <c r="Q2506" s="756"/>
      <c r="R2506" s="461"/>
      <c r="S2506" s="462"/>
      <c r="T2506" s="463"/>
      <c r="U2506" s="219"/>
      <c r="V2506" s="464"/>
      <c r="Y2506" s="549" t="e">
        <f>IF(Y2500="NO APLICA","NO APLICA",IF(COUNTIF(AD2501:AD2506,"CUMPLE")&gt;0,"CUMPLE","NO CUMPLE"))</f>
        <v>#N/A</v>
      </c>
      <c r="AA2506" s="541" t="e">
        <f>IF(AND(C2505&lt;=F2498,F2498&lt;&gt;""),VLOOKUP(VALUE(E2479&amp;","&amp;C2505),INTEGRANTES!$D$18:$F$235,2,0),"")</f>
        <v>#N/A</v>
      </c>
      <c r="AB2506" s="546" t="e">
        <f t="shared" si="734"/>
        <v>#N/A</v>
      </c>
      <c r="AC2506" s="543"/>
      <c r="AD2506" s="201" t="e">
        <f t="shared" si="735"/>
        <v>#N/A</v>
      </c>
      <c r="AE2506" s="52"/>
      <c r="AF2506" s="52"/>
      <c r="AG2506" s="52"/>
      <c r="AH2506" s="87"/>
      <c r="AI2506" s="87"/>
    </row>
    <row r="2507" spans="1:35" hidden="1">
      <c r="A2507" s="103"/>
      <c r="B2507" s="206"/>
      <c r="C2507" s="206"/>
      <c r="D2507" s="206"/>
      <c r="E2507" s="206"/>
      <c r="F2507" s="206"/>
      <c r="G2507" s="206"/>
      <c r="H2507" s="206"/>
      <c r="I2507" s="104"/>
      <c r="J2507" s="206"/>
      <c r="K2507" s="113"/>
      <c r="L2507" s="113"/>
      <c r="M2507" s="113"/>
      <c r="N2507" s="222"/>
      <c r="O2507" s="113"/>
      <c r="P2507" s="113"/>
      <c r="Q2507" s="113"/>
      <c r="R2507" s="206"/>
      <c r="S2507" s="104"/>
      <c r="T2507" s="206"/>
      <c r="U2507" s="474"/>
      <c r="AH2507" s="87"/>
      <c r="AI2507" s="87"/>
    </row>
    <row r="2508" spans="1:35" hidden="1">
      <c r="H2508" s="220"/>
      <c r="AH2508" s="87"/>
      <c r="AI2508" s="87"/>
    </row>
    <row r="2509" spans="1:35" ht="24" hidden="1" thickBot="1">
      <c r="A2509" s="61">
        <v>84</v>
      </c>
      <c r="B2509" s="704" t="s">
        <v>51</v>
      </c>
      <c r="C2509" s="704"/>
      <c r="D2509" s="704"/>
      <c r="E2509" s="62" t="e">
        <f>VLOOKUP(A2509,PROPONENTES!$B$19:$E$218,2,FALSE)</f>
        <v>#N/A</v>
      </c>
      <c r="F2509" s="63" t="e">
        <f>VLOOKUP(A2509,PROPONENTES!$B$19:$E$218,3,FALSE)</f>
        <v>#N/A</v>
      </c>
      <c r="G2509" s="64"/>
      <c r="H2509" s="64"/>
      <c r="I2509" s="63"/>
      <c r="J2509" s="63"/>
      <c r="K2509" s="65"/>
      <c r="L2509" s="65"/>
      <c r="M2509" s="64"/>
      <c r="N2509" s="64"/>
      <c r="O2509" s="66"/>
      <c r="P2509" s="66"/>
      <c r="Q2509" s="66"/>
      <c r="R2509" s="66"/>
      <c r="S2509" s="67"/>
      <c r="T2509" s="68"/>
      <c r="U2509" s="68"/>
      <c r="AC2509" s="68"/>
      <c r="AD2509" s="68"/>
      <c r="AE2509" s="68"/>
      <c r="AF2509" s="68"/>
      <c r="AG2509" s="68"/>
      <c r="AH2509" s="87"/>
      <c r="AI2509" s="87"/>
    </row>
    <row r="2510" spans="1:35" ht="15.75" hidden="1" customHeight="1">
      <c r="A2510" s="44"/>
      <c r="B2510" s="709" t="s">
        <v>59</v>
      </c>
      <c r="C2510" s="552" t="s">
        <v>60</v>
      </c>
      <c r="D2510" s="70" t="s">
        <v>17</v>
      </c>
      <c r="E2510" s="70"/>
      <c r="F2510" s="70" t="s">
        <v>61</v>
      </c>
      <c r="G2510" s="71"/>
      <c r="H2510" s="699" t="s">
        <v>62</v>
      </c>
      <c r="I2510" s="699" t="s">
        <v>18</v>
      </c>
      <c r="J2510" s="699" t="s">
        <v>63</v>
      </c>
      <c r="K2510" s="699" t="s">
        <v>64</v>
      </c>
      <c r="L2510" s="699" t="s">
        <v>65</v>
      </c>
      <c r="M2510" s="743" t="s">
        <v>66</v>
      </c>
      <c r="N2510" s="699" t="s">
        <v>282</v>
      </c>
      <c r="O2510" s="745" t="s">
        <v>67</v>
      </c>
      <c r="P2510" s="746"/>
      <c r="Q2510" s="102" t="s">
        <v>75</v>
      </c>
      <c r="R2510" s="731" t="s">
        <v>22</v>
      </c>
      <c r="S2510" s="732"/>
      <c r="T2510" s="733"/>
      <c r="U2510" s="712" t="s">
        <v>298</v>
      </c>
      <c r="W2510" s="690" t="s">
        <v>268</v>
      </c>
      <c r="X2510" s="691"/>
      <c r="Y2510" s="692"/>
      <c r="Z2510" s="428"/>
      <c r="AA2510" s="697" t="s">
        <v>315</v>
      </c>
      <c r="AB2510" s="695" t="s">
        <v>322</v>
      </c>
      <c r="AC2510" s="49"/>
      <c r="AD2510" s="690" t="s">
        <v>297</v>
      </c>
      <c r="AE2510" s="691"/>
      <c r="AF2510" s="692"/>
      <c r="AG2510" s="49"/>
      <c r="AH2510" s="87"/>
      <c r="AI2510" s="87"/>
    </row>
    <row r="2511" spans="1:35" ht="72" hidden="1">
      <c r="A2511" s="44"/>
      <c r="B2511" s="710"/>
      <c r="C2511" s="553" t="s">
        <v>68</v>
      </c>
      <c r="D2511" s="73" t="s">
        <v>3</v>
      </c>
      <c r="E2511" s="73" t="s">
        <v>19</v>
      </c>
      <c r="F2511" s="73" t="s">
        <v>69</v>
      </c>
      <c r="G2511" s="74" t="s">
        <v>70</v>
      </c>
      <c r="H2511" s="700"/>
      <c r="I2511" s="700"/>
      <c r="J2511" s="700"/>
      <c r="K2511" s="700"/>
      <c r="L2511" s="700"/>
      <c r="M2511" s="744"/>
      <c r="N2511" s="700"/>
      <c r="O2511" s="553" t="s">
        <v>279</v>
      </c>
      <c r="P2511" s="73" t="s">
        <v>88</v>
      </c>
      <c r="Q2511" s="555" t="s">
        <v>76</v>
      </c>
      <c r="R2511" s="734"/>
      <c r="S2511" s="735"/>
      <c r="T2511" s="736"/>
      <c r="U2511" s="712"/>
      <c r="W2511" s="429" t="s">
        <v>269</v>
      </c>
      <c r="X2511" s="457" t="s">
        <v>278</v>
      </c>
      <c r="Y2511" s="430" t="s">
        <v>324</v>
      </c>
      <c r="Z2511" s="428"/>
      <c r="AA2511" s="698"/>
      <c r="AB2511" s="696"/>
      <c r="AC2511" s="49"/>
      <c r="AD2511" s="429" t="s">
        <v>292</v>
      </c>
      <c r="AE2511" s="431" t="s">
        <v>300</v>
      </c>
      <c r="AF2511" s="468" t="s">
        <v>301</v>
      </c>
      <c r="AG2511" s="49"/>
      <c r="AH2511" s="87"/>
      <c r="AI2511" s="87"/>
    </row>
    <row r="2512" spans="1:35" hidden="1">
      <c r="A2512" s="44"/>
      <c r="B2512" s="76"/>
      <c r="C2512" s="77"/>
      <c r="D2512" s="77"/>
      <c r="E2512" s="77"/>
      <c r="F2512" s="77"/>
      <c r="G2512" s="77"/>
      <c r="H2512" s="77"/>
      <c r="I2512" s="77"/>
      <c r="J2512" s="77"/>
      <c r="K2512" s="77"/>
      <c r="L2512" s="77"/>
      <c r="M2512" s="77"/>
      <c r="N2512" s="77"/>
      <c r="O2512" s="77"/>
      <c r="P2512" s="77"/>
      <c r="Q2512" s="77"/>
      <c r="R2512" s="77"/>
      <c r="S2512" s="78"/>
      <c r="T2512" s="79"/>
      <c r="U2512" s="109"/>
      <c r="V2512" s="49"/>
      <c r="W2512" s="432"/>
      <c r="X2512" s="454"/>
      <c r="Y2512" s="433"/>
      <c r="Z2512" s="6"/>
      <c r="AA2512" s="500"/>
      <c r="AB2512" s="562"/>
      <c r="AC2512" s="49"/>
      <c r="AD2512" s="210"/>
      <c r="AE2512" s="434"/>
      <c r="AF2512" s="435"/>
      <c r="AG2512" s="49"/>
      <c r="AH2512" s="87"/>
      <c r="AI2512" s="87"/>
    </row>
    <row r="2513" spans="1:35" hidden="1">
      <c r="A2513" s="80" t="e">
        <f>"A"&amp;E2509</f>
        <v>#N/A</v>
      </c>
      <c r="B2513" s="81">
        <v>1</v>
      </c>
      <c r="C2513" s="82"/>
      <c r="D2513" s="82"/>
      <c r="E2513" s="82"/>
      <c r="F2513" s="82"/>
      <c r="G2513" s="83"/>
      <c r="H2513" s="83"/>
      <c r="I2513" s="84"/>
      <c r="J2513" s="85"/>
      <c r="K2513" s="382"/>
      <c r="L2513" s="85"/>
      <c r="M2513" s="332" t="str">
        <f t="shared" ref="M2513:M2522" si="736">IF(OR(J2513="",L2513="",H2513="NO"),"",IF(OR(J2513&gt;$P$17,J2513&lt;$O$17,L2513&gt;$P$17,AND(J2513&lt;$O$17,L2513&lt;$O$17)),"FUERA DE RANGO",IF(OR(K2513="---",K2513=""),IF(J2513&gt;=$O$17,ROUND((L2513-J2513+1)/360*12,3),ROUND((L2513-$O$17+1)/360*12,3)),IF(J2513&gt;=$O$17,ROUND((L2513-J2513+1)/360*12-ROUND(K2513,3),3),ROUND((L2513-$O$17+1)/360*12-ROUND(K2513,3),3)))))</f>
        <v/>
      </c>
      <c r="N2513" s="86"/>
      <c r="O2513" s="453" t="str">
        <f>IF(OR(G2513="",N2513=""),"",N2513*G2513)</f>
        <v/>
      </c>
      <c r="P2513" s="538" t="str">
        <f>IF(OR(H2513="",M2513="FUERA DE RANGO"),"",IF(OR(L2513&lt;$O$17,L2513&gt;$P$17,L2513="",H2513="NO"),"",IF(OR(N2513="",O2513=""),"",ROUND(O2513,3))))</f>
        <v/>
      </c>
      <c r="Q2513" s="539" t="str">
        <f t="shared" ref="Q2513:Q2522" si="737">IF(AND(H2513="SI",P2513&lt;&gt;""),ROUND(P2513/M2513,3),"")</f>
        <v/>
      </c>
      <c r="R2513" s="737"/>
      <c r="S2513" s="738"/>
      <c r="T2513" s="739"/>
      <c r="U2513" s="470"/>
      <c r="V2513" s="165"/>
      <c r="W2513" s="446"/>
      <c r="X2513" s="456"/>
      <c r="Y2513" s="436"/>
      <c r="Z2513" s="437"/>
      <c r="AA2513" s="560"/>
      <c r="AB2513" s="561"/>
      <c r="AC2513" s="87"/>
      <c r="AD2513" s="466"/>
      <c r="AE2513" s="456"/>
      <c r="AF2513" s="467"/>
      <c r="AG2513" s="87"/>
      <c r="AH2513" s="87"/>
      <c r="AI2513" s="87"/>
    </row>
    <row r="2514" spans="1:35" hidden="1">
      <c r="A2514" s="80" t="e">
        <f>"B"&amp;E2509</f>
        <v>#N/A</v>
      </c>
      <c r="B2514" s="81">
        <v>2</v>
      </c>
      <c r="C2514" s="106"/>
      <c r="D2514" s="106"/>
      <c r="E2514" s="106"/>
      <c r="F2514" s="106"/>
      <c r="G2514" s="83"/>
      <c r="H2514" s="83"/>
      <c r="I2514" s="84"/>
      <c r="J2514" s="85"/>
      <c r="K2514" s="382"/>
      <c r="L2514" s="85"/>
      <c r="M2514" s="332" t="str">
        <f t="shared" si="736"/>
        <v/>
      </c>
      <c r="N2514" s="86"/>
      <c r="O2514" s="453" t="str">
        <f t="shared" ref="O2514:O2522" si="738">IF(OR(G2514="",N2514=""),"",N2514*G2514)</f>
        <v/>
      </c>
      <c r="P2514" s="538" t="str">
        <f t="shared" ref="P2514:P2522" si="739">IF(OR(H2514="",M2514="FUERA DE RANGO"),"",IF(OR(L2514&lt;$O$17,L2514&gt;$P$17,L2514="",H2514="NO"),"",IF(OR(N2514="",O2514=""),"",ROUND(O2514,3))))</f>
        <v/>
      </c>
      <c r="Q2514" s="539" t="str">
        <f t="shared" si="737"/>
        <v/>
      </c>
      <c r="R2514" s="740"/>
      <c r="S2514" s="741"/>
      <c r="T2514" s="742"/>
      <c r="U2514" s="471"/>
      <c r="V2514" s="165"/>
      <c r="W2514" s="446"/>
      <c r="X2514" s="456"/>
      <c r="Y2514" s="436"/>
      <c r="Z2514" s="437"/>
      <c r="AA2514" s="560"/>
      <c r="AB2514" s="561"/>
      <c r="AC2514" s="87"/>
      <c r="AD2514" s="466"/>
      <c r="AE2514" s="456"/>
      <c r="AF2514" s="467"/>
      <c r="AG2514" s="87"/>
      <c r="AH2514" s="87"/>
      <c r="AI2514" s="87"/>
    </row>
    <row r="2515" spans="1:35" hidden="1">
      <c r="A2515" s="80" t="e">
        <f>"C"&amp;E2509</f>
        <v>#N/A</v>
      </c>
      <c r="B2515" s="88">
        <v>3</v>
      </c>
      <c r="C2515" s="82"/>
      <c r="D2515" s="82"/>
      <c r="E2515" s="82"/>
      <c r="F2515" s="82"/>
      <c r="G2515" s="83"/>
      <c r="H2515" s="83"/>
      <c r="I2515" s="84"/>
      <c r="J2515" s="85"/>
      <c r="K2515" s="382"/>
      <c r="L2515" s="85"/>
      <c r="M2515" s="332" t="str">
        <f t="shared" si="736"/>
        <v/>
      </c>
      <c r="N2515" s="86"/>
      <c r="O2515" s="453" t="str">
        <f t="shared" si="738"/>
        <v/>
      </c>
      <c r="P2515" s="538" t="str">
        <f t="shared" si="739"/>
        <v/>
      </c>
      <c r="Q2515" s="539" t="str">
        <f t="shared" si="737"/>
        <v/>
      </c>
      <c r="R2515" s="706"/>
      <c r="S2515" s="707"/>
      <c r="T2515" s="708"/>
      <c r="U2515" s="472"/>
      <c r="V2515" s="166"/>
      <c r="W2515" s="446"/>
      <c r="X2515" s="456"/>
      <c r="Y2515" s="436"/>
      <c r="Z2515" s="437"/>
      <c r="AA2515" s="560"/>
      <c r="AB2515" s="561"/>
      <c r="AC2515" s="87"/>
      <c r="AD2515" s="466"/>
      <c r="AE2515" s="456"/>
      <c r="AF2515" s="467"/>
      <c r="AG2515" s="87"/>
      <c r="AH2515" s="87"/>
      <c r="AI2515" s="87"/>
    </row>
    <row r="2516" spans="1:35" hidden="1">
      <c r="A2516" s="80" t="e">
        <f>"D"&amp;E2509</f>
        <v>#N/A</v>
      </c>
      <c r="B2516" s="105">
        <v>4</v>
      </c>
      <c r="C2516" s="107"/>
      <c r="D2516" s="107"/>
      <c r="E2516" s="107"/>
      <c r="F2516" s="107"/>
      <c r="G2516" s="83"/>
      <c r="H2516" s="83"/>
      <c r="I2516" s="84"/>
      <c r="J2516" s="85"/>
      <c r="K2516" s="382"/>
      <c r="L2516" s="85"/>
      <c r="M2516" s="332" t="str">
        <f t="shared" si="736"/>
        <v/>
      </c>
      <c r="N2516" s="86"/>
      <c r="O2516" s="453" t="str">
        <f t="shared" si="738"/>
        <v/>
      </c>
      <c r="P2516" s="538" t="str">
        <f t="shared" si="739"/>
        <v/>
      </c>
      <c r="Q2516" s="539" t="str">
        <f t="shared" si="737"/>
        <v/>
      </c>
      <c r="R2516" s="706"/>
      <c r="S2516" s="707"/>
      <c r="T2516" s="708"/>
      <c r="U2516" s="472"/>
      <c r="V2516" s="166"/>
      <c r="W2516" s="446"/>
      <c r="X2516" s="456"/>
      <c r="Y2516" s="436"/>
      <c r="Z2516" s="437"/>
      <c r="AA2516" s="560"/>
      <c r="AB2516" s="561"/>
      <c r="AC2516" s="87"/>
      <c r="AD2516" s="466"/>
      <c r="AE2516" s="456"/>
      <c r="AF2516" s="467"/>
      <c r="AG2516" s="87"/>
      <c r="AH2516" s="87"/>
      <c r="AI2516" s="87"/>
    </row>
    <row r="2517" spans="1:35" hidden="1">
      <c r="A2517" s="80" t="e">
        <f>"E"&amp;E2509</f>
        <v>#N/A</v>
      </c>
      <c r="B2517" s="105">
        <v>5</v>
      </c>
      <c r="C2517" s="107"/>
      <c r="D2517" s="107"/>
      <c r="E2517" s="107"/>
      <c r="F2517" s="107"/>
      <c r="G2517" s="83"/>
      <c r="H2517" s="83"/>
      <c r="I2517" s="84"/>
      <c r="J2517" s="85"/>
      <c r="K2517" s="382"/>
      <c r="L2517" s="85"/>
      <c r="M2517" s="332" t="str">
        <f t="shared" si="736"/>
        <v/>
      </c>
      <c r="N2517" s="86"/>
      <c r="O2517" s="453" t="str">
        <f t="shared" si="738"/>
        <v/>
      </c>
      <c r="P2517" s="538" t="str">
        <f t="shared" si="739"/>
        <v/>
      </c>
      <c r="Q2517" s="539" t="str">
        <f t="shared" si="737"/>
        <v/>
      </c>
      <c r="R2517" s="706"/>
      <c r="S2517" s="707"/>
      <c r="T2517" s="708"/>
      <c r="U2517" s="472"/>
      <c r="V2517" s="167"/>
      <c r="W2517" s="446"/>
      <c r="X2517" s="456"/>
      <c r="Y2517" s="436"/>
      <c r="Z2517" s="437"/>
      <c r="AA2517" s="560"/>
      <c r="AB2517" s="561"/>
      <c r="AC2517" s="87"/>
      <c r="AD2517" s="466"/>
      <c r="AE2517" s="456"/>
      <c r="AF2517" s="467"/>
      <c r="AG2517" s="87"/>
      <c r="AH2517" s="87"/>
      <c r="AI2517" s="87"/>
    </row>
    <row r="2518" spans="1:35" hidden="1">
      <c r="A2518" s="80" t="e">
        <f>"F"&amp;E2509</f>
        <v>#N/A</v>
      </c>
      <c r="B2518" s="105">
        <v>6</v>
      </c>
      <c r="C2518" s="107"/>
      <c r="D2518" s="107"/>
      <c r="E2518" s="107"/>
      <c r="F2518" s="107"/>
      <c r="G2518" s="83"/>
      <c r="H2518" s="83"/>
      <c r="I2518" s="84"/>
      <c r="J2518" s="85"/>
      <c r="K2518" s="382"/>
      <c r="L2518" s="85"/>
      <c r="M2518" s="332" t="str">
        <f t="shared" si="736"/>
        <v/>
      </c>
      <c r="N2518" s="86"/>
      <c r="O2518" s="453" t="str">
        <f t="shared" si="738"/>
        <v/>
      </c>
      <c r="P2518" s="538" t="str">
        <f t="shared" si="739"/>
        <v/>
      </c>
      <c r="Q2518" s="539" t="str">
        <f t="shared" si="737"/>
        <v/>
      </c>
      <c r="R2518" s="706"/>
      <c r="S2518" s="707"/>
      <c r="T2518" s="708"/>
      <c r="U2518" s="472"/>
      <c r="V2518" s="167"/>
      <c r="W2518" s="446"/>
      <c r="X2518" s="456"/>
      <c r="Y2518" s="436"/>
      <c r="Z2518" s="437"/>
      <c r="AA2518" s="560"/>
      <c r="AB2518" s="561"/>
      <c r="AC2518" s="87"/>
      <c r="AD2518" s="466"/>
      <c r="AE2518" s="456"/>
      <c r="AF2518" s="467"/>
      <c r="AG2518" s="87"/>
      <c r="AH2518" s="87"/>
      <c r="AI2518" s="87"/>
    </row>
    <row r="2519" spans="1:35" hidden="1">
      <c r="A2519" s="80" t="e">
        <f>"G"&amp;E2509</f>
        <v>#N/A</v>
      </c>
      <c r="B2519" s="105">
        <v>7</v>
      </c>
      <c r="C2519" s="107"/>
      <c r="D2519" s="107"/>
      <c r="E2519" s="107"/>
      <c r="F2519" s="107"/>
      <c r="G2519" s="83"/>
      <c r="H2519" s="83"/>
      <c r="I2519" s="84"/>
      <c r="J2519" s="85"/>
      <c r="K2519" s="382"/>
      <c r="L2519" s="85"/>
      <c r="M2519" s="332" t="str">
        <f t="shared" si="736"/>
        <v/>
      </c>
      <c r="N2519" s="86"/>
      <c r="O2519" s="86" t="str">
        <f t="shared" si="738"/>
        <v/>
      </c>
      <c r="P2519" s="538" t="str">
        <f t="shared" si="739"/>
        <v/>
      </c>
      <c r="Q2519" s="539" t="str">
        <f t="shared" si="737"/>
        <v/>
      </c>
      <c r="R2519" s="706"/>
      <c r="S2519" s="707"/>
      <c r="T2519" s="708"/>
      <c r="U2519" s="472"/>
      <c r="V2519" s="167"/>
      <c r="W2519" s="446"/>
      <c r="X2519" s="456"/>
      <c r="Y2519" s="436"/>
      <c r="Z2519" s="437"/>
      <c r="AA2519" s="560"/>
      <c r="AB2519" s="561"/>
      <c r="AC2519" s="87"/>
      <c r="AD2519" s="466"/>
      <c r="AE2519" s="456"/>
      <c r="AF2519" s="467"/>
      <c r="AG2519" s="87"/>
      <c r="AH2519" s="87"/>
      <c r="AI2519" s="87"/>
    </row>
    <row r="2520" spans="1:35" hidden="1">
      <c r="A2520" s="80" t="e">
        <f>"H"&amp;E2509</f>
        <v>#N/A</v>
      </c>
      <c r="B2520" s="105">
        <v>8</v>
      </c>
      <c r="C2520" s="107"/>
      <c r="D2520" s="107"/>
      <c r="E2520" s="107"/>
      <c r="F2520" s="107"/>
      <c r="G2520" s="83"/>
      <c r="H2520" s="83"/>
      <c r="I2520" s="84"/>
      <c r="J2520" s="85"/>
      <c r="K2520" s="382"/>
      <c r="L2520" s="85"/>
      <c r="M2520" s="332" t="str">
        <f t="shared" si="736"/>
        <v/>
      </c>
      <c r="N2520" s="453"/>
      <c r="O2520" s="86" t="str">
        <f t="shared" si="738"/>
        <v/>
      </c>
      <c r="P2520" s="538" t="str">
        <f t="shared" si="739"/>
        <v/>
      </c>
      <c r="Q2520" s="539" t="str">
        <f t="shared" si="737"/>
        <v/>
      </c>
      <c r="R2520" s="706"/>
      <c r="S2520" s="707"/>
      <c r="T2520" s="708"/>
      <c r="U2520" s="472"/>
      <c r="V2520" s="167"/>
      <c r="W2520" s="446"/>
      <c r="X2520" s="456"/>
      <c r="Y2520" s="436"/>
      <c r="Z2520" s="437"/>
      <c r="AA2520" s="560"/>
      <c r="AB2520" s="561"/>
      <c r="AC2520" s="87"/>
      <c r="AD2520" s="466"/>
      <c r="AE2520" s="456"/>
      <c r="AF2520" s="467"/>
      <c r="AG2520" s="87"/>
      <c r="AH2520" s="87"/>
      <c r="AI2520" s="87"/>
    </row>
    <row r="2521" spans="1:35" hidden="1">
      <c r="A2521" s="80" t="e">
        <f>"I"&amp;E2509</f>
        <v>#N/A</v>
      </c>
      <c r="B2521" s="105">
        <v>9</v>
      </c>
      <c r="C2521" s="107"/>
      <c r="D2521" s="107"/>
      <c r="E2521" s="107"/>
      <c r="F2521" s="107"/>
      <c r="G2521" s="83"/>
      <c r="H2521" s="83"/>
      <c r="I2521" s="84"/>
      <c r="J2521" s="85"/>
      <c r="K2521" s="382"/>
      <c r="L2521" s="85"/>
      <c r="M2521" s="332" t="str">
        <f t="shared" si="736"/>
        <v/>
      </c>
      <c r="N2521" s="453"/>
      <c r="O2521" s="86" t="str">
        <f t="shared" si="738"/>
        <v/>
      </c>
      <c r="P2521" s="538" t="str">
        <f t="shared" si="739"/>
        <v/>
      </c>
      <c r="Q2521" s="539" t="str">
        <f t="shared" si="737"/>
        <v/>
      </c>
      <c r="R2521" s="706"/>
      <c r="S2521" s="707"/>
      <c r="T2521" s="708"/>
      <c r="U2521" s="472"/>
      <c r="V2521" s="167"/>
      <c r="W2521" s="446"/>
      <c r="X2521" s="456"/>
      <c r="Y2521" s="436"/>
      <c r="Z2521" s="437"/>
      <c r="AA2521" s="560"/>
      <c r="AB2521" s="561"/>
      <c r="AC2521" s="87"/>
      <c r="AD2521" s="466"/>
      <c r="AE2521" s="456"/>
      <c r="AF2521" s="467"/>
      <c r="AG2521" s="87"/>
      <c r="AH2521" s="87"/>
      <c r="AI2521" s="87"/>
    </row>
    <row r="2522" spans="1:35" hidden="1">
      <c r="A2522" s="80" t="e">
        <f>"J"&amp;E2509</f>
        <v>#N/A</v>
      </c>
      <c r="B2522" s="105">
        <v>10</v>
      </c>
      <c r="C2522" s="107"/>
      <c r="D2522" s="107"/>
      <c r="E2522" s="107"/>
      <c r="F2522" s="107"/>
      <c r="G2522" s="83"/>
      <c r="H2522" s="83"/>
      <c r="I2522" s="84"/>
      <c r="J2522" s="85"/>
      <c r="K2522" s="382"/>
      <c r="L2522" s="85"/>
      <c r="M2522" s="332" t="str">
        <f t="shared" si="736"/>
        <v/>
      </c>
      <c r="N2522" s="453"/>
      <c r="O2522" s="86" t="str">
        <f t="shared" si="738"/>
        <v/>
      </c>
      <c r="P2522" s="538" t="str">
        <f t="shared" si="739"/>
        <v/>
      </c>
      <c r="Q2522" s="539" t="str">
        <f t="shared" si="737"/>
        <v/>
      </c>
      <c r="R2522" s="706"/>
      <c r="S2522" s="707"/>
      <c r="T2522" s="708"/>
      <c r="U2522" s="472"/>
      <c r="V2522" s="167"/>
      <c r="W2522" s="446"/>
      <c r="X2522" s="456"/>
      <c r="Y2522" s="436"/>
      <c r="Z2522" s="437"/>
      <c r="AA2522" s="560"/>
      <c r="AB2522" s="561"/>
      <c r="AC2522" s="87"/>
      <c r="AD2522" s="466"/>
      <c r="AE2522" s="456"/>
      <c r="AF2522" s="467"/>
      <c r="AG2522" s="87"/>
      <c r="AH2522" s="87"/>
      <c r="AI2522" s="87"/>
    </row>
    <row r="2523" spans="1:35" ht="16.5" hidden="1" thickBot="1">
      <c r="A2523" s="44"/>
      <c r="B2523" s="89"/>
      <c r="C2523" s="90"/>
      <c r="D2523" s="90"/>
      <c r="E2523" s="90"/>
      <c r="F2523" s="90"/>
      <c r="G2523" s="90"/>
      <c r="H2523" s="90"/>
      <c r="I2523" s="90"/>
      <c r="J2523" s="90"/>
      <c r="K2523" s="90"/>
      <c r="L2523" s="90"/>
      <c r="M2523" s="90"/>
      <c r="N2523" s="90"/>
      <c r="O2523" s="90"/>
      <c r="P2523" s="90"/>
      <c r="Q2523" s="90"/>
      <c r="R2523" s="90"/>
      <c r="S2523" s="91"/>
      <c r="T2523" s="92"/>
      <c r="U2523" s="473"/>
      <c r="W2523" s="438"/>
      <c r="X2523" s="455"/>
      <c r="Y2523" s="439"/>
      <c r="Z2523" s="437"/>
      <c r="AA2523" s="530"/>
      <c r="AB2523" s="563"/>
      <c r="AC2523" s="87"/>
      <c r="AD2523" s="440"/>
      <c r="AE2523" s="441"/>
      <c r="AF2523" s="442"/>
      <c r="AG2523" s="49"/>
      <c r="AH2523" s="87"/>
      <c r="AI2523" s="87"/>
    </row>
    <row r="2524" spans="1:35" ht="16.5" hidden="1" thickBot="1">
      <c r="A2524" s="93"/>
      <c r="B2524" s="94"/>
      <c r="C2524" s="96"/>
      <c r="D2524" s="96"/>
      <c r="E2524" s="96"/>
      <c r="F2524" s="96"/>
      <c r="G2524" s="96"/>
      <c r="H2524" s="96"/>
      <c r="I2524" s="96"/>
      <c r="J2524" s="96"/>
      <c r="K2524" s="96"/>
      <c r="L2524" s="96"/>
      <c r="M2524" s="136"/>
      <c r="N2524" s="96"/>
      <c r="O2524" s="96"/>
      <c r="P2524" s="97"/>
      <c r="Q2524" s="97"/>
      <c r="R2524" s="98"/>
      <c r="S2524" s="95"/>
      <c r="T2524" s="99"/>
      <c r="U2524" s="469"/>
      <c r="AC2524" s="58"/>
      <c r="AG2524" s="58"/>
      <c r="AH2524" s="87"/>
      <c r="AI2524" s="87"/>
    </row>
    <row r="2525" spans="1:35" ht="16.5" hidden="1" thickBot="1">
      <c r="B2525" s="101"/>
      <c r="C2525" s="101"/>
      <c r="D2525" s="101"/>
      <c r="E2525" s="101"/>
      <c r="F2525" s="101"/>
      <c r="G2525" s="101"/>
      <c r="H2525" s="101"/>
      <c r="I2525" s="101"/>
      <c r="J2525" s="101"/>
      <c r="K2525" s="101"/>
      <c r="L2525" s="101"/>
      <c r="M2525" s="101"/>
      <c r="N2525" s="101"/>
      <c r="O2525" s="101"/>
      <c r="P2525" s="101"/>
      <c r="Q2525" s="101"/>
      <c r="R2525" s="101"/>
      <c r="S2525" s="101"/>
      <c r="U2525" s="50"/>
      <c r="AH2525" s="87"/>
      <c r="AI2525" s="87"/>
    </row>
    <row r="2526" spans="1:35" ht="16.5" hidden="1" customHeight="1" thickBot="1">
      <c r="A2526" s="44"/>
      <c r="B2526" s="705" t="s">
        <v>74</v>
      </c>
      <c r="C2526" s="705"/>
      <c r="D2526" s="705"/>
      <c r="E2526" s="705"/>
      <c r="F2526" s="705"/>
      <c r="G2526" s="705"/>
      <c r="H2526" s="705"/>
      <c r="I2526" s="705"/>
      <c r="J2526" s="705"/>
      <c r="K2526" s="705"/>
      <c r="L2526" s="705"/>
      <c r="M2526" s="705"/>
      <c r="N2526" s="705"/>
      <c r="O2526" s="705"/>
      <c r="P2526" s="705"/>
      <c r="Q2526" s="705"/>
      <c r="R2526" s="705"/>
      <c r="S2526" s="705"/>
      <c r="T2526" s="705"/>
      <c r="U2526" s="108"/>
      <c r="Y2526" s="532" t="s">
        <v>341</v>
      </c>
      <c r="AC2526" s="49"/>
      <c r="AD2526" s="687" t="s">
        <v>302</v>
      </c>
      <c r="AE2526" s="688"/>
      <c r="AF2526" s="689"/>
      <c r="AG2526" s="49"/>
      <c r="AH2526" s="87"/>
      <c r="AI2526" s="87"/>
    </row>
    <row r="2527" spans="1:35" ht="15.75" hidden="1" customHeight="1" thickBot="1">
      <c r="A2527" s="218" t="e">
        <f>"K"&amp;E2509</f>
        <v>#N/A</v>
      </c>
      <c r="B2527" s="701" t="s">
        <v>71</v>
      </c>
      <c r="C2527" s="751" t="s">
        <v>102</v>
      </c>
      <c r="D2527" s="751"/>
      <c r="E2527" s="751"/>
      <c r="F2527" s="751"/>
      <c r="G2527" s="751"/>
      <c r="H2527" s="751"/>
      <c r="I2527" s="751"/>
      <c r="J2527" s="751"/>
      <c r="K2527" s="751"/>
      <c r="L2527" s="722" t="s">
        <v>100</v>
      </c>
      <c r="M2527" s="747" t="s">
        <v>114</v>
      </c>
      <c r="N2527" s="747"/>
      <c r="O2527" s="747"/>
      <c r="P2527" s="747"/>
      <c r="Q2527" s="748"/>
      <c r="R2527" s="758" t="s">
        <v>280</v>
      </c>
      <c r="S2527" s="748"/>
      <c r="T2527" s="762" t="str">
        <f>IF(COUNTIF(AE2527:AF2527,"VERIFICAR")&gt;0,"VERIFICAR",IF(COUNTIF(AE2527:AF2527,"NO CUMPLE")&gt;0,"NO CUMPLE","CUMPLE"))</f>
        <v>VERIFICAR</v>
      </c>
      <c r="U2527" s="108"/>
      <c r="Y2527" s="533" t="e">
        <f>IF(F2528="","",IF(F2528=1,"INDIVIDUAL","ESTRUCTURA PLURAL"))</f>
        <v>#N/A</v>
      </c>
      <c r="AC2527" s="52"/>
      <c r="AD2527" s="475" t="s">
        <v>303</v>
      </c>
      <c r="AE2527" s="476" t="str">
        <f>IF(COUNTIF(AE2513:AE2522,"")=10,"VERIFICAR",IF(COUNTIF(AE2513:AE2522,"SI")&gt;0,"CUMPLE","NO CUMPLE"))</f>
        <v>VERIFICAR</v>
      </c>
      <c r="AF2527" s="477" t="str">
        <f>IF(COUNTIF(AF2513:AF2522,"")=10,"VERIFICAR",IF(COUNTIF(AF2513:AF2522,"SI")&gt;=$AI$22,"CUMPLE","NO CUMPLE"))</f>
        <v>VERIFICAR</v>
      </c>
      <c r="AG2527" s="52"/>
      <c r="AH2527" s="87"/>
      <c r="AI2527" s="87"/>
    </row>
    <row r="2528" spans="1:35" ht="16.5" hidden="1" customHeight="1" thickBot="1">
      <c r="A2528" s="218" t="e">
        <f>"L"&amp;E2509</f>
        <v>#N/A</v>
      </c>
      <c r="B2528" s="702"/>
      <c r="C2528" s="751" t="s">
        <v>103</v>
      </c>
      <c r="D2528" s="751"/>
      <c r="E2528" s="752"/>
      <c r="F2528" s="557" t="e">
        <f>IF(VLOOKUP(E2509,PROPONENTES!$C$19:$E$218,3,0)="","",VLOOKUP(E2509,PROPONENTES!$C$19:$E$218,3,0))</f>
        <v>#N/A</v>
      </c>
      <c r="G2528" s="753" t="s">
        <v>104</v>
      </c>
      <c r="H2528" s="751"/>
      <c r="I2528" s="715" t="e">
        <f>IF(OR(F2528="",F2528=1),"INTERESADO PERSONA NATURAL O JURIDICA","CONSORCIO O UNION TEMPORAL")</f>
        <v>#N/A</v>
      </c>
      <c r="J2528" s="725"/>
      <c r="K2528" s="728"/>
      <c r="L2528" s="723"/>
      <c r="M2528" s="749"/>
      <c r="N2528" s="749"/>
      <c r="O2528" s="749"/>
      <c r="P2528" s="749"/>
      <c r="Q2528" s="750"/>
      <c r="R2528" s="712"/>
      <c r="S2528" s="750"/>
      <c r="T2528" s="763"/>
      <c r="U2528" s="108"/>
      <c r="Y2528" s="534"/>
      <c r="AA2528" s="52"/>
      <c r="AB2528" s="52"/>
      <c r="AC2528" s="52"/>
      <c r="AG2528" s="52"/>
      <c r="AH2528" s="87"/>
      <c r="AI2528" s="87"/>
    </row>
    <row r="2529" spans="1:35" ht="56.25" hidden="1" customHeight="1" thickBot="1">
      <c r="A2529" s="218" t="e">
        <f>"M"&amp;E2509</f>
        <v>#N/A</v>
      </c>
      <c r="B2529" s="702"/>
      <c r="C2529" s="725" t="s">
        <v>101</v>
      </c>
      <c r="D2529" s="716"/>
      <c r="E2529" s="558" t="s">
        <v>105</v>
      </c>
      <c r="F2529" s="554" t="s">
        <v>87</v>
      </c>
      <c r="G2529" s="553" t="s">
        <v>86</v>
      </c>
      <c r="H2529" s="559" t="s">
        <v>85</v>
      </c>
      <c r="I2529" s="554" t="s">
        <v>252</v>
      </c>
      <c r="J2529" s="553" t="str">
        <f>"¿EL INTEGRANTE TIENE UNA PARTICIPACIÓN DEL "&amp;PORCREQUERIDOINT*100&amp;"%?"</f>
        <v>¿EL INTEGRANTE TIENE UNA PARTICIPACIÓN DEL 60%?</v>
      </c>
      <c r="K2529" s="554" t="s">
        <v>107</v>
      </c>
      <c r="L2529" s="724"/>
      <c r="M2529" s="717" t="s">
        <v>115</v>
      </c>
      <c r="N2529" s="718"/>
      <c r="O2529" s="718"/>
      <c r="P2529" s="718"/>
      <c r="Q2529" s="223">
        <f>IF(AND(H2513="SI",P2513&gt;=0),1,0)+IF(AND(H2514="SI",P2514&gt;=0),1,0)+IF(AND(H2515="SI",P2515&gt;=0),1,0)+IF(AND(H2516="SI",P2516&gt;=0),1,0)+IF(AND(H2517="SI",P2517&gt;=0),1,0)+IF(AND(H2518="SI",P2518&gt;=0),1,0)+IF(AND(H2519="SI",P2519&gt;=0),1,0)+IF(AND(H2520="SI",P2520&gt;=0),1,0)+IF(AND(H2521="SI",P2521&gt;=0),1,0)+IF(AND(H2522="SI",P2522&gt;=0),1,0)</f>
        <v>0</v>
      </c>
      <c r="R2529" s="759"/>
      <c r="S2529" s="761"/>
      <c r="T2529" s="764"/>
      <c r="U2529" s="219"/>
      <c r="V2529" s="464"/>
      <c r="Y2529" s="532" t="s">
        <v>342</v>
      </c>
      <c r="AA2529" s="550" t="s">
        <v>344</v>
      </c>
      <c r="AB2529" s="693" t="s">
        <v>345</v>
      </c>
      <c r="AC2529" s="693" t="s">
        <v>346</v>
      </c>
      <c r="AD2529" s="685" t="s">
        <v>347</v>
      </c>
      <c r="AE2529" s="52"/>
      <c r="AF2529" s="52"/>
      <c r="AG2529" s="52"/>
      <c r="AH2529" s="87"/>
      <c r="AI2529" s="87"/>
    </row>
    <row r="2530" spans="1:35" ht="15.75" hidden="1" customHeight="1" thickBot="1">
      <c r="A2530" s="218" t="e">
        <f>"N"&amp;E2509</f>
        <v>#N/A</v>
      </c>
      <c r="B2530" s="702"/>
      <c r="C2530" s="114">
        <v>1</v>
      </c>
      <c r="D2530" s="194" t="e">
        <f>IF(AND(C2530&lt;=F2528,F2528&gt;1,F2528&lt;&gt;""),VLOOKUP(VALUE(E2509&amp;","&amp;C2530),INTEGRANTES!$D$18:$F$235,2,0),"")</f>
        <v>#N/A</v>
      </c>
      <c r="E2530" s="211" t="e">
        <f>IF(D2530&lt;&gt;"",VLOOKUP(VALUE(E2509&amp;","&amp;C2530),INTEGRANTES!$D$18:$F$235,3,0),"")</f>
        <v>#N/A</v>
      </c>
      <c r="F2530" s="547" t="e">
        <f>IF(D2530="","",SUMIF($I2513:$I2522,D2530,$P2513:$P2522))</f>
        <v>#N/A</v>
      </c>
      <c r="G2530" s="333" t="e">
        <f>IF(D2530="","",SUMIF($I2513:$I2522,D2530,$M2513:$M2522))</f>
        <v>#N/A</v>
      </c>
      <c r="H2530" s="535" t="e">
        <f t="shared" ref="H2530:H2535" si="740">IF(D2530="","",IF(OR(F2530=0,G2530=0),"NO APORTA",ROUND($F2530/$G2530,3)))</f>
        <v>#N/A</v>
      </c>
      <c r="I2530" s="212" t="e">
        <f>IF(D2530="","",IF(H2530="NO APORTA","NO",IF(H2530=MAX($H2530:$H2535),"SI","NO")))</f>
        <v>#N/A</v>
      </c>
      <c r="J2530" s="213" t="e">
        <f t="shared" ref="J2530:J2535" si="741">IF(D2530="","",IF(E2530&gt;=PORCREQUERIDOINT,"SI","NO"))</f>
        <v>#N/A</v>
      </c>
      <c r="K2530" s="200" t="e">
        <f t="shared" ref="K2530:K2535" si="742">IF(D2530="","",IF(AND(I2530="SI",J2530="SI"),"CUMPLE",IF(AND(I2530="NO",OR(J2530="SI",J2530="NO")),"","NO CUMPLE")))</f>
        <v>#N/A</v>
      </c>
      <c r="L2530" s="722" t="s">
        <v>108</v>
      </c>
      <c r="M2530" s="726" t="s">
        <v>119</v>
      </c>
      <c r="N2530" s="726"/>
      <c r="O2530" s="726"/>
      <c r="P2530" s="726"/>
      <c r="Q2530" s="727"/>
      <c r="R2530" s="758" t="s">
        <v>80</v>
      </c>
      <c r="S2530" s="747"/>
      <c r="T2530" s="748"/>
      <c r="U2530" s="219"/>
      <c r="V2530" s="464"/>
      <c r="Y2530" s="533" t="e">
        <f>IF(Y2527="","",IF(Y2527="INDIVIDUAL","NO APLICA","VERIFICAR CUADRO"))</f>
        <v>#N/A</v>
      </c>
      <c r="AA2530" s="551"/>
      <c r="AB2530" s="694"/>
      <c r="AC2530" s="694"/>
      <c r="AD2530" s="686"/>
      <c r="AE2530" s="52"/>
      <c r="AF2530" s="52"/>
      <c r="AG2530" s="52"/>
      <c r="AH2530" s="87"/>
      <c r="AI2530" s="87"/>
    </row>
    <row r="2531" spans="1:35" ht="27" hidden="1" customHeight="1" thickBot="1">
      <c r="A2531" s="218" t="e">
        <f>"O"&amp;E2509</f>
        <v>#N/A</v>
      </c>
      <c r="B2531" s="702"/>
      <c r="C2531" s="114">
        <v>2</v>
      </c>
      <c r="D2531" s="194" t="e">
        <f>IF(AND(C2531&lt;=F2528,F2528&lt;&gt;""),VLOOKUP(VALUE(E2509&amp;","&amp;C2531),INTEGRANTES!$D$18:$F$235,2,0),"")</f>
        <v>#N/A</v>
      </c>
      <c r="E2531" s="211" t="e">
        <f>IF(D2531&lt;&gt;"",VLOOKUP(VALUE(E2509&amp;","&amp;C2531),INTEGRANTES!$D$18:$F$235,3,0),"")</f>
        <v>#N/A</v>
      </c>
      <c r="F2531" s="547" t="e">
        <f>IF(D2531="","",SUMIF($I2513:$I2522,D2531,$P2513:$P2522))</f>
        <v>#N/A</v>
      </c>
      <c r="G2531" s="333" t="e">
        <f>IF(D2531="","",SUMIF($I2513:$I2522,D2531,$M2513:$M2522))</f>
        <v>#N/A</v>
      </c>
      <c r="H2531" s="535" t="e">
        <f t="shared" si="740"/>
        <v>#N/A</v>
      </c>
      <c r="I2531" s="212" t="e">
        <f>IF(D2531="","",IF(H2531="NO APORTA","NO",IF(H2531=MAX($H2530:$H2535),"SI","NO")))</f>
        <v>#N/A</v>
      </c>
      <c r="J2531" s="213" t="e">
        <f t="shared" si="741"/>
        <v>#N/A</v>
      </c>
      <c r="K2531" s="200" t="e">
        <f t="shared" si="742"/>
        <v>#N/A</v>
      </c>
      <c r="L2531" s="723"/>
      <c r="M2531" s="715" t="s">
        <v>116</v>
      </c>
      <c r="N2531" s="716"/>
      <c r="O2531" s="556" t="s">
        <v>113</v>
      </c>
      <c r="P2531" s="715" t="s">
        <v>117</v>
      </c>
      <c r="Q2531" s="728"/>
      <c r="R2531" s="759"/>
      <c r="S2531" s="760"/>
      <c r="T2531" s="761"/>
      <c r="U2531" s="219"/>
      <c r="V2531" s="464"/>
      <c r="Y2531" s="414"/>
      <c r="AA2531" s="542" t="e">
        <f>IF(AND(C2530&lt;=F2528,F2528&gt;1,F2528&lt;&gt;""),VLOOKUP(VALUE(E2509&amp;","&amp;C2530),INTEGRANTES!$D$18:$F$235,2,0),"")</f>
        <v>#N/A</v>
      </c>
      <c r="AB2531" s="544" t="e">
        <f t="shared" ref="AB2531:AB2536" si="743">IF(D2530="","",IF(OR(F2530=0,G2530=0),"NO APORTA",ROUND($F2530/$G2530,3)))</f>
        <v>#N/A</v>
      </c>
      <c r="AC2531" s="529"/>
      <c r="AD2531" s="200" t="e">
        <f t="shared" ref="AD2531:AD2536" si="744">IF(OR(AA2531="",AB2531=""),"",IF(AND(AC2531="X",AB2531&gt;=EXPREQVTD),"CUMPLE","NO CUMPLE"))</f>
        <v>#N/A</v>
      </c>
      <c r="AE2531" s="52"/>
      <c r="AF2531" s="52"/>
      <c r="AG2531" s="52"/>
      <c r="AH2531" s="87"/>
      <c r="AI2531" s="87"/>
    </row>
    <row r="2532" spans="1:35" ht="16.5" hidden="1" thickBot="1">
      <c r="A2532" s="218" t="e">
        <f>"P"&amp;E2509</f>
        <v>#N/A</v>
      </c>
      <c r="B2532" s="702"/>
      <c r="C2532" s="114">
        <v>3</v>
      </c>
      <c r="D2532" s="194" t="e">
        <f>IF(AND(C2532&lt;=F2528,F2528&lt;&gt;""),VLOOKUP(VALUE(E2509&amp;","&amp;C2532),INTEGRANTES!$D$18:$F$235,2,0),"")</f>
        <v>#N/A</v>
      </c>
      <c r="E2532" s="211" t="e">
        <f>IF(D2532&lt;&gt;"",VLOOKUP(VALUE(E2509&amp;","&amp;C2532),INTEGRANTES!$D$18:$F$235,3,0),"")</f>
        <v>#N/A</v>
      </c>
      <c r="F2532" s="547" t="e">
        <f>IF(D2532="","",SUMIF($I2513:$I2522,D2532,$P2513:$P2522))</f>
        <v>#N/A</v>
      </c>
      <c r="G2532" s="333" t="e">
        <f>IF(D2532="","",SUMIF($I2513:$I2522,D2532,$M2513:$M2522))</f>
        <v>#N/A</v>
      </c>
      <c r="H2532" s="535" t="e">
        <f t="shared" si="740"/>
        <v>#N/A</v>
      </c>
      <c r="I2532" s="212" t="e">
        <f>IF(D2532="","",IF(H2532="NO APORTA","NO",IF(H2532=MAX($H2530:$H2535),"SI","NO")))</f>
        <v>#N/A</v>
      </c>
      <c r="J2532" s="213" t="e">
        <f t="shared" si="741"/>
        <v>#N/A</v>
      </c>
      <c r="K2532" s="200" t="e">
        <f t="shared" si="742"/>
        <v>#N/A</v>
      </c>
      <c r="L2532" s="724"/>
      <c r="M2532" s="729">
        <f>NUMMOD</f>
        <v>1</v>
      </c>
      <c r="N2532" s="730"/>
      <c r="O2532" s="443">
        <f>IF(M2532="","",VLOOKUP(M2532,PRESUPUESTOS!$B$16:$H$16,5,FALSE))</f>
        <v>2</v>
      </c>
      <c r="P2532" s="713">
        <f>IF(OR(COUNTIF(M2513:M2522,"")&gt;=10,Q2529&lt;NUMMINCONT,OR(T2527="NO CUMPLE",T2527="VERIFICAR")),0,ROUND(AVERAGE(M2513:M2522),3))</f>
        <v>0</v>
      </c>
      <c r="Q2532" s="714"/>
      <c r="R2532" s="458"/>
      <c r="S2532" s="459"/>
      <c r="T2532" s="460"/>
      <c r="U2532" s="219"/>
      <c r="V2532" s="464"/>
      <c r="Y2532" s="532" t="str">
        <f>"40% * ("&amp;PRESUPUESTOS!$H$13&amp;")"</f>
        <v>40% * (50% PFMO)</v>
      </c>
      <c r="AA2532" s="540" t="e">
        <f>IF(AND(C2531&lt;=F2528,F2528&lt;&gt;""),VLOOKUP(VALUE(E2509&amp;","&amp;C2531),INTEGRANTES!$D$18:$F$235,2,0),"")</f>
        <v>#N/A</v>
      </c>
      <c r="AB2532" s="545" t="e">
        <f t="shared" si="743"/>
        <v>#N/A</v>
      </c>
      <c r="AC2532" s="529"/>
      <c r="AD2532" s="200" t="e">
        <f t="shared" si="744"/>
        <v>#N/A</v>
      </c>
      <c r="AE2532" s="52"/>
      <c r="AF2532" s="52"/>
      <c r="AG2532" s="52"/>
      <c r="AH2532" s="87"/>
      <c r="AI2532" s="87"/>
    </row>
    <row r="2533" spans="1:35" ht="15.75" hidden="1" customHeight="1" thickBot="1">
      <c r="A2533" s="218" t="e">
        <f>"Q"&amp;E2509</f>
        <v>#N/A</v>
      </c>
      <c r="B2533" s="702"/>
      <c r="C2533" s="114">
        <v>4</v>
      </c>
      <c r="D2533" s="194" t="e">
        <f>IF(AND(C2533&lt;=F2528,F2528&lt;&gt;""),VLOOKUP(VALUE(E2509&amp;","&amp;C2533),INTEGRANTES!$D$18:$F$235,2,0),"")</f>
        <v>#N/A</v>
      </c>
      <c r="E2533" s="211" t="e">
        <f>IF(D2533&lt;&gt;"",VLOOKUP(VALUE(E2509&amp;","&amp;C2533),INTEGRANTES!$D$18:$F$235,3,0),"")</f>
        <v>#N/A</v>
      </c>
      <c r="F2533" s="547" t="e">
        <f>IF(D2533="","",SUMIF($I2513:$I2522,D2533,$P2513:$P2522))</f>
        <v>#N/A</v>
      </c>
      <c r="G2533" s="333" t="e">
        <f>IF(D2533="","",SUMIF($I2513:$I2522,D2533,$M2513:$M2522))</f>
        <v>#N/A</v>
      </c>
      <c r="H2533" s="535" t="e">
        <f t="shared" si="740"/>
        <v>#N/A</v>
      </c>
      <c r="I2533" s="212" t="e">
        <f>IF(D2533="","",IF(H2533="NO APORTA","NO",IF(H2533=MAX($H2530:$H2535),"SI","NO")))</f>
        <v>#N/A</v>
      </c>
      <c r="J2533" s="213" t="e">
        <f t="shared" si="741"/>
        <v>#N/A</v>
      </c>
      <c r="K2533" s="200" t="e">
        <f t="shared" si="742"/>
        <v>#N/A</v>
      </c>
      <c r="L2533" s="720" t="s">
        <v>109</v>
      </c>
      <c r="M2533" s="757" t="s">
        <v>120</v>
      </c>
      <c r="N2533" s="726"/>
      <c r="O2533" s="726"/>
      <c r="P2533" s="726"/>
      <c r="Q2533" s="727"/>
      <c r="R2533" s="458"/>
      <c r="S2533" s="459"/>
      <c r="T2533" s="460"/>
      <c r="U2533" s="219"/>
      <c r="V2533" s="464"/>
      <c r="Y2533" s="537">
        <f>0.4*PRESUPUESTOS!$H$16</f>
        <v>10.3124</v>
      </c>
      <c r="AA2533" s="540" t="e">
        <f>IF(AND(C2532&lt;=F2528,F2528&lt;&gt;""),VLOOKUP(VALUE(E2509&amp;","&amp;C2532),INTEGRANTES!$D$18:$F$235,2,0),"")</f>
        <v>#N/A</v>
      </c>
      <c r="AB2533" s="545" t="e">
        <f t="shared" si="743"/>
        <v>#N/A</v>
      </c>
      <c r="AC2533" s="529"/>
      <c r="AD2533" s="200" t="e">
        <f t="shared" si="744"/>
        <v>#N/A</v>
      </c>
      <c r="AE2533" s="52"/>
      <c r="AF2533" s="52"/>
      <c r="AG2533" s="52"/>
      <c r="AH2533" s="87"/>
      <c r="AI2533" s="87"/>
    </row>
    <row r="2534" spans="1:35" ht="27" hidden="1" customHeight="1" thickBot="1">
      <c r="A2534" s="218" t="e">
        <f>"R"&amp;E2509</f>
        <v>#N/A</v>
      </c>
      <c r="B2534" s="702"/>
      <c r="C2534" s="114">
        <v>5</v>
      </c>
      <c r="D2534" s="194" t="e">
        <f>IF(AND(C2534&lt;=F2528,F2528&lt;&gt;""),VLOOKUP(VALUE(E2509&amp;","&amp;C2534),INTEGRANTES!$D$18:$F$235,2,0),"")</f>
        <v>#N/A</v>
      </c>
      <c r="E2534" s="211" t="e">
        <f>IF(D2534&lt;&gt;"",VLOOKUP(VALUE(E2509&amp;","&amp;C2534),INTEGRANTES!$D$18:$F$235,3,0),"")</f>
        <v>#N/A</v>
      </c>
      <c r="F2534" s="547" t="e">
        <f>IF(D2534="","",SUMIF($I2513:$I2522,D2534,$P2513:$P2522))</f>
        <v>#N/A</v>
      </c>
      <c r="G2534" s="333" t="e">
        <f>IF(D2534="","",SUMIF($I2513:$I2522,D2534,$M2513:$M2522))</f>
        <v>#N/A</v>
      </c>
      <c r="H2534" s="535" t="e">
        <f t="shared" si="740"/>
        <v>#N/A</v>
      </c>
      <c r="I2534" s="212" t="e">
        <f>IF(D2534="","",IF(H2534="NO APORTA","NO",IF(H2534=MAX($H2530:$H2535),"SI","NO")))</f>
        <v>#N/A</v>
      </c>
      <c r="J2534" s="213" t="e">
        <f t="shared" si="741"/>
        <v>#N/A</v>
      </c>
      <c r="K2534" s="200" t="e">
        <f t="shared" si="742"/>
        <v>#N/A</v>
      </c>
      <c r="L2534" s="721"/>
      <c r="M2534" s="715" t="s">
        <v>116</v>
      </c>
      <c r="N2534" s="716"/>
      <c r="O2534" s="556" t="str">
        <f>PORCREQUERIDO*100&amp;"% PMFO DEL MÓDULO"</f>
        <v>50% PMFO DEL MÓDULO</v>
      </c>
      <c r="P2534" s="715" t="s">
        <v>118</v>
      </c>
      <c r="Q2534" s="728"/>
      <c r="R2534" s="458"/>
      <c r="S2534" s="459"/>
      <c r="T2534" s="460"/>
      <c r="U2534" s="219"/>
      <c r="V2534" s="464"/>
      <c r="Y2534" s="414"/>
      <c r="AA2534" s="540" t="e">
        <f>IF(AND(C2533&lt;=F2528,F2528&lt;&gt;""),VLOOKUP(VALUE(E2509&amp;","&amp;C2533),INTEGRANTES!$D$18:$F$235,2,0),"")</f>
        <v>#N/A</v>
      </c>
      <c r="AB2534" s="545" t="e">
        <f t="shared" si="743"/>
        <v>#N/A</v>
      </c>
      <c r="AC2534" s="529"/>
      <c r="AD2534" s="200" t="e">
        <f t="shared" si="744"/>
        <v>#N/A</v>
      </c>
      <c r="AE2534" s="52"/>
      <c r="AF2534" s="52"/>
      <c r="AG2534" s="52"/>
      <c r="AH2534" s="87"/>
      <c r="AI2534" s="87"/>
    </row>
    <row r="2535" spans="1:35" ht="16.5" hidden="1" thickBot="1">
      <c r="A2535" s="218" t="e">
        <f>"S"&amp;E2509</f>
        <v>#N/A</v>
      </c>
      <c r="B2535" s="702"/>
      <c r="C2535" s="215">
        <v>6</v>
      </c>
      <c r="D2535" s="216" t="e">
        <f>IF(AND(C2535&lt;=F2528,F2528&lt;&gt;""),VLOOKUP(VALUE(E2509&amp;","&amp;C2535),INTEGRANTES!$D$18:$F$235,2,0),"")</f>
        <v>#N/A</v>
      </c>
      <c r="E2535" s="217" t="e">
        <f>IF(D2535&lt;&gt;"",VLOOKUP(VALUE(E2509&amp;","&amp;C2535),INTEGRANTES!$D$18:$F$235,3,0),"")</f>
        <v>#N/A</v>
      </c>
      <c r="F2535" s="548" t="e">
        <f>IF(D2535="","",SUMIF($I2513:$I2522,D2535,$P2513:$P2522))</f>
        <v>#N/A</v>
      </c>
      <c r="G2535" s="334" t="e">
        <f>IF(D2535="","",SUMIF($I2513:$I2522,D2535,$M2513:$M2522))</f>
        <v>#N/A</v>
      </c>
      <c r="H2535" s="536" t="e">
        <f t="shared" si="740"/>
        <v>#N/A</v>
      </c>
      <c r="I2535" s="214" t="e">
        <f>IF(D2535="","",IF(H2535="NO APORTA","NO",IF(H2535=MAX($H2530:$H2535),"SI","NO")))</f>
        <v>#N/A</v>
      </c>
      <c r="J2535" s="213" t="e">
        <f t="shared" si="741"/>
        <v>#N/A</v>
      </c>
      <c r="K2535" s="200" t="e">
        <f t="shared" si="742"/>
        <v>#N/A</v>
      </c>
      <c r="L2535" s="721"/>
      <c r="M2535" s="729">
        <f>NUMMOD</f>
        <v>1</v>
      </c>
      <c r="N2535" s="730"/>
      <c r="O2535" s="443">
        <f>IF(M2535="","",ROUND(VLOOKUP(M2535,PRESUPUESTOS!$B$16:$H$16,7,FALSE),3))</f>
        <v>25.780999999999999</v>
      </c>
      <c r="P2535" s="713">
        <f>IF(OR(COUNTIF(P2513:P2522,"")&gt;=10,Q2529&lt;NUMMINCONT,OR(T2527="NO CUMPLE",T2527="VERIFICAR")),0,ROUND((SUM(P2513:P2522)/SUM(M2513:M2522)),3))</f>
        <v>0</v>
      </c>
      <c r="Q2535" s="714"/>
      <c r="R2535" s="458"/>
      <c r="S2535" s="459"/>
      <c r="T2535" s="460"/>
      <c r="U2535" s="219"/>
      <c r="V2535" s="464"/>
      <c r="Y2535" s="532" t="s">
        <v>343</v>
      </c>
      <c r="AA2535" s="540" t="e">
        <f>IF(AND(C2534&lt;=F2528,F2528&lt;&gt;""),VLOOKUP(VALUE(E2509&amp;","&amp;C2534),INTEGRANTES!$D$18:$F$235,2,0),"")</f>
        <v>#N/A</v>
      </c>
      <c r="AB2535" s="545" t="e">
        <f t="shared" si="743"/>
        <v>#N/A</v>
      </c>
      <c r="AC2535" s="529"/>
      <c r="AD2535" s="200" t="e">
        <f t="shared" si="744"/>
        <v>#N/A</v>
      </c>
      <c r="AE2535" s="52"/>
      <c r="AF2535" s="52"/>
      <c r="AG2535" s="52"/>
      <c r="AH2535" s="87"/>
      <c r="AI2535" s="87"/>
    </row>
    <row r="2536" spans="1:35" ht="16.5" hidden="1" customHeight="1" thickBot="1">
      <c r="A2536" s="218" t="e">
        <f>"T"&amp;E2509</f>
        <v>#N/A</v>
      </c>
      <c r="B2536" s="703"/>
      <c r="C2536" s="719"/>
      <c r="D2536" s="719"/>
      <c r="E2536" s="719"/>
      <c r="F2536" s="719"/>
      <c r="G2536" s="719"/>
      <c r="H2536" s="719" t="s">
        <v>110</v>
      </c>
      <c r="I2536" s="719"/>
      <c r="J2536" s="719"/>
      <c r="K2536" s="201" t="str">
        <f>IF(COUNTIF(K2530:K2535,"")=6,"",IF(COUNTIF(K2530:K2535,"CUMPLE")&gt;0,"CUMPLE","NO CUMPLE"))</f>
        <v>NO CUMPLE</v>
      </c>
      <c r="L2536" s="754"/>
      <c r="M2536" s="755"/>
      <c r="N2536" s="755"/>
      <c r="O2536" s="755"/>
      <c r="P2536" s="755"/>
      <c r="Q2536" s="756"/>
      <c r="R2536" s="461"/>
      <c r="S2536" s="462"/>
      <c r="T2536" s="463"/>
      <c r="U2536" s="219"/>
      <c r="V2536" s="464"/>
      <c r="Y2536" s="549" t="e">
        <f>IF(Y2530="NO APLICA","NO APLICA",IF(COUNTIF(AD2531:AD2536,"CUMPLE")&gt;0,"CUMPLE","NO CUMPLE"))</f>
        <v>#N/A</v>
      </c>
      <c r="AA2536" s="541" t="e">
        <f>IF(AND(C2535&lt;=F2528,F2528&lt;&gt;""),VLOOKUP(VALUE(E2509&amp;","&amp;C2535),INTEGRANTES!$D$18:$F$235,2,0),"")</f>
        <v>#N/A</v>
      </c>
      <c r="AB2536" s="546" t="e">
        <f t="shared" si="743"/>
        <v>#N/A</v>
      </c>
      <c r="AC2536" s="543"/>
      <c r="AD2536" s="201" t="e">
        <f t="shared" si="744"/>
        <v>#N/A</v>
      </c>
      <c r="AE2536" s="52"/>
      <c r="AF2536" s="52"/>
      <c r="AG2536" s="52"/>
      <c r="AH2536" s="87"/>
      <c r="AI2536" s="87"/>
    </row>
    <row r="2537" spans="1:35" hidden="1">
      <c r="AH2537" s="87"/>
      <c r="AI2537" s="87"/>
    </row>
    <row r="2538" spans="1:35" hidden="1">
      <c r="AH2538" s="87"/>
      <c r="AI2538" s="87"/>
    </row>
    <row r="2539" spans="1:35" ht="24" hidden="1" thickBot="1">
      <c r="A2539" s="61">
        <v>85</v>
      </c>
      <c r="B2539" s="704" t="s">
        <v>51</v>
      </c>
      <c r="C2539" s="704"/>
      <c r="D2539" s="704"/>
      <c r="E2539" s="62" t="e">
        <f>VLOOKUP(A2539,PROPONENTES!$B$19:$E$218,2,FALSE)</f>
        <v>#N/A</v>
      </c>
      <c r="F2539" s="63" t="e">
        <f>VLOOKUP(A2539,PROPONENTES!$B$19:$E$218,3,FALSE)</f>
        <v>#N/A</v>
      </c>
      <c r="G2539" s="64"/>
      <c r="H2539" s="64"/>
      <c r="I2539" s="63"/>
      <c r="J2539" s="63"/>
      <c r="K2539" s="65"/>
      <c r="L2539" s="65"/>
      <c r="M2539" s="64"/>
      <c r="N2539" s="64"/>
      <c r="O2539" s="66"/>
      <c r="P2539" s="66"/>
      <c r="Q2539" s="66"/>
      <c r="R2539" s="66"/>
      <c r="S2539" s="67"/>
      <c r="T2539" s="68"/>
      <c r="U2539" s="68"/>
      <c r="AC2539" s="68"/>
      <c r="AD2539" s="68"/>
      <c r="AE2539" s="68"/>
      <c r="AF2539" s="68"/>
      <c r="AG2539" s="68"/>
      <c r="AH2539" s="87"/>
      <c r="AI2539" s="87"/>
    </row>
    <row r="2540" spans="1:35" ht="15.75" hidden="1" customHeight="1">
      <c r="A2540" s="44"/>
      <c r="B2540" s="709" t="s">
        <v>59</v>
      </c>
      <c r="C2540" s="552" t="s">
        <v>60</v>
      </c>
      <c r="D2540" s="70" t="s">
        <v>17</v>
      </c>
      <c r="E2540" s="70"/>
      <c r="F2540" s="70" t="s">
        <v>61</v>
      </c>
      <c r="G2540" s="71"/>
      <c r="H2540" s="699" t="s">
        <v>62</v>
      </c>
      <c r="I2540" s="699" t="s">
        <v>18</v>
      </c>
      <c r="J2540" s="699" t="s">
        <v>63</v>
      </c>
      <c r="K2540" s="699" t="s">
        <v>64</v>
      </c>
      <c r="L2540" s="699" t="s">
        <v>65</v>
      </c>
      <c r="M2540" s="743" t="s">
        <v>66</v>
      </c>
      <c r="N2540" s="699" t="s">
        <v>282</v>
      </c>
      <c r="O2540" s="745" t="s">
        <v>67</v>
      </c>
      <c r="P2540" s="746"/>
      <c r="Q2540" s="102" t="s">
        <v>75</v>
      </c>
      <c r="R2540" s="731" t="s">
        <v>22</v>
      </c>
      <c r="S2540" s="732"/>
      <c r="T2540" s="733"/>
      <c r="U2540" s="712" t="s">
        <v>298</v>
      </c>
      <c r="W2540" s="690" t="s">
        <v>268</v>
      </c>
      <c r="X2540" s="691"/>
      <c r="Y2540" s="692"/>
      <c r="Z2540" s="428"/>
      <c r="AA2540" s="697" t="s">
        <v>315</v>
      </c>
      <c r="AB2540" s="695" t="s">
        <v>322</v>
      </c>
      <c r="AC2540" s="49"/>
      <c r="AD2540" s="690" t="s">
        <v>297</v>
      </c>
      <c r="AE2540" s="691"/>
      <c r="AF2540" s="692"/>
      <c r="AG2540" s="49"/>
      <c r="AH2540" s="87"/>
      <c r="AI2540" s="87"/>
    </row>
    <row r="2541" spans="1:35" ht="72" hidden="1">
      <c r="A2541" s="44"/>
      <c r="B2541" s="710"/>
      <c r="C2541" s="553" t="s">
        <v>68</v>
      </c>
      <c r="D2541" s="73" t="s">
        <v>3</v>
      </c>
      <c r="E2541" s="73" t="s">
        <v>19</v>
      </c>
      <c r="F2541" s="73" t="s">
        <v>69</v>
      </c>
      <c r="G2541" s="74" t="s">
        <v>70</v>
      </c>
      <c r="H2541" s="700"/>
      <c r="I2541" s="700"/>
      <c r="J2541" s="700"/>
      <c r="K2541" s="700"/>
      <c r="L2541" s="700"/>
      <c r="M2541" s="744"/>
      <c r="N2541" s="700"/>
      <c r="O2541" s="553" t="s">
        <v>279</v>
      </c>
      <c r="P2541" s="73" t="s">
        <v>88</v>
      </c>
      <c r="Q2541" s="555" t="s">
        <v>76</v>
      </c>
      <c r="R2541" s="734"/>
      <c r="S2541" s="735"/>
      <c r="T2541" s="736"/>
      <c r="U2541" s="712"/>
      <c r="W2541" s="429" t="s">
        <v>269</v>
      </c>
      <c r="X2541" s="457" t="s">
        <v>278</v>
      </c>
      <c r="Y2541" s="430" t="s">
        <v>324</v>
      </c>
      <c r="Z2541" s="428"/>
      <c r="AA2541" s="698"/>
      <c r="AB2541" s="696"/>
      <c r="AC2541" s="49"/>
      <c r="AD2541" s="429" t="s">
        <v>292</v>
      </c>
      <c r="AE2541" s="431" t="s">
        <v>300</v>
      </c>
      <c r="AF2541" s="468" t="s">
        <v>301</v>
      </c>
      <c r="AG2541" s="49"/>
      <c r="AH2541" s="87"/>
      <c r="AI2541" s="87"/>
    </row>
    <row r="2542" spans="1:35" hidden="1">
      <c r="A2542" s="44"/>
      <c r="B2542" s="76"/>
      <c r="C2542" s="77"/>
      <c r="D2542" s="77"/>
      <c r="E2542" s="77"/>
      <c r="F2542" s="77"/>
      <c r="G2542" s="77"/>
      <c r="H2542" s="77"/>
      <c r="I2542" s="77"/>
      <c r="J2542" s="77"/>
      <c r="K2542" s="77"/>
      <c r="L2542" s="77"/>
      <c r="M2542" s="77"/>
      <c r="N2542" s="77"/>
      <c r="O2542" s="77"/>
      <c r="P2542" s="77"/>
      <c r="Q2542" s="77"/>
      <c r="R2542" s="77"/>
      <c r="S2542" s="78"/>
      <c r="T2542" s="79"/>
      <c r="U2542" s="109"/>
      <c r="V2542" s="49"/>
      <c r="W2542" s="432"/>
      <c r="X2542" s="454"/>
      <c r="Y2542" s="433"/>
      <c r="Z2542" s="6"/>
      <c r="AA2542" s="500"/>
      <c r="AB2542" s="562"/>
      <c r="AC2542" s="49"/>
      <c r="AD2542" s="210"/>
      <c r="AE2542" s="434"/>
      <c r="AF2542" s="435"/>
      <c r="AG2542" s="49"/>
      <c r="AH2542" s="87"/>
      <c r="AI2542" s="87"/>
    </row>
    <row r="2543" spans="1:35" hidden="1">
      <c r="A2543" s="80" t="e">
        <f>"A"&amp;E2539</f>
        <v>#N/A</v>
      </c>
      <c r="B2543" s="81">
        <v>1</v>
      </c>
      <c r="C2543" s="82"/>
      <c r="D2543" s="82"/>
      <c r="E2543" s="82"/>
      <c r="F2543" s="82"/>
      <c r="G2543" s="83"/>
      <c r="H2543" s="83"/>
      <c r="I2543" s="84"/>
      <c r="J2543" s="85"/>
      <c r="K2543" s="382"/>
      <c r="L2543" s="85"/>
      <c r="M2543" s="332" t="str">
        <f t="shared" ref="M2543:M2552" si="745">IF(OR(J2543="",L2543="",H2543="NO"),"",IF(OR(J2543&gt;$P$17,J2543&lt;$O$17,L2543&gt;$P$17,AND(J2543&lt;$O$17,L2543&lt;$O$17)),"FUERA DE RANGO",IF(OR(K2543="---",K2543=""),IF(J2543&gt;=$O$17,ROUND((L2543-J2543+1)/360*12,3),ROUND((L2543-$O$17+1)/360*12,3)),IF(J2543&gt;=$O$17,ROUND((L2543-J2543+1)/360*12-ROUND(K2543,3),3),ROUND((L2543-$O$17+1)/360*12-ROUND(K2543,3),3)))))</f>
        <v/>
      </c>
      <c r="N2543" s="86"/>
      <c r="O2543" s="453" t="str">
        <f>IF(OR(G2543="",N2543=""),"",N2543*G2543)</f>
        <v/>
      </c>
      <c r="P2543" s="538" t="str">
        <f>IF(OR(H2543="",M2543="FUERA DE RANGO"),"",IF(OR(L2543&lt;$O$17,L2543&gt;$P$17,L2543="",H2543="NO"),"",IF(OR(N2543="",O2543=""),"",ROUND(O2543,3))))</f>
        <v/>
      </c>
      <c r="Q2543" s="539" t="str">
        <f t="shared" ref="Q2543:Q2552" si="746">IF(AND(H2543="SI",P2543&lt;&gt;""),ROUND(P2543/M2543,3),"")</f>
        <v/>
      </c>
      <c r="R2543" s="737"/>
      <c r="S2543" s="738"/>
      <c r="T2543" s="739"/>
      <c r="U2543" s="470"/>
      <c r="V2543" s="165"/>
      <c r="W2543" s="446"/>
      <c r="X2543" s="456"/>
      <c r="Y2543" s="436"/>
      <c r="Z2543" s="437"/>
      <c r="AA2543" s="560"/>
      <c r="AB2543" s="561"/>
      <c r="AC2543" s="87"/>
      <c r="AD2543" s="466"/>
      <c r="AE2543" s="456"/>
      <c r="AF2543" s="467"/>
      <c r="AG2543" s="87"/>
      <c r="AH2543" s="87"/>
      <c r="AI2543" s="87"/>
    </row>
    <row r="2544" spans="1:35" hidden="1">
      <c r="A2544" s="80" t="e">
        <f>"B"&amp;E2539</f>
        <v>#N/A</v>
      </c>
      <c r="B2544" s="81">
        <v>2</v>
      </c>
      <c r="C2544" s="106"/>
      <c r="D2544" s="106"/>
      <c r="E2544" s="106"/>
      <c r="F2544" s="106"/>
      <c r="G2544" s="83"/>
      <c r="H2544" s="83"/>
      <c r="I2544" s="84"/>
      <c r="J2544" s="85"/>
      <c r="K2544" s="382"/>
      <c r="L2544" s="85"/>
      <c r="M2544" s="332" t="str">
        <f t="shared" si="745"/>
        <v/>
      </c>
      <c r="N2544" s="86"/>
      <c r="O2544" s="453" t="str">
        <f t="shared" ref="O2544:O2552" si="747">IF(OR(G2544="",N2544=""),"",N2544*G2544)</f>
        <v/>
      </c>
      <c r="P2544" s="538" t="str">
        <f t="shared" ref="P2544:P2552" si="748">IF(OR(H2544="",M2544="FUERA DE RANGO"),"",IF(OR(L2544&lt;$O$17,L2544&gt;$P$17,L2544="",H2544="NO"),"",IF(OR(N2544="",O2544=""),"",ROUND(O2544,3))))</f>
        <v/>
      </c>
      <c r="Q2544" s="539" t="str">
        <f t="shared" si="746"/>
        <v/>
      </c>
      <c r="R2544" s="740"/>
      <c r="S2544" s="741"/>
      <c r="T2544" s="742"/>
      <c r="U2544" s="471"/>
      <c r="V2544" s="165"/>
      <c r="W2544" s="446"/>
      <c r="X2544" s="456"/>
      <c r="Y2544" s="436"/>
      <c r="Z2544" s="437"/>
      <c r="AA2544" s="560"/>
      <c r="AB2544" s="561"/>
      <c r="AC2544" s="87"/>
      <c r="AD2544" s="466"/>
      <c r="AE2544" s="456"/>
      <c r="AF2544" s="467"/>
      <c r="AG2544" s="87"/>
      <c r="AH2544" s="87"/>
      <c r="AI2544" s="87"/>
    </row>
    <row r="2545" spans="1:35" hidden="1">
      <c r="A2545" s="80" t="e">
        <f>"C"&amp;E2539</f>
        <v>#N/A</v>
      </c>
      <c r="B2545" s="88">
        <v>3</v>
      </c>
      <c r="C2545" s="82"/>
      <c r="D2545" s="82"/>
      <c r="E2545" s="82"/>
      <c r="F2545" s="82"/>
      <c r="G2545" s="83"/>
      <c r="H2545" s="83"/>
      <c r="I2545" s="84"/>
      <c r="J2545" s="85"/>
      <c r="K2545" s="382"/>
      <c r="L2545" s="85"/>
      <c r="M2545" s="332" t="str">
        <f t="shared" si="745"/>
        <v/>
      </c>
      <c r="N2545" s="86"/>
      <c r="O2545" s="453" t="str">
        <f t="shared" si="747"/>
        <v/>
      </c>
      <c r="P2545" s="538" t="str">
        <f t="shared" si="748"/>
        <v/>
      </c>
      <c r="Q2545" s="539" t="str">
        <f t="shared" si="746"/>
        <v/>
      </c>
      <c r="R2545" s="706"/>
      <c r="S2545" s="707"/>
      <c r="T2545" s="708"/>
      <c r="U2545" s="472"/>
      <c r="V2545" s="166"/>
      <c r="W2545" s="446"/>
      <c r="X2545" s="456"/>
      <c r="Y2545" s="436"/>
      <c r="Z2545" s="437"/>
      <c r="AA2545" s="560"/>
      <c r="AB2545" s="561"/>
      <c r="AC2545" s="87"/>
      <c r="AD2545" s="466"/>
      <c r="AE2545" s="456"/>
      <c r="AF2545" s="467"/>
      <c r="AG2545" s="87"/>
      <c r="AH2545" s="87"/>
      <c r="AI2545" s="87"/>
    </row>
    <row r="2546" spans="1:35" hidden="1">
      <c r="A2546" s="80" t="e">
        <f>"D"&amp;E2539</f>
        <v>#N/A</v>
      </c>
      <c r="B2546" s="105">
        <v>4</v>
      </c>
      <c r="C2546" s="107"/>
      <c r="D2546" s="107"/>
      <c r="E2546" s="107"/>
      <c r="F2546" s="107"/>
      <c r="G2546" s="83"/>
      <c r="H2546" s="83"/>
      <c r="I2546" s="84"/>
      <c r="J2546" s="85"/>
      <c r="K2546" s="382"/>
      <c r="L2546" s="85"/>
      <c r="M2546" s="332" t="str">
        <f t="shared" si="745"/>
        <v/>
      </c>
      <c r="N2546" s="86"/>
      <c r="O2546" s="453" t="str">
        <f t="shared" si="747"/>
        <v/>
      </c>
      <c r="P2546" s="538" t="str">
        <f t="shared" si="748"/>
        <v/>
      </c>
      <c r="Q2546" s="539" t="str">
        <f t="shared" si="746"/>
        <v/>
      </c>
      <c r="R2546" s="706"/>
      <c r="S2546" s="707"/>
      <c r="T2546" s="708"/>
      <c r="U2546" s="472"/>
      <c r="V2546" s="166"/>
      <c r="W2546" s="446"/>
      <c r="X2546" s="456"/>
      <c r="Y2546" s="436"/>
      <c r="Z2546" s="437"/>
      <c r="AA2546" s="560"/>
      <c r="AB2546" s="561"/>
      <c r="AC2546" s="87"/>
      <c r="AD2546" s="466"/>
      <c r="AE2546" s="456"/>
      <c r="AF2546" s="467"/>
      <c r="AG2546" s="87"/>
      <c r="AH2546" s="87"/>
      <c r="AI2546" s="87"/>
    </row>
    <row r="2547" spans="1:35" hidden="1">
      <c r="A2547" s="80" t="e">
        <f>"E"&amp;E2539</f>
        <v>#N/A</v>
      </c>
      <c r="B2547" s="105">
        <v>5</v>
      </c>
      <c r="C2547" s="107"/>
      <c r="D2547" s="107"/>
      <c r="E2547" s="107"/>
      <c r="F2547" s="107"/>
      <c r="G2547" s="83"/>
      <c r="H2547" s="83"/>
      <c r="I2547" s="84"/>
      <c r="J2547" s="85"/>
      <c r="K2547" s="382"/>
      <c r="L2547" s="85"/>
      <c r="M2547" s="332" t="str">
        <f t="shared" si="745"/>
        <v/>
      </c>
      <c r="N2547" s="86"/>
      <c r="O2547" s="453" t="str">
        <f t="shared" si="747"/>
        <v/>
      </c>
      <c r="P2547" s="538" t="str">
        <f t="shared" si="748"/>
        <v/>
      </c>
      <c r="Q2547" s="539" t="str">
        <f t="shared" si="746"/>
        <v/>
      </c>
      <c r="R2547" s="706"/>
      <c r="S2547" s="707"/>
      <c r="T2547" s="708"/>
      <c r="U2547" s="472"/>
      <c r="V2547" s="167"/>
      <c r="W2547" s="446"/>
      <c r="X2547" s="456"/>
      <c r="Y2547" s="436"/>
      <c r="Z2547" s="437"/>
      <c r="AA2547" s="560"/>
      <c r="AB2547" s="561"/>
      <c r="AC2547" s="87"/>
      <c r="AD2547" s="466"/>
      <c r="AE2547" s="456"/>
      <c r="AF2547" s="467"/>
      <c r="AG2547" s="87"/>
      <c r="AH2547" s="87"/>
      <c r="AI2547" s="87"/>
    </row>
    <row r="2548" spans="1:35" hidden="1">
      <c r="A2548" s="80" t="e">
        <f>"F"&amp;E2539</f>
        <v>#N/A</v>
      </c>
      <c r="B2548" s="105">
        <v>6</v>
      </c>
      <c r="C2548" s="107"/>
      <c r="D2548" s="107"/>
      <c r="E2548" s="107"/>
      <c r="F2548" s="107"/>
      <c r="G2548" s="83"/>
      <c r="H2548" s="83"/>
      <c r="I2548" s="84"/>
      <c r="J2548" s="85"/>
      <c r="K2548" s="382"/>
      <c r="L2548" s="85"/>
      <c r="M2548" s="332" t="str">
        <f t="shared" si="745"/>
        <v/>
      </c>
      <c r="N2548" s="86"/>
      <c r="O2548" s="453" t="str">
        <f t="shared" si="747"/>
        <v/>
      </c>
      <c r="P2548" s="538" t="str">
        <f t="shared" si="748"/>
        <v/>
      </c>
      <c r="Q2548" s="539" t="str">
        <f t="shared" si="746"/>
        <v/>
      </c>
      <c r="R2548" s="706"/>
      <c r="S2548" s="707"/>
      <c r="T2548" s="708"/>
      <c r="U2548" s="472"/>
      <c r="V2548" s="167"/>
      <c r="W2548" s="446"/>
      <c r="X2548" s="456"/>
      <c r="Y2548" s="436"/>
      <c r="Z2548" s="437"/>
      <c r="AA2548" s="560"/>
      <c r="AB2548" s="561"/>
      <c r="AC2548" s="87"/>
      <c r="AD2548" s="466"/>
      <c r="AE2548" s="456"/>
      <c r="AF2548" s="467"/>
      <c r="AG2548" s="87"/>
      <c r="AH2548" s="87"/>
      <c r="AI2548" s="87"/>
    </row>
    <row r="2549" spans="1:35" hidden="1">
      <c r="A2549" s="80" t="e">
        <f>"G"&amp;E2539</f>
        <v>#N/A</v>
      </c>
      <c r="B2549" s="105">
        <v>7</v>
      </c>
      <c r="C2549" s="107"/>
      <c r="D2549" s="107"/>
      <c r="E2549" s="107"/>
      <c r="F2549" s="107"/>
      <c r="G2549" s="83"/>
      <c r="H2549" s="83"/>
      <c r="I2549" s="84"/>
      <c r="J2549" s="85"/>
      <c r="K2549" s="382"/>
      <c r="L2549" s="85"/>
      <c r="M2549" s="332" t="str">
        <f t="shared" si="745"/>
        <v/>
      </c>
      <c r="N2549" s="86"/>
      <c r="O2549" s="86" t="str">
        <f t="shared" si="747"/>
        <v/>
      </c>
      <c r="P2549" s="538" t="str">
        <f t="shared" si="748"/>
        <v/>
      </c>
      <c r="Q2549" s="539" t="str">
        <f t="shared" si="746"/>
        <v/>
      </c>
      <c r="R2549" s="706"/>
      <c r="S2549" s="707"/>
      <c r="T2549" s="708"/>
      <c r="U2549" s="472"/>
      <c r="V2549" s="167"/>
      <c r="W2549" s="446"/>
      <c r="X2549" s="456"/>
      <c r="Y2549" s="436"/>
      <c r="Z2549" s="437"/>
      <c r="AA2549" s="560"/>
      <c r="AB2549" s="561"/>
      <c r="AC2549" s="87"/>
      <c r="AD2549" s="466"/>
      <c r="AE2549" s="456"/>
      <c r="AF2549" s="467"/>
      <c r="AG2549" s="87"/>
      <c r="AH2549" s="87"/>
      <c r="AI2549" s="87"/>
    </row>
    <row r="2550" spans="1:35" hidden="1">
      <c r="A2550" s="80" t="e">
        <f>"H"&amp;E2539</f>
        <v>#N/A</v>
      </c>
      <c r="B2550" s="105">
        <v>8</v>
      </c>
      <c r="C2550" s="107"/>
      <c r="D2550" s="107"/>
      <c r="E2550" s="107"/>
      <c r="F2550" s="107"/>
      <c r="G2550" s="83"/>
      <c r="H2550" s="83"/>
      <c r="I2550" s="84"/>
      <c r="J2550" s="85"/>
      <c r="K2550" s="382"/>
      <c r="L2550" s="85"/>
      <c r="M2550" s="332" t="str">
        <f t="shared" si="745"/>
        <v/>
      </c>
      <c r="N2550" s="453"/>
      <c r="O2550" s="86" t="str">
        <f t="shared" si="747"/>
        <v/>
      </c>
      <c r="P2550" s="538" t="str">
        <f t="shared" si="748"/>
        <v/>
      </c>
      <c r="Q2550" s="539" t="str">
        <f t="shared" si="746"/>
        <v/>
      </c>
      <c r="R2550" s="706"/>
      <c r="S2550" s="707"/>
      <c r="T2550" s="708"/>
      <c r="U2550" s="472"/>
      <c r="V2550" s="167"/>
      <c r="W2550" s="446"/>
      <c r="X2550" s="456"/>
      <c r="Y2550" s="436"/>
      <c r="Z2550" s="437"/>
      <c r="AA2550" s="560"/>
      <c r="AB2550" s="561"/>
      <c r="AC2550" s="87"/>
      <c r="AD2550" s="466"/>
      <c r="AE2550" s="456"/>
      <c r="AF2550" s="467"/>
      <c r="AG2550" s="87"/>
      <c r="AH2550" s="87"/>
      <c r="AI2550" s="87"/>
    </row>
    <row r="2551" spans="1:35" hidden="1">
      <c r="A2551" s="80" t="e">
        <f>"I"&amp;E2539</f>
        <v>#N/A</v>
      </c>
      <c r="B2551" s="105">
        <v>9</v>
      </c>
      <c r="C2551" s="107"/>
      <c r="D2551" s="107"/>
      <c r="E2551" s="107"/>
      <c r="F2551" s="107"/>
      <c r="G2551" s="83"/>
      <c r="H2551" s="83"/>
      <c r="I2551" s="84"/>
      <c r="J2551" s="85"/>
      <c r="K2551" s="382"/>
      <c r="L2551" s="85"/>
      <c r="M2551" s="332" t="str">
        <f t="shared" si="745"/>
        <v/>
      </c>
      <c r="N2551" s="453"/>
      <c r="O2551" s="86" t="str">
        <f t="shared" si="747"/>
        <v/>
      </c>
      <c r="P2551" s="538" t="str">
        <f t="shared" si="748"/>
        <v/>
      </c>
      <c r="Q2551" s="539" t="str">
        <f t="shared" si="746"/>
        <v/>
      </c>
      <c r="R2551" s="706"/>
      <c r="S2551" s="707"/>
      <c r="T2551" s="708"/>
      <c r="U2551" s="472"/>
      <c r="V2551" s="167"/>
      <c r="W2551" s="446"/>
      <c r="X2551" s="456"/>
      <c r="Y2551" s="436"/>
      <c r="Z2551" s="437"/>
      <c r="AA2551" s="560"/>
      <c r="AB2551" s="561"/>
      <c r="AC2551" s="87"/>
      <c r="AD2551" s="466"/>
      <c r="AE2551" s="456"/>
      <c r="AF2551" s="467"/>
      <c r="AG2551" s="87"/>
      <c r="AH2551" s="87"/>
      <c r="AI2551" s="87"/>
    </row>
    <row r="2552" spans="1:35" hidden="1">
      <c r="A2552" s="80" t="e">
        <f>"J"&amp;E2539</f>
        <v>#N/A</v>
      </c>
      <c r="B2552" s="105">
        <v>10</v>
      </c>
      <c r="C2552" s="107"/>
      <c r="D2552" s="107"/>
      <c r="E2552" s="107"/>
      <c r="F2552" s="107"/>
      <c r="G2552" s="83"/>
      <c r="H2552" s="83"/>
      <c r="I2552" s="84"/>
      <c r="J2552" s="85"/>
      <c r="K2552" s="382"/>
      <c r="L2552" s="85"/>
      <c r="M2552" s="332" t="str">
        <f t="shared" si="745"/>
        <v/>
      </c>
      <c r="N2552" s="453"/>
      <c r="O2552" s="86" t="str">
        <f t="shared" si="747"/>
        <v/>
      </c>
      <c r="P2552" s="538" t="str">
        <f t="shared" si="748"/>
        <v/>
      </c>
      <c r="Q2552" s="539" t="str">
        <f t="shared" si="746"/>
        <v/>
      </c>
      <c r="R2552" s="706"/>
      <c r="S2552" s="707"/>
      <c r="T2552" s="708"/>
      <c r="U2552" s="472"/>
      <c r="V2552" s="167"/>
      <c r="W2552" s="446"/>
      <c r="X2552" s="456"/>
      <c r="Y2552" s="436"/>
      <c r="Z2552" s="437"/>
      <c r="AA2552" s="560"/>
      <c r="AB2552" s="561"/>
      <c r="AC2552" s="87"/>
      <c r="AD2552" s="466"/>
      <c r="AE2552" s="456"/>
      <c r="AF2552" s="467"/>
      <c r="AG2552" s="87"/>
      <c r="AH2552" s="87"/>
      <c r="AI2552" s="87"/>
    </row>
    <row r="2553" spans="1:35" ht="16.5" hidden="1" thickBot="1">
      <c r="A2553" s="44"/>
      <c r="B2553" s="89"/>
      <c r="C2553" s="90"/>
      <c r="D2553" s="90"/>
      <c r="E2553" s="90"/>
      <c r="F2553" s="90"/>
      <c r="G2553" s="90"/>
      <c r="H2553" s="90"/>
      <c r="I2553" s="90"/>
      <c r="J2553" s="90"/>
      <c r="K2553" s="90"/>
      <c r="L2553" s="90"/>
      <c r="M2553" s="90"/>
      <c r="N2553" s="90"/>
      <c r="O2553" s="90"/>
      <c r="P2553" s="90"/>
      <c r="Q2553" s="90"/>
      <c r="R2553" s="90"/>
      <c r="S2553" s="91"/>
      <c r="T2553" s="92"/>
      <c r="U2553" s="473"/>
      <c r="W2553" s="438"/>
      <c r="X2553" s="455"/>
      <c r="Y2553" s="439"/>
      <c r="Z2553" s="437"/>
      <c r="AA2553" s="530"/>
      <c r="AB2553" s="563"/>
      <c r="AC2553" s="87"/>
      <c r="AD2553" s="440"/>
      <c r="AE2553" s="441"/>
      <c r="AF2553" s="442"/>
      <c r="AG2553" s="49"/>
      <c r="AH2553" s="87"/>
      <c r="AI2553" s="87"/>
    </row>
    <row r="2554" spans="1:35" ht="16.5" hidden="1" thickBot="1">
      <c r="A2554" s="93"/>
      <c r="B2554" s="94"/>
      <c r="C2554" s="96"/>
      <c r="D2554" s="96"/>
      <c r="E2554" s="96"/>
      <c r="F2554" s="96"/>
      <c r="G2554" s="96"/>
      <c r="H2554" s="96"/>
      <c r="I2554" s="96"/>
      <c r="J2554" s="96"/>
      <c r="K2554" s="96"/>
      <c r="L2554" s="96"/>
      <c r="M2554" s="136"/>
      <c r="N2554" s="96"/>
      <c r="O2554" s="96"/>
      <c r="P2554" s="97"/>
      <c r="Q2554" s="97"/>
      <c r="R2554" s="98"/>
      <c r="S2554" s="95"/>
      <c r="T2554" s="99"/>
      <c r="U2554" s="469"/>
      <c r="AC2554" s="58"/>
      <c r="AG2554" s="58"/>
      <c r="AH2554" s="87"/>
      <c r="AI2554" s="87"/>
    </row>
    <row r="2555" spans="1:35" ht="16.5" hidden="1" thickBot="1">
      <c r="B2555" s="101"/>
      <c r="C2555" s="101"/>
      <c r="D2555" s="101"/>
      <c r="E2555" s="101"/>
      <c r="F2555" s="101"/>
      <c r="G2555" s="101"/>
      <c r="H2555" s="101"/>
      <c r="I2555" s="101"/>
      <c r="J2555" s="101"/>
      <c r="K2555" s="101"/>
      <c r="L2555" s="101"/>
      <c r="M2555" s="101"/>
      <c r="N2555" s="101"/>
      <c r="O2555" s="101"/>
      <c r="P2555" s="101"/>
      <c r="Q2555" s="101"/>
      <c r="R2555" s="101"/>
      <c r="S2555" s="101"/>
      <c r="U2555" s="50"/>
      <c r="AH2555" s="87"/>
      <c r="AI2555" s="87"/>
    </row>
    <row r="2556" spans="1:35" ht="16.5" hidden="1" customHeight="1" thickBot="1">
      <c r="A2556" s="44"/>
      <c r="B2556" s="705" t="s">
        <v>74</v>
      </c>
      <c r="C2556" s="705"/>
      <c r="D2556" s="705"/>
      <c r="E2556" s="705"/>
      <c r="F2556" s="705"/>
      <c r="G2556" s="705"/>
      <c r="H2556" s="705"/>
      <c r="I2556" s="705"/>
      <c r="J2556" s="705"/>
      <c r="K2556" s="705"/>
      <c r="L2556" s="705"/>
      <c r="M2556" s="705"/>
      <c r="N2556" s="705"/>
      <c r="O2556" s="705"/>
      <c r="P2556" s="705"/>
      <c r="Q2556" s="705"/>
      <c r="R2556" s="705"/>
      <c r="S2556" s="705"/>
      <c r="T2556" s="705"/>
      <c r="U2556" s="108"/>
      <c r="Y2556" s="532" t="s">
        <v>341</v>
      </c>
      <c r="AC2556" s="49"/>
      <c r="AD2556" s="687" t="s">
        <v>302</v>
      </c>
      <c r="AE2556" s="688"/>
      <c r="AF2556" s="689"/>
      <c r="AG2556" s="49"/>
      <c r="AH2556" s="87"/>
      <c r="AI2556" s="87"/>
    </row>
    <row r="2557" spans="1:35" ht="15.75" hidden="1" customHeight="1" thickBot="1">
      <c r="A2557" s="218" t="e">
        <f>"K"&amp;E2539</f>
        <v>#N/A</v>
      </c>
      <c r="B2557" s="701" t="s">
        <v>71</v>
      </c>
      <c r="C2557" s="751" t="s">
        <v>102</v>
      </c>
      <c r="D2557" s="751"/>
      <c r="E2557" s="751"/>
      <c r="F2557" s="751"/>
      <c r="G2557" s="751"/>
      <c r="H2557" s="751"/>
      <c r="I2557" s="751"/>
      <c r="J2557" s="751"/>
      <c r="K2557" s="751"/>
      <c r="L2557" s="722" t="s">
        <v>100</v>
      </c>
      <c r="M2557" s="747" t="s">
        <v>114</v>
      </c>
      <c r="N2557" s="747"/>
      <c r="O2557" s="747"/>
      <c r="P2557" s="747"/>
      <c r="Q2557" s="748"/>
      <c r="R2557" s="758" t="s">
        <v>280</v>
      </c>
      <c r="S2557" s="748"/>
      <c r="T2557" s="762" t="str">
        <f>IF(COUNTIF(AE2557:AF2557,"VERIFICAR")&gt;0,"VERIFICAR",IF(COUNTIF(AE2557:AF2557,"NO CUMPLE")&gt;0,"NO CUMPLE","CUMPLE"))</f>
        <v>VERIFICAR</v>
      </c>
      <c r="U2557" s="108"/>
      <c r="Y2557" s="533" t="e">
        <f>IF(F2558="","",IF(F2558=1,"INDIVIDUAL","ESTRUCTURA PLURAL"))</f>
        <v>#N/A</v>
      </c>
      <c r="AC2557" s="52"/>
      <c r="AD2557" s="475" t="s">
        <v>303</v>
      </c>
      <c r="AE2557" s="476" t="str">
        <f>IF(COUNTIF(AE2543:AE2552,"")=10,"VERIFICAR",IF(COUNTIF(AE2543:AE2552,"SI")&gt;0,"CUMPLE","NO CUMPLE"))</f>
        <v>VERIFICAR</v>
      </c>
      <c r="AF2557" s="477" t="str">
        <f>IF(COUNTIF(AF2543:AF2552,"")=10,"VERIFICAR",IF(COUNTIF(AF2543:AF2552,"SI")&gt;=$AI$22,"CUMPLE","NO CUMPLE"))</f>
        <v>VERIFICAR</v>
      </c>
      <c r="AG2557" s="52"/>
      <c r="AH2557" s="87"/>
      <c r="AI2557" s="87"/>
    </row>
    <row r="2558" spans="1:35" ht="16.5" hidden="1" customHeight="1" thickBot="1">
      <c r="A2558" s="218" t="e">
        <f>"L"&amp;E2539</f>
        <v>#N/A</v>
      </c>
      <c r="B2558" s="702"/>
      <c r="C2558" s="751" t="s">
        <v>103</v>
      </c>
      <c r="D2558" s="751"/>
      <c r="E2558" s="752"/>
      <c r="F2558" s="557" t="e">
        <f>IF(VLOOKUP(E2539,PROPONENTES!$C$19:$E$218,3,0)="","",VLOOKUP(E2539,PROPONENTES!$C$19:$E$218,3,0))</f>
        <v>#N/A</v>
      </c>
      <c r="G2558" s="753" t="s">
        <v>104</v>
      </c>
      <c r="H2558" s="751"/>
      <c r="I2558" s="715" t="e">
        <f>IF(OR(F2558="",F2558=1),"INTERESADO PERSONA NATURAL O JURIDICA","CONSORCIO O UNION TEMPORAL")</f>
        <v>#N/A</v>
      </c>
      <c r="J2558" s="725"/>
      <c r="K2558" s="728"/>
      <c r="L2558" s="723"/>
      <c r="M2558" s="749"/>
      <c r="N2558" s="749"/>
      <c r="O2558" s="749"/>
      <c r="P2558" s="749"/>
      <c r="Q2558" s="750"/>
      <c r="R2558" s="712"/>
      <c r="S2558" s="750"/>
      <c r="T2558" s="763"/>
      <c r="U2558" s="108"/>
      <c r="Y2558" s="534"/>
      <c r="AA2558" s="52"/>
      <c r="AB2558" s="52"/>
      <c r="AC2558" s="52"/>
      <c r="AG2558" s="52"/>
      <c r="AH2558" s="87"/>
      <c r="AI2558" s="87"/>
    </row>
    <row r="2559" spans="1:35" ht="56.25" hidden="1" customHeight="1" thickBot="1">
      <c r="A2559" s="218" t="e">
        <f>"M"&amp;E2539</f>
        <v>#N/A</v>
      </c>
      <c r="B2559" s="702"/>
      <c r="C2559" s="725" t="s">
        <v>101</v>
      </c>
      <c r="D2559" s="716"/>
      <c r="E2559" s="558" t="s">
        <v>105</v>
      </c>
      <c r="F2559" s="554" t="s">
        <v>87</v>
      </c>
      <c r="G2559" s="553" t="s">
        <v>86</v>
      </c>
      <c r="H2559" s="559" t="s">
        <v>85</v>
      </c>
      <c r="I2559" s="554" t="s">
        <v>252</v>
      </c>
      <c r="J2559" s="553" t="str">
        <f>"¿EL INTEGRANTE TIENE UNA PARTICIPACIÓN DEL "&amp;PORCREQUERIDOINT*100&amp;"%?"</f>
        <v>¿EL INTEGRANTE TIENE UNA PARTICIPACIÓN DEL 60%?</v>
      </c>
      <c r="K2559" s="554" t="s">
        <v>107</v>
      </c>
      <c r="L2559" s="724"/>
      <c r="M2559" s="717" t="s">
        <v>115</v>
      </c>
      <c r="N2559" s="718"/>
      <c r="O2559" s="718"/>
      <c r="P2559" s="718"/>
      <c r="Q2559" s="223">
        <f>IF(AND(H2543="SI",P2543&gt;=0),1,0)+IF(AND(H2544="SI",P2544&gt;=0),1,0)+IF(AND(H2545="SI",P2545&gt;=0),1,0)+IF(AND(H2546="SI",P2546&gt;=0),1,0)+IF(AND(H2547="SI",P2547&gt;=0),1,0)+IF(AND(H2548="SI",P2548&gt;=0),1,0)+IF(AND(H2549="SI",P2549&gt;=0),1,0)+IF(AND(H2550="SI",P2550&gt;=0),1,0)+IF(AND(H2551="SI",P2551&gt;=0),1,0)+IF(AND(H2552="SI",P2552&gt;=0),1,0)</f>
        <v>0</v>
      </c>
      <c r="R2559" s="759"/>
      <c r="S2559" s="761"/>
      <c r="T2559" s="764"/>
      <c r="U2559" s="219"/>
      <c r="V2559" s="464"/>
      <c r="Y2559" s="532" t="s">
        <v>342</v>
      </c>
      <c r="AA2559" s="550" t="s">
        <v>344</v>
      </c>
      <c r="AB2559" s="693" t="s">
        <v>345</v>
      </c>
      <c r="AC2559" s="693" t="s">
        <v>346</v>
      </c>
      <c r="AD2559" s="685" t="s">
        <v>347</v>
      </c>
      <c r="AE2559" s="52"/>
      <c r="AF2559" s="52"/>
      <c r="AG2559" s="52"/>
      <c r="AH2559" s="87"/>
      <c r="AI2559" s="87"/>
    </row>
    <row r="2560" spans="1:35" ht="15.75" hidden="1" customHeight="1" thickBot="1">
      <c r="A2560" s="218" t="e">
        <f>"N"&amp;E2539</f>
        <v>#N/A</v>
      </c>
      <c r="B2560" s="702"/>
      <c r="C2560" s="114">
        <v>1</v>
      </c>
      <c r="D2560" s="194" t="e">
        <f>IF(AND(C2560&lt;=F2558,F2558&gt;1,F2558&lt;&gt;""),VLOOKUP(VALUE(E2539&amp;","&amp;C2560),INTEGRANTES!$D$18:$F$235,2,0),"")</f>
        <v>#N/A</v>
      </c>
      <c r="E2560" s="211" t="e">
        <f>IF(D2560&lt;&gt;"",VLOOKUP(VALUE(E2539&amp;","&amp;C2560),INTEGRANTES!$D$18:$F$235,3,0),"")</f>
        <v>#N/A</v>
      </c>
      <c r="F2560" s="547" t="e">
        <f>IF(D2560="","",SUMIF($I2543:$I2552,D2560,$P2543:$P2552))</f>
        <v>#N/A</v>
      </c>
      <c r="G2560" s="333" t="e">
        <f>IF(D2560="","",SUMIF($I2543:$I2552,D2560,$M2543:$M2552))</f>
        <v>#N/A</v>
      </c>
      <c r="H2560" s="535" t="e">
        <f t="shared" ref="H2560:H2565" si="749">IF(D2560="","",IF(OR(F2560=0,G2560=0),"NO APORTA",ROUND($F2560/$G2560,3)))</f>
        <v>#N/A</v>
      </c>
      <c r="I2560" s="212" t="e">
        <f>IF(D2560="","",IF(H2560="NO APORTA","NO",IF(H2560=MAX($H2560:$H2565),"SI","NO")))</f>
        <v>#N/A</v>
      </c>
      <c r="J2560" s="213" t="e">
        <f t="shared" ref="J2560:J2565" si="750">IF(D2560="","",IF(E2560&gt;=PORCREQUERIDOINT,"SI","NO"))</f>
        <v>#N/A</v>
      </c>
      <c r="K2560" s="200" t="e">
        <f t="shared" ref="K2560:K2565" si="751">IF(D2560="","",IF(AND(I2560="SI",J2560="SI"),"CUMPLE",IF(AND(I2560="NO",OR(J2560="SI",J2560="NO")),"","NO CUMPLE")))</f>
        <v>#N/A</v>
      </c>
      <c r="L2560" s="722" t="s">
        <v>108</v>
      </c>
      <c r="M2560" s="726" t="s">
        <v>119</v>
      </c>
      <c r="N2560" s="726"/>
      <c r="O2560" s="726"/>
      <c r="P2560" s="726"/>
      <c r="Q2560" s="727"/>
      <c r="R2560" s="758" t="s">
        <v>80</v>
      </c>
      <c r="S2560" s="747"/>
      <c r="T2560" s="748"/>
      <c r="U2560" s="219"/>
      <c r="V2560" s="464"/>
      <c r="Y2560" s="533" t="e">
        <f>IF(Y2557="","",IF(Y2557="INDIVIDUAL","NO APLICA","VERIFICAR CUADRO"))</f>
        <v>#N/A</v>
      </c>
      <c r="AA2560" s="551"/>
      <c r="AB2560" s="694"/>
      <c r="AC2560" s="694"/>
      <c r="AD2560" s="686"/>
      <c r="AE2560" s="52"/>
      <c r="AF2560" s="52"/>
      <c r="AG2560" s="52"/>
      <c r="AH2560" s="87"/>
      <c r="AI2560" s="87"/>
    </row>
    <row r="2561" spans="1:35" ht="27" hidden="1" customHeight="1" thickBot="1">
      <c r="A2561" s="218" t="e">
        <f>"O"&amp;E2539</f>
        <v>#N/A</v>
      </c>
      <c r="B2561" s="702"/>
      <c r="C2561" s="114">
        <v>2</v>
      </c>
      <c r="D2561" s="194" t="e">
        <f>IF(AND(C2561&lt;=F2558,F2558&lt;&gt;""),VLOOKUP(VALUE(E2539&amp;","&amp;C2561),INTEGRANTES!$D$18:$F$235,2,0),"")</f>
        <v>#N/A</v>
      </c>
      <c r="E2561" s="211" t="e">
        <f>IF(D2561&lt;&gt;"",VLOOKUP(VALUE(E2539&amp;","&amp;C2561),INTEGRANTES!$D$18:$F$235,3,0),"")</f>
        <v>#N/A</v>
      </c>
      <c r="F2561" s="547" t="e">
        <f>IF(D2561="","",SUMIF($I2543:$I2552,D2561,$P2543:$P2552))</f>
        <v>#N/A</v>
      </c>
      <c r="G2561" s="333" t="e">
        <f>IF(D2561="","",SUMIF($I2543:$I2552,D2561,$M2543:$M2552))</f>
        <v>#N/A</v>
      </c>
      <c r="H2561" s="535" t="e">
        <f t="shared" si="749"/>
        <v>#N/A</v>
      </c>
      <c r="I2561" s="212" t="e">
        <f>IF(D2561="","",IF(H2561="NO APORTA","NO",IF(H2561=MAX($H2560:$H2565),"SI","NO")))</f>
        <v>#N/A</v>
      </c>
      <c r="J2561" s="213" t="e">
        <f t="shared" si="750"/>
        <v>#N/A</v>
      </c>
      <c r="K2561" s="200" t="e">
        <f t="shared" si="751"/>
        <v>#N/A</v>
      </c>
      <c r="L2561" s="723"/>
      <c r="M2561" s="715" t="s">
        <v>116</v>
      </c>
      <c r="N2561" s="716"/>
      <c r="O2561" s="556" t="s">
        <v>113</v>
      </c>
      <c r="P2561" s="715" t="s">
        <v>117</v>
      </c>
      <c r="Q2561" s="728"/>
      <c r="R2561" s="759"/>
      <c r="S2561" s="760"/>
      <c r="T2561" s="761"/>
      <c r="U2561" s="219"/>
      <c r="V2561" s="464"/>
      <c r="Y2561" s="414"/>
      <c r="AA2561" s="542" t="e">
        <f>IF(AND(C2560&lt;=F2558,F2558&gt;1,F2558&lt;&gt;""),VLOOKUP(VALUE(E2539&amp;","&amp;C2560),INTEGRANTES!$D$18:$F$235,2,0),"")</f>
        <v>#N/A</v>
      </c>
      <c r="AB2561" s="544" t="e">
        <f t="shared" ref="AB2561:AB2566" si="752">IF(D2560="","",IF(OR(F2560=0,G2560=0),"NO APORTA",ROUND($F2560/$G2560,3)))</f>
        <v>#N/A</v>
      </c>
      <c r="AC2561" s="529"/>
      <c r="AD2561" s="200" t="e">
        <f t="shared" ref="AD2561:AD2566" si="753">IF(OR(AA2561="",AB2561=""),"",IF(AND(AC2561="X",AB2561&gt;=EXPREQVTD),"CUMPLE","NO CUMPLE"))</f>
        <v>#N/A</v>
      </c>
      <c r="AE2561" s="52"/>
      <c r="AF2561" s="52"/>
      <c r="AG2561" s="52"/>
      <c r="AH2561" s="87"/>
      <c r="AI2561" s="87"/>
    </row>
    <row r="2562" spans="1:35" ht="16.5" hidden="1" thickBot="1">
      <c r="A2562" s="218" t="e">
        <f>"P"&amp;E2539</f>
        <v>#N/A</v>
      </c>
      <c r="B2562" s="702"/>
      <c r="C2562" s="114">
        <v>3</v>
      </c>
      <c r="D2562" s="194" t="e">
        <f>IF(AND(C2562&lt;=F2558,F2558&lt;&gt;""),VLOOKUP(VALUE(E2539&amp;","&amp;C2562),INTEGRANTES!$D$18:$F$235,2,0),"")</f>
        <v>#N/A</v>
      </c>
      <c r="E2562" s="211" t="e">
        <f>IF(D2562&lt;&gt;"",VLOOKUP(VALUE(E2539&amp;","&amp;C2562),INTEGRANTES!$D$18:$F$235,3,0),"")</f>
        <v>#N/A</v>
      </c>
      <c r="F2562" s="547" t="e">
        <f>IF(D2562="","",SUMIF($I2543:$I2552,D2562,$P2543:$P2552))</f>
        <v>#N/A</v>
      </c>
      <c r="G2562" s="333" t="e">
        <f>IF(D2562="","",SUMIF($I2543:$I2552,D2562,$M2543:$M2552))</f>
        <v>#N/A</v>
      </c>
      <c r="H2562" s="535" t="e">
        <f t="shared" si="749"/>
        <v>#N/A</v>
      </c>
      <c r="I2562" s="212" t="e">
        <f>IF(D2562="","",IF(H2562="NO APORTA","NO",IF(H2562=MAX($H2560:$H2565),"SI","NO")))</f>
        <v>#N/A</v>
      </c>
      <c r="J2562" s="213" t="e">
        <f t="shared" si="750"/>
        <v>#N/A</v>
      </c>
      <c r="K2562" s="200" t="e">
        <f t="shared" si="751"/>
        <v>#N/A</v>
      </c>
      <c r="L2562" s="724"/>
      <c r="M2562" s="729">
        <f>NUMMOD</f>
        <v>1</v>
      </c>
      <c r="N2562" s="730"/>
      <c r="O2562" s="443">
        <f>IF(M2562="","",VLOOKUP(M2562,PRESUPUESTOS!$B$16:$H$16,5,FALSE))</f>
        <v>2</v>
      </c>
      <c r="P2562" s="713">
        <f>IF(OR(COUNTIF(M2543:M2552,"")&gt;=10,Q2559&lt;NUMMINCONT,OR(T2557="NO CUMPLE",T2557="VERIFICAR")),0,ROUND(AVERAGE(M2543:M2552),3))</f>
        <v>0</v>
      </c>
      <c r="Q2562" s="714"/>
      <c r="R2562" s="458"/>
      <c r="S2562" s="459"/>
      <c r="T2562" s="460"/>
      <c r="U2562" s="219"/>
      <c r="V2562" s="464"/>
      <c r="Y2562" s="532" t="str">
        <f>"40% * ("&amp;PRESUPUESTOS!$H$13&amp;")"</f>
        <v>40% * (50% PFMO)</v>
      </c>
      <c r="AA2562" s="540" t="e">
        <f>IF(AND(C2561&lt;=F2558,F2558&lt;&gt;""),VLOOKUP(VALUE(E2539&amp;","&amp;C2561),INTEGRANTES!$D$18:$F$235,2,0),"")</f>
        <v>#N/A</v>
      </c>
      <c r="AB2562" s="545" t="e">
        <f t="shared" si="752"/>
        <v>#N/A</v>
      </c>
      <c r="AC2562" s="529"/>
      <c r="AD2562" s="200" t="e">
        <f t="shared" si="753"/>
        <v>#N/A</v>
      </c>
      <c r="AE2562" s="52"/>
      <c r="AF2562" s="52"/>
      <c r="AG2562" s="52"/>
      <c r="AH2562" s="87"/>
      <c r="AI2562" s="87"/>
    </row>
    <row r="2563" spans="1:35" ht="15.75" hidden="1" customHeight="1" thickBot="1">
      <c r="A2563" s="218" t="e">
        <f>"Q"&amp;E2539</f>
        <v>#N/A</v>
      </c>
      <c r="B2563" s="702"/>
      <c r="C2563" s="114">
        <v>4</v>
      </c>
      <c r="D2563" s="194" t="e">
        <f>IF(AND(C2563&lt;=F2558,F2558&lt;&gt;""),VLOOKUP(VALUE(E2539&amp;","&amp;C2563),INTEGRANTES!$D$18:$F$235,2,0),"")</f>
        <v>#N/A</v>
      </c>
      <c r="E2563" s="211" t="e">
        <f>IF(D2563&lt;&gt;"",VLOOKUP(VALUE(E2539&amp;","&amp;C2563),INTEGRANTES!$D$18:$F$235,3,0),"")</f>
        <v>#N/A</v>
      </c>
      <c r="F2563" s="547" t="e">
        <f>IF(D2563="","",SUMIF($I2543:$I2552,D2563,$P2543:$P2552))</f>
        <v>#N/A</v>
      </c>
      <c r="G2563" s="333" t="e">
        <f>IF(D2563="","",SUMIF($I2543:$I2552,D2563,$M2543:$M2552))</f>
        <v>#N/A</v>
      </c>
      <c r="H2563" s="535" t="e">
        <f t="shared" si="749"/>
        <v>#N/A</v>
      </c>
      <c r="I2563" s="212" t="e">
        <f>IF(D2563="","",IF(H2563="NO APORTA","NO",IF(H2563=MAX($H2560:$H2565),"SI","NO")))</f>
        <v>#N/A</v>
      </c>
      <c r="J2563" s="213" t="e">
        <f t="shared" si="750"/>
        <v>#N/A</v>
      </c>
      <c r="K2563" s="200" t="e">
        <f t="shared" si="751"/>
        <v>#N/A</v>
      </c>
      <c r="L2563" s="720" t="s">
        <v>109</v>
      </c>
      <c r="M2563" s="757" t="s">
        <v>120</v>
      </c>
      <c r="N2563" s="726"/>
      <c r="O2563" s="726"/>
      <c r="P2563" s="726"/>
      <c r="Q2563" s="727"/>
      <c r="R2563" s="458"/>
      <c r="S2563" s="459"/>
      <c r="T2563" s="460"/>
      <c r="U2563" s="219"/>
      <c r="V2563" s="464"/>
      <c r="Y2563" s="537">
        <f>0.4*PRESUPUESTOS!$H$16</f>
        <v>10.3124</v>
      </c>
      <c r="AA2563" s="540" t="e">
        <f>IF(AND(C2562&lt;=F2558,F2558&lt;&gt;""),VLOOKUP(VALUE(E2539&amp;","&amp;C2562),INTEGRANTES!$D$18:$F$235,2,0),"")</f>
        <v>#N/A</v>
      </c>
      <c r="AB2563" s="545" t="e">
        <f t="shared" si="752"/>
        <v>#N/A</v>
      </c>
      <c r="AC2563" s="529"/>
      <c r="AD2563" s="200" t="e">
        <f t="shared" si="753"/>
        <v>#N/A</v>
      </c>
      <c r="AE2563" s="52"/>
      <c r="AF2563" s="52"/>
      <c r="AG2563" s="52"/>
      <c r="AH2563" s="87"/>
      <c r="AI2563" s="87"/>
    </row>
    <row r="2564" spans="1:35" ht="27" hidden="1" customHeight="1" thickBot="1">
      <c r="A2564" s="218" t="e">
        <f>"R"&amp;E2539</f>
        <v>#N/A</v>
      </c>
      <c r="B2564" s="702"/>
      <c r="C2564" s="114">
        <v>5</v>
      </c>
      <c r="D2564" s="194" t="e">
        <f>IF(AND(C2564&lt;=F2558,F2558&lt;&gt;""),VLOOKUP(VALUE(E2539&amp;","&amp;C2564),INTEGRANTES!$D$18:$F$235,2,0),"")</f>
        <v>#N/A</v>
      </c>
      <c r="E2564" s="211" t="e">
        <f>IF(D2564&lt;&gt;"",VLOOKUP(VALUE(E2539&amp;","&amp;C2564),INTEGRANTES!$D$18:$F$235,3,0),"")</f>
        <v>#N/A</v>
      </c>
      <c r="F2564" s="547" t="e">
        <f>IF(D2564="","",SUMIF($I2543:$I2552,D2564,$P2543:$P2552))</f>
        <v>#N/A</v>
      </c>
      <c r="G2564" s="333" t="e">
        <f>IF(D2564="","",SUMIF($I2543:$I2552,D2564,$M2543:$M2552))</f>
        <v>#N/A</v>
      </c>
      <c r="H2564" s="535" t="e">
        <f t="shared" si="749"/>
        <v>#N/A</v>
      </c>
      <c r="I2564" s="212" t="e">
        <f>IF(D2564="","",IF(H2564="NO APORTA","NO",IF(H2564=MAX($H2560:$H2565),"SI","NO")))</f>
        <v>#N/A</v>
      </c>
      <c r="J2564" s="213" t="e">
        <f t="shared" si="750"/>
        <v>#N/A</v>
      </c>
      <c r="K2564" s="200" t="e">
        <f t="shared" si="751"/>
        <v>#N/A</v>
      </c>
      <c r="L2564" s="721"/>
      <c r="M2564" s="715" t="s">
        <v>116</v>
      </c>
      <c r="N2564" s="716"/>
      <c r="O2564" s="556" t="str">
        <f>PORCREQUERIDO*100&amp;"% PMFO DEL MÓDULO"</f>
        <v>50% PMFO DEL MÓDULO</v>
      </c>
      <c r="P2564" s="715" t="s">
        <v>118</v>
      </c>
      <c r="Q2564" s="728"/>
      <c r="R2564" s="458"/>
      <c r="S2564" s="459"/>
      <c r="T2564" s="460"/>
      <c r="U2564" s="219"/>
      <c r="V2564" s="464"/>
      <c r="Y2564" s="414"/>
      <c r="AA2564" s="540" t="e">
        <f>IF(AND(C2563&lt;=F2558,F2558&lt;&gt;""),VLOOKUP(VALUE(E2539&amp;","&amp;C2563),INTEGRANTES!$D$18:$F$235,2,0),"")</f>
        <v>#N/A</v>
      </c>
      <c r="AB2564" s="545" t="e">
        <f t="shared" si="752"/>
        <v>#N/A</v>
      </c>
      <c r="AC2564" s="529"/>
      <c r="AD2564" s="200" t="e">
        <f t="shared" si="753"/>
        <v>#N/A</v>
      </c>
      <c r="AE2564" s="52"/>
      <c r="AF2564" s="52"/>
      <c r="AG2564" s="52"/>
      <c r="AH2564" s="87"/>
      <c r="AI2564" s="87"/>
    </row>
    <row r="2565" spans="1:35" ht="16.5" hidden="1" thickBot="1">
      <c r="A2565" s="218" t="e">
        <f>"S"&amp;E2539</f>
        <v>#N/A</v>
      </c>
      <c r="B2565" s="702"/>
      <c r="C2565" s="215">
        <v>6</v>
      </c>
      <c r="D2565" s="216" t="e">
        <f>IF(AND(C2565&lt;=F2558,F2558&lt;&gt;""),VLOOKUP(VALUE(E2539&amp;","&amp;C2565),INTEGRANTES!$D$18:$F$235,2,0),"")</f>
        <v>#N/A</v>
      </c>
      <c r="E2565" s="217" t="e">
        <f>IF(D2565&lt;&gt;"",VLOOKUP(VALUE(E2539&amp;","&amp;C2565),INTEGRANTES!$D$18:$F$235,3,0),"")</f>
        <v>#N/A</v>
      </c>
      <c r="F2565" s="548" t="e">
        <f>IF(D2565="","",SUMIF($I2543:$I2552,D2565,$P2543:$P2552))</f>
        <v>#N/A</v>
      </c>
      <c r="G2565" s="334" t="e">
        <f>IF(D2565="","",SUMIF($I2543:$I2552,D2565,$M2543:$M2552))</f>
        <v>#N/A</v>
      </c>
      <c r="H2565" s="536" t="e">
        <f t="shared" si="749"/>
        <v>#N/A</v>
      </c>
      <c r="I2565" s="214" t="e">
        <f>IF(D2565="","",IF(H2565="NO APORTA","NO",IF(H2565=MAX($H2560:$H2565),"SI","NO")))</f>
        <v>#N/A</v>
      </c>
      <c r="J2565" s="213" t="e">
        <f t="shared" si="750"/>
        <v>#N/A</v>
      </c>
      <c r="K2565" s="200" t="e">
        <f t="shared" si="751"/>
        <v>#N/A</v>
      </c>
      <c r="L2565" s="721"/>
      <c r="M2565" s="729">
        <f>NUMMOD</f>
        <v>1</v>
      </c>
      <c r="N2565" s="730"/>
      <c r="O2565" s="443">
        <f>IF(M2565="","",ROUND(VLOOKUP(M2565,PRESUPUESTOS!$B$16:$H$16,7,FALSE),3))</f>
        <v>25.780999999999999</v>
      </c>
      <c r="P2565" s="713">
        <f>IF(OR(COUNTIF(P2543:P2552,"")&gt;=10,Q2559&lt;NUMMINCONT,OR(T2557="NO CUMPLE",T2557="VERIFICAR")),0,ROUND((SUM(P2543:P2552)/SUM(M2543:M2552)),3))</f>
        <v>0</v>
      </c>
      <c r="Q2565" s="714"/>
      <c r="R2565" s="458"/>
      <c r="S2565" s="459"/>
      <c r="T2565" s="460"/>
      <c r="U2565" s="219"/>
      <c r="V2565" s="464"/>
      <c r="Y2565" s="532" t="s">
        <v>343</v>
      </c>
      <c r="AA2565" s="540" t="e">
        <f>IF(AND(C2564&lt;=F2558,F2558&lt;&gt;""),VLOOKUP(VALUE(E2539&amp;","&amp;C2564),INTEGRANTES!$D$18:$F$235,2,0),"")</f>
        <v>#N/A</v>
      </c>
      <c r="AB2565" s="545" t="e">
        <f t="shared" si="752"/>
        <v>#N/A</v>
      </c>
      <c r="AC2565" s="529"/>
      <c r="AD2565" s="200" t="e">
        <f t="shared" si="753"/>
        <v>#N/A</v>
      </c>
      <c r="AE2565" s="52"/>
      <c r="AF2565" s="52"/>
      <c r="AG2565" s="52"/>
      <c r="AH2565" s="87"/>
      <c r="AI2565" s="87"/>
    </row>
    <row r="2566" spans="1:35" ht="16.5" hidden="1" customHeight="1" thickBot="1">
      <c r="A2566" s="218" t="e">
        <f>"T"&amp;E2539</f>
        <v>#N/A</v>
      </c>
      <c r="B2566" s="703"/>
      <c r="C2566" s="719"/>
      <c r="D2566" s="719"/>
      <c r="E2566" s="719"/>
      <c r="F2566" s="719"/>
      <c r="G2566" s="719"/>
      <c r="H2566" s="719" t="s">
        <v>110</v>
      </c>
      <c r="I2566" s="719"/>
      <c r="J2566" s="719"/>
      <c r="K2566" s="201" t="str">
        <f>IF(COUNTIF(K2560:K2565,"")=6,"",IF(COUNTIF(K2560:K2565,"CUMPLE")&gt;0,"CUMPLE","NO CUMPLE"))</f>
        <v>NO CUMPLE</v>
      </c>
      <c r="L2566" s="754"/>
      <c r="M2566" s="755"/>
      <c r="N2566" s="755"/>
      <c r="O2566" s="755"/>
      <c r="P2566" s="755"/>
      <c r="Q2566" s="756"/>
      <c r="R2566" s="461"/>
      <c r="S2566" s="462"/>
      <c r="T2566" s="463"/>
      <c r="U2566" s="219"/>
      <c r="V2566" s="464"/>
      <c r="Y2566" s="549" t="e">
        <f>IF(Y2560="NO APLICA","NO APLICA",IF(COUNTIF(AD2561:AD2566,"CUMPLE")&gt;0,"CUMPLE","NO CUMPLE"))</f>
        <v>#N/A</v>
      </c>
      <c r="AA2566" s="541" t="e">
        <f>IF(AND(C2565&lt;=F2558,F2558&lt;&gt;""),VLOOKUP(VALUE(E2539&amp;","&amp;C2565),INTEGRANTES!$D$18:$F$235,2,0),"")</f>
        <v>#N/A</v>
      </c>
      <c r="AB2566" s="546" t="e">
        <f t="shared" si="752"/>
        <v>#N/A</v>
      </c>
      <c r="AC2566" s="543"/>
      <c r="AD2566" s="201" t="e">
        <f t="shared" si="753"/>
        <v>#N/A</v>
      </c>
      <c r="AE2566" s="52"/>
      <c r="AF2566" s="52"/>
      <c r="AG2566" s="52"/>
      <c r="AH2566" s="87"/>
      <c r="AI2566" s="87"/>
    </row>
    <row r="2567" spans="1:35" hidden="1">
      <c r="A2567" s="103"/>
      <c r="B2567" s="206"/>
      <c r="C2567" s="206"/>
      <c r="D2567" s="206"/>
      <c r="E2567" s="206"/>
      <c r="F2567" s="206"/>
      <c r="G2567" s="206"/>
      <c r="H2567" s="206"/>
      <c r="I2567" s="104"/>
      <c r="J2567" s="206"/>
      <c r="K2567" s="113"/>
      <c r="L2567" s="113"/>
      <c r="M2567" s="113"/>
      <c r="N2567" s="222"/>
      <c r="O2567" s="113"/>
      <c r="P2567" s="113"/>
      <c r="Q2567" s="113"/>
      <c r="R2567" s="206"/>
      <c r="S2567" s="104"/>
      <c r="T2567" s="206"/>
      <c r="U2567" s="474"/>
      <c r="AH2567" s="87"/>
      <c r="AI2567" s="87"/>
    </row>
    <row r="2568" spans="1:35" hidden="1">
      <c r="H2568" s="220"/>
      <c r="AH2568" s="87"/>
      <c r="AI2568" s="87"/>
    </row>
    <row r="2569" spans="1:35" ht="24" hidden="1" thickBot="1">
      <c r="A2569" s="61">
        <v>86</v>
      </c>
      <c r="B2569" s="704" t="s">
        <v>51</v>
      </c>
      <c r="C2569" s="704"/>
      <c r="D2569" s="704"/>
      <c r="E2569" s="62" t="e">
        <f>VLOOKUP(A2569,PROPONENTES!$B$19:$E$218,2,FALSE)</f>
        <v>#N/A</v>
      </c>
      <c r="F2569" s="63" t="e">
        <f>VLOOKUP(A2569,PROPONENTES!$B$19:$E$218,3,FALSE)</f>
        <v>#N/A</v>
      </c>
      <c r="G2569" s="64"/>
      <c r="H2569" s="64"/>
      <c r="I2569" s="63"/>
      <c r="J2569" s="63"/>
      <c r="K2569" s="65"/>
      <c r="L2569" s="65"/>
      <c r="M2569" s="64"/>
      <c r="N2569" s="64"/>
      <c r="O2569" s="66"/>
      <c r="P2569" s="66"/>
      <c r="Q2569" s="66"/>
      <c r="R2569" s="66"/>
      <c r="S2569" s="67"/>
      <c r="T2569" s="68"/>
      <c r="U2569" s="68"/>
      <c r="AC2569" s="68"/>
      <c r="AD2569" s="68"/>
      <c r="AE2569" s="68"/>
      <c r="AF2569" s="68"/>
      <c r="AG2569" s="68"/>
      <c r="AH2569" s="87"/>
      <c r="AI2569" s="87"/>
    </row>
    <row r="2570" spans="1:35" ht="15.75" hidden="1" customHeight="1">
      <c r="A2570" s="44"/>
      <c r="B2570" s="709" t="s">
        <v>59</v>
      </c>
      <c r="C2570" s="552" t="s">
        <v>60</v>
      </c>
      <c r="D2570" s="70" t="s">
        <v>17</v>
      </c>
      <c r="E2570" s="70"/>
      <c r="F2570" s="70" t="s">
        <v>61</v>
      </c>
      <c r="G2570" s="71"/>
      <c r="H2570" s="699" t="s">
        <v>62</v>
      </c>
      <c r="I2570" s="699" t="s">
        <v>18</v>
      </c>
      <c r="J2570" s="699" t="s">
        <v>63</v>
      </c>
      <c r="K2570" s="699" t="s">
        <v>64</v>
      </c>
      <c r="L2570" s="699" t="s">
        <v>65</v>
      </c>
      <c r="M2570" s="743" t="s">
        <v>66</v>
      </c>
      <c r="N2570" s="699" t="s">
        <v>282</v>
      </c>
      <c r="O2570" s="745" t="s">
        <v>67</v>
      </c>
      <c r="P2570" s="746"/>
      <c r="Q2570" s="102" t="s">
        <v>75</v>
      </c>
      <c r="R2570" s="731" t="s">
        <v>22</v>
      </c>
      <c r="S2570" s="732"/>
      <c r="T2570" s="733"/>
      <c r="U2570" s="712" t="s">
        <v>298</v>
      </c>
      <c r="W2570" s="690" t="s">
        <v>268</v>
      </c>
      <c r="X2570" s="691"/>
      <c r="Y2570" s="692"/>
      <c r="Z2570" s="428"/>
      <c r="AA2570" s="697" t="s">
        <v>315</v>
      </c>
      <c r="AB2570" s="695" t="s">
        <v>322</v>
      </c>
      <c r="AC2570" s="49"/>
      <c r="AD2570" s="690" t="s">
        <v>297</v>
      </c>
      <c r="AE2570" s="691"/>
      <c r="AF2570" s="692"/>
      <c r="AG2570" s="49"/>
      <c r="AH2570" s="87"/>
      <c r="AI2570" s="87"/>
    </row>
    <row r="2571" spans="1:35" ht="72" hidden="1">
      <c r="A2571" s="44"/>
      <c r="B2571" s="710"/>
      <c r="C2571" s="553" t="s">
        <v>68</v>
      </c>
      <c r="D2571" s="73" t="s">
        <v>3</v>
      </c>
      <c r="E2571" s="73" t="s">
        <v>19</v>
      </c>
      <c r="F2571" s="73" t="s">
        <v>69</v>
      </c>
      <c r="G2571" s="74" t="s">
        <v>70</v>
      </c>
      <c r="H2571" s="700"/>
      <c r="I2571" s="700"/>
      <c r="J2571" s="700"/>
      <c r="K2571" s="700"/>
      <c r="L2571" s="700"/>
      <c r="M2571" s="744"/>
      <c r="N2571" s="700"/>
      <c r="O2571" s="553" t="s">
        <v>279</v>
      </c>
      <c r="P2571" s="73" t="s">
        <v>88</v>
      </c>
      <c r="Q2571" s="555" t="s">
        <v>76</v>
      </c>
      <c r="R2571" s="734"/>
      <c r="S2571" s="735"/>
      <c r="T2571" s="736"/>
      <c r="U2571" s="712"/>
      <c r="W2571" s="429" t="s">
        <v>269</v>
      </c>
      <c r="X2571" s="457" t="s">
        <v>278</v>
      </c>
      <c r="Y2571" s="430" t="s">
        <v>324</v>
      </c>
      <c r="Z2571" s="428"/>
      <c r="AA2571" s="698"/>
      <c r="AB2571" s="696"/>
      <c r="AC2571" s="49"/>
      <c r="AD2571" s="429" t="s">
        <v>292</v>
      </c>
      <c r="AE2571" s="431" t="s">
        <v>300</v>
      </c>
      <c r="AF2571" s="468" t="s">
        <v>301</v>
      </c>
      <c r="AG2571" s="49"/>
      <c r="AH2571" s="87"/>
      <c r="AI2571" s="87"/>
    </row>
    <row r="2572" spans="1:35" hidden="1">
      <c r="A2572" s="44"/>
      <c r="B2572" s="76"/>
      <c r="C2572" s="77"/>
      <c r="D2572" s="77"/>
      <c r="E2572" s="77"/>
      <c r="F2572" s="77"/>
      <c r="G2572" s="77"/>
      <c r="H2572" s="77"/>
      <c r="I2572" s="77"/>
      <c r="J2572" s="77"/>
      <c r="K2572" s="77"/>
      <c r="L2572" s="77"/>
      <c r="M2572" s="77"/>
      <c r="N2572" s="77"/>
      <c r="O2572" s="77"/>
      <c r="P2572" s="77"/>
      <c r="Q2572" s="77"/>
      <c r="R2572" s="77"/>
      <c r="S2572" s="78"/>
      <c r="T2572" s="79"/>
      <c r="U2572" s="109"/>
      <c r="V2572" s="49"/>
      <c r="W2572" s="432"/>
      <c r="X2572" s="454"/>
      <c r="Y2572" s="433"/>
      <c r="Z2572" s="6"/>
      <c r="AA2572" s="500"/>
      <c r="AB2572" s="562"/>
      <c r="AC2572" s="49"/>
      <c r="AD2572" s="210"/>
      <c r="AE2572" s="434"/>
      <c r="AF2572" s="435"/>
      <c r="AG2572" s="49"/>
      <c r="AH2572" s="87"/>
      <c r="AI2572" s="87"/>
    </row>
    <row r="2573" spans="1:35" hidden="1">
      <c r="A2573" s="80" t="e">
        <f>"A"&amp;E2569</f>
        <v>#N/A</v>
      </c>
      <c r="B2573" s="81">
        <v>1</v>
      </c>
      <c r="C2573" s="82"/>
      <c r="D2573" s="82"/>
      <c r="E2573" s="82"/>
      <c r="F2573" s="82"/>
      <c r="G2573" s="83"/>
      <c r="H2573" s="83"/>
      <c r="I2573" s="84"/>
      <c r="J2573" s="85"/>
      <c r="K2573" s="382"/>
      <c r="L2573" s="85"/>
      <c r="M2573" s="332" t="str">
        <f t="shared" ref="M2573:M2582" si="754">IF(OR(J2573="",L2573="",H2573="NO"),"",IF(OR(J2573&gt;$P$17,J2573&lt;$O$17,L2573&gt;$P$17,AND(J2573&lt;$O$17,L2573&lt;$O$17)),"FUERA DE RANGO",IF(OR(K2573="---",K2573=""),IF(J2573&gt;=$O$17,ROUND((L2573-J2573+1)/360*12,3),ROUND((L2573-$O$17+1)/360*12,3)),IF(J2573&gt;=$O$17,ROUND((L2573-J2573+1)/360*12-ROUND(K2573,3),3),ROUND((L2573-$O$17+1)/360*12-ROUND(K2573,3),3)))))</f>
        <v/>
      </c>
      <c r="N2573" s="86"/>
      <c r="O2573" s="453" t="str">
        <f>IF(OR(G2573="",N2573=""),"",N2573*G2573)</f>
        <v/>
      </c>
      <c r="P2573" s="538" t="str">
        <f>IF(OR(H2573="",M2573="FUERA DE RANGO"),"",IF(OR(L2573&lt;$O$17,L2573&gt;$P$17,L2573="",H2573="NO"),"",IF(OR(N2573="",O2573=""),"",ROUND(O2573,3))))</f>
        <v/>
      </c>
      <c r="Q2573" s="539" t="str">
        <f t="shared" ref="Q2573:Q2582" si="755">IF(AND(H2573="SI",P2573&lt;&gt;""),ROUND(P2573/M2573,3),"")</f>
        <v/>
      </c>
      <c r="R2573" s="737"/>
      <c r="S2573" s="738"/>
      <c r="T2573" s="739"/>
      <c r="U2573" s="470"/>
      <c r="V2573" s="165"/>
      <c r="W2573" s="446"/>
      <c r="X2573" s="456"/>
      <c r="Y2573" s="436"/>
      <c r="Z2573" s="437"/>
      <c r="AA2573" s="560"/>
      <c r="AB2573" s="561"/>
      <c r="AC2573" s="87"/>
      <c r="AD2573" s="466"/>
      <c r="AE2573" s="456"/>
      <c r="AF2573" s="467"/>
      <c r="AG2573" s="87"/>
      <c r="AH2573" s="87"/>
      <c r="AI2573" s="87"/>
    </row>
    <row r="2574" spans="1:35" hidden="1">
      <c r="A2574" s="80" t="e">
        <f>"B"&amp;E2569</f>
        <v>#N/A</v>
      </c>
      <c r="B2574" s="81">
        <v>2</v>
      </c>
      <c r="C2574" s="106"/>
      <c r="D2574" s="106"/>
      <c r="E2574" s="106"/>
      <c r="F2574" s="106"/>
      <c r="G2574" s="83"/>
      <c r="H2574" s="83"/>
      <c r="I2574" s="84"/>
      <c r="J2574" s="85"/>
      <c r="K2574" s="382"/>
      <c r="L2574" s="85"/>
      <c r="M2574" s="332" t="str">
        <f t="shared" si="754"/>
        <v/>
      </c>
      <c r="N2574" s="86"/>
      <c r="O2574" s="453" t="str">
        <f t="shared" ref="O2574:O2582" si="756">IF(OR(G2574="",N2574=""),"",N2574*G2574)</f>
        <v/>
      </c>
      <c r="P2574" s="538" t="str">
        <f t="shared" ref="P2574:P2582" si="757">IF(OR(H2574="",M2574="FUERA DE RANGO"),"",IF(OR(L2574&lt;$O$17,L2574&gt;$P$17,L2574="",H2574="NO"),"",IF(OR(N2574="",O2574=""),"",ROUND(O2574,3))))</f>
        <v/>
      </c>
      <c r="Q2574" s="539" t="str">
        <f t="shared" si="755"/>
        <v/>
      </c>
      <c r="R2574" s="740"/>
      <c r="S2574" s="741"/>
      <c r="T2574" s="742"/>
      <c r="U2574" s="471"/>
      <c r="V2574" s="165"/>
      <c r="W2574" s="446"/>
      <c r="X2574" s="456"/>
      <c r="Y2574" s="436"/>
      <c r="Z2574" s="437"/>
      <c r="AA2574" s="560"/>
      <c r="AB2574" s="561"/>
      <c r="AC2574" s="87"/>
      <c r="AD2574" s="466"/>
      <c r="AE2574" s="456"/>
      <c r="AF2574" s="467"/>
      <c r="AG2574" s="87"/>
      <c r="AH2574" s="87"/>
      <c r="AI2574" s="87"/>
    </row>
    <row r="2575" spans="1:35" hidden="1">
      <c r="A2575" s="80" t="e">
        <f>"C"&amp;E2569</f>
        <v>#N/A</v>
      </c>
      <c r="B2575" s="88">
        <v>3</v>
      </c>
      <c r="C2575" s="82"/>
      <c r="D2575" s="82"/>
      <c r="E2575" s="82"/>
      <c r="F2575" s="82"/>
      <c r="G2575" s="83"/>
      <c r="H2575" s="83"/>
      <c r="I2575" s="84"/>
      <c r="J2575" s="85"/>
      <c r="K2575" s="382"/>
      <c r="L2575" s="85"/>
      <c r="M2575" s="332" t="str">
        <f t="shared" si="754"/>
        <v/>
      </c>
      <c r="N2575" s="86"/>
      <c r="O2575" s="453" t="str">
        <f t="shared" si="756"/>
        <v/>
      </c>
      <c r="P2575" s="538" t="str">
        <f t="shared" si="757"/>
        <v/>
      </c>
      <c r="Q2575" s="539" t="str">
        <f t="shared" si="755"/>
        <v/>
      </c>
      <c r="R2575" s="706"/>
      <c r="S2575" s="707"/>
      <c r="T2575" s="708"/>
      <c r="U2575" s="472"/>
      <c r="V2575" s="166"/>
      <c r="W2575" s="446"/>
      <c r="X2575" s="456"/>
      <c r="Y2575" s="436"/>
      <c r="Z2575" s="437"/>
      <c r="AA2575" s="560"/>
      <c r="AB2575" s="561"/>
      <c r="AC2575" s="87"/>
      <c r="AD2575" s="466"/>
      <c r="AE2575" s="456"/>
      <c r="AF2575" s="467"/>
      <c r="AG2575" s="87"/>
      <c r="AH2575" s="87"/>
      <c r="AI2575" s="87"/>
    </row>
    <row r="2576" spans="1:35" hidden="1">
      <c r="A2576" s="80" t="e">
        <f>"D"&amp;E2569</f>
        <v>#N/A</v>
      </c>
      <c r="B2576" s="105">
        <v>4</v>
      </c>
      <c r="C2576" s="107"/>
      <c r="D2576" s="107"/>
      <c r="E2576" s="107"/>
      <c r="F2576" s="107"/>
      <c r="G2576" s="83"/>
      <c r="H2576" s="83"/>
      <c r="I2576" s="84"/>
      <c r="J2576" s="85"/>
      <c r="K2576" s="382"/>
      <c r="L2576" s="85"/>
      <c r="M2576" s="332" t="str">
        <f t="shared" si="754"/>
        <v/>
      </c>
      <c r="N2576" s="86"/>
      <c r="O2576" s="453" t="str">
        <f t="shared" si="756"/>
        <v/>
      </c>
      <c r="P2576" s="538" t="str">
        <f t="shared" si="757"/>
        <v/>
      </c>
      <c r="Q2576" s="539" t="str">
        <f t="shared" si="755"/>
        <v/>
      </c>
      <c r="R2576" s="706"/>
      <c r="S2576" s="707"/>
      <c r="T2576" s="708"/>
      <c r="U2576" s="472"/>
      <c r="V2576" s="166"/>
      <c r="W2576" s="446"/>
      <c r="X2576" s="456"/>
      <c r="Y2576" s="436"/>
      <c r="Z2576" s="437"/>
      <c r="AA2576" s="560"/>
      <c r="AB2576" s="561"/>
      <c r="AC2576" s="87"/>
      <c r="AD2576" s="466"/>
      <c r="AE2576" s="456"/>
      <c r="AF2576" s="467"/>
      <c r="AG2576" s="87"/>
      <c r="AH2576" s="87"/>
      <c r="AI2576" s="87"/>
    </row>
    <row r="2577" spans="1:35" hidden="1">
      <c r="A2577" s="80" t="e">
        <f>"E"&amp;E2569</f>
        <v>#N/A</v>
      </c>
      <c r="B2577" s="105">
        <v>5</v>
      </c>
      <c r="C2577" s="107"/>
      <c r="D2577" s="107"/>
      <c r="E2577" s="107"/>
      <c r="F2577" s="107"/>
      <c r="G2577" s="83"/>
      <c r="H2577" s="83"/>
      <c r="I2577" s="84"/>
      <c r="J2577" s="85"/>
      <c r="K2577" s="382"/>
      <c r="L2577" s="85"/>
      <c r="M2577" s="332" t="str">
        <f t="shared" si="754"/>
        <v/>
      </c>
      <c r="N2577" s="86"/>
      <c r="O2577" s="453" t="str">
        <f t="shared" si="756"/>
        <v/>
      </c>
      <c r="P2577" s="538" t="str">
        <f t="shared" si="757"/>
        <v/>
      </c>
      <c r="Q2577" s="539" t="str">
        <f t="shared" si="755"/>
        <v/>
      </c>
      <c r="R2577" s="706"/>
      <c r="S2577" s="707"/>
      <c r="T2577" s="708"/>
      <c r="U2577" s="472"/>
      <c r="V2577" s="167"/>
      <c r="W2577" s="446"/>
      <c r="X2577" s="456"/>
      <c r="Y2577" s="436"/>
      <c r="Z2577" s="437"/>
      <c r="AA2577" s="560"/>
      <c r="AB2577" s="561"/>
      <c r="AC2577" s="87"/>
      <c r="AD2577" s="466"/>
      <c r="AE2577" s="456"/>
      <c r="AF2577" s="467"/>
      <c r="AG2577" s="87"/>
      <c r="AH2577" s="87"/>
      <c r="AI2577" s="87"/>
    </row>
    <row r="2578" spans="1:35" hidden="1">
      <c r="A2578" s="80" t="e">
        <f>"F"&amp;E2569</f>
        <v>#N/A</v>
      </c>
      <c r="B2578" s="105">
        <v>6</v>
      </c>
      <c r="C2578" s="107"/>
      <c r="D2578" s="107"/>
      <c r="E2578" s="107"/>
      <c r="F2578" s="107"/>
      <c r="G2578" s="83"/>
      <c r="H2578" s="83"/>
      <c r="I2578" s="84"/>
      <c r="J2578" s="85"/>
      <c r="K2578" s="382"/>
      <c r="L2578" s="85"/>
      <c r="M2578" s="332" t="str">
        <f t="shared" si="754"/>
        <v/>
      </c>
      <c r="N2578" s="86"/>
      <c r="O2578" s="453" t="str">
        <f t="shared" si="756"/>
        <v/>
      </c>
      <c r="P2578" s="538" t="str">
        <f t="shared" si="757"/>
        <v/>
      </c>
      <c r="Q2578" s="539" t="str">
        <f t="shared" si="755"/>
        <v/>
      </c>
      <c r="R2578" s="706"/>
      <c r="S2578" s="707"/>
      <c r="T2578" s="708"/>
      <c r="U2578" s="472"/>
      <c r="V2578" s="167"/>
      <c r="W2578" s="446"/>
      <c r="X2578" s="456"/>
      <c r="Y2578" s="436"/>
      <c r="Z2578" s="437"/>
      <c r="AA2578" s="560"/>
      <c r="AB2578" s="561"/>
      <c r="AC2578" s="87"/>
      <c r="AD2578" s="466"/>
      <c r="AE2578" s="456"/>
      <c r="AF2578" s="467"/>
      <c r="AG2578" s="87"/>
      <c r="AH2578" s="87"/>
      <c r="AI2578" s="87"/>
    </row>
    <row r="2579" spans="1:35" hidden="1">
      <c r="A2579" s="80" t="e">
        <f>"G"&amp;E2569</f>
        <v>#N/A</v>
      </c>
      <c r="B2579" s="105">
        <v>7</v>
      </c>
      <c r="C2579" s="107"/>
      <c r="D2579" s="107"/>
      <c r="E2579" s="107"/>
      <c r="F2579" s="107"/>
      <c r="G2579" s="83"/>
      <c r="H2579" s="83"/>
      <c r="I2579" s="84"/>
      <c r="J2579" s="85"/>
      <c r="K2579" s="382"/>
      <c r="L2579" s="85"/>
      <c r="M2579" s="332" t="str">
        <f t="shared" si="754"/>
        <v/>
      </c>
      <c r="N2579" s="86"/>
      <c r="O2579" s="86" t="str">
        <f t="shared" si="756"/>
        <v/>
      </c>
      <c r="P2579" s="538" t="str">
        <f t="shared" si="757"/>
        <v/>
      </c>
      <c r="Q2579" s="539" t="str">
        <f t="shared" si="755"/>
        <v/>
      </c>
      <c r="R2579" s="706"/>
      <c r="S2579" s="707"/>
      <c r="T2579" s="708"/>
      <c r="U2579" s="472"/>
      <c r="V2579" s="167"/>
      <c r="W2579" s="446"/>
      <c r="X2579" s="456"/>
      <c r="Y2579" s="436"/>
      <c r="Z2579" s="437"/>
      <c r="AA2579" s="560"/>
      <c r="AB2579" s="561"/>
      <c r="AC2579" s="87"/>
      <c r="AD2579" s="466"/>
      <c r="AE2579" s="456"/>
      <c r="AF2579" s="467"/>
      <c r="AG2579" s="87"/>
      <c r="AH2579" s="87"/>
      <c r="AI2579" s="87"/>
    </row>
    <row r="2580" spans="1:35" hidden="1">
      <c r="A2580" s="80" t="e">
        <f>"H"&amp;E2569</f>
        <v>#N/A</v>
      </c>
      <c r="B2580" s="105">
        <v>8</v>
      </c>
      <c r="C2580" s="107"/>
      <c r="D2580" s="107"/>
      <c r="E2580" s="107"/>
      <c r="F2580" s="107"/>
      <c r="G2580" s="83"/>
      <c r="H2580" s="83"/>
      <c r="I2580" s="84"/>
      <c r="J2580" s="85"/>
      <c r="K2580" s="382"/>
      <c r="L2580" s="85"/>
      <c r="M2580" s="332" t="str">
        <f t="shared" si="754"/>
        <v/>
      </c>
      <c r="N2580" s="453"/>
      <c r="O2580" s="86" t="str">
        <f t="shared" si="756"/>
        <v/>
      </c>
      <c r="P2580" s="538" t="str">
        <f t="shared" si="757"/>
        <v/>
      </c>
      <c r="Q2580" s="539" t="str">
        <f t="shared" si="755"/>
        <v/>
      </c>
      <c r="R2580" s="706"/>
      <c r="S2580" s="707"/>
      <c r="T2580" s="708"/>
      <c r="U2580" s="472"/>
      <c r="V2580" s="167"/>
      <c r="W2580" s="446"/>
      <c r="X2580" s="456"/>
      <c r="Y2580" s="436"/>
      <c r="Z2580" s="437"/>
      <c r="AA2580" s="560"/>
      <c r="AB2580" s="561"/>
      <c r="AC2580" s="87"/>
      <c r="AD2580" s="466"/>
      <c r="AE2580" s="456"/>
      <c r="AF2580" s="467"/>
      <c r="AG2580" s="87"/>
      <c r="AH2580" s="87"/>
      <c r="AI2580" s="87"/>
    </row>
    <row r="2581" spans="1:35" hidden="1">
      <c r="A2581" s="80" t="e">
        <f>"I"&amp;E2569</f>
        <v>#N/A</v>
      </c>
      <c r="B2581" s="105">
        <v>9</v>
      </c>
      <c r="C2581" s="107"/>
      <c r="D2581" s="107"/>
      <c r="E2581" s="107"/>
      <c r="F2581" s="107"/>
      <c r="G2581" s="83"/>
      <c r="H2581" s="83"/>
      <c r="I2581" s="84"/>
      <c r="J2581" s="85"/>
      <c r="K2581" s="382"/>
      <c r="L2581" s="85"/>
      <c r="M2581" s="332" t="str">
        <f t="shared" si="754"/>
        <v/>
      </c>
      <c r="N2581" s="453"/>
      <c r="O2581" s="86" t="str">
        <f t="shared" si="756"/>
        <v/>
      </c>
      <c r="P2581" s="538" t="str">
        <f t="shared" si="757"/>
        <v/>
      </c>
      <c r="Q2581" s="539" t="str">
        <f t="shared" si="755"/>
        <v/>
      </c>
      <c r="R2581" s="706"/>
      <c r="S2581" s="707"/>
      <c r="T2581" s="708"/>
      <c r="U2581" s="472"/>
      <c r="V2581" s="167"/>
      <c r="W2581" s="446"/>
      <c r="X2581" s="456"/>
      <c r="Y2581" s="436"/>
      <c r="Z2581" s="437"/>
      <c r="AA2581" s="560"/>
      <c r="AB2581" s="561"/>
      <c r="AC2581" s="87"/>
      <c r="AD2581" s="466"/>
      <c r="AE2581" s="456"/>
      <c r="AF2581" s="467"/>
      <c r="AG2581" s="87"/>
      <c r="AH2581" s="87"/>
      <c r="AI2581" s="87"/>
    </row>
    <row r="2582" spans="1:35" hidden="1">
      <c r="A2582" s="80" t="e">
        <f>"J"&amp;E2569</f>
        <v>#N/A</v>
      </c>
      <c r="B2582" s="105">
        <v>10</v>
      </c>
      <c r="C2582" s="107"/>
      <c r="D2582" s="107"/>
      <c r="E2582" s="107"/>
      <c r="F2582" s="107"/>
      <c r="G2582" s="83"/>
      <c r="H2582" s="83"/>
      <c r="I2582" s="84"/>
      <c r="J2582" s="85"/>
      <c r="K2582" s="382"/>
      <c r="L2582" s="85"/>
      <c r="M2582" s="332" t="str">
        <f t="shared" si="754"/>
        <v/>
      </c>
      <c r="N2582" s="453"/>
      <c r="O2582" s="86" t="str">
        <f t="shared" si="756"/>
        <v/>
      </c>
      <c r="P2582" s="538" t="str">
        <f t="shared" si="757"/>
        <v/>
      </c>
      <c r="Q2582" s="539" t="str">
        <f t="shared" si="755"/>
        <v/>
      </c>
      <c r="R2582" s="706"/>
      <c r="S2582" s="707"/>
      <c r="T2582" s="708"/>
      <c r="U2582" s="472"/>
      <c r="V2582" s="167"/>
      <c r="W2582" s="446"/>
      <c r="X2582" s="456"/>
      <c r="Y2582" s="436"/>
      <c r="Z2582" s="437"/>
      <c r="AA2582" s="560"/>
      <c r="AB2582" s="561"/>
      <c r="AC2582" s="87"/>
      <c r="AD2582" s="466"/>
      <c r="AE2582" s="456"/>
      <c r="AF2582" s="467"/>
      <c r="AG2582" s="87"/>
      <c r="AH2582" s="87"/>
      <c r="AI2582" s="87"/>
    </row>
    <row r="2583" spans="1:35" ht="16.5" hidden="1" thickBot="1">
      <c r="A2583" s="44"/>
      <c r="B2583" s="89"/>
      <c r="C2583" s="90"/>
      <c r="D2583" s="90"/>
      <c r="E2583" s="90"/>
      <c r="F2583" s="90"/>
      <c r="G2583" s="90"/>
      <c r="H2583" s="90"/>
      <c r="I2583" s="90"/>
      <c r="J2583" s="90"/>
      <c r="K2583" s="90"/>
      <c r="L2583" s="90"/>
      <c r="M2583" s="90"/>
      <c r="N2583" s="90"/>
      <c r="O2583" s="90"/>
      <c r="P2583" s="90"/>
      <c r="Q2583" s="90"/>
      <c r="R2583" s="90"/>
      <c r="S2583" s="91"/>
      <c r="T2583" s="92"/>
      <c r="U2583" s="473"/>
      <c r="W2583" s="438"/>
      <c r="X2583" s="455"/>
      <c r="Y2583" s="439"/>
      <c r="Z2583" s="437"/>
      <c r="AA2583" s="530"/>
      <c r="AB2583" s="563"/>
      <c r="AC2583" s="87"/>
      <c r="AD2583" s="440"/>
      <c r="AE2583" s="441"/>
      <c r="AF2583" s="442"/>
      <c r="AG2583" s="49"/>
      <c r="AH2583" s="87"/>
      <c r="AI2583" s="87"/>
    </row>
    <row r="2584" spans="1:35" ht="16.5" hidden="1" thickBot="1">
      <c r="A2584" s="93"/>
      <c r="B2584" s="94"/>
      <c r="C2584" s="96"/>
      <c r="D2584" s="96"/>
      <c r="E2584" s="96"/>
      <c r="F2584" s="96"/>
      <c r="G2584" s="96"/>
      <c r="H2584" s="96"/>
      <c r="I2584" s="96"/>
      <c r="J2584" s="96"/>
      <c r="K2584" s="96"/>
      <c r="L2584" s="96"/>
      <c r="M2584" s="136"/>
      <c r="N2584" s="96"/>
      <c r="O2584" s="96"/>
      <c r="P2584" s="97"/>
      <c r="Q2584" s="97"/>
      <c r="R2584" s="98"/>
      <c r="S2584" s="95"/>
      <c r="T2584" s="99"/>
      <c r="U2584" s="469"/>
      <c r="AC2584" s="58"/>
      <c r="AG2584" s="58"/>
      <c r="AH2584" s="87"/>
      <c r="AI2584" s="87"/>
    </row>
    <row r="2585" spans="1:35" ht="16.5" hidden="1" thickBot="1">
      <c r="B2585" s="101"/>
      <c r="C2585" s="101"/>
      <c r="D2585" s="101"/>
      <c r="E2585" s="101"/>
      <c r="F2585" s="101"/>
      <c r="G2585" s="101"/>
      <c r="H2585" s="101"/>
      <c r="I2585" s="101"/>
      <c r="J2585" s="101"/>
      <c r="K2585" s="101"/>
      <c r="L2585" s="101"/>
      <c r="M2585" s="101"/>
      <c r="N2585" s="101"/>
      <c r="O2585" s="101"/>
      <c r="P2585" s="101"/>
      <c r="Q2585" s="101"/>
      <c r="R2585" s="101"/>
      <c r="S2585" s="101"/>
      <c r="U2585" s="50"/>
      <c r="AH2585" s="87"/>
      <c r="AI2585" s="87"/>
    </row>
    <row r="2586" spans="1:35" ht="16.5" hidden="1" customHeight="1" thickBot="1">
      <c r="A2586" s="44"/>
      <c r="B2586" s="705" t="s">
        <v>74</v>
      </c>
      <c r="C2586" s="705"/>
      <c r="D2586" s="705"/>
      <c r="E2586" s="705"/>
      <c r="F2586" s="705"/>
      <c r="G2586" s="705"/>
      <c r="H2586" s="705"/>
      <c r="I2586" s="705"/>
      <c r="J2586" s="705"/>
      <c r="K2586" s="705"/>
      <c r="L2586" s="705"/>
      <c r="M2586" s="705"/>
      <c r="N2586" s="705"/>
      <c r="O2586" s="705"/>
      <c r="P2586" s="705"/>
      <c r="Q2586" s="705"/>
      <c r="R2586" s="705"/>
      <c r="S2586" s="705"/>
      <c r="T2586" s="705"/>
      <c r="U2586" s="108"/>
      <c r="Y2586" s="532" t="s">
        <v>341</v>
      </c>
      <c r="AC2586" s="49"/>
      <c r="AD2586" s="687" t="s">
        <v>302</v>
      </c>
      <c r="AE2586" s="688"/>
      <c r="AF2586" s="689"/>
      <c r="AG2586" s="49"/>
      <c r="AH2586" s="87"/>
      <c r="AI2586" s="87"/>
    </row>
    <row r="2587" spans="1:35" ht="15.75" hidden="1" customHeight="1" thickBot="1">
      <c r="A2587" s="218" t="e">
        <f>"K"&amp;E2569</f>
        <v>#N/A</v>
      </c>
      <c r="B2587" s="701" t="s">
        <v>71</v>
      </c>
      <c r="C2587" s="751" t="s">
        <v>102</v>
      </c>
      <c r="D2587" s="751"/>
      <c r="E2587" s="751"/>
      <c r="F2587" s="751"/>
      <c r="G2587" s="751"/>
      <c r="H2587" s="751"/>
      <c r="I2587" s="751"/>
      <c r="J2587" s="751"/>
      <c r="K2587" s="751"/>
      <c r="L2587" s="722" t="s">
        <v>100</v>
      </c>
      <c r="M2587" s="747" t="s">
        <v>114</v>
      </c>
      <c r="N2587" s="747"/>
      <c r="O2587" s="747"/>
      <c r="P2587" s="747"/>
      <c r="Q2587" s="748"/>
      <c r="R2587" s="758" t="s">
        <v>280</v>
      </c>
      <c r="S2587" s="748"/>
      <c r="T2587" s="762" t="str">
        <f>IF(COUNTIF(AE2587:AF2587,"VERIFICAR")&gt;0,"VERIFICAR",IF(COUNTIF(AE2587:AF2587,"NO CUMPLE")&gt;0,"NO CUMPLE","CUMPLE"))</f>
        <v>VERIFICAR</v>
      </c>
      <c r="U2587" s="108"/>
      <c r="Y2587" s="533" t="e">
        <f>IF(F2588="","",IF(F2588=1,"INDIVIDUAL","ESTRUCTURA PLURAL"))</f>
        <v>#N/A</v>
      </c>
      <c r="AC2587" s="52"/>
      <c r="AD2587" s="475" t="s">
        <v>303</v>
      </c>
      <c r="AE2587" s="476" t="str">
        <f>IF(COUNTIF(AE2573:AE2582,"")=10,"VERIFICAR",IF(COUNTIF(AE2573:AE2582,"SI")&gt;0,"CUMPLE","NO CUMPLE"))</f>
        <v>VERIFICAR</v>
      </c>
      <c r="AF2587" s="477" t="str">
        <f>IF(COUNTIF(AF2573:AF2582,"")=10,"VERIFICAR",IF(COUNTIF(AF2573:AF2582,"SI")&gt;=$AI$22,"CUMPLE","NO CUMPLE"))</f>
        <v>VERIFICAR</v>
      </c>
      <c r="AG2587" s="52"/>
      <c r="AH2587" s="87"/>
      <c r="AI2587" s="87"/>
    </row>
    <row r="2588" spans="1:35" ht="16.5" hidden="1" customHeight="1" thickBot="1">
      <c r="A2588" s="218" t="e">
        <f>"L"&amp;E2569</f>
        <v>#N/A</v>
      </c>
      <c r="B2588" s="702"/>
      <c r="C2588" s="751" t="s">
        <v>103</v>
      </c>
      <c r="D2588" s="751"/>
      <c r="E2588" s="752"/>
      <c r="F2588" s="557" t="e">
        <f>IF(VLOOKUP(E2569,PROPONENTES!$C$19:$E$218,3,0)="","",VLOOKUP(E2569,PROPONENTES!$C$19:$E$218,3,0))</f>
        <v>#N/A</v>
      </c>
      <c r="G2588" s="753" t="s">
        <v>104</v>
      </c>
      <c r="H2588" s="751"/>
      <c r="I2588" s="715" t="e">
        <f>IF(OR(F2588="",F2588=1),"INTERESADO PERSONA NATURAL O JURIDICA","CONSORCIO O UNION TEMPORAL")</f>
        <v>#N/A</v>
      </c>
      <c r="J2588" s="725"/>
      <c r="K2588" s="728"/>
      <c r="L2588" s="723"/>
      <c r="M2588" s="749"/>
      <c r="N2588" s="749"/>
      <c r="O2588" s="749"/>
      <c r="P2588" s="749"/>
      <c r="Q2588" s="750"/>
      <c r="R2588" s="712"/>
      <c r="S2588" s="750"/>
      <c r="T2588" s="763"/>
      <c r="U2588" s="108"/>
      <c r="Y2588" s="534"/>
      <c r="AA2588" s="52"/>
      <c r="AB2588" s="52"/>
      <c r="AC2588" s="52"/>
      <c r="AG2588" s="52"/>
      <c r="AH2588" s="87"/>
      <c r="AI2588" s="87"/>
    </row>
    <row r="2589" spans="1:35" ht="56.25" hidden="1" customHeight="1" thickBot="1">
      <c r="A2589" s="218" t="e">
        <f>"M"&amp;E2569</f>
        <v>#N/A</v>
      </c>
      <c r="B2589" s="702"/>
      <c r="C2589" s="725" t="s">
        <v>101</v>
      </c>
      <c r="D2589" s="716"/>
      <c r="E2589" s="558" t="s">
        <v>105</v>
      </c>
      <c r="F2589" s="554" t="s">
        <v>87</v>
      </c>
      <c r="G2589" s="553" t="s">
        <v>86</v>
      </c>
      <c r="H2589" s="559" t="s">
        <v>85</v>
      </c>
      <c r="I2589" s="554" t="s">
        <v>252</v>
      </c>
      <c r="J2589" s="553" t="str">
        <f>"¿EL INTEGRANTE TIENE UNA PARTICIPACIÓN DEL "&amp;PORCREQUERIDOINT*100&amp;"%?"</f>
        <v>¿EL INTEGRANTE TIENE UNA PARTICIPACIÓN DEL 60%?</v>
      </c>
      <c r="K2589" s="554" t="s">
        <v>107</v>
      </c>
      <c r="L2589" s="724"/>
      <c r="M2589" s="717" t="s">
        <v>115</v>
      </c>
      <c r="N2589" s="718"/>
      <c r="O2589" s="718"/>
      <c r="P2589" s="718"/>
      <c r="Q2589" s="223">
        <f>IF(AND(H2573="SI",P2573&gt;=0),1,0)+IF(AND(H2574="SI",P2574&gt;=0),1,0)+IF(AND(H2575="SI",P2575&gt;=0),1,0)+IF(AND(H2576="SI",P2576&gt;=0),1,0)+IF(AND(H2577="SI",P2577&gt;=0),1,0)+IF(AND(H2578="SI",P2578&gt;=0),1,0)+IF(AND(H2579="SI",P2579&gt;=0),1,0)+IF(AND(H2580="SI",P2580&gt;=0),1,0)+IF(AND(H2581="SI",P2581&gt;=0),1,0)+IF(AND(H2582="SI",P2582&gt;=0),1,0)</f>
        <v>0</v>
      </c>
      <c r="R2589" s="759"/>
      <c r="S2589" s="761"/>
      <c r="T2589" s="764"/>
      <c r="U2589" s="219"/>
      <c r="V2589" s="464"/>
      <c r="Y2589" s="532" t="s">
        <v>342</v>
      </c>
      <c r="AA2589" s="550" t="s">
        <v>344</v>
      </c>
      <c r="AB2589" s="693" t="s">
        <v>345</v>
      </c>
      <c r="AC2589" s="693" t="s">
        <v>346</v>
      </c>
      <c r="AD2589" s="685" t="s">
        <v>347</v>
      </c>
      <c r="AE2589" s="52"/>
      <c r="AF2589" s="52"/>
      <c r="AG2589" s="52"/>
      <c r="AH2589" s="87"/>
      <c r="AI2589" s="87"/>
    </row>
    <row r="2590" spans="1:35" ht="15.75" hidden="1" customHeight="1" thickBot="1">
      <c r="A2590" s="218" t="e">
        <f>"N"&amp;E2569</f>
        <v>#N/A</v>
      </c>
      <c r="B2590" s="702"/>
      <c r="C2590" s="114">
        <v>1</v>
      </c>
      <c r="D2590" s="194" t="e">
        <f>IF(AND(C2590&lt;=F2588,F2588&gt;1,F2588&lt;&gt;""),VLOOKUP(VALUE(E2569&amp;","&amp;C2590),INTEGRANTES!$D$18:$F$235,2,0),"")</f>
        <v>#N/A</v>
      </c>
      <c r="E2590" s="211" t="e">
        <f>IF(D2590&lt;&gt;"",VLOOKUP(VALUE(E2569&amp;","&amp;C2590),INTEGRANTES!$D$18:$F$235,3,0),"")</f>
        <v>#N/A</v>
      </c>
      <c r="F2590" s="547" t="e">
        <f>IF(D2590="","",SUMIF($I2573:$I2582,D2590,$P2573:$P2582))</f>
        <v>#N/A</v>
      </c>
      <c r="G2590" s="333" t="e">
        <f>IF(D2590="","",SUMIF($I2573:$I2582,D2590,$M2573:$M2582))</f>
        <v>#N/A</v>
      </c>
      <c r="H2590" s="535" t="e">
        <f t="shared" ref="H2590:H2595" si="758">IF(D2590="","",IF(OR(F2590=0,G2590=0),"NO APORTA",ROUND($F2590/$G2590,3)))</f>
        <v>#N/A</v>
      </c>
      <c r="I2590" s="212" t="e">
        <f>IF(D2590="","",IF(H2590="NO APORTA","NO",IF(H2590=MAX($H2590:$H2595),"SI","NO")))</f>
        <v>#N/A</v>
      </c>
      <c r="J2590" s="213" t="e">
        <f t="shared" ref="J2590:J2595" si="759">IF(D2590="","",IF(E2590&gt;=PORCREQUERIDOINT,"SI","NO"))</f>
        <v>#N/A</v>
      </c>
      <c r="K2590" s="200" t="e">
        <f t="shared" ref="K2590:K2595" si="760">IF(D2590="","",IF(AND(I2590="SI",J2590="SI"),"CUMPLE",IF(AND(I2590="NO",OR(J2590="SI",J2590="NO")),"","NO CUMPLE")))</f>
        <v>#N/A</v>
      </c>
      <c r="L2590" s="722" t="s">
        <v>108</v>
      </c>
      <c r="M2590" s="726" t="s">
        <v>119</v>
      </c>
      <c r="N2590" s="726"/>
      <c r="O2590" s="726"/>
      <c r="P2590" s="726"/>
      <c r="Q2590" s="727"/>
      <c r="R2590" s="758" t="s">
        <v>80</v>
      </c>
      <c r="S2590" s="747"/>
      <c r="T2590" s="748"/>
      <c r="U2590" s="219"/>
      <c r="V2590" s="464"/>
      <c r="Y2590" s="533" t="e">
        <f>IF(Y2587="","",IF(Y2587="INDIVIDUAL","NO APLICA","VERIFICAR CUADRO"))</f>
        <v>#N/A</v>
      </c>
      <c r="AA2590" s="551"/>
      <c r="AB2590" s="694"/>
      <c r="AC2590" s="694"/>
      <c r="AD2590" s="686"/>
      <c r="AE2590" s="52"/>
      <c r="AF2590" s="52"/>
      <c r="AG2590" s="52"/>
      <c r="AH2590" s="87"/>
      <c r="AI2590" s="87"/>
    </row>
    <row r="2591" spans="1:35" ht="27" hidden="1" customHeight="1" thickBot="1">
      <c r="A2591" s="218" t="e">
        <f>"O"&amp;E2569</f>
        <v>#N/A</v>
      </c>
      <c r="B2591" s="702"/>
      <c r="C2591" s="114">
        <v>2</v>
      </c>
      <c r="D2591" s="194" t="e">
        <f>IF(AND(C2591&lt;=F2588,F2588&lt;&gt;""),VLOOKUP(VALUE(E2569&amp;","&amp;C2591),INTEGRANTES!$D$18:$F$235,2,0),"")</f>
        <v>#N/A</v>
      </c>
      <c r="E2591" s="211" t="e">
        <f>IF(D2591&lt;&gt;"",VLOOKUP(VALUE(E2569&amp;","&amp;C2591),INTEGRANTES!$D$18:$F$235,3,0),"")</f>
        <v>#N/A</v>
      </c>
      <c r="F2591" s="547" t="e">
        <f>IF(D2591="","",SUMIF($I2573:$I2582,D2591,$P2573:$P2582))</f>
        <v>#N/A</v>
      </c>
      <c r="G2591" s="333" t="e">
        <f>IF(D2591="","",SUMIF($I2573:$I2582,D2591,$M2573:$M2582))</f>
        <v>#N/A</v>
      </c>
      <c r="H2591" s="535" t="e">
        <f t="shared" si="758"/>
        <v>#N/A</v>
      </c>
      <c r="I2591" s="212" t="e">
        <f>IF(D2591="","",IF(H2591="NO APORTA","NO",IF(H2591=MAX($H2590:$H2595),"SI","NO")))</f>
        <v>#N/A</v>
      </c>
      <c r="J2591" s="213" t="e">
        <f t="shared" si="759"/>
        <v>#N/A</v>
      </c>
      <c r="K2591" s="200" t="e">
        <f t="shared" si="760"/>
        <v>#N/A</v>
      </c>
      <c r="L2591" s="723"/>
      <c r="M2591" s="715" t="s">
        <v>116</v>
      </c>
      <c r="N2591" s="716"/>
      <c r="O2591" s="556" t="s">
        <v>113</v>
      </c>
      <c r="P2591" s="715" t="s">
        <v>117</v>
      </c>
      <c r="Q2591" s="728"/>
      <c r="R2591" s="759"/>
      <c r="S2591" s="760"/>
      <c r="T2591" s="761"/>
      <c r="U2591" s="219"/>
      <c r="V2591" s="464"/>
      <c r="Y2591" s="414"/>
      <c r="AA2591" s="542" t="e">
        <f>IF(AND(C2590&lt;=F2588,F2588&gt;1,F2588&lt;&gt;""),VLOOKUP(VALUE(E2569&amp;","&amp;C2590),INTEGRANTES!$D$18:$F$235,2,0),"")</f>
        <v>#N/A</v>
      </c>
      <c r="AB2591" s="544" t="e">
        <f t="shared" ref="AB2591:AB2596" si="761">IF(D2590="","",IF(OR(F2590=0,G2590=0),"NO APORTA",ROUND($F2590/$G2590,3)))</f>
        <v>#N/A</v>
      </c>
      <c r="AC2591" s="529"/>
      <c r="AD2591" s="200" t="e">
        <f t="shared" ref="AD2591:AD2596" si="762">IF(OR(AA2591="",AB2591=""),"",IF(AND(AC2591="X",AB2591&gt;=EXPREQVTD),"CUMPLE","NO CUMPLE"))</f>
        <v>#N/A</v>
      </c>
      <c r="AE2591" s="52"/>
      <c r="AF2591" s="52"/>
      <c r="AG2591" s="52"/>
      <c r="AH2591" s="87"/>
      <c r="AI2591" s="87"/>
    </row>
    <row r="2592" spans="1:35" ht="16.5" hidden="1" thickBot="1">
      <c r="A2592" s="218" t="e">
        <f>"P"&amp;E2569</f>
        <v>#N/A</v>
      </c>
      <c r="B2592" s="702"/>
      <c r="C2592" s="114">
        <v>3</v>
      </c>
      <c r="D2592" s="194" t="e">
        <f>IF(AND(C2592&lt;=F2588,F2588&lt;&gt;""),VLOOKUP(VALUE(E2569&amp;","&amp;C2592),INTEGRANTES!$D$18:$F$235,2,0),"")</f>
        <v>#N/A</v>
      </c>
      <c r="E2592" s="211" t="e">
        <f>IF(D2592&lt;&gt;"",VLOOKUP(VALUE(E2569&amp;","&amp;C2592),INTEGRANTES!$D$18:$F$235,3,0),"")</f>
        <v>#N/A</v>
      </c>
      <c r="F2592" s="547" t="e">
        <f>IF(D2592="","",SUMIF($I2573:$I2582,D2592,$P2573:$P2582))</f>
        <v>#N/A</v>
      </c>
      <c r="G2592" s="333" t="e">
        <f>IF(D2592="","",SUMIF($I2573:$I2582,D2592,$M2573:$M2582))</f>
        <v>#N/A</v>
      </c>
      <c r="H2592" s="535" t="e">
        <f t="shared" si="758"/>
        <v>#N/A</v>
      </c>
      <c r="I2592" s="212" t="e">
        <f>IF(D2592="","",IF(H2592="NO APORTA","NO",IF(H2592=MAX($H2590:$H2595),"SI","NO")))</f>
        <v>#N/A</v>
      </c>
      <c r="J2592" s="213" t="e">
        <f t="shared" si="759"/>
        <v>#N/A</v>
      </c>
      <c r="K2592" s="200" t="e">
        <f t="shared" si="760"/>
        <v>#N/A</v>
      </c>
      <c r="L2592" s="724"/>
      <c r="M2592" s="729">
        <f>NUMMOD</f>
        <v>1</v>
      </c>
      <c r="N2592" s="730"/>
      <c r="O2592" s="443">
        <f>IF(M2592="","",VLOOKUP(M2592,PRESUPUESTOS!$B$16:$H$16,5,FALSE))</f>
        <v>2</v>
      </c>
      <c r="P2592" s="713">
        <f>IF(OR(COUNTIF(M2573:M2582,"")&gt;=10,Q2589&lt;NUMMINCONT,OR(T2587="NO CUMPLE",T2587="VERIFICAR")),0,ROUND(AVERAGE(M2573:M2582),3))</f>
        <v>0</v>
      </c>
      <c r="Q2592" s="714"/>
      <c r="R2592" s="458"/>
      <c r="S2592" s="459"/>
      <c r="T2592" s="460"/>
      <c r="U2592" s="219"/>
      <c r="V2592" s="464"/>
      <c r="Y2592" s="532" t="str">
        <f>"40% * ("&amp;PRESUPUESTOS!$H$13&amp;")"</f>
        <v>40% * (50% PFMO)</v>
      </c>
      <c r="AA2592" s="540" t="e">
        <f>IF(AND(C2591&lt;=F2588,F2588&lt;&gt;""),VLOOKUP(VALUE(E2569&amp;","&amp;C2591),INTEGRANTES!$D$18:$F$235,2,0),"")</f>
        <v>#N/A</v>
      </c>
      <c r="AB2592" s="545" t="e">
        <f t="shared" si="761"/>
        <v>#N/A</v>
      </c>
      <c r="AC2592" s="529"/>
      <c r="AD2592" s="200" t="e">
        <f t="shared" si="762"/>
        <v>#N/A</v>
      </c>
      <c r="AE2592" s="52"/>
      <c r="AF2592" s="52"/>
      <c r="AG2592" s="52"/>
      <c r="AH2592" s="87"/>
      <c r="AI2592" s="87"/>
    </row>
    <row r="2593" spans="1:35" ht="15.75" hidden="1" customHeight="1" thickBot="1">
      <c r="A2593" s="218" t="e">
        <f>"Q"&amp;E2569</f>
        <v>#N/A</v>
      </c>
      <c r="B2593" s="702"/>
      <c r="C2593" s="114">
        <v>4</v>
      </c>
      <c r="D2593" s="194" t="e">
        <f>IF(AND(C2593&lt;=F2588,F2588&lt;&gt;""),VLOOKUP(VALUE(E2569&amp;","&amp;C2593),INTEGRANTES!$D$18:$F$235,2,0),"")</f>
        <v>#N/A</v>
      </c>
      <c r="E2593" s="211" t="e">
        <f>IF(D2593&lt;&gt;"",VLOOKUP(VALUE(E2569&amp;","&amp;C2593),INTEGRANTES!$D$18:$F$235,3,0),"")</f>
        <v>#N/A</v>
      </c>
      <c r="F2593" s="547" t="e">
        <f>IF(D2593="","",SUMIF($I2573:$I2582,D2593,$P2573:$P2582))</f>
        <v>#N/A</v>
      </c>
      <c r="G2593" s="333" t="e">
        <f>IF(D2593="","",SUMIF($I2573:$I2582,D2593,$M2573:$M2582))</f>
        <v>#N/A</v>
      </c>
      <c r="H2593" s="535" t="e">
        <f t="shared" si="758"/>
        <v>#N/A</v>
      </c>
      <c r="I2593" s="212" t="e">
        <f>IF(D2593="","",IF(H2593="NO APORTA","NO",IF(H2593=MAX($H2590:$H2595),"SI","NO")))</f>
        <v>#N/A</v>
      </c>
      <c r="J2593" s="213" t="e">
        <f t="shared" si="759"/>
        <v>#N/A</v>
      </c>
      <c r="K2593" s="200" t="e">
        <f t="shared" si="760"/>
        <v>#N/A</v>
      </c>
      <c r="L2593" s="720" t="s">
        <v>109</v>
      </c>
      <c r="M2593" s="757" t="s">
        <v>120</v>
      </c>
      <c r="N2593" s="726"/>
      <c r="O2593" s="726"/>
      <c r="P2593" s="726"/>
      <c r="Q2593" s="727"/>
      <c r="R2593" s="458"/>
      <c r="S2593" s="459"/>
      <c r="T2593" s="460"/>
      <c r="U2593" s="219"/>
      <c r="V2593" s="464"/>
      <c r="Y2593" s="537">
        <f>0.4*PRESUPUESTOS!$H$16</f>
        <v>10.3124</v>
      </c>
      <c r="AA2593" s="540" t="e">
        <f>IF(AND(C2592&lt;=F2588,F2588&lt;&gt;""),VLOOKUP(VALUE(E2569&amp;","&amp;C2592),INTEGRANTES!$D$18:$F$235,2,0),"")</f>
        <v>#N/A</v>
      </c>
      <c r="AB2593" s="545" t="e">
        <f t="shared" si="761"/>
        <v>#N/A</v>
      </c>
      <c r="AC2593" s="529"/>
      <c r="AD2593" s="200" t="e">
        <f t="shared" si="762"/>
        <v>#N/A</v>
      </c>
      <c r="AE2593" s="52"/>
      <c r="AF2593" s="52"/>
      <c r="AG2593" s="52"/>
      <c r="AH2593" s="87"/>
      <c r="AI2593" s="87"/>
    </row>
    <row r="2594" spans="1:35" ht="27" hidden="1" customHeight="1" thickBot="1">
      <c r="A2594" s="218" t="e">
        <f>"R"&amp;E2569</f>
        <v>#N/A</v>
      </c>
      <c r="B2594" s="702"/>
      <c r="C2594" s="114">
        <v>5</v>
      </c>
      <c r="D2594" s="194" t="e">
        <f>IF(AND(C2594&lt;=F2588,F2588&lt;&gt;""),VLOOKUP(VALUE(E2569&amp;","&amp;C2594),INTEGRANTES!$D$18:$F$235,2,0),"")</f>
        <v>#N/A</v>
      </c>
      <c r="E2594" s="211" t="e">
        <f>IF(D2594&lt;&gt;"",VLOOKUP(VALUE(E2569&amp;","&amp;C2594),INTEGRANTES!$D$18:$F$235,3,0),"")</f>
        <v>#N/A</v>
      </c>
      <c r="F2594" s="547" t="e">
        <f>IF(D2594="","",SUMIF($I2573:$I2582,D2594,$P2573:$P2582))</f>
        <v>#N/A</v>
      </c>
      <c r="G2594" s="333" t="e">
        <f>IF(D2594="","",SUMIF($I2573:$I2582,D2594,$M2573:$M2582))</f>
        <v>#N/A</v>
      </c>
      <c r="H2594" s="535" t="e">
        <f t="shared" si="758"/>
        <v>#N/A</v>
      </c>
      <c r="I2594" s="212" t="e">
        <f>IF(D2594="","",IF(H2594="NO APORTA","NO",IF(H2594=MAX($H2590:$H2595),"SI","NO")))</f>
        <v>#N/A</v>
      </c>
      <c r="J2594" s="213" t="e">
        <f t="shared" si="759"/>
        <v>#N/A</v>
      </c>
      <c r="K2594" s="200" t="e">
        <f t="shared" si="760"/>
        <v>#N/A</v>
      </c>
      <c r="L2594" s="721"/>
      <c r="M2594" s="715" t="s">
        <v>116</v>
      </c>
      <c r="N2594" s="716"/>
      <c r="O2594" s="556" t="str">
        <f>PORCREQUERIDO*100&amp;"% PMFO DEL MÓDULO"</f>
        <v>50% PMFO DEL MÓDULO</v>
      </c>
      <c r="P2594" s="715" t="s">
        <v>118</v>
      </c>
      <c r="Q2594" s="728"/>
      <c r="R2594" s="458"/>
      <c r="S2594" s="459"/>
      <c r="T2594" s="460"/>
      <c r="U2594" s="219"/>
      <c r="V2594" s="464"/>
      <c r="Y2594" s="414"/>
      <c r="AA2594" s="540" t="e">
        <f>IF(AND(C2593&lt;=F2588,F2588&lt;&gt;""),VLOOKUP(VALUE(E2569&amp;","&amp;C2593),INTEGRANTES!$D$18:$F$235,2,0),"")</f>
        <v>#N/A</v>
      </c>
      <c r="AB2594" s="545" t="e">
        <f t="shared" si="761"/>
        <v>#N/A</v>
      </c>
      <c r="AC2594" s="529"/>
      <c r="AD2594" s="200" t="e">
        <f t="shared" si="762"/>
        <v>#N/A</v>
      </c>
      <c r="AE2594" s="52"/>
      <c r="AF2594" s="52"/>
      <c r="AG2594" s="52"/>
      <c r="AH2594" s="87"/>
      <c r="AI2594" s="87"/>
    </row>
    <row r="2595" spans="1:35" ht="16.5" hidden="1" thickBot="1">
      <c r="A2595" s="218" t="e">
        <f>"S"&amp;E2569</f>
        <v>#N/A</v>
      </c>
      <c r="B2595" s="702"/>
      <c r="C2595" s="215">
        <v>6</v>
      </c>
      <c r="D2595" s="216" t="e">
        <f>IF(AND(C2595&lt;=F2588,F2588&lt;&gt;""),VLOOKUP(VALUE(E2569&amp;","&amp;C2595),INTEGRANTES!$D$18:$F$235,2,0),"")</f>
        <v>#N/A</v>
      </c>
      <c r="E2595" s="217" t="e">
        <f>IF(D2595&lt;&gt;"",VLOOKUP(VALUE(E2569&amp;","&amp;C2595),INTEGRANTES!$D$18:$F$235,3,0),"")</f>
        <v>#N/A</v>
      </c>
      <c r="F2595" s="548" t="e">
        <f>IF(D2595="","",SUMIF($I2573:$I2582,D2595,$P2573:$P2582))</f>
        <v>#N/A</v>
      </c>
      <c r="G2595" s="334" t="e">
        <f>IF(D2595="","",SUMIF($I2573:$I2582,D2595,$M2573:$M2582))</f>
        <v>#N/A</v>
      </c>
      <c r="H2595" s="536" t="e">
        <f t="shared" si="758"/>
        <v>#N/A</v>
      </c>
      <c r="I2595" s="214" t="e">
        <f>IF(D2595="","",IF(H2595="NO APORTA","NO",IF(H2595=MAX($H2590:$H2595),"SI","NO")))</f>
        <v>#N/A</v>
      </c>
      <c r="J2595" s="213" t="e">
        <f t="shared" si="759"/>
        <v>#N/A</v>
      </c>
      <c r="K2595" s="200" t="e">
        <f t="shared" si="760"/>
        <v>#N/A</v>
      </c>
      <c r="L2595" s="721"/>
      <c r="M2595" s="729">
        <f>NUMMOD</f>
        <v>1</v>
      </c>
      <c r="N2595" s="730"/>
      <c r="O2595" s="443">
        <f>IF(M2595="","",ROUND(VLOOKUP(M2595,PRESUPUESTOS!$B$16:$H$16,7,FALSE),3))</f>
        <v>25.780999999999999</v>
      </c>
      <c r="P2595" s="713">
        <f>IF(OR(COUNTIF(P2573:P2582,"")&gt;=10,Q2589&lt;NUMMINCONT,OR(T2587="NO CUMPLE",T2587="VERIFICAR")),0,ROUND((SUM(P2573:P2582)/SUM(M2573:M2582)),3))</f>
        <v>0</v>
      </c>
      <c r="Q2595" s="714"/>
      <c r="R2595" s="458"/>
      <c r="S2595" s="459"/>
      <c r="T2595" s="460"/>
      <c r="U2595" s="219"/>
      <c r="V2595" s="464"/>
      <c r="Y2595" s="532" t="s">
        <v>343</v>
      </c>
      <c r="AA2595" s="540" t="e">
        <f>IF(AND(C2594&lt;=F2588,F2588&lt;&gt;""),VLOOKUP(VALUE(E2569&amp;","&amp;C2594),INTEGRANTES!$D$18:$F$235,2,0),"")</f>
        <v>#N/A</v>
      </c>
      <c r="AB2595" s="545" t="e">
        <f t="shared" si="761"/>
        <v>#N/A</v>
      </c>
      <c r="AC2595" s="529"/>
      <c r="AD2595" s="200" t="e">
        <f t="shared" si="762"/>
        <v>#N/A</v>
      </c>
      <c r="AE2595" s="52"/>
      <c r="AF2595" s="52"/>
      <c r="AG2595" s="52"/>
      <c r="AH2595" s="87"/>
      <c r="AI2595" s="87"/>
    </row>
    <row r="2596" spans="1:35" ht="16.5" hidden="1" customHeight="1" thickBot="1">
      <c r="A2596" s="218" t="e">
        <f>"T"&amp;E2569</f>
        <v>#N/A</v>
      </c>
      <c r="B2596" s="703"/>
      <c r="C2596" s="719"/>
      <c r="D2596" s="719"/>
      <c r="E2596" s="719"/>
      <c r="F2596" s="719"/>
      <c r="G2596" s="719"/>
      <c r="H2596" s="719" t="s">
        <v>110</v>
      </c>
      <c r="I2596" s="719"/>
      <c r="J2596" s="719"/>
      <c r="K2596" s="201" t="str">
        <f>IF(COUNTIF(K2590:K2595,"")=6,"",IF(COUNTIF(K2590:K2595,"CUMPLE")&gt;0,"CUMPLE","NO CUMPLE"))</f>
        <v>NO CUMPLE</v>
      </c>
      <c r="L2596" s="754"/>
      <c r="M2596" s="755"/>
      <c r="N2596" s="755"/>
      <c r="O2596" s="755"/>
      <c r="P2596" s="755"/>
      <c r="Q2596" s="756"/>
      <c r="R2596" s="461"/>
      <c r="S2596" s="462"/>
      <c r="T2596" s="463"/>
      <c r="U2596" s="219"/>
      <c r="V2596" s="464"/>
      <c r="Y2596" s="549" t="e">
        <f>IF(Y2590="NO APLICA","NO APLICA",IF(COUNTIF(AD2591:AD2596,"CUMPLE")&gt;0,"CUMPLE","NO CUMPLE"))</f>
        <v>#N/A</v>
      </c>
      <c r="AA2596" s="541" t="e">
        <f>IF(AND(C2595&lt;=F2588,F2588&lt;&gt;""),VLOOKUP(VALUE(E2569&amp;","&amp;C2595),INTEGRANTES!$D$18:$F$235,2,0),"")</f>
        <v>#N/A</v>
      </c>
      <c r="AB2596" s="546" t="e">
        <f t="shared" si="761"/>
        <v>#N/A</v>
      </c>
      <c r="AC2596" s="543"/>
      <c r="AD2596" s="201" t="e">
        <f t="shared" si="762"/>
        <v>#N/A</v>
      </c>
      <c r="AE2596" s="52"/>
      <c r="AF2596" s="52"/>
      <c r="AG2596" s="52"/>
      <c r="AH2596" s="87"/>
      <c r="AI2596" s="87"/>
    </row>
    <row r="2597" spans="1:35" hidden="1">
      <c r="AH2597" s="87"/>
      <c r="AI2597" s="87"/>
    </row>
    <row r="2598" spans="1:35" hidden="1">
      <c r="AH2598" s="87"/>
      <c r="AI2598" s="87"/>
    </row>
    <row r="2599" spans="1:35" ht="24" hidden="1" thickBot="1">
      <c r="A2599" s="61">
        <v>87</v>
      </c>
      <c r="B2599" s="704" t="s">
        <v>51</v>
      </c>
      <c r="C2599" s="704"/>
      <c r="D2599" s="704"/>
      <c r="E2599" s="62" t="e">
        <f>VLOOKUP(A2599,PROPONENTES!$B$19:$E$218,2,FALSE)</f>
        <v>#N/A</v>
      </c>
      <c r="F2599" s="63" t="e">
        <f>VLOOKUP(A2599,PROPONENTES!$B$19:$E$218,3,FALSE)</f>
        <v>#N/A</v>
      </c>
      <c r="G2599" s="64"/>
      <c r="H2599" s="64"/>
      <c r="I2599" s="63"/>
      <c r="J2599" s="63"/>
      <c r="K2599" s="65"/>
      <c r="L2599" s="65"/>
      <c r="M2599" s="64"/>
      <c r="N2599" s="64"/>
      <c r="O2599" s="66"/>
      <c r="P2599" s="66"/>
      <c r="Q2599" s="66"/>
      <c r="R2599" s="66"/>
      <c r="S2599" s="67"/>
      <c r="T2599" s="68"/>
      <c r="U2599" s="68"/>
      <c r="AC2599" s="68"/>
      <c r="AD2599" s="68"/>
      <c r="AE2599" s="68"/>
      <c r="AF2599" s="68"/>
      <c r="AG2599" s="68"/>
      <c r="AH2599" s="87"/>
      <c r="AI2599" s="87"/>
    </row>
    <row r="2600" spans="1:35" ht="15.75" hidden="1" customHeight="1">
      <c r="A2600" s="44"/>
      <c r="B2600" s="709" t="s">
        <v>59</v>
      </c>
      <c r="C2600" s="552" t="s">
        <v>60</v>
      </c>
      <c r="D2600" s="70" t="s">
        <v>17</v>
      </c>
      <c r="E2600" s="70"/>
      <c r="F2600" s="70" t="s">
        <v>61</v>
      </c>
      <c r="G2600" s="71"/>
      <c r="H2600" s="699" t="s">
        <v>62</v>
      </c>
      <c r="I2600" s="699" t="s">
        <v>18</v>
      </c>
      <c r="J2600" s="699" t="s">
        <v>63</v>
      </c>
      <c r="K2600" s="699" t="s">
        <v>64</v>
      </c>
      <c r="L2600" s="699" t="s">
        <v>65</v>
      </c>
      <c r="M2600" s="743" t="s">
        <v>66</v>
      </c>
      <c r="N2600" s="699" t="s">
        <v>282</v>
      </c>
      <c r="O2600" s="745" t="s">
        <v>67</v>
      </c>
      <c r="P2600" s="746"/>
      <c r="Q2600" s="102" t="s">
        <v>75</v>
      </c>
      <c r="R2600" s="731" t="s">
        <v>22</v>
      </c>
      <c r="S2600" s="732"/>
      <c r="T2600" s="733"/>
      <c r="U2600" s="712" t="s">
        <v>298</v>
      </c>
      <c r="W2600" s="690" t="s">
        <v>268</v>
      </c>
      <c r="X2600" s="691"/>
      <c r="Y2600" s="692"/>
      <c r="Z2600" s="428"/>
      <c r="AA2600" s="697" t="s">
        <v>315</v>
      </c>
      <c r="AB2600" s="695" t="s">
        <v>322</v>
      </c>
      <c r="AC2600" s="49"/>
      <c r="AD2600" s="690" t="s">
        <v>297</v>
      </c>
      <c r="AE2600" s="691"/>
      <c r="AF2600" s="692"/>
      <c r="AG2600" s="49"/>
      <c r="AH2600" s="87"/>
      <c r="AI2600" s="87"/>
    </row>
    <row r="2601" spans="1:35" ht="72" hidden="1">
      <c r="A2601" s="44"/>
      <c r="B2601" s="710"/>
      <c r="C2601" s="553" t="s">
        <v>68</v>
      </c>
      <c r="D2601" s="73" t="s">
        <v>3</v>
      </c>
      <c r="E2601" s="73" t="s">
        <v>19</v>
      </c>
      <c r="F2601" s="73" t="s">
        <v>69</v>
      </c>
      <c r="G2601" s="74" t="s">
        <v>70</v>
      </c>
      <c r="H2601" s="700"/>
      <c r="I2601" s="700"/>
      <c r="J2601" s="700"/>
      <c r="K2601" s="700"/>
      <c r="L2601" s="700"/>
      <c r="M2601" s="744"/>
      <c r="N2601" s="700"/>
      <c r="O2601" s="553" t="s">
        <v>279</v>
      </c>
      <c r="P2601" s="73" t="s">
        <v>88</v>
      </c>
      <c r="Q2601" s="555" t="s">
        <v>76</v>
      </c>
      <c r="R2601" s="734"/>
      <c r="S2601" s="735"/>
      <c r="T2601" s="736"/>
      <c r="U2601" s="712"/>
      <c r="W2601" s="429" t="s">
        <v>269</v>
      </c>
      <c r="X2601" s="457" t="s">
        <v>278</v>
      </c>
      <c r="Y2601" s="430" t="s">
        <v>324</v>
      </c>
      <c r="Z2601" s="428"/>
      <c r="AA2601" s="698"/>
      <c r="AB2601" s="696"/>
      <c r="AC2601" s="49"/>
      <c r="AD2601" s="429" t="s">
        <v>292</v>
      </c>
      <c r="AE2601" s="431" t="s">
        <v>300</v>
      </c>
      <c r="AF2601" s="468" t="s">
        <v>301</v>
      </c>
      <c r="AG2601" s="49"/>
      <c r="AH2601" s="87"/>
      <c r="AI2601" s="87"/>
    </row>
    <row r="2602" spans="1:35" hidden="1">
      <c r="A2602" s="44"/>
      <c r="B2602" s="76"/>
      <c r="C2602" s="77"/>
      <c r="D2602" s="77"/>
      <c r="E2602" s="77"/>
      <c r="F2602" s="77"/>
      <c r="G2602" s="77"/>
      <c r="H2602" s="77"/>
      <c r="I2602" s="77"/>
      <c r="J2602" s="77"/>
      <c r="K2602" s="77"/>
      <c r="L2602" s="77"/>
      <c r="M2602" s="77"/>
      <c r="N2602" s="77"/>
      <c r="O2602" s="77"/>
      <c r="P2602" s="77"/>
      <c r="Q2602" s="77"/>
      <c r="R2602" s="77"/>
      <c r="S2602" s="78"/>
      <c r="T2602" s="79"/>
      <c r="U2602" s="109"/>
      <c r="V2602" s="49"/>
      <c r="W2602" s="432"/>
      <c r="X2602" s="454"/>
      <c r="Y2602" s="433"/>
      <c r="Z2602" s="6"/>
      <c r="AA2602" s="500"/>
      <c r="AB2602" s="562"/>
      <c r="AC2602" s="49"/>
      <c r="AD2602" s="210"/>
      <c r="AE2602" s="434"/>
      <c r="AF2602" s="435"/>
      <c r="AG2602" s="49"/>
      <c r="AH2602" s="87"/>
      <c r="AI2602" s="87"/>
    </row>
    <row r="2603" spans="1:35" hidden="1">
      <c r="A2603" s="80" t="e">
        <f>"A"&amp;E2599</f>
        <v>#N/A</v>
      </c>
      <c r="B2603" s="81">
        <v>1</v>
      </c>
      <c r="C2603" s="82"/>
      <c r="D2603" s="82"/>
      <c r="E2603" s="82"/>
      <c r="F2603" s="82"/>
      <c r="G2603" s="83"/>
      <c r="H2603" s="83"/>
      <c r="I2603" s="84"/>
      <c r="J2603" s="85"/>
      <c r="K2603" s="382"/>
      <c r="L2603" s="85"/>
      <c r="M2603" s="332" t="str">
        <f t="shared" ref="M2603:M2612" si="763">IF(OR(J2603="",L2603="",H2603="NO"),"",IF(OR(J2603&gt;$P$17,J2603&lt;$O$17,L2603&gt;$P$17,AND(J2603&lt;$O$17,L2603&lt;$O$17)),"FUERA DE RANGO",IF(OR(K2603="---",K2603=""),IF(J2603&gt;=$O$17,ROUND((L2603-J2603+1)/360*12,3),ROUND((L2603-$O$17+1)/360*12,3)),IF(J2603&gt;=$O$17,ROUND((L2603-J2603+1)/360*12-ROUND(K2603,3),3),ROUND((L2603-$O$17+1)/360*12-ROUND(K2603,3),3)))))</f>
        <v/>
      </c>
      <c r="N2603" s="86"/>
      <c r="O2603" s="453" t="str">
        <f>IF(OR(G2603="",N2603=""),"",N2603*G2603)</f>
        <v/>
      </c>
      <c r="P2603" s="538" t="str">
        <f>IF(OR(H2603="",M2603="FUERA DE RANGO"),"",IF(OR(L2603&lt;$O$17,L2603&gt;$P$17,L2603="",H2603="NO"),"",IF(OR(N2603="",O2603=""),"",ROUND(O2603,3))))</f>
        <v/>
      </c>
      <c r="Q2603" s="539" t="str">
        <f t="shared" ref="Q2603:Q2612" si="764">IF(AND(H2603="SI",P2603&lt;&gt;""),ROUND(P2603/M2603,3),"")</f>
        <v/>
      </c>
      <c r="R2603" s="737"/>
      <c r="S2603" s="738"/>
      <c r="T2603" s="739"/>
      <c r="U2603" s="470"/>
      <c r="V2603" s="165"/>
      <c r="W2603" s="446"/>
      <c r="X2603" s="456"/>
      <c r="Y2603" s="436"/>
      <c r="Z2603" s="437"/>
      <c r="AA2603" s="560"/>
      <c r="AB2603" s="561"/>
      <c r="AC2603" s="87"/>
      <c r="AD2603" s="466"/>
      <c r="AE2603" s="456"/>
      <c r="AF2603" s="467"/>
      <c r="AG2603" s="87"/>
      <c r="AH2603" s="87"/>
      <c r="AI2603" s="87"/>
    </row>
    <row r="2604" spans="1:35" hidden="1">
      <c r="A2604" s="80" t="e">
        <f>"B"&amp;E2599</f>
        <v>#N/A</v>
      </c>
      <c r="B2604" s="81">
        <v>2</v>
      </c>
      <c r="C2604" s="106"/>
      <c r="D2604" s="106"/>
      <c r="E2604" s="106"/>
      <c r="F2604" s="106"/>
      <c r="G2604" s="83"/>
      <c r="H2604" s="83"/>
      <c r="I2604" s="84"/>
      <c r="J2604" s="85"/>
      <c r="K2604" s="382"/>
      <c r="L2604" s="85"/>
      <c r="M2604" s="332" t="str">
        <f t="shared" si="763"/>
        <v/>
      </c>
      <c r="N2604" s="86"/>
      <c r="O2604" s="453" t="str">
        <f t="shared" ref="O2604:O2612" si="765">IF(OR(G2604="",N2604=""),"",N2604*G2604)</f>
        <v/>
      </c>
      <c r="P2604" s="538" t="str">
        <f t="shared" ref="P2604:P2612" si="766">IF(OR(H2604="",M2604="FUERA DE RANGO"),"",IF(OR(L2604&lt;$O$17,L2604&gt;$P$17,L2604="",H2604="NO"),"",IF(OR(N2604="",O2604=""),"",ROUND(O2604,3))))</f>
        <v/>
      </c>
      <c r="Q2604" s="539" t="str">
        <f t="shared" si="764"/>
        <v/>
      </c>
      <c r="R2604" s="740"/>
      <c r="S2604" s="741"/>
      <c r="T2604" s="742"/>
      <c r="U2604" s="471"/>
      <c r="V2604" s="165"/>
      <c r="W2604" s="446"/>
      <c r="X2604" s="456"/>
      <c r="Y2604" s="436"/>
      <c r="Z2604" s="437"/>
      <c r="AA2604" s="560"/>
      <c r="AB2604" s="561"/>
      <c r="AC2604" s="87"/>
      <c r="AD2604" s="466"/>
      <c r="AE2604" s="456"/>
      <c r="AF2604" s="467"/>
      <c r="AG2604" s="87"/>
      <c r="AH2604" s="87"/>
      <c r="AI2604" s="87"/>
    </row>
    <row r="2605" spans="1:35" hidden="1">
      <c r="A2605" s="80" t="e">
        <f>"C"&amp;E2599</f>
        <v>#N/A</v>
      </c>
      <c r="B2605" s="88">
        <v>3</v>
      </c>
      <c r="C2605" s="82"/>
      <c r="D2605" s="82"/>
      <c r="E2605" s="82"/>
      <c r="F2605" s="82"/>
      <c r="G2605" s="83"/>
      <c r="H2605" s="83"/>
      <c r="I2605" s="84"/>
      <c r="J2605" s="85"/>
      <c r="K2605" s="382"/>
      <c r="L2605" s="85"/>
      <c r="M2605" s="332" t="str">
        <f t="shared" si="763"/>
        <v/>
      </c>
      <c r="N2605" s="86"/>
      <c r="O2605" s="453" t="str">
        <f t="shared" si="765"/>
        <v/>
      </c>
      <c r="P2605" s="538" t="str">
        <f t="shared" si="766"/>
        <v/>
      </c>
      <c r="Q2605" s="539" t="str">
        <f t="shared" si="764"/>
        <v/>
      </c>
      <c r="R2605" s="706"/>
      <c r="S2605" s="707"/>
      <c r="T2605" s="708"/>
      <c r="U2605" s="472"/>
      <c r="V2605" s="166"/>
      <c r="W2605" s="446"/>
      <c r="X2605" s="456"/>
      <c r="Y2605" s="436"/>
      <c r="Z2605" s="437"/>
      <c r="AA2605" s="560"/>
      <c r="AB2605" s="561"/>
      <c r="AC2605" s="87"/>
      <c r="AD2605" s="466"/>
      <c r="AE2605" s="456"/>
      <c r="AF2605" s="467"/>
      <c r="AG2605" s="87"/>
      <c r="AH2605" s="87"/>
      <c r="AI2605" s="87"/>
    </row>
    <row r="2606" spans="1:35" hidden="1">
      <c r="A2606" s="80" t="e">
        <f>"D"&amp;E2599</f>
        <v>#N/A</v>
      </c>
      <c r="B2606" s="105">
        <v>4</v>
      </c>
      <c r="C2606" s="107"/>
      <c r="D2606" s="107"/>
      <c r="E2606" s="107"/>
      <c r="F2606" s="107"/>
      <c r="G2606" s="83"/>
      <c r="H2606" s="83"/>
      <c r="I2606" s="84"/>
      <c r="J2606" s="85"/>
      <c r="K2606" s="382"/>
      <c r="L2606" s="85"/>
      <c r="M2606" s="332" t="str">
        <f t="shared" si="763"/>
        <v/>
      </c>
      <c r="N2606" s="86"/>
      <c r="O2606" s="453" t="str">
        <f t="shared" si="765"/>
        <v/>
      </c>
      <c r="P2606" s="538" t="str">
        <f t="shared" si="766"/>
        <v/>
      </c>
      <c r="Q2606" s="539" t="str">
        <f t="shared" si="764"/>
        <v/>
      </c>
      <c r="R2606" s="706"/>
      <c r="S2606" s="707"/>
      <c r="T2606" s="708"/>
      <c r="U2606" s="472"/>
      <c r="V2606" s="166"/>
      <c r="W2606" s="446"/>
      <c r="X2606" s="456"/>
      <c r="Y2606" s="436"/>
      <c r="Z2606" s="437"/>
      <c r="AA2606" s="560"/>
      <c r="AB2606" s="561"/>
      <c r="AC2606" s="87"/>
      <c r="AD2606" s="466"/>
      <c r="AE2606" s="456"/>
      <c r="AF2606" s="467"/>
      <c r="AG2606" s="87"/>
      <c r="AH2606" s="87"/>
      <c r="AI2606" s="87"/>
    </row>
    <row r="2607" spans="1:35" hidden="1">
      <c r="A2607" s="80" t="e">
        <f>"E"&amp;E2599</f>
        <v>#N/A</v>
      </c>
      <c r="B2607" s="105">
        <v>5</v>
      </c>
      <c r="C2607" s="107"/>
      <c r="D2607" s="107"/>
      <c r="E2607" s="107"/>
      <c r="F2607" s="107"/>
      <c r="G2607" s="83"/>
      <c r="H2607" s="83"/>
      <c r="I2607" s="84"/>
      <c r="J2607" s="85"/>
      <c r="K2607" s="382"/>
      <c r="L2607" s="85"/>
      <c r="M2607" s="332" t="str">
        <f t="shared" si="763"/>
        <v/>
      </c>
      <c r="N2607" s="86"/>
      <c r="O2607" s="453" t="str">
        <f t="shared" si="765"/>
        <v/>
      </c>
      <c r="P2607" s="538" t="str">
        <f t="shared" si="766"/>
        <v/>
      </c>
      <c r="Q2607" s="539" t="str">
        <f t="shared" si="764"/>
        <v/>
      </c>
      <c r="R2607" s="706"/>
      <c r="S2607" s="707"/>
      <c r="T2607" s="708"/>
      <c r="U2607" s="472"/>
      <c r="V2607" s="167"/>
      <c r="W2607" s="446"/>
      <c r="X2607" s="456"/>
      <c r="Y2607" s="436"/>
      <c r="Z2607" s="437"/>
      <c r="AA2607" s="560"/>
      <c r="AB2607" s="561"/>
      <c r="AC2607" s="87"/>
      <c r="AD2607" s="466"/>
      <c r="AE2607" s="456"/>
      <c r="AF2607" s="467"/>
      <c r="AG2607" s="87"/>
      <c r="AH2607" s="87"/>
      <c r="AI2607" s="87"/>
    </row>
    <row r="2608" spans="1:35" hidden="1">
      <c r="A2608" s="80" t="e">
        <f>"F"&amp;E2599</f>
        <v>#N/A</v>
      </c>
      <c r="B2608" s="105">
        <v>6</v>
      </c>
      <c r="C2608" s="107"/>
      <c r="D2608" s="107"/>
      <c r="E2608" s="107"/>
      <c r="F2608" s="107"/>
      <c r="G2608" s="83"/>
      <c r="H2608" s="83"/>
      <c r="I2608" s="84"/>
      <c r="J2608" s="85"/>
      <c r="K2608" s="382"/>
      <c r="L2608" s="85"/>
      <c r="M2608" s="332" t="str">
        <f t="shared" si="763"/>
        <v/>
      </c>
      <c r="N2608" s="86"/>
      <c r="O2608" s="453" t="str">
        <f t="shared" si="765"/>
        <v/>
      </c>
      <c r="P2608" s="538" t="str">
        <f t="shared" si="766"/>
        <v/>
      </c>
      <c r="Q2608" s="539" t="str">
        <f t="shared" si="764"/>
        <v/>
      </c>
      <c r="R2608" s="706"/>
      <c r="S2608" s="707"/>
      <c r="T2608" s="708"/>
      <c r="U2608" s="472"/>
      <c r="V2608" s="167"/>
      <c r="W2608" s="446"/>
      <c r="X2608" s="456"/>
      <c r="Y2608" s="436"/>
      <c r="Z2608" s="437"/>
      <c r="AA2608" s="560"/>
      <c r="AB2608" s="561"/>
      <c r="AC2608" s="87"/>
      <c r="AD2608" s="466"/>
      <c r="AE2608" s="456"/>
      <c r="AF2608" s="467"/>
      <c r="AG2608" s="87"/>
      <c r="AH2608" s="87"/>
      <c r="AI2608" s="87"/>
    </row>
    <row r="2609" spans="1:35" hidden="1">
      <c r="A2609" s="80" t="e">
        <f>"G"&amp;E2599</f>
        <v>#N/A</v>
      </c>
      <c r="B2609" s="105">
        <v>7</v>
      </c>
      <c r="C2609" s="107"/>
      <c r="D2609" s="107"/>
      <c r="E2609" s="107"/>
      <c r="F2609" s="107"/>
      <c r="G2609" s="83"/>
      <c r="H2609" s="83"/>
      <c r="I2609" s="84"/>
      <c r="J2609" s="85"/>
      <c r="K2609" s="382"/>
      <c r="L2609" s="85"/>
      <c r="M2609" s="332" t="str">
        <f t="shared" si="763"/>
        <v/>
      </c>
      <c r="N2609" s="86"/>
      <c r="O2609" s="86" t="str">
        <f t="shared" si="765"/>
        <v/>
      </c>
      <c r="P2609" s="538" t="str">
        <f t="shared" si="766"/>
        <v/>
      </c>
      <c r="Q2609" s="539" t="str">
        <f t="shared" si="764"/>
        <v/>
      </c>
      <c r="R2609" s="706"/>
      <c r="S2609" s="707"/>
      <c r="T2609" s="708"/>
      <c r="U2609" s="472"/>
      <c r="V2609" s="167"/>
      <c r="W2609" s="446"/>
      <c r="X2609" s="456"/>
      <c r="Y2609" s="436"/>
      <c r="Z2609" s="437"/>
      <c r="AA2609" s="560"/>
      <c r="AB2609" s="561"/>
      <c r="AC2609" s="87"/>
      <c r="AD2609" s="466"/>
      <c r="AE2609" s="456"/>
      <c r="AF2609" s="467"/>
      <c r="AG2609" s="87"/>
      <c r="AH2609" s="87"/>
      <c r="AI2609" s="87"/>
    </row>
    <row r="2610" spans="1:35" hidden="1">
      <c r="A2610" s="80" t="e">
        <f>"H"&amp;E2599</f>
        <v>#N/A</v>
      </c>
      <c r="B2610" s="105">
        <v>8</v>
      </c>
      <c r="C2610" s="107"/>
      <c r="D2610" s="107"/>
      <c r="E2610" s="107"/>
      <c r="F2610" s="107"/>
      <c r="G2610" s="83"/>
      <c r="H2610" s="83"/>
      <c r="I2610" s="84"/>
      <c r="J2610" s="85"/>
      <c r="K2610" s="382"/>
      <c r="L2610" s="85"/>
      <c r="M2610" s="332" t="str">
        <f t="shared" si="763"/>
        <v/>
      </c>
      <c r="N2610" s="453"/>
      <c r="O2610" s="86" t="str">
        <f t="shared" si="765"/>
        <v/>
      </c>
      <c r="P2610" s="538" t="str">
        <f t="shared" si="766"/>
        <v/>
      </c>
      <c r="Q2610" s="539" t="str">
        <f t="shared" si="764"/>
        <v/>
      </c>
      <c r="R2610" s="706"/>
      <c r="S2610" s="707"/>
      <c r="T2610" s="708"/>
      <c r="U2610" s="472"/>
      <c r="V2610" s="167"/>
      <c r="W2610" s="446"/>
      <c r="X2610" s="456"/>
      <c r="Y2610" s="436"/>
      <c r="Z2610" s="437"/>
      <c r="AA2610" s="560"/>
      <c r="AB2610" s="561"/>
      <c r="AC2610" s="87"/>
      <c r="AD2610" s="466"/>
      <c r="AE2610" s="456"/>
      <c r="AF2610" s="467"/>
      <c r="AG2610" s="87"/>
      <c r="AH2610" s="87"/>
      <c r="AI2610" s="87"/>
    </row>
    <row r="2611" spans="1:35" hidden="1">
      <c r="A2611" s="80" t="e">
        <f>"I"&amp;E2599</f>
        <v>#N/A</v>
      </c>
      <c r="B2611" s="105">
        <v>9</v>
      </c>
      <c r="C2611" s="107"/>
      <c r="D2611" s="107"/>
      <c r="E2611" s="107"/>
      <c r="F2611" s="107"/>
      <c r="G2611" s="83"/>
      <c r="H2611" s="83"/>
      <c r="I2611" s="84"/>
      <c r="J2611" s="85"/>
      <c r="K2611" s="382"/>
      <c r="L2611" s="85"/>
      <c r="M2611" s="332" t="str">
        <f t="shared" si="763"/>
        <v/>
      </c>
      <c r="N2611" s="453"/>
      <c r="O2611" s="86" t="str">
        <f t="shared" si="765"/>
        <v/>
      </c>
      <c r="P2611" s="538" t="str">
        <f t="shared" si="766"/>
        <v/>
      </c>
      <c r="Q2611" s="539" t="str">
        <f t="shared" si="764"/>
        <v/>
      </c>
      <c r="R2611" s="706"/>
      <c r="S2611" s="707"/>
      <c r="T2611" s="708"/>
      <c r="U2611" s="472"/>
      <c r="V2611" s="167"/>
      <c r="W2611" s="446"/>
      <c r="X2611" s="456"/>
      <c r="Y2611" s="436"/>
      <c r="Z2611" s="437"/>
      <c r="AA2611" s="560"/>
      <c r="AB2611" s="561"/>
      <c r="AC2611" s="87"/>
      <c r="AD2611" s="466"/>
      <c r="AE2611" s="456"/>
      <c r="AF2611" s="467"/>
      <c r="AG2611" s="87"/>
      <c r="AH2611" s="87"/>
      <c r="AI2611" s="87"/>
    </row>
    <row r="2612" spans="1:35" hidden="1">
      <c r="A2612" s="80" t="e">
        <f>"J"&amp;E2599</f>
        <v>#N/A</v>
      </c>
      <c r="B2612" s="105">
        <v>10</v>
      </c>
      <c r="C2612" s="107"/>
      <c r="D2612" s="107"/>
      <c r="E2612" s="107"/>
      <c r="F2612" s="107"/>
      <c r="G2612" s="83"/>
      <c r="H2612" s="83"/>
      <c r="I2612" s="84"/>
      <c r="J2612" s="85"/>
      <c r="K2612" s="382"/>
      <c r="L2612" s="85"/>
      <c r="M2612" s="332" t="str">
        <f t="shared" si="763"/>
        <v/>
      </c>
      <c r="N2612" s="453"/>
      <c r="O2612" s="86" t="str">
        <f t="shared" si="765"/>
        <v/>
      </c>
      <c r="P2612" s="538" t="str">
        <f t="shared" si="766"/>
        <v/>
      </c>
      <c r="Q2612" s="539" t="str">
        <f t="shared" si="764"/>
        <v/>
      </c>
      <c r="R2612" s="706"/>
      <c r="S2612" s="707"/>
      <c r="T2612" s="708"/>
      <c r="U2612" s="472"/>
      <c r="V2612" s="167"/>
      <c r="W2612" s="446"/>
      <c r="X2612" s="456"/>
      <c r="Y2612" s="436"/>
      <c r="Z2612" s="437"/>
      <c r="AA2612" s="560"/>
      <c r="AB2612" s="561"/>
      <c r="AC2612" s="87"/>
      <c r="AD2612" s="466"/>
      <c r="AE2612" s="456"/>
      <c r="AF2612" s="467"/>
      <c r="AG2612" s="87"/>
      <c r="AH2612" s="87"/>
      <c r="AI2612" s="87"/>
    </row>
    <row r="2613" spans="1:35" ht="16.5" hidden="1" thickBot="1">
      <c r="A2613" s="44"/>
      <c r="B2613" s="89"/>
      <c r="C2613" s="90"/>
      <c r="D2613" s="90"/>
      <c r="E2613" s="90"/>
      <c r="F2613" s="90"/>
      <c r="G2613" s="90"/>
      <c r="H2613" s="90"/>
      <c r="I2613" s="90"/>
      <c r="J2613" s="90"/>
      <c r="K2613" s="90"/>
      <c r="L2613" s="90"/>
      <c r="M2613" s="90"/>
      <c r="N2613" s="90"/>
      <c r="O2613" s="90"/>
      <c r="P2613" s="90"/>
      <c r="Q2613" s="90"/>
      <c r="R2613" s="90"/>
      <c r="S2613" s="91"/>
      <c r="T2613" s="92"/>
      <c r="U2613" s="473"/>
      <c r="W2613" s="438"/>
      <c r="X2613" s="455"/>
      <c r="Y2613" s="439"/>
      <c r="Z2613" s="437"/>
      <c r="AA2613" s="530"/>
      <c r="AB2613" s="563"/>
      <c r="AC2613" s="87"/>
      <c r="AD2613" s="440"/>
      <c r="AE2613" s="441"/>
      <c r="AF2613" s="442"/>
      <c r="AG2613" s="49"/>
      <c r="AH2613" s="87"/>
      <c r="AI2613" s="87"/>
    </row>
    <row r="2614" spans="1:35" ht="16.5" hidden="1" thickBot="1">
      <c r="A2614" s="93"/>
      <c r="B2614" s="94"/>
      <c r="C2614" s="96"/>
      <c r="D2614" s="96"/>
      <c r="E2614" s="96"/>
      <c r="F2614" s="96"/>
      <c r="G2614" s="96"/>
      <c r="H2614" s="96"/>
      <c r="I2614" s="96"/>
      <c r="J2614" s="96"/>
      <c r="K2614" s="96"/>
      <c r="L2614" s="96"/>
      <c r="M2614" s="136"/>
      <c r="N2614" s="96"/>
      <c r="O2614" s="96"/>
      <c r="P2614" s="97"/>
      <c r="Q2614" s="97"/>
      <c r="R2614" s="98"/>
      <c r="S2614" s="95"/>
      <c r="T2614" s="99"/>
      <c r="U2614" s="469"/>
      <c r="AC2614" s="58"/>
      <c r="AG2614" s="58"/>
      <c r="AH2614" s="87"/>
      <c r="AI2614" s="87"/>
    </row>
    <row r="2615" spans="1:35" ht="16.5" hidden="1" thickBot="1">
      <c r="B2615" s="101"/>
      <c r="C2615" s="101"/>
      <c r="D2615" s="101"/>
      <c r="E2615" s="101"/>
      <c r="F2615" s="101"/>
      <c r="G2615" s="101"/>
      <c r="H2615" s="101"/>
      <c r="I2615" s="101"/>
      <c r="J2615" s="101"/>
      <c r="K2615" s="101"/>
      <c r="L2615" s="101"/>
      <c r="M2615" s="101"/>
      <c r="N2615" s="101"/>
      <c r="O2615" s="101"/>
      <c r="P2615" s="101"/>
      <c r="Q2615" s="101"/>
      <c r="R2615" s="101"/>
      <c r="S2615" s="101"/>
      <c r="U2615" s="50"/>
      <c r="AH2615" s="87"/>
      <c r="AI2615" s="87"/>
    </row>
    <row r="2616" spans="1:35" ht="16.5" hidden="1" customHeight="1" thickBot="1">
      <c r="A2616" s="44"/>
      <c r="B2616" s="705" t="s">
        <v>74</v>
      </c>
      <c r="C2616" s="705"/>
      <c r="D2616" s="705"/>
      <c r="E2616" s="705"/>
      <c r="F2616" s="705"/>
      <c r="G2616" s="705"/>
      <c r="H2616" s="705"/>
      <c r="I2616" s="705"/>
      <c r="J2616" s="705"/>
      <c r="K2616" s="705"/>
      <c r="L2616" s="705"/>
      <c r="M2616" s="705"/>
      <c r="N2616" s="705"/>
      <c r="O2616" s="705"/>
      <c r="P2616" s="705"/>
      <c r="Q2616" s="705"/>
      <c r="R2616" s="705"/>
      <c r="S2616" s="705"/>
      <c r="T2616" s="705"/>
      <c r="U2616" s="108"/>
      <c r="Y2616" s="532" t="s">
        <v>341</v>
      </c>
      <c r="AC2616" s="49"/>
      <c r="AD2616" s="687" t="s">
        <v>302</v>
      </c>
      <c r="AE2616" s="688"/>
      <c r="AF2616" s="689"/>
      <c r="AG2616" s="49"/>
      <c r="AH2616" s="87"/>
      <c r="AI2616" s="87"/>
    </row>
    <row r="2617" spans="1:35" ht="15.75" hidden="1" customHeight="1" thickBot="1">
      <c r="A2617" s="218" t="e">
        <f>"K"&amp;E2599</f>
        <v>#N/A</v>
      </c>
      <c r="B2617" s="701" t="s">
        <v>71</v>
      </c>
      <c r="C2617" s="751" t="s">
        <v>102</v>
      </c>
      <c r="D2617" s="751"/>
      <c r="E2617" s="751"/>
      <c r="F2617" s="751"/>
      <c r="G2617" s="751"/>
      <c r="H2617" s="751"/>
      <c r="I2617" s="751"/>
      <c r="J2617" s="751"/>
      <c r="K2617" s="751"/>
      <c r="L2617" s="722" t="s">
        <v>100</v>
      </c>
      <c r="M2617" s="747" t="s">
        <v>114</v>
      </c>
      <c r="N2617" s="747"/>
      <c r="O2617" s="747"/>
      <c r="P2617" s="747"/>
      <c r="Q2617" s="748"/>
      <c r="R2617" s="758" t="s">
        <v>280</v>
      </c>
      <c r="S2617" s="748"/>
      <c r="T2617" s="762" t="str">
        <f>IF(COUNTIF(AE2617:AF2617,"VERIFICAR")&gt;0,"VERIFICAR",IF(COUNTIF(AE2617:AF2617,"NO CUMPLE")&gt;0,"NO CUMPLE","CUMPLE"))</f>
        <v>VERIFICAR</v>
      </c>
      <c r="U2617" s="108"/>
      <c r="Y2617" s="533" t="e">
        <f>IF(F2618="","",IF(F2618=1,"INDIVIDUAL","ESTRUCTURA PLURAL"))</f>
        <v>#N/A</v>
      </c>
      <c r="AC2617" s="52"/>
      <c r="AD2617" s="475" t="s">
        <v>303</v>
      </c>
      <c r="AE2617" s="476" t="str">
        <f>IF(COUNTIF(AE2603:AE2612,"")=10,"VERIFICAR",IF(COUNTIF(AE2603:AE2612,"SI")&gt;0,"CUMPLE","NO CUMPLE"))</f>
        <v>VERIFICAR</v>
      </c>
      <c r="AF2617" s="477" t="str">
        <f>IF(COUNTIF(AF2603:AF2612,"")=10,"VERIFICAR",IF(COUNTIF(AF2603:AF2612,"SI")&gt;=$AI$22,"CUMPLE","NO CUMPLE"))</f>
        <v>VERIFICAR</v>
      </c>
      <c r="AG2617" s="52"/>
      <c r="AH2617" s="87"/>
      <c r="AI2617" s="87"/>
    </row>
    <row r="2618" spans="1:35" ht="16.5" hidden="1" customHeight="1" thickBot="1">
      <c r="A2618" s="218" t="e">
        <f>"L"&amp;E2599</f>
        <v>#N/A</v>
      </c>
      <c r="B2618" s="702"/>
      <c r="C2618" s="751" t="s">
        <v>103</v>
      </c>
      <c r="D2618" s="751"/>
      <c r="E2618" s="752"/>
      <c r="F2618" s="557" t="e">
        <f>IF(VLOOKUP(E2599,PROPONENTES!$C$19:$E$218,3,0)="","",VLOOKUP(E2599,PROPONENTES!$C$19:$E$218,3,0))</f>
        <v>#N/A</v>
      </c>
      <c r="G2618" s="753" t="s">
        <v>104</v>
      </c>
      <c r="H2618" s="751"/>
      <c r="I2618" s="715" t="e">
        <f>IF(OR(F2618="",F2618=1),"INTERESADO PERSONA NATURAL O JURIDICA","CONSORCIO O UNION TEMPORAL")</f>
        <v>#N/A</v>
      </c>
      <c r="J2618" s="725"/>
      <c r="K2618" s="728"/>
      <c r="L2618" s="723"/>
      <c r="M2618" s="749"/>
      <c r="N2618" s="749"/>
      <c r="O2618" s="749"/>
      <c r="P2618" s="749"/>
      <c r="Q2618" s="750"/>
      <c r="R2618" s="712"/>
      <c r="S2618" s="750"/>
      <c r="T2618" s="763"/>
      <c r="U2618" s="108"/>
      <c r="Y2618" s="534"/>
      <c r="AA2618" s="52"/>
      <c r="AB2618" s="52"/>
      <c r="AC2618" s="52"/>
      <c r="AG2618" s="52"/>
      <c r="AH2618" s="87"/>
      <c r="AI2618" s="87"/>
    </row>
    <row r="2619" spans="1:35" ht="56.25" hidden="1" customHeight="1" thickBot="1">
      <c r="A2619" s="218" t="e">
        <f>"M"&amp;E2599</f>
        <v>#N/A</v>
      </c>
      <c r="B2619" s="702"/>
      <c r="C2619" s="725" t="s">
        <v>101</v>
      </c>
      <c r="D2619" s="716"/>
      <c r="E2619" s="558" t="s">
        <v>105</v>
      </c>
      <c r="F2619" s="554" t="s">
        <v>87</v>
      </c>
      <c r="G2619" s="553" t="s">
        <v>86</v>
      </c>
      <c r="H2619" s="559" t="s">
        <v>85</v>
      </c>
      <c r="I2619" s="554" t="s">
        <v>252</v>
      </c>
      <c r="J2619" s="553" t="str">
        <f>"¿EL INTEGRANTE TIENE UNA PARTICIPACIÓN DEL "&amp;PORCREQUERIDOINT*100&amp;"%?"</f>
        <v>¿EL INTEGRANTE TIENE UNA PARTICIPACIÓN DEL 60%?</v>
      </c>
      <c r="K2619" s="554" t="s">
        <v>107</v>
      </c>
      <c r="L2619" s="724"/>
      <c r="M2619" s="717" t="s">
        <v>115</v>
      </c>
      <c r="N2619" s="718"/>
      <c r="O2619" s="718"/>
      <c r="P2619" s="718"/>
      <c r="Q2619" s="223">
        <f>IF(AND(H2603="SI",P2603&gt;=0),1,0)+IF(AND(H2604="SI",P2604&gt;=0),1,0)+IF(AND(H2605="SI",P2605&gt;=0),1,0)+IF(AND(H2606="SI",P2606&gt;=0),1,0)+IF(AND(H2607="SI",P2607&gt;=0),1,0)+IF(AND(H2608="SI",P2608&gt;=0),1,0)+IF(AND(H2609="SI",P2609&gt;=0),1,0)+IF(AND(H2610="SI",P2610&gt;=0),1,0)+IF(AND(H2611="SI",P2611&gt;=0),1,0)+IF(AND(H2612="SI",P2612&gt;=0),1,0)</f>
        <v>0</v>
      </c>
      <c r="R2619" s="759"/>
      <c r="S2619" s="761"/>
      <c r="T2619" s="764"/>
      <c r="U2619" s="219"/>
      <c r="V2619" s="464"/>
      <c r="Y2619" s="532" t="s">
        <v>342</v>
      </c>
      <c r="AA2619" s="550" t="s">
        <v>344</v>
      </c>
      <c r="AB2619" s="693" t="s">
        <v>345</v>
      </c>
      <c r="AC2619" s="693" t="s">
        <v>346</v>
      </c>
      <c r="AD2619" s="685" t="s">
        <v>347</v>
      </c>
      <c r="AE2619" s="52"/>
      <c r="AF2619" s="52"/>
      <c r="AG2619" s="52"/>
      <c r="AH2619" s="87"/>
      <c r="AI2619" s="87"/>
    </row>
    <row r="2620" spans="1:35" ht="15.75" hidden="1" customHeight="1" thickBot="1">
      <c r="A2620" s="218" t="e">
        <f>"N"&amp;E2599</f>
        <v>#N/A</v>
      </c>
      <c r="B2620" s="702"/>
      <c r="C2620" s="114">
        <v>1</v>
      </c>
      <c r="D2620" s="194" t="e">
        <f>IF(AND(C2620&lt;=F2618,F2618&gt;1,F2618&lt;&gt;""),VLOOKUP(VALUE(E2599&amp;","&amp;C2620),INTEGRANTES!$D$18:$F$235,2,0),"")</f>
        <v>#N/A</v>
      </c>
      <c r="E2620" s="211" t="e">
        <f>IF(D2620&lt;&gt;"",VLOOKUP(VALUE(E2599&amp;","&amp;C2620),INTEGRANTES!$D$18:$F$235,3,0),"")</f>
        <v>#N/A</v>
      </c>
      <c r="F2620" s="547" t="e">
        <f>IF(D2620="","",SUMIF($I2603:$I2612,D2620,$P2603:$P2612))</f>
        <v>#N/A</v>
      </c>
      <c r="G2620" s="333" t="e">
        <f>IF(D2620="","",SUMIF($I2603:$I2612,D2620,$M2603:$M2612))</f>
        <v>#N/A</v>
      </c>
      <c r="H2620" s="535" t="e">
        <f t="shared" ref="H2620:H2625" si="767">IF(D2620="","",IF(OR(F2620=0,G2620=0),"NO APORTA",ROUND($F2620/$G2620,3)))</f>
        <v>#N/A</v>
      </c>
      <c r="I2620" s="212" t="e">
        <f>IF(D2620="","",IF(H2620="NO APORTA","NO",IF(H2620=MAX($H2620:$H2625),"SI","NO")))</f>
        <v>#N/A</v>
      </c>
      <c r="J2620" s="213" t="e">
        <f t="shared" ref="J2620:J2625" si="768">IF(D2620="","",IF(E2620&gt;=PORCREQUERIDOINT,"SI","NO"))</f>
        <v>#N/A</v>
      </c>
      <c r="K2620" s="200" t="e">
        <f t="shared" ref="K2620:K2625" si="769">IF(D2620="","",IF(AND(I2620="SI",J2620="SI"),"CUMPLE",IF(AND(I2620="NO",OR(J2620="SI",J2620="NO")),"","NO CUMPLE")))</f>
        <v>#N/A</v>
      </c>
      <c r="L2620" s="722" t="s">
        <v>108</v>
      </c>
      <c r="M2620" s="726" t="s">
        <v>119</v>
      </c>
      <c r="N2620" s="726"/>
      <c r="O2620" s="726"/>
      <c r="P2620" s="726"/>
      <c r="Q2620" s="727"/>
      <c r="R2620" s="758" t="s">
        <v>80</v>
      </c>
      <c r="S2620" s="747"/>
      <c r="T2620" s="748"/>
      <c r="U2620" s="219"/>
      <c r="V2620" s="464"/>
      <c r="Y2620" s="533" t="e">
        <f>IF(Y2617="","",IF(Y2617="INDIVIDUAL","NO APLICA","VERIFICAR CUADRO"))</f>
        <v>#N/A</v>
      </c>
      <c r="AA2620" s="551"/>
      <c r="AB2620" s="694"/>
      <c r="AC2620" s="694"/>
      <c r="AD2620" s="686"/>
      <c r="AE2620" s="52"/>
      <c r="AF2620" s="52"/>
      <c r="AG2620" s="52"/>
      <c r="AH2620" s="87"/>
      <c r="AI2620" s="87"/>
    </row>
    <row r="2621" spans="1:35" ht="27" hidden="1" customHeight="1" thickBot="1">
      <c r="A2621" s="218" t="e">
        <f>"O"&amp;E2599</f>
        <v>#N/A</v>
      </c>
      <c r="B2621" s="702"/>
      <c r="C2621" s="114">
        <v>2</v>
      </c>
      <c r="D2621" s="194" t="e">
        <f>IF(AND(C2621&lt;=F2618,F2618&lt;&gt;""),VLOOKUP(VALUE(E2599&amp;","&amp;C2621),INTEGRANTES!$D$18:$F$235,2,0),"")</f>
        <v>#N/A</v>
      </c>
      <c r="E2621" s="211" t="e">
        <f>IF(D2621&lt;&gt;"",VLOOKUP(VALUE(E2599&amp;","&amp;C2621),INTEGRANTES!$D$18:$F$235,3,0),"")</f>
        <v>#N/A</v>
      </c>
      <c r="F2621" s="547" t="e">
        <f>IF(D2621="","",SUMIF($I2603:$I2612,D2621,$P2603:$P2612))</f>
        <v>#N/A</v>
      </c>
      <c r="G2621" s="333" t="e">
        <f>IF(D2621="","",SUMIF($I2603:$I2612,D2621,$M2603:$M2612))</f>
        <v>#N/A</v>
      </c>
      <c r="H2621" s="535" t="e">
        <f t="shared" si="767"/>
        <v>#N/A</v>
      </c>
      <c r="I2621" s="212" t="e">
        <f>IF(D2621="","",IF(H2621="NO APORTA","NO",IF(H2621=MAX($H2620:$H2625),"SI","NO")))</f>
        <v>#N/A</v>
      </c>
      <c r="J2621" s="213" t="e">
        <f t="shared" si="768"/>
        <v>#N/A</v>
      </c>
      <c r="K2621" s="200" t="e">
        <f t="shared" si="769"/>
        <v>#N/A</v>
      </c>
      <c r="L2621" s="723"/>
      <c r="M2621" s="715" t="s">
        <v>116</v>
      </c>
      <c r="N2621" s="716"/>
      <c r="O2621" s="556" t="s">
        <v>113</v>
      </c>
      <c r="P2621" s="715" t="s">
        <v>117</v>
      </c>
      <c r="Q2621" s="728"/>
      <c r="R2621" s="759"/>
      <c r="S2621" s="760"/>
      <c r="T2621" s="761"/>
      <c r="U2621" s="219"/>
      <c r="V2621" s="464"/>
      <c r="Y2621" s="414"/>
      <c r="AA2621" s="542" t="e">
        <f>IF(AND(C2620&lt;=F2618,F2618&gt;1,F2618&lt;&gt;""),VLOOKUP(VALUE(E2599&amp;","&amp;C2620),INTEGRANTES!$D$18:$F$235,2,0),"")</f>
        <v>#N/A</v>
      </c>
      <c r="AB2621" s="544" t="e">
        <f t="shared" ref="AB2621:AB2626" si="770">IF(D2620="","",IF(OR(F2620=0,G2620=0),"NO APORTA",ROUND($F2620/$G2620,3)))</f>
        <v>#N/A</v>
      </c>
      <c r="AC2621" s="529"/>
      <c r="AD2621" s="200" t="e">
        <f t="shared" ref="AD2621:AD2626" si="771">IF(OR(AA2621="",AB2621=""),"",IF(AND(AC2621="X",AB2621&gt;=EXPREQVTD),"CUMPLE","NO CUMPLE"))</f>
        <v>#N/A</v>
      </c>
      <c r="AE2621" s="52"/>
      <c r="AF2621" s="52"/>
      <c r="AG2621" s="52"/>
      <c r="AH2621" s="87"/>
      <c r="AI2621" s="87"/>
    </row>
    <row r="2622" spans="1:35" ht="16.5" hidden="1" thickBot="1">
      <c r="A2622" s="218" t="e">
        <f>"P"&amp;E2599</f>
        <v>#N/A</v>
      </c>
      <c r="B2622" s="702"/>
      <c r="C2622" s="114">
        <v>3</v>
      </c>
      <c r="D2622" s="194" t="e">
        <f>IF(AND(C2622&lt;=F2618,F2618&lt;&gt;""),VLOOKUP(VALUE(E2599&amp;","&amp;C2622),INTEGRANTES!$D$18:$F$235,2,0),"")</f>
        <v>#N/A</v>
      </c>
      <c r="E2622" s="211" t="e">
        <f>IF(D2622&lt;&gt;"",VLOOKUP(VALUE(E2599&amp;","&amp;C2622),INTEGRANTES!$D$18:$F$235,3,0),"")</f>
        <v>#N/A</v>
      </c>
      <c r="F2622" s="547" t="e">
        <f>IF(D2622="","",SUMIF($I2603:$I2612,D2622,$P2603:$P2612))</f>
        <v>#N/A</v>
      </c>
      <c r="G2622" s="333" t="e">
        <f>IF(D2622="","",SUMIF($I2603:$I2612,D2622,$M2603:$M2612))</f>
        <v>#N/A</v>
      </c>
      <c r="H2622" s="535" t="e">
        <f t="shared" si="767"/>
        <v>#N/A</v>
      </c>
      <c r="I2622" s="212" t="e">
        <f>IF(D2622="","",IF(H2622="NO APORTA","NO",IF(H2622=MAX($H2620:$H2625),"SI","NO")))</f>
        <v>#N/A</v>
      </c>
      <c r="J2622" s="213" t="e">
        <f t="shared" si="768"/>
        <v>#N/A</v>
      </c>
      <c r="K2622" s="200" t="e">
        <f t="shared" si="769"/>
        <v>#N/A</v>
      </c>
      <c r="L2622" s="724"/>
      <c r="M2622" s="729">
        <f>NUMMOD</f>
        <v>1</v>
      </c>
      <c r="N2622" s="730"/>
      <c r="O2622" s="443">
        <f>IF(M2622="","",VLOOKUP(M2622,PRESUPUESTOS!$B$16:$H$16,5,FALSE))</f>
        <v>2</v>
      </c>
      <c r="P2622" s="713">
        <f>IF(OR(COUNTIF(M2603:M2612,"")&gt;=10,Q2619&lt;NUMMINCONT,OR(T2617="NO CUMPLE",T2617="VERIFICAR")),0,ROUND(AVERAGE(M2603:M2612),3))</f>
        <v>0</v>
      </c>
      <c r="Q2622" s="714"/>
      <c r="R2622" s="458"/>
      <c r="S2622" s="459"/>
      <c r="T2622" s="460"/>
      <c r="U2622" s="219"/>
      <c r="V2622" s="464"/>
      <c r="Y2622" s="532" t="str">
        <f>"40% * ("&amp;PRESUPUESTOS!$H$13&amp;")"</f>
        <v>40% * (50% PFMO)</v>
      </c>
      <c r="AA2622" s="540" t="e">
        <f>IF(AND(C2621&lt;=F2618,F2618&lt;&gt;""),VLOOKUP(VALUE(E2599&amp;","&amp;C2621),INTEGRANTES!$D$18:$F$235,2,0),"")</f>
        <v>#N/A</v>
      </c>
      <c r="AB2622" s="545" t="e">
        <f t="shared" si="770"/>
        <v>#N/A</v>
      </c>
      <c r="AC2622" s="529"/>
      <c r="AD2622" s="200" t="e">
        <f t="shared" si="771"/>
        <v>#N/A</v>
      </c>
      <c r="AE2622" s="52"/>
      <c r="AF2622" s="52"/>
      <c r="AG2622" s="52"/>
      <c r="AH2622" s="87"/>
      <c r="AI2622" s="87"/>
    </row>
    <row r="2623" spans="1:35" ht="15.75" hidden="1" customHeight="1" thickBot="1">
      <c r="A2623" s="218" t="e">
        <f>"Q"&amp;E2599</f>
        <v>#N/A</v>
      </c>
      <c r="B2623" s="702"/>
      <c r="C2623" s="114">
        <v>4</v>
      </c>
      <c r="D2623" s="194" t="e">
        <f>IF(AND(C2623&lt;=F2618,F2618&lt;&gt;""),VLOOKUP(VALUE(E2599&amp;","&amp;C2623),INTEGRANTES!$D$18:$F$235,2,0),"")</f>
        <v>#N/A</v>
      </c>
      <c r="E2623" s="211" t="e">
        <f>IF(D2623&lt;&gt;"",VLOOKUP(VALUE(E2599&amp;","&amp;C2623),INTEGRANTES!$D$18:$F$235,3,0),"")</f>
        <v>#N/A</v>
      </c>
      <c r="F2623" s="547" t="e">
        <f>IF(D2623="","",SUMIF($I2603:$I2612,D2623,$P2603:$P2612))</f>
        <v>#N/A</v>
      </c>
      <c r="G2623" s="333" t="e">
        <f>IF(D2623="","",SUMIF($I2603:$I2612,D2623,$M2603:$M2612))</f>
        <v>#N/A</v>
      </c>
      <c r="H2623" s="535" t="e">
        <f t="shared" si="767"/>
        <v>#N/A</v>
      </c>
      <c r="I2623" s="212" t="e">
        <f>IF(D2623="","",IF(H2623="NO APORTA","NO",IF(H2623=MAX($H2620:$H2625),"SI","NO")))</f>
        <v>#N/A</v>
      </c>
      <c r="J2623" s="213" t="e">
        <f t="shared" si="768"/>
        <v>#N/A</v>
      </c>
      <c r="K2623" s="200" t="e">
        <f t="shared" si="769"/>
        <v>#N/A</v>
      </c>
      <c r="L2623" s="720" t="s">
        <v>109</v>
      </c>
      <c r="M2623" s="757" t="s">
        <v>120</v>
      </c>
      <c r="N2623" s="726"/>
      <c r="O2623" s="726"/>
      <c r="P2623" s="726"/>
      <c r="Q2623" s="727"/>
      <c r="R2623" s="458"/>
      <c r="S2623" s="459"/>
      <c r="T2623" s="460"/>
      <c r="U2623" s="219"/>
      <c r="V2623" s="464"/>
      <c r="Y2623" s="537">
        <f>0.4*PRESUPUESTOS!$H$16</f>
        <v>10.3124</v>
      </c>
      <c r="AA2623" s="540" t="e">
        <f>IF(AND(C2622&lt;=F2618,F2618&lt;&gt;""),VLOOKUP(VALUE(E2599&amp;","&amp;C2622),INTEGRANTES!$D$18:$F$235,2,0),"")</f>
        <v>#N/A</v>
      </c>
      <c r="AB2623" s="545" t="e">
        <f t="shared" si="770"/>
        <v>#N/A</v>
      </c>
      <c r="AC2623" s="529"/>
      <c r="AD2623" s="200" t="e">
        <f t="shared" si="771"/>
        <v>#N/A</v>
      </c>
      <c r="AE2623" s="52"/>
      <c r="AF2623" s="52"/>
      <c r="AG2623" s="52"/>
      <c r="AH2623" s="87"/>
      <c r="AI2623" s="87"/>
    </row>
    <row r="2624" spans="1:35" ht="27" hidden="1" customHeight="1" thickBot="1">
      <c r="A2624" s="218" t="e">
        <f>"R"&amp;E2599</f>
        <v>#N/A</v>
      </c>
      <c r="B2624" s="702"/>
      <c r="C2624" s="114">
        <v>5</v>
      </c>
      <c r="D2624" s="194" t="e">
        <f>IF(AND(C2624&lt;=F2618,F2618&lt;&gt;""),VLOOKUP(VALUE(E2599&amp;","&amp;C2624),INTEGRANTES!$D$18:$F$235,2,0),"")</f>
        <v>#N/A</v>
      </c>
      <c r="E2624" s="211" t="e">
        <f>IF(D2624&lt;&gt;"",VLOOKUP(VALUE(E2599&amp;","&amp;C2624),INTEGRANTES!$D$18:$F$235,3,0),"")</f>
        <v>#N/A</v>
      </c>
      <c r="F2624" s="547" t="e">
        <f>IF(D2624="","",SUMIF($I2603:$I2612,D2624,$P2603:$P2612))</f>
        <v>#N/A</v>
      </c>
      <c r="G2624" s="333" t="e">
        <f>IF(D2624="","",SUMIF($I2603:$I2612,D2624,$M2603:$M2612))</f>
        <v>#N/A</v>
      </c>
      <c r="H2624" s="535" t="e">
        <f t="shared" si="767"/>
        <v>#N/A</v>
      </c>
      <c r="I2624" s="212" t="e">
        <f>IF(D2624="","",IF(H2624="NO APORTA","NO",IF(H2624=MAX($H2620:$H2625),"SI","NO")))</f>
        <v>#N/A</v>
      </c>
      <c r="J2624" s="213" t="e">
        <f t="shared" si="768"/>
        <v>#N/A</v>
      </c>
      <c r="K2624" s="200" t="e">
        <f t="shared" si="769"/>
        <v>#N/A</v>
      </c>
      <c r="L2624" s="721"/>
      <c r="M2624" s="715" t="s">
        <v>116</v>
      </c>
      <c r="N2624" s="716"/>
      <c r="O2624" s="556" t="str">
        <f>PORCREQUERIDO*100&amp;"% PMFO DEL MÓDULO"</f>
        <v>50% PMFO DEL MÓDULO</v>
      </c>
      <c r="P2624" s="715" t="s">
        <v>118</v>
      </c>
      <c r="Q2624" s="728"/>
      <c r="R2624" s="458"/>
      <c r="S2624" s="459"/>
      <c r="T2624" s="460"/>
      <c r="U2624" s="219"/>
      <c r="V2624" s="464"/>
      <c r="Y2624" s="414"/>
      <c r="AA2624" s="540" t="e">
        <f>IF(AND(C2623&lt;=F2618,F2618&lt;&gt;""),VLOOKUP(VALUE(E2599&amp;","&amp;C2623),INTEGRANTES!$D$18:$F$235,2,0),"")</f>
        <v>#N/A</v>
      </c>
      <c r="AB2624" s="545" t="e">
        <f t="shared" si="770"/>
        <v>#N/A</v>
      </c>
      <c r="AC2624" s="529"/>
      <c r="AD2624" s="200" t="e">
        <f t="shared" si="771"/>
        <v>#N/A</v>
      </c>
      <c r="AE2624" s="52"/>
      <c r="AF2624" s="52"/>
      <c r="AG2624" s="52"/>
      <c r="AH2624" s="87"/>
      <c r="AI2624" s="87"/>
    </row>
    <row r="2625" spans="1:35" ht="16.5" hidden="1" thickBot="1">
      <c r="A2625" s="218" t="e">
        <f>"S"&amp;E2599</f>
        <v>#N/A</v>
      </c>
      <c r="B2625" s="702"/>
      <c r="C2625" s="215">
        <v>6</v>
      </c>
      <c r="D2625" s="216" t="e">
        <f>IF(AND(C2625&lt;=F2618,F2618&lt;&gt;""),VLOOKUP(VALUE(E2599&amp;","&amp;C2625),INTEGRANTES!$D$18:$F$235,2,0),"")</f>
        <v>#N/A</v>
      </c>
      <c r="E2625" s="217" t="e">
        <f>IF(D2625&lt;&gt;"",VLOOKUP(VALUE(E2599&amp;","&amp;C2625),INTEGRANTES!$D$18:$F$235,3,0),"")</f>
        <v>#N/A</v>
      </c>
      <c r="F2625" s="548" t="e">
        <f>IF(D2625="","",SUMIF($I2603:$I2612,D2625,$P2603:$P2612))</f>
        <v>#N/A</v>
      </c>
      <c r="G2625" s="334" t="e">
        <f>IF(D2625="","",SUMIF($I2603:$I2612,D2625,$M2603:$M2612))</f>
        <v>#N/A</v>
      </c>
      <c r="H2625" s="536" t="e">
        <f t="shared" si="767"/>
        <v>#N/A</v>
      </c>
      <c r="I2625" s="214" t="e">
        <f>IF(D2625="","",IF(H2625="NO APORTA","NO",IF(H2625=MAX($H2620:$H2625),"SI","NO")))</f>
        <v>#N/A</v>
      </c>
      <c r="J2625" s="213" t="e">
        <f t="shared" si="768"/>
        <v>#N/A</v>
      </c>
      <c r="K2625" s="200" t="e">
        <f t="shared" si="769"/>
        <v>#N/A</v>
      </c>
      <c r="L2625" s="721"/>
      <c r="M2625" s="729">
        <f>NUMMOD</f>
        <v>1</v>
      </c>
      <c r="N2625" s="730"/>
      <c r="O2625" s="443">
        <f>IF(M2625="","",ROUND(VLOOKUP(M2625,PRESUPUESTOS!$B$16:$H$16,7,FALSE),3))</f>
        <v>25.780999999999999</v>
      </c>
      <c r="P2625" s="713">
        <f>IF(OR(COUNTIF(P2603:P2612,"")&gt;=10,Q2619&lt;NUMMINCONT,OR(T2617="NO CUMPLE",T2617="VERIFICAR")),0,ROUND((SUM(P2603:P2612)/SUM(M2603:M2612)),3))</f>
        <v>0</v>
      </c>
      <c r="Q2625" s="714"/>
      <c r="R2625" s="458"/>
      <c r="S2625" s="459"/>
      <c r="T2625" s="460"/>
      <c r="U2625" s="219"/>
      <c r="V2625" s="464"/>
      <c r="Y2625" s="532" t="s">
        <v>343</v>
      </c>
      <c r="AA2625" s="540" t="e">
        <f>IF(AND(C2624&lt;=F2618,F2618&lt;&gt;""),VLOOKUP(VALUE(E2599&amp;","&amp;C2624),INTEGRANTES!$D$18:$F$235,2,0),"")</f>
        <v>#N/A</v>
      </c>
      <c r="AB2625" s="545" t="e">
        <f t="shared" si="770"/>
        <v>#N/A</v>
      </c>
      <c r="AC2625" s="529"/>
      <c r="AD2625" s="200" t="e">
        <f t="shared" si="771"/>
        <v>#N/A</v>
      </c>
      <c r="AE2625" s="52"/>
      <c r="AF2625" s="52"/>
      <c r="AG2625" s="52"/>
      <c r="AH2625" s="87"/>
      <c r="AI2625" s="87"/>
    </row>
    <row r="2626" spans="1:35" ht="16.5" hidden="1" customHeight="1" thickBot="1">
      <c r="A2626" s="218" t="e">
        <f>"T"&amp;E2599</f>
        <v>#N/A</v>
      </c>
      <c r="B2626" s="703"/>
      <c r="C2626" s="719"/>
      <c r="D2626" s="719"/>
      <c r="E2626" s="719"/>
      <c r="F2626" s="719"/>
      <c r="G2626" s="719"/>
      <c r="H2626" s="719" t="s">
        <v>110</v>
      </c>
      <c r="I2626" s="719"/>
      <c r="J2626" s="719"/>
      <c r="K2626" s="201" t="str">
        <f>IF(COUNTIF(K2620:K2625,"")=6,"",IF(COUNTIF(K2620:K2625,"CUMPLE")&gt;0,"CUMPLE","NO CUMPLE"))</f>
        <v>NO CUMPLE</v>
      </c>
      <c r="L2626" s="754"/>
      <c r="M2626" s="755"/>
      <c r="N2626" s="755"/>
      <c r="O2626" s="755"/>
      <c r="P2626" s="755"/>
      <c r="Q2626" s="756"/>
      <c r="R2626" s="461"/>
      <c r="S2626" s="462"/>
      <c r="T2626" s="463"/>
      <c r="U2626" s="219"/>
      <c r="V2626" s="464"/>
      <c r="Y2626" s="549" t="e">
        <f>IF(Y2620="NO APLICA","NO APLICA",IF(COUNTIF(AD2621:AD2626,"CUMPLE")&gt;0,"CUMPLE","NO CUMPLE"))</f>
        <v>#N/A</v>
      </c>
      <c r="AA2626" s="541" t="e">
        <f>IF(AND(C2625&lt;=F2618,F2618&lt;&gt;""),VLOOKUP(VALUE(E2599&amp;","&amp;C2625),INTEGRANTES!$D$18:$F$235,2,0),"")</f>
        <v>#N/A</v>
      </c>
      <c r="AB2626" s="546" t="e">
        <f t="shared" si="770"/>
        <v>#N/A</v>
      </c>
      <c r="AC2626" s="543"/>
      <c r="AD2626" s="201" t="e">
        <f t="shared" si="771"/>
        <v>#N/A</v>
      </c>
      <c r="AE2626" s="52"/>
      <c r="AF2626" s="52"/>
      <c r="AG2626" s="52"/>
      <c r="AH2626" s="87"/>
      <c r="AI2626" s="87"/>
    </row>
    <row r="2627" spans="1:35" hidden="1">
      <c r="A2627" s="103"/>
      <c r="B2627" s="206"/>
      <c r="C2627" s="206"/>
      <c r="D2627" s="206"/>
      <c r="E2627" s="206"/>
      <c r="F2627" s="206"/>
      <c r="G2627" s="206"/>
      <c r="H2627" s="206"/>
      <c r="I2627" s="104"/>
      <c r="J2627" s="206"/>
      <c r="K2627" s="113"/>
      <c r="L2627" s="113"/>
      <c r="M2627" s="113"/>
      <c r="N2627" s="222"/>
      <c r="O2627" s="113"/>
      <c r="P2627" s="113"/>
      <c r="Q2627" s="113"/>
      <c r="R2627" s="206"/>
      <c r="S2627" s="104"/>
      <c r="T2627" s="206"/>
      <c r="U2627" s="474"/>
      <c r="AH2627" s="87"/>
      <c r="AI2627" s="87"/>
    </row>
    <row r="2628" spans="1:35" hidden="1">
      <c r="H2628" s="220"/>
      <c r="AH2628" s="87"/>
      <c r="AI2628" s="87"/>
    </row>
    <row r="2629" spans="1:35" ht="24" hidden="1" thickBot="1">
      <c r="A2629" s="61">
        <v>88</v>
      </c>
      <c r="B2629" s="704" t="s">
        <v>51</v>
      </c>
      <c r="C2629" s="704"/>
      <c r="D2629" s="704"/>
      <c r="E2629" s="62" t="e">
        <f>VLOOKUP(A2629,PROPONENTES!$B$19:$E$218,2,FALSE)</f>
        <v>#N/A</v>
      </c>
      <c r="F2629" s="63" t="e">
        <f>VLOOKUP(A2629,PROPONENTES!$B$19:$E$218,3,FALSE)</f>
        <v>#N/A</v>
      </c>
      <c r="G2629" s="64"/>
      <c r="H2629" s="64"/>
      <c r="I2629" s="63"/>
      <c r="J2629" s="63"/>
      <c r="K2629" s="65"/>
      <c r="L2629" s="65"/>
      <c r="M2629" s="64"/>
      <c r="N2629" s="64"/>
      <c r="O2629" s="66"/>
      <c r="P2629" s="66"/>
      <c r="Q2629" s="66"/>
      <c r="R2629" s="66"/>
      <c r="S2629" s="67"/>
      <c r="T2629" s="68"/>
      <c r="U2629" s="68"/>
      <c r="AC2629" s="68"/>
      <c r="AD2629" s="68"/>
      <c r="AE2629" s="68"/>
      <c r="AF2629" s="68"/>
      <c r="AG2629" s="68"/>
      <c r="AH2629" s="87"/>
      <c r="AI2629" s="87"/>
    </row>
    <row r="2630" spans="1:35" ht="15.75" hidden="1" customHeight="1">
      <c r="A2630" s="44"/>
      <c r="B2630" s="709" t="s">
        <v>59</v>
      </c>
      <c r="C2630" s="552" t="s">
        <v>60</v>
      </c>
      <c r="D2630" s="70" t="s">
        <v>17</v>
      </c>
      <c r="E2630" s="70"/>
      <c r="F2630" s="70" t="s">
        <v>61</v>
      </c>
      <c r="G2630" s="71"/>
      <c r="H2630" s="699" t="s">
        <v>62</v>
      </c>
      <c r="I2630" s="699" t="s">
        <v>18</v>
      </c>
      <c r="J2630" s="699" t="s">
        <v>63</v>
      </c>
      <c r="K2630" s="699" t="s">
        <v>64</v>
      </c>
      <c r="L2630" s="699" t="s">
        <v>65</v>
      </c>
      <c r="M2630" s="743" t="s">
        <v>66</v>
      </c>
      <c r="N2630" s="699" t="s">
        <v>282</v>
      </c>
      <c r="O2630" s="745" t="s">
        <v>67</v>
      </c>
      <c r="P2630" s="746"/>
      <c r="Q2630" s="102" t="s">
        <v>75</v>
      </c>
      <c r="R2630" s="731" t="s">
        <v>22</v>
      </c>
      <c r="S2630" s="732"/>
      <c r="T2630" s="733"/>
      <c r="U2630" s="712" t="s">
        <v>298</v>
      </c>
      <c r="W2630" s="690" t="s">
        <v>268</v>
      </c>
      <c r="X2630" s="691"/>
      <c r="Y2630" s="692"/>
      <c r="Z2630" s="428"/>
      <c r="AA2630" s="697" t="s">
        <v>315</v>
      </c>
      <c r="AB2630" s="695" t="s">
        <v>322</v>
      </c>
      <c r="AC2630" s="49"/>
      <c r="AD2630" s="690" t="s">
        <v>297</v>
      </c>
      <c r="AE2630" s="691"/>
      <c r="AF2630" s="692"/>
      <c r="AG2630" s="49"/>
      <c r="AH2630" s="87"/>
      <c r="AI2630" s="87"/>
    </row>
    <row r="2631" spans="1:35" ht="72" hidden="1">
      <c r="A2631" s="44"/>
      <c r="B2631" s="710"/>
      <c r="C2631" s="553" t="s">
        <v>68</v>
      </c>
      <c r="D2631" s="73" t="s">
        <v>3</v>
      </c>
      <c r="E2631" s="73" t="s">
        <v>19</v>
      </c>
      <c r="F2631" s="73" t="s">
        <v>69</v>
      </c>
      <c r="G2631" s="74" t="s">
        <v>70</v>
      </c>
      <c r="H2631" s="700"/>
      <c r="I2631" s="700"/>
      <c r="J2631" s="700"/>
      <c r="K2631" s="700"/>
      <c r="L2631" s="700"/>
      <c r="M2631" s="744"/>
      <c r="N2631" s="700"/>
      <c r="O2631" s="553" t="s">
        <v>279</v>
      </c>
      <c r="P2631" s="73" t="s">
        <v>88</v>
      </c>
      <c r="Q2631" s="555" t="s">
        <v>76</v>
      </c>
      <c r="R2631" s="734"/>
      <c r="S2631" s="735"/>
      <c r="T2631" s="736"/>
      <c r="U2631" s="712"/>
      <c r="W2631" s="429" t="s">
        <v>269</v>
      </c>
      <c r="X2631" s="457" t="s">
        <v>278</v>
      </c>
      <c r="Y2631" s="430" t="s">
        <v>324</v>
      </c>
      <c r="Z2631" s="428"/>
      <c r="AA2631" s="698"/>
      <c r="AB2631" s="696"/>
      <c r="AC2631" s="49"/>
      <c r="AD2631" s="429" t="s">
        <v>292</v>
      </c>
      <c r="AE2631" s="431" t="s">
        <v>300</v>
      </c>
      <c r="AF2631" s="468" t="s">
        <v>301</v>
      </c>
      <c r="AG2631" s="49"/>
      <c r="AH2631" s="87"/>
      <c r="AI2631" s="87"/>
    </row>
    <row r="2632" spans="1:35" hidden="1">
      <c r="A2632" s="44"/>
      <c r="B2632" s="76"/>
      <c r="C2632" s="77"/>
      <c r="D2632" s="77"/>
      <c r="E2632" s="77"/>
      <c r="F2632" s="77"/>
      <c r="G2632" s="77"/>
      <c r="H2632" s="77"/>
      <c r="I2632" s="77"/>
      <c r="J2632" s="77"/>
      <c r="K2632" s="77"/>
      <c r="L2632" s="77"/>
      <c r="M2632" s="77"/>
      <c r="N2632" s="77"/>
      <c r="O2632" s="77"/>
      <c r="P2632" s="77"/>
      <c r="Q2632" s="77"/>
      <c r="R2632" s="77"/>
      <c r="S2632" s="78"/>
      <c r="T2632" s="79"/>
      <c r="U2632" s="109"/>
      <c r="V2632" s="49"/>
      <c r="W2632" s="432"/>
      <c r="X2632" s="454"/>
      <c r="Y2632" s="433"/>
      <c r="Z2632" s="6"/>
      <c r="AA2632" s="500"/>
      <c r="AB2632" s="562"/>
      <c r="AC2632" s="49"/>
      <c r="AD2632" s="210"/>
      <c r="AE2632" s="434"/>
      <c r="AF2632" s="435"/>
      <c r="AG2632" s="49"/>
      <c r="AH2632" s="87"/>
      <c r="AI2632" s="87"/>
    </row>
    <row r="2633" spans="1:35" hidden="1">
      <c r="A2633" s="80" t="e">
        <f>"A"&amp;E2629</f>
        <v>#N/A</v>
      </c>
      <c r="B2633" s="81">
        <v>1</v>
      </c>
      <c r="C2633" s="82"/>
      <c r="D2633" s="82"/>
      <c r="E2633" s="82"/>
      <c r="F2633" s="82"/>
      <c r="G2633" s="83"/>
      <c r="H2633" s="83"/>
      <c r="I2633" s="84"/>
      <c r="J2633" s="85"/>
      <c r="K2633" s="382"/>
      <c r="L2633" s="85"/>
      <c r="M2633" s="332" t="str">
        <f t="shared" ref="M2633:M2642" si="772">IF(OR(J2633="",L2633="",H2633="NO"),"",IF(OR(J2633&gt;$P$17,J2633&lt;$O$17,L2633&gt;$P$17,AND(J2633&lt;$O$17,L2633&lt;$O$17)),"FUERA DE RANGO",IF(OR(K2633="---",K2633=""),IF(J2633&gt;=$O$17,ROUND((L2633-J2633+1)/360*12,3),ROUND((L2633-$O$17+1)/360*12,3)),IF(J2633&gt;=$O$17,ROUND((L2633-J2633+1)/360*12-ROUND(K2633,3),3),ROUND((L2633-$O$17+1)/360*12-ROUND(K2633,3),3)))))</f>
        <v/>
      </c>
      <c r="N2633" s="86"/>
      <c r="O2633" s="453" t="str">
        <f>IF(OR(G2633="",N2633=""),"",N2633*G2633)</f>
        <v/>
      </c>
      <c r="P2633" s="538" t="str">
        <f>IF(OR(H2633="",M2633="FUERA DE RANGO"),"",IF(OR(L2633&lt;$O$17,L2633&gt;$P$17,L2633="",H2633="NO"),"",IF(OR(N2633="",O2633=""),"",ROUND(O2633,3))))</f>
        <v/>
      </c>
      <c r="Q2633" s="539" t="str">
        <f t="shared" ref="Q2633:Q2642" si="773">IF(AND(H2633="SI",P2633&lt;&gt;""),ROUND(P2633/M2633,3),"")</f>
        <v/>
      </c>
      <c r="R2633" s="737"/>
      <c r="S2633" s="738"/>
      <c r="T2633" s="739"/>
      <c r="U2633" s="470"/>
      <c r="V2633" s="165"/>
      <c r="W2633" s="446"/>
      <c r="X2633" s="456"/>
      <c r="Y2633" s="436"/>
      <c r="Z2633" s="437"/>
      <c r="AA2633" s="560"/>
      <c r="AB2633" s="561"/>
      <c r="AC2633" s="87"/>
      <c r="AD2633" s="466"/>
      <c r="AE2633" s="456"/>
      <c r="AF2633" s="467"/>
      <c r="AG2633" s="87"/>
      <c r="AH2633" s="87"/>
      <c r="AI2633" s="87"/>
    </row>
    <row r="2634" spans="1:35" hidden="1">
      <c r="A2634" s="80" t="e">
        <f>"B"&amp;E2629</f>
        <v>#N/A</v>
      </c>
      <c r="B2634" s="81">
        <v>2</v>
      </c>
      <c r="C2634" s="106"/>
      <c r="D2634" s="106"/>
      <c r="E2634" s="106"/>
      <c r="F2634" s="106"/>
      <c r="G2634" s="83"/>
      <c r="H2634" s="83"/>
      <c r="I2634" s="84"/>
      <c r="J2634" s="85"/>
      <c r="K2634" s="382"/>
      <c r="L2634" s="85"/>
      <c r="M2634" s="332" t="str">
        <f t="shared" si="772"/>
        <v/>
      </c>
      <c r="N2634" s="86"/>
      <c r="O2634" s="453" t="str">
        <f t="shared" ref="O2634:O2642" si="774">IF(OR(G2634="",N2634=""),"",N2634*G2634)</f>
        <v/>
      </c>
      <c r="P2634" s="538" t="str">
        <f t="shared" ref="P2634:P2642" si="775">IF(OR(H2634="",M2634="FUERA DE RANGO"),"",IF(OR(L2634&lt;$O$17,L2634&gt;$P$17,L2634="",H2634="NO"),"",IF(OR(N2634="",O2634=""),"",ROUND(O2634,3))))</f>
        <v/>
      </c>
      <c r="Q2634" s="539" t="str">
        <f t="shared" si="773"/>
        <v/>
      </c>
      <c r="R2634" s="740"/>
      <c r="S2634" s="741"/>
      <c r="T2634" s="742"/>
      <c r="U2634" s="471"/>
      <c r="V2634" s="165"/>
      <c r="W2634" s="446"/>
      <c r="X2634" s="456"/>
      <c r="Y2634" s="436"/>
      <c r="Z2634" s="437"/>
      <c r="AA2634" s="560"/>
      <c r="AB2634" s="561"/>
      <c r="AC2634" s="87"/>
      <c r="AD2634" s="466"/>
      <c r="AE2634" s="456"/>
      <c r="AF2634" s="467"/>
      <c r="AG2634" s="87"/>
      <c r="AH2634" s="87"/>
      <c r="AI2634" s="87"/>
    </row>
    <row r="2635" spans="1:35" hidden="1">
      <c r="A2635" s="80" t="e">
        <f>"C"&amp;E2629</f>
        <v>#N/A</v>
      </c>
      <c r="B2635" s="88">
        <v>3</v>
      </c>
      <c r="C2635" s="82"/>
      <c r="D2635" s="82"/>
      <c r="E2635" s="82"/>
      <c r="F2635" s="82"/>
      <c r="G2635" s="83"/>
      <c r="H2635" s="83"/>
      <c r="I2635" s="84"/>
      <c r="J2635" s="85"/>
      <c r="K2635" s="382"/>
      <c r="L2635" s="85"/>
      <c r="M2635" s="332" t="str">
        <f t="shared" si="772"/>
        <v/>
      </c>
      <c r="N2635" s="86"/>
      <c r="O2635" s="453" t="str">
        <f t="shared" si="774"/>
        <v/>
      </c>
      <c r="P2635" s="538" t="str">
        <f t="shared" si="775"/>
        <v/>
      </c>
      <c r="Q2635" s="539" t="str">
        <f t="shared" si="773"/>
        <v/>
      </c>
      <c r="R2635" s="706"/>
      <c r="S2635" s="707"/>
      <c r="T2635" s="708"/>
      <c r="U2635" s="472"/>
      <c r="V2635" s="166"/>
      <c r="W2635" s="446"/>
      <c r="X2635" s="456"/>
      <c r="Y2635" s="436"/>
      <c r="Z2635" s="437"/>
      <c r="AA2635" s="560"/>
      <c r="AB2635" s="561"/>
      <c r="AC2635" s="87"/>
      <c r="AD2635" s="466"/>
      <c r="AE2635" s="456"/>
      <c r="AF2635" s="467"/>
      <c r="AG2635" s="87"/>
      <c r="AH2635" s="87"/>
      <c r="AI2635" s="87"/>
    </row>
    <row r="2636" spans="1:35" hidden="1">
      <c r="A2636" s="80" t="e">
        <f>"D"&amp;E2629</f>
        <v>#N/A</v>
      </c>
      <c r="B2636" s="105">
        <v>4</v>
      </c>
      <c r="C2636" s="107"/>
      <c r="D2636" s="107"/>
      <c r="E2636" s="107"/>
      <c r="F2636" s="107"/>
      <c r="G2636" s="83"/>
      <c r="H2636" s="83"/>
      <c r="I2636" s="84"/>
      <c r="J2636" s="85"/>
      <c r="K2636" s="382"/>
      <c r="L2636" s="85"/>
      <c r="M2636" s="332" t="str">
        <f t="shared" si="772"/>
        <v/>
      </c>
      <c r="N2636" s="86"/>
      <c r="O2636" s="453" t="str">
        <f t="shared" si="774"/>
        <v/>
      </c>
      <c r="P2636" s="538" t="str">
        <f t="shared" si="775"/>
        <v/>
      </c>
      <c r="Q2636" s="539" t="str">
        <f t="shared" si="773"/>
        <v/>
      </c>
      <c r="R2636" s="706"/>
      <c r="S2636" s="707"/>
      <c r="T2636" s="708"/>
      <c r="U2636" s="472"/>
      <c r="V2636" s="166"/>
      <c r="W2636" s="446"/>
      <c r="X2636" s="456"/>
      <c r="Y2636" s="436"/>
      <c r="Z2636" s="437"/>
      <c r="AA2636" s="560"/>
      <c r="AB2636" s="561"/>
      <c r="AC2636" s="87"/>
      <c r="AD2636" s="466"/>
      <c r="AE2636" s="456"/>
      <c r="AF2636" s="467"/>
      <c r="AG2636" s="87"/>
      <c r="AH2636" s="87"/>
      <c r="AI2636" s="87"/>
    </row>
    <row r="2637" spans="1:35" hidden="1">
      <c r="A2637" s="80" t="e">
        <f>"E"&amp;E2629</f>
        <v>#N/A</v>
      </c>
      <c r="B2637" s="105">
        <v>5</v>
      </c>
      <c r="C2637" s="107"/>
      <c r="D2637" s="107"/>
      <c r="E2637" s="107"/>
      <c r="F2637" s="107"/>
      <c r="G2637" s="83"/>
      <c r="H2637" s="83"/>
      <c r="I2637" s="84"/>
      <c r="J2637" s="85"/>
      <c r="K2637" s="382"/>
      <c r="L2637" s="85"/>
      <c r="M2637" s="332" t="str">
        <f t="shared" si="772"/>
        <v/>
      </c>
      <c r="N2637" s="86"/>
      <c r="O2637" s="453" t="str">
        <f t="shared" si="774"/>
        <v/>
      </c>
      <c r="P2637" s="538" t="str">
        <f t="shared" si="775"/>
        <v/>
      </c>
      <c r="Q2637" s="539" t="str">
        <f t="shared" si="773"/>
        <v/>
      </c>
      <c r="R2637" s="706"/>
      <c r="S2637" s="707"/>
      <c r="T2637" s="708"/>
      <c r="U2637" s="472"/>
      <c r="V2637" s="167"/>
      <c r="W2637" s="446"/>
      <c r="X2637" s="456"/>
      <c r="Y2637" s="436"/>
      <c r="Z2637" s="437"/>
      <c r="AA2637" s="560"/>
      <c r="AB2637" s="561"/>
      <c r="AC2637" s="87"/>
      <c r="AD2637" s="466"/>
      <c r="AE2637" s="456"/>
      <c r="AF2637" s="467"/>
      <c r="AG2637" s="87"/>
      <c r="AH2637" s="87"/>
      <c r="AI2637" s="87"/>
    </row>
    <row r="2638" spans="1:35" hidden="1">
      <c r="A2638" s="80" t="e">
        <f>"F"&amp;E2629</f>
        <v>#N/A</v>
      </c>
      <c r="B2638" s="105">
        <v>6</v>
      </c>
      <c r="C2638" s="107"/>
      <c r="D2638" s="107"/>
      <c r="E2638" s="107"/>
      <c r="F2638" s="107"/>
      <c r="G2638" s="83"/>
      <c r="H2638" s="83"/>
      <c r="I2638" s="84"/>
      <c r="J2638" s="85"/>
      <c r="K2638" s="382"/>
      <c r="L2638" s="85"/>
      <c r="M2638" s="332" t="str">
        <f t="shared" si="772"/>
        <v/>
      </c>
      <c r="N2638" s="86"/>
      <c r="O2638" s="453" t="str">
        <f t="shared" si="774"/>
        <v/>
      </c>
      <c r="P2638" s="538" t="str">
        <f t="shared" si="775"/>
        <v/>
      </c>
      <c r="Q2638" s="539" t="str">
        <f t="shared" si="773"/>
        <v/>
      </c>
      <c r="R2638" s="706"/>
      <c r="S2638" s="707"/>
      <c r="T2638" s="708"/>
      <c r="U2638" s="472"/>
      <c r="V2638" s="167"/>
      <c r="W2638" s="446"/>
      <c r="X2638" s="456"/>
      <c r="Y2638" s="436"/>
      <c r="Z2638" s="437"/>
      <c r="AA2638" s="560"/>
      <c r="AB2638" s="561"/>
      <c r="AC2638" s="87"/>
      <c r="AD2638" s="466"/>
      <c r="AE2638" s="456"/>
      <c r="AF2638" s="467"/>
      <c r="AG2638" s="87"/>
      <c r="AH2638" s="87"/>
      <c r="AI2638" s="87"/>
    </row>
    <row r="2639" spans="1:35" hidden="1">
      <c r="A2639" s="80" t="e">
        <f>"G"&amp;E2629</f>
        <v>#N/A</v>
      </c>
      <c r="B2639" s="105">
        <v>7</v>
      </c>
      <c r="C2639" s="107"/>
      <c r="D2639" s="107"/>
      <c r="E2639" s="107"/>
      <c r="F2639" s="107"/>
      <c r="G2639" s="83"/>
      <c r="H2639" s="83"/>
      <c r="I2639" s="84"/>
      <c r="J2639" s="85"/>
      <c r="K2639" s="382"/>
      <c r="L2639" s="85"/>
      <c r="M2639" s="332" t="str">
        <f t="shared" si="772"/>
        <v/>
      </c>
      <c r="N2639" s="86"/>
      <c r="O2639" s="86" t="str">
        <f t="shared" si="774"/>
        <v/>
      </c>
      <c r="P2639" s="538" t="str">
        <f t="shared" si="775"/>
        <v/>
      </c>
      <c r="Q2639" s="539" t="str">
        <f t="shared" si="773"/>
        <v/>
      </c>
      <c r="R2639" s="706"/>
      <c r="S2639" s="707"/>
      <c r="T2639" s="708"/>
      <c r="U2639" s="472"/>
      <c r="V2639" s="167"/>
      <c r="W2639" s="446"/>
      <c r="X2639" s="456"/>
      <c r="Y2639" s="436"/>
      <c r="Z2639" s="437"/>
      <c r="AA2639" s="560"/>
      <c r="AB2639" s="561"/>
      <c r="AC2639" s="87"/>
      <c r="AD2639" s="466"/>
      <c r="AE2639" s="456"/>
      <c r="AF2639" s="467"/>
      <c r="AG2639" s="87"/>
      <c r="AH2639" s="87"/>
      <c r="AI2639" s="87"/>
    </row>
    <row r="2640" spans="1:35" hidden="1">
      <c r="A2640" s="80" t="e">
        <f>"H"&amp;E2629</f>
        <v>#N/A</v>
      </c>
      <c r="B2640" s="105">
        <v>8</v>
      </c>
      <c r="C2640" s="107"/>
      <c r="D2640" s="107"/>
      <c r="E2640" s="107"/>
      <c r="F2640" s="107"/>
      <c r="G2640" s="83"/>
      <c r="H2640" s="83"/>
      <c r="I2640" s="84"/>
      <c r="J2640" s="85"/>
      <c r="K2640" s="382"/>
      <c r="L2640" s="85"/>
      <c r="M2640" s="332" t="str">
        <f t="shared" si="772"/>
        <v/>
      </c>
      <c r="N2640" s="453"/>
      <c r="O2640" s="86" t="str">
        <f t="shared" si="774"/>
        <v/>
      </c>
      <c r="P2640" s="538" t="str">
        <f t="shared" si="775"/>
        <v/>
      </c>
      <c r="Q2640" s="539" t="str">
        <f t="shared" si="773"/>
        <v/>
      </c>
      <c r="R2640" s="706"/>
      <c r="S2640" s="707"/>
      <c r="T2640" s="708"/>
      <c r="U2640" s="472"/>
      <c r="V2640" s="167"/>
      <c r="W2640" s="446"/>
      <c r="X2640" s="456"/>
      <c r="Y2640" s="436"/>
      <c r="Z2640" s="437"/>
      <c r="AA2640" s="560"/>
      <c r="AB2640" s="561"/>
      <c r="AC2640" s="87"/>
      <c r="AD2640" s="466"/>
      <c r="AE2640" s="456"/>
      <c r="AF2640" s="467"/>
      <c r="AG2640" s="87"/>
      <c r="AH2640" s="87"/>
      <c r="AI2640" s="87"/>
    </row>
    <row r="2641" spans="1:35" hidden="1">
      <c r="A2641" s="80" t="e">
        <f>"I"&amp;E2629</f>
        <v>#N/A</v>
      </c>
      <c r="B2641" s="105">
        <v>9</v>
      </c>
      <c r="C2641" s="107"/>
      <c r="D2641" s="107"/>
      <c r="E2641" s="107"/>
      <c r="F2641" s="107"/>
      <c r="G2641" s="83"/>
      <c r="H2641" s="83"/>
      <c r="I2641" s="84"/>
      <c r="J2641" s="85"/>
      <c r="K2641" s="382"/>
      <c r="L2641" s="85"/>
      <c r="M2641" s="332" t="str">
        <f t="shared" si="772"/>
        <v/>
      </c>
      <c r="N2641" s="453"/>
      <c r="O2641" s="86" t="str">
        <f t="shared" si="774"/>
        <v/>
      </c>
      <c r="P2641" s="538" t="str">
        <f t="shared" si="775"/>
        <v/>
      </c>
      <c r="Q2641" s="539" t="str">
        <f t="shared" si="773"/>
        <v/>
      </c>
      <c r="R2641" s="706"/>
      <c r="S2641" s="707"/>
      <c r="T2641" s="708"/>
      <c r="U2641" s="472"/>
      <c r="V2641" s="167"/>
      <c r="W2641" s="446"/>
      <c r="X2641" s="456"/>
      <c r="Y2641" s="436"/>
      <c r="Z2641" s="437"/>
      <c r="AA2641" s="560"/>
      <c r="AB2641" s="561"/>
      <c r="AC2641" s="87"/>
      <c r="AD2641" s="466"/>
      <c r="AE2641" s="456"/>
      <c r="AF2641" s="467"/>
      <c r="AG2641" s="87"/>
      <c r="AH2641" s="87"/>
      <c r="AI2641" s="87"/>
    </row>
    <row r="2642" spans="1:35" hidden="1">
      <c r="A2642" s="80" t="e">
        <f>"J"&amp;E2629</f>
        <v>#N/A</v>
      </c>
      <c r="B2642" s="105">
        <v>10</v>
      </c>
      <c r="C2642" s="107"/>
      <c r="D2642" s="107"/>
      <c r="E2642" s="107"/>
      <c r="F2642" s="107"/>
      <c r="G2642" s="83"/>
      <c r="H2642" s="83"/>
      <c r="I2642" s="84"/>
      <c r="J2642" s="85"/>
      <c r="K2642" s="382"/>
      <c r="L2642" s="85"/>
      <c r="M2642" s="332" t="str">
        <f t="shared" si="772"/>
        <v/>
      </c>
      <c r="N2642" s="453"/>
      <c r="O2642" s="86" t="str">
        <f t="shared" si="774"/>
        <v/>
      </c>
      <c r="P2642" s="538" t="str">
        <f t="shared" si="775"/>
        <v/>
      </c>
      <c r="Q2642" s="539" t="str">
        <f t="shared" si="773"/>
        <v/>
      </c>
      <c r="R2642" s="706"/>
      <c r="S2642" s="707"/>
      <c r="T2642" s="708"/>
      <c r="U2642" s="472"/>
      <c r="V2642" s="167"/>
      <c r="W2642" s="446"/>
      <c r="X2642" s="456"/>
      <c r="Y2642" s="436"/>
      <c r="Z2642" s="437"/>
      <c r="AA2642" s="560"/>
      <c r="AB2642" s="561"/>
      <c r="AC2642" s="87"/>
      <c r="AD2642" s="466"/>
      <c r="AE2642" s="456"/>
      <c r="AF2642" s="467"/>
      <c r="AG2642" s="87"/>
      <c r="AH2642" s="87"/>
      <c r="AI2642" s="87"/>
    </row>
    <row r="2643" spans="1:35" ht="16.5" hidden="1" thickBot="1">
      <c r="A2643" s="44"/>
      <c r="B2643" s="89"/>
      <c r="C2643" s="90"/>
      <c r="D2643" s="90"/>
      <c r="E2643" s="90"/>
      <c r="F2643" s="90"/>
      <c r="G2643" s="90"/>
      <c r="H2643" s="90"/>
      <c r="I2643" s="90"/>
      <c r="J2643" s="90"/>
      <c r="K2643" s="90"/>
      <c r="L2643" s="90"/>
      <c r="M2643" s="90"/>
      <c r="N2643" s="90"/>
      <c r="O2643" s="90"/>
      <c r="P2643" s="90"/>
      <c r="Q2643" s="90"/>
      <c r="R2643" s="90"/>
      <c r="S2643" s="91"/>
      <c r="T2643" s="92"/>
      <c r="U2643" s="473"/>
      <c r="W2643" s="438"/>
      <c r="X2643" s="455"/>
      <c r="Y2643" s="439"/>
      <c r="Z2643" s="437"/>
      <c r="AA2643" s="530"/>
      <c r="AB2643" s="563"/>
      <c r="AC2643" s="87"/>
      <c r="AD2643" s="440"/>
      <c r="AE2643" s="441"/>
      <c r="AF2643" s="442"/>
      <c r="AG2643" s="49"/>
      <c r="AH2643" s="87"/>
      <c r="AI2643" s="87"/>
    </row>
    <row r="2644" spans="1:35" ht="16.5" hidden="1" thickBot="1">
      <c r="A2644" s="93"/>
      <c r="B2644" s="94"/>
      <c r="C2644" s="96"/>
      <c r="D2644" s="96"/>
      <c r="E2644" s="96"/>
      <c r="F2644" s="96"/>
      <c r="G2644" s="96"/>
      <c r="H2644" s="96"/>
      <c r="I2644" s="96"/>
      <c r="J2644" s="96"/>
      <c r="K2644" s="96"/>
      <c r="L2644" s="96"/>
      <c r="M2644" s="136"/>
      <c r="N2644" s="96"/>
      <c r="O2644" s="96"/>
      <c r="P2644" s="97"/>
      <c r="Q2644" s="97"/>
      <c r="R2644" s="98"/>
      <c r="S2644" s="95"/>
      <c r="T2644" s="99"/>
      <c r="U2644" s="469"/>
      <c r="AC2644" s="58"/>
      <c r="AG2644" s="58"/>
      <c r="AH2644" s="87"/>
      <c r="AI2644" s="87"/>
    </row>
    <row r="2645" spans="1:35" ht="16.5" hidden="1" thickBot="1">
      <c r="B2645" s="101"/>
      <c r="C2645" s="101"/>
      <c r="D2645" s="101"/>
      <c r="E2645" s="101"/>
      <c r="F2645" s="101"/>
      <c r="G2645" s="101"/>
      <c r="H2645" s="101"/>
      <c r="I2645" s="101"/>
      <c r="J2645" s="101"/>
      <c r="K2645" s="101"/>
      <c r="L2645" s="101"/>
      <c r="M2645" s="101"/>
      <c r="N2645" s="101"/>
      <c r="O2645" s="101"/>
      <c r="P2645" s="101"/>
      <c r="Q2645" s="101"/>
      <c r="R2645" s="101"/>
      <c r="S2645" s="101"/>
      <c r="U2645" s="50"/>
      <c r="AH2645" s="87"/>
      <c r="AI2645" s="87"/>
    </row>
    <row r="2646" spans="1:35" ht="16.5" hidden="1" customHeight="1" thickBot="1">
      <c r="A2646" s="44"/>
      <c r="B2646" s="705" t="s">
        <v>74</v>
      </c>
      <c r="C2646" s="705"/>
      <c r="D2646" s="705"/>
      <c r="E2646" s="705"/>
      <c r="F2646" s="705"/>
      <c r="G2646" s="705"/>
      <c r="H2646" s="705"/>
      <c r="I2646" s="705"/>
      <c r="J2646" s="705"/>
      <c r="K2646" s="705"/>
      <c r="L2646" s="705"/>
      <c r="M2646" s="705"/>
      <c r="N2646" s="705"/>
      <c r="O2646" s="705"/>
      <c r="P2646" s="705"/>
      <c r="Q2646" s="705"/>
      <c r="R2646" s="705"/>
      <c r="S2646" s="705"/>
      <c r="T2646" s="705"/>
      <c r="U2646" s="108"/>
      <c r="Y2646" s="532" t="s">
        <v>341</v>
      </c>
      <c r="AC2646" s="49"/>
      <c r="AD2646" s="687" t="s">
        <v>302</v>
      </c>
      <c r="AE2646" s="688"/>
      <c r="AF2646" s="689"/>
      <c r="AG2646" s="49"/>
      <c r="AH2646" s="87"/>
      <c r="AI2646" s="87"/>
    </row>
    <row r="2647" spans="1:35" ht="15.75" hidden="1" customHeight="1" thickBot="1">
      <c r="A2647" s="218" t="e">
        <f>"K"&amp;E2629</f>
        <v>#N/A</v>
      </c>
      <c r="B2647" s="701" t="s">
        <v>71</v>
      </c>
      <c r="C2647" s="751" t="s">
        <v>102</v>
      </c>
      <c r="D2647" s="751"/>
      <c r="E2647" s="751"/>
      <c r="F2647" s="751"/>
      <c r="G2647" s="751"/>
      <c r="H2647" s="751"/>
      <c r="I2647" s="751"/>
      <c r="J2647" s="751"/>
      <c r="K2647" s="751"/>
      <c r="L2647" s="722" t="s">
        <v>100</v>
      </c>
      <c r="M2647" s="747" t="s">
        <v>114</v>
      </c>
      <c r="N2647" s="747"/>
      <c r="O2647" s="747"/>
      <c r="P2647" s="747"/>
      <c r="Q2647" s="748"/>
      <c r="R2647" s="758" t="s">
        <v>280</v>
      </c>
      <c r="S2647" s="748"/>
      <c r="T2647" s="762" t="str">
        <f>IF(COUNTIF(AE2647:AF2647,"VERIFICAR")&gt;0,"VERIFICAR",IF(COUNTIF(AE2647:AF2647,"NO CUMPLE")&gt;0,"NO CUMPLE","CUMPLE"))</f>
        <v>VERIFICAR</v>
      </c>
      <c r="U2647" s="108"/>
      <c r="Y2647" s="533" t="e">
        <f>IF(F2648="","",IF(F2648=1,"INDIVIDUAL","ESTRUCTURA PLURAL"))</f>
        <v>#N/A</v>
      </c>
      <c r="AC2647" s="52"/>
      <c r="AD2647" s="475" t="s">
        <v>303</v>
      </c>
      <c r="AE2647" s="476" t="str">
        <f>IF(COUNTIF(AE2633:AE2642,"")=10,"VERIFICAR",IF(COUNTIF(AE2633:AE2642,"SI")&gt;0,"CUMPLE","NO CUMPLE"))</f>
        <v>VERIFICAR</v>
      </c>
      <c r="AF2647" s="477" t="str">
        <f>IF(COUNTIF(AF2633:AF2642,"")=10,"VERIFICAR",IF(COUNTIF(AF2633:AF2642,"SI")&gt;=$AI$22,"CUMPLE","NO CUMPLE"))</f>
        <v>VERIFICAR</v>
      </c>
      <c r="AG2647" s="52"/>
      <c r="AH2647" s="87"/>
      <c r="AI2647" s="87"/>
    </row>
    <row r="2648" spans="1:35" ht="16.5" hidden="1" customHeight="1" thickBot="1">
      <c r="A2648" s="218" t="e">
        <f>"L"&amp;E2629</f>
        <v>#N/A</v>
      </c>
      <c r="B2648" s="702"/>
      <c r="C2648" s="751" t="s">
        <v>103</v>
      </c>
      <c r="D2648" s="751"/>
      <c r="E2648" s="752"/>
      <c r="F2648" s="557" t="e">
        <f>IF(VLOOKUP(E2629,PROPONENTES!$C$19:$E$218,3,0)="","",VLOOKUP(E2629,PROPONENTES!$C$19:$E$218,3,0))</f>
        <v>#N/A</v>
      </c>
      <c r="G2648" s="753" t="s">
        <v>104</v>
      </c>
      <c r="H2648" s="751"/>
      <c r="I2648" s="715" t="e">
        <f>IF(OR(F2648="",F2648=1),"INTERESADO PERSONA NATURAL O JURIDICA","CONSORCIO O UNION TEMPORAL")</f>
        <v>#N/A</v>
      </c>
      <c r="J2648" s="725"/>
      <c r="K2648" s="728"/>
      <c r="L2648" s="723"/>
      <c r="M2648" s="749"/>
      <c r="N2648" s="749"/>
      <c r="O2648" s="749"/>
      <c r="P2648" s="749"/>
      <c r="Q2648" s="750"/>
      <c r="R2648" s="712"/>
      <c r="S2648" s="750"/>
      <c r="T2648" s="763"/>
      <c r="U2648" s="108"/>
      <c r="Y2648" s="534"/>
      <c r="AA2648" s="52"/>
      <c r="AB2648" s="52"/>
      <c r="AC2648" s="52"/>
      <c r="AG2648" s="52"/>
      <c r="AH2648" s="87"/>
      <c r="AI2648" s="87"/>
    </row>
    <row r="2649" spans="1:35" ht="56.25" hidden="1" customHeight="1" thickBot="1">
      <c r="A2649" s="218" t="e">
        <f>"M"&amp;E2629</f>
        <v>#N/A</v>
      </c>
      <c r="B2649" s="702"/>
      <c r="C2649" s="725" t="s">
        <v>101</v>
      </c>
      <c r="D2649" s="716"/>
      <c r="E2649" s="558" t="s">
        <v>105</v>
      </c>
      <c r="F2649" s="554" t="s">
        <v>87</v>
      </c>
      <c r="G2649" s="553" t="s">
        <v>86</v>
      </c>
      <c r="H2649" s="559" t="s">
        <v>85</v>
      </c>
      <c r="I2649" s="554" t="s">
        <v>252</v>
      </c>
      <c r="J2649" s="553" t="str">
        <f>"¿EL INTEGRANTE TIENE UNA PARTICIPACIÓN DEL "&amp;PORCREQUERIDOINT*100&amp;"%?"</f>
        <v>¿EL INTEGRANTE TIENE UNA PARTICIPACIÓN DEL 60%?</v>
      </c>
      <c r="K2649" s="554" t="s">
        <v>107</v>
      </c>
      <c r="L2649" s="724"/>
      <c r="M2649" s="717" t="s">
        <v>115</v>
      </c>
      <c r="N2649" s="718"/>
      <c r="O2649" s="718"/>
      <c r="P2649" s="718"/>
      <c r="Q2649" s="223">
        <f>IF(AND(H2633="SI",P2633&gt;=0),1,0)+IF(AND(H2634="SI",P2634&gt;=0),1,0)+IF(AND(H2635="SI",P2635&gt;=0),1,0)+IF(AND(H2636="SI",P2636&gt;=0),1,0)+IF(AND(H2637="SI",P2637&gt;=0),1,0)+IF(AND(H2638="SI",P2638&gt;=0),1,0)+IF(AND(H2639="SI",P2639&gt;=0),1,0)+IF(AND(H2640="SI",P2640&gt;=0),1,0)+IF(AND(H2641="SI",P2641&gt;=0),1,0)+IF(AND(H2642="SI",P2642&gt;=0),1,0)</f>
        <v>0</v>
      </c>
      <c r="R2649" s="759"/>
      <c r="S2649" s="761"/>
      <c r="T2649" s="764"/>
      <c r="U2649" s="219"/>
      <c r="V2649" s="464"/>
      <c r="Y2649" s="532" t="s">
        <v>342</v>
      </c>
      <c r="AA2649" s="550" t="s">
        <v>344</v>
      </c>
      <c r="AB2649" s="693" t="s">
        <v>345</v>
      </c>
      <c r="AC2649" s="693" t="s">
        <v>346</v>
      </c>
      <c r="AD2649" s="685" t="s">
        <v>347</v>
      </c>
      <c r="AE2649" s="52"/>
      <c r="AF2649" s="52"/>
      <c r="AG2649" s="52"/>
      <c r="AH2649" s="87"/>
      <c r="AI2649" s="87"/>
    </row>
    <row r="2650" spans="1:35" ht="15.75" hidden="1" customHeight="1" thickBot="1">
      <c r="A2650" s="218" t="e">
        <f>"N"&amp;E2629</f>
        <v>#N/A</v>
      </c>
      <c r="B2650" s="702"/>
      <c r="C2650" s="114">
        <v>1</v>
      </c>
      <c r="D2650" s="194" t="e">
        <f>IF(AND(C2650&lt;=F2648,F2648&gt;1,F2648&lt;&gt;""),VLOOKUP(VALUE(E2629&amp;","&amp;C2650),INTEGRANTES!$D$18:$F$235,2,0),"")</f>
        <v>#N/A</v>
      </c>
      <c r="E2650" s="211" t="e">
        <f>IF(D2650&lt;&gt;"",VLOOKUP(VALUE(E2629&amp;","&amp;C2650),INTEGRANTES!$D$18:$F$235,3,0),"")</f>
        <v>#N/A</v>
      </c>
      <c r="F2650" s="547" t="e">
        <f>IF(D2650="","",SUMIF($I2633:$I2642,D2650,$P2633:$P2642))</f>
        <v>#N/A</v>
      </c>
      <c r="G2650" s="333" t="e">
        <f>IF(D2650="","",SUMIF($I2633:$I2642,D2650,$M2633:$M2642))</f>
        <v>#N/A</v>
      </c>
      <c r="H2650" s="535" t="e">
        <f t="shared" ref="H2650:H2655" si="776">IF(D2650="","",IF(OR(F2650=0,G2650=0),"NO APORTA",ROUND($F2650/$G2650,3)))</f>
        <v>#N/A</v>
      </c>
      <c r="I2650" s="212" t="e">
        <f>IF(D2650="","",IF(H2650="NO APORTA","NO",IF(H2650=MAX($H2650:$H2655),"SI","NO")))</f>
        <v>#N/A</v>
      </c>
      <c r="J2650" s="213" t="e">
        <f t="shared" ref="J2650:J2655" si="777">IF(D2650="","",IF(E2650&gt;=PORCREQUERIDOINT,"SI","NO"))</f>
        <v>#N/A</v>
      </c>
      <c r="K2650" s="200" t="e">
        <f t="shared" ref="K2650:K2655" si="778">IF(D2650="","",IF(AND(I2650="SI",J2650="SI"),"CUMPLE",IF(AND(I2650="NO",OR(J2650="SI",J2650="NO")),"","NO CUMPLE")))</f>
        <v>#N/A</v>
      </c>
      <c r="L2650" s="722" t="s">
        <v>108</v>
      </c>
      <c r="M2650" s="726" t="s">
        <v>119</v>
      </c>
      <c r="N2650" s="726"/>
      <c r="O2650" s="726"/>
      <c r="P2650" s="726"/>
      <c r="Q2650" s="727"/>
      <c r="R2650" s="758" t="s">
        <v>80</v>
      </c>
      <c r="S2650" s="747"/>
      <c r="T2650" s="748"/>
      <c r="U2650" s="219"/>
      <c r="V2650" s="464"/>
      <c r="Y2650" s="533" t="e">
        <f>IF(Y2647="","",IF(Y2647="INDIVIDUAL","NO APLICA","VERIFICAR CUADRO"))</f>
        <v>#N/A</v>
      </c>
      <c r="AA2650" s="551"/>
      <c r="AB2650" s="694"/>
      <c r="AC2650" s="694"/>
      <c r="AD2650" s="686"/>
      <c r="AE2650" s="52"/>
      <c r="AF2650" s="52"/>
      <c r="AG2650" s="52"/>
      <c r="AH2650" s="87"/>
      <c r="AI2650" s="87"/>
    </row>
    <row r="2651" spans="1:35" ht="27" hidden="1" customHeight="1" thickBot="1">
      <c r="A2651" s="218" t="e">
        <f>"O"&amp;E2629</f>
        <v>#N/A</v>
      </c>
      <c r="B2651" s="702"/>
      <c r="C2651" s="114">
        <v>2</v>
      </c>
      <c r="D2651" s="194" t="e">
        <f>IF(AND(C2651&lt;=F2648,F2648&lt;&gt;""),VLOOKUP(VALUE(E2629&amp;","&amp;C2651),INTEGRANTES!$D$18:$F$235,2,0),"")</f>
        <v>#N/A</v>
      </c>
      <c r="E2651" s="211" t="e">
        <f>IF(D2651&lt;&gt;"",VLOOKUP(VALUE(E2629&amp;","&amp;C2651),INTEGRANTES!$D$18:$F$235,3,0),"")</f>
        <v>#N/A</v>
      </c>
      <c r="F2651" s="547" t="e">
        <f>IF(D2651="","",SUMIF($I2633:$I2642,D2651,$P2633:$P2642))</f>
        <v>#N/A</v>
      </c>
      <c r="G2651" s="333" t="e">
        <f>IF(D2651="","",SUMIF($I2633:$I2642,D2651,$M2633:$M2642))</f>
        <v>#N/A</v>
      </c>
      <c r="H2651" s="535" t="e">
        <f t="shared" si="776"/>
        <v>#N/A</v>
      </c>
      <c r="I2651" s="212" t="e">
        <f>IF(D2651="","",IF(H2651="NO APORTA","NO",IF(H2651=MAX($H2650:$H2655),"SI","NO")))</f>
        <v>#N/A</v>
      </c>
      <c r="J2651" s="213" t="e">
        <f t="shared" si="777"/>
        <v>#N/A</v>
      </c>
      <c r="K2651" s="200" t="e">
        <f t="shared" si="778"/>
        <v>#N/A</v>
      </c>
      <c r="L2651" s="723"/>
      <c r="M2651" s="715" t="s">
        <v>116</v>
      </c>
      <c r="N2651" s="716"/>
      <c r="O2651" s="556" t="s">
        <v>113</v>
      </c>
      <c r="P2651" s="715" t="s">
        <v>117</v>
      </c>
      <c r="Q2651" s="728"/>
      <c r="R2651" s="759"/>
      <c r="S2651" s="760"/>
      <c r="T2651" s="761"/>
      <c r="U2651" s="219"/>
      <c r="V2651" s="464"/>
      <c r="Y2651" s="414"/>
      <c r="AA2651" s="542" t="e">
        <f>IF(AND(C2650&lt;=F2648,F2648&gt;1,F2648&lt;&gt;""),VLOOKUP(VALUE(E2629&amp;","&amp;C2650),INTEGRANTES!$D$18:$F$235,2,0),"")</f>
        <v>#N/A</v>
      </c>
      <c r="AB2651" s="544" t="e">
        <f t="shared" ref="AB2651:AB2656" si="779">IF(D2650="","",IF(OR(F2650=0,G2650=0),"NO APORTA",ROUND($F2650/$G2650,3)))</f>
        <v>#N/A</v>
      </c>
      <c r="AC2651" s="529"/>
      <c r="AD2651" s="200" t="e">
        <f t="shared" ref="AD2651:AD2656" si="780">IF(OR(AA2651="",AB2651=""),"",IF(AND(AC2651="X",AB2651&gt;=EXPREQVTD),"CUMPLE","NO CUMPLE"))</f>
        <v>#N/A</v>
      </c>
      <c r="AE2651" s="52"/>
      <c r="AF2651" s="52"/>
      <c r="AG2651" s="52"/>
      <c r="AH2651" s="87"/>
      <c r="AI2651" s="87"/>
    </row>
    <row r="2652" spans="1:35" ht="16.5" hidden="1" thickBot="1">
      <c r="A2652" s="218" t="e">
        <f>"P"&amp;E2629</f>
        <v>#N/A</v>
      </c>
      <c r="B2652" s="702"/>
      <c r="C2652" s="114">
        <v>3</v>
      </c>
      <c r="D2652" s="194" t="e">
        <f>IF(AND(C2652&lt;=F2648,F2648&lt;&gt;""),VLOOKUP(VALUE(E2629&amp;","&amp;C2652),INTEGRANTES!$D$18:$F$235,2,0),"")</f>
        <v>#N/A</v>
      </c>
      <c r="E2652" s="211" t="e">
        <f>IF(D2652&lt;&gt;"",VLOOKUP(VALUE(E2629&amp;","&amp;C2652),INTEGRANTES!$D$18:$F$235,3,0),"")</f>
        <v>#N/A</v>
      </c>
      <c r="F2652" s="547" t="e">
        <f>IF(D2652="","",SUMIF($I2633:$I2642,D2652,$P2633:$P2642))</f>
        <v>#N/A</v>
      </c>
      <c r="G2652" s="333" t="e">
        <f>IF(D2652="","",SUMIF($I2633:$I2642,D2652,$M2633:$M2642))</f>
        <v>#N/A</v>
      </c>
      <c r="H2652" s="535" t="e">
        <f t="shared" si="776"/>
        <v>#N/A</v>
      </c>
      <c r="I2652" s="212" t="e">
        <f>IF(D2652="","",IF(H2652="NO APORTA","NO",IF(H2652=MAX($H2650:$H2655),"SI","NO")))</f>
        <v>#N/A</v>
      </c>
      <c r="J2652" s="213" t="e">
        <f t="shared" si="777"/>
        <v>#N/A</v>
      </c>
      <c r="K2652" s="200" t="e">
        <f t="shared" si="778"/>
        <v>#N/A</v>
      </c>
      <c r="L2652" s="724"/>
      <c r="M2652" s="729">
        <f>NUMMOD</f>
        <v>1</v>
      </c>
      <c r="N2652" s="730"/>
      <c r="O2652" s="443">
        <f>IF(M2652="","",VLOOKUP(M2652,PRESUPUESTOS!$B$16:$H$16,5,FALSE))</f>
        <v>2</v>
      </c>
      <c r="P2652" s="713">
        <f>IF(OR(COUNTIF(M2633:M2642,"")&gt;=10,Q2649&lt;NUMMINCONT,OR(T2647="NO CUMPLE",T2647="VERIFICAR")),0,ROUND(AVERAGE(M2633:M2642),3))</f>
        <v>0</v>
      </c>
      <c r="Q2652" s="714"/>
      <c r="R2652" s="458"/>
      <c r="S2652" s="459"/>
      <c r="T2652" s="460"/>
      <c r="U2652" s="219"/>
      <c r="V2652" s="464"/>
      <c r="Y2652" s="532" t="str">
        <f>"40% * ("&amp;PRESUPUESTOS!$H$13&amp;")"</f>
        <v>40% * (50% PFMO)</v>
      </c>
      <c r="AA2652" s="540" t="e">
        <f>IF(AND(C2651&lt;=F2648,F2648&lt;&gt;""),VLOOKUP(VALUE(E2629&amp;","&amp;C2651),INTEGRANTES!$D$18:$F$235,2,0),"")</f>
        <v>#N/A</v>
      </c>
      <c r="AB2652" s="545" t="e">
        <f t="shared" si="779"/>
        <v>#N/A</v>
      </c>
      <c r="AC2652" s="529"/>
      <c r="AD2652" s="200" t="e">
        <f t="shared" si="780"/>
        <v>#N/A</v>
      </c>
      <c r="AE2652" s="52"/>
      <c r="AF2652" s="52"/>
      <c r="AG2652" s="52"/>
      <c r="AH2652" s="87"/>
      <c r="AI2652" s="87"/>
    </row>
    <row r="2653" spans="1:35" ht="15.75" hidden="1" customHeight="1" thickBot="1">
      <c r="A2653" s="218" t="e">
        <f>"Q"&amp;E2629</f>
        <v>#N/A</v>
      </c>
      <c r="B2653" s="702"/>
      <c r="C2653" s="114">
        <v>4</v>
      </c>
      <c r="D2653" s="194" t="e">
        <f>IF(AND(C2653&lt;=F2648,F2648&lt;&gt;""),VLOOKUP(VALUE(E2629&amp;","&amp;C2653),INTEGRANTES!$D$18:$F$235,2,0),"")</f>
        <v>#N/A</v>
      </c>
      <c r="E2653" s="211" t="e">
        <f>IF(D2653&lt;&gt;"",VLOOKUP(VALUE(E2629&amp;","&amp;C2653),INTEGRANTES!$D$18:$F$235,3,0),"")</f>
        <v>#N/A</v>
      </c>
      <c r="F2653" s="547" t="e">
        <f>IF(D2653="","",SUMIF($I2633:$I2642,D2653,$P2633:$P2642))</f>
        <v>#N/A</v>
      </c>
      <c r="G2653" s="333" t="e">
        <f>IF(D2653="","",SUMIF($I2633:$I2642,D2653,$M2633:$M2642))</f>
        <v>#N/A</v>
      </c>
      <c r="H2653" s="535" t="e">
        <f t="shared" si="776"/>
        <v>#N/A</v>
      </c>
      <c r="I2653" s="212" t="e">
        <f>IF(D2653="","",IF(H2653="NO APORTA","NO",IF(H2653=MAX($H2650:$H2655),"SI","NO")))</f>
        <v>#N/A</v>
      </c>
      <c r="J2653" s="213" t="e">
        <f t="shared" si="777"/>
        <v>#N/A</v>
      </c>
      <c r="K2653" s="200" t="e">
        <f t="shared" si="778"/>
        <v>#N/A</v>
      </c>
      <c r="L2653" s="720" t="s">
        <v>109</v>
      </c>
      <c r="M2653" s="757" t="s">
        <v>120</v>
      </c>
      <c r="N2653" s="726"/>
      <c r="O2653" s="726"/>
      <c r="P2653" s="726"/>
      <c r="Q2653" s="727"/>
      <c r="R2653" s="458"/>
      <c r="S2653" s="459"/>
      <c r="T2653" s="460"/>
      <c r="U2653" s="219"/>
      <c r="V2653" s="464"/>
      <c r="Y2653" s="537">
        <f>0.4*PRESUPUESTOS!$H$16</f>
        <v>10.3124</v>
      </c>
      <c r="AA2653" s="540" t="e">
        <f>IF(AND(C2652&lt;=F2648,F2648&lt;&gt;""),VLOOKUP(VALUE(E2629&amp;","&amp;C2652),INTEGRANTES!$D$18:$F$235,2,0),"")</f>
        <v>#N/A</v>
      </c>
      <c r="AB2653" s="545" t="e">
        <f t="shared" si="779"/>
        <v>#N/A</v>
      </c>
      <c r="AC2653" s="529"/>
      <c r="AD2653" s="200" t="e">
        <f t="shared" si="780"/>
        <v>#N/A</v>
      </c>
      <c r="AE2653" s="52"/>
      <c r="AF2653" s="52"/>
      <c r="AG2653" s="52"/>
      <c r="AH2653" s="87"/>
      <c r="AI2653" s="87"/>
    </row>
    <row r="2654" spans="1:35" ht="27" hidden="1" customHeight="1" thickBot="1">
      <c r="A2654" s="218" t="e">
        <f>"R"&amp;E2629</f>
        <v>#N/A</v>
      </c>
      <c r="B2654" s="702"/>
      <c r="C2654" s="114">
        <v>5</v>
      </c>
      <c r="D2654" s="194" t="e">
        <f>IF(AND(C2654&lt;=F2648,F2648&lt;&gt;""),VLOOKUP(VALUE(E2629&amp;","&amp;C2654),INTEGRANTES!$D$18:$F$235,2,0),"")</f>
        <v>#N/A</v>
      </c>
      <c r="E2654" s="211" t="e">
        <f>IF(D2654&lt;&gt;"",VLOOKUP(VALUE(E2629&amp;","&amp;C2654),INTEGRANTES!$D$18:$F$235,3,0),"")</f>
        <v>#N/A</v>
      </c>
      <c r="F2654" s="547" t="e">
        <f>IF(D2654="","",SUMIF($I2633:$I2642,D2654,$P2633:$P2642))</f>
        <v>#N/A</v>
      </c>
      <c r="G2654" s="333" t="e">
        <f>IF(D2654="","",SUMIF($I2633:$I2642,D2654,$M2633:$M2642))</f>
        <v>#N/A</v>
      </c>
      <c r="H2654" s="535" t="e">
        <f t="shared" si="776"/>
        <v>#N/A</v>
      </c>
      <c r="I2654" s="212" t="e">
        <f>IF(D2654="","",IF(H2654="NO APORTA","NO",IF(H2654=MAX($H2650:$H2655),"SI","NO")))</f>
        <v>#N/A</v>
      </c>
      <c r="J2654" s="213" t="e">
        <f t="shared" si="777"/>
        <v>#N/A</v>
      </c>
      <c r="K2654" s="200" t="e">
        <f t="shared" si="778"/>
        <v>#N/A</v>
      </c>
      <c r="L2654" s="721"/>
      <c r="M2654" s="715" t="s">
        <v>116</v>
      </c>
      <c r="N2654" s="716"/>
      <c r="O2654" s="556" t="str">
        <f>PORCREQUERIDO*100&amp;"% PMFO DEL MÓDULO"</f>
        <v>50% PMFO DEL MÓDULO</v>
      </c>
      <c r="P2654" s="715" t="s">
        <v>118</v>
      </c>
      <c r="Q2654" s="728"/>
      <c r="R2654" s="458"/>
      <c r="S2654" s="459"/>
      <c r="T2654" s="460"/>
      <c r="U2654" s="219"/>
      <c r="V2654" s="464"/>
      <c r="Y2654" s="414"/>
      <c r="AA2654" s="540" t="e">
        <f>IF(AND(C2653&lt;=F2648,F2648&lt;&gt;""),VLOOKUP(VALUE(E2629&amp;","&amp;C2653),INTEGRANTES!$D$18:$F$235,2,0),"")</f>
        <v>#N/A</v>
      </c>
      <c r="AB2654" s="545" t="e">
        <f t="shared" si="779"/>
        <v>#N/A</v>
      </c>
      <c r="AC2654" s="529"/>
      <c r="AD2654" s="200" t="e">
        <f t="shared" si="780"/>
        <v>#N/A</v>
      </c>
      <c r="AE2654" s="52"/>
      <c r="AF2654" s="52"/>
      <c r="AG2654" s="52"/>
      <c r="AH2654" s="87"/>
      <c r="AI2654" s="87"/>
    </row>
    <row r="2655" spans="1:35" ht="16.5" hidden="1" thickBot="1">
      <c r="A2655" s="218" t="e">
        <f>"S"&amp;E2629</f>
        <v>#N/A</v>
      </c>
      <c r="B2655" s="702"/>
      <c r="C2655" s="215">
        <v>6</v>
      </c>
      <c r="D2655" s="216" t="e">
        <f>IF(AND(C2655&lt;=F2648,F2648&lt;&gt;""),VLOOKUP(VALUE(E2629&amp;","&amp;C2655),INTEGRANTES!$D$18:$F$235,2,0),"")</f>
        <v>#N/A</v>
      </c>
      <c r="E2655" s="217" t="e">
        <f>IF(D2655&lt;&gt;"",VLOOKUP(VALUE(E2629&amp;","&amp;C2655),INTEGRANTES!$D$18:$F$235,3,0),"")</f>
        <v>#N/A</v>
      </c>
      <c r="F2655" s="548" t="e">
        <f>IF(D2655="","",SUMIF($I2633:$I2642,D2655,$P2633:$P2642))</f>
        <v>#N/A</v>
      </c>
      <c r="G2655" s="334" t="e">
        <f>IF(D2655="","",SUMIF($I2633:$I2642,D2655,$M2633:$M2642))</f>
        <v>#N/A</v>
      </c>
      <c r="H2655" s="536" t="e">
        <f t="shared" si="776"/>
        <v>#N/A</v>
      </c>
      <c r="I2655" s="214" t="e">
        <f>IF(D2655="","",IF(H2655="NO APORTA","NO",IF(H2655=MAX($H2650:$H2655),"SI","NO")))</f>
        <v>#N/A</v>
      </c>
      <c r="J2655" s="213" t="e">
        <f t="shared" si="777"/>
        <v>#N/A</v>
      </c>
      <c r="K2655" s="200" t="e">
        <f t="shared" si="778"/>
        <v>#N/A</v>
      </c>
      <c r="L2655" s="721"/>
      <c r="M2655" s="729">
        <f>NUMMOD</f>
        <v>1</v>
      </c>
      <c r="N2655" s="730"/>
      <c r="O2655" s="443">
        <f>IF(M2655="","",ROUND(VLOOKUP(M2655,PRESUPUESTOS!$B$16:$H$16,7,FALSE),3))</f>
        <v>25.780999999999999</v>
      </c>
      <c r="P2655" s="713">
        <f>IF(OR(COUNTIF(P2633:P2642,"")&gt;=10,Q2649&lt;NUMMINCONT,OR(T2647="NO CUMPLE",T2647="VERIFICAR")),0,ROUND((SUM(P2633:P2642)/SUM(M2633:M2642)),3))</f>
        <v>0</v>
      </c>
      <c r="Q2655" s="714"/>
      <c r="R2655" s="458"/>
      <c r="S2655" s="459"/>
      <c r="T2655" s="460"/>
      <c r="U2655" s="219"/>
      <c r="V2655" s="464"/>
      <c r="Y2655" s="532" t="s">
        <v>343</v>
      </c>
      <c r="AA2655" s="540" t="e">
        <f>IF(AND(C2654&lt;=F2648,F2648&lt;&gt;""),VLOOKUP(VALUE(E2629&amp;","&amp;C2654),INTEGRANTES!$D$18:$F$235,2,0),"")</f>
        <v>#N/A</v>
      </c>
      <c r="AB2655" s="545" t="e">
        <f t="shared" si="779"/>
        <v>#N/A</v>
      </c>
      <c r="AC2655" s="529"/>
      <c r="AD2655" s="200" t="e">
        <f t="shared" si="780"/>
        <v>#N/A</v>
      </c>
      <c r="AE2655" s="52"/>
      <c r="AF2655" s="52"/>
      <c r="AG2655" s="52"/>
      <c r="AH2655" s="87"/>
      <c r="AI2655" s="87"/>
    </row>
    <row r="2656" spans="1:35" ht="16.5" hidden="1" customHeight="1" thickBot="1">
      <c r="A2656" s="218" t="e">
        <f>"T"&amp;E2629</f>
        <v>#N/A</v>
      </c>
      <c r="B2656" s="703"/>
      <c r="C2656" s="719"/>
      <c r="D2656" s="719"/>
      <c r="E2656" s="719"/>
      <c r="F2656" s="719"/>
      <c r="G2656" s="719"/>
      <c r="H2656" s="719" t="s">
        <v>110</v>
      </c>
      <c r="I2656" s="719"/>
      <c r="J2656" s="719"/>
      <c r="K2656" s="201" t="str">
        <f>IF(COUNTIF(K2650:K2655,"")=6,"",IF(COUNTIF(K2650:K2655,"CUMPLE")&gt;0,"CUMPLE","NO CUMPLE"))</f>
        <v>NO CUMPLE</v>
      </c>
      <c r="L2656" s="754"/>
      <c r="M2656" s="755"/>
      <c r="N2656" s="755"/>
      <c r="O2656" s="755"/>
      <c r="P2656" s="755"/>
      <c r="Q2656" s="756"/>
      <c r="R2656" s="461"/>
      <c r="S2656" s="462"/>
      <c r="T2656" s="463"/>
      <c r="U2656" s="219"/>
      <c r="V2656" s="464"/>
      <c r="Y2656" s="549" t="e">
        <f>IF(Y2650="NO APLICA","NO APLICA",IF(COUNTIF(AD2651:AD2656,"CUMPLE")&gt;0,"CUMPLE","NO CUMPLE"))</f>
        <v>#N/A</v>
      </c>
      <c r="AA2656" s="541" t="e">
        <f>IF(AND(C2655&lt;=F2648,F2648&lt;&gt;""),VLOOKUP(VALUE(E2629&amp;","&amp;C2655),INTEGRANTES!$D$18:$F$235,2,0),"")</f>
        <v>#N/A</v>
      </c>
      <c r="AB2656" s="546" t="e">
        <f t="shared" si="779"/>
        <v>#N/A</v>
      </c>
      <c r="AC2656" s="543"/>
      <c r="AD2656" s="201" t="e">
        <f t="shared" si="780"/>
        <v>#N/A</v>
      </c>
      <c r="AE2656" s="52"/>
      <c r="AF2656" s="52"/>
      <c r="AG2656" s="52"/>
      <c r="AH2656" s="87"/>
      <c r="AI2656" s="87"/>
    </row>
    <row r="2657" spans="1:35" hidden="1">
      <c r="AH2657" s="87"/>
      <c r="AI2657" s="87"/>
    </row>
    <row r="2658" spans="1:35" hidden="1">
      <c r="AH2658" s="87"/>
      <c r="AI2658" s="87"/>
    </row>
    <row r="2659" spans="1:35" ht="24" hidden="1" thickBot="1">
      <c r="A2659" s="61">
        <v>89</v>
      </c>
      <c r="B2659" s="704" t="s">
        <v>51</v>
      </c>
      <c r="C2659" s="704"/>
      <c r="D2659" s="704"/>
      <c r="E2659" s="62" t="e">
        <f>VLOOKUP(A2659,PROPONENTES!$B$19:$E$218,2,FALSE)</f>
        <v>#N/A</v>
      </c>
      <c r="F2659" s="63" t="e">
        <f>VLOOKUP(A2659,PROPONENTES!$B$19:$E$218,3,FALSE)</f>
        <v>#N/A</v>
      </c>
      <c r="G2659" s="64"/>
      <c r="H2659" s="64"/>
      <c r="I2659" s="63"/>
      <c r="J2659" s="63"/>
      <c r="K2659" s="65"/>
      <c r="L2659" s="65"/>
      <c r="M2659" s="64"/>
      <c r="N2659" s="64"/>
      <c r="O2659" s="66"/>
      <c r="P2659" s="66"/>
      <c r="Q2659" s="66"/>
      <c r="R2659" s="66"/>
      <c r="S2659" s="67"/>
      <c r="T2659" s="68"/>
      <c r="U2659" s="68"/>
      <c r="AC2659" s="68"/>
      <c r="AD2659" s="68"/>
      <c r="AE2659" s="68"/>
      <c r="AF2659" s="68"/>
      <c r="AG2659" s="68"/>
      <c r="AH2659" s="87"/>
      <c r="AI2659" s="87"/>
    </row>
    <row r="2660" spans="1:35" ht="15.75" hidden="1" customHeight="1">
      <c r="A2660" s="44"/>
      <c r="B2660" s="709" t="s">
        <v>59</v>
      </c>
      <c r="C2660" s="552" t="s">
        <v>60</v>
      </c>
      <c r="D2660" s="70" t="s">
        <v>17</v>
      </c>
      <c r="E2660" s="70"/>
      <c r="F2660" s="70" t="s">
        <v>61</v>
      </c>
      <c r="G2660" s="71"/>
      <c r="H2660" s="699" t="s">
        <v>62</v>
      </c>
      <c r="I2660" s="699" t="s">
        <v>18</v>
      </c>
      <c r="J2660" s="699" t="s">
        <v>63</v>
      </c>
      <c r="K2660" s="699" t="s">
        <v>64</v>
      </c>
      <c r="L2660" s="699" t="s">
        <v>65</v>
      </c>
      <c r="M2660" s="743" t="s">
        <v>66</v>
      </c>
      <c r="N2660" s="699" t="s">
        <v>282</v>
      </c>
      <c r="O2660" s="745" t="s">
        <v>67</v>
      </c>
      <c r="P2660" s="746"/>
      <c r="Q2660" s="102" t="s">
        <v>75</v>
      </c>
      <c r="R2660" s="731" t="s">
        <v>22</v>
      </c>
      <c r="S2660" s="732"/>
      <c r="T2660" s="733"/>
      <c r="U2660" s="712" t="s">
        <v>298</v>
      </c>
      <c r="W2660" s="690" t="s">
        <v>268</v>
      </c>
      <c r="X2660" s="691"/>
      <c r="Y2660" s="692"/>
      <c r="Z2660" s="428"/>
      <c r="AA2660" s="697" t="s">
        <v>315</v>
      </c>
      <c r="AB2660" s="695" t="s">
        <v>322</v>
      </c>
      <c r="AC2660" s="49"/>
      <c r="AD2660" s="690" t="s">
        <v>297</v>
      </c>
      <c r="AE2660" s="691"/>
      <c r="AF2660" s="692"/>
      <c r="AG2660" s="49"/>
      <c r="AH2660" s="87"/>
      <c r="AI2660" s="87"/>
    </row>
    <row r="2661" spans="1:35" ht="72" hidden="1">
      <c r="A2661" s="44"/>
      <c r="B2661" s="710"/>
      <c r="C2661" s="553" t="s">
        <v>68</v>
      </c>
      <c r="D2661" s="73" t="s">
        <v>3</v>
      </c>
      <c r="E2661" s="73" t="s">
        <v>19</v>
      </c>
      <c r="F2661" s="73" t="s">
        <v>69</v>
      </c>
      <c r="G2661" s="74" t="s">
        <v>70</v>
      </c>
      <c r="H2661" s="700"/>
      <c r="I2661" s="700"/>
      <c r="J2661" s="700"/>
      <c r="K2661" s="700"/>
      <c r="L2661" s="700"/>
      <c r="M2661" s="744"/>
      <c r="N2661" s="700"/>
      <c r="O2661" s="553" t="s">
        <v>279</v>
      </c>
      <c r="P2661" s="73" t="s">
        <v>88</v>
      </c>
      <c r="Q2661" s="555" t="s">
        <v>76</v>
      </c>
      <c r="R2661" s="734"/>
      <c r="S2661" s="735"/>
      <c r="T2661" s="736"/>
      <c r="U2661" s="712"/>
      <c r="W2661" s="429" t="s">
        <v>269</v>
      </c>
      <c r="X2661" s="457" t="s">
        <v>278</v>
      </c>
      <c r="Y2661" s="430" t="s">
        <v>324</v>
      </c>
      <c r="Z2661" s="428"/>
      <c r="AA2661" s="698"/>
      <c r="AB2661" s="696"/>
      <c r="AC2661" s="49"/>
      <c r="AD2661" s="429" t="s">
        <v>292</v>
      </c>
      <c r="AE2661" s="431" t="s">
        <v>300</v>
      </c>
      <c r="AF2661" s="468" t="s">
        <v>301</v>
      </c>
      <c r="AG2661" s="49"/>
      <c r="AH2661" s="87"/>
      <c r="AI2661" s="87"/>
    </row>
    <row r="2662" spans="1:35" hidden="1">
      <c r="A2662" s="44"/>
      <c r="B2662" s="76"/>
      <c r="C2662" s="77"/>
      <c r="D2662" s="77"/>
      <c r="E2662" s="77"/>
      <c r="F2662" s="77"/>
      <c r="G2662" s="77"/>
      <c r="H2662" s="77"/>
      <c r="I2662" s="77"/>
      <c r="J2662" s="77"/>
      <c r="K2662" s="77"/>
      <c r="L2662" s="77"/>
      <c r="M2662" s="77"/>
      <c r="N2662" s="77"/>
      <c r="O2662" s="77"/>
      <c r="P2662" s="77"/>
      <c r="Q2662" s="77"/>
      <c r="R2662" s="77"/>
      <c r="S2662" s="78"/>
      <c r="T2662" s="79"/>
      <c r="U2662" s="109"/>
      <c r="V2662" s="49"/>
      <c r="W2662" s="432"/>
      <c r="X2662" s="454"/>
      <c r="Y2662" s="433"/>
      <c r="Z2662" s="6"/>
      <c r="AA2662" s="500"/>
      <c r="AB2662" s="562"/>
      <c r="AC2662" s="49"/>
      <c r="AD2662" s="210"/>
      <c r="AE2662" s="434"/>
      <c r="AF2662" s="435"/>
      <c r="AG2662" s="49"/>
      <c r="AH2662" s="87"/>
      <c r="AI2662" s="87"/>
    </row>
    <row r="2663" spans="1:35" hidden="1">
      <c r="A2663" s="80" t="e">
        <f>"A"&amp;E2659</f>
        <v>#N/A</v>
      </c>
      <c r="B2663" s="81">
        <v>1</v>
      </c>
      <c r="C2663" s="82"/>
      <c r="D2663" s="82"/>
      <c r="E2663" s="82"/>
      <c r="F2663" s="82"/>
      <c r="G2663" s="83"/>
      <c r="H2663" s="83"/>
      <c r="I2663" s="84"/>
      <c r="J2663" s="85"/>
      <c r="K2663" s="382"/>
      <c r="L2663" s="85"/>
      <c r="M2663" s="332" t="str">
        <f t="shared" ref="M2663:M2672" si="781">IF(OR(J2663="",L2663="",H2663="NO"),"",IF(OR(J2663&gt;$P$17,J2663&lt;$O$17,L2663&gt;$P$17,AND(J2663&lt;$O$17,L2663&lt;$O$17)),"FUERA DE RANGO",IF(OR(K2663="---",K2663=""),IF(J2663&gt;=$O$17,ROUND((L2663-J2663+1)/360*12,3),ROUND((L2663-$O$17+1)/360*12,3)),IF(J2663&gt;=$O$17,ROUND((L2663-J2663+1)/360*12-ROUND(K2663,3),3),ROUND((L2663-$O$17+1)/360*12-ROUND(K2663,3),3)))))</f>
        <v/>
      </c>
      <c r="N2663" s="86"/>
      <c r="O2663" s="453" t="str">
        <f>IF(OR(G2663="",N2663=""),"",N2663*G2663)</f>
        <v/>
      </c>
      <c r="P2663" s="538" t="str">
        <f>IF(OR(H2663="",M2663="FUERA DE RANGO"),"",IF(OR(L2663&lt;$O$17,L2663&gt;$P$17,L2663="",H2663="NO"),"",IF(OR(N2663="",O2663=""),"",ROUND(O2663,3))))</f>
        <v/>
      </c>
      <c r="Q2663" s="539" t="str">
        <f t="shared" ref="Q2663:Q2672" si="782">IF(AND(H2663="SI",P2663&lt;&gt;""),ROUND(P2663/M2663,3),"")</f>
        <v/>
      </c>
      <c r="R2663" s="737"/>
      <c r="S2663" s="738"/>
      <c r="T2663" s="739"/>
      <c r="U2663" s="470"/>
      <c r="V2663" s="165"/>
      <c r="W2663" s="446"/>
      <c r="X2663" s="456"/>
      <c r="Y2663" s="436"/>
      <c r="Z2663" s="437"/>
      <c r="AA2663" s="560"/>
      <c r="AB2663" s="561"/>
      <c r="AC2663" s="87"/>
      <c r="AD2663" s="466"/>
      <c r="AE2663" s="456"/>
      <c r="AF2663" s="467"/>
      <c r="AG2663" s="87"/>
      <c r="AH2663" s="87"/>
      <c r="AI2663" s="87"/>
    </row>
    <row r="2664" spans="1:35" hidden="1">
      <c r="A2664" s="80" t="e">
        <f>"B"&amp;E2659</f>
        <v>#N/A</v>
      </c>
      <c r="B2664" s="81">
        <v>2</v>
      </c>
      <c r="C2664" s="106"/>
      <c r="D2664" s="106"/>
      <c r="E2664" s="106"/>
      <c r="F2664" s="106"/>
      <c r="G2664" s="83"/>
      <c r="H2664" s="83"/>
      <c r="I2664" s="84"/>
      <c r="J2664" s="85"/>
      <c r="K2664" s="382"/>
      <c r="L2664" s="85"/>
      <c r="M2664" s="332" t="str">
        <f t="shared" si="781"/>
        <v/>
      </c>
      <c r="N2664" s="86"/>
      <c r="O2664" s="453" t="str">
        <f t="shared" ref="O2664:O2672" si="783">IF(OR(G2664="",N2664=""),"",N2664*G2664)</f>
        <v/>
      </c>
      <c r="P2664" s="538" t="str">
        <f t="shared" ref="P2664:P2672" si="784">IF(OR(H2664="",M2664="FUERA DE RANGO"),"",IF(OR(L2664&lt;$O$17,L2664&gt;$P$17,L2664="",H2664="NO"),"",IF(OR(N2664="",O2664=""),"",ROUND(O2664,3))))</f>
        <v/>
      </c>
      <c r="Q2664" s="539" t="str">
        <f t="shared" si="782"/>
        <v/>
      </c>
      <c r="R2664" s="740"/>
      <c r="S2664" s="741"/>
      <c r="T2664" s="742"/>
      <c r="U2664" s="471"/>
      <c r="V2664" s="165"/>
      <c r="W2664" s="446"/>
      <c r="X2664" s="456"/>
      <c r="Y2664" s="436"/>
      <c r="Z2664" s="437"/>
      <c r="AA2664" s="560"/>
      <c r="AB2664" s="561"/>
      <c r="AC2664" s="87"/>
      <c r="AD2664" s="466"/>
      <c r="AE2664" s="456"/>
      <c r="AF2664" s="467"/>
      <c r="AG2664" s="87"/>
      <c r="AH2664" s="87"/>
      <c r="AI2664" s="87"/>
    </row>
    <row r="2665" spans="1:35" hidden="1">
      <c r="A2665" s="80" t="e">
        <f>"C"&amp;E2659</f>
        <v>#N/A</v>
      </c>
      <c r="B2665" s="88">
        <v>3</v>
      </c>
      <c r="C2665" s="82"/>
      <c r="D2665" s="82"/>
      <c r="E2665" s="82"/>
      <c r="F2665" s="82"/>
      <c r="G2665" s="83"/>
      <c r="H2665" s="83"/>
      <c r="I2665" s="84"/>
      <c r="J2665" s="85"/>
      <c r="K2665" s="382"/>
      <c r="L2665" s="85"/>
      <c r="M2665" s="332" t="str">
        <f t="shared" si="781"/>
        <v/>
      </c>
      <c r="N2665" s="86"/>
      <c r="O2665" s="453" t="str">
        <f t="shared" si="783"/>
        <v/>
      </c>
      <c r="P2665" s="538" t="str">
        <f t="shared" si="784"/>
        <v/>
      </c>
      <c r="Q2665" s="539" t="str">
        <f t="shared" si="782"/>
        <v/>
      </c>
      <c r="R2665" s="706"/>
      <c r="S2665" s="707"/>
      <c r="T2665" s="708"/>
      <c r="U2665" s="472"/>
      <c r="V2665" s="166"/>
      <c r="W2665" s="446"/>
      <c r="X2665" s="456"/>
      <c r="Y2665" s="436"/>
      <c r="Z2665" s="437"/>
      <c r="AA2665" s="560"/>
      <c r="AB2665" s="561"/>
      <c r="AC2665" s="87"/>
      <c r="AD2665" s="466"/>
      <c r="AE2665" s="456"/>
      <c r="AF2665" s="467"/>
      <c r="AG2665" s="87"/>
      <c r="AH2665" s="87"/>
      <c r="AI2665" s="87"/>
    </row>
    <row r="2666" spans="1:35" hidden="1">
      <c r="A2666" s="80" t="e">
        <f>"D"&amp;E2659</f>
        <v>#N/A</v>
      </c>
      <c r="B2666" s="105">
        <v>4</v>
      </c>
      <c r="C2666" s="107"/>
      <c r="D2666" s="107"/>
      <c r="E2666" s="107"/>
      <c r="F2666" s="107"/>
      <c r="G2666" s="83"/>
      <c r="H2666" s="83"/>
      <c r="I2666" s="84"/>
      <c r="J2666" s="85"/>
      <c r="K2666" s="382"/>
      <c r="L2666" s="85"/>
      <c r="M2666" s="332" t="str">
        <f t="shared" si="781"/>
        <v/>
      </c>
      <c r="N2666" s="86"/>
      <c r="O2666" s="453" t="str">
        <f t="shared" si="783"/>
        <v/>
      </c>
      <c r="P2666" s="538" t="str">
        <f t="shared" si="784"/>
        <v/>
      </c>
      <c r="Q2666" s="539" t="str">
        <f t="shared" si="782"/>
        <v/>
      </c>
      <c r="R2666" s="706"/>
      <c r="S2666" s="707"/>
      <c r="T2666" s="708"/>
      <c r="U2666" s="472"/>
      <c r="V2666" s="166"/>
      <c r="W2666" s="446"/>
      <c r="X2666" s="456"/>
      <c r="Y2666" s="436"/>
      <c r="Z2666" s="437"/>
      <c r="AA2666" s="560"/>
      <c r="AB2666" s="561"/>
      <c r="AC2666" s="87"/>
      <c r="AD2666" s="466"/>
      <c r="AE2666" s="456"/>
      <c r="AF2666" s="467"/>
      <c r="AG2666" s="87"/>
      <c r="AH2666" s="87"/>
      <c r="AI2666" s="87"/>
    </row>
    <row r="2667" spans="1:35" hidden="1">
      <c r="A2667" s="80" t="e">
        <f>"E"&amp;E2659</f>
        <v>#N/A</v>
      </c>
      <c r="B2667" s="105">
        <v>5</v>
      </c>
      <c r="C2667" s="107"/>
      <c r="D2667" s="107"/>
      <c r="E2667" s="107"/>
      <c r="F2667" s="107"/>
      <c r="G2667" s="83"/>
      <c r="H2667" s="83"/>
      <c r="I2667" s="84"/>
      <c r="J2667" s="85"/>
      <c r="K2667" s="382"/>
      <c r="L2667" s="85"/>
      <c r="M2667" s="332" t="str">
        <f t="shared" si="781"/>
        <v/>
      </c>
      <c r="N2667" s="86"/>
      <c r="O2667" s="453" t="str">
        <f t="shared" si="783"/>
        <v/>
      </c>
      <c r="P2667" s="538" t="str">
        <f t="shared" si="784"/>
        <v/>
      </c>
      <c r="Q2667" s="539" t="str">
        <f t="shared" si="782"/>
        <v/>
      </c>
      <c r="R2667" s="706"/>
      <c r="S2667" s="707"/>
      <c r="T2667" s="708"/>
      <c r="U2667" s="472"/>
      <c r="V2667" s="167"/>
      <c r="W2667" s="446"/>
      <c r="X2667" s="456"/>
      <c r="Y2667" s="436"/>
      <c r="Z2667" s="437"/>
      <c r="AA2667" s="560"/>
      <c r="AB2667" s="561"/>
      <c r="AC2667" s="87"/>
      <c r="AD2667" s="466"/>
      <c r="AE2667" s="456"/>
      <c r="AF2667" s="467"/>
      <c r="AG2667" s="87"/>
      <c r="AH2667" s="87"/>
      <c r="AI2667" s="87"/>
    </row>
    <row r="2668" spans="1:35" hidden="1">
      <c r="A2668" s="80" t="e">
        <f>"F"&amp;E2659</f>
        <v>#N/A</v>
      </c>
      <c r="B2668" s="105">
        <v>6</v>
      </c>
      <c r="C2668" s="107"/>
      <c r="D2668" s="107"/>
      <c r="E2668" s="107"/>
      <c r="F2668" s="107"/>
      <c r="G2668" s="83"/>
      <c r="H2668" s="83"/>
      <c r="I2668" s="84"/>
      <c r="J2668" s="85"/>
      <c r="K2668" s="382"/>
      <c r="L2668" s="85"/>
      <c r="M2668" s="332" t="str">
        <f t="shared" si="781"/>
        <v/>
      </c>
      <c r="N2668" s="86"/>
      <c r="O2668" s="453" t="str">
        <f t="shared" si="783"/>
        <v/>
      </c>
      <c r="P2668" s="538" t="str">
        <f t="shared" si="784"/>
        <v/>
      </c>
      <c r="Q2668" s="539" t="str">
        <f t="shared" si="782"/>
        <v/>
      </c>
      <c r="R2668" s="706"/>
      <c r="S2668" s="707"/>
      <c r="T2668" s="708"/>
      <c r="U2668" s="472"/>
      <c r="V2668" s="167"/>
      <c r="W2668" s="446"/>
      <c r="X2668" s="456"/>
      <c r="Y2668" s="436"/>
      <c r="Z2668" s="437"/>
      <c r="AA2668" s="560"/>
      <c r="AB2668" s="561"/>
      <c r="AC2668" s="87"/>
      <c r="AD2668" s="466"/>
      <c r="AE2668" s="456"/>
      <c r="AF2668" s="467"/>
      <c r="AG2668" s="87"/>
      <c r="AH2668" s="87"/>
      <c r="AI2668" s="87"/>
    </row>
    <row r="2669" spans="1:35" hidden="1">
      <c r="A2669" s="80" t="e">
        <f>"G"&amp;E2659</f>
        <v>#N/A</v>
      </c>
      <c r="B2669" s="105">
        <v>7</v>
      </c>
      <c r="C2669" s="107"/>
      <c r="D2669" s="107"/>
      <c r="E2669" s="107"/>
      <c r="F2669" s="107"/>
      <c r="G2669" s="83"/>
      <c r="H2669" s="83"/>
      <c r="I2669" s="84"/>
      <c r="J2669" s="85"/>
      <c r="K2669" s="382"/>
      <c r="L2669" s="85"/>
      <c r="M2669" s="332" t="str">
        <f t="shared" si="781"/>
        <v/>
      </c>
      <c r="N2669" s="86"/>
      <c r="O2669" s="86" t="str">
        <f t="shared" si="783"/>
        <v/>
      </c>
      <c r="P2669" s="538" t="str">
        <f t="shared" si="784"/>
        <v/>
      </c>
      <c r="Q2669" s="539" t="str">
        <f t="shared" si="782"/>
        <v/>
      </c>
      <c r="R2669" s="706"/>
      <c r="S2669" s="707"/>
      <c r="T2669" s="708"/>
      <c r="U2669" s="472"/>
      <c r="V2669" s="167"/>
      <c r="W2669" s="446"/>
      <c r="X2669" s="456"/>
      <c r="Y2669" s="436"/>
      <c r="Z2669" s="437"/>
      <c r="AA2669" s="560"/>
      <c r="AB2669" s="561"/>
      <c r="AC2669" s="87"/>
      <c r="AD2669" s="466"/>
      <c r="AE2669" s="456"/>
      <c r="AF2669" s="467"/>
      <c r="AG2669" s="87"/>
      <c r="AH2669" s="87"/>
      <c r="AI2669" s="87"/>
    </row>
    <row r="2670" spans="1:35" hidden="1">
      <c r="A2670" s="80" t="e">
        <f>"H"&amp;E2659</f>
        <v>#N/A</v>
      </c>
      <c r="B2670" s="105">
        <v>8</v>
      </c>
      <c r="C2670" s="107"/>
      <c r="D2670" s="107"/>
      <c r="E2670" s="107"/>
      <c r="F2670" s="107"/>
      <c r="G2670" s="83"/>
      <c r="H2670" s="83"/>
      <c r="I2670" s="84"/>
      <c r="J2670" s="85"/>
      <c r="K2670" s="382"/>
      <c r="L2670" s="85"/>
      <c r="M2670" s="332" t="str">
        <f t="shared" si="781"/>
        <v/>
      </c>
      <c r="N2670" s="453"/>
      <c r="O2670" s="86" t="str">
        <f t="shared" si="783"/>
        <v/>
      </c>
      <c r="P2670" s="538" t="str">
        <f t="shared" si="784"/>
        <v/>
      </c>
      <c r="Q2670" s="539" t="str">
        <f t="shared" si="782"/>
        <v/>
      </c>
      <c r="R2670" s="706"/>
      <c r="S2670" s="707"/>
      <c r="T2670" s="708"/>
      <c r="U2670" s="472"/>
      <c r="V2670" s="167"/>
      <c r="W2670" s="446"/>
      <c r="X2670" s="456"/>
      <c r="Y2670" s="436"/>
      <c r="Z2670" s="437"/>
      <c r="AA2670" s="560"/>
      <c r="AB2670" s="561"/>
      <c r="AC2670" s="87"/>
      <c r="AD2670" s="466"/>
      <c r="AE2670" s="456"/>
      <c r="AF2670" s="467"/>
      <c r="AG2670" s="87"/>
      <c r="AH2670" s="87"/>
      <c r="AI2670" s="87"/>
    </row>
    <row r="2671" spans="1:35" hidden="1">
      <c r="A2671" s="80" t="e">
        <f>"I"&amp;E2659</f>
        <v>#N/A</v>
      </c>
      <c r="B2671" s="105">
        <v>9</v>
      </c>
      <c r="C2671" s="107"/>
      <c r="D2671" s="107"/>
      <c r="E2671" s="107"/>
      <c r="F2671" s="107"/>
      <c r="G2671" s="83"/>
      <c r="H2671" s="83"/>
      <c r="I2671" s="84"/>
      <c r="J2671" s="85"/>
      <c r="K2671" s="382"/>
      <c r="L2671" s="85"/>
      <c r="M2671" s="332" t="str">
        <f t="shared" si="781"/>
        <v/>
      </c>
      <c r="N2671" s="453"/>
      <c r="O2671" s="86" t="str">
        <f t="shared" si="783"/>
        <v/>
      </c>
      <c r="P2671" s="538" t="str">
        <f t="shared" si="784"/>
        <v/>
      </c>
      <c r="Q2671" s="539" t="str">
        <f t="shared" si="782"/>
        <v/>
      </c>
      <c r="R2671" s="706"/>
      <c r="S2671" s="707"/>
      <c r="T2671" s="708"/>
      <c r="U2671" s="472"/>
      <c r="V2671" s="167"/>
      <c r="W2671" s="446"/>
      <c r="X2671" s="456"/>
      <c r="Y2671" s="436"/>
      <c r="Z2671" s="437"/>
      <c r="AA2671" s="560"/>
      <c r="AB2671" s="561"/>
      <c r="AC2671" s="87"/>
      <c r="AD2671" s="466"/>
      <c r="AE2671" s="456"/>
      <c r="AF2671" s="467"/>
      <c r="AG2671" s="87"/>
      <c r="AH2671" s="87"/>
      <c r="AI2671" s="87"/>
    </row>
    <row r="2672" spans="1:35" hidden="1">
      <c r="A2672" s="80" t="e">
        <f>"J"&amp;E2659</f>
        <v>#N/A</v>
      </c>
      <c r="B2672" s="105">
        <v>10</v>
      </c>
      <c r="C2672" s="107"/>
      <c r="D2672" s="107"/>
      <c r="E2672" s="107"/>
      <c r="F2672" s="107"/>
      <c r="G2672" s="83"/>
      <c r="H2672" s="83"/>
      <c r="I2672" s="84"/>
      <c r="J2672" s="85"/>
      <c r="K2672" s="382"/>
      <c r="L2672" s="85"/>
      <c r="M2672" s="332" t="str">
        <f t="shared" si="781"/>
        <v/>
      </c>
      <c r="N2672" s="453"/>
      <c r="O2672" s="86" t="str">
        <f t="shared" si="783"/>
        <v/>
      </c>
      <c r="P2672" s="538" t="str">
        <f t="shared" si="784"/>
        <v/>
      </c>
      <c r="Q2672" s="539" t="str">
        <f t="shared" si="782"/>
        <v/>
      </c>
      <c r="R2672" s="706"/>
      <c r="S2672" s="707"/>
      <c r="T2672" s="708"/>
      <c r="U2672" s="472"/>
      <c r="V2672" s="167"/>
      <c r="W2672" s="446"/>
      <c r="X2672" s="456"/>
      <c r="Y2672" s="436"/>
      <c r="Z2672" s="437"/>
      <c r="AA2672" s="560"/>
      <c r="AB2672" s="561"/>
      <c r="AC2672" s="87"/>
      <c r="AD2672" s="466"/>
      <c r="AE2672" s="456"/>
      <c r="AF2672" s="467"/>
      <c r="AG2672" s="87"/>
      <c r="AH2672" s="87"/>
      <c r="AI2672" s="87"/>
    </row>
    <row r="2673" spans="1:35" ht="16.5" hidden="1" thickBot="1">
      <c r="A2673" s="44"/>
      <c r="B2673" s="89"/>
      <c r="C2673" s="90"/>
      <c r="D2673" s="90"/>
      <c r="E2673" s="90"/>
      <c r="F2673" s="90"/>
      <c r="G2673" s="90"/>
      <c r="H2673" s="90"/>
      <c r="I2673" s="90"/>
      <c r="J2673" s="90"/>
      <c r="K2673" s="90"/>
      <c r="L2673" s="90"/>
      <c r="M2673" s="90"/>
      <c r="N2673" s="90"/>
      <c r="O2673" s="90"/>
      <c r="P2673" s="90"/>
      <c r="Q2673" s="90"/>
      <c r="R2673" s="90"/>
      <c r="S2673" s="91"/>
      <c r="T2673" s="92"/>
      <c r="U2673" s="473"/>
      <c r="W2673" s="438"/>
      <c r="X2673" s="455"/>
      <c r="Y2673" s="439"/>
      <c r="Z2673" s="437"/>
      <c r="AA2673" s="530"/>
      <c r="AB2673" s="563"/>
      <c r="AC2673" s="87"/>
      <c r="AD2673" s="440"/>
      <c r="AE2673" s="441"/>
      <c r="AF2673" s="442"/>
      <c r="AG2673" s="49"/>
      <c r="AH2673" s="87"/>
      <c r="AI2673" s="87"/>
    </row>
    <row r="2674" spans="1:35" ht="16.5" hidden="1" thickBot="1">
      <c r="A2674" s="93"/>
      <c r="B2674" s="94"/>
      <c r="C2674" s="96"/>
      <c r="D2674" s="96"/>
      <c r="E2674" s="96"/>
      <c r="F2674" s="96"/>
      <c r="G2674" s="96"/>
      <c r="H2674" s="96"/>
      <c r="I2674" s="96"/>
      <c r="J2674" s="96"/>
      <c r="K2674" s="96"/>
      <c r="L2674" s="96"/>
      <c r="M2674" s="136"/>
      <c r="N2674" s="96"/>
      <c r="O2674" s="96"/>
      <c r="P2674" s="97"/>
      <c r="Q2674" s="97"/>
      <c r="R2674" s="98"/>
      <c r="S2674" s="95"/>
      <c r="T2674" s="99"/>
      <c r="U2674" s="469"/>
      <c r="AC2674" s="58"/>
      <c r="AG2674" s="58"/>
      <c r="AH2674" s="87"/>
      <c r="AI2674" s="87"/>
    </row>
    <row r="2675" spans="1:35" ht="16.5" hidden="1" thickBot="1">
      <c r="B2675" s="101"/>
      <c r="C2675" s="101"/>
      <c r="D2675" s="101"/>
      <c r="E2675" s="101"/>
      <c r="F2675" s="101"/>
      <c r="G2675" s="101"/>
      <c r="H2675" s="101"/>
      <c r="I2675" s="101"/>
      <c r="J2675" s="101"/>
      <c r="K2675" s="101"/>
      <c r="L2675" s="101"/>
      <c r="M2675" s="101"/>
      <c r="N2675" s="101"/>
      <c r="O2675" s="101"/>
      <c r="P2675" s="101"/>
      <c r="Q2675" s="101"/>
      <c r="R2675" s="101"/>
      <c r="S2675" s="101"/>
      <c r="U2675" s="50"/>
      <c r="AH2675" s="87"/>
      <c r="AI2675" s="87"/>
    </row>
    <row r="2676" spans="1:35" ht="16.5" hidden="1" customHeight="1" thickBot="1">
      <c r="A2676" s="44"/>
      <c r="B2676" s="705" t="s">
        <v>74</v>
      </c>
      <c r="C2676" s="705"/>
      <c r="D2676" s="705"/>
      <c r="E2676" s="705"/>
      <c r="F2676" s="705"/>
      <c r="G2676" s="705"/>
      <c r="H2676" s="705"/>
      <c r="I2676" s="705"/>
      <c r="J2676" s="705"/>
      <c r="K2676" s="705"/>
      <c r="L2676" s="705"/>
      <c r="M2676" s="705"/>
      <c r="N2676" s="705"/>
      <c r="O2676" s="705"/>
      <c r="P2676" s="705"/>
      <c r="Q2676" s="705"/>
      <c r="R2676" s="705"/>
      <c r="S2676" s="705"/>
      <c r="T2676" s="705"/>
      <c r="U2676" s="108"/>
      <c r="Y2676" s="532" t="s">
        <v>341</v>
      </c>
      <c r="AC2676" s="49"/>
      <c r="AD2676" s="687" t="s">
        <v>302</v>
      </c>
      <c r="AE2676" s="688"/>
      <c r="AF2676" s="689"/>
      <c r="AG2676" s="49"/>
      <c r="AH2676" s="87"/>
      <c r="AI2676" s="87"/>
    </row>
    <row r="2677" spans="1:35" ht="15.75" hidden="1" customHeight="1" thickBot="1">
      <c r="A2677" s="218" t="e">
        <f>"K"&amp;E2659</f>
        <v>#N/A</v>
      </c>
      <c r="B2677" s="701" t="s">
        <v>71</v>
      </c>
      <c r="C2677" s="751" t="s">
        <v>102</v>
      </c>
      <c r="D2677" s="751"/>
      <c r="E2677" s="751"/>
      <c r="F2677" s="751"/>
      <c r="G2677" s="751"/>
      <c r="H2677" s="751"/>
      <c r="I2677" s="751"/>
      <c r="J2677" s="751"/>
      <c r="K2677" s="751"/>
      <c r="L2677" s="722" t="s">
        <v>100</v>
      </c>
      <c r="M2677" s="747" t="s">
        <v>114</v>
      </c>
      <c r="N2677" s="747"/>
      <c r="O2677" s="747"/>
      <c r="P2677" s="747"/>
      <c r="Q2677" s="748"/>
      <c r="R2677" s="758" t="s">
        <v>280</v>
      </c>
      <c r="S2677" s="748"/>
      <c r="T2677" s="762" t="str">
        <f>IF(COUNTIF(AE2677:AF2677,"VERIFICAR")&gt;0,"VERIFICAR",IF(COUNTIF(AE2677:AF2677,"NO CUMPLE")&gt;0,"NO CUMPLE","CUMPLE"))</f>
        <v>VERIFICAR</v>
      </c>
      <c r="U2677" s="108"/>
      <c r="Y2677" s="533" t="e">
        <f>IF(F2678="","",IF(F2678=1,"INDIVIDUAL","ESTRUCTURA PLURAL"))</f>
        <v>#N/A</v>
      </c>
      <c r="AC2677" s="52"/>
      <c r="AD2677" s="475" t="s">
        <v>303</v>
      </c>
      <c r="AE2677" s="476" t="str">
        <f>IF(COUNTIF(AE2663:AE2672,"")=10,"VERIFICAR",IF(COUNTIF(AE2663:AE2672,"SI")&gt;0,"CUMPLE","NO CUMPLE"))</f>
        <v>VERIFICAR</v>
      </c>
      <c r="AF2677" s="477" t="str">
        <f>IF(COUNTIF(AF2663:AF2672,"")=10,"VERIFICAR",IF(COUNTIF(AF2663:AF2672,"SI")&gt;=$AI$22,"CUMPLE","NO CUMPLE"))</f>
        <v>VERIFICAR</v>
      </c>
      <c r="AG2677" s="52"/>
      <c r="AH2677" s="87"/>
      <c r="AI2677" s="87"/>
    </row>
    <row r="2678" spans="1:35" ht="16.5" hidden="1" customHeight="1" thickBot="1">
      <c r="A2678" s="218" t="e">
        <f>"L"&amp;E2659</f>
        <v>#N/A</v>
      </c>
      <c r="B2678" s="702"/>
      <c r="C2678" s="751" t="s">
        <v>103</v>
      </c>
      <c r="D2678" s="751"/>
      <c r="E2678" s="752"/>
      <c r="F2678" s="557" t="e">
        <f>IF(VLOOKUP(E2659,PROPONENTES!$C$19:$E$218,3,0)="","",VLOOKUP(E2659,PROPONENTES!$C$19:$E$218,3,0))</f>
        <v>#N/A</v>
      </c>
      <c r="G2678" s="753" t="s">
        <v>104</v>
      </c>
      <c r="H2678" s="751"/>
      <c r="I2678" s="715" t="e">
        <f>IF(OR(F2678="",F2678=1),"INTERESADO PERSONA NATURAL O JURIDICA","CONSORCIO O UNION TEMPORAL")</f>
        <v>#N/A</v>
      </c>
      <c r="J2678" s="725"/>
      <c r="K2678" s="728"/>
      <c r="L2678" s="723"/>
      <c r="M2678" s="749"/>
      <c r="N2678" s="749"/>
      <c r="O2678" s="749"/>
      <c r="P2678" s="749"/>
      <c r="Q2678" s="750"/>
      <c r="R2678" s="712"/>
      <c r="S2678" s="750"/>
      <c r="T2678" s="763"/>
      <c r="U2678" s="108"/>
      <c r="Y2678" s="534"/>
      <c r="AA2678" s="52"/>
      <c r="AB2678" s="52"/>
      <c r="AC2678" s="52"/>
      <c r="AG2678" s="52"/>
      <c r="AH2678" s="87"/>
      <c r="AI2678" s="87"/>
    </row>
    <row r="2679" spans="1:35" ht="56.25" hidden="1" customHeight="1" thickBot="1">
      <c r="A2679" s="218" t="e">
        <f>"M"&amp;E2659</f>
        <v>#N/A</v>
      </c>
      <c r="B2679" s="702"/>
      <c r="C2679" s="725" t="s">
        <v>101</v>
      </c>
      <c r="D2679" s="716"/>
      <c r="E2679" s="558" t="s">
        <v>105</v>
      </c>
      <c r="F2679" s="554" t="s">
        <v>87</v>
      </c>
      <c r="G2679" s="553" t="s">
        <v>86</v>
      </c>
      <c r="H2679" s="559" t="s">
        <v>85</v>
      </c>
      <c r="I2679" s="554" t="s">
        <v>252</v>
      </c>
      <c r="J2679" s="553" t="str">
        <f>"¿EL INTEGRANTE TIENE UNA PARTICIPACIÓN DEL "&amp;PORCREQUERIDOINT*100&amp;"%?"</f>
        <v>¿EL INTEGRANTE TIENE UNA PARTICIPACIÓN DEL 60%?</v>
      </c>
      <c r="K2679" s="554" t="s">
        <v>107</v>
      </c>
      <c r="L2679" s="724"/>
      <c r="M2679" s="717" t="s">
        <v>115</v>
      </c>
      <c r="N2679" s="718"/>
      <c r="O2679" s="718"/>
      <c r="P2679" s="718"/>
      <c r="Q2679" s="223">
        <f>IF(AND(H2663="SI",P2663&gt;=0),1,0)+IF(AND(H2664="SI",P2664&gt;=0),1,0)+IF(AND(H2665="SI",P2665&gt;=0),1,0)+IF(AND(H2666="SI",P2666&gt;=0),1,0)+IF(AND(H2667="SI",P2667&gt;=0),1,0)+IF(AND(H2668="SI",P2668&gt;=0),1,0)+IF(AND(H2669="SI",P2669&gt;=0),1,0)+IF(AND(H2670="SI",P2670&gt;=0),1,0)+IF(AND(H2671="SI",P2671&gt;=0),1,0)+IF(AND(H2672="SI",P2672&gt;=0),1,0)</f>
        <v>0</v>
      </c>
      <c r="R2679" s="759"/>
      <c r="S2679" s="761"/>
      <c r="T2679" s="764"/>
      <c r="U2679" s="219"/>
      <c r="V2679" s="464"/>
      <c r="Y2679" s="532" t="s">
        <v>342</v>
      </c>
      <c r="AA2679" s="550" t="s">
        <v>344</v>
      </c>
      <c r="AB2679" s="693" t="s">
        <v>345</v>
      </c>
      <c r="AC2679" s="693" t="s">
        <v>346</v>
      </c>
      <c r="AD2679" s="685" t="s">
        <v>347</v>
      </c>
      <c r="AE2679" s="52"/>
      <c r="AF2679" s="52"/>
      <c r="AG2679" s="52"/>
      <c r="AH2679" s="87"/>
      <c r="AI2679" s="87"/>
    </row>
    <row r="2680" spans="1:35" ht="15.75" hidden="1" customHeight="1" thickBot="1">
      <c r="A2680" s="218" t="e">
        <f>"N"&amp;E2659</f>
        <v>#N/A</v>
      </c>
      <c r="B2680" s="702"/>
      <c r="C2680" s="114">
        <v>1</v>
      </c>
      <c r="D2680" s="194" t="e">
        <f>IF(AND(C2680&lt;=F2678,F2678&gt;1,F2678&lt;&gt;""),VLOOKUP(VALUE(E2659&amp;","&amp;C2680),INTEGRANTES!$D$18:$F$235,2,0),"")</f>
        <v>#N/A</v>
      </c>
      <c r="E2680" s="211" t="e">
        <f>IF(D2680&lt;&gt;"",VLOOKUP(VALUE(E2659&amp;","&amp;C2680),INTEGRANTES!$D$18:$F$235,3,0),"")</f>
        <v>#N/A</v>
      </c>
      <c r="F2680" s="547" t="e">
        <f>IF(D2680="","",SUMIF($I2663:$I2672,D2680,$P2663:$P2672))</f>
        <v>#N/A</v>
      </c>
      <c r="G2680" s="333" t="e">
        <f>IF(D2680="","",SUMIF($I2663:$I2672,D2680,$M2663:$M2672))</f>
        <v>#N/A</v>
      </c>
      <c r="H2680" s="535" t="e">
        <f t="shared" ref="H2680:H2685" si="785">IF(D2680="","",IF(OR(F2680=0,G2680=0),"NO APORTA",ROUND($F2680/$G2680,3)))</f>
        <v>#N/A</v>
      </c>
      <c r="I2680" s="212" t="e">
        <f>IF(D2680="","",IF(H2680="NO APORTA","NO",IF(H2680=MAX($H2680:$H2685),"SI","NO")))</f>
        <v>#N/A</v>
      </c>
      <c r="J2680" s="213" t="e">
        <f t="shared" ref="J2680:J2685" si="786">IF(D2680="","",IF(E2680&gt;=PORCREQUERIDOINT,"SI","NO"))</f>
        <v>#N/A</v>
      </c>
      <c r="K2680" s="200" t="e">
        <f t="shared" ref="K2680:K2685" si="787">IF(D2680="","",IF(AND(I2680="SI",J2680="SI"),"CUMPLE",IF(AND(I2680="NO",OR(J2680="SI",J2680="NO")),"","NO CUMPLE")))</f>
        <v>#N/A</v>
      </c>
      <c r="L2680" s="722" t="s">
        <v>108</v>
      </c>
      <c r="M2680" s="726" t="s">
        <v>119</v>
      </c>
      <c r="N2680" s="726"/>
      <c r="O2680" s="726"/>
      <c r="P2680" s="726"/>
      <c r="Q2680" s="727"/>
      <c r="R2680" s="758" t="s">
        <v>80</v>
      </c>
      <c r="S2680" s="747"/>
      <c r="T2680" s="748"/>
      <c r="U2680" s="219"/>
      <c r="V2680" s="464"/>
      <c r="Y2680" s="533" t="e">
        <f>IF(Y2677="","",IF(Y2677="INDIVIDUAL","NO APLICA","VERIFICAR CUADRO"))</f>
        <v>#N/A</v>
      </c>
      <c r="AA2680" s="551"/>
      <c r="AB2680" s="694"/>
      <c r="AC2680" s="694"/>
      <c r="AD2680" s="686"/>
      <c r="AE2680" s="52"/>
      <c r="AF2680" s="52"/>
      <c r="AG2680" s="52"/>
      <c r="AH2680" s="87"/>
      <c r="AI2680" s="87"/>
    </row>
    <row r="2681" spans="1:35" ht="27" hidden="1" customHeight="1" thickBot="1">
      <c r="A2681" s="218" t="e">
        <f>"O"&amp;E2659</f>
        <v>#N/A</v>
      </c>
      <c r="B2681" s="702"/>
      <c r="C2681" s="114">
        <v>2</v>
      </c>
      <c r="D2681" s="194" t="e">
        <f>IF(AND(C2681&lt;=F2678,F2678&lt;&gt;""),VLOOKUP(VALUE(E2659&amp;","&amp;C2681),INTEGRANTES!$D$18:$F$235,2,0),"")</f>
        <v>#N/A</v>
      </c>
      <c r="E2681" s="211" t="e">
        <f>IF(D2681&lt;&gt;"",VLOOKUP(VALUE(E2659&amp;","&amp;C2681),INTEGRANTES!$D$18:$F$235,3,0),"")</f>
        <v>#N/A</v>
      </c>
      <c r="F2681" s="547" t="e">
        <f>IF(D2681="","",SUMIF($I2663:$I2672,D2681,$P2663:$P2672))</f>
        <v>#N/A</v>
      </c>
      <c r="G2681" s="333" t="e">
        <f>IF(D2681="","",SUMIF($I2663:$I2672,D2681,$M2663:$M2672))</f>
        <v>#N/A</v>
      </c>
      <c r="H2681" s="535" t="e">
        <f t="shared" si="785"/>
        <v>#N/A</v>
      </c>
      <c r="I2681" s="212" t="e">
        <f>IF(D2681="","",IF(H2681="NO APORTA","NO",IF(H2681=MAX($H2680:$H2685),"SI","NO")))</f>
        <v>#N/A</v>
      </c>
      <c r="J2681" s="213" t="e">
        <f t="shared" si="786"/>
        <v>#N/A</v>
      </c>
      <c r="K2681" s="200" t="e">
        <f t="shared" si="787"/>
        <v>#N/A</v>
      </c>
      <c r="L2681" s="723"/>
      <c r="M2681" s="715" t="s">
        <v>116</v>
      </c>
      <c r="N2681" s="716"/>
      <c r="O2681" s="556" t="s">
        <v>113</v>
      </c>
      <c r="P2681" s="715" t="s">
        <v>117</v>
      </c>
      <c r="Q2681" s="728"/>
      <c r="R2681" s="759"/>
      <c r="S2681" s="760"/>
      <c r="T2681" s="761"/>
      <c r="U2681" s="219"/>
      <c r="V2681" s="464"/>
      <c r="Y2681" s="414"/>
      <c r="AA2681" s="542" t="e">
        <f>IF(AND(C2680&lt;=F2678,F2678&gt;1,F2678&lt;&gt;""),VLOOKUP(VALUE(E2659&amp;","&amp;C2680),INTEGRANTES!$D$18:$F$235,2,0),"")</f>
        <v>#N/A</v>
      </c>
      <c r="AB2681" s="544" t="e">
        <f t="shared" ref="AB2681:AB2686" si="788">IF(D2680="","",IF(OR(F2680=0,G2680=0),"NO APORTA",ROUND($F2680/$G2680,3)))</f>
        <v>#N/A</v>
      </c>
      <c r="AC2681" s="529"/>
      <c r="AD2681" s="200" t="e">
        <f t="shared" ref="AD2681:AD2686" si="789">IF(OR(AA2681="",AB2681=""),"",IF(AND(AC2681="X",AB2681&gt;=EXPREQVTD),"CUMPLE","NO CUMPLE"))</f>
        <v>#N/A</v>
      </c>
      <c r="AE2681" s="52"/>
      <c r="AF2681" s="52"/>
      <c r="AG2681" s="52"/>
      <c r="AH2681" s="87"/>
      <c r="AI2681" s="87"/>
    </row>
    <row r="2682" spans="1:35" ht="16.5" hidden="1" thickBot="1">
      <c r="A2682" s="218" t="e">
        <f>"P"&amp;E2659</f>
        <v>#N/A</v>
      </c>
      <c r="B2682" s="702"/>
      <c r="C2682" s="114">
        <v>3</v>
      </c>
      <c r="D2682" s="194" t="e">
        <f>IF(AND(C2682&lt;=F2678,F2678&lt;&gt;""),VLOOKUP(VALUE(E2659&amp;","&amp;C2682),INTEGRANTES!$D$18:$F$235,2,0),"")</f>
        <v>#N/A</v>
      </c>
      <c r="E2682" s="211" t="e">
        <f>IF(D2682&lt;&gt;"",VLOOKUP(VALUE(E2659&amp;","&amp;C2682),INTEGRANTES!$D$18:$F$235,3,0),"")</f>
        <v>#N/A</v>
      </c>
      <c r="F2682" s="547" t="e">
        <f>IF(D2682="","",SUMIF($I2663:$I2672,D2682,$P2663:$P2672))</f>
        <v>#N/A</v>
      </c>
      <c r="G2682" s="333" t="e">
        <f>IF(D2682="","",SUMIF($I2663:$I2672,D2682,$M2663:$M2672))</f>
        <v>#N/A</v>
      </c>
      <c r="H2682" s="535" t="e">
        <f t="shared" si="785"/>
        <v>#N/A</v>
      </c>
      <c r="I2682" s="212" t="e">
        <f>IF(D2682="","",IF(H2682="NO APORTA","NO",IF(H2682=MAX($H2680:$H2685),"SI","NO")))</f>
        <v>#N/A</v>
      </c>
      <c r="J2682" s="213" t="e">
        <f t="shared" si="786"/>
        <v>#N/A</v>
      </c>
      <c r="K2682" s="200" t="e">
        <f t="shared" si="787"/>
        <v>#N/A</v>
      </c>
      <c r="L2682" s="724"/>
      <c r="M2682" s="729">
        <f>NUMMOD</f>
        <v>1</v>
      </c>
      <c r="N2682" s="730"/>
      <c r="O2682" s="443">
        <f>IF(M2682="","",VLOOKUP(M2682,PRESUPUESTOS!$B$16:$H$16,5,FALSE))</f>
        <v>2</v>
      </c>
      <c r="P2682" s="713">
        <f>IF(OR(COUNTIF(M2663:M2672,"")&gt;=10,Q2679&lt;NUMMINCONT,OR(T2677="NO CUMPLE",T2677="VERIFICAR")),0,ROUND(AVERAGE(M2663:M2672),3))</f>
        <v>0</v>
      </c>
      <c r="Q2682" s="714"/>
      <c r="R2682" s="458"/>
      <c r="S2682" s="459"/>
      <c r="T2682" s="460"/>
      <c r="U2682" s="219"/>
      <c r="V2682" s="464"/>
      <c r="Y2682" s="532" t="str">
        <f>"40% * ("&amp;PRESUPUESTOS!$H$13&amp;")"</f>
        <v>40% * (50% PFMO)</v>
      </c>
      <c r="AA2682" s="540" t="e">
        <f>IF(AND(C2681&lt;=F2678,F2678&lt;&gt;""),VLOOKUP(VALUE(E2659&amp;","&amp;C2681),INTEGRANTES!$D$18:$F$235,2,0),"")</f>
        <v>#N/A</v>
      </c>
      <c r="AB2682" s="545" t="e">
        <f t="shared" si="788"/>
        <v>#N/A</v>
      </c>
      <c r="AC2682" s="529"/>
      <c r="AD2682" s="200" t="e">
        <f t="shared" si="789"/>
        <v>#N/A</v>
      </c>
      <c r="AE2682" s="52"/>
      <c r="AF2682" s="52"/>
      <c r="AG2682" s="52"/>
      <c r="AH2682" s="87"/>
      <c r="AI2682" s="87"/>
    </row>
    <row r="2683" spans="1:35" ht="15.75" hidden="1" customHeight="1" thickBot="1">
      <c r="A2683" s="218" t="e">
        <f>"Q"&amp;E2659</f>
        <v>#N/A</v>
      </c>
      <c r="B2683" s="702"/>
      <c r="C2683" s="114">
        <v>4</v>
      </c>
      <c r="D2683" s="194" t="e">
        <f>IF(AND(C2683&lt;=F2678,F2678&lt;&gt;""),VLOOKUP(VALUE(E2659&amp;","&amp;C2683),INTEGRANTES!$D$18:$F$235,2,0),"")</f>
        <v>#N/A</v>
      </c>
      <c r="E2683" s="211" t="e">
        <f>IF(D2683&lt;&gt;"",VLOOKUP(VALUE(E2659&amp;","&amp;C2683),INTEGRANTES!$D$18:$F$235,3,0),"")</f>
        <v>#N/A</v>
      </c>
      <c r="F2683" s="547" t="e">
        <f>IF(D2683="","",SUMIF($I2663:$I2672,D2683,$P2663:$P2672))</f>
        <v>#N/A</v>
      </c>
      <c r="G2683" s="333" t="e">
        <f>IF(D2683="","",SUMIF($I2663:$I2672,D2683,$M2663:$M2672))</f>
        <v>#N/A</v>
      </c>
      <c r="H2683" s="535" t="e">
        <f t="shared" si="785"/>
        <v>#N/A</v>
      </c>
      <c r="I2683" s="212" t="e">
        <f>IF(D2683="","",IF(H2683="NO APORTA","NO",IF(H2683=MAX($H2680:$H2685),"SI","NO")))</f>
        <v>#N/A</v>
      </c>
      <c r="J2683" s="213" t="e">
        <f t="shared" si="786"/>
        <v>#N/A</v>
      </c>
      <c r="K2683" s="200" t="e">
        <f t="shared" si="787"/>
        <v>#N/A</v>
      </c>
      <c r="L2683" s="720" t="s">
        <v>109</v>
      </c>
      <c r="M2683" s="757" t="s">
        <v>120</v>
      </c>
      <c r="N2683" s="726"/>
      <c r="O2683" s="726"/>
      <c r="P2683" s="726"/>
      <c r="Q2683" s="727"/>
      <c r="R2683" s="458"/>
      <c r="S2683" s="459"/>
      <c r="T2683" s="460"/>
      <c r="U2683" s="219"/>
      <c r="V2683" s="464"/>
      <c r="Y2683" s="537">
        <f>0.4*PRESUPUESTOS!$H$16</f>
        <v>10.3124</v>
      </c>
      <c r="AA2683" s="540" t="e">
        <f>IF(AND(C2682&lt;=F2678,F2678&lt;&gt;""),VLOOKUP(VALUE(E2659&amp;","&amp;C2682),INTEGRANTES!$D$18:$F$235,2,0),"")</f>
        <v>#N/A</v>
      </c>
      <c r="AB2683" s="545" t="e">
        <f t="shared" si="788"/>
        <v>#N/A</v>
      </c>
      <c r="AC2683" s="529"/>
      <c r="AD2683" s="200" t="e">
        <f t="shared" si="789"/>
        <v>#N/A</v>
      </c>
      <c r="AE2683" s="52"/>
      <c r="AF2683" s="52"/>
      <c r="AG2683" s="52"/>
      <c r="AH2683" s="87"/>
      <c r="AI2683" s="87"/>
    </row>
    <row r="2684" spans="1:35" ht="27" hidden="1" customHeight="1" thickBot="1">
      <c r="A2684" s="218" t="e">
        <f>"R"&amp;E2659</f>
        <v>#N/A</v>
      </c>
      <c r="B2684" s="702"/>
      <c r="C2684" s="114">
        <v>5</v>
      </c>
      <c r="D2684" s="194" t="e">
        <f>IF(AND(C2684&lt;=F2678,F2678&lt;&gt;""),VLOOKUP(VALUE(E2659&amp;","&amp;C2684),INTEGRANTES!$D$18:$F$235,2,0),"")</f>
        <v>#N/A</v>
      </c>
      <c r="E2684" s="211" t="e">
        <f>IF(D2684&lt;&gt;"",VLOOKUP(VALUE(E2659&amp;","&amp;C2684),INTEGRANTES!$D$18:$F$235,3,0),"")</f>
        <v>#N/A</v>
      </c>
      <c r="F2684" s="547" t="e">
        <f>IF(D2684="","",SUMIF($I2663:$I2672,D2684,$P2663:$P2672))</f>
        <v>#N/A</v>
      </c>
      <c r="G2684" s="333" t="e">
        <f>IF(D2684="","",SUMIF($I2663:$I2672,D2684,$M2663:$M2672))</f>
        <v>#N/A</v>
      </c>
      <c r="H2684" s="535" t="e">
        <f t="shared" si="785"/>
        <v>#N/A</v>
      </c>
      <c r="I2684" s="212" t="e">
        <f>IF(D2684="","",IF(H2684="NO APORTA","NO",IF(H2684=MAX($H2680:$H2685),"SI","NO")))</f>
        <v>#N/A</v>
      </c>
      <c r="J2684" s="213" t="e">
        <f t="shared" si="786"/>
        <v>#N/A</v>
      </c>
      <c r="K2684" s="200" t="e">
        <f t="shared" si="787"/>
        <v>#N/A</v>
      </c>
      <c r="L2684" s="721"/>
      <c r="M2684" s="715" t="s">
        <v>116</v>
      </c>
      <c r="N2684" s="716"/>
      <c r="O2684" s="556" t="str">
        <f>PORCREQUERIDO*100&amp;"% PMFO DEL MÓDULO"</f>
        <v>50% PMFO DEL MÓDULO</v>
      </c>
      <c r="P2684" s="715" t="s">
        <v>118</v>
      </c>
      <c r="Q2684" s="728"/>
      <c r="R2684" s="458"/>
      <c r="S2684" s="459"/>
      <c r="T2684" s="460"/>
      <c r="U2684" s="219"/>
      <c r="V2684" s="464"/>
      <c r="Y2684" s="414"/>
      <c r="AA2684" s="540" t="e">
        <f>IF(AND(C2683&lt;=F2678,F2678&lt;&gt;""),VLOOKUP(VALUE(E2659&amp;","&amp;C2683),INTEGRANTES!$D$18:$F$235,2,0),"")</f>
        <v>#N/A</v>
      </c>
      <c r="AB2684" s="545" t="e">
        <f t="shared" si="788"/>
        <v>#N/A</v>
      </c>
      <c r="AC2684" s="529"/>
      <c r="AD2684" s="200" t="e">
        <f t="shared" si="789"/>
        <v>#N/A</v>
      </c>
      <c r="AE2684" s="52"/>
      <c r="AF2684" s="52"/>
      <c r="AG2684" s="52"/>
      <c r="AH2684" s="87"/>
      <c r="AI2684" s="87"/>
    </row>
    <row r="2685" spans="1:35" ht="16.5" hidden="1" thickBot="1">
      <c r="A2685" s="218" t="e">
        <f>"S"&amp;E2659</f>
        <v>#N/A</v>
      </c>
      <c r="B2685" s="702"/>
      <c r="C2685" s="215">
        <v>6</v>
      </c>
      <c r="D2685" s="216" t="e">
        <f>IF(AND(C2685&lt;=F2678,F2678&lt;&gt;""),VLOOKUP(VALUE(E2659&amp;","&amp;C2685),INTEGRANTES!$D$18:$F$235,2,0),"")</f>
        <v>#N/A</v>
      </c>
      <c r="E2685" s="217" t="e">
        <f>IF(D2685&lt;&gt;"",VLOOKUP(VALUE(E2659&amp;","&amp;C2685),INTEGRANTES!$D$18:$F$235,3,0),"")</f>
        <v>#N/A</v>
      </c>
      <c r="F2685" s="548" t="e">
        <f>IF(D2685="","",SUMIF($I2663:$I2672,D2685,$P2663:$P2672))</f>
        <v>#N/A</v>
      </c>
      <c r="G2685" s="334" t="e">
        <f>IF(D2685="","",SUMIF($I2663:$I2672,D2685,$M2663:$M2672))</f>
        <v>#N/A</v>
      </c>
      <c r="H2685" s="536" t="e">
        <f t="shared" si="785"/>
        <v>#N/A</v>
      </c>
      <c r="I2685" s="214" t="e">
        <f>IF(D2685="","",IF(H2685="NO APORTA","NO",IF(H2685=MAX($H2680:$H2685),"SI","NO")))</f>
        <v>#N/A</v>
      </c>
      <c r="J2685" s="213" t="e">
        <f t="shared" si="786"/>
        <v>#N/A</v>
      </c>
      <c r="K2685" s="200" t="e">
        <f t="shared" si="787"/>
        <v>#N/A</v>
      </c>
      <c r="L2685" s="721"/>
      <c r="M2685" s="729">
        <f>NUMMOD</f>
        <v>1</v>
      </c>
      <c r="N2685" s="730"/>
      <c r="O2685" s="443">
        <f>IF(M2685="","",ROUND(VLOOKUP(M2685,PRESUPUESTOS!$B$16:$H$16,7,FALSE),3))</f>
        <v>25.780999999999999</v>
      </c>
      <c r="P2685" s="713">
        <f>IF(OR(COUNTIF(P2663:P2672,"")&gt;=10,Q2679&lt;NUMMINCONT,OR(T2677="NO CUMPLE",T2677="VERIFICAR")),0,ROUND((SUM(P2663:P2672)/SUM(M2663:M2672)),3))</f>
        <v>0</v>
      </c>
      <c r="Q2685" s="714"/>
      <c r="R2685" s="458"/>
      <c r="S2685" s="459"/>
      <c r="T2685" s="460"/>
      <c r="U2685" s="219"/>
      <c r="V2685" s="464"/>
      <c r="Y2685" s="532" t="s">
        <v>343</v>
      </c>
      <c r="AA2685" s="540" t="e">
        <f>IF(AND(C2684&lt;=F2678,F2678&lt;&gt;""),VLOOKUP(VALUE(E2659&amp;","&amp;C2684),INTEGRANTES!$D$18:$F$235,2,0),"")</f>
        <v>#N/A</v>
      </c>
      <c r="AB2685" s="545" t="e">
        <f t="shared" si="788"/>
        <v>#N/A</v>
      </c>
      <c r="AC2685" s="529"/>
      <c r="AD2685" s="200" t="e">
        <f t="shared" si="789"/>
        <v>#N/A</v>
      </c>
      <c r="AE2685" s="52"/>
      <c r="AF2685" s="52"/>
      <c r="AG2685" s="52"/>
      <c r="AH2685" s="87"/>
      <c r="AI2685" s="87"/>
    </row>
    <row r="2686" spans="1:35" ht="16.5" hidden="1" customHeight="1" thickBot="1">
      <c r="A2686" s="218" t="e">
        <f>"T"&amp;E2659</f>
        <v>#N/A</v>
      </c>
      <c r="B2686" s="703"/>
      <c r="C2686" s="719"/>
      <c r="D2686" s="719"/>
      <c r="E2686" s="719"/>
      <c r="F2686" s="719"/>
      <c r="G2686" s="719"/>
      <c r="H2686" s="719" t="s">
        <v>110</v>
      </c>
      <c r="I2686" s="719"/>
      <c r="J2686" s="719"/>
      <c r="K2686" s="201" t="str">
        <f>IF(COUNTIF(K2680:K2685,"")=6,"",IF(COUNTIF(K2680:K2685,"CUMPLE")&gt;0,"CUMPLE","NO CUMPLE"))</f>
        <v>NO CUMPLE</v>
      </c>
      <c r="L2686" s="754"/>
      <c r="M2686" s="755"/>
      <c r="N2686" s="755"/>
      <c r="O2686" s="755"/>
      <c r="P2686" s="755"/>
      <c r="Q2686" s="756"/>
      <c r="R2686" s="461"/>
      <c r="S2686" s="462"/>
      <c r="T2686" s="463"/>
      <c r="U2686" s="219"/>
      <c r="V2686" s="464"/>
      <c r="Y2686" s="549" t="e">
        <f>IF(Y2680="NO APLICA","NO APLICA",IF(COUNTIF(AD2681:AD2686,"CUMPLE")&gt;0,"CUMPLE","NO CUMPLE"))</f>
        <v>#N/A</v>
      </c>
      <c r="AA2686" s="541" t="e">
        <f>IF(AND(C2685&lt;=F2678,F2678&lt;&gt;""),VLOOKUP(VALUE(E2659&amp;","&amp;C2685),INTEGRANTES!$D$18:$F$235,2,0),"")</f>
        <v>#N/A</v>
      </c>
      <c r="AB2686" s="546" t="e">
        <f t="shared" si="788"/>
        <v>#N/A</v>
      </c>
      <c r="AC2686" s="543"/>
      <c r="AD2686" s="201" t="e">
        <f t="shared" si="789"/>
        <v>#N/A</v>
      </c>
      <c r="AE2686" s="52"/>
      <c r="AF2686" s="52"/>
      <c r="AG2686" s="52"/>
      <c r="AH2686" s="87"/>
      <c r="AI2686" s="87"/>
    </row>
    <row r="2687" spans="1:35" hidden="1">
      <c r="A2687" s="103"/>
      <c r="B2687" s="206"/>
      <c r="C2687" s="206"/>
      <c r="D2687" s="206"/>
      <c r="E2687" s="206"/>
      <c r="F2687" s="206"/>
      <c r="G2687" s="206"/>
      <c r="H2687" s="206"/>
      <c r="I2687" s="104"/>
      <c r="J2687" s="206"/>
      <c r="K2687" s="113"/>
      <c r="L2687" s="113"/>
      <c r="M2687" s="113"/>
      <c r="N2687" s="222"/>
      <c r="O2687" s="113"/>
      <c r="P2687" s="113"/>
      <c r="Q2687" s="113"/>
      <c r="R2687" s="206"/>
      <c r="S2687" s="104"/>
      <c r="T2687" s="206"/>
      <c r="U2687" s="474"/>
      <c r="AH2687" s="87"/>
      <c r="AI2687" s="87"/>
    </row>
    <row r="2688" spans="1:35" hidden="1">
      <c r="H2688" s="220"/>
      <c r="AH2688" s="87"/>
      <c r="AI2688" s="87"/>
    </row>
    <row r="2689" spans="1:35" ht="24" hidden="1" thickBot="1">
      <c r="A2689" s="61">
        <v>90</v>
      </c>
      <c r="B2689" s="704" t="s">
        <v>51</v>
      </c>
      <c r="C2689" s="704"/>
      <c r="D2689" s="704"/>
      <c r="E2689" s="62" t="e">
        <f>VLOOKUP(A2689,PROPONENTES!$B$19:$E$218,2,FALSE)</f>
        <v>#N/A</v>
      </c>
      <c r="F2689" s="63" t="e">
        <f>VLOOKUP(A2689,PROPONENTES!$B$19:$E$218,3,FALSE)</f>
        <v>#N/A</v>
      </c>
      <c r="G2689" s="64"/>
      <c r="H2689" s="64"/>
      <c r="I2689" s="63"/>
      <c r="J2689" s="63"/>
      <c r="K2689" s="65"/>
      <c r="L2689" s="65"/>
      <c r="M2689" s="64"/>
      <c r="N2689" s="64"/>
      <c r="O2689" s="66"/>
      <c r="P2689" s="66"/>
      <c r="Q2689" s="66"/>
      <c r="R2689" s="66"/>
      <c r="S2689" s="67"/>
      <c r="T2689" s="68"/>
      <c r="U2689" s="68"/>
      <c r="AC2689" s="68"/>
      <c r="AD2689" s="68"/>
      <c r="AE2689" s="68"/>
      <c r="AF2689" s="68"/>
      <c r="AG2689" s="68"/>
      <c r="AH2689" s="87"/>
      <c r="AI2689" s="87"/>
    </row>
    <row r="2690" spans="1:35" ht="15.75" hidden="1" customHeight="1">
      <c r="A2690" s="44"/>
      <c r="B2690" s="709" t="s">
        <v>59</v>
      </c>
      <c r="C2690" s="552" t="s">
        <v>60</v>
      </c>
      <c r="D2690" s="70" t="s">
        <v>17</v>
      </c>
      <c r="E2690" s="70"/>
      <c r="F2690" s="70" t="s">
        <v>61</v>
      </c>
      <c r="G2690" s="71"/>
      <c r="H2690" s="699" t="s">
        <v>62</v>
      </c>
      <c r="I2690" s="699" t="s">
        <v>18</v>
      </c>
      <c r="J2690" s="699" t="s">
        <v>63</v>
      </c>
      <c r="K2690" s="699" t="s">
        <v>64</v>
      </c>
      <c r="L2690" s="699" t="s">
        <v>65</v>
      </c>
      <c r="M2690" s="743" t="s">
        <v>66</v>
      </c>
      <c r="N2690" s="699" t="s">
        <v>282</v>
      </c>
      <c r="O2690" s="745" t="s">
        <v>67</v>
      </c>
      <c r="P2690" s="746"/>
      <c r="Q2690" s="102" t="s">
        <v>75</v>
      </c>
      <c r="R2690" s="731" t="s">
        <v>22</v>
      </c>
      <c r="S2690" s="732"/>
      <c r="T2690" s="733"/>
      <c r="U2690" s="712" t="s">
        <v>298</v>
      </c>
      <c r="W2690" s="690" t="s">
        <v>268</v>
      </c>
      <c r="X2690" s="691"/>
      <c r="Y2690" s="692"/>
      <c r="Z2690" s="428"/>
      <c r="AA2690" s="697" t="s">
        <v>315</v>
      </c>
      <c r="AB2690" s="695" t="s">
        <v>322</v>
      </c>
      <c r="AC2690" s="49"/>
      <c r="AD2690" s="690" t="s">
        <v>297</v>
      </c>
      <c r="AE2690" s="691"/>
      <c r="AF2690" s="692"/>
      <c r="AG2690" s="49"/>
      <c r="AH2690" s="87"/>
      <c r="AI2690" s="87"/>
    </row>
    <row r="2691" spans="1:35" ht="72" hidden="1">
      <c r="A2691" s="44"/>
      <c r="B2691" s="710"/>
      <c r="C2691" s="553" t="s">
        <v>68</v>
      </c>
      <c r="D2691" s="73" t="s">
        <v>3</v>
      </c>
      <c r="E2691" s="73" t="s">
        <v>19</v>
      </c>
      <c r="F2691" s="73" t="s">
        <v>69</v>
      </c>
      <c r="G2691" s="74" t="s">
        <v>70</v>
      </c>
      <c r="H2691" s="700"/>
      <c r="I2691" s="700"/>
      <c r="J2691" s="700"/>
      <c r="K2691" s="700"/>
      <c r="L2691" s="700"/>
      <c r="M2691" s="744"/>
      <c r="N2691" s="700"/>
      <c r="O2691" s="553" t="s">
        <v>279</v>
      </c>
      <c r="P2691" s="73" t="s">
        <v>88</v>
      </c>
      <c r="Q2691" s="555" t="s">
        <v>76</v>
      </c>
      <c r="R2691" s="734"/>
      <c r="S2691" s="735"/>
      <c r="T2691" s="736"/>
      <c r="U2691" s="712"/>
      <c r="W2691" s="429" t="s">
        <v>269</v>
      </c>
      <c r="X2691" s="457" t="s">
        <v>278</v>
      </c>
      <c r="Y2691" s="430" t="s">
        <v>324</v>
      </c>
      <c r="Z2691" s="428"/>
      <c r="AA2691" s="698"/>
      <c r="AB2691" s="696"/>
      <c r="AC2691" s="49"/>
      <c r="AD2691" s="429" t="s">
        <v>292</v>
      </c>
      <c r="AE2691" s="431" t="s">
        <v>300</v>
      </c>
      <c r="AF2691" s="468" t="s">
        <v>301</v>
      </c>
      <c r="AG2691" s="49"/>
      <c r="AH2691" s="87"/>
      <c r="AI2691" s="87"/>
    </row>
    <row r="2692" spans="1:35" hidden="1">
      <c r="A2692" s="44"/>
      <c r="B2692" s="76"/>
      <c r="C2692" s="77"/>
      <c r="D2692" s="77"/>
      <c r="E2692" s="77"/>
      <c r="F2692" s="77"/>
      <c r="G2692" s="77"/>
      <c r="H2692" s="77"/>
      <c r="I2692" s="77"/>
      <c r="J2692" s="77"/>
      <c r="K2692" s="77"/>
      <c r="L2692" s="77"/>
      <c r="M2692" s="77"/>
      <c r="N2692" s="77"/>
      <c r="O2692" s="77"/>
      <c r="P2692" s="77"/>
      <c r="Q2692" s="77"/>
      <c r="R2692" s="77"/>
      <c r="S2692" s="78"/>
      <c r="T2692" s="79"/>
      <c r="U2692" s="109"/>
      <c r="V2692" s="49"/>
      <c r="W2692" s="432"/>
      <c r="X2692" s="454"/>
      <c r="Y2692" s="433"/>
      <c r="Z2692" s="6"/>
      <c r="AA2692" s="500"/>
      <c r="AB2692" s="562"/>
      <c r="AC2692" s="49"/>
      <c r="AD2692" s="210"/>
      <c r="AE2692" s="434"/>
      <c r="AF2692" s="435"/>
      <c r="AG2692" s="49"/>
      <c r="AH2692" s="87"/>
      <c r="AI2692" s="87"/>
    </row>
    <row r="2693" spans="1:35" hidden="1">
      <c r="A2693" s="80" t="e">
        <f>"A"&amp;E2689</f>
        <v>#N/A</v>
      </c>
      <c r="B2693" s="81">
        <v>1</v>
      </c>
      <c r="C2693" s="82"/>
      <c r="D2693" s="82"/>
      <c r="E2693" s="82"/>
      <c r="F2693" s="82"/>
      <c r="G2693" s="83"/>
      <c r="H2693" s="83"/>
      <c r="I2693" s="84"/>
      <c r="J2693" s="85"/>
      <c r="K2693" s="382"/>
      <c r="L2693" s="85"/>
      <c r="M2693" s="332" t="str">
        <f t="shared" ref="M2693:M2702" si="790">IF(OR(J2693="",L2693="",H2693="NO"),"",IF(OR(J2693&gt;$P$17,J2693&lt;$O$17,L2693&gt;$P$17,AND(J2693&lt;$O$17,L2693&lt;$O$17)),"FUERA DE RANGO",IF(OR(K2693="---",K2693=""),IF(J2693&gt;=$O$17,ROUND((L2693-J2693+1)/360*12,3),ROUND((L2693-$O$17+1)/360*12,3)),IF(J2693&gt;=$O$17,ROUND((L2693-J2693+1)/360*12-ROUND(K2693,3),3),ROUND((L2693-$O$17+1)/360*12-ROUND(K2693,3),3)))))</f>
        <v/>
      </c>
      <c r="N2693" s="86"/>
      <c r="O2693" s="453" t="str">
        <f>IF(OR(G2693="",N2693=""),"",N2693*G2693)</f>
        <v/>
      </c>
      <c r="P2693" s="538" t="str">
        <f>IF(OR(H2693="",M2693="FUERA DE RANGO"),"",IF(OR(L2693&lt;$O$17,L2693&gt;$P$17,L2693="",H2693="NO"),"",IF(OR(N2693="",O2693=""),"",ROUND(O2693,3))))</f>
        <v/>
      </c>
      <c r="Q2693" s="539" t="str">
        <f t="shared" ref="Q2693:Q2702" si="791">IF(AND(H2693="SI",P2693&lt;&gt;""),ROUND(P2693/M2693,3),"")</f>
        <v/>
      </c>
      <c r="R2693" s="737"/>
      <c r="S2693" s="738"/>
      <c r="T2693" s="739"/>
      <c r="U2693" s="470"/>
      <c r="V2693" s="165"/>
      <c r="W2693" s="446"/>
      <c r="X2693" s="456"/>
      <c r="Y2693" s="436"/>
      <c r="Z2693" s="437"/>
      <c r="AA2693" s="560"/>
      <c r="AB2693" s="561"/>
      <c r="AC2693" s="87"/>
      <c r="AD2693" s="466"/>
      <c r="AE2693" s="456"/>
      <c r="AF2693" s="467"/>
      <c r="AG2693" s="87"/>
      <c r="AH2693" s="87"/>
      <c r="AI2693" s="87"/>
    </row>
    <row r="2694" spans="1:35" hidden="1">
      <c r="A2694" s="80" t="e">
        <f>"B"&amp;E2689</f>
        <v>#N/A</v>
      </c>
      <c r="B2694" s="81">
        <v>2</v>
      </c>
      <c r="C2694" s="106"/>
      <c r="D2694" s="106"/>
      <c r="E2694" s="106"/>
      <c r="F2694" s="106"/>
      <c r="G2694" s="83"/>
      <c r="H2694" s="83"/>
      <c r="I2694" s="84"/>
      <c r="J2694" s="85"/>
      <c r="K2694" s="382"/>
      <c r="L2694" s="85"/>
      <c r="M2694" s="332" t="str">
        <f t="shared" si="790"/>
        <v/>
      </c>
      <c r="N2694" s="86"/>
      <c r="O2694" s="453" t="str">
        <f t="shared" ref="O2694:O2702" si="792">IF(OR(G2694="",N2694=""),"",N2694*G2694)</f>
        <v/>
      </c>
      <c r="P2694" s="538" t="str">
        <f t="shared" ref="P2694:P2702" si="793">IF(OR(H2694="",M2694="FUERA DE RANGO"),"",IF(OR(L2694&lt;$O$17,L2694&gt;$P$17,L2694="",H2694="NO"),"",IF(OR(N2694="",O2694=""),"",ROUND(O2694,3))))</f>
        <v/>
      </c>
      <c r="Q2694" s="539" t="str">
        <f t="shared" si="791"/>
        <v/>
      </c>
      <c r="R2694" s="740"/>
      <c r="S2694" s="741"/>
      <c r="T2694" s="742"/>
      <c r="U2694" s="471"/>
      <c r="V2694" s="165"/>
      <c r="W2694" s="446"/>
      <c r="X2694" s="456"/>
      <c r="Y2694" s="436"/>
      <c r="Z2694" s="437"/>
      <c r="AA2694" s="560"/>
      <c r="AB2694" s="561"/>
      <c r="AC2694" s="87"/>
      <c r="AD2694" s="466"/>
      <c r="AE2694" s="456"/>
      <c r="AF2694" s="467"/>
      <c r="AG2694" s="87"/>
      <c r="AH2694" s="87"/>
      <c r="AI2694" s="87"/>
    </row>
    <row r="2695" spans="1:35" hidden="1">
      <c r="A2695" s="80" t="e">
        <f>"C"&amp;E2689</f>
        <v>#N/A</v>
      </c>
      <c r="B2695" s="88">
        <v>3</v>
      </c>
      <c r="C2695" s="82"/>
      <c r="D2695" s="82"/>
      <c r="E2695" s="82"/>
      <c r="F2695" s="82"/>
      <c r="G2695" s="83"/>
      <c r="H2695" s="83"/>
      <c r="I2695" s="84"/>
      <c r="J2695" s="85"/>
      <c r="K2695" s="382"/>
      <c r="L2695" s="85"/>
      <c r="M2695" s="332" t="str">
        <f t="shared" si="790"/>
        <v/>
      </c>
      <c r="N2695" s="86"/>
      <c r="O2695" s="453" t="str">
        <f t="shared" si="792"/>
        <v/>
      </c>
      <c r="P2695" s="538" t="str">
        <f t="shared" si="793"/>
        <v/>
      </c>
      <c r="Q2695" s="539" t="str">
        <f t="shared" si="791"/>
        <v/>
      </c>
      <c r="R2695" s="706"/>
      <c r="S2695" s="707"/>
      <c r="T2695" s="708"/>
      <c r="U2695" s="472"/>
      <c r="V2695" s="166"/>
      <c r="W2695" s="446"/>
      <c r="X2695" s="456"/>
      <c r="Y2695" s="436"/>
      <c r="Z2695" s="437"/>
      <c r="AA2695" s="560"/>
      <c r="AB2695" s="561"/>
      <c r="AC2695" s="87"/>
      <c r="AD2695" s="466"/>
      <c r="AE2695" s="456"/>
      <c r="AF2695" s="467"/>
      <c r="AG2695" s="87"/>
      <c r="AH2695" s="87"/>
      <c r="AI2695" s="87"/>
    </row>
    <row r="2696" spans="1:35" hidden="1">
      <c r="A2696" s="80" t="e">
        <f>"D"&amp;E2689</f>
        <v>#N/A</v>
      </c>
      <c r="B2696" s="105">
        <v>4</v>
      </c>
      <c r="C2696" s="107"/>
      <c r="D2696" s="107"/>
      <c r="E2696" s="107"/>
      <c r="F2696" s="107"/>
      <c r="G2696" s="83"/>
      <c r="H2696" s="83"/>
      <c r="I2696" s="84"/>
      <c r="J2696" s="85"/>
      <c r="K2696" s="382"/>
      <c r="L2696" s="85"/>
      <c r="M2696" s="332" t="str">
        <f t="shared" si="790"/>
        <v/>
      </c>
      <c r="N2696" s="86"/>
      <c r="O2696" s="453" t="str">
        <f t="shared" si="792"/>
        <v/>
      </c>
      <c r="P2696" s="538" t="str">
        <f t="shared" si="793"/>
        <v/>
      </c>
      <c r="Q2696" s="539" t="str">
        <f t="shared" si="791"/>
        <v/>
      </c>
      <c r="R2696" s="706"/>
      <c r="S2696" s="707"/>
      <c r="T2696" s="708"/>
      <c r="U2696" s="472"/>
      <c r="V2696" s="166"/>
      <c r="W2696" s="446"/>
      <c r="X2696" s="456"/>
      <c r="Y2696" s="436"/>
      <c r="Z2696" s="437"/>
      <c r="AA2696" s="560"/>
      <c r="AB2696" s="561"/>
      <c r="AC2696" s="87"/>
      <c r="AD2696" s="466"/>
      <c r="AE2696" s="456"/>
      <c r="AF2696" s="467"/>
      <c r="AG2696" s="87"/>
      <c r="AH2696" s="87"/>
      <c r="AI2696" s="87"/>
    </row>
    <row r="2697" spans="1:35" hidden="1">
      <c r="A2697" s="80" t="e">
        <f>"E"&amp;E2689</f>
        <v>#N/A</v>
      </c>
      <c r="B2697" s="105">
        <v>5</v>
      </c>
      <c r="C2697" s="107"/>
      <c r="D2697" s="107"/>
      <c r="E2697" s="107"/>
      <c r="F2697" s="107"/>
      <c r="G2697" s="83"/>
      <c r="H2697" s="83"/>
      <c r="I2697" s="84"/>
      <c r="J2697" s="85"/>
      <c r="K2697" s="382"/>
      <c r="L2697" s="85"/>
      <c r="M2697" s="332" t="str">
        <f t="shared" si="790"/>
        <v/>
      </c>
      <c r="N2697" s="86"/>
      <c r="O2697" s="453" t="str">
        <f t="shared" si="792"/>
        <v/>
      </c>
      <c r="P2697" s="538" t="str">
        <f t="shared" si="793"/>
        <v/>
      </c>
      <c r="Q2697" s="539" t="str">
        <f t="shared" si="791"/>
        <v/>
      </c>
      <c r="R2697" s="706"/>
      <c r="S2697" s="707"/>
      <c r="T2697" s="708"/>
      <c r="U2697" s="472"/>
      <c r="V2697" s="167"/>
      <c r="W2697" s="446"/>
      <c r="X2697" s="456"/>
      <c r="Y2697" s="436"/>
      <c r="Z2697" s="437"/>
      <c r="AA2697" s="560"/>
      <c r="AB2697" s="561"/>
      <c r="AC2697" s="87"/>
      <c r="AD2697" s="466"/>
      <c r="AE2697" s="456"/>
      <c r="AF2697" s="467"/>
      <c r="AG2697" s="87"/>
      <c r="AH2697" s="87"/>
      <c r="AI2697" s="87"/>
    </row>
    <row r="2698" spans="1:35" hidden="1">
      <c r="A2698" s="80" t="e">
        <f>"F"&amp;E2689</f>
        <v>#N/A</v>
      </c>
      <c r="B2698" s="105">
        <v>6</v>
      </c>
      <c r="C2698" s="107"/>
      <c r="D2698" s="107"/>
      <c r="E2698" s="107"/>
      <c r="F2698" s="107"/>
      <c r="G2698" s="83"/>
      <c r="H2698" s="83"/>
      <c r="I2698" s="84"/>
      <c r="J2698" s="85"/>
      <c r="K2698" s="382"/>
      <c r="L2698" s="85"/>
      <c r="M2698" s="332" t="str">
        <f t="shared" si="790"/>
        <v/>
      </c>
      <c r="N2698" s="86"/>
      <c r="O2698" s="453" t="str">
        <f t="shared" si="792"/>
        <v/>
      </c>
      <c r="P2698" s="538" t="str">
        <f t="shared" si="793"/>
        <v/>
      </c>
      <c r="Q2698" s="539" t="str">
        <f t="shared" si="791"/>
        <v/>
      </c>
      <c r="R2698" s="706"/>
      <c r="S2698" s="707"/>
      <c r="T2698" s="708"/>
      <c r="U2698" s="472"/>
      <c r="V2698" s="167"/>
      <c r="W2698" s="446"/>
      <c r="X2698" s="456"/>
      <c r="Y2698" s="436"/>
      <c r="Z2698" s="437"/>
      <c r="AA2698" s="560"/>
      <c r="AB2698" s="561"/>
      <c r="AC2698" s="87"/>
      <c r="AD2698" s="466"/>
      <c r="AE2698" s="456"/>
      <c r="AF2698" s="467"/>
      <c r="AG2698" s="87"/>
      <c r="AH2698" s="87"/>
      <c r="AI2698" s="87"/>
    </row>
    <row r="2699" spans="1:35" hidden="1">
      <c r="A2699" s="80" t="e">
        <f>"G"&amp;E2689</f>
        <v>#N/A</v>
      </c>
      <c r="B2699" s="105">
        <v>7</v>
      </c>
      <c r="C2699" s="107"/>
      <c r="D2699" s="107"/>
      <c r="E2699" s="107"/>
      <c r="F2699" s="107"/>
      <c r="G2699" s="83"/>
      <c r="H2699" s="83"/>
      <c r="I2699" s="84"/>
      <c r="J2699" s="85"/>
      <c r="K2699" s="382"/>
      <c r="L2699" s="85"/>
      <c r="M2699" s="332" t="str">
        <f t="shared" si="790"/>
        <v/>
      </c>
      <c r="N2699" s="86"/>
      <c r="O2699" s="86" t="str">
        <f t="shared" si="792"/>
        <v/>
      </c>
      <c r="P2699" s="538" t="str">
        <f t="shared" si="793"/>
        <v/>
      </c>
      <c r="Q2699" s="539" t="str">
        <f t="shared" si="791"/>
        <v/>
      </c>
      <c r="R2699" s="706"/>
      <c r="S2699" s="707"/>
      <c r="T2699" s="708"/>
      <c r="U2699" s="472"/>
      <c r="V2699" s="167"/>
      <c r="W2699" s="446"/>
      <c r="X2699" s="456"/>
      <c r="Y2699" s="436"/>
      <c r="Z2699" s="437"/>
      <c r="AA2699" s="560"/>
      <c r="AB2699" s="561"/>
      <c r="AC2699" s="87"/>
      <c r="AD2699" s="466"/>
      <c r="AE2699" s="456"/>
      <c r="AF2699" s="467"/>
      <c r="AG2699" s="87"/>
      <c r="AH2699" s="87"/>
      <c r="AI2699" s="87"/>
    </row>
    <row r="2700" spans="1:35" hidden="1">
      <c r="A2700" s="80" t="e">
        <f>"H"&amp;E2689</f>
        <v>#N/A</v>
      </c>
      <c r="B2700" s="105">
        <v>8</v>
      </c>
      <c r="C2700" s="107"/>
      <c r="D2700" s="107"/>
      <c r="E2700" s="107"/>
      <c r="F2700" s="107"/>
      <c r="G2700" s="83"/>
      <c r="H2700" s="83"/>
      <c r="I2700" s="84"/>
      <c r="J2700" s="85"/>
      <c r="K2700" s="382"/>
      <c r="L2700" s="85"/>
      <c r="M2700" s="332" t="str">
        <f t="shared" si="790"/>
        <v/>
      </c>
      <c r="N2700" s="453"/>
      <c r="O2700" s="86" t="str">
        <f t="shared" si="792"/>
        <v/>
      </c>
      <c r="P2700" s="538" t="str">
        <f t="shared" si="793"/>
        <v/>
      </c>
      <c r="Q2700" s="539" t="str">
        <f t="shared" si="791"/>
        <v/>
      </c>
      <c r="R2700" s="706"/>
      <c r="S2700" s="707"/>
      <c r="T2700" s="708"/>
      <c r="U2700" s="472"/>
      <c r="V2700" s="167"/>
      <c r="W2700" s="446"/>
      <c r="X2700" s="456"/>
      <c r="Y2700" s="436"/>
      <c r="Z2700" s="437"/>
      <c r="AA2700" s="560"/>
      <c r="AB2700" s="561"/>
      <c r="AC2700" s="87"/>
      <c r="AD2700" s="466"/>
      <c r="AE2700" s="456"/>
      <c r="AF2700" s="467"/>
      <c r="AG2700" s="87"/>
      <c r="AH2700" s="87"/>
      <c r="AI2700" s="87"/>
    </row>
    <row r="2701" spans="1:35" hidden="1">
      <c r="A2701" s="80" t="e">
        <f>"I"&amp;E2689</f>
        <v>#N/A</v>
      </c>
      <c r="B2701" s="105">
        <v>9</v>
      </c>
      <c r="C2701" s="107"/>
      <c r="D2701" s="107"/>
      <c r="E2701" s="107"/>
      <c r="F2701" s="107"/>
      <c r="G2701" s="83"/>
      <c r="H2701" s="83"/>
      <c r="I2701" s="84"/>
      <c r="J2701" s="85"/>
      <c r="K2701" s="382"/>
      <c r="L2701" s="85"/>
      <c r="M2701" s="332" t="str">
        <f t="shared" si="790"/>
        <v/>
      </c>
      <c r="N2701" s="453"/>
      <c r="O2701" s="86" t="str">
        <f t="shared" si="792"/>
        <v/>
      </c>
      <c r="P2701" s="538" t="str">
        <f t="shared" si="793"/>
        <v/>
      </c>
      <c r="Q2701" s="539" t="str">
        <f t="shared" si="791"/>
        <v/>
      </c>
      <c r="R2701" s="706"/>
      <c r="S2701" s="707"/>
      <c r="T2701" s="708"/>
      <c r="U2701" s="472"/>
      <c r="V2701" s="167"/>
      <c r="W2701" s="446"/>
      <c r="X2701" s="456"/>
      <c r="Y2701" s="436"/>
      <c r="Z2701" s="437"/>
      <c r="AA2701" s="560"/>
      <c r="AB2701" s="561"/>
      <c r="AC2701" s="87"/>
      <c r="AD2701" s="466"/>
      <c r="AE2701" s="456"/>
      <c r="AF2701" s="467"/>
      <c r="AG2701" s="87"/>
      <c r="AH2701" s="87"/>
      <c r="AI2701" s="87"/>
    </row>
    <row r="2702" spans="1:35" hidden="1">
      <c r="A2702" s="80" t="e">
        <f>"J"&amp;E2689</f>
        <v>#N/A</v>
      </c>
      <c r="B2702" s="105">
        <v>10</v>
      </c>
      <c r="C2702" s="107"/>
      <c r="D2702" s="107"/>
      <c r="E2702" s="107"/>
      <c r="F2702" s="107"/>
      <c r="G2702" s="83"/>
      <c r="H2702" s="83"/>
      <c r="I2702" s="84"/>
      <c r="J2702" s="85"/>
      <c r="K2702" s="382"/>
      <c r="L2702" s="85"/>
      <c r="M2702" s="332" t="str">
        <f t="shared" si="790"/>
        <v/>
      </c>
      <c r="N2702" s="453"/>
      <c r="O2702" s="86" t="str">
        <f t="shared" si="792"/>
        <v/>
      </c>
      <c r="P2702" s="538" t="str">
        <f t="shared" si="793"/>
        <v/>
      </c>
      <c r="Q2702" s="539" t="str">
        <f t="shared" si="791"/>
        <v/>
      </c>
      <c r="R2702" s="706"/>
      <c r="S2702" s="707"/>
      <c r="T2702" s="708"/>
      <c r="U2702" s="472"/>
      <c r="V2702" s="167"/>
      <c r="W2702" s="446"/>
      <c r="X2702" s="456"/>
      <c r="Y2702" s="436"/>
      <c r="Z2702" s="437"/>
      <c r="AA2702" s="560"/>
      <c r="AB2702" s="561"/>
      <c r="AC2702" s="87"/>
      <c r="AD2702" s="466"/>
      <c r="AE2702" s="456"/>
      <c r="AF2702" s="467"/>
      <c r="AG2702" s="87"/>
      <c r="AH2702" s="87"/>
      <c r="AI2702" s="87"/>
    </row>
    <row r="2703" spans="1:35" ht="16.5" hidden="1" thickBot="1">
      <c r="A2703" s="44"/>
      <c r="B2703" s="89"/>
      <c r="C2703" s="90"/>
      <c r="D2703" s="90"/>
      <c r="E2703" s="90"/>
      <c r="F2703" s="90"/>
      <c r="G2703" s="90"/>
      <c r="H2703" s="90"/>
      <c r="I2703" s="90"/>
      <c r="J2703" s="90"/>
      <c r="K2703" s="90"/>
      <c r="L2703" s="90"/>
      <c r="M2703" s="90"/>
      <c r="N2703" s="90"/>
      <c r="O2703" s="90"/>
      <c r="P2703" s="90"/>
      <c r="Q2703" s="90"/>
      <c r="R2703" s="90"/>
      <c r="S2703" s="91"/>
      <c r="T2703" s="92"/>
      <c r="U2703" s="473"/>
      <c r="W2703" s="438"/>
      <c r="X2703" s="455"/>
      <c r="Y2703" s="439"/>
      <c r="Z2703" s="437"/>
      <c r="AA2703" s="530"/>
      <c r="AB2703" s="563"/>
      <c r="AC2703" s="87"/>
      <c r="AD2703" s="440"/>
      <c r="AE2703" s="441"/>
      <c r="AF2703" s="442"/>
      <c r="AG2703" s="49"/>
      <c r="AH2703" s="87"/>
      <c r="AI2703" s="87"/>
    </row>
    <row r="2704" spans="1:35" ht="16.5" hidden="1" thickBot="1">
      <c r="A2704" s="93"/>
      <c r="B2704" s="94"/>
      <c r="C2704" s="96"/>
      <c r="D2704" s="96"/>
      <c r="E2704" s="96"/>
      <c r="F2704" s="96"/>
      <c r="G2704" s="96"/>
      <c r="H2704" s="96"/>
      <c r="I2704" s="96"/>
      <c r="J2704" s="96"/>
      <c r="K2704" s="96"/>
      <c r="L2704" s="96"/>
      <c r="M2704" s="136"/>
      <c r="N2704" s="96"/>
      <c r="O2704" s="96"/>
      <c r="P2704" s="97"/>
      <c r="Q2704" s="97"/>
      <c r="R2704" s="98"/>
      <c r="S2704" s="95"/>
      <c r="T2704" s="99"/>
      <c r="U2704" s="469"/>
      <c r="AC2704" s="58"/>
      <c r="AG2704" s="58"/>
      <c r="AH2704" s="87"/>
      <c r="AI2704" s="87"/>
    </row>
    <row r="2705" spans="1:35" ht="16.5" hidden="1" thickBot="1">
      <c r="B2705" s="101"/>
      <c r="C2705" s="101"/>
      <c r="D2705" s="101"/>
      <c r="E2705" s="101"/>
      <c r="F2705" s="101"/>
      <c r="G2705" s="101"/>
      <c r="H2705" s="101"/>
      <c r="I2705" s="101"/>
      <c r="J2705" s="101"/>
      <c r="K2705" s="101"/>
      <c r="L2705" s="101"/>
      <c r="M2705" s="101"/>
      <c r="N2705" s="101"/>
      <c r="O2705" s="101"/>
      <c r="P2705" s="101"/>
      <c r="Q2705" s="101"/>
      <c r="R2705" s="101"/>
      <c r="S2705" s="101"/>
      <c r="U2705" s="50"/>
      <c r="AH2705" s="87"/>
      <c r="AI2705" s="87"/>
    </row>
    <row r="2706" spans="1:35" ht="16.5" hidden="1" customHeight="1" thickBot="1">
      <c r="A2706" s="44"/>
      <c r="B2706" s="705" t="s">
        <v>74</v>
      </c>
      <c r="C2706" s="705"/>
      <c r="D2706" s="705"/>
      <c r="E2706" s="705"/>
      <c r="F2706" s="705"/>
      <c r="G2706" s="705"/>
      <c r="H2706" s="705"/>
      <c r="I2706" s="705"/>
      <c r="J2706" s="705"/>
      <c r="K2706" s="705"/>
      <c r="L2706" s="705"/>
      <c r="M2706" s="705"/>
      <c r="N2706" s="705"/>
      <c r="O2706" s="705"/>
      <c r="P2706" s="705"/>
      <c r="Q2706" s="705"/>
      <c r="R2706" s="705"/>
      <c r="S2706" s="705"/>
      <c r="T2706" s="705"/>
      <c r="U2706" s="108"/>
      <c r="Y2706" s="532" t="s">
        <v>341</v>
      </c>
      <c r="AC2706" s="49"/>
      <c r="AD2706" s="687" t="s">
        <v>302</v>
      </c>
      <c r="AE2706" s="688"/>
      <c r="AF2706" s="689"/>
      <c r="AG2706" s="49"/>
      <c r="AH2706" s="87"/>
      <c r="AI2706" s="87"/>
    </row>
    <row r="2707" spans="1:35" ht="15.75" hidden="1" customHeight="1" thickBot="1">
      <c r="A2707" s="218" t="e">
        <f>"K"&amp;E2689</f>
        <v>#N/A</v>
      </c>
      <c r="B2707" s="701" t="s">
        <v>71</v>
      </c>
      <c r="C2707" s="751" t="s">
        <v>102</v>
      </c>
      <c r="D2707" s="751"/>
      <c r="E2707" s="751"/>
      <c r="F2707" s="751"/>
      <c r="G2707" s="751"/>
      <c r="H2707" s="751"/>
      <c r="I2707" s="751"/>
      <c r="J2707" s="751"/>
      <c r="K2707" s="751"/>
      <c r="L2707" s="722" t="s">
        <v>100</v>
      </c>
      <c r="M2707" s="747" t="s">
        <v>114</v>
      </c>
      <c r="N2707" s="747"/>
      <c r="O2707" s="747"/>
      <c r="P2707" s="747"/>
      <c r="Q2707" s="748"/>
      <c r="R2707" s="758" t="s">
        <v>280</v>
      </c>
      <c r="S2707" s="748"/>
      <c r="T2707" s="762" t="str">
        <f>IF(COUNTIF(AE2707:AF2707,"VERIFICAR")&gt;0,"VERIFICAR",IF(COUNTIF(AE2707:AF2707,"NO CUMPLE")&gt;0,"NO CUMPLE","CUMPLE"))</f>
        <v>VERIFICAR</v>
      </c>
      <c r="U2707" s="108"/>
      <c r="Y2707" s="533" t="e">
        <f>IF(F2708="","",IF(F2708=1,"INDIVIDUAL","ESTRUCTURA PLURAL"))</f>
        <v>#N/A</v>
      </c>
      <c r="AC2707" s="52"/>
      <c r="AD2707" s="475" t="s">
        <v>303</v>
      </c>
      <c r="AE2707" s="476" t="str">
        <f>IF(COUNTIF(AE2693:AE2702,"")=10,"VERIFICAR",IF(COUNTIF(AE2693:AE2702,"SI")&gt;0,"CUMPLE","NO CUMPLE"))</f>
        <v>VERIFICAR</v>
      </c>
      <c r="AF2707" s="477" t="str">
        <f>IF(COUNTIF(AF2693:AF2702,"")=10,"VERIFICAR",IF(COUNTIF(AF2693:AF2702,"SI")&gt;=$AI$22,"CUMPLE","NO CUMPLE"))</f>
        <v>VERIFICAR</v>
      </c>
      <c r="AG2707" s="52"/>
      <c r="AH2707" s="87"/>
      <c r="AI2707" s="87"/>
    </row>
    <row r="2708" spans="1:35" ht="16.5" hidden="1" customHeight="1" thickBot="1">
      <c r="A2708" s="218" t="e">
        <f>"L"&amp;E2689</f>
        <v>#N/A</v>
      </c>
      <c r="B2708" s="702"/>
      <c r="C2708" s="751" t="s">
        <v>103</v>
      </c>
      <c r="D2708" s="751"/>
      <c r="E2708" s="752"/>
      <c r="F2708" s="557" t="e">
        <f>IF(VLOOKUP(E2689,PROPONENTES!$C$19:$E$218,3,0)="","",VLOOKUP(E2689,PROPONENTES!$C$19:$E$218,3,0))</f>
        <v>#N/A</v>
      </c>
      <c r="G2708" s="753" t="s">
        <v>104</v>
      </c>
      <c r="H2708" s="751"/>
      <c r="I2708" s="715" t="e">
        <f>IF(OR(F2708="",F2708=1),"INTERESADO PERSONA NATURAL O JURIDICA","CONSORCIO O UNION TEMPORAL")</f>
        <v>#N/A</v>
      </c>
      <c r="J2708" s="725"/>
      <c r="K2708" s="728"/>
      <c r="L2708" s="723"/>
      <c r="M2708" s="749"/>
      <c r="N2708" s="749"/>
      <c r="O2708" s="749"/>
      <c r="P2708" s="749"/>
      <c r="Q2708" s="750"/>
      <c r="R2708" s="712"/>
      <c r="S2708" s="750"/>
      <c r="T2708" s="763"/>
      <c r="U2708" s="108"/>
      <c r="Y2708" s="534"/>
      <c r="AA2708" s="52"/>
      <c r="AB2708" s="52"/>
      <c r="AC2708" s="52"/>
      <c r="AG2708" s="52"/>
      <c r="AH2708" s="87"/>
      <c r="AI2708" s="87"/>
    </row>
    <row r="2709" spans="1:35" ht="56.25" hidden="1" customHeight="1" thickBot="1">
      <c r="A2709" s="218" t="e">
        <f>"M"&amp;E2689</f>
        <v>#N/A</v>
      </c>
      <c r="B2709" s="702"/>
      <c r="C2709" s="725" t="s">
        <v>101</v>
      </c>
      <c r="D2709" s="716"/>
      <c r="E2709" s="558" t="s">
        <v>105</v>
      </c>
      <c r="F2709" s="554" t="s">
        <v>87</v>
      </c>
      <c r="G2709" s="553" t="s">
        <v>86</v>
      </c>
      <c r="H2709" s="559" t="s">
        <v>85</v>
      </c>
      <c r="I2709" s="554" t="s">
        <v>252</v>
      </c>
      <c r="J2709" s="553" t="str">
        <f>"¿EL INTEGRANTE TIENE UNA PARTICIPACIÓN DEL "&amp;PORCREQUERIDOINT*100&amp;"%?"</f>
        <v>¿EL INTEGRANTE TIENE UNA PARTICIPACIÓN DEL 60%?</v>
      </c>
      <c r="K2709" s="554" t="s">
        <v>107</v>
      </c>
      <c r="L2709" s="724"/>
      <c r="M2709" s="717" t="s">
        <v>115</v>
      </c>
      <c r="N2709" s="718"/>
      <c r="O2709" s="718"/>
      <c r="P2709" s="718"/>
      <c r="Q2709" s="223">
        <f>IF(AND(H2693="SI",P2693&gt;=0),1,0)+IF(AND(H2694="SI",P2694&gt;=0),1,0)+IF(AND(H2695="SI",P2695&gt;=0),1,0)+IF(AND(H2696="SI",P2696&gt;=0),1,0)+IF(AND(H2697="SI",P2697&gt;=0),1,0)+IF(AND(H2698="SI",P2698&gt;=0),1,0)+IF(AND(H2699="SI",P2699&gt;=0),1,0)+IF(AND(H2700="SI",P2700&gt;=0),1,0)+IF(AND(H2701="SI",P2701&gt;=0),1,0)+IF(AND(H2702="SI",P2702&gt;=0),1,0)</f>
        <v>0</v>
      </c>
      <c r="R2709" s="759"/>
      <c r="S2709" s="761"/>
      <c r="T2709" s="764"/>
      <c r="U2709" s="219"/>
      <c r="V2709" s="464"/>
      <c r="Y2709" s="532" t="s">
        <v>342</v>
      </c>
      <c r="AA2709" s="550" t="s">
        <v>344</v>
      </c>
      <c r="AB2709" s="693" t="s">
        <v>345</v>
      </c>
      <c r="AC2709" s="693" t="s">
        <v>346</v>
      </c>
      <c r="AD2709" s="685" t="s">
        <v>347</v>
      </c>
      <c r="AE2709" s="52"/>
      <c r="AF2709" s="52"/>
      <c r="AG2709" s="52"/>
      <c r="AH2709" s="87"/>
      <c r="AI2709" s="87"/>
    </row>
    <row r="2710" spans="1:35" ht="15.75" hidden="1" customHeight="1" thickBot="1">
      <c r="A2710" s="218" t="e">
        <f>"N"&amp;E2689</f>
        <v>#N/A</v>
      </c>
      <c r="B2710" s="702"/>
      <c r="C2710" s="114">
        <v>1</v>
      </c>
      <c r="D2710" s="194" t="e">
        <f>IF(AND(C2710&lt;=F2708,F2708&gt;1,F2708&lt;&gt;""),VLOOKUP(VALUE(E2689&amp;","&amp;C2710),INTEGRANTES!$D$18:$F$235,2,0),"")</f>
        <v>#N/A</v>
      </c>
      <c r="E2710" s="211" t="e">
        <f>IF(D2710&lt;&gt;"",VLOOKUP(VALUE(E2689&amp;","&amp;C2710),INTEGRANTES!$D$18:$F$235,3,0),"")</f>
        <v>#N/A</v>
      </c>
      <c r="F2710" s="547" t="e">
        <f>IF(D2710="","",SUMIF($I2693:$I2702,D2710,$P2693:$P2702))</f>
        <v>#N/A</v>
      </c>
      <c r="G2710" s="333" t="e">
        <f>IF(D2710="","",SUMIF($I2693:$I2702,D2710,$M2693:$M2702))</f>
        <v>#N/A</v>
      </c>
      <c r="H2710" s="535" t="e">
        <f t="shared" ref="H2710:H2715" si="794">IF(D2710="","",IF(OR(F2710=0,G2710=0),"NO APORTA",ROUND($F2710/$G2710,3)))</f>
        <v>#N/A</v>
      </c>
      <c r="I2710" s="212" t="e">
        <f>IF(D2710="","",IF(H2710="NO APORTA","NO",IF(H2710=MAX($H2710:$H2715),"SI","NO")))</f>
        <v>#N/A</v>
      </c>
      <c r="J2710" s="213" t="e">
        <f t="shared" ref="J2710:J2715" si="795">IF(D2710="","",IF(E2710&gt;=PORCREQUERIDOINT,"SI","NO"))</f>
        <v>#N/A</v>
      </c>
      <c r="K2710" s="200" t="e">
        <f t="shared" ref="K2710:K2715" si="796">IF(D2710="","",IF(AND(I2710="SI",J2710="SI"),"CUMPLE",IF(AND(I2710="NO",OR(J2710="SI",J2710="NO")),"","NO CUMPLE")))</f>
        <v>#N/A</v>
      </c>
      <c r="L2710" s="722" t="s">
        <v>108</v>
      </c>
      <c r="M2710" s="726" t="s">
        <v>119</v>
      </c>
      <c r="N2710" s="726"/>
      <c r="O2710" s="726"/>
      <c r="P2710" s="726"/>
      <c r="Q2710" s="727"/>
      <c r="R2710" s="758" t="s">
        <v>80</v>
      </c>
      <c r="S2710" s="747"/>
      <c r="T2710" s="748"/>
      <c r="U2710" s="219"/>
      <c r="V2710" s="464"/>
      <c r="Y2710" s="533" t="e">
        <f>IF(Y2707="","",IF(Y2707="INDIVIDUAL","NO APLICA","VERIFICAR CUADRO"))</f>
        <v>#N/A</v>
      </c>
      <c r="AA2710" s="551"/>
      <c r="AB2710" s="694"/>
      <c r="AC2710" s="694"/>
      <c r="AD2710" s="686"/>
      <c r="AE2710" s="52"/>
      <c r="AF2710" s="52"/>
      <c r="AG2710" s="52"/>
      <c r="AH2710" s="87"/>
      <c r="AI2710" s="87"/>
    </row>
    <row r="2711" spans="1:35" ht="27" hidden="1" customHeight="1" thickBot="1">
      <c r="A2711" s="218" t="e">
        <f>"O"&amp;E2689</f>
        <v>#N/A</v>
      </c>
      <c r="B2711" s="702"/>
      <c r="C2711" s="114">
        <v>2</v>
      </c>
      <c r="D2711" s="194" t="e">
        <f>IF(AND(C2711&lt;=F2708,F2708&lt;&gt;""),VLOOKUP(VALUE(E2689&amp;","&amp;C2711),INTEGRANTES!$D$18:$F$235,2,0),"")</f>
        <v>#N/A</v>
      </c>
      <c r="E2711" s="211" t="e">
        <f>IF(D2711&lt;&gt;"",VLOOKUP(VALUE(E2689&amp;","&amp;C2711),INTEGRANTES!$D$18:$F$235,3,0),"")</f>
        <v>#N/A</v>
      </c>
      <c r="F2711" s="547" t="e">
        <f>IF(D2711="","",SUMIF($I2693:$I2702,D2711,$P2693:$P2702))</f>
        <v>#N/A</v>
      </c>
      <c r="G2711" s="333" t="e">
        <f>IF(D2711="","",SUMIF($I2693:$I2702,D2711,$M2693:$M2702))</f>
        <v>#N/A</v>
      </c>
      <c r="H2711" s="535" t="e">
        <f t="shared" si="794"/>
        <v>#N/A</v>
      </c>
      <c r="I2711" s="212" t="e">
        <f>IF(D2711="","",IF(H2711="NO APORTA","NO",IF(H2711=MAX($H2710:$H2715),"SI","NO")))</f>
        <v>#N/A</v>
      </c>
      <c r="J2711" s="213" t="e">
        <f t="shared" si="795"/>
        <v>#N/A</v>
      </c>
      <c r="K2711" s="200" t="e">
        <f t="shared" si="796"/>
        <v>#N/A</v>
      </c>
      <c r="L2711" s="723"/>
      <c r="M2711" s="715" t="s">
        <v>116</v>
      </c>
      <c r="N2711" s="716"/>
      <c r="O2711" s="556" t="s">
        <v>113</v>
      </c>
      <c r="P2711" s="715" t="s">
        <v>117</v>
      </c>
      <c r="Q2711" s="728"/>
      <c r="R2711" s="759"/>
      <c r="S2711" s="760"/>
      <c r="T2711" s="761"/>
      <c r="U2711" s="219"/>
      <c r="V2711" s="464"/>
      <c r="Y2711" s="414"/>
      <c r="AA2711" s="542" t="e">
        <f>IF(AND(C2710&lt;=F2708,F2708&gt;1,F2708&lt;&gt;""),VLOOKUP(VALUE(E2689&amp;","&amp;C2710),INTEGRANTES!$D$18:$F$235,2,0),"")</f>
        <v>#N/A</v>
      </c>
      <c r="AB2711" s="544" t="e">
        <f t="shared" ref="AB2711:AB2716" si="797">IF(D2710="","",IF(OR(F2710=0,G2710=0),"NO APORTA",ROUND($F2710/$G2710,3)))</f>
        <v>#N/A</v>
      </c>
      <c r="AC2711" s="529"/>
      <c r="AD2711" s="200" t="e">
        <f t="shared" ref="AD2711:AD2716" si="798">IF(OR(AA2711="",AB2711=""),"",IF(AND(AC2711="X",AB2711&gt;=EXPREQVTD),"CUMPLE","NO CUMPLE"))</f>
        <v>#N/A</v>
      </c>
      <c r="AE2711" s="52"/>
      <c r="AF2711" s="52"/>
      <c r="AG2711" s="52"/>
      <c r="AH2711" s="87"/>
      <c r="AI2711" s="87"/>
    </row>
    <row r="2712" spans="1:35" ht="16.5" hidden="1" thickBot="1">
      <c r="A2712" s="218" t="e">
        <f>"P"&amp;E2689</f>
        <v>#N/A</v>
      </c>
      <c r="B2712" s="702"/>
      <c r="C2712" s="114">
        <v>3</v>
      </c>
      <c r="D2712" s="194" t="e">
        <f>IF(AND(C2712&lt;=F2708,F2708&lt;&gt;""),VLOOKUP(VALUE(E2689&amp;","&amp;C2712),INTEGRANTES!$D$18:$F$235,2,0),"")</f>
        <v>#N/A</v>
      </c>
      <c r="E2712" s="211" t="e">
        <f>IF(D2712&lt;&gt;"",VLOOKUP(VALUE(E2689&amp;","&amp;C2712),INTEGRANTES!$D$18:$F$235,3,0),"")</f>
        <v>#N/A</v>
      </c>
      <c r="F2712" s="547" t="e">
        <f>IF(D2712="","",SUMIF($I2693:$I2702,D2712,$P2693:$P2702))</f>
        <v>#N/A</v>
      </c>
      <c r="G2712" s="333" t="e">
        <f>IF(D2712="","",SUMIF($I2693:$I2702,D2712,$M2693:$M2702))</f>
        <v>#N/A</v>
      </c>
      <c r="H2712" s="535" t="e">
        <f t="shared" si="794"/>
        <v>#N/A</v>
      </c>
      <c r="I2712" s="212" t="e">
        <f>IF(D2712="","",IF(H2712="NO APORTA","NO",IF(H2712=MAX($H2710:$H2715),"SI","NO")))</f>
        <v>#N/A</v>
      </c>
      <c r="J2712" s="213" t="e">
        <f t="shared" si="795"/>
        <v>#N/A</v>
      </c>
      <c r="K2712" s="200" t="e">
        <f t="shared" si="796"/>
        <v>#N/A</v>
      </c>
      <c r="L2712" s="724"/>
      <c r="M2712" s="729">
        <f>NUMMOD</f>
        <v>1</v>
      </c>
      <c r="N2712" s="730"/>
      <c r="O2712" s="443">
        <f>IF(M2712="","",VLOOKUP(M2712,PRESUPUESTOS!$B$16:$H$16,5,FALSE))</f>
        <v>2</v>
      </c>
      <c r="P2712" s="713">
        <f>IF(OR(COUNTIF(M2693:M2702,"")&gt;=10,Q2709&lt;NUMMINCONT,OR(T2707="NO CUMPLE",T2707="VERIFICAR")),0,ROUND(AVERAGE(M2693:M2702),3))</f>
        <v>0</v>
      </c>
      <c r="Q2712" s="714"/>
      <c r="R2712" s="458"/>
      <c r="S2712" s="459"/>
      <c r="T2712" s="460"/>
      <c r="U2712" s="219"/>
      <c r="V2712" s="464"/>
      <c r="Y2712" s="532" t="str">
        <f>"40% * ("&amp;PRESUPUESTOS!$H$13&amp;")"</f>
        <v>40% * (50% PFMO)</v>
      </c>
      <c r="AA2712" s="540" t="e">
        <f>IF(AND(C2711&lt;=F2708,F2708&lt;&gt;""),VLOOKUP(VALUE(E2689&amp;","&amp;C2711),INTEGRANTES!$D$18:$F$235,2,0),"")</f>
        <v>#N/A</v>
      </c>
      <c r="AB2712" s="545" t="e">
        <f t="shared" si="797"/>
        <v>#N/A</v>
      </c>
      <c r="AC2712" s="529"/>
      <c r="AD2712" s="200" t="e">
        <f t="shared" si="798"/>
        <v>#N/A</v>
      </c>
      <c r="AE2712" s="52"/>
      <c r="AF2712" s="52"/>
      <c r="AG2712" s="52"/>
      <c r="AH2712" s="87"/>
      <c r="AI2712" s="87"/>
    </row>
    <row r="2713" spans="1:35" ht="15.75" hidden="1" customHeight="1" thickBot="1">
      <c r="A2713" s="218" t="e">
        <f>"Q"&amp;E2689</f>
        <v>#N/A</v>
      </c>
      <c r="B2713" s="702"/>
      <c r="C2713" s="114">
        <v>4</v>
      </c>
      <c r="D2713" s="194" t="e">
        <f>IF(AND(C2713&lt;=F2708,F2708&lt;&gt;""),VLOOKUP(VALUE(E2689&amp;","&amp;C2713),INTEGRANTES!$D$18:$F$235,2,0),"")</f>
        <v>#N/A</v>
      </c>
      <c r="E2713" s="211" t="e">
        <f>IF(D2713&lt;&gt;"",VLOOKUP(VALUE(E2689&amp;","&amp;C2713),INTEGRANTES!$D$18:$F$235,3,0),"")</f>
        <v>#N/A</v>
      </c>
      <c r="F2713" s="547" t="e">
        <f>IF(D2713="","",SUMIF($I2693:$I2702,D2713,$P2693:$P2702))</f>
        <v>#N/A</v>
      </c>
      <c r="G2713" s="333" t="e">
        <f>IF(D2713="","",SUMIF($I2693:$I2702,D2713,$M2693:$M2702))</f>
        <v>#N/A</v>
      </c>
      <c r="H2713" s="535" t="e">
        <f t="shared" si="794"/>
        <v>#N/A</v>
      </c>
      <c r="I2713" s="212" t="e">
        <f>IF(D2713="","",IF(H2713="NO APORTA","NO",IF(H2713=MAX($H2710:$H2715),"SI","NO")))</f>
        <v>#N/A</v>
      </c>
      <c r="J2713" s="213" t="e">
        <f t="shared" si="795"/>
        <v>#N/A</v>
      </c>
      <c r="K2713" s="200" t="e">
        <f t="shared" si="796"/>
        <v>#N/A</v>
      </c>
      <c r="L2713" s="720" t="s">
        <v>109</v>
      </c>
      <c r="M2713" s="757" t="s">
        <v>120</v>
      </c>
      <c r="N2713" s="726"/>
      <c r="O2713" s="726"/>
      <c r="P2713" s="726"/>
      <c r="Q2713" s="727"/>
      <c r="R2713" s="458"/>
      <c r="S2713" s="459"/>
      <c r="T2713" s="460"/>
      <c r="U2713" s="219"/>
      <c r="V2713" s="464"/>
      <c r="Y2713" s="537">
        <f>0.4*PRESUPUESTOS!$H$16</f>
        <v>10.3124</v>
      </c>
      <c r="AA2713" s="540" t="e">
        <f>IF(AND(C2712&lt;=F2708,F2708&lt;&gt;""),VLOOKUP(VALUE(E2689&amp;","&amp;C2712),INTEGRANTES!$D$18:$F$235,2,0),"")</f>
        <v>#N/A</v>
      </c>
      <c r="AB2713" s="545" t="e">
        <f t="shared" si="797"/>
        <v>#N/A</v>
      </c>
      <c r="AC2713" s="529"/>
      <c r="AD2713" s="200" t="e">
        <f t="shared" si="798"/>
        <v>#N/A</v>
      </c>
      <c r="AE2713" s="52"/>
      <c r="AF2713" s="52"/>
      <c r="AG2713" s="52"/>
      <c r="AH2713" s="87"/>
      <c r="AI2713" s="87"/>
    </row>
    <row r="2714" spans="1:35" ht="27" hidden="1" customHeight="1" thickBot="1">
      <c r="A2714" s="218" t="e">
        <f>"R"&amp;E2689</f>
        <v>#N/A</v>
      </c>
      <c r="B2714" s="702"/>
      <c r="C2714" s="114">
        <v>5</v>
      </c>
      <c r="D2714" s="194" t="e">
        <f>IF(AND(C2714&lt;=F2708,F2708&lt;&gt;""),VLOOKUP(VALUE(E2689&amp;","&amp;C2714),INTEGRANTES!$D$18:$F$235,2,0),"")</f>
        <v>#N/A</v>
      </c>
      <c r="E2714" s="211" t="e">
        <f>IF(D2714&lt;&gt;"",VLOOKUP(VALUE(E2689&amp;","&amp;C2714),INTEGRANTES!$D$18:$F$235,3,0),"")</f>
        <v>#N/A</v>
      </c>
      <c r="F2714" s="547" t="e">
        <f>IF(D2714="","",SUMIF($I2693:$I2702,D2714,$P2693:$P2702))</f>
        <v>#N/A</v>
      </c>
      <c r="G2714" s="333" t="e">
        <f>IF(D2714="","",SUMIF($I2693:$I2702,D2714,$M2693:$M2702))</f>
        <v>#N/A</v>
      </c>
      <c r="H2714" s="535" t="e">
        <f t="shared" si="794"/>
        <v>#N/A</v>
      </c>
      <c r="I2714" s="212" t="e">
        <f>IF(D2714="","",IF(H2714="NO APORTA","NO",IF(H2714=MAX($H2710:$H2715),"SI","NO")))</f>
        <v>#N/A</v>
      </c>
      <c r="J2714" s="213" t="e">
        <f t="shared" si="795"/>
        <v>#N/A</v>
      </c>
      <c r="K2714" s="200" t="e">
        <f t="shared" si="796"/>
        <v>#N/A</v>
      </c>
      <c r="L2714" s="721"/>
      <c r="M2714" s="715" t="s">
        <v>116</v>
      </c>
      <c r="N2714" s="716"/>
      <c r="O2714" s="556" t="str">
        <f>PORCREQUERIDO*100&amp;"% PMFO DEL MÓDULO"</f>
        <v>50% PMFO DEL MÓDULO</v>
      </c>
      <c r="P2714" s="715" t="s">
        <v>118</v>
      </c>
      <c r="Q2714" s="728"/>
      <c r="R2714" s="458"/>
      <c r="S2714" s="459"/>
      <c r="T2714" s="460"/>
      <c r="U2714" s="219"/>
      <c r="V2714" s="464"/>
      <c r="Y2714" s="414"/>
      <c r="AA2714" s="540" t="e">
        <f>IF(AND(C2713&lt;=F2708,F2708&lt;&gt;""),VLOOKUP(VALUE(E2689&amp;","&amp;C2713),INTEGRANTES!$D$18:$F$235,2,0),"")</f>
        <v>#N/A</v>
      </c>
      <c r="AB2714" s="545" t="e">
        <f t="shared" si="797"/>
        <v>#N/A</v>
      </c>
      <c r="AC2714" s="529"/>
      <c r="AD2714" s="200" t="e">
        <f t="shared" si="798"/>
        <v>#N/A</v>
      </c>
      <c r="AE2714" s="52"/>
      <c r="AF2714" s="52"/>
      <c r="AG2714" s="52"/>
      <c r="AH2714" s="87"/>
      <c r="AI2714" s="87"/>
    </row>
    <row r="2715" spans="1:35" ht="16.5" hidden="1" thickBot="1">
      <c r="A2715" s="218" t="e">
        <f>"S"&amp;E2689</f>
        <v>#N/A</v>
      </c>
      <c r="B2715" s="702"/>
      <c r="C2715" s="215">
        <v>6</v>
      </c>
      <c r="D2715" s="216" t="e">
        <f>IF(AND(C2715&lt;=F2708,F2708&lt;&gt;""),VLOOKUP(VALUE(E2689&amp;","&amp;C2715),INTEGRANTES!$D$18:$F$235,2,0),"")</f>
        <v>#N/A</v>
      </c>
      <c r="E2715" s="217" t="e">
        <f>IF(D2715&lt;&gt;"",VLOOKUP(VALUE(E2689&amp;","&amp;C2715),INTEGRANTES!$D$18:$F$235,3,0),"")</f>
        <v>#N/A</v>
      </c>
      <c r="F2715" s="548" t="e">
        <f>IF(D2715="","",SUMIF($I2693:$I2702,D2715,$P2693:$P2702))</f>
        <v>#N/A</v>
      </c>
      <c r="G2715" s="334" t="e">
        <f>IF(D2715="","",SUMIF($I2693:$I2702,D2715,$M2693:$M2702))</f>
        <v>#N/A</v>
      </c>
      <c r="H2715" s="536" t="e">
        <f t="shared" si="794"/>
        <v>#N/A</v>
      </c>
      <c r="I2715" s="214" t="e">
        <f>IF(D2715="","",IF(H2715="NO APORTA","NO",IF(H2715=MAX($H2710:$H2715),"SI","NO")))</f>
        <v>#N/A</v>
      </c>
      <c r="J2715" s="213" t="e">
        <f t="shared" si="795"/>
        <v>#N/A</v>
      </c>
      <c r="K2715" s="200" t="e">
        <f t="shared" si="796"/>
        <v>#N/A</v>
      </c>
      <c r="L2715" s="721"/>
      <c r="M2715" s="729">
        <f>NUMMOD</f>
        <v>1</v>
      </c>
      <c r="N2715" s="730"/>
      <c r="O2715" s="443">
        <f>IF(M2715="","",ROUND(VLOOKUP(M2715,PRESUPUESTOS!$B$16:$H$16,7,FALSE),3))</f>
        <v>25.780999999999999</v>
      </c>
      <c r="P2715" s="713">
        <f>IF(OR(COUNTIF(P2693:P2702,"")&gt;=10,Q2709&lt;NUMMINCONT,OR(T2707="NO CUMPLE",T2707="VERIFICAR")),0,ROUND((SUM(P2693:P2702)/SUM(M2693:M2702)),3))</f>
        <v>0</v>
      </c>
      <c r="Q2715" s="714"/>
      <c r="R2715" s="458"/>
      <c r="S2715" s="459"/>
      <c r="T2715" s="460"/>
      <c r="U2715" s="219"/>
      <c r="V2715" s="464"/>
      <c r="Y2715" s="532" t="s">
        <v>343</v>
      </c>
      <c r="AA2715" s="540" t="e">
        <f>IF(AND(C2714&lt;=F2708,F2708&lt;&gt;""),VLOOKUP(VALUE(E2689&amp;","&amp;C2714),INTEGRANTES!$D$18:$F$235,2,0),"")</f>
        <v>#N/A</v>
      </c>
      <c r="AB2715" s="545" t="e">
        <f t="shared" si="797"/>
        <v>#N/A</v>
      </c>
      <c r="AC2715" s="529"/>
      <c r="AD2715" s="200" t="e">
        <f t="shared" si="798"/>
        <v>#N/A</v>
      </c>
      <c r="AE2715" s="52"/>
      <c r="AF2715" s="52"/>
      <c r="AG2715" s="52"/>
      <c r="AH2715" s="87"/>
      <c r="AI2715" s="87"/>
    </row>
    <row r="2716" spans="1:35" ht="16.5" hidden="1" customHeight="1" thickBot="1">
      <c r="A2716" s="218" t="e">
        <f>"T"&amp;E2689</f>
        <v>#N/A</v>
      </c>
      <c r="B2716" s="703"/>
      <c r="C2716" s="719"/>
      <c r="D2716" s="719"/>
      <c r="E2716" s="719"/>
      <c r="F2716" s="719"/>
      <c r="G2716" s="719"/>
      <c r="H2716" s="719" t="s">
        <v>110</v>
      </c>
      <c r="I2716" s="719"/>
      <c r="J2716" s="719"/>
      <c r="K2716" s="201" t="str">
        <f>IF(COUNTIF(K2710:K2715,"")=6,"",IF(COUNTIF(K2710:K2715,"CUMPLE")&gt;0,"CUMPLE","NO CUMPLE"))</f>
        <v>NO CUMPLE</v>
      </c>
      <c r="L2716" s="754"/>
      <c r="M2716" s="755"/>
      <c r="N2716" s="755"/>
      <c r="O2716" s="755"/>
      <c r="P2716" s="755"/>
      <c r="Q2716" s="756"/>
      <c r="R2716" s="461"/>
      <c r="S2716" s="462"/>
      <c r="T2716" s="463"/>
      <c r="U2716" s="219"/>
      <c r="V2716" s="464"/>
      <c r="Y2716" s="549" t="e">
        <f>IF(Y2710="NO APLICA","NO APLICA",IF(COUNTIF(AD2711:AD2716,"CUMPLE")&gt;0,"CUMPLE","NO CUMPLE"))</f>
        <v>#N/A</v>
      </c>
      <c r="AA2716" s="541" t="e">
        <f>IF(AND(C2715&lt;=F2708,F2708&lt;&gt;""),VLOOKUP(VALUE(E2689&amp;","&amp;C2715),INTEGRANTES!$D$18:$F$235,2,0),"")</f>
        <v>#N/A</v>
      </c>
      <c r="AB2716" s="546" t="e">
        <f t="shared" si="797"/>
        <v>#N/A</v>
      </c>
      <c r="AC2716" s="543"/>
      <c r="AD2716" s="201" t="e">
        <f t="shared" si="798"/>
        <v>#N/A</v>
      </c>
      <c r="AE2716" s="52"/>
      <c r="AF2716" s="52"/>
      <c r="AG2716" s="52"/>
      <c r="AH2716" s="87"/>
      <c r="AI2716" s="87"/>
    </row>
    <row r="2717" spans="1:35" hidden="1">
      <c r="AH2717" s="87"/>
      <c r="AI2717" s="87"/>
    </row>
    <row r="2718" spans="1:35" hidden="1">
      <c r="AH2718" s="87"/>
      <c r="AI2718" s="87"/>
    </row>
    <row r="2719" spans="1:35" ht="24" hidden="1" thickBot="1">
      <c r="A2719" s="61">
        <v>91</v>
      </c>
      <c r="B2719" s="704" t="s">
        <v>51</v>
      </c>
      <c r="C2719" s="704"/>
      <c r="D2719" s="704"/>
      <c r="E2719" s="62" t="e">
        <f>VLOOKUP(A2719,PROPONENTES!$B$19:$E$218,2,FALSE)</f>
        <v>#N/A</v>
      </c>
      <c r="F2719" s="63" t="e">
        <f>VLOOKUP(A2719,PROPONENTES!$B$19:$E$218,3,FALSE)</f>
        <v>#N/A</v>
      </c>
      <c r="G2719" s="64"/>
      <c r="H2719" s="64"/>
      <c r="I2719" s="63"/>
      <c r="J2719" s="63"/>
      <c r="K2719" s="65"/>
      <c r="L2719" s="65"/>
      <c r="M2719" s="64"/>
      <c r="N2719" s="64"/>
      <c r="O2719" s="66"/>
      <c r="P2719" s="66"/>
      <c r="Q2719" s="66"/>
      <c r="R2719" s="66"/>
      <c r="S2719" s="67"/>
      <c r="T2719" s="68"/>
      <c r="U2719" s="68"/>
      <c r="AC2719" s="68"/>
      <c r="AD2719" s="68"/>
      <c r="AE2719" s="68"/>
      <c r="AF2719" s="68"/>
      <c r="AG2719" s="68"/>
      <c r="AH2719" s="87"/>
      <c r="AI2719" s="87"/>
    </row>
    <row r="2720" spans="1:35" ht="15.75" hidden="1" customHeight="1">
      <c r="A2720" s="44"/>
      <c r="B2720" s="709" t="s">
        <v>59</v>
      </c>
      <c r="C2720" s="552" t="s">
        <v>60</v>
      </c>
      <c r="D2720" s="70" t="s">
        <v>17</v>
      </c>
      <c r="E2720" s="70"/>
      <c r="F2720" s="70" t="s">
        <v>61</v>
      </c>
      <c r="G2720" s="71"/>
      <c r="H2720" s="699" t="s">
        <v>62</v>
      </c>
      <c r="I2720" s="699" t="s">
        <v>18</v>
      </c>
      <c r="J2720" s="699" t="s">
        <v>63</v>
      </c>
      <c r="K2720" s="699" t="s">
        <v>64</v>
      </c>
      <c r="L2720" s="699" t="s">
        <v>65</v>
      </c>
      <c r="M2720" s="743" t="s">
        <v>66</v>
      </c>
      <c r="N2720" s="699" t="s">
        <v>282</v>
      </c>
      <c r="O2720" s="745" t="s">
        <v>67</v>
      </c>
      <c r="P2720" s="746"/>
      <c r="Q2720" s="102" t="s">
        <v>75</v>
      </c>
      <c r="R2720" s="731" t="s">
        <v>22</v>
      </c>
      <c r="S2720" s="732"/>
      <c r="T2720" s="733"/>
      <c r="U2720" s="712" t="s">
        <v>298</v>
      </c>
      <c r="W2720" s="690" t="s">
        <v>268</v>
      </c>
      <c r="X2720" s="691"/>
      <c r="Y2720" s="692"/>
      <c r="Z2720" s="428"/>
      <c r="AA2720" s="697" t="s">
        <v>315</v>
      </c>
      <c r="AB2720" s="695" t="s">
        <v>322</v>
      </c>
      <c r="AC2720" s="49"/>
      <c r="AD2720" s="690" t="s">
        <v>297</v>
      </c>
      <c r="AE2720" s="691"/>
      <c r="AF2720" s="692"/>
      <c r="AG2720" s="49"/>
      <c r="AH2720" s="87"/>
      <c r="AI2720" s="87"/>
    </row>
    <row r="2721" spans="1:35" ht="72" hidden="1">
      <c r="A2721" s="44"/>
      <c r="B2721" s="710"/>
      <c r="C2721" s="553" t="s">
        <v>68</v>
      </c>
      <c r="D2721" s="73" t="s">
        <v>3</v>
      </c>
      <c r="E2721" s="73" t="s">
        <v>19</v>
      </c>
      <c r="F2721" s="73" t="s">
        <v>69</v>
      </c>
      <c r="G2721" s="74" t="s">
        <v>70</v>
      </c>
      <c r="H2721" s="700"/>
      <c r="I2721" s="700"/>
      <c r="J2721" s="700"/>
      <c r="K2721" s="700"/>
      <c r="L2721" s="700"/>
      <c r="M2721" s="744"/>
      <c r="N2721" s="700"/>
      <c r="O2721" s="553" t="s">
        <v>279</v>
      </c>
      <c r="P2721" s="73" t="s">
        <v>88</v>
      </c>
      <c r="Q2721" s="555" t="s">
        <v>76</v>
      </c>
      <c r="R2721" s="734"/>
      <c r="S2721" s="735"/>
      <c r="T2721" s="736"/>
      <c r="U2721" s="712"/>
      <c r="W2721" s="429" t="s">
        <v>269</v>
      </c>
      <c r="X2721" s="457" t="s">
        <v>278</v>
      </c>
      <c r="Y2721" s="430" t="s">
        <v>324</v>
      </c>
      <c r="Z2721" s="428"/>
      <c r="AA2721" s="698"/>
      <c r="AB2721" s="696"/>
      <c r="AC2721" s="49"/>
      <c r="AD2721" s="429" t="s">
        <v>292</v>
      </c>
      <c r="AE2721" s="431" t="s">
        <v>300</v>
      </c>
      <c r="AF2721" s="468" t="s">
        <v>301</v>
      </c>
      <c r="AG2721" s="49"/>
      <c r="AH2721" s="87"/>
      <c r="AI2721" s="87"/>
    </row>
    <row r="2722" spans="1:35" hidden="1">
      <c r="A2722" s="44"/>
      <c r="B2722" s="76"/>
      <c r="C2722" s="77"/>
      <c r="D2722" s="77"/>
      <c r="E2722" s="77"/>
      <c r="F2722" s="77"/>
      <c r="G2722" s="77"/>
      <c r="H2722" s="77"/>
      <c r="I2722" s="77"/>
      <c r="J2722" s="77"/>
      <c r="K2722" s="77"/>
      <c r="L2722" s="77"/>
      <c r="M2722" s="77"/>
      <c r="N2722" s="77"/>
      <c r="O2722" s="77"/>
      <c r="P2722" s="77"/>
      <c r="Q2722" s="77"/>
      <c r="R2722" s="77"/>
      <c r="S2722" s="78"/>
      <c r="T2722" s="79"/>
      <c r="U2722" s="109"/>
      <c r="V2722" s="49"/>
      <c r="W2722" s="432"/>
      <c r="X2722" s="454"/>
      <c r="Y2722" s="433"/>
      <c r="Z2722" s="6"/>
      <c r="AA2722" s="500"/>
      <c r="AB2722" s="562"/>
      <c r="AC2722" s="49"/>
      <c r="AD2722" s="210"/>
      <c r="AE2722" s="434"/>
      <c r="AF2722" s="435"/>
      <c r="AG2722" s="49"/>
      <c r="AH2722" s="87"/>
      <c r="AI2722" s="87"/>
    </row>
    <row r="2723" spans="1:35" hidden="1">
      <c r="A2723" s="80" t="e">
        <f>"A"&amp;E2719</f>
        <v>#N/A</v>
      </c>
      <c r="B2723" s="81">
        <v>1</v>
      </c>
      <c r="C2723" s="82"/>
      <c r="D2723" s="82"/>
      <c r="E2723" s="82"/>
      <c r="F2723" s="82"/>
      <c r="G2723" s="83"/>
      <c r="H2723" s="83"/>
      <c r="I2723" s="84"/>
      <c r="J2723" s="85"/>
      <c r="K2723" s="382"/>
      <c r="L2723" s="85"/>
      <c r="M2723" s="332" t="str">
        <f t="shared" ref="M2723:M2732" si="799">IF(OR(J2723="",L2723="",H2723="NO"),"",IF(OR(J2723&gt;$P$17,J2723&lt;$O$17,L2723&gt;$P$17,AND(J2723&lt;$O$17,L2723&lt;$O$17)),"FUERA DE RANGO",IF(OR(K2723="---",K2723=""),IF(J2723&gt;=$O$17,ROUND((L2723-J2723+1)/360*12,3),ROUND((L2723-$O$17+1)/360*12,3)),IF(J2723&gt;=$O$17,ROUND((L2723-J2723+1)/360*12-ROUND(K2723,3),3),ROUND((L2723-$O$17+1)/360*12-ROUND(K2723,3),3)))))</f>
        <v/>
      </c>
      <c r="N2723" s="86"/>
      <c r="O2723" s="453" t="str">
        <f>IF(OR(G2723="",N2723=""),"",N2723*G2723)</f>
        <v/>
      </c>
      <c r="P2723" s="538" t="str">
        <f>IF(OR(H2723="",M2723="FUERA DE RANGO"),"",IF(OR(L2723&lt;$O$17,L2723&gt;$P$17,L2723="",H2723="NO"),"",IF(OR(N2723="",O2723=""),"",ROUND(O2723,3))))</f>
        <v/>
      </c>
      <c r="Q2723" s="539" t="str">
        <f t="shared" ref="Q2723:Q2732" si="800">IF(AND(H2723="SI",P2723&lt;&gt;""),ROUND(P2723/M2723,3),"")</f>
        <v/>
      </c>
      <c r="R2723" s="737"/>
      <c r="S2723" s="738"/>
      <c r="T2723" s="739"/>
      <c r="U2723" s="470"/>
      <c r="V2723" s="165"/>
      <c r="W2723" s="446"/>
      <c r="X2723" s="456"/>
      <c r="Y2723" s="436"/>
      <c r="Z2723" s="437"/>
      <c r="AA2723" s="560"/>
      <c r="AB2723" s="561"/>
      <c r="AC2723" s="87"/>
      <c r="AD2723" s="466"/>
      <c r="AE2723" s="456"/>
      <c r="AF2723" s="467"/>
      <c r="AG2723" s="87"/>
      <c r="AH2723" s="87"/>
      <c r="AI2723" s="87"/>
    </row>
    <row r="2724" spans="1:35" hidden="1">
      <c r="A2724" s="80" t="e">
        <f>"B"&amp;E2719</f>
        <v>#N/A</v>
      </c>
      <c r="B2724" s="81">
        <v>2</v>
      </c>
      <c r="C2724" s="106"/>
      <c r="D2724" s="106"/>
      <c r="E2724" s="106"/>
      <c r="F2724" s="106"/>
      <c r="G2724" s="83"/>
      <c r="H2724" s="83"/>
      <c r="I2724" s="84"/>
      <c r="J2724" s="85"/>
      <c r="K2724" s="382"/>
      <c r="L2724" s="85"/>
      <c r="M2724" s="332" t="str">
        <f t="shared" si="799"/>
        <v/>
      </c>
      <c r="N2724" s="86"/>
      <c r="O2724" s="453" t="str">
        <f t="shared" ref="O2724:O2732" si="801">IF(OR(G2724="",N2724=""),"",N2724*G2724)</f>
        <v/>
      </c>
      <c r="P2724" s="538" t="str">
        <f t="shared" ref="P2724:P2732" si="802">IF(OR(H2724="",M2724="FUERA DE RANGO"),"",IF(OR(L2724&lt;$O$17,L2724&gt;$P$17,L2724="",H2724="NO"),"",IF(OR(N2724="",O2724=""),"",ROUND(O2724,3))))</f>
        <v/>
      </c>
      <c r="Q2724" s="539" t="str">
        <f t="shared" si="800"/>
        <v/>
      </c>
      <c r="R2724" s="740"/>
      <c r="S2724" s="741"/>
      <c r="T2724" s="742"/>
      <c r="U2724" s="471"/>
      <c r="V2724" s="165"/>
      <c r="W2724" s="446"/>
      <c r="X2724" s="456"/>
      <c r="Y2724" s="436"/>
      <c r="Z2724" s="437"/>
      <c r="AA2724" s="560"/>
      <c r="AB2724" s="561"/>
      <c r="AC2724" s="87"/>
      <c r="AD2724" s="466"/>
      <c r="AE2724" s="456"/>
      <c r="AF2724" s="467"/>
      <c r="AG2724" s="87"/>
      <c r="AH2724" s="87"/>
      <c r="AI2724" s="87"/>
    </row>
    <row r="2725" spans="1:35" hidden="1">
      <c r="A2725" s="80" t="e">
        <f>"C"&amp;E2719</f>
        <v>#N/A</v>
      </c>
      <c r="B2725" s="88">
        <v>3</v>
      </c>
      <c r="C2725" s="82"/>
      <c r="D2725" s="82"/>
      <c r="E2725" s="82"/>
      <c r="F2725" s="82"/>
      <c r="G2725" s="83"/>
      <c r="H2725" s="83"/>
      <c r="I2725" s="84"/>
      <c r="J2725" s="85"/>
      <c r="K2725" s="382"/>
      <c r="L2725" s="85"/>
      <c r="M2725" s="332" t="str">
        <f t="shared" si="799"/>
        <v/>
      </c>
      <c r="N2725" s="86"/>
      <c r="O2725" s="453" t="str">
        <f t="shared" si="801"/>
        <v/>
      </c>
      <c r="P2725" s="538" t="str">
        <f t="shared" si="802"/>
        <v/>
      </c>
      <c r="Q2725" s="539" t="str">
        <f t="shared" si="800"/>
        <v/>
      </c>
      <c r="R2725" s="706"/>
      <c r="S2725" s="707"/>
      <c r="T2725" s="708"/>
      <c r="U2725" s="472"/>
      <c r="V2725" s="166"/>
      <c r="W2725" s="446"/>
      <c r="X2725" s="456"/>
      <c r="Y2725" s="436"/>
      <c r="Z2725" s="437"/>
      <c r="AA2725" s="560"/>
      <c r="AB2725" s="561"/>
      <c r="AC2725" s="87"/>
      <c r="AD2725" s="466"/>
      <c r="AE2725" s="456"/>
      <c r="AF2725" s="467"/>
      <c r="AG2725" s="87"/>
      <c r="AH2725" s="87"/>
      <c r="AI2725" s="87"/>
    </row>
    <row r="2726" spans="1:35" hidden="1">
      <c r="A2726" s="80" t="e">
        <f>"D"&amp;E2719</f>
        <v>#N/A</v>
      </c>
      <c r="B2726" s="105">
        <v>4</v>
      </c>
      <c r="C2726" s="107"/>
      <c r="D2726" s="107"/>
      <c r="E2726" s="107"/>
      <c r="F2726" s="107"/>
      <c r="G2726" s="83"/>
      <c r="H2726" s="83"/>
      <c r="I2726" s="84"/>
      <c r="J2726" s="85"/>
      <c r="K2726" s="382"/>
      <c r="L2726" s="85"/>
      <c r="M2726" s="332" t="str">
        <f t="shared" si="799"/>
        <v/>
      </c>
      <c r="N2726" s="86"/>
      <c r="O2726" s="453" t="str">
        <f t="shared" si="801"/>
        <v/>
      </c>
      <c r="P2726" s="538" t="str">
        <f t="shared" si="802"/>
        <v/>
      </c>
      <c r="Q2726" s="539" t="str">
        <f t="shared" si="800"/>
        <v/>
      </c>
      <c r="R2726" s="706"/>
      <c r="S2726" s="707"/>
      <c r="T2726" s="708"/>
      <c r="U2726" s="472"/>
      <c r="V2726" s="166"/>
      <c r="W2726" s="446"/>
      <c r="X2726" s="456"/>
      <c r="Y2726" s="436"/>
      <c r="Z2726" s="437"/>
      <c r="AA2726" s="560"/>
      <c r="AB2726" s="561"/>
      <c r="AC2726" s="87"/>
      <c r="AD2726" s="466"/>
      <c r="AE2726" s="456"/>
      <c r="AF2726" s="467"/>
      <c r="AG2726" s="87"/>
      <c r="AH2726" s="87"/>
      <c r="AI2726" s="87"/>
    </row>
    <row r="2727" spans="1:35" hidden="1">
      <c r="A2727" s="80" t="e">
        <f>"E"&amp;E2719</f>
        <v>#N/A</v>
      </c>
      <c r="B2727" s="105">
        <v>5</v>
      </c>
      <c r="C2727" s="107"/>
      <c r="D2727" s="107"/>
      <c r="E2727" s="107"/>
      <c r="F2727" s="107"/>
      <c r="G2727" s="83"/>
      <c r="H2727" s="83"/>
      <c r="I2727" s="84"/>
      <c r="J2727" s="85"/>
      <c r="K2727" s="382"/>
      <c r="L2727" s="85"/>
      <c r="M2727" s="332" t="str">
        <f t="shared" si="799"/>
        <v/>
      </c>
      <c r="N2727" s="86"/>
      <c r="O2727" s="453" t="str">
        <f t="shared" si="801"/>
        <v/>
      </c>
      <c r="P2727" s="538" t="str">
        <f t="shared" si="802"/>
        <v/>
      </c>
      <c r="Q2727" s="539" t="str">
        <f t="shared" si="800"/>
        <v/>
      </c>
      <c r="R2727" s="706"/>
      <c r="S2727" s="707"/>
      <c r="T2727" s="708"/>
      <c r="U2727" s="472"/>
      <c r="V2727" s="167"/>
      <c r="W2727" s="446"/>
      <c r="X2727" s="456"/>
      <c r="Y2727" s="436"/>
      <c r="Z2727" s="437"/>
      <c r="AA2727" s="560"/>
      <c r="AB2727" s="561"/>
      <c r="AC2727" s="87"/>
      <c r="AD2727" s="466"/>
      <c r="AE2727" s="456"/>
      <c r="AF2727" s="467"/>
      <c r="AG2727" s="87"/>
      <c r="AH2727" s="87"/>
      <c r="AI2727" s="87"/>
    </row>
    <row r="2728" spans="1:35" hidden="1">
      <c r="A2728" s="80" t="e">
        <f>"F"&amp;E2719</f>
        <v>#N/A</v>
      </c>
      <c r="B2728" s="105">
        <v>6</v>
      </c>
      <c r="C2728" s="107"/>
      <c r="D2728" s="107"/>
      <c r="E2728" s="107"/>
      <c r="F2728" s="107"/>
      <c r="G2728" s="83"/>
      <c r="H2728" s="83"/>
      <c r="I2728" s="84"/>
      <c r="J2728" s="85"/>
      <c r="K2728" s="382"/>
      <c r="L2728" s="85"/>
      <c r="M2728" s="332" t="str">
        <f t="shared" si="799"/>
        <v/>
      </c>
      <c r="N2728" s="86"/>
      <c r="O2728" s="453" t="str">
        <f t="shared" si="801"/>
        <v/>
      </c>
      <c r="P2728" s="538" t="str">
        <f t="shared" si="802"/>
        <v/>
      </c>
      <c r="Q2728" s="539" t="str">
        <f t="shared" si="800"/>
        <v/>
      </c>
      <c r="R2728" s="706"/>
      <c r="S2728" s="707"/>
      <c r="T2728" s="708"/>
      <c r="U2728" s="472"/>
      <c r="V2728" s="167"/>
      <c r="W2728" s="446"/>
      <c r="X2728" s="456"/>
      <c r="Y2728" s="436"/>
      <c r="Z2728" s="437"/>
      <c r="AA2728" s="560"/>
      <c r="AB2728" s="561"/>
      <c r="AC2728" s="87"/>
      <c r="AD2728" s="466"/>
      <c r="AE2728" s="456"/>
      <c r="AF2728" s="467"/>
      <c r="AG2728" s="87"/>
      <c r="AH2728" s="87"/>
      <c r="AI2728" s="87"/>
    </row>
    <row r="2729" spans="1:35" hidden="1">
      <c r="A2729" s="80" t="e">
        <f>"G"&amp;E2719</f>
        <v>#N/A</v>
      </c>
      <c r="B2729" s="105">
        <v>7</v>
      </c>
      <c r="C2729" s="107"/>
      <c r="D2729" s="107"/>
      <c r="E2729" s="107"/>
      <c r="F2729" s="107"/>
      <c r="G2729" s="83"/>
      <c r="H2729" s="83"/>
      <c r="I2729" s="84"/>
      <c r="J2729" s="85"/>
      <c r="K2729" s="382"/>
      <c r="L2729" s="85"/>
      <c r="M2729" s="332" t="str">
        <f t="shared" si="799"/>
        <v/>
      </c>
      <c r="N2729" s="86"/>
      <c r="O2729" s="86" t="str">
        <f t="shared" si="801"/>
        <v/>
      </c>
      <c r="P2729" s="538" t="str">
        <f t="shared" si="802"/>
        <v/>
      </c>
      <c r="Q2729" s="539" t="str">
        <f t="shared" si="800"/>
        <v/>
      </c>
      <c r="R2729" s="706"/>
      <c r="S2729" s="707"/>
      <c r="T2729" s="708"/>
      <c r="U2729" s="472"/>
      <c r="V2729" s="167"/>
      <c r="W2729" s="446"/>
      <c r="X2729" s="456"/>
      <c r="Y2729" s="436"/>
      <c r="Z2729" s="437"/>
      <c r="AA2729" s="560"/>
      <c r="AB2729" s="561"/>
      <c r="AC2729" s="87"/>
      <c r="AD2729" s="466"/>
      <c r="AE2729" s="456"/>
      <c r="AF2729" s="467"/>
      <c r="AG2729" s="87"/>
      <c r="AH2729" s="87"/>
      <c r="AI2729" s="87"/>
    </row>
    <row r="2730" spans="1:35" hidden="1">
      <c r="A2730" s="80" t="e">
        <f>"H"&amp;E2719</f>
        <v>#N/A</v>
      </c>
      <c r="B2730" s="105">
        <v>8</v>
      </c>
      <c r="C2730" s="107"/>
      <c r="D2730" s="107"/>
      <c r="E2730" s="107"/>
      <c r="F2730" s="107"/>
      <c r="G2730" s="83"/>
      <c r="H2730" s="83"/>
      <c r="I2730" s="84"/>
      <c r="J2730" s="85"/>
      <c r="K2730" s="382"/>
      <c r="L2730" s="85"/>
      <c r="M2730" s="332" t="str">
        <f t="shared" si="799"/>
        <v/>
      </c>
      <c r="N2730" s="453"/>
      <c r="O2730" s="86" t="str">
        <f t="shared" si="801"/>
        <v/>
      </c>
      <c r="P2730" s="538" t="str">
        <f t="shared" si="802"/>
        <v/>
      </c>
      <c r="Q2730" s="539" t="str">
        <f t="shared" si="800"/>
        <v/>
      </c>
      <c r="R2730" s="706"/>
      <c r="S2730" s="707"/>
      <c r="T2730" s="708"/>
      <c r="U2730" s="472"/>
      <c r="V2730" s="167"/>
      <c r="W2730" s="446"/>
      <c r="X2730" s="456"/>
      <c r="Y2730" s="436"/>
      <c r="Z2730" s="437"/>
      <c r="AA2730" s="560"/>
      <c r="AB2730" s="561"/>
      <c r="AC2730" s="87"/>
      <c r="AD2730" s="466"/>
      <c r="AE2730" s="456"/>
      <c r="AF2730" s="467"/>
      <c r="AG2730" s="87"/>
      <c r="AH2730" s="87"/>
      <c r="AI2730" s="87"/>
    </row>
    <row r="2731" spans="1:35" hidden="1">
      <c r="A2731" s="80" t="e">
        <f>"I"&amp;E2719</f>
        <v>#N/A</v>
      </c>
      <c r="B2731" s="105">
        <v>9</v>
      </c>
      <c r="C2731" s="107"/>
      <c r="D2731" s="107"/>
      <c r="E2731" s="107"/>
      <c r="F2731" s="107"/>
      <c r="G2731" s="83"/>
      <c r="H2731" s="83"/>
      <c r="I2731" s="84"/>
      <c r="J2731" s="85"/>
      <c r="K2731" s="382"/>
      <c r="L2731" s="85"/>
      <c r="M2731" s="332" t="str">
        <f t="shared" si="799"/>
        <v/>
      </c>
      <c r="N2731" s="453"/>
      <c r="O2731" s="86" t="str">
        <f t="shared" si="801"/>
        <v/>
      </c>
      <c r="P2731" s="538" t="str">
        <f t="shared" si="802"/>
        <v/>
      </c>
      <c r="Q2731" s="539" t="str">
        <f t="shared" si="800"/>
        <v/>
      </c>
      <c r="R2731" s="706"/>
      <c r="S2731" s="707"/>
      <c r="T2731" s="708"/>
      <c r="U2731" s="472"/>
      <c r="V2731" s="167"/>
      <c r="W2731" s="446"/>
      <c r="X2731" s="456"/>
      <c r="Y2731" s="436"/>
      <c r="Z2731" s="437"/>
      <c r="AA2731" s="560"/>
      <c r="AB2731" s="561"/>
      <c r="AC2731" s="87"/>
      <c r="AD2731" s="466"/>
      <c r="AE2731" s="456"/>
      <c r="AF2731" s="467"/>
      <c r="AG2731" s="87"/>
      <c r="AH2731" s="87"/>
      <c r="AI2731" s="87"/>
    </row>
    <row r="2732" spans="1:35" hidden="1">
      <c r="A2732" s="80" t="e">
        <f>"J"&amp;E2719</f>
        <v>#N/A</v>
      </c>
      <c r="B2732" s="105">
        <v>10</v>
      </c>
      <c r="C2732" s="107"/>
      <c r="D2732" s="107"/>
      <c r="E2732" s="107"/>
      <c r="F2732" s="107"/>
      <c r="G2732" s="83"/>
      <c r="H2732" s="83"/>
      <c r="I2732" s="84"/>
      <c r="J2732" s="85"/>
      <c r="K2732" s="382"/>
      <c r="L2732" s="85"/>
      <c r="M2732" s="332" t="str">
        <f t="shared" si="799"/>
        <v/>
      </c>
      <c r="N2732" s="453"/>
      <c r="O2732" s="86" t="str">
        <f t="shared" si="801"/>
        <v/>
      </c>
      <c r="P2732" s="538" t="str">
        <f t="shared" si="802"/>
        <v/>
      </c>
      <c r="Q2732" s="539" t="str">
        <f t="shared" si="800"/>
        <v/>
      </c>
      <c r="R2732" s="706"/>
      <c r="S2732" s="707"/>
      <c r="T2732" s="708"/>
      <c r="U2732" s="472"/>
      <c r="V2732" s="167"/>
      <c r="W2732" s="446"/>
      <c r="X2732" s="456"/>
      <c r="Y2732" s="436"/>
      <c r="Z2732" s="437"/>
      <c r="AA2732" s="560"/>
      <c r="AB2732" s="561"/>
      <c r="AC2732" s="87"/>
      <c r="AD2732" s="466"/>
      <c r="AE2732" s="456"/>
      <c r="AF2732" s="467"/>
      <c r="AG2732" s="87"/>
      <c r="AH2732" s="87"/>
      <c r="AI2732" s="87"/>
    </row>
    <row r="2733" spans="1:35" ht="16.5" hidden="1" thickBot="1">
      <c r="A2733" s="44"/>
      <c r="B2733" s="89"/>
      <c r="C2733" s="90"/>
      <c r="D2733" s="90"/>
      <c r="E2733" s="90"/>
      <c r="F2733" s="90"/>
      <c r="G2733" s="90"/>
      <c r="H2733" s="90"/>
      <c r="I2733" s="90"/>
      <c r="J2733" s="90"/>
      <c r="K2733" s="90"/>
      <c r="L2733" s="90"/>
      <c r="M2733" s="90"/>
      <c r="N2733" s="90"/>
      <c r="O2733" s="90"/>
      <c r="P2733" s="90"/>
      <c r="Q2733" s="90"/>
      <c r="R2733" s="90"/>
      <c r="S2733" s="91"/>
      <c r="T2733" s="92"/>
      <c r="U2733" s="473"/>
      <c r="W2733" s="438"/>
      <c r="X2733" s="455"/>
      <c r="Y2733" s="439"/>
      <c r="Z2733" s="437"/>
      <c r="AA2733" s="530"/>
      <c r="AB2733" s="563"/>
      <c r="AC2733" s="87"/>
      <c r="AD2733" s="440"/>
      <c r="AE2733" s="441"/>
      <c r="AF2733" s="442"/>
      <c r="AG2733" s="49"/>
      <c r="AH2733" s="87"/>
      <c r="AI2733" s="87"/>
    </row>
    <row r="2734" spans="1:35" ht="16.5" hidden="1" thickBot="1">
      <c r="A2734" s="93"/>
      <c r="B2734" s="94"/>
      <c r="C2734" s="96"/>
      <c r="D2734" s="96"/>
      <c r="E2734" s="96"/>
      <c r="F2734" s="96"/>
      <c r="G2734" s="96"/>
      <c r="H2734" s="96"/>
      <c r="I2734" s="96"/>
      <c r="J2734" s="96"/>
      <c r="K2734" s="96"/>
      <c r="L2734" s="96"/>
      <c r="M2734" s="136"/>
      <c r="N2734" s="96"/>
      <c r="O2734" s="96"/>
      <c r="P2734" s="97"/>
      <c r="Q2734" s="97"/>
      <c r="R2734" s="98"/>
      <c r="S2734" s="95"/>
      <c r="T2734" s="99"/>
      <c r="U2734" s="469"/>
      <c r="AC2734" s="58"/>
      <c r="AG2734" s="58"/>
      <c r="AH2734" s="87"/>
      <c r="AI2734" s="87"/>
    </row>
    <row r="2735" spans="1:35" ht="16.5" hidden="1" thickBot="1">
      <c r="B2735" s="101"/>
      <c r="C2735" s="101"/>
      <c r="D2735" s="101"/>
      <c r="E2735" s="101"/>
      <c r="F2735" s="101"/>
      <c r="G2735" s="101"/>
      <c r="H2735" s="101"/>
      <c r="I2735" s="101"/>
      <c r="J2735" s="101"/>
      <c r="K2735" s="101"/>
      <c r="L2735" s="101"/>
      <c r="M2735" s="101"/>
      <c r="N2735" s="101"/>
      <c r="O2735" s="101"/>
      <c r="P2735" s="101"/>
      <c r="Q2735" s="101"/>
      <c r="R2735" s="101"/>
      <c r="S2735" s="101"/>
      <c r="U2735" s="50"/>
      <c r="AH2735" s="87"/>
      <c r="AI2735" s="87"/>
    </row>
    <row r="2736" spans="1:35" ht="16.5" hidden="1" customHeight="1" thickBot="1">
      <c r="A2736" s="44"/>
      <c r="B2736" s="705" t="s">
        <v>74</v>
      </c>
      <c r="C2736" s="705"/>
      <c r="D2736" s="705"/>
      <c r="E2736" s="705"/>
      <c r="F2736" s="705"/>
      <c r="G2736" s="705"/>
      <c r="H2736" s="705"/>
      <c r="I2736" s="705"/>
      <c r="J2736" s="705"/>
      <c r="K2736" s="705"/>
      <c r="L2736" s="705"/>
      <c r="M2736" s="705"/>
      <c r="N2736" s="705"/>
      <c r="O2736" s="705"/>
      <c r="P2736" s="705"/>
      <c r="Q2736" s="705"/>
      <c r="R2736" s="705"/>
      <c r="S2736" s="705"/>
      <c r="T2736" s="705"/>
      <c r="U2736" s="108"/>
      <c r="Y2736" s="532" t="s">
        <v>341</v>
      </c>
      <c r="AC2736" s="49"/>
      <c r="AD2736" s="687" t="s">
        <v>302</v>
      </c>
      <c r="AE2736" s="688"/>
      <c r="AF2736" s="689"/>
      <c r="AG2736" s="49"/>
      <c r="AH2736" s="87"/>
      <c r="AI2736" s="87"/>
    </row>
    <row r="2737" spans="1:35" ht="15.75" hidden="1" customHeight="1" thickBot="1">
      <c r="A2737" s="218" t="e">
        <f>"K"&amp;E2719</f>
        <v>#N/A</v>
      </c>
      <c r="B2737" s="701" t="s">
        <v>71</v>
      </c>
      <c r="C2737" s="751" t="s">
        <v>102</v>
      </c>
      <c r="D2737" s="751"/>
      <c r="E2737" s="751"/>
      <c r="F2737" s="751"/>
      <c r="G2737" s="751"/>
      <c r="H2737" s="751"/>
      <c r="I2737" s="751"/>
      <c r="J2737" s="751"/>
      <c r="K2737" s="751"/>
      <c r="L2737" s="722" t="s">
        <v>100</v>
      </c>
      <c r="M2737" s="747" t="s">
        <v>114</v>
      </c>
      <c r="N2737" s="747"/>
      <c r="O2737" s="747"/>
      <c r="P2737" s="747"/>
      <c r="Q2737" s="748"/>
      <c r="R2737" s="758" t="s">
        <v>280</v>
      </c>
      <c r="S2737" s="748"/>
      <c r="T2737" s="762" t="str">
        <f>IF(COUNTIF(AE2737:AF2737,"VERIFICAR")&gt;0,"VERIFICAR",IF(COUNTIF(AE2737:AF2737,"NO CUMPLE")&gt;0,"NO CUMPLE","CUMPLE"))</f>
        <v>VERIFICAR</v>
      </c>
      <c r="U2737" s="108"/>
      <c r="Y2737" s="533" t="e">
        <f>IF(F2738="","",IF(F2738=1,"INDIVIDUAL","ESTRUCTURA PLURAL"))</f>
        <v>#N/A</v>
      </c>
      <c r="AC2737" s="52"/>
      <c r="AD2737" s="475" t="s">
        <v>303</v>
      </c>
      <c r="AE2737" s="476" t="str">
        <f>IF(COUNTIF(AE2723:AE2732,"")=10,"VERIFICAR",IF(COUNTIF(AE2723:AE2732,"SI")&gt;0,"CUMPLE","NO CUMPLE"))</f>
        <v>VERIFICAR</v>
      </c>
      <c r="AF2737" s="477" t="str">
        <f>IF(COUNTIF(AF2723:AF2732,"")=10,"VERIFICAR",IF(COUNTIF(AF2723:AF2732,"SI")&gt;=$AI$22,"CUMPLE","NO CUMPLE"))</f>
        <v>VERIFICAR</v>
      </c>
      <c r="AG2737" s="52"/>
      <c r="AH2737" s="87"/>
      <c r="AI2737" s="87"/>
    </row>
    <row r="2738" spans="1:35" ht="16.5" hidden="1" customHeight="1" thickBot="1">
      <c r="A2738" s="218" t="e">
        <f>"L"&amp;E2719</f>
        <v>#N/A</v>
      </c>
      <c r="B2738" s="702"/>
      <c r="C2738" s="751" t="s">
        <v>103</v>
      </c>
      <c r="D2738" s="751"/>
      <c r="E2738" s="752"/>
      <c r="F2738" s="557" t="e">
        <f>IF(VLOOKUP(E2719,PROPONENTES!$C$19:$E$218,3,0)="","",VLOOKUP(E2719,PROPONENTES!$C$19:$E$218,3,0))</f>
        <v>#N/A</v>
      </c>
      <c r="G2738" s="753" t="s">
        <v>104</v>
      </c>
      <c r="H2738" s="751"/>
      <c r="I2738" s="715" t="e">
        <f>IF(OR(F2738="",F2738=1),"INTERESADO PERSONA NATURAL O JURIDICA","CONSORCIO O UNION TEMPORAL")</f>
        <v>#N/A</v>
      </c>
      <c r="J2738" s="725"/>
      <c r="K2738" s="728"/>
      <c r="L2738" s="723"/>
      <c r="M2738" s="749"/>
      <c r="N2738" s="749"/>
      <c r="O2738" s="749"/>
      <c r="P2738" s="749"/>
      <c r="Q2738" s="750"/>
      <c r="R2738" s="712"/>
      <c r="S2738" s="750"/>
      <c r="T2738" s="763"/>
      <c r="U2738" s="108"/>
      <c r="Y2738" s="534"/>
      <c r="AA2738" s="52"/>
      <c r="AB2738" s="52"/>
      <c r="AC2738" s="52"/>
      <c r="AG2738" s="52"/>
      <c r="AH2738" s="87"/>
      <c r="AI2738" s="87"/>
    </row>
    <row r="2739" spans="1:35" ht="56.25" hidden="1" customHeight="1" thickBot="1">
      <c r="A2739" s="218" t="e">
        <f>"M"&amp;E2719</f>
        <v>#N/A</v>
      </c>
      <c r="B2739" s="702"/>
      <c r="C2739" s="725" t="s">
        <v>101</v>
      </c>
      <c r="D2739" s="716"/>
      <c r="E2739" s="558" t="s">
        <v>105</v>
      </c>
      <c r="F2739" s="554" t="s">
        <v>87</v>
      </c>
      <c r="G2739" s="553" t="s">
        <v>86</v>
      </c>
      <c r="H2739" s="559" t="s">
        <v>85</v>
      </c>
      <c r="I2739" s="554" t="s">
        <v>252</v>
      </c>
      <c r="J2739" s="553" t="str">
        <f>"¿EL INTEGRANTE TIENE UNA PARTICIPACIÓN DEL "&amp;PORCREQUERIDOINT*100&amp;"%?"</f>
        <v>¿EL INTEGRANTE TIENE UNA PARTICIPACIÓN DEL 60%?</v>
      </c>
      <c r="K2739" s="554" t="s">
        <v>107</v>
      </c>
      <c r="L2739" s="724"/>
      <c r="M2739" s="717" t="s">
        <v>115</v>
      </c>
      <c r="N2739" s="718"/>
      <c r="O2739" s="718"/>
      <c r="P2739" s="718"/>
      <c r="Q2739" s="223">
        <f>IF(AND(H2723="SI",P2723&gt;=0),1,0)+IF(AND(H2724="SI",P2724&gt;=0),1,0)+IF(AND(H2725="SI",P2725&gt;=0),1,0)+IF(AND(H2726="SI",P2726&gt;=0),1,0)+IF(AND(H2727="SI",P2727&gt;=0),1,0)+IF(AND(H2728="SI",P2728&gt;=0),1,0)+IF(AND(H2729="SI",P2729&gt;=0),1,0)+IF(AND(H2730="SI",P2730&gt;=0),1,0)+IF(AND(H2731="SI",P2731&gt;=0),1,0)+IF(AND(H2732="SI",P2732&gt;=0),1,0)</f>
        <v>0</v>
      </c>
      <c r="R2739" s="759"/>
      <c r="S2739" s="761"/>
      <c r="T2739" s="764"/>
      <c r="U2739" s="219"/>
      <c r="V2739" s="464"/>
      <c r="Y2739" s="532" t="s">
        <v>342</v>
      </c>
      <c r="AA2739" s="550" t="s">
        <v>344</v>
      </c>
      <c r="AB2739" s="693" t="s">
        <v>345</v>
      </c>
      <c r="AC2739" s="693" t="s">
        <v>346</v>
      </c>
      <c r="AD2739" s="685" t="s">
        <v>347</v>
      </c>
      <c r="AE2739" s="52"/>
      <c r="AF2739" s="52"/>
      <c r="AG2739" s="52"/>
      <c r="AH2739" s="87"/>
      <c r="AI2739" s="87"/>
    </row>
    <row r="2740" spans="1:35" ht="15.75" hidden="1" customHeight="1" thickBot="1">
      <c r="A2740" s="218" t="e">
        <f>"N"&amp;E2719</f>
        <v>#N/A</v>
      </c>
      <c r="B2740" s="702"/>
      <c r="C2740" s="114">
        <v>1</v>
      </c>
      <c r="D2740" s="194" t="e">
        <f>IF(AND(C2740&lt;=F2738,F2738&gt;1,F2738&lt;&gt;""),VLOOKUP(VALUE(E2719&amp;","&amp;C2740),INTEGRANTES!$D$18:$F$235,2,0),"")</f>
        <v>#N/A</v>
      </c>
      <c r="E2740" s="211" t="e">
        <f>IF(D2740&lt;&gt;"",VLOOKUP(VALUE(E2719&amp;","&amp;C2740),INTEGRANTES!$D$18:$F$235,3,0),"")</f>
        <v>#N/A</v>
      </c>
      <c r="F2740" s="547" t="e">
        <f>IF(D2740="","",SUMIF($I2723:$I2732,D2740,$P2723:$P2732))</f>
        <v>#N/A</v>
      </c>
      <c r="G2740" s="333" t="e">
        <f>IF(D2740="","",SUMIF($I2723:$I2732,D2740,$M2723:$M2732))</f>
        <v>#N/A</v>
      </c>
      <c r="H2740" s="535" t="e">
        <f t="shared" ref="H2740:H2745" si="803">IF(D2740="","",IF(OR(F2740=0,G2740=0),"NO APORTA",ROUND($F2740/$G2740,3)))</f>
        <v>#N/A</v>
      </c>
      <c r="I2740" s="212" t="e">
        <f>IF(D2740="","",IF(H2740="NO APORTA","NO",IF(H2740=MAX($H2740:$H2745),"SI","NO")))</f>
        <v>#N/A</v>
      </c>
      <c r="J2740" s="213" t="e">
        <f t="shared" ref="J2740:J2745" si="804">IF(D2740="","",IF(E2740&gt;=PORCREQUERIDOINT,"SI","NO"))</f>
        <v>#N/A</v>
      </c>
      <c r="K2740" s="200" t="e">
        <f t="shared" ref="K2740:K2745" si="805">IF(D2740="","",IF(AND(I2740="SI",J2740="SI"),"CUMPLE",IF(AND(I2740="NO",OR(J2740="SI",J2740="NO")),"","NO CUMPLE")))</f>
        <v>#N/A</v>
      </c>
      <c r="L2740" s="722" t="s">
        <v>108</v>
      </c>
      <c r="M2740" s="726" t="s">
        <v>119</v>
      </c>
      <c r="N2740" s="726"/>
      <c r="O2740" s="726"/>
      <c r="P2740" s="726"/>
      <c r="Q2740" s="727"/>
      <c r="R2740" s="758" t="s">
        <v>80</v>
      </c>
      <c r="S2740" s="747"/>
      <c r="T2740" s="748"/>
      <c r="U2740" s="219"/>
      <c r="V2740" s="464"/>
      <c r="Y2740" s="533" t="e">
        <f>IF(Y2737="","",IF(Y2737="INDIVIDUAL","NO APLICA","VERIFICAR CUADRO"))</f>
        <v>#N/A</v>
      </c>
      <c r="AA2740" s="551"/>
      <c r="AB2740" s="694"/>
      <c r="AC2740" s="694"/>
      <c r="AD2740" s="686"/>
      <c r="AE2740" s="52"/>
      <c r="AF2740" s="52"/>
      <c r="AG2740" s="52"/>
      <c r="AH2740" s="87"/>
      <c r="AI2740" s="87"/>
    </row>
    <row r="2741" spans="1:35" ht="27" hidden="1" customHeight="1" thickBot="1">
      <c r="A2741" s="218" t="e">
        <f>"O"&amp;E2719</f>
        <v>#N/A</v>
      </c>
      <c r="B2741" s="702"/>
      <c r="C2741" s="114">
        <v>2</v>
      </c>
      <c r="D2741" s="194" t="e">
        <f>IF(AND(C2741&lt;=F2738,F2738&lt;&gt;""),VLOOKUP(VALUE(E2719&amp;","&amp;C2741),INTEGRANTES!$D$18:$F$235,2,0),"")</f>
        <v>#N/A</v>
      </c>
      <c r="E2741" s="211" t="e">
        <f>IF(D2741&lt;&gt;"",VLOOKUP(VALUE(E2719&amp;","&amp;C2741),INTEGRANTES!$D$18:$F$235,3,0),"")</f>
        <v>#N/A</v>
      </c>
      <c r="F2741" s="547" t="e">
        <f>IF(D2741="","",SUMIF($I2723:$I2732,D2741,$P2723:$P2732))</f>
        <v>#N/A</v>
      </c>
      <c r="G2741" s="333" t="e">
        <f>IF(D2741="","",SUMIF($I2723:$I2732,D2741,$M2723:$M2732))</f>
        <v>#N/A</v>
      </c>
      <c r="H2741" s="535" t="e">
        <f t="shared" si="803"/>
        <v>#N/A</v>
      </c>
      <c r="I2741" s="212" t="e">
        <f>IF(D2741="","",IF(H2741="NO APORTA","NO",IF(H2741=MAX($H2740:$H2745),"SI","NO")))</f>
        <v>#N/A</v>
      </c>
      <c r="J2741" s="213" t="e">
        <f t="shared" si="804"/>
        <v>#N/A</v>
      </c>
      <c r="K2741" s="200" t="e">
        <f t="shared" si="805"/>
        <v>#N/A</v>
      </c>
      <c r="L2741" s="723"/>
      <c r="M2741" s="715" t="s">
        <v>116</v>
      </c>
      <c r="N2741" s="716"/>
      <c r="O2741" s="556" t="s">
        <v>113</v>
      </c>
      <c r="P2741" s="715" t="s">
        <v>117</v>
      </c>
      <c r="Q2741" s="728"/>
      <c r="R2741" s="759"/>
      <c r="S2741" s="760"/>
      <c r="T2741" s="761"/>
      <c r="U2741" s="219"/>
      <c r="V2741" s="464"/>
      <c r="Y2741" s="414"/>
      <c r="AA2741" s="542" t="e">
        <f>IF(AND(C2740&lt;=F2738,F2738&gt;1,F2738&lt;&gt;""),VLOOKUP(VALUE(E2719&amp;","&amp;C2740),INTEGRANTES!$D$18:$F$235,2,0),"")</f>
        <v>#N/A</v>
      </c>
      <c r="AB2741" s="544" t="e">
        <f t="shared" ref="AB2741:AB2746" si="806">IF(D2740="","",IF(OR(F2740=0,G2740=0),"NO APORTA",ROUND($F2740/$G2740,3)))</f>
        <v>#N/A</v>
      </c>
      <c r="AC2741" s="529"/>
      <c r="AD2741" s="200" t="e">
        <f t="shared" ref="AD2741:AD2746" si="807">IF(OR(AA2741="",AB2741=""),"",IF(AND(AC2741="X",AB2741&gt;=EXPREQVTD),"CUMPLE","NO CUMPLE"))</f>
        <v>#N/A</v>
      </c>
      <c r="AE2741" s="52"/>
      <c r="AF2741" s="52"/>
      <c r="AG2741" s="52"/>
      <c r="AH2741" s="87"/>
      <c r="AI2741" s="87"/>
    </row>
    <row r="2742" spans="1:35" ht="16.5" hidden="1" thickBot="1">
      <c r="A2742" s="218" t="e">
        <f>"P"&amp;E2719</f>
        <v>#N/A</v>
      </c>
      <c r="B2742" s="702"/>
      <c r="C2742" s="114">
        <v>3</v>
      </c>
      <c r="D2742" s="194" t="e">
        <f>IF(AND(C2742&lt;=F2738,F2738&lt;&gt;""),VLOOKUP(VALUE(E2719&amp;","&amp;C2742),INTEGRANTES!$D$18:$F$235,2,0),"")</f>
        <v>#N/A</v>
      </c>
      <c r="E2742" s="211" t="e">
        <f>IF(D2742&lt;&gt;"",VLOOKUP(VALUE(E2719&amp;","&amp;C2742),INTEGRANTES!$D$18:$F$235,3,0),"")</f>
        <v>#N/A</v>
      </c>
      <c r="F2742" s="547" t="e">
        <f>IF(D2742="","",SUMIF($I2723:$I2732,D2742,$P2723:$P2732))</f>
        <v>#N/A</v>
      </c>
      <c r="G2742" s="333" t="e">
        <f>IF(D2742="","",SUMIF($I2723:$I2732,D2742,$M2723:$M2732))</f>
        <v>#N/A</v>
      </c>
      <c r="H2742" s="535" t="e">
        <f t="shared" si="803"/>
        <v>#N/A</v>
      </c>
      <c r="I2742" s="212" t="e">
        <f>IF(D2742="","",IF(H2742="NO APORTA","NO",IF(H2742=MAX($H2740:$H2745),"SI","NO")))</f>
        <v>#N/A</v>
      </c>
      <c r="J2742" s="213" t="e">
        <f t="shared" si="804"/>
        <v>#N/A</v>
      </c>
      <c r="K2742" s="200" t="e">
        <f t="shared" si="805"/>
        <v>#N/A</v>
      </c>
      <c r="L2742" s="724"/>
      <c r="M2742" s="729">
        <f>NUMMOD</f>
        <v>1</v>
      </c>
      <c r="N2742" s="730"/>
      <c r="O2742" s="443">
        <f>IF(M2742="","",VLOOKUP(M2742,PRESUPUESTOS!$B$16:$H$16,5,FALSE))</f>
        <v>2</v>
      </c>
      <c r="P2742" s="713">
        <f>IF(OR(COUNTIF(M2723:M2732,"")&gt;=10,Q2739&lt;NUMMINCONT,OR(T2737="NO CUMPLE",T2737="VERIFICAR")),0,ROUND(AVERAGE(M2723:M2732),3))</f>
        <v>0</v>
      </c>
      <c r="Q2742" s="714"/>
      <c r="R2742" s="458"/>
      <c r="S2742" s="459"/>
      <c r="T2742" s="460"/>
      <c r="U2742" s="219"/>
      <c r="V2742" s="464"/>
      <c r="Y2742" s="532" t="str">
        <f>"40% * ("&amp;PRESUPUESTOS!$H$13&amp;")"</f>
        <v>40% * (50% PFMO)</v>
      </c>
      <c r="AA2742" s="540" t="e">
        <f>IF(AND(C2741&lt;=F2738,F2738&lt;&gt;""),VLOOKUP(VALUE(E2719&amp;","&amp;C2741),INTEGRANTES!$D$18:$F$235,2,0),"")</f>
        <v>#N/A</v>
      </c>
      <c r="AB2742" s="545" t="e">
        <f t="shared" si="806"/>
        <v>#N/A</v>
      </c>
      <c r="AC2742" s="529"/>
      <c r="AD2742" s="200" t="e">
        <f t="shared" si="807"/>
        <v>#N/A</v>
      </c>
      <c r="AE2742" s="52"/>
      <c r="AF2742" s="52"/>
      <c r="AG2742" s="52"/>
      <c r="AH2742" s="87"/>
      <c r="AI2742" s="87"/>
    </row>
    <row r="2743" spans="1:35" ht="15.75" hidden="1" customHeight="1" thickBot="1">
      <c r="A2743" s="218" t="e">
        <f>"Q"&amp;E2719</f>
        <v>#N/A</v>
      </c>
      <c r="B2743" s="702"/>
      <c r="C2743" s="114">
        <v>4</v>
      </c>
      <c r="D2743" s="194" t="e">
        <f>IF(AND(C2743&lt;=F2738,F2738&lt;&gt;""),VLOOKUP(VALUE(E2719&amp;","&amp;C2743),INTEGRANTES!$D$18:$F$235,2,0),"")</f>
        <v>#N/A</v>
      </c>
      <c r="E2743" s="211" t="e">
        <f>IF(D2743&lt;&gt;"",VLOOKUP(VALUE(E2719&amp;","&amp;C2743),INTEGRANTES!$D$18:$F$235,3,0),"")</f>
        <v>#N/A</v>
      </c>
      <c r="F2743" s="547" t="e">
        <f>IF(D2743="","",SUMIF($I2723:$I2732,D2743,$P2723:$P2732))</f>
        <v>#N/A</v>
      </c>
      <c r="G2743" s="333" t="e">
        <f>IF(D2743="","",SUMIF($I2723:$I2732,D2743,$M2723:$M2732))</f>
        <v>#N/A</v>
      </c>
      <c r="H2743" s="535" t="e">
        <f t="shared" si="803"/>
        <v>#N/A</v>
      </c>
      <c r="I2743" s="212" t="e">
        <f>IF(D2743="","",IF(H2743="NO APORTA","NO",IF(H2743=MAX($H2740:$H2745),"SI","NO")))</f>
        <v>#N/A</v>
      </c>
      <c r="J2743" s="213" t="e">
        <f t="shared" si="804"/>
        <v>#N/A</v>
      </c>
      <c r="K2743" s="200" t="e">
        <f t="shared" si="805"/>
        <v>#N/A</v>
      </c>
      <c r="L2743" s="720" t="s">
        <v>109</v>
      </c>
      <c r="M2743" s="757" t="s">
        <v>120</v>
      </c>
      <c r="N2743" s="726"/>
      <c r="O2743" s="726"/>
      <c r="P2743" s="726"/>
      <c r="Q2743" s="727"/>
      <c r="R2743" s="458"/>
      <c r="S2743" s="459"/>
      <c r="T2743" s="460"/>
      <c r="U2743" s="219"/>
      <c r="V2743" s="464"/>
      <c r="Y2743" s="537">
        <f>0.4*PRESUPUESTOS!$H$16</f>
        <v>10.3124</v>
      </c>
      <c r="AA2743" s="540" t="e">
        <f>IF(AND(C2742&lt;=F2738,F2738&lt;&gt;""),VLOOKUP(VALUE(E2719&amp;","&amp;C2742),INTEGRANTES!$D$18:$F$235,2,0),"")</f>
        <v>#N/A</v>
      </c>
      <c r="AB2743" s="545" t="e">
        <f t="shared" si="806"/>
        <v>#N/A</v>
      </c>
      <c r="AC2743" s="529"/>
      <c r="AD2743" s="200" t="e">
        <f t="shared" si="807"/>
        <v>#N/A</v>
      </c>
      <c r="AE2743" s="52"/>
      <c r="AF2743" s="52"/>
      <c r="AG2743" s="52"/>
      <c r="AH2743" s="87"/>
      <c r="AI2743" s="87"/>
    </row>
    <row r="2744" spans="1:35" ht="27" hidden="1" customHeight="1" thickBot="1">
      <c r="A2744" s="218" t="e">
        <f>"R"&amp;E2719</f>
        <v>#N/A</v>
      </c>
      <c r="B2744" s="702"/>
      <c r="C2744" s="114">
        <v>5</v>
      </c>
      <c r="D2744" s="194" t="e">
        <f>IF(AND(C2744&lt;=F2738,F2738&lt;&gt;""),VLOOKUP(VALUE(E2719&amp;","&amp;C2744),INTEGRANTES!$D$18:$F$235,2,0),"")</f>
        <v>#N/A</v>
      </c>
      <c r="E2744" s="211" t="e">
        <f>IF(D2744&lt;&gt;"",VLOOKUP(VALUE(E2719&amp;","&amp;C2744),INTEGRANTES!$D$18:$F$235,3,0),"")</f>
        <v>#N/A</v>
      </c>
      <c r="F2744" s="547" t="e">
        <f>IF(D2744="","",SUMIF($I2723:$I2732,D2744,$P2723:$P2732))</f>
        <v>#N/A</v>
      </c>
      <c r="G2744" s="333" t="e">
        <f>IF(D2744="","",SUMIF($I2723:$I2732,D2744,$M2723:$M2732))</f>
        <v>#N/A</v>
      </c>
      <c r="H2744" s="535" t="e">
        <f t="shared" si="803"/>
        <v>#N/A</v>
      </c>
      <c r="I2744" s="212" t="e">
        <f>IF(D2744="","",IF(H2744="NO APORTA","NO",IF(H2744=MAX($H2740:$H2745),"SI","NO")))</f>
        <v>#N/A</v>
      </c>
      <c r="J2744" s="213" t="e">
        <f t="shared" si="804"/>
        <v>#N/A</v>
      </c>
      <c r="K2744" s="200" t="e">
        <f t="shared" si="805"/>
        <v>#N/A</v>
      </c>
      <c r="L2744" s="721"/>
      <c r="M2744" s="715" t="s">
        <v>116</v>
      </c>
      <c r="N2744" s="716"/>
      <c r="O2744" s="556" t="str">
        <f>PORCREQUERIDO*100&amp;"% PMFO DEL MÓDULO"</f>
        <v>50% PMFO DEL MÓDULO</v>
      </c>
      <c r="P2744" s="715" t="s">
        <v>118</v>
      </c>
      <c r="Q2744" s="728"/>
      <c r="R2744" s="458"/>
      <c r="S2744" s="459"/>
      <c r="T2744" s="460"/>
      <c r="U2744" s="219"/>
      <c r="V2744" s="464"/>
      <c r="Y2744" s="414"/>
      <c r="AA2744" s="540" t="e">
        <f>IF(AND(C2743&lt;=F2738,F2738&lt;&gt;""),VLOOKUP(VALUE(E2719&amp;","&amp;C2743),INTEGRANTES!$D$18:$F$235,2,0),"")</f>
        <v>#N/A</v>
      </c>
      <c r="AB2744" s="545" t="e">
        <f t="shared" si="806"/>
        <v>#N/A</v>
      </c>
      <c r="AC2744" s="529"/>
      <c r="AD2744" s="200" t="e">
        <f t="shared" si="807"/>
        <v>#N/A</v>
      </c>
      <c r="AE2744" s="52"/>
      <c r="AF2744" s="52"/>
      <c r="AG2744" s="52"/>
      <c r="AH2744" s="87"/>
      <c r="AI2744" s="87"/>
    </row>
    <row r="2745" spans="1:35" ht="16.5" hidden="1" thickBot="1">
      <c r="A2745" s="218" t="e">
        <f>"S"&amp;E2719</f>
        <v>#N/A</v>
      </c>
      <c r="B2745" s="702"/>
      <c r="C2745" s="215">
        <v>6</v>
      </c>
      <c r="D2745" s="216" t="e">
        <f>IF(AND(C2745&lt;=F2738,F2738&lt;&gt;""),VLOOKUP(VALUE(E2719&amp;","&amp;C2745),INTEGRANTES!$D$18:$F$235,2,0),"")</f>
        <v>#N/A</v>
      </c>
      <c r="E2745" s="217" t="e">
        <f>IF(D2745&lt;&gt;"",VLOOKUP(VALUE(E2719&amp;","&amp;C2745),INTEGRANTES!$D$18:$F$235,3,0),"")</f>
        <v>#N/A</v>
      </c>
      <c r="F2745" s="548" t="e">
        <f>IF(D2745="","",SUMIF($I2723:$I2732,D2745,$P2723:$P2732))</f>
        <v>#N/A</v>
      </c>
      <c r="G2745" s="334" t="e">
        <f>IF(D2745="","",SUMIF($I2723:$I2732,D2745,$M2723:$M2732))</f>
        <v>#N/A</v>
      </c>
      <c r="H2745" s="536" t="e">
        <f t="shared" si="803"/>
        <v>#N/A</v>
      </c>
      <c r="I2745" s="214" t="e">
        <f>IF(D2745="","",IF(H2745="NO APORTA","NO",IF(H2745=MAX($H2740:$H2745),"SI","NO")))</f>
        <v>#N/A</v>
      </c>
      <c r="J2745" s="213" t="e">
        <f t="shared" si="804"/>
        <v>#N/A</v>
      </c>
      <c r="K2745" s="200" t="e">
        <f t="shared" si="805"/>
        <v>#N/A</v>
      </c>
      <c r="L2745" s="721"/>
      <c r="M2745" s="729">
        <f>NUMMOD</f>
        <v>1</v>
      </c>
      <c r="N2745" s="730"/>
      <c r="O2745" s="443">
        <f>IF(M2745="","",ROUND(VLOOKUP(M2745,PRESUPUESTOS!$B$16:$H$16,7,FALSE),3))</f>
        <v>25.780999999999999</v>
      </c>
      <c r="P2745" s="713">
        <f>IF(OR(COUNTIF(P2723:P2732,"")&gt;=10,Q2739&lt;NUMMINCONT,OR(T2737="NO CUMPLE",T2737="VERIFICAR")),0,ROUND((SUM(P2723:P2732)/SUM(M2723:M2732)),3))</f>
        <v>0</v>
      </c>
      <c r="Q2745" s="714"/>
      <c r="R2745" s="458"/>
      <c r="S2745" s="459"/>
      <c r="T2745" s="460"/>
      <c r="U2745" s="219"/>
      <c r="V2745" s="464"/>
      <c r="Y2745" s="532" t="s">
        <v>343</v>
      </c>
      <c r="AA2745" s="540" t="e">
        <f>IF(AND(C2744&lt;=F2738,F2738&lt;&gt;""),VLOOKUP(VALUE(E2719&amp;","&amp;C2744),INTEGRANTES!$D$18:$F$235,2,0),"")</f>
        <v>#N/A</v>
      </c>
      <c r="AB2745" s="545" t="e">
        <f t="shared" si="806"/>
        <v>#N/A</v>
      </c>
      <c r="AC2745" s="529"/>
      <c r="AD2745" s="200" t="e">
        <f t="shared" si="807"/>
        <v>#N/A</v>
      </c>
      <c r="AE2745" s="52"/>
      <c r="AF2745" s="52"/>
      <c r="AG2745" s="52"/>
      <c r="AH2745" s="87"/>
      <c r="AI2745" s="87"/>
    </row>
    <row r="2746" spans="1:35" ht="16.5" hidden="1" customHeight="1" thickBot="1">
      <c r="A2746" s="218" t="e">
        <f>"T"&amp;E2719</f>
        <v>#N/A</v>
      </c>
      <c r="B2746" s="703"/>
      <c r="C2746" s="719"/>
      <c r="D2746" s="719"/>
      <c r="E2746" s="719"/>
      <c r="F2746" s="719"/>
      <c r="G2746" s="719"/>
      <c r="H2746" s="719" t="s">
        <v>110</v>
      </c>
      <c r="I2746" s="719"/>
      <c r="J2746" s="719"/>
      <c r="K2746" s="201" t="str">
        <f>IF(COUNTIF(K2740:K2745,"")=6,"",IF(COUNTIF(K2740:K2745,"CUMPLE")&gt;0,"CUMPLE","NO CUMPLE"))</f>
        <v>NO CUMPLE</v>
      </c>
      <c r="L2746" s="754"/>
      <c r="M2746" s="755"/>
      <c r="N2746" s="755"/>
      <c r="O2746" s="755"/>
      <c r="P2746" s="755"/>
      <c r="Q2746" s="756"/>
      <c r="R2746" s="461"/>
      <c r="S2746" s="462"/>
      <c r="T2746" s="463"/>
      <c r="U2746" s="219"/>
      <c r="V2746" s="464"/>
      <c r="Y2746" s="549" t="e">
        <f>IF(Y2740="NO APLICA","NO APLICA",IF(COUNTIF(AD2741:AD2746,"CUMPLE")&gt;0,"CUMPLE","NO CUMPLE"))</f>
        <v>#N/A</v>
      </c>
      <c r="AA2746" s="541" t="e">
        <f>IF(AND(C2745&lt;=F2738,F2738&lt;&gt;""),VLOOKUP(VALUE(E2719&amp;","&amp;C2745),INTEGRANTES!$D$18:$F$235,2,0),"")</f>
        <v>#N/A</v>
      </c>
      <c r="AB2746" s="546" t="e">
        <f t="shared" si="806"/>
        <v>#N/A</v>
      </c>
      <c r="AC2746" s="543"/>
      <c r="AD2746" s="201" t="e">
        <f t="shared" si="807"/>
        <v>#N/A</v>
      </c>
      <c r="AE2746" s="52"/>
      <c r="AF2746" s="52"/>
      <c r="AG2746" s="52"/>
      <c r="AH2746" s="87"/>
      <c r="AI2746" s="87"/>
    </row>
    <row r="2747" spans="1:35" hidden="1">
      <c r="A2747" s="103"/>
      <c r="B2747" s="206"/>
      <c r="C2747" s="206"/>
      <c r="D2747" s="206"/>
      <c r="E2747" s="206"/>
      <c r="F2747" s="206"/>
      <c r="G2747" s="206"/>
      <c r="H2747" s="206"/>
      <c r="I2747" s="104"/>
      <c r="J2747" s="206"/>
      <c r="K2747" s="113"/>
      <c r="L2747" s="113"/>
      <c r="M2747" s="113"/>
      <c r="N2747" s="222"/>
      <c r="O2747" s="113"/>
      <c r="P2747" s="113"/>
      <c r="Q2747" s="113"/>
      <c r="R2747" s="206"/>
      <c r="S2747" s="104"/>
      <c r="T2747" s="206"/>
      <c r="U2747" s="474"/>
      <c r="AH2747" s="87"/>
      <c r="AI2747" s="87"/>
    </row>
    <row r="2748" spans="1:35" hidden="1">
      <c r="H2748" s="220"/>
      <c r="AH2748" s="87"/>
      <c r="AI2748" s="87"/>
    </row>
    <row r="2749" spans="1:35" ht="24" hidden="1" thickBot="1">
      <c r="A2749" s="61">
        <v>92</v>
      </c>
      <c r="B2749" s="704" t="s">
        <v>51</v>
      </c>
      <c r="C2749" s="704"/>
      <c r="D2749" s="704"/>
      <c r="E2749" s="62" t="e">
        <f>VLOOKUP(A2749,PROPONENTES!$B$19:$E$218,2,FALSE)</f>
        <v>#N/A</v>
      </c>
      <c r="F2749" s="63" t="e">
        <f>VLOOKUP(A2749,PROPONENTES!$B$19:$E$218,3,FALSE)</f>
        <v>#N/A</v>
      </c>
      <c r="G2749" s="64"/>
      <c r="H2749" s="64"/>
      <c r="I2749" s="63"/>
      <c r="J2749" s="63"/>
      <c r="K2749" s="65"/>
      <c r="L2749" s="65"/>
      <c r="M2749" s="64"/>
      <c r="N2749" s="64"/>
      <c r="O2749" s="66"/>
      <c r="P2749" s="66"/>
      <c r="Q2749" s="66"/>
      <c r="R2749" s="66"/>
      <c r="S2749" s="67"/>
      <c r="T2749" s="68"/>
      <c r="U2749" s="68"/>
      <c r="AC2749" s="68"/>
      <c r="AD2749" s="68"/>
      <c r="AE2749" s="68"/>
      <c r="AF2749" s="68"/>
      <c r="AG2749" s="68"/>
      <c r="AH2749" s="87"/>
      <c r="AI2749" s="87"/>
    </row>
    <row r="2750" spans="1:35" ht="15.75" hidden="1" customHeight="1">
      <c r="A2750" s="44"/>
      <c r="B2750" s="709" t="s">
        <v>59</v>
      </c>
      <c r="C2750" s="552" t="s">
        <v>60</v>
      </c>
      <c r="D2750" s="70" t="s">
        <v>17</v>
      </c>
      <c r="E2750" s="70"/>
      <c r="F2750" s="70" t="s">
        <v>61</v>
      </c>
      <c r="G2750" s="71"/>
      <c r="H2750" s="699" t="s">
        <v>62</v>
      </c>
      <c r="I2750" s="699" t="s">
        <v>18</v>
      </c>
      <c r="J2750" s="699" t="s">
        <v>63</v>
      </c>
      <c r="K2750" s="699" t="s">
        <v>64</v>
      </c>
      <c r="L2750" s="699" t="s">
        <v>65</v>
      </c>
      <c r="M2750" s="743" t="s">
        <v>66</v>
      </c>
      <c r="N2750" s="699" t="s">
        <v>282</v>
      </c>
      <c r="O2750" s="745" t="s">
        <v>67</v>
      </c>
      <c r="P2750" s="746"/>
      <c r="Q2750" s="102" t="s">
        <v>75</v>
      </c>
      <c r="R2750" s="731" t="s">
        <v>22</v>
      </c>
      <c r="S2750" s="732"/>
      <c r="T2750" s="733"/>
      <c r="U2750" s="712" t="s">
        <v>298</v>
      </c>
      <c r="W2750" s="690" t="s">
        <v>268</v>
      </c>
      <c r="X2750" s="691"/>
      <c r="Y2750" s="692"/>
      <c r="Z2750" s="428"/>
      <c r="AA2750" s="697" t="s">
        <v>315</v>
      </c>
      <c r="AB2750" s="695" t="s">
        <v>322</v>
      </c>
      <c r="AC2750" s="49"/>
      <c r="AD2750" s="690" t="s">
        <v>297</v>
      </c>
      <c r="AE2750" s="691"/>
      <c r="AF2750" s="692"/>
      <c r="AG2750" s="49"/>
      <c r="AH2750" s="87"/>
      <c r="AI2750" s="87"/>
    </row>
    <row r="2751" spans="1:35" ht="72" hidden="1">
      <c r="A2751" s="44"/>
      <c r="B2751" s="710"/>
      <c r="C2751" s="553" t="s">
        <v>68</v>
      </c>
      <c r="D2751" s="73" t="s">
        <v>3</v>
      </c>
      <c r="E2751" s="73" t="s">
        <v>19</v>
      </c>
      <c r="F2751" s="73" t="s">
        <v>69</v>
      </c>
      <c r="G2751" s="74" t="s">
        <v>70</v>
      </c>
      <c r="H2751" s="700"/>
      <c r="I2751" s="700"/>
      <c r="J2751" s="700"/>
      <c r="K2751" s="700"/>
      <c r="L2751" s="700"/>
      <c r="M2751" s="744"/>
      <c r="N2751" s="700"/>
      <c r="O2751" s="553" t="s">
        <v>279</v>
      </c>
      <c r="P2751" s="73" t="s">
        <v>88</v>
      </c>
      <c r="Q2751" s="555" t="s">
        <v>76</v>
      </c>
      <c r="R2751" s="734"/>
      <c r="S2751" s="735"/>
      <c r="T2751" s="736"/>
      <c r="U2751" s="712"/>
      <c r="W2751" s="429" t="s">
        <v>269</v>
      </c>
      <c r="X2751" s="457" t="s">
        <v>278</v>
      </c>
      <c r="Y2751" s="430" t="s">
        <v>324</v>
      </c>
      <c r="Z2751" s="428"/>
      <c r="AA2751" s="698"/>
      <c r="AB2751" s="696"/>
      <c r="AC2751" s="49"/>
      <c r="AD2751" s="429" t="s">
        <v>292</v>
      </c>
      <c r="AE2751" s="431" t="s">
        <v>300</v>
      </c>
      <c r="AF2751" s="468" t="s">
        <v>301</v>
      </c>
      <c r="AG2751" s="49"/>
      <c r="AH2751" s="87"/>
      <c r="AI2751" s="87"/>
    </row>
    <row r="2752" spans="1:35" hidden="1">
      <c r="A2752" s="44"/>
      <c r="B2752" s="76"/>
      <c r="C2752" s="77"/>
      <c r="D2752" s="77"/>
      <c r="E2752" s="77"/>
      <c r="F2752" s="77"/>
      <c r="G2752" s="77"/>
      <c r="H2752" s="77"/>
      <c r="I2752" s="77"/>
      <c r="J2752" s="77"/>
      <c r="K2752" s="77"/>
      <c r="L2752" s="77"/>
      <c r="M2752" s="77"/>
      <c r="N2752" s="77"/>
      <c r="O2752" s="77"/>
      <c r="P2752" s="77"/>
      <c r="Q2752" s="77"/>
      <c r="R2752" s="77"/>
      <c r="S2752" s="78"/>
      <c r="T2752" s="79"/>
      <c r="U2752" s="109"/>
      <c r="V2752" s="49"/>
      <c r="W2752" s="432"/>
      <c r="X2752" s="454"/>
      <c r="Y2752" s="433"/>
      <c r="Z2752" s="6"/>
      <c r="AA2752" s="500"/>
      <c r="AB2752" s="562"/>
      <c r="AC2752" s="49"/>
      <c r="AD2752" s="210"/>
      <c r="AE2752" s="434"/>
      <c r="AF2752" s="435"/>
      <c r="AG2752" s="49"/>
      <c r="AH2752" s="87"/>
      <c r="AI2752" s="87"/>
    </row>
    <row r="2753" spans="1:35" hidden="1">
      <c r="A2753" s="80" t="e">
        <f>"A"&amp;E2749</f>
        <v>#N/A</v>
      </c>
      <c r="B2753" s="81">
        <v>1</v>
      </c>
      <c r="C2753" s="82"/>
      <c r="D2753" s="82"/>
      <c r="E2753" s="82"/>
      <c r="F2753" s="82"/>
      <c r="G2753" s="83"/>
      <c r="H2753" s="83"/>
      <c r="I2753" s="84"/>
      <c r="J2753" s="85"/>
      <c r="K2753" s="382"/>
      <c r="L2753" s="85"/>
      <c r="M2753" s="332" t="str">
        <f t="shared" ref="M2753:M2762" si="808">IF(OR(J2753="",L2753="",H2753="NO"),"",IF(OR(J2753&gt;$P$17,J2753&lt;$O$17,L2753&gt;$P$17,AND(J2753&lt;$O$17,L2753&lt;$O$17)),"FUERA DE RANGO",IF(OR(K2753="---",K2753=""),IF(J2753&gt;=$O$17,ROUND((L2753-J2753+1)/360*12,3),ROUND((L2753-$O$17+1)/360*12,3)),IF(J2753&gt;=$O$17,ROUND((L2753-J2753+1)/360*12-ROUND(K2753,3),3),ROUND((L2753-$O$17+1)/360*12-ROUND(K2753,3),3)))))</f>
        <v/>
      </c>
      <c r="N2753" s="86"/>
      <c r="O2753" s="453" t="str">
        <f>IF(OR(G2753="",N2753=""),"",N2753*G2753)</f>
        <v/>
      </c>
      <c r="P2753" s="538" t="str">
        <f>IF(OR(H2753="",M2753="FUERA DE RANGO"),"",IF(OR(L2753&lt;$O$17,L2753&gt;$P$17,L2753="",H2753="NO"),"",IF(OR(N2753="",O2753=""),"",ROUND(O2753,3))))</f>
        <v/>
      </c>
      <c r="Q2753" s="539" t="str">
        <f t="shared" ref="Q2753:Q2762" si="809">IF(AND(H2753="SI",P2753&lt;&gt;""),ROUND(P2753/M2753,3),"")</f>
        <v/>
      </c>
      <c r="R2753" s="737"/>
      <c r="S2753" s="738"/>
      <c r="T2753" s="739"/>
      <c r="U2753" s="470"/>
      <c r="V2753" s="165"/>
      <c r="W2753" s="446"/>
      <c r="X2753" s="456"/>
      <c r="Y2753" s="436"/>
      <c r="Z2753" s="437"/>
      <c r="AA2753" s="560"/>
      <c r="AB2753" s="561"/>
      <c r="AC2753" s="87"/>
      <c r="AD2753" s="466"/>
      <c r="AE2753" s="456"/>
      <c r="AF2753" s="467"/>
      <c r="AG2753" s="87"/>
      <c r="AH2753" s="87"/>
      <c r="AI2753" s="87"/>
    </row>
    <row r="2754" spans="1:35" hidden="1">
      <c r="A2754" s="80" t="e">
        <f>"B"&amp;E2749</f>
        <v>#N/A</v>
      </c>
      <c r="B2754" s="81">
        <v>2</v>
      </c>
      <c r="C2754" s="106"/>
      <c r="D2754" s="106"/>
      <c r="E2754" s="106"/>
      <c r="F2754" s="106"/>
      <c r="G2754" s="83"/>
      <c r="H2754" s="83"/>
      <c r="I2754" s="84"/>
      <c r="J2754" s="85"/>
      <c r="K2754" s="382"/>
      <c r="L2754" s="85"/>
      <c r="M2754" s="332" t="str">
        <f t="shared" si="808"/>
        <v/>
      </c>
      <c r="N2754" s="86"/>
      <c r="O2754" s="453" t="str">
        <f t="shared" ref="O2754:O2762" si="810">IF(OR(G2754="",N2754=""),"",N2754*G2754)</f>
        <v/>
      </c>
      <c r="P2754" s="538" t="str">
        <f t="shared" ref="P2754:P2762" si="811">IF(OR(H2754="",M2754="FUERA DE RANGO"),"",IF(OR(L2754&lt;$O$17,L2754&gt;$P$17,L2754="",H2754="NO"),"",IF(OR(N2754="",O2754=""),"",ROUND(O2754,3))))</f>
        <v/>
      </c>
      <c r="Q2754" s="539" t="str">
        <f t="shared" si="809"/>
        <v/>
      </c>
      <c r="R2754" s="740"/>
      <c r="S2754" s="741"/>
      <c r="T2754" s="742"/>
      <c r="U2754" s="471"/>
      <c r="V2754" s="165"/>
      <c r="W2754" s="446"/>
      <c r="X2754" s="456"/>
      <c r="Y2754" s="436"/>
      <c r="Z2754" s="437"/>
      <c r="AA2754" s="560"/>
      <c r="AB2754" s="561"/>
      <c r="AC2754" s="87"/>
      <c r="AD2754" s="466"/>
      <c r="AE2754" s="456"/>
      <c r="AF2754" s="467"/>
      <c r="AG2754" s="87"/>
      <c r="AH2754" s="87"/>
      <c r="AI2754" s="87"/>
    </row>
    <row r="2755" spans="1:35" hidden="1">
      <c r="A2755" s="80" t="e">
        <f>"C"&amp;E2749</f>
        <v>#N/A</v>
      </c>
      <c r="B2755" s="88">
        <v>3</v>
      </c>
      <c r="C2755" s="82"/>
      <c r="D2755" s="82"/>
      <c r="E2755" s="82"/>
      <c r="F2755" s="82"/>
      <c r="G2755" s="83"/>
      <c r="H2755" s="83"/>
      <c r="I2755" s="84"/>
      <c r="J2755" s="85"/>
      <c r="K2755" s="382"/>
      <c r="L2755" s="85"/>
      <c r="M2755" s="332" t="str">
        <f t="shared" si="808"/>
        <v/>
      </c>
      <c r="N2755" s="86"/>
      <c r="O2755" s="453" t="str">
        <f t="shared" si="810"/>
        <v/>
      </c>
      <c r="P2755" s="538" t="str">
        <f t="shared" si="811"/>
        <v/>
      </c>
      <c r="Q2755" s="539" t="str">
        <f t="shared" si="809"/>
        <v/>
      </c>
      <c r="R2755" s="706"/>
      <c r="S2755" s="707"/>
      <c r="T2755" s="708"/>
      <c r="U2755" s="472"/>
      <c r="V2755" s="166"/>
      <c r="W2755" s="446"/>
      <c r="X2755" s="456"/>
      <c r="Y2755" s="436"/>
      <c r="Z2755" s="437"/>
      <c r="AA2755" s="560"/>
      <c r="AB2755" s="561"/>
      <c r="AC2755" s="87"/>
      <c r="AD2755" s="466"/>
      <c r="AE2755" s="456"/>
      <c r="AF2755" s="467"/>
      <c r="AG2755" s="87"/>
      <c r="AH2755" s="87"/>
      <c r="AI2755" s="87"/>
    </row>
    <row r="2756" spans="1:35" hidden="1">
      <c r="A2756" s="80" t="e">
        <f>"D"&amp;E2749</f>
        <v>#N/A</v>
      </c>
      <c r="B2756" s="105">
        <v>4</v>
      </c>
      <c r="C2756" s="107"/>
      <c r="D2756" s="107"/>
      <c r="E2756" s="107"/>
      <c r="F2756" s="107"/>
      <c r="G2756" s="83"/>
      <c r="H2756" s="83"/>
      <c r="I2756" s="84"/>
      <c r="J2756" s="85"/>
      <c r="K2756" s="382"/>
      <c r="L2756" s="85"/>
      <c r="M2756" s="332" t="str">
        <f t="shared" si="808"/>
        <v/>
      </c>
      <c r="N2756" s="86"/>
      <c r="O2756" s="453" t="str">
        <f t="shared" si="810"/>
        <v/>
      </c>
      <c r="P2756" s="538" t="str">
        <f t="shared" si="811"/>
        <v/>
      </c>
      <c r="Q2756" s="539" t="str">
        <f t="shared" si="809"/>
        <v/>
      </c>
      <c r="R2756" s="706"/>
      <c r="S2756" s="707"/>
      <c r="T2756" s="708"/>
      <c r="U2756" s="472"/>
      <c r="V2756" s="166"/>
      <c r="W2756" s="446"/>
      <c r="X2756" s="456"/>
      <c r="Y2756" s="436"/>
      <c r="Z2756" s="437"/>
      <c r="AA2756" s="560"/>
      <c r="AB2756" s="561"/>
      <c r="AC2756" s="87"/>
      <c r="AD2756" s="466"/>
      <c r="AE2756" s="456"/>
      <c r="AF2756" s="467"/>
      <c r="AG2756" s="87"/>
      <c r="AH2756" s="87"/>
      <c r="AI2756" s="87"/>
    </row>
    <row r="2757" spans="1:35" hidden="1">
      <c r="A2757" s="80" t="e">
        <f>"E"&amp;E2749</f>
        <v>#N/A</v>
      </c>
      <c r="B2757" s="105">
        <v>5</v>
      </c>
      <c r="C2757" s="107"/>
      <c r="D2757" s="107"/>
      <c r="E2757" s="107"/>
      <c r="F2757" s="107"/>
      <c r="G2757" s="83"/>
      <c r="H2757" s="83"/>
      <c r="I2757" s="84"/>
      <c r="J2757" s="85"/>
      <c r="K2757" s="382"/>
      <c r="L2757" s="85"/>
      <c r="M2757" s="332" t="str">
        <f t="shared" si="808"/>
        <v/>
      </c>
      <c r="N2757" s="86"/>
      <c r="O2757" s="453" t="str">
        <f t="shared" si="810"/>
        <v/>
      </c>
      <c r="P2757" s="538" t="str">
        <f t="shared" si="811"/>
        <v/>
      </c>
      <c r="Q2757" s="539" t="str">
        <f t="shared" si="809"/>
        <v/>
      </c>
      <c r="R2757" s="706"/>
      <c r="S2757" s="707"/>
      <c r="T2757" s="708"/>
      <c r="U2757" s="472"/>
      <c r="V2757" s="167"/>
      <c r="W2757" s="446"/>
      <c r="X2757" s="456"/>
      <c r="Y2757" s="436"/>
      <c r="Z2757" s="437"/>
      <c r="AA2757" s="560"/>
      <c r="AB2757" s="561"/>
      <c r="AC2757" s="87"/>
      <c r="AD2757" s="466"/>
      <c r="AE2757" s="456"/>
      <c r="AF2757" s="467"/>
      <c r="AG2757" s="87"/>
      <c r="AH2757" s="87"/>
      <c r="AI2757" s="87"/>
    </row>
    <row r="2758" spans="1:35" hidden="1">
      <c r="A2758" s="80" t="e">
        <f>"F"&amp;E2749</f>
        <v>#N/A</v>
      </c>
      <c r="B2758" s="105">
        <v>6</v>
      </c>
      <c r="C2758" s="107"/>
      <c r="D2758" s="107"/>
      <c r="E2758" s="107"/>
      <c r="F2758" s="107"/>
      <c r="G2758" s="83"/>
      <c r="H2758" s="83"/>
      <c r="I2758" s="84"/>
      <c r="J2758" s="85"/>
      <c r="K2758" s="382"/>
      <c r="L2758" s="85"/>
      <c r="M2758" s="332" t="str">
        <f t="shared" si="808"/>
        <v/>
      </c>
      <c r="N2758" s="86"/>
      <c r="O2758" s="453" t="str">
        <f t="shared" si="810"/>
        <v/>
      </c>
      <c r="P2758" s="538" t="str">
        <f t="shared" si="811"/>
        <v/>
      </c>
      <c r="Q2758" s="539" t="str">
        <f t="shared" si="809"/>
        <v/>
      </c>
      <c r="R2758" s="706"/>
      <c r="S2758" s="707"/>
      <c r="T2758" s="708"/>
      <c r="U2758" s="472"/>
      <c r="V2758" s="167"/>
      <c r="W2758" s="446"/>
      <c r="X2758" s="456"/>
      <c r="Y2758" s="436"/>
      <c r="Z2758" s="437"/>
      <c r="AA2758" s="560"/>
      <c r="AB2758" s="561"/>
      <c r="AC2758" s="87"/>
      <c r="AD2758" s="466"/>
      <c r="AE2758" s="456"/>
      <c r="AF2758" s="467"/>
      <c r="AG2758" s="87"/>
      <c r="AH2758" s="87"/>
      <c r="AI2758" s="87"/>
    </row>
    <row r="2759" spans="1:35" hidden="1">
      <c r="A2759" s="80" t="e">
        <f>"G"&amp;E2749</f>
        <v>#N/A</v>
      </c>
      <c r="B2759" s="105">
        <v>7</v>
      </c>
      <c r="C2759" s="107"/>
      <c r="D2759" s="107"/>
      <c r="E2759" s="107"/>
      <c r="F2759" s="107"/>
      <c r="G2759" s="83"/>
      <c r="H2759" s="83"/>
      <c r="I2759" s="84"/>
      <c r="J2759" s="85"/>
      <c r="K2759" s="382"/>
      <c r="L2759" s="85"/>
      <c r="M2759" s="332" t="str">
        <f t="shared" si="808"/>
        <v/>
      </c>
      <c r="N2759" s="86"/>
      <c r="O2759" s="86" t="str">
        <f t="shared" si="810"/>
        <v/>
      </c>
      <c r="P2759" s="538" t="str">
        <f t="shared" si="811"/>
        <v/>
      </c>
      <c r="Q2759" s="539" t="str">
        <f t="shared" si="809"/>
        <v/>
      </c>
      <c r="R2759" s="706"/>
      <c r="S2759" s="707"/>
      <c r="T2759" s="708"/>
      <c r="U2759" s="472"/>
      <c r="V2759" s="167"/>
      <c r="W2759" s="446"/>
      <c r="X2759" s="456"/>
      <c r="Y2759" s="436"/>
      <c r="Z2759" s="437"/>
      <c r="AA2759" s="560"/>
      <c r="AB2759" s="561"/>
      <c r="AC2759" s="87"/>
      <c r="AD2759" s="466"/>
      <c r="AE2759" s="456"/>
      <c r="AF2759" s="467"/>
      <c r="AG2759" s="87"/>
      <c r="AH2759" s="87"/>
      <c r="AI2759" s="87"/>
    </row>
    <row r="2760" spans="1:35" hidden="1">
      <c r="A2760" s="80" t="e">
        <f>"H"&amp;E2749</f>
        <v>#N/A</v>
      </c>
      <c r="B2760" s="105">
        <v>8</v>
      </c>
      <c r="C2760" s="107"/>
      <c r="D2760" s="107"/>
      <c r="E2760" s="107"/>
      <c r="F2760" s="107"/>
      <c r="G2760" s="83"/>
      <c r="H2760" s="83"/>
      <c r="I2760" s="84"/>
      <c r="J2760" s="85"/>
      <c r="K2760" s="382"/>
      <c r="L2760" s="85"/>
      <c r="M2760" s="332" t="str">
        <f t="shared" si="808"/>
        <v/>
      </c>
      <c r="N2760" s="453"/>
      <c r="O2760" s="86" t="str">
        <f t="shared" si="810"/>
        <v/>
      </c>
      <c r="P2760" s="538" t="str">
        <f t="shared" si="811"/>
        <v/>
      </c>
      <c r="Q2760" s="539" t="str">
        <f t="shared" si="809"/>
        <v/>
      </c>
      <c r="R2760" s="706"/>
      <c r="S2760" s="707"/>
      <c r="T2760" s="708"/>
      <c r="U2760" s="472"/>
      <c r="V2760" s="167"/>
      <c r="W2760" s="446"/>
      <c r="X2760" s="456"/>
      <c r="Y2760" s="436"/>
      <c r="Z2760" s="437"/>
      <c r="AA2760" s="560"/>
      <c r="AB2760" s="561"/>
      <c r="AC2760" s="87"/>
      <c r="AD2760" s="466"/>
      <c r="AE2760" s="456"/>
      <c r="AF2760" s="467"/>
      <c r="AG2760" s="87"/>
      <c r="AH2760" s="87"/>
      <c r="AI2760" s="87"/>
    </row>
    <row r="2761" spans="1:35" hidden="1">
      <c r="A2761" s="80" t="e">
        <f>"I"&amp;E2749</f>
        <v>#N/A</v>
      </c>
      <c r="B2761" s="105">
        <v>9</v>
      </c>
      <c r="C2761" s="107"/>
      <c r="D2761" s="107"/>
      <c r="E2761" s="107"/>
      <c r="F2761" s="107"/>
      <c r="G2761" s="83"/>
      <c r="H2761" s="83"/>
      <c r="I2761" s="84"/>
      <c r="J2761" s="85"/>
      <c r="K2761" s="382"/>
      <c r="L2761" s="85"/>
      <c r="M2761" s="332" t="str">
        <f t="shared" si="808"/>
        <v/>
      </c>
      <c r="N2761" s="453"/>
      <c r="O2761" s="86" t="str">
        <f t="shared" si="810"/>
        <v/>
      </c>
      <c r="P2761" s="538" t="str">
        <f t="shared" si="811"/>
        <v/>
      </c>
      <c r="Q2761" s="539" t="str">
        <f t="shared" si="809"/>
        <v/>
      </c>
      <c r="R2761" s="706"/>
      <c r="S2761" s="707"/>
      <c r="T2761" s="708"/>
      <c r="U2761" s="472"/>
      <c r="V2761" s="167"/>
      <c r="W2761" s="446"/>
      <c r="X2761" s="456"/>
      <c r="Y2761" s="436"/>
      <c r="Z2761" s="437"/>
      <c r="AA2761" s="560"/>
      <c r="AB2761" s="561"/>
      <c r="AC2761" s="87"/>
      <c r="AD2761" s="466"/>
      <c r="AE2761" s="456"/>
      <c r="AF2761" s="467"/>
      <c r="AG2761" s="87"/>
      <c r="AH2761" s="87"/>
      <c r="AI2761" s="87"/>
    </row>
    <row r="2762" spans="1:35" hidden="1">
      <c r="A2762" s="80" t="e">
        <f>"J"&amp;E2749</f>
        <v>#N/A</v>
      </c>
      <c r="B2762" s="105">
        <v>10</v>
      </c>
      <c r="C2762" s="107"/>
      <c r="D2762" s="107"/>
      <c r="E2762" s="107"/>
      <c r="F2762" s="107"/>
      <c r="G2762" s="83"/>
      <c r="H2762" s="83"/>
      <c r="I2762" s="84"/>
      <c r="J2762" s="85"/>
      <c r="K2762" s="382"/>
      <c r="L2762" s="85"/>
      <c r="M2762" s="332" t="str">
        <f t="shared" si="808"/>
        <v/>
      </c>
      <c r="N2762" s="453"/>
      <c r="O2762" s="86" t="str">
        <f t="shared" si="810"/>
        <v/>
      </c>
      <c r="P2762" s="538" t="str">
        <f t="shared" si="811"/>
        <v/>
      </c>
      <c r="Q2762" s="539" t="str">
        <f t="shared" si="809"/>
        <v/>
      </c>
      <c r="R2762" s="706"/>
      <c r="S2762" s="707"/>
      <c r="T2762" s="708"/>
      <c r="U2762" s="472"/>
      <c r="V2762" s="167"/>
      <c r="W2762" s="446"/>
      <c r="X2762" s="456"/>
      <c r="Y2762" s="436"/>
      <c r="Z2762" s="437"/>
      <c r="AA2762" s="560"/>
      <c r="AB2762" s="561"/>
      <c r="AC2762" s="87"/>
      <c r="AD2762" s="466"/>
      <c r="AE2762" s="456"/>
      <c r="AF2762" s="467"/>
      <c r="AG2762" s="87"/>
      <c r="AH2762" s="87"/>
      <c r="AI2762" s="87"/>
    </row>
    <row r="2763" spans="1:35" ht="16.5" hidden="1" thickBot="1">
      <c r="A2763" s="44"/>
      <c r="B2763" s="89"/>
      <c r="C2763" s="90"/>
      <c r="D2763" s="90"/>
      <c r="E2763" s="90"/>
      <c r="F2763" s="90"/>
      <c r="G2763" s="90"/>
      <c r="H2763" s="90"/>
      <c r="I2763" s="90"/>
      <c r="J2763" s="90"/>
      <c r="K2763" s="90"/>
      <c r="L2763" s="90"/>
      <c r="M2763" s="90"/>
      <c r="N2763" s="90"/>
      <c r="O2763" s="90"/>
      <c r="P2763" s="90"/>
      <c r="Q2763" s="90"/>
      <c r="R2763" s="90"/>
      <c r="S2763" s="91"/>
      <c r="T2763" s="92"/>
      <c r="U2763" s="473"/>
      <c r="W2763" s="438"/>
      <c r="X2763" s="455"/>
      <c r="Y2763" s="439"/>
      <c r="Z2763" s="437"/>
      <c r="AA2763" s="530"/>
      <c r="AB2763" s="563"/>
      <c r="AC2763" s="87"/>
      <c r="AD2763" s="440"/>
      <c r="AE2763" s="441"/>
      <c r="AF2763" s="442"/>
      <c r="AG2763" s="49"/>
      <c r="AH2763" s="87"/>
      <c r="AI2763" s="87"/>
    </row>
    <row r="2764" spans="1:35" ht="16.5" hidden="1" thickBot="1">
      <c r="A2764" s="93"/>
      <c r="B2764" s="94"/>
      <c r="C2764" s="96"/>
      <c r="D2764" s="96"/>
      <c r="E2764" s="96"/>
      <c r="F2764" s="96"/>
      <c r="G2764" s="96"/>
      <c r="H2764" s="96"/>
      <c r="I2764" s="96"/>
      <c r="J2764" s="96"/>
      <c r="K2764" s="96"/>
      <c r="L2764" s="96"/>
      <c r="M2764" s="136"/>
      <c r="N2764" s="96"/>
      <c r="O2764" s="96"/>
      <c r="P2764" s="97"/>
      <c r="Q2764" s="97"/>
      <c r="R2764" s="98"/>
      <c r="S2764" s="95"/>
      <c r="T2764" s="99"/>
      <c r="U2764" s="469"/>
      <c r="AC2764" s="58"/>
      <c r="AG2764" s="58"/>
      <c r="AH2764" s="87"/>
      <c r="AI2764" s="87"/>
    </row>
    <row r="2765" spans="1:35" ht="16.5" hidden="1" thickBot="1">
      <c r="B2765" s="101"/>
      <c r="C2765" s="101"/>
      <c r="D2765" s="101"/>
      <c r="E2765" s="101"/>
      <c r="F2765" s="101"/>
      <c r="G2765" s="101"/>
      <c r="H2765" s="101"/>
      <c r="I2765" s="101"/>
      <c r="J2765" s="101"/>
      <c r="K2765" s="101"/>
      <c r="L2765" s="101"/>
      <c r="M2765" s="101"/>
      <c r="N2765" s="101"/>
      <c r="O2765" s="101"/>
      <c r="P2765" s="101"/>
      <c r="Q2765" s="101"/>
      <c r="R2765" s="101"/>
      <c r="S2765" s="101"/>
      <c r="U2765" s="50"/>
      <c r="AH2765" s="87"/>
      <c r="AI2765" s="87"/>
    </row>
    <row r="2766" spans="1:35" ht="16.5" hidden="1" customHeight="1" thickBot="1">
      <c r="A2766" s="44"/>
      <c r="B2766" s="705" t="s">
        <v>74</v>
      </c>
      <c r="C2766" s="705"/>
      <c r="D2766" s="705"/>
      <c r="E2766" s="705"/>
      <c r="F2766" s="705"/>
      <c r="G2766" s="705"/>
      <c r="H2766" s="705"/>
      <c r="I2766" s="705"/>
      <c r="J2766" s="705"/>
      <c r="K2766" s="705"/>
      <c r="L2766" s="705"/>
      <c r="M2766" s="705"/>
      <c r="N2766" s="705"/>
      <c r="O2766" s="705"/>
      <c r="P2766" s="705"/>
      <c r="Q2766" s="705"/>
      <c r="R2766" s="705"/>
      <c r="S2766" s="705"/>
      <c r="T2766" s="705"/>
      <c r="U2766" s="108"/>
      <c r="Y2766" s="532" t="s">
        <v>341</v>
      </c>
      <c r="AC2766" s="49"/>
      <c r="AD2766" s="687" t="s">
        <v>302</v>
      </c>
      <c r="AE2766" s="688"/>
      <c r="AF2766" s="689"/>
      <c r="AG2766" s="49"/>
      <c r="AH2766" s="87"/>
      <c r="AI2766" s="87"/>
    </row>
    <row r="2767" spans="1:35" ht="15.75" hidden="1" customHeight="1" thickBot="1">
      <c r="A2767" s="218" t="e">
        <f>"K"&amp;E2749</f>
        <v>#N/A</v>
      </c>
      <c r="B2767" s="701" t="s">
        <v>71</v>
      </c>
      <c r="C2767" s="751" t="s">
        <v>102</v>
      </c>
      <c r="D2767" s="751"/>
      <c r="E2767" s="751"/>
      <c r="F2767" s="751"/>
      <c r="G2767" s="751"/>
      <c r="H2767" s="751"/>
      <c r="I2767" s="751"/>
      <c r="J2767" s="751"/>
      <c r="K2767" s="751"/>
      <c r="L2767" s="722" t="s">
        <v>100</v>
      </c>
      <c r="M2767" s="747" t="s">
        <v>114</v>
      </c>
      <c r="N2767" s="747"/>
      <c r="O2767" s="747"/>
      <c r="P2767" s="747"/>
      <c r="Q2767" s="748"/>
      <c r="R2767" s="758" t="s">
        <v>280</v>
      </c>
      <c r="S2767" s="748"/>
      <c r="T2767" s="762" t="str">
        <f>IF(COUNTIF(AE2767:AF2767,"VERIFICAR")&gt;0,"VERIFICAR",IF(COUNTIF(AE2767:AF2767,"NO CUMPLE")&gt;0,"NO CUMPLE","CUMPLE"))</f>
        <v>VERIFICAR</v>
      </c>
      <c r="U2767" s="108"/>
      <c r="Y2767" s="533" t="e">
        <f>IF(F2768="","",IF(F2768=1,"INDIVIDUAL","ESTRUCTURA PLURAL"))</f>
        <v>#N/A</v>
      </c>
      <c r="AC2767" s="52"/>
      <c r="AD2767" s="475" t="s">
        <v>303</v>
      </c>
      <c r="AE2767" s="476" t="str">
        <f>IF(COUNTIF(AE2753:AE2762,"")=10,"VERIFICAR",IF(COUNTIF(AE2753:AE2762,"SI")&gt;0,"CUMPLE","NO CUMPLE"))</f>
        <v>VERIFICAR</v>
      </c>
      <c r="AF2767" s="477" t="str">
        <f>IF(COUNTIF(AF2753:AF2762,"")=10,"VERIFICAR",IF(COUNTIF(AF2753:AF2762,"SI")&gt;=$AI$22,"CUMPLE","NO CUMPLE"))</f>
        <v>VERIFICAR</v>
      </c>
      <c r="AG2767" s="52"/>
      <c r="AH2767" s="87"/>
      <c r="AI2767" s="87"/>
    </row>
    <row r="2768" spans="1:35" ht="16.5" hidden="1" customHeight="1" thickBot="1">
      <c r="A2768" s="218" t="e">
        <f>"L"&amp;E2749</f>
        <v>#N/A</v>
      </c>
      <c r="B2768" s="702"/>
      <c r="C2768" s="751" t="s">
        <v>103</v>
      </c>
      <c r="D2768" s="751"/>
      <c r="E2768" s="752"/>
      <c r="F2768" s="557" t="e">
        <f>IF(VLOOKUP(E2749,PROPONENTES!$C$19:$E$218,3,0)="","",VLOOKUP(E2749,PROPONENTES!$C$19:$E$218,3,0))</f>
        <v>#N/A</v>
      </c>
      <c r="G2768" s="753" t="s">
        <v>104</v>
      </c>
      <c r="H2768" s="751"/>
      <c r="I2768" s="715" t="e">
        <f>IF(OR(F2768="",F2768=1),"INTERESADO PERSONA NATURAL O JURIDICA","CONSORCIO O UNION TEMPORAL")</f>
        <v>#N/A</v>
      </c>
      <c r="J2768" s="725"/>
      <c r="K2768" s="728"/>
      <c r="L2768" s="723"/>
      <c r="M2768" s="749"/>
      <c r="N2768" s="749"/>
      <c r="O2768" s="749"/>
      <c r="P2768" s="749"/>
      <c r="Q2768" s="750"/>
      <c r="R2768" s="712"/>
      <c r="S2768" s="750"/>
      <c r="T2768" s="763"/>
      <c r="U2768" s="108"/>
      <c r="Y2768" s="534"/>
      <c r="AA2768" s="52"/>
      <c r="AB2768" s="52"/>
      <c r="AC2768" s="52"/>
      <c r="AG2768" s="52"/>
      <c r="AH2768" s="87"/>
      <c r="AI2768" s="87"/>
    </row>
    <row r="2769" spans="1:35" ht="56.25" hidden="1" customHeight="1" thickBot="1">
      <c r="A2769" s="218" t="e">
        <f>"M"&amp;E2749</f>
        <v>#N/A</v>
      </c>
      <c r="B2769" s="702"/>
      <c r="C2769" s="725" t="s">
        <v>101</v>
      </c>
      <c r="D2769" s="716"/>
      <c r="E2769" s="558" t="s">
        <v>105</v>
      </c>
      <c r="F2769" s="554" t="s">
        <v>87</v>
      </c>
      <c r="G2769" s="553" t="s">
        <v>86</v>
      </c>
      <c r="H2769" s="559" t="s">
        <v>85</v>
      </c>
      <c r="I2769" s="554" t="s">
        <v>252</v>
      </c>
      <c r="J2769" s="553" t="str">
        <f>"¿EL INTEGRANTE TIENE UNA PARTICIPACIÓN DEL "&amp;PORCREQUERIDOINT*100&amp;"%?"</f>
        <v>¿EL INTEGRANTE TIENE UNA PARTICIPACIÓN DEL 60%?</v>
      </c>
      <c r="K2769" s="554" t="s">
        <v>107</v>
      </c>
      <c r="L2769" s="724"/>
      <c r="M2769" s="717" t="s">
        <v>115</v>
      </c>
      <c r="N2769" s="718"/>
      <c r="O2769" s="718"/>
      <c r="P2769" s="718"/>
      <c r="Q2769" s="223">
        <f>IF(AND(H2753="SI",P2753&gt;=0),1,0)+IF(AND(H2754="SI",P2754&gt;=0),1,0)+IF(AND(H2755="SI",P2755&gt;=0),1,0)+IF(AND(H2756="SI",P2756&gt;=0),1,0)+IF(AND(H2757="SI",P2757&gt;=0),1,0)+IF(AND(H2758="SI",P2758&gt;=0),1,0)+IF(AND(H2759="SI",P2759&gt;=0),1,0)+IF(AND(H2760="SI",P2760&gt;=0),1,0)+IF(AND(H2761="SI",P2761&gt;=0),1,0)+IF(AND(H2762="SI",P2762&gt;=0),1,0)</f>
        <v>0</v>
      </c>
      <c r="R2769" s="759"/>
      <c r="S2769" s="761"/>
      <c r="T2769" s="764"/>
      <c r="U2769" s="219"/>
      <c r="V2769" s="464"/>
      <c r="Y2769" s="532" t="s">
        <v>342</v>
      </c>
      <c r="AA2769" s="550" t="s">
        <v>344</v>
      </c>
      <c r="AB2769" s="693" t="s">
        <v>345</v>
      </c>
      <c r="AC2769" s="693" t="s">
        <v>346</v>
      </c>
      <c r="AD2769" s="685" t="s">
        <v>347</v>
      </c>
      <c r="AE2769" s="52"/>
      <c r="AF2769" s="52"/>
      <c r="AG2769" s="52"/>
      <c r="AH2769" s="87"/>
      <c r="AI2769" s="87"/>
    </row>
    <row r="2770" spans="1:35" ht="15.75" hidden="1" customHeight="1" thickBot="1">
      <c r="A2770" s="218" t="e">
        <f>"N"&amp;E2749</f>
        <v>#N/A</v>
      </c>
      <c r="B2770" s="702"/>
      <c r="C2770" s="114">
        <v>1</v>
      </c>
      <c r="D2770" s="194" t="e">
        <f>IF(AND(C2770&lt;=F2768,F2768&gt;1,F2768&lt;&gt;""),VLOOKUP(VALUE(E2749&amp;","&amp;C2770),INTEGRANTES!$D$18:$F$235,2,0),"")</f>
        <v>#N/A</v>
      </c>
      <c r="E2770" s="211" t="e">
        <f>IF(D2770&lt;&gt;"",VLOOKUP(VALUE(E2749&amp;","&amp;C2770),INTEGRANTES!$D$18:$F$235,3,0),"")</f>
        <v>#N/A</v>
      </c>
      <c r="F2770" s="547" t="e">
        <f>IF(D2770="","",SUMIF($I2753:$I2762,D2770,$P2753:$P2762))</f>
        <v>#N/A</v>
      </c>
      <c r="G2770" s="333" t="e">
        <f>IF(D2770="","",SUMIF($I2753:$I2762,D2770,$M2753:$M2762))</f>
        <v>#N/A</v>
      </c>
      <c r="H2770" s="535" t="e">
        <f t="shared" ref="H2770:H2775" si="812">IF(D2770="","",IF(OR(F2770=0,G2770=0),"NO APORTA",ROUND($F2770/$G2770,3)))</f>
        <v>#N/A</v>
      </c>
      <c r="I2770" s="212" t="e">
        <f>IF(D2770="","",IF(H2770="NO APORTA","NO",IF(H2770=MAX($H2770:$H2775),"SI","NO")))</f>
        <v>#N/A</v>
      </c>
      <c r="J2770" s="213" t="e">
        <f t="shared" ref="J2770:J2775" si="813">IF(D2770="","",IF(E2770&gt;=PORCREQUERIDOINT,"SI","NO"))</f>
        <v>#N/A</v>
      </c>
      <c r="K2770" s="200" t="e">
        <f t="shared" ref="K2770:K2775" si="814">IF(D2770="","",IF(AND(I2770="SI",J2770="SI"),"CUMPLE",IF(AND(I2770="NO",OR(J2770="SI",J2770="NO")),"","NO CUMPLE")))</f>
        <v>#N/A</v>
      </c>
      <c r="L2770" s="722" t="s">
        <v>108</v>
      </c>
      <c r="M2770" s="726" t="s">
        <v>119</v>
      </c>
      <c r="N2770" s="726"/>
      <c r="O2770" s="726"/>
      <c r="P2770" s="726"/>
      <c r="Q2770" s="727"/>
      <c r="R2770" s="758" t="s">
        <v>80</v>
      </c>
      <c r="S2770" s="747"/>
      <c r="T2770" s="748"/>
      <c r="U2770" s="219"/>
      <c r="V2770" s="464"/>
      <c r="Y2770" s="533" t="e">
        <f>IF(Y2767="","",IF(Y2767="INDIVIDUAL","NO APLICA","VERIFICAR CUADRO"))</f>
        <v>#N/A</v>
      </c>
      <c r="AA2770" s="551"/>
      <c r="AB2770" s="694"/>
      <c r="AC2770" s="694"/>
      <c r="AD2770" s="686"/>
      <c r="AE2770" s="52"/>
      <c r="AF2770" s="52"/>
      <c r="AG2770" s="52"/>
      <c r="AH2770" s="87"/>
      <c r="AI2770" s="87"/>
    </row>
    <row r="2771" spans="1:35" ht="27" hidden="1" customHeight="1" thickBot="1">
      <c r="A2771" s="218" t="e">
        <f>"O"&amp;E2749</f>
        <v>#N/A</v>
      </c>
      <c r="B2771" s="702"/>
      <c r="C2771" s="114">
        <v>2</v>
      </c>
      <c r="D2771" s="194" t="e">
        <f>IF(AND(C2771&lt;=F2768,F2768&lt;&gt;""),VLOOKUP(VALUE(E2749&amp;","&amp;C2771),INTEGRANTES!$D$18:$F$235,2,0),"")</f>
        <v>#N/A</v>
      </c>
      <c r="E2771" s="211" t="e">
        <f>IF(D2771&lt;&gt;"",VLOOKUP(VALUE(E2749&amp;","&amp;C2771),INTEGRANTES!$D$18:$F$235,3,0),"")</f>
        <v>#N/A</v>
      </c>
      <c r="F2771" s="547" t="e">
        <f>IF(D2771="","",SUMIF($I2753:$I2762,D2771,$P2753:$P2762))</f>
        <v>#N/A</v>
      </c>
      <c r="G2771" s="333" t="e">
        <f>IF(D2771="","",SUMIF($I2753:$I2762,D2771,$M2753:$M2762))</f>
        <v>#N/A</v>
      </c>
      <c r="H2771" s="535" t="e">
        <f t="shared" si="812"/>
        <v>#N/A</v>
      </c>
      <c r="I2771" s="212" t="e">
        <f>IF(D2771="","",IF(H2771="NO APORTA","NO",IF(H2771=MAX($H2770:$H2775),"SI","NO")))</f>
        <v>#N/A</v>
      </c>
      <c r="J2771" s="213" t="e">
        <f t="shared" si="813"/>
        <v>#N/A</v>
      </c>
      <c r="K2771" s="200" t="e">
        <f t="shared" si="814"/>
        <v>#N/A</v>
      </c>
      <c r="L2771" s="723"/>
      <c r="M2771" s="715" t="s">
        <v>116</v>
      </c>
      <c r="N2771" s="716"/>
      <c r="O2771" s="556" t="s">
        <v>113</v>
      </c>
      <c r="P2771" s="715" t="s">
        <v>117</v>
      </c>
      <c r="Q2771" s="728"/>
      <c r="R2771" s="759"/>
      <c r="S2771" s="760"/>
      <c r="T2771" s="761"/>
      <c r="U2771" s="219"/>
      <c r="V2771" s="464"/>
      <c r="Y2771" s="414"/>
      <c r="AA2771" s="542" t="e">
        <f>IF(AND(C2770&lt;=F2768,F2768&gt;1,F2768&lt;&gt;""),VLOOKUP(VALUE(E2749&amp;","&amp;C2770),INTEGRANTES!$D$18:$F$235,2,0),"")</f>
        <v>#N/A</v>
      </c>
      <c r="AB2771" s="544" t="e">
        <f t="shared" ref="AB2771:AB2776" si="815">IF(D2770="","",IF(OR(F2770=0,G2770=0),"NO APORTA",ROUND($F2770/$G2770,3)))</f>
        <v>#N/A</v>
      </c>
      <c r="AC2771" s="529"/>
      <c r="AD2771" s="200" t="e">
        <f t="shared" ref="AD2771:AD2776" si="816">IF(OR(AA2771="",AB2771=""),"",IF(AND(AC2771="X",AB2771&gt;=EXPREQVTD),"CUMPLE","NO CUMPLE"))</f>
        <v>#N/A</v>
      </c>
      <c r="AE2771" s="52"/>
      <c r="AF2771" s="52"/>
      <c r="AG2771" s="52"/>
      <c r="AH2771" s="87"/>
      <c r="AI2771" s="87"/>
    </row>
    <row r="2772" spans="1:35" ht="16.5" hidden="1" thickBot="1">
      <c r="A2772" s="218" t="e">
        <f>"P"&amp;E2749</f>
        <v>#N/A</v>
      </c>
      <c r="B2772" s="702"/>
      <c r="C2772" s="114">
        <v>3</v>
      </c>
      <c r="D2772" s="194" t="e">
        <f>IF(AND(C2772&lt;=F2768,F2768&lt;&gt;""),VLOOKUP(VALUE(E2749&amp;","&amp;C2772),INTEGRANTES!$D$18:$F$235,2,0),"")</f>
        <v>#N/A</v>
      </c>
      <c r="E2772" s="211" t="e">
        <f>IF(D2772&lt;&gt;"",VLOOKUP(VALUE(E2749&amp;","&amp;C2772),INTEGRANTES!$D$18:$F$235,3,0),"")</f>
        <v>#N/A</v>
      </c>
      <c r="F2772" s="547" t="e">
        <f>IF(D2772="","",SUMIF($I2753:$I2762,D2772,$P2753:$P2762))</f>
        <v>#N/A</v>
      </c>
      <c r="G2772" s="333" t="e">
        <f>IF(D2772="","",SUMIF($I2753:$I2762,D2772,$M2753:$M2762))</f>
        <v>#N/A</v>
      </c>
      <c r="H2772" s="535" t="e">
        <f t="shared" si="812"/>
        <v>#N/A</v>
      </c>
      <c r="I2772" s="212" t="e">
        <f>IF(D2772="","",IF(H2772="NO APORTA","NO",IF(H2772=MAX($H2770:$H2775),"SI","NO")))</f>
        <v>#N/A</v>
      </c>
      <c r="J2772" s="213" t="e">
        <f t="shared" si="813"/>
        <v>#N/A</v>
      </c>
      <c r="K2772" s="200" t="e">
        <f t="shared" si="814"/>
        <v>#N/A</v>
      </c>
      <c r="L2772" s="724"/>
      <c r="M2772" s="729">
        <f>NUMMOD</f>
        <v>1</v>
      </c>
      <c r="N2772" s="730"/>
      <c r="O2772" s="443">
        <f>IF(M2772="","",VLOOKUP(M2772,PRESUPUESTOS!$B$16:$H$16,5,FALSE))</f>
        <v>2</v>
      </c>
      <c r="P2772" s="713">
        <f>IF(OR(COUNTIF(M2753:M2762,"")&gt;=10,Q2769&lt;NUMMINCONT,OR(T2767="NO CUMPLE",T2767="VERIFICAR")),0,ROUND(AVERAGE(M2753:M2762),3))</f>
        <v>0</v>
      </c>
      <c r="Q2772" s="714"/>
      <c r="R2772" s="458"/>
      <c r="S2772" s="459"/>
      <c r="T2772" s="460"/>
      <c r="U2772" s="219"/>
      <c r="V2772" s="464"/>
      <c r="Y2772" s="532" t="str">
        <f>"40% * ("&amp;PRESUPUESTOS!$H$13&amp;")"</f>
        <v>40% * (50% PFMO)</v>
      </c>
      <c r="AA2772" s="540" t="e">
        <f>IF(AND(C2771&lt;=F2768,F2768&lt;&gt;""),VLOOKUP(VALUE(E2749&amp;","&amp;C2771),INTEGRANTES!$D$18:$F$235,2,0),"")</f>
        <v>#N/A</v>
      </c>
      <c r="AB2772" s="545" t="e">
        <f t="shared" si="815"/>
        <v>#N/A</v>
      </c>
      <c r="AC2772" s="529"/>
      <c r="AD2772" s="200" t="e">
        <f t="shared" si="816"/>
        <v>#N/A</v>
      </c>
      <c r="AE2772" s="52"/>
      <c r="AF2772" s="52"/>
      <c r="AG2772" s="52"/>
      <c r="AH2772" s="87"/>
      <c r="AI2772" s="87"/>
    </row>
    <row r="2773" spans="1:35" ht="15.75" hidden="1" customHeight="1" thickBot="1">
      <c r="A2773" s="218" t="e">
        <f>"Q"&amp;E2749</f>
        <v>#N/A</v>
      </c>
      <c r="B2773" s="702"/>
      <c r="C2773" s="114">
        <v>4</v>
      </c>
      <c r="D2773" s="194" t="e">
        <f>IF(AND(C2773&lt;=F2768,F2768&lt;&gt;""),VLOOKUP(VALUE(E2749&amp;","&amp;C2773),INTEGRANTES!$D$18:$F$235,2,0),"")</f>
        <v>#N/A</v>
      </c>
      <c r="E2773" s="211" t="e">
        <f>IF(D2773&lt;&gt;"",VLOOKUP(VALUE(E2749&amp;","&amp;C2773),INTEGRANTES!$D$18:$F$235,3,0),"")</f>
        <v>#N/A</v>
      </c>
      <c r="F2773" s="547" t="e">
        <f>IF(D2773="","",SUMIF($I2753:$I2762,D2773,$P2753:$P2762))</f>
        <v>#N/A</v>
      </c>
      <c r="G2773" s="333" t="e">
        <f>IF(D2773="","",SUMIF($I2753:$I2762,D2773,$M2753:$M2762))</f>
        <v>#N/A</v>
      </c>
      <c r="H2773" s="535" t="e">
        <f t="shared" si="812"/>
        <v>#N/A</v>
      </c>
      <c r="I2773" s="212" t="e">
        <f>IF(D2773="","",IF(H2773="NO APORTA","NO",IF(H2773=MAX($H2770:$H2775),"SI","NO")))</f>
        <v>#N/A</v>
      </c>
      <c r="J2773" s="213" t="e">
        <f t="shared" si="813"/>
        <v>#N/A</v>
      </c>
      <c r="K2773" s="200" t="e">
        <f t="shared" si="814"/>
        <v>#N/A</v>
      </c>
      <c r="L2773" s="720" t="s">
        <v>109</v>
      </c>
      <c r="M2773" s="757" t="s">
        <v>120</v>
      </c>
      <c r="N2773" s="726"/>
      <c r="O2773" s="726"/>
      <c r="P2773" s="726"/>
      <c r="Q2773" s="727"/>
      <c r="R2773" s="458"/>
      <c r="S2773" s="459"/>
      <c r="T2773" s="460"/>
      <c r="U2773" s="219"/>
      <c r="V2773" s="464"/>
      <c r="Y2773" s="537">
        <f>0.4*PRESUPUESTOS!$H$16</f>
        <v>10.3124</v>
      </c>
      <c r="AA2773" s="540" t="e">
        <f>IF(AND(C2772&lt;=F2768,F2768&lt;&gt;""),VLOOKUP(VALUE(E2749&amp;","&amp;C2772),INTEGRANTES!$D$18:$F$235,2,0),"")</f>
        <v>#N/A</v>
      </c>
      <c r="AB2773" s="545" t="e">
        <f t="shared" si="815"/>
        <v>#N/A</v>
      </c>
      <c r="AC2773" s="529"/>
      <c r="AD2773" s="200" t="e">
        <f t="shared" si="816"/>
        <v>#N/A</v>
      </c>
      <c r="AE2773" s="52"/>
      <c r="AF2773" s="52"/>
      <c r="AG2773" s="52"/>
      <c r="AH2773" s="87"/>
      <c r="AI2773" s="87"/>
    </row>
    <row r="2774" spans="1:35" ht="27" hidden="1" customHeight="1" thickBot="1">
      <c r="A2774" s="218" t="e">
        <f>"R"&amp;E2749</f>
        <v>#N/A</v>
      </c>
      <c r="B2774" s="702"/>
      <c r="C2774" s="114">
        <v>5</v>
      </c>
      <c r="D2774" s="194" t="e">
        <f>IF(AND(C2774&lt;=F2768,F2768&lt;&gt;""),VLOOKUP(VALUE(E2749&amp;","&amp;C2774),INTEGRANTES!$D$18:$F$235,2,0),"")</f>
        <v>#N/A</v>
      </c>
      <c r="E2774" s="211" t="e">
        <f>IF(D2774&lt;&gt;"",VLOOKUP(VALUE(E2749&amp;","&amp;C2774),INTEGRANTES!$D$18:$F$235,3,0),"")</f>
        <v>#N/A</v>
      </c>
      <c r="F2774" s="547" t="e">
        <f>IF(D2774="","",SUMIF($I2753:$I2762,D2774,$P2753:$P2762))</f>
        <v>#N/A</v>
      </c>
      <c r="G2774" s="333" t="e">
        <f>IF(D2774="","",SUMIF($I2753:$I2762,D2774,$M2753:$M2762))</f>
        <v>#N/A</v>
      </c>
      <c r="H2774" s="535" t="e">
        <f t="shared" si="812"/>
        <v>#N/A</v>
      </c>
      <c r="I2774" s="212" t="e">
        <f>IF(D2774="","",IF(H2774="NO APORTA","NO",IF(H2774=MAX($H2770:$H2775),"SI","NO")))</f>
        <v>#N/A</v>
      </c>
      <c r="J2774" s="213" t="e">
        <f t="shared" si="813"/>
        <v>#N/A</v>
      </c>
      <c r="K2774" s="200" t="e">
        <f t="shared" si="814"/>
        <v>#N/A</v>
      </c>
      <c r="L2774" s="721"/>
      <c r="M2774" s="715" t="s">
        <v>116</v>
      </c>
      <c r="N2774" s="716"/>
      <c r="O2774" s="556" t="str">
        <f>PORCREQUERIDO*100&amp;"% PMFO DEL MÓDULO"</f>
        <v>50% PMFO DEL MÓDULO</v>
      </c>
      <c r="P2774" s="715" t="s">
        <v>118</v>
      </c>
      <c r="Q2774" s="728"/>
      <c r="R2774" s="458"/>
      <c r="S2774" s="459"/>
      <c r="T2774" s="460"/>
      <c r="U2774" s="219"/>
      <c r="V2774" s="464"/>
      <c r="Y2774" s="414"/>
      <c r="AA2774" s="540" t="e">
        <f>IF(AND(C2773&lt;=F2768,F2768&lt;&gt;""),VLOOKUP(VALUE(E2749&amp;","&amp;C2773),INTEGRANTES!$D$18:$F$235,2,0),"")</f>
        <v>#N/A</v>
      </c>
      <c r="AB2774" s="545" t="e">
        <f t="shared" si="815"/>
        <v>#N/A</v>
      </c>
      <c r="AC2774" s="529"/>
      <c r="AD2774" s="200" t="e">
        <f t="shared" si="816"/>
        <v>#N/A</v>
      </c>
      <c r="AE2774" s="52"/>
      <c r="AF2774" s="52"/>
      <c r="AG2774" s="52"/>
      <c r="AH2774" s="87"/>
      <c r="AI2774" s="87"/>
    </row>
    <row r="2775" spans="1:35" ht="16.5" hidden="1" thickBot="1">
      <c r="A2775" s="218" t="e">
        <f>"S"&amp;E2749</f>
        <v>#N/A</v>
      </c>
      <c r="B2775" s="702"/>
      <c r="C2775" s="215">
        <v>6</v>
      </c>
      <c r="D2775" s="216" t="e">
        <f>IF(AND(C2775&lt;=F2768,F2768&lt;&gt;""),VLOOKUP(VALUE(E2749&amp;","&amp;C2775),INTEGRANTES!$D$18:$F$235,2,0),"")</f>
        <v>#N/A</v>
      </c>
      <c r="E2775" s="217" t="e">
        <f>IF(D2775&lt;&gt;"",VLOOKUP(VALUE(E2749&amp;","&amp;C2775),INTEGRANTES!$D$18:$F$235,3,0),"")</f>
        <v>#N/A</v>
      </c>
      <c r="F2775" s="548" t="e">
        <f>IF(D2775="","",SUMIF($I2753:$I2762,D2775,$P2753:$P2762))</f>
        <v>#N/A</v>
      </c>
      <c r="G2775" s="334" t="e">
        <f>IF(D2775="","",SUMIF($I2753:$I2762,D2775,$M2753:$M2762))</f>
        <v>#N/A</v>
      </c>
      <c r="H2775" s="536" t="e">
        <f t="shared" si="812"/>
        <v>#N/A</v>
      </c>
      <c r="I2775" s="214" t="e">
        <f>IF(D2775="","",IF(H2775="NO APORTA","NO",IF(H2775=MAX($H2770:$H2775),"SI","NO")))</f>
        <v>#N/A</v>
      </c>
      <c r="J2775" s="213" t="e">
        <f t="shared" si="813"/>
        <v>#N/A</v>
      </c>
      <c r="K2775" s="200" t="e">
        <f t="shared" si="814"/>
        <v>#N/A</v>
      </c>
      <c r="L2775" s="721"/>
      <c r="M2775" s="729">
        <f>NUMMOD</f>
        <v>1</v>
      </c>
      <c r="N2775" s="730"/>
      <c r="O2775" s="443">
        <f>IF(M2775="","",ROUND(VLOOKUP(M2775,PRESUPUESTOS!$B$16:$H$16,7,FALSE),3))</f>
        <v>25.780999999999999</v>
      </c>
      <c r="P2775" s="713">
        <f>IF(OR(COUNTIF(P2753:P2762,"")&gt;=10,Q2769&lt;NUMMINCONT,OR(T2767="NO CUMPLE",T2767="VERIFICAR")),0,ROUND((SUM(P2753:P2762)/SUM(M2753:M2762)),3))</f>
        <v>0</v>
      </c>
      <c r="Q2775" s="714"/>
      <c r="R2775" s="458"/>
      <c r="S2775" s="459"/>
      <c r="T2775" s="460"/>
      <c r="U2775" s="219"/>
      <c r="V2775" s="464"/>
      <c r="Y2775" s="532" t="s">
        <v>343</v>
      </c>
      <c r="AA2775" s="540" t="e">
        <f>IF(AND(C2774&lt;=F2768,F2768&lt;&gt;""),VLOOKUP(VALUE(E2749&amp;","&amp;C2774),INTEGRANTES!$D$18:$F$235,2,0),"")</f>
        <v>#N/A</v>
      </c>
      <c r="AB2775" s="545" t="e">
        <f t="shared" si="815"/>
        <v>#N/A</v>
      </c>
      <c r="AC2775" s="529"/>
      <c r="AD2775" s="200" t="e">
        <f t="shared" si="816"/>
        <v>#N/A</v>
      </c>
      <c r="AE2775" s="52"/>
      <c r="AF2775" s="52"/>
      <c r="AG2775" s="52"/>
      <c r="AH2775" s="87"/>
      <c r="AI2775" s="87"/>
    </row>
    <row r="2776" spans="1:35" ht="16.5" hidden="1" customHeight="1" thickBot="1">
      <c r="A2776" s="218" t="e">
        <f>"T"&amp;E2749</f>
        <v>#N/A</v>
      </c>
      <c r="B2776" s="703"/>
      <c r="C2776" s="719"/>
      <c r="D2776" s="719"/>
      <c r="E2776" s="719"/>
      <c r="F2776" s="719"/>
      <c r="G2776" s="719"/>
      <c r="H2776" s="719" t="s">
        <v>110</v>
      </c>
      <c r="I2776" s="719"/>
      <c r="J2776" s="719"/>
      <c r="K2776" s="201" t="str">
        <f>IF(COUNTIF(K2770:K2775,"")=6,"",IF(COUNTIF(K2770:K2775,"CUMPLE")&gt;0,"CUMPLE","NO CUMPLE"))</f>
        <v>NO CUMPLE</v>
      </c>
      <c r="L2776" s="754"/>
      <c r="M2776" s="755"/>
      <c r="N2776" s="755"/>
      <c r="O2776" s="755"/>
      <c r="P2776" s="755"/>
      <c r="Q2776" s="756"/>
      <c r="R2776" s="461"/>
      <c r="S2776" s="462"/>
      <c r="T2776" s="463"/>
      <c r="U2776" s="219"/>
      <c r="V2776" s="464"/>
      <c r="Y2776" s="549" t="e">
        <f>IF(Y2770="NO APLICA","NO APLICA",IF(COUNTIF(AD2771:AD2776,"CUMPLE")&gt;0,"CUMPLE","NO CUMPLE"))</f>
        <v>#N/A</v>
      </c>
      <c r="AA2776" s="541" t="e">
        <f>IF(AND(C2775&lt;=F2768,F2768&lt;&gt;""),VLOOKUP(VALUE(E2749&amp;","&amp;C2775),INTEGRANTES!$D$18:$F$235,2,0),"")</f>
        <v>#N/A</v>
      </c>
      <c r="AB2776" s="546" t="e">
        <f t="shared" si="815"/>
        <v>#N/A</v>
      </c>
      <c r="AC2776" s="543"/>
      <c r="AD2776" s="201" t="e">
        <f t="shared" si="816"/>
        <v>#N/A</v>
      </c>
      <c r="AE2776" s="52"/>
      <c r="AF2776" s="52"/>
      <c r="AG2776" s="52"/>
      <c r="AH2776" s="87"/>
      <c r="AI2776" s="87"/>
    </row>
    <row r="2777" spans="1:35" hidden="1">
      <c r="AH2777" s="87"/>
      <c r="AI2777" s="87"/>
    </row>
    <row r="2778" spans="1:35" hidden="1">
      <c r="AH2778" s="87"/>
      <c r="AI2778" s="87"/>
    </row>
    <row r="2779" spans="1:35" ht="24" hidden="1" thickBot="1">
      <c r="A2779" s="61">
        <v>93</v>
      </c>
      <c r="B2779" s="704" t="s">
        <v>51</v>
      </c>
      <c r="C2779" s="704"/>
      <c r="D2779" s="704"/>
      <c r="E2779" s="62" t="e">
        <f>VLOOKUP(A2779,PROPONENTES!$B$19:$E$218,2,FALSE)</f>
        <v>#N/A</v>
      </c>
      <c r="F2779" s="63" t="e">
        <f>VLOOKUP(A2779,PROPONENTES!$B$19:$E$218,3,FALSE)</f>
        <v>#N/A</v>
      </c>
      <c r="G2779" s="64"/>
      <c r="H2779" s="64"/>
      <c r="I2779" s="63"/>
      <c r="J2779" s="63"/>
      <c r="K2779" s="65"/>
      <c r="L2779" s="65"/>
      <c r="M2779" s="64"/>
      <c r="N2779" s="64"/>
      <c r="O2779" s="66"/>
      <c r="P2779" s="66"/>
      <c r="Q2779" s="66"/>
      <c r="R2779" s="66"/>
      <c r="S2779" s="67"/>
      <c r="T2779" s="68"/>
      <c r="U2779" s="68"/>
      <c r="AC2779" s="68"/>
      <c r="AD2779" s="68"/>
      <c r="AE2779" s="68"/>
      <c r="AF2779" s="68"/>
      <c r="AG2779" s="68"/>
      <c r="AH2779" s="87"/>
      <c r="AI2779" s="87"/>
    </row>
    <row r="2780" spans="1:35" ht="15.75" hidden="1" customHeight="1">
      <c r="A2780" s="44"/>
      <c r="B2780" s="709" t="s">
        <v>59</v>
      </c>
      <c r="C2780" s="552" t="s">
        <v>60</v>
      </c>
      <c r="D2780" s="70" t="s">
        <v>17</v>
      </c>
      <c r="E2780" s="70"/>
      <c r="F2780" s="70" t="s">
        <v>61</v>
      </c>
      <c r="G2780" s="71"/>
      <c r="H2780" s="699" t="s">
        <v>62</v>
      </c>
      <c r="I2780" s="699" t="s">
        <v>18</v>
      </c>
      <c r="J2780" s="699" t="s">
        <v>63</v>
      </c>
      <c r="K2780" s="699" t="s">
        <v>64</v>
      </c>
      <c r="L2780" s="699" t="s">
        <v>65</v>
      </c>
      <c r="M2780" s="743" t="s">
        <v>66</v>
      </c>
      <c r="N2780" s="699" t="s">
        <v>282</v>
      </c>
      <c r="O2780" s="745" t="s">
        <v>67</v>
      </c>
      <c r="P2780" s="746"/>
      <c r="Q2780" s="102" t="s">
        <v>75</v>
      </c>
      <c r="R2780" s="731" t="s">
        <v>22</v>
      </c>
      <c r="S2780" s="732"/>
      <c r="T2780" s="733"/>
      <c r="U2780" s="712" t="s">
        <v>298</v>
      </c>
      <c r="W2780" s="690" t="s">
        <v>268</v>
      </c>
      <c r="X2780" s="691"/>
      <c r="Y2780" s="692"/>
      <c r="Z2780" s="428"/>
      <c r="AA2780" s="697" t="s">
        <v>315</v>
      </c>
      <c r="AB2780" s="695" t="s">
        <v>322</v>
      </c>
      <c r="AC2780" s="49"/>
      <c r="AD2780" s="690" t="s">
        <v>297</v>
      </c>
      <c r="AE2780" s="691"/>
      <c r="AF2780" s="692"/>
      <c r="AG2780" s="49"/>
      <c r="AH2780" s="87"/>
      <c r="AI2780" s="87"/>
    </row>
    <row r="2781" spans="1:35" ht="72" hidden="1">
      <c r="A2781" s="44"/>
      <c r="B2781" s="710"/>
      <c r="C2781" s="553" t="s">
        <v>68</v>
      </c>
      <c r="D2781" s="73" t="s">
        <v>3</v>
      </c>
      <c r="E2781" s="73" t="s">
        <v>19</v>
      </c>
      <c r="F2781" s="73" t="s">
        <v>69</v>
      </c>
      <c r="G2781" s="74" t="s">
        <v>70</v>
      </c>
      <c r="H2781" s="700"/>
      <c r="I2781" s="700"/>
      <c r="J2781" s="700"/>
      <c r="K2781" s="700"/>
      <c r="L2781" s="700"/>
      <c r="M2781" s="744"/>
      <c r="N2781" s="700"/>
      <c r="O2781" s="553" t="s">
        <v>279</v>
      </c>
      <c r="P2781" s="73" t="s">
        <v>88</v>
      </c>
      <c r="Q2781" s="555" t="s">
        <v>76</v>
      </c>
      <c r="R2781" s="734"/>
      <c r="S2781" s="735"/>
      <c r="T2781" s="736"/>
      <c r="U2781" s="712"/>
      <c r="W2781" s="429" t="s">
        <v>269</v>
      </c>
      <c r="X2781" s="457" t="s">
        <v>278</v>
      </c>
      <c r="Y2781" s="430" t="s">
        <v>324</v>
      </c>
      <c r="Z2781" s="428"/>
      <c r="AA2781" s="698"/>
      <c r="AB2781" s="696"/>
      <c r="AC2781" s="49"/>
      <c r="AD2781" s="429" t="s">
        <v>292</v>
      </c>
      <c r="AE2781" s="431" t="s">
        <v>300</v>
      </c>
      <c r="AF2781" s="468" t="s">
        <v>301</v>
      </c>
      <c r="AG2781" s="49"/>
      <c r="AH2781" s="87"/>
      <c r="AI2781" s="87"/>
    </row>
    <row r="2782" spans="1:35" hidden="1">
      <c r="A2782" s="44"/>
      <c r="B2782" s="76"/>
      <c r="C2782" s="77"/>
      <c r="D2782" s="77"/>
      <c r="E2782" s="77"/>
      <c r="F2782" s="77"/>
      <c r="G2782" s="77"/>
      <c r="H2782" s="77"/>
      <c r="I2782" s="77"/>
      <c r="J2782" s="77"/>
      <c r="K2782" s="77"/>
      <c r="L2782" s="77"/>
      <c r="M2782" s="77"/>
      <c r="N2782" s="77"/>
      <c r="O2782" s="77"/>
      <c r="P2782" s="77"/>
      <c r="Q2782" s="77"/>
      <c r="R2782" s="77"/>
      <c r="S2782" s="78"/>
      <c r="T2782" s="79"/>
      <c r="U2782" s="109"/>
      <c r="V2782" s="49"/>
      <c r="W2782" s="432"/>
      <c r="X2782" s="454"/>
      <c r="Y2782" s="433"/>
      <c r="Z2782" s="6"/>
      <c r="AA2782" s="500"/>
      <c r="AB2782" s="562"/>
      <c r="AC2782" s="49"/>
      <c r="AD2782" s="210"/>
      <c r="AE2782" s="434"/>
      <c r="AF2782" s="435"/>
      <c r="AG2782" s="49"/>
      <c r="AH2782" s="87"/>
      <c r="AI2782" s="87"/>
    </row>
    <row r="2783" spans="1:35" hidden="1">
      <c r="A2783" s="80" t="e">
        <f>"A"&amp;E2779</f>
        <v>#N/A</v>
      </c>
      <c r="B2783" s="81">
        <v>1</v>
      </c>
      <c r="C2783" s="82"/>
      <c r="D2783" s="82"/>
      <c r="E2783" s="82"/>
      <c r="F2783" s="82"/>
      <c r="G2783" s="83"/>
      <c r="H2783" s="83"/>
      <c r="I2783" s="84"/>
      <c r="J2783" s="85"/>
      <c r="K2783" s="382"/>
      <c r="L2783" s="85"/>
      <c r="M2783" s="332" t="str">
        <f t="shared" ref="M2783:M2792" si="817">IF(OR(J2783="",L2783="",H2783="NO"),"",IF(OR(J2783&gt;$P$17,J2783&lt;$O$17,L2783&gt;$P$17,AND(J2783&lt;$O$17,L2783&lt;$O$17)),"FUERA DE RANGO",IF(OR(K2783="---",K2783=""),IF(J2783&gt;=$O$17,ROUND((L2783-J2783+1)/360*12,3),ROUND((L2783-$O$17+1)/360*12,3)),IF(J2783&gt;=$O$17,ROUND((L2783-J2783+1)/360*12-ROUND(K2783,3),3),ROUND((L2783-$O$17+1)/360*12-ROUND(K2783,3),3)))))</f>
        <v/>
      </c>
      <c r="N2783" s="86"/>
      <c r="O2783" s="453" t="str">
        <f>IF(OR(G2783="",N2783=""),"",N2783*G2783)</f>
        <v/>
      </c>
      <c r="P2783" s="538" t="str">
        <f>IF(OR(H2783="",M2783="FUERA DE RANGO"),"",IF(OR(L2783&lt;$O$17,L2783&gt;$P$17,L2783="",H2783="NO"),"",IF(OR(N2783="",O2783=""),"",ROUND(O2783,3))))</f>
        <v/>
      </c>
      <c r="Q2783" s="539" t="str">
        <f t="shared" ref="Q2783:Q2792" si="818">IF(AND(H2783="SI",P2783&lt;&gt;""),ROUND(P2783/M2783,3),"")</f>
        <v/>
      </c>
      <c r="R2783" s="737"/>
      <c r="S2783" s="738"/>
      <c r="T2783" s="739"/>
      <c r="U2783" s="470"/>
      <c r="V2783" s="165"/>
      <c r="W2783" s="446"/>
      <c r="X2783" s="456"/>
      <c r="Y2783" s="436"/>
      <c r="Z2783" s="437"/>
      <c r="AA2783" s="560"/>
      <c r="AB2783" s="561"/>
      <c r="AC2783" s="87"/>
      <c r="AD2783" s="466"/>
      <c r="AE2783" s="456"/>
      <c r="AF2783" s="467"/>
      <c r="AG2783" s="87"/>
      <c r="AH2783" s="87"/>
      <c r="AI2783" s="87"/>
    </row>
    <row r="2784" spans="1:35" hidden="1">
      <c r="A2784" s="80" t="e">
        <f>"B"&amp;E2779</f>
        <v>#N/A</v>
      </c>
      <c r="B2784" s="81">
        <v>2</v>
      </c>
      <c r="C2784" s="106"/>
      <c r="D2784" s="106"/>
      <c r="E2784" s="106"/>
      <c r="F2784" s="106"/>
      <c r="G2784" s="83"/>
      <c r="H2784" s="83"/>
      <c r="I2784" s="84"/>
      <c r="J2784" s="85"/>
      <c r="K2784" s="382"/>
      <c r="L2784" s="85"/>
      <c r="M2784" s="332" t="str">
        <f t="shared" si="817"/>
        <v/>
      </c>
      <c r="N2784" s="86"/>
      <c r="O2784" s="453" t="str">
        <f t="shared" ref="O2784:O2792" si="819">IF(OR(G2784="",N2784=""),"",N2784*G2784)</f>
        <v/>
      </c>
      <c r="P2784" s="538" t="str">
        <f t="shared" ref="P2784:P2792" si="820">IF(OR(H2784="",M2784="FUERA DE RANGO"),"",IF(OR(L2784&lt;$O$17,L2784&gt;$P$17,L2784="",H2784="NO"),"",IF(OR(N2784="",O2784=""),"",ROUND(O2784,3))))</f>
        <v/>
      </c>
      <c r="Q2784" s="539" t="str">
        <f t="shared" si="818"/>
        <v/>
      </c>
      <c r="R2784" s="740"/>
      <c r="S2784" s="741"/>
      <c r="T2784" s="742"/>
      <c r="U2784" s="471"/>
      <c r="V2784" s="165"/>
      <c r="W2784" s="446"/>
      <c r="X2784" s="456"/>
      <c r="Y2784" s="436"/>
      <c r="Z2784" s="437"/>
      <c r="AA2784" s="560"/>
      <c r="AB2784" s="561"/>
      <c r="AC2784" s="87"/>
      <c r="AD2784" s="466"/>
      <c r="AE2784" s="456"/>
      <c r="AF2784" s="467"/>
      <c r="AG2784" s="87"/>
      <c r="AH2784" s="87"/>
      <c r="AI2784" s="87"/>
    </row>
    <row r="2785" spans="1:35" hidden="1">
      <c r="A2785" s="80" t="e">
        <f>"C"&amp;E2779</f>
        <v>#N/A</v>
      </c>
      <c r="B2785" s="88">
        <v>3</v>
      </c>
      <c r="C2785" s="82"/>
      <c r="D2785" s="82"/>
      <c r="E2785" s="82"/>
      <c r="F2785" s="82"/>
      <c r="G2785" s="83"/>
      <c r="H2785" s="83"/>
      <c r="I2785" s="84"/>
      <c r="J2785" s="85"/>
      <c r="K2785" s="382"/>
      <c r="L2785" s="85"/>
      <c r="M2785" s="332" t="str">
        <f t="shared" si="817"/>
        <v/>
      </c>
      <c r="N2785" s="86"/>
      <c r="O2785" s="453" t="str">
        <f t="shared" si="819"/>
        <v/>
      </c>
      <c r="P2785" s="538" t="str">
        <f t="shared" si="820"/>
        <v/>
      </c>
      <c r="Q2785" s="539" t="str">
        <f t="shared" si="818"/>
        <v/>
      </c>
      <c r="R2785" s="706"/>
      <c r="S2785" s="707"/>
      <c r="T2785" s="708"/>
      <c r="U2785" s="472"/>
      <c r="V2785" s="166"/>
      <c r="W2785" s="446"/>
      <c r="X2785" s="456"/>
      <c r="Y2785" s="436"/>
      <c r="Z2785" s="437"/>
      <c r="AA2785" s="560"/>
      <c r="AB2785" s="561"/>
      <c r="AC2785" s="87"/>
      <c r="AD2785" s="466"/>
      <c r="AE2785" s="456"/>
      <c r="AF2785" s="467"/>
      <c r="AG2785" s="87"/>
      <c r="AH2785" s="87"/>
      <c r="AI2785" s="87"/>
    </row>
    <row r="2786" spans="1:35" hidden="1">
      <c r="A2786" s="80" t="e">
        <f>"D"&amp;E2779</f>
        <v>#N/A</v>
      </c>
      <c r="B2786" s="105">
        <v>4</v>
      </c>
      <c r="C2786" s="107"/>
      <c r="D2786" s="107"/>
      <c r="E2786" s="107"/>
      <c r="F2786" s="107"/>
      <c r="G2786" s="83"/>
      <c r="H2786" s="83"/>
      <c r="I2786" s="84"/>
      <c r="J2786" s="85"/>
      <c r="K2786" s="382"/>
      <c r="L2786" s="85"/>
      <c r="M2786" s="332" t="str">
        <f t="shared" si="817"/>
        <v/>
      </c>
      <c r="N2786" s="86"/>
      <c r="O2786" s="453" t="str">
        <f t="shared" si="819"/>
        <v/>
      </c>
      <c r="P2786" s="538" t="str">
        <f t="shared" si="820"/>
        <v/>
      </c>
      <c r="Q2786" s="539" t="str">
        <f t="shared" si="818"/>
        <v/>
      </c>
      <c r="R2786" s="706"/>
      <c r="S2786" s="707"/>
      <c r="T2786" s="708"/>
      <c r="U2786" s="472"/>
      <c r="V2786" s="166"/>
      <c r="W2786" s="446"/>
      <c r="X2786" s="456"/>
      <c r="Y2786" s="436"/>
      <c r="Z2786" s="437"/>
      <c r="AA2786" s="560"/>
      <c r="AB2786" s="561"/>
      <c r="AC2786" s="87"/>
      <c r="AD2786" s="466"/>
      <c r="AE2786" s="456"/>
      <c r="AF2786" s="467"/>
      <c r="AG2786" s="87"/>
      <c r="AH2786" s="87"/>
      <c r="AI2786" s="87"/>
    </row>
    <row r="2787" spans="1:35" hidden="1">
      <c r="A2787" s="80" t="e">
        <f>"E"&amp;E2779</f>
        <v>#N/A</v>
      </c>
      <c r="B2787" s="105">
        <v>5</v>
      </c>
      <c r="C2787" s="107"/>
      <c r="D2787" s="107"/>
      <c r="E2787" s="107"/>
      <c r="F2787" s="107"/>
      <c r="G2787" s="83"/>
      <c r="H2787" s="83"/>
      <c r="I2787" s="84"/>
      <c r="J2787" s="85"/>
      <c r="K2787" s="382"/>
      <c r="L2787" s="85"/>
      <c r="M2787" s="332" t="str">
        <f t="shared" si="817"/>
        <v/>
      </c>
      <c r="N2787" s="86"/>
      <c r="O2787" s="453" t="str">
        <f t="shared" si="819"/>
        <v/>
      </c>
      <c r="P2787" s="538" t="str">
        <f t="shared" si="820"/>
        <v/>
      </c>
      <c r="Q2787" s="539" t="str">
        <f t="shared" si="818"/>
        <v/>
      </c>
      <c r="R2787" s="706"/>
      <c r="S2787" s="707"/>
      <c r="T2787" s="708"/>
      <c r="U2787" s="472"/>
      <c r="V2787" s="167"/>
      <c r="W2787" s="446"/>
      <c r="X2787" s="456"/>
      <c r="Y2787" s="436"/>
      <c r="Z2787" s="437"/>
      <c r="AA2787" s="560"/>
      <c r="AB2787" s="561"/>
      <c r="AC2787" s="87"/>
      <c r="AD2787" s="466"/>
      <c r="AE2787" s="456"/>
      <c r="AF2787" s="467"/>
      <c r="AG2787" s="87"/>
      <c r="AH2787" s="87"/>
      <c r="AI2787" s="87"/>
    </row>
    <row r="2788" spans="1:35" hidden="1">
      <c r="A2788" s="80" t="e">
        <f>"F"&amp;E2779</f>
        <v>#N/A</v>
      </c>
      <c r="B2788" s="105">
        <v>6</v>
      </c>
      <c r="C2788" s="107"/>
      <c r="D2788" s="107"/>
      <c r="E2788" s="107"/>
      <c r="F2788" s="107"/>
      <c r="G2788" s="83"/>
      <c r="H2788" s="83"/>
      <c r="I2788" s="84"/>
      <c r="J2788" s="85"/>
      <c r="K2788" s="382"/>
      <c r="L2788" s="85"/>
      <c r="M2788" s="332" t="str">
        <f t="shared" si="817"/>
        <v/>
      </c>
      <c r="N2788" s="86"/>
      <c r="O2788" s="453" t="str">
        <f t="shared" si="819"/>
        <v/>
      </c>
      <c r="P2788" s="538" t="str">
        <f t="shared" si="820"/>
        <v/>
      </c>
      <c r="Q2788" s="539" t="str">
        <f t="shared" si="818"/>
        <v/>
      </c>
      <c r="R2788" s="706"/>
      <c r="S2788" s="707"/>
      <c r="T2788" s="708"/>
      <c r="U2788" s="472"/>
      <c r="V2788" s="167"/>
      <c r="W2788" s="446"/>
      <c r="X2788" s="456"/>
      <c r="Y2788" s="436"/>
      <c r="Z2788" s="437"/>
      <c r="AA2788" s="560"/>
      <c r="AB2788" s="561"/>
      <c r="AC2788" s="87"/>
      <c r="AD2788" s="466"/>
      <c r="AE2788" s="456"/>
      <c r="AF2788" s="467"/>
      <c r="AG2788" s="87"/>
      <c r="AH2788" s="87"/>
      <c r="AI2788" s="87"/>
    </row>
    <row r="2789" spans="1:35" hidden="1">
      <c r="A2789" s="80" t="e">
        <f>"G"&amp;E2779</f>
        <v>#N/A</v>
      </c>
      <c r="B2789" s="105">
        <v>7</v>
      </c>
      <c r="C2789" s="107"/>
      <c r="D2789" s="107"/>
      <c r="E2789" s="107"/>
      <c r="F2789" s="107"/>
      <c r="G2789" s="83"/>
      <c r="H2789" s="83"/>
      <c r="I2789" s="84"/>
      <c r="J2789" s="85"/>
      <c r="K2789" s="382"/>
      <c r="L2789" s="85"/>
      <c r="M2789" s="332" t="str">
        <f t="shared" si="817"/>
        <v/>
      </c>
      <c r="N2789" s="86"/>
      <c r="O2789" s="86" t="str">
        <f t="shared" si="819"/>
        <v/>
      </c>
      <c r="P2789" s="538" t="str">
        <f t="shared" si="820"/>
        <v/>
      </c>
      <c r="Q2789" s="539" t="str">
        <f t="shared" si="818"/>
        <v/>
      </c>
      <c r="R2789" s="706"/>
      <c r="S2789" s="707"/>
      <c r="T2789" s="708"/>
      <c r="U2789" s="472"/>
      <c r="V2789" s="167"/>
      <c r="W2789" s="446"/>
      <c r="X2789" s="456"/>
      <c r="Y2789" s="436"/>
      <c r="Z2789" s="437"/>
      <c r="AA2789" s="560"/>
      <c r="AB2789" s="561"/>
      <c r="AC2789" s="87"/>
      <c r="AD2789" s="466"/>
      <c r="AE2789" s="456"/>
      <c r="AF2789" s="467"/>
      <c r="AG2789" s="87"/>
      <c r="AH2789" s="87"/>
      <c r="AI2789" s="87"/>
    </row>
    <row r="2790" spans="1:35" hidden="1">
      <c r="A2790" s="80" t="e">
        <f>"H"&amp;E2779</f>
        <v>#N/A</v>
      </c>
      <c r="B2790" s="105">
        <v>8</v>
      </c>
      <c r="C2790" s="107"/>
      <c r="D2790" s="107"/>
      <c r="E2790" s="107"/>
      <c r="F2790" s="107"/>
      <c r="G2790" s="83"/>
      <c r="H2790" s="83"/>
      <c r="I2790" s="84"/>
      <c r="J2790" s="85"/>
      <c r="K2790" s="382"/>
      <c r="L2790" s="85"/>
      <c r="M2790" s="332" t="str">
        <f t="shared" si="817"/>
        <v/>
      </c>
      <c r="N2790" s="453"/>
      <c r="O2790" s="86" t="str">
        <f t="shared" si="819"/>
        <v/>
      </c>
      <c r="P2790" s="538" t="str">
        <f t="shared" si="820"/>
        <v/>
      </c>
      <c r="Q2790" s="539" t="str">
        <f t="shared" si="818"/>
        <v/>
      </c>
      <c r="R2790" s="706"/>
      <c r="S2790" s="707"/>
      <c r="T2790" s="708"/>
      <c r="U2790" s="472"/>
      <c r="V2790" s="167"/>
      <c r="W2790" s="446"/>
      <c r="X2790" s="456"/>
      <c r="Y2790" s="436"/>
      <c r="Z2790" s="437"/>
      <c r="AA2790" s="560"/>
      <c r="AB2790" s="561"/>
      <c r="AC2790" s="87"/>
      <c r="AD2790" s="466"/>
      <c r="AE2790" s="456"/>
      <c r="AF2790" s="467"/>
      <c r="AG2790" s="87"/>
      <c r="AH2790" s="87"/>
      <c r="AI2790" s="87"/>
    </row>
    <row r="2791" spans="1:35" hidden="1">
      <c r="A2791" s="80" t="e">
        <f>"I"&amp;E2779</f>
        <v>#N/A</v>
      </c>
      <c r="B2791" s="105">
        <v>9</v>
      </c>
      <c r="C2791" s="107"/>
      <c r="D2791" s="107"/>
      <c r="E2791" s="107"/>
      <c r="F2791" s="107"/>
      <c r="G2791" s="83"/>
      <c r="H2791" s="83"/>
      <c r="I2791" s="84"/>
      <c r="J2791" s="85"/>
      <c r="K2791" s="382"/>
      <c r="L2791" s="85"/>
      <c r="M2791" s="332" t="str">
        <f t="shared" si="817"/>
        <v/>
      </c>
      <c r="N2791" s="453"/>
      <c r="O2791" s="86" t="str">
        <f t="shared" si="819"/>
        <v/>
      </c>
      <c r="P2791" s="538" t="str">
        <f t="shared" si="820"/>
        <v/>
      </c>
      <c r="Q2791" s="539" t="str">
        <f t="shared" si="818"/>
        <v/>
      </c>
      <c r="R2791" s="706"/>
      <c r="S2791" s="707"/>
      <c r="T2791" s="708"/>
      <c r="U2791" s="472"/>
      <c r="V2791" s="167"/>
      <c r="W2791" s="446"/>
      <c r="X2791" s="456"/>
      <c r="Y2791" s="436"/>
      <c r="Z2791" s="437"/>
      <c r="AA2791" s="560"/>
      <c r="AB2791" s="561"/>
      <c r="AC2791" s="87"/>
      <c r="AD2791" s="466"/>
      <c r="AE2791" s="456"/>
      <c r="AF2791" s="467"/>
      <c r="AG2791" s="87"/>
      <c r="AH2791" s="87"/>
      <c r="AI2791" s="87"/>
    </row>
    <row r="2792" spans="1:35" hidden="1">
      <c r="A2792" s="80" t="e">
        <f>"J"&amp;E2779</f>
        <v>#N/A</v>
      </c>
      <c r="B2792" s="105">
        <v>10</v>
      </c>
      <c r="C2792" s="107"/>
      <c r="D2792" s="107"/>
      <c r="E2792" s="107"/>
      <c r="F2792" s="107"/>
      <c r="G2792" s="83"/>
      <c r="H2792" s="83"/>
      <c r="I2792" s="84"/>
      <c r="J2792" s="85"/>
      <c r="K2792" s="382"/>
      <c r="L2792" s="85"/>
      <c r="M2792" s="332" t="str">
        <f t="shared" si="817"/>
        <v/>
      </c>
      <c r="N2792" s="453"/>
      <c r="O2792" s="86" t="str">
        <f t="shared" si="819"/>
        <v/>
      </c>
      <c r="P2792" s="538" t="str">
        <f t="shared" si="820"/>
        <v/>
      </c>
      <c r="Q2792" s="539" t="str">
        <f t="shared" si="818"/>
        <v/>
      </c>
      <c r="R2792" s="706"/>
      <c r="S2792" s="707"/>
      <c r="T2792" s="708"/>
      <c r="U2792" s="472"/>
      <c r="V2792" s="167"/>
      <c r="W2792" s="446"/>
      <c r="X2792" s="456"/>
      <c r="Y2792" s="436"/>
      <c r="Z2792" s="437"/>
      <c r="AA2792" s="560"/>
      <c r="AB2792" s="561"/>
      <c r="AC2792" s="87"/>
      <c r="AD2792" s="466"/>
      <c r="AE2792" s="456"/>
      <c r="AF2792" s="467"/>
      <c r="AG2792" s="87"/>
      <c r="AH2792" s="87"/>
      <c r="AI2792" s="87"/>
    </row>
    <row r="2793" spans="1:35" ht="16.5" hidden="1" thickBot="1">
      <c r="A2793" s="44"/>
      <c r="B2793" s="89"/>
      <c r="C2793" s="90"/>
      <c r="D2793" s="90"/>
      <c r="E2793" s="90"/>
      <c r="F2793" s="90"/>
      <c r="G2793" s="90"/>
      <c r="H2793" s="90"/>
      <c r="I2793" s="90"/>
      <c r="J2793" s="90"/>
      <c r="K2793" s="90"/>
      <c r="L2793" s="90"/>
      <c r="M2793" s="90"/>
      <c r="N2793" s="90"/>
      <c r="O2793" s="90"/>
      <c r="P2793" s="90"/>
      <c r="Q2793" s="90"/>
      <c r="R2793" s="90"/>
      <c r="S2793" s="91"/>
      <c r="T2793" s="92"/>
      <c r="U2793" s="473"/>
      <c r="W2793" s="438"/>
      <c r="X2793" s="455"/>
      <c r="Y2793" s="439"/>
      <c r="Z2793" s="437"/>
      <c r="AA2793" s="530"/>
      <c r="AB2793" s="563"/>
      <c r="AC2793" s="87"/>
      <c r="AD2793" s="440"/>
      <c r="AE2793" s="441"/>
      <c r="AF2793" s="442"/>
      <c r="AG2793" s="49"/>
      <c r="AH2793" s="87"/>
      <c r="AI2793" s="87"/>
    </row>
    <row r="2794" spans="1:35" ht="16.5" hidden="1" thickBot="1">
      <c r="A2794" s="93"/>
      <c r="B2794" s="94"/>
      <c r="C2794" s="96"/>
      <c r="D2794" s="96"/>
      <c r="E2794" s="96"/>
      <c r="F2794" s="96"/>
      <c r="G2794" s="96"/>
      <c r="H2794" s="96"/>
      <c r="I2794" s="96"/>
      <c r="J2794" s="96"/>
      <c r="K2794" s="96"/>
      <c r="L2794" s="96"/>
      <c r="M2794" s="136"/>
      <c r="N2794" s="96"/>
      <c r="O2794" s="96"/>
      <c r="P2794" s="97"/>
      <c r="Q2794" s="97"/>
      <c r="R2794" s="98"/>
      <c r="S2794" s="95"/>
      <c r="T2794" s="99"/>
      <c r="U2794" s="469"/>
      <c r="AC2794" s="58"/>
      <c r="AG2794" s="58"/>
      <c r="AH2794" s="87"/>
      <c r="AI2794" s="87"/>
    </row>
    <row r="2795" spans="1:35" ht="16.5" hidden="1" thickBot="1">
      <c r="B2795" s="101"/>
      <c r="C2795" s="101"/>
      <c r="D2795" s="101"/>
      <c r="E2795" s="101"/>
      <c r="F2795" s="101"/>
      <c r="G2795" s="101"/>
      <c r="H2795" s="101"/>
      <c r="I2795" s="101"/>
      <c r="J2795" s="101"/>
      <c r="K2795" s="101"/>
      <c r="L2795" s="101"/>
      <c r="M2795" s="101"/>
      <c r="N2795" s="101"/>
      <c r="O2795" s="101"/>
      <c r="P2795" s="101"/>
      <c r="Q2795" s="101"/>
      <c r="R2795" s="101"/>
      <c r="S2795" s="101"/>
      <c r="U2795" s="50"/>
      <c r="AH2795" s="87"/>
      <c r="AI2795" s="87"/>
    </row>
    <row r="2796" spans="1:35" ht="16.5" hidden="1" customHeight="1" thickBot="1">
      <c r="A2796" s="44"/>
      <c r="B2796" s="705" t="s">
        <v>74</v>
      </c>
      <c r="C2796" s="705"/>
      <c r="D2796" s="705"/>
      <c r="E2796" s="705"/>
      <c r="F2796" s="705"/>
      <c r="G2796" s="705"/>
      <c r="H2796" s="705"/>
      <c r="I2796" s="705"/>
      <c r="J2796" s="705"/>
      <c r="K2796" s="705"/>
      <c r="L2796" s="705"/>
      <c r="M2796" s="705"/>
      <c r="N2796" s="705"/>
      <c r="O2796" s="705"/>
      <c r="P2796" s="705"/>
      <c r="Q2796" s="705"/>
      <c r="R2796" s="705"/>
      <c r="S2796" s="705"/>
      <c r="T2796" s="705"/>
      <c r="U2796" s="108"/>
      <c r="Y2796" s="532" t="s">
        <v>341</v>
      </c>
      <c r="AC2796" s="49"/>
      <c r="AD2796" s="687" t="s">
        <v>302</v>
      </c>
      <c r="AE2796" s="688"/>
      <c r="AF2796" s="689"/>
      <c r="AG2796" s="49"/>
      <c r="AH2796" s="87"/>
      <c r="AI2796" s="87"/>
    </row>
    <row r="2797" spans="1:35" ht="15.75" hidden="1" customHeight="1" thickBot="1">
      <c r="A2797" s="218" t="e">
        <f>"K"&amp;E2779</f>
        <v>#N/A</v>
      </c>
      <c r="B2797" s="701" t="s">
        <v>71</v>
      </c>
      <c r="C2797" s="751" t="s">
        <v>102</v>
      </c>
      <c r="D2797" s="751"/>
      <c r="E2797" s="751"/>
      <c r="F2797" s="751"/>
      <c r="G2797" s="751"/>
      <c r="H2797" s="751"/>
      <c r="I2797" s="751"/>
      <c r="J2797" s="751"/>
      <c r="K2797" s="751"/>
      <c r="L2797" s="722" t="s">
        <v>100</v>
      </c>
      <c r="M2797" s="747" t="s">
        <v>114</v>
      </c>
      <c r="N2797" s="747"/>
      <c r="O2797" s="747"/>
      <c r="P2797" s="747"/>
      <c r="Q2797" s="748"/>
      <c r="R2797" s="758" t="s">
        <v>280</v>
      </c>
      <c r="S2797" s="748"/>
      <c r="T2797" s="762" t="str">
        <f>IF(COUNTIF(AE2797:AF2797,"VERIFICAR")&gt;0,"VERIFICAR",IF(COUNTIF(AE2797:AF2797,"NO CUMPLE")&gt;0,"NO CUMPLE","CUMPLE"))</f>
        <v>VERIFICAR</v>
      </c>
      <c r="U2797" s="108"/>
      <c r="Y2797" s="533" t="e">
        <f>IF(F2798="","",IF(F2798=1,"INDIVIDUAL","ESTRUCTURA PLURAL"))</f>
        <v>#N/A</v>
      </c>
      <c r="AC2797" s="52"/>
      <c r="AD2797" s="475" t="s">
        <v>303</v>
      </c>
      <c r="AE2797" s="476" t="str">
        <f>IF(COUNTIF(AE2783:AE2792,"")=10,"VERIFICAR",IF(COUNTIF(AE2783:AE2792,"SI")&gt;0,"CUMPLE","NO CUMPLE"))</f>
        <v>VERIFICAR</v>
      </c>
      <c r="AF2797" s="477" t="str">
        <f>IF(COUNTIF(AF2783:AF2792,"")=10,"VERIFICAR",IF(COUNTIF(AF2783:AF2792,"SI")&gt;=$AI$22,"CUMPLE","NO CUMPLE"))</f>
        <v>VERIFICAR</v>
      </c>
      <c r="AG2797" s="52"/>
      <c r="AH2797" s="87"/>
      <c r="AI2797" s="87"/>
    </row>
    <row r="2798" spans="1:35" ht="16.5" hidden="1" customHeight="1" thickBot="1">
      <c r="A2798" s="218" t="e">
        <f>"L"&amp;E2779</f>
        <v>#N/A</v>
      </c>
      <c r="B2798" s="702"/>
      <c r="C2798" s="751" t="s">
        <v>103</v>
      </c>
      <c r="D2798" s="751"/>
      <c r="E2798" s="752"/>
      <c r="F2798" s="557" t="e">
        <f>IF(VLOOKUP(E2779,PROPONENTES!$C$19:$E$218,3,0)="","",VLOOKUP(E2779,PROPONENTES!$C$19:$E$218,3,0))</f>
        <v>#N/A</v>
      </c>
      <c r="G2798" s="753" t="s">
        <v>104</v>
      </c>
      <c r="H2798" s="751"/>
      <c r="I2798" s="715" t="e">
        <f>IF(OR(F2798="",F2798=1),"INTERESADO PERSONA NATURAL O JURIDICA","CONSORCIO O UNION TEMPORAL")</f>
        <v>#N/A</v>
      </c>
      <c r="J2798" s="725"/>
      <c r="K2798" s="728"/>
      <c r="L2798" s="723"/>
      <c r="M2798" s="749"/>
      <c r="N2798" s="749"/>
      <c r="O2798" s="749"/>
      <c r="P2798" s="749"/>
      <c r="Q2798" s="750"/>
      <c r="R2798" s="712"/>
      <c r="S2798" s="750"/>
      <c r="T2798" s="763"/>
      <c r="U2798" s="108"/>
      <c r="Y2798" s="534"/>
      <c r="AA2798" s="52"/>
      <c r="AB2798" s="52"/>
      <c r="AC2798" s="52"/>
      <c r="AG2798" s="52"/>
      <c r="AH2798" s="87"/>
      <c r="AI2798" s="87"/>
    </row>
    <row r="2799" spans="1:35" ht="56.25" hidden="1" customHeight="1" thickBot="1">
      <c r="A2799" s="218" t="e">
        <f>"M"&amp;E2779</f>
        <v>#N/A</v>
      </c>
      <c r="B2799" s="702"/>
      <c r="C2799" s="725" t="s">
        <v>101</v>
      </c>
      <c r="D2799" s="716"/>
      <c r="E2799" s="558" t="s">
        <v>105</v>
      </c>
      <c r="F2799" s="554" t="s">
        <v>87</v>
      </c>
      <c r="G2799" s="553" t="s">
        <v>86</v>
      </c>
      <c r="H2799" s="559" t="s">
        <v>85</v>
      </c>
      <c r="I2799" s="554" t="s">
        <v>252</v>
      </c>
      <c r="J2799" s="553" t="str">
        <f>"¿EL INTEGRANTE TIENE UNA PARTICIPACIÓN DEL "&amp;PORCREQUERIDOINT*100&amp;"%?"</f>
        <v>¿EL INTEGRANTE TIENE UNA PARTICIPACIÓN DEL 60%?</v>
      </c>
      <c r="K2799" s="554" t="s">
        <v>107</v>
      </c>
      <c r="L2799" s="724"/>
      <c r="M2799" s="717" t="s">
        <v>115</v>
      </c>
      <c r="N2799" s="718"/>
      <c r="O2799" s="718"/>
      <c r="P2799" s="718"/>
      <c r="Q2799" s="223">
        <f>IF(AND(H2783="SI",P2783&gt;=0),1,0)+IF(AND(H2784="SI",P2784&gt;=0),1,0)+IF(AND(H2785="SI",P2785&gt;=0),1,0)+IF(AND(H2786="SI",P2786&gt;=0),1,0)+IF(AND(H2787="SI",P2787&gt;=0),1,0)+IF(AND(H2788="SI",P2788&gt;=0),1,0)+IF(AND(H2789="SI",P2789&gt;=0),1,0)+IF(AND(H2790="SI",P2790&gt;=0),1,0)+IF(AND(H2791="SI",P2791&gt;=0),1,0)+IF(AND(H2792="SI",P2792&gt;=0),1,0)</f>
        <v>0</v>
      </c>
      <c r="R2799" s="759"/>
      <c r="S2799" s="761"/>
      <c r="T2799" s="764"/>
      <c r="U2799" s="219"/>
      <c r="V2799" s="464"/>
      <c r="Y2799" s="532" t="s">
        <v>342</v>
      </c>
      <c r="AA2799" s="550" t="s">
        <v>344</v>
      </c>
      <c r="AB2799" s="693" t="s">
        <v>345</v>
      </c>
      <c r="AC2799" s="693" t="s">
        <v>346</v>
      </c>
      <c r="AD2799" s="685" t="s">
        <v>347</v>
      </c>
      <c r="AE2799" s="52"/>
      <c r="AF2799" s="52"/>
      <c r="AG2799" s="52"/>
      <c r="AH2799" s="87"/>
      <c r="AI2799" s="87"/>
    </row>
    <row r="2800" spans="1:35" ht="15.75" hidden="1" customHeight="1" thickBot="1">
      <c r="A2800" s="218" t="e">
        <f>"N"&amp;E2779</f>
        <v>#N/A</v>
      </c>
      <c r="B2800" s="702"/>
      <c r="C2800" s="114">
        <v>1</v>
      </c>
      <c r="D2800" s="194" t="e">
        <f>IF(AND(C2800&lt;=F2798,F2798&gt;1,F2798&lt;&gt;""),VLOOKUP(VALUE(E2779&amp;","&amp;C2800),INTEGRANTES!$D$18:$F$235,2,0),"")</f>
        <v>#N/A</v>
      </c>
      <c r="E2800" s="211" t="e">
        <f>IF(D2800&lt;&gt;"",VLOOKUP(VALUE(E2779&amp;","&amp;C2800),INTEGRANTES!$D$18:$F$235,3,0),"")</f>
        <v>#N/A</v>
      </c>
      <c r="F2800" s="547" t="e">
        <f>IF(D2800="","",SUMIF($I2783:$I2792,D2800,$P2783:$P2792))</f>
        <v>#N/A</v>
      </c>
      <c r="G2800" s="333" t="e">
        <f>IF(D2800="","",SUMIF($I2783:$I2792,D2800,$M2783:$M2792))</f>
        <v>#N/A</v>
      </c>
      <c r="H2800" s="535" t="e">
        <f t="shared" ref="H2800:H2805" si="821">IF(D2800="","",IF(OR(F2800=0,G2800=0),"NO APORTA",ROUND($F2800/$G2800,3)))</f>
        <v>#N/A</v>
      </c>
      <c r="I2800" s="212" t="e">
        <f>IF(D2800="","",IF(H2800="NO APORTA","NO",IF(H2800=MAX($H2800:$H2805),"SI","NO")))</f>
        <v>#N/A</v>
      </c>
      <c r="J2800" s="213" t="e">
        <f t="shared" ref="J2800:J2805" si="822">IF(D2800="","",IF(E2800&gt;=PORCREQUERIDOINT,"SI","NO"))</f>
        <v>#N/A</v>
      </c>
      <c r="K2800" s="200" t="e">
        <f t="shared" ref="K2800:K2805" si="823">IF(D2800="","",IF(AND(I2800="SI",J2800="SI"),"CUMPLE",IF(AND(I2800="NO",OR(J2800="SI",J2800="NO")),"","NO CUMPLE")))</f>
        <v>#N/A</v>
      </c>
      <c r="L2800" s="722" t="s">
        <v>108</v>
      </c>
      <c r="M2800" s="726" t="s">
        <v>119</v>
      </c>
      <c r="N2800" s="726"/>
      <c r="O2800" s="726"/>
      <c r="P2800" s="726"/>
      <c r="Q2800" s="727"/>
      <c r="R2800" s="758" t="s">
        <v>80</v>
      </c>
      <c r="S2800" s="747"/>
      <c r="T2800" s="748"/>
      <c r="U2800" s="219"/>
      <c r="V2800" s="464"/>
      <c r="Y2800" s="533" t="e">
        <f>IF(Y2797="","",IF(Y2797="INDIVIDUAL","NO APLICA","VERIFICAR CUADRO"))</f>
        <v>#N/A</v>
      </c>
      <c r="AA2800" s="551"/>
      <c r="AB2800" s="694"/>
      <c r="AC2800" s="694"/>
      <c r="AD2800" s="686"/>
      <c r="AE2800" s="52"/>
      <c r="AF2800" s="52"/>
      <c r="AG2800" s="52"/>
      <c r="AH2800" s="87"/>
      <c r="AI2800" s="87"/>
    </row>
    <row r="2801" spans="1:35" ht="27" hidden="1" customHeight="1" thickBot="1">
      <c r="A2801" s="218" t="e">
        <f>"O"&amp;E2779</f>
        <v>#N/A</v>
      </c>
      <c r="B2801" s="702"/>
      <c r="C2801" s="114">
        <v>2</v>
      </c>
      <c r="D2801" s="194" t="e">
        <f>IF(AND(C2801&lt;=F2798,F2798&lt;&gt;""),VLOOKUP(VALUE(E2779&amp;","&amp;C2801),INTEGRANTES!$D$18:$F$235,2,0),"")</f>
        <v>#N/A</v>
      </c>
      <c r="E2801" s="211" t="e">
        <f>IF(D2801&lt;&gt;"",VLOOKUP(VALUE(E2779&amp;","&amp;C2801),INTEGRANTES!$D$18:$F$235,3,0),"")</f>
        <v>#N/A</v>
      </c>
      <c r="F2801" s="547" t="e">
        <f>IF(D2801="","",SUMIF($I2783:$I2792,D2801,$P2783:$P2792))</f>
        <v>#N/A</v>
      </c>
      <c r="G2801" s="333" t="e">
        <f>IF(D2801="","",SUMIF($I2783:$I2792,D2801,$M2783:$M2792))</f>
        <v>#N/A</v>
      </c>
      <c r="H2801" s="535" t="e">
        <f t="shared" si="821"/>
        <v>#N/A</v>
      </c>
      <c r="I2801" s="212" t="e">
        <f>IF(D2801="","",IF(H2801="NO APORTA","NO",IF(H2801=MAX($H2800:$H2805),"SI","NO")))</f>
        <v>#N/A</v>
      </c>
      <c r="J2801" s="213" t="e">
        <f t="shared" si="822"/>
        <v>#N/A</v>
      </c>
      <c r="K2801" s="200" t="e">
        <f t="shared" si="823"/>
        <v>#N/A</v>
      </c>
      <c r="L2801" s="723"/>
      <c r="M2801" s="715" t="s">
        <v>116</v>
      </c>
      <c r="N2801" s="716"/>
      <c r="O2801" s="556" t="s">
        <v>113</v>
      </c>
      <c r="P2801" s="715" t="s">
        <v>117</v>
      </c>
      <c r="Q2801" s="728"/>
      <c r="R2801" s="759"/>
      <c r="S2801" s="760"/>
      <c r="T2801" s="761"/>
      <c r="U2801" s="219"/>
      <c r="V2801" s="464"/>
      <c r="Y2801" s="414"/>
      <c r="AA2801" s="542" t="e">
        <f>IF(AND(C2800&lt;=F2798,F2798&gt;1,F2798&lt;&gt;""),VLOOKUP(VALUE(E2779&amp;","&amp;C2800),INTEGRANTES!$D$18:$F$235,2,0),"")</f>
        <v>#N/A</v>
      </c>
      <c r="AB2801" s="544" t="e">
        <f t="shared" ref="AB2801:AB2806" si="824">IF(D2800="","",IF(OR(F2800=0,G2800=0),"NO APORTA",ROUND($F2800/$G2800,3)))</f>
        <v>#N/A</v>
      </c>
      <c r="AC2801" s="529"/>
      <c r="AD2801" s="200" t="e">
        <f t="shared" ref="AD2801:AD2806" si="825">IF(OR(AA2801="",AB2801=""),"",IF(AND(AC2801="X",AB2801&gt;=EXPREQVTD),"CUMPLE","NO CUMPLE"))</f>
        <v>#N/A</v>
      </c>
      <c r="AE2801" s="52"/>
      <c r="AF2801" s="52"/>
      <c r="AG2801" s="52"/>
      <c r="AH2801" s="87"/>
      <c r="AI2801" s="87"/>
    </row>
    <row r="2802" spans="1:35" ht="16.5" hidden="1" thickBot="1">
      <c r="A2802" s="218" t="e">
        <f>"P"&amp;E2779</f>
        <v>#N/A</v>
      </c>
      <c r="B2802" s="702"/>
      <c r="C2802" s="114">
        <v>3</v>
      </c>
      <c r="D2802" s="194" t="e">
        <f>IF(AND(C2802&lt;=F2798,F2798&lt;&gt;""),VLOOKUP(VALUE(E2779&amp;","&amp;C2802),INTEGRANTES!$D$18:$F$235,2,0),"")</f>
        <v>#N/A</v>
      </c>
      <c r="E2802" s="211" t="e">
        <f>IF(D2802&lt;&gt;"",VLOOKUP(VALUE(E2779&amp;","&amp;C2802),INTEGRANTES!$D$18:$F$235,3,0),"")</f>
        <v>#N/A</v>
      </c>
      <c r="F2802" s="547" t="e">
        <f>IF(D2802="","",SUMIF($I2783:$I2792,D2802,$P2783:$P2792))</f>
        <v>#N/A</v>
      </c>
      <c r="G2802" s="333" t="e">
        <f>IF(D2802="","",SUMIF($I2783:$I2792,D2802,$M2783:$M2792))</f>
        <v>#N/A</v>
      </c>
      <c r="H2802" s="535" t="e">
        <f t="shared" si="821"/>
        <v>#N/A</v>
      </c>
      <c r="I2802" s="212" t="e">
        <f>IF(D2802="","",IF(H2802="NO APORTA","NO",IF(H2802=MAX($H2800:$H2805),"SI","NO")))</f>
        <v>#N/A</v>
      </c>
      <c r="J2802" s="213" t="e">
        <f t="shared" si="822"/>
        <v>#N/A</v>
      </c>
      <c r="K2802" s="200" t="e">
        <f t="shared" si="823"/>
        <v>#N/A</v>
      </c>
      <c r="L2802" s="724"/>
      <c r="M2802" s="729">
        <f>NUMMOD</f>
        <v>1</v>
      </c>
      <c r="N2802" s="730"/>
      <c r="O2802" s="443">
        <f>IF(M2802="","",VLOOKUP(M2802,PRESUPUESTOS!$B$16:$H$16,5,FALSE))</f>
        <v>2</v>
      </c>
      <c r="P2802" s="713">
        <f>IF(OR(COUNTIF(M2783:M2792,"")&gt;=10,Q2799&lt;NUMMINCONT,OR(T2797="NO CUMPLE",T2797="VERIFICAR")),0,ROUND(AVERAGE(M2783:M2792),3))</f>
        <v>0</v>
      </c>
      <c r="Q2802" s="714"/>
      <c r="R2802" s="458"/>
      <c r="S2802" s="459"/>
      <c r="T2802" s="460"/>
      <c r="U2802" s="219"/>
      <c r="V2802" s="464"/>
      <c r="Y2802" s="532" t="str">
        <f>"40% * ("&amp;PRESUPUESTOS!$H$13&amp;")"</f>
        <v>40% * (50% PFMO)</v>
      </c>
      <c r="AA2802" s="540" t="e">
        <f>IF(AND(C2801&lt;=F2798,F2798&lt;&gt;""),VLOOKUP(VALUE(E2779&amp;","&amp;C2801),INTEGRANTES!$D$18:$F$235,2,0),"")</f>
        <v>#N/A</v>
      </c>
      <c r="AB2802" s="545" t="e">
        <f t="shared" si="824"/>
        <v>#N/A</v>
      </c>
      <c r="AC2802" s="529"/>
      <c r="AD2802" s="200" t="e">
        <f t="shared" si="825"/>
        <v>#N/A</v>
      </c>
      <c r="AE2802" s="52"/>
      <c r="AF2802" s="52"/>
      <c r="AG2802" s="52"/>
      <c r="AH2802" s="87"/>
      <c r="AI2802" s="87"/>
    </row>
    <row r="2803" spans="1:35" ht="15.75" hidden="1" customHeight="1" thickBot="1">
      <c r="A2803" s="218" t="e">
        <f>"Q"&amp;E2779</f>
        <v>#N/A</v>
      </c>
      <c r="B2803" s="702"/>
      <c r="C2803" s="114">
        <v>4</v>
      </c>
      <c r="D2803" s="194" t="e">
        <f>IF(AND(C2803&lt;=F2798,F2798&lt;&gt;""),VLOOKUP(VALUE(E2779&amp;","&amp;C2803),INTEGRANTES!$D$18:$F$235,2,0),"")</f>
        <v>#N/A</v>
      </c>
      <c r="E2803" s="211" t="e">
        <f>IF(D2803&lt;&gt;"",VLOOKUP(VALUE(E2779&amp;","&amp;C2803),INTEGRANTES!$D$18:$F$235,3,0),"")</f>
        <v>#N/A</v>
      </c>
      <c r="F2803" s="547" t="e">
        <f>IF(D2803="","",SUMIF($I2783:$I2792,D2803,$P2783:$P2792))</f>
        <v>#N/A</v>
      </c>
      <c r="G2803" s="333" t="e">
        <f>IF(D2803="","",SUMIF($I2783:$I2792,D2803,$M2783:$M2792))</f>
        <v>#N/A</v>
      </c>
      <c r="H2803" s="535" t="e">
        <f t="shared" si="821"/>
        <v>#N/A</v>
      </c>
      <c r="I2803" s="212" t="e">
        <f>IF(D2803="","",IF(H2803="NO APORTA","NO",IF(H2803=MAX($H2800:$H2805),"SI","NO")))</f>
        <v>#N/A</v>
      </c>
      <c r="J2803" s="213" t="e">
        <f t="shared" si="822"/>
        <v>#N/A</v>
      </c>
      <c r="K2803" s="200" t="e">
        <f t="shared" si="823"/>
        <v>#N/A</v>
      </c>
      <c r="L2803" s="720" t="s">
        <v>109</v>
      </c>
      <c r="M2803" s="757" t="s">
        <v>120</v>
      </c>
      <c r="N2803" s="726"/>
      <c r="O2803" s="726"/>
      <c r="P2803" s="726"/>
      <c r="Q2803" s="727"/>
      <c r="R2803" s="458"/>
      <c r="S2803" s="459"/>
      <c r="T2803" s="460"/>
      <c r="U2803" s="219"/>
      <c r="V2803" s="464"/>
      <c r="Y2803" s="537">
        <f>0.4*PRESUPUESTOS!$H$16</f>
        <v>10.3124</v>
      </c>
      <c r="AA2803" s="540" t="e">
        <f>IF(AND(C2802&lt;=F2798,F2798&lt;&gt;""),VLOOKUP(VALUE(E2779&amp;","&amp;C2802),INTEGRANTES!$D$18:$F$235,2,0),"")</f>
        <v>#N/A</v>
      </c>
      <c r="AB2803" s="545" t="e">
        <f t="shared" si="824"/>
        <v>#N/A</v>
      </c>
      <c r="AC2803" s="529"/>
      <c r="AD2803" s="200" t="e">
        <f t="shared" si="825"/>
        <v>#N/A</v>
      </c>
      <c r="AE2803" s="52"/>
      <c r="AF2803" s="52"/>
      <c r="AG2803" s="52"/>
      <c r="AH2803" s="87"/>
      <c r="AI2803" s="87"/>
    </row>
    <row r="2804" spans="1:35" ht="27" hidden="1" customHeight="1" thickBot="1">
      <c r="A2804" s="218" t="e">
        <f>"R"&amp;E2779</f>
        <v>#N/A</v>
      </c>
      <c r="B2804" s="702"/>
      <c r="C2804" s="114">
        <v>5</v>
      </c>
      <c r="D2804" s="194" t="e">
        <f>IF(AND(C2804&lt;=F2798,F2798&lt;&gt;""),VLOOKUP(VALUE(E2779&amp;","&amp;C2804),INTEGRANTES!$D$18:$F$235,2,0),"")</f>
        <v>#N/A</v>
      </c>
      <c r="E2804" s="211" t="e">
        <f>IF(D2804&lt;&gt;"",VLOOKUP(VALUE(E2779&amp;","&amp;C2804),INTEGRANTES!$D$18:$F$235,3,0),"")</f>
        <v>#N/A</v>
      </c>
      <c r="F2804" s="547" t="e">
        <f>IF(D2804="","",SUMIF($I2783:$I2792,D2804,$P2783:$P2792))</f>
        <v>#N/A</v>
      </c>
      <c r="G2804" s="333" t="e">
        <f>IF(D2804="","",SUMIF($I2783:$I2792,D2804,$M2783:$M2792))</f>
        <v>#N/A</v>
      </c>
      <c r="H2804" s="535" t="e">
        <f t="shared" si="821"/>
        <v>#N/A</v>
      </c>
      <c r="I2804" s="212" t="e">
        <f>IF(D2804="","",IF(H2804="NO APORTA","NO",IF(H2804=MAX($H2800:$H2805),"SI","NO")))</f>
        <v>#N/A</v>
      </c>
      <c r="J2804" s="213" t="e">
        <f t="shared" si="822"/>
        <v>#N/A</v>
      </c>
      <c r="K2804" s="200" t="e">
        <f t="shared" si="823"/>
        <v>#N/A</v>
      </c>
      <c r="L2804" s="721"/>
      <c r="M2804" s="715" t="s">
        <v>116</v>
      </c>
      <c r="N2804" s="716"/>
      <c r="O2804" s="556" t="str">
        <f>PORCREQUERIDO*100&amp;"% PMFO DEL MÓDULO"</f>
        <v>50% PMFO DEL MÓDULO</v>
      </c>
      <c r="P2804" s="715" t="s">
        <v>118</v>
      </c>
      <c r="Q2804" s="728"/>
      <c r="R2804" s="458"/>
      <c r="S2804" s="459"/>
      <c r="T2804" s="460"/>
      <c r="U2804" s="219"/>
      <c r="V2804" s="464"/>
      <c r="Y2804" s="414"/>
      <c r="AA2804" s="540" t="e">
        <f>IF(AND(C2803&lt;=F2798,F2798&lt;&gt;""),VLOOKUP(VALUE(E2779&amp;","&amp;C2803),INTEGRANTES!$D$18:$F$235,2,0),"")</f>
        <v>#N/A</v>
      </c>
      <c r="AB2804" s="545" t="e">
        <f t="shared" si="824"/>
        <v>#N/A</v>
      </c>
      <c r="AC2804" s="529"/>
      <c r="AD2804" s="200" t="e">
        <f t="shared" si="825"/>
        <v>#N/A</v>
      </c>
      <c r="AE2804" s="52"/>
      <c r="AF2804" s="52"/>
      <c r="AG2804" s="52"/>
      <c r="AH2804" s="87"/>
      <c r="AI2804" s="87"/>
    </row>
    <row r="2805" spans="1:35" ht="16.5" hidden="1" thickBot="1">
      <c r="A2805" s="218" t="e">
        <f>"S"&amp;E2779</f>
        <v>#N/A</v>
      </c>
      <c r="B2805" s="702"/>
      <c r="C2805" s="215">
        <v>6</v>
      </c>
      <c r="D2805" s="216" t="e">
        <f>IF(AND(C2805&lt;=F2798,F2798&lt;&gt;""),VLOOKUP(VALUE(E2779&amp;","&amp;C2805),INTEGRANTES!$D$18:$F$235,2,0),"")</f>
        <v>#N/A</v>
      </c>
      <c r="E2805" s="217" t="e">
        <f>IF(D2805&lt;&gt;"",VLOOKUP(VALUE(E2779&amp;","&amp;C2805),INTEGRANTES!$D$18:$F$235,3,0),"")</f>
        <v>#N/A</v>
      </c>
      <c r="F2805" s="548" t="e">
        <f>IF(D2805="","",SUMIF($I2783:$I2792,D2805,$P2783:$P2792))</f>
        <v>#N/A</v>
      </c>
      <c r="G2805" s="334" t="e">
        <f>IF(D2805="","",SUMIF($I2783:$I2792,D2805,$M2783:$M2792))</f>
        <v>#N/A</v>
      </c>
      <c r="H2805" s="536" t="e">
        <f t="shared" si="821"/>
        <v>#N/A</v>
      </c>
      <c r="I2805" s="214" t="e">
        <f>IF(D2805="","",IF(H2805="NO APORTA","NO",IF(H2805=MAX($H2800:$H2805),"SI","NO")))</f>
        <v>#N/A</v>
      </c>
      <c r="J2805" s="213" t="e">
        <f t="shared" si="822"/>
        <v>#N/A</v>
      </c>
      <c r="K2805" s="200" t="e">
        <f t="shared" si="823"/>
        <v>#N/A</v>
      </c>
      <c r="L2805" s="721"/>
      <c r="M2805" s="729">
        <f>NUMMOD</f>
        <v>1</v>
      </c>
      <c r="N2805" s="730"/>
      <c r="O2805" s="443">
        <f>IF(M2805="","",ROUND(VLOOKUP(M2805,PRESUPUESTOS!$B$16:$H$16,7,FALSE),3))</f>
        <v>25.780999999999999</v>
      </c>
      <c r="P2805" s="713">
        <f>IF(OR(COUNTIF(P2783:P2792,"")&gt;=10,Q2799&lt;NUMMINCONT,OR(T2797="NO CUMPLE",T2797="VERIFICAR")),0,ROUND((SUM(P2783:P2792)/SUM(M2783:M2792)),3))</f>
        <v>0</v>
      </c>
      <c r="Q2805" s="714"/>
      <c r="R2805" s="458"/>
      <c r="S2805" s="459"/>
      <c r="T2805" s="460"/>
      <c r="U2805" s="219"/>
      <c r="V2805" s="464"/>
      <c r="Y2805" s="532" t="s">
        <v>343</v>
      </c>
      <c r="AA2805" s="540" t="e">
        <f>IF(AND(C2804&lt;=F2798,F2798&lt;&gt;""),VLOOKUP(VALUE(E2779&amp;","&amp;C2804),INTEGRANTES!$D$18:$F$235,2,0),"")</f>
        <v>#N/A</v>
      </c>
      <c r="AB2805" s="545" t="e">
        <f t="shared" si="824"/>
        <v>#N/A</v>
      </c>
      <c r="AC2805" s="529"/>
      <c r="AD2805" s="200" t="e">
        <f t="shared" si="825"/>
        <v>#N/A</v>
      </c>
      <c r="AE2805" s="52"/>
      <c r="AF2805" s="52"/>
      <c r="AG2805" s="52"/>
      <c r="AH2805" s="87"/>
      <c r="AI2805" s="87"/>
    </row>
    <row r="2806" spans="1:35" ht="16.5" hidden="1" customHeight="1" thickBot="1">
      <c r="A2806" s="218" t="e">
        <f>"T"&amp;E2779</f>
        <v>#N/A</v>
      </c>
      <c r="B2806" s="703"/>
      <c r="C2806" s="719"/>
      <c r="D2806" s="719"/>
      <c r="E2806" s="719"/>
      <c r="F2806" s="719"/>
      <c r="G2806" s="719"/>
      <c r="H2806" s="719" t="s">
        <v>110</v>
      </c>
      <c r="I2806" s="719"/>
      <c r="J2806" s="719"/>
      <c r="K2806" s="201" t="str">
        <f>IF(COUNTIF(K2800:K2805,"")=6,"",IF(COUNTIF(K2800:K2805,"CUMPLE")&gt;0,"CUMPLE","NO CUMPLE"))</f>
        <v>NO CUMPLE</v>
      </c>
      <c r="L2806" s="754"/>
      <c r="M2806" s="755"/>
      <c r="N2806" s="755"/>
      <c r="O2806" s="755"/>
      <c r="P2806" s="755"/>
      <c r="Q2806" s="756"/>
      <c r="R2806" s="461"/>
      <c r="S2806" s="462"/>
      <c r="T2806" s="463"/>
      <c r="U2806" s="219"/>
      <c r="V2806" s="464"/>
      <c r="Y2806" s="549" t="e">
        <f>IF(Y2800="NO APLICA","NO APLICA",IF(COUNTIF(AD2801:AD2806,"CUMPLE")&gt;0,"CUMPLE","NO CUMPLE"))</f>
        <v>#N/A</v>
      </c>
      <c r="AA2806" s="541" t="e">
        <f>IF(AND(C2805&lt;=F2798,F2798&lt;&gt;""),VLOOKUP(VALUE(E2779&amp;","&amp;C2805),INTEGRANTES!$D$18:$F$235,2,0),"")</f>
        <v>#N/A</v>
      </c>
      <c r="AB2806" s="546" t="e">
        <f t="shared" si="824"/>
        <v>#N/A</v>
      </c>
      <c r="AC2806" s="543"/>
      <c r="AD2806" s="201" t="e">
        <f t="shared" si="825"/>
        <v>#N/A</v>
      </c>
      <c r="AE2806" s="52"/>
      <c r="AF2806" s="52"/>
      <c r="AG2806" s="52"/>
      <c r="AH2806" s="87"/>
      <c r="AI2806" s="87"/>
    </row>
    <row r="2807" spans="1:35" hidden="1">
      <c r="A2807" s="103"/>
      <c r="B2807" s="206"/>
      <c r="C2807" s="206"/>
      <c r="D2807" s="206"/>
      <c r="E2807" s="206"/>
      <c r="F2807" s="206"/>
      <c r="G2807" s="206"/>
      <c r="H2807" s="206"/>
      <c r="I2807" s="104"/>
      <c r="J2807" s="206"/>
      <c r="K2807" s="113"/>
      <c r="L2807" s="113"/>
      <c r="M2807" s="113"/>
      <c r="N2807" s="222"/>
      <c r="O2807" s="113"/>
      <c r="P2807" s="113"/>
      <c r="Q2807" s="113"/>
      <c r="R2807" s="206"/>
      <c r="S2807" s="104"/>
      <c r="T2807" s="206"/>
      <c r="U2807" s="474"/>
      <c r="AH2807" s="87"/>
      <c r="AI2807" s="87"/>
    </row>
    <row r="2808" spans="1:35" hidden="1">
      <c r="H2808" s="220"/>
      <c r="AH2808" s="87"/>
      <c r="AI2808" s="87"/>
    </row>
    <row r="2809" spans="1:35" ht="24" hidden="1" thickBot="1">
      <c r="A2809" s="61">
        <v>94</v>
      </c>
      <c r="B2809" s="704" t="s">
        <v>51</v>
      </c>
      <c r="C2809" s="704"/>
      <c r="D2809" s="704"/>
      <c r="E2809" s="62" t="e">
        <f>VLOOKUP(A2809,PROPONENTES!$B$19:$E$218,2,FALSE)</f>
        <v>#N/A</v>
      </c>
      <c r="F2809" s="63" t="e">
        <f>VLOOKUP(A2809,PROPONENTES!$B$19:$E$218,3,FALSE)</f>
        <v>#N/A</v>
      </c>
      <c r="G2809" s="64"/>
      <c r="H2809" s="64"/>
      <c r="I2809" s="63"/>
      <c r="J2809" s="63"/>
      <c r="K2809" s="65"/>
      <c r="L2809" s="65"/>
      <c r="M2809" s="64"/>
      <c r="N2809" s="64"/>
      <c r="O2809" s="66"/>
      <c r="P2809" s="66"/>
      <c r="Q2809" s="66"/>
      <c r="R2809" s="66"/>
      <c r="S2809" s="67"/>
      <c r="T2809" s="68"/>
      <c r="U2809" s="68"/>
      <c r="AC2809" s="68"/>
      <c r="AD2809" s="68"/>
      <c r="AE2809" s="68"/>
      <c r="AF2809" s="68"/>
      <c r="AG2809" s="68"/>
      <c r="AH2809" s="87"/>
      <c r="AI2809" s="87"/>
    </row>
    <row r="2810" spans="1:35" ht="15.75" hidden="1" customHeight="1">
      <c r="A2810" s="44"/>
      <c r="B2810" s="709" t="s">
        <v>59</v>
      </c>
      <c r="C2810" s="552" t="s">
        <v>60</v>
      </c>
      <c r="D2810" s="70" t="s">
        <v>17</v>
      </c>
      <c r="E2810" s="70"/>
      <c r="F2810" s="70" t="s">
        <v>61</v>
      </c>
      <c r="G2810" s="71"/>
      <c r="H2810" s="699" t="s">
        <v>62</v>
      </c>
      <c r="I2810" s="699" t="s">
        <v>18</v>
      </c>
      <c r="J2810" s="699" t="s">
        <v>63</v>
      </c>
      <c r="K2810" s="699" t="s">
        <v>64</v>
      </c>
      <c r="L2810" s="699" t="s">
        <v>65</v>
      </c>
      <c r="M2810" s="743" t="s">
        <v>66</v>
      </c>
      <c r="N2810" s="699" t="s">
        <v>282</v>
      </c>
      <c r="O2810" s="745" t="s">
        <v>67</v>
      </c>
      <c r="P2810" s="746"/>
      <c r="Q2810" s="102" t="s">
        <v>75</v>
      </c>
      <c r="R2810" s="731" t="s">
        <v>22</v>
      </c>
      <c r="S2810" s="732"/>
      <c r="T2810" s="733"/>
      <c r="U2810" s="712" t="s">
        <v>298</v>
      </c>
      <c r="W2810" s="690" t="s">
        <v>268</v>
      </c>
      <c r="X2810" s="691"/>
      <c r="Y2810" s="692"/>
      <c r="Z2810" s="428"/>
      <c r="AA2810" s="697" t="s">
        <v>315</v>
      </c>
      <c r="AB2810" s="695" t="s">
        <v>322</v>
      </c>
      <c r="AC2810" s="49"/>
      <c r="AD2810" s="690" t="s">
        <v>297</v>
      </c>
      <c r="AE2810" s="691"/>
      <c r="AF2810" s="692"/>
      <c r="AG2810" s="49"/>
      <c r="AH2810" s="87"/>
      <c r="AI2810" s="87"/>
    </row>
    <row r="2811" spans="1:35" ht="72" hidden="1">
      <c r="A2811" s="44"/>
      <c r="B2811" s="710"/>
      <c r="C2811" s="553" t="s">
        <v>68</v>
      </c>
      <c r="D2811" s="73" t="s">
        <v>3</v>
      </c>
      <c r="E2811" s="73" t="s">
        <v>19</v>
      </c>
      <c r="F2811" s="73" t="s">
        <v>69</v>
      </c>
      <c r="G2811" s="74" t="s">
        <v>70</v>
      </c>
      <c r="H2811" s="700"/>
      <c r="I2811" s="700"/>
      <c r="J2811" s="700"/>
      <c r="K2811" s="700"/>
      <c r="L2811" s="700"/>
      <c r="M2811" s="744"/>
      <c r="N2811" s="700"/>
      <c r="O2811" s="553" t="s">
        <v>279</v>
      </c>
      <c r="P2811" s="73" t="s">
        <v>88</v>
      </c>
      <c r="Q2811" s="555" t="s">
        <v>76</v>
      </c>
      <c r="R2811" s="734"/>
      <c r="S2811" s="735"/>
      <c r="T2811" s="736"/>
      <c r="U2811" s="712"/>
      <c r="W2811" s="429" t="s">
        <v>269</v>
      </c>
      <c r="X2811" s="457" t="s">
        <v>278</v>
      </c>
      <c r="Y2811" s="430" t="s">
        <v>324</v>
      </c>
      <c r="Z2811" s="428"/>
      <c r="AA2811" s="698"/>
      <c r="AB2811" s="696"/>
      <c r="AC2811" s="49"/>
      <c r="AD2811" s="429" t="s">
        <v>292</v>
      </c>
      <c r="AE2811" s="431" t="s">
        <v>300</v>
      </c>
      <c r="AF2811" s="468" t="s">
        <v>301</v>
      </c>
      <c r="AG2811" s="49"/>
      <c r="AH2811" s="87"/>
      <c r="AI2811" s="87"/>
    </row>
    <row r="2812" spans="1:35" hidden="1">
      <c r="A2812" s="44"/>
      <c r="B2812" s="76"/>
      <c r="C2812" s="77"/>
      <c r="D2812" s="77"/>
      <c r="E2812" s="77"/>
      <c r="F2812" s="77"/>
      <c r="G2812" s="77"/>
      <c r="H2812" s="77"/>
      <c r="I2812" s="77"/>
      <c r="J2812" s="77"/>
      <c r="K2812" s="77"/>
      <c r="L2812" s="77"/>
      <c r="M2812" s="77"/>
      <c r="N2812" s="77"/>
      <c r="O2812" s="77"/>
      <c r="P2812" s="77"/>
      <c r="Q2812" s="77"/>
      <c r="R2812" s="77"/>
      <c r="S2812" s="78"/>
      <c r="T2812" s="79"/>
      <c r="U2812" s="109"/>
      <c r="V2812" s="49"/>
      <c r="W2812" s="432"/>
      <c r="X2812" s="454"/>
      <c r="Y2812" s="433"/>
      <c r="Z2812" s="6"/>
      <c r="AA2812" s="500"/>
      <c r="AB2812" s="562"/>
      <c r="AC2812" s="49"/>
      <c r="AD2812" s="210"/>
      <c r="AE2812" s="434"/>
      <c r="AF2812" s="435"/>
      <c r="AG2812" s="49"/>
      <c r="AH2812" s="87"/>
      <c r="AI2812" s="87"/>
    </row>
    <row r="2813" spans="1:35" hidden="1">
      <c r="A2813" s="80" t="e">
        <f>"A"&amp;E2809</f>
        <v>#N/A</v>
      </c>
      <c r="B2813" s="81">
        <v>1</v>
      </c>
      <c r="C2813" s="82"/>
      <c r="D2813" s="82"/>
      <c r="E2813" s="82"/>
      <c r="F2813" s="82"/>
      <c r="G2813" s="83"/>
      <c r="H2813" s="83"/>
      <c r="I2813" s="84"/>
      <c r="J2813" s="85"/>
      <c r="K2813" s="382"/>
      <c r="L2813" s="85"/>
      <c r="M2813" s="332" t="str">
        <f t="shared" ref="M2813:M2822" si="826">IF(OR(J2813="",L2813="",H2813="NO"),"",IF(OR(J2813&gt;$P$17,J2813&lt;$O$17,L2813&gt;$P$17,AND(J2813&lt;$O$17,L2813&lt;$O$17)),"FUERA DE RANGO",IF(OR(K2813="---",K2813=""),IF(J2813&gt;=$O$17,ROUND((L2813-J2813+1)/360*12,3),ROUND((L2813-$O$17+1)/360*12,3)),IF(J2813&gt;=$O$17,ROUND((L2813-J2813+1)/360*12-ROUND(K2813,3),3),ROUND((L2813-$O$17+1)/360*12-ROUND(K2813,3),3)))))</f>
        <v/>
      </c>
      <c r="N2813" s="86"/>
      <c r="O2813" s="453" t="str">
        <f>IF(OR(G2813="",N2813=""),"",N2813*G2813)</f>
        <v/>
      </c>
      <c r="P2813" s="538" t="str">
        <f>IF(OR(H2813="",M2813="FUERA DE RANGO"),"",IF(OR(L2813&lt;$O$17,L2813&gt;$P$17,L2813="",H2813="NO"),"",IF(OR(N2813="",O2813=""),"",ROUND(O2813,3))))</f>
        <v/>
      </c>
      <c r="Q2813" s="539" t="str">
        <f t="shared" ref="Q2813:Q2822" si="827">IF(AND(H2813="SI",P2813&lt;&gt;""),ROUND(P2813/M2813,3),"")</f>
        <v/>
      </c>
      <c r="R2813" s="737"/>
      <c r="S2813" s="738"/>
      <c r="T2813" s="739"/>
      <c r="U2813" s="470"/>
      <c r="V2813" s="165"/>
      <c r="W2813" s="446"/>
      <c r="X2813" s="456"/>
      <c r="Y2813" s="436"/>
      <c r="Z2813" s="437"/>
      <c r="AA2813" s="560"/>
      <c r="AB2813" s="561"/>
      <c r="AC2813" s="87"/>
      <c r="AD2813" s="466"/>
      <c r="AE2813" s="456"/>
      <c r="AF2813" s="467"/>
      <c r="AG2813" s="87"/>
      <c r="AH2813" s="87"/>
      <c r="AI2813" s="87"/>
    </row>
    <row r="2814" spans="1:35" hidden="1">
      <c r="A2814" s="80" t="e">
        <f>"B"&amp;E2809</f>
        <v>#N/A</v>
      </c>
      <c r="B2814" s="81">
        <v>2</v>
      </c>
      <c r="C2814" s="106"/>
      <c r="D2814" s="106"/>
      <c r="E2814" s="106"/>
      <c r="F2814" s="106"/>
      <c r="G2814" s="83"/>
      <c r="H2814" s="83"/>
      <c r="I2814" s="84"/>
      <c r="J2814" s="85"/>
      <c r="K2814" s="382"/>
      <c r="L2814" s="85"/>
      <c r="M2814" s="332" t="str">
        <f t="shared" si="826"/>
        <v/>
      </c>
      <c r="N2814" s="86"/>
      <c r="O2814" s="453" t="str">
        <f t="shared" ref="O2814:O2822" si="828">IF(OR(G2814="",N2814=""),"",N2814*G2814)</f>
        <v/>
      </c>
      <c r="P2814" s="538" t="str">
        <f t="shared" ref="P2814:P2822" si="829">IF(OR(H2814="",M2814="FUERA DE RANGO"),"",IF(OR(L2814&lt;$O$17,L2814&gt;$P$17,L2814="",H2814="NO"),"",IF(OR(N2814="",O2814=""),"",ROUND(O2814,3))))</f>
        <v/>
      </c>
      <c r="Q2814" s="539" t="str">
        <f t="shared" si="827"/>
        <v/>
      </c>
      <c r="R2814" s="740"/>
      <c r="S2814" s="741"/>
      <c r="T2814" s="742"/>
      <c r="U2814" s="471"/>
      <c r="V2814" s="165"/>
      <c r="W2814" s="446"/>
      <c r="X2814" s="456"/>
      <c r="Y2814" s="436"/>
      <c r="Z2814" s="437"/>
      <c r="AA2814" s="560"/>
      <c r="AB2814" s="561"/>
      <c r="AC2814" s="87"/>
      <c r="AD2814" s="466"/>
      <c r="AE2814" s="456"/>
      <c r="AF2814" s="467"/>
      <c r="AG2814" s="87"/>
      <c r="AH2814" s="87"/>
      <c r="AI2814" s="87"/>
    </row>
    <row r="2815" spans="1:35" hidden="1">
      <c r="A2815" s="80" t="e">
        <f>"C"&amp;E2809</f>
        <v>#N/A</v>
      </c>
      <c r="B2815" s="88">
        <v>3</v>
      </c>
      <c r="C2815" s="82"/>
      <c r="D2815" s="82"/>
      <c r="E2815" s="82"/>
      <c r="F2815" s="82"/>
      <c r="G2815" s="83"/>
      <c r="H2815" s="83"/>
      <c r="I2815" s="84"/>
      <c r="J2815" s="85"/>
      <c r="K2815" s="382"/>
      <c r="L2815" s="85"/>
      <c r="M2815" s="332" t="str">
        <f t="shared" si="826"/>
        <v/>
      </c>
      <c r="N2815" s="86"/>
      <c r="O2815" s="453" t="str">
        <f t="shared" si="828"/>
        <v/>
      </c>
      <c r="P2815" s="538" t="str">
        <f t="shared" si="829"/>
        <v/>
      </c>
      <c r="Q2815" s="539" t="str">
        <f t="shared" si="827"/>
        <v/>
      </c>
      <c r="R2815" s="706"/>
      <c r="S2815" s="707"/>
      <c r="T2815" s="708"/>
      <c r="U2815" s="472"/>
      <c r="V2815" s="166"/>
      <c r="W2815" s="446"/>
      <c r="X2815" s="456"/>
      <c r="Y2815" s="436"/>
      <c r="Z2815" s="437"/>
      <c r="AA2815" s="560"/>
      <c r="AB2815" s="561"/>
      <c r="AC2815" s="87"/>
      <c r="AD2815" s="466"/>
      <c r="AE2815" s="456"/>
      <c r="AF2815" s="467"/>
      <c r="AG2815" s="87"/>
      <c r="AH2815" s="87"/>
      <c r="AI2815" s="87"/>
    </row>
    <row r="2816" spans="1:35" hidden="1">
      <c r="A2816" s="80" t="e">
        <f>"D"&amp;E2809</f>
        <v>#N/A</v>
      </c>
      <c r="B2816" s="105">
        <v>4</v>
      </c>
      <c r="C2816" s="107"/>
      <c r="D2816" s="107"/>
      <c r="E2816" s="107"/>
      <c r="F2816" s="107"/>
      <c r="G2816" s="83"/>
      <c r="H2816" s="83"/>
      <c r="I2816" s="84"/>
      <c r="J2816" s="85"/>
      <c r="K2816" s="382"/>
      <c r="L2816" s="85"/>
      <c r="M2816" s="332" t="str">
        <f t="shared" si="826"/>
        <v/>
      </c>
      <c r="N2816" s="86"/>
      <c r="O2816" s="453" t="str">
        <f t="shared" si="828"/>
        <v/>
      </c>
      <c r="P2816" s="538" t="str">
        <f t="shared" si="829"/>
        <v/>
      </c>
      <c r="Q2816" s="539" t="str">
        <f t="shared" si="827"/>
        <v/>
      </c>
      <c r="R2816" s="706"/>
      <c r="S2816" s="707"/>
      <c r="T2816" s="708"/>
      <c r="U2816" s="472"/>
      <c r="V2816" s="166"/>
      <c r="W2816" s="446"/>
      <c r="X2816" s="456"/>
      <c r="Y2816" s="436"/>
      <c r="Z2816" s="437"/>
      <c r="AA2816" s="560"/>
      <c r="AB2816" s="561"/>
      <c r="AC2816" s="87"/>
      <c r="AD2816" s="466"/>
      <c r="AE2816" s="456"/>
      <c r="AF2816" s="467"/>
      <c r="AG2816" s="87"/>
      <c r="AH2816" s="87"/>
      <c r="AI2816" s="87"/>
    </row>
    <row r="2817" spans="1:35" hidden="1">
      <c r="A2817" s="80" t="e">
        <f>"E"&amp;E2809</f>
        <v>#N/A</v>
      </c>
      <c r="B2817" s="105">
        <v>5</v>
      </c>
      <c r="C2817" s="107"/>
      <c r="D2817" s="107"/>
      <c r="E2817" s="107"/>
      <c r="F2817" s="107"/>
      <c r="G2817" s="83"/>
      <c r="H2817" s="83"/>
      <c r="I2817" s="84"/>
      <c r="J2817" s="85"/>
      <c r="K2817" s="382"/>
      <c r="L2817" s="85"/>
      <c r="M2817" s="332" t="str">
        <f t="shared" si="826"/>
        <v/>
      </c>
      <c r="N2817" s="86"/>
      <c r="O2817" s="453" t="str">
        <f t="shared" si="828"/>
        <v/>
      </c>
      <c r="P2817" s="538" t="str">
        <f t="shared" si="829"/>
        <v/>
      </c>
      <c r="Q2817" s="539" t="str">
        <f t="shared" si="827"/>
        <v/>
      </c>
      <c r="R2817" s="706"/>
      <c r="S2817" s="707"/>
      <c r="T2817" s="708"/>
      <c r="U2817" s="472"/>
      <c r="V2817" s="167"/>
      <c r="W2817" s="446"/>
      <c r="X2817" s="456"/>
      <c r="Y2817" s="436"/>
      <c r="Z2817" s="437"/>
      <c r="AA2817" s="560"/>
      <c r="AB2817" s="561"/>
      <c r="AC2817" s="87"/>
      <c r="AD2817" s="466"/>
      <c r="AE2817" s="456"/>
      <c r="AF2817" s="467"/>
      <c r="AG2817" s="87"/>
      <c r="AH2817" s="87"/>
      <c r="AI2817" s="87"/>
    </row>
    <row r="2818" spans="1:35" hidden="1">
      <c r="A2818" s="80" t="e">
        <f>"F"&amp;E2809</f>
        <v>#N/A</v>
      </c>
      <c r="B2818" s="105">
        <v>6</v>
      </c>
      <c r="C2818" s="107"/>
      <c r="D2818" s="107"/>
      <c r="E2818" s="107"/>
      <c r="F2818" s="107"/>
      <c r="G2818" s="83"/>
      <c r="H2818" s="83"/>
      <c r="I2818" s="84"/>
      <c r="J2818" s="85"/>
      <c r="K2818" s="382"/>
      <c r="L2818" s="85"/>
      <c r="M2818" s="332" t="str">
        <f t="shared" si="826"/>
        <v/>
      </c>
      <c r="N2818" s="86"/>
      <c r="O2818" s="453" t="str">
        <f t="shared" si="828"/>
        <v/>
      </c>
      <c r="P2818" s="538" t="str">
        <f t="shared" si="829"/>
        <v/>
      </c>
      <c r="Q2818" s="539" t="str">
        <f t="shared" si="827"/>
        <v/>
      </c>
      <c r="R2818" s="706"/>
      <c r="S2818" s="707"/>
      <c r="T2818" s="708"/>
      <c r="U2818" s="472"/>
      <c r="V2818" s="167"/>
      <c r="W2818" s="446"/>
      <c r="X2818" s="456"/>
      <c r="Y2818" s="436"/>
      <c r="Z2818" s="437"/>
      <c r="AA2818" s="560"/>
      <c r="AB2818" s="561"/>
      <c r="AC2818" s="87"/>
      <c r="AD2818" s="466"/>
      <c r="AE2818" s="456"/>
      <c r="AF2818" s="467"/>
      <c r="AG2818" s="87"/>
      <c r="AH2818" s="87"/>
      <c r="AI2818" s="87"/>
    </row>
    <row r="2819" spans="1:35" hidden="1">
      <c r="A2819" s="80" t="e">
        <f>"G"&amp;E2809</f>
        <v>#N/A</v>
      </c>
      <c r="B2819" s="105">
        <v>7</v>
      </c>
      <c r="C2819" s="107"/>
      <c r="D2819" s="107"/>
      <c r="E2819" s="107"/>
      <c r="F2819" s="107"/>
      <c r="G2819" s="83"/>
      <c r="H2819" s="83"/>
      <c r="I2819" s="84"/>
      <c r="J2819" s="85"/>
      <c r="K2819" s="382"/>
      <c r="L2819" s="85"/>
      <c r="M2819" s="332" t="str">
        <f t="shared" si="826"/>
        <v/>
      </c>
      <c r="N2819" s="86"/>
      <c r="O2819" s="86" t="str">
        <f t="shared" si="828"/>
        <v/>
      </c>
      <c r="P2819" s="538" t="str">
        <f t="shared" si="829"/>
        <v/>
      </c>
      <c r="Q2819" s="539" t="str">
        <f t="shared" si="827"/>
        <v/>
      </c>
      <c r="R2819" s="706"/>
      <c r="S2819" s="707"/>
      <c r="T2819" s="708"/>
      <c r="U2819" s="472"/>
      <c r="V2819" s="167"/>
      <c r="W2819" s="446"/>
      <c r="X2819" s="456"/>
      <c r="Y2819" s="436"/>
      <c r="Z2819" s="437"/>
      <c r="AA2819" s="560"/>
      <c r="AB2819" s="561"/>
      <c r="AC2819" s="87"/>
      <c r="AD2819" s="466"/>
      <c r="AE2819" s="456"/>
      <c r="AF2819" s="467"/>
      <c r="AG2819" s="87"/>
      <c r="AH2819" s="87"/>
      <c r="AI2819" s="87"/>
    </row>
    <row r="2820" spans="1:35" hidden="1">
      <c r="A2820" s="80" t="e">
        <f>"H"&amp;E2809</f>
        <v>#N/A</v>
      </c>
      <c r="B2820" s="105">
        <v>8</v>
      </c>
      <c r="C2820" s="107"/>
      <c r="D2820" s="107"/>
      <c r="E2820" s="107"/>
      <c r="F2820" s="107"/>
      <c r="G2820" s="83"/>
      <c r="H2820" s="83"/>
      <c r="I2820" s="84"/>
      <c r="J2820" s="85"/>
      <c r="K2820" s="382"/>
      <c r="L2820" s="85"/>
      <c r="M2820" s="332" t="str">
        <f t="shared" si="826"/>
        <v/>
      </c>
      <c r="N2820" s="453"/>
      <c r="O2820" s="86" t="str">
        <f t="shared" si="828"/>
        <v/>
      </c>
      <c r="P2820" s="538" t="str">
        <f t="shared" si="829"/>
        <v/>
      </c>
      <c r="Q2820" s="539" t="str">
        <f t="shared" si="827"/>
        <v/>
      </c>
      <c r="R2820" s="706"/>
      <c r="S2820" s="707"/>
      <c r="T2820" s="708"/>
      <c r="U2820" s="472"/>
      <c r="V2820" s="167"/>
      <c r="W2820" s="446"/>
      <c r="X2820" s="456"/>
      <c r="Y2820" s="436"/>
      <c r="Z2820" s="437"/>
      <c r="AA2820" s="560"/>
      <c r="AB2820" s="561"/>
      <c r="AC2820" s="87"/>
      <c r="AD2820" s="466"/>
      <c r="AE2820" s="456"/>
      <c r="AF2820" s="467"/>
      <c r="AG2820" s="87"/>
      <c r="AH2820" s="87"/>
      <c r="AI2820" s="87"/>
    </row>
    <row r="2821" spans="1:35" hidden="1">
      <c r="A2821" s="80" t="e">
        <f>"I"&amp;E2809</f>
        <v>#N/A</v>
      </c>
      <c r="B2821" s="105">
        <v>9</v>
      </c>
      <c r="C2821" s="107"/>
      <c r="D2821" s="107"/>
      <c r="E2821" s="107"/>
      <c r="F2821" s="107"/>
      <c r="G2821" s="83"/>
      <c r="H2821" s="83"/>
      <c r="I2821" s="84"/>
      <c r="J2821" s="85"/>
      <c r="K2821" s="382"/>
      <c r="L2821" s="85"/>
      <c r="M2821" s="332" t="str">
        <f t="shared" si="826"/>
        <v/>
      </c>
      <c r="N2821" s="453"/>
      <c r="O2821" s="86" t="str">
        <f t="shared" si="828"/>
        <v/>
      </c>
      <c r="P2821" s="538" t="str">
        <f t="shared" si="829"/>
        <v/>
      </c>
      <c r="Q2821" s="539" t="str">
        <f t="shared" si="827"/>
        <v/>
      </c>
      <c r="R2821" s="706"/>
      <c r="S2821" s="707"/>
      <c r="T2821" s="708"/>
      <c r="U2821" s="472"/>
      <c r="V2821" s="167"/>
      <c r="W2821" s="446"/>
      <c r="X2821" s="456"/>
      <c r="Y2821" s="436"/>
      <c r="Z2821" s="437"/>
      <c r="AA2821" s="560"/>
      <c r="AB2821" s="561"/>
      <c r="AC2821" s="87"/>
      <c r="AD2821" s="466"/>
      <c r="AE2821" s="456"/>
      <c r="AF2821" s="467"/>
      <c r="AG2821" s="87"/>
      <c r="AH2821" s="87"/>
      <c r="AI2821" s="87"/>
    </row>
    <row r="2822" spans="1:35" hidden="1">
      <c r="A2822" s="80" t="e">
        <f>"J"&amp;E2809</f>
        <v>#N/A</v>
      </c>
      <c r="B2822" s="105">
        <v>10</v>
      </c>
      <c r="C2822" s="107"/>
      <c r="D2822" s="107"/>
      <c r="E2822" s="107"/>
      <c r="F2822" s="107"/>
      <c r="G2822" s="83"/>
      <c r="H2822" s="83"/>
      <c r="I2822" s="84"/>
      <c r="J2822" s="85"/>
      <c r="K2822" s="382"/>
      <c r="L2822" s="85"/>
      <c r="M2822" s="332" t="str">
        <f t="shared" si="826"/>
        <v/>
      </c>
      <c r="N2822" s="453"/>
      <c r="O2822" s="86" t="str">
        <f t="shared" si="828"/>
        <v/>
      </c>
      <c r="P2822" s="538" t="str">
        <f t="shared" si="829"/>
        <v/>
      </c>
      <c r="Q2822" s="539" t="str">
        <f t="shared" si="827"/>
        <v/>
      </c>
      <c r="R2822" s="706"/>
      <c r="S2822" s="707"/>
      <c r="T2822" s="708"/>
      <c r="U2822" s="472"/>
      <c r="V2822" s="167"/>
      <c r="W2822" s="446"/>
      <c r="X2822" s="456"/>
      <c r="Y2822" s="436"/>
      <c r="Z2822" s="437"/>
      <c r="AA2822" s="560"/>
      <c r="AB2822" s="561"/>
      <c r="AC2822" s="87"/>
      <c r="AD2822" s="466"/>
      <c r="AE2822" s="456"/>
      <c r="AF2822" s="467"/>
      <c r="AG2822" s="87"/>
      <c r="AH2822" s="87"/>
      <c r="AI2822" s="87"/>
    </row>
    <row r="2823" spans="1:35" ht="16.5" hidden="1" thickBot="1">
      <c r="A2823" s="44"/>
      <c r="B2823" s="89"/>
      <c r="C2823" s="90"/>
      <c r="D2823" s="90"/>
      <c r="E2823" s="90"/>
      <c r="F2823" s="90"/>
      <c r="G2823" s="90"/>
      <c r="H2823" s="90"/>
      <c r="I2823" s="90"/>
      <c r="J2823" s="90"/>
      <c r="K2823" s="90"/>
      <c r="L2823" s="90"/>
      <c r="M2823" s="90"/>
      <c r="N2823" s="90"/>
      <c r="O2823" s="90"/>
      <c r="P2823" s="90"/>
      <c r="Q2823" s="90"/>
      <c r="R2823" s="90"/>
      <c r="S2823" s="91"/>
      <c r="T2823" s="92"/>
      <c r="U2823" s="473"/>
      <c r="W2823" s="438"/>
      <c r="X2823" s="455"/>
      <c r="Y2823" s="439"/>
      <c r="Z2823" s="437"/>
      <c r="AA2823" s="530"/>
      <c r="AB2823" s="563"/>
      <c r="AC2823" s="87"/>
      <c r="AD2823" s="440"/>
      <c r="AE2823" s="441"/>
      <c r="AF2823" s="442"/>
      <c r="AG2823" s="49"/>
      <c r="AH2823" s="87"/>
      <c r="AI2823" s="87"/>
    </row>
    <row r="2824" spans="1:35" ht="16.5" hidden="1" thickBot="1">
      <c r="A2824" s="93"/>
      <c r="B2824" s="94"/>
      <c r="C2824" s="96"/>
      <c r="D2824" s="96"/>
      <c r="E2824" s="96"/>
      <c r="F2824" s="96"/>
      <c r="G2824" s="96"/>
      <c r="H2824" s="96"/>
      <c r="I2824" s="96"/>
      <c r="J2824" s="96"/>
      <c r="K2824" s="96"/>
      <c r="L2824" s="96"/>
      <c r="M2824" s="136"/>
      <c r="N2824" s="96"/>
      <c r="O2824" s="96"/>
      <c r="P2824" s="97"/>
      <c r="Q2824" s="97"/>
      <c r="R2824" s="98"/>
      <c r="S2824" s="95"/>
      <c r="T2824" s="99"/>
      <c r="U2824" s="469"/>
      <c r="AC2824" s="58"/>
      <c r="AG2824" s="58"/>
      <c r="AH2824" s="87"/>
      <c r="AI2824" s="87"/>
    </row>
    <row r="2825" spans="1:35" ht="16.5" hidden="1" thickBot="1">
      <c r="B2825" s="101"/>
      <c r="C2825" s="101"/>
      <c r="D2825" s="101"/>
      <c r="E2825" s="101"/>
      <c r="F2825" s="101"/>
      <c r="G2825" s="101"/>
      <c r="H2825" s="101"/>
      <c r="I2825" s="101"/>
      <c r="J2825" s="101"/>
      <c r="K2825" s="101"/>
      <c r="L2825" s="101"/>
      <c r="M2825" s="101"/>
      <c r="N2825" s="101"/>
      <c r="O2825" s="101"/>
      <c r="P2825" s="101"/>
      <c r="Q2825" s="101"/>
      <c r="R2825" s="101"/>
      <c r="S2825" s="101"/>
      <c r="U2825" s="50"/>
      <c r="AH2825" s="87"/>
      <c r="AI2825" s="87"/>
    </row>
    <row r="2826" spans="1:35" ht="16.5" hidden="1" customHeight="1" thickBot="1">
      <c r="A2826" s="44"/>
      <c r="B2826" s="705" t="s">
        <v>74</v>
      </c>
      <c r="C2826" s="705"/>
      <c r="D2826" s="705"/>
      <c r="E2826" s="705"/>
      <c r="F2826" s="705"/>
      <c r="G2826" s="705"/>
      <c r="H2826" s="705"/>
      <c r="I2826" s="705"/>
      <c r="J2826" s="705"/>
      <c r="K2826" s="705"/>
      <c r="L2826" s="705"/>
      <c r="M2826" s="705"/>
      <c r="N2826" s="705"/>
      <c r="O2826" s="705"/>
      <c r="P2826" s="705"/>
      <c r="Q2826" s="705"/>
      <c r="R2826" s="705"/>
      <c r="S2826" s="705"/>
      <c r="T2826" s="705"/>
      <c r="U2826" s="108"/>
      <c r="Y2826" s="532" t="s">
        <v>341</v>
      </c>
      <c r="AC2826" s="49"/>
      <c r="AD2826" s="687" t="s">
        <v>302</v>
      </c>
      <c r="AE2826" s="688"/>
      <c r="AF2826" s="689"/>
      <c r="AG2826" s="49"/>
      <c r="AH2826" s="87"/>
      <c r="AI2826" s="87"/>
    </row>
    <row r="2827" spans="1:35" ht="15.75" hidden="1" customHeight="1" thickBot="1">
      <c r="A2827" s="218" t="e">
        <f>"K"&amp;E2809</f>
        <v>#N/A</v>
      </c>
      <c r="B2827" s="701" t="s">
        <v>71</v>
      </c>
      <c r="C2827" s="751" t="s">
        <v>102</v>
      </c>
      <c r="D2827" s="751"/>
      <c r="E2827" s="751"/>
      <c r="F2827" s="751"/>
      <c r="G2827" s="751"/>
      <c r="H2827" s="751"/>
      <c r="I2827" s="751"/>
      <c r="J2827" s="751"/>
      <c r="K2827" s="751"/>
      <c r="L2827" s="722" t="s">
        <v>100</v>
      </c>
      <c r="M2827" s="747" t="s">
        <v>114</v>
      </c>
      <c r="N2827" s="747"/>
      <c r="O2827" s="747"/>
      <c r="P2827" s="747"/>
      <c r="Q2827" s="748"/>
      <c r="R2827" s="758" t="s">
        <v>280</v>
      </c>
      <c r="S2827" s="748"/>
      <c r="T2827" s="762" t="str">
        <f>IF(COUNTIF(AE2827:AF2827,"VERIFICAR")&gt;0,"VERIFICAR",IF(COUNTIF(AE2827:AF2827,"NO CUMPLE")&gt;0,"NO CUMPLE","CUMPLE"))</f>
        <v>VERIFICAR</v>
      </c>
      <c r="U2827" s="108"/>
      <c r="Y2827" s="533" t="e">
        <f>IF(F2828="","",IF(F2828=1,"INDIVIDUAL","ESTRUCTURA PLURAL"))</f>
        <v>#N/A</v>
      </c>
      <c r="AC2827" s="52"/>
      <c r="AD2827" s="475" t="s">
        <v>303</v>
      </c>
      <c r="AE2827" s="476" t="str">
        <f>IF(COUNTIF(AE2813:AE2822,"")=10,"VERIFICAR",IF(COUNTIF(AE2813:AE2822,"SI")&gt;0,"CUMPLE","NO CUMPLE"))</f>
        <v>VERIFICAR</v>
      </c>
      <c r="AF2827" s="477" t="str">
        <f>IF(COUNTIF(AF2813:AF2822,"")=10,"VERIFICAR",IF(COUNTIF(AF2813:AF2822,"SI")&gt;=$AI$22,"CUMPLE","NO CUMPLE"))</f>
        <v>VERIFICAR</v>
      </c>
      <c r="AG2827" s="52"/>
      <c r="AH2827" s="87"/>
      <c r="AI2827" s="87"/>
    </row>
    <row r="2828" spans="1:35" ht="16.5" hidden="1" customHeight="1" thickBot="1">
      <c r="A2828" s="218" t="e">
        <f>"L"&amp;E2809</f>
        <v>#N/A</v>
      </c>
      <c r="B2828" s="702"/>
      <c r="C2828" s="751" t="s">
        <v>103</v>
      </c>
      <c r="D2828" s="751"/>
      <c r="E2828" s="752"/>
      <c r="F2828" s="557" t="e">
        <f>IF(VLOOKUP(E2809,PROPONENTES!$C$19:$E$218,3,0)="","",VLOOKUP(E2809,PROPONENTES!$C$19:$E$218,3,0))</f>
        <v>#N/A</v>
      </c>
      <c r="G2828" s="753" t="s">
        <v>104</v>
      </c>
      <c r="H2828" s="751"/>
      <c r="I2828" s="715" t="e">
        <f>IF(OR(F2828="",F2828=1),"INTERESADO PERSONA NATURAL O JURIDICA","CONSORCIO O UNION TEMPORAL")</f>
        <v>#N/A</v>
      </c>
      <c r="J2828" s="725"/>
      <c r="K2828" s="728"/>
      <c r="L2828" s="723"/>
      <c r="M2828" s="749"/>
      <c r="N2828" s="749"/>
      <c r="O2828" s="749"/>
      <c r="P2828" s="749"/>
      <c r="Q2828" s="750"/>
      <c r="R2828" s="712"/>
      <c r="S2828" s="750"/>
      <c r="T2828" s="763"/>
      <c r="U2828" s="108"/>
      <c r="Y2828" s="534"/>
      <c r="AA2828" s="52"/>
      <c r="AB2828" s="52"/>
      <c r="AC2828" s="52"/>
      <c r="AG2828" s="52"/>
      <c r="AH2828" s="87"/>
      <c r="AI2828" s="87"/>
    </row>
    <row r="2829" spans="1:35" ht="56.25" hidden="1" customHeight="1" thickBot="1">
      <c r="A2829" s="218" t="e">
        <f>"M"&amp;E2809</f>
        <v>#N/A</v>
      </c>
      <c r="B2829" s="702"/>
      <c r="C2829" s="725" t="s">
        <v>101</v>
      </c>
      <c r="D2829" s="716"/>
      <c r="E2829" s="558" t="s">
        <v>105</v>
      </c>
      <c r="F2829" s="554" t="s">
        <v>87</v>
      </c>
      <c r="G2829" s="553" t="s">
        <v>86</v>
      </c>
      <c r="H2829" s="559" t="s">
        <v>85</v>
      </c>
      <c r="I2829" s="554" t="s">
        <v>252</v>
      </c>
      <c r="J2829" s="553" t="str">
        <f>"¿EL INTEGRANTE TIENE UNA PARTICIPACIÓN DEL "&amp;PORCREQUERIDOINT*100&amp;"%?"</f>
        <v>¿EL INTEGRANTE TIENE UNA PARTICIPACIÓN DEL 60%?</v>
      </c>
      <c r="K2829" s="554" t="s">
        <v>107</v>
      </c>
      <c r="L2829" s="724"/>
      <c r="M2829" s="717" t="s">
        <v>115</v>
      </c>
      <c r="N2829" s="718"/>
      <c r="O2829" s="718"/>
      <c r="P2829" s="718"/>
      <c r="Q2829" s="223">
        <f>IF(AND(H2813="SI",P2813&gt;=0),1,0)+IF(AND(H2814="SI",P2814&gt;=0),1,0)+IF(AND(H2815="SI",P2815&gt;=0),1,0)+IF(AND(H2816="SI",P2816&gt;=0),1,0)+IF(AND(H2817="SI",P2817&gt;=0),1,0)+IF(AND(H2818="SI",P2818&gt;=0),1,0)+IF(AND(H2819="SI",P2819&gt;=0),1,0)+IF(AND(H2820="SI",P2820&gt;=0),1,0)+IF(AND(H2821="SI",P2821&gt;=0),1,0)+IF(AND(H2822="SI",P2822&gt;=0),1,0)</f>
        <v>0</v>
      </c>
      <c r="R2829" s="759"/>
      <c r="S2829" s="761"/>
      <c r="T2829" s="764"/>
      <c r="U2829" s="219"/>
      <c r="V2829" s="464"/>
      <c r="Y2829" s="532" t="s">
        <v>342</v>
      </c>
      <c r="AA2829" s="550" t="s">
        <v>344</v>
      </c>
      <c r="AB2829" s="693" t="s">
        <v>345</v>
      </c>
      <c r="AC2829" s="693" t="s">
        <v>346</v>
      </c>
      <c r="AD2829" s="685" t="s">
        <v>347</v>
      </c>
      <c r="AE2829" s="52"/>
      <c r="AF2829" s="52"/>
      <c r="AG2829" s="52"/>
      <c r="AH2829" s="87"/>
      <c r="AI2829" s="87"/>
    </row>
    <row r="2830" spans="1:35" ht="15.75" hidden="1" customHeight="1" thickBot="1">
      <c r="A2830" s="218" t="e">
        <f>"N"&amp;E2809</f>
        <v>#N/A</v>
      </c>
      <c r="B2830" s="702"/>
      <c r="C2830" s="114">
        <v>1</v>
      </c>
      <c r="D2830" s="194" t="e">
        <f>IF(AND(C2830&lt;=F2828,F2828&gt;1,F2828&lt;&gt;""),VLOOKUP(VALUE(E2809&amp;","&amp;C2830),INTEGRANTES!$D$18:$F$235,2,0),"")</f>
        <v>#N/A</v>
      </c>
      <c r="E2830" s="211" t="e">
        <f>IF(D2830&lt;&gt;"",VLOOKUP(VALUE(E2809&amp;","&amp;C2830),INTEGRANTES!$D$18:$F$235,3,0),"")</f>
        <v>#N/A</v>
      </c>
      <c r="F2830" s="547" t="e">
        <f>IF(D2830="","",SUMIF($I2813:$I2822,D2830,$P2813:$P2822))</f>
        <v>#N/A</v>
      </c>
      <c r="G2830" s="333" t="e">
        <f>IF(D2830="","",SUMIF($I2813:$I2822,D2830,$M2813:$M2822))</f>
        <v>#N/A</v>
      </c>
      <c r="H2830" s="535" t="e">
        <f t="shared" ref="H2830:H2835" si="830">IF(D2830="","",IF(OR(F2830=0,G2830=0),"NO APORTA",ROUND($F2830/$G2830,3)))</f>
        <v>#N/A</v>
      </c>
      <c r="I2830" s="212" t="e">
        <f>IF(D2830="","",IF(H2830="NO APORTA","NO",IF(H2830=MAX($H2830:$H2835),"SI","NO")))</f>
        <v>#N/A</v>
      </c>
      <c r="J2830" s="213" t="e">
        <f t="shared" ref="J2830:J2835" si="831">IF(D2830="","",IF(E2830&gt;=PORCREQUERIDOINT,"SI","NO"))</f>
        <v>#N/A</v>
      </c>
      <c r="K2830" s="200" t="e">
        <f t="shared" ref="K2830:K2835" si="832">IF(D2830="","",IF(AND(I2830="SI",J2830="SI"),"CUMPLE",IF(AND(I2830="NO",OR(J2830="SI",J2830="NO")),"","NO CUMPLE")))</f>
        <v>#N/A</v>
      </c>
      <c r="L2830" s="722" t="s">
        <v>108</v>
      </c>
      <c r="M2830" s="726" t="s">
        <v>119</v>
      </c>
      <c r="N2830" s="726"/>
      <c r="O2830" s="726"/>
      <c r="P2830" s="726"/>
      <c r="Q2830" s="727"/>
      <c r="R2830" s="758" t="s">
        <v>80</v>
      </c>
      <c r="S2830" s="747"/>
      <c r="T2830" s="748"/>
      <c r="U2830" s="219"/>
      <c r="V2830" s="464"/>
      <c r="Y2830" s="533" t="e">
        <f>IF(Y2827="","",IF(Y2827="INDIVIDUAL","NO APLICA","VERIFICAR CUADRO"))</f>
        <v>#N/A</v>
      </c>
      <c r="AA2830" s="551"/>
      <c r="AB2830" s="694"/>
      <c r="AC2830" s="694"/>
      <c r="AD2830" s="686"/>
      <c r="AE2830" s="52"/>
      <c r="AF2830" s="52"/>
      <c r="AG2830" s="52"/>
      <c r="AH2830" s="87"/>
      <c r="AI2830" s="87"/>
    </row>
    <row r="2831" spans="1:35" ht="27" hidden="1" customHeight="1" thickBot="1">
      <c r="A2831" s="218" t="e">
        <f>"O"&amp;E2809</f>
        <v>#N/A</v>
      </c>
      <c r="B2831" s="702"/>
      <c r="C2831" s="114">
        <v>2</v>
      </c>
      <c r="D2831" s="194" t="e">
        <f>IF(AND(C2831&lt;=F2828,F2828&lt;&gt;""),VLOOKUP(VALUE(E2809&amp;","&amp;C2831),INTEGRANTES!$D$18:$F$235,2,0),"")</f>
        <v>#N/A</v>
      </c>
      <c r="E2831" s="211" t="e">
        <f>IF(D2831&lt;&gt;"",VLOOKUP(VALUE(E2809&amp;","&amp;C2831),INTEGRANTES!$D$18:$F$235,3,0),"")</f>
        <v>#N/A</v>
      </c>
      <c r="F2831" s="547" t="e">
        <f>IF(D2831="","",SUMIF($I2813:$I2822,D2831,$P2813:$P2822))</f>
        <v>#N/A</v>
      </c>
      <c r="G2831" s="333" t="e">
        <f>IF(D2831="","",SUMIF($I2813:$I2822,D2831,$M2813:$M2822))</f>
        <v>#N/A</v>
      </c>
      <c r="H2831" s="535" t="e">
        <f t="shared" si="830"/>
        <v>#N/A</v>
      </c>
      <c r="I2831" s="212" t="e">
        <f>IF(D2831="","",IF(H2831="NO APORTA","NO",IF(H2831=MAX($H2830:$H2835),"SI","NO")))</f>
        <v>#N/A</v>
      </c>
      <c r="J2831" s="213" t="e">
        <f t="shared" si="831"/>
        <v>#N/A</v>
      </c>
      <c r="K2831" s="200" t="e">
        <f t="shared" si="832"/>
        <v>#N/A</v>
      </c>
      <c r="L2831" s="723"/>
      <c r="M2831" s="715" t="s">
        <v>116</v>
      </c>
      <c r="N2831" s="716"/>
      <c r="O2831" s="556" t="s">
        <v>113</v>
      </c>
      <c r="P2831" s="715" t="s">
        <v>117</v>
      </c>
      <c r="Q2831" s="728"/>
      <c r="R2831" s="759"/>
      <c r="S2831" s="760"/>
      <c r="T2831" s="761"/>
      <c r="U2831" s="219"/>
      <c r="V2831" s="464"/>
      <c r="Y2831" s="414"/>
      <c r="AA2831" s="542" t="e">
        <f>IF(AND(C2830&lt;=F2828,F2828&gt;1,F2828&lt;&gt;""),VLOOKUP(VALUE(E2809&amp;","&amp;C2830),INTEGRANTES!$D$18:$F$235,2,0),"")</f>
        <v>#N/A</v>
      </c>
      <c r="AB2831" s="544" t="e">
        <f t="shared" ref="AB2831:AB2836" si="833">IF(D2830="","",IF(OR(F2830=0,G2830=0),"NO APORTA",ROUND($F2830/$G2830,3)))</f>
        <v>#N/A</v>
      </c>
      <c r="AC2831" s="529"/>
      <c r="AD2831" s="200" t="e">
        <f t="shared" ref="AD2831:AD2836" si="834">IF(OR(AA2831="",AB2831=""),"",IF(AND(AC2831="X",AB2831&gt;=EXPREQVTD),"CUMPLE","NO CUMPLE"))</f>
        <v>#N/A</v>
      </c>
      <c r="AE2831" s="52"/>
      <c r="AF2831" s="52"/>
      <c r="AG2831" s="52"/>
      <c r="AH2831" s="87"/>
      <c r="AI2831" s="87"/>
    </row>
    <row r="2832" spans="1:35" ht="16.5" hidden="1" thickBot="1">
      <c r="A2832" s="218" t="e">
        <f>"P"&amp;E2809</f>
        <v>#N/A</v>
      </c>
      <c r="B2832" s="702"/>
      <c r="C2832" s="114">
        <v>3</v>
      </c>
      <c r="D2832" s="194" t="e">
        <f>IF(AND(C2832&lt;=F2828,F2828&lt;&gt;""),VLOOKUP(VALUE(E2809&amp;","&amp;C2832),INTEGRANTES!$D$18:$F$235,2,0),"")</f>
        <v>#N/A</v>
      </c>
      <c r="E2832" s="211" t="e">
        <f>IF(D2832&lt;&gt;"",VLOOKUP(VALUE(E2809&amp;","&amp;C2832),INTEGRANTES!$D$18:$F$235,3,0),"")</f>
        <v>#N/A</v>
      </c>
      <c r="F2832" s="547" t="e">
        <f>IF(D2832="","",SUMIF($I2813:$I2822,D2832,$P2813:$P2822))</f>
        <v>#N/A</v>
      </c>
      <c r="G2832" s="333" t="e">
        <f>IF(D2832="","",SUMIF($I2813:$I2822,D2832,$M2813:$M2822))</f>
        <v>#N/A</v>
      </c>
      <c r="H2832" s="535" t="e">
        <f t="shared" si="830"/>
        <v>#N/A</v>
      </c>
      <c r="I2832" s="212" t="e">
        <f>IF(D2832="","",IF(H2832="NO APORTA","NO",IF(H2832=MAX($H2830:$H2835),"SI","NO")))</f>
        <v>#N/A</v>
      </c>
      <c r="J2832" s="213" t="e">
        <f t="shared" si="831"/>
        <v>#N/A</v>
      </c>
      <c r="K2832" s="200" t="e">
        <f t="shared" si="832"/>
        <v>#N/A</v>
      </c>
      <c r="L2832" s="724"/>
      <c r="M2832" s="729">
        <f>NUMMOD</f>
        <v>1</v>
      </c>
      <c r="N2832" s="730"/>
      <c r="O2832" s="443">
        <f>IF(M2832="","",VLOOKUP(M2832,PRESUPUESTOS!$B$16:$H$16,5,FALSE))</f>
        <v>2</v>
      </c>
      <c r="P2832" s="713">
        <f>IF(OR(COUNTIF(M2813:M2822,"")&gt;=10,Q2829&lt;NUMMINCONT,OR(T2827="NO CUMPLE",T2827="VERIFICAR")),0,ROUND(AVERAGE(M2813:M2822),3))</f>
        <v>0</v>
      </c>
      <c r="Q2832" s="714"/>
      <c r="R2832" s="458"/>
      <c r="S2832" s="459"/>
      <c r="T2832" s="460"/>
      <c r="U2832" s="219"/>
      <c r="V2832" s="464"/>
      <c r="Y2832" s="532" t="str">
        <f>"40% * ("&amp;PRESUPUESTOS!$H$13&amp;")"</f>
        <v>40% * (50% PFMO)</v>
      </c>
      <c r="AA2832" s="540" t="e">
        <f>IF(AND(C2831&lt;=F2828,F2828&lt;&gt;""),VLOOKUP(VALUE(E2809&amp;","&amp;C2831),INTEGRANTES!$D$18:$F$235,2,0),"")</f>
        <v>#N/A</v>
      </c>
      <c r="AB2832" s="545" t="e">
        <f t="shared" si="833"/>
        <v>#N/A</v>
      </c>
      <c r="AC2832" s="529"/>
      <c r="AD2832" s="200" t="e">
        <f t="shared" si="834"/>
        <v>#N/A</v>
      </c>
      <c r="AE2832" s="52"/>
      <c r="AF2832" s="52"/>
      <c r="AG2832" s="52"/>
      <c r="AH2832" s="87"/>
      <c r="AI2832" s="87"/>
    </row>
    <row r="2833" spans="1:35" ht="15.75" hidden="1" customHeight="1" thickBot="1">
      <c r="A2833" s="218" t="e">
        <f>"Q"&amp;E2809</f>
        <v>#N/A</v>
      </c>
      <c r="B2833" s="702"/>
      <c r="C2833" s="114">
        <v>4</v>
      </c>
      <c r="D2833" s="194" t="e">
        <f>IF(AND(C2833&lt;=F2828,F2828&lt;&gt;""),VLOOKUP(VALUE(E2809&amp;","&amp;C2833),INTEGRANTES!$D$18:$F$235,2,0),"")</f>
        <v>#N/A</v>
      </c>
      <c r="E2833" s="211" t="e">
        <f>IF(D2833&lt;&gt;"",VLOOKUP(VALUE(E2809&amp;","&amp;C2833),INTEGRANTES!$D$18:$F$235,3,0),"")</f>
        <v>#N/A</v>
      </c>
      <c r="F2833" s="547" t="e">
        <f>IF(D2833="","",SUMIF($I2813:$I2822,D2833,$P2813:$P2822))</f>
        <v>#N/A</v>
      </c>
      <c r="G2833" s="333" t="e">
        <f>IF(D2833="","",SUMIF($I2813:$I2822,D2833,$M2813:$M2822))</f>
        <v>#N/A</v>
      </c>
      <c r="H2833" s="535" t="e">
        <f t="shared" si="830"/>
        <v>#N/A</v>
      </c>
      <c r="I2833" s="212" t="e">
        <f>IF(D2833="","",IF(H2833="NO APORTA","NO",IF(H2833=MAX($H2830:$H2835),"SI","NO")))</f>
        <v>#N/A</v>
      </c>
      <c r="J2833" s="213" t="e">
        <f t="shared" si="831"/>
        <v>#N/A</v>
      </c>
      <c r="K2833" s="200" t="e">
        <f t="shared" si="832"/>
        <v>#N/A</v>
      </c>
      <c r="L2833" s="720" t="s">
        <v>109</v>
      </c>
      <c r="M2833" s="757" t="s">
        <v>120</v>
      </c>
      <c r="N2833" s="726"/>
      <c r="O2833" s="726"/>
      <c r="P2833" s="726"/>
      <c r="Q2833" s="727"/>
      <c r="R2833" s="458"/>
      <c r="S2833" s="459"/>
      <c r="T2833" s="460"/>
      <c r="U2833" s="219"/>
      <c r="V2833" s="464"/>
      <c r="Y2833" s="537">
        <f>0.4*PRESUPUESTOS!$H$16</f>
        <v>10.3124</v>
      </c>
      <c r="AA2833" s="540" t="e">
        <f>IF(AND(C2832&lt;=F2828,F2828&lt;&gt;""),VLOOKUP(VALUE(E2809&amp;","&amp;C2832),INTEGRANTES!$D$18:$F$235,2,0),"")</f>
        <v>#N/A</v>
      </c>
      <c r="AB2833" s="545" t="e">
        <f t="shared" si="833"/>
        <v>#N/A</v>
      </c>
      <c r="AC2833" s="529"/>
      <c r="AD2833" s="200" t="e">
        <f t="shared" si="834"/>
        <v>#N/A</v>
      </c>
      <c r="AE2833" s="52"/>
      <c r="AF2833" s="52"/>
      <c r="AG2833" s="52"/>
      <c r="AH2833" s="87"/>
      <c r="AI2833" s="87"/>
    </row>
    <row r="2834" spans="1:35" ht="27" hidden="1" customHeight="1" thickBot="1">
      <c r="A2834" s="218" t="e">
        <f>"R"&amp;E2809</f>
        <v>#N/A</v>
      </c>
      <c r="B2834" s="702"/>
      <c r="C2834" s="114">
        <v>5</v>
      </c>
      <c r="D2834" s="194" t="e">
        <f>IF(AND(C2834&lt;=F2828,F2828&lt;&gt;""),VLOOKUP(VALUE(E2809&amp;","&amp;C2834),INTEGRANTES!$D$18:$F$235,2,0),"")</f>
        <v>#N/A</v>
      </c>
      <c r="E2834" s="211" t="e">
        <f>IF(D2834&lt;&gt;"",VLOOKUP(VALUE(E2809&amp;","&amp;C2834),INTEGRANTES!$D$18:$F$235,3,0),"")</f>
        <v>#N/A</v>
      </c>
      <c r="F2834" s="547" t="e">
        <f>IF(D2834="","",SUMIF($I2813:$I2822,D2834,$P2813:$P2822))</f>
        <v>#N/A</v>
      </c>
      <c r="G2834" s="333" t="e">
        <f>IF(D2834="","",SUMIF($I2813:$I2822,D2834,$M2813:$M2822))</f>
        <v>#N/A</v>
      </c>
      <c r="H2834" s="535" t="e">
        <f t="shared" si="830"/>
        <v>#N/A</v>
      </c>
      <c r="I2834" s="212" t="e">
        <f>IF(D2834="","",IF(H2834="NO APORTA","NO",IF(H2834=MAX($H2830:$H2835),"SI","NO")))</f>
        <v>#N/A</v>
      </c>
      <c r="J2834" s="213" t="e">
        <f t="shared" si="831"/>
        <v>#N/A</v>
      </c>
      <c r="K2834" s="200" t="e">
        <f t="shared" si="832"/>
        <v>#N/A</v>
      </c>
      <c r="L2834" s="721"/>
      <c r="M2834" s="715" t="s">
        <v>116</v>
      </c>
      <c r="N2834" s="716"/>
      <c r="O2834" s="556" t="str">
        <f>PORCREQUERIDO*100&amp;"% PMFO DEL MÓDULO"</f>
        <v>50% PMFO DEL MÓDULO</v>
      </c>
      <c r="P2834" s="715" t="s">
        <v>118</v>
      </c>
      <c r="Q2834" s="728"/>
      <c r="R2834" s="458"/>
      <c r="S2834" s="459"/>
      <c r="T2834" s="460"/>
      <c r="U2834" s="219"/>
      <c r="V2834" s="464"/>
      <c r="Y2834" s="414"/>
      <c r="AA2834" s="540" t="e">
        <f>IF(AND(C2833&lt;=F2828,F2828&lt;&gt;""),VLOOKUP(VALUE(E2809&amp;","&amp;C2833),INTEGRANTES!$D$18:$F$235,2,0),"")</f>
        <v>#N/A</v>
      </c>
      <c r="AB2834" s="545" t="e">
        <f t="shared" si="833"/>
        <v>#N/A</v>
      </c>
      <c r="AC2834" s="529"/>
      <c r="AD2834" s="200" t="e">
        <f t="shared" si="834"/>
        <v>#N/A</v>
      </c>
      <c r="AE2834" s="52"/>
      <c r="AF2834" s="52"/>
      <c r="AG2834" s="52"/>
      <c r="AH2834" s="87"/>
      <c r="AI2834" s="87"/>
    </row>
    <row r="2835" spans="1:35" ht="16.5" hidden="1" thickBot="1">
      <c r="A2835" s="218" t="e">
        <f>"S"&amp;E2809</f>
        <v>#N/A</v>
      </c>
      <c r="B2835" s="702"/>
      <c r="C2835" s="215">
        <v>6</v>
      </c>
      <c r="D2835" s="216" t="e">
        <f>IF(AND(C2835&lt;=F2828,F2828&lt;&gt;""),VLOOKUP(VALUE(E2809&amp;","&amp;C2835),INTEGRANTES!$D$18:$F$235,2,0),"")</f>
        <v>#N/A</v>
      </c>
      <c r="E2835" s="217" t="e">
        <f>IF(D2835&lt;&gt;"",VLOOKUP(VALUE(E2809&amp;","&amp;C2835),INTEGRANTES!$D$18:$F$235,3,0),"")</f>
        <v>#N/A</v>
      </c>
      <c r="F2835" s="548" t="e">
        <f>IF(D2835="","",SUMIF($I2813:$I2822,D2835,$P2813:$P2822))</f>
        <v>#N/A</v>
      </c>
      <c r="G2835" s="334" t="e">
        <f>IF(D2835="","",SUMIF($I2813:$I2822,D2835,$M2813:$M2822))</f>
        <v>#N/A</v>
      </c>
      <c r="H2835" s="536" t="e">
        <f t="shared" si="830"/>
        <v>#N/A</v>
      </c>
      <c r="I2835" s="214" t="e">
        <f>IF(D2835="","",IF(H2835="NO APORTA","NO",IF(H2835=MAX($H2830:$H2835),"SI","NO")))</f>
        <v>#N/A</v>
      </c>
      <c r="J2835" s="213" t="e">
        <f t="shared" si="831"/>
        <v>#N/A</v>
      </c>
      <c r="K2835" s="200" t="e">
        <f t="shared" si="832"/>
        <v>#N/A</v>
      </c>
      <c r="L2835" s="721"/>
      <c r="M2835" s="729">
        <f>NUMMOD</f>
        <v>1</v>
      </c>
      <c r="N2835" s="730"/>
      <c r="O2835" s="443">
        <f>IF(M2835="","",ROUND(VLOOKUP(M2835,PRESUPUESTOS!$B$16:$H$16,7,FALSE),3))</f>
        <v>25.780999999999999</v>
      </c>
      <c r="P2835" s="713">
        <f>IF(OR(COUNTIF(P2813:P2822,"")&gt;=10,Q2829&lt;NUMMINCONT,OR(T2827="NO CUMPLE",T2827="VERIFICAR")),0,ROUND((SUM(P2813:P2822)/SUM(M2813:M2822)),3))</f>
        <v>0</v>
      </c>
      <c r="Q2835" s="714"/>
      <c r="R2835" s="458"/>
      <c r="S2835" s="459"/>
      <c r="T2835" s="460"/>
      <c r="U2835" s="219"/>
      <c r="V2835" s="464"/>
      <c r="Y2835" s="532" t="s">
        <v>343</v>
      </c>
      <c r="AA2835" s="540" t="e">
        <f>IF(AND(C2834&lt;=F2828,F2828&lt;&gt;""),VLOOKUP(VALUE(E2809&amp;","&amp;C2834),INTEGRANTES!$D$18:$F$235,2,0),"")</f>
        <v>#N/A</v>
      </c>
      <c r="AB2835" s="545" t="e">
        <f t="shared" si="833"/>
        <v>#N/A</v>
      </c>
      <c r="AC2835" s="529"/>
      <c r="AD2835" s="200" t="e">
        <f t="shared" si="834"/>
        <v>#N/A</v>
      </c>
      <c r="AE2835" s="52"/>
      <c r="AF2835" s="52"/>
      <c r="AG2835" s="52"/>
      <c r="AH2835" s="87"/>
      <c r="AI2835" s="87"/>
    </row>
    <row r="2836" spans="1:35" ht="16.5" hidden="1" customHeight="1" thickBot="1">
      <c r="A2836" s="218" t="e">
        <f>"T"&amp;E2809</f>
        <v>#N/A</v>
      </c>
      <c r="B2836" s="703"/>
      <c r="C2836" s="719"/>
      <c r="D2836" s="719"/>
      <c r="E2836" s="719"/>
      <c r="F2836" s="719"/>
      <c r="G2836" s="719"/>
      <c r="H2836" s="719" t="s">
        <v>110</v>
      </c>
      <c r="I2836" s="719"/>
      <c r="J2836" s="719"/>
      <c r="K2836" s="201" t="str">
        <f>IF(COUNTIF(K2830:K2835,"")=6,"",IF(COUNTIF(K2830:K2835,"CUMPLE")&gt;0,"CUMPLE","NO CUMPLE"))</f>
        <v>NO CUMPLE</v>
      </c>
      <c r="L2836" s="754"/>
      <c r="M2836" s="755"/>
      <c r="N2836" s="755"/>
      <c r="O2836" s="755"/>
      <c r="P2836" s="755"/>
      <c r="Q2836" s="756"/>
      <c r="R2836" s="461"/>
      <c r="S2836" s="462"/>
      <c r="T2836" s="463"/>
      <c r="U2836" s="219"/>
      <c r="V2836" s="464"/>
      <c r="Y2836" s="549" t="e">
        <f>IF(Y2830="NO APLICA","NO APLICA",IF(COUNTIF(AD2831:AD2836,"CUMPLE")&gt;0,"CUMPLE","NO CUMPLE"))</f>
        <v>#N/A</v>
      </c>
      <c r="AA2836" s="541" t="e">
        <f>IF(AND(C2835&lt;=F2828,F2828&lt;&gt;""),VLOOKUP(VALUE(E2809&amp;","&amp;C2835),INTEGRANTES!$D$18:$F$235,2,0),"")</f>
        <v>#N/A</v>
      </c>
      <c r="AB2836" s="546" t="e">
        <f t="shared" si="833"/>
        <v>#N/A</v>
      </c>
      <c r="AC2836" s="543"/>
      <c r="AD2836" s="201" t="e">
        <f t="shared" si="834"/>
        <v>#N/A</v>
      </c>
      <c r="AE2836" s="52"/>
      <c r="AF2836" s="52"/>
      <c r="AG2836" s="52"/>
      <c r="AH2836" s="87"/>
      <c r="AI2836" s="87"/>
    </row>
    <row r="2837" spans="1:35" hidden="1">
      <c r="AH2837" s="87"/>
      <c r="AI2837" s="87"/>
    </row>
    <row r="2838" spans="1:35" hidden="1">
      <c r="AH2838" s="87"/>
      <c r="AI2838" s="87"/>
    </row>
    <row r="2839" spans="1:35" ht="24" hidden="1" thickBot="1">
      <c r="A2839" s="61">
        <v>95</v>
      </c>
      <c r="B2839" s="704" t="s">
        <v>51</v>
      </c>
      <c r="C2839" s="704"/>
      <c r="D2839" s="704"/>
      <c r="E2839" s="62" t="e">
        <f>VLOOKUP(A2839,PROPONENTES!$B$19:$E$218,2,FALSE)</f>
        <v>#N/A</v>
      </c>
      <c r="F2839" s="63" t="e">
        <f>VLOOKUP(A2839,PROPONENTES!$B$19:$E$218,3,FALSE)</f>
        <v>#N/A</v>
      </c>
      <c r="G2839" s="64"/>
      <c r="H2839" s="64"/>
      <c r="I2839" s="63"/>
      <c r="J2839" s="63"/>
      <c r="K2839" s="65"/>
      <c r="L2839" s="65"/>
      <c r="M2839" s="64"/>
      <c r="N2839" s="64"/>
      <c r="O2839" s="66"/>
      <c r="P2839" s="66"/>
      <c r="Q2839" s="66"/>
      <c r="R2839" s="66"/>
      <c r="S2839" s="67"/>
      <c r="T2839" s="68"/>
      <c r="U2839" s="68"/>
      <c r="AC2839" s="68"/>
      <c r="AD2839" s="68"/>
      <c r="AE2839" s="68"/>
      <c r="AF2839" s="68"/>
      <c r="AG2839" s="68"/>
      <c r="AH2839" s="87"/>
      <c r="AI2839" s="87"/>
    </row>
    <row r="2840" spans="1:35" ht="15.75" hidden="1" customHeight="1">
      <c r="A2840" s="44"/>
      <c r="B2840" s="709" t="s">
        <v>59</v>
      </c>
      <c r="C2840" s="552" t="s">
        <v>60</v>
      </c>
      <c r="D2840" s="70" t="s">
        <v>17</v>
      </c>
      <c r="E2840" s="70"/>
      <c r="F2840" s="70" t="s">
        <v>61</v>
      </c>
      <c r="G2840" s="71"/>
      <c r="H2840" s="699" t="s">
        <v>62</v>
      </c>
      <c r="I2840" s="699" t="s">
        <v>18</v>
      </c>
      <c r="J2840" s="699" t="s">
        <v>63</v>
      </c>
      <c r="K2840" s="699" t="s">
        <v>64</v>
      </c>
      <c r="L2840" s="699" t="s">
        <v>65</v>
      </c>
      <c r="M2840" s="743" t="s">
        <v>66</v>
      </c>
      <c r="N2840" s="699" t="s">
        <v>282</v>
      </c>
      <c r="O2840" s="745" t="s">
        <v>67</v>
      </c>
      <c r="P2840" s="746"/>
      <c r="Q2840" s="102" t="s">
        <v>75</v>
      </c>
      <c r="R2840" s="731" t="s">
        <v>22</v>
      </c>
      <c r="S2840" s="732"/>
      <c r="T2840" s="733"/>
      <c r="U2840" s="712" t="s">
        <v>298</v>
      </c>
      <c r="W2840" s="690" t="s">
        <v>268</v>
      </c>
      <c r="X2840" s="691"/>
      <c r="Y2840" s="692"/>
      <c r="Z2840" s="428"/>
      <c r="AA2840" s="697" t="s">
        <v>315</v>
      </c>
      <c r="AB2840" s="695" t="s">
        <v>322</v>
      </c>
      <c r="AC2840" s="49"/>
      <c r="AD2840" s="690" t="s">
        <v>297</v>
      </c>
      <c r="AE2840" s="691"/>
      <c r="AF2840" s="692"/>
      <c r="AG2840" s="49"/>
      <c r="AH2840" s="87"/>
      <c r="AI2840" s="87"/>
    </row>
    <row r="2841" spans="1:35" ht="72" hidden="1">
      <c r="A2841" s="44"/>
      <c r="B2841" s="710"/>
      <c r="C2841" s="553" t="s">
        <v>68</v>
      </c>
      <c r="D2841" s="73" t="s">
        <v>3</v>
      </c>
      <c r="E2841" s="73" t="s">
        <v>19</v>
      </c>
      <c r="F2841" s="73" t="s">
        <v>69</v>
      </c>
      <c r="G2841" s="74" t="s">
        <v>70</v>
      </c>
      <c r="H2841" s="700"/>
      <c r="I2841" s="700"/>
      <c r="J2841" s="700"/>
      <c r="K2841" s="700"/>
      <c r="L2841" s="700"/>
      <c r="M2841" s="744"/>
      <c r="N2841" s="700"/>
      <c r="O2841" s="553" t="s">
        <v>279</v>
      </c>
      <c r="P2841" s="73" t="s">
        <v>88</v>
      </c>
      <c r="Q2841" s="555" t="s">
        <v>76</v>
      </c>
      <c r="R2841" s="734"/>
      <c r="S2841" s="735"/>
      <c r="T2841" s="736"/>
      <c r="U2841" s="712"/>
      <c r="W2841" s="429" t="s">
        <v>269</v>
      </c>
      <c r="X2841" s="457" t="s">
        <v>278</v>
      </c>
      <c r="Y2841" s="430" t="s">
        <v>324</v>
      </c>
      <c r="Z2841" s="428"/>
      <c r="AA2841" s="698"/>
      <c r="AB2841" s="696"/>
      <c r="AC2841" s="49"/>
      <c r="AD2841" s="429" t="s">
        <v>292</v>
      </c>
      <c r="AE2841" s="431" t="s">
        <v>300</v>
      </c>
      <c r="AF2841" s="468" t="s">
        <v>301</v>
      </c>
      <c r="AG2841" s="49"/>
      <c r="AH2841" s="87"/>
      <c r="AI2841" s="87"/>
    </row>
    <row r="2842" spans="1:35" hidden="1">
      <c r="A2842" s="44"/>
      <c r="B2842" s="76"/>
      <c r="C2842" s="77"/>
      <c r="D2842" s="77"/>
      <c r="E2842" s="77"/>
      <c r="F2842" s="77"/>
      <c r="G2842" s="77"/>
      <c r="H2842" s="77"/>
      <c r="I2842" s="77"/>
      <c r="J2842" s="77"/>
      <c r="K2842" s="77"/>
      <c r="L2842" s="77"/>
      <c r="M2842" s="77"/>
      <c r="N2842" s="77"/>
      <c r="O2842" s="77"/>
      <c r="P2842" s="77"/>
      <c r="Q2842" s="77"/>
      <c r="R2842" s="77"/>
      <c r="S2842" s="78"/>
      <c r="T2842" s="79"/>
      <c r="U2842" s="109"/>
      <c r="V2842" s="49"/>
      <c r="W2842" s="432"/>
      <c r="X2842" s="454"/>
      <c r="Y2842" s="433"/>
      <c r="Z2842" s="6"/>
      <c r="AA2842" s="500"/>
      <c r="AB2842" s="562"/>
      <c r="AC2842" s="49"/>
      <c r="AD2842" s="210"/>
      <c r="AE2842" s="434"/>
      <c r="AF2842" s="435"/>
      <c r="AG2842" s="49"/>
      <c r="AH2842" s="87"/>
      <c r="AI2842" s="87"/>
    </row>
    <row r="2843" spans="1:35" hidden="1">
      <c r="A2843" s="80" t="e">
        <f>"A"&amp;E2839</f>
        <v>#N/A</v>
      </c>
      <c r="B2843" s="81">
        <v>1</v>
      </c>
      <c r="C2843" s="82"/>
      <c r="D2843" s="82"/>
      <c r="E2843" s="82"/>
      <c r="F2843" s="82"/>
      <c r="G2843" s="83"/>
      <c r="H2843" s="83"/>
      <c r="I2843" s="84"/>
      <c r="J2843" s="85"/>
      <c r="K2843" s="382"/>
      <c r="L2843" s="85"/>
      <c r="M2843" s="332" t="str">
        <f t="shared" ref="M2843:M2852" si="835">IF(OR(J2843="",L2843="",H2843="NO"),"",IF(OR(J2843&gt;$P$17,J2843&lt;$O$17,L2843&gt;$P$17,AND(J2843&lt;$O$17,L2843&lt;$O$17)),"FUERA DE RANGO",IF(OR(K2843="---",K2843=""),IF(J2843&gt;=$O$17,ROUND((L2843-J2843+1)/360*12,3),ROUND((L2843-$O$17+1)/360*12,3)),IF(J2843&gt;=$O$17,ROUND((L2843-J2843+1)/360*12-ROUND(K2843,3),3),ROUND((L2843-$O$17+1)/360*12-ROUND(K2843,3),3)))))</f>
        <v/>
      </c>
      <c r="N2843" s="86"/>
      <c r="O2843" s="453" t="str">
        <f>IF(OR(G2843="",N2843=""),"",N2843*G2843)</f>
        <v/>
      </c>
      <c r="P2843" s="538" t="str">
        <f>IF(OR(H2843="",M2843="FUERA DE RANGO"),"",IF(OR(L2843&lt;$O$17,L2843&gt;$P$17,L2843="",H2843="NO"),"",IF(OR(N2843="",O2843=""),"",ROUND(O2843,3))))</f>
        <v/>
      </c>
      <c r="Q2843" s="539" t="str">
        <f t="shared" ref="Q2843:Q2852" si="836">IF(AND(H2843="SI",P2843&lt;&gt;""),ROUND(P2843/M2843,3),"")</f>
        <v/>
      </c>
      <c r="R2843" s="737"/>
      <c r="S2843" s="738"/>
      <c r="T2843" s="739"/>
      <c r="U2843" s="470"/>
      <c r="V2843" s="165"/>
      <c r="W2843" s="446"/>
      <c r="X2843" s="456"/>
      <c r="Y2843" s="436"/>
      <c r="Z2843" s="437"/>
      <c r="AA2843" s="560"/>
      <c r="AB2843" s="561"/>
      <c r="AC2843" s="87"/>
      <c r="AD2843" s="466"/>
      <c r="AE2843" s="456"/>
      <c r="AF2843" s="467"/>
      <c r="AG2843" s="87"/>
      <c r="AH2843" s="87"/>
      <c r="AI2843" s="87"/>
    </row>
    <row r="2844" spans="1:35" hidden="1">
      <c r="A2844" s="80" t="e">
        <f>"B"&amp;E2839</f>
        <v>#N/A</v>
      </c>
      <c r="B2844" s="81">
        <v>2</v>
      </c>
      <c r="C2844" s="106"/>
      <c r="D2844" s="106"/>
      <c r="E2844" s="106"/>
      <c r="F2844" s="106"/>
      <c r="G2844" s="83"/>
      <c r="H2844" s="83"/>
      <c r="I2844" s="84"/>
      <c r="J2844" s="85"/>
      <c r="K2844" s="382"/>
      <c r="L2844" s="85"/>
      <c r="M2844" s="332" t="str">
        <f t="shared" si="835"/>
        <v/>
      </c>
      <c r="N2844" s="86"/>
      <c r="O2844" s="453" t="str">
        <f t="shared" ref="O2844:O2852" si="837">IF(OR(G2844="",N2844=""),"",N2844*G2844)</f>
        <v/>
      </c>
      <c r="P2844" s="538" t="str">
        <f t="shared" ref="P2844:P2852" si="838">IF(OR(H2844="",M2844="FUERA DE RANGO"),"",IF(OR(L2844&lt;$O$17,L2844&gt;$P$17,L2844="",H2844="NO"),"",IF(OR(N2844="",O2844=""),"",ROUND(O2844,3))))</f>
        <v/>
      </c>
      <c r="Q2844" s="539" t="str">
        <f t="shared" si="836"/>
        <v/>
      </c>
      <c r="R2844" s="740"/>
      <c r="S2844" s="741"/>
      <c r="T2844" s="742"/>
      <c r="U2844" s="471"/>
      <c r="V2844" s="165"/>
      <c r="W2844" s="446"/>
      <c r="X2844" s="456"/>
      <c r="Y2844" s="436"/>
      <c r="Z2844" s="437"/>
      <c r="AA2844" s="560"/>
      <c r="AB2844" s="561"/>
      <c r="AC2844" s="87"/>
      <c r="AD2844" s="466"/>
      <c r="AE2844" s="456"/>
      <c r="AF2844" s="467"/>
      <c r="AG2844" s="87"/>
      <c r="AH2844" s="87"/>
      <c r="AI2844" s="87"/>
    </row>
    <row r="2845" spans="1:35" hidden="1">
      <c r="A2845" s="80" t="e">
        <f>"C"&amp;E2839</f>
        <v>#N/A</v>
      </c>
      <c r="B2845" s="88">
        <v>3</v>
      </c>
      <c r="C2845" s="82"/>
      <c r="D2845" s="82"/>
      <c r="E2845" s="82"/>
      <c r="F2845" s="82"/>
      <c r="G2845" s="83"/>
      <c r="H2845" s="83"/>
      <c r="I2845" s="84"/>
      <c r="J2845" s="85"/>
      <c r="K2845" s="382"/>
      <c r="L2845" s="85"/>
      <c r="M2845" s="332" t="str">
        <f t="shared" si="835"/>
        <v/>
      </c>
      <c r="N2845" s="86"/>
      <c r="O2845" s="453" t="str">
        <f t="shared" si="837"/>
        <v/>
      </c>
      <c r="P2845" s="538" t="str">
        <f t="shared" si="838"/>
        <v/>
      </c>
      <c r="Q2845" s="539" t="str">
        <f t="shared" si="836"/>
        <v/>
      </c>
      <c r="R2845" s="706"/>
      <c r="S2845" s="707"/>
      <c r="T2845" s="708"/>
      <c r="U2845" s="472"/>
      <c r="V2845" s="166"/>
      <c r="W2845" s="446"/>
      <c r="X2845" s="456"/>
      <c r="Y2845" s="436"/>
      <c r="Z2845" s="437"/>
      <c r="AA2845" s="560"/>
      <c r="AB2845" s="561"/>
      <c r="AC2845" s="87"/>
      <c r="AD2845" s="466"/>
      <c r="AE2845" s="456"/>
      <c r="AF2845" s="467"/>
      <c r="AG2845" s="87"/>
      <c r="AH2845" s="87"/>
      <c r="AI2845" s="87"/>
    </row>
    <row r="2846" spans="1:35" hidden="1">
      <c r="A2846" s="80" t="e">
        <f>"D"&amp;E2839</f>
        <v>#N/A</v>
      </c>
      <c r="B2846" s="105">
        <v>4</v>
      </c>
      <c r="C2846" s="107"/>
      <c r="D2846" s="107"/>
      <c r="E2846" s="107"/>
      <c r="F2846" s="107"/>
      <c r="G2846" s="83"/>
      <c r="H2846" s="83"/>
      <c r="I2846" s="84"/>
      <c r="J2846" s="85"/>
      <c r="K2846" s="382"/>
      <c r="L2846" s="85"/>
      <c r="M2846" s="332" t="str">
        <f t="shared" si="835"/>
        <v/>
      </c>
      <c r="N2846" s="86"/>
      <c r="O2846" s="453" t="str">
        <f t="shared" si="837"/>
        <v/>
      </c>
      <c r="P2846" s="538" t="str">
        <f t="shared" si="838"/>
        <v/>
      </c>
      <c r="Q2846" s="539" t="str">
        <f t="shared" si="836"/>
        <v/>
      </c>
      <c r="R2846" s="706"/>
      <c r="S2846" s="707"/>
      <c r="T2846" s="708"/>
      <c r="U2846" s="472"/>
      <c r="V2846" s="166"/>
      <c r="W2846" s="446"/>
      <c r="X2846" s="456"/>
      <c r="Y2846" s="436"/>
      <c r="Z2846" s="437"/>
      <c r="AA2846" s="560"/>
      <c r="AB2846" s="561"/>
      <c r="AC2846" s="87"/>
      <c r="AD2846" s="466"/>
      <c r="AE2846" s="456"/>
      <c r="AF2846" s="467"/>
      <c r="AG2846" s="87"/>
      <c r="AH2846" s="87"/>
      <c r="AI2846" s="87"/>
    </row>
    <row r="2847" spans="1:35" hidden="1">
      <c r="A2847" s="80" t="e">
        <f>"E"&amp;E2839</f>
        <v>#N/A</v>
      </c>
      <c r="B2847" s="105">
        <v>5</v>
      </c>
      <c r="C2847" s="107"/>
      <c r="D2847" s="107"/>
      <c r="E2847" s="107"/>
      <c r="F2847" s="107"/>
      <c r="G2847" s="83"/>
      <c r="H2847" s="83"/>
      <c r="I2847" s="84"/>
      <c r="J2847" s="85"/>
      <c r="K2847" s="382"/>
      <c r="L2847" s="85"/>
      <c r="M2847" s="332" t="str">
        <f t="shared" si="835"/>
        <v/>
      </c>
      <c r="N2847" s="86"/>
      <c r="O2847" s="453" t="str">
        <f t="shared" si="837"/>
        <v/>
      </c>
      <c r="P2847" s="538" t="str">
        <f t="shared" si="838"/>
        <v/>
      </c>
      <c r="Q2847" s="539" t="str">
        <f t="shared" si="836"/>
        <v/>
      </c>
      <c r="R2847" s="706"/>
      <c r="S2847" s="707"/>
      <c r="T2847" s="708"/>
      <c r="U2847" s="472"/>
      <c r="V2847" s="167"/>
      <c r="W2847" s="446"/>
      <c r="X2847" s="456"/>
      <c r="Y2847" s="436"/>
      <c r="Z2847" s="437"/>
      <c r="AA2847" s="560"/>
      <c r="AB2847" s="561"/>
      <c r="AC2847" s="87"/>
      <c r="AD2847" s="466"/>
      <c r="AE2847" s="456"/>
      <c r="AF2847" s="467"/>
      <c r="AG2847" s="87"/>
      <c r="AH2847" s="87"/>
      <c r="AI2847" s="87"/>
    </row>
    <row r="2848" spans="1:35" hidden="1">
      <c r="A2848" s="80" t="e">
        <f>"F"&amp;E2839</f>
        <v>#N/A</v>
      </c>
      <c r="B2848" s="105">
        <v>6</v>
      </c>
      <c r="C2848" s="107"/>
      <c r="D2848" s="107"/>
      <c r="E2848" s="107"/>
      <c r="F2848" s="107"/>
      <c r="G2848" s="83"/>
      <c r="H2848" s="83"/>
      <c r="I2848" s="84"/>
      <c r="J2848" s="85"/>
      <c r="K2848" s="382"/>
      <c r="L2848" s="85"/>
      <c r="M2848" s="332" t="str">
        <f t="shared" si="835"/>
        <v/>
      </c>
      <c r="N2848" s="86"/>
      <c r="O2848" s="453" t="str">
        <f t="shared" si="837"/>
        <v/>
      </c>
      <c r="P2848" s="538" t="str">
        <f t="shared" si="838"/>
        <v/>
      </c>
      <c r="Q2848" s="539" t="str">
        <f t="shared" si="836"/>
        <v/>
      </c>
      <c r="R2848" s="706"/>
      <c r="S2848" s="707"/>
      <c r="T2848" s="708"/>
      <c r="U2848" s="472"/>
      <c r="V2848" s="167"/>
      <c r="W2848" s="446"/>
      <c r="X2848" s="456"/>
      <c r="Y2848" s="436"/>
      <c r="Z2848" s="437"/>
      <c r="AA2848" s="560"/>
      <c r="AB2848" s="561"/>
      <c r="AC2848" s="87"/>
      <c r="AD2848" s="466"/>
      <c r="AE2848" s="456"/>
      <c r="AF2848" s="467"/>
      <c r="AG2848" s="87"/>
      <c r="AH2848" s="87"/>
      <c r="AI2848" s="87"/>
    </row>
    <row r="2849" spans="1:35" hidden="1">
      <c r="A2849" s="80" t="e">
        <f>"G"&amp;E2839</f>
        <v>#N/A</v>
      </c>
      <c r="B2849" s="105">
        <v>7</v>
      </c>
      <c r="C2849" s="107"/>
      <c r="D2849" s="107"/>
      <c r="E2849" s="107"/>
      <c r="F2849" s="107"/>
      <c r="G2849" s="83"/>
      <c r="H2849" s="83"/>
      <c r="I2849" s="84"/>
      <c r="J2849" s="85"/>
      <c r="K2849" s="382"/>
      <c r="L2849" s="85"/>
      <c r="M2849" s="332" t="str">
        <f t="shared" si="835"/>
        <v/>
      </c>
      <c r="N2849" s="86"/>
      <c r="O2849" s="86" t="str">
        <f t="shared" si="837"/>
        <v/>
      </c>
      <c r="P2849" s="538" t="str">
        <f t="shared" si="838"/>
        <v/>
      </c>
      <c r="Q2849" s="539" t="str">
        <f t="shared" si="836"/>
        <v/>
      </c>
      <c r="R2849" s="706"/>
      <c r="S2849" s="707"/>
      <c r="T2849" s="708"/>
      <c r="U2849" s="472"/>
      <c r="V2849" s="167"/>
      <c r="W2849" s="446"/>
      <c r="X2849" s="456"/>
      <c r="Y2849" s="436"/>
      <c r="Z2849" s="437"/>
      <c r="AA2849" s="560"/>
      <c r="AB2849" s="561"/>
      <c r="AC2849" s="87"/>
      <c r="AD2849" s="466"/>
      <c r="AE2849" s="456"/>
      <c r="AF2849" s="467"/>
      <c r="AG2849" s="87"/>
      <c r="AH2849" s="87"/>
      <c r="AI2849" s="87"/>
    </row>
    <row r="2850" spans="1:35" hidden="1">
      <c r="A2850" s="80" t="e">
        <f>"H"&amp;E2839</f>
        <v>#N/A</v>
      </c>
      <c r="B2850" s="105">
        <v>8</v>
      </c>
      <c r="C2850" s="107"/>
      <c r="D2850" s="107"/>
      <c r="E2850" s="107"/>
      <c r="F2850" s="107"/>
      <c r="G2850" s="83"/>
      <c r="H2850" s="83"/>
      <c r="I2850" s="84"/>
      <c r="J2850" s="85"/>
      <c r="K2850" s="382"/>
      <c r="L2850" s="85"/>
      <c r="M2850" s="332" t="str">
        <f t="shared" si="835"/>
        <v/>
      </c>
      <c r="N2850" s="453"/>
      <c r="O2850" s="86" t="str">
        <f t="shared" si="837"/>
        <v/>
      </c>
      <c r="P2850" s="538" t="str">
        <f t="shared" si="838"/>
        <v/>
      </c>
      <c r="Q2850" s="539" t="str">
        <f t="shared" si="836"/>
        <v/>
      </c>
      <c r="R2850" s="706"/>
      <c r="S2850" s="707"/>
      <c r="T2850" s="708"/>
      <c r="U2850" s="472"/>
      <c r="V2850" s="167"/>
      <c r="W2850" s="446"/>
      <c r="X2850" s="456"/>
      <c r="Y2850" s="436"/>
      <c r="Z2850" s="437"/>
      <c r="AA2850" s="560"/>
      <c r="AB2850" s="561"/>
      <c r="AC2850" s="87"/>
      <c r="AD2850" s="466"/>
      <c r="AE2850" s="456"/>
      <c r="AF2850" s="467"/>
      <c r="AG2850" s="87"/>
      <c r="AH2850" s="87"/>
      <c r="AI2850" s="87"/>
    </row>
    <row r="2851" spans="1:35" hidden="1">
      <c r="A2851" s="80" t="e">
        <f>"I"&amp;E2839</f>
        <v>#N/A</v>
      </c>
      <c r="B2851" s="105">
        <v>9</v>
      </c>
      <c r="C2851" s="107"/>
      <c r="D2851" s="107"/>
      <c r="E2851" s="107"/>
      <c r="F2851" s="107"/>
      <c r="G2851" s="83"/>
      <c r="H2851" s="83"/>
      <c r="I2851" s="84"/>
      <c r="J2851" s="85"/>
      <c r="K2851" s="382"/>
      <c r="L2851" s="85"/>
      <c r="M2851" s="332" t="str">
        <f t="shared" si="835"/>
        <v/>
      </c>
      <c r="N2851" s="453"/>
      <c r="O2851" s="86" t="str">
        <f t="shared" si="837"/>
        <v/>
      </c>
      <c r="P2851" s="538" t="str">
        <f t="shared" si="838"/>
        <v/>
      </c>
      <c r="Q2851" s="539" t="str">
        <f t="shared" si="836"/>
        <v/>
      </c>
      <c r="R2851" s="706"/>
      <c r="S2851" s="707"/>
      <c r="T2851" s="708"/>
      <c r="U2851" s="472"/>
      <c r="V2851" s="167"/>
      <c r="W2851" s="446"/>
      <c r="X2851" s="456"/>
      <c r="Y2851" s="436"/>
      <c r="Z2851" s="437"/>
      <c r="AA2851" s="560"/>
      <c r="AB2851" s="561"/>
      <c r="AC2851" s="87"/>
      <c r="AD2851" s="466"/>
      <c r="AE2851" s="456"/>
      <c r="AF2851" s="467"/>
      <c r="AG2851" s="87"/>
      <c r="AH2851" s="87"/>
      <c r="AI2851" s="87"/>
    </row>
    <row r="2852" spans="1:35" hidden="1">
      <c r="A2852" s="80" t="e">
        <f>"J"&amp;E2839</f>
        <v>#N/A</v>
      </c>
      <c r="B2852" s="105">
        <v>10</v>
      </c>
      <c r="C2852" s="107"/>
      <c r="D2852" s="107"/>
      <c r="E2852" s="107"/>
      <c r="F2852" s="107"/>
      <c r="G2852" s="83"/>
      <c r="H2852" s="83"/>
      <c r="I2852" s="84"/>
      <c r="J2852" s="85"/>
      <c r="K2852" s="382"/>
      <c r="L2852" s="85"/>
      <c r="M2852" s="332" t="str">
        <f t="shared" si="835"/>
        <v/>
      </c>
      <c r="N2852" s="453"/>
      <c r="O2852" s="86" t="str">
        <f t="shared" si="837"/>
        <v/>
      </c>
      <c r="P2852" s="538" t="str">
        <f t="shared" si="838"/>
        <v/>
      </c>
      <c r="Q2852" s="539" t="str">
        <f t="shared" si="836"/>
        <v/>
      </c>
      <c r="R2852" s="706"/>
      <c r="S2852" s="707"/>
      <c r="T2852" s="708"/>
      <c r="U2852" s="472"/>
      <c r="V2852" s="167"/>
      <c r="W2852" s="446"/>
      <c r="X2852" s="456"/>
      <c r="Y2852" s="436"/>
      <c r="Z2852" s="437"/>
      <c r="AA2852" s="560"/>
      <c r="AB2852" s="561"/>
      <c r="AC2852" s="87"/>
      <c r="AD2852" s="466"/>
      <c r="AE2852" s="456"/>
      <c r="AF2852" s="467"/>
      <c r="AG2852" s="87"/>
      <c r="AH2852" s="87"/>
      <c r="AI2852" s="87"/>
    </row>
    <row r="2853" spans="1:35" ht="16.5" hidden="1" thickBot="1">
      <c r="A2853" s="44"/>
      <c r="B2853" s="89"/>
      <c r="C2853" s="90"/>
      <c r="D2853" s="90"/>
      <c r="E2853" s="90"/>
      <c r="F2853" s="90"/>
      <c r="G2853" s="90"/>
      <c r="H2853" s="90"/>
      <c r="I2853" s="90"/>
      <c r="J2853" s="90"/>
      <c r="K2853" s="90"/>
      <c r="L2853" s="90"/>
      <c r="M2853" s="90"/>
      <c r="N2853" s="90"/>
      <c r="O2853" s="90"/>
      <c r="P2853" s="90"/>
      <c r="Q2853" s="90"/>
      <c r="R2853" s="90"/>
      <c r="S2853" s="91"/>
      <c r="T2853" s="92"/>
      <c r="U2853" s="473"/>
      <c r="W2853" s="438"/>
      <c r="X2853" s="455"/>
      <c r="Y2853" s="439"/>
      <c r="Z2853" s="437"/>
      <c r="AA2853" s="530"/>
      <c r="AB2853" s="563"/>
      <c r="AC2853" s="87"/>
      <c r="AD2853" s="440"/>
      <c r="AE2853" s="441"/>
      <c r="AF2853" s="442"/>
      <c r="AG2853" s="49"/>
      <c r="AH2853" s="87"/>
      <c r="AI2853" s="87"/>
    </row>
    <row r="2854" spans="1:35" ht="16.5" hidden="1" thickBot="1">
      <c r="A2854" s="93"/>
      <c r="B2854" s="94"/>
      <c r="C2854" s="96"/>
      <c r="D2854" s="96"/>
      <c r="E2854" s="96"/>
      <c r="F2854" s="96"/>
      <c r="G2854" s="96"/>
      <c r="H2854" s="96"/>
      <c r="I2854" s="96"/>
      <c r="J2854" s="96"/>
      <c r="K2854" s="96"/>
      <c r="L2854" s="96"/>
      <c r="M2854" s="136"/>
      <c r="N2854" s="96"/>
      <c r="O2854" s="96"/>
      <c r="P2854" s="97"/>
      <c r="Q2854" s="97"/>
      <c r="R2854" s="98"/>
      <c r="S2854" s="95"/>
      <c r="T2854" s="99"/>
      <c r="U2854" s="469"/>
      <c r="AC2854" s="58"/>
      <c r="AG2854" s="58"/>
      <c r="AH2854" s="87"/>
      <c r="AI2854" s="87"/>
    </row>
    <row r="2855" spans="1:35" ht="16.5" hidden="1" thickBot="1">
      <c r="B2855" s="101"/>
      <c r="C2855" s="101"/>
      <c r="D2855" s="101"/>
      <c r="E2855" s="101"/>
      <c r="F2855" s="101"/>
      <c r="G2855" s="101"/>
      <c r="H2855" s="101"/>
      <c r="I2855" s="101"/>
      <c r="J2855" s="101"/>
      <c r="K2855" s="101"/>
      <c r="L2855" s="101"/>
      <c r="M2855" s="101"/>
      <c r="N2855" s="101"/>
      <c r="O2855" s="101"/>
      <c r="P2855" s="101"/>
      <c r="Q2855" s="101"/>
      <c r="R2855" s="101"/>
      <c r="S2855" s="101"/>
      <c r="U2855" s="50"/>
      <c r="AH2855" s="87"/>
      <c r="AI2855" s="87"/>
    </row>
    <row r="2856" spans="1:35" ht="16.5" hidden="1" customHeight="1" thickBot="1">
      <c r="A2856" s="44"/>
      <c r="B2856" s="705" t="s">
        <v>74</v>
      </c>
      <c r="C2856" s="705"/>
      <c r="D2856" s="705"/>
      <c r="E2856" s="705"/>
      <c r="F2856" s="705"/>
      <c r="G2856" s="705"/>
      <c r="H2856" s="705"/>
      <c r="I2856" s="705"/>
      <c r="J2856" s="705"/>
      <c r="K2856" s="705"/>
      <c r="L2856" s="705"/>
      <c r="M2856" s="705"/>
      <c r="N2856" s="705"/>
      <c r="O2856" s="705"/>
      <c r="P2856" s="705"/>
      <c r="Q2856" s="705"/>
      <c r="R2856" s="705"/>
      <c r="S2856" s="705"/>
      <c r="T2856" s="705"/>
      <c r="U2856" s="108"/>
      <c r="Y2856" s="532" t="s">
        <v>341</v>
      </c>
      <c r="AC2856" s="49"/>
      <c r="AD2856" s="687" t="s">
        <v>302</v>
      </c>
      <c r="AE2856" s="688"/>
      <c r="AF2856" s="689"/>
      <c r="AG2856" s="49"/>
      <c r="AH2856" s="87"/>
      <c r="AI2856" s="87"/>
    </row>
    <row r="2857" spans="1:35" ht="15.75" hidden="1" customHeight="1" thickBot="1">
      <c r="A2857" s="218" t="e">
        <f>"K"&amp;E2839</f>
        <v>#N/A</v>
      </c>
      <c r="B2857" s="701" t="s">
        <v>71</v>
      </c>
      <c r="C2857" s="751" t="s">
        <v>102</v>
      </c>
      <c r="D2857" s="751"/>
      <c r="E2857" s="751"/>
      <c r="F2857" s="751"/>
      <c r="G2857" s="751"/>
      <c r="H2857" s="751"/>
      <c r="I2857" s="751"/>
      <c r="J2857" s="751"/>
      <c r="K2857" s="751"/>
      <c r="L2857" s="722" t="s">
        <v>100</v>
      </c>
      <c r="M2857" s="747" t="s">
        <v>114</v>
      </c>
      <c r="N2857" s="747"/>
      <c r="O2857" s="747"/>
      <c r="P2857" s="747"/>
      <c r="Q2857" s="748"/>
      <c r="R2857" s="758" t="s">
        <v>280</v>
      </c>
      <c r="S2857" s="748"/>
      <c r="T2857" s="762" t="str">
        <f>IF(COUNTIF(AE2857:AF2857,"VERIFICAR")&gt;0,"VERIFICAR",IF(COUNTIF(AE2857:AF2857,"NO CUMPLE")&gt;0,"NO CUMPLE","CUMPLE"))</f>
        <v>VERIFICAR</v>
      </c>
      <c r="U2857" s="108"/>
      <c r="Y2857" s="533" t="e">
        <f>IF(F2858="","",IF(F2858=1,"INDIVIDUAL","ESTRUCTURA PLURAL"))</f>
        <v>#N/A</v>
      </c>
      <c r="AC2857" s="52"/>
      <c r="AD2857" s="475" t="s">
        <v>303</v>
      </c>
      <c r="AE2857" s="476" t="str">
        <f>IF(COUNTIF(AE2843:AE2852,"")=10,"VERIFICAR",IF(COUNTIF(AE2843:AE2852,"SI")&gt;0,"CUMPLE","NO CUMPLE"))</f>
        <v>VERIFICAR</v>
      </c>
      <c r="AF2857" s="477" t="str">
        <f>IF(COUNTIF(AF2843:AF2852,"")=10,"VERIFICAR",IF(COUNTIF(AF2843:AF2852,"SI")&gt;=$AI$22,"CUMPLE","NO CUMPLE"))</f>
        <v>VERIFICAR</v>
      </c>
      <c r="AG2857" s="52"/>
      <c r="AH2857" s="87"/>
      <c r="AI2857" s="87"/>
    </row>
    <row r="2858" spans="1:35" ht="16.5" hidden="1" customHeight="1" thickBot="1">
      <c r="A2858" s="218" t="e">
        <f>"L"&amp;E2839</f>
        <v>#N/A</v>
      </c>
      <c r="B2858" s="702"/>
      <c r="C2858" s="751" t="s">
        <v>103</v>
      </c>
      <c r="D2858" s="751"/>
      <c r="E2858" s="752"/>
      <c r="F2858" s="557" t="e">
        <f>IF(VLOOKUP(E2839,PROPONENTES!$C$19:$E$218,3,0)="","",VLOOKUP(E2839,PROPONENTES!$C$19:$E$218,3,0))</f>
        <v>#N/A</v>
      </c>
      <c r="G2858" s="753" t="s">
        <v>104</v>
      </c>
      <c r="H2858" s="751"/>
      <c r="I2858" s="715" t="e">
        <f>IF(OR(F2858="",F2858=1),"INTERESADO PERSONA NATURAL O JURIDICA","CONSORCIO O UNION TEMPORAL")</f>
        <v>#N/A</v>
      </c>
      <c r="J2858" s="725"/>
      <c r="K2858" s="728"/>
      <c r="L2858" s="723"/>
      <c r="M2858" s="749"/>
      <c r="N2858" s="749"/>
      <c r="O2858" s="749"/>
      <c r="P2858" s="749"/>
      <c r="Q2858" s="750"/>
      <c r="R2858" s="712"/>
      <c r="S2858" s="750"/>
      <c r="T2858" s="763"/>
      <c r="U2858" s="108"/>
      <c r="Y2858" s="534"/>
      <c r="AA2858" s="52"/>
      <c r="AB2858" s="52"/>
      <c r="AC2858" s="52"/>
      <c r="AG2858" s="52"/>
      <c r="AH2858" s="87"/>
      <c r="AI2858" s="87"/>
    </row>
    <row r="2859" spans="1:35" ht="56.25" hidden="1" customHeight="1" thickBot="1">
      <c r="A2859" s="218" t="e">
        <f>"M"&amp;E2839</f>
        <v>#N/A</v>
      </c>
      <c r="B2859" s="702"/>
      <c r="C2859" s="725" t="s">
        <v>101</v>
      </c>
      <c r="D2859" s="716"/>
      <c r="E2859" s="558" t="s">
        <v>105</v>
      </c>
      <c r="F2859" s="554" t="s">
        <v>87</v>
      </c>
      <c r="G2859" s="553" t="s">
        <v>86</v>
      </c>
      <c r="H2859" s="559" t="s">
        <v>85</v>
      </c>
      <c r="I2859" s="554" t="s">
        <v>252</v>
      </c>
      <c r="J2859" s="553" t="str">
        <f>"¿EL INTEGRANTE TIENE UNA PARTICIPACIÓN DEL "&amp;PORCREQUERIDOINT*100&amp;"%?"</f>
        <v>¿EL INTEGRANTE TIENE UNA PARTICIPACIÓN DEL 60%?</v>
      </c>
      <c r="K2859" s="554" t="s">
        <v>107</v>
      </c>
      <c r="L2859" s="724"/>
      <c r="M2859" s="717" t="s">
        <v>115</v>
      </c>
      <c r="N2859" s="718"/>
      <c r="O2859" s="718"/>
      <c r="P2859" s="718"/>
      <c r="Q2859" s="223">
        <f>IF(AND(H2843="SI",P2843&gt;=0),1,0)+IF(AND(H2844="SI",P2844&gt;=0),1,0)+IF(AND(H2845="SI",P2845&gt;=0),1,0)+IF(AND(H2846="SI",P2846&gt;=0),1,0)+IF(AND(H2847="SI",P2847&gt;=0),1,0)+IF(AND(H2848="SI",P2848&gt;=0),1,0)+IF(AND(H2849="SI",P2849&gt;=0),1,0)+IF(AND(H2850="SI",P2850&gt;=0),1,0)+IF(AND(H2851="SI",P2851&gt;=0),1,0)+IF(AND(H2852="SI",P2852&gt;=0),1,0)</f>
        <v>0</v>
      </c>
      <c r="R2859" s="759"/>
      <c r="S2859" s="761"/>
      <c r="T2859" s="764"/>
      <c r="U2859" s="219"/>
      <c r="V2859" s="464"/>
      <c r="Y2859" s="532" t="s">
        <v>342</v>
      </c>
      <c r="AA2859" s="550" t="s">
        <v>344</v>
      </c>
      <c r="AB2859" s="693" t="s">
        <v>345</v>
      </c>
      <c r="AC2859" s="693" t="s">
        <v>346</v>
      </c>
      <c r="AD2859" s="685" t="s">
        <v>347</v>
      </c>
      <c r="AE2859" s="52"/>
      <c r="AF2859" s="52"/>
      <c r="AG2859" s="52"/>
      <c r="AH2859" s="87"/>
      <c r="AI2859" s="87"/>
    </row>
    <row r="2860" spans="1:35" ht="15.75" hidden="1" customHeight="1" thickBot="1">
      <c r="A2860" s="218" t="e">
        <f>"N"&amp;E2839</f>
        <v>#N/A</v>
      </c>
      <c r="B2860" s="702"/>
      <c r="C2860" s="114">
        <v>1</v>
      </c>
      <c r="D2860" s="194" t="e">
        <f>IF(AND(C2860&lt;=F2858,F2858&gt;1,F2858&lt;&gt;""),VLOOKUP(VALUE(E2839&amp;","&amp;C2860),INTEGRANTES!$D$18:$F$235,2,0),"")</f>
        <v>#N/A</v>
      </c>
      <c r="E2860" s="211" t="e">
        <f>IF(D2860&lt;&gt;"",VLOOKUP(VALUE(E2839&amp;","&amp;C2860),INTEGRANTES!$D$18:$F$235,3,0),"")</f>
        <v>#N/A</v>
      </c>
      <c r="F2860" s="547" t="e">
        <f>IF(D2860="","",SUMIF($I2843:$I2852,D2860,$P2843:$P2852))</f>
        <v>#N/A</v>
      </c>
      <c r="G2860" s="333" t="e">
        <f>IF(D2860="","",SUMIF($I2843:$I2852,D2860,$M2843:$M2852))</f>
        <v>#N/A</v>
      </c>
      <c r="H2860" s="535" t="e">
        <f t="shared" ref="H2860:H2865" si="839">IF(D2860="","",IF(OR(F2860=0,G2860=0),"NO APORTA",ROUND($F2860/$G2860,3)))</f>
        <v>#N/A</v>
      </c>
      <c r="I2860" s="212" t="e">
        <f>IF(D2860="","",IF(H2860="NO APORTA","NO",IF(H2860=MAX($H2860:$H2865),"SI","NO")))</f>
        <v>#N/A</v>
      </c>
      <c r="J2860" s="213" t="e">
        <f t="shared" ref="J2860:J2865" si="840">IF(D2860="","",IF(E2860&gt;=PORCREQUERIDOINT,"SI","NO"))</f>
        <v>#N/A</v>
      </c>
      <c r="K2860" s="200" t="e">
        <f t="shared" ref="K2860:K2865" si="841">IF(D2860="","",IF(AND(I2860="SI",J2860="SI"),"CUMPLE",IF(AND(I2860="NO",OR(J2860="SI",J2860="NO")),"","NO CUMPLE")))</f>
        <v>#N/A</v>
      </c>
      <c r="L2860" s="722" t="s">
        <v>108</v>
      </c>
      <c r="M2860" s="726" t="s">
        <v>119</v>
      </c>
      <c r="N2860" s="726"/>
      <c r="O2860" s="726"/>
      <c r="P2860" s="726"/>
      <c r="Q2860" s="727"/>
      <c r="R2860" s="758" t="s">
        <v>80</v>
      </c>
      <c r="S2860" s="747"/>
      <c r="T2860" s="748"/>
      <c r="U2860" s="219"/>
      <c r="V2860" s="464"/>
      <c r="Y2860" s="533" t="e">
        <f>IF(Y2857="","",IF(Y2857="INDIVIDUAL","NO APLICA","VERIFICAR CUADRO"))</f>
        <v>#N/A</v>
      </c>
      <c r="AA2860" s="551"/>
      <c r="AB2860" s="694"/>
      <c r="AC2860" s="694"/>
      <c r="AD2860" s="686"/>
      <c r="AE2860" s="52"/>
      <c r="AF2860" s="52"/>
      <c r="AG2860" s="52"/>
      <c r="AH2860" s="87"/>
      <c r="AI2860" s="87"/>
    </row>
    <row r="2861" spans="1:35" ht="27" hidden="1" customHeight="1" thickBot="1">
      <c r="A2861" s="218" t="e">
        <f>"O"&amp;E2839</f>
        <v>#N/A</v>
      </c>
      <c r="B2861" s="702"/>
      <c r="C2861" s="114">
        <v>2</v>
      </c>
      <c r="D2861" s="194" t="e">
        <f>IF(AND(C2861&lt;=F2858,F2858&lt;&gt;""),VLOOKUP(VALUE(E2839&amp;","&amp;C2861),INTEGRANTES!$D$18:$F$235,2,0),"")</f>
        <v>#N/A</v>
      </c>
      <c r="E2861" s="211" t="e">
        <f>IF(D2861&lt;&gt;"",VLOOKUP(VALUE(E2839&amp;","&amp;C2861),INTEGRANTES!$D$18:$F$235,3,0),"")</f>
        <v>#N/A</v>
      </c>
      <c r="F2861" s="547" t="e">
        <f>IF(D2861="","",SUMIF($I2843:$I2852,D2861,$P2843:$P2852))</f>
        <v>#N/A</v>
      </c>
      <c r="G2861" s="333" t="e">
        <f>IF(D2861="","",SUMIF($I2843:$I2852,D2861,$M2843:$M2852))</f>
        <v>#N/A</v>
      </c>
      <c r="H2861" s="535" t="e">
        <f t="shared" si="839"/>
        <v>#N/A</v>
      </c>
      <c r="I2861" s="212" t="e">
        <f>IF(D2861="","",IF(H2861="NO APORTA","NO",IF(H2861=MAX($H2860:$H2865),"SI","NO")))</f>
        <v>#N/A</v>
      </c>
      <c r="J2861" s="213" t="e">
        <f t="shared" si="840"/>
        <v>#N/A</v>
      </c>
      <c r="K2861" s="200" t="e">
        <f t="shared" si="841"/>
        <v>#N/A</v>
      </c>
      <c r="L2861" s="723"/>
      <c r="M2861" s="715" t="s">
        <v>116</v>
      </c>
      <c r="N2861" s="716"/>
      <c r="O2861" s="556" t="s">
        <v>113</v>
      </c>
      <c r="P2861" s="715" t="s">
        <v>117</v>
      </c>
      <c r="Q2861" s="728"/>
      <c r="R2861" s="759"/>
      <c r="S2861" s="760"/>
      <c r="T2861" s="761"/>
      <c r="U2861" s="219"/>
      <c r="V2861" s="464"/>
      <c r="Y2861" s="414"/>
      <c r="AA2861" s="542" t="e">
        <f>IF(AND(C2860&lt;=F2858,F2858&gt;1,F2858&lt;&gt;""),VLOOKUP(VALUE(E2839&amp;","&amp;C2860),INTEGRANTES!$D$18:$F$235,2,0),"")</f>
        <v>#N/A</v>
      </c>
      <c r="AB2861" s="544" t="e">
        <f t="shared" ref="AB2861:AB2866" si="842">IF(D2860="","",IF(OR(F2860=0,G2860=0),"NO APORTA",ROUND($F2860/$G2860,3)))</f>
        <v>#N/A</v>
      </c>
      <c r="AC2861" s="529"/>
      <c r="AD2861" s="200" t="e">
        <f t="shared" ref="AD2861:AD2866" si="843">IF(OR(AA2861="",AB2861=""),"",IF(AND(AC2861="X",AB2861&gt;=EXPREQVTD),"CUMPLE","NO CUMPLE"))</f>
        <v>#N/A</v>
      </c>
      <c r="AE2861" s="52"/>
      <c r="AF2861" s="52"/>
      <c r="AG2861" s="52"/>
      <c r="AH2861" s="87"/>
      <c r="AI2861" s="87"/>
    </row>
    <row r="2862" spans="1:35" ht="16.5" hidden="1" thickBot="1">
      <c r="A2862" s="218" t="e">
        <f>"P"&amp;E2839</f>
        <v>#N/A</v>
      </c>
      <c r="B2862" s="702"/>
      <c r="C2862" s="114">
        <v>3</v>
      </c>
      <c r="D2862" s="194" t="e">
        <f>IF(AND(C2862&lt;=F2858,F2858&lt;&gt;""),VLOOKUP(VALUE(E2839&amp;","&amp;C2862),INTEGRANTES!$D$18:$F$235,2,0),"")</f>
        <v>#N/A</v>
      </c>
      <c r="E2862" s="211" t="e">
        <f>IF(D2862&lt;&gt;"",VLOOKUP(VALUE(E2839&amp;","&amp;C2862),INTEGRANTES!$D$18:$F$235,3,0),"")</f>
        <v>#N/A</v>
      </c>
      <c r="F2862" s="547" t="e">
        <f>IF(D2862="","",SUMIF($I2843:$I2852,D2862,$P2843:$P2852))</f>
        <v>#N/A</v>
      </c>
      <c r="G2862" s="333" t="e">
        <f>IF(D2862="","",SUMIF($I2843:$I2852,D2862,$M2843:$M2852))</f>
        <v>#N/A</v>
      </c>
      <c r="H2862" s="535" t="e">
        <f t="shared" si="839"/>
        <v>#N/A</v>
      </c>
      <c r="I2862" s="212" t="e">
        <f>IF(D2862="","",IF(H2862="NO APORTA","NO",IF(H2862=MAX($H2860:$H2865),"SI","NO")))</f>
        <v>#N/A</v>
      </c>
      <c r="J2862" s="213" t="e">
        <f t="shared" si="840"/>
        <v>#N/A</v>
      </c>
      <c r="K2862" s="200" t="e">
        <f t="shared" si="841"/>
        <v>#N/A</v>
      </c>
      <c r="L2862" s="724"/>
      <c r="M2862" s="729">
        <f>NUMMOD</f>
        <v>1</v>
      </c>
      <c r="N2862" s="730"/>
      <c r="O2862" s="443">
        <f>IF(M2862="","",VLOOKUP(M2862,PRESUPUESTOS!$B$16:$H$16,5,FALSE))</f>
        <v>2</v>
      </c>
      <c r="P2862" s="713">
        <f>IF(OR(COUNTIF(M2843:M2852,"")&gt;=10,Q2859&lt;NUMMINCONT,OR(T2857="NO CUMPLE",T2857="VERIFICAR")),0,ROUND(AVERAGE(M2843:M2852),3))</f>
        <v>0</v>
      </c>
      <c r="Q2862" s="714"/>
      <c r="R2862" s="458"/>
      <c r="S2862" s="459"/>
      <c r="T2862" s="460"/>
      <c r="U2862" s="219"/>
      <c r="V2862" s="464"/>
      <c r="Y2862" s="532" t="str">
        <f>"40% * ("&amp;PRESUPUESTOS!$H$13&amp;")"</f>
        <v>40% * (50% PFMO)</v>
      </c>
      <c r="AA2862" s="540" t="e">
        <f>IF(AND(C2861&lt;=F2858,F2858&lt;&gt;""),VLOOKUP(VALUE(E2839&amp;","&amp;C2861),INTEGRANTES!$D$18:$F$235,2,0),"")</f>
        <v>#N/A</v>
      </c>
      <c r="AB2862" s="545" t="e">
        <f t="shared" si="842"/>
        <v>#N/A</v>
      </c>
      <c r="AC2862" s="529"/>
      <c r="AD2862" s="200" t="e">
        <f t="shared" si="843"/>
        <v>#N/A</v>
      </c>
      <c r="AE2862" s="52"/>
      <c r="AF2862" s="52"/>
      <c r="AG2862" s="52"/>
      <c r="AH2862" s="87"/>
      <c r="AI2862" s="87"/>
    </row>
    <row r="2863" spans="1:35" ht="15.75" hidden="1" customHeight="1" thickBot="1">
      <c r="A2863" s="218" t="e">
        <f>"Q"&amp;E2839</f>
        <v>#N/A</v>
      </c>
      <c r="B2863" s="702"/>
      <c r="C2863" s="114">
        <v>4</v>
      </c>
      <c r="D2863" s="194" t="e">
        <f>IF(AND(C2863&lt;=F2858,F2858&lt;&gt;""),VLOOKUP(VALUE(E2839&amp;","&amp;C2863),INTEGRANTES!$D$18:$F$235,2,0),"")</f>
        <v>#N/A</v>
      </c>
      <c r="E2863" s="211" t="e">
        <f>IF(D2863&lt;&gt;"",VLOOKUP(VALUE(E2839&amp;","&amp;C2863),INTEGRANTES!$D$18:$F$235,3,0),"")</f>
        <v>#N/A</v>
      </c>
      <c r="F2863" s="547" t="e">
        <f>IF(D2863="","",SUMIF($I2843:$I2852,D2863,$P2843:$P2852))</f>
        <v>#N/A</v>
      </c>
      <c r="G2863" s="333" t="e">
        <f>IF(D2863="","",SUMIF($I2843:$I2852,D2863,$M2843:$M2852))</f>
        <v>#N/A</v>
      </c>
      <c r="H2863" s="535" t="e">
        <f t="shared" si="839"/>
        <v>#N/A</v>
      </c>
      <c r="I2863" s="212" t="e">
        <f>IF(D2863="","",IF(H2863="NO APORTA","NO",IF(H2863=MAX($H2860:$H2865),"SI","NO")))</f>
        <v>#N/A</v>
      </c>
      <c r="J2863" s="213" t="e">
        <f t="shared" si="840"/>
        <v>#N/A</v>
      </c>
      <c r="K2863" s="200" t="e">
        <f t="shared" si="841"/>
        <v>#N/A</v>
      </c>
      <c r="L2863" s="720" t="s">
        <v>109</v>
      </c>
      <c r="M2863" s="757" t="s">
        <v>120</v>
      </c>
      <c r="N2863" s="726"/>
      <c r="O2863" s="726"/>
      <c r="P2863" s="726"/>
      <c r="Q2863" s="727"/>
      <c r="R2863" s="458"/>
      <c r="S2863" s="459"/>
      <c r="T2863" s="460"/>
      <c r="U2863" s="219"/>
      <c r="V2863" s="464"/>
      <c r="Y2863" s="537">
        <f>0.4*PRESUPUESTOS!$H$16</f>
        <v>10.3124</v>
      </c>
      <c r="AA2863" s="540" t="e">
        <f>IF(AND(C2862&lt;=F2858,F2858&lt;&gt;""),VLOOKUP(VALUE(E2839&amp;","&amp;C2862),INTEGRANTES!$D$18:$F$235,2,0),"")</f>
        <v>#N/A</v>
      </c>
      <c r="AB2863" s="545" t="e">
        <f t="shared" si="842"/>
        <v>#N/A</v>
      </c>
      <c r="AC2863" s="529"/>
      <c r="AD2863" s="200" t="e">
        <f t="shared" si="843"/>
        <v>#N/A</v>
      </c>
      <c r="AE2863" s="52"/>
      <c r="AF2863" s="52"/>
      <c r="AG2863" s="52"/>
      <c r="AH2863" s="87"/>
      <c r="AI2863" s="87"/>
    </row>
    <row r="2864" spans="1:35" ht="27" hidden="1" customHeight="1" thickBot="1">
      <c r="A2864" s="218" t="e">
        <f>"R"&amp;E2839</f>
        <v>#N/A</v>
      </c>
      <c r="B2864" s="702"/>
      <c r="C2864" s="114">
        <v>5</v>
      </c>
      <c r="D2864" s="194" t="e">
        <f>IF(AND(C2864&lt;=F2858,F2858&lt;&gt;""),VLOOKUP(VALUE(E2839&amp;","&amp;C2864),INTEGRANTES!$D$18:$F$235,2,0),"")</f>
        <v>#N/A</v>
      </c>
      <c r="E2864" s="211" t="e">
        <f>IF(D2864&lt;&gt;"",VLOOKUP(VALUE(E2839&amp;","&amp;C2864),INTEGRANTES!$D$18:$F$235,3,0),"")</f>
        <v>#N/A</v>
      </c>
      <c r="F2864" s="547" t="e">
        <f>IF(D2864="","",SUMIF($I2843:$I2852,D2864,$P2843:$P2852))</f>
        <v>#N/A</v>
      </c>
      <c r="G2864" s="333" t="e">
        <f>IF(D2864="","",SUMIF($I2843:$I2852,D2864,$M2843:$M2852))</f>
        <v>#N/A</v>
      </c>
      <c r="H2864" s="535" t="e">
        <f t="shared" si="839"/>
        <v>#N/A</v>
      </c>
      <c r="I2864" s="212" t="e">
        <f>IF(D2864="","",IF(H2864="NO APORTA","NO",IF(H2864=MAX($H2860:$H2865),"SI","NO")))</f>
        <v>#N/A</v>
      </c>
      <c r="J2864" s="213" t="e">
        <f t="shared" si="840"/>
        <v>#N/A</v>
      </c>
      <c r="K2864" s="200" t="e">
        <f t="shared" si="841"/>
        <v>#N/A</v>
      </c>
      <c r="L2864" s="721"/>
      <c r="M2864" s="715" t="s">
        <v>116</v>
      </c>
      <c r="N2864" s="716"/>
      <c r="O2864" s="556" t="str">
        <f>PORCREQUERIDO*100&amp;"% PMFO DEL MÓDULO"</f>
        <v>50% PMFO DEL MÓDULO</v>
      </c>
      <c r="P2864" s="715" t="s">
        <v>118</v>
      </c>
      <c r="Q2864" s="728"/>
      <c r="R2864" s="458"/>
      <c r="S2864" s="459"/>
      <c r="T2864" s="460"/>
      <c r="U2864" s="219"/>
      <c r="V2864" s="464"/>
      <c r="Y2864" s="414"/>
      <c r="AA2864" s="540" t="e">
        <f>IF(AND(C2863&lt;=F2858,F2858&lt;&gt;""),VLOOKUP(VALUE(E2839&amp;","&amp;C2863),INTEGRANTES!$D$18:$F$235,2,0),"")</f>
        <v>#N/A</v>
      </c>
      <c r="AB2864" s="545" t="e">
        <f t="shared" si="842"/>
        <v>#N/A</v>
      </c>
      <c r="AC2864" s="529"/>
      <c r="AD2864" s="200" t="e">
        <f t="shared" si="843"/>
        <v>#N/A</v>
      </c>
      <c r="AE2864" s="52"/>
      <c r="AF2864" s="52"/>
      <c r="AG2864" s="52"/>
      <c r="AH2864" s="87"/>
      <c r="AI2864" s="87"/>
    </row>
    <row r="2865" spans="1:35" ht="16.5" hidden="1" thickBot="1">
      <c r="A2865" s="218" t="e">
        <f>"S"&amp;E2839</f>
        <v>#N/A</v>
      </c>
      <c r="B2865" s="702"/>
      <c r="C2865" s="215">
        <v>6</v>
      </c>
      <c r="D2865" s="216" t="e">
        <f>IF(AND(C2865&lt;=F2858,F2858&lt;&gt;""),VLOOKUP(VALUE(E2839&amp;","&amp;C2865),INTEGRANTES!$D$18:$F$235,2,0),"")</f>
        <v>#N/A</v>
      </c>
      <c r="E2865" s="217" t="e">
        <f>IF(D2865&lt;&gt;"",VLOOKUP(VALUE(E2839&amp;","&amp;C2865),INTEGRANTES!$D$18:$F$235,3,0),"")</f>
        <v>#N/A</v>
      </c>
      <c r="F2865" s="548" t="e">
        <f>IF(D2865="","",SUMIF($I2843:$I2852,D2865,$P2843:$P2852))</f>
        <v>#N/A</v>
      </c>
      <c r="G2865" s="334" t="e">
        <f>IF(D2865="","",SUMIF($I2843:$I2852,D2865,$M2843:$M2852))</f>
        <v>#N/A</v>
      </c>
      <c r="H2865" s="536" t="e">
        <f t="shared" si="839"/>
        <v>#N/A</v>
      </c>
      <c r="I2865" s="214" t="e">
        <f>IF(D2865="","",IF(H2865="NO APORTA","NO",IF(H2865=MAX($H2860:$H2865),"SI","NO")))</f>
        <v>#N/A</v>
      </c>
      <c r="J2865" s="213" t="e">
        <f t="shared" si="840"/>
        <v>#N/A</v>
      </c>
      <c r="K2865" s="200" t="e">
        <f t="shared" si="841"/>
        <v>#N/A</v>
      </c>
      <c r="L2865" s="721"/>
      <c r="M2865" s="729">
        <f>NUMMOD</f>
        <v>1</v>
      </c>
      <c r="N2865" s="730"/>
      <c r="O2865" s="443">
        <f>IF(M2865="","",ROUND(VLOOKUP(M2865,PRESUPUESTOS!$B$16:$H$16,7,FALSE),3))</f>
        <v>25.780999999999999</v>
      </c>
      <c r="P2865" s="713">
        <f>IF(OR(COUNTIF(P2843:P2852,"")&gt;=10,Q2859&lt;NUMMINCONT,OR(T2857="NO CUMPLE",T2857="VERIFICAR")),0,ROUND((SUM(P2843:P2852)/SUM(M2843:M2852)),3))</f>
        <v>0</v>
      </c>
      <c r="Q2865" s="714"/>
      <c r="R2865" s="458"/>
      <c r="S2865" s="459"/>
      <c r="T2865" s="460"/>
      <c r="U2865" s="219"/>
      <c r="V2865" s="464"/>
      <c r="Y2865" s="532" t="s">
        <v>343</v>
      </c>
      <c r="AA2865" s="540" t="e">
        <f>IF(AND(C2864&lt;=F2858,F2858&lt;&gt;""),VLOOKUP(VALUE(E2839&amp;","&amp;C2864),INTEGRANTES!$D$18:$F$235,2,0),"")</f>
        <v>#N/A</v>
      </c>
      <c r="AB2865" s="545" t="e">
        <f t="shared" si="842"/>
        <v>#N/A</v>
      </c>
      <c r="AC2865" s="529"/>
      <c r="AD2865" s="200" t="e">
        <f t="shared" si="843"/>
        <v>#N/A</v>
      </c>
      <c r="AE2865" s="52"/>
      <c r="AF2865" s="52"/>
      <c r="AG2865" s="52"/>
      <c r="AH2865" s="87"/>
      <c r="AI2865" s="87"/>
    </row>
    <row r="2866" spans="1:35" ht="16.5" hidden="1" customHeight="1" thickBot="1">
      <c r="A2866" s="218" t="e">
        <f>"T"&amp;E2839</f>
        <v>#N/A</v>
      </c>
      <c r="B2866" s="703"/>
      <c r="C2866" s="719"/>
      <c r="D2866" s="719"/>
      <c r="E2866" s="719"/>
      <c r="F2866" s="719"/>
      <c r="G2866" s="719"/>
      <c r="H2866" s="719" t="s">
        <v>110</v>
      </c>
      <c r="I2866" s="719"/>
      <c r="J2866" s="719"/>
      <c r="K2866" s="201" t="str">
        <f>IF(COUNTIF(K2860:K2865,"")=6,"",IF(COUNTIF(K2860:K2865,"CUMPLE")&gt;0,"CUMPLE","NO CUMPLE"))</f>
        <v>NO CUMPLE</v>
      </c>
      <c r="L2866" s="754"/>
      <c r="M2866" s="755"/>
      <c r="N2866" s="755"/>
      <c r="O2866" s="755"/>
      <c r="P2866" s="755"/>
      <c r="Q2866" s="756"/>
      <c r="R2866" s="461"/>
      <c r="S2866" s="462"/>
      <c r="T2866" s="463"/>
      <c r="U2866" s="219"/>
      <c r="V2866" s="464"/>
      <c r="Y2866" s="549" t="e">
        <f>IF(Y2860="NO APLICA","NO APLICA",IF(COUNTIF(AD2861:AD2866,"CUMPLE")&gt;0,"CUMPLE","NO CUMPLE"))</f>
        <v>#N/A</v>
      </c>
      <c r="AA2866" s="541" t="e">
        <f>IF(AND(C2865&lt;=F2858,F2858&lt;&gt;""),VLOOKUP(VALUE(E2839&amp;","&amp;C2865),INTEGRANTES!$D$18:$F$235,2,0),"")</f>
        <v>#N/A</v>
      </c>
      <c r="AB2866" s="546" t="e">
        <f t="shared" si="842"/>
        <v>#N/A</v>
      </c>
      <c r="AC2866" s="543"/>
      <c r="AD2866" s="201" t="e">
        <f t="shared" si="843"/>
        <v>#N/A</v>
      </c>
      <c r="AE2866" s="52"/>
      <c r="AF2866" s="52"/>
      <c r="AG2866" s="52"/>
      <c r="AH2866" s="87"/>
      <c r="AI2866" s="87"/>
    </row>
    <row r="2867" spans="1:35" hidden="1">
      <c r="A2867" s="103"/>
      <c r="B2867" s="206"/>
      <c r="C2867" s="206"/>
      <c r="D2867" s="206"/>
      <c r="E2867" s="206"/>
      <c r="F2867" s="206"/>
      <c r="G2867" s="206"/>
      <c r="H2867" s="206"/>
      <c r="I2867" s="104"/>
      <c r="J2867" s="206"/>
      <c r="K2867" s="113"/>
      <c r="L2867" s="113"/>
      <c r="M2867" s="113"/>
      <c r="N2867" s="222"/>
      <c r="O2867" s="113"/>
      <c r="P2867" s="113"/>
      <c r="Q2867" s="113"/>
      <c r="R2867" s="206"/>
      <c r="S2867" s="104"/>
      <c r="T2867" s="206"/>
      <c r="U2867" s="474"/>
      <c r="AH2867" s="87"/>
      <c r="AI2867" s="87"/>
    </row>
    <row r="2868" spans="1:35" hidden="1">
      <c r="H2868" s="220"/>
      <c r="AH2868" s="87"/>
      <c r="AI2868" s="87"/>
    </row>
    <row r="2869" spans="1:35" ht="24" hidden="1" thickBot="1">
      <c r="A2869" s="61">
        <v>96</v>
      </c>
      <c r="B2869" s="704" t="s">
        <v>51</v>
      </c>
      <c r="C2869" s="704"/>
      <c r="D2869" s="704"/>
      <c r="E2869" s="62" t="e">
        <f>VLOOKUP(A2869,PROPONENTES!$B$19:$E$218,2,FALSE)</f>
        <v>#N/A</v>
      </c>
      <c r="F2869" s="63" t="e">
        <f>VLOOKUP(A2869,PROPONENTES!$B$19:$E$218,3,FALSE)</f>
        <v>#N/A</v>
      </c>
      <c r="G2869" s="64"/>
      <c r="H2869" s="64"/>
      <c r="I2869" s="63"/>
      <c r="J2869" s="63"/>
      <c r="K2869" s="65"/>
      <c r="L2869" s="65"/>
      <c r="M2869" s="64"/>
      <c r="N2869" s="64"/>
      <c r="O2869" s="66"/>
      <c r="P2869" s="66"/>
      <c r="Q2869" s="66"/>
      <c r="R2869" s="66"/>
      <c r="S2869" s="67"/>
      <c r="T2869" s="68"/>
      <c r="U2869" s="68"/>
      <c r="AC2869" s="68"/>
      <c r="AD2869" s="68"/>
      <c r="AE2869" s="68"/>
      <c r="AF2869" s="68"/>
      <c r="AG2869" s="68"/>
      <c r="AH2869" s="87"/>
      <c r="AI2869" s="87"/>
    </row>
    <row r="2870" spans="1:35" ht="15.75" hidden="1" customHeight="1">
      <c r="A2870" s="44"/>
      <c r="B2870" s="709" t="s">
        <v>59</v>
      </c>
      <c r="C2870" s="552" t="s">
        <v>60</v>
      </c>
      <c r="D2870" s="70" t="s">
        <v>17</v>
      </c>
      <c r="E2870" s="70"/>
      <c r="F2870" s="70" t="s">
        <v>61</v>
      </c>
      <c r="G2870" s="71"/>
      <c r="H2870" s="699" t="s">
        <v>62</v>
      </c>
      <c r="I2870" s="699" t="s">
        <v>18</v>
      </c>
      <c r="J2870" s="699" t="s">
        <v>63</v>
      </c>
      <c r="K2870" s="699" t="s">
        <v>64</v>
      </c>
      <c r="L2870" s="699" t="s">
        <v>65</v>
      </c>
      <c r="M2870" s="743" t="s">
        <v>66</v>
      </c>
      <c r="N2870" s="699" t="s">
        <v>282</v>
      </c>
      <c r="O2870" s="745" t="s">
        <v>67</v>
      </c>
      <c r="P2870" s="746"/>
      <c r="Q2870" s="102" t="s">
        <v>75</v>
      </c>
      <c r="R2870" s="731" t="s">
        <v>22</v>
      </c>
      <c r="S2870" s="732"/>
      <c r="T2870" s="733"/>
      <c r="U2870" s="712" t="s">
        <v>298</v>
      </c>
      <c r="W2870" s="690" t="s">
        <v>268</v>
      </c>
      <c r="X2870" s="691"/>
      <c r="Y2870" s="692"/>
      <c r="Z2870" s="428"/>
      <c r="AA2870" s="697" t="s">
        <v>315</v>
      </c>
      <c r="AB2870" s="695" t="s">
        <v>322</v>
      </c>
      <c r="AC2870" s="49"/>
      <c r="AD2870" s="690" t="s">
        <v>297</v>
      </c>
      <c r="AE2870" s="691"/>
      <c r="AF2870" s="692"/>
      <c r="AG2870" s="49"/>
      <c r="AH2870" s="87"/>
      <c r="AI2870" s="87"/>
    </row>
    <row r="2871" spans="1:35" ht="72" hidden="1">
      <c r="A2871" s="44"/>
      <c r="B2871" s="710"/>
      <c r="C2871" s="553" t="s">
        <v>68</v>
      </c>
      <c r="D2871" s="73" t="s">
        <v>3</v>
      </c>
      <c r="E2871" s="73" t="s">
        <v>19</v>
      </c>
      <c r="F2871" s="73" t="s">
        <v>69</v>
      </c>
      <c r="G2871" s="74" t="s">
        <v>70</v>
      </c>
      <c r="H2871" s="700"/>
      <c r="I2871" s="700"/>
      <c r="J2871" s="700"/>
      <c r="K2871" s="700"/>
      <c r="L2871" s="700"/>
      <c r="M2871" s="744"/>
      <c r="N2871" s="700"/>
      <c r="O2871" s="553" t="s">
        <v>279</v>
      </c>
      <c r="P2871" s="73" t="s">
        <v>88</v>
      </c>
      <c r="Q2871" s="555" t="s">
        <v>76</v>
      </c>
      <c r="R2871" s="734"/>
      <c r="S2871" s="735"/>
      <c r="T2871" s="736"/>
      <c r="U2871" s="712"/>
      <c r="W2871" s="429" t="s">
        <v>269</v>
      </c>
      <c r="X2871" s="457" t="s">
        <v>278</v>
      </c>
      <c r="Y2871" s="430" t="s">
        <v>324</v>
      </c>
      <c r="Z2871" s="428"/>
      <c r="AA2871" s="698"/>
      <c r="AB2871" s="696"/>
      <c r="AC2871" s="49"/>
      <c r="AD2871" s="429" t="s">
        <v>292</v>
      </c>
      <c r="AE2871" s="431" t="s">
        <v>300</v>
      </c>
      <c r="AF2871" s="468" t="s">
        <v>301</v>
      </c>
      <c r="AG2871" s="49"/>
      <c r="AH2871" s="87"/>
      <c r="AI2871" s="87"/>
    </row>
    <row r="2872" spans="1:35" hidden="1">
      <c r="A2872" s="44"/>
      <c r="B2872" s="76"/>
      <c r="C2872" s="77"/>
      <c r="D2872" s="77"/>
      <c r="E2872" s="77"/>
      <c r="F2872" s="77"/>
      <c r="G2872" s="77"/>
      <c r="H2872" s="77"/>
      <c r="I2872" s="77"/>
      <c r="J2872" s="77"/>
      <c r="K2872" s="77"/>
      <c r="L2872" s="77"/>
      <c r="M2872" s="77"/>
      <c r="N2872" s="77"/>
      <c r="O2872" s="77"/>
      <c r="P2872" s="77"/>
      <c r="Q2872" s="77"/>
      <c r="R2872" s="77"/>
      <c r="S2872" s="78"/>
      <c r="T2872" s="79"/>
      <c r="U2872" s="109"/>
      <c r="V2872" s="49"/>
      <c r="W2872" s="432"/>
      <c r="X2872" s="454"/>
      <c r="Y2872" s="433"/>
      <c r="Z2872" s="6"/>
      <c r="AA2872" s="500"/>
      <c r="AB2872" s="562"/>
      <c r="AC2872" s="49"/>
      <c r="AD2872" s="210"/>
      <c r="AE2872" s="434"/>
      <c r="AF2872" s="435"/>
      <c r="AG2872" s="49"/>
      <c r="AH2872" s="87"/>
      <c r="AI2872" s="87"/>
    </row>
    <row r="2873" spans="1:35" hidden="1">
      <c r="A2873" s="80" t="e">
        <f>"A"&amp;E2869</f>
        <v>#N/A</v>
      </c>
      <c r="B2873" s="81">
        <v>1</v>
      </c>
      <c r="C2873" s="82"/>
      <c r="D2873" s="82"/>
      <c r="E2873" s="82"/>
      <c r="F2873" s="82"/>
      <c r="G2873" s="83"/>
      <c r="H2873" s="83"/>
      <c r="I2873" s="84"/>
      <c r="J2873" s="85"/>
      <c r="K2873" s="382"/>
      <c r="L2873" s="85"/>
      <c r="M2873" s="332" t="str">
        <f t="shared" ref="M2873:M2882" si="844">IF(OR(J2873="",L2873="",H2873="NO"),"",IF(OR(J2873&gt;$P$17,J2873&lt;$O$17,L2873&gt;$P$17,AND(J2873&lt;$O$17,L2873&lt;$O$17)),"FUERA DE RANGO",IF(OR(K2873="---",K2873=""),IF(J2873&gt;=$O$17,ROUND((L2873-J2873+1)/360*12,3),ROUND((L2873-$O$17+1)/360*12,3)),IF(J2873&gt;=$O$17,ROUND((L2873-J2873+1)/360*12-ROUND(K2873,3),3),ROUND((L2873-$O$17+1)/360*12-ROUND(K2873,3),3)))))</f>
        <v/>
      </c>
      <c r="N2873" s="86"/>
      <c r="O2873" s="453" t="str">
        <f>IF(OR(G2873="",N2873=""),"",N2873*G2873)</f>
        <v/>
      </c>
      <c r="P2873" s="538" t="str">
        <f>IF(OR(H2873="",M2873="FUERA DE RANGO"),"",IF(OR(L2873&lt;$O$17,L2873&gt;$P$17,L2873="",H2873="NO"),"",IF(OR(N2873="",O2873=""),"",ROUND(O2873,3))))</f>
        <v/>
      </c>
      <c r="Q2873" s="539" t="str">
        <f t="shared" ref="Q2873:Q2882" si="845">IF(AND(H2873="SI",P2873&lt;&gt;""),ROUND(P2873/M2873,3),"")</f>
        <v/>
      </c>
      <c r="R2873" s="737"/>
      <c r="S2873" s="738"/>
      <c r="T2873" s="739"/>
      <c r="U2873" s="470"/>
      <c r="V2873" s="165"/>
      <c r="W2873" s="446"/>
      <c r="X2873" s="456"/>
      <c r="Y2873" s="436"/>
      <c r="Z2873" s="437"/>
      <c r="AA2873" s="560"/>
      <c r="AB2873" s="561"/>
      <c r="AC2873" s="87"/>
      <c r="AD2873" s="466"/>
      <c r="AE2873" s="456"/>
      <c r="AF2873" s="467"/>
      <c r="AG2873" s="87"/>
      <c r="AH2873" s="87"/>
      <c r="AI2873" s="87"/>
    </row>
    <row r="2874" spans="1:35" hidden="1">
      <c r="A2874" s="80" t="e">
        <f>"B"&amp;E2869</f>
        <v>#N/A</v>
      </c>
      <c r="B2874" s="81">
        <v>2</v>
      </c>
      <c r="C2874" s="106"/>
      <c r="D2874" s="106"/>
      <c r="E2874" s="106"/>
      <c r="F2874" s="106"/>
      <c r="G2874" s="83"/>
      <c r="H2874" s="83"/>
      <c r="I2874" s="84"/>
      <c r="J2874" s="85"/>
      <c r="K2874" s="382"/>
      <c r="L2874" s="85"/>
      <c r="M2874" s="332" t="str">
        <f t="shared" si="844"/>
        <v/>
      </c>
      <c r="N2874" s="86"/>
      <c r="O2874" s="453" t="str">
        <f t="shared" ref="O2874:O2882" si="846">IF(OR(G2874="",N2874=""),"",N2874*G2874)</f>
        <v/>
      </c>
      <c r="P2874" s="538" t="str">
        <f t="shared" ref="P2874:P2882" si="847">IF(OR(H2874="",M2874="FUERA DE RANGO"),"",IF(OR(L2874&lt;$O$17,L2874&gt;$P$17,L2874="",H2874="NO"),"",IF(OR(N2874="",O2874=""),"",ROUND(O2874,3))))</f>
        <v/>
      </c>
      <c r="Q2874" s="539" t="str">
        <f t="shared" si="845"/>
        <v/>
      </c>
      <c r="R2874" s="740"/>
      <c r="S2874" s="741"/>
      <c r="T2874" s="742"/>
      <c r="U2874" s="471"/>
      <c r="V2874" s="165"/>
      <c r="W2874" s="446"/>
      <c r="X2874" s="456"/>
      <c r="Y2874" s="436"/>
      <c r="Z2874" s="437"/>
      <c r="AA2874" s="560"/>
      <c r="AB2874" s="561"/>
      <c r="AC2874" s="87"/>
      <c r="AD2874" s="466"/>
      <c r="AE2874" s="456"/>
      <c r="AF2874" s="467"/>
      <c r="AG2874" s="87"/>
      <c r="AH2874" s="87"/>
      <c r="AI2874" s="87"/>
    </row>
    <row r="2875" spans="1:35" hidden="1">
      <c r="A2875" s="80" t="e">
        <f>"C"&amp;E2869</f>
        <v>#N/A</v>
      </c>
      <c r="B2875" s="88">
        <v>3</v>
      </c>
      <c r="C2875" s="82"/>
      <c r="D2875" s="82"/>
      <c r="E2875" s="82"/>
      <c r="F2875" s="82"/>
      <c r="G2875" s="83"/>
      <c r="H2875" s="83"/>
      <c r="I2875" s="84"/>
      <c r="J2875" s="85"/>
      <c r="K2875" s="382"/>
      <c r="L2875" s="85"/>
      <c r="M2875" s="332" t="str">
        <f t="shared" si="844"/>
        <v/>
      </c>
      <c r="N2875" s="86"/>
      <c r="O2875" s="453" t="str">
        <f t="shared" si="846"/>
        <v/>
      </c>
      <c r="P2875" s="538" t="str">
        <f t="shared" si="847"/>
        <v/>
      </c>
      <c r="Q2875" s="539" t="str">
        <f t="shared" si="845"/>
        <v/>
      </c>
      <c r="R2875" s="706"/>
      <c r="S2875" s="707"/>
      <c r="T2875" s="708"/>
      <c r="U2875" s="472"/>
      <c r="V2875" s="166"/>
      <c r="W2875" s="446"/>
      <c r="X2875" s="456"/>
      <c r="Y2875" s="436"/>
      <c r="Z2875" s="437"/>
      <c r="AA2875" s="560"/>
      <c r="AB2875" s="561"/>
      <c r="AC2875" s="87"/>
      <c r="AD2875" s="466"/>
      <c r="AE2875" s="456"/>
      <c r="AF2875" s="467"/>
      <c r="AG2875" s="87"/>
      <c r="AH2875" s="87"/>
      <c r="AI2875" s="87"/>
    </row>
    <row r="2876" spans="1:35" hidden="1">
      <c r="A2876" s="80" t="e">
        <f>"D"&amp;E2869</f>
        <v>#N/A</v>
      </c>
      <c r="B2876" s="105">
        <v>4</v>
      </c>
      <c r="C2876" s="107"/>
      <c r="D2876" s="107"/>
      <c r="E2876" s="107"/>
      <c r="F2876" s="107"/>
      <c r="G2876" s="83"/>
      <c r="H2876" s="83"/>
      <c r="I2876" s="84"/>
      <c r="J2876" s="85"/>
      <c r="K2876" s="382"/>
      <c r="L2876" s="85"/>
      <c r="M2876" s="332" t="str">
        <f t="shared" si="844"/>
        <v/>
      </c>
      <c r="N2876" s="86"/>
      <c r="O2876" s="453" t="str">
        <f t="shared" si="846"/>
        <v/>
      </c>
      <c r="P2876" s="538" t="str">
        <f t="shared" si="847"/>
        <v/>
      </c>
      <c r="Q2876" s="539" t="str">
        <f t="shared" si="845"/>
        <v/>
      </c>
      <c r="R2876" s="706"/>
      <c r="S2876" s="707"/>
      <c r="T2876" s="708"/>
      <c r="U2876" s="472"/>
      <c r="V2876" s="166"/>
      <c r="W2876" s="446"/>
      <c r="X2876" s="456"/>
      <c r="Y2876" s="436"/>
      <c r="Z2876" s="437"/>
      <c r="AA2876" s="560"/>
      <c r="AB2876" s="561"/>
      <c r="AC2876" s="87"/>
      <c r="AD2876" s="466"/>
      <c r="AE2876" s="456"/>
      <c r="AF2876" s="467"/>
      <c r="AG2876" s="87"/>
      <c r="AH2876" s="87"/>
      <c r="AI2876" s="87"/>
    </row>
    <row r="2877" spans="1:35" hidden="1">
      <c r="A2877" s="80" t="e">
        <f>"E"&amp;E2869</f>
        <v>#N/A</v>
      </c>
      <c r="B2877" s="105">
        <v>5</v>
      </c>
      <c r="C2877" s="107"/>
      <c r="D2877" s="107"/>
      <c r="E2877" s="107"/>
      <c r="F2877" s="107"/>
      <c r="G2877" s="83"/>
      <c r="H2877" s="83"/>
      <c r="I2877" s="84"/>
      <c r="J2877" s="85"/>
      <c r="K2877" s="382"/>
      <c r="L2877" s="85"/>
      <c r="M2877" s="332" t="str">
        <f t="shared" si="844"/>
        <v/>
      </c>
      <c r="N2877" s="86"/>
      <c r="O2877" s="453" t="str">
        <f t="shared" si="846"/>
        <v/>
      </c>
      <c r="P2877" s="538" t="str">
        <f t="shared" si="847"/>
        <v/>
      </c>
      <c r="Q2877" s="539" t="str">
        <f t="shared" si="845"/>
        <v/>
      </c>
      <c r="R2877" s="706"/>
      <c r="S2877" s="707"/>
      <c r="T2877" s="708"/>
      <c r="U2877" s="472"/>
      <c r="V2877" s="167"/>
      <c r="W2877" s="446"/>
      <c r="X2877" s="456"/>
      <c r="Y2877" s="436"/>
      <c r="Z2877" s="437"/>
      <c r="AA2877" s="560"/>
      <c r="AB2877" s="561"/>
      <c r="AC2877" s="87"/>
      <c r="AD2877" s="466"/>
      <c r="AE2877" s="456"/>
      <c r="AF2877" s="467"/>
      <c r="AG2877" s="87"/>
      <c r="AH2877" s="87"/>
      <c r="AI2877" s="87"/>
    </row>
    <row r="2878" spans="1:35" hidden="1">
      <c r="A2878" s="80" t="e">
        <f>"F"&amp;E2869</f>
        <v>#N/A</v>
      </c>
      <c r="B2878" s="105">
        <v>6</v>
      </c>
      <c r="C2878" s="107"/>
      <c r="D2878" s="107"/>
      <c r="E2878" s="107"/>
      <c r="F2878" s="107"/>
      <c r="G2878" s="83"/>
      <c r="H2878" s="83"/>
      <c r="I2878" s="84"/>
      <c r="J2878" s="85"/>
      <c r="K2878" s="382"/>
      <c r="L2878" s="85"/>
      <c r="M2878" s="332" t="str">
        <f t="shared" si="844"/>
        <v/>
      </c>
      <c r="N2878" s="86"/>
      <c r="O2878" s="453" t="str">
        <f t="shared" si="846"/>
        <v/>
      </c>
      <c r="P2878" s="538" t="str">
        <f t="shared" si="847"/>
        <v/>
      </c>
      <c r="Q2878" s="539" t="str">
        <f t="shared" si="845"/>
        <v/>
      </c>
      <c r="R2878" s="706"/>
      <c r="S2878" s="707"/>
      <c r="T2878" s="708"/>
      <c r="U2878" s="472"/>
      <c r="V2878" s="167"/>
      <c r="W2878" s="446"/>
      <c r="X2878" s="456"/>
      <c r="Y2878" s="436"/>
      <c r="Z2878" s="437"/>
      <c r="AA2878" s="560"/>
      <c r="AB2878" s="561"/>
      <c r="AC2878" s="87"/>
      <c r="AD2878" s="466"/>
      <c r="AE2878" s="456"/>
      <c r="AF2878" s="467"/>
      <c r="AG2878" s="87"/>
      <c r="AH2878" s="87"/>
      <c r="AI2878" s="87"/>
    </row>
    <row r="2879" spans="1:35" hidden="1">
      <c r="A2879" s="80" t="e">
        <f>"G"&amp;E2869</f>
        <v>#N/A</v>
      </c>
      <c r="B2879" s="105">
        <v>7</v>
      </c>
      <c r="C2879" s="107"/>
      <c r="D2879" s="107"/>
      <c r="E2879" s="107"/>
      <c r="F2879" s="107"/>
      <c r="G2879" s="83"/>
      <c r="H2879" s="83"/>
      <c r="I2879" s="84"/>
      <c r="J2879" s="85"/>
      <c r="K2879" s="382"/>
      <c r="L2879" s="85"/>
      <c r="M2879" s="332" t="str">
        <f t="shared" si="844"/>
        <v/>
      </c>
      <c r="N2879" s="86"/>
      <c r="O2879" s="86" t="str">
        <f t="shared" si="846"/>
        <v/>
      </c>
      <c r="P2879" s="538" t="str">
        <f t="shared" si="847"/>
        <v/>
      </c>
      <c r="Q2879" s="539" t="str">
        <f t="shared" si="845"/>
        <v/>
      </c>
      <c r="R2879" s="706"/>
      <c r="S2879" s="707"/>
      <c r="T2879" s="708"/>
      <c r="U2879" s="472"/>
      <c r="V2879" s="167"/>
      <c r="W2879" s="446"/>
      <c r="X2879" s="456"/>
      <c r="Y2879" s="436"/>
      <c r="Z2879" s="437"/>
      <c r="AA2879" s="560"/>
      <c r="AB2879" s="561"/>
      <c r="AC2879" s="87"/>
      <c r="AD2879" s="466"/>
      <c r="AE2879" s="456"/>
      <c r="AF2879" s="467"/>
      <c r="AG2879" s="87"/>
      <c r="AH2879" s="87"/>
      <c r="AI2879" s="87"/>
    </row>
    <row r="2880" spans="1:35" hidden="1">
      <c r="A2880" s="80" t="e">
        <f>"H"&amp;E2869</f>
        <v>#N/A</v>
      </c>
      <c r="B2880" s="105">
        <v>8</v>
      </c>
      <c r="C2880" s="107"/>
      <c r="D2880" s="107"/>
      <c r="E2880" s="107"/>
      <c r="F2880" s="107"/>
      <c r="G2880" s="83"/>
      <c r="H2880" s="83"/>
      <c r="I2880" s="84"/>
      <c r="J2880" s="85"/>
      <c r="K2880" s="382"/>
      <c r="L2880" s="85"/>
      <c r="M2880" s="332" t="str">
        <f t="shared" si="844"/>
        <v/>
      </c>
      <c r="N2880" s="453"/>
      <c r="O2880" s="86" t="str">
        <f t="shared" si="846"/>
        <v/>
      </c>
      <c r="P2880" s="538" t="str">
        <f t="shared" si="847"/>
        <v/>
      </c>
      <c r="Q2880" s="539" t="str">
        <f t="shared" si="845"/>
        <v/>
      </c>
      <c r="R2880" s="706"/>
      <c r="S2880" s="707"/>
      <c r="T2880" s="708"/>
      <c r="U2880" s="472"/>
      <c r="V2880" s="167"/>
      <c r="W2880" s="446"/>
      <c r="X2880" s="456"/>
      <c r="Y2880" s="436"/>
      <c r="Z2880" s="437"/>
      <c r="AA2880" s="560"/>
      <c r="AB2880" s="561"/>
      <c r="AC2880" s="87"/>
      <c r="AD2880" s="466"/>
      <c r="AE2880" s="456"/>
      <c r="AF2880" s="467"/>
      <c r="AG2880" s="87"/>
      <c r="AH2880" s="87"/>
      <c r="AI2880" s="87"/>
    </row>
    <row r="2881" spans="1:35" hidden="1">
      <c r="A2881" s="80" t="e">
        <f>"I"&amp;E2869</f>
        <v>#N/A</v>
      </c>
      <c r="B2881" s="105">
        <v>9</v>
      </c>
      <c r="C2881" s="107"/>
      <c r="D2881" s="107"/>
      <c r="E2881" s="107"/>
      <c r="F2881" s="107"/>
      <c r="G2881" s="83"/>
      <c r="H2881" s="83"/>
      <c r="I2881" s="84"/>
      <c r="J2881" s="85"/>
      <c r="K2881" s="382"/>
      <c r="L2881" s="85"/>
      <c r="M2881" s="332" t="str">
        <f t="shared" si="844"/>
        <v/>
      </c>
      <c r="N2881" s="453"/>
      <c r="O2881" s="86" t="str">
        <f t="shared" si="846"/>
        <v/>
      </c>
      <c r="P2881" s="538" t="str">
        <f t="shared" si="847"/>
        <v/>
      </c>
      <c r="Q2881" s="539" t="str">
        <f t="shared" si="845"/>
        <v/>
      </c>
      <c r="R2881" s="706"/>
      <c r="S2881" s="707"/>
      <c r="T2881" s="708"/>
      <c r="U2881" s="472"/>
      <c r="V2881" s="167"/>
      <c r="W2881" s="446"/>
      <c r="X2881" s="456"/>
      <c r="Y2881" s="436"/>
      <c r="Z2881" s="437"/>
      <c r="AA2881" s="560"/>
      <c r="AB2881" s="561"/>
      <c r="AC2881" s="87"/>
      <c r="AD2881" s="466"/>
      <c r="AE2881" s="456"/>
      <c r="AF2881" s="467"/>
      <c r="AG2881" s="87"/>
      <c r="AH2881" s="87"/>
      <c r="AI2881" s="87"/>
    </row>
    <row r="2882" spans="1:35" hidden="1">
      <c r="A2882" s="80" t="e">
        <f>"J"&amp;E2869</f>
        <v>#N/A</v>
      </c>
      <c r="B2882" s="105">
        <v>10</v>
      </c>
      <c r="C2882" s="107"/>
      <c r="D2882" s="107"/>
      <c r="E2882" s="107"/>
      <c r="F2882" s="107"/>
      <c r="G2882" s="83"/>
      <c r="H2882" s="83"/>
      <c r="I2882" s="84"/>
      <c r="J2882" s="85"/>
      <c r="K2882" s="382"/>
      <c r="L2882" s="85"/>
      <c r="M2882" s="332" t="str">
        <f t="shared" si="844"/>
        <v/>
      </c>
      <c r="N2882" s="453"/>
      <c r="O2882" s="86" t="str">
        <f t="shared" si="846"/>
        <v/>
      </c>
      <c r="P2882" s="538" t="str">
        <f t="shared" si="847"/>
        <v/>
      </c>
      <c r="Q2882" s="539" t="str">
        <f t="shared" si="845"/>
        <v/>
      </c>
      <c r="R2882" s="706"/>
      <c r="S2882" s="707"/>
      <c r="T2882" s="708"/>
      <c r="U2882" s="472"/>
      <c r="V2882" s="167"/>
      <c r="W2882" s="446"/>
      <c r="X2882" s="456"/>
      <c r="Y2882" s="436"/>
      <c r="Z2882" s="437"/>
      <c r="AA2882" s="560"/>
      <c r="AB2882" s="561"/>
      <c r="AC2882" s="87"/>
      <c r="AD2882" s="466"/>
      <c r="AE2882" s="456"/>
      <c r="AF2882" s="467"/>
      <c r="AG2882" s="87"/>
      <c r="AH2882" s="87"/>
      <c r="AI2882" s="87"/>
    </row>
    <row r="2883" spans="1:35" ht="16.5" hidden="1" thickBot="1">
      <c r="A2883" s="44"/>
      <c r="B2883" s="89"/>
      <c r="C2883" s="90"/>
      <c r="D2883" s="90"/>
      <c r="E2883" s="90"/>
      <c r="F2883" s="90"/>
      <c r="G2883" s="90"/>
      <c r="H2883" s="90"/>
      <c r="I2883" s="90"/>
      <c r="J2883" s="90"/>
      <c r="K2883" s="90"/>
      <c r="L2883" s="90"/>
      <c r="M2883" s="90"/>
      <c r="N2883" s="90"/>
      <c r="O2883" s="90"/>
      <c r="P2883" s="90"/>
      <c r="Q2883" s="90"/>
      <c r="R2883" s="90"/>
      <c r="S2883" s="91"/>
      <c r="T2883" s="92"/>
      <c r="U2883" s="473"/>
      <c r="W2883" s="438"/>
      <c r="X2883" s="455"/>
      <c r="Y2883" s="439"/>
      <c r="Z2883" s="437"/>
      <c r="AA2883" s="530"/>
      <c r="AB2883" s="563"/>
      <c r="AC2883" s="87"/>
      <c r="AD2883" s="440"/>
      <c r="AE2883" s="441"/>
      <c r="AF2883" s="442"/>
      <c r="AG2883" s="49"/>
      <c r="AH2883" s="87"/>
      <c r="AI2883" s="87"/>
    </row>
    <row r="2884" spans="1:35" ht="16.5" hidden="1" thickBot="1">
      <c r="A2884" s="93"/>
      <c r="B2884" s="94"/>
      <c r="C2884" s="96"/>
      <c r="D2884" s="96"/>
      <c r="E2884" s="96"/>
      <c r="F2884" s="96"/>
      <c r="G2884" s="96"/>
      <c r="H2884" s="96"/>
      <c r="I2884" s="96"/>
      <c r="J2884" s="96"/>
      <c r="K2884" s="96"/>
      <c r="L2884" s="96"/>
      <c r="M2884" s="136"/>
      <c r="N2884" s="96"/>
      <c r="O2884" s="96"/>
      <c r="P2884" s="97"/>
      <c r="Q2884" s="97"/>
      <c r="R2884" s="98"/>
      <c r="S2884" s="95"/>
      <c r="T2884" s="99"/>
      <c r="U2884" s="469"/>
      <c r="AC2884" s="58"/>
      <c r="AG2884" s="58"/>
      <c r="AH2884" s="87"/>
      <c r="AI2884" s="87"/>
    </row>
    <row r="2885" spans="1:35" ht="16.5" hidden="1" thickBot="1">
      <c r="B2885" s="101"/>
      <c r="C2885" s="101"/>
      <c r="D2885" s="101"/>
      <c r="E2885" s="101"/>
      <c r="F2885" s="101"/>
      <c r="G2885" s="101"/>
      <c r="H2885" s="101"/>
      <c r="I2885" s="101"/>
      <c r="J2885" s="101"/>
      <c r="K2885" s="101"/>
      <c r="L2885" s="101"/>
      <c r="M2885" s="101"/>
      <c r="N2885" s="101"/>
      <c r="O2885" s="101"/>
      <c r="P2885" s="101"/>
      <c r="Q2885" s="101"/>
      <c r="R2885" s="101"/>
      <c r="S2885" s="101"/>
      <c r="U2885" s="50"/>
      <c r="AH2885" s="87"/>
      <c r="AI2885" s="87"/>
    </row>
    <row r="2886" spans="1:35" ht="16.5" hidden="1" customHeight="1" thickBot="1">
      <c r="A2886" s="44"/>
      <c r="B2886" s="705" t="s">
        <v>74</v>
      </c>
      <c r="C2886" s="705"/>
      <c r="D2886" s="705"/>
      <c r="E2886" s="705"/>
      <c r="F2886" s="705"/>
      <c r="G2886" s="705"/>
      <c r="H2886" s="705"/>
      <c r="I2886" s="705"/>
      <c r="J2886" s="705"/>
      <c r="K2886" s="705"/>
      <c r="L2886" s="705"/>
      <c r="M2886" s="705"/>
      <c r="N2886" s="705"/>
      <c r="O2886" s="705"/>
      <c r="P2886" s="705"/>
      <c r="Q2886" s="705"/>
      <c r="R2886" s="705"/>
      <c r="S2886" s="705"/>
      <c r="T2886" s="705"/>
      <c r="U2886" s="108"/>
      <c r="Y2886" s="532" t="s">
        <v>341</v>
      </c>
      <c r="AC2886" s="49"/>
      <c r="AD2886" s="687" t="s">
        <v>302</v>
      </c>
      <c r="AE2886" s="688"/>
      <c r="AF2886" s="689"/>
      <c r="AG2886" s="49"/>
      <c r="AH2886" s="87"/>
      <c r="AI2886" s="87"/>
    </row>
    <row r="2887" spans="1:35" ht="15.75" hidden="1" customHeight="1" thickBot="1">
      <c r="A2887" s="218" t="e">
        <f>"K"&amp;E2869</f>
        <v>#N/A</v>
      </c>
      <c r="B2887" s="701" t="s">
        <v>71</v>
      </c>
      <c r="C2887" s="751" t="s">
        <v>102</v>
      </c>
      <c r="D2887" s="751"/>
      <c r="E2887" s="751"/>
      <c r="F2887" s="751"/>
      <c r="G2887" s="751"/>
      <c r="H2887" s="751"/>
      <c r="I2887" s="751"/>
      <c r="J2887" s="751"/>
      <c r="K2887" s="751"/>
      <c r="L2887" s="722" t="s">
        <v>100</v>
      </c>
      <c r="M2887" s="747" t="s">
        <v>114</v>
      </c>
      <c r="N2887" s="747"/>
      <c r="O2887" s="747"/>
      <c r="P2887" s="747"/>
      <c r="Q2887" s="748"/>
      <c r="R2887" s="758" t="s">
        <v>280</v>
      </c>
      <c r="S2887" s="748"/>
      <c r="T2887" s="762" t="str">
        <f>IF(COUNTIF(AE2887:AF2887,"VERIFICAR")&gt;0,"VERIFICAR",IF(COUNTIF(AE2887:AF2887,"NO CUMPLE")&gt;0,"NO CUMPLE","CUMPLE"))</f>
        <v>VERIFICAR</v>
      </c>
      <c r="U2887" s="108"/>
      <c r="Y2887" s="533" t="e">
        <f>IF(F2888="","",IF(F2888=1,"INDIVIDUAL","ESTRUCTURA PLURAL"))</f>
        <v>#N/A</v>
      </c>
      <c r="AC2887" s="52"/>
      <c r="AD2887" s="475" t="s">
        <v>303</v>
      </c>
      <c r="AE2887" s="476" t="str">
        <f>IF(COUNTIF(AE2873:AE2882,"")=10,"VERIFICAR",IF(COUNTIF(AE2873:AE2882,"SI")&gt;0,"CUMPLE","NO CUMPLE"))</f>
        <v>VERIFICAR</v>
      </c>
      <c r="AF2887" s="477" t="str">
        <f>IF(COUNTIF(AF2873:AF2882,"")=10,"VERIFICAR",IF(COUNTIF(AF2873:AF2882,"SI")&gt;=$AI$22,"CUMPLE","NO CUMPLE"))</f>
        <v>VERIFICAR</v>
      </c>
      <c r="AG2887" s="52"/>
      <c r="AH2887" s="87"/>
      <c r="AI2887" s="87"/>
    </row>
    <row r="2888" spans="1:35" ht="16.5" hidden="1" customHeight="1" thickBot="1">
      <c r="A2888" s="218" t="e">
        <f>"L"&amp;E2869</f>
        <v>#N/A</v>
      </c>
      <c r="B2888" s="702"/>
      <c r="C2888" s="751" t="s">
        <v>103</v>
      </c>
      <c r="D2888" s="751"/>
      <c r="E2888" s="752"/>
      <c r="F2888" s="557" t="e">
        <f>IF(VLOOKUP(E2869,PROPONENTES!$C$19:$E$218,3,0)="","",VLOOKUP(E2869,PROPONENTES!$C$19:$E$218,3,0))</f>
        <v>#N/A</v>
      </c>
      <c r="G2888" s="753" t="s">
        <v>104</v>
      </c>
      <c r="H2888" s="751"/>
      <c r="I2888" s="715" t="e">
        <f>IF(OR(F2888="",F2888=1),"INTERESADO PERSONA NATURAL O JURIDICA","CONSORCIO O UNION TEMPORAL")</f>
        <v>#N/A</v>
      </c>
      <c r="J2888" s="725"/>
      <c r="K2888" s="728"/>
      <c r="L2888" s="723"/>
      <c r="M2888" s="749"/>
      <c r="N2888" s="749"/>
      <c r="O2888" s="749"/>
      <c r="P2888" s="749"/>
      <c r="Q2888" s="750"/>
      <c r="R2888" s="712"/>
      <c r="S2888" s="750"/>
      <c r="T2888" s="763"/>
      <c r="U2888" s="108"/>
      <c r="Y2888" s="534"/>
      <c r="AA2888" s="52"/>
      <c r="AB2888" s="52"/>
      <c r="AC2888" s="52"/>
      <c r="AG2888" s="52"/>
      <c r="AH2888" s="87"/>
      <c r="AI2888" s="87"/>
    </row>
    <row r="2889" spans="1:35" ht="56.25" hidden="1" customHeight="1" thickBot="1">
      <c r="A2889" s="218" t="e">
        <f>"M"&amp;E2869</f>
        <v>#N/A</v>
      </c>
      <c r="B2889" s="702"/>
      <c r="C2889" s="725" t="s">
        <v>101</v>
      </c>
      <c r="D2889" s="716"/>
      <c r="E2889" s="558" t="s">
        <v>105</v>
      </c>
      <c r="F2889" s="554" t="s">
        <v>87</v>
      </c>
      <c r="G2889" s="553" t="s">
        <v>86</v>
      </c>
      <c r="H2889" s="559" t="s">
        <v>85</v>
      </c>
      <c r="I2889" s="554" t="s">
        <v>252</v>
      </c>
      <c r="J2889" s="553" t="str">
        <f>"¿EL INTEGRANTE TIENE UNA PARTICIPACIÓN DEL "&amp;PORCREQUERIDOINT*100&amp;"%?"</f>
        <v>¿EL INTEGRANTE TIENE UNA PARTICIPACIÓN DEL 60%?</v>
      </c>
      <c r="K2889" s="554" t="s">
        <v>107</v>
      </c>
      <c r="L2889" s="724"/>
      <c r="M2889" s="717" t="s">
        <v>115</v>
      </c>
      <c r="N2889" s="718"/>
      <c r="O2889" s="718"/>
      <c r="P2889" s="718"/>
      <c r="Q2889" s="223">
        <f>IF(AND(H2873="SI",P2873&gt;=0),1,0)+IF(AND(H2874="SI",P2874&gt;=0),1,0)+IF(AND(H2875="SI",P2875&gt;=0),1,0)+IF(AND(H2876="SI",P2876&gt;=0),1,0)+IF(AND(H2877="SI",P2877&gt;=0),1,0)+IF(AND(H2878="SI",P2878&gt;=0),1,0)+IF(AND(H2879="SI",P2879&gt;=0),1,0)+IF(AND(H2880="SI",P2880&gt;=0),1,0)+IF(AND(H2881="SI",P2881&gt;=0),1,0)+IF(AND(H2882="SI",P2882&gt;=0),1,0)</f>
        <v>0</v>
      </c>
      <c r="R2889" s="759"/>
      <c r="S2889" s="761"/>
      <c r="T2889" s="764"/>
      <c r="U2889" s="219"/>
      <c r="V2889" s="464"/>
      <c r="Y2889" s="532" t="s">
        <v>342</v>
      </c>
      <c r="AA2889" s="550" t="s">
        <v>344</v>
      </c>
      <c r="AB2889" s="693" t="s">
        <v>345</v>
      </c>
      <c r="AC2889" s="693" t="s">
        <v>346</v>
      </c>
      <c r="AD2889" s="685" t="s">
        <v>347</v>
      </c>
      <c r="AE2889" s="52"/>
      <c r="AF2889" s="52"/>
      <c r="AG2889" s="52"/>
      <c r="AH2889" s="87"/>
      <c r="AI2889" s="87"/>
    </row>
    <row r="2890" spans="1:35" ht="15.75" hidden="1" customHeight="1" thickBot="1">
      <c r="A2890" s="218" t="e">
        <f>"N"&amp;E2869</f>
        <v>#N/A</v>
      </c>
      <c r="B2890" s="702"/>
      <c r="C2890" s="114">
        <v>1</v>
      </c>
      <c r="D2890" s="194" t="e">
        <f>IF(AND(C2890&lt;=F2888,F2888&gt;1,F2888&lt;&gt;""),VLOOKUP(VALUE(E2869&amp;","&amp;C2890),INTEGRANTES!$D$18:$F$235,2,0),"")</f>
        <v>#N/A</v>
      </c>
      <c r="E2890" s="211" t="e">
        <f>IF(D2890&lt;&gt;"",VLOOKUP(VALUE(E2869&amp;","&amp;C2890),INTEGRANTES!$D$18:$F$235,3,0),"")</f>
        <v>#N/A</v>
      </c>
      <c r="F2890" s="547" t="e">
        <f>IF(D2890="","",SUMIF($I2873:$I2882,D2890,$P2873:$P2882))</f>
        <v>#N/A</v>
      </c>
      <c r="G2890" s="333" t="e">
        <f>IF(D2890="","",SUMIF($I2873:$I2882,D2890,$M2873:$M2882))</f>
        <v>#N/A</v>
      </c>
      <c r="H2890" s="535" t="e">
        <f t="shared" ref="H2890:H2895" si="848">IF(D2890="","",IF(OR(F2890=0,G2890=0),"NO APORTA",ROUND($F2890/$G2890,3)))</f>
        <v>#N/A</v>
      </c>
      <c r="I2890" s="212" t="e">
        <f>IF(D2890="","",IF(H2890="NO APORTA","NO",IF(H2890=MAX($H2890:$H2895),"SI","NO")))</f>
        <v>#N/A</v>
      </c>
      <c r="J2890" s="213" t="e">
        <f t="shared" ref="J2890:J2895" si="849">IF(D2890="","",IF(E2890&gt;=PORCREQUERIDOINT,"SI","NO"))</f>
        <v>#N/A</v>
      </c>
      <c r="K2890" s="200" t="e">
        <f t="shared" ref="K2890:K2895" si="850">IF(D2890="","",IF(AND(I2890="SI",J2890="SI"),"CUMPLE",IF(AND(I2890="NO",OR(J2890="SI",J2890="NO")),"","NO CUMPLE")))</f>
        <v>#N/A</v>
      </c>
      <c r="L2890" s="722" t="s">
        <v>108</v>
      </c>
      <c r="M2890" s="726" t="s">
        <v>119</v>
      </c>
      <c r="N2890" s="726"/>
      <c r="O2890" s="726"/>
      <c r="P2890" s="726"/>
      <c r="Q2890" s="727"/>
      <c r="R2890" s="758" t="s">
        <v>80</v>
      </c>
      <c r="S2890" s="747"/>
      <c r="T2890" s="748"/>
      <c r="U2890" s="219"/>
      <c r="V2890" s="464"/>
      <c r="Y2890" s="533" t="e">
        <f>IF(Y2887="","",IF(Y2887="INDIVIDUAL","NO APLICA","VERIFICAR CUADRO"))</f>
        <v>#N/A</v>
      </c>
      <c r="AA2890" s="551"/>
      <c r="AB2890" s="694"/>
      <c r="AC2890" s="694"/>
      <c r="AD2890" s="686"/>
      <c r="AE2890" s="52"/>
      <c r="AF2890" s="52"/>
      <c r="AG2890" s="52"/>
      <c r="AH2890" s="87"/>
      <c r="AI2890" s="87"/>
    </row>
    <row r="2891" spans="1:35" ht="27" hidden="1" customHeight="1" thickBot="1">
      <c r="A2891" s="218" t="e">
        <f>"O"&amp;E2869</f>
        <v>#N/A</v>
      </c>
      <c r="B2891" s="702"/>
      <c r="C2891" s="114">
        <v>2</v>
      </c>
      <c r="D2891" s="194" t="e">
        <f>IF(AND(C2891&lt;=F2888,F2888&lt;&gt;""),VLOOKUP(VALUE(E2869&amp;","&amp;C2891),INTEGRANTES!$D$18:$F$235,2,0),"")</f>
        <v>#N/A</v>
      </c>
      <c r="E2891" s="211" t="e">
        <f>IF(D2891&lt;&gt;"",VLOOKUP(VALUE(E2869&amp;","&amp;C2891),INTEGRANTES!$D$18:$F$235,3,0),"")</f>
        <v>#N/A</v>
      </c>
      <c r="F2891" s="547" t="e">
        <f>IF(D2891="","",SUMIF($I2873:$I2882,D2891,$P2873:$P2882))</f>
        <v>#N/A</v>
      </c>
      <c r="G2891" s="333" t="e">
        <f>IF(D2891="","",SUMIF($I2873:$I2882,D2891,$M2873:$M2882))</f>
        <v>#N/A</v>
      </c>
      <c r="H2891" s="535" t="e">
        <f t="shared" si="848"/>
        <v>#N/A</v>
      </c>
      <c r="I2891" s="212" t="e">
        <f>IF(D2891="","",IF(H2891="NO APORTA","NO",IF(H2891=MAX($H2890:$H2895),"SI","NO")))</f>
        <v>#N/A</v>
      </c>
      <c r="J2891" s="213" t="e">
        <f t="shared" si="849"/>
        <v>#N/A</v>
      </c>
      <c r="K2891" s="200" t="e">
        <f t="shared" si="850"/>
        <v>#N/A</v>
      </c>
      <c r="L2891" s="723"/>
      <c r="M2891" s="715" t="s">
        <v>116</v>
      </c>
      <c r="N2891" s="716"/>
      <c r="O2891" s="556" t="s">
        <v>113</v>
      </c>
      <c r="P2891" s="715" t="s">
        <v>117</v>
      </c>
      <c r="Q2891" s="728"/>
      <c r="R2891" s="759"/>
      <c r="S2891" s="760"/>
      <c r="T2891" s="761"/>
      <c r="U2891" s="219"/>
      <c r="V2891" s="464"/>
      <c r="Y2891" s="414"/>
      <c r="AA2891" s="542" t="e">
        <f>IF(AND(C2890&lt;=F2888,F2888&gt;1,F2888&lt;&gt;""),VLOOKUP(VALUE(E2869&amp;","&amp;C2890),INTEGRANTES!$D$18:$F$235,2,0),"")</f>
        <v>#N/A</v>
      </c>
      <c r="AB2891" s="544" t="e">
        <f t="shared" ref="AB2891:AB2896" si="851">IF(D2890="","",IF(OR(F2890=0,G2890=0),"NO APORTA",ROUND($F2890/$G2890,3)))</f>
        <v>#N/A</v>
      </c>
      <c r="AC2891" s="529"/>
      <c r="AD2891" s="200" t="e">
        <f t="shared" ref="AD2891:AD2896" si="852">IF(OR(AA2891="",AB2891=""),"",IF(AND(AC2891="X",AB2891&gt;=EXPREQVTD),"CUMPLE","NO CUMPLE"))</f>
        <v>#N/A</v>
      </c>
      <c r="AE2891" s="52"/>
      <c r="AF2891" s="52"/>
      <c r="AG2891" s="52"/>
      <c r="AH2891" s="87"/>
      <c r="AI2891" s="87"/>
    </row>
    <row r="2892" spans="1:35" ht="16.5" hidden="1" thickBot="1">
      <c r="A2892" s="218" t="e">
        <f>"P"&amp;E2869</f>
        <v>#N/A</v>
      </c>
      <c r="B2892" s="702"/>
      <c r="C2892" s="114">
        <v>3</v>
      </c>
      <c r="D2892" s="194" t="e">
        <f>IF(AND(C2892&lt;=F2888,F2888&lt;&gt;""),VLOOKUP(VALUE(E2869&amp;","&amp;C2892),INTEGRANTES!$D$18:$F$235,2,0),"")</f>
        <v>#N/A</v>
      </c>
      <c r="E2892" s="211" t="e">
        <f>IF(D2892&lt;&gt;"",VLOOKUP(VALUE(E2869&amp;","&amp;C2892),INTEGRANTES!$D$18:$F$235,3,0),"")</f>
        <v>#N/A</v>
      </c>
      <c r="F2892" s="547" t="e">
        <f>IF(D2892="","",SUMIF($I2873:$I2882,D2892,$P2873:$P2882))</f>
        <v>#N/A</v>
      </c>
      <c r="G2892" s="333" t="e">
        <f>IF(D2892="","",SUMIF($I2873:$I2882,D2892,$M2873:$M2882))</f>
        <v>#N/A</v>
      </c>
      <c r="H2892" s="535" t="e">
        <f t="shared" si="848"/>
        <v>#N/A</v>
      </c>
      <c r="I2892" s="212" t="e">
        <f>IF(D2892="","",IF(H2892="NO APORTA","NO",IF(H2892=MAX($H2890:$H2895),"SI","NO")))</f>
        <v>#N/A</v>
      </c>
      <c r="J2892" s="213" t="e">
        <f t="shared" si="849"/>
        <v>#N/A</v>
      </c>
      <c r="K2892" s="200" t="e">
        <f t="shared" si="850"/>
        <v>#N/A</v>
      </c>
      <c r="L2892" s="724"/>
      <c r="M2892" s="729">
        <f>NUMMOD</f>
        <v>1</v>
      </c>
      <c r="N2892" s="730"/>
      <c r="O2892" s="443">
        <f>IF(M2892="","",VLOOKUP(M2892,PRESUPUESTOS!$B$16:$H$16,5,FALSE))</f>
        <v>2</v>
      </c>
      <c r="P2892" s="713">
        <f>IF(OR(COUNTIF(M2873:M2882,"")&gt;=10,Q2889&lt;NUMMINCONT,OR(T2887="NO CUMPLE",T2887="VERIFICAR")),0,ROUND(AVERAGE(M2873:M2882),3))</f>
        <v>0</v>
      </c>
      <c r="Q2892" s="714"/>
      <c r="R2892" s="458"/>
      <c r="S2892" s="459"/>
      <c r="T2892" s="460"/>
      <c r="U2892" s="219"/>
      <c r="V2892" s="464"/>
      <c r="Y2892" s="532" t="str">
        <f>"40% * ("&amp;PRESUPUESTOS!$H$13&amp;")"</f>
        <v>40% * (50% PFMO)</v>
      </c>
      <c r="AA2892" s="540" t="e">
        <f>IF(AND(C2891&lt;=F2888,F2888&lt;&gt;""),VLOOKUP(VALUE(E2869&amp;","&amp;C2891),INTEGRANTES!$D$18:$F$235,2,0),"")</f>
        <v>#N/A</v>
      </c>
      <c r="AB2892" s="545" t="e">
        <f t="shared" si="851"/>
        <v>#N/A</v>
      </c>
      <c r="AC2892" s="529"/>
      <c r="AD2892" s="200" t="e">
        <f t="shared" si="852"/>
        <v>#N/A</v>
      </c>
      <c r="AE2892" s="52"/>
      <c r="AF2892" s="52"/>
      <c r="AG2892" s="52"/>
      <c r="AH2892" s="87"/>
      <c r="AI2892" s="87"/>
    </row>
    <row r="2893" spans="1:35" ht="15.75" hidden="1" customHeight="1" thickBot="1">
      <c r="A2893" s="218" t="e">
        <f>"Q"&amp;E2869</f>
        <v>#N/A</v>
      </c>
      <c r="B2893" s="702"/>
      <c r="C2893" s="114">
        <v>4</v>
      </c>
      <c r="D2893" s="194" t="e">
        <f>IF(AND(C2893&lt;=F2888,F2888&lt;&gt;""),VLOOKUP(VALUE(E2869&amp;","&amp;C2893),INTEGRANTES!$D$18:$F$235,2,0),"")</f>
        <v>#N/A</v>
      </c>
      <c r="E2893" s="211" t="e">
        <f>IF(D2893&lt;&gt;"",VLOOKUP(VALUE(E2869&amp;","&amp;C2893),INTEGRANTES!$D$18:$F$235,3,0),"")</f>
        <v>#N/A</v>
      </c>
      <c r="F2893" s="547" t="e">
        <f>IF(D2893="","",SUMIF($I2873:$I2882,D2893,$P2873:$P2882))</f>
        <v>#N/A</v>
      </c>
      <c r="G2893" s="333" t="e">
        <f>IF(D2893="","",SUMIF($I2873:$I2882,D2893,$M2873:$M2882))</f>
        <v>#N/A</v>
      </c>
      <c r="H2893" s="535" t="e">
        <f t="shared" si="848"/>
        <v>#N/A</v>
      </c>
      <c r="I2893" s="212" t="e">
        <f>IF(D2893="","",IF(H2893="NO APORTA","NO",IF(H2893=MAX($H2890:$H2895),"SI","NO")))</f>
        <v>#N/A</v>
      </c>
      <c r="J2893" s="213" t="e">
        <f t="shared" si="849"/>
        <v>#N/A</v>
      </c>
      <c r="K2893" s="200" t="e">
        <f t="shared" si="850"/>
        <v>#N/A</v>
      </c>
      <c r="L2893" s="720" t="s">
        <v>109</v>
      </c>
      <c r="M2893" s="757" t="s">
        <v>120</v>
      </c>
      <c r="N2893" s="726"/>
      <c r="O2893" s="726"/>
      <c r="P2893" s="726"/>
      <c r="Q2893" s="727"/>
      <c r="R2893" s="458"/>
      <c r="S2893" s="459"/>
      <c r="T2893" s="460"/>
      <c r="U2893" s="219"/>
      <c r="V2893" s="464"/>
      <c r="Y2893" s="537">
        <f>0.4*PRESUPUESTOS!$H$16</f>
        <v>10.3124</v>
      </c>
      <c r="AA2893" s="540" t="e">
        <f>IF(AND(C2892&lt;=F2888,F2888&lt;&gt;""),VLOOKUP(VALUE(E2869&amp;","&amp;C2892),INTEGRANTES!$D$18:$F$235,2,0),"")</f>
        <v>#N/A</v>
      </c>
      <c r="AB2893" s="545" t="e">
        <f t="shared" si="851"/>
        <v>#N/A</v>
      </c>
      <c r="AC2893" s="529"/>
      <c r="AD2893" s="200" t="e">
        <f t="shared" si="852"/>
        <v>#N/A</v>
      </c>
      <c r="AE2893" s="52"/>
      <c r="AF2893" s="52"/>
      <c r="AG2893" s="52"/>
      <c r="AH2893" s="87"/>
      <c r="AI2893" s="87"/>
    </row>
    <row r="2894" spans="1:35" ht="27" hidden="1" customHeight="1" thickBot="1">
      <c r="A2894" s="218" t="e">
        <f>"R"&amp;E2869</f>
        <v>#N/A</v>
      </c>
      <c r="B2894" s="702"/>
      <c r="C2894" s="114">
        <v>5</v>
      </c>
      <c r="D2894" s="194" t="e">
        <f>IF(AND(C2894&lt;=F2888,F2888&lt;&gt;""),VLOOKUP(VALUE(E2869&amp;","&amp;C2894),INTEGRANTES!$D$18:$F$235,2,0),"")</f>
        <v>#N/A</v>
      </c>
      <c r="E2894" s="211" t="e">
        <f>IF(D2894&lt;&gt;"",VLOOKUP(VALUE(E2869&amp;","&amp;C2894),INTEGRANTES!$D$18:$F$235,3,0),"")</f>
        <v>#N/A</v>
      </c>
      <c r="F2894" s="547" t="e">
        <f>IF(D2894="","",SUMIF($I2873:$I2882,D2894,$P2873:$P2882))</f>
        <v>#N/A</v>
      </c>
      <c r="G2894" s="333" t="e">
        <f>IF(D2894="","",SUMIF($I2873:$I2882,D2894,$M2873:$M2882))</f>
        <v>#N/A</v>
      </c>
      <c r="H2894" s="535" t="e">
        <f t="shared" si="848"/>
        <v>#N/A</v>
      </c>
      <c r="I2894" s="212" t="e">
        <f>IF(D2894="","",IF(H2894="NO APORTA","NO",IF(H2894=MAX($H2890:$H2895),"SI","NO")))</f>
        <v>#N/A</v>
      </c>
      <c r="J2894" s="213" t="e">
        <f t="shared" si="849"/>
        <v>#N/A</v>
      </c>
      <c r="K2894" s="200" t="e">
        <f t="shared" si="850"/>
        <v>#N/A</v>
      </c>
      <c r="L2894" s="721"/>
      <c r="M2894" s="715" t="s">
        <v>116</v>
      </c>
      <c r="N2894" s="716"/>
      <c r="O2894" s="556" t="str">
        <f>PORCREQUERIDO*100&amp;"% PMFO DEL MÓDULO"</f>
        <v>50% PMFO DEL MÓDULO</v>
      </c>
      <c r="P2894" s="715" t="s">
        <v>118</v>
      </c>
      <c r="Q2894" s="728"/>
      <c r="R2894" s="458"/>
      <c r="S2894" s="459"/>
      <c r="T2894" s="460"/>
      <c r="U2894" s="219"/>
      <c r="V2894" s="464"/>
      <c r="Y2894" s="414"/>
      <c r="AA2894" s="540" t="e">
        <f>IF(AND(C2893&lt;=F2888,F2888&lt;&gt;""),VLOOKUP(VALUE(E2869&amp;","&amp;C2893),INTEGRANTES!$D$18:$F$235,2,0),"")</f>
        <v>#N/A</v>
      </c>
      <c r="AB2894" s="545" t="e">
        <f t="shared" si="851"/>
        <v>#N/A</v>
      </c>
      <c r="AC2894" s="529"/>
      <c r="AD2894" s="200" t="e">
        <f t="shared" si="852"/>
        <v>#N/A</v>
      </c>
      <c r="AE2894" s="52"/>
      <c r="AF2894" s="52"/>
      <c r="AG2894" s="52"/>
      <c r="AH2894" s="87"/>
      <c r="AI2894" s="87"/>
    </row>
    <row r="2895" spans="1:35" ht="16.5" hidden="1" thickBot="1">
      <c r="A2895" s="218" t="e">
        <f>"S"&amp;E2869</f>
        <v>#N/A</v>
      </c>
      <c r="B2895" s="702"/>
      <c r="C2895" s="215">
        <v>6</v>
      </c>
      <c r="D2895" s="216" t="e">
        <f>IF(AND(C2895&lt;=F2888,F2888&lt;&gt;""),VLOOKUP(VALUE(E2869&amp;","&amp;C2895),INTEGRANTES!$D$18:$F$235,2,0),"")</f>
        <v>#N/A</v>
      </c>
      <c r="E2895" s="217" t="e">
        <f>IF(D2895&lt;&gt;"",VLOOKUP(VALUE(E2869&amp;","&amp;C2895),INTEGRANTES!$D$18:$F$235,3,0),"")</f>
        <v>#N/A</v>
      </c>
      <c r="F2895" s="548" t="e">
        <f>IF(D2895="","",SUMIF($I2873:$I2882,D2895,$P2873:$P2882))</f>
        <v>#N/A</v>
      </c>
      <c r="G2895" s="334" t="e">
        <f>IF(D2895="","",SUMIF($I2873:$I2882,D2895,$M2873:$M2882))</f>
        <v>#N/A</v>
      </c>
      <c r="H2895" s="536" t="e">
        <f t="shared" si="848"/>
        <v>#N/A</v>
      </c>
      <c r="I2895" s="214" t="e">
        <f>IF(D2895="","",IF(H2895="NO APORTA","NO",IF(H2895=MAX($H2890:$H2895),"SI","NO")))</f>
        <v>#N/A</v>
      </c>
      <c r="J2895" s="213" t="e">
        <f t="shared" si="849"/>
        <v>#N/A</v>
      </c>
      <c r="K2895" s="200" t="e">
        <f t="shared" si="850"/>
        <v>#N/A</v>
      </c>
      <c r="L2895" s="721"/>
      <c r="M2895" s="729">
        <f>NUMMOD</f>
        <v>1</v>
      </c>
      <c r="N2895" s="730"/>
      <c r="O2895" s="443">
        <f>IF(M2895="","",ROUND(VLOOKUP(M2895,PRESUPUESTOS!$B$16:$H$16,7,FALSE),3))</f>
        <v>25.780999999999999</v>
      </c>
      <c r="P2895" s="713">
        <f>IF(OR(COUNTIF(P2873:P2882,"")&gt;=10,Q2889&lt;NUMMINCONT,OR(T2887="NO CUMPLE",T2887="VERIFICAR")),0,ROUND((SUM(P2873:P2882)/SUM(M2873:M2882)),3))</f>
        <v>0</v>
      </c>
      <c r="Q2895" s="714"/>
      <c r="R2895" s="458"/>
      <c r="S2895" s="459"/>
      <c r="T2895" s="460"/>
      <c r="U2895" s="219"/>
      <c r="V2895" s="464"/>
      <c r="Y2895" s="532" t="s">
        <v>343</v>
      </c>
      <c r="AA2895" s="540" t="e">
        <f>IF(AND(C2894&lt;=F2888,F2888&lt;&gt;""),VLOOKUP(VALUE(E2869&amp;","&amp;C2894),INTEGRANTES!$D$18:$F$235,2,0),"")</f>
        <v>#N/A</v>
      </c>
      <c r="AB2895" s="545" t="e">
        <f t="shared" si="851"/>
        <v>#N/A</v>
      </c>
      <c r="AC2895" s="529"/>
      <c r="AD2895" s="200" t="e">
        <f t="shared" si="852"/>
        <v>#N/A</v>
      </c>
      <c r="AE2895" s="52"/>
      <c r="AF2895" s="52"/>
      <c r="AG2895" s="52"/>
      <c r="AH2895" s="87"/>
      <c r="AI2895" s="87"/>
    </row>
    <row r="2896" spans="1:35" ht="16.5" hidden="1" customHeight="1" thickBot="1">
      <c r="A2896" s="218" t="e">
        <f>"T"&amp;E2869</f>
        <v>#N/A</v>
      </c>
      <c r="B2896" s="703"/>
      <c r="C2896" s="719"/>
      <c r="D2896" s="719"/>
      <c r="E2896" s="719"/>
      <c r="F2896" s="719"/>
      <c r="G2896" s="719"/>
      <c r="H2896" s="719" t="s">
        <v>110</v>
      </c>
      <c r="I2896" s="719"/>
      <c r="J2896" s="719"/>
      <c r="K2896" s="201" t="str">
        <f>IF(COUNTIF(K2890:K2895,"")=6,"",IF(COUNTIF(K2890:K2895,"CUMPLE")&gt;0,"CUMPLE","NO CUMPLE"))</f>
        <v>NO CUMPLE</v>
      </c>
      <c r="L2896" s="754"/>
      <c r="M2896" s="755"/>
      <c r="N2896" s="755"/>
      <c r="O2896" s="755"/>
      <c r="P2896" s="755"/>
      <c r="Q2896" s="756"/>
      <c r="R2896" s="461"/>
      <c r="S2896" s="462"/>
      <c r="T2896" s="463"/>
      <c r="U2896" s="219"/>
      <c r="V2896" s="464"/>
      <c r="Y2896" s="549" t="e">
        <f>IF(Y2890="NO APLICA","NO APLICA",IF(COUNTIF(AD2891:AD2896,"CUMPLE")&gt;0,"CUMPLE","NO CUMPLE"))</f>
        <v>#N/A</v>
      </c>
      <c r="AA2896" s="541" t="e">
        <f>IF(AND(C2895&lt;=F2888,F2888&lt;&gt;""),VLOOKUP(VALUE(E2869&amp;","&amp;C2895),INTEGRANTES!$D$18:$F$235,2,0),"")</f>
        <v>#N/A</v>
      </c>
      <c r="AB2896" s="546" t="e">
        <f t="shared" si="851"/>
        <v>#N/A</v>
      </c>
      <c r="AC2896" s="543"/>
      <c r="AD2896" s="201" t="e">
        <f t="shared" si="852"/>
        <v>#N/A</v>
      </c>
      <c r="AE2896" s="52"/>
      <c r="AF2896" s="52"/>
      <c r="AG2896" s="52"/>
      <c r="AH2896" s="87"/>
      <c r="AI2896" s="87"/>
    </row>
    <row r="2897" spans="1:35" hidden="1">
      <c r="AH2897" s="87"/>
      <c r="AI2897" s="87"/>
    </row>
    <row r="2898" spans="1:35" hidden="1">
      <c r="AH2898" s="87"/>
      <c r="AI2898" s="87"/>
    </row>
    <row r="2899" spans="1:35" ht="24" hidden="1" thickBot="1">
      <c r="A2899" s="61">
        <v>97</v>
      </c>
      <c r="B2899" s="704" t="s">
        <v>51</v>
      </c>
      <c r="C2899" s="704"/>
      <c r="D2899" s="704"/>
      <c r="E2899" s="62" t="e">
        <f>VLOOKUP(A2899,PROPONENTES!$B$19:$E$218,2,FALSE)</f>
        <v>#N/A</v>
      </c>
      <c r="F2899" s="63" t="e">
        <f>VLOOKUP(A2899,PROPONENTES!$B$19:$E$218,3,FALSE)</f>
        <v>#N/A</v>
      </c>
      <c r="G2899" s="64"/>
      <c r="H2899" s="64"/>
      <c r="I2899" s="63"/>
      <c r="J2899" s="63"/>
      <c r="K2899" s="65"/>
      <c r="L2899" s="65"/>
      <c r="M2899" s="64"/>
      <c r="N2899" s="64"/>
      <c r="O2899" s="66"/>
      <c r="P2899" s="66"/>
      <c r="Q2899" s="66"/>
      <c r="R2899" s="66"/>
      <c r="S2899" s="67"/>
      <c r="T2899" s="68"/>
      <c r="U2899" s="68"/>
      <c r="AC2899" s="68"/>
      <c r="AD2899" s="68"/>
      <c r="AE2899" s="68"/>
      <c r="AF2899" s="68"/>
      <c r="AG2899" s="68"/>
      <c r="AH2899" s="87"/>
      <c r="AI2899" s="87"/>
    </row>
    <row r="2900" spans="1:35" ht="15.75" hidden="1" customHeight="1">
      <c r="A2900" s="44"/>
      <c r="B2900" s="709" t="s">
        <v>59</v>
      </c>
      <c r="C2900" s="552" t="s">
        <v>60</v>
      </c>
      <c r="D2900" s="70" t="s">
        <v>17</v>
      </c>
      <c r="E2900" s="70"/>
      <c r="F2900" s="70" t="s">
        <v>61</v>
      </c>
      <c r="G2900" s="71"/>
      <c r="H2900" s="699" t="s">
        <v>62</v>
      </c>
      <c r="I2900" s="699" t="s">
        <v>18</v>
      </c>
      <c r="J2900" s="699" t="s">
        <v>63</v>
      </c>
      <c r="K2900" s="699" t="s">
        <v>64</v>
      </c>
      <c r="L2900" s="699" t="s">
        <v>65</v>
      </c>
      <c r="M2900" s="743" t="s">
        <v>66</v>
      </c>
      <c r="N2900" s="699" t="s">
        <v>282</v>
      </c>
      <c r="O2900" s="745" t="s">
        <v>67</v>
      </c>
      <c r="P2900" s="746"/>
      <c r="Q2900" s="102" t="s">
        <v>75</v>
      </c>
      <c r="R2900" s="731" t="s">
        <v>22</v>
      </c>
      <c r="S2900" s="732"/>
      <c r="T2900" s="733"/>
      <c r="U2900" s="712" t="s">
        <v>298</v>
      </c>
      <c r="W2900" s="690" t="s">
        <v>268</v>
      </c>
      <c r="X2900" s="691"/>
      <c r="Y2900" s="692"/>
      <c r="Z2900" s="428"/>
      <c r="AA2900" s="697" t="s">
        <v>315</v>
      </c>
      <c r="AB2900" s="695" t="s">
        <v>322</v>
      </c>
      <c r="AC2900" s="49"/>
      <c r="AD2900" s="690" t="s">
        <v>297</v>
      </c>
      <c r="AE2900" s="691"/>
      <c r="AF2900" s="692"/>
      <c r="AG2900" s="49"/>
      <c r="AH2900" s="87"/>
      <c r="AI2900" s="87"/>
    </row>
    <row r="2901" spans="1:35" ht="72" hidden="1">
      <c r="A2901" s="44"/>
      <c r="B2901" s="710"/>
      <c r="C2901" s="553" t="s">
        <v>68</v>
      </c>
      <c r="D2901" s="73" t="s">
        <v>3</v>
      </c>
      <c r="E2901" s="73" t="s">
        <v>19</v>
      </c>
      <c r="F2901" s="73" t="s">
        <v>69</v>
      </c>
      <c r="G2901" s="74" t="s">
        <v>70</v>
      </c>
      <c r="H2901" s="700"/>
      <c r="I2901" s="700"/>
      <c r="J2901" s="700"/>
      <c r="K2901" s="700"/>
      <c r="L2901" s="700"/>
      <c r="M2901" s="744"/>
      <c r="N2901" s="700"/>
      <c r="O2901" s="553" t="s">
        <v>279</v>
      </c>
      <c r="P2901" s="73" t="s">
        <v>88</v>
      </c>
      <c r="Q2901" s="555" t="s">
        <v>76</v>
      </c>
      <c r="R2901" s="734"/>
      <c r="S2901" s="735"/>
      <c r="T2901" s="736"/>
      <c r="U2901" s="712"/>
      <c r="W2901" s="429" t="s">
        <v>269</v>
      </c>
      <c r="X2901" s="457" t="s">
        <v>278</v>
      </c>
      <c r="Y2901" s="430" t="s">
        <v>324</v>
      </c>
      <c r="Z2901" s="428"/>
      <c r="AA2901" s="698"/>
      <c r="AB2901" s="696"/>
      <c r="AC2901" s="49"/>
      <c r="AD2901" s="429" t="s">
        <v>292</v>
      </c>
      <c r="AE2901" s="431" t="s">
        <v>300</v>
      </c>
      <c r="AF2901" s="468" t="s">
        <v>301</v>
      </c>
      <c r="AG2901" s="49"/>
      <c r="AH2901" s="87"/>
      <c r="AI2901" s="87"/>
    </row>
    <row r="2902" spans="1:35" hidden="1">
      <c r="A2902" s="44"/>
      <c r="B2902" s="76"/>
      <c r="C2902" s="77"/>
      <c r="D2902" s="77"/>
      <c r="E2902" s="77"/>
      <c r="F2902" s="77"/>
      <c r="G2902" s="77"/>
      <c r="H2902" s="77"/>
      <c r="I2902" s="77"/>
      <c r="J2902" s="77"/>
      <c r="K2902" s="77"/>
      <c r="L2902" s="77"/>
      <c r="M2902" s="77"/>
      <c r="N2902" s="77"/>
      <c r="O2902" s="77"/>
      <c r="P2902" s="77"/>
      <c r="Q2902" s="77"/>
      <c r="R2902" s="77"/>
      <c r="S2902" s="78"/>
      <c r="T2902" s="79"/>
      <c r="U2902" s="109"/>
      <c r="V2902" s="49"/>
      <c r="W2902" s="432"/>
      <c r="X2902" s="454"/>
      <c r="Y2902" s="433"/>
      <c r="Z2902" s="6"/>
      <c r="AA2902" s="500"/>
      <c r="AB2902" s="562"/>
      <c r="AC2902" s="49"/>
      <c r="AD2902" s="210"/>
      <c r="AE2902" s="434"/>
      <c r="AF2902" s="435"/>
      <c r="AG2902" s="49"/>
      <c r="AH2902" s="87"/>
      <c r="AI2902" s="87"/>
    </row>
    <row r="2903" spans="1:35" hidden="1">
      <c r="A2903" s="80" t="e">
        <f>"A"&amp;E2899</f>
        <v>#N/A</v>
      </c>
      <c r="B2903" s="81">
        <v>1</v>
      </c>
      <c r="C2903" s="82"/>
      <c r="D2903" s="82"/>
      <c r="E2903" s="82"/>
      <c r="F2903" s="82"/>
      <c r="G2903" s="83"/>
      <c r="H2903" s="83"/>
      <c r="I2903" s="84"/>
      <c r="J2903" s="85"/>
      <c r="K2903" s="382"/>
      <c r="L2903" s="85"/>
      <c r="M2903" s="332" t="str">
        <f t="shared" ref="M2903:M2912" si="853">IF(OR(J2903="",L2903="",H2903="NO"),"",IF(OR(J2903&gt;$P$17,J2903&lt;$O$17,L2903&gt;$P$17,AND(J2903&lt;$O$17,L2903&lt;$O$17)),"FUERA DE RANGO",IF(OR(K2903="---",K2903=""),IF(J2903&gt;=$O$17,ROUND((L2903-J2903+1)/360*12,3),ROUND((L2903-$O$17+1)/360*12,3)),IF(J2903&gt;=$O$17,ROUND((L2903-J2903+1)/360*12-ROUND(K2903,3),3),ROUND((L2903-$O$17+1)/360*12-ROUND(K2903,3),3)))))</f>
        <v/>
      </c>
      <c r="N2903" s="86"/>
      <c r="O2903" s="453" t="str">
        <f>IF(OR(G2903="",N2903=""),"",N2903*G2903)</f>
        <v/>
      </c>
      <c r="P2903" s="538" t="str">
        <f>IF(OR(H2903="",M2903="FUERA DE RANGO"),"",IF(OR(L2903&lt;$O$17,L2903&gt;$P$17,L2903="",H2903="NO"),"",IF(OR(N2903="",O2903=""),"",ROUND(O2903,3))))</f>
        <v/>
      </c>
      <c r="Q2903" s="539" t="str">
        <f t="shared" ref="Q2903:Q2912" si="854">IF(AND(H2903="SI",P2903&lt;&gt;""),ROUND(P2903/M2903,3),"")</f>
        <v/>
      </c>
      <c r="R2903" s="737"/>
      <c r="S2903" s="738"/>
      <c r="T2903" s="739"/>
      <c r="U2903" s="470"/>
      <c r="V2903" s="165"/>
      <c r="W2903" s="446"/>
      <c r="X2903" s="456"/>
      <c r="Y2903" s="436"/>
      <c r="Z2903" s="437"/>
      <c r="AA2903" s="560"/>
      <c r="AB2903" s="561"/>
      <c r="AC2903" s="87"/>
      <c r="AD2903" s="466"/>
      <c r="AE2903" s="456"/>
      <c r="AF2903" s="467"/>
      <c r="AG2903" s="87"/>
      <c r="AH2903" s="87"/>
      <c r="AI2903" s="87"/>
    </row>
    <row r="2904" spans="1:35" hidden="1">
      <c r="A2904" s="80" t="e">
        <f>"B"&amp;E2899</f>
        <v>#N/A</v>
      </c>
      <c r="B2904" s="81">
        <v>2</v>
      </c>
      <c r="C2904" s="106"/>
      <c r="D2904" s="106"/>
      <c r="E2904" s="106"/>
      <c r="F2904" s="106"/>
      <c r="G2904" s="83"/>
      <c r="H2904" s="83"/>
      <c r="I2904" s="84"/>
      <c r="J2904" s="85"/>
      <c r="K2904" s="382"/>
      <c r="L2904" s="85"/>
      <c r="M2904" s="332" t="str">
        <f t="shared" si="853"/>
        <v/>
      </c>
      <c r="N2904" s="86"/>
      <c r="O2904" s="453" t="str">
        <f t="shared" ref="O2904:O2912" si="855">IF(OR(G2904="",N2904=""),"",N2904*G2904)</f>
        <v/>
      </c>
      <c r="P2904" s="538" t="str">
        <f t="shared" ref="P2904:P2912" si="856">IF(OR(H2904="",M2904="FUERA DE RANGO"),"",IF(OR(L2904&lt;$O$17,L2904&gt;$P$17,L2904="",H2904="NO"),"",IF(OR(N2904="",O2904=""),"",ROUND(O2904,3))))</f>
        <v/>
      </c>
      <c r="Q2904" s="539" t="str">
        <f t="shared" si="854"/>
        <v/>
      </c>
      <c r="R2904" s="740"/>
      <c r="S2904" s="741"/>
      <c r="T2904" s="742"/>
      <c r="U2904" s="471"/>
      <c r="V2904" s="165"/>
      <c r="W2904" s="446"/>
      <c r="X2904" s="456"/>
      <c r="Y2904" s="436"/>
      <c r="Z2904" s="437"/>
      <c r="AA2904" s="560"/>
      <c r="AB2904" s="561"/>
      <c r="AC2904" s="87"/>
      <c r="AD2904" s="466"/>
      <c r="AE2904" s="456"/>
      <c r="AF2904" s="467"/>
      <c r="AG2904" s="87"/>
      <c r="AH2904" s="87"/>
      <c r="AI2904" s="87"/>
    </row>
    <row r="2905" spans="1:35" hidden="1">
      <c r="A2905" s="80" t="e">
        <f>"C"&amp;E2899</f>
        <v>#N/A</v>
      </c>
      <c r="B2905" s="88">
        <v>3</v>
      </c>
      <c r="C2905" s="82"/>
      <c r="D2905" s="82"/>
      <c r="E2905" s="82"/>
      <c r="F2905" s="82"/>
      <c r="G2905" s="83"/>
      <c r="H2905" s="83"/>
      <c r="I2905" s="84"/>
      <c r="J2905" s="85"/>
      <c r="K2905" s="382"/>
      <c r="L2905" s="85"/>
      <c r="M2905" s="332" t="str">
        <f t="shared" si="853"/>
        <v/>
      </c>
      <c r="N2905" s="86"/>
      <c r="O2905" s="453" t="str">
        <f t="shared" si="855"/>
        <v/>
      </c>
      <c r="P2905" s="538" t="str">
        <f t="shared" si="856"/>
        <v/>
      </c>
      <c r="Q2905" s="539" t="str">
        <f t="shared" si="854"/>
        <v/>
      </c>
      <c r="R2905" s="706"/>
      <c r="S2905" s="707"/>
      <c r="T2905" s="708"/>
      <c r="U2905" s="472"/>
      <c r="V2905" s="166"/>
      <c r="W2905" s="446"/>
      <c r="X2905" s="456"/>
      <c r="Y2905" s="436"/>
      <c r="Z2905" s="437"/>
      <c r="AA2905" s="560"/>
      <c r="AB2905" s="561"/>
      <c r="AC2905" s="87"/>
      <c r="AD2905" s="466"/>
      <c r="AE2905" s="456"/>
      <c r="AF2905" s="467"/>
      <c r="AG2905" s="87"/>
      <c r="AH2905" s="87"/>
      <c r="AI2905" s="87"/>
    </row>
    <row r="2906" spans="1:35" hidden="1">
      <c r="A2906" s="80" t="e">
        <f>"D"&amp;E2899</f>
        <v>#N/A</v>
      </c>
      <c r="B2906" s="105">
        <v>4</v>
      </c>
      <c r="C2906" s="107"/>
      <c r="D2906" s="107"/>
      <c r="E2906" s="107"/>
      <c r="F2906" s="107"/>
      <c r="G2906" s="83"/>
      <c r="H2906" s="83"/>
      <c r="I2906" s="84"/>
      <c r="J2906" s="85"/>
      <c r="K2906" s="382"/>
      <c r="L2906" s="85"/>
      <c r="M2906" s="332" t="str">
        <f t="shared" si="853"/>
        <v/>
      </c>
      <c r="N2906" s="86"/>
      <c r="O2906" s="453" t="str">
        <f t="shared" si="855"/>
        <v/>
      </c>
      <c r="P2906" s="538" t="str">
        <f t="shared" si="856"/>
        <v/>
      </c>
      <c r="Q2906" s="539" t="str">
        <f t="shared" si="854"/>
        <v/>
      </c>
      <c r="R2906" s="706"/>
      <c r="S2906" s="707"/>
      <c r="T2906" s="708"/>
      <c r="U2906" s="472"/>
      <c r="V2906" s="166"/>
      <c r="W2906" s="446"/>
      <c r="X2906" s="456"/>
      <c r="Y2906" s="436"/>
      <c r="Z2906" s="437"/>
      <c r="AA2906" s="560"/>
      <c r="AB2906" s="561"/>
      <c r="AC2906" s="87"/>
      <c r="AD2906" s="466"/>
      <c r="AE2906" s="456"/>
      <c r="AF2906" s="467"/>
      <c r="AG2906" s="87"/>
      <c r="AH2906" s="87"/>
      <c r="AI2906" s="87"/>
    </row>
    <row r="2907" spans="1:35" hidden="1">
      <c r="A2907" s="80" t="e">
        <f>"E"&amp;E2899</f>
        <v>#N/A</v>
      </c>
      <c r="B2907" s="105">
        <v>5</v>
      </c>
      <c r="C2907" s="107"/>
      <c r="D2907" s="107"/>
      <c r="E2907" s="107"/>
      <c r="F2907" s="107"/>
      <c r="G2907" s="83"/>
      <c r="H2907" s="83"/>
      <c r="I2907" s="84"/>
      <c r="J2907" s="85"/>
      <c r="K2907" s="382"/>
      <c r="L2907" s="85"/>
      <c r="M2907" s="332" t="str">
        <f t="shared" si="853"/>
        <v/>
      </c>
      <c r="N2907" s="86"/>
      <c r="O2907" s="453" t="str">
        <f t="shared" si="855"/>
        <v/>
      </c>
      <c r="P2907" s="538" t="str">
        <f t="shared" si="856"/>
        <v/>
      </c>
      <c r="Q2907" s="539" t="str">
        <f t="shared" si="854"/>
        <v/>
      </c>
      <c r="R2907" s="706"/>
      <c r="S2907" s="707"/>
      <c r="T2907" s="708"/>
      <c r="U2907" s="472"/>
      <c r="V2907" s="167"/>
      <c r="W2907" s="446"/>
      <c r="X2907" s="456"/>
      <c r="Y2907" s="436"/>
      <c r="Z2907" s="437"/>
      <c r="AA2907" s="560"/>
      <c r="AB2907" s="561"/>
      <c r="AC2907" s="87"/>
      <c r="AD2907" s="466"/>
      <c r="AE2907" s="456"/>
      <c r="AF2907" s="467"/>
      <c r="AG2907" s="87"/>
      <c r="AH2907" s="87"/>
      <c r="AI2907" s="87"/>
    </row>
    <row r="2908" spans="1:35" hidden="1">
      <c r="A2908" s="80" t="e">
        <f>"F"&amp;E2899</f>
        <v>#N/A</v>
      </c>
      <c r="B2908" s="105">
        <v>6</v>
      </c>
      <c r="C2908" s="107"/>
      <c r="D2908" s="107"/>
      <c r="E2908" s="107"/>
      <c r="F2908" s="107"/>
      <c r="G2908" s="83"/>
      <c r="H2908" s="83"/>
      <c r="I2908" s="84"/>
      <c r="J2908" s="85"/>
      <c r="K2908" s="382"/>
      <c r="L2908" s="85"/>
      <c r="M2908" s="332" t="str">
        <f t="shared" si="853"/>
        <v/>
      </c>
      <c r="N2908" s="86"/>
      <c r="O2908" s="453" t="str">
        <f t="shared" si="855"/>
        <v/>
      </c>
      <c r="P2908" s="538" t="str">
        <f t="shared" si="856"/>
        <v/>
      </c>
      <c r="Q2908" s="539" t="str">
        <f t="shared" si="854"/>
        <v/>
      </c>
      <c r="R2908" s="706"/>
      <c r="S2908" s="707"/>
      <c r="T2908" s="708"/>
      <c r="U2908" s="472"/>
      <c r="V2908" s="167"/>
      <c r="W2908" s="446"/>
      <c r="X2908" s="456"/>
      <c r="Y2908" s="436"/>
      <c r="Z2908" s="437"/>
      <c r="AA2908" s="560"/>
      <c r="AB2908" s="561"/>
      <c r="AC2908" s="87"/>
      <c r="AD2908" s="466"/>
      <c r="AE2908" s="456"/>
      <c r="AF2908" s="467"/>
      <c r="AG2908" s="87"/>
      <c r="AH2908" s="87"/>
      <c r="AI2908" s="87"/>
    </row>
    <row r="2909" spans="1:35" hidden="1">
      <c r="A2909" s="80" t="e">
        <f>"G"&amp;E2899</f>
        <v>#N/A</v>
      </c>
      <c r="B2909" s="105">
        <v>7</v>
      </c>
      <c r="C2909" s="107"/>
      <c r="D2909" s="107"/>
      <c r="E2909" s="107"/>
      <c r="F2909" s="107"/>
      <c r="G2909" s="83"/>
      <c r="H2909" s="83"/>
      <c r="I2909" s="84"/>
      <c r="J2909" s="85"/>
      <c r="K2909" s="382"/>
      <c r="L2909" s="85"/>
      <c r="M2909" s="332" t="str">
        <f t="shared" si="853"/>
        <v/>
      </c>
      <c r="N2909" s="86"/>
      <c r="O2909" s="86" t="str">
        <f t="shared" si="855"/>
        <v/>
      </c>
      <c r="P2909" s="538" t="str">
        <f t="shared" si="856"/>
        <v/>
      </c>
      <c r="Q2909" s="539" t="str">
        <f t="shared" si="854"/>
        <v/>
      </c>
      <c r="R2909" s="706"/>
      <c r="S2909" s="707"/>
      <c r="T2909" s="708"/>
      <c r="U2909" s="472"/>
      <c r="V2909" s="167"/>
      <c r="W2909" s="446"/>
      <c r="X2909" s="456"/>
      <c r="Y2909" s="436"/>
      <c r="Z2909" s="437"/>
      <c r="AA2909" s="560"/>
      <c r="AB2909" s="561"/>
      <c r="AC2909" s="87"/>
      <c r="AD2909" s="466"/>
      <c r="AE2909" s="456"/>
      <c r="AF2909" s="467"/>
      <c r="AG2909" s="87"/>
      <c r="AH2909" s="87"/>
      <c r="AI2909" s="87"/>
    </row>
    <row r="2910" spans="1:35" hidden="1">
      <c r="A2910" s="80" t="e">
        <f>"H"&amp;E2899</f>
        <v>#N/A</v>
      </c>
      <c r="B2910" s="105">
        <v>8</v>
      </c>
      <c r="C2910" s="107"/>
      <c r="D2910" s="107"/>
      <c r="E2910" s="107"/>
      <c r="F2910" s="107"/>
      <c r="G2910" s="83"/>
      <c r="H2910" s="83"/>
      <c r="I2910" s="84"/>
      <c r="J2910" s="85"/>
      <c r="K2910" s="382"/>
      <c r="L2910" s="85"/>
      <c r="M2910" s="332" t="str">
        <f t="shared" si="853"/>
        <v/>
      </c>
      <c r="N2910" s="453"/>
      <c r="O2910" s="86" t="str">
        <f t="shared" si="855"/>
        <v/>
      </c>
      <c r="P2910" s="538" t="str">
        <f t="shared" si="856"/>
        <v/>
      </c>
      <c r="Q2910" s="539" t="str">
        <f t="shared" si="854"/>
        <v/>
      </c>
      <c r="R2910" s="706"/>
      <c r="S2910" s="707"/>
      <c r="T2910" s="708"/>
      <c r="U2910" s="472"/>
      <c r="V2910" s="167"/>
      <c r="W2910" s="446"/>
      <c r="X2910" s="456"/>
      <c r="Y2910" s="436"/>
      <c r="Z2910" s="437"/>
      <c r="AA2910" s="560"/>
      <c r="AB2910" s="561"/>
      <c r="AC2910" s="87"/>
      <c r="AD2910" s="466"/>
      <c r="AE2910" s="456"/>
      <c r="AF2910" s="467"/>
      <c r="AG2910" s="87"/>
      <c r="AH2910" s="87"/>
      <c r="AI2910" s="87"/>
    </row>
    <row r="2911" spans="1:35" hidden="1">
      <c r="A2911" s="80" t="e">
        <f>"I"&amp;E2899</f>
        <v>#N/A</v>
      </c>
      <c r="B2911" s="105">
        <v>9</v>
      </c>
      <c r="C2911" s="107"/>
      <c r="D2911" s="107"/>
      <c r="E2911" s="107"/>
      <c r="F2911" s="107"/>
      <c r="G2911" s="83"/>
      <c r="H2911" s="83"/>
      <c r="I2911" s="84"/>
      <c r="J2911" s="85"/>
      <c r="K2911" s="382"/>
      <c r="L2911" s="85"/>
      <c r="M2911" s="332" t="str">
        <f t="shared" si="853"/>
        <v/>
      </c>
      <c r="N2911" s="453"/>
      <c r="O2911" s="86" t="str">
        <f t="shared" si="855"/>
        <v/>
      </c>
      <c r="P2911" s="538" t="str">
        <f t="shared" si="856"/>
        <v/>
      </c>
      <c r="Q2911" s="539" t="str">
        <f t="shared" si="854"/>
        <v/>
      </c>
      <c r="R2911" s="706"/>
      <c r="S2911" s="707"/>
      <c r="T2911" s="708"/>
      <c r="U2911" s="472"/>
      <c r="V2911" s="167"/>
      <c r="W2911" s="446"/>
      <c r="X2911" s="456"/>
      <c r="Y2911" s="436"/>
      <c r="Z2911" s="437"/>
      <c r="AA2911" s="560"/>
      <c r="AB2911" s="561"/>
      <c r="AC2911" s="87"/>
      <c r="AD2911" s="466"/>
      <c r="AE2911" s="456"/>
      <c r="AF2911" s="467"/>
      <c r="AG2911" s="87"/>
      <c r="AH2911" s="87"/>
      <c r="AI2911" s="87"/>
    </row>
    <row r="2912" spans="1:35" hidden="1">
      <c r="A2912" s="80" t="e">
        <f>"J"&amp;E2899</f>
        <v>#N/A</v>
      </c>
      <c r="B2912" s="105">
        <v>10</v>
      </c>
      <c r="C2912" s="107"/>
      <c r="D2912" s="107"/>
      <c r="E2912" s="107"/>
      <c r="F2912" s="107"/>
      <c r="G2912" s="83"/>
      <c r="H2912" s="83"/>
      <c r="I2912" s="84"/>
      <c r="J2912" s="85"/>
      <c r="K2912" s="382"/>
      <c r="L2912" s="85"/>
      <c r="M2912" s="332" t="str">
        <f t="shared" si="853"/>
        <v/>
      </c>
      <c r="N2912" s="453"/>
      <c r="O2912" s="86" t="str">
        <f t="shared" si="855"/>
        <v/>
      </c>
      <c r="P2912" s="538" t="str">
        <f t="shared" si="856"/>
        <v/>
      </c>
      <c r="Q2912" s="539" t="str">
        <f t="shared" si="854"/>
        <v/>
      </c>
      <c r="R2912" s="706"/>
      <c r="S2912" s="707"/>
      <c r="T2912" s="708"/>
      <c r="U2912" s="472"/>
      <c r="V2912" s="167"/>
      <c r="W2912" s="446"/>
      <c r="X2912" s="456"/>
      <c r="Y2912" s="436"/>
      <c r="Z2912" s="437"/>
      <c r="AA2912" s="560"/>
      <c r="AB2912" s="561"/>
      <c r="AC2912" s="87"/>
      <c r="AD2912" s="466"/>
      <c r="AE2912" s="456"/>
      <c r="AF2912" s="467"/>
      <c r="AG2912" s="87"/>
      <c r="AH2912" s="87"/>
      <c r="AI2912" s="87"/>
    </row>
    <row r="2913" spans="1:35" ht="16.5" hidden="1" thickBot="1">
      <c r="A2913" s="44"/>
      <c r="B2913" s="89"/>
      <c r="C2913" s="90"/>
      <c r="D2913" s="90"/>
      <c r="E2913" s="90"/>
      <c r="F2913" s="90"/>
      <c r="G2913" s="90"/>
      <c r="H2913" s="90"/>
      <c r="I2913" s="90"/>
      <c r="J2913" s="90"/>
      <c r="K2913" s="90"/>
      <c r="L2913" s="90"/>
      <c r="M2913" s="90"/>
      <c r="N2913" s="90"/>
      <c r="O2913" s="90"/>
      <c r="P2913" s="90"/>
      <c r="Q2913" s="90"/>
      <c r="R2913" s="90"/>
      <c r="S2913" s="91"/>
      <c r="T2913" s="92"/>
      <c r="U2913" s="473"/>
      <c r="W2913" s="438"/>
      <c r="X2913" s="455"/>
      <c r="Y2913" s="439"/>
      <c r="Z2913" s="437"/>
      <c r="AA2913" s="530"/>
      <c r="AB2913" s="563"/>
      <c r="AC2913" s="87"/>
      <c r="AD2913" s="440"/>
      <c r="AE2913" s="441"/>
      <c r="AF2913" s="442"/>
      <c r="AG2913" s="49"/>
      <c r="AH2913" s="87"/>
      <c r="AI2913" s="87"/>
    </row>
    <row r="2914" spans="1:35" ht="16.5" hidden="1" thickBot="1">
      <c r="A2914" s="93"/>
      <c r="B2914" s="94"/>
      <c r="C2914" s="96"/>
      <c r="D2914" s="96"/>
      <c r="E2914" s="96"/>
      <c r="F2914" s="96"/>
      <c r="G2914" s="96"/>
      <c r="H2914" s="96"/>
      <c r="I2914" s="96"/>
      <c r="J2914" s="96"/>
      <c r="K2914" s="96"/>
      <c r="L2914" s="96"/>
      <c r="M2914" s="136"/>
      <c r="N2914" s="96"/>
      <c r="O2914" s="96"/>
      <c r="P2914" s="97"/>
      <c r="Q2914" s="97"/>
      <c r="R2914" s="98"/>
      <c r="S2914" s="95"/>
      <c r="T2914" s="99"/>
      <c r="U2914" s="469"/>
      <c r="AC2914" s="58"/>
      <c r="AG2914" s="58"/>
      <c r="AH2914" s="87"/>
      <c r="AI2914" s="87"/>
    </row>
    <row r="2915" spans="1:35" ht="16.5" hidden="1" thickBot="1">
      <c r="B2915" s="101"/>
      <c r="C2915" s="101"/>
      <c r="D2915" s="101"/>
      <c r="E2915" s="101"/>
      <c r="F2915" s="101"/>
      <c r="G2915" s="101"/>
      <c r="H2915" s="101"/>
      <c r="I2915" s="101"/>
      <c r="J2915" s="101"/>
      <c r="K2915" s="101"/>
      <c r="L2915" s="101"/>
      <c r="M2915" s="101"/>
      <c r="N2915" s="101"/>
      <c r="O2915" s="101"/>
      <c r="P2915" s="101"/>
      <c r="Q2915" s="101"/>
      <c r="R2915" s="101"/>
      <c r="S2915" s="101"/>
      <c r="U2915" s="50"/>
      <c r="AH2915" s="87"/>
      <c r="AI2915" s="87"/>
    </row>
    <row r="2916" spans="1:35" ht="16.5" hidden="1" customHeight="1" thickBot="1">
      <c r="A2916" s="44"/>
      <c r="B2916" s="705" t="s">
        <v>74</v>
      </c>
      <c r="C2916" s="705"/>
      <c r="D2916" s="705"/>
      <c r="E2916" s="705"/>
      <c r="F2916" s="705"/>
      <c r="G2916" s="705"/>
      <c r="H2916" s="705"/>
      <c r="I2916" s="705"/>
      <c r="J2916" s="705"/>
      <c r="K2916" s="705"/>
      <c r="L2916" s="705"/>
      <c r="M2916" s="705"/>
      <c r="N2916" s="705"/>
      <c r="O2916" s="705"/>
      <c r="P2916" s="705"/>
      <c r="Q2916" s="705"/>
      <c r="R2916" s="705"/>
      <c r="S2916" s="705"/>
      <c r="T2916" s="705"/>
      <c r="U2916" s="108"/>
      <c r="Y2916" s="532" t="s">
        <v>341</v>
      </c>
      <c r="AC2916" s="49"/>
      <c r="AD2916" s="687" t="s">
        <v>302</v>
      </c>
      <c r="AE2916" s="688"/>
      <c r="AF2916" s="689"/>
      <c r="AG2916" s="49"/>
      <c r="AH2916" s="87"/>
      <c r="AI2916" s="87"/>
    </row>
    <row r="2917" spans="1:35" ht="15.75" hidden="1" customHeight="1" thickBot="1">
      <c r="A2917" s="218" t="e">
        <f>"K"&amp;E2899</f>
        <v>#N/A</v>
      </c>
      <c r="B2917" s="701" t="s">
        <v>71</v>
      </c>
      <c r="C2917" s="751" t="s">
        <v>102</v>
      </c>
      <c r="D2917" s="751"/>
      <c r="E2917" s="751"/>
      <c r="F2917" s="751"/>
      <c r="G2917" s="751"/>
      <c r="H2917" s="751"/>
      <c r="I2917" s="751"/>
      <c r="J2917" s="751"/>
      <c r="K2917" s="751"/>
      <c r="L2917" s="722" t="s">
        <v>100</v>
      </c>
      <c r="M2917" s="747" t="s">
        <v>114</v>
      </c>
      <c r="N2917" s="747"/>
      <c r="O2917" s="747"/>
      <c r="P2917" s="747"/>
      <c r="Q2917" s="748"/>
      <c r="R2917" s="758" t="s">
        <v>280</v>
      </c>
      <c r="S2917" s="748"/>
      <c r="T2917" s="762" t="str">
        <f>IF(COUNTIF(AE2917:AF2917,"VERIFICAR")&gt;0,"VERIFICAR",IF(COUNTIF(AE2917:AF2917,"NO CUMPLE")&gt;0,"NO CUMPLE","CUMPLE"))</f>
        <v>VERIFICAR</v>
      </c>
      <c r="U2917" s="108"/>
      <c r="Y2917" s="533" t="e">
        <f>IF(F2918="","",IF(F2918=1,"INDIVIDUAL","ESTRUCTURA PLURAL"))</f>
        <v>#N/A</v>
      </c>
      <c r="AC2917" s="52"/>
      <c r="AD2917" s="475" t="s">
        <v>303</v>
      </c>
      <c r="AE2917" s="476" t="str">
        <f>IF(COUNTIF(AE2903:AE2912,"")=10,"VERIFICAR",IF(COUNTIF(AE2903:AE2912,"SI")&gt;0,"CUMPLE","NO CUMPLE"))</f>
        <v>VERIFICAR</v>
      </c>
      <c r="AF2917" s="477" t="str">
        <f>IF(COUNTIF(AF2903:AF2912,"")=10,"VERIFICAR",IF(COUNTIF(AF2903:AF2912,"SI")&gt;=$AI$22,"CUMPLE","NO CUMPLE"))</f>
        <v>VERIFICAR</v>
      </c>
      <c r="AG2917" s="52"/>
      <c r="AH2917" s="87"/>
      <c r="AI2917" s="87"/>
    </row>
    <row r="2918" spans="1:35" ht="16.5" hidden="1" customHeight="1" thickBot="1">
      <c r="A2918" s="218" t="e">
        <f>"L"&amp;E2899</f>
        <v>#N/A</v>
      </c>
      <c r="B2918" s="702"/>
      <c r="C2918" s="751" t="s">
        <v>103</v>
      </c>
      <c r="D2918" s="751"/>
      <c r="E2918" s="752"/>
      <c r="F2918" s="557" t="e">
        <f>IF(VLOOKUP(E2899,PROPONENTES!$C$19:$E$218,3,0)="","",VLOOKUP(E2899,PROPONENTES!$C$19:$E$218,3,0))</f>
        <v>#N/A</v>
      </c>
      <c r="G2918" s="753" t="s">
        <v>104</v>
      </c>
      <c r="H2918" s="751"/>
      <c r="I2918" s="715" t="e">
        <f>IF(OR(F2918="",F2918=1),"INTERESADO PERSONA NATURAL O JURIDICA","CONSORCIO O UNION TEMPORAL")</f>
        <v>#N/A</v>
      </c>
      <c r="J2918" s="725"/>
      <c r="K2918" s="728"/>
      <c r="L2918" s="723"/>
      <c r="M2918" s="749"/>
      <c r="N2918" s="749"/>
      <c r="O2918" s="749"/>
      <c r="P2918" s="749"/>
      <c r="Q2918" s="750"/>
      <c r="R2918" s="712"/>
      <c r="S2918" s="750"/>
      <c r="T2918" s="763"/>
      <c r="U2918" s="108"/>
      <c r="Y2918" s="534"/>
      <c r="AA2918" s="52"/>
      <c r="AB2918" s="52"/>
      <c r="AC2918" s="52"/>
      <c r="AG2918" s="52"/>
      <c r="AH2918" s="87"/>
      <c r="AI2918" s="87"/>
    </row>
    <row r="2919" spans="1:35" ht="56.25" hidden="1" customHeight="1" thickBot="1">
      <c r="A2919" s="218" t="e">
        <f>"M"&amp;E2899</f>
        <v>#N/A</v>
      </c>
      <c r="B2919" s="702"/>
      <c r="C2919" s="725" t="s">
        <v>101</v>
      </c>
      <c r="D2919" s="716"/>
      <c r="E2919" s="558" t="s">
        <v>105</v>
      </c>
      <c r="F2919" s="554" t="s">
        <v>87</v>
      </c>
      <c r="G2919" s="553" t="s">
        <v>86</v>
      </c>
      <c r="H2919" s="559" t="s">
        <v>85</v>
      </c>
      <c r="I2919" s="554" t="s">
        <v>252</v>
      </c>
      <c r="J2919" s="553" t="str">
        <f>"¿EL INTEGRANTE TIENE UNA PARTICIPACIÓN DEL "&amp;PORCREQUERIDOINT*100&amp;"%?"</f>
        <v>¿EL INTEGRANTE TIENE UNA PARTICIPACIÓN DEL 60%?</v>
      </c>
      <c r="K2919" s="554" t="s">
        <v>107</v>
      </c>
      <c r="L2919" s="724"/>
      <c r="M2919" s="717" t="s">
        <v>115</v>
      </c>
      <c r="N2919" s="718"/>
      <c r="O2919" s="718"/>
      <c r="P2919" s="718"/>
      <c r="Q2919" s="223">
        <f>IF(AND(H2903="SI",P2903&gt;=0),1,0)+IF(AND(H2904="SI",P2904&gt;=0),1,0)+IF(AND(H2905="SI",P2905&gt;=0),1,0)+IF(AND(H2906="SI",P2906&gt;=0),1,0)+IF(AND(H2907="SI",P2907&gt;=0),1,0)+IF(AND(H2908="SI",P2908&gt;=0),1,0)+IF(AND(H2909="SI",P2909&gt;=0),1,0)+IF(AND(H2910="SI",P2910&gt;=0),1,0)+IF(AND(H2911="SI",P2911&gt;=0),1,0)+IF(AND(H2912="SI",P2912&gt;=0),1,0)</f>
        <v>0</v>
      </c>
      <c r="R2919" s="759"/>
      <c r="S2919" s="761"/>
      <c r="T2919" s="764"/>
      <c r="U2919" s="219"/>
      <c r="V2919" s="464"/>
      <c r="Y2919" s="532" t="s">
        <v>342</v>
      </c>
      <c r="AA2919" s="550" t="s">
        <v>344</v>
      </c>
      <c r="AB2919" s="693" t="s">
        <v>345</v>
      </c>
      <c r="AC2919" s="693" t="s">
        <v>346</v>
      </c>
      <c r="AD2919" s="685" t="s">
        <v>347</v>
      </c>
      <c r="AE2919" s="52"/>
      <c r="AF2919" s="52"/>
      <c r="AG2919" s="52"/>
      <c r="AH2919" s="87"/>
      <c r="AI2919" s="87"/>
    </row>
    <row r="2920" spans="1:35" ht="15.75" hidden="1" customHeight="1" thickBot="1">
      <c r="A2920" s="218" t="e">
        <f>"N"&amp;E2899</f>
        <v>#N/A</v>
      </c>
      <c r="B2920" s="702"/>
      <c r="C2920" s="114">
        <v>1</v>
      </c>
      <c r="D2920" s="194" t="e">
        <f>IF(AND(C2920&lt;=F2918,F2918&gt;1,F2918&lt;&gt;""),VLOOKUP(VALUE(E2899&amp;","&amp;C2920),INTEGRANTES!$D$18:$F$235,2,0),"")</f>
        <v>#N/A</v>
      </c>
      <c r="E2920" s="211" t="e">
        <f>IF(D2920&lt;&gt;"",VLOOKUP(VALUE(E2899&amp;","&amp;C2920),INTEGRANTES!$D$18:$F$235,3,0),"")</f>
        <v>#N/A</v>
      </c>
      <c r="F2920" s="547" t="e">
        <f>IF(D2920="","",SUMIF($I2903:$I2912,D2920,$P2903:$P2912))</f>
        <v>#N/A</v>
      </c>
      <c r="G2920" s="333" t="e">
        <f>IF(D2920="","",SUMIF($I2903:$I2912,D2920,$M2903:$M2912))</f>
        <v>#N/A</v>
      </c>
      <c r="H2920" s="535" t="e">
        <f t="shared" ref="H2920:H2925" si="857">IF(D2920="","",IF(OR(F2920=0,G2920=0),"NO APORTA",ROUND($F2920/$G2920,3)))</f>
        <v>#N/A</v>
      </c>
      <c r="I2920" s="212" t="e">
        <f>IF(D2920="","",IF(H2920="NO APORTA","NO",IF(H2920=MAX($H2920:$H2925),"SI","NO")))</f>
        <v>#N/A</v>
      </c>
      <c r="J2920" s="213" t="e">
        <f t="shared" ref="J2920:J2925" si="858">IF(D2920="","",IF(E2920&gt;=PORCREQUERIDOINT,"SI","NO"))</f>
        <v>#N/A</v>
      </c>
      <c r="K2920" s="200" t="e">
        <f t="shared" ref="K2920:K2925" si="859">IF(D2920="","",IF(AND(I2920="SI",J2920="SI"),"CUMPLE",IF(AND(I2920="NO",OR(J2920="SI",J2920="NO")),"","NO CUMPLE")))</f>
        <v>#N/A</v>
      </c>
      <c r="L2920" s="722" t="s">
        <v>108</v>
      </c>
      <c r="M2920" s="726" t="s">
        <v>119</v>
      </c>
      <c r="N2920" s="726"/>
      <c r="O2920" s="726"/>
      <c r="P2920" s="726"/>
      <c r="Q2920" s="727"/>
      <c r="R2920" s="758" t="s">
        <v>80</v>
      </c>
      <c r="S2920" s="747"/>
      <c r="T2920" s="748"/>
      <c r="U2920" s="219"/>
      <c r="V2920" s="464"/>
      <c r="Y2920" s="533" t="e">
        <f>IF(Y2917="","",IF(Y2917="INDIVIDUAL","NO APLICA","VERIFICAR CUADRO"))</f>
        <v>#N/A</v>
      </c>
      <c r="AA2920" s="551"/>
      <c r="AB2920" s="694"/>
      <c r="AC2920" s="694"/>
      <c r="AD2920" s="686"/>
      <c r="AE2920" s="52"/>
      <c r="AF2920" s="52"/>
      <c r="AG2920" s="52"/>
      <c r="AH2920" s="87"/>
      <c r="AI2920" s="87"/>
    </row>
    <row r="2921" spans="1:35" ht="27" hidden="1" customHeight="1" thickBot="1">
      <c r="A2921" s="218" t="e">
        <f>"O"&amp;E2899</f>
        <v>#N/A</v>
      </c>
      <c r="B2921" s="702"/>
      <c r="C2921" s="114">
        <v>2</v>
      </c>
      <c r="D2921" s="194" t="e">
        <f>IF(AND(C2921&lt;=F2918,F2918&lt;&gt;""),VLOOKUP(VALUE(E2899&amp;","&amp;C2921),INTEGRANTES!$D$18:$F$235,2,0),"")</f>
        <v>#N/A</v>
      </c>
      <c r="E2921" s="211" t="e">
        <f>IF(D2921&lt;&gt;"",VLOOKUP(VALUE(E2899&amp;","&amp;C2921),INTEGRANTES!$D$18:$F$235,3,0),"")</f>
        <v>#N/A</v>
      </c>
      <c r="F2921" s="547" t="e">
        <f>IF(D2921="","",SUMIF($I2903:$I2912,D2921,$P2903:$P2912))</f>
        <v>#N/A</v>
      </c>
      <c r="G2921" s="333" t="e">
        <f>IF(D2921="","",SUMIF($I2903:$I2912,D2921,$M2903:$M2912))</f>
        <v>#N/A</v>
      </c>
      <c r="H2921" s="535" t="e">
        <f t="shared" si="857"/>
        <v>#N/A</v>
      </c>
      <c r="I2921" s="212" t="e">
        <f>IF(D2921="","",IF(H2921="NO APORTA","NO",IF(H2921=MAX($H2920:$H2925),"SI","NO")))</f>
        <v>#N/A</v>
      </c>
      <c r="J2921" s="213" t="e">
        <f t="shared" si="858"/>
        <v>#N/A</v>
      </c>
      <c r="K2921" s="200" t="e">
        <f t="shared" si="859"/>
        <v>#N/A</v>
      </c>
      <c r="L2921" s="723"/>
      <c r="M2921" s="715" t="s">
        <v>116</v>
      </c>
      <c r="N2921" s="716"/>
      <c r="O2921" s="556" t="s">
        <v>113</v>
      </c>
      <c r="P2921" s="715" t="s">
        <v>117</v>
      </c>
      <c r="Q2921" s="728"/>
      <c r="R2921" s="759"/>
      <c r="S2921" s="760"/>
      <c r="T2921" s="761"/>
      <c r="U2921" s="219"/>
      <c r="V2921" s="464"/>
      <c r="Y2921" s="414"/>
      <c r="AA2921" s="542" t="e">
        <f>IF(AND(C2920&lt;=F2918,F2918&gt;1,F2918&lt;&gt;""),VLOOKUP(VALUE(E2899&amp;","&amp;C2920),INTEGRANTES!$D$18:$F$235,2,0),"")</f>
        <v>#N/A</v>
      </c>
      <c r="AB2921" s="544" t="e">
        <f t="shared" ref="AB2921:AB2926" si="860">IF(D2920="","",IF(OR(F2920=0,G2920=0),"NO APORTA",ROUND($F2920/$G2920,3)))</f>
        <v>#N/A</v>
      </c>
      <c r="AC2921" s="529"/>
      <c r="AD2921" s="200" t="e">
        <f t="shared" ref="AD2921:AD2926" si="861">IF(OR(AA2921="",AB2921=""),"",IF(AND(AC2921="X",AB2921&gt;=EXPREQVTD),"CUMPLE","NO CUMPLE"))</f>
        <v>#N/A</v>
      </c>
      <c r="AE2921" s="52"/>
      <c r="AF2921" s="52"/>
      <c r="AG2921" s="52"/>
      <c r="AH2921" s="87"/>
      <c r="AI2921" s="87"/>
    </row>
    <row r="2922" spans="1:35" ht="16.5" hidden="1" thickBot="1">
      <c r="A2922" s="218" t="e">
        <f>"P"&amp;E2899</f>
        <v>#N/A</v>
      </c>
      <c r="B2922" s="702"/>
      <c r="C2922" s="114">
        <v>3</v>
      </c>
      <c r="D2922" s="194" t="e">
        <f>IF(AND(C2922&lt;=F2918,F2918&lt;&gt;""),VLOOKUP(VALUE(E2899&amp;","&amp;C2922),INTEGRANTES!$D$18:$F$235,2,0),"")</f>
        <v>#N/A</v>
      </c>
      <c r="E2922" s="211" t="e">
        <f>IF(D2922&lt;&gt;"",VLOOKUP(VALUE(E2899&amp;","&amp;C2922),INTEGRANTES!$D$18:$F$235,3,0),"")</f>
        <v>#N/A</v>
      </c>
      <c r="F2922" s="547" t="e">
        <f>IF(D2922="","",SUMIF($I2903:$I2912,D2922,$P2903:$P2912))</f>
        <v>#N/A</v>
      </c>
      <c r="G2922" s="333" t="e">
        <f>IF(D2922="","",SUMIF($I2903:$I2912,D2922,$M2903:$M2912))</f>
        <v>#N/A</v>
      </c>
      <c r="H2922" s="535" t="e">
        <f t="shared" si="857"/>
        <v>#N/A</v>
      </c>
      <c r="I2922" s="212" t="e">
        <f>IF(D2922="","",IF(H2922="NO APORTA","NO",IF(H2922=MAX($H2920:$H2925),"SI","NO")))</f>
        <v>#N/A</v>
      </c>
      <c r="J2922" s="213" t="e">
        <f t="shared" si="858"/>
        <v>#N/A</v>
      </c>
      <c r="K2922" s="200" t="e">
        <f t="shared" si="859"/>
        <v>#N/A</v>
      </c>
      <c r="L2922" s="724"/>
      <c r="M2922" s="729">
        <f>NUMMOD</f>
        <v>1</v>
      </c>
      <c r="N2922" s="730"/>
      <c r="O2922" s="443">
        <f>IF(M2922="","",VLOOKUP(M2922,PRESUPUESTOS!$B$16:$H$16,5,FALSE))</f>
        <v>2</v>
      </c>
      <c r="P2922" s="713">
        <f>IF(OR(COUNTIF(M2903:M2912,"")&gt;=10,Q2919&lt;NUMMINCONT,OR(T2917="NO CUMPLE",T2917="VERIFICAR")),0,ROUND(AVERAGE(M2903:M2912),3))</f>
        <v>0</v>
      </c>
      <c r="Q2922" s="714"/>
      <c r="R2922" s="458"/>
      <c r="S2922" s="459"/>
      <c r="T2922" s="460"/>
      <c r="U2922" s="219"/>
      <c r="V2922" s="464"/>
      <c r="Y2922" s="532" t="str">
        <f>"40% * ("&amp;PRESUPUESTOS!$H$13&amp;")"</f>
        <v>40% * (50% PFMO)</v>
      </c>
      <c r="AA2922" s="540" t="e">
        <f>IF(AND(C2921&lt;=F2918,F2918&lt;&gt;""),VLOOKUP(VALUE(E2899&amp;","&amp;C2921),INTEGRANTES!$D$18:$F$235,2,0),"")</f>
        <v>#N/A</v>
      </c>
      <c r="AB2922" s="545" t="e">
        <f t="shared" si="860"/>
        <v>#N/A</v>
      </c>
      <c r="AC2922" s="529"/>
      <c r="AD2922" s="200" t="e">
        <f t="shared" si="861"/>
        <v>#N/A</v>
      </c>
      <c r="AE2922" s="52"/>
      <c r="AF2922" s="52"/>
      <c r="AG2922" s="52"/>
      <c r="AH2922" s="87"/>
      <c r="AI2922" s="87"/>
    </row>
    <row r="2923" spans="1:35" ht="15.75" hidden="1" customHeight="1" thickBot="1">
      <c r="A2923" s="218" t="e">
        <f>"Q"&amp;E2899</f>
        <v>#N/A</v>
      </c>
      <c r="B2923" s="702"/>
      <c r="C2923" s="114">
        <v>4</v>
      </c>
      <c r="D2923" s="194" t="e">
        <f>IF(AND(C2923&lt;=F2918,F2918&lt;&gt;""),VLOOKUP(VALUE(E2899&amp;","&amp;C2923),INTEGRANTES!$D$18:$F$235,2,0),"")</f>
        <v>#N/A</v>
      </c>
      <c r="E2923" s="211" t="e">
        <f>IF(D2923&lt;&gt;"",VLOOKUP(VALUE(E2899&amp;","&amp;C2923),INTEGRANTES!$D$18:$F$235,3,0),"")</f>
        <v>#N/A</v>
      </c>
      <c r="F2923" s="547" t="e">
        <f>IF(D2923="","",SUMIF($I2903:$I2912,D2923,$P2903:$P2912))</f>
        <v>#N/A</v>
      </c>
      <c r="G2923" s="333" t="e">
        <f>IF(D2923="","",SUMIF($I2903:$I2912,D2923,$M2903:$M2912))</f>
        <v>#N/A</v>
      </c>
      <c r="H2923" s="535" t="e">
        <f t="shared" si="857"/>
        <v>#N/A</v>
      </c>
      <c r="I2923" s="212" t="e">
        <f>IF(D2923="","",IF(H2923="NO APORTA","NO",IF(H2923=MAX($H2920:$H2925),"SI","NO")))</f>
        <v>#N/A</v>
      </c>
      <c r="J2923" s="213" t="e">
        <f t="shared" si="858"/>
        <v>#N/A</v>
      </c>
      <c r="K2923" s="200" t="e">
        <f t="shared" si="859"/>
        <v>#N/A</v>
      </c>
      <c r="L2923" s="720" t="s">
        <v>109</v>
      </c>
      <c r="M2923" s="757" t="s">
        <v>120</v>
      </c>
      <c r="N2923" s="726"/>
      <c r="O2923" s="726"/>
      <c r="P2923" s="726"/>
      <c r="Q2923" s="727"/>
      <c r="R2923" s="458"/>
      <c r="S2923" s="459"/>
      <c r="T2923" s="460"/>
      <c r="U2923" s="219"/>
      <c r="V2923" s="464"/>
      <c r="Y2923" s="537">
        <f>0.4*PRESUPUESTOS!$H$16</f>
        <v>10.3124</v>
      </c>
      <c r="AA2923" s="540" t="e">
        <f>IF(AND(C2922&lt;=F2918,F2918&lt;&gt;""),VLOOKUP(VALUE(E2899&amp;","&amp;C2922),INTEGRANTES!$D$18:$F$235,2,0),"")</f>
        <v>#N/A</v>
      </c>
      <c r="AB2923" s="545" t="e">
        <f t="shared" si="860"/>
        <v>#N/A</v>
      </c>
      <c r="AC2923" s="529"/>
      <c r="AD2923" s="200" t="e">
        <f t="shared" si="861"/>
        <v>#N/A</v>
      </c>
      <c r="AE2923" s="52"/>
      <c r="AF2923" s="52"/>
      <c r="AG2923" s="52"/>
      <c r="AH2923" s="87"/>
      <c r="AI2923" s="87"/>
    </row>
    <row r="2924" spans="1:35" ht="27" hidden="1" customHeight="1" thickBot="1">
      <c r="A2924" s="218" t="e">
        <f>"R"&amp;E2899</f>
        <v>#N/A</v>
      </c>
      <c r="B2924" s="702"/>
      <c r="C2924" s="114">
        <v>5</v>
      </c>
      <c r="D2924" s="194" t="e">
        <f>IF(AND(C2924&lt;=F2918,F2918&lt;&gt;""),VLOOKUP(VALUE(E2899&amp;","&amp;C2924),INTEGRANTES!$D$18:$F$235,2,0),"")</f>
        <v>#N/A</v>
      </c>
      <c r="E2924" s="211" t="e">
        <f>IF(D2924&lt;&gt;"",VLOOKUP(VALUE(E2899&amp;","&amp;C2924),INTEGRANTES!$D$18:$F$235,3,0),"")</f>
        <v>#N/A</v>
      </c>
      <c r="F2924" s="547" t="e">
        <f>IF(D2924="","",SUMIF($I2903:$I2912,D2924,$P2903:$P2912))</f>
        <v>#N/A</v>
      </c>
      <c r="G2924" s="333" t="e">
        <f>IF(D2924="","",SUMIF($I2903:$I2912,D2924,$M2903:$M2912))</f>
        <v>#N/A</v>
      </c>
      <c r="H2924" s="535" t="e">
        <f t="shared" si="857"/>
        <v>#N/A</v>
      </c>
      <c r="I2924" s="212" t="e">
        <f>IF(D2924="","",IF(H2924="NO APORTA","NO",IF(H2924=MAX($H2920:$H2925),"SI","NO")))</f>
        <v>#N/A</v>
      </c>
      <c r="J2924" s="213" t="e">
        <f t="shared" si="858"/>
        <v>#N/A</v>
      </c>
      <c r="K2924" s="200" t="e">
        <f t="shared" si="859"/>
        <v>#N/A</v>
      </c>
      <c r="L2924" s="721"/>
      <c r="M2924" s="715" t="s">
        <v>116</v>
      </c>
      <c r="N2924" s="716"/>
      <c r="O2924" s="556" t="str">
        <f>PORCREQUERIDO*100&amp;"% PMFO DEL MÓDULO"</f>
        <v>50% PMFO DEL MÓDULO</v>
      </c>
      <c r="P2924" s="715" t="s">
        <v>118</v>
      </c>
      <c r="Q2924" s="728"/>
      <c r="R2924" s="458"/>
      <c r="S2924" s="459"/>
      <c r="T2924" s="460"/>
      <c r="U2924" s="219"/>
      <c r="V2924" s="464"/>
      <c r="Y2924" s="414"/>
      <c r="AA2924" s="540" t="e">
        <f>IF(AND(C2923&lt;=F2918,F2918&lt;&gt;""),VLOOKUP(VALUE(E2899&amp;","&amp;C2923),INTEGRANTES!$D$18:$F$235,2,0),"")</f>
        <v>#N/A</v>
      </c>
      <c r="AB2924" s="545" t="e">
        <f t="shared" si="860"/>
        <v>#N/A</v>
      </c>
      <c r="AC2924" s="529"/>
      <c r="AD2924" s="200" t="e">
        <f t="shared" si="861"/>
        <v>#N/A</v>
      </c>
      <c r="AE2924" s="52"/>
      <c r="AF2924" s="52"/>
      <c r="AG2924" s="52"/>
      <c r="AH2924" s="87"/>
      <c r="AI2924" s="87"/>
    </row>
    <row r="2925" spans="1:35" ht="16.5" hidden="1" thickBot="1">
      <c r="A2925" s="218" t="e">
        <f>"S"&amp;E2899</f>
        <v>#N/A</v>
      </c>
      <c r="B2925" s="702"/>
      <c r="C2925" s="215">
        <v>6</v>
      </c>
      <c r="D2925" s="216" t="e">
        <f>IF(AND(C2925&lt;=F2918,F2918&lt;&gt;""),VLOOKUP(VALUE(E2899&amp;","&amp;C2925),INTEGRANTES!$D$18:$F$235,2,0),"")</f>
        <v>#N/A</v>
      </c>
      <c r="E2925" s="217" t="e">
        <f>IF(D2925&lt;&gt;"",VLOOKUP(VALUE(E2899&amp;","&amp;C2925),INTEGRANTES!$D$18:$F$235,3,0),"")</f>
        <v>#N/A</v>
      </c>
      <c r="F2925" s="548" t="e">
        <f>IF(D2925="","",SUMIF($I2903:$I2912,D2925,$P2903:$P2912))</f>
        <v>#N/A</v>
      </c>
      <c r="G2925" s="334" t="e">
        <f>IF(D2925="","",SUMIF($I2903:$I2912,D2925,$M2903:$M2912))</f>
        <v>#N/A</v>
      </c>
      <c r="H2925" s="536" t="e">
        <f t="shared" si="857"/>
        <v>#N/A</v>
      </c>
      <c r="I2925" s="214" t="e">
        <f>IF(D2925="","",IF(H2925="NO APORTA","NO",IF(H2925=MAX($H2920:$H2925),"SI","NO")))</f>
        <v>#N/A</v>
      </c>
      <c r="J2925" s="213" t="e">
        <f t="shared" si="858"/>
        <v>#N/A</v>
      </c>
      <c r="K2925" s="200" t="e">
        <f t="shared" si="859"/>
        <v>#N/A</v>
      </c>
      <c r="L2925" s="721"/>
      <c r="M2925" s="729">
        <f>NUMMOD</f>
        <v>1</v>
      </c>
      <c r="N2925" s="730"/>
      <c r="O2925" s="443">
        <f>IF(M2925="","",ROUND(VLOOKUP(M2925,PRESUPUESTOS!$B$16:$H$16,7,FALSE),3))</f>
        <v>25.780999999999999</v>
      </c>
      <c r="P2925" s="713">
        <f>IF(OR(COUNTIF(P2903:P2912,"")&gt;=10,Q2919&lt;NUMMINCONT,OR(T2917="NO CUMPLE",T2917="VERIFICAR")),0,ROUND((SUM(P2903:P2912)/SUM(M2903:M2912)),3))</f>
        <v>0</v>
      </c>
      <c r="Q2925" s="714"/>
      <c r="R2925" s="458"/>
      <c r="S2925" s="459"/>
      <c r="T2925" s="460"/>
      <c r="U2925" s="219"/>
      <c r="V2925" s="464"/>
      <c r="Y2925" s="532" t="s">
        <v>343</v>
      </c>
      <c r="AA2925" s="540" t="e">
        <f>IF(AND(C2924&lt;=F2918,F2918&lt;&gt;""),VLOOKUP(VALUE(E2899&amp;","&amp;C2924),INTEGRANTES!$D$18:$F$235,2,0),"")</f>
        <v>#N/A</v>
      </c>
      <c r="AB2925" s="545" t="e">
        <f t="shared" si="860"/>
        <v>#N/A</v>
      </c>
      <c r="AC2925" s="529"/>
      <c r="AD2925" s="200" t="e">
        <f t="shared" si="861"/>
        <v>#N/A</v>
      </c>
      <c r="AE2925" s="52"/>
      <c r="AF2925" s="52"/>
      <c r="AG2925" s="52"/>
      <c r="AH2925" s="87"/>
      <c r="AI2925" s="87"/>
    </row>
    <row r="2926" spans="1:35" ht="16.5" hidden="1" customHeight="1" thickBot="1">
      <c r="A2926" s="218" t="e">
        <f>"T"&amp;E2899</f>
        <v>#N/A</v>
      </c>
      <c r="B2926" s="703"/>
      <c r="C2926" s="719"/>
      <c r="D2926" s="719"/>
      <c r="E2926" s="719"/>
      <c r="F2926" s="719"/>
      <c r="G2926" s="719"/>
      <c r="H2926" s="719" t="s">
        <v>110</v>
      </c>
      <c r="I2926" s="719"/>
      <c r="J2926" s="719"/>
      <c r="K2926" s="201" t="str">
        <f>IF(COUNTIF(K2920:K2925,"")=6,"",IF(COUNTIF(K2920:K2925,"CUMPLE")&gt;0,"CUMPLE","NO CUMPLE"))</f>
        <v>NO CUMPLE</v>
      </c>
      <c r="L2926" s="754"/>
      <c r="M2926" s="755"/>
      <c r="N2926" s="755"/>
      <c r="O2926" s="755"/>
      <c r="P2926" s="755"/>
      <c r="Q2926" s="756"/>
      <c r="R2926" s="461"/>
      <c r="S2926" s="462"/>
      <c r="T2926" s="463"/>
      <c r="U2926" s="219"/>
      <c r="V2926" s="464"/>
      <c r="Y2926" s="549" t="e">
        <f>IF(Y2920="NO APLICA","NO APLICA",IF(COUNTIF(AD2921:AD2926,"CUMPLE")&gt;0,"CUMPLE","NO CUMPLE"))</f>
        <v>#N/A</v>
      </c>
      <c r="AA2926" s="541" t="e">
        <f>IF(AND(C2925&lt;=F2918,F2918&lt;&gt;""),VLOOKUP(VALUE(E2899&amp;","&amp;C2925),INTEGRANTES!$D$18:$F$235,2,0),"")</f>
        <v>#N/A</v>
      </c>
      <c r="AB2926" s="546" t="e">
        <f t="shared" si="860"/>
        <v>#N/A</v>
      </c>
      <c r="AC2926" s="543"/>
      <c r="AD2926" s="201" t="e">
        <f t="shared" si="861"/>
        <v>#N/A</v>
      </c>
      <c r="AE2926" s="52"/>
      <c r="AF2926" s="52"/>
      <c r="AG2926" s="52"/>
      <c r="AH2926" s="87"/>
      <c r="AI2926" s="87"/>
    </row>
    <row r="2927" spans="1:35" hidden="1">
      <c r="A2927" s="103"/>
      <c r="B2927" s="206"/>
      <c r="C2927" s="206"/>
      <c r="D2927" s="206"/>
      <c r="E2927" s="206"/>
      <c r="F2927" s="206"/>
      <c r="G2927" s="206"/>
      <c r="H2927" s="206"/>
      <c r="I2927" s="104"/>
      <c r="J2927" s="206"/>
      <c r="K2927" s="113"/>
      <c r="L2927" s="113"/>
      <c r="M2927" s="113"/>
      <c r="N2927" s="222"/>
      <c r="O2927" s="113"/>
      <c r="P2927" s="113"/>
      <c r="Q2927" s="113"/>
      <c r="R2927" s="206"/>
      <c r="S2927" s="104"/>
      <c r="T2927" s="206"/>
      <c r="U2927" s="474"/>
      <c r="AH2927" s="87"/>
      <c r="AI2927" s="87"/>
    </row>
    <row r="2928" spans="1:35" hidden="1">
      <c r="H2928" s="220"/>
      <c r="AH2928" s="87"/>
      <c r="AI2928" s="87"/>
    </row>
    <row r="2929" spans="1:35" ht="24" hidden="1" thickBot="1">
      <c r="A2929" s="61">
        <v>98</v>
      </c>
      <c r="B2929" s="704" t="s">
        <v>51</v>
      </c>
      <c r="C2929" s="704"/>
      <c r="D2929" s="704"/>
      <c r="E2929" s="62" t="e">
        <f>VLOOKUP(A2929,PROPONENTES!$B$19:$E$218,2,FALSE)</f>
        <v>#N/A</v>
      </c>
      <c r="F2929" s="63" t="e">
        <f>VLOOKUP(A2929,PROPONENTES!$B$19:$E$218,3,FALSE)</f>
        <v>#N/A</v>
      </c>
      <c r="G2929" s="64"/>
      <c r="H2929" s="64"/>
      <c r="I2929" s="63"/>
      <c r="J2929" s="63"/>
      <c r="K2929" s="65"/>
      <c r="L2929" s="65"/>
      <c r="M2929" s="64"/>
      <c r="N2929" s="64"/>
      <c r="O2929" s="66"/>
      <c r="P2929" s="66"/>
      <c r="Q2929" s="66"/>
      <c r="R2929" s="66"/>
      <c r="S2929" s="67"/>
      <c r="T2929" s="68"/>
      <c r="U2929" s="68"/>
      <c r="AC2929" s="68"/>
      <c r="AD2929" s="68"/>
      <c r="AE2929" s="68"/>
      <c r="AF2929" s="68"/>
      <c r="AG2929" s="68"/>
      <c r="AH2929" s="87"/>
      <c r="AI2929" s="87"/>
    </row>
    <row r="2930" spans="1:35" ht="15.75" hidden="1" customHeight="1">
      <c r="A2930" s="44"/>
      <c r="B2930" s="709" t="s">
        <v>59</v>
      </c>
      <c r="C2930" s="552" t="s">
        <v>60</v>
      </c>
      <c r="D2930" s="70" t="s">
        <v>17</v>
      </c>
      <c r="E2930" s="70"/>
      <c r="F2930" s="70" t="s">
        <v>61</v>
      </c>
      <c r="G2930" s="71"/>
      <c r="H2930" s="699" t="s">
        <v>62</v>
      </c>
      <c r="I2930" s="699" t="s">
        <v>18</v>
      </c>
      <c r="J2930" s="699" t="s">
        <v>63</v>
      </c>
      <c r="K2930" s="699" t="s">
        <v>64</v>
      </c>
      <c r="L2930" s="699" t="s">
        <v>65</v>
      </c>
      <c r="M2930" s="743" t="s">
        <v>66</v>
      </c>
      <c r="N2930" s="699" t="s">
        <v>282</v>
      </c>
      <c r="O2930" s="745" t="s">
        <v>67</v>
      </c>
      <c r="P2930" s="746"/>
      <c r="Q2930" s="102" t="s">
        <v>75</v>
      </c>
      <c r="R2930" s="731" t="s">
        <v>22</v>
      </c>
      <c r="S2930" s="732"/>
      <c r="T2930" s="733"/>
      <c r="U2930" s="712" t="s">
        <v>298</v>
      </c>
      <c r="W2930" s="690" t="s">
        <v>268</v>
      </c>
      <c r="X2930" s="691"/>
      <c r="Y2930" s="692"/>
      <c r="Z2930" s="428"/>
      <c r="AA2930" s="697" t="s">
        <v>315</v>
      </c>
      <c r="AB2930" s="695" t="s">
        <v>322</v>
      </c>
      <c r="AC2930" s="49"/>
      <c r="AD2930" s="690" t="s">
        <v>297</v>
      </c>
      <c r="AE2930" s="691"/>
      <c r="AF2930" s="692"/>
      <c r="AG2930" s="49"/>
      <c r="AH2930" s="87"/>
      <c r="AI2930" s="87"/>
    </row>
    <row r="2931" spans="1:35" ht="72" hidden="1">
      <c r="A2931" s="44"/>
      <c r="B2931" s="710"/>
      <c r="C2931" s="553" t="s">
        <v>68</v>
      </c>
      <c r="D2931" s="73" t="s">
        <v>3</v>
      </c>
      <c r="E2931" s="73" t="s">
        <v>19</v>
      </c>
      <c r="F2931" s="73" t="s">
        <v>69</v>
      </c>
      <c r="G2931" s="74" t="s">
        <v>70</v>
      </c>
      <c r="H2931" s="700"/>
      <c r="I2931" s="700"/>
      <c r="J2931" s="700"/>
      <c r="K2931" s="700"/>
      <c r="L2931" s="700"/>
      <c r="M2931" s="744"/>
      <c r="N2931" s="700"/>
      <c r="O2931" s="553" t="s">
        <v>279</v>
      </c>
      <c r="P2931" s="73" t="s">
        <v>88</v>
      </c>
      <c r="Q2931" s="555" t="s">
        <v>76</v>
      </c>
      <c r="R2931" s="734"/>
      <c r="S2931" s="735"/>
      <c r="T2931" s="736"/>
      <c r="U2931" s="712"/>
      <c r="W2931" s="429" t="s">
        <v>269</v>
      </c>
      <c r="X2931" s="457" t="s">
        <v>278</v>
      </c>
      <c r="Y2931" s="430" t="s">
        <v>324</v>
      </c>
      <c r="Z2931" s="428"/>
      <c r="AA2931" s="698"/>
      <c r="AB2931" s="696"/>
      <c r="AC2931" s="49"/>
      <c r="AD2931" s="429" t="s">
        <v>292</v>
      </c>
      <c r="AE2931" s="431" t="s">
        <v>300</v>
      </c>
      <c r="AF2931" s="468" t="s">
        <v>301</v>
      </c>
      <c r="AG2931" s="49"/>
      <c r="AH2931" s="87"/>
      <c r="AI2931" s="87"/>
    </row>
    <row r="2932" spans="1:35" hidden="1">
      <c r="A2932" s="44"/>
      <c r="B2932" s="76"/>
      <c r="C2932" s="77"/>
      <c r="D2932" s="77"/>
      <c r="E2932" s="77"/>
      <c r="F2932" s="77"/>
      <c r="G2932" s="77"/>
      <c r="H2932" s="77"/>
      <c r="I2932" s="77"/>
      <c r="J2932" s="77"/>
      <c r="K2932" s="77"/>
      <c r="L2932" s="77"/>
      <c r="M2932" s="77"/>
      <c r="N2932" s="77"/>
      <c r="O2932" s="77"/>
      <c r="P2932" s="77"/>
      <c r="Q2932" s="77"/>
      <c r="R2932" s="77"/>
      <c r="S2932" s="78"/>
      <c r="T2932" s="79"/>
      <c r="U2932" s="109"/>
      <c r="V2932" s="49"/>
      <c r="W2932" s="432"/>
      <c r="X2932" s="454"/>
      <c r="Y2932" s="433"/>
      <c r="Z2932" s="6"/>
      <c r="AA2932" s="500"/>
      <c r="AB2932" s="562"/>
      <c r="AC2932" s="49"/>
      <c r="AD2932" s="210"/>
      <c r="AE2932" s="434"/>
      <c r="AF2932" s="435"/>
      <c r="AG2932" s="49"/>
      <c r="AH2932" s="87"/>
      <c r="AI2932" s="87"/>
    </row>
    <row r="2933" spans="1:35" hidden="1">
      <c r="A2933" s="80" t="e">
        <f>"A"&amp;E2929</f>
        <v>#N/A</v>
      </c>
      <c r="B2933" s="81">
        <v>1</v>
      </c>
      <c r="C2933" s="82"/>
      <c r="D2933" s="82"/>
      <c r="E2933" s="82"/>
      <c r="F2933" s="82"/>
      <c r="G2933" s="83"/>
      <c r="H2933" s="83"/>
      <c r="I2933" s="84"/>
      <c r="J2933" s="85"/>
      <c r="K2933" s="382"/>
      <c r="L2933" s="85"/>
      <c r="M2933" s="332" t="str">
        <f t="shared" ref="M2933:M2942" si="862">IF(OR(J2933="",L2933="",H2933="NO"),"",IF(OR(J2933&gt;$P$17,J2933&lt;$O$17,L2933&gt;$P$17,AND(J2933&lt;$O$17,L2933&lt;$O$17)),"FUERA DE RANGO",IF(OR(K2933="---",K2933=""),IF(J2933&gt;=$O$17,ROUND((L2933-J2933+1)/360*12,3),ROUND((L2933-$O$17+1)/360*12,3)),IF(J2933&gt;=$O$17,ROUND((L2933-J2933+1)/360*12-ROUND(K2933,3),3),ROUND((L2933-$O$17+1)/360*12-ROUND(K2933,3),3)))))</f>
        <v/>
      </c>
      <c r="N2933" s="86"/>
      <c r="O2933" s="453" t="str">
        <f>IF(OR(G2933="",N2933=""),"",N2933*G2933)</f>
        <v/>
      </c>
      <c r="P2933" s="538" t="str">
        <f>IF(OR(H2933="",M2933="FUERA DE RANGO"),"",IF(OR(L2933&lt;$O$17,L2933&gt;$P$17,L2933="",H2933="NO"),"",IF(OR(N2933="",O2933=""),"",ROUND(O2933,3))))</f>
        <v/>
      </c>
      <c r="Q2933" s="539" t="str">
        <f t="shared" ref="Q2933:Q2942" si="863">IF(AND(H2933="SI",P2933&lt;&gt;""),ROUND(P2933/M2933,3),"")</f>
        <v/>
      </c>
      <c r="R2933" s="737"/>
      <c r="S2933" s="738"/>
      <c r="T2933" s="739"/>
      <c r="U2933" s="470"/>
      <c r="V2933" s="165"/>
      <c r="W2933" s="446"/>
      <c r="X2933" s="456"/>
      <c r="Y2933" s="436"/>
      <c r="Z2933" s="437"/>
      <c r="AA2933" s="560"/>
      <c r="AB2933" s="561"/>
      <c r="AC2933" s="87"/>
      <c r="AD2933" s="466"/>
      <c r="AE2933" s="456"/>
      <c r="AF2933" s="467"/>
      <c r="AG2933" s="87"/>
      <c r="AH2933" s="87"/>
      <c r="AI2933" s="87"/>
    </row>
    <row r="2934" spans="1:35" hidden="1">
      <c r="A2934" s="80" t="e">
        <f>"B"&amp;E2929</f>
        <v>#N/A</v>
      </c>
      <c r="B2934" s="81">
        <v>2</v>
      </c>
      <c r="C2934" s="106"/>
      <c r="D2934" s="106"/>
      <c r="E2934" s="106"/>
      <c r="F2934" s="106"/>
      <c r="G2934" s="83"/>
      <c r="H2934" s="83"/>
      <c r="I2934" s="84"/>
      <c r="J2934" s="85"/>
      <c r="K2934" s="382"/>
      <c r="L2934" s="85"/>
      <c r="M2934" s="332" t="str">
        <f t="shared" si="862"/>
        <v/>
      </c>
      <c r="N2934" s="86"/>
      <c r="O2934" s="453" t="str">
        <f t="shared" ref="O2934:O2942" si="864">IF(OR(G2934="",N2934=""),"",N2934*G2934)</f>
        <v/>
      </c>
      <c r="P2934" s="538" t="str">
        <f t="shared" ref="P2934:P2942" si="865">IF(OR(H2934="",M2934="FUERA DE RANGO"),"",IF(OR(L2934&lt;$O$17,L2934&gt;$P$17,L2934="",H2934="NO"),"",IF(OR(N2934="",O2934=""),"",ROUND(O2934,3))))</f>
        <v/>
      </c>
      <c r="Q2934" s="539" t="str">
        <f t="shared" si="863"/>
        <v/>
      </c>
      <c r="R2934" s="740"/>
      <c r="S2934" s="741"/>
      <c r="T2934" s="742"/>
      <c r="U2934" s="471"/>
      <c r="V2934" s="165"/>
      <c r="W2934" s="446"/>
      <c r="X2934" s="456"/>
      <c r="Y2934" s="436"/>
      <c r="Z2934" s="437"/>
      <c r="AA2934" s="560"/>
      <c r="AB2934" s="561"/>
      <c r="AC2934" s="87"/>
      <c r="AD2934" s="466"/>
      <c r="AE2934" s="456"/>
      <c r="AF2934" s="467"/>
      <c r="AG2934" s="87"/>
      <c r="AH2934" s="87"/>
      <c r="AI2934" s="87"/>
    </row>
    <row r="2935" spans="1:35" hidden="1">
      <c r="A2935" s="80" t="e">
        <f>"C"&amp;E2929</f>
        <v>#N/A</v>
      </c>
      <c r="B2935" s="88">
        <v>3</v>
      </c>
      <c r="C2935" s="82"/>
      <c r="D2935" s="82"/>
      <c r="E2935" s="82"/>
      <c r="F2935" s="82"/>
      <c r="G2935" s="83"/>
      <c r="H2935" s="83"/>
      <c r="I2935" s="84"/>
      <c r="J2935" s="85"/>
      <c r="K2935" s="382"/>
      <c r="L2935" s="85"/>
      <c r="M2935" s="332" t="str">
        <f t="shared" si="862"/>
        <v/>
      </c>
      <c r="N2935" s="86"/>
      <c r="O2935" s="453" t="str">
        <f t="shared" si="864"/>
        <v/>
      </c>
      <c r="P2935" s="538" t="str">
        <f t="shared" si="865"/>
        <v/>
      </c>
      <c r="Q2935" s="539" t="str">
        <f t="shared" si="863"/>
        <v/>
      </c>
      <c r="R2935" s="706"/>
      <c r="S2935" s="707"/>
      <c r="T2935" s="708"/>
      <c r="U2935" s="472"/>
      <c r="V2935" s="166"/>
      <c r="W2935" s="446"/>
      <c r="X2935" s="456"/>
      <c r="Y2935" s="436"/>
      <c r="Z2935" s="437"/>
      <c r="AA2935" s="560"/>
      <c r="AB2935" s="561"/>
      <c r="AC2935" s="87"/>
      <c r="AD2935" s="466"/>
      <c r="AE2935" s="456"/>
      <c r="AF2935" s="467"/>
      <c r="AG2935" s="87"/>
      <c r="AH2935" s="87"/>
      <c r="AI2935" s="87"/>
    </row>
    <row r="2936" spans="1:35" hidden="1">
      <c r="A2936" s="80" t="e">
        <f>"D"&amp;E2929</f>
        <v>#N/A</v>
      </c>
      <c r="B2936" s="105">
        <v>4</v>
      </c>
      <c r="C2936" s="107"/>
      <c r="D2936" s="107"/>
      <c r="E2936" s="107"/>
      <c r="F2936" s="107"/>
      <c r="G2936" s="83"/>
      <c r="H2936" s="83"/>
      <c r="I2936" s="84"/>
      <c r="J2936" s="85"/>
      <c r="K2936" s="382"/>
      <c r="L2936" s="85"/>
      <c r="M2936" s="332" t="str">
        <f t="shared" si="862"/>
        <v/>
      </c>
      <c r="N2936" s="86"/>
      <c r="O2936" s="453" t="str">
        <f t="shared" si="864"/>
        <v/>
      </c>
      <c r="P2936" s="538" t="str">
        <f t="shared" si="865"/>
        <v/>
      </c>
      <c r="Q2936" s="539" t="str">
        <f t="shared" si="863"/>
        <v/>
      </c>
      <c r="R2936" s="706"/>
      <c r="S2936" s="707"/>
      <c r="T2936" s="708"/>
      <c r="U2936" s="472"/>
      <c r="V2936" s="166"/>
      <c r="W2936" s="446"/>
      <c r="X2936" s="456"/>
      <c r="Y2936" s="436"/>
      <c r="Z2936" s="437"/>
      <c r="AA2936" s="560"/>
      <c r="AB2936" s="561"/>
      <c r="AC2936" s="87"/>
      <c r="AD2936" s="466"/>
      <c r="AE2936" s="456"/>
      <c r="AF2936" s="467"/>
      <c r="AG2936" s="87"/>
      <c r="AH2936" s="87"/>
      <c r="AI2936" s="87"/>
    </row>
    <row r="2937" spans="1:35" hidden="1">
      <c r="A2937" s="80" t="e">
        <f>"E"&amp;E2929</f>
        <v>#N/A</v>
      </c>
      <c r="B2937" s="105">
        <v>5</v>
      </c>
      <c r="C2937" s="107"/>
      <c r="D2937" s="107"/>
      <c r="E2937" s="107"/>
      <c r="F2937" s="107"/>
      <c r="G2937" s="83"/>
      <c r="H2937" s="83"/>
      <c r="I2937" s="84"/>
      <c r="J2937" s="85"/>
      <c r="K2937" s="382"/>
      <c r="L2937" s="85"/>
      <c r="M2937" s="332" t="str">
        <f t="shared" si="862"/>
        <v/>
      </c>
      <c r="N2937" s="86"/>
      <c r="O2937" s="453" t="str">
        <f t="shared" si="864"/>
        <v/>
      </c>
      <c r="P2937" s="538" t="str">
        <f t="shared" si="865"/>
        <v/>
      </c>
      <c r="Q2937" s="539" t="str">
        <f t="shared" si="863"/>
        <v/>
      </c>
      <c r="R2937" s="706"/>
      <c r="S2937" s="707"/>
      <c r="T2937" s="708"/>
      <c r="U2937" s="472"/>
      <c r="V2937" s="167"/>
      <c r="W2937" s="446"/>
      <c r="X2937" s="456"/>
      <c r="Y2937" s="436"/>
      <c r="Z2937" s="437"/>
      <c r="AA2937" s="560"/>
      <c r="AB2937" s="561"/>
      <c r="AC2937" s="87"/>
      <c r="AD2937" s="466"/>
      <c r="AE2937" s="456"/>
      <c r="AF2937" s="467"/>
      <c r="AG2937" s="87"/>
      <c r="AH2937" s="87"/>
      <c r="AI2937" s="87"/>
    </row>
    <row r="2938" spans="1:35" hidden="1">
      <c r="A2938" s="80" t="e">
        <f>"F"&amp;E2929</f>
        <v>#N/A</v>
      </c>
      <c r="B2938" s="105">
        <v>6</v>
      </c>
      <c r="C2938" s="107"/>
      <c r="D2938" s="107"/>
      <c r="E2938" s="107"/>
      <c r="F2938" s="107"/>
      <c r="G2938" s="83"/>
      <c r="H2938" s="83"/>
      <c r="I2938" s="84"/>
      <c r="J2938" s="85"/>
      <c r="K2938" s="382"/>
      <c r="L2938" s="85"/>
      <c r="M2938" s="332" t="str">
        <f t="shared" si="862"/>
        <v/>
      </c>
      <c r="N2938" s="86"/>
      <c r="O2938" s="453" t="str">
        <f t="shared" si="864"/>
        <v/>
      </c>
      <c r="P2938" s="538" t="str">
        <f t="shared" si="865"/>
        <v/>
      </c>
      <c r="Q2938" s="539" t="str">
        <f t="shared" si="863"/>
        <v/>
      </c>
      <c r="R2938" s="706"/>
      <c r="S2938" s="707"/>
      <c r="T2938" s="708"/>
      <c r="U2938" s="472"/>
      <c r="V2938" s="167"/>
      <c r="W2938" s="446"/>
      <c r="X2938" s="456"/>
      <c r="Y2938" s="436"/>
      <c r="Z2938" s="437"/>
      <c r="AA2938" s="560"/>
      <c r="AB2938" s="561"/>
      <c r="AC2938" s="87"/>
      <c r="AD2938" s="466"/>
      <c r="AE2938" s="456"/>
      <c r="AF2938" s="467"/>
      <c r="AG2938" s="87"/>
      <c r="AH2938" s="87"/>
      <c r="AI2938" s="87"/>
    </row>
    <row r="2939" spans="1:35" hidden="1">
      <c r="A2939" s="80" t="e">
        <f>"G"&amp;E2929</f>
        <v>#N/A</v>
      </c>
      <c r="B2939" s="105">
        <v>7</v>
      </c>
      <c r="C2939" s="107"/>
      <c r="D2939" s="107"/>
      <c r="E2939" s="107"/>
      <c r="F2939" s="107"/>
      <c r="G2939" s="83"/>
      <c r="H2939" s="83"/>
      <c r="I2939" s="84"/>
      <c r="J2939" s="85"/>
      <c r="K2939" s="382"/>
      <c r="L2939" s="85"/>
      <c r="M2939" s="332" t="str">
        <f t="shared" si="862"/>
        <v/>
      </c>
      <c r="N2939" s="86"/>
      <c r="O2939" s="86" t="str">
        <f t="shared" si="864"/>
        <v/>
      </c>
      <c r="P2939" s="538" t="str">
        <f t="shared" si="865"/>
        <v/>
      </c>
      <c r="Q2939" s="539" t="str">
        <f t="shared" si="863"/>
        <v/>
      </c>
      <c r="R2939" s="706"/>
      <c r="S2939" s="707"/>
      <c r="T2939" s="708"/>
      <c r="U2939" s="472"/>
      <c r="V2939" s="167"/>
      <c r="W2939" s="446"/>
      <c r="X2939" s="456"/>
      <c r="Y2939" s="436"/>
      <c r="Z2939" s="437"/>
      <c r="AA2939" s="560"/>
      <c r="AB2939" s="561"/>
      <c r="AC2939" s="87"/>
      <c r="AD2939" s="466"/>
      <c r="AE2939" s="456"/>
      <c r="AF2939" s="467"/>
      <c r="AG2939" s="87"/>
      <c r="AH2939" s="87"/>
      <c r="AI2939" s="87"/>
    </row>
    <row r="2940" spans="1:35" hidden="1">
      <c r="A2940" s="80" t="e">
        <f>"H"&amp;E2929</f>
        <v>#N/A</v>
      </c>
      <c r="B2940" s="105">
        <v>8</v>
      </c>
      <c r="C2940" s="107"/>
      <c r="D2940" s="107"/>
      <c r="E2940" s="107"/>
      <c r="F2940" s="107"/>
      <c r="G2940" s="83"/>
      <c r="H2940" s="83"/>
      <c r="I2940" s="84"/>
      <c r="J2940" s="85"/>
      <c r="K2940" s="382"/>
      <c r="L2940" s="85"/>
      <c r="M2940" s="332" t="str">
        <f t="shared" si="862"/>
        <v/>
      </c>
      <c r="N2940" s="453"/>
      <c r="O2940" s="86" t="str">
        <f t="shared" si="864"/>
        <v/>
      </c>
      <c r="P2940" s="538" t="str">
        <f t="shared" si="865"/>
        <v/>
      </c>
      <c r="Q2940" s="539" t="str">
        <f t="shared" si="863"/>
        <v/>
      </c>
      <c r="R2940" s="706"/>
      <c r="S2940" s="707"/>
      <c r="T2940" s="708"/>
      <c r="U2940" s="472"/>
      <c r="V2940" s="167"/>
      <c r="W2940" s="446"/>
      <c r="X2940" s="456"/>
      <c r="Y2940" s="436"/>
      <c r="Z2940" s="437"/>
      <c r="AA2940" s="560"/>
      <c r="AB2940" s="561"/>
      <c r="AC2940" s="87"/>
      <c r="AD2940" s="466"/>
      <c r="AE2940" s="456"/>
      <c r="AF2940" s="467"/>
      <c r="AG2940" s="87"/>
      <c r="AH2940" s="87"/>
      <c r="AI2940" s="87"/>
    </row>
    <row r="2941" spans="1:35" hidden="1">
      <c r="A2941" s="80" t="e">
        <f>"I"&amp;E2929</f>
        <v>#N/A</v>
      </c>
      <c r="B2941" s="105">
        <v>9</v>
      </c>
      <c r="C2941" s="107"/>
      <c r="D2941" s="107"/>
      <c r="E2941" s="107"/>
      <c r="F2941" s="107"/>
      <c r="G2941" s="83"/>
      <c r="H2941" s="83"/>
      <c r="I2941" s="84"/>
      <c r="J2941" s="85"/>
      <c r="K2941" s="382"/>
      <c r="L2941" s="85"/>
      <c r="M2941" s="332" t="str">
        <f t="shared" si="862"/>
        <v/>
      </c>
      <c r="N2941" s="453"/>
      <c r="O2941" s="86" t="str">
        <f t="shared" si="864"/>
        <v/>
      </c>
      <c r="P2941" s="538" t="str">
        <f t="shared" si="865"/>
        <v/>
      </c>
      <c r="Q2941" s="539" t="str">
        <f t="shared" si="863"/>
        <v/>
      </c>
      <c r="R2941" s="706"/>
      <c r="S2941" s="707"/>
      <c r="T2941" s="708"/>
      <c r="U2941" s="472"/>
      <c r="V2941" s="167"/>
      <c r="W2941" s="446"/>
      <c r="X2941" s="456"/>
      <c r="Y2941" s="436"/>
      <c r="Z2941" s="437"/>
      <c r="AA2941" s="560"/>
      <c r="AB2941" s="561"/>
      <c r="AC2941" s="87"/>
      <c r="AD2941" s="466"/>
      <c r="AE2941" s="456"/>
      <c r="AF2941" s="467"/>
      <c r="AG2941" s="87"/>
      <c r="AH2941" s="87"/>
      <c r="AI2941" s="87"/>
    </row>
    <row r="2942" spans="1:35" hidden="1">
      <c r="A2942" s="80" t="e">
        <f>"J"&amp;E2929</f>
        <v>#N/A</v>
      </c>
      <c r="B2942" s="105">
        <v>10</v>
      </c>
      <c r="C2942" s="107"/>
      <c r="D2942" s="107"/>
      <c r="E2942" s="107"/>
      <c r="F2942" s="107"/>
      <c r="G2942" s="83"/>
      <c r="H2942" s="83"/>
      <c r="I2942" s="84"/>
      <c r="J2942" s="85"/>
      <c r="K2942" s="382"/>
      <c r="L2942" s="85"/>
      <c r="M2942" s="332" t="str">
        <f t="shared" si="862"/>
        <v/>
      </c>
      <c r="N2942" s="453"/>
      <c r="O2942" s="86" t="str">
        <f t="shared" si="864"/>
        <v/>
      </c>
      <c r="P2942" s="538" t="str">
        <f t="shared" si="865"/>
        <v/>
      </c>
      <c r="Q2942" s="539" t="str">
        <f t="shared" si="863"/>
        <v/>
      </c>
      <c r="R2942" s="706"/>
      <c r="S2942" s="707"/>
      <c r="T2942" s="708"/>
      <c r="U2942" s="472"/>
      <c r="V2942" s="167"/>
      <c r="W2942" s="446"/>
      <c r="X2942" s="456"/>
      <c r="Y2942" s="436"/>
      <c r="Z2942" s="437"/>
      <c r="AA2942" s="560"/>
      <c r="AB2942" s="561"/>
      <c r="AC2942" s="87"/>
      <c r="AD2942" s="466"/>
      <c r="AE2942" s="456"/>
      <c r="AF2942" s="467"/>
      <c r="AG2942" s="87"/>
      <c r="AH2942" s="87"/>
      <c r="AI2942" s="87"/>
    </row>
    <row r="2943" spans="1:35" ht="16.5" hidden="1" thickBot="1">
      <c r="A2943" s="44"/>
      <c r="B2943" s="89"/>
      <c r="C2943" s="90"/>
      <c r="D2943" s="90"/>
      <c r="E2943" s="90"/>
      <c r="F2943" s="90"/>
      <c r="G2943" s="90"/>
      <c r="H2943" s="90"/>
      <c r="I2943" s="90"/>
      <c r="J2943" s="90"/>
      <c r="K2943" s="90"/>
      <c r="L2943" s="90"/>
      <c r="M2943" s="90"/>
      <c r="N2943" s="90"/>
      <c r="O2943" s="90"/>
      <c r="P2943" s="90"/>
      <c r="Q2943" s="90"/>
      <c r="R2943" s="90"/>
      <c r="S2943" s="91"/>
      <c r="T2943" s="92"/>
      <c r="U2943" s="473"/>
      <c r="W2943" s="438"/>
      <c r="X2943" s="455"/>
      <c r="Y2943" s="439"/>
      <c r="Z2943" s="437"/>
      <c r="AA2943" s="530"/>
      <c r="AB2943" s="563"/>
      <c r="AC2943" s="87"/>
      <c r="AD2943" s="440"/>
      <c r="AE2943" s="441"/>
      <c r="AF2943" s="442"/>
      <c r="AG2943" s="49"/>
      <c r="AH2943" s="87"/>
      <c r="AI2943" s="87"/>
    </row>
    <row r="2944" spans="1:35" ht="16.5" hidden="1" thickBot="1">
      <c r="A2944" s="93"/>
      <c r="B2944" s="94"/>
      <c r="C2944" s="96"/>
      <c r="D2944" s="96"/>
      <c r="E2944" s="96"/>
      <c r="F2944" s="96"/>
      <c r="G2944" s="96"/>
      <c r="H2944" s="96"/>
      <c r="I2944" s="96"/>
      <c r="J2944" s="96"/>
      <c r="K2944" s="96"/>
      <c r="L2944" s="96"/>
      <c r="M2944" s="136"/>
      <c r="N2944" s="96"/>
      <c r="O2944" s="96"/>
      <c r="P2944" s="97"/>
      <c r="Q2944" s="97"/>
      <c r="R2944" s="98"/>
      <c r="S2944" s="95"/>
      <c r="T2944" s="99"/>
      <c r="U2944" s="469"/>
      <c r="AC2944" s="58"/>
      <c r="AG2944" s="58"/>
      <c r="AH2944" s="87"/>
      <c r="AI2944" s="87"/>
    </row>
    <row r="2945" spans="1:35" ht="16.5" hidden="1" thickBot="1">
      <c r="B2945" s="101"/>
      <c r="C2945" s="101"/>
      <c r="D2945" s="101"/>
      <c r="E2945" s="101"/>
      <c r="F2945" s="101"/>
      <c r="G2945" s="101"/>
      <c r="H2945" s="101"/>
      <c r="I2945" s="101"/>
      <c r="J2945" s="101"/>
      <c r="K2945" s="101"/>
      <c r="L2945" s="101"/>
      <c r="M2945" s="101"/>
      <c r="N2945" s="101"/>
      <c r="O2945" s="101"/>
      <c r="P2945" s="101"/>
      <c r="Q2945" s="101"/>
      <c r="R2945" s="101"/>
      <c r="S2945" s="101"/>
      <c r="U2945" s="50"/>
      <c r="AH2945" s="87"/>
      <c r="AI2945" s="87"/>
    </row>
    <row r="2946" spans="1:35" ht="16.5" hidden="1" customHeight="1" thickBot="1">
      <c r="A2946" s="44"/>
      <c r="B2946" s="705" t="s">
        <v>74</v>
      </c>
      <c r="C2946" s="705"/>
      <c r="D2946" s="705"/>
      <c r="E2946" s="705"/>
      <c r="F2946" s="705"/>
      <c r="G2946" s="705"/>
      <c r="H2946" s="705"/>
      <c r="I2946" s="705"/>
      <c r="J2946" s="705"/>
      <c r="K2946" s="705"/>
      <c r="L2946" s="705"/>
      <c r="M2946" s="705"/>
      <c r="N2946" s="705"/>
      <c r="O2946" s="705"/>
      <c r="P2946" s="705"/>
      <c r="Q2946" s="705"/>
      <c r="R2946" s="705"/>
      <c r="S2946" s="705"/>
      <c r="T2946" s="705"/>
      <c r="U2946" s="108"/>
      <c r="Y2946" s="532" t="s">
        <v>341</v>
      </c>
      <c r="AC2946" s="49"/>
      <c r="AD2946" s="687" t="s">
        <v>302</v>
      </c>
      <c r="AE2946" s="688"/>
      <c r="AF2946" s="689"/>
      <c r="AG2946" s="49"/>
      <c r="AH2946" s="87"/>
      <c r="AI2946" s="87"/>
    </row>
    <row r="2947" spans="1:35" ht="15.75" hidden="1" customHeight="1" thickBot="1">
      <c r="A2947" s="218" t="e">
        <f>"K"&amp;E2929</f>
        <v>#N/A</v>
      </c>
      <c r="B2947" s="701" t="s">
        <v>71</v>
      </c>
      <c r="C2947" s="751" t="s">
        <v>102</v>
      </c>
      <c r="D2947" s="751"/>
      <c r="E2947" s="751"/>
      <c r="F2947" s="751"/>
      <c r="G2947" s="751"/>
      <c r="H2947" s="751"/>
      <c r="I2947" s="751"/>
      <c r="J2947" s="751"/>
      <c r="K2947" s="751"/>
      <c r="L2947" s="722" t="s">
        <v>100</v>
      </c>
      <c r="M2947" s="747" t="s">
        <v>114</v>
      </c>
      <c r="N2947" s="747"/>
      <c r="O2947" s="747"/>
      <c r="P2947" s="747"/>
      <c r="Q2947" s="748"/>
      <c r="R2947" s="758" t="s">
        <v>280</v>
      </c>
      <c r="S2947" s="748"/>
      <c r="T2947" s="762" t="str">
        <f>IF(COUNTIF(AE2947:AF2947,"VERIFICAR")&gt;0,"VERIFICAR",IF(COUNTIF(AE2947:AF2947,"NO CUMPLE")&gt;0,"NO CUMPLE","CUMPLE"))</f>
        <v>VERIFICAR</v>
      </c>
      <c r="U2947" s="108"/>
      <c r="Y2947" s="533" t="e">
        <f>IF(F2948="","",IF(F2948=1,"INDIVIDUAL","ESTRUCTURA PLURAL"))</f>
        <v>#N/A</v>
      </c>
      <c r="AC2947" s="52"/>
      <c r="AD2947" s="475" t="s">
        <v>303</v>
      </c>
      <c r="AE2947" s="476" t="str">
        <f>IF(COUNTIF(AE2933:AE2942,"")=10,"VERIFICAR",IF(COUNTIF(AE2933:AE2942,"SI")&gt;0,"CUMPLE","NO CUMPLE"))</f>
        <v>VERIFICAR</v>
      </c>
      <c r="AF2947" s="477" t="str">
        <f>IF(COUNTIF(AF2933:AF2942,"")=10,"VERIFICAR",IF(COUNTIF(AF2933:AF2942,"SI")&gt;=$AI$22,"CUMPLE","NO CUMPLE"))</f>
        <v>VERIFICAR</v>
      </c>
      <c r="AG2947" s="52"/>
      <c r="AH2947" s="87"/>
      <c r="AI2947" s="87"/>
    </row>
    <row r="2948" spans="1:35" ht="16.5" hidden="1" customHeight="1" thickBot="1">
      <c r="A2948" s="218" t="e">
        <f>"L"&amp;E2929</f>
        <v>#N/A</v>
      </c>
      <c r="B2948" s="702"/>
      <c r="C2948" s="751" t="s">
        <v>103</v>
      </c>
      <c r="D2948" s="751"/>
      <c r="E2948" s="752"/>
      <c r="F2948" s="557" t="e">
        <f>IF(VLOOKUP(E2929,PROPONENTES!$C$19:$E$218,3,0)="","",VLOOKUP(E2929,PROPONENTES!$C$19:$E$218,3,0))</f>
        <v>#N/A</v>
      </c>
      <c r="G2948" s="753" t="s">
        <v>104</v>
      </c>
      <c r="H2948" s="751"/>
      <c r="I2948" s="715" t="e">
        <f>IF(OR(F2948="",F2948=1),"INTERESADO PERSONA NATURAL O JURIDICA","CONSORCIO O UNION TEMPORAL")</f>
        <v>#N/A</v>
      </c>
      <c r="J2948" s="725"/>
      <c r="K2948" s="728"/>
      <c r="L2948" s="723"/>
      <c r="M2948" s="749"/>
      <c r="N2948" s="749"/>
      <c r="O2948" s="749"/>
      <c r="P2948" s="749"/>
      <c r="Q2948" s="750"/>
      <c r="R2948" s="712"/>
      <c r="S2948" s="750"/>
      <c r="T2948" s="763"/>
      <c r="U2948" s="108"/>
      <c r="Y2948" s="534"/>
      <c r="AA2948" s="52"/>
      <c r="AB2948" s="52"/>
      <c r="AC2948" s="52"/>
      <c r="AG2948" s="52"/>
      <c r="AH2948" s="87"/>
      <c r="AI2948" s="87"/>
    </row>
    <row r="2949" spans="1:35" ht="56.25" hidden="1" customHeight="1" thickBot="1">
      <c r="A2949" s="218" t="e">
        <f>"M"&amp;E2929</f>
        <v>#N/A</v>
      </c>
      <c r="B2949" s="702"/>
      <c r="C2949" s="725" t="s">
        <v>101</v>
      </c>
      <c r="D2949" s="716"/>
      <c r="E2949" s="558" t="s">
        <v>105</v>
      </c>
      <c r="F2949" s="554" t="s">
        <v>87</v>
      </c>
      <c r="G2949" s="553" t="s">
        <v>86</v>
      </c>
      <c r="H2949" s="559" t="s">
        <v>85</v>
      </c>
      <c r="I2949" s="554" t="s">
        <v>252</v>
      </c>
      <c r="J2949" s="553" t="str">
        <f>"¿EL INTEGRANTE TIENE UNA PARTICIPACIÓN DEL "&amp;PORCREQUERIDOINT*100&amp;"%?"</f>
        <v>¿EL INTEGRANTE TIENE UNA PARTICIPACIÓN DEL 60%?</v>
      </c>
      <c r="K2949" s="554" t="s">
        <v>107</v>
      </c>
      <c r="L2949" s="724"/>
      <c r="M2949" s="717" t="s">
        <v>115</v>
      </c>
      <c r="N2949" s="718"/>
      <c r="O2949" s="718"/>
      <c r="P2949" s="718"/>
      <c r="Q2949" s="223">
        <f>IF(AND(H2933="SI",P2933&gt;=0),1,0)+IF(AND(H2934="SI",P2934&gt;=0),1,0)+IF(AND(H2935="SI",P2935&gt;=0),1,0)+IF(AND(H2936="SI",P2936&gt;=0),1,0)+IF(AND(H2937="SI",P2937&gt;=0),1,0)+IF(AND(H2938="SI",P2938&gt;=0),1,0)+IF(AND(H2939="SI",P2939&gt;=0),1,0)+IF(AND(H2940="SI",P2940&gt;=0),1,0)+IF(AND(H2941="SI",P2941&gt;=0),1,0)+IF(AND(H2942="SI",P2942&gt;=0),1,0)</f>
        <v>0</v>
      </c>
      <c r="R2949" s="759"/>
      <c r="S2949" s="761"/>
      <c r="T2949" s="764"/>
      <c r="U2949" s="219"/>
      <c r="V2949" s="464"/>
      <c r="Y2949" s="532" t="s">
        <v>342</v>
      </c>
      <c r="AA2949" s="550" t="s">
        <v>344</v>
      </c>
      <c r="AB2949" s="693" t="s">
        <v>345</v>
      </c>
      <c r="AC2949" s="693" t="s">
        <v>346</v>
      </c>
      <c r="AD2949" s="685" t="s">
        <v>347</v>
      </c>
      <c r="AE2949" s="52"/>
      <c r="AF2949" s="52"/>
      <c r="AG2949" s="52"/>
      <c r="AH2949" s="87"/>
      <c r="AI2949" s="87"/>
    </row>
    <row r="2950" spans="1:35" ht="15.75" hidden="1" customHeight="1" thickBot="1">
      <c r="A2950" s="218" t="e">
        <f>"N"&amp;E2929</f>
        <v>#N/A</v>
      </c>
      <c r="B2950" s="702"/>
      <c r="C2950" s="114">
        <v>1</v>
      </c>
      <c r="D2950" s="194" t="e">
        <f>IF(AND(C2950&lt;=F2948,F2948&gt;1,F2948&lt;&gt;""),VLOOKUP(VALUE(E2929&amp;","&amp;C2950),INTEGRANTES!$D$18:$F$235,2,0),"")</f>
        <v>#N/A</v>
      </c>
      <c r="E2950" s="211" t="e">
        <f>IF(D2950&lt;&gt;"",VLOOKUP(VALUE(E2929&amp;","&amp;C2950),INTEGRANTES!$D$18:$F$235,3,0),"")</f>
        <v>#N/A</v>
      </c>
      <c r="F2950" s="547" t="e">
        <f>IF(D2950="","",SUMIF($I2933:$I2942,D2950,$P2933:$P2942))</f>
        <v>#N/A</v>
      </c>
      <c r="G2950" s="333" t="e">
        <f>IF(D2950="","",SUMIF($I2933:$I2942,D2950,$M2933:$M2942))</f>
        <v>#N/A</v>
      </c>
      <c r="H2950" s="535" t="e">
        <f t="shared" ref="H2950:H2955" si="866">IF(D2950="","",IF(OR(F2950=0,G2950=0),"NO APORTA",ROUND($F2950/$G2950,3)))</f>
        <v>#N/A</v>
      </c>
      <c r="I2950" s="212" t="e">
        <f>IF(D2950="","",IF(H2950="NO APORTA","NO",IF(H2950=MAX($H2950:$H2955),"SI","NO")))</f>
        <v>#N/A</v>
      </c>
      <c r="J2950" s="213" t="e">
        <f t="shared" ref="J2950:J2955" si="867">IF(D2950="","",IF(E2950&gt;=PORCREQUERIDOINT,"SI","NO"))</f>
        <v>#N/A</v>
      </c>
      <c r="K2950" s="200" t="e">
        <f t="shared" ref="K2950:K2955" si="868">IF(D2950="","",IF(AND(I2950="SI",J2950="SI"),"CUMPLE",IF(AND(I2950="NO",OR(J2950="SI",J2950="NO")),"","NO CUMPLE")))</f>
        <v>#N/A</v>
      </c>
      <c r="L2950" s="722" t="s">
        <v>108</v>
      </c>
      <c r="M2950" s="726" t="s">
        <v>119</v>
      </c>
      <c r="N2950" s="726"/>
      <c r="O2950" s="726"/>
      <c r="P2950" s="726"/>
      <c r="Q2950" s="727"/>
      <c r="R2950" s="758" t="s">
        <v>80</v>
      </c>
      <c r="S2950" s="747"/>
      <c r="T2950" s="748"/>
      <c r="U2950" s="219"/>
      <c r="V2950" s="464"/>
      <c r="Y2950" s="533" t="e">
        <f>IF(Y2947="","",IF(Y2947="INDIVIDUAL","NO APLICA","VERIFICAR CUADRO"))</f>
        <v>#N/A</v>
      </c>
      <c r="AA2950" s="551"/>
      <c r="AB2950" s="694"/>
      <c r="AC2950" s="694"/>
      <c r="AD2950" s="686"/>
      <c r="AE2950" s="52"/>
      <c r="AF2950" s="52"/>
      <c r="AG2950" s="52"/>
      <c r="AH2950" s="87"/>
      <c r="AI2950" s="87"/>
    </row>
    <row r="2951" spans="1:35" ht="27" hidden="1" customHeight="1" thickBot="1">
      <c r="A2951" s="218" t="e">
        <f>"O"&amp;E2929</f>
        <v>#N/A</v>
      </c>
      <c r="B2951" s="702"/>
      <c r="C2951" s="114">
        <v>2</v>
      </c>
      <c r="D2951" s="194" t="e">
        <f>IF(AND(C2951&lt;=F2948,F2948&lt;&gt;""),VLOOKUP(VALUE(E2929&amp;","&amp;C2951),INTEGRANTES!$D$18:$F$235,2,0),"")</f>
        <v>#N/A</v>
      </c>
      <c r="E2951" s="211" t="e">
        <f>IF(D2951&lt;&gt;"",VLOOKUP(VALUE(E2929&amp;","&amp;C2951),INTEGRANTES!$D$18:$F$235,3,0),"")</f>
        <v>#N/A</v>
      </c>
      <c r="F2951" s="547" t="e">
        <f>IF(D2951="","",SUMIF($I2933:$I2942,D2951,$P2933:$P2942))</f>
        <v>#N/A</v>
      </c>
      <c r="G2951" s="333" t="e">
        <f>IF(D2951="","",SUMIF($I2933:$I2942,D2951,$M2933:$M2942))</f>
        <v>#N/A</v>
      </c>
      <c r="H2951" s="535" t="e">
        <f t="shared" si="866"/>
        <v>#N/A</v>
      </c>
      <c r="I2951" s="212" t="e">
        <f>IF(D2951="","",IF(H2951="NO APORTA","NO",IF(H2951=MAX($H2950:$H2955),"SI","NO")))</f>
        <v>#N/A</v>
      </c>
      <c r="J2951" s="213" t="e">
        <f t="shared" si="867"/>
        <v>#N/A</v>
      </c>
      <c r="K2951" s="200" t="e">
        <f t="shared" si="868"/>
        <v>#N/A</v>
      </c>
      <c r="L2951" s="723"/>
      <c r="M2951" s="715" t="s">
        <v>116</v>
      </c>
      <c r="N2951" s="716"/>
      <c r="O2951" s="556" t="s">
        <v>113</v>
      </c>
      <c r="P2951" s="715" t="s">
        <v>117</v>
      </c>
      <c r="Q2951" s="728"/>
      <c r="R2951" s="759"/>
      <c r="S2951" s="760"/>
      <c r="T2951" s="761"/>
      <c r="U2951" s="219"/>
      <c r="V2951" s="464"/>
      <c r="Y2951" s="414"/>
      <c r="AA2951" s="542" t="e">
        <f>IF(AND(C2950&lt;=F2948,F2948&gt;1,F2948&lt;&gt;""),VLOOKUP(VALUE(E2929&amp;","&amp;C2950),INTEGRANTES!$D$18:$F$235,2,0),"")</f>
        <v>#N/A</v>
      </c>
      <c r="AB2951" s="544" t="e">
        <f t="shared" ref="AB2951:AB2956" si="869">IF(D2950="","",IF(OR(F2950=0,G2950=0),"NO APORTA",ROUND($F2950/$G2950,3)))</f>
        <v>#N/A</v>
      </c>
      <c r="AC2951" s="529"/>
      <c r="AD2951" s="200" t="e">
        <f t="shared" ref="AD2951:AD2956" si="870">IF(OR(AA2951="",AB2951=""),"",IF(AND(AC2951="X",AB2951&gt;=EXPREQVTD),"CUMPLE","NO CUMPLE"))</f>
        <v>#N/A</v>
      </c>
      <c r="AE2951" s="52"/>
      <c r="AF2951" s="52"/>
      <c r="AG2951" s="52"/>
      <c r="AH2951" s="87"/>
      <c r="AI2951" s="87"/>
    </row>
    <row r="2952" spans="1:35" ht="16.5" hidden="1" thickBot="1">
      <c r="A2952" s="218" t="e">
        <f>"P"&amp;E2929</f>
        <v>#N/A</v>
      </c>
      <c r="B2952" s="702"/>
      <c r="C2952" s="114">
        <v>3</v>
      </c>
      <c r="D2952" s="194" t="e">
        <f>IF(AND(C2952&lt;=F2948,F2948&lt;&gt;""),VLOOKUP(VALUE(E2929&amp;","&amp;C2952),INTEGRANTES!$D$18:$F$235,2,0),"")</f>
        <v>#N/A</v>
      </c>
      <c r="E2952" s="211" t="e">
        <f>IF(D2952&lt;&gt;"",VLOOKUP(VALUE(E2929&amp;","&amp;C2952),INTEGRANTES!$D$18:$F$235,3,0),"")</f>
        <v>#N/A</v>
      </c>
      <c r="F2952" s="547" t="e">
        <f>IF(D2952="","",SUMIF($I2933:$I2942,D2952,$P2933:$P2942))</f>
        <v>#N/A</v>
      </c>
      <c r="G2952" s="333" t="e">
        <f>IF(D2952="","",SUMIF($I2933:$I2942,D2952,$M2933:$M2942))</f>
        <v>#N/A</v>
      </c>
      <c r="H2952" s="535" t="e">
        <f t="shared" si="866"/>
        <v>#N/A</v>
      </c>
      <c r="I2952" s="212" t="e">
        <f>IF(D2952="","",IF(H2952="NO APORTA","NO",IF(H2952=MAX($H2950:$H2955),"SI","NO")))</f>
        <v>#N/A</v>
      </c>
      <c r="J2952" s="213" t="e">
        <f t="shared" si="867"/>
        <v>#N/A</v>
      </c>
      <c r="K2952" s="200" t="e">
        <f t="shared" si="868"/>
        <v>#N/A</v>
      </c>
      <c r="L2952" s="724"/>
      <c r="M2952" s="729">
        <f>NUMMOD</f>
        <v>1</v>
      </c>
      <c r="N2952" s="730"/>
      <c r="O2952" s="443">
        <f>IF(M2952="","",VLOOKUP(M2952,PRESUPUESTOS!$B$16:$H$16,5,FALSE))</f>
        <v>2</v>
      </c>
      <c r="P2952" s="713">
        <f>IF(OR(COUNTIF(M2933:M2942,"")&gt;=10,Q2949&lt;NUMMINCONT,OR(T2947="NO CUMPLE",T2947="VERIFICAR")),0,ROUND(AVERAGE(M2933:M2942),3))</f>
        <v>0</v>
      </c>
      <c r="Q2952" s="714"/>
      <c r="R2952" s="458"/>
      <c r="S2952" s="459"/>
      <c r="T2952" s="460"/>
      <c r="U2952" s="219"/>
      <c r="V2952" s="464"/>
      <c r="Y2952" s="532" t="str">
        <f>"40% * ("&amp;PRESUPUESTOS!$H$13&amp;")"</f>
        <v>40% * (50% PFMO)</v>
      </c>
      <c r="AA2952" s="540" t="e">
        <f>IF(AND(C2951&lt;=F2948,F2948&lt;&gt;""),VLOOKUP(VALUE(E2929&amp;","&amp;C2951),INTEGRANTES!$D$18:$F$235,2,0),"")</f>
        <v>#N/A</v>
      </c>
      <c r="AB2952" s="545" t="e">
        <f t="shared" si="869"/>
        <v>#N/A</v>
      </c>
      <c r="AC2952" s="529"/>
      <c r="AD2952" s="200" t="e">
        <f t="shared" si="870"/>
        <v>#N/A</v>
      </c>
      <c r="AE2952" s="52"/>
      <c r="AF2952" s="52"/>
      <c r="AG2952" s="52"/>
      <c r="AH2952" s="87"/>
      <c r="AI2952" s="87"/>
    </row>
    <row r="2953" spans="1:35" ht="15.75" hidden="1" customHeight="1" thickBot="1">
      <c r="A2953" s="218" t="e">
        <f>"Q"&amp;E2929</f>
        <v>#N/A</v>
      </c>
      <c r="B2953" s="702"/>
      <c r="C2953" s="114">
        <v>4</v>
      </c>
      <c r="D2953" s="194" t="e">
        <f>IF(AND(C2953&lt;=F2948,F2948&lt;&gt;""),VLOOKUP(VALUE(E2929&amp;","&amp;C2953),INTEGRANTES!$D$18:$F$235,2,0),"")</f>
        <v>#N/A</v>
      </c>
      <c r="E2953" s="211" t="e">
        <f>IF(D2953&lt;&gt;"",VLOOKUP(VALUE(E2929&amp;","&amp;C2953),INTEGRANTES!$D$18:$F$235,3,0),"")</f>
        <v>#N/A</v>
      </c>
      <c r="F2953" s="547" t="e">
        <f>IF(D2953="","",SUMIF($I2933:$I2942,D2953,$P2933:$P2942))</f>
        <v>#N/A</v>
      </c>
      <c r="G2953" s="333" t="e">
        <f>IF(D2953="","",SUMIF($I2933:$I2942,D2953,$M2933:$M2942))</f>
        <v>#N/A</v>
      </c>
      <c r="H2953" s="535" t="e">
        <f t="shared" si="866"/>
        <v>#N/A</v>
      </c>
      <c r="I2953" s="212" t="e">
        <f>IF(D2953="","",IF(H2953="NO APORTA","NO",IF(H2953=MAX($H2950:$H2955),"SI","NO")))</f>
        <v>#N/A</v>
      </c>
      <c r="J2953" s="213" t="e">
        <f t="shared" si="867"/>
        <v>#N/A</v>
      </c>
      <c r="K2953" s="200" t="e">
        <f t="shared" si="868"/>
        <v>#N/A</v>
      </c>
      <c r="L2953" s="720" t="s">
        <v>109</v>
      </c>
      <c r="M2953" s="757" t="s">
        <v>120</v>
      </c>
      <c r="N2953" s="726"/>
      <c r="O2953" s="726"/>
      <c r="P2953" s="726"/>
      <c r="Q2953" s="727"/>
      <c r="R2953" s="458"/>
      <c r="S2953" s="459"/>
      <c r="T2953" s="460"/>
      <c r="U2953" s="219"/>
      <c r="V2953" s="464"/>
      <c r="Y2953" s="537">
        <f>0.4*PRESUPUESTOS!$H$16</f>
        <v>10.3124</v>
      </c>
      <c r="AA2953" s="540" t="e">
        <f>IF(AND(C2952&lt;=F2948,F2948&lt;&gt;""),VLOOKUP(VALUE(E2929&amp;","&amp;C2952),INTEGRANTES!$D$18:$F$235,2,0),"")</f>
        <v>#N/A</v>
      </c>
      <c r="AB2953" s="545" t="e">
        <f t="shared" si="869"/>
        <v>#N/A</v>
      </c>
      <c r="AC2953" s="529"/>
      <c r="AD2953" s="200" t="e">
        <f t="shared" si="870"/>
        <v>#N/A</v>
      </c>
      <c r="AE2953" s="52"/>
      <c r="AF2953" s="52"/>
      <c r="AG2953" s="52"/>
      <c r="AH2953" s="87"/>
      <c r="AI2953" s="87"/>
    </row>
    <row r="2954" spans="1:35" ht="27" hidden="1" customHeight="1" thickBot="1">
      <c r="A2954" s="218" t="e">
        <f>"R"&amp;E2929</f>
        <v>#N/A</v>
      </c>
      <c r="B2954" s="702"/>
      <c r="C2954" s="114">
        <v>5</v>
      </c>
      <c r="D2954" s="194" t="e">
        <f>IF(AND(C2954&lt;=F2948,F2948&lt;&gt;""),VLOOKUP(VALUE(E2929&amp;","&amp;C2954),INTEGRANTES!$D$18:$F$235,2,0),"")</f>
        <v>#N/A</v>
      </c>
      <c r="E2954" s="211" t="e">
        <f>IF(D2954&lt;&gt;"",VLOOKUP(VALUE(E2929&amp;","&amp;C2954),INTEGRANTES!$D$18:$F$235,3,0),"")</f>
        <v>#N/A</v>
      </c>
      <c r="F2954" s="547" t="e">
        <f>IF(D2954="","",SUMIF($I2933:$I2942,D2954,$P2933:$P2942))</f>
        <v>#N/A</v>
      </c>
      <c r="G2954" s="333" t="e">
        <f>IF(D2954="","",SUMIF($I2933:$I2942,D2954,$M2933:$M2942))</f>
        <v>#N/A</v>
      </c>
      <c r="H2954" s="535" t="e">
        <f t="shared" si="866"/>
        <v>#N/A</v>
      </c>
      <c r="I2954" s="212" t="e">
        <f>IF(D2954="","",IF(H2954="NO APORTA","NO",IF(H2954=MAX($H2950:$H2955),"SI","NO")))</f>
        <v>#N/A</v>
      </c>
      <c r="J2954" s="213" t="e">
        <f t="shared" si="867"/>
        <v>#N/A</v>
      </c>
      <c r="K2954" s="200" t="e">
        <f t="shared" si="868"/>
        <v>#N/A</v>
      </c>
      <c r="L2954" s="721"/>
      <c r="M2954" s="715" t="s">
        <v>116</v>
      </c>
      <c r="N2954" s="716"/>
      <c r="O2954" s="556" t="str">
        <f>PORCREQUERIDO*100&amp;"% PMFO DEL MÓDULO"</f>
        <v>50% PMFO DEL MÓDULO</v>
      </c>
      <c r="P2954" s="715" t="s">
        <v>118</v>
      </c>
      <c r="Q2954" s="728"/>
      <c r="R2954" s="458"/>
      <c r="S2954" s="459"/>
      <c r="T2954" s="460"/>
      <c r="U2954" s="219"/>
      <c r="V2954" s="464"/>
      <c r="Y2954" s="414"/>
      <c r="AA2954" s="540" t="e">
        <f>IF(AND(C2953&lt;=F2948,F2948&lt;&gt;""),VLOOKUP(VALUE(E2929&amp;","&amp;C2953),INTEGRANTES!$D$18:$F$235,2,0),"")</f>
        <v>#N/A</v>
      </c>
      <c r="AB2954" s="545" t="e">
        <f t="shared" si="869"/>
        <v>#N/A</v>
      </c>
      <c r="AC2954" s="529"/>
      <c r="AD2954" s="200" t="e">
        <f t="shared" si="870"/>
        <v>#N/A</v>
      </c>
      <c r="AE2954" s="52"/>
      <c r="AF2954" s="52"/>
      <c r="AG2954" s="52"/>
      <c r="AH2954" s="87"/>
      <c r="AI2954" s="87"/>
    </row>
    <row r="2955" spans="1:35" ht="16.5" hidden="1" thickBot="1">
      <c r="A2955" s="218" t="e">
        <f>"S"&amp;E2929</f>
        <v>#N/A</v>
      </c>
      <c r="B2955" s="702"/>
      <c r="C2955" s="215">
        <v>6</v>
      </c>
      <c r="D2955" s="216" t="e">
        <f>IF(AND(C2955&lt;=F2948,F2948&lt;&gt;""),VLOOKUP(VALUE(E2929&amp;","&amp;C2955),INTEGRANTES!$D$18:$F$235,2,0),"")</f>
        <v>#N/A</v>
      </c>
      <c r="E2955" s="217" t="e">
        <f>IF(D2955&lt;&gt;"",VLOOKUP(VALUE(E2929&amp;","&amp;C2955),INTEGRANTES!$D$18:$F$235,3,0),"")</f>
        <v>#N/A</v>
      </c>
      <c r="F2955" s="548" t="e">
        <f>IF(D2955="","",SUMIF($I2933:$I2942,D2955,$P2933:$P2942))</f>
        <v>#N/A</v>
      </c>
      <c r="G2955" s="334" t="e">
        <f>IF(D2955="","",SUMIF($I2933:$I2942,D2955,$M2933:$M2942))</f>
        <v>#N/A</v>
      </c>
      <c r="H2955" s="536" t="e">
        <f t="shared" si="866"/>
        <v>#N/A</v>
      </c>
      <c r="I2955" s="214" t="e">
        <f>IF(D2955="","",IF(H2955="NO APORTA","NO",IF(H2955=MAX($H2950:$H2955),"SI","NO")))</f>
        <v>#N/A</v>
      </c>
      <c r="J2955" s="213" t="e">
        <f t="shared" si="867"/>
        <v>#N/A</v>
      </c>
      <c r="K2955" s="200" t="e">
        <f t="shared" si="868"/>
        <v>#N/A</v>
      </c>
      <c r="L2955" s="721"/>
      <c r="M2955" s="729">
        <f>NUMMOD</f>
        <v>1</v>
      </c>
      <c r="N2955" s="730"/>
      <c r="O2955" s="443">
        <f>IF(M2955="","",ROUND(VLOOKUP(M2955,PRESUPUESTOS!$B$16:$H$16,7,FALSE),3))</f>
        <v>25.780999999999999</v>
      </c>
      <c r="P2955" s="713">
        <f>IF(OR(COUNTIF(P2933:P2942,"")&gt;=10,Q2949&lt;NUMMINCONT,OR(T2947="NO CUMPLE",T2947="VERIFICAR")),0,ROUND((SUM(P2933:P2942)/SUM(M2933:M2942)),3))</f>
        <v>0</v>
      </c>
      <c r="Q2955" s="714"/>
      <c r="R2955" s="458"/>
      <c r="S2955" s="459"/>
      <c r="T2955" s="460"/>
      <c r="U2955" s="219"/>
      <c r="V2955" s="464"/>
      <c r="Y2955" s="532" t="s">
        <v>343</v>
      </c>
      <c r="AA2955" s="540" t="e">
        <f>IF(AND(C2954&lt;=F2948,F2948&lt;&gt;""),VLOOKUP(VALUE(E2929&amp;","&amp;C2954),INTEGRANTES!$D$18:$F$235,2,0),"")</f>
        <v>#N/A</v>
      </c>
      <c r="AB2955" s="545" t="e">
        <f t="shared" si="869"/>
        <v>#N/A</v>
      </c>
      <c r="AC2955" s="529"/>
      <c r="AD2955" s="200" t="e">
        <f t="shared" si="870"/>
        <v>#N/A</v>
      </c>
      <c r="AE2955" s="52"/>
      <c r="AF2955" s="52"/>
      <c r="AG2955" s="52"/>
      <c r="AH2955" s="87"/>
      <c r="AI2955" s="87"/>
    </row>
    <row r="2956" spans="1:35" ht="16.5" hidden="1" customHeight="1" thickBot="1">
      <c r="A2956" s="218" t="e">
        <f>"T"&amp;E2929</f>
        <v>#N/A</v>
      </c>
      <c r="B2956" s="703"/>
      <c r="C2956" s="719"/>
      <c r="D2956" s="719"/>
      <c r="E2956" s="719"/>
      <c r="F2956" s="719"/>
      <c r="G2956" s="719"/>
      <c r="H2956" s="719" t="s">
        <v>110</v>
      </c>
      <c r="I2956" s="719"/>
      <c r="J2956" s="719"/>
      <c r="K2956" s="201" t="str">
        <f>IF(COUNTIF(K2950:K2955,"")=6,"",IF(COUNTIF(K2950:K2955,"CUMPLE")&gt;0,"CUMPLE","NO CUMPLE"))</f>
        <v>NO CUMPLE</v>
      </c>
      <c r="L2956" s="754"/>
      <c r="M2956" s="755"/>
      <c r="N2956" s="755"/>
      <c r="O2956" s="755"/>
      <c r="P2956" s="755"/>
      <c r="Q2956" s="756"/>
      <c r="R2956" s="461"/>
      <c r="S2956" s="462"/>
      <c r="T2956" s="463"/>
      <c r="U2956" s="219"/>
      <c r="V2956" s="464"/>
      <c r="Y2956" s="549" t="e">
        <f>IF(Y2950="NO APLICA","NO APLICA",IF(COUNTIF(AD2951:AD2956,"CUMPLE")&gt;0,"CUMPLE","NO CUMPLE"))</f>
        <v>#N/A</v>
      </c>
      <c r="AA2956" s="541" t="e">
        <f>IF(AND(C2955&lt;=F2948,F2948&lt;&gt;""),VLOOKUP(VALUE(E2929&amp;","&amp;C2955),INTEGRANTES!$D$18:$F$235,2,0),"")</f>
        <v>#N/A</v>
      </c>
      <c r="AB2956" s="546" t="e">
        <f t="shared" si="869"/>
        <v>#N/A</v>
      </c>
      <c r="AC2956" s="543"/>
      <c r="AD2956" s="201" t="e">
        <f t="shared" si="870"/>
        <v>#N/A</v>
      </c>
      <c r="AE2956" s="52"/>
      <c r="AF2956" s="52"/>
      <c r="AG2956" s="52"/>
      <c r="AH2956" s="87"/>
      <c r="AI2956" s="87"/>
    </row>
    <row r="2957" spans="1:35" hidden="1">
      <c r="AH2957" s="87"/>
      <c r="AI2957" s="87"/>
    </row>
    <row r="2958" spans="1:35" hidden="1">
      <c r="AH2958" s="87"/>
      <c r="AI2958" s="87"/>
    </row>
    <row r="2959" spans="1:35" ht="24" hidden="1" thickBot="1">
      <c r="A2959" s="61">
        <v>99</v>
      </c>
      <c r="B2959" s="704" t="s">
        <v>51</v>
      </c>
      <c r="C2959" s="704"/>
      <c r="D2959" s="704"/>
      <c r="E2959" s="62" t="e">
        <f>VLOOKUP(A2959,PROPONENTES!$B$19:$E$218,2,FALSE)</f>
        <v>#N/A</v>
      </c>
      <c r="F2959" s="63" t="e">
        <f>VLOOKUP(A2959,PROPONENTES!$B$19:$E$218,3,FALSE)</f>
        <v>#N/A</v>
      </c>
      <c r="G2959" s="64"/>
      <c r="H2959" s="64"/>
      <c r="I2959" s="63"/>
      <c r="J2959" s="63"/>
      <c r="K2959" s="65"/>
      <c r="L2959" s="65"/>
      <c r="M2959" s="64"/>
      <c r="N2959" s="64"/>
      <c r="O2959" s="66"/>
      <c r="P2959" s="66"/>
      <c r="Q2959" s="66"/>
      <c r="R2959" s="66"/>
      <c r="S2959" s="67"/>
      <c r="T2959" s="68"/>
      <c r="U2959" s="68"/>
      <c r="AC2959" s="68"/>
      <c r="AD2959" s="68"/>
      <c r="AE2959" s="68"/>
      <c r="AF2959" s="68"/>
      <c r="AG2959" s="68"/>
      <c r="AH2959" s="87"/>
      <c r="AI2959" s="87"/>
    </row>
    <row r="2960" spans="1:35" ht="15.75" hidden="1" customHeight="1">
      <c r="A2960" s="44"/>
      <c r="B2960" s="709" t="s">
        <v>59</v>
      </c>
      <c r="C2960" s="552" t="s">
        <v>60</v>
      </c>
      <c r="D2960" s="70" t="s">
        <v>17</v>
      </c>
      <c r="E2960" s="70"/>
      <c r="F2960" s="70" t="s">
        <v>61</v>
      </c>
      <c r="G2960" s="71"/>
      <c r="H2960" s="699" t="s">
        <v>62</v>
      </c>
      <c r="I2960" s="699" t="s">
        <v>18</v>
      </c>
      <c r="J2960" s="699" t="s">
        <v>63</v>
      </c>
      <c r="K2960" s="699" t="s">
        <v>64</v>
      </c>
      <c r="L2960" s="699" t="s">
        <v>65</v>
      </c>
      <c r="M2960" s="743" t="s">
        <v>66</v>
      </c>
      <c r="N2960" s="699" t="s">
        <v>282</v>
      </c>
      <c r="O2960" s="745" t="s">
        <v>67</v>
      </c>
      <c r="P2960" s="746"/>
      <c r="Q2960" s="102" t="s">
        <v>75</v>
      </c>
      <c r="R2960" s="731" t="s">
        <v>22</v>
      </c>
      <c r="S2960" s="732"/>
      <c r="T2960" s="733"/>
      <c r="U2960" s="712" t="s">
        <v>298</v>
      </c>
      <c r="W2960" s="690" t="s">
        <v>268</v>
      </c>
      <c r="X2960" s="691"/>
      <c r="Y2960" s="692"/>
      <c r="Z2960" s="428"/>
      <c r="AA2960" s="697" t="s">
        <v>315</v>
      </c>
      <c r="AB2960" s="695" t="s">
        <v>322</v>
      </c>
      <c r="AC2960" s="49"/>
      <c r="AD2960" s="690" t="s">
        <v>297</v>
      </c>
      <c r="AE2960" s="691"/>
      <c r="AF2960" s="692"/>
      <c r="AG2960" s="49"/>
      <c r="AH2960" s="87"/>
      <c r="AI2960" s="87"/>
    </row>
    <row r="2961" spans="1:35" ht="72" hidden="1">
      <c r="A2961" s="44"/>
      <c r="B2961" s="710"/>
      <c r="C2961" s="553" t="s">
        <v>68</v>
      </c>
      <c r="D2961" s="73" t="s">
        <v>3</v>
      </c>
      <c r="E2961" s="73" t="s">
        <v>19</v>
      </c>
      <c r="F2961" s="73" t="s">
        <v>69</v>
      </c>
      <c r="G2961" s="74" t="s">
        <v>70</v>
      </c>
      <c r="H2961" s="700"/>
      <c r="I2961" s="700"/>
      <c r="J2961" s="700"/>
      <c r="K2961" s="700"/>
      <c r="L2961" s="700"/>
      <c r="M2961" s="744"/>
      <c r="N2961" s="700"/>
      <c r="O2961" s="553" t="s">
        <v>279</v>
      </c>
      <c r="P2961" s="73" t="s">
        <v>88</v>
      </c>
      <c r="Q2961" s="555" t="s">
        <v>76</v>
      </c>
      <c r="R2961" s="734"/>
      <c r="S2961" s="735"/>
      <c r="T2961" s="736"/>
      <c r="U2961" s="712"/>
      <c r="W2961" s="429" t="s">
        <v>269</v>
      </c>
      <c r="X2961" s="457" t="s">
        <v>278</v>
      </c>
      <c r="Y2961" s="430" t="s">
        <v>324</v>
      </c>
      <c r="Z2961" s="428"/>
      <c r="AA2961" s="698"/>
      <c r="AB2961" s="696"/>
      <c r="AC2961" s="49"/>
      <c r="AD2961" s="429" t="s">
        <v>292</v>
      </c>
      <c r="AE2961" s="431" t="s">
        <v>300</v>
      </c>
      <c r="AF2961" s="468" t="s">
        <v>301</v>
      </c>
      <c r="AG2961" s="49"/>
      <c r="AH2961" s="87"/>
      <c r="AI2961" s="87"/>
    </row>
    <row r="2962" spans="1:35" hidden="1">
      <c r="A2962" s="44"/>
      <c r="B2962" s="76"/>
      <c r="C2962" s="77"/>
      <c r="D2962" s="77"/>
      <c r="E2962" s="77"/>
      <c r="F2962" s="77"/>
      <c r="G2962" s="77"/>
      <c r="H2962" s="77"/>
      <c r="I2962" s="77"/>
      <c r="J2962" s="77"/>
      <c r="K2962" s="77"/>
      <c r="L2962" s="77"/>
      <c r="M2962" s="77"/>
      <c r="N2962" s="77"/>
      <c r="O2962" s="77"/>
      <c r="P2962" s="77"/>
      <c r="Q2962" s="77"/>
      <c r="R2962" s="77"/>
      <c r="S2962" s="78"/>
      <c r="T2962" s="79"/>
      <c r="U2962" s="109"/>
      <c r="V2962" s="49"/>
      <c r="W2962" s="432"/>
      <c r="X2962" s="454"/>
      <c r="Y2962" s="433"/>
      <c r="Z2962" s="6"/>
      <c r="AA2962" s="500"/>
      <c r="AB2962" s="562"/>
      <c r="AC2962" s="49"/>
      <c r="AD2962" s="210"/>
      <c r="AE2962" s="434"/>
      <c r="AF2962" s="435"/>
      <c r="AG2962" s="49"/>
      <c r="AH2962" s="87"/>
      <c r="AI2962" s="87"/>
    </row>
    <row r="2963" spans="1:35" hidden="1">
      <c r="A2963" s="80" t="e">
        <f>"A"&amp;E2959</f>
        <v>#N/A</v>
      </c>
      <c r="B2963" s="81">
        <v>1</v>
      </c>
      <c r="C2963" s="82"/>
      <c r="D2963" s="82"/>
      <c r="E2963" s="82"/>
      <c r="F2963" s="82"/>
      <c r="G2963" s="83"/>
      <c r="H2963" s="83"/>
      <c r="I2963" s="84"/>
      <c r="J2963" s="85"/>
      <c r="K2963" s="382"/>
      <c r="L2963" s="85"/>
      <c r="M2963" s="332" t="str">
        <f t="shared" ref="M2963:M2972" si="871">IF(OR(J2963="",L2963="",H2963="NO"),"",IF(OR(J2963&gt;$P$17,J2963&lt;$O$17,L2963&gt;$P$17,AND(J2963&lt;$O$17,L2963&lt;$O$17)),"FUERA DE RANGO",IF(OR(K2963="---",K2963=""),IF(J2963&gt;=$O$17,ROUND((L2963-J2963+1)/360*12,3),ROUND((L2963-$O$17+1)/360*12,3)),IF(J2963&gt;=$O$17,ROUND((L2963-J2963+1)/360*12-ROUND(K2963,3),3),ROUND((L2963-$O$17+1)/360*12-ROUND(K2963,3),3)))))</f>
        <v/>
      </c>
      <c r="N2963" s="86"/>
      <c r="O2963" s="453" t="str">
        <f>IF(OR(G2963="",N2963=""),"",N2963*G2963)</f>
        <v/>
      </c>
      <c r="P2963" s="538" t="str">
        <f>IF(OR(H2963="",M2963="FUERA DE RANGO"),"",IF(OR(L2963&lt;$O$17,L2963&gt;$P$17,L2963="",H2963="NO"),"",IF(OR(N2963="",O2963=""),"",ROUND(O2963,3))))</f>
        <v/>
      </c>
      <c r="Q2963" s="539" t="str">
        <f t="shared" ref="Q2963:Q2972" si="872">IF(AND(H2963="SI",P2963&lt;&gt;""),ROUND(P2963/M2963,3),"")</f>
        <v/>
      </c>
      <c r="R2963" s="737"/>
      <c r="S2963" s="738"/>
      <c r="T2963" s="739"/>
      <c r="U2963" s="470"/>
      <c r="V2963" s="165"/>
      <c r="W2963" s="446"/>
      <c r="X2963" s="456"/>
      <c r="Y2963" s="436"/>
      <c r="Z2963" s="437"/>
      <c r="AA2963" s="560"/>
      <c r="AB2963" s="561"/>
      <c r="AC2963" s="87"/>
      <c r="AD2963" s="466"/>
      <c r="AE2963" s="456"/>
      <c r="AF2963" s="467"/>
      <c r="AG2963" s="87"/>
      <c r="AH2963" s="87"/>
      <c r="AI2963" s="87"/>
    </row>
    <row r="2964" spans="1:35" hidden="1">
      <c r="A2964" s="80" t="e">
        <f>"B"&amp;E2959</f>
        <v>#N/A</v>
      </c>
      <c r="B2964" s="81">
        <v>2</v>
      </c>
      <c r="C2964" s="106"/>
      <c r="D2964" s="106"/>
      <c r="E2964" s="106"/>
      <c r="F2964" s="106"/>
      <c r="G2964" s="83"/>
      <c r="H2964" s="83"/>
      <c r="I2964" s="84"/>
      <c r="J2964" s="85"/>
      <c r="K2964" s="382"/>
      <c r="L2964" s="85"/>
      <c r="M2964" s="332" t="str">
        <f t="shared" si="871"/>
        <v/>
      </c>
      <c r="N2964" s="86"/>
      <c r="O2964" s="453" t="str">
        <f t="shared" ref="O2964:O2972" si="873">IF(OR(G2964="",N2964=""),"",N2964*G2964)</f>
        <v/>
      </c>
      <c r="P2964" s="538" t="str">
        <f t="shared" ref="P2964:P2972" si="874">IF(OR(H2964="",M2964="FUERA DE RANGO"),"",IF(OR(L2964&lt;$O$17,L2964&gt;$P$17,L2964="",H2964="NO"),"",IF(OR(N2964="",O2964=""),"",ROUND(O2964,3))))</f>
        <v/>
      </c>
      <c r="Q2964" s="539" t="str">
        <f t="shared" si="872"/>
        <v/>
      </c>
      <c r="R2964" s="740"/>
      <c r="S2964" s="741"/>
      <c r="T2964" s="742"/>
      <c r="U2964" s="471"/>
      <c r="V2964" s="165"/>
      <c r="W2964" s="446"/>
      <c r="X2964" s="456"/>
      <c r="Y2964" s="436"/>
      <c r="Z2964" s="437"/>
      <c r="AA2964" s="560"/>
      <c r="AB2964" s="561"/>
      <c r="AC2964" s="87"/>
      <c r="AD2964" s="466"/>
      <c r="AE2964" s="456"/>
      <c r="AF2964" s="467"/>
      <c r="AG2964" s="87"/>
      <c r="AH2964" s="87"/>
      <c r="AI2964" s="87"/>
    </row>
    <row r="2965" spans="1:35" hidden="1">
      <c r="A2965" s="80" t="e">
        <f>"C"&amp;E2959</f>
        <v>#N/A</v>
      </c>
      <c r="B2965" s="88">
        <v>3</v>
      </c>
      <c r="C2965" s="82"/>
      <c r="D2965" s="82"/>
      <c r="E2965" s="82"/>
      <c r="F2965" s="82"/>
      <c r="G2965" s="83"/>
      <c r="H2965" s="83"/>
      <c r="I2965" s="84"/>
      <c r="J2965" s="85"/>
      <c r="K2965" s="382"/>
      <c r="L2965" s="85"/>
      <c r="M2965" s="332" t="str">
        <f t="shared" si="871"/>
        <v/>
      </c>
      <c r="N2965" s="86"/>
      <c r="O2965" s="453" t="str">
        <f t="shared" si="873"/>
        <v/>
      </c>
      <c r="P2965" s="538" t="str">
        <f t="shared" si="874"/>
        <v/>
      </c>
      <c r="Q2965" s="539" t="str">
        <f t="shared" si="872"/>
        <v/>
      </c>
      <c r="R2965" s="706"/>
      <c r="S2965" s="707"/>
      <c r="T2965" s="708"/>
      <c r="U2965" s="472"/>
      <c r="V2965" s="166"/>
      <c r="W2965" s="446"/>
      <c r="X2965" s="456"/>
      <c r="Y2965" s="436"/>
      <c r="Z2965" s="437"/>
      <c r="AA2965" s="560"/>
      <c r="AB2965" s="561"/>
      <c r="AC2965" s="87"/>
      <c r="AD2965" s="466"/>
      <c r="AE2965" s="456"/>
      <c r="AF2965" s="467"/>
      <c r="AG2965" s="87"/>
      <c r="AH2965" s="87"/>
      <c r="AI2965" s="87"/>
    </row>
    <row r="2966" spans="1:35" hidden="1">
      <c r="A2966" s="80" t="e">
        <f>"D"&amp;E2959</f>
        <v>#N/A</v>
      </c>
      <c r="B2966" s="105">
        <v>4</v>
      </c>
      <c r="C2966" s="107"/>
      <c r="D2966" s="107"/>
      <c r="E2966" s="107"/>
      <c r="F2966" s="107"/>
      <c r="G2966" s="83"/>
      <c r="H2966" s="83"/>
      <c r="I2966" s="84"/>
      <c r="J2966" s="85"/>
      <c r="K2966" s="382"/>
      <c r="L2966" s="85"/>
      <c r="M2966" s="332" t="str">
        <f t="shared" si="871"/>
        <v/>
      </c>
      <c r="N2966" s="86"/>
      <c r="O2966" s="453" t="str">
        <f t="shared" si="873"/>
        <v/>
      </c>
      <c r="P2966" s="538" t="str">
        <f t="shared" si="874"/>
        <v/>
      </c>
      <c r="Q2966" s="539" t="str">
        <f t="shared" si="872"/>
        <v/>
      </c>
      <c r="R2966" s="706"/>
      <c r="S2966" s="707"/>
      <c r="T2966" s="708"/>
      <c r="U2966" s="472"/>
      <c r="V2966" s="166"/>
      <c r="W2966" s="446"/>
      <c r="X2966" s="456"/>
      <c r="Y2966" s="436"/>
      <c r="Z2966" s="437"/>
      <c r="AA2966" s="560"/>
      <c r="AB2966" s="561"/>
      <c r="AC2966" s="87"/>
      <c r="AD2966" s="466"/>
      <c r="AE2966" s="456"/>
      <c r="AF2966" s="467"/>
      <c r="AG2966" s="87"/>
      <c r="AH2966" s="87"/>
      <c r="AI2966" s="87"/>
    </row>
    <row r="2967" spans="1:35" hidden="1">
      <c r="A2967" s="80" t="e">
        <f>"E"&amp;E2959</f>
        <v>#N/A</v>
      </c>
      <c r="B2967" s="105">
        <v>5</v>
      </c>
      <c r="C2967" s="107"/>
      <c r="D2967" s="107"/>
      <c r="E2967" s="107"/>
      <c r="F2967" s="107"/>
      <c r="G2967" s="83"/>
      <c r="H2967" s="83"/>
      <c r="I2967" s="84"/>
      <c r="J2967" s="85"/>
      <c r="K2967" s="382"/>
      <c r="L2967" s="85"/>
      <c r="M2967" s="332" t="str">
        <f t="shared" si="871"/>
        <v/>
      </c>
      <c r="N2967" s="86"/>
      <c r="O2967" s="453" t="str">
        <f t="shared" si="873"/>
        <v/>
      </c>
      <c r="P2967" s="538" t="str">
        <f t="shared" si="874"/>
        <v/>
      </c>
      <c r="Q2967" s="539" t="str">
        <f t="shared" si="872"/>
        <v/>
      </c>
      <c r="R2967" s="706"/>
      <c r="S2967" s="707"/>
      <c r="T2967" s="708"/>
      <c r="U2967" s="472"/>
      <c r="V2967" s="167"/>
      <c r="W2967" s="446"/>
      <c r="X2967" s="456"/>
      <c r="Y2967" s="436"/>
      <c r="Z2967" s="437"/>
      <c r="AA2967" s="560"/>
      <c r="AB2967" s="561"/>
      <c r="AC2967" s="87"/>
      <c r="AD2967" s="466"/>
      <c r="AE2967" s="456"/>
      <c r="AF2967" s="467"/>
      <c r="AG2967" s="87"/>
      <c r="AH2967" s="87"/>
      <c r="AI2967" s="87"/>
    </row>
    <row r="2968" spans="1:35" hidden="1">
      <c r="A2968" s="80" t="e">
        <f>"F"&amp;E2959</f>
        <v>#N/A</v>
      </c>
      <c r="B2968" s="105">
        <v>6</v>
      </c>
      <c r="C2968" s="107"/>
      <c r="D2968" s="107"/>
      <c r="E2968" s="107"/>
      <c r="F2968" s="107"/>
      <c r="G2968" s="83"/>
      <c r="H2968" s="83"/>
      <c r="I2968" s="84"/>
      <c r="J2968" s="85"/>
      <c r="K2968" s="382"/>
      <c r="L2968" s="85"/>
      <c r="M2968" s="332" t="str">
        <f t="shared" si="871"/>
        <v/>
      </c>
      <c r="N2968" s="86"/>
      <c r="O2968" s="453" t="str">
        <f t="shared" si="873"/>
        <v/>
      </c>
      <c r="P2968" s="538" t="str">
        <f t="shared" si="874"/>
        <v/>
      </c>
      <c r="Q2968" s="539" t="str">
        <f t="shared" si="872"/>
        <v/>
      </c>
      <c r="R2968" s="706"/>
      <c r="S2968" s="707"/>
      <c r="T2968" s="708"/>
      <c r="U2968" s="472"/>
      <c r="V2968" s="167"/>
      <c r="W2968" s="446"/>
      <c r="X2968" s="456"/>
      <c r="Y2968" s="436"/>
      <c r="Z2968" s="437"/>
      <c r="AA2968" s="560"/>
      <c r="AB2968" s="561"/>
      <c r="AC2968" s="87"/>
      <c r="AD2968" s="466"/>
      <c r="AE2968" s="456"/>
      <c r="AF2968" s="467"/>
      <c r="AG2968" s="87"/>
      <c r="AH2968" s="87"/>
      <c r="AI2968" s="87"/>
    </row>
    <row r="2969" spans="1:35" hidden="1">
      <c r="A2969" s="80" t="e">
        <f>"G"&amp;E2959</f>
        <v>#N/A</v>
      </c>
      <c r="B2969" s="105">
        <v>7</v>
      </c>
      <c r="C2969" s="107"/>
      <c r="D2969" s="107"/>
      <c r="E2969" s="107"/>
      <c r="F2969" s="107"/>
      <c r="G2969" s="83"/>
      <c r="H2969" s="83"/>
      <c r="I2969" s="84"/>
      <c r="J2969" s="85"/>
      <c r="K2969" s="382"/>
      <c r="L2969" s="85"/>
      <c r="M2969" s="332" t="str">
        <f t="shared" si="871"/>
        <v/>
      </c>
      <c r="N2969" s="86"/>
      <c r="O2969" s="86" t="str">
        <f t="shared" si="873"/>
        <v/>
      </c>
      <c r="P2969" s="538" t="str">
        <f t="shared" si="874"/>
        <v/>
      </c>
      <c r="Q2969" s="539" t="str">
        <f t="shared" si="872"/>
        <v/>
      </c>
      <c r="R2969" s="706"/>
      <c r="S2969" s="707"/>
      <c r="T2969" s="708"/>
      <c r="U2969" s="472"/>
      <c r="V2969" s="167"/>
      <c r="W2969" s="446"/>
      <c r="X2969" s="456"/>
      <c r="Y2969" s="436"/>
      <c r="Z2969" s="437"/>
      <c r="AA2969" s="560"/>
      <c r="AB2969" s="561"/>
      <c r="AC2969" s="87"/>
      <c r="AD2969" s="466"/>
      <c r="AE2969" s="456"/>
      <c r="AF2969" s="467"/>
      <c r="AG2969" s="87"/>
      <c r="AH2969" s="87"/>
      <c r="AI2969" s="87"/>
    </row>
    <row r="2970" spans="1:35" hidden="1">
      <c r="A2970" s="80" t="e">
        <f>"H"&amp;E2959</f>
        <v>#N/A</v>
      </c>
      <c r="B2970" s="105">
        <v>8</v>
      </c>
      <c r="C2970" s="107"/>
      <c r="D2970" s="107"/>
      <c r="E2970" s="107"/>
      <c r="F2970" s="107"/>
      <c r="G2970" s="83"/>
      <c r="H2970" s="83"/>
      <c r="I2970" s="84"/>
      <c r="J2970" s="85"/>
      <c r="K2970" s="382"/>
      <c r="L2970" s="85"/>
      <c r="M2970" s="332" t="str">
        <f t="shared" si="871"/>
        <v/>
      </c>
      <c r="N2970" s="453"/>
      <c r="O2970" s="86" t="str">
        <f t="shared" si="873"/>
        <v/>
      </c>
      <c r="P2970" s="538" t="str">
        <f t="shared" si="874"/>
        <v/>
      </c>
      <c r="Q2970" s="539" t="str">
        <f t="shared" si="872"/>
        <v/>
      </c>
      <c r="R2970" s="706"/>
      <c r="S2970" s="707"/>
      <c r="T2970" s="708"/>
      <c r="U2970" s="472"/>
      <c r="V2970" s="167"/>
      <c r="W2970" s="446"/>
      <c r="X2970" s="456"/>
      <c r="Y2970" s="436"/>
      <c r="Z2970" s="437"/>
      <c r="AA2970" s="560"/>
      <c r="AB2970" s="561"/>
      <c r="AC2970" s="87"/>
      <c r="AD2970" s="466"/>
      <c r="AE2970" s="456"/>
      <c r="AF2970" s="467"/>
      <c r="AG2970" s="87"/>
      <c r="AH2970" s="87"/>
      <c r="AI2970" s="87"/>
    </row>
    <row r="2971" spans="1:35" hidden="1">
      <c r="A2971" s="80" t="e">
        <f>"I"&amp;E2959</f>
        <v>#N/A</v>
      </c>
      <c r="B2971" s="105">
        <v>9</v>
      </c>
      <c r="C2971" s="107"/>
      <c r="D2971" s="107"/>
      <c r="E2971" s="107"/>
      <c r="F2971" s="107"/>
      <c r="G2971" s="83"/>
      <c r="H2971" s="83"/>
      <c r="I2971" s="84"/>
      <c r="J2971" s="85"/>
      <c r="K2971" s="382"/>
      <c r="L2971" s="85"/>
      <c r="M2971" s="332" t="str">
        <f t="shared" si="871"/>
        <v/>
      </c>
      <c r="N2971" s="453"/>
      <c r="O2971" s="86" t="str">
        <f t="shared" si="873"/>
        <v/>
      </c>
      <c r="P2971" s="538" t="str">
        <f t="shared" si="874"/>
        <v/>
      </c>
      <c r="Q2971" s="539" t="str">
        <f t="shared" si="872"/>
        <v/>
      </c>
      <c r="R2971" s="706"/>
      <c r="S2971" s="707"/>
      <c r="T2971" s="708"/>
      <c r="U2971" s="472"/>
      <c r="V2971" s="167"/>
      <c r="W2971" s="446"/>
      <c r="X2971" s="456"/>
      <c r="Y2971" s="436"/>
      <c r="Z2971" s="437"/>
      <c r="AA2971" s="560"/>
      <c r="AB2971" s="561"/>
      <c r="AC2971" s="87"/>
      <c r="AD2971" s="466"/>
      <c r="AE2971" s="456"/>
      <c r="AF2971" s="467"/>
      <c r="AG2971" s="87"/>
      <c r="AH2971" s="87"/>
      <c r="AI2971" s="87"/>
    </row>
    <row r="2972" spans="1:35" hidden="1">
      <c r="A2972" s="80" t="e">
        <f>"J"&amp;E2959</f>
        <v>#N/A</v>
      </c>
      <c r="B2972" s="105">
        <v>10</v>
      </c>
      <c r="C2972" s="107"/>
      <c r="D2972" s="107"/>
      <c r="E2972" s="107"/>
      <c r="F2972" s="107"/>
      <c r="G2972" s="83"/>
      <c r="H2972" s="83"/>
      <c r="I2972" s="84"/>
      <c r="J2972" s="85"/>
      <c r="K2972" s="382"/>
      <c r="L2972" s="85"/>
      <c r="M2972" s="332" t="str">
        <f t="shared" si="871"/>
        <v/>
      </c>
      <c r="N2972" s="453"/>
      <c r="O2972" s="86" t="str">
        <f t="shared" si="873"/>
        <v/>
      </c>
      <c r="P2972" s="538" t="str">
        <f t="shared" si="874"/>
        <v/>
      </c>
      <c r="Q2972" s="539" t="str">
        <f t="shared" si="872"/>
        <v/>
      </c>
      <c r="R2972" s="706"/>
      <c r="S2972" s="707"/>
      <c r="T2972" s="708"/>
      <c r="U2972" s="472"/>
      <c r="V2972" s="167"/>
      <c r="W2972" s="446"/>
      <c r="X2972" s="456"/>
      <c r="Y2972" s="436"/>
      <c r="Z2972" s="437"/>
      <c r="AA2972" s="560"/>
      <c r="AB2972" s="561"/>
      <c r="AC2972" s="87"/>
      <c r="AD2972" s="466"/>
      <c r="AE2972" s="456"/>
      <c r="AF2972" s="467"/>
      <c r="AG2972" s="87"/>
      <c r="AH2972" s="87"/>
      <c r="AI2972" s="87"/>
    </row>
    <row r="2973" spans="1:35" ht="16.5" hidden="1" thickBot="1">
      <c r="A2973" s="44"/>
      <c r="B2973" s="89"/>
      <c r="C2973" s="90"/>
      <c r="D2973" s="90"/>
      <c r="E2973" s="90"/>
      <c r="F2973" s="90"/>
      <c r="G2973" s="90"/>
      <c r="H2973" s="90"/>
      <c r="I2973" s="90"/>
      <c r="J2973" s="90"/>
      <c r="K2973" s="90"/>
      <c r="L2973" s="90"/>
      <c r="M2973" s="90"/>
      <c r="N2973" s="90"/>
      <c r="O2973" s="90"/>
      <c r="P2973" s="90"/>
      <c r="Q2973" s="90"/>
      <c r="R2973" s="90"/>
      <c r="S2973" s="91"/>
      <c r="T2973" s="92"/>
      <c r="U2973" s="473"/>
      <c r="W2973" s="438"/>
      <c r="X2973" s="455"/>
      <c r="Y2973" s="439"/>
      <c r="Z2973" s="437"/>
      <c r="AA2973" s="530"/>
      <c r="AB2973" s="563"/>
      <c r="AC2973" s="87"/>
      <c r="AD2973" s="440"/>
      <c r="AE2973" s="441"/>
      <c r="AF2973" s="442"/>
      <c r="AG2973" s="49"/>
      <c r="AH2973" s="87"/>
      <c r="AI2973" s="87"/>
    </row>
    <row r="2974" spans="1:35" ht="16.5" hidden="1" thickBot="1">
      <c r="A2974" s="93"/>
      <c r="B2974" s="94"/>
      <c r="C2974" s="96"/>
      <c r="D2974" s="96"/>
      <c r="E2974" s="96"/>
      <c r="F2974" s="96"/>
      <c r="G2974" s="96"/>
      <c r="H2974" s="96"/>
      <c r="I2974" s="96"/>
      <c r="J2974" s="96"/>
      <c r="K2974" s="96"/>
      <c r="L2974" s="96"/>
      <c r="M2974" s="136"/>
      <c r="N2974" s="96"/>
      <c r="O2974" s="96"/>
      <c r="P2974" s="97"/>
      <c r="Q2974" s="97"/>
      <c r="R2974" s="98"/>
      <c r="S2974" s="95"/>
      <c r="T2974" s="99"/>
      <c r="U2974" s="469"/>
      <c r="AC2974" s="58"/>
      <c r="AG2974" s="58"/>
      <c r="AH2974" s="87"/>
      <c r="AI2974" s="87"/>
    </row>
    <row r="2975" spans="1:35" ht="16.5" hidden="1" thickBot="1">
      <c r="B2975" s="101"/>
      <c r="C2975" s="101"/>
      <c r="D2975" s="101"/>
      <c r="E2975" s="101"/>
      <c r="F2975" s="101"/>
      <c r="G2975" s="101"/>
      <c r="H2975" s="101"/>
      <c r="I2975" s="101"/>
      <c r="J2975" s="101"/>
      <c r="K2975" s="101"/>
      <c r="L2975" s="101"/>
      <c r="M2975" s="101"/>
      <c r="N2975" s="101"/>
      <c r="O2975" s="101"/>
      <c r="P2975" s="101"/>
      <c r="Q2975" s="101"/>
      <c r="R2975" s="101"/>
      <c r="S2975" s="101"/>
      <c r="U2975" s="50"/>
      <c r="AH2975" s="87"/>
      <c r="AI2975" s="87"/>
    </row>
    <row r="2976" spans="1:35" ht="16.5" hidden="1" customHeight="1" thickBot="1">
      <c r="A2976" s="44"/>
      <c r="B2976" s="705" t="s">
        <v>74</v>
      </c>
      <c r="C2976" s="705"/>
      <c r="D2976" s="705"/>
      <c r="E2976" s="705"/>
      <c r="F2976" s="705"/>
      <c r="G2976" s="705"/>
      <c r="H2976" s="705"/>
      <c r="I2976" s="705"/>
      <c r="J2976" s="705"/>
      <c r="K2976" s="705"/>
      <c r="L2976" s="705"/>
      <c r="M2976" s="705"/>
      <c r="N2976" s="705"/>
      <c r="O2976" s="705"/>
      <c r="P2976" s="705"/>
      <c r="Q2976" s="705"/>
      <c r="R2976" s="705"/>
      <c r="S2976" s="705"/>
      <c r="T2976" s="705"/>
      <c r="U2976" s="108"/>
      <c r="Y2976" s="532" t="s">
        <v>341</v>
      </c>
      <c r="AC2976" s="49"/>
      <c r="AD2976" s="687" t="s">
        <v>302</v>
      </c>
      <c r="AE2976" s="688"/>
      <c r="AF2976" s="689"/>
      <c r="AG2976" s="49"/>
      <c r="AH2976" s="87"/>
      <c r="AI2976" s="87"/>
    </row>
    <row r="2977" spans="1:35" ht="15.75" hidden="1" customHeight="1" thickBot="1">
      <c r="A2977" s="218" t="e">
        <f>"K"&amp;E2959</f>
        <v>#N/A</v>
      </c>
      <c r="B2977" s="701" t="s">
        <v>71</v>
      </c>
      <c r="C2977" s="751" t="s">
        <v>102</v>
      </c>
      <c r="D2977" s="751"/>
      <c r="E2977" s="751"/>
      <c r="F2977" s="751"/>
      <c r="G2977" s="751"/>
      <c r="H2977" s="751"/>
      <c r="I2977" s="751"/>
      <c r="J2977" s="751"/>
      <c r="K2977" s="751"/>
      <c r="L2977" s="722" t="s">
        <v>100</v>
      </c>
      <c r="M2977" s="747" t="s">
        <v>114</v>
      </c>
      <c r="N2977" s="747"/>
      <c r="O2977" s="747"/>
      <c r="P2977" s="747"/>
      <c r="Q2977" s="748"/>
      <c r="R2977" s="758" t="s">
        <v>280</v>
      </c>
      <c r="S2977" s="748"/>
      <c r="T2977" s="762" t="str">
        <f>IF(COUNTIF(AE2977:AF2977,"VERIFICAR")&gt;0,"VERIFICAR",IF(COUNTIF(AE2977:AF2977,"NO CUMPLE")&gt;0,"NO CUMPLE","CUMPLE"))</f>
        <v>VERIFICAR</v>
      </c>
      <c r="U2977" s="108"/>
      <c r="Y2977" s="533" t="e">
        <f>IF(F2978="","",IF(F2978=1,"INDIVIDUAL","ESTRUCTURA PLURAL"))</f>
        <v>#N/A</v>
      </c>
      <c r="AC2977" s="52"/>
      <c r="AD2977" s="475" t="s">
        <v>303</v>
      </c>
      <c r="AE2977" s="476" t="str">
        <f>IF(COUNTIF(AE2963:AE2972,"")=10,"VERIFICAR",IF(COUNTIF(AE2963:AE2972,"SI")&gt;0,"CUMPLE","NO CUMPLE"))</f>
        <v>VERIFICAR</v>
      </c>
      <c r="AF2977" s="477" t="str">
        <f>IF(COUNTIF(AF2963:AF2972,"")=10,"VERIFICAR",IF(COUNTIF(AF2963:AF2972,"SI")&gt;=$AI$22,"CUMPLE","NO CUMPLE"))</f>
        <v>VERIFICAR</v>
      </c>
      <c r="AG2977" s="52"/>
      <c r="AH2977" s="87"/>
      <c r="AI2977" s="87"/>
    </row>
    <row r="2978" spans="1:35" ht="16.5" hidden="1" customHeight="1" thickBot="1">
      <c r="A2978" s="218" t="e">
        <f>"L"&amp;E2959</f>
        <v>#N/A</v>
      </c>
      <c r="B2978" s="702"/>
      <c r="C2978" s="751" t="s">
        <v>103</v>
      </c>
      <c r="D2978" s="751"/>
      <c r="E2978" s="752"/>
      <c r="F2978" s="557" t="e">
        <f>IF(VLOOKUP(E2959,PROPONENTES!$C$19:$E$218,3,0)="","",VLOOKUP(E2959,PROPONENTES!$C$19:$E$218,3,0))</f>
        <v>#N/A</v>
      </c>
      <c r="G2978" s="753" t="s">
        <v>104</v>
      </c>
      <c r="H2978" s="751"/>
      <c r="I2978" s="715" t="e">
        <f>IF(OR(F2978="",F2978=1),"INTERESADO PERSONA NATURAL O JURIDICA","CONSORCIO O UNION TEMPORAL")</f>
        <v>#N/A</v>
      </c>
      <c r="J2978" s="725"/>
      <c r="K2978" s="728"/>
      <c r="L2978" s="723"/>
      <c r="M2978" s="749"/>
      <c r="N2978" s="749"/>
      <c r="O2978" s="749"/>
      <c r="P2978" s="749"/>
      <c r="Q2978" s="750"/>
      <c r="R2978" s="712"/>
      <c r="S2978" s="750"/>
      <c r="T2978" s="763"/>
      <c r="U2978" s="108"/>
      <c r="Y2978" s="534"/>
      <c r="AA2978" s="52"/>
      <c r="AB2978" s="52"/>
      <c r="AC2978" s="52"/>
      <c r="AG2978" s="52"/>
      <c r="AH2978" s="87"/>
      <c r="AI2978" s="87"/>
    </row>
    <row r="2979" spans="1:35" ht="56.25" hidden="1" customHeight="1" thickBot="1">
      <c r="A2979" s="218" t="e">
        <f>"M"&amp;E2959</f>
        <v>#N/A</v>
      </c>
      <c r="B2979" s="702"/>
      <c r="C2979" s="725" t="s">
        <v>101</v>
      </c>
      <c r="D2979" s="716"/>
      <c r="E2979" s="558" t="s">
        <v>105</v>
      </c>
      <c r="F2979" s="554" t="s">
        <v>87</v>
      </c>
      <c r="G2979" s="553" t="s">
        <v>86</v>
      </c>
      <c r="H2979" s="559" t="s">
        <v>85</v>
      </c>
      <c r="I2979" s="554" t="s">
        <v>252</v>
      </c>
      <c r="J2979" s="553" t="str">
        <f>"¿EL INTEGRANTE TIENE UNA PARTICIPACIÓN DEL "&amp;PORCREQUERIDOINT*100&amp;"%?"</f>
        <v>¿EL INTEGRANTE TIENE UNA PARTICIPACIÓN DEL 60%?</v>
      </c>
      <c r="K2979" s="554" t="s">
        <v>107</v>
      </c>
      <c r="L2979" s="724"/>
      <c r="M2979" s="717" t="s">
        <v>115</v>
      </c>
      <c r="N2979" s="718"/>
      <c r="O2979" s="718"/>
      <c r="P2979" s="718"/>
      <c r="Q2979" s="223">
        <f>IF(AND(H2963="SI",P2963&gt;=0),1,0)+IF(AND(H2964="SI",P2964&gt;=0),1,0)+IF(AND(H2965="SI",P2965&gt;=0),1,0)+IF(AND(H2966="SI",P2966&gt;=0),1,0)+IF(AND(H2967="SI",P2967&gt;=0),1,0)+IF(AND(H2968="SI",P2968&gt;=0),1,0)+IF(AND(H2969="SI",P2969&gt;=0),1,0)+IF(AND(H2970="SI",P2970&gt;=0),1,0)+IF(AND(H2971="SI",P2971&gt;=0),1,0)+IF(AND(H2972="SI",P2972&gt;=0),1,0)</f>
        <v>0</v>
      </c>
      <c r="R2979" s="759"/>
      <c r="S2979" s="761"/>
      <c r="T2979" s="764"/>
      <c r="U2979" s="219"/>
      <c r="V2979" s="464"/>
      <c r="Y2979" s="532" t="s">
        <v>342</v>
      </c>
      <c r="AA2979" s="550" t="s">
        <v>344</v>
      </c>
      <c r="AB2979" s="693" t="s">
        <v>345</v>
      </c>
      <c r="AC2979" s="693" t="s">
        <v>346</v>
      </c>
      <c r="AD2979" s="685" t="s">
        <v>347</v>
      </c>
      <c r="AE2979" s="52"/>
      <c r="AF2979" s="52"/>
      <c r="AG2979" s="52"/>
      <c r="AH2979" s="87"/>
      <c r="AI2979" s="87"/>
    </row>
    <row r="2980" spans="1:35" ht="15.75" hidden="1" customHeight="1" thickBot="1">
      <c r="A2980" s="218" t="e">
        <f>"N"&amp;E2959</f>
        <v>#N/A</v>
      </c>
      <c r="B2980" s="702"/>
      <c r="C2980" s="114">
        <v>1</v>
      </c>
      <c r="D2980" s="194" t="e">
        <f>IF(AND(C2980&lt;=F2978,F2978&gt;1,F2978&lt;&gt;""),VLOOKUP(VALUE(E2959&amp;","&amp;C2980),INTEGRANTES!$D$18:$F$235,2,0),"")</f>
        <v>#N/A</v>
      </c>
      <c r="E2980" s="211" t="e">
        <f>IF(D2980&lt;&gt;"",VLOOKUP(VALUE(E2959&amp;","&amp;C2980),INTEGRANTES!$D$18:$F$235,3,0),"")</f>
        <v>#N/A</v>
      </c>
      <c r="F2980" s="547" t="e">
        <f>IF(D2980="","",SUMIF($I2963:$I2972,D2980,$P2963:$P2972))</f>
        <v>#N/A</v>
      </c>
      <c r="G2980" s="333" t="e">
        <f>IF(D2980="","",SUMIF($I2963:$I2972,D2980,$M2963:$M2972))</f>
        <v>#N/A</v>
      </c>
      <c r="H2980" s="535" t="e">
        <f t="shared" ref="H2980:H2985" si="875">IF(D2980="","",IF(OR(F2980=0,G2980=0),"NO APORTA",ROUND($F2980/$G2980,3)))</f>
        <v>#N/A</v>
      </c>
      <c r="I2980" s="212" t="e">
        <f>IF(D2980="","",IF(H2980="NO APORTA","NO",IF(H2980=MAX($H2980:$H2985),"SI","NO")))</f>
        <v>#N/A</v>
      </c>
      <c r="J2980" s="213" t="e">
        <f t="shared" ref="J2980:J2985" si="876">IF(D2980="","",IF(E2980&gt;=PORCREQUERIDOINT,"SI","NO"))</f>
        <v>#N/A</v>
      </c>
      <c r="K2980" s="200" t="e">
        <f t="shared" ref="K2980:K2985" si="877">IF(D2980="","",IF(AND(I2980="SI",J2980="SI"),"CUMPLE",IF(AND(I2980="NO",OR(J2980="SI",J2980="NO")),"","NO CUMPLE")))</f>
        <v>#N/A</v>
      </c>
      <c r="L2980" s="722" t="s">
        <v>108</v>
      </c>
      <c r="M2980" s="726" t="s">
        <v>119</v>
      </c>
      <c r="N2980" s="726"/>
      <c r="O2980" s="726"/>
      <c r="P2980" s="726"/>
      <c r="Q2980" s="727"/>
      <c r="R2980" s="758" t="s">
        <v>80</v>
      </c>
      <c r="S2980" s="747"/>
      <c r="T2980" s="748"/>
      <c r="U2980" s="219"/>
      <c r="V2980" s="464"/>
      <c r="Y2980" s="533" t="e">
        <f>IF(Y2977="","",IF(Y2977="INDIVIDUAL","NO APLICA","VERIFICAR CUADRO"))</f>
        <v>#N/A</v>
      </c>
      <c r="AA2980" s="551"/>
      <c r="AB2980" s="694"/>
      <c r="AC2980" s="694"/>
      <c r="AD2980" s="686"/>
      <c r="AE2980" s="52"/>
      <c r="AF2980" s="52"/>
      <c r="AG2980" s="52"/>
      <c r="AH2980" s="87"/>
      <c r="AI2980" s="87"/>
    </row>
    <row r="2981" spans="1:35" ht="27" hidden="1" customHeight="1" thickBot="1">
      <c r="A2981" s="218" t="e">
        <f>"O"&amp;E2959</f>
        <v>#N/A</v>
      </c>
      <c r="B2981" s="702"/>
      <c r="C2981" s="114">
        <v>2</v>
      </c>
      <c r="D2981" s="194" t="e">
        <f>IF(AND(C2981&lt;=F2978,F2978&lt;&gt;""),VLOOKUP(VALUE(E2959&amp;","&amp;C2981),INTEGRANTES!$D$18:$F$235,2,0),"")</f>
        <v>#N/A</v>
      </c>
      <c r="E2981" s="211" t="e">
        <f>IF(D2981&lt;&gt;"",VLOOKUP(VALUE(E2959&amp;","&amp;C2981),INTEGRANTES!$D$18:$F$235,3,0),"")</f>
        <v>#N/A</v>
      </c>
      <c r="F2981" s="547" t="e">
        <f>IF(D2981="","",SUMIF($I2963:$I2972,D2981,$P2963:$P2972))</f>
        <v>#N/A</v>
      </c>
      <c r="G2981" s="333" t="e">
        <f>IF(D2981="","",SUMIF($I2963:$I2972,D2981,$M2963:$M2972))</f>
        <v>#N/A</v>
      </c>
      <c r="H2981" s="535" t="e">
        <f t="shared" si="875"/>
        <v>#N/A</v>
      </c>
      <c r="I2981" s="212" t="e">
        <f>IF(D2981="","",IF(H2981="NO APORTA","NO",IF(H2981=MAX($H2980:$H2985),"SI","NO")))</f>
        <v>#N/A</v>
      </c>
      <c r="J2981" s="213" t="e">
        <f t="shared" si="876"/>
        <v>#N/A</v>
      </c>
      <c r="K2981" s="200" t="e">
        <f t="shared" si="877"/>
        <v>#N/A</v>
      </c>
      <c r="L2981" s="723"/>
      <c r="M2981" s="715" t="s">
        <v>116</v>
      </c>
      <c r="N2981" s="716"/>
      <c r="O2981" s="556" t="s">
        <v>113</v>
      </c>
      <c r="P2981" s="715" t="s">
        <v>117</v>
      </c>
      <c r="Q2981" s="728"/>
      <c r="R2981" s="759"/>
      <c r="S2981" s="760"/>
      <c r="T2981" s="761"/>
      <c r="U2981" s="219"/>
      <c r="V2981" s="464"/>
      <c r="Y2981" s="414"/>
      <c r="AA2981" s="542" t="e">
        <f>IF(AND(C2980&lt;=F2978,F2978&gt;1,F2978&lt;&gt;""),VLOOKUP(VALUE(E2959&amp;","&amp;C2980),INTEGRANTES!$D$18:$F$235,2,0),"")</f>
        <v>#N/A</v>
      </c>
      <c r="AB2981" s="544" t="e">
        <f t="shared" ref="AB2981:AB2986" si="878">IF(D2980="","",IF(OR(F2980=0,G2980=0),"NO APORTA",ROUND($F2980/$G2980,3)))</f>
        <v>#N/A</v>
      </c>
      <c r="AC2981" s="529"/>
      <c r="AD2981" s="200" t="e">
        <f t="shared" ref="AD2981:AD2986" si="879">IF(OR(AA2981="",AB2981=""),"",IF(AND(AC2981="X",AB2981&gt;=EXPREQVTD),"CUMPLE","NO CUMPLE"))</f>
        <v>#N/A</v>
      </c>
      <c r="AE2981" s="52"/>
      <c r="AF2981" s="52"/>
      <c r="AG2981" s="52"/>
      <c r="AH2981" s="87"/>
      <c r="AI2981" s="87"/>
    </row>
    <row r="2982" spans="1:35" ht="16.5" hidden="1" thickBot="1">
      <c r="A2982" s="218" t="e">
        <f>"P"&amp;E2959</f>
        <v>#N/A</v>
      </c>
      <c r="B2982" s="702"/>
      <c r="C2982" s="114">
        <v>3</v>
      </c>
      <c r="D2982" s="194" t="e">
        <f>IF(AND(C2982&lt;=F2978,F2978&lt;&gt;""),VLOOKUP(VALUE(E2959&amp;","&amp;C2982),INTEGRANTES!$D$18:$F$235,2,0),"")</f>
        <v>#N/A</v>
      </c>
      <c r="E2982" s="211" t="e">
        <f>IF(D2982&lt;&gt;"",VLOOKUP(VALUE(E2959&amp;","&amp;C2982),INTEGRANTES!$D$18:$F$235,3,0),"")</f>
        <v>#N/A</v>
      </c>
      <c r="F2982" s="547" t="e">
        <f>IF(D2982="","",SUMIF($I2963:$I2972,D2982,$P2963:$P2972))</f>
        <v>#N/A</v>
      </c>
      <c r="G2982" s="333" t="e">
        <f>IF(D2982="","",SUMIF($I2963:$I2972,D2982,$M2963:$M2972))</f>
        <v>#N/A</v>
      </c>
      <c r="H2982" s="535" t="e">
        <f t="shared" si="875"/>
        <v>#N/A</v>
      </c>
      <c r="I2982" s="212" t="e">
        <f>IF(D2982="","",IF(H2982="NO APORTA","NO",IF(H2982=MAX($H2980:$H2985),"SI","NO")))</f>
        <v>#N/A</v>
      </c>
      <c r="J2982" s="213" t="e">
        <f t="shared" si="876"/>
        <v>#N/A</v>
      </c>
      <c r="K2982" s="200" t="e">
        <f t="shared" si="877"/>
        <v>#N/A</v>
      </c>
      <c r="L2982" s="724"/>
      <c r="M2982" s="729">
        <f>NUMMOD</f>
        <v>1</v>
      </c>
      <c r="N2982" s="730"/>
      <c r="O2982" s="443">
        <f>IF(M2982="","",VLOOKUP(M2982,PRESUPUESTOS!$B$16:$H$16,5,FALSE))</f>
        <v>2</v>
      </c>
      <c r="P2982" s="713">
        <f>IF(OR(COUNTIF(M2963:M2972,"")&gt;=10,Q2979&lt;NUMMINCONT,OR(T2977="NO CUMPLE",T2977="VERIFICAR")),0,ROUND(AVERAGE(M2963:M2972),3))</f>
        <v>0</v>
      </c>
      <c r="Q2982" s="714"/>
      <c r="R2982" s="458"/>
      <c r="S2982" s="459"/>
      <c r="T2982" s="460"/>
      <c r="U2982" s="219"/>
      <c r="V2982" s="464"/>
      <c r="Y2982" s="532" t="str">
        <f>"40% * ("&amp;PRESUPUESTOS!$H$13&amp;")"</f>
        <v>40% * (50% PFMO)</v>
      </c>
      <c r="AA2982" s="540" t="e">
        <f>IF(AND(C2981&lt;=F2978,F2978&lt;&gt;""),VLOOKUP(VALUE(E2959&amp;","&amp;C2981),INTEGRANTES!$D$18:$F$235,2,0),"")</f>
        <v>#N/A</v>
      </c>
      <c r="AB2982" s="545" t="e">
        <f t="shared" si="878"/>
        <v>#N/A</v>
      </c>
      <c r="AC2982" s="529"/>
      <c r="AD2982" s="200" t="e">
        <f t="shared" si="879"/>
        <v>#N/A</v>
      </c>
      <c r="AE2982" s="52"/>
      <c r="AF2982" s="52"/>
      <c r="AG2982" s="52"/>
      <c r="AH2982" s="87"/>
      <c r="AI2982" s="87"/>
    </row>
    <row r="2983" spans="1:35" ht="15.75" hidden="1" customHeight="1" thickBot="1">
      <c r="A2983" s="218" t="e">
        <f>"Q"&amp;E2959</f>
        <v>#N/A</v>
      </c>
      <c r="B2983" s="702"/>
      <c r="C2983" s="114">
        <v>4</v>
      </c>
      <c r="D2983" s="194" t="e">
        <f>IF(AND(C2983&lt;=F2978,F2978&lt;&gt;""),VLOOKUP(VALUE(E2959&amp;","&amp;C2983),INTEGRANTES!$D$18:$F$235,2,0),"")</f>
        <v>#N/A</v>
      </c>
      <c r="E2983" s="211" t="e">
        <f>IF(D2983&lt;&gt;"",VLOOKUP(VALUE(E2959&amp;","&amp;C2983),INTEGRANTES!$D$18:$F$235,3,0),"")</f>
        <v>#N/A</v>
      </c>
      <c r="F2983" s="547" t="e">
        <f>IF(D2983="","",SUMIF($I2963:$I2972,D2983,$P2963:$P2972))</f>
        <v>#N/A</v>
      </c>
      <c r="G2983" s="333" t="e">
        <f>IF(D2983="","",SUMIF($I2963:$I2972,D2983,$M2963:$M2972))</f>
        <v>#N/A</v>
      </c>
      <c r="H2983" s="535" t="e">
        <f t="shared" si="875"/>
        <v>#N/A</v>
      </c>
      <c r="I2983" s="212" t="e">
        <f>IF(D2983="","",IF(H2983="NO APORTA","NO",IF(H2983=MAX($H2980:$H2985),"SI","NO")))</f>
        <v>#N/A</v>
      </c>
      <c r="J2983" s="213" t="e">
        <f t="shared" si="876"/>
        <v>#N/A</v>
      </c>
      <c r="K2983" s="200" t="e">
        <f t="shared" si="877"/>
        <v>#N/A</v>
      </c>
      <c r="L2983" s="720" t="s">
        <v>109</v>
      </c>
      <c r="M2983" s="757" t="s">
        <v>120</v>
      </c>
      <c r="N2983" s="726"/>
      <c r="O2983" s="726"/>
      <c r="P2983" s="726"/>
      <c r="Q2983" s="727"/>
      <c r="R2983" s="458"/>
      <c r="S2983" s="459"/>
      <c r="T2983" s="460"/>
      <c r="U2983" s="219"/>
      <c r="V2983" s="464"/>
      <c r="Y2983" s="537">
        <f>0.4*PRESUPUESTOS!$H$16</f>
        <v>10.3124</v>
      </c>
      <c r="AA2983" s="540" t="e">
        <f>IF(AND(C2982&lt;=F2978,F2978&lt;&gt;""),VLOOKUP(VALUE(E2959&amp;","&amp;C2982),INTEGRANTES!$D$18:$F$235,2,0),"")</f>
        <v>#N/A</v>
      </c>
      <c r="AB2983" s="545" t="e">
        <f t="shared" si="878"/>
        <v>#N/A</v>
      </c>
      <c r="AC2983" s="529"/>
      <c r="AD2983" s="200" t="e">
        <f t="shared" si="879"/>
        <v>#N/A</v>
      </c>
      <c r="AE2983" s="52"/>
      <c r="AF2983" s="52"/>
      <c r="AG2983" s="52"/>
      <c r="AH2983" s="87"/>
      <c r="AI2983" s="87"/>
    </row>
    <row r="2984" spans="1:35" ht="27" hidden="1" customHeight="1" thickBot="1">
      <c r="A2984" s="218" t="e">
        <f>"R"&amp;E2959</f>
        <v>#N/A</v>
      </c>
      <c r="B2984" s="702"/>
      <c r="C2984" s="114">
        <v>5</v>
      </c>
      <c r="D2984" s="194" t="e">
        <f>IF(AND(C2984&lt;=F2978,F2978&lt;&gt;""),VLOOKUP(VALUE(E2959&amp;","&amp;C2984),INTEGRANTES!$D$18:$F$235,2,0),"")</f>
        <v>#N/A</v>
      </c>
      <c r="E2984" s="211" t="e">
        <f>IF(D2984&lt;&gt;"",VLOOKUP(VALUE(E2959&amp;","&amp;C2984),INTEGRANTES!$D$18:$F$235,3,0),"")</f>
        <v>#N/A</v>
      </c>
      <c r="F2984" s="547" t="e">
        <f>IF(D2984="","",SUMIF($I2963:$I2972,D2984,$P2963:$P2972))</f>
        <v>#N/A</v>
      </c>
      <c r="G2984" s="333" t="e">
        <f>IF(D2984="","",SUMIF($I2963:$I2972,D2984,$M2963:$M2972))</f>
        <v>#N/A</v>
      </c>
      <c r="H2984" s="535" t="e">
        <f t="shared" si="875"/>
        <v>#N/A</v>
      </c>
      <c r="I2984" s="212" t="e">
        <f>IF(D2984="","",IF(H2984="NO APORTA","NO",IF(H2984=MAX($H2980:$H2985),"SI","NO")))</f>
        <v>#N/A</v>
      </c>
      <c r="J2984" s="213" t="e">
        <f t="shared" si="876"/>
        <v>#N/A</v>
      </c>
      <c r="K2984" s="200" t="e">
        <f t="shared" si="877"/>
        <v>#N/A</v>
      </c>
      <c r="L2984" s="721"/>
      <c r="M2984" s="715" t="s">
        <v>116</v>
      </c>
      <c r="N2984" s="716"/>
      <c r="O2984" s="556" t="str">
        <f>PORCREQUERIDO*100&amp;"% PMFO DEL MÓDULO"</f>
        <v>50% PMFO DEL MÓDULO</v>
      </c>
      <c r="P2984" s="715" t="s">
        <v>118</v>
      </c>
      <c r="Q2984" s="728"/>
      <c r="R2984" s="458"/>
      <c r="S2984" s="459"/>
      <c r="T2984" s="460"/>
      <c r="U2984" s="219"/>
      <c r="V2984" s="464"/>
      <c r="Y2984" s="414"/>
      <c r="AA2984" s="540" t="e">
        <f>IF(AND(C2983&lt;=F2978,F2978&lt;&gt;""),VLOOKUP(VALUE(E2959&amp;","&amp;C2983),INTEGRANTES!$D$18:$F$235,2,0),"")</f>
        <v>#N/A</v>
      </c>
      <c r="AB2984" s="545" t="e">
        <f t="shared" si="878"/>
        <v>#N/A</v>
      </c>
      <c r="AC2984" s="529"/>
      <c r="AD2984" s="200" t="e">
        <f t="shared" si="879"/>
        <v>#N/A</v>
      </c>
      <c r="AE2984" s="52"/>
      <c r="AF2984" s="52"/>
      <c r="AG2984" s="52"/>
      <c r="AH2984" s="87"/>
      <c r="AI2984" s="87"/>
    </row>
    <row r="2985" spans="1:35" ht="16.5" hidden="1" thickBot="1">
      <c r="A2985" s="218" t="e">
        <f>"S"&amp;E2959</f>
        <v>#N/A</v>
      </c>
      <c r="B2985" s="702"/>
      <c r="C2985" s="215">
        <v>6</v>
      </c>
      <c r="D2985" s="216" t="e">
        <f>IF(AND(C2985&lt;=F2978,F2978&lt;&gt;""),VLOOKUP(VALUE(E2959&amp;","&amp;C2985),INTEGRANTES!$D$18:$F$235,2,0),"")</f>
        <v>#N/A</v>
      </c>
      <c r="E2985" s="217" t="e">
        <f>IF(D2985&lt;&gt;"",VLOOKUP(VALUE(E2959&amp;","&amp;C2985),INTEGRANTES!$D$18:$F$235,3,0),"")</f>
        <v>#N/A</v>
      </c>
      <c r="F2985" s="548" t="e">
        <f>IF(D2985="","",SUMIF($I2963:$I2972,D2985,$P2963:$P2972))</f>
        <v>#N/A</v>
      </c>
      <c r="G2985" s="334" t="e">
        <f>IF(D2985="","",SUMIF($I2963:$I2972,D2985,$M2963:$M2972))</f>
        <v>#N/A</v>
      </c>
      <c r="H2985" s="536" t="e">
        <f t="shared" si="875"/>
        <v>#N/A</v>
      </c>
      <c r="I2985" s="214" t="e">
        <f>IF(D2985="","",IF(H2985="NO APORTA","NO",IF(H2985=MAX($H2980:$H2985),"SI","NO")))</f>
        <v>#N/A</v>
      </c>
      <c r="J2985" s="213" t="e">
        <f t="shared" si="876"/>
        <v>#N/A</v>
      </c>
      <c r="K2985" s="200" t="e">
        <f t="shared" si="877"/>
        <v>#N/A</v>
      </c>
      <c r="L2985" s="721"/>
      <c r="M2985" s="729">
        <f>NUMMOD</f>
        <v>1</v>
      </c>
      <c r="N2985" s="730"/>
      <c r="O2985" s="443">
        <f>IF(M2985="","",ROUND(VLOOKUP(M2985,PRESUPUESTOS!$B$16:$H$16,7,FALSE),3))</f>
        <v>25.780999999999999</v>
      </c>
      <c r="P2985" s="713">
        <f>IF(OR(COUNTIF(P2963:P2972,"")&gt;=10,Q2979&lt;NUMMINCONT,OR(T2977="NO CUMPLE",T2977="VERIFICAR")),0,ROUND((SUM(P2963:P2972)/SUM(M2963:M2972)),3))</f>
        <v>0</v>
      </c>
      <c r="Q2985" s="714"/>
      <c r="R2985" s="458"/>
      <c r="S2985" s="459"/>
      <c r="T2985" s="460"/>
      <c r="U2985" s="219"/>
      <c r="V2985" s="464"/>
      <c r="Y2985" s="532" t="s">
        <v>343</v>
      </c>
      <c r="AA2985" s="540" t="e">
        <f>IF(AND(C2984&lt;=F2978,F2978&lt;&gt;""),VLOOKUP(VALUE(E2959&amp;","&amp;C2984),INTEGRANTES!$D$18:$F$235,2,0),"")</f>
        <v>#N/A</v>
      </c>
      <c r="AB2985" s="545" t="e">
        <f t="shared" si="878"/>
        <v>#N/A</v>
      </c>
      <c r="AC2985" s="529"/>
      <c r="AD2985" s="200" t="e">
        <f t="shared" si="879"/>
        <v>#N/A</v>
      </c>
      <c r="AE2985" s="52"/>
      <c r="AF2985" s="52"/>
      <c r="AG2985" s="52"/>
      <c r="AH2985" s="87"/>
      <c r="AI2985" s="87"/>
    </row>
    <row r="2986" spans="1:35" ht="16.5" hidden="1" customHeight="1" thickBot="1">
      <c r="A2986" s="218" t="e">
        <f>"T"&amp;E2959</f>
        <v>#N/A</v>
      </c>
      <c r="B2986" s="703"/>
      <c r="C2986" s="719"/>
      <c r="D2986" s="719"/>
      <c r="E2986" s="719"/>
      <c r="F2986" s="719"/>
      <c r="G2986" s="719"/>
      <c r="H2986" s="719" t="s">
        <v>110</v>
      </c>
      <c r="I2986" s="719"/>
      <c r="J2986" s="719"/>
      <c r="K2986" s="201" t="str">
        <f>IF(COUNTIF(K2980:K2985,"")=6,"",IF(COUNTIF(K2980:K2985,"CUMPLE")&gt;0,"CUMPLE","NO CUMPLE"))</f>
        <v>NO CUMPLE</v>
      </c>
      <c r="L2986" s="754"/>
      <c r="M2986" s="755"/>
      <c r="N2986" s="755"/>
      <c r="O2986" s="755"/>
      <c r="P2986" s="755"/>
      <c r="Q2986" s="756"/>
      <c r="R2986" s="461"/>
      <c r="S2986" s="462"/>
      <c r="T2986" s="463"/>
      <c r="U2986" s="219"/>
      <c r="V2986" s="464"/>
      <c r="Y2986" s="549" t="e">
        <f>IF(Y2980="NO APLICA","NO APLICA",IF(COUNTIF(AD2981:AD2986,"CUMPLE")&gt;0,"CUMPLE","NO CUMPLE"))</f>
        <v>#N/A</v>
      </c>
      <c r="AA2986" s="541" t="e">
        <f>IF(AND(C2985&lt;=F2978,F2978&lt;&gt;""),VLOOKUP(VALUE(E2959&amp;","&amp;C2985),INTEGRANTES!$D$18:$F$235,2,0),"")</f>
        <v>#N/A</v>
      </c>
      <c r="AB2986" s="546" t="e">
        <f t="shared" si="878"/>
        <v>#N/A</v>
      </c>
      <c r="AC2986" s="543"/>
      <c r="AD2986" s="201" t="e">
        <f t="shared" si="879"/>
        <v>#N/A</v>
      </c>
      <c r="AE2986" s="52"/>
      <c r="AF2986" s="52"/>
      <c r="AG2986" s="52"/>
      <c r="AH2986" s="87"/>
      <c r="AI2986" s="87"/>
    </row>
    <row r="2987" spans="1:35" hidden="1">
      <c r="A2987" s="103"/>
      <c r="B2987" s="206"/>
      <c r="C2987" s="206"/>
      <c r="D2987" s="206"/>
      <c r="E2987" s="206"/>
      <c r="F2987" s="206"/>
      <c r="G2987" s="206"/>
      <c r="H2987" s="206"/>
      <c r="I2987" s="104"/>
      <c r="J2987" s="206"/>
      <c r="K2987" s="113"/>
      <c r="L2987" s="113"/>
      <c r="M2987" s="113"/>
      <c r="N2987" s="222"/>
      <c r="O2987" s="113"/>
      <c r="P2987" s="113"/>
      <c r="Q2987" s="113"/>
      <c r="R2987" s="206"/>
      <c r="S2987" s="104"/>
      <c r="T2987" s="206"/>
      <c r="U2987" s="474"/>
      <c r="AH2987" s="87"/>
      <c r="AI2987" s="87"/>
    </row>
    <row r="2988" spans="1:35" hidden="1">
      <c r="H2988" s="220"/>
      <c r="AH2988" s="87"/>
      <c r="AI2988" s="87"/>
    </row>
    <row r="2989" spans="1:35" ht="24" hidden="1" thickBot="1">
      <c r="A2989" s="61">
        <v>100</v>
      </c>
      <c r="B2989" s="704" t="s">
        <v>51</v>
      </c>
      <c r="C2989" s="704"/>
      <c r="D2989" s="704"/>
      <c r="E2989" s="62" t="e">
        <f>VLOOKUP(A2989,PROPONENTES!$B$19:$E$218,2,FALSE)</f>
        <v>#N/A</v>
      </c>
      <c r="F2989" s="63" t="e">
        <f>VLOOKUP(A2989,PROPONENTES!$B$19:$E$218,3,FALSE)</f>
        <v>#N/A</v>
      </c>
      <c r="G2989" s="64"/>
      <c r="H2989" s="64"/>
      <c r="I2989" s="63"/>
      <c r="J2989" s="63"/>
      <c r="K2989" s="65"/>
      <c r="L2989" s="65"/>
      <c r="M2989" s="64"/>
      <c r="N2989" s="64"/>
      <c r="O2989" s="66"/>
      <c r="P2989" s="66"/>
      <c r="Q2989" s="66"/>
      <c r="R2989" s="66"/>
      <c r="S2989" s="67"/>
      <c r="T2989" s="68"/>
      <c r="U2989" s="68"/>
      <c r="AC2989" s="68"/>
      <c r="AD2989" s="68"/>
      <c r="AE2989" s="68"/>
      <c r="AF2989" s="68"/>
      <c r="AG2989" s="68"/>
      <c r="AH2989" s="87"/>
      <c r="AI2989" s="87"/>
    </row>
    <row r="2990" spans="1:35" ht="15.75" hidden="1" customHeight="1">
      <c r="A2990" s="44"/>
      <c r="B2990" s="709" t="s">
        <v>59</v>
      </c>
      <c r="C2990" s="552" t="s">
        <v>60</v>
      </c>
      <c r="D2990" s="70" t="s">
        <v>17</v>
      </c>
      <c r="E2990" s="70"/>
      <c r="F2990" s="70" t="s">
        <v>61</v>
      </c>
      <c r="G2990" s="71"/>
      <c r="H2990" s="699" t="s">
        <v>62</v>
      </c>
      <c r="I2990" s="699" t="s">
        <v>18</v>
      </c>
      <c r="J2990" s="699" t="s">
        <v>63</v>
      </c>
      <c r="K2990" s="699" t="s">
        <v>64</v>
      </c>
      <c r="L2990" s="699" t="s">
        <v>65</v>
      </c>
      <c r="M2990" s="743" t="s">
        <v>66</v>
      </c>
      <c r="N2990" s="699" t="s">
        <v>282</v>
      </c>
      <c r="O2990" s="745" t="s">
        <v>67</v>
      </c>
      <c r="P2990" s="746"/>
      <c r="Q2990" s="102" t="s">
        <v>75</v>
      </c>
      <c r="R2990" s="731" t="s">
        <v>22</v>
      </c>
      <c r="S2990" s="732"/>
      <c r="T2990" s="733"/>
      <c r="U2990" s="712" t="s">
        <v>298</v>
      </c>
      <c r="W2990" s="690" t="s">
        <v>268</v>
      </c>
      <c r="X2990" s="691"/>
      <c r="Y2990" s="692"/>
      <c r="Z2990" s="428"/>
      <c r="AA2990" s="697" t="s">
        <v>315</v>
      </c>
      <c r="AB2990" s="695" t="s">
        <v>322</v>
      </c>
      <c r="AC2990" s="49"/>
      <c r="AD2990" s="690" t="s">
        <v>297</v>
      </c>
      <c r="AE2990" s="691"/>
      <c r="AF2990" s="692"/>
      <c r="AG2990" s="49"/>
      <c r="AH2990" s="87"/>
      <c r="AI2990" s="87"/>
    </row>
    <row r="2991" spans="1:35" ht="72" hidden="1">
      <c r="A2991" s="44"/>
      <c r="B2991" s="710"/>
      <c r="C2991" s="553" t="s">
        <v>68</v>
      </c>
      <c r="D2991" s="73" t="s">
        <v>3</v>
      </c>
      <c r="E2991" s="73" t="s">
        <v>19</v>
      </c>
      <c r="F2991" s="73" t="s">
        <v>69</v>
      </c>
      <c r="G2991" s="74" t="s">
        <v>70</v>
      </c>
      <c r="H2991" s="700"/>
      <c r="I2991" s="700"/>
      <c r="J2991" s="700"/>
      <c r="K2991" s="700"/>
      <c r="L2991" s="700"/>
      <c r="M2991" s="744"/>
      <c r="N2991" s="700"/>
      <c r="O2991" s="553" t="s">
        <v>279</v>
      </c>
      <c r="P2991" s="73" t="s">
        <v>88</v>
      </c>
      <c r="Q2991" s="555" t="s">
        <v>76</v>
      </c>
      <c r="R2991" s="734"/>
      <c r="S2991" s="735"/>
      <c r="T2991" s="736"/>
      <c r="U2991" s="712"/>
      <c r="W2991" s="429" t="s">
        <v>269</v>
      </c>
      <c r="X2991" s="457" t="s">
        <v>278</v>
      </c>
      <c r="Y2991" s="430" t="s">
        <v>324</v>
      </c>
      <c r="Z2991" s="428"/>
      <c r="AA2991" s="698"/>
      <c r="AB2991" s="696"/>
      <c r="AC2991" s="49"/>
      <c r="AD2991" s="429" t="s">
        <v>292</v>
      </c>
      <c r="AE2991" s="431" t="s">
        <v>300</v>
      </c>
      <c r="AF2991" s="468" t="s">
        <v>301</v>
      </c>
      <c r="AG2991" s="49"/>
      <c r="AH2991" s="87"/>
      <c r="AI2991" s="87"/>
    </row>
    <row r="2992" spans="1:35" hidden="1">
      <c r="A2992" s="44"/>
      <c r="B2992" s="76"/>
      <c r="C2992" s="77"/>
      <c r="D2992" s="77"/>
      <c r="E2992" s="77"/>
      <c r="F2992" s="77"/>
      <c r="G2992" s="77"/>
      <c r="H2992" s="77"/>
      <c r="I2992" s="77"/>
      <c r="J2992" s="77"/>
      <c r="K2992" s="77"/>
      <c r="L2992" s="77"/>
      <c r="M2992" s="77"/>
      <c r="N2992" s="77"/>
      <c r="O2992" s="77"/>
      <c r="P2992" s="77"/>
      <c r="Q2992" s="77"/>
      <c r="R2992" s="77"/>
      <c r="S2992" s="78"/>
      <c r="T2992" s="79"/>
      <c r="U2992" s="109"/>
      <c r="V2992" s="49"/>
      <c r="W2992" s="432"/>
      <c r="X2992" s="454"/>
      <c r="Y2992" s="433"/>
      <c r="Z2992" s="6"/>
      <c r="AA2992" s="500"/>
      <c r="AB2992" s="562"/>
      <c r="AC2992" s="49"/>
      <c r="AD2992" s="210"/>
      <c r="AE2992" s="434"/>
      <c r="AF2992" s="435"/>
      <c r="AG2992" s="49"/>
      <c r="AH2992" s="87"/>
      <c r="AI2992" s="87"/>
    </row>
    <row r="2993" spans="1:35" hidden="1">
      <c r="A2993" s="80" t="e">
        <f>"A"&amp;E2989</f>
        <v>#N/A</v>
      </c>
      <c r="B2993" s="81">
        <v>1</v>
      </c>
      <c r="C2993" s="82"/>
      <c r="D2993" s="82"/>
      <c r="E2993" s="82"/>
      <c r="F2993" s="82"/>
      <c r="G2993" s="83"/>
      <c r="H2993" s="83"/>
      <c r="I2993" s="84"/>
      <c r="J2993" s="85"/>
      <c r="K2993" s="382"/>
      <c r="L2993" s="85"/>
      <c r="M2993" s="332" t="str">
        <f t="shared" ref="M2993:M3002" si="880">IF(OR(J2993="",L2993="",H2993="NO"),"",IF(OR(J2993&gt;$P$17,J2993&lt;$O$17,L2993&gt;$P$17,AND(J2993&lt;$O$17,L2993&lt;$O$17)),"FUERA DE RANGO",IF(OR(K2993="---",K2993=""),IF(J2993&gt;=$O$17,ROUND((L2993-J2993+1)/360*12,3),ROUND((L2993-$O$17+1)/360*12,3)),IF(J2993&gt;=$O$17,ROUND((L2993-J2993+1)/360*12-ROUND(K2993,3),3),ROUND((L2993-$O$17+1)/360*12-ROUND(K2993,3),3)))))</f>
        <v/>
      </c>
      <c r="N2993" s="86"/>
      <c r="O2993" s="453" t="str">
        <f>IF(OR(G2993="",N2993=""),"",N2993*G2993)</f>
        <v/>
      </c>
      <c r="P2993" s="538" t="str">
        <f>IF(OR(H2993="",M2993="FUERA DE RANGO"),"",IF(OR(L2993&lt;$O$17,L2993&gt;$P$17,L2993="",H2993="NO"),"",IF(OR(N2993="",O2993=""),"",ROUND(O2993,3))))</f>
        <v/>
      </c>
      <c r="Q2993" s="539" t="str">
        <f t="shared" ref="Q2993:Q3002" si="881">IF(AND(H2993="SI",P2993&lt;&gt;""),ROUND(P2993/M2993,3),"")</f>
        <v/>
      </c>
      <c r="R2993" s="737"/>
      <c r="S2993" s="738"/>
      <c r="T2993" s="739"/>
      <c r="U2993" s="470"/>
      <c r="V2993" s="165"/>
      <c r="W2993" s="446"/>
      <c r="X2993" s="456"/>
      <c r="Y2993" s="436"/>
      <c r="Z2993" s="437"/>
      <c r="AA2993" s="560"/>
      <c r="AB2993" s="561"/>
      <c r="AC2993" s="87"/>
      <c r="AD2993" s="466"/>
      <c r="AE2993" s="456"/>
      <c r="AF2993" s="467"/>
      <c r="AG2993" s="87"/>
      <c r="AH2993" s="87"/>
      <c r="AI2993" s="87"/>
    </row>
    <row r="2994" spans="1:35" hidden="1">
      <c r="A2994" s="80" t="e">
        <f>"B"&amp;E2989</f>
        <v>#N/A</v>
      </c>
      <c r="B2994" s="81">
        <v>2</v>
      </c>
      <c r="C2994" s="106"/>
      <c r="D2994" s="106"/>
      <c r="E2994" s="106"/>
      <c r="F2994" s="106"/>
      <c r="G2994" s="83"/>
      <c r="H2994" s="83"/>
      <c r="I2994" s="84"/>
      <c r="J2994" s="85"/>
      <c r="K2994" s="382"/>
      <c r="L2994" s="85"/>
      <c r="M2994" s="332" t="str">
        <f t="shared" si="880"/>
        <v/>
      </c>
      <c r="N2994" s="86"/>
      <c r="O2994" s="453" t="str">
        <f t="shared" ref="O2994:O3002" si="882">IF(OR(G2994="",N2994=""),"",N2994*G2994)</f>
        <v/>
      </c>
      <c r="P2994" s="538" t="str">
        <f t="shared" ref="P2994:P3002" si="883">IF(OR(H2994="",M2994="FUERA DE RANGO"),"",IF(OR(L2994&lt;$O$17,L2994&gt;$P$17,L2994="",H2994="NO"),"",IF(OR(N2994="",O2994=""),"",ROUND(O2994,3))))</f>
        <v/>
      </c>
      <c r="Q2994" s="539" t="str">
        <f t="shared" si="881"/>
        <v/>
      </c>
      <c r="R2994" s="740"/>
      <c r="S2994" s="741"/>
      <c r="T2994" s="742"/>
      <c r="U2994" s="471"/>
      <c r="V2994" s="165"/>
      <c r="W2994" s="446"/>
      <c r="X2994" s="456"/>
      <c r="Y2994" s="436"/>
      <c r="Z2994" s="437"/>
      <c r="AA2994" s="560"/>
      <c r="AB2994" s="561"/>
      <c r="AC2994" s="87"/>
      <c r="AD2994" s="466"/>
      <c r="AE2994" s="456"/>
      <c r="AF2994" s="467"/>
      <c r="AG2994" s="87"/>
      <c r="AH2994" s="87"/>
      <c r="AI2994" s="87"/>
    </row>
    <row r="2995" spans="1:35" hidden="1">
      <c r="A2995" s="80" t="e">
        <f>"C"&amp;E2989</f>
        <v>#N/A</v>
      </c>
      <c r="B2995" s="88">
        <v>3</v>
      </c>
      <c r="C2995" s="82"/>
      <c r="D2995" s="82"/>
      <c r="E2995" s="82"/>
      <c r="F2995" s="82"/>
      <c r="G2995" s="83"/>
      <c r="H2995" s="83"/>
      <c r="I2995" s="84"/>
      <c r="J2995" s="85"/>
      <c r="K2995" s="382"/>
      <c r="L2995" s="85"/>
      <c r="M2995" s="332" t="str">
        <f t="shared" si="880"/>
        <v/>
      </c>
      <c r="N2995" s="86"/>
      <c r="O2995" s="453" t="str">
        <f t="shared" si="882"/>
        <v/>
      </c>
      <c r="P2995" s="538" t="str">
        <f t="shared" si="883"/>
        <v/>
      </c>
      <c r="Q2995" s="539" t="str">
        <f t="shared" si="881"/>
        <v/>
      </c>
      <c r="R2995" s="706"/>
      <c r="S2995" s="707"/>
      <c r="T2995" s="708"/>
      <c r="U2995" s="472"/>
      <c r="V2995" s="166"/>
      <c r="W2995" s="446"/>
      <c r="X2995" s="456"/>
      <c r="Y2995" s="436"/>
      <c r="Z2995" s="437"/>
      <c r="AA2995" s="560"/>
      <c r="AB2995" s="561"/>
      <c r="AC2995" s="87"/>
      <c r="AD2995" s="466"/>
      <c r="AE2995" s="456"/>
      <c r="AF2995" s="467"/>
      <c r="AG2995" s="87"/>
      <c r="AH2995" s="87"/>
      <c r="AI2995" s="87"/>
    </row>
    <row r="2996" spans="1:35" hidden="1">
      <c r="A2996" s="80" t="e">
        <f>"D"&amp;E2989</f>
        <v>#N/A</v>
      </c>
      <c r="B2996" s="105">
        <v>4</v>
      </c>
      <c r="C2996" s="107"/>
      <c r="D2996" s="107"/>
      <c r="E2996" s="107"/>
      <c r="F2996" s="107"/>
      <c r="G2996" s="83"/>
      <c r="H2996" s="83"/>
      <c r="I2996" s="84"/>
      <c r="J2996" s="85"/>
      <c r="K2996" s="382"/>
      <c r="L2996" s="85"/>
      <c r="M2996" s="332" t="str">
        <f t="shared" si="880"/>
        <v/>
      </c>
      <c r="N2996" s="86"/>
      <c r="O2996" s="453" t="str">
        <f t="shared" si="882"/>
        <v/>
      </c>
      <c r="P2996" s="538" t="str">
        <f t="shared" si="883"/>
        <v/>
      </c>
      <c r="Q2996" s="539" t="str">
        <f t="shared" si="881"/>
        <v/>
      </c>
      <c r="R2996" s="706"/>
      <c r="S2996" s="707"/>
      <c r="T2996" s="708"/>
      <c r="U2996" s="472"/>
      <c r="V2996" s="166"/>
      <c r="W2996" s="446"/>
      <c r="X2996" s="456"/>
      <c r="Y2996" s="436"/>
      <c r="Z2996" s="437"/>
      <c r="AA2996" s="560"/>
      <c r="AB2996" s="561"/>
      <c r="AC2996" s="87"/>
      <c r="AD2996" s="466"/>
      <c r="AE2996" s="456"/>
      <c r="AF2996" s="467"/>
      <c r="AG2996" s="87"/>
      <c r="AH2996" s="87"/>
      <c r="AI2996" s="87"/>
    </row>
    <row r="2997" spans="1:35" hidden="1">
      <c r="A2997" s="80" t="e">
        <f>"E"&amp;E2989</f>
        <v>#N/A</v>
      </c>
      <c r="B2997" s="105">
        <v>5</v>
      </c>
      <c r="C2997" s="107"/>
      <c r="D2997" s="107"/>
      <c r="E2997" s="107"/>
      <c r="F2997" s="107"/>
      <c r="G2997" s="83"/>
      <c r="H2997" s="83"/>
      <c r="I2997" s="84"/>
      <c r="J2997" s="85"/>
      <c r="K2997" s="382"/>
      <c r="L2997" s="85"/>
      <c r="M2997" s="332" t="str">
        <f t="shared" si="880"/>
        <v/>
      </c>
      <c r="N2997" s="86"/>
      <c r="O2997" s="453" t="str">
        <f t="shared" si="882"/>
        <v/>
      </c>
      <c r="P2997" s="538" t="str">
        <f t="shared" si="883"/>
        <v/>
      </c>
      <c r="Q2997" s="539" t="str">
        <f t="shared" si="881"/>
        <v/>
      </c>
      <c r="R2997" s="706"/>
      <c r="S2997" s="707"/>
      <c r="T2997" s="708"/>
      <c r="U2997" s="472"/>
      <c r="V2997" s="167"/>
      <c r="W2997" s="446"/>
      <c r="X2997" s="456"/>
      <c r="Y2997" s="436"/>
      <c r="Z2997" s="437"/>
      <c r="AA2997" s="560"/>
      <c r="AB2997" s="561"/>
      <c r="AC2997" s="87"/>
      <c r="AD2997" s="466"/>
      <c r="AE2997" s="456"/>
      <c r="AF2997" s="467"/>
      <c r="AG2997" s="87"/>
      <c r="AH2997" s="87"/>
      <c r="AI2997" s="87"/>
    </row>
    <row r="2998" spans="1:35" hidden="1">
      <c r="A2998" s="80" t="e">
        <f>"F"&amp;E2989</f>
        <v>#N/A</v>
      </c>
      <c r="B2998" s="105">
        <v>6</v>
      </c>
      <c r="C2998" s="107"/>
      <c r="D2998" s="107"/>
      <c r="E2998" s="107"/>
      <c r="F2998" s="107"/>
      <c r="G2998" s="83"/>
      <c r="H2998" s="83"/>
      <c r="I2998" s="84"/>
      <c r="J2998" s="85"/>
      <c r="K2998" s="382"/>
      <c r="L2998" s="85"/>
      <c r="M2998" s="332" t="str">
        <f t="shared" si="880"/>
        <v/>
      </c>
      <c r="N2998" s="86"/>
      <c r="O2998" s="453" t="str">
        <f t="shared" si="882"/>
        <v/>
      </c>
      <c r="P2998" s="538" t="str">
        <f t="shared" si="883"/>
        <v/>
      </c>
      <c r="Q2998" s="539" t="str">
        <f t="shared" si="881"/>
        <v/>
      </c>
      <c r="R2998" s="706"/>
      <c r="S2998" s="707"/>
      <c r="T2998" s="708"/>
      <c r="U2998" s="472"/>
      <c r="V2998" s="167"/>
      <c r="W2998" s="446"/>
      <c r="X2998" s="456"/>
      <c r="Y2998" s="436"/>
      <c r="Z2998" s="437"/>
      <c r="AA2998" s="560"/>
      <c r="AB2998" s="561"/>
      <c r="AC2998" s="87"/>
      <c r="AD2998" s="466"/>
      <c r="AE2998" s="456"/>
      <c r="AF2998" s="467"/>
      <c r="AG2998" s="87"/>
      <c r="AH2998" s="87"/>
      <c r="AI2998" s="87"/>
    </row>
    <row r="2999" spans="1:35" hidden="1">
      <c r="A2999" s="80" t="e">
        <f>"G"&amp;E2989</f>
        <v>#N/A</v>
      </c>
      <c r="B2999" s="105">
        <v>7</v>
      </c>
      <c r="C2999" s="107"/>
      <c r="D2999" s="107"/>
      <c r="E2999" s="107"/>
      <c r="F2999" s="107"/>
      <c r="G2999" s="83"/>
      <c r="H2999" s="83"/>
      <c r="I2999" s="84"/>
      <c r="J2999" s="85"/>
      <c r="K2999" s="382"/>
      <c r="L2999" s="85"/>
      <c r="M2999" s="332" t="str">
        <f t="shared" si="880"/>
        <v/>
      </c>
      <c r="N2999" s="86"/>
      <c r="O2999" s="86" t="str">
        <f t="shared" si="882"/>
        <v/>
      </c>
      <c r="P2999" s="538" t="str">
        <f t="shared" si="883"/>
        <v/>
      </c>
      <c r="Q2999" s="539" t="str">
        <f t="shared" si="881"/>
        <v/>
      </c>
      <c r="R2999" s="706"/>
      <c r="S2999" s="707"/>
      <c r="T2999" s="708"/>
      <c r="U2999" s="472"/>
      <c r="V2999" s="167"/>
      <c r="W2999" s="446"/>
      <c r="X2999" s="456"/>
      <c r="Y2999" s="436"/>
      <c r="Z2999" s="437"/>
      <c r="AA2999" s="560"/>
      <c r="AB2999" s="561"/>
      <c r="AC2999" s="87"/>
      <c r="AD2999" s="466"/>
      <c r="AE2999" s="456"/>
      <c r="AF2999" s="467"/>
      <c r="AG2999" s="87"/>
      <c r="AH2999" s="87"/>
      <c r="AI2999" s="87"/>
    </row>
    <row r="3000" spans="1:35" hidden="1">
      <c r="A3000" s="80" t="e">
        <f>"H"&amp;E2989</f>
        <v>#N/A</v>
      </c>
      <c r="B3000" s="105">
        <v>8</v>
      </c>
      <c r="C3000" s="107"/>
      <c r="D3000" s="107"/>
      <c r="E3000" s="107"/>
      <c r="F3000" s="107"/>
      <c r="G3000" s="83"/>
      <c r="H3000" s="83"/>
      <c r="I3000" s="84"/>
      <c r="J3000" s="85"/>
      <c r="K3000" s="382"/>
      <c r="L3000" s="85"/>
      <c r="M3000" s="332" t="str">
        <f t="shared" si="880"/>
        <v/>
      </c>
      <c r="N3000" s="453"/>
      <c r="O3000" s="86" t="str">
        <f t="shared" si="882"/>
        <v/>
      </c>
      <c r="P3000" s="538" t="str">
        <f t="shared" si="883"/>
        <v/>
      </c>
      <c r="Q3000" s="539" t="str">
        <f t="shared" si="881"/>
        <v/>
      </c>
      <c r="R3000" s="706"/>
      <c r="S3000" s="707"/>
      <c r="T3000" s="708"/>
      <c r="U3000" s="472"/>
      <c r="V3000" s="167"/>
      <c r="W3000" s="446"/>
      <c r="X3000" s="456"/>
      <c r="Y3000" s="436"/>
      <c r="Z3000" s="437"/>
      <c r="AA3000" s="560"/>
      <c r="AB3000" s="561"/>
      <c r="AC3000" s="87"/>
      <c r="AD3000" s="466"/>
      <c r="AE3000" s="456"/>
      <c r="AF3000" s="467"/>
      <c r="AG3000" s="87"/>
      <c r="AH3000" s="87"/>
      <c r="AI3000" s="87"/>
    </row>
    <row r="3001" spans="1:35" hidden="1">
      <c r="A3001" s="80" t="e">
        <f>"I"&amp;E2989</f>
        <v>#N/A</v>
      </c>
      <c r="B3001" s="105">
        <v>9</v>
      </c>
      <c r="C3001" s="107"/>
      <c r="D3001" s="107"/>
      <c r="E3001" s="107"/>
      <c r="F3001" s="107"/>
      <c r="G3001" s="83"/>
      <c r="H3001" s="83"/>
      <c r="I3001" s="84"/>
      <c r="J3001" s="85"/>
      <c r="K3001" s="382"/>
      <c r="L3001" s="85"/>
      <c r="M3001" s="332" t="str">
        <f t="shared" si="880"/>
        <v/>
      </c>
      <c r="N3001" s="453"/>
      <c r="O3001" s="86" t="str">
        <f t="shared" si="882"/>
        <v/>
      </c>
      <c r="P3001" s="538" t="str">
        <f t="shared" si="883"/>
        <v/>
      </c>
      <c r="Q3001" s="539" t="str">
        <f t="shared" si="881"/>
        <v/>
      </c>
      <c r="R3001" s="706"/>
      <c r="S3001" s="707"/>
      <c r="T3001" s="708"/>
      <c r="U3001" s="472"/>
      <c r="V3001" s="167"/>
      <c r="W3001" s="446"/>
      <c r="X3001" s="456"/>
      <c r="Y3001" s="436"/>
      <c r="Z3001" s="437"/>
      <c r="AA3001" s="560"/>
      <c r="AB3001" s="561"/>
      <c r="AC3001" s="87"/>
      <c r="AD3001" s="466"/>
      <c r="AE3001" s="456"/>
      <c r="AF3001" s="467"/>
      <c r="AG3001" s="87"/>
      <c r="AH3001" s="87"/>
      <c r="AI3001" s="87"/>
    </row>
    <row r="3002" spans="1:35" hidden="1">
      <c r="A3002" s="80" t="e">
        <f>"J"&amp;E2989</f>
        <v>#N/A</v>
      </c>
      <c r="B3002" s="105">
        <v>10</v>
      </c>
      <c r="C3002" s="107"/>
      <c r="D3002" s="107"/>
      <c r="E3002" s="107"/>
      <c r="F3002" s="107"/>
      <c r="G3002" s="83"/>
      <c r="H3002" s="83"/>
      <c r="I3002" s="84"/>
      <c r="J3002" s="85"/>
      <c r="K3002" s="382"/>
      <c r="L3002" s="85"/>
      <c r="M3002" s="332" t="str">
        <f t="shared" si="880"/>
        <v/>
      </c>
      <c r="N3002" s="453"/>
      <c r="O3002" s="86" t="str">
        <f t="shared" si="882"/>
        <v/>
      </c>
      <c r="P3002" s="538" t="str">
        <f t="shared" si="883"/>
        <v/>
      </c>
      <c r="Q3002" s="539" t="str">
        <f t="shared" si="881"/>
        <v/>
      </c>
      <c r="R3002" s="706"/>
      <c r="S3002" s="707"/>
      <c r="T3002" s="708"/>
      <c r="U3002" s="472"/>
      <c r="V3002" s="167"/>
      <c r="W3002" s="446"/>
      <c r="X3002" s="456"/>
      <c r="Y3002" s="436"/>
      <c r="Z3002" s="437"/>
      <c r="AA3002" s="560"/>
      <c r="AB3002" s="561"/>
      <c r="AC3002" s="87"/>
      <c r="AD3002" s="466"/>
      <c r="AE3002" s="456"/>
      <c r="AF3002" s="467"/>
      <c r="AG3002" s="87"/>
      <c r="AH3002" s="87"/>
      <c r="AI3002" s="87"/>
    </row>
    <row r="3003" spans="1:35" ht="16.5" hidden="1" thickBot="1">
      <c r="A3003" s="44"/>
      <c r="B3003" s="89"/>
      <c r="C3003" s="90"/>
      <c r="D3003" s="90"/>
      <c r="E3003" s="90"/>
      <c r="F3003" s="90"/>
      <c r="G3003" s="90"/>
      <c r="H3003" s="90"/>
      <c r="I3003" s="90"/>
      <c r="J3003" s="90"/>
      <c r="K3003" s="90"/>
      <c r="L3003" s="90"/>
      <c r="M3003" s="90"/>
      <c r="N3003" s="90"/>
      <c r="O3003" s="90"/>
      <c r="P3003" s="90"/>
      <c r="Q3003" s="90"/>
      <c r="R3003" s="90"/>
      <c r="S3003" s="91"/>
      <c r="T3003" s="92"/>
      <c r="U3003" s="473"/>
      <c r="W3003" s="438"/>
      <c r="X3003" s="455"/>
      <c r="Y3003" s="439"/>
      <c r="Z3003" s="437"/>
      <c r="AA3003" s="530"/>
      <c r="AB3003" s="563"/>
      <c r="AC3003" s="87"/>
      <c r="AD3003" s="440"/>
      <c r="AE3003" s="441"/>
      <c r="AF3003" s="442"/>
      <c r="AG3003" s="49"/>
      <c r="AH3003" s="87"/>
      <c r="AI3003" s="87"/>
    </row>
    <row r="3004" spans="1:35" ht="16.5" hidden="1" thickBot="1">
      <c r="A3004" s="93"/>
      <c r="B3004" s="94"/>
      <c r="C3004" s="96"/>
      <c r="D3004" s="96"/>
      <c r="E3004" s="96"/>
      <c r="F3004" s="96"/>
      <c r="G3004" s="96"/>
      <c r="H3004" s="96"/>
      <c r="I3004" s="96"/>
      <c r="J3004" s="96"/>
      <c r="K3004" s="96"/>
      <c r="L3004" s="96"/>
      <c r="M3004" s="136"/>
      <c r="N3004" s="96"/>
      <c r="O3004" s="96"/>
      <c r="P3004" s="97"/>
      <c r="Q3004" s="97"/>
      <c r="R3004" s="98"/>
      <c r="S3004" s="95"/>
      <c r="T3004" s="99"/>
      <c r="U3004" s="469"/>
      <c r="AC3004" s="58"/>
      <c r="AG3004" s="58"/>
      <c r="AH3004" s="87"/>
      <c r="AI3004" s="87"/>
    </row>
    <row r="3005" spans="1:35" ht="16.5" hidden="1" thickBot="1">
      <c r="B3005" s="101"/>
      <c r="C3005" s="101"/>
      <c r="D3005" s="101"/>
      <c r="E3005" s="101"/>
      <c r="F3005" s="101"/>
      <c r="G3005" s="101"/>
      <c r="H3005" s="101"/>
      <c r="I3005" s="101"/>
      <c r="J3005" s="101"/>
      <c r="K3005" s="101"/>
      <c r="L3005" s="101"/>
      <c r="M3005" s="101"/>
      <c r="N3005" s="101"/>
      <c r="O3005" s="101"/>
      <c r="P3005" s="101"/>
      <c r="Q3005" s="101"/>
      <c r="R3005" s="101"/>
      <c r="S3005" s="101"/>
      <c r="U3005" s="50"/>
      <c r="AH3005" s="87"/>
      <c r="AI3005" s="87"/>
    </row>
    <row r="3006" spans="1:35" ht="16.5" hidden="1" customHeight="1" thickBot="1">
      <c r="A3006" s="44"/>
      <c r="B3006" s="705" t="s">
        <v>74</v>
      </c>
      <c r="C3006" s="705"/>
      <c r="D3006" s="705"/>
      <c r="E3006" s="705"/>
      <c r="F3006" s="705"/>
      <c r="G3006" s="705"/>
      <c r="H3006" s="705"/>
      <c r="I3006" s="705"/>
      <c r="J3006" s="705"/>
      <c r="K3006" s="705"/>
      <c r="L3006" s="705"/>
      <c r="M3006" s="705"/>
      <c r="N3006" s="705"/>
      <c r="O3006" s="705"/>
      <c r="P3006" s="705"/>
      <c r="Q3006" s="705"/>
      <c r="R3006" s="705"/>
      <c r="S3006" s="705"/>
      <c r="T3006" s="705"/>
      <c r="U3006" s="108"/>
      <c r="Y3006" s="532" t="s">
        <v>341</v>
      </c>
      <c r="AC3006" s="49"/>
      <c r="AD3006" s="687" t="s">
        <v>302</v>
      </c>
      <c r="AE3006" s="688"/>
      <c r="AF3006" s="689"/>
      <c r="AG3006" s="49"/>
      <c r="AH3006" s="87"/>
      <c r="AI3006" s="87"/>
    </row>
    <row r="3007" spans="1:35" ht="15.75" hidden="1" customHeight="1" thickBot="1">
      <c r="A3007" s="218" t="e">
        <f>"K"&amp;E2989</f>
        <v>#N/A</v>
      </c>
      <c r="B3007" s="701" t="s">
        <v>71</v>
      </c>
      <c r="C3007" s="751" t="s">
        <v>102</v>
      </c>
      <c r="D3007" s="751"/>
      <c r="E3007" s="751"/>
      <c r="F3007" s="751"/>
      <c r="G3007" s="751"/>
      <c r="H3007" s="751"/>
      <c r="I3007" s="751"/>
      <c r="J3007" s="751"/>
      <c r="K3007" s="751"/>
      <c r="L3007" s="722" t="s">
        <v>100</v>
      </c>
      <c r="M3007" s="747" t="s">
        <v>114</v>
      </c>
      <c r="N3007" s="747"/>
      <c r="O3007" s="747"/>
      <c r="P3007" s="747"/>
      <c r="Q3007" s="748"/>
      <c r="R3007" s="758" t="s">
        <v>280</v>
      </c>
      <c r="S3007" s="748"/>
      <c r="T3007" s="762" t="str">
        <f>IF(COUNTIF(AE3007:AF3007,"VERIFICAR")&gt;0,"VERIFICAR",IF(COUNTIF(AE3007:AF3007,"NO CUMPLE")&gt;0,"NO CUMPLE","CUMPLE"))</f>
        <v>VERIFICAR</v>
      </c>
      <c r="U3007" s="108"/>
      <c r="Y3007" s="533" t="e">
        <f>IF(F3008="","",IF(F3008=1,"INDIVIDUAL","ESTRUCTURA PLURAL"))</f>
        <v>#N/A</v>
      </c>
      <c r="AC3007" s="52"/>
      <c r="AD3007" s="475" t="s">
        <v>303</v>
      </c>
      <c r="AE3007" s="476" t="str">
        <f>IF(COUNTIF(AE2993:AE3002,"")=10,"VERIFICAR",IF(COUNTIF(AE2993:AE3002,"SI")&gt;0,"CUMPLE","NO CUMPLE"))</f>
        <v>VERIFICAR</v>
      </c>
      <c r="AF3007" s="477" t="str">
        <f>IF(COUNTIF(AF2993:AF3002,"")=10,"VERIFICAR",IF(COUNTIF(AF2993:AF3002,"SI")&gt;=$AI$22,"CUMPLE","NO CUMPLE"))</f>
        <v>VERIFICAR</v>
      </c>
      <c r="AG3007" s="52"/>
      <c r="AH3007" s="87"/>
      <c r="AI3007" s="87"/>
    </row>
    <row r="3008" spans="1:35" ht="16.5" hidden="1" customHeight="1" thickBot="1">
      <c r="A3008" s="218" t="e">
        <f>"L"&amp;E2989</f>
        <v>#N/A</v>
      </c>
      <c r="B3008" s="702"/>
      <c r="C3008" s="751" t="s">
        <v>103</v>
      </c>
      <c r="D3008" s="751"/>
      <c r="E3008" s="752"/>
      <c r="F3008" s="557" t="e">
        <f>IF(VLOOKUP(E2989,PROPONENTES!$C$19:$E$218,3,0)="","",VLOOKUP(E2989,PROPONENTES!$C$19:$E$218,3,0))</f>
        <v>#N/A</v>
      </c>
      <c r="G3008" s="753" t="s">
        <v>104</v>
      </c>
      <c r="H3008" s="751"/>
      <c r="I3008" s="715" t="e">
        <f>IF(OR(F3008="",F3008=1),"INTERESADO PERSONA NATURAL O JURIDICA","CONSORCIO O UNION TEMPORAL")</f>
        <v>#N/A</v>
      </c>
      <c r="J3008" s="725"/>
      <c r="K3008" s="728"/>
      <c r="L3008" s="723"/>
      <c r="M3008" s="749"/>
      <c r="N3008" s="749"/>
      <c r="O3008" s="749"/>
      <c r="P3008" s="749"/>
      <c r="Q3008" s="750"/>
      <c r="R3008" s="712"/>
      <c r="S3008" s="750"/>
      <c r="T3008" s="763"/>
      <c r="U3008" s="108"/>
      <c r="Y3008" s="534"/>
      <c r="AA3008" s="52"/>
      <c r="AB3008" s="52"/>
      <c r="AC3008" s="52"/>
      <c r="AG3008" s="52"/>
      <c r="AH3008" s="87"/>
      <c r="AI3008" s="87"/>
    </row>
    <row r="3009" spans="1:35" ht="56.25" hidden="1" customHeight="1" thickBot="1">
      <c r="A3009" s="218" t="e">
        <f>"M"&amp;E2989</f>
        <v>#N/A</v>
      </c>
      <c r="B3009" s="702"/>
      <c r="C3009" s="725" t="s">
        <v>101</v>
      </c>
      <c r="D3009" s="716"/>
      <c r="E3009" s="558" t="s">
        <v>105</v>
      </c>
      <c r="F3009" s="554" t="s">
        <v>87</v>
      </c>
      <c r="G3009" s="553" t="s">
        <v>86</v>
      </c>
      <c r="H3009" s="559" t="s">
        <v>85</v>
      </c>
      <c r="I3009" s="554" t="s">
        <v>252</v>
      </c>
      <c r="J3009" s="553" t="str">
        <f>"¿EL INTEGRANTE TIENE UNA PARTICIPACIÓN DEL "&amp;PORCREQUERIDOINT*100&amp;"%?"</f>
        <v>¿EL INTEGRANTE TIENE UNA PARTICIPACIÓN DEL 60%?</v>
      </c>
      <c r="K3009" s="554" t="s">
        <v>107</v>
      </c>
      <c r="L3009" s="724"/>
      <c r="M3009" s="717" t="s">
        <v>115</v>
      </c>
      <c r="N3009" s="718"/>
      <c r="O3009" s="718"/>
      <c r="P3009" s="718"/>
      <c r="Q3009" s="223">
        <f>IF(AND(H2993="SI",P2993&gt;=0),1,0)+IF(AND(H2994="SI",P2994&gt;=0),1,0)+IF(AND(H2995="SI",P2995&gt;=0),1,0)+IF(AND(H2996="SI",P2996&gt;=0),1,0)+IF(AND(H2997="SI",P2997&gt;=0),1,0)+IF(AND(H2998="SI",P2998&gt;=0),1,0)+IF(AND(H2999="SI",P2999&gt;=0),1,0)+IF(AND(H3000="SI",P3000&gt;=0),1,0)+IF(AND(H3001="SI",P3001&gt;=0),1,0)+IF(AND(H3002="SI",P3002&gt;=0),1,0)</f>
        <v>0</v>
      </c>
      <c r="R3009" s="759"/>
      <c r="S3009" s="761"/>
      <c r="T3009" s="764"/>
      <c r="U3009" s="219"/>
      <c r="V3009" s="464"/>
      <c r="Y3009" s="532" t="s">
        <v>342</v>
      </c>
      <c r="AA3009" s="550" t="s">
        <v>344</v>
      </c>
      <c r="AB3009" s="693" t="s">
        <v>345</v>
      </c>
      <c r="AC3009" s="693" t="s">
        <v>346</v>
      </c>
      <c r="AD3009" s="685" t="s">
        <v>347</v>
      </c>
      <c r="AE3009" s="52"/>
      <c r="AF3009" s="52"/>
      <c r="AG3009" s="52"/>
      <c r="AH3009" s="87"/>
      <c r="AI3009" s="87"/>
    </row>
    <row r="3010" spans="1:35" ht="15.75" hidden="1" customHeight="1" thickBot="1">
      <c r="A3010" s="218" t="e">
        <f>"N"&amp;E2989</f>
        <v>#N/A</v>
      </c>
      <c r="B3010" s="702"/>
      <c r="C3010" s="114">
        <v>1</v>
      </c>
      <c r="D3010" s="194" t="e">
        <f>IF(AND(C3010&lt;=F3008,F3008&gt;1,F3008&lt;&gt;""),VLOOKUP(VALUE(E2989&amp;","&amp;C3010),INTEGRANTES!$D$18:$F$235,2,0),"")</f>
        <v>#N/A</v>
      </c>
      <c r="E3010" s="211" t="e">
        <f>IF(D3010&lt;&gt;"",VLOOKUP(VALUE(E2989&amp;","&amp;C3010),INTEGRANTES!$D$18:$F$235,3,0),"")</f>
        <v>#N/A</v>
      </c>
      <c r="F3010" s="547" t="e">
        <f>IF(D3010="","",SUMIF($I2993:$I3002,D3010,$P2993:$P3002))</f>
        <v>#N/A</v>
      </c>
      <c r="G3010" s="333" t="e">
        <f>IF(D3010="","",SUMIF($I2993:$I3002,D3010,$M2993:$M3002))</f>
        <v>#N/A</v>
      </c>
      <c r="H3010" s="535" t="e">
        <f t="shared" ref="H3010:H3015" si="884">IF(D3010="","",IF(OR(F3010=0,G3010=0),"NO APORTA",ROUND($F3010/$G3010,3)))</f>
        <v>#N/A</v>
      </c>
      <c r="I3010" s="212" t="e">
        <f>IF(D3010="","",IF(H3010="NO APORTA","NO",IF(H3010=MAX($H3010:$H3015),"SI","NO")))</f>
        <v>#N/A</v>
      </c>
      <c r="J3010" s="213" t="e">
        <f t="shared" ref="J3010:J3015" si="885">IF(D3010="","",IF(E3010&gt;=PORCREQUERIDOINT,"SI","NO"))</f>
        <v>#N/A</v>
      </c>
      <c r="K3010" s="200" t="e">
        <f t="shared" ref="K3010:K3015" si="886">IF(D3010="","",IF(AND(I3010="SI",J3010="SI"),"CUMPLE",IF(AND(I3010="NO",OR(J3010="SI",J3010="NO")),"","NO CUMPLE")))</f>
        <v>#N/A</v>
      </c>
      <c r="L3010" s="722" t="s">
        <v>108</v>
      </c>
      <c r="M3010" s="726" t="s">
        <v>119</v>
      </c>
      <c r="N3010" s="726"/>
      <c r="O3010" s="726"/>
      <c r="P3010" s="726"/>
      <c r="Q3010" s="727"/>
      <c r="R3010" s="758" t="s">
        <v>80</v>
      </c>
      <c r="S3010" s="747"/>
      <c r="T3010" s="748"/>
      <c r="U3010" s="219"/>
      <c r="V3010" s="464"/>
      <c r="Y3010" s="533" t="e">
        <f>IF(Y3007="","",IF(Y3007="INDIVIDUAL","NO APLICA","VERIFICAR CUADRO"))</f>
        <v>#N/A</v>
      </c>
      <c r="AA3010" s="551"/>
      <c r="AB3010" s="694"/>
      <c r="AC3010" s="694"/>
      <c r="AD3010" s="686"/>
      <c r="AE3010" s="52"/>
      <c r="AF3010" s="52"/>
      <c r="AG3010" s="52"/>
      <c r="AH3010" s="87"/>
      <c r="AI3010" s="87"/>
    </row>
    <row r="3011" spans="1:35" ht="27" hidden="1" customHeight="1" thickBot="1">
      <c r="A3011" s="218" t="e">
        <f>"O"&amp;E2989</f>
        <v>#N/A</v>
      </c>
      <c r="B3011" s="702"/>
      <c r="C3011" s="114">
        <v>2</v>
      </c>
      <c r="D3011" s="194" t="e">
        <f>IF(AND(C3011&lt;=F3008,F3008&lt;&gt;""),VLOOKUP(VALUE(E2989&amp;","&amp;C3011),INTEGRANTES!$D$18:$F$235,2,0),"")</f>
        <v>#N/A</v>
      </c>
      <c r="E3011" s="211" t="e">
        <f>IF(D3011&lt;&gt;"",VLOOKUP(VALUE(E2989&amp;","&amp;C3011),INTEGRANTES!$D$18:$F$235,3,0),"")</f>
        <v>#N/A</v>
      </c>
      <c r="F3011" s="547" t="e">
        <f>IF(D3011="","",SUMIF($I2993:$I3002,D3011,$P2993:$P3002))</f>
        <v>#N/A</v>
      </c>
      <c r="G3011" s="333" t="e">
        <f>IF(D3011="","",SUMIF($I2993:$I3002,D3011,$M2993:$M3002))</f>
        <v>#N/A</v>
      </c>
      <c r="H3011" s="535" t="e">
        <f t="shared" si="884"/>
        <v>#N/A</v>
      </c>
      <c r="I3011" s="212" t="e">
        <f>IF(D3011="","",IF(H3011="NO APORTA","NO",IF(H3011=MAX($H3010:$H3015),"SI","NO")))</f>
        <v>#N/A</v>
      </c>
      <c r="J3011" s="213" t="e">
        <f t="shared" si="885"/>
        <v>#N/A</v>
      </c>
      <c r="K3011" s="200" t="e">
        <f t="shared" si="886"/>
        <v>#N/A</v>
      </c>
      <c r="L3011" s="723"/>
      <c r="M3011" s="715" t="s">
        <v>116</v>
      </c>
      <c r="N3011" s="716"/>
      <c r="O3011" s="556" t="s">
        <v>113</v>
      </c>
      <c r="P3011" s="715" t="s">
        <v>117</v>
      </c>
      <c r="Q3011" s="728"/>
      <c r="R3011" s="759"/>
      <c r="S3011" s="760"/>
      <c r="T3011" s="761"/>
      <c r="U3011" s="219"/>
      <c r="V3011" s="464"/>
      <c r="Y3011" s="414"/>
      <c r="AA3011" s="542" t="e">
        <f>IF(AND(C3010&lt;=F3008,F3008&gt;1,F3008&lt;&gt;""),VLOOKUP(VALUE(E2989&amp;","&amp;C3010),INTEGRANTES!$D$18:$F$235,2,0),"")</f>
        <v>#N/A</v>
      </c>
      <c r="AB3011" s="544" t="e">
        <f t="shared" ref="AB3011:AB3016" si="887">IF(D3010="","",IF(OR(F3010=0,G3010=0),"NO APORTA",ROUND($F3010/$G3010,3)))</f>
        <v>#N/A</v>
      </c>
      <c r="AC3011" s="529"/>
      <c r="AD3011" s="200" t="e">
        <f t="shared" ref="AD3011:AD3016" si="888">IF(OR(AA3011="",AB3011=""),"",IF(AND(AC3011="X",AB3011&gt;=EXPREQVTD),"CUMPLE","NO CUMPLE"))</f>
        <v>#N/A</v>
      </c>
      <c r="AE3011" s="52"/>
      <c r="AF3011" s="52"/>
      <c r="AG3011" s="52"/>
      <c r="AH3011" s="87"/>
      <c r="AI3011" s="87"/>
    </row>
    <row r="3012" spans="1:35" ht="16.5" hidden="1" thickBot="1">
      <c r="A3012" s="218" t="e">
        <f>"P"&amp;E2989</f>
        <v>#N/A</v>
      </c>
      <c r="B3012" s="702"/>
      <c r="C3012" s="114">
        <v>3</v>
      </c>
      <c r="D3012" s="194" t="e">
        <f>IF(AND(C3012&lt;=F3008,F3008&lt;&gt;""),VLOOKUP(VALUE(E2989&amp;","&amp;C3012),INTEGRANTES!$D$18:$F$235,2,0),"")</f>
        <v>#N/A</v>
      </c>
      <c r="E3012" s="211" t="e">
        <f>IF(D3012&lt;&gt;"",VLOOKUP(VALUE(E2989&amp;","&amp;C3012),INTEGRANTES!$D$18:$F$235,3,0),"")</f>
        <v>#N/A</v>
      </c>
      <c r="F3012" s="547" t="e">
        <f>IF(D3012="","",SUMIF($I2993:$I3002,D3012,$P2993:$P3002))</f>
        <v>#N/A</v>
      </c>
      <c r="G3012" s="333" t="e">
        <f>IF(D3012="","",SUMIF($I2993:$I3002,D3012,$M2993:$M3002))</f>
        <v>#N/A</v>
      </c>
      <c r="H3012" s="535" t="e">
        <f t="shared" si="884"/>
        <v>#N/A</v>
      </c>
      <c r="I3012" s="212" t="e">
        <f>IF(D3012="","",IF(H3012="NO APORTA","NO",IF(H3012=MAX($H3010:$H3015),"SI","NO")))</f>
        <v>#N/A</v>
      </c>
      <c r="J3012" s="213" t="e">
        <f t="shared" si="885"/>
        <v>#N/A</v>
      </c>
      <c r="K3012" s="200" t="e">
        <f t="shared" si="886"/>
        <v>#N/A</v>
      </c>
      <c r="L3012" s="724"/>
      <c r="M3012" s="729">
        <f>NUMMOD</f>
        <v>1</v>
      </c>
      <c r="N3012" s="730"/>
      <c r="O3012" s="443">
        <f>IF(M3012="","",VLOOKUP(M3012,PRESUPUESTOS!$B$16:$H$16,5,FALSE))</f>
        <v>2</v>
      </c>
      <c r="P3012" s="713">
        <f>IF(OR(COUNTIF(M2993:M3002,"")&gt;=10,Q3009&lt;NUMMINCONT,OR(T3007="NO CUMPLE",T3007="VERIFICAR")),0,ROUND(AVERAGE(M2993:M3002),3))</f>
        <v>0</v>
      </c>
      <c r="Q3012" s="714"/>
      <c r="R3012" s="458"/>
      <c r="S3012" s="459"/>
      <c r="T3012" s="460"/>
      <c r="U3012" s="219"/>
      <c r="V3012" s="464"/>
      <c r="Y3012" s="532" t="str">
        <f>"40% * ("&amp;PRESUPUESTOS!$H$13&amp;")"</f>
        <v>40% * (50% PFMO)</v>
      </c>
      <c r="AA3012" s="540" t="e">
        <f>IF(AND(C3011&lt;=F3008,F3008&lt;&gt;""),VLOOKUP(VALUE(E2989&amp;","&amp;C3011),INTEGRANTES!$D$18:$F$235,2,0),"")</f>
        <v>#N/A</v>
      </c>
      <c r="AB3012" s="545" t="e">
        <f t="shared" si="887"/>
        <v>#N/A</v>
      </c>
      <c r="AC3012" s="529"/>
      <c r="AD3012" s="200" t="e">
        <f t="shared" si="888"/>
        <v>#N/A</v>
      </c>
      <c r="AE3012" s="52"/>
      <c r="AF3012" s="52"/>
      <c r="AG3012" s="52"/>
      <c r="AH3012" s="87"/>
      <c r="AI3012" s="87"/>
    </row>
    <row r="3013" spans="1:35" ht="15.75" hidden="1" customHeight="1" thickBot="1">
      <c r="A3013" s="218" t="e">
        <f>"Q"&amp;E2989</f>
        <v>#N/A</v>
      </c>
      <c r="B3013" s="702"/>
      <c r="C3013" s="114">
        <v>4</v>
      </c>
      <c r="D3013" s="194" t="e">
        <f>IF(AND(C3013&lt;=F3008,F3008&lt;&gt;""),VLOOKUP(VALUE(E2989&amp;","&amp;C3013),INTEGRANTES!$D$18:$F$235,2,0),"")</f>
        <v>#N/A</v>
      </c>
      <c r="E3013" s="211" t="e">
        <f>IF(D3013&lt;&gt;"",VLOOKUP(VALUE(E2989&amp;","&amp;C3013),INTEGRANTES!$D$18:$F$235,3,0),"")</f>
        <v>#N/A</v>
      </c>
      <c r="F3013" s="547" t="e">
        <f>IF(D3013="","",SUMIF($I2993:$I3002,D3013,$P2993:$P3002))</f>
        <v>#N/A</v>
      </c>
      <c r="G3013" s="333" t="e">
        <f>IF(D3013="","",SUMIF($I2993:$I3002,D3013,$M2993:$M3002))</f>
        <v>#N/A</v>
      </c>
      <c r="H3013" s="535" t="e">
        <f t="shared" si="884"/>
        <v>#N/A</v>
      </c>
      <c r="I3013" s="212" t="e">
        <f>IF(D3013="","",IF(H3013="NO APORTA","NO",IF(H3013=MAX($H3010:$H3015),"SI","NO")))</f>
        <v>#N/A</v>
      </c>
      <c r="J3013" s="213" t="e">
        <f t="shared" si="885"/>
        <v>#N/A</v>
      </c>
      <c r="K3013" s="200" t="e">
        <f t="shared" si="886"/>
        <v>#N/A</v>
      </c>
      <c r="L3013" s="720" t="s">
        <v>109</v>
      </c>
      <c r="M3013" s="757" t="s">
        <v>120</v>
      </c>
      <c r="N3013" s="726"/>
      <c r="O3013" s="726"/>
      <c r="P3013" s="726"/>
      <c r="Q3013" s="727"/>
      <c r="R3013" s="458"/>
      <c r="S3013" s="459"/>
      <c r="T3013" s="460"/>
      <c r="U3013" s="219"/>
      <c r="V3013" s="464"/>
      <c r="Y3013" s="537">
        <f>0.4*PRESUPUESTOS!$H$16</f>
        <v>10.3124</v>
      </c>
      <c r="AA3013" s="540" t="e">
        <f>IF(AND(C3012&lt;=F3008,F3008&lt;&gt;""),VLOOKUP(VALUE(E2989&amp;","&amp;C3012),INTEGRANTES!$D$18:$F$235,2,0),"")</f>
        <v>#N/A</v>
      </c>
      <c r="AB3013" s="545" t="e">
        <f t="shared" si="887"/>
        <v>#N/A</v>
      </c>
      <c r="AC3013" s="529"/>
      <c r="AD3013" s="200" t="e">
        <f t="shared" si="888"/>
        <v>#N/A</v>
      </c>
      <c r="AE3013" s="52"/>
      <c r="AF3013" s="52"/>
      <c r="AG3013" s="52"/>
      <c r="AH3013" s="87"/>
      <c r="AI3013" s="87"/>
    </row>
    <row r="3014" spans="1:35" ht="27" hidden="1" customHeight="1" thickBot="1">
      <c r="A3014" s="218" t="e">
        <f>"R"&amp;E2989</f>
        <v>#N/A</v>
      </c>
      <c r="B3014" s="702"/>
      <c r="C3014" s="114">
        <v>5</v>
      </c>
      <c r="D3014" s="194" t="e">
        <f>IF(AND(C3014&lt;=F3008,F3008&lt;&gt;""),VLOOKUP(VALUE(E2989&amp;","&amp;C3014),INTEGRANTES!$D$18:$F$235,2,0),"")</f>
        <v>#N/A</v>
      </c>
      <c r="E3014" s="211" t="e">
        <f>IF(D3014&lt;&gt;"",VLOOKUP(VALUE(E2989&amp;","&amp;C3014),INTEGRANTES!$D$18:$F$235,3,0),"")</f>
        <v>#N/A</v>
      </c>
      <c r="F3014" s="547" t="e">
        <f>IF(D3014="","",SUMIF($I2993:$I3002,D3014,$P2993:$P3002))</f>
        <v>#N/A</v>
      </c>
      <c r="G3014" s="333" t="e">
        <f>IF(D3014="","",SUMIF($I2993:$I3002,D3014,$M2993:$M3002))</f>
        <v>#N/A</v>
      </c>
      <c r="H3014" s="535" t="e">
        <f t="shared" si="884"/>
        <v>#N/A</v>
      </c>
      <c r="I3014" s="212" t="e">
        <f>IF(D3014="","",IF(H3014="NO APORTA","NO",IF(H3014=MAX($H3010:$H3015),"SI","NO")))</f>
        <v>#N/A</v>
      </c>
      <c r="J3014" s="213" t="e">
        <f t="shared" si="885"/>
        <v>#N/A</v>
      </c>
      <c r="K3014" s="200" t="e">
        <f t="shared" si="886"/>
        <v>#N/A</v>
      </c>
      <c r="L3014" s="721"/>
      <c r="M3014" s="715" t="s">
        <v>116</v>
      </c>
      <c r="N3014" s="716"/>
      <c r="O3014" s="556" t="str">
        <f>PORCREQUERIDO*100&amp;"% PMFO DEL MÓDULO"</f>
        <v>50% PMFO DEL MÓDULO</v>
      </c>
      <c r="P3014" s="715" t="s">
        <v>118</v>
      </c>
      <c r="Q3014" s="728"/>
      <c r="R3014" s="458"/>
      <c r="S3014" s="459"/>
      <c r="T3014" s="460"/>
      <c r="U3014" s="219"/>
      <c r="V3014" s="464"/>
      <c r="Y3014" s="414"/>
      <c r="AA3014" s="540" t="e">
        <f>IF(AND(C3013&lt;=F3008,F3008&lt;&gt;""),VLOOKUP(VALUE(E2989&amp;","&amp;C3013),INTEGRANTES!$D$18:$F$235,2,0),"")</f>
        <v>#N/A</v>
      </c>
      <c r="AB3014" s="545" t="e">
        <f t="shared" si="887"/>
        <v>#N/A</v>
      </c>
      <c r="AC3014" s="529"/>
      <c r="AD3014" s="200" t="e">
        <f t="shared" si="888"/>
        <v>#N/A</v>
      </c>
      <c r="AE3014" s="52"/>
      <c r="AF3014" s="52"/>
      <c r="AG3014" s="52"/>
      <c r="AH3014" s="87"/>
      <c r="AI3014" s="87"/>
    </row>
    <row r="3015" spans="1:35" ht="16.5" hidden="1" thickBot="1">
      <c r="A3015" s="218" t="e">
        <f>"S"&amp;E2989</f>
        <v>#N/A</v>
      </c>
      <c r="B3015" s="702"/>
      <c r="C3015" s="215">
        <v>6</v>
      </c>
      <c r="D3015" s="216" t="e">
        <f>IF(AND(C3015&lt;=F3008,F3008&lt;&gt;""),VLOOKUP(VALUE(E2989&amp;","&amp;C3015),INTEGRANTES!$D$18:$F$235,2,0),"")</f>
        <v>#N/A</v>
      </c>
      <c r="E3015" s="217" t="e">
        <f>IF(D3015&lt;&gt;"",VLOOKUP(VALUE(E2989&amp;","&amp;C3015),INTEGRANTES!$D$18:$F$235,3,0),"")</f>
        <v>#N/A</v>
      </c>
      <c r="F3015" s="548" t="e">
        <f>IF(D3015="","",SUMIF($I2993:$I3002,D3015,$P2993:$P3002))</f>
        <v>#N/A</v>
      </c>
      <c r="G3015" s="334" t="e">
        <f>IF(D3015="","",SUMIF($I2993:$I3002,D3015,$M2993:$M3002))</f>
        <v>#N/A</v>
      </c>
      <c r="H3015" s="536" t="e">
        <f t="shared" si="884"/>
        <v>#N/A</v>
      </c>
      <c r="I3015" s="214" t="e">
        <f>IF(D3015="","",IF(H3015="NO APORTA","NO",IF(H3015=MAX($H3010:$H3015),"SI","NO")))</f>
        <v>#N/A</v>
      </c>
      <c r="J3015" s="213" t="e">
        <f t="shared" si="885"/>
        <v>#N/A</v>
      </c>
      <c r="K3015" s="200" t="e">
        <f t="shared" si="886"/>
        <v>#N/A</v>
      </c>
      <c r="L3015" s="721"/>
      <c r="M3015" s="729">
        <f>NUMMOD</f>
        <v>1</v>
      </c>
      <c r="N3015" s="730"/>
      <c r="O3015" s="443">
        <f>IF(M3015="","",ROUND(VLOOKUP(M3015,PRESUPUESTOS!$B$16:$H$16,7,FALSE),3))</f>
        <v>25.780999999999999</v>
      </c>
      <c r="P3015" s="713">
        <f>IF(OR(COUNTIF(P2993:P3002,"")&gt;=10,Q3009&lt;NUMMINCONT,OR(T3007="NO CUMPLE",T3007="VERIFICAR")),0,ROUND((SUM(P2993:P3002)/SUM(M2993:M3002)),3))</f>
        <v>0</v>
      </c>
      <c r="Q3015" s="714"/>
      <c r="R3015" s="458"/>
      <c r="S3015" s="459"/>
      <c r="T3015" s="460"/>
      <c r="U3015" s="219"/>
      <c r="V3015" s="464"/>
      <c r="Y3015" s="532" t="s">
        <v>343</v>
      </c>
      <c r="AA3015" s="540" t="e">
        <f>IF(AND(C3014&lt;=F3008,F3008&lt;&gt;""),VLOOKUP(VALUE(E2989&amp;","&amp;C3014),INTEGRANTES!$D$18:$F$235,2,0),"")</f>
        <v>#N/A</v>
      </c>
      <c r="AB3015" s="545" t="e">
        <f t="shared" si="887"/>
        <v>#N/A</v>
      </c>
      <c r="AC3015" s="529"/>
      <c r="AD3015" s="200" t="e">
        <f t="shared" si="888"/>
        <v>#N/A</v>
      </c>
      <c r="AE3015" s="52"/>
      <c r="AF3015" s="52"/>
      <c r="AG3015" s="52"/>
      <c r="AH3015" s="87"/>
      <c r="AI3015" s="87"/>
    </row>
    <row r="3016" spans="1:35" ht="16.5" hidden="1" customHeight="1" thickBot="1">
      <c r="A3016" s="218" t="e">
        <f>"T"&amp;E2989</f>
        <v>#N/A</v>
      </c>
      <c r="B3016" s="703"/>
      <c r="C3016" s="719"/>
      <c r="D3016" s="719"/>
      <c r="E3016" s="719"/>
      <c r="F3016" s="719"/>
      <c r="G3016" s="719"/>
      <c r="H3016" s="719" t="s">
        <v>110</v>
      </c>
      <c r="I3016" s="719"/>
      <c r="J3016" s="719"/>
      <c r="K3016" s="201" t="str">
        <f>IF(COUNTIF(K3010:K3015,"")=6,"",IF(COUNTIF(K3010:K3015,"CUMPLE")&gt;0,"CUMPLE","NO CUMPLE"))</f>
        <v>NO CUMPLE</v>
      </c>
      <c r="L3016" s="754"/>
      <c r="M3016" s="755"/>
      <c r="N3016" s="755"/>
      <c r="O3016" s="755"/>
      <c r="P3016" s="755"/>
      <c r="Q3016" s="756"/>
      <c r="R3016" s="461"/>
      <c r="S3016" s="462"/>
      <c r="T3016" s="463"/>
      <c r="U3016" s="219"/>
      <c r="V3016" s="464"/>
      <c r="Y3016" s="549" t="e">
        <f>IF(Y3010="NO APLICA","NO APLICA",IF(COUNTIF(AD3011:AD3016,"CUMPLE")&gt;0,"CUMPLE","NO CUMPLE"))</f>
        <v>#N/A</v>
      </c>
      <c r="AA3016" s="541" t="e">
        <f>IF(AND(C3015&lt;=F3008,F3008&lt;&gt;""),VLOOKUP(VALUE(E2989&amp;","&amp;C3015),INTEGRANTES!$D$18:$F$235,2,0),"")</f>
        <v>#N/A</v>
      </c>
      <c r="AB3016" s="546" t="e">
        <f t="shared" si="887"/>
        <v>#N/A</v>
      </c>
      <c r="AC3016" s="543"/>
      <c r="AD3016" s="201" t="e">
        <f t="shared" si="888"/>
        <v>#N/A</v>
      </c>
      <c r="AE3016" s="52"/>
      <c r="AF3016" s="52"/>
      <c r="AG3016" s="52"/>
      <c r="AH3016" s="87"/>
      <c r="AI3016" s="87"/>
    </row>
    <row r="3017" spans="1:35" hidden="1">
      <c r="AH3017" s="87"/>
      <c r="AI3017" s="87"/>
    </row>
    <row r="3018" spans="1:35" hidden="1">
      <c r="AH3018" s="87"/>
      <c r="AI3018" s="87"/>
    </row>
    <row r="3019" spans="1:35" ht="24" hidden="1" thickBot="1">
      <c r="A3019" s="61">
        <v>101</v>
      </c>
      <c r="B3019" s="704" t="s">
        <v>51</v>
      </c>
      <c r="C3019" s="704"/>
      <c r="D3019" s="704"/>
      <c r="E3019" s="62" t="e">
        <f>VLOOKUP(A3019,PROPONENTES!$B$19:$E$218,2,FALSE)</f>
        <v>#N/A</v>
      </c>
      <c r="F3019" s="63" t="e">
        <f>VLOOKUP(A3019,PROPONENTES!$B$19:$E$218,3,FALSE)</f>
        <v>#N/A</v>
      </c>
      <c r="G3019" s="64"/>
      <c r="H3019" s="64"/>
      <c r="I3019" s="63"/>
      <c r="J3019" s="63"/>
      <c r="K3019" s="65"/>
      <c r="L3019" s="65"/>
      <c r="M3019" s="64"/>
      <c r="N3019" s="64"/>
      <c r="O3019" s="66"/>
      <c r="P3019" s="66"/>
      <c r="Q3019" s="66"/>
      <c r="R3019" s="66"/>
      <c r="S3019" s="67"/>
      <c r="T3019" s="68"/>
      <c r="U3019" s="68"/>
      <c r="AC3019" s="68"/>
      <c r="AD3019" s="68"/>
      <c r="AE3019" s="68"/>
      <c r="AF3019" s="68"/>
      <c r="AG3019" s="68"/>
      <c r="AH3019" s="87"/>
      <c r="AI3019" s="87"/>
    </row>
    <row r="3020" spans="1:35" ht="15.75" hidden="1" customHeight="1">
      <c r="A3020" s="44"/>
      <c r="B3020" s="709" t="s">
        <v>59</v>
      </c>
      <c r="C3020" s="552" t="s">
        <v>60</v>
      </c>
      <c r="D3020" s="70" t="s">
        <v>17</v>
      </c>
      <c r="E3020" s="70"/>
      <c r="F3020" s="70" t="s">
        <v>61</v>
      </c>
      <c r="G3020" s="71"/>
      <c r="H3020" s="699" t="s">
        <v>62</v>
      </c>
      <c r="I3020" s="699" t="s">
        <v>18</v>
      </c>
      <c r="J3020" s="699" t="s">
        <v>63</v>
      </c>
      <c r="K3020" s="699" t="s">
        <v>64</v>
      </c>
      <c r="L3020" s="699" t="s">
        <v>65</v>
      </c>
      <c r="M3020" s="743" t="s">
        <v>66</v>
      </c>
      <c r="N3020" s="699" t="s">
        <v>282</v>
      </c>
      <c r="O3020" s="745" t="s">
        <v>67</v>
      </c>
      <c r="P3020" s="746"/>
      <c r="Q3020" s="102" t="s">
        <v>75</v>
      </c>
      <c r="R3020" s="731" t="s">
        <v>22</v>
      </c>
      <c r="S3020" s="732"/>
      <c r="T3020" s="733"/>
      <c r="U3020" s="712" t="s">
        <v>298</v>
      </c>
      <c r="W3020" s="690" t="s">
        <v>268</v>
      </c>
      <c r="X3020" s="691"/>
      <c r="Y3020" s="692"/>
      <c r="Z3020" s="428"/>
      <c r="AA3020" s="697" t="s">
        <v>315</v>
      </c>
      <c r="AB3020" s="695" t="s">
        <v>322</v>
      </c>
      <c r="AC3020" s="49"/>
      <c r="AD3020" s="690" t="s">
        <v>297</v>
      </c>
      <c r="AE3020" s="691"/>
      <c r="AF3020" s="692"/>
      <c r="AG3020" s="49"/>
      <c r="AH3020" s="87"/>
      <c r="AI3020" s="87"/>
    </row>
    <row r="3021" spans="1:35" ht="72" hidden="1">
      <c r="A3021" s="44"/>
      <c r="B3021" s="710"/>
      <c r="C3021" s="553" t="s">
        <v>68</v>
      </c>
      <c r="D3021" s="73" t="s">
        <v>3</v>
      </c>
      <c r="E3021" s="73" t="s">
        <v>19</v>
      </c>
      <c r="F3021" s="73" t="s">
        <v>69</v>
      </c>
      <c r="G3021" s="74" t="s">
        <v>70</v>
      </c>
      <c r="H3021" s="700"/>
      <c r="I3021" s="700"/>
      <c r="J3021" s="700"/>
      <c r="K3021" s="700"/>
      <c r="L3021" s="700"/>
      <c r="M3021" s="744"/>
      <c r="N3021" s="700"/>
      <c r="O3021" s="553" t="s">
        <v>279</v>
      </c>
      <c r="P3021" s="73" t="s">
        <v>88</v>
      </c>
      <c r="Q3021" s="555" t="s">
        <v>76</v>
      </c>
      <c r="R3021" s="734"/>
      <c r="S3021" s="735"/>
      <c r="T3021" s="736"/>
      <c r="U3021" s="712"/>
      <c r="W3021" s="429" t="s">
        <v>269</v>
      </c>
      <c r="X3021" s="457" t="s">
        <v>278</v>
      </c>
      <c r="Y3021" s="430" t="s">
        <v>324</v>
      </c>
      <c r="Z3021" s="428"/>
      <c r="AA3021" s="698"/>
      <c r="AB3021" s="696"/>
      <c r="AC3021" s="49"/>
      <c r="AD3021" s="429" t="s">
        <v>292</v>
      </c>
      <c r="AE3021" s="431" t="s">
        <v>300</v>
      </c>
      <c r="AF3021" s="468" t="s">
        <v>301</v>
      </c>
      <c r="AG3021" s="49"/>
      <c r="AH3021" s="87"/>
      <c r="AI3021" s="87"/>
    </row>
    <row r="3022" spans="1:35" hidden="1">
      <c r="A3022" s="44"/>
      <c r="B3022" s="76"/>
      <c r="C3022" s="77"/>
      <c r="D3022" s="77"/>
      <c r="E3022" s="77"/>
      <c r="F3022" s="77"/>
      <c r="G3022" s="77"/>
      <c r="H3022" s="77"/>
      <c r="I3022" s="77"/>
      <c r="J3022" s="77"/>
      <c r="K3022" s="77"/>
      <c r="L3022" s="77"/>
      <c r="M3022" s="77"/>
      <c r="N3022" s="77"/>
      <c r="O3022" s="77"/>
      <c r="P3022" s="77"/>
      <c r="Q3022" s="77"/>
      <c r="R3022" s="77"/>
      <c r="S3022" s="78"/>
      <c r="T3022" s="79"/>
      <c r="U3022" s="109"/>
      <c r="V3022" s="49"/>
      <c r="W3022" s="432"/>
      <c r="X3022" s="454"/>
      <c r="Y3022" s="433"/>
      <c r="Z3022" s="6"/>
      <c r="AA3022" s="500"/>
      <c r="AB3022" s="562"/>
      <c r="AC3022" s="49"/>
      <c r="AD3022" s="210"/>
      <c r="AE3022" s="434"/>
      <c r="AF3022" s="435"/>
      <c r="AG3022" s="49"/>
      <c r="AH3022" s="87"/>
      <c r="AI3022" s="87"/>
    </row>
    <row r="3023" spans="1:35" hidden="1">
      <c r="A3023" s="80" t="e">
        <f>"A"&amp;E3019</f>
        <v>#N/A</v>
      </c>
      <c r="B3023" s="81">
        <v>1</v>
      </c>
      <c r="C3023" s="82"/>
      <c r="D3023" s="82"/>
      <c r="E3023" s="82"/>
      <c r="F3023" s="82"/>
      <c r="G3023" s="83"/>
      <c r="H3023" s="83"/>
      <c r="I3023" s="84"/>
      <c r="J3023" s="85"/>
      <c r="K3023" s="382"/>
      <c r="L3023" s="85"/>
      <c r="M3023" s="332" t="str">
        <f t="shared" ref="M3023:M3032" si="889">IF(OR(J3023="",L3023="",H3023="NO"),"",IF(OR(J3023&gt;$P$17,J3023&lt;$O$17,L3023&gt;$P$17,AND(J3023&lt;$O$17,L3023&lt;$O$17)),"FUERA DE RANGO",IF(OR(K3023="---",K3023=""),IF(J3023&gt;=$O$17,ROUND((L3023-J3023+1)/360*12,3),ROUND((L3023-$O$17+1)/360*12,3)),IF(J3023&gt;=$O$17,ROUND((L3023-J3023+1)/360*12-ROUND(K3023,3),3),ROUND((L3023-$O$17+1)/360*12-ROUND(K3023,3),3)))))</f>
        <v/>
      </c>
      <c r="N3023" s="86"/>
      <c r="O3023" s="453" t="str">
        <f>IF(OR(G3023="",N3023=""),"",N3023*G3023)</f>
        <v/>
      </c>
      <c r="P3023" s="538" t="str">
        <f>IF(OR(H3023="",M3023="FUERA DE RANGO"),"",IF(OR(L3023&lt;$O$17,L3023&gt;$P$17,L3023="",H3023="NO"),"",IF(OR(N3023="",O3023=""),"",ROUND(O3023,3))))</f>
        <v/>
      </c>
      <c r="Q3023" s="539" t="str">
        <f t="shared" ref="Q3023:Q3032" si="890">IF(AND(H3023="SI",P3023&lt;&gt;""),ROUND(P3023/M3023,3),"")</f>
        <v/>
      </c>
      <c r="R3023" s="737"/>
      <c r="S3023" s="738"/>
      <c r="T3023" s="739"/>
      <c r="U3023" s="470"/>
      <c r="V3023" s="165"/>
      <c r="W3023" s="446"/>
      <c r="X3023" s="456"/>
      <c r="Y3023" s="436"/>
      <c r="Z3023" s="437"/>
      <c r="AA3023" s="560"/>
      <c r="AB3023" s="561"/>
      <c r="AC3023" s="87"/>
      <c r="AD3023" s="466"/>
      <c r="AE3023" s="456"/>
      <c r="AF3023" s="467"/>
      <c r="AG3023" s="87"/>
      <c r="AH3023" s="87"/>
      <c r="AI3023" s="87"/>
    </row>
    <row r="3024" spans="1:35" hidden="1">
      <c r="A3024" s="80" t="e">
        <f>"B"&amp;E3019</f>
        <v>#N/A</v>
      </c>
      <c r="B3024" s="81">
        <v>2</v>
      </c>
      <c r="C3024" s="106"/>
      <c r="D3024" s="106"/>
      <c r="E3024" s="106"/>
      <c r="F3024" s="106"/>
      <c r="G3024" s="83"/>
      <c r="H3024" s="83"/>
      <c r="I3024" s="84"/>
      <c r="J3024" s="85"/>
      <c r="K3024" s="382"/>
      <c r="L3024" s="85"/>
      <c r="M3024" s="332" t="str">
        <f t="shared" si="889"/>
        <v/>
      </c>
      <c r="N3024" s="86"/>
      <c r="O3024" s="453" t="str">
        <f t="shared" ref="O3024:O3032" si="891">IF(OR(G3024="",N3024=""),"",N3024*G3024)</f>
        <v/>
      </c>
      <c r="P3024" s="538" t="str">
        <f t="shared" ref="P3024:P3032" si="892">IF(OR(H3024="",M3024="FUERA DE RANGO"),"",IF(OR(L3024&lt;$O$17,L3024&gt;$P$17,L3024="",H3024="NO"),"",IF(OR(N3024="",O3024=""),"",ROUND(O3024,3))))</f>
        <v/>
      </c>
      <c r="Q3024" s="539" t="str">
        <f t="shared" si="890"/>
        <v/>
      </c>
      <c r="R3024" s="740"/>
      <c r="S3024" s="741"/>
      <c r="T3024" s="742"/>
      <c r="U3024" s="471"/>
      <c r="V3024" s="165"/>
      <c r="W3024" s="446"/>
      <c r="X3024" s="456"/>
      <c r="Y3024" s="436"/>
      <c r="Z3024" s="437"/>
      <c r="AA3024" s="560"/>
      <c r="AB3024" s="561"/>
      <c r="AC3024" s="87"/>
      <c r="AD3024" s="466"/>
      <c r="AE3024" s="456"/>
      <c r="AF3024" s="467"/>
      <c r="AG3024" s="87"/>
      <c r="AH3024" s="87"/>
      <c r="AI3024" s="87"/>
    </row>
    <row r="3025" spans="1:35" hidden="1">
      <c r="A3025" s="80" t="e">
        <f>"C"&amp;E3019</f>
        <v>#N/A</v>
      </c>
      <c r="B3025" s="88">
        <v>3</v>
      </c>
      <c r="C3025" s="82"/>
      <c r="D3025" s="82"/>
      <c r="E3025" s="82"/>
      <c r="F3025" s="82"/>
      <c r="G3025" s="83"/>
      <c r="H3025" s="83"/>
      <c r="I3025" s="84"/>
      <c r="J3025" s="85"/>
      <c r="K3025" s="382"/>
      <c r="L3025" s="85"/>
      <c r="M3025" s="332" t="str">
        <f t="shared" si="889"/>
        <v/>
      </c>
      <c r="N3025" s="86"/>
      <c r="O3025" s="453" t="str">
        <f t="shared" si="891"/>
        <v/>
      </c>
      <c r="P3025" s="538" t="str">
        <f t="shared" si="892"/>
        <v/>
      </c>
      <c r="Q3025" s="539" t="str">
        <f t="shared" si="890"/>
        <v/>
      </c>
      <c r="R3025" s="706"/>
      <c r="S3025" s="707"/>
      <c r="T3025" s="708"/>
      <c r="U3025" s="472"/>
      <c r="V3025" s="166"/>
      <c r="W3025" s="446"/>
      <c r="X3025" s="456"/>
      <c r="Y3025" s="436"/>
      <c r="Z3025" s="437"/>
      <c r="AA3025" s="560"/>
      <c r="AB3025" s="561"/>
      <c r="AC3025" s="87"/>
      <c r="AD3025" s="466"/>
      <c r="AE3025" s="456"/>
      <c r="AF3025" s="467"/>
      <c r="AG3025" s="87"/>
      <c r="AH3025" s="87"/>
      <c r="AI3025" s="87"/>
    </row>
    <row r="3026" spans="1:35" hidden="1">
      <c r="A3026" s="80" t="e">
        <f>"D"&amp;E3019</f>
        <v>#N/A</v>
      </c>
      <c r="B3026" s="105">
        <v>4</v>
      </c>
      <c r="C3026" s="107"/>
      <c r="D3026" s="107"/>
      <c r="E3026" s="107"/>
      <c r="F3026" s="107"/>
      <c r="G3026" s="83"/>
      <c r="H3026" s="83"/>
      <c r="I3026" s="84"/>
      <c r="J3026" s="85"/>
      <c r="K3026" s="382"/>
      <c r="L3026" s="85"/>
      <c r="M3026" s="332" t="str">
        <f t="shared" si="889"/>
        <v/>
      </c>
      <c r="N3026" s="86"/>
      <c r="O3026" s="453" t="str">
        <f t="shared" si="891"/>
        <v/>
      </c>
      <c r="P3026" s="538" t="str">
        <f t="shared" si="892"/>
        <v/>
      </c>
      <c r="Q3026" s="539" t="str">
        <f t="shared" si="890"/>
        <v/>
      </c>
      <c r="R3026" s="706"/>
      <c r="S3026" s="707"/>
      <c r="T3026" s="708"/>
      <c r="U3026" s="472"/>
      <c r="V3026" s="166"/>
      <c r="W3026" s="446"/>
      <c r="X3026" s="456"/>
      <c r="Y3026" s="436"/>
      <c r="Z3026" s="437"/>
      <c r="AA3026" s="560"/>
      <c r="AB3026" s="561"/>
      <c r="AC3026" s="87"/>
      <c r="AD3026" s="466"/>
      <c r="AE3026" s="456"/>
      <c r="AF3026" s="467"/>
      <c r="AG3026" s="87"/>
      <c r="AH3026" s="87"/>
      <c r="AI3026" s="87"/>
    </row>
    <row r="3027" spans="1:35" hidden="1">
      <c r="A3027" s="80" t="e">
        <f>"E"&amp;E3019</f>
        <v>#N/A</v>
      </c>
      <c r="B3027" s="105">
        <v>5</v>
      </c>
      <c r="C3027" s="107"/>
      <c r="D3027" s="107"/>
      <c r="E3027" s="107"/>
      <c r="F3027" s="107"/>
      <c r="G3027" s="83"/>
      <c r="H3027" s="83"/>
      <c r="I3027" s="84"/>
      <c r="J3027" s="85"/>
      <c r="K3027" s="382"/>
      <c r="L3027" s="85"/>
      <c r="M3027" s="332" t="str">
        <f t="shared" si="889"/>
        <v/>
      </c>
      <c r="N3027" s="86"/>
      <c r="O3027" s="453" t="str">
        <f t="shared" si="891"/>
        <v/>
      </c>
      <c r="P3027" s="538" t="str">
        <f t="shared" si="892"/>
        <v/>
      </c>
      <c r="Q3027" s="539" t="str">
        <f t="shared" si="890"/>
        <v/>
      </c>
      <c r="R3027" s="706"/>
      <c r="S3027" s="707"/>
      <c r="T3027" s="708"/>
      <c r="U3027" s="472"/>
      <c r="V3027" s="167"/>
      <c r="W3027" s="446"/>
      <c r="X3027" s="456"/>
      <c r="Y3027" s="436"/>
      <c r="Z3027" s="437"/>
      <c r="AA3027" s="560"/>
      <c r="AB3027" s="561"/>
      <c r="AC3027" s="87"/>
      <c r="AD3027" s="466"/>
      <c r="AE3027" s="456"/>
      <c r="AF3027" s="467"/>
      <c r="AG3027" s="87"/>
      <c r="AH3027" s="87"/>
      <c r="AI3027" s="87"/>
    </row>
    <row r="3028" spans="1:35" hidden="1">
      <c r="A3028" s="80" t="e">
        <f>"F"&amp;E3019</f>
        <v>#N/A</v>
      </c>
      <c r="B3028" s="105">
        <v>6</v>
      </c>
      <c r="C3028" s="107"/>
      <c r="D3028" s="107"/>
      <c r="E3028" s="107"/>
      <c r="F3028" s="107"/>
      <c r="G3028" s="83"/>
      <c r="H3028" s="83"/>
      <c r="I3028" s="84"/>
      <c r="J3028" s="85"/>
      <c r="K3028" s="382"/>
      <c r="L3028" s="85"/>
      <c r="M3028" s="332" t="str">
        <f t="shared" si="889"/>
        <v/>
      </c>
      <c r="N3028" s="86"/>
      <c r="O3028" s="453" t="str">
        <f t="shared" si="891"/>
        <v/>
      </c>
      <c r="P3028" s="538" t="str">
        <f t="shared" si="892"/>
        <v/>
      </c>
      <c r="Q3028" s="539" t="str">
        <f t="shared" si="890"/>
        <v/>
      </c>
      <c r="R3028" s="706"/>
      <c r="S3028" s="707"/>
      <c r="T3028" s="708"/>
      <c r="U3028" s="472"/>
      <c r="V3028" s="167"/>
      <c r="W3028" s="446"/>
      <c r="X3028" s="456"/>
      <c r="Y3028" s="436"/>
      <c r="Z3028" s="437"/>
      <c r="AA3028" s="560"/>
      <c r="AB3028" s="561"/>
      <c r="AC3028" s="87"/>
      <c r="AD3028" s="466"/>
      <c r="AE3028" s="456"/>
      <c r="AF3028" s="467"/>
      <c r="AG3028" s="87"/>
      <c r="AH3028" s="87"/>
      <c r="AI3028" s="87"/>
    </row>
    <row r="3029" spans="1:35" hidden="1">
      <c r="A3029" s="80" t="e">
        <f>"G"&amp;E3019</f>
        <v>#N/A</v>
      </c>
      <c r="B3029" s="105">
        <v>7</v>
      </c>
      <c r="C3029" s="107"/>
      <c r="D3029" s="107"/>
      <c r="E3029" s="107"/>
      <c r="F3029" s="107"/>
      <c r="G3029" s="83"/>
      <c r="H3029" s="83"/>
      <c r="I3029" s="84"/>
      <c r="J3029" s="85"/>
      <c r="K3029" s="382"/>
      <c r="L3029" s="85"/>
      <c r="M3029" s="332" t="str">
        <f t="shared" si="889"/>
        <v/>
      </c>
      <c r="N3029" s="86"/>
      <c r="O3029" s="86" t="str">
        <f t="shared" si="891"/>
        <v/>
      </c>
      <c r="P3029" s="538" t="str">
        <f t="shared" si="892"/>
        <v/>
      </c>
      <c r="Q3029" s="539" t="str">
        <f t="shared" si="890"/>
        <v/>
      </c>
      <c r="R3029" s="706"/>
      <c r="S3029" s="707"/>
      <c r="T3029" s="708"/>
      <c r="U3029" s="472"/>
      <c r="V3029" s="167"/>
      <c r="W3029" s="446"/>
      <c r="X3029" s="456"/>
      <c r="Y3029" s="436"/>
      <c r="Z3029" s="437"/>
      <c r="AA3029" s="560"/>
      <c r="AB3029" s="561"/>
      <c r="AC3029" s="87"/>
      <c r="AD3029" s="466"/>
      <c r="AE3029" s="456"/>
      <c r="AF3029" s="467"/>
      <c r="AG3029" s="87"/>
      <c r="AH3029" s="87"/>
      <c r="AI3029" s="87"/>
    </row>
    <row r="3030" spans="1:35" hidden="1">
      <c r="A3030" s="80" t="e">
        <f>"H"&amp;E3019</f>
        <v>#N/A</v>
      </c>
      <c r="B3030" s="105">
        <v>8</v>
      </c>
      <c r="C3030" s="107"/>
      <c r="D3030" s="107"/>
      <c r="E3030" s="107"/>
      <c r="F3030" s="107"/>
      <c r="G3030" s="83"/>
      <c r="H3030" s="83"/>
      <c r="I3030" s="84"/>
      <c r="J3030" s="85"/>
      <c r="K3030" s="382"/>
      <c r="L3030" s="85"/>
      <c r="M3030" s="332" t="str">
        <f t="shared" si="889"/>
        <v/>
      </c>
      <c r="N3030" s="453"/>
      <c r="O3030" s="86" t="str">
        <f t="shared" si="891"/>
        <v/>
      </c>
      <c r="P3030" s="538" t="str">
        <f t="shared" si="892"/>
        <v/>
      </c>
      <c r="Q3030" s="539" t="str">
        <f t="shared" si="890"/>
        <v/>
      </c>
      <c r="R3030" s="706"/>
      <c r="S3030" s="707"/>
      <c r="T3030" s="708"/>
      <c r="U3030" s="472"/>
      <c r="V3030" s="167"/>
      <c r="W3030" s="446"/>
      <c r="X3030" s="456"/>
      <c r="Y3030" s="436"/>
      <c r="Z3030" s="437"/>
      <c r="AA3030" s="560"/>
      <c r="AB3030" s="561"/>
      <c r="AC3030" s="87"/>
      <c r="AD3030" s="466"/>
      <c r="AE3030" s="456"/>
      <c r="AF3030" s="467"/>
      <c r="AG3030" s="87"/>
      <c r="AH3030" s="87"/>
      <c r="AI3030" s="87"/>
    </row>
    <row r="3031" spans="1:35" hidden="1">
      <c r="A3031" s="80" t="e">
        <f>"I"&amp;E3019</f>
        <v>#N/A</v>
      </c>
      <c r="B3031" s="105">
        <v>9</v>
      </c>
      <c r="C3031" s="107"/>
      <c r="D3031" s="107"/>
      <c r="E3031" s="107"/>
      <c r="F3031" s="107"/>
      <c r="G3031" s="83"/>
      <c r="H3031" s="83"/>
      <c r="I3031" s="84"/>
      <c r="J3031" s="85"/>
      <c r="K3031" s="382"/>
      <c r="L3031" s="85"/>
      <c r="M3031" s="332" t="str">
        <f t="shared" si="889"/>
        <v/>
      </c>
      <c r="N3031" s="453"/>
      <c r="O3031" s="86" t="str">
        <f t="shared" si="891"/>
        <v/>
      </c>
      <c r="P3031" s="538" t="str">
        <f t="shared" si="892"/>
        <v/>
      </c>
      <c r="Q3031" s="539" t="str">
        <f t="shared" si="890"/>
        <v/>
      </c>
      <c r="R3031" s="706"/>
      <c r="S3031" s="707"/>
      <c r="T3031" s="708"/>
      <c r="U3031" s="472"/>
      <c r="V3031" s="167"/>
      <c r="W3031" s="446"/>
      <c r="X3031" s="456"/>
      <c r="Y3031" s="436"/>
      <c r="Z3031" s="437"/>
      <c r="AA3031" s="560"/>
      <c r="AB3031" s="561"/>
      <c r="AC3031" s="87"/>
      <c r="AD3031" s="466"/>
      <c r="AE3031" s="456"/>
      <c r="AF3031" s="467"/>
      <c r="AG3031" s="87"/>
      <c r="AH3031" s="87"/>
      <c r="AI3031" s="87"/>
    </row>
    <row r="3032" spans="1:35" hidden="1">
      <c r="A3032" s="80" t="e">
        <f>"J"&amp;E3019</f>
        <v>#N/A</v>
      </c>
      <c r="B3032" s="105">
        <v>10</v>
      </c>
      <c r="C3032" s="107"/>
      <c r="D3032" s="107"/>
      <c r="E3032" s="107"/>
      <c r="F3032" s="107"/>
      <c r="G3032" s="83"/>
      <c r="H3032" s="83"/>
      <c r="I3032" s="84"/>
      <c r="J3032" s="85"/>
      <c r="K3032" s="382"/>
      <c r="L3032" s="85"/>
      <c r="M3032" s="332" t="str">
        <f t="shared" si="889"/>
        <v/>
      </c>
      <c r="N3032" s="453"/>
      <c r="O3032" s="86" t="str">
        <f t="shared" si="891"/>
        <v/>
      </c>
      <c r="P3032" s="538" t="str">
        <f t="shared" si="892"/>
        <v/>
      </c>
      <c r="Q3032" s="539" t="str">
        <f t="shared" si="890"/>
        <v/>
      </c>
      <c r="R3032" s="706"/>
      <c r="S3032" s="707"/>
      <c r="T3032" s="708"/>
      <c r="U3032" s="472"/>
      <c r="V3032" s="167"/>
      <c r="W3032" s="446"/>
      <c r="X3032" s="456"/>
      <c r="Y3032" s="436"/>
      <c r="Z3032" s="437"/>
      <c r="AA3032" s="560"/>
      <c r="AB3032" s="561"/>
      <c r="AC3032" s="87"/>
      <c r="AD3032" s="466"/>
      <c r="AE3032" s="456"/>
      <c r="AF3032" s="467"/>
      <c r="AG3032" s="87"/>
      <c r="AH3032" s="87"/>
      <c r="AI3032" s="87"/>
    </row>
    <row r="3033" spans="1:35" ht="16.5" hidden="1" thickBot="1">
      <c r="A3033" s="44"/>
      <c r="B3033" s="89"/>
      <c r="C3033" s="90"/>
      <c r="D3033" s="90"/>
      <c r="E3033" s="90"/>
      <c r="F3033" s="90"/>
      <c r="G3033" s="90"/>
      <c r="H3033" s="90"/>
      <c r="I3033" s="90"/>
      <c r="J3033" s="90"/>
      <c r="K3033" s="90"/>
      <c r="L3033" s="90"/>
      <c r="M3033" s="90"/>
      <c r="N3033" s="90"/>
      <c r="O3033" s="90"/>
      <c r="P3033" s="90"/>
      <c r="Q3033" s="90"/>
      <c r="R3033" s="90"/>
      <c r="S3033" s="91"/>
      <c r="T3033" s="92"/>
      <c r="U3033" s="473"/>
      <c r="W3033" s="438"/>
      <c r="X3033" s="455"/>
      <c r="Y3033" s="439"/>
      <c r="Z3033" s="437"/>
      <c r="AA3033" s="530"/>
      <c r="AB3033" s="563"/>
      <c r="AC3033" s="87"/>
      <c r="AD3033" s="440"/>
      <c r="AE3033" s="441"/>
      <c r="AF3033" s="442"/>
      <c r="AG3033" s="49"/>
      <c r="AH3033" s="87"/>
      <c r="AI3033" s="87"/>
    </row>
    <row r="3034" spans="1:35" ht="16.5" hidden="1" thickBot="1">
      <c r="A3034" s="93"/>
      <c r="B3034" s="94"/>
      <c r="C3034" s="96"/>
      <c r="D3034" s="96"/>
      <c r="E3034" s="96"/>
      <c r="F3034" s="96"/>
      <c r="G3034" s="96"/>
      <c r="H3034" s="96"/>
      <c r="I3034" s="96"/>
      <c r="J3034" s="96"/>
      <c r="K3034" s="96"/>
      <c r="L3034" s="96"/>
      <c r="M3034" s="136"/>
      <c r="N3034" s="96"/>
      <c r="O3034" s="96"/>
      <c r="P3034" s="97"/>
      <c r="Q3034" s="97"/>
      <c r="R3034" s="98"/>
      <c r="S3034" s="95"/>
      <c r="T3034" s="99"/>
      <c r="U3034" s="469"/>
      <c r="AC3034" s="58"/>
      <c r="AG3034" s="58"/>
      <c r="AH3034" s="87"/>
      <c r="AI3034" s="87"/>
    </row>
    <row r="3035" spans="1:35" ht="16.5" hidden="1" thickBot="1">
      <c r="B3035" s="101"/>
      <c r="C3035" s="101"/>
      <c r="D3035" s="101"/>
      <c r="E3035" s="101"/>
      <c r="F3035" s="101"/>
      <c r="G3035" s="101"/>
      <c r="H3035" s="101"/>
      <c r="I3035" s="101"/>
      <c r="J3035" s="101"/>
      <c r="K3035" s="101"/>
      <c r="L3035" s="101"/>
      <c r="M3035" s="101"/>
      <c r="N3035" s="101"/>
      <c r="O3035" s="101"/>
      <c r="P3035" s="101"/>
      <c r="Q3035" s="101"/>
      <c r="R3035" s="101"/>
      <c r="S3035" s="101"/>
      <c r="U3035" s="50"/>
      <c r="AH3035" s="87"/>
      <c r="AI3035" s="87"/>
    </row>
    <row r="3036" spans="1:35" ht="16.5" hidden="1" customHeight="1" thickBot="1">
      <c r="A3036" s="44"/>
      <c r="B3036" s="705" t="s">
        <v>74</v>
      </c>
      <c r="C3036" s="705"/>
      <c r="D3036" s="705"/>
      <c r="E3036" s="705"/>
      <c r="F3036" s="705"/>
      <c r="G3036" s="705"/>
      <c r="H3036" s="705"/>
      <c r="I3036" s="705"/>
      <c r="J3036" s="705"/>
      <c r="K3036" s="705"/>
      <c r="L3036" s="705"/>
      <c r="M3036" s="705"/>
      <c r="N3036" s="705"/>
      <c r="O3036" s="705"/>
      <c r="P3036" s="705"/>
      <c r="Q3036" s="705"/>
      <c r="R3036" s="705"/>
      <c r="S3036" s="705"/>
      <c r="T3036" s="705"/>
      <c r="U3036" s="108"/>
      <c r="Y3036" s="532" t="s">
        <v>341</v>
      </c>
      <c r="AC3036" s="49"/>
      <c r="AD3036" s="687" t="s">
        <v>302</v>
      </c>
      <c r="AE3036" s="688"/>
      <c r="AF3036" s="689"/>
      <c r="AG3036" s="49"/>
      <c r="AH3036" s="87"/>
      <c r="AI3036" s="87"/>
    </row>
    <row r="3037" spans="1:35" ht="16.5" hidden="1" customHeight="1" thickBot="1">
      <c r="A3037" s="218" t="e">
        <f>"K"&amp;E3019</f>
        <v>#N/A</v>
      </c>
      <c r="B3037" s="701" t="s">
        <v>71</v>
      </c>
      <c r="C3037" s="751" t="s">
        <v>102</v>
      </c>
      <c r="D3037" s="751"/>
      <c r="E3037" s="751"/>
      <c r="F3037" s="751"/>
      <c r="G3037" s="751"/>
      <c r="H3037" s="751"/>
      <c r="I3037" s="751"/>
      <c r="J3037" s="751"/>
      <c r="K3037" s="751"/>
      <c r="L3037" s="722" t="s">
        <v>100</v>
      </c>
      <c r="M3037" s="747" t="s">
        <v>114</v>
      </c>
      <c r="N3037" s="747"/>
      <c r="O3037" s="747"/>
      <c r="P3037" s="747"/>
      <c r="Q3037" s="748"/>
      <c r="R3037" s="758" t="s">
        <v>280</v>
      </c>
      <c r="S3037" s="748"/>
      <c r="T3037" s="762" t="str">
        <f>IF(COUNTIF(AE3037:AF3037,"VERIFICAR")&gt;0,"VERIFICAR",IF(COUNTIF(AE3037:AF3037,"NO CUMPLE")&gt;0,"NO CUMPLE","CUMPLE"))</f>
        <v>VERIFICAR</v>
      </c>
      <c r="U3037" s="108"/>
      <c r="Y3037" s="533" t="e">
        <f>IF(F3038="","",IF(F3038=1,"INDIVIDUAL","ESTRUCTURA PLURAL"))</f>
        <v>#N/A</v>
      </c>
      <c r="AC3037" s="52"/>
      <c r="AD3037" s="475" t="s">
        <v>303</v>
      </c>
      <c r="AE3037" s="476" t="str">
        <f>IF(COUNTIF(AE3023:AE3032,"")=10,"VERIFICAR",IF(COUNTIF(AE3023:AE3032,"SI")&gt;0,"CUMPLE","NO CUMPLE"))</f>
        <v>VERIFICAR</v>
      </c>
      <c r="AF3037" s="477" t="str">
        <f>IF(COUNTIF(AF3023:AF3032,"")=10,"VERIFICAR",IF(COUNTIF(AF3023:AF3032,"SI")&gt;=$AI$22,"CUMPLE","NO CUMPLE"))</f>
        <v>VERIFICAR</v>
      </c>
      <c r="AG3037" s="52"/>
      <c r="AH3037" s="87"/>
      <c r="AI3037" s="87"/>
    </row>
    <row r="3038" spans="1:35" ht="15.75" hidden="1" customHeight="1" thickBot="1">
      <c r="A3038" s="218" t="e">
        <f>"L"&amp;E3019</f>
        <v>#N/A</v>
      </c>
      <c r="B3038" s="702"/>
      <c r="C3038" s="751" t="s">
        <v>103</v>
      </c>
      <c r="D3038" s="751"/>
      <c r="E3038" s="752"/>
      <c r="F3038" s="557" t="e">
        <f>IF(VLOOKUP(E3019,PROPONENTES!$C$19:$E$218,3,0)="","",VLOOKUP(E3019,PROPONENTES!$C$19:$E$218,3,0))</f>
        <v>#N/A</v>
      </c>
      <c r="G3038" s="753" t="s">
        <v>104</v>
      </c>
      <c r="H3038" s="751"/>
      <c r="I3038" s="715" t="e">
        <f>IF(OR(F3038="",F3038=1),"INTERESADO PERSONA NATURAL O JURIDICA","CONSORCIO O UNION TEMPORAL")</f>
        <v>#N/A</v>
      </c>
      <c r="J3038" s="725"/>
      <c r="K3038" s="728"/>
      <c r="L3038" s="723"/>
      <c r="M3038" s="749"/>
      <c r="N3038" s="749"/>
      <c r="O3038" s="749"/>
      <c r="P3038" s="749"/>
      <c r="Q3038" s="750"/>
      <c r="R3038" s="712"/>
      <c r="S3038" s="750"/>
      <c r="T3038" s="763"/>
      <c r="U3038" s="108"/>
      <c r="Y3038" s="534"/>
      <c r="AA3038" s="52"/>
      <c r="AB3038" s="52"/>
      <c r="AC3038" s="52"/>
      <c r="AG3038" s="52"/>
      <c r="AH3038" s="87"/>
      <c r="AI3038" s="87"/>
    </row>
    <row r="3039" spans="1:35" ht="56.25" hidden="1" customHeight="1" thickBot="1">
      <c r="A3039" s="218" t="e">
        <f>"M"&amp;E3019</f>
        <v>#N/A</v>
      </c>
      <c r="B3039" s="702"/>
      <c r="C3039" s="725" t="s">
        <v>101</v>
      </c>
      <c r="D3039" s="716"/>
      <c r="E3039" s="558" t="s">
        <v>105</v>
      </c>
      <c r="F3039" s="554" t="s">
        <v>87</v>
      </c>
      <c r="G3039" s="553" t="s">
        <v>86</v>
      </c>
      <c r="H3039" s="559" t="s">
        <v>85</v>
      </c>
      <c r="I3039" s="554" t="s">
        <v>252</v>
      </c>
      <c r="J3039" s="553" t="str">
        <f>"¿EL INTEGRANTE TIENE UNA PARTICIPACIÓN DEL "&amp;PORCREQUERIDOINT*100&amp;"%?"</f>
        <v>¿EL INTEGRANTE TIENE UNA PARTICIPACIÓN DEL 60%?</v>
      </c>
      <c r="K3039" s="554" t="s">
        <v>107</v>
      </c>
      <c r="L3039" s="724"/>
      <c r="M3039" s="717" t="s">
        <v>115</v>
      </c>
      <c r="N3039" s="718"/>
      <c r="O3039" s="718"/>
      <c r="P3039" s="718"/>
      <c r="Q3039" s="223">
        <f>IF(AND(H3023="SI",P3023&gt;=0),1,0)+IF(AND(H3024="SI",P3024&gt;=0),1,0)+IF(AND(H3025="SI",P3025&gt;=0),1,0)+IF(AND(H3026="SI",P3026&gt;=0),1,0)+IF(AND(H3027="SI",P3027&gt;=0),1,0)+IF(AND(H3028="SI",P3028&gt;=0),1,0)+IF(AND(H3029="SI",P3029&gt;=0),1,0)+IF(AND(H3030="SI",P3030&gt;=0),1,0)+IF(AND(H3031="SI",P3031&gt;=0),1,0)+IF(AND(H3032="SI",P3032&gt;=0),1,0)</f>
        <v>0</v>
      </c>
      <c r="R3039" s="759"/>
      <c r="S3039" s="761"/>
      <c r="T3039" s="764"/>
      <c r="U3039" s="219"/>
      <c r="V3039" s="464"/>
      <c r="Y3039" s="532" t="s">
        <v>342</v>
      </c>
      <c r="AA3039" s="550" t="s">
        <v>344</v>
      </c>
      <c r="AB3039" s="693" t="s">
        <v>345</v>
      </c>
      <c r="AC3039" s="693" t="s">
        <v>346</v>
      </c>
      <c r="AD3039" s="685" t="s">
        <v>347</v>
      </c>
      <c r="AE3039" s="52"/>
      <c r="AF3039" s="52"/>
      <c r="AG3039" s="52"/>
      <c r="AH3039" s="87"/>
      <c r="AI3039" s="87"/>
    </row>
    <row r="3040" spans="1:35" ht="15.75" hidden="1" customHeight="1" thickBot="1">
      <c r="A3040" s="218" t="e">
        <f>"N"&amp;E3019</f>
        <v>#N/A</v>
      </c>
      <c r="B3040" s="702"/>
      <c r="C3040" s="114">
        <v>1</v>
      </c>
      <c r="D3040" s="194" t="e">
        <f>IF(AND(C3040&lt;=F3038,F3038&gt;1,F3038&lt;&gt;""),VLOOKUP(VALUE(E3019&amp;","&amp;C3040),INTEGRANTES!$D$18:$F$235,2,0),"")</f>
        <v>#N/A</v>
      </c>
      <c r="E3040" s="211" t="e">
        <f>IF(D3040&lt;&gt;"",VLOOKUP(VALUE(E3019&amp;","&amp;C3040),INTEGRANTES!$D$18:$F$235,3,0),"")</f>
        <v>#N/A</v>
      </c>
      <c r="F3040" s="547" t="e">
        <f>IF(D3040="","",SUMIF($I3023:$I3032,D3040,$P3023:$P3032))</f>
        <v>#N/A</v>
      </c>
      <c r="G3040" s="333" t="e">
        <f>IF(D3040="","",SUMIF($I3023:$I3032,D3040,$M3023:$M3032))</f>
        <v>#N/A</v>
      </c>
      <c r="H3040" s="535" t="e">
        <f t="shared" ref="H3040:H3045" si="893">IF(D3040="","",IF(OR(F3040=0,G3040=0),"NO APORTA",ROUND($F3040/$G3040,3)))</f>
        <v>#N/A</v>
      </c>
      <c r="I3040" s="212" t="e">
        <f>IF(D3040="","",IF(H3040="NO APORTA","NO",IF(H3040=MAX($H3040:$H3045),"SI","NO")))</f>
        <v>#N/A</v>
      </c>
      <c r="J3040" s="213" t="e">
        <f t="shared" ref="J3040:J3045" si="894">IF(D3040="","",IF(E3040&gt;=PORCREQUERIDOINT,"SI","NO"))</f>
        <v>#N/A</v>
      </c>
      <c r="K3040" s="200" t="e">
        <f t="shared" ref="K3040:K3045" si="895">IF(D3040="","",IF(AND(I3040="SI",J3040="SI"),"CUMPLE",IF(AND(I3040="NO",OR(J3040="SI",J3040="NO")),"","NO CUMPLE")))</f>
        <v>#N/A</v>
      </c>
      <c r="L3040" s="722" t="s">
        <v>108</v>
      </c>
      <c r="M3040" s="726" t="s">
        <v>119</v>
      </c>
      <c r="N3040" s="726"/>
      <c r="O3040" s="726"/>
      <c r="P3040" s="726"/>
      <c r="Q3040" s="727"/>
      <c r="R3040" s="758" t="s">
        <v>80</v>
      </c>
      <c r="S3040" s="747"/>
      <c r="T3040" s="748"/>
      <c r="U3040" s="219"/>
      <c r="V3040" s="464"/>
      <c r="Y3040" s="533" t="e">
        <f>IF(Y3037="","",IF(Y3037="INDIVIDUAL","NO APLICA","VERIFICAR CUADRO"))</f>
        <v>#N/A</v>
      </c>
      <c r="AA3040" s="551"/>
      <c r="AB3040" s="694"/>
      <c r="AC3040" s="694"/>
      <c r="AD3040" s="686"/>
      <c r="AE3040" s="52"/>
      <c r="AF3040" s="52"/>
      <c r="AG3040" s="52"/>
      <c r="AH3040" s="87"/>
      <c r="AI3040" s="87"/>
    </row>
    <row r="3041" spans="1:35" ht="27" hidden="1" customHeight="1" thickBot="1">
      <c r="A3041" s="218" t="e">
        <f>"O"&amp;E3019</f>
        <v>#N/A</v>
      </c>
      <c r="B3041" s="702"/>
      <c r="C3041" s="114">
        <v>2</v>
      </c>
      <c r="D3041" s="194" t="e">
        <f>IF(AND(C3041&lt;=F3038,F3038&lt;&gt;""),VLOOKUP(VALUE(E3019&amp;","&amp;C3041),INTEGRANTES!$D$18:$F$235,2,0),"")</f>
        <v>#N/A</v>
      </c>
      <c r="E3041" s="211" t="e">
        <f>IF(D3041&lt;&gt;"",VLOOKUP(VALUE(E3019&amp;","&amp;C3041),INTEGRANTES!$D$18:$F$235,3,0),"")</f>
        <v>#N/A</v>
      </c>
      <c r="F3041" s="547" t="e">
        <f>IF(D3041="","",SUMIF($I3023:$I3032,D3041,$P3023:$P3032))</f>
        <v>#N/A</v>
      </c>
      <c r="G3041" s="333" t="e">
        <f>IF(D3041="","",SUMIF($I3023:$I3032,D3041,$M3023:$M3032))</f>
        <v>#N/A</v>
      </c>
      <c r="H3041" s="535" t="e">
        <f t="shared" si="893"/>
        <v>#N/A</v>
      </c>
      <c r="I3041" s="212" t="e">
        <f>IF(D3041="","",IF(H3041="NO APORTA","NO",IF(H3041=MAX($H3040:$H3045),"SI","NO")))</f>
        <v>#N/A</v>
      </c>
      <c r="J3041" s="213" t="e">
        <f t="shared" si="894"/>
        <v>#N/A</v>
      </c>
      <c r="K3041" s="200" t="e">
        <f t="shared" si="895"/>
        <v>#N/A</v>
      </c>
      <c r="L3041" s="723"/>
      <c r="M3041" s="715" t="s">
        <v>116</v>
      </c>
      <c r="N3041" s="716"/>
      <c r="O3041" s="556" t="s">
        <v>113</v>
      </c>
      <c r="P3041" s="715" t="s">
        <v>117</v>
      </c>
      <c r="Q3041" s="728"/>
      <c r="R3041" s="759"/>
      <c r="S3041" s="760"/>
      <c r="T3041" s="761"/>
      <c r="U3041" s="219"/>
      <c r="V3041" s="464"/>
      <c r="Y3041" s="414"/>
      <c r="AA3041" s="542" t="e">
        <f>IF(AND(C3040&lt;=F3038,F3038&gt;1,F3038&lt;&gt;""),VLOOKUP(VALUE(E3019&amp;","&amp;C3040),INTEGRANTES!$D$18:$F$235,2,0),"")</f>
        <v>#N/A</v>
      </c>
      <c r="AB3041" s="544" t="e">
        <f t="shared" ref="AB3041:AB3046" si="896">IF(D3040="","",IF(OR(F3040=0,G3040=0),"NO APORTA",ROUND($F3040/$G3040,3)))</f>
        <v>#N/A</v>
      </c>
      <c r="AC3041" s="529"/>
      <c r="AD3041" s="200" t="e">
        <f t="shared" ref="AD3041:AD3046" si="897">IF(OR(AA3041="",AB3041=""),"",IF(AND(AC3041="X",AB3041&gt;=EXPREQVTD),"CUMPLE","NO CUMPLE"))</f>
        <v>#N/A</v>
      </c>
      <c r="AE3041" s="52"/>
      <c r="AF3041" s="52"/>
      <c r="AG3041" s="52"/>
      <c r="AH3041" s="87"/>
      <c r="AI3041" s="87"/>
    </row>
    <row r="3042" spans="1:35" ht="16.5" hidden="1" thickBot="1">
      <c r="A3042" s="218" t="e">
        <f>"P"&amp;E3019</f>
        <v>#N/A</v>
      </c>
      <c r="B3042" s="702"/>
      <c r="C3042" s="114">
        <v>3</v>
      </c>
      <c r="D3042" s="194" t="e">
        <f>IF(AND(C3042&lt;=F3038,F3038&lt;&gt;""),VLOOKUP(VALUE(E3019&amp;","&amp;C3042),INTEGRANTES!$D$18:$F$235,2,0),"")</f>
        <v>#N/A</v>
      </c>
      <c r="E3042" s="211" t="e">
        <f>IF(D3042&lt;&gt;"",VLOOKUP(VALUE(E3019&amp;","&amp;C3042),INTEGRANTES!$D$18:$F$235,3,0),"")</f>
        <v>#N/A</v>
      </c>
      <c r="F3042" s="547" t="e">
        <f>IF(D3042="","",SUMIF($I3023:$I3032,D3042,$P3023:$P3032))</f>
        <v>#N/A</v>
      </c>
      <c r="G3042" s="333" t="e">
        <f>IF(D3042="","",SUMIF($I3023:$I3032,D3042,$M3023:$M3032))</f>
        <v>#N/A</v>
      </c>
      <c r="H3042" s="535" t="e">
        <f t="shared" si="893"/>
        <v>#N/A</v>
      </c>
      <c r="I3042" s="212" t="e">
        <f>IF(D3042="","",IF(H3042="NO APORTA","NO",IF(H3042=MAX($H3040:$H3045),"SI","NO")))</f>
        <v>#N/A</v>
      </c>
      <c r="J3042" s="213" t="e">
        <f t="shared" si="894"/>
        <v>#N/A</v>
      </c>
      <c r="K3042" s="200" t="e">
        <f t="shared" si="895"/>
        <v>#N/A</v>
      </c>
      <c r="L3042" s="724"/>
      <c r="M3042" s="729">
        <f>NUMMOD</f>
        <v>1</v>
      </c>
      <c r="N3042" s="730"/>
      <c r="O3042" s="443">
        <f>IF(M3042="","",VLOOKUP(M3042,PRESUPUESTOS!$B$16:$H$16,5,FALSE))</f>
        <v>2</v>
      </c>
      <c r="P3042" s="713">
        <f>IF(OR(COUNTIF(M3023:M3032,"")&gt;=10,Q3039&lt;NUMMINCONT,OR(T3037="NO CUMPLE",T3037="VERIFICAR")),0,ROUND(AVERAGE(M3023:M3032),3))</f>
        <v>0</v>
      </c>
      <c r="Q3042" s="714"/>
      <c r="R3042" s="458"/>
      <c r="S3042" s="459"/>
      <c r="T3042" s="460"/>
      <c r="U3042" s="219"/>
      <c r="V3042" s="464"/>
      <c r="Y3042" s="532" t="str">
        <f>"40% * ("&amp;PRESUPUESTOS!$H$13&amp;")"</f>
        <v>40% * (50% PFMO)</v>
      </c>
      <c r="AA3042" s="540" t="e">
        <f>IF(AND(C3041&lt;=F3038,F3038&lt;&gt;""),VLOOKUP(VALUE(E3019&amp;","&amp;C3041),INTEGRANTES!$D$18:$F$235,2,0),"")</f>
        <v>#N/A</v>
      </c>
      <c r="AB3042" s="545" t="e">
        <f t="shared" si="896"/>
        <v>#N/A</v>
      </c>
      <c r="AC3042" s="529"/>
      <c r="AD3042" s="200" t="e">
        <f t="shared" si="897"/>
        <v>#N/A</v>
      </c>
      <c r="AE3042" s="52"/>
      <c r="AF3042" s="52"/>
      <c r="AG3042" s="52"/>
      <c r="AH3042" s="87"/>
      <c r="AI3042" s="87"/>
    </row>
    <row r="3043" spans="1:35" ht="15.75" hidden="1" customHeight="1" thickBot="1">
      <c r="A3043" s="218" t="e">
        <f>"Q"&amp;E3019</f>
        <v>#N/A</v>
      </c>
      <c r="B3043" s="702"/>
      <c r="C3043" s="114">
        <v>4</v>
      </c>
      <c r="D3043" s="194" t="e">
        <f>IF(AND(C3043&lt;=F3038,F3038&lt;&gt;""),VLOOKUP(VALUE(E3019&amp;","&amp;C3043),INTEGRANTES!$D$18:$F$235,2,0),"")</f>
        <v>#N/A</v>
      </c>
      <c r="E3043" s="211" t="e">
        <f>IF(D3043&lt;&gt;"",VLOOKUP(VALUE(E3019&amp;","&amp;C3043),INTEGRANTES!$D$18:$F$235,3,0),"")</f>
        <v>#N/A</v>
      </c>
      <c r="F3043" s="547" t="e">
        <f>IF(D3043="","",SUMIF($I3023:$I3032,D3043,$P3023:$P3032))</f>
        <v>#N/A</v>
      </c>
      <c r="G3043" s="333" t="e">
        <f>IF(D3043="","",SUMIF($I3023:$I3032,D3043,$M3023:$M3032))</f>
        <v>#N/A</v>
      </c>
      <c r="H3043" s="535" t="e">
        <f t="shared" si="893"/>
        <v>#N/A</v>
      </c>
      <c r="I3043" s="212" t="e">
        <f>IF(D3043="","",IF(H3043="NO APORTA","NO",IF(H3043=MAX($H3040:$H3045),"SI","NO")))</f>
        <v>#N/A</v>
      </c>
      <c r="J3043" s="213" t="e">
        <f t="shared" si="894"/>
        <v>#N/A</v>
      </c>
      <c r="K3043" s="200" t="e">
        <f t="shared" si="895"/>
        <v>#N/A</v>
      </c>
      <c r="L3043" s="720" t="s">
        <v>109</v>
      </c>
      <c r="M3043" s="757" t="s">
        <v>120</v>
      </c>
      <c r="N3043" s="726"/>
      <c r="O3043" s="726"/>
      <c r="P3043" s="726"/>
      <c r="Q3043" s="727"/>
      <c r="R3043" s="458"/>
      <c r="S3043" s="459"/>
      <c r="T3043" s="460"/>
      <c r="U3043" s="219"/>
      <c r="V3043" s="464"/>
      <c r="Y3043" s="537">
        <f>0.4*PRESUPUESTOS!$H$16</f>
        <v>10.3124</v>
      </c>
      <c r="AA3043" s="540" t="e">
        <f>IF(AND(C3042&lt;=F3038,F3038&lt;&gt;""),VLOOKUP(VALUE(E3019&amp;","&amp;C3042),INTEGRANTES!$D$18:$F$235,2,0),"")</f>
        <v>#N/A</v>
      </c>
      <c r="AB3043" s="545" t="e">
        <f t="shared" si="896"/>
        <v>#N/A</v>
      </c>
      <c r="AC3043" s="529"/>
      <c r="AD3043" s="200" t="e">
        <f t="shared" si="897"/>
        <v>#N/A</v>
      </c>
      <c r="AE3043" s="52"/>
      <c r="AF3043" s="52"/>
      <c r="AG3043" s="52"/>
      <c r="AH3043" s="87"/>
      <c r="AI3043" s="87"/>
    </row>
    <row r="3044" spans="1:35" ht="27" hidden="1" customHeight="1" thickBot="1">
      <c r="A3044" s="218" t="e">
        <f>"R"&amp;E3019</f>
        <v>#N/A</v>
      </c>
      <c r="B3044" s="702"/>
      <c r="C3044" s="114">
        <v>5</v>
      </c>
      <c r="D3044" s="194" t="e">
        <f>IF(AND(C3044&lt;=F3038,F3038&lt;&gt;""),VLOOKUP(VALUE(E3019&amp;","&amp;C3044),INTEGRANTES!$D$18:$F$235,2,0),"")</f>
        <v>#N/A</v>
      </c>
      <c r="E3044" s="211" t="e">
        <f>IF(D3044&lt;&gt;"",VLOOKUP(VALUE(E3019&amp;","&amp;C3044),INTEGRANTES!$D$18:$F$235,3,0),"")</f>
        <v>#N/A</v>
      </c>
      <c r="F3044" s="547" t="e">
        <f>IF(D3044="","",SUMIF($I3023:$I3032,D3044,$P3023:$P3032))</f>
        <v>#N/A</v>
      </c>
      <c r="G3044" s="333" t="e">
        <f>IF(D3044="","",SUMIF($I3023:$I3032,D3044,$M3023:$M3032))</f>
        <v>#N/A</v>
      </c>
      <c r="H3044" s="535" t="e">
        <f t="shared" si="893"/>
        <v>#N/A</v>
      </c>
      <c r="I3044" s="212" t="e">
        <f>IF(D3044="","",IF(H3044="NO APORTA","NO",IF(H3044=MAX($H3040:$H3045),"SI","NO")))</f>
        <v>#N/A</v>
      </c>
      <c r="J3044" s="213" t="e">
        <f t="shared" si="894"/>
        <v>#N/A</v>
      </c>
      <c r="K3044" s="200" t="e">
        <f t="shared" si="895"/>
        <v>#N/A</v>
      </c>
      <c r="L3044" s="721"/>
      <c r="M3044" s="715" t="s">
        <v>116</v>
      </c>
      <c r="N3044" s="716"/>
      <c r="O3044" s="556" t="str">
        <f>PORCREQUERIDO*100&amp;"% PMFO DEL MÓDULO"</f>
        <v>50% PMFO DEL MÓDULO</v>
      </c>
      <c r="P3044" s="715" t="s">
        <v>118</v>
      </c>
      <c r="Q3044" s="728"/>
      <c r="R3044" s="458"/>
      <c r="S3044" s="459"/>
      <c r="T3044" s="460"/>
      <c r="U3044" s="219"/>
      <c r="V3044" s="464"/>
      <c r="Y3044" s="414"/>
      <c r="AA3044" s="540" t="e">
        <f>IF(AND(C3043&lt;=F3038,F3038&lt;&gt;""),VLOOKUP(VALUE(E3019&amp;","&amp;C3043),INTEGRANTES!$D$18:$F$235,2,0),"")</f>
        <v>#N/A</v>
      </c>
      <c r="AB3044" s="545" t="e">
        <f t="shared" si="896"/>
        <v>#N/A</v>
      </c>
      <c r="AC3044" s="529"/>
      <c r="AD3044" s="200" t="e">
        <f t="shared" si="897"/>
        <v>#N/A</v>
      </c>
      <c r="AE3044" s="52"/>
      <c r="AF3044" s="52"/>
      <c r="AG3044" s="52"/>
      <c r="AH3044" s="87"/>
      <c r="AI3044" s="87"/>
    </row>
    <row r="3045" spans="1:35" ht="16.5" hidden="1" thickBot="1">
      <c r="A3045" s="218" t="e">
        <f>"S"&amp;E3019</f>
        <v>#N/A</v>
      </c>
      <c r="B3045" s="702"/>
      <c r="C3045" s="215">
        <v>6</v>
      </c>
      <c r="D3045" s="216" t="e">
        <f>IF(AND(C3045&lt;=F3038,F3038&lt;&gt;""),VLOOKUP(VALUE(E3019&amp;","&amp;C3045),INTEGRANTES!$D$18:$F$235,2,0),"")</f>
        <v>#N/A</v>
      </c>
      <c r="E3045" s="217" t="e">
        <f>IF(D3045&lt;&gt;"",VLOOKUP(VALUE(E3019&amp;","&amp;C3045),INTEGRANTES!$D$18:$F$235,3,0),"")</f>
        <v>#N/A</v>
      </c>
      <c r="F3045" s="548" t="e">
        <f>IF(D3045="","",SUMIF($I3023:$I3032,D3045,$P3023:$P3032))</f>
        <v>#N/A</v>
      </c>
      <c r="G3045" s="334" t="e">
        <f>IF(D3045="","",SUMIF($I3023:$I3032,D3045,$M3023:$M3032))</f>
        <v>#N/A</v>
      </c>
      <c r="H3045" s="536" t="e">
        <f t="shared" si="893"/>
        <v>#N/A</v>
      </c>
      <c r="I3045" s="214" t="e">
        <f>IF(D3045="","",IF(H3045="NO APORTA","NO",IF(H3045=MAX($H3040:$H3045),"SI","NO")))</f>
        <v>#N/A</v>
      </c>
      <c r="J3045" s="213" t="e">
        <f t="shared" si="894"/>
        <v>#N/A</v>
      </c>
      <c r="K3045" s="200" t="e">
        <f t="shared" si="895"/>
        <v>#N/A</v>
      </c>
      <c r="L3045" s="721"/>
      <c r="M3045" s="729">
        <f>NUMMOD</f>
        <v>1</v>
      </c>
      <c r="N3045" s="730"/>
      <c r="O3045" s="443">
        <f>IF(M3045="","",ROUND(VLOOKUP(M3045,PRESUPUESTOS!$B$16:$H$16,7,FALSE),3))</f>
        <v>25.780999999999999</v>
      </c>
      <c r="P3045" s="713">
        <f>IF(OR(COUNTIF(P3023:P3032,"")&gt;=10,Q3039&lt;NUMMINCONT,OR(T3037="NO CUMPLE",T3037="VERIFICAR")),0,ROUND((SUM(P3023:P3032)/SUM(M3023:M3032)),3))</f>
        <v>0</v>
      </c>
      <c r="Q3045" s="714"/>
      <c r="R3045" s="458"/>
      <c r="S3045" s="459"/>
      <c r="T3045" s="460"/>
      <c r="U3045" s="219"/>
      <c r="V3045" s="464"/>
      <c r="Y3045" s="532" t="s">
        <v>343</v>
      </c>
      <c r="AA3045" s="540" t="e">
        <f>IF(AND(C3044&lt;=F3038,F3038&lt;&gt;""),VLOOKUP(VALUE(E3019&amp;","&amp;C3044),INTEGRANTES!$D$18:$F$235,2,0),"")</f>
        <v>#N/A</v>
      </c>
      <c r="AB3045" s="545" t="e">
        <f t="shared" si="896"/>
        <v>#N/A</v>
      </c>
      <c r="AC3045" s="529"/>
      <c r="AD3045" s="200" t="e">
        <f t="shared" si="897"/>
        <v>#N/A</v>
      </c>
      <c r="AE3045" s="52"/>
      <c r="AF3045" s="52"/>
      <c r="AG3045" s="52"/>
      <c r="AH3045" s="87"/>
      <c r="AI3045" s="87"/>
    </row>
    <row r="3046" spans="1:35" ht="16.5" hidden="1" customHeight="1" thickBot="1">
      <c r="A3046" s="218" t="e">
        <f>"T"&amp;E3019</f>
        <v>#N/A</v>
      </c>
      <c r="B3046" s="703"/>
      <c r="C3046" s="719"/>
      <c r="D3046" s="719"/>
      <c r="E3046" s="719"/>
      <c r="F3046" s="719"/>
      <c r="G3046" s="719"/>
      <c r="H3046" s="719" t="s">
        <v>110</v>
      </c>
      <c r="I3046" s="719"/>
      <c r="J3046" s="719"/>
      <c r="K3046" s="201" t="str">
        <f>IF(COUNTIF(K3040:K3045,"")=6,"",IF(COUNTIF(K3040:K3045,"CUMPLE")&gt;0,"CUMPLE","NO CUMPLE"))</f>
        <v>NO CUMPLE</v>
      </c>
      <c r="L3046" s="754"/>
      <c r="M3046" s="755"/>
      <c r="N3046" s="755"/>
      <c r="O3046" s="755"/>
      <c r="P3046" s="755"/>
      <c r="Q3046" s="756"/>
      <c r="R3046" s="461"/>
      <c r="S3046" s="462"/>
      <c r="T3046" s="463"/>
      <c r="U3046" s="219"/>
      <c r="V3046" s="464"/>
      <c r="Y3046" s="549" t="e">
        <f>IF(Y3040="NO APLICA","NO APLICA",IF(COUNTIF(AD3041:AD3046,"CUMPLE")&gt;0,"CUMPLE","NO CUMPLE"))</f>
        <v>#N/A</v>
      </c>
      <c r="AA3046" s="541" t="e">
        <f>IF(AND(C3045&lt;=F3038,F3038&lt;&gt;""),VLOOKUP(VALUE(E3019&amp;","&amp;C3045),INTEGRANTES!$D$18:$F$235,2,0),"")</f>
        <v>#N/A</v>
      </c>
      <c r="AB3046" s="546" t="e">
        <f t="shared" si="896"/>
        <v>#N/A</v>
      </c>
      <c r="AC3046" s="543"/>
      <c r="AD3046" s="201" t="e">
        <f t="shared" si="897"/>
        <v>#N/A</v>
      </c>
      <c r="AE3046" s="52"/>
      <c r="AF3046" s="52"/>
      <c r="AG3046" s="52"/>
      <c r="AH3046" s="87"/>
      <c r="AI3046" s="87"/>
    </row>
    <row r="3047" spans="1:35" hidden="1">
      <c r="AH3047" s="87"/>
      <c r="AI3047" s="87"/>
    </row>
    <row r="3048" spans="1:35" hidden="1">
      <c r="AH3048" s="87"/>
      <c r="AI3048" s="87"/>
    </row>
    <row r="3049" spans="1:35" ht="24" hidden="1" thickBot="1">
      <c r="A3049" s="61">
        <v>102</v>
      </c>
      <c r="B3049" s="704" t="s">
        <v>51</v>
      </c>
      <c r="C3049" s="704"/>
      <c r="D3049" s="704"/>
      <c r="E3049" s="62" t="e">
        <f>VLOOKUP(A3049,PROPONENTES!$B$19:$E$218,2,FALSE)</f>
        <v>#N/A</v>
      </c>
      <c r="F3049" s="63" t="e">
        <f>VLOOKUP(A3049,PROPONENTES!$B$19:$E$218,3,FALSE)</f>
        <v>#N/A</v>
      </c>
      <c r="G3049" s="64"/>
      <c r="H3049" s="64"/>
      <c r="I3049" s="63"/>
      <c r="J3049" s="63"/>
      <c r="K3049" s="65"/>
      <c r="L3049" s="65"/>
      <c r="M3049" s="64"/>
      <c r="N3049" s="64"/>
      <c r="O3049" s="66"/>
      <c r="P3049" s="66"/>
      <c r="Q3049" s="66"/>
      <c r="R3049" s="66"/>
      <c r="S3049" s="67"/>
      <c r="T3049" s="68"/>
      <c r="U3049" s="68"/>
      <c r="AC3049" s="68"/>
      <c r="AD3049" s="68"/>
      <c r="AE3049" s="68"/>
      <c r="AF3049" s="68"/>
      <c r="AG3049" s="68"/>
      <c r="AH3049" s="87"/>
      <c r="AI3049" s="87"/>
    </row>
    <row r="3050" spans="1:35" ht="15.75" hidden="1" customHeight="1">
      <c r="A3050" s="44"/>
      <c r="B3050" s="709" t="s">
        <v>59</v>
      </c>
      <c r="C3050" s="552" t="s">
        <v>60</v>
      </c>
      <c r="D3050" s="70" t="s">
        <v>17</v>
      </c>
      <c r="E3050" s="70"/>
      <c r="F3050" s="70" t="s">
        <v>61</v>
      </c>
      <c r="G3050" s="71"/>
      <c r="H3050" s="699" t="s">
        <v>62</v>
      </c>
      <c r="I3050" s="699" t="s">
        <v>18</v>
      </c>
      <c r="J3050" s="699" t="s">
        <v>63</v>
      </c>
      <c r="K3050" s="699" t="s">
        <v>64</v>
      </c>
      <c r="L3050" s="699" t="s">
        <v>65</v>
      </c>
      <c r="M3050" s="743" t="s">
        <v>66</v>
      </c>
      <c r="N3050" s="699" t="s">
        <v>282</v>
      </c>
      <c r="O3050" s="745" t="s">
        <v>67</v>
      </c>
      <c r="P3050" s="746"/>
      <c r="Q3050" s="102" t="s">
        <v>75</v>
      </c>
      <c r="R3050" s="731" t="s">
        <v>22</v>
      </c>
      <c r="S3050" s="732"/>
      <c r="T3050" s="733"/>
      <c r="U3050" s="712" t="s">
        <v>298</v>
      </c>
      <c r="W3050" s="690" t="s">
        <v>268</v>
      </c>
      <c r="X3050" s="691"/>
      <c r="Y3050" s="692"/>
      <c r="Z3050" s="428"/>
      <c r="AA3050" s="697" t="s">
        <v>315</v>
      </c>
      <c r="AB3050" s="695" t="s">
        <v>322</v>
      </c>
      <c r="AC3050" s="49"/>
      <c r="AD3050" s="690" t="s">
        <v>297</v>
      </c>
      <c r="AE3050" s="691"/>
      <c r="AF3050" s="692"/>
      <c r="AG3050" s="49"/>
      <c r="AH3050" s="87"/>
      <c r="AI3050" s="87"/>
    </row>
    <row r="3051" spans="1:35" ht="72" hidden="1">
      <c r="A3051" s="44"/>
      <c r="B3051" s="710"/>
      <c r="C3051" s="553" t="s">
        <v>68</v>
      </c>
      <c r="D3051" s="73" t="s">
        <v>3</v>
      </c>
      <c r="E3051" s="73" t="s">
        <v>19</v>
      </c>
      <c r="F3051" s="73" t="s">
        <v>69</v>
      </c>
      <c r="G3051" s="74" t="s">
        <v>70</v>
      </c>
      <c r="H3051" s="700"/>
      <c r="I3051" s="700"/>
      <c r="J3051" s="700"/>
      <c r="K3051" s="700"/>
      <c r="L3051" s="700"/>
      <c r="M3051" s="744"/>
      <c r="N3051" s="700"/>
      <c r="O3051" s="553" t="s">
        <v>279</v>
      </c>
      <c r="P3051" s="73" t="s">
        <v>88</v>
      </c>
      <c r="Q3051" s="555" t="s">
        <v>76</v>
      </c>
      <c r="R3051" s="734"/>
      <c r="S3051" s="735"/>
      <c r="T3051" s="736"/>
      <c r="U3051" s="712"/>
      <c r="W3051" s="429" t="s">
        <v>269</v>
      </c>
      <c r="X3051" s="457" t="s">
        <v>278</v>
      </c>
      <c r="Y3051" s="430" t="s">
        <v>324</v>
      </c>
      <c r="Z3051" s="428"/>
      <c r="AA3051" s="698"/>
      <c r="AB3051" s="696"/>
      <c r="AC3051" s="49"/>
      <c r="AD3051" s="429" t="s">
        <v>292</v>
      </c>
      <c r="AE3051" s="431" t="s">
        <v>300</v>
      </c>
      <c r="AF3051" s="468" t="s">
        <v>301</v>
      </c>
      <c r="AG3051" s="49"/>
      <c r="AH3051" s="87"/>
      <c r="AI3051" s="87"/>
    </row>
    <row r="3052" spans="1:35" hidden="1">
      <c r="A3052" s="44"/>
      <c r="B3052" s="76"/>
      <c r="C3052" s="77"/>
      <c r="D3052" s="77"/>
      <c r="E3052" s="77"/>
      <c r="F3052" s="77"/>
      <c r="G3052" s="77"/>
      <c r="H3052" s="77"/>
      <c r="I3052" s="77"/>
      <c r="J3052" s="77"/>
      <c r="K3052" s="77"/>
      <c r="L3052" s="77"/>
      <c r="M3052" s="77"/>
      <c r="N3052" s="77"/>
      <c r="O3052" s="77"/>
      <c r="P3052" s="77"/>
      <c r="Q3052" s="77"/>
      <c r="R3052" s="77"/>
      <c r="S3052" s="78"/>
      <c r="T3052" s="79"/>
      <c r="U3052" s="109"/>
      <c r="V3052" s="49"/>
      <c r="W3052" s="432"/>
      <c r="X3052" s="454"/>
      <c r="Y3052" s="433"/>
      <c r="Z3052" s="6"/>
      <c r="AA3052" s="500"/>
      <c r="AB3052" s="562"/>
      <c r="AC3052" s="49"/>
      <c r="AD3052" s="210"/>
      <c r="AE3052" s="434"/>
      <c r="AF3052" s="435"/>
      <c r="AG3052" s="49"/>
      <c r="AH3052" s="87"/>
      <c r="AI3052" s="87"/>
    </row>
    <row r="3053" spans="1:35" hidden="1">
      <c r="A3053" s="80" t="e">
        <f>"A"&amp;E3049</f>
        <v>#N/A</v>
      </c>
      <c r="B3053" s="81">
        <v>1</v>
      </c>
      <c r="C3053" s="82"/>
      <c r="D3053" s="82"/>
      <c r="E3053" s="82"/>
      <c r="F3053" s="82"/>
      <c r="G3053" s="83"/>
      <c r="H3053" s="83"/>
      <c r="I3053" s="84"/>
      <c r="J3053" s="85"/>
      <c r="K3053" s="382"/>
      <c r="L3053" s="85"/>
      <c r="M3053" s="332" t="str">
        <f t="shared" ref="M3053:M3062" si="898">IF(OR(J3053="",L3053="",H3053="NO"),"",IF(OR(J3053&gt;$P$17,J3053&lt;$O$17,L3053&gt;$P$17,AND(J3053&lt;$O$17,L3053&lt;$O$17)),"FUERA DE RANGO",IF(OR(K3053="---",K3053=""),IF(J3053&gt;=$O$17,ROUND((L3053-J3053+1)/360*12,3),ROUND((L3053-$O$17+1)/360*12,3)),IF(J3053&gt;=$O$17,ROUND((L3053-J3053+1)/360*12-ROUND(K3053,3),3),ROUND((L3053-$O$17+1)/360*12-ROUND(K3053,3),3)))))</f>
        <v/>
      </c>
      <c r="N3053" s="86"/>
      <c r="O3053" s="453" t="str">
        <f>IF(OR(G3053="",N3053=""),"",N3053*G3053)</f>
        <v/>
      </c>
      <c r="P3053" s="538" t="str">
        <f>IF(OR(H3053="",M3053="FUERA DE RANGO"),"",IF(OR(L3053&lt;$O$17,L3053&gt;$P$17,L3053="",H3053="NO"),"",IF(OR(N3053="",O3053=""),"",ROUND(O3053,3))))</f>
        <v/>
      </c>
      <c r="Q3053" s="539" t="str">
        <f t="shared" ref="Q3053:Q3062" si="899">IF(AND(H3053="SI",P3053&lt;&gt;""),ROUND(P3053/M3053,3),"")</f>
        <v/>
      </c>
      <c r="R3053" s="737"/>
      <c r="S3053" s="738"/>
      <c r="T3053" s="739"/>
      <c r="U3053" s="470"/>
      <c r="V3053" s="165"/>
      <c r="W3053" s="446"/>
      <c r="X3053" s="456"/>
      <c r="Y3053" s="436"/>
      <c r="Z3053" s="437"/>
      <c r="AA3053" s="560"/>
      <c r="AB3053" s="561"/>
      <c r="AC3053" s="87"/>
      <c r="AD3053" s="466"/>
      <c r="AE3053" s="456"/>
      <c r="AF3053" s="467"/>
      <c r="AG3053" s="87"/>
      <c r="AH3053" s="87"/>
      <c r="AI3053" s="87"/>
    </row>
    <row r="3054" spans="1:35" hidden="1">
      <c r="A3054" s="80" t="e">
        <f>"B"&amp;E3049</f>
        <v>#N/A</v>
      </c>
      <c r="B3054" s="81">
        <v>2</v>
      </c>
      <c r="C3054" s="106"/>
      <c r="D3054" s="106"/>
      <c r="E3054" s="106"/>
      <c r="F3054" s="106"/>
      <c r="G3054" s="83"/>
      <c r="H3054" s="83"/>
      <c r="I3054" s="84"/>
      <c r="J3054" s="85"/>
      <c r="K3054" s="382"/>
      <c r="L3054" s="85"/>
      <c r="M3054" s="332" t="str">
        <f t="shared" si="898"/>
        <v/>
      </c>
      <c r="N3054" s="86"/>
      <c r="O3054" s="453" t="str">
        <f t="shared" ref="O3054:O3062" si="900">IF(OR(G3054="",N3054=""),"",N3054*G3054)</f>
        <v/>
      </c>
      <c r="P3054" s="538" t="str">
        <f t="shared" ref="P3054:P3062" si="901">IF(OR(H3054="",M3054="FUERA DE RANGO"),"",IF(OR(L3054&lt;$O$17,L3054&gt;$P$17,L3054="",H3054="NO"),"",IF(OR(N3054="",O3054=""),"",ROUND(O3054,3))))</f>
        <v/>
      </c>
      <c r="Q3054" s="539" t="str">
        <f t="shared" si="899"/>
        <v/>
      </c>
      <c r="R3054" s="740"/>
      <c r="S3054" s="741"/>
      <c r="T3054" s="742"/>
      <c r="U3054" s="471"/>
      <c r="V3054" s="165"/>
      <c r="W3054" s="446"/>
      <c r="X3054" s="456"/>
      <c r="Y3054" s="436"/>
      <c r="Z3054" s="437"/>
      <c r="AA3054" s="560"/>
      <c r="AB3054" s="561"/>
      <c r="AC3054" s="87"/>
      <c r="AD3054" s="466"/>
      <c r="AE3054" s="456"/>
      <c r="AF3054" s="467"/>
      <c r="AG3054" s="87"/>
      <c r="AH3054" s="87"/>
      <c r="AI3054" s="87"/>
    </row>
    <row r="3055" spans="1:35" hidden="1">
      <c r="A3055" s="80" t="e">
        <f>"C"&amp;E3049</f>
        <v>#N/A</v>
      </c>
      <c r="B3055" s="88">
        <v>3</v>
      </c>
      <c r="C3055" s="82"/>
      <c r="D3055" s="82"/>
      <c r="E3055" s="82"/>
      <c r="F3055" s="82"/>
      <c r="G3055" s="83"/>
      <c r="H3055" s="83"/>
      <c r="I3055" s="84"/>
      <c r="J3055" s="85"/>
      <c r="K3055" s="382"/>
      <c r="L3055" s="85"/>
      <c r="M3055" s="332" t="str">
        <f t="shared" si="898"/>
        <v/>
      </c>
      <c r="N3055" s="86"/>
      <c r="O3055" s="453" t="str">
        <f t="shared" si="900"/>
        <v/>
      </c>
      <c r="P3055" s="538" t="str">
        <f t="shared" si="901"/>
        <v/>
      </c>
      <c r="Q3055" s="539" t="str">
        <f t="shared" si="899"/>
        <v/>
      </c>
      <c r="R3055" s="706"/>
      <c r="S3055" s="707"/>
      <c r="T3055" s="708"/>
      <c r="U3055" s="472"/>
      <c r="V3055" s="166"/>
      <c r="W3055" s="446"/>
      <c r="X3055" s="456"/>
      <c r="Y3055" s="436"/>
      <c r="Z3055" s="437"/>
      <c r="AA3055" s="560"/>
      <c r="AB3055" s="561"/>
      <c r="AC3055" s="87"/>
      <c r="AD3055" s="466"/>
      <c r="AE3055" s="456"/>
      <c r="AF3055" s="467"/>
      <c r="AG3055" s="87"/>
      <c r="AH3055" s="87"/>
      <c r="AI3055" s="87"/>
    </row>
    <row r="3056" spans="1:35" hidden="1">
      <c r="A3056" s="80" t="e">
        <f>"D"&amp;E3049</f>
        <v>#N/A</v>
      </c>
      <c r="B3056" s="105">
        <v>4</v>
      </c>
      <c r="C3056" s="107"/>
      <c r="D3056" s="107"/>
      <c r="E3056" s="107"/>
      <c r="F3056" s="107"/>
      <c r="G3056" s="83"/>
      <c r="H3056" s="83"/>
      <c r="I3056" s="84"/>
      <c r="J3056" s="85"/>
      <c r="K3056" s="382"/>
      <c r="L3056" s="85"/>
      <c r="M3056" s="332" t="str">
        <f t="shared" si="898"/>
        <v/>
      </c>
      <c r="N3056" s="86"/>
      <c r="O3056" s="453" t="str">
        <f t="shared" si="900"/>
        <v/>
      </c>
      <c r="P3056" s="538" t="str">
        <f t="shared" si="901"/>
        <v/>
      </c>
      <c r="Q3056" s="539" t="str">
        <f t="shared" si="899"/>
        <v/>
      </c>
      <c r="R3056" s="706"/>
      <c r="S3056" s="707"/>
      <c r="T3056" s="708"/>
      <c r="U3056" s="472"/>
      <c r="V3056" s="166"/>
      <c r="W3056" s="446"/>
      <c r="X3056" s="456"/>
      <c r="Y3056" s="436"/>
      <c r="Z3056" s="437"/>
      <c r="AA3056" s="560"/>
      <c r="AB3056" s="561"/>
      <c r="AC3056" s="87"/>
      <c r="AD3056" s="466"/>
      <c r="AE3056" s="456"/>
      <c r="AF3056" s="467"/>
      <c r="AG3056" s="87"/>
      <c r="AH3056" s="87"/>
      <c r="AI3056" s="87"/>
    </row>
    <row r="3057" spans="1:35" hidden="1">
      <c r="A3057" s="80" t="e">
        <f>"E"&amp;E3049</f>
        <v>#N/A</v>
      </c>
      <c r="B3057" s="105">
        <v>5</v>
      </c>
      <c r="C3057" s="107"/>
      <c r="D3057" s="107"/>
      <c r="E3057" s="107"/>
      <c r="F3057" s="107"/>
      <c r="G3057" s="83"/>
      <c r="H3057" s="83"/>
      <c r="I3057" s="84"/>
      <c r="J3057" s="85"/>
      <c r="K3057" s="382"/>
      <c r="L3057" s="85"/>
      <c r="M3057" s="332" t="str">
        <f t="shared" si="898"/>
        <v/>
      </c>
      <c r="N3057" s="86"/>
      <c r="O3057" s="453" t="str">
        <f t="shared" si="900"/>
        <v/>
      </c>
      <c r="P3057" s="538" t="str">
        <f t="shared" si="901"/>
        <v/>
      </c>
      <c r="Q3057" s="539" t="str">
        <f t="shared" si="899"/>
        <v/>
      </c>
      <c r="R3057" s="706"/>
      <c r="S3057" s="707"/>
      <c r="T3057" s="708"/>
      <c r="U3057" s="472"/>
      <c r="V3057" s="167"/>
      <c r="W3057" s="446"/>
      <c r="X3057" s="456"/>
      <c r="Y3057" s="436"/>
      <c r="Z3057" s="437"/>
      <c r="AA3057" s="560"/>
      <c r="AB3057" s="561"/>
      <c r="AC3057" s="87"/>
      <c r="AD3057" s="466"/>
      <c r="AE3057" s="456"/>
      <c r="AF3057" s="467"/>
      <c r="AG3057" s="87"/>
      <c r="AH3057" s="87"/>
      <c r="AI3057" s="87"/>
    </row>
    <row r="3058" spans="1:35" hidden="1">
      <c r="A3058" s="80" t="e">
        <f>"F"&amp;E3049</f>
        <v>#N/A</v>
      </c>
      <c r="B3058" s="105">
        <v>6</v>
      </c>
      <c r="C3058" s="107"/>
      <c r="D3058" s="107"/>
      <c r="E3058" s="107"/>
      <c r="F3058" s="107"/>
      <c r="G3058" s="83"/>
      <c r="H3058" s="83"/>
      <c r="I3058" s="84"/>
      <c r="J3058" s="85"/>
      <c r="K3058" s="382"/>
      <c r="L3058" s="85"/>
      <c r="M3058" s="332" t="str">
        <f t="shared" si="898"/>
        <v/>
      </c>
      <c r="N3058" s="86"/>
      <c r="O3058" s="453" t="str">
        <f t="shared" si="900"/>
        <v/>
      </c>
      <c r="P3058" s="538" t="str">
        <f t="shared" si="901"/>
        <v/>
      </c>
      <c r="Q3058" s="539" t="str">
        <f t="shared" si="899"/>
        <v/>
      </c>
      <c r="R3058" s="706"/>
      <c r="S3058" s="707"/>
      <c r="T3058" s="708"/>
      <c r="U3058" s="472"/>
      <c r="V3058" s="167"/>
      <c r="W3058" s="446"/>
      <c r="X3058" s="456"/>
      <c r="Y3058" s="436"/>
      <c r="Z3058" s="437"/>
      <c r="AA3058" s="560"/>
      <c r="AB3058" s="561"/>
      <c r="AC3058" s="87"/>
      <c r="AD3058" s="466"/>
      <c r="AE3058" s="456"/>
      <c r="AF3058" s="467"/>
      <c r="AG3058" s="87"/>
      <c r="AH3058" s="87"/>
      <c r="AI3058" s="87"/>
    </row>
    <row r="3059" spans="1:35" hidden="1">
      <c r="A3059" s="80" t="e">
        <f>"G"&amp;E3049</f>
        <v>#N/A</v>
      </c>
      <c r="B3059" s="105">
        <v>7</v>
      </c>
      <c r="C3059" s="107"/>
      <c r="D3059" s="107"/>
      <c r="E3059" s="107"/>
      <c r="F3059" s="107"/>
      <c r="G3059" s="83"/>
      <c r="H3059" s="83"/>
      <c r="I3059" s="84"/>
      <c r="J3059" s="85"/>
      <c r="K3059" s="382"/>
      <c r="L3059" s="85"/>
      <c r="M3059" s="332" t="str">
        <f t="shared" si="898"/>
        <v/>
      </c>
      <c r="N3059" s="86"/>
      <c r="O3059" s="86" t="str">
        <f t="shared" si="900"/>
        <v/>
      </c>
      <c r="P3059" s="538" t="str">
        <f t="shared" si="901"/>
        <v/>
      </c>
      <c r="Q3059" s="539" t="str">
        <f t="shared" si="899"/>
        <v/>
      </c>
      <c r="R3059" s="706"/>
      <c r="S3059" s="707"/>
      <c r="T3059" s="708"/>
      <c r="U3059" s="472"/>
      <c r="V3059" s="167"/>
      <c r="W3059" s="446"/>
      <c r="X3059" s="456"/>
      <c r="Y3059" s="436"/>
      <c r="Z3059" s="437"/>
      <c r="AA3059" s="560"/>
      <c r="AB3059" s="561"/>
      <c r="AC3059" s="87"/>
      <c r="AD3059" s="466"/>
      <c r="AE3059" s="456"/>
      <c r="AF3059" s="467"/>
      <c r="AG3059" s="87"/>
      <c r="AH3059" s="87"/>
      <c r="AI3059" s="87"/>
    </row>
    <row r="3060" spans="1:35" hidden="1">
      <c r="A3060" s="80" t="e">
        <f>"H"&amp;E3049</f>
        <v>#N/A</v>
      </c>
      <c r="B3060" s="105">
        <v>8</v>
      </c>
      <c r="C3060" s="107"/>
      <c r="D3060" s="107"/>
      <c r="E3060" s="107"/>
      <c r="F3060" s="107"/>
      <c r="G3060" s="83"/>
      <c r="H3060" s="83"/>
      <c r="I3060" s="84"/>
      <c r="J3060" s="85"/>
      <c r="K3060" s="382"/>
      <c r="L3060" s="85"/>
      <c r="M3060" s="332" t="str">
        <f t="shared" si="898"/>
        <v/>
      </c>
      <c r="N3060" s="453"/>
      <c r="O3060" s="86" t="str">
        <f t="shared" si="900"/>
        <v/>
      </c>
      <c r="P3060" s="538" t="str">
        <f t="shared" si="901"/>
        <v/>
      </c>
      <c r="Q3060" s="539" t="str">
        <f t="shared" si="899"/>
        <v/>
      </c>
      <c r="R3060" s="706"/>
      <c r="S3060" s="707"/>
      <c r="T3060" s="708"/>
      <c r="U3060" s="472"/>
      <c r="V3060" s="167"/>
      <c r="W3060" s="446"/>
      <c r="X3060" s="456"/>
      <c r="Y3060" s="436"/>
      <c r="Z3060" s="437"/>
      <c r="AA3060" s="560"/>
      <c r="AB3060" s="561"/>
      <c r="AC3060" s="87"/>
      <c r="AD3060" s="466"/>
      <c r="AE3060" s="456"/>
      <c r="AF3060" s="467"/>
      <c r="AG3060" s="87"/>
      <c r="AH3060" s="87"/>
      <c r="AI3060" s="87"/>
    </row>
    <row r="3061" spans="1:35" hidden="1">
      <c r="A3061" s="80" t="e">
        <f>"I"&amp;E3049</f>
        <v>#N/A</v>
      </c>
      <c r="B3061" s="105">
        <v>9</v>
      </c>
      <c r="C3061" s="107"/>
      <c r="D3061" s="107"/>
      <c r="E3061" s="107"/>
      <c r="F3061" s="107"/>
      <c r="G3061" s="83"/>
      <c r="H3061" s="83"/>
      <c r="I3061" s="84"/>
      <c r="J3061" s="85"/>
      <c r="K3061" s="382"/>
      <c r="L3061" s="85"/>
      <c r="M3061" s="332" t="str">
        <f t="shared" si="898"/>
        <v/>
      </c>
      <c r="N3061" s="453"/>
      <c r="O3061" s="86" t="str">
        <f t="shared" si="900"/>
        <v/>
      </c>
      <c r="P3061" s="538" t="str">
        <f t="shared" si="901"/>
        <v/>
      </c>
      <c r="Q3061" s="539" t="str">
        <f t="shared" si="899"/>
        <v/>
      </c>
      <c r="R3061" s="706"/>
      <c r="S3061" s="707"/>
      <c r="T3061" s="708"/>
      <c r="U3061" s="472"/>
      <c r="V3061" s="167"/>
      <c r="W3061" s="446"/>
      <c r="X3061" s="456"/>
      <c r="Y3061" s="436"/>
      <c r="Z3061" s="437"/>
      <c r="AA3061" s="560"/>
      <c r="AB3061" s="561"/>
      <c r="AC3061" s="87"/>
      <c r="AD3061" s="466"/>
      <c r="AE3061" s="456"/>
      <c r="AF3061" s="467"/>
      <c r="AG3061" s="87"/>
      <c r="AH3061" s="87"/>
      <c r="AI3061" s="87"/>
    </row>
    <row r="3062" spans="1:35" hidden="1">
      <c r="A3062" s="80" t="e">
        <f>"J"&amp;E3049</f>
        <v>#N/A</v>
      </c>
      <c r="B3062" s="105">
        <v>10</v>
      </c>
      <c r="C3062" s="107"/>
      <c r="D3062" s="107"/>
      <c r="E3062" s="107"/>
      <c r="F3062" s="107"/>
      <c r="G3062" s="83"/>
      <c r="H3062" s="83"/>
      <c r="I3062" s="84"/>
      <c r="J3062" s="85"/>
      <c r="K3062" s="382"/>
      <c r="L3062" s="85"/>
      <c r="M3062" s="332" t="str">
        <f t="shared" si="898"/>
        <v/>
      </c>
      <c r="N3062" s="453"/>
      <c r="O3062" s="86" t="str">
        <f t="shared" si="900"/>
        <v/>
      </c>
      <c r="P3062" s="538" t="str">
        <f t="shared" si="901"/>
        <v/>
      </c>
      <c r="Q3062" s="539" t="str">
        <f t="shared" si="899"/>
        <v/>
      </c>
      <c r="R3062" s="706"/>
      <c r="S3062" s="707"/>
      <c r="T3062" s="708"/>
      <c r="U3062" s="472"/>
      <c r="V3062" s="167"/>
      <c r="W3062" s="446"/>
      <c r="X3062" s="456"/>
      <c r="Y3062" s="436"/>
      <c r="Z3062" s="437"/>
      <c r="AA3062" s="560"/>
      <c r="AB3062" s="561"/>
      <c r="AC3062" s="87"/>
      <c r="AD3062" s="466"/>
      <c r="AE3062" s="456"/>
      <c r="AF3062" s="467"/>
      <c r="AG3062" s="87"/>
      <c r="AH3062" s="87"/>
      <c r="AI3062" s="87"/>
    </row>
    <row r="3063" spans="1:35" ht="16.5" hidden="1" thickBot="1">
      <c r="A3063" s="44"/>
      <c r="B3063" s="89"/>
      <c r="C3063" s="90"/>
      <c r="D3063" s="90"/>
      <c r="E3063" s="90"/>
      <c r="F3063" s="90"/>
      <c r="G3063" s="90"/>
      <c r="H3063" s="90"/>
      <c r="I3063" s="90"/>
      <c r="J3063" s="90"/>
      <c r="K3063" s="90"/>
      <c r="L3063" s="90"/>
      <c r="M3063" s="90"/>
      <c r="N3063" s="90"/>
      <c r="O3063" s="90"/>
      <c r="P3063" s="90"/>
      <c r="Q3063" s="90"/>
      <c r="R3063" s="90"/>
      <c r="S3063" s="91"/>
      <c r="T3063" s="92"/>
      <c r="U3063" s="473"/>
      <c r="W3063" s="438"/>
      <c r="X3063" s="455"/>
      <c r="Y3063" s="439"/>
      <c r="Z3063" s="437"/>
      <c r="AA3063" s="530"/>
      <c r="AB3063" s="563"/>
      <c r="AC3063" s="87"/>
      <c r="AD3063" s="440"/>
      <c r="AE3063" s="441"/>
      <c r="AF3063" s="442"/>
      <c r="AG3063" s="49"/>
      <c r="AH3063" s="87"/>
      <c r="AI3063" s="87"/>
    </row>
    <row r="3064" spans="1:35" ht="16.5" hidden="1" thickBot="1">
      <c r="A3064" s="93"/>
      <c r="B3064" s="94"/>
      <c r="C3064" s="96"/>
      <c r="D3064" s="96"/>
      <c r="E3064" s="96"/>
      <c r="F3064" s="96"/>
      <c r="G3064" s="96"/>
      <c r="H3064" s="96"/>
      <c r="I3064" s="96"/>
      <c r="J3064" s="96"/>
      <c r="K3064" s="96"/>
      <c r="L3064" s="96"/>
      <c r="M3064" s="136"/>
      <c r="N3064" s="96"/>
      <c r="O3064" s="96"/>
      <c r="P3064" s="97"/>
      <c r="Q3064" s="97"/>
      <c r="R3064" s="98"/>
      <c r="S3064" s="95"/>
      <c r="T3064" s="99"/>
      <c r="U3064" s="469"/>
      <c r="AC3064" s="58"/>
      <c r="AG3064" s="58"/>
      <c r="AH3064" s="87"/>
      <c r="AI3064" s="87"/>
    </row>
    <row r="3065" spans="1:35" ht="16.5" hidden="1" thickBot="1">
      <c r="B3065" s="101"/>
      <c r="C3065" s="101"/>
      <c r="D3065" s="101"/>
      <c r="E3065" s="101"/>
      <c r="F3065" s="101"/>
      <c r="G3065" s="101"/>
      <c r="H3065" s="101"/>
      <c r="I3065" s="101"/>
      <c r="J3065" s="101"/>
      <c r="K3065" s="101"/>
      <c r="L3065" s="101"/>
      <c r="M3065" s="101"/>
      <c r="N3065" s="101"/>
      <c r="O3065" s="101"/>
      <c r="P3065" s="101"/>
      <c r="Q3065" s="101"/>
      <c r="R3065" s="101"/>
      <c r="S3065" s="101"/>
      <c r="U3065" s="50"/>
      <c r="AH3065" s="87"/>
      <c r="AI3065" s="87"/>
    </row>
    <row r="3066" spans="1:35" ht="16.5" hidden="1" customHeight="1" thickBot="1">
      <c r="A3066" s="44"/>
      <c r="B3066" s="705" t="s">
        <v>74</v>
      </c>
      <c r="C3066" s="705"/>
      <c r="D3066" s="705"/>
      <c r="E3066" s="705"/>
      <c r="F3066" s="705"/>
      <c r="G3066" s="705"/>
      <c r="H3066" s="705"/>
      <c r="I3066" s="705"/>
      <c r="J3066" s="705"/>
      <c r="K3066" s="705"/>
      <c r="L3066" s="705"/>
      <c r="M3066" s="705"/>
      <c r="N3066" s="705"/>
      <c r="O3066" s="705"/>
      <c r="P3066" s="705"/>
      <c r="Q3066" s="705"/>
      <c r="R3066" s="705"/>
      <c r="S3066" s="705"/>
      <c r="T3066" s="705"/>
      <c r="U3066" s="108"/>
      <c r="Y3066" s="532" t="s">
        <v>341</v>
      </c>
      <c r="AC3066" s="49"/>
      <c r="AD3066" s="687" t="s">
        <v>302</v>
      </c>
      <c r="AE3066" s="688"/>
      <c r="AF3066" s="689"/>
      <c r="AG3066" s="49"/>
      <c r="AH3066" s="87"/>
      <c r="AI3066" s="87"/>
    </row>
    <row r="3067" spans="1:35" ht="16.5" hidden="1" customHeight="1" thickBot="1">
      <c r="A3067" s="218" t="e">
        <f>"K"&amp;E3049</f>
        <v>#N/A</v>
      </c>
      <c r="B3067" s="701" t="s">
        <v>71</v>
      </c>
      <c r="C3067" s="751" t="s">
        <v>102</v>
      </c>
      <c r="D3067" s="751"/>
      <c r="E3067" s="751"/>
      <c r="F3067" s="751"/>
      <c r="G3067" s="751"/>
      <c r="H3067" s="751"/>
      <c r="I3067" s="751"/>
      <c r="J3067" s="751"/>
      <c r="K3067" s="751"/>
      <c r="L3067" s="722" t="s">
        <v>100</v>
      </c>
      <c r="M3067" s="747" t="s">
        <v>114</v>
      </c>
      <c r="N3067" s="747"/>
      <c r="O3067" s="747"/>
      <c r="P3067" s="747"/>
      <c r="Q3067" s="748"/>
      <c r="R3067" s="758" t="s">
        <v>280</v>
      </c>
      <c r="S3067" s="748"/>
      <c r="T3067" s="762" t="str">
        <f>IF(COUNTIF(AE3067:AF3067,"VERIFICAR")&gt;0,"VERIFICAR",IF(COUNTIF(AE3067:AF3067,"NO CUMPLE")&gt;0,"NO CUMPLE","CUMPLE"))</f>
        <v>VERIFICAR</v>
      </c>
      <c r="U3067" s="108"/>
      <c r="Y3067" s="533" t="e">
        <f>IF(F3068="","",IF(F3068=1,"INDIVIDUAL","ESTRUCTURA PLURAL"))</f>
        <v>#N/A</v>
      </c>
      <c r="AC3067" s="52"/>
      <c r="AD3067" s="475" t="s">
        <v>303</v>
      </c>
      <c r="AE3067" s="476" t="str">
        <f>IF(COUNTIF(AE3053:AE3062,"")=10,"VERIFICAR",IF(COUNTIF(AE3053:AE3062,"SI")&gt;0,"CUMPLE","NO CUMPLE"))</f>
        <v>VERIFICAR</v>
      </c>
      <c r="AF3067" s="477" t="str">
        <f>IF(COUNTIF(AF3053:AF3062,"")=10,"VERIFICAR",IF(COUNTIF(AF3053:AF3062,"SI")&gt;=$AI$22,"CUMPLE","NO CUMPLE"))</f>
        <v>VERIFICAR</v>
      </c>
      <c r="AG3067" s="52"/>
      <c r="AH3067" s="87"/>
      <c r="AI3067" s="87"/>
    </row>
    <row r="3068" spans="1:35" ht="15.75" hidden="1" customHeight="1" thickBot="1">
      <c r="A3068" s="218" t="e">
        <f>"L"&amp;E3049</f>
        <v>#N/A</v>
      </c>
      <c r="B3068" s="702"/>
      <c r="C3068" s="751" t="s">
        <v>103</v>
      </c>
      <c r="D3068" s="751"/>
      <c r="E3068" s="752"/>
      <c r="F3068" s="557" t="e">
        <f>IF(VLOOKUP(E3049,PROPONENTES!$C$19:$E$218,3,0)="","",VLOOKUP(E3049,PROPONENTES!$C$19:$E$218,3,0))</f>
        <v>#N/A</v>
      </c>
      <c r="G3068" s="753" t="s">
        <v>104</v>
      </c>
      <c r="H3068" s="751"/>
      <c r="I3068" s="715" t="e">
        <f>IF(OR(F3068="",F3068=1),"INTERESADO PERSONA NATURAL O JURIDICA","CONSORCIO O UNION TEMPORAL")</f>
        <v>#N/A</v>
      </c>
      <c r="J3068" s="725"/>
      <c r="K3068" s="728"/>
      <c r="L3068" s="723"/>
      <c r="M3068" s="749"/>
      <c r="N3068" s="749"/>
      <c r="O3068" s="749"/>
      <c r="P3068" s="749"/>
      <c r="Q3068" s="750"/>
      <c r="R3068" s="712"/>
      <c r="S3068" s="750"/>
      <c r="T3068" s="763"/>
      <c r="U3068" s="108"/>
      <c r="Y3068" s="534"/>
      <c r="AA3068" s="52"/>
      <c r="AB3068" s="52"/>
      <c r="AC3068" s="52"/>
      <c r="AG3068" s="52"/>
      <c r="AH3068" s="87"/>
      <c r="AI3068" s="87"/>
    </row>
    <row r="3069" spans="1:35" ht="56.25" hidden="1" customHeight="1" thickBot="1">
      <c r="A3069" s="218" t="e">
        <f>"M"&amp;E3049</f>
        <v>#N/A</v>
      </c>
      <c r="B3069" s="702"/>
      <c r="C3069" s="725" t="s">
        <v>101</v>
      </c>
      <c r="D3069" s="716"/>
      <c r="E3069" s="558" t="s">
        <v>105</v>
      </c>
      <c r="F3069" s="554" t="s">
        <v>87</v>
      </c>
      <c r="G3069" s="553" t="s">
        <v>86</v>
      </c>
      <c r="H3069" s="559" t="s">
        <v>85</v>
      </c>
      <c r="I3069" s="554" t="s">
        <v>252</v>
      </c>
      <c r="J3069" s="553" t="str">
        <f>"¿EL INTEGRANTE TIENE UNA PARTICIPACIÓN DEL "&amp;PORCREQUERIDOINT*100&amp;"%?"</f>
        <v>¿EL INTEGRANTE TIENE UNA PARTICIPACIÓN DEL 60%?</v>
      </c>
      <c r="K3069" s="554" t="s">
        <v>107</v>
      </c>
      <c r="L3069" s="724"/>
      <c r="M3069" s="717" t="s">
        <v>115</v>
      </c>
      <c r="N3069" s="718"/>
      <c r="O3069" s="718"/>
      <c r="P3069" s="718"/>
      <c r="Q3069" s="223">
        <f>IF(AND(H3053="SI",P3053&gt;=0),1,0)+IF(AND(H3054="SI",P3054&gt;=0),1,0)+IF(AND(H3055="SI",P3055&gt;=0),1,0)+IF(AND(H3056="SI",P3056&gt;=0),1,0)+IF(AND(H3057="SI",P3057&gt;=0),1,0)+IF(AND(H3058="SI",P3058&gt;=0),1,0)+IF(AND(H3059="SI",P3059&gt;=0),1,0)+IF(AND(H3060="SI",P3060&gt;=0),1,0)+IF(AND(H3061="SI",P3061&gt;=0),1,0)+IF(AND(H3062="SI",P3062&gt;=0),1,0)</f>
        <v>0</v>
      </c>
      <c r="R3069" s="759"/>
      <c r="S3069" s="761"/>
      <c r="T3069" s="764"/>
      <c r="U3069" s="219"/>
      <c r="V3069" s="464"/>
      <c r="Y3069" s="532" t="s">
        <v>342</v>
      </c>
      <c r="AA3069" s="550" t="s">
        <v>344</v>
      </c>
      <c r="AB3069" s="693" t="s">
        <v>345</v>
      </c>
      <c r="AC3069" s="693" t="s">
        <v>346</v>
      </c>
      <c r="AD3069" s="685" t="s">
        <v>347</v>
      </c>
      <c r="AE3069" s="52"/>
      <c r="AF3069" s="52"/>
      <c r="AG3069" s="52"/>
      <c r="AH3069" s="87"/>
      <c r="AI3069" s="87"/>
    </row>
    <row r="3070" spans="1:35" ht="15.75" hidden="1" customHeight="1" thickBot="1">
      <c r="A3070" s="218" t="e">
        <f>"N"&amp;E3049</f>
        <v>#N/A</v>
      </c>
      <c r="B3070" s="702"/>
      <c r="C3070" s="114">
        <v>1</v>
      </c>
      <c r="D3070" s="194" t="e">
        <f>IF(AND(C3070&lt;=F3068,F3068&gt;1,F3068&lt;&gt;""),VLOOKUP(VALUE(E3049&amp;","&amp;C3070),INTEGRANTES!$D$18:$F$235,2,0),"")</f>
        <v>#N/A</v>
      </c>
      <c r="E3070" s="211" t="e">
        <f>IF(D3070&lt;&gt;"",VLOOKUP(VALUE(E3049&amp;","&amp;C3070),INTEGRANTES!$D$18:$F$235,3,0),"")</f>
        <v>#N/A</v>
      </c>
      <c r="F3070" s="547" t="e">
        <f>IF(D3070="","",SUMIF($I3053:$I3062,D3070,$P3053:$P3062))</f>
        <v>#N/A</v>
      </c>
      <c r="G3070" s="333" t="e">
        <f>IF(D3070="","",SUMIF($I3053:$I3062,D3070,$M3053:$M3062))</f>
        <v>#N/A</v>
      </c>
      <c r="H3070" s="535" t="e">
        <f t="shared" ref="H3070:H3075" si="902">IF(D3070="","",IF(OR(F3070=0,G3070=0),"NO APORTA",ROUND($F3070/$G3070,3)))</f>
        <v>#N/A</v>
      </c>
      <c r="I3070" s="212" t="e">
        <f>IF(D3070="","",IF(H3070="NO APORTA","NO",IF(H3070=MAX($H3070:$H3075),"SI","NO")))</f>
        <v>#N/A</v>
      </c>
      <c r="J3070" s="213" t="e">
        <f t="shared" ref="J3070:J3075" si="903">IF(D3070="","",IF(E3070&gt;=PORCREQUERIDOINT,"SI","NO"))</f>
        <v>#N/A</v>
      </c>
      <c r="K3070" s="200" t="e">
        <f t="shared" ref="K3070:K3075" si="904">IF(D3070="","",IF(AND(I3070="SI",J3070="SI"),"CUMPLE",IF(AND(I3070="NO",OR(J3070="SI",J3070="NO")),"","NO CUMPLE")))</f>
        <v>#N/A</v>
      </c>
      <c r="L3070" s="722" t="s">
        <v>108</v>
      </c>
      <c r="M3070" s="726" t="s">
        <v>119</v>
      </c>
      <c r="N3070" s="726"/>
      <c r="O3070" s="726"/>
      <c r="P3070" s="726"/>
      <c r="Q3070" s="727"/>
      <c r="R3070" s="758" t="s">
        <v>80</v>
      </c>
      <c r="S3070" s="747"/>
      <c r="T3070" s="748"/>
      <c r="U3070" s="219"/>
      <c r="V3070" s="464"/>
      <c r="Y3070" s="533" t="e">
        <f>IF(Y3067="","",IF(Y3067="INDIVIDUAL","NO APLICA","VERIFICAR CUADRO"))</f>
        <v>#N/A</v>
      </c>
      <c r="AA3070" s="551"/>
      <c r="AB3070" s="694"/>
      <c r="AC3070" s="694"/>
      <c r="AD3070" s="686"/>
      <c r="AE3070" s="52"/>
      <c r="AF3070" s="52"/>
      <c r="AG3070" s="52"/>
      <c r="AH3070" s="87"/>
      <c r="AI3070" s="87"/>
    </row>
    <row r="3071" spans="1:35" ht="27" hidden="1" customHeight="1" thickBot="1">
      <c r="A3071" s="218" t="e">
        <f>"O"&amp;E3049</f>
        <v>#N/A</v>
      </c>
      <c r="B3071" s="702"/>
      <c r="C3071" s="114">
        <v>2</v>
      </c>
      <c r="D3071" s="194" t="e">
        <f>IF(AND(C3071&lt;=F3068,F3068&lt;&gt;""),VLOOKUP(VALUE(E3049&amp;","&amp;C3071),INTEGRANTES!$D$18:$F$235,2,0),"")</f>
        <v>#N/A</v>
      </c>
      <c r="E3071" s="211" t="e">
        <f>IF(D3071&lt;&gt;"",VLOOKUP(VALUE(E3049&amp;","&amp;C3071),INTEGRANTES!$D$18:$F$235,3,0),"")</f>
        <v>#N/A</v>
      </c>
      <c r="F3071" s="547" t="e">
        <f>IF(D3071="","",SUMIF($I3053:$I3062,D3071,$P3053:$P3062))</f>
        <v>#N/A</v>
      </c>
      <c r="G3071" s="333" t="e">
        <f>IF(D3071="","",SUMIF($I3053:$I3062,D3071,$M3053:$M3062))</f>
        <v>#N/A</v>
      </c>
      <c r="H3071" s="535" t="e">
        <f t="shared" si="902"/>
        <v>#N/A</v>
      </c>
      <c r="I3071" s="212" t="e">
        <f>IF(D3071="","",IF(H3071="NO APORTA","NO",IF(H3071=MAX($H3070:$H3075),"SI","NO")))</f>
        <v>#N/A</v>
      </c>
      <c r="J3071" s="213" t="e">
        <f t="shared" si="903"/>
        <v>#N/A</v>
      </c>
      <c r="K3071" s="200" t="e">
        <f t="shared" si="904"/>
        <v>#N/A</v>
      </c>
      <c r="L3071" s="723"/>
      <c r="M3071" s="715" t="s">
        <v>116</v>
      </c>
      <c r="N3071" s="716"/>
      <c r="O3071" s="556" t="s">
        <v>113</v>
      </c>
      <c r="P3071" s="715" t="s">
        <v>117</v>
      </c>
      <c r="Q3071" s="728"/>
      <c r="R3071" s="759"/>
      <c r="S3071" s="760"/>
      <c r="T3071" s="761"/>
      <c r="U3071" s="219"/>
      <c r="V3071" s="464"/>
      <c r="Y3071" s="414"/>
      <c r="AA3071" s="542" t="e">
        <f>IF(AND(C3070&lt;=F3068,F3068&gt;1,F3068&lt;&gt;""),VLOOKUP(VALUE(E3049&amp;","&amp;C3070),INTEGRANTES!$D$18:$F$235,2,0),"")</f>
        <v>#N/A</v>
      </c>
      <c r="AB3071" s="544" t="e">
        <f t="shared" ref="AB3071:AB3076" si="905">IF(D3070="","",IF(OR(F3070=0,G3070=0),"NO APORTA",ROUND($F3070/$G3070,3)))</f>
        <v>#N/A</v>
      </c>
      <c r="AC3071" s="529"/>
      <c r="AD3071" s="200" t="e">
        <f t="shared" ref="AD3071:AD3076" si="906">IF(OR(AA3071="",AB3071=""),"",IF(AND(AC3071="X",AB3071&gt;=EXPREQVTD),"CUMPLE","NO CUMPLE"))</f>
        <v>#N/A</v>
      </c>
      <c r="AE3071" s="52"/>
      <c r="AF3071" s="52"/>
      <c r="AG3071" s="52"/>
      <c r="AH3071" s="87"/>
      <c r="AI3071" s="87"/>
    </row>
    <row r="3072" spans="1:35" ht="27" hidden="1" customHeight="1" thickBot="1">
      <c r="A3072" s="218" t="e">
        <f>"P"&amp;E3049</f>
        <v>#N/A</v>
      </c>
      <c r="B3072" s="702"/>
      <c r="C3072" s="114">
        <v>3</v>
      </c>
      <c r="D3072" s="194" t="e">
        <f>IF(AND(C3072&lt;=F3068,F3068&lt;&gt;""),VLOOKUP(VALUE(E3049&amp;","&amp;C3072),INTEGRANTES!$D$18:$F$235,2,0),"")</f>
        <v>#N/A</v>
      </c>
      <c r="E3072" s="211" t="e">
        <f>IF(D3072&lt;&gt;"",VLOOKUP(VALUE(E3049&amp;","&amp;C3072),INTEGRANTES!$D$18:$F$235,3,0),"")</f>
        <v>#N/A</v>
      </c>
      <c r="F3072" s="547" t="e">
        <f>IF(D3072="","",SUMIF($I3053:$I3062,D3072,$P3053:$P3062))</f>
        <v>#N/A</v>
      </c>
      <c r="G3072" s="333" t="e">
        <f>IF(D3072="","",SUMIF($I3053:$I3062,D3072,$M3053:$M3062))</f>
        <v>#N/A</v>
      </c>
      <c r="H3072" s="535" t="e">
        <f t="shared" si="902"/>
        <v>#N/A</v>
      </c>
      <c r="I3072" s="212" t="e">
        <f>IF(D3072="","",IF(H3072="NO APORTA","NO",IF(H3072=MAX($H3070:$H3075),"SI","NO")))</f>
        <v>#N/A</v>
      </c>
      <c r="J3072" s="213" t="e">
        <f t="shared" si="903"/>
        <v>#N/A</v>
      </c>
      <c r="K3072" s="200" t="e">
        <f t="shared" si="904"/>
        <v>#N/A</v>
      </c>
      <c r="L3072" s="724"/>
      <c r="M3072" s="729">
        <f>NUMMOD</f>
        <v>1</v>
      </c>
      <c r="N3072" s="730"/>
      <c r="O3072" s="443">
        <f>IF(M3072="","",VLOOKUP(M3072,PRESUPUESTOS!$B$16:$H$16,5,FALSE))</f>
        <v>2</v>
      </c>
      <c r="P3072" s="713">
        <f>IF(OR(COUNTIF(M3053:M3062,"")&gt;=10,Q3069&lt;NUMMINCONT,OR(T3067="NO CUMPLE",T3067="VERIFICAR")),0,ROUND(AVERAGE(M3053:M3062),3))</f>
        <v>0</v>
      </c>
      <c r="Q3072" s="714"/>
      <c r="R3072" s="458"/>
      <c r="S3072" s="459"/>
      <c r="T3072" s="460"/>
      <c r="U3072" s="219"/>
      <c r="V3072" s="464"/>
      <c r="Y3072" s="532" t="str">
        <f>"40% * ("&amp;PRESUPUESTOS!$H$13&amp;")"</f>
        <v>40% * (50% PFMO)</v>
      </c>
      <c r="AA3072" s="540" t="e">
        <f>IF(AND(C3071&lt;=F3068,F3068&lt;&gt;""),VLOOKUP(VALUE(E3049&amp;","&amp;C3071),INTEGRANTES!$D$18:$F$235,2,0),"")</f>
        <v>#N/A</v>
      </c>
      <c r="AB3072" s="545" t="e">
        <f t="shared" si="905"/>
        <v>#N/A</v>
      </c>
      <c r="AC3072" s="529"/>
      <c r="AD3072" s="200" t="e">
        <f t="shared" si="906"/>
        <v>#N/A</v>
      </c>
      <c r="AE3072" s="52"/>
      <c r="AF3072" s="52"/>
      <c r="AG3072" s="52"/>
      <c r="AH3072" s="87"/>
      <c r="AI3072" s="87"/>
    </row>
    <row r="3073" spans="1:35" ht="15.75" hidden="1" customHeight="1" thickBot="1">
      <c r="A3073" s="218" t="e">
        <f>"Q"&amp;E3049</f>
        <v>#N/A</v>
      </c>
      <c r="B3073" s="702"/>
      <c r="C3073" s="114">
        <v>4</v>
      </c>
      <c r="D3073" s="194" t="e">
        <f>IF(AND(C3073&lt;=F3068,F3068&lt;&gt;""),VLOOKUP(VALUE(E3049&amp;","&amp;C3073),INTEGRANTES!$D$18:$F$235,2,0),"")</f>
        <v>#N/A</v>
      </c>
      <c r="E3073" s="211" t="e">
        <f>IF(D3073&lt;&gt;"",VLOOKUP(VALUE(E3049&amp;","&amp;C3073),INTEGRANTES!$D$18:$F$235,3,0),"")</f>
        <v>#N/A</v>
      </c>
      <c r="F3073" s="547" t="e">
        <f>IF(D3073="","",SUMIF($I3053:$I3062,D3073,$P3053:$P3062))</f>
        <v>#N/A</v>
      </c>
      <c r="G3073" s="333" t="e">
        <f>IF(D3073="","",SUMIF($I3053:$I3062,D3073,$M3053:$M3062))</f>
        <v>#N/A</v>
      </c>
      <c r="H3073" s="535" t="e">
        <f t="shared" si="902"/>
        <v>#N/A</v>
      </c>
      <c r="I3073" s="212" t="e">
        <f>IF(D3073="","",IF(H3073="NO APORTA","NO",IF(H3073=MAX($H3070:$H3075),"SI","NO")))</f>
        <v>#N/A</v>
      </c>
      <c r="J3073" s="213" t="e">
        <f t="shared" si="903"/>
        <v>#N/A</v>
      </c>
      <c r="K3073" s="200" t="e">
        <f t="shared" si="904"/>
        <v>#N/A</v>
      </c>
      <c r="L3073" s="720" t="s">
        <v>109</v>
      </c>
      <c r="M3073" s="757" t="s">
        <v>120</v>
      </c>
      <c r="N3073" s="726"/>
      <c r="O3073" s="726"/>
      <c r="P3073" s="726"/>
      <c r="Q3073" s="727"/>
      <c r="R3073" s="458"/>
      <c r="S3073" s="459"/>
      <c r="T3073" s="460"/>
      <c r="U3073" s="219"/>
      <c r="V3073" s="464"/>
      <c r="Y3073" s="537">
        <f>0.4*PRESUPUESTOS!$H$16</f>
        <v>10.3124</v>
      </c>
      <c r="AA3073" s="540" t="e">
        <f>IF(AND(C3072&lt;=F3068,F3068&lt;&gt;""),VLOOKUP(VALUE(E3049&amp;","&amp;C3072),INTEGRANTES!$D$18:$F$235,2,0),"")</f>
        <v>#N/A</v>
      </c>
      <c r="AB3073" s="545" t="e">
        <f t="shared" si="905"/>
        <v>#N/A</v>
      </c>
      <c r="AC3073" s="529"/>
      <c r="AD3073" s="200" t="e">
        <f t="shared" si="906"/>
        <v>#N/A</v>
      </c>
      <c r="AE3073" s="52"/>
      <c r="AF3073" s="52"/>
      <c r="AG3073" s="52"/>
      <c r="AH3073" s="87"/>
      <c r="AI3073" s="87"/>
    </row>
    <row r="3074" spans="1:35" ht="27" hidden="1" customHeight="1" thickBot="1">
      <c r="A3074" s="218" t="e">
        <f>"R"&amp;E3049</f>
        <v>#N/A</v>
      </c>
      <c r="B3074" s="702"/>
      <c r="C3074" s="114">
        <v>5</v>
      </c>
      <c r="D3074" s="194" t="e">
        <f>IF(AND(C3074&lt;=F3068,F3068&lt;&gt;""),VLOOKUP(VALUE(E3049&amp;","&amp;C3074),INTEGRANTES!$D$18:$F$235,2,0),"")</f>
        <v>#N/A</v>
      </c>
      <c r="E3074" s="211" t="e">
        <f>IF(D3074&lt;&gt;"",VLOOKUP(VALUE(E3049&amp;","&amp;C3074),INTEGRANTES!$D$18:$F$235,3,0),"")</f>
        <v>#N/A</v>
      </c>
      <c r="F3074" s="547" t="e">
        <f>IF(D3074="","",SUMIF($I3053:$I3062,D3074,$P3053:$P3062))</f>
        <v>#N/A</v>
      </c>
      <c r="G3074" s="333" t="e">
        <f>IF(D3074="","",SUMIF($I3053:$I3062,D3074,$M3053:$M3062))</f>
        <v>#N/A</v>
      </c>
      <c r="H3074" s="535" t="e">
        <f t="shared" si="902"/>
        <v>#N/A</v>
      </c>
      <c r="I3074" s="212" t="e">
        <f>IF(D3074="","",IF(H3074="NO APORTA","NO",IF(H3074=MAX($H3070:$H3075),"SI","NO")))</f>
        <v>#N/A</v>
      </c>
      <c r="J3074" s="213" t="e">
        <f t="shared" si="903"/>
        <v>#N/A</v>
      </c>
      <c r="K3074" s="200" t="e">
        <f t="shared" si="904"/>
        <v>#N/A</v>
      </c>
      <c r="L3074" s="721"/>
      <c r="M3074" s="715" t="s">
        <v>116</v>
      </c>
      <c r="N3074" s="716"/>
      <c r="O3074" s="556" t="str">
        <f>PORCREQUERIDO*100&amp;"% PMFO DEL MÓDULO"</f>
        <v>50% PMFO DEL MÓDULO</v>
      </c>
      <c r="P3074" s="715" t="s">
        <v>118</v>
      </c>
      <c r="Q3074" s="728"/>
      <c r="R3074" s="458"/>
      <c r="S3074" s="459"/>
      <c r="T3074" s="460"/>
      <c r="U3074" s="219"/>
      <c r="V3074" s="464"/>
      <c r="Y3074" s="414"/>
      <c r="AA3074" s="540" t="e">
        <f>IF(AND(C3073&lt;=F3068,F3068&lt;&gt;""),VLOOKUP(VALUE(E3049&amp;","&amp;C3073),INTEGRANTES!$D$18:$F$235,2,0),"")</f>
        <v>#N/A</v>
      </c>
      <c r="AB3074" s="545" t="e">
        <f t="shared" si="905"/>
        <v>#N/A</v>
      </c>
      <c r="AC3074" s="529"/>
      <c r="AD3074" s="200" t="e">
        <f t="shared" si="906"/>
        <v>#N/A</v>
      </c>
      <c r="AE3074" s="52"/>
      <c r="AF3074" s="52"/>
      <c r="AG3074" s="52"/>
      <c r="AH3074" s="87"/>
      <c r="AI3074" s="87"/>
    </row>
    <row r="3075" spans="1:35" ht="16.5" hidden="1" thickBot="1">
      <c r="A3075" s="218" t="e">
        <f>"S"&amp;E3049</f>
        <v>#N/A</v>
      </c>
      <c r="B3075" s="702"/>
      <c r="C3075" s="215">
        <v>6</v>
      </c>
      <c r="D3075" s="216" t="e">
        <f>IF(AND(C3075&lt;=F3068,F3068&lt;&gt;""),VLOOKUP(VALUE(E3049&amp;","&amp;C3075),INTEGRANTES!$D$18:$F$235,2,0),"")</f>
        <v>#N/A</v>
      </c>
      <c r="E3075" s="217" t="e">
        <f>IF(D3075&lt;&gt;"",VLOOKUP(VALUE(E3049&amp;","&amp;C3075),INTEGRANTES!$D$18:$F$235,3,0),"")</f>
        <v>#N/A</v>
      </c>
      <c r="F3075" s="548" t="e">
        <f>IF(D3075="","",SUMIF($I3053:$I3062,D3075,$P3053:$P3062))</f>
        <v>#N/A</v>
      </c>
      <c r="G3075" s="334" t="e">
        <f>IF(D3075="","",SUMIF($I3053:$I3062,D3075,$M3053:$M3062))</f>
        <v>#N/A</v>
      </c>
      <c r="H3075" s="536" t="e">
        <f t="shared" si="902"/>
        <v>#N/A</v>
      </c>
      <c r="I3075" s="214" t="e">
        <f>IF(D3075="","",IF(H3075="NO APORTA","NO",IF(H3075=MAX($H3070:$H3075),"SI","NO")))</f>
        <v>#N/A</v>
      </c>
      <c r="J3075" s="213" t="e">
        <f t="shared" si="903"/>
        <v>#N/A</v>
      </c>
      <c r="K3075" s="200" t="e">
        <f t="shared" si="904"/>
        <v>#N/A</v>
      </c>
      <c r="L3075" s="721"/>
      <c r="M3075" s="729">
        <f>NUMMOD</f>
        <v>1</v>
      </c>
      <c r="N3075" s="730"/>
      <c r="O3075" s="443">
        <f>IF(M3075="","",ROUND(VLOOKUP(M3075,PRESUPUESTOS!$B$16:$H$16,7,FALSE),3))</f>
        <v>25.780999999999999</v>
      </c>
      <c r="P3075" s="713">
        <f>IF(OR(COUNTIF(P3053:P3062,"")&gt;=10,Q3069&lt;NUMMINCONT,OR(T3067="NO CUMPLE",T3067="VERIFICAR")),0,ROUND((SUM(P3053:P3062)/SUM(M3053:M3062)),3))</f>
        <v>0</v>
      </c>
      <c r="Q3075" s="714"/>
      <c r="R3075" s="458"/>
      <c r="S3075" s="459"/>
      <c r="T3075" s="460"/>
      <c r="U3075" s="219"/>
      <c r="V3075" s="464"/>
      <c r="Y3075" s="532" t="s">
        <v>343</v>
      </c>
      <c r="AA3075" s="540" t="e">
        <f>IF(AND(C3074&lt;=F3068,F3068&lt;&gt;""),VLOOKUP(VALUE(E3049&amp;","&amp;C3074),INTEGRANTES!$D$18:$F$235,2,0),"")</f>
        <v>#N/A</v>
      </c>
      <c r="AB3075" s="545" t="e">
        <f t="shared" si="905"/>
        <v>#N/A</v>
      </c>
      <c r="AC3075" s="529"/>
      <c r="AD3075" s="200" t="e">
        <f t="shared" si="906"/>
        <v>#N/A</v>
      </c>
      <c r="AE3075" s="52"/>
      <c r="AF3075" s="52"/>
      <c r="AG3075" s="52"/>
      <c r="AH3075" s="87"/>
      <c r="AI3075" s="87"/>
    </row>
    <row r="3076" spans="1:35" ht="16.5" hidden="1" customHeight="1" thickBot="1">
      <c r="A3076" s="218" t="e">
        <f>"T"&amp;E3049</f>
        <v>#N/A</v>
      </c>
      <c r="B3076" s="703"/>
      <c r="C3076" s="719"/>
      <c r="D3076" s="719"/>
      <c r="E3076" s="719"/>
      <c r="F3076" s="719"/>
      <c r="G3076" s="719"/>
      <c r="H3076" s="719" t="s">
        <v>110</v>
      </c>
      <c r="I3076" s="719"/>
      <c r="J3076" s="719"/>
      <c r="K3076" s="201" t="str">
        <f>IF(COUNTIF(K3070:K3075,"")=6,"",IF(COUNTIF(K3070:K3075,"CUMPLE")&gt;0,"CUMPLE","NO CUMPLE"))</f>
        <v>NO CUMPLE</v>
      </c>
      <c r="L3076" s="754"/>
      <c r="M3076" s="755"/>
      <c r="N3076" s="755"/>
      <c r="O3076" s="755"/>
      <c r="P3076" s="755"/>
      <c r="Q3076" s="756"/>
      <c r="R3076" s="461"/>
      <c r="S3076" s="462"/>
      <c r="T3076" s="463"/>
      <c r="U3076" s="219"/>
      <c r="V3076" s="464"/>
      <c r="Y3076" s="549" t="e">
        <f>IF(Y3070="NO APLICA","NO APLICA",IF(COUNTIF(AD3071:AD3076,"CUMPLE")&gt;0,"CUMPLE","NO CUMPLE"))</f>
        <v>#N/A</v>
      </c>
      <c r="AA3076" s="541" t="e">
        <f>IF(AND(C3075&lt;=F3068,F3068&lt;&gt;""),VLOOKUP(VALUE(E3049&amp;","&amp;C3075),INTEGRANTES!$D$18:$F$235,2,0),"")</f>
        <v>#N/A</v>
      </c>
      <c r="AB3076" s="546" t="e">
        <f t="shared" si="905"/>
        <v>#N/A</v>
      </c>
      <c r="AC3076" s="543"/>
      <c r="AD3076" s="201" t="e">
        <f t="shared" si="906"/>
        <v>#N/A</v>
      </c>
      <c r="AE3076" s="52"/>
      <c r="AF3076" s="52"/>
      <c r="AG3076" s="52"/>
      <c r="AH3076" s="87"/>
      <c r="AI3076" s="87"/>
    </row>
    <row r="3077" spans="1:35" hidden="1">
      <c r="AH3077" s="87"/>
      <c r="AI3077" s="87"/>
    </row>
    <row r="3078" spans="1:35" hidden="1">
      <c r="AH3078" s="87"/>
      <c r="AI3078" s="87"/>
    </row>
    <row r="3079" spans="1:35" ht="24" hidden="1" thickBot="1">
      <c r="A3079" s="61">
        <v>103</v>
      </c>
      <c r="B3079" s="704" t="s">
        <v>51</v>
      </c>
      <c r="C3079" s="704"/>
      <c r="D3079" s="704"/>
      <c r="E3079" s="62" t="e">
        <f>VLOOKUP(A3079,PROPONENTES!$B$19:$E$218,2,FALSE)</f>
        <v>#N/A</v>
      </c>
      <c r="F3079" s="63" t="e">
        <f>VLOOKUP(A3079,PROPONENTES!$B$19:$E$218,3,FALSE)</f>
        <v>#N/A</v>
      </c>
      <c r="G3079" s="64"/>
      <c r="H3079" s="64"/>
      <c r="I3079" s="63"/>
      <c r="J3079" s="63"/>
      <c r="K3079" s="65"/>
      <c r="L3079" s="65"/>
      <c r="M3079" s="64"/>
      <c r="N3079" s="64"/>
      <c r="O3079" s="66"/>
      <c r="P3079" s="66"/>
      <c r="Q3079" s="66"/>
      <c r="R3079" s="66"/>
      <c r="S3079" s="67"/>
      <c r="T3079" s="68"/>
      <c r="U3079" s="68"/>
      <c r="AC3079" s="68"/>
      <c r="AD3079" s="68"/>
      <c r="AE3079" s="68"/>
      <c r="AF3079" s="68"/>
      <c r="AG3079" s="68"/>
      <c r="AH3079" s="87"/>
      <c r="AI3079" s="87"/>
    </row>
    <row r="3080" spans="1:35" ht="15.75" hidden="1" customHeight="1">
      <c r="A3080" s="44"/>
      <c r="B3080" s="709" t="s">
        <v>59</v>
      </c>
      <c r="C3080" s="552" t="s">
        <v>60</v>
      </c>
      <c r="D3080" s="70" t="s">
        <v>17</v>
      </c>
      <c r="E3080" s="70"/>
      <c r="F3080" s="70" t="s">
        <v>61</v>
      </c>
      <c r="G3080" s="71"/>
      <c r="H3080" s="699" t="s">
        <v>62</v>
      </c>
      <c r="I3080" s="699" t="s">
        <v>18</v>
      </c>
      <c r="J3080" s="699" t="s">
        <v>63</v>
      </c>
      <c r="K3080" s="699" t="s">
        <v>64</v>
      </c>
      <c r="L3080" s="699" t="s">
        <v>65</v>
      </c>
      <c r="M3080" s="743" t="s">
        <v>66</v>
      </c>
      <c r="N3080" s="699" t="s">
        <v>282</v>
      </c>
      <c r="O3080" s="745" t="s">
        <v>67</v>
      </c>
      <c r="P3080" s="746"/>
      <c r="Q3080" s="102" t="s">
        <v>75</v>
      </c>
      <c r="R3080" s="731" t="s">
        <v>22</v>
      </c>
      <c r="S3080" s="732"/>
      <c r="T3080" s="733"/>
      <c r="U3080" s="712" t="s">
        <v>298</v>
      </c>
      <c r="W3080" s="690" t="s">
        <v>268</v>
      </c>
      <c r="X3080" s="691"/>
      <c r="Y3080" s="692"/>
      <c r="Z3080" s="428"/>
      <c r="AA3080" s="697" t="s">
        <v>315</v>
      </c>
      <c r="AB3080" s="695" t="s">
        <v>322</v>
      </c>
      <c r="AC3080" s="49"/>
      <c r="AD3080" s="690" t="s">
        <v>297</v>
      </c>
      <c r="AE3080" s="691"/>
      <c r="AF3080" s="692"/>
      <c r="AG3080" s="49"/>
      <c r="AH3080" s="87"/>
      <c r="AI3080" s="87"/>
    </row>
    <row r="3081" spans="1:35" ht="72" hidden="1">
      <c r="A3081" s="44"/>
      <c r="B3081" s="710"/>
      <c r="C3081" s="553" t="s">
        <v>68</v>
      </c>
      <c r="D3081" s="73" t="s">
        <v>3</v>
      </c>
      <c r="E3081" s="73" t="s">
        <v>19</v>
      </c>
      <c r="F3081" s="73" t="s">
        <v>69</v>
      </c>
      <c r="G3081" s="74" t="s">
        <v>70</v>
      </c>
      <c r="H3081" s="700"/>
      <c r="I3081" s="700"/>
      <c r="J3081" s="700"/>
      <c r="K3081" s="700"/>
      <c r="L3081" s="700"/>
      <c r="M3081" s="744"/>
      <c r="N3081" s="700"/>
      <c r="O3081" s="553" t="s">
        <v>279</v>
      </c>
      <c r="P3081" s="73" t="s">
        <v>88</v>
      </c>
      <c r="Q3081" s="555" t="s">
        <v>76</v>
      </c>
      <c r="R3081" s="734"/>
      <c r="S3081" s="735"/>
      <c r="T3081" s="736"/>
      <c r="U3081" s="712"/>
      <c r="W3081" s="429" t="s">
        <v>269</v>
      </c>
      <c r="X3081" s="457" t="s">
        <v>278</v>
      </c>
      <c r="Y3081" s="430" t="s">
        <v>324</v>
      </c>
      <c r="Z3081" s="428"/>
      <c r="AA3081" s="698"/>
      <c r="AB3081" s="696"/>
      <c r="AC3081" s="49"/>
      <c r="AD3081" s="429" t="s">
        <v>292</v>
      </c>
      <c r="AE3081" s="431" t="s">
        <v>300</v>
      </c>
      <c r="AF3081" s="468" t="s">
        <v>301</v>
      </c>
      <c r="AG3081" s="49"/>
      <c r="AH3081" s="87"/>
      <c r="AI3081" s="87"/>
    </row>
    <row r="3082" spans="1:35" hidden="1">
      <c r="A3082" s="44"/>
      <c r="B3082" s="76"/>
      <c r="C3082" s="77"/>
      <c r="D3082" s="77"/>
      <c r="E3082" s="77"/>
      <c r="F3082" s="77"/>
      <c r="G3082" s="77"/>
      <c r="H3082" s="77"/>
      <c r="I3082" s="77"/>
      <c r="J3082" s="77"/>
      <c r="K3082" s="77"/>
      <c r="L3082" s="77"/>
      <c r="M3082" s="77"/>
      <c r="N3082" s="77"/>
      <c r="O3082" s="77"/>
      <c r="P3082" s="77"/>
      <c r="Q3082" s="77"/>
      <c r="R3082" s="77"/>
      <c r="S3082" s="78"/>
      <c r="T3082" s="79"/>
      <c r="U3082" s="109"/>
      <c r="V3082" s="49"/>
      <c r="W3082" s="432"/>
      <c r="X3082" s="454"/>
      <c r="Y3082" s="433"/>
      <c r="Z3082" s="6"/>
      <c r="AA3082" s="500"/>
      <c r="AB3082" s="562"/>
      <c r="AC3082" s="49"/>
      <c r="AD3082" s="210"/>
      <c r="AE3082" s="434"/>
      <c r="AF3082" s="435"/>
      <c r="AG3082" s="49"/>
      <c r="AH3082" s="87"/>
      <c r="AI3082" s="87"/>
    </row>
    <row r="3083" spans="1:35" hidden="1">
      <c r="A3083" s="80" t="e">
        <f>"A"&amp;E3079</f>
        <v>#N/A</v>
      </c>
      <c r="B3083" s="81">
        <v>1</v>
      </c>
      <c r="C3083" s="82"/>
      <c r="D3083" s="82"/>
      <c r="E3083" s="82"/>
      <c r="F3083" s="82"/>
      <c r="G3083" s="83"/>
      <c r="H3083" s="83"/>
      <c r="I3083" s="84"/>
      <c r="J3083" s="85"/>
      <c r="K3083" s="382"/>
      <c r="L3083" s="85"/>
      <c r="M3083" s="332" t="str">
        <f t="shared" ref="M3083:M3092" si="907">IF(OR(J3083="",L3083="",H3083="NO"),"",IF(OR(J3083&gt;$P$17,J3083&lt;$O$17,L3083&gt;$P$17,AND(J3083&lt;$O$17,L3083&lt;$O$17)),"FUERA DE RANGO",IF(OR(K3083="---",K3083=""),IF(J3083&gt;=$O$17,ROUND((L3083-J3083+1)/360*12,3),ROUND((L3083-$O$17+1)/360*12,3)),IF(J3083&gt;=$O$17,ROUND((L3083-J3083+1)/360*12-ROUND(K3083,3),3),ROUND((L3083-$O$17+1)/360*12-ROUND(K3083,3),3)))))</f>
        <v/>
      </c>
      <c r="N3083" s="86"/>
      <c r="O3083" s="453" t="str">
        <f>IF(OR(G3083="",N3083=""),"",N3083*G3083)</f>
        <v/>
      </c>
      <c r="P3083" s="538" t="str">
        <f>IF(OR(H3083="",M3083="FUERA DE RANGO"),"",IF(OR(L3083&lt;$O$17,L3083&gt;$P$17,L3083="",H3083="NO"),"",IF(OR(N3083="",O3083=""),"",ROUND(O3083,3))))</f>
        <v/>
      </c>
      <c r="Q3083" s="539" t="str">
        <f t="shared" ref="Q3083:Q3092" si="908">IF(AND(H3083="SI",P3083&lt;&gt;""),ROUND(P3083/M3083,3),"")</f>
        <v/>
      </c>
      <c r="R3083" s="737"/>
      <c r="S3083" s="738"/>
      <c r="T3083" s="739"/>
      <c r="U3083" s="470"/>
      <c r="V3083" s="165"/>
      <c r="W3083" s="446"/>
      <c r="X3083" s="456"/>
      <c r="Y3083" s="436"/>
      <c r="Z3083" s="437"/>
      <c r="AA3083" s="560"/>
      <c r="AB3083" s="561"/>
      <c r="AC3083" s="87"/>
      <c r="AD3083" s="466"/>
      <c r="AE3083" s="456"/>
      <c r="AF3083" s="467"/>
      <c r="AG3083" s="87"/>
      <c r="AH3083" s="87"/>
      <c r="AI3083" s="87"/>
    </row>
    <row r="3084" spans="1:35" hidden="1">
      <c r="A3084" s="80" t="e">
        <f>"B"&amp;E3079</f>
        <v>#N/A</v>
      </c>
      <c r="B3084" s="81">
        <v>2</v>
      </c>
      <c r="C3084" s="106"/>
      <c r="D3084" s="106"/>
      <c r="E3084" s="106"/>
      <c r="F3084" s="106"/>
      <c r="G3084" s="83"/>
      <c r="H3084" s="83"/>
      <c r="I3084" s="84"/>
      <c r="J3084" s="85"/>
      <c r="K3084" s="382"/>
      <c r="L3084" s="85"/>
      <c r="M3084" s="332" t="str">
        <f t="shared" si="907"/>
        <v/>
      </c>
      <c r="N3084" s="86"/>
      <c r="O3084" s="453" t="str">
        <f t="shared" ref="O3084:O3092" si="909">IF(OR(G3084="",N3084=""),"",N3084*G3084)</f>
        <v/>
      </c>
      <c r="P3084" s="538" t="str">
        <f t="shared" ref="P3084:P3092" si="910">IF(OR(H3084="",M3084="FUERA DE RANGO"),"",IF(OR(L3084&lt;$O$17,L3084&gt;$P$17,L3084="",H3084="NO"),"",IF(OR(N3084="",O3084=""),"",ROUND(O3084,3))))</f>
        <v/>
      </c>
      <c r="Q3084" s="539" t="str">
        <f t="shared" si="908"/>
        <v/>
      </c>
      <c r="R3084" s="740"/>
      <c r="S3084" s="741"/>
      <c r="T3084" s="742"/>
      <c r="U3084" s="471"/>
      <c r="V3084" s="165"/>
      <c r="W3084" s="446"/>
      <c r="X3084" s="456"/>
      <c r="Y3084" s="436"/>
      <c r="Z3084" s="437"/>
      <c r="AA3084" s="560"/>
      <c r="AB3084" s="561"/>
      <c r="AC3084" s="87"/>
      <c r="AD3084" s="466"/>
      <c r="AE3084" s="456"/>
      <c r="AF3084" s="467"/>
      <c r="AG3084" s="87"/>
      <c r="AH3084" s="87"/>
      <c r="AI3084" s="87"/>
    </row>
    <row r="3085" spans="1:35" hidden="1">
      <c r="A3085" s="80" t="e">
        <f>"C"&amp;E3079</f>
        <v>#N/A</v>
      </c>
      <c r="B3085" s="88">
        <v>3</v>
      </c>
      <c r="C3085" s="82"/>
      <c r="D3085" s="82"/>
      <c r="E3085" s="82"/>
      <c r="F3085" s="82"/>
      <c r="G3085" s="83"/>
      <c r="H3085" s="83"/>
      <c r="I3085" s="84"/>
      <c r="J3085" s="85"/>
      <c r="K3085" s="382"/>
      <c r="L3085" s="85"/>
      <c r="M3085" s="332" t="str">
        <f t="shared" si="907"/>
        <v/>
      </c>
      <c r="N3085" s="86"/>
      <c r="O3085" s="453" t="str">
        <f t="shared" si="909"/>
        <v/>
      </c>
      <c r="P3085" s="538" t="str">
        <f t="shared" si="910"/>
        <v/>
      </c>
      <c r="Q3085" s="539" t="str">
        <f t="shared" si="908"/>
        <v/>
      </c>
      <c r="R3085" s="706"/>
      <c r="S3085" s="707"/>
      <c r="T3085" s="708"/>
      <c r="U3085" s="472"/>
      <c r="V3085" s="166"/>
      <c r="W3085" s="446"/>
      <c r="X3085" s="456"/>
      <c r="Y3085" s="436"/>
      <c r="Z3085" s="437"/>
      <c r="AA3085" s="560"/>
      <c r="AB3085" s="561"/>
      <c r="AC3085" s="87"/>
      <c r="AD3085" s="466"/>
      <c r="AE3085" s="456"/>
      <c r="AF3085" s="467"/>
      <c r="AG3085" s="87"/>
      <c r="AH3085" s="87"/>
      <c r="AI3085" s="87"/>
    </row>
    <row r="3086" spans="1:35" hidden="1">
      <c r="A3086" s="80" t="e">
        <f>"D"&amp;E3079</f>
        <v>#N/A</v>
      </c>
      <c r="B3086" s="105">
        <v>4</v>
      </c>
      <c r="C3086" s="107"/>
      <c r="D3086" s="107"/>
      <c r="E3086" s="107"/>
      <c r="F3086" s="107"/>
      <c r="G3086" s="83"/>
      <c r="H3086" s="83"/>
      <c r="I3086" s="84"/>
      <c r="J3086" s="85"/>
      <c r="K3086" s="382"/>
      <c r="L3086" s="85"/>
      <c r="M3086" s="332" t="str">
        <f t="shared" si="907"/>
        <v/>
      </c>
      <c r="N3086" s="86"/>
      <c r="O3086" s="453" t="str">
        <f t="shared" si="909"/>
        <v/>
      </c>
      <c r="P3086" s="538" t="str">
        <f t="shared" si="910"/>
        <v/>
      </c>
      <c r="Q3086" s="539" t="str">
        <f t="shared" si="908"/>
        <v/>
      </c>
      <c r="R3086" s="706"/>
      <c r="S3086" s="707"/>
      <c r="T3086" s="708"/>
      <c r="U3086" s="472"/>
      <c r="V3086" s="166"/>
      <c r="W3086" s="446"/>
      <c r="X3086" s="456"/>
      <c r="Y3086" s="436"/>
      <c r="Z3086" s="437"/>
      <c r="AA3086" s="560"/>
      <c r="AB3086" s="561"/>
      <c r="AC3086" s="87"/>
      <c r="AD3086" s="466"/>
      <c r="AE3086" s="456"/>
      <c r="AF3086" s="467"/>
      <c r="AG3086" s="87"/>
      <c r="AH3086" s="87"/>
      <c r="AI3086" s="87"/>
    </row>
    <row r="3087" spans="1:35" hidden="1">
      <c r="A3087" s="80" t="e">
        <f>"E"&amp;E3079</f>
        <v>#N/A</v>
      </c>
      <c r="B3087" s="105">
        <v>5</v>
      </c>
      <c r="C3087" s="107"/>
      <c r="D3087" s="107"/>
      <c r="E3087" s="107"/>
      <c r="F3087" s="107"/>
      <c r="G3087" s="83"/>
      <c r="H3087" s="83"/>
      <c r="I3087" s="84"/>
      <c r="J3087" s="85"/>
      <c r="K3087" s="382"/>
      <c r="L3087" s="85"/>
      <c r="M3087" s="332" t="str">
        <f t="shared" si="907"/>
        <v/>
      </c>
      <c r="N3087" s="86"/>
      <c r="O3087" s="453" t="str">
        <f t="shared" si="909"/>
        <v/>
      </c>
      <c r="P3087" s="538" t="str">
        <f t="shared" si="910"/>
        <v/>
      </c>
      <c r="Q3087" s="539" t="str">
        <f t="shared" si="908"/>
        <v/>
      </c>
      <c r="R3087" s="706"/>
      <c r="S3087" s="707"/>
      <c r="T3087" s="708"/>
      <c r="U3087" s="472"/>
      <c r="V3087" s="167"/>
      <c r="W3087" s="446"/>
      <c r="X3087" s="456"/>
      <c r="Y3087" s="436"/>
      <c r="Z3087" s="437"/>
      <c r="AA3087" s="560"/>
      <c r="AB3087" s="561"/>
      <c r="AC3087" s="87"/>
      <c r="AD3087" s="466"/>
      <c r="AE3087" s="456"/>
      <c r="AF3087" s="467"/>
      <c r="AG3087" s="87"/>
      <c r="AH3087" s="87"/>
      <c r="AI3087" s="87"/>
    </row>
    <row r="3088" spans="1:35" hidden="1">
      <c r="A3088" s="80" t="e">
        <f>"F"&amp;E3079</f>
        <v>#N/A</v>
      </c>
      <c r="B3088" s="105">
        <v>6</v>
      </c>
      <c r="C3088" s="107"/>
      <c r="D3088" s="107"/>
      <c r="E3088" s="107"/>
      <c r="F3088" s="107"/>
      <c r="G3088" s="83"/>
      <c r="H3088" s="83"/>
      <c r="I3088" s="84"/>
      <c r="J3088" s="85"/>
      <c r="K3088" s="382"/>
      <c r="L3088" s="85"/>
      <c r="M3088" s="332" t="str">
        <f t="shared" si="907"/>
        <v/>
      </c>
      <c r="N3088" s="86"/>
      <c r="O3088" s="453" t="str">
        <f t="shared" si="909"/>
        <v/>
      </c>
      <c r="P3088" s="538" t="str">
        <f t="shared" si="910"/>
        <v/>
      </c>
      <c r="Q3088" s="539" t="str">
        <f t="shared" si="908"/>
        <v/>
      </c>
      <c r="R3088" s="706"/>
      <c r="S3088" s="707"/>
      <c r="T3088" s="708"/>
      <c r="U3088" s="472"/>
      <c r="V3088" s="167"/>
      <c r="W3088" s="446"/>
      <c r="X3088" s="456"/>
      <c r="Y3088" s="436"/>
      <c r="Z3088" s="437"/>
      <c r="AA3088" s="560"/>
      <c r="AB3088" s="561"/>
      <c r="AC3088" s="87"/>
      <c r="AD3088" s="466"/>
      <c r="AE3088" s="456"/>
      <c r="AF3088" s="467"/>
      <c r="AG3088" s="87"/>
      <c r="AH3088" s="87"/>
      <c r="AI3088" s="87"/>
    </row>
    <row r="3089" spans="1:35" hidden="1">
      <c r="A3089" s="80" t="e">
        <f>"G"&amp;E3079</f>
        <v>#N/A</v>
      </c>
      <c r="B3089" s="105">
        <v>7</v>
      </c>
      <c r="C3089" s="107"/>
      <c r="D3089" s="107"/>
      <c r="E3089" s="107"/>
      <c r="F3089" s="107"/>
      <c r="G3089" s="83"/>
      <c r="H3089" s="83"/>
      <c r="I3089" s="84"/>
      <c r="J3089" s="85"/>
      <c r="K3089" s="382"/>
      <c r="L3089" s="85"/>
      <c r="M3089" s="332" t="str">
        <f t="shared" si="907"/>
        <v/>
      </c>
      <c r="N3089" s="86"/>
      <c r="O3089" s="86" t="str">
        <f t="shared" si="909"/>
        <v/>
      </c>
      <c r="P3089" s="538" t="str">
        <f t="shared" si="910"/>
        <v/>
      </c>
      <c r="Q3089" s="539" t="str">
        <f t="shared" si="908"/>
        <v/>
      </c>
      <c r="R3089" s="706"/>
      <c r="S3089" s="707"/>
      <c r="T3089" s="708"/>
      <c r="U3089" s="472"/>
      <c r="V3089" s="167"/>
      <c r="W3089" s="446"/>
      <c r="X3089" s="456"/>
      <c r="Y3089" s="436"/>
      <c r="Z3089" s="437"/>
      <c r="AA3089" s="560"/>
      <c r="AB3089" s="561"/>
      <c r="AC3089" s="87"/>
      <c r="AD3089" s="466"/>
      <c r="AE3089" s="456"/>
      <c r="AF3089" s="467"/>
      <c r="AG3089" s="87"/>
      <c r="AH3089" s="87"/>
      <c r="AI3089" s="87"/>
    </row>
    <row r="3090" spans="1:35" hidden="1">
      <c r="A3090" s="80" t="e">
        <f>"H"&amp;E3079</f>
        <v>#N/A</v>
      </c>
      <c r="B3090" s="105">
        <v>8</v>
      </c>
      <c r="C3090" s="107"/>
      <c r="D3090" s="107"/>
      <c r="E3090" s="107"/>
      <c r="F3090" s="107"/>
      <c r="G3090" s="83"/>
      <c r="H3090" s="83"/>
      <c r="I3090" s="84"/>
      <c r="J3090" s="85"/>
      <c r="K3090" s="382"/>
      <c r="L3090" s="85"/>
      <c r="M3090" s="332" t="str">
        <f t="shared" si="907"/>
        <v/>
      </c>
      <c r="N3090" s="453"/>
      <c r="O3090" s="86" t="str">
        <f t="shared" si="909"/>
        <v/>
      </c>
      <c r="P3090" s="538" t="str">
        <f t="shared" si="910"/>
        <v/>
      </c>
      <c r="Q3090" s="539" t="str">
        <f t="shared" si="908"/>
        <v/>
      </c>
      <c r="R3090" s="706"/>
      <c r="S3090" s="707"/>
      <c r="T3090" s="708"/>
      <c r="U3090" s="472"/>
      <c r="V3090" s="167"/>
      <c r="W3090" s="446"/>
      <c r="X3090" s="456"/>
      <c r="Y3090" s="436"/>
      <c r="Z3090" s="437"/>
      <c r="AA3090" s="560"/>
      <c r="AB3090" s="561"/>
      <c r="AC3090" s="87"/>
      <c r="AD3090" s="466"/>
      <c r="AE3090" s="456"/>
      <c r="AF3090" s="467"/>
      <c r="AG3090" s="87"/>
      <c r="AH3090" s="87"/>
      <c r="AI3090" s="87"/>
    </row>
    <row r="3091" spans="1:35" hidden="1">
      <c r="A3091" s="80" t="e">
        <f>"I"&amp;E3079</f>
        <v>#N/A</v>
      </c>
      <c r="B3091" s="105">
        <v>9</v>
      </c>
      <c r="C3091" s="107"/>
      <c r="D3091" s="107"/>
      <c r="E3091" s="107"/>
      <c r="F3091" s="107"/>
      <c r="G3091" s="83"/>
      <c r="H3091" s="83"/>
      <c r="I3091" s="84"/>
      <c r="J3091" s="85"/>
      <c r="K3091" s="382"/>
      <c r="L3091" s="85"/>
      <c r="M3091" s="332" t="str">
        <f t="shared" si="907"/>
        <v/>
      </c>
      <c r="N3091" s="453"/>
      <c r="O3091" s="86" t="str">
        <f t="shared" si="909"/>
        <v/>
      </c>
      <c r="P3091" s="538" t="str">
        <f t="shared" si="910"/>
        <v/>
      </c>
      <c r="Q3091" s="539" t="str">
        <f t="shared" si="908"/>
        <v/>
      </c>
      <c r="R3091" s="706"/>
      <c r="S3091" s="707"/>
      <c r="T3091" s="708"/>
      <c r="U3091" s="472"/>
      <c r="V3091" s="167"/>
      <c r="W3091" s="446"/>
      <c r="X3091" s="456"/>
      <c r="Y3091" s="436"/>
      <c r="Z3091" s="437"/>
      <c r="AA3091" s="560"/>
      <c r="AB3091" s="561"/>
      <c r="AC3091" s="87"/>
      <c r="AD3091" s="466"/>
      <c r="AE3091" s="456"/>
      <c r="AF3091" s="467"/>
      <c r="AG3091" s="87"/>
      <c r="AH3091" s="87"/>
      <c r="AI3091" s="87"/>
    </row>
    <row r="3092" spans="1:35" hidden="1">
      <c r="A3092" s="80" t="e">
        <f>"J"&amp;E3079</f>
        <v>#N/A</v>
      </c>
      <c r="B3092" s="105">
        <v>10</v>
      </c>
      <c r="C3092" s="107"/>
      <c r="D3092" s="107"/>
      <c r="E3092" s="107"/>
      <c r="F3092" s="107"/>
      <c r="G3092" s="83"/>
      <c r="H3092" s="83"/>
      <c r="I3092" s="84"/>
      <c r="J3092" s="85"/>
      <c r="K3092" s="382"/>
      <c r="L3092" s="85"/>
      <c r="M3092" s="332" t="str">
        <f t="shared" si="907"/>
        <v/>
      </c>
      <c r="N3092" s="453"/>
      <c r="O3092" s="86" t="str">
        <f t="shared" si="909"/>
        <v/>
      </c>
      <c r="P3092" s="538" t="str">
        <f t="shared" si="910"/>
        <v/>
      </c>
      <c r="Q3092" s="539" t="str">
        <f t="shared" si="908"/>
        <v/>
      </c>
      <c r="R3092" s="706"/>
      <c r="S3092" s="707"/>
      <c r="T3092" s="708"/>
      <c r="U3092" s="472"/>
      <c r="V3092" s="167"/>
      <c r="W3092" s="446"/>
      <c r="X3092" s="456"/>
      <c r="Y3092" s="436"/>
      <c r="Z3092" s="437"/>
      <c r="AA3092" s="560"/>
      <c r="AB3092" s="561"/>
      <c r="AC3092" s="87"/>
      <c r="AD3092" s="466"/>
      <c r="AE3092" s="456"/>
      <c r="AF3092" s="467"/>
      <c r="AG3092" s="87"/>
      <c r="AH3092" s="87"/>
      <c r="AI3092" s="87"/>
    </row>
    <row r="3093" spans="1:35" ht="16.5" hidden="1" thickBot="1">
      <c r="A3093" s="44"/>
      <c r="B3093" s="89"/>
      <c r="C3093" s="90"/>
      <c r="D3093" s="90"/>
      <c r="E3093" s="90"/>
      <c r="F3093" s="90"/>
      <c r="G3093" s="90"/>
      <c r="H3093" s="90"/>
      <c r="I3093" s="90"/>
      <c r="J3093" s="90"/>
      <c r="K3093" s="90"/>
      <c r="L3093" s="90"/>
      <c r="M3093" s="90"/>
      <c r="N3093" s="90"/>
      <c r="O3093" s="90"/>
      <c r="P3093" s="90"/>
      <c r="Q3093" s="90"/>
      <c r="R3093" s="90"/>
      <c r="S3093" s="91"/>
      <c r="T3093" s="92"/>
      <c r="U3093" s="473"/>
      <c r="W3093" s="438"/>
      <c r="X3093" s="455"/>
      <c r="Y3093" s="439"/>
      <c r="Z3093" s="437"/>
      <c r="AA3093" s="530"/>
      <c r="AB3093" s="563"/>
      <c r="AC3093" s="87"/>
      <c r="AD3093" s="440"/>
      <c r="AE3093" s="441"/>
      <c r="AF3093" s="442"/>
      <c r="AG3093" s="49"/>
      <c r="AH3093" s="87"/>
      <c r="AI3093" s="87"/>
    </row>
    <row r="3094" spans="1:35" ht="16.5" hidden="1" thickBot="1">
      <c r="A3094" s="93"/>
      <c r="B3094" s="94"/>
      <c r="C3094" s="96"/>
      <c r="D3094" s="96"/>
      <c r="E3094" s="96"/>
      <c r="F3094" s="96"/>
      <c r="G3094" s="96"/>
      <c r="H3094" s="96"/>
      <c r="I3094" s="96"/>
      <c r="J3094" s="96"/>
      <c r="K3094" s="96"/>
      <c r="L3094" s="96"/>
      <c r="M3094" s="136"/>
      <c r="N3094" s="96"/>
      <c r="O3094" s="96"/>
      <c r="P3094" s="97"/>
      <c r="Q3094" s="97"/>
      <c r="R3094" s="98"/>
      <c r="S3094" s="95"/>
      <c r="T3094" s="99"/>
      <c r="U3094" s="469"/>
      <c r="AC3094" s="58"/>
      <c r="AG3094" s="58"/>
      <c r="AH3094" s="87"/>
      <c r="AI3094" s="87"/>
    </row>
    <row r="3095" spans="1:35" ht="16.5" hidden="1" thickBot="1">
      <c r="B3095" s="101"/>
      <c r="C3095" s="101"/>
      <c r="D3095" s="101"/>
      <c r="E3095" s="101"/>
      <c r="F3095" s="101"/>
      <c r="G3095" s="101"/>
      <c r="H3095" s="101"/>
      <c r="I3095" s="101"/>
      <c r="J3095" s="101"/>
      <c r="K3095" s="101"/>
      <c r="L3095" s="101"/>
      <c r="M3095" s="101"/>
      <c r="N3095" s="101"/>
      <c r="O3095" s="101"/>
      <c r="P3095" s="101"/>
      <c r="Q3095" s="101"/>
      <c r="R3095" s="101"/>
      <c r="S3095" s="101"/>
      <c r="U3095" s="50"/>
      <c r="AH3095" s="87"/>
      <c r="AI3095" s="87"/>
    </row>
    <row r="3096" spans="1:35" ht="16.5" hidden="1" customHeight="1" thickBot="1">
      <c r="A3096" s="44"/>
      <c r="B3096" s="705" t="s">
        <v>74</v>
      </c>
      <c r="C3096" s="705"/>
      <c r="D3096" s="705"/>
      <c r="E3096" s="705"/>
      <c r="F3096" s="705"/>
      <c r="G3096" s="705"/>
      <c r="H3096" s="705"/>
      <c r="I3096" s="705"/>
      <c r="J3096" s="705"/>
      <c r="K3096" s="705"/>
      <c r="L3096" s="705"/>
      <c r="M3096" s="705"/>
      <c r="N3096" s="705"/>
      <c r="O3096" s="705"/>
      <c r="P3096" s="705"/>
      <c r="Q3096" s="705"/>
      <c r="R3096" s="705"/>
      <c r="S3096" s="705"/>
      <c r="T3096" s="705"/>
      <c r="U3096" s="108"/>
      <c r="Y3096" s="532" t="s">
        <v>341</v>
      </c>
      <c r="AC3096" s="49"/>
      <c r="AD3096" s="687" t="s">
        <v>302</v>
      </c>
      <c r="AE3096" s="688"/>
      <c r="AF3096" s="689"/>
      <c r="AG3096" s="49"/>
      <c r="AH3096" s="87"/>
      <c r="AI3096" s="87"/>
    </row>
    <row r="3097" spans="1:35" ht="16.5" hidden="1" customHeight="1" thickBot="1">
      <c r="A3097" s="218" t="e">
        <f>"K"&amp;E3079</f>
        <v>#N/A</v>
      </c>
      <c r="B3097" s="701" t="s">
        <v>71</v>
      </c>
      <c r="C3097" s="751" t="s">
        <v>102</v>
      </c>
      <c r="D3097" s="751"/>
      <c r="E3097" s="751"/>
      <c r="F3097" s="751"/>
      <c r="G3097" s="751"/>
      <c r="H3097" s="751"/>
      <c r="I3097" s="751"/>
      <c r="J3097" s="751"/>
      <c r="K3097" s="751"/>
      <c r="L3097" s="722" t="s">
        <v>100</v>
      </c>
      <c r="M3097" s="747" t="s">
        <v>114</v>
      </c>
      <c r="N3097" s="747"/>
      <c r="O3097" s="747"/>
      <c r="P3097" s="747"/>
      <c r="Q3097" s="748"/>
      <c r="R3097" s="758" t="s">
        <v>280</v>
      </c>
      <c r="S3097" s="748"/>
      <c r="T3097" s="762" t="str">
        <f>IF(COUNTIF(AE3097:AF3097,"VERIFICAR")&gt;0,"VERIFICAR",IF(COUNTIF(AE3097:AF3097,"NO CUMPLE")&gt;0,"NO CUMPLE","CUMPLE"))</f>
        <v>VERIFICAR</v>
      </c>
      <c r="U3097" s="108"/>
      <c r="Y3097" s="533" t="e">
        <f>IF(F3098="","",IF(F3098=1,"INDIVIDUAL","ESTRUCTURA PLURAL"))</f>
        <v>#N/A</v>
      </c>
      <c r="AC3097" s="52"/>
      <c r="AD3097" s="475" t="s">
        <v>303</v>
      </c>
      <c r="AE3097" s="476" t="str">
        <f>IF(COUNTIF(AE3083:AE3092,"")=10,"VERIFICAR",IF(COUNTIF(AE3083:AE3092,"SI")&gt;0,"CUMPLE","NO CUMPLE"))</f>
        <v>VERIFICAR</v>
      </c>
      <c r="AF3097" s="477" t="str">
        <f>IF(COUNTIF(AF3083:AF3092,"")=10,"VERIFICAR",IF(COUNTIF(AF3083:AF3092,"SI")&gt;=$AI$22,"CUMPLE","NO CUMPLE"))</f>
        <v>VERIFICAR</v>
      </c>
      <c r="AG3097" s="52"/>
      <c r="AH3097" s="87"/>
      <c r="AI3097" s="87"/>
    </row>
    <row r="3098" spans="1:35" ht="15.75" hidden="1" customHeight="1" thickBot="1">
      <c r="A3098" s="218" t="e">
        <f>"L"&amp;E3079</f>
        <v>#N/A</v>
      </c>
      <c r="B3098" s="702"/>
      <c r="C3098" s="751" t="s">
        <v>103</v>
      </c>
      <c r="D3098" s="751"/>
      <c r="E3098" s="752"/>
      <c r="F3098" s="557" t="e">
        <f>IF(VLOOKUP(E3079,PROPONENTES!$C$19:$E$218,3,0)="","",VLOOKUP(E3079,PROPONENTES!$C$19:$E$218,3,0))</f>
        <v>#N/A</v>
      </c>
      <c r="G3098" s="753" t="s">
        <v>104</v>
      </c>
      <c r="H3098" s="751"/>
      <c r="I3098" s="715" t="e">
        <f>IF(OR(F3098="",F3098=1),"INTERESADO PERSONA NATURAL O JURIDICA","CONSORCIO O UNION TEMPORAL")</f>
        <v>#N/A</v>
      </c>
      <c r="J3098" s="725"/>
      <c r="K3098" s="728"/>
      <c r="L3098" s="723"/>
      <c r="M3098" s="749"/>
      <c r="N3098" s="749"/>
      <c r="O3098" s="749"/>
      <c r="P3098" s="749"/>
      <c r="Q3098" s="750"/>
      <c r="R3098" s="712"/>
      <c r="S3098" s="750"/>
      <c r="T3098" s="763"/>
      <c r="U3098" s="108"/>
      <c r="Y3098" s="534"/>
      <c r="AA3098" s="52"/>
      <c r="AB3098" s="52"/>
      <c r="AC3098" s="52"/>
      <c r="AG3098" s="52"/>
      <c r="AH3098" s="87"/>
      <c r="AI3098" s="87"/>
    </row>
    <row r="3099" spans="1:35" ht="56.25" hidden="1" customHeight="1" thickBot="1">
      <c r="A3099" s="218" t="e">
        <f>"M"&amp;E3079</f>
        <v>#N/A</v>
      </c>
      <c r="B3099" s="702"/>
      <c r="C3099" s="725" t="s">
        <v>101</v>
      </c>
      <c r="D3099" s="716"/>
      <c r="E3099" s="558" t="s">
        <v>105</v>
      </c>
      <c r="F3099" s="554" t="s">
        <v>87</v>
      </c>
      <c r="G3099" s="553" t="s">
        <v>86</v>
      </c>
      <c r="H3099" s="559" t="s">
        <v>85</v>
      </c>
      <c r="I3099" s="554" t="s">
        <v>252</v>
      </c>
      <c r="J3099" s="553" t="str">
        <f>"¿EL INTEGRANTE TIENE UNA PARTICIPACIÓN DEL "&amp;PORCREQUERIDOINT*100&amp;"%?"</f>
        <v>¿EL INTEGRANTE TIENE UNA PARTICIPACIÓN DEL 60%?</v>
      </c>
      <c r="K3099" s="554" t="s">
        <v>107</v>
      </c>
      <c r="L3099" s="724"/>
      <c r="M3099" s="717" t="s">
        <v>115</v>
      </c>
      <c r="N3099" s="718"/>
      <c r="O3099" s="718"/>
      <c r="P3099" s="718"/>
      <c r="Q3099" s="223">
        <f>IF(AND(H3083="SI",P3083&gt;=0),1,0)+IF(AND(H3084="SI",P3084&gt;=0),1,0)+IF(AND(H3085="SI",P3085&gt;=0),1,0)+IF(AND(H3086="SI",P3086&gt;=0),1,0)+IF(AND(H3087="SI",P3087&gt;=0),1,0)+IF(AND(H3088="SI",P3088&gt;=0),1,0)+IF(AND(H3089="SI",P3089&gt;=0),1,0)+IF(AND(H3090="SI",P3090&gt;=0),1,0)+IF(AND(H3091="SI",P3091&gt;=0),1,0)+IF(AND(H3092="SI",P3092&gt;=0),1,0)</f>
        <v>0</v>
      </c>
      <c r="R3099" s="759"/>
      <c r="S3099" s="761"/>
      <c r="T3099" s="764"/>
      <c r="U3099" s="219"/>
      <c r="V3099" s="464"/>
      <c r="Y3099" s="532" t="s">
        <v>342</v>
      </c>
      <c r="AA3099" s="550" t="s">
        <v>344</v>
      </c>
      <c r="AB3099" s="693" t="s">
        <v>345</v>
      </c>
      <c r="AC3099" s="693" t="s">
        <v>346</v>
      </c>
      <c r="AD3099" s="685" t="s">
        <v>347</v>
      </c>
      <c r="AE3099" s="52"/>
      <c r="AF3099" s="52"/>
      <c r="AG3099" s="52"/>
      <c r="AH3099" s="87"/>
      <c r="AI3099" s="87"/>
    </row>
    <row r="3100" spans="1:35" ht="15.75" hidden="1" customHeight="1" thickBot="1">
      <c r="A3100" s="218" t="e">
        <f>"N"&amp;E3079</f>
        <v>#N/A</v>
      </c>
      <c r="B3100" s="702"/>
      <c r="C3100" s="114">
        <v>1</v>
      </c>
      <c r="D3100" s="194" t="e">
        <f>IF(AND(C3100&lt;=F3098,F3098&gt;1,F3098&lt;&gt;""),VLOOKUP(VALUE(E3079&amp;","&amp;C3100),INTEGRANTES!$D$18:$F$235,2,0),"")</f>
        <v>#N/A</v>
      </c>
      <c r="E3100" s="211" t="e">
        <f>IF(D3100&lt;&gt;"",VLOOKUP(VALUE(E3079&amp;","&amp;C3100),INTEGRANTES!$D$18:$F$235,3,0),"")</f>
        <v>#N/A</v>
      </c>
      <c r="F3100" s="547" t="e">
        <f>IF(D3100="","",SUMIF($I3083:$I3092,D3100,$P3083:$P3092))</f>
        <v>#N/A</v>
      </c>
      <c r="G3100" s="333" t="e">
        <f>IF(D3100="","",SUMIF($I3083:$I3092,D3100,$M3083:$M3092))</f>
        <v>#N/A</v>
      </c>
      <c r="H3100" s="535" t="e">
        <f t="shared" ref="H3100:H3105" si="911">IF(D3100="","",IF(OR(F3100=0,G3100=0),"NO APORTA",ROUND($F3100/$G3100,3)))</f>
        <v>#N/A</v>
      </c>
      <c r="I3100" s="212" t="e">
        <f>IF(D3100="","",IF(H3100="NO APORTA","NO",IF(H3100=MAX($H3100:$H3105),"SI","NO")))</f>
        <v>#N/A</v>
      </c>
      <c r="J3100" s="213" t="e">
        <f t="shared" ref="J3100:J3105" si="912">IF(D3100="","",IF(E3100&gt;=PORCREQUERIDOINT,"SI","NO"))</f>
        <v>#N/A</v>
      </c>
      <c r="K3100" s="200" t="e">
        <f t="shared" ref="K3100:K3105" si="913">IF(D3100="","",IF(AND(I3100="SI",J3100="SI"),"CUMPLE",IF(AND(I3100="NO",OR(J3100="SI",J3100="NO")),"","NO CUMPLE")))</f>
        <v>#N/A</v>
      </c>
      <c r="L3100" s="722" t="s">
        <v>108</v>
      </c>
      <c r="M3100" s="726" t="s">
        <v>119</v>
      </c>
      <c r="N3100" s="726"/>
      <c r="O3100" s="726"/>
      <c r="P3100" s="726"/>
      <c r="Q3100" s="727"/>
      <c r="R3100" s="758" t="s">
        <v>80</v>
      </c>
      <c r="S3100" s="747"/>
      <c r="T3100" s="748"/>
      <c r="U3100" s="219"/>
      <c r="V3100" s="464"/>
      <c r="Y3100" s="533" t="e">
        <f>IF(Y3097="","",IF(Y3097="INDIVIDUAL","NO APLICA","VERIFICAR CUADRO"))</f>
        <v>#N/A</v>
      </c>
      <c r="AA3100" s="551"/>
      <c r="AB3100" s="694"/>
      <c r="AC3100" s="694"/>
      <c r="AD3100" s="686"/>
      <c r="AE3100" s="52"/>
      <c r="AF3100" s="52"/>
      <c r="AG3100" s="52"/>
      <c r="AH3100" s="87"/>
      <c r="AI3100" s="87"/>
    </row>
    <row r="3101" spans="1:35" ht="27" hidden="1" customHeight="1" thickBot="1">
      <c r="A3101" s="218" t="e">
        <f>"O"&amp;E3079</f>
        <v>#N/A</v>
      </c>
      <c r="B3101" s="702"/>
      <c r="C3101" s="114">
        <v>2</v>
      </c>
      <c r="D3101" s="194" t="e">
        <f>IF(AND(C3101&lt;=F3098,F3098&lt;&gt;""),VLOOKUP(VALUE(E3079&amp;","&amp;C3101),INTEGRANTES!$D$18:$F$235,2,0),"")</f>
        <v>#N/A</v>
      </c>
      <c r="E3101" s="211" t="e">
        <f>IF(D3101&lt;&gt;"",VLOOKUP(VALUE(E3079&amp;","&amp;C3101),INTEGRANTES!$D$18:$F$235,3,0),"")</f>
        <v>#N/A</v>
      </c>
      <c r="F3101" s="547" t="e">
        <f>IF(D3101="","",SUMIF($I3083:$I3092,D3101,$P3083:$P3092))</f>
        <v>#N/A</v>
      </c>
      <c r="G3101" s="333" t="e">
        <f>IF(D3101="","",SUMIF($I3083:$I3092,D3101,$M3083:$M3092))</f>
        <v>#N/A</v>
      </c>
      <c r="H3101" s="535" t="e">
        <f t="shared" si="911"/>
        <v>#N/A</v>
      </c>
      <c r="I3101" s="212" t="e">
        <f>IF(D3101="","",IF(H3101="NO APORTA","NO",IF(H3101=MAX($H3100:$H3105),"SI","NO")))</f>
        <v>#N/A</v>
      </c>
      <c r="J3101" s="213" t="e">
        <f t="shared" si="912"/>
        <v>#N/A</v>
      </c>
      <c r="K3101" s="200" t="e">
        <f t="shared" si="913"/>
        <v>#N/A</v>
      </c>
      <c r="L3101" s="723"/>
      <c r="M3101" s="715" t="s">
        <v>116</v>
      </c>
      <c r="N3101" s="716"/>
      <c r="O3101" s="556" t="s">
        <v>113</v>
      </c>
      <c r="P3101" s="715" t="s">
        <v>117</v>
      </c>
      <c r="Q3101" s="728"/>
      <c r="R3101" s="759"/>
      <c r="S3101" s="760"/>
      <c r="T3101" s="761"/>
      <c r="U3101" s="219"/>
      <c r="V3101" s="464"/>
      <c r="Y3101" s="414"/>
      <c r="AA3101" s="542" t="e">
        <f>IF(AND(C3100&lt;=F3098,F3098&gt;1,F3098&lt;&gt;""),VLOOKUP(VALUE(E3079&amp;","&amp;C3100),INTEGRANTES!$D$18:$F$235,2,0),"")</f>
        <v>#N/A</v>
      </c>
      <c r="AB3101" s="544" t="e">
        <f t="shared" ref="AB3101:AB3106" si="914">IF(D3100="","",IF(OR(F3100=0,G3100=0),"NO APORTA",ROUND($F3100/$G3100,3)))</f>
        <v>#N/A</v>
      </c>
      <c r="AC3101" s="529"/>
      <c r="AD3101" s="200" t="e">
        <f t="shared" ref="AD3101:AD3106" si="915">IF(OR(AA3101="",AB3101=""),"",IF(AND(AC3101="X",AB3101&gt;=EXPREQVTD),"CUMPLE","NO CUMPLE"))</f>
        <v>#N/A</v>
      </c>
      <c r="AE3101" s="52"/>
      <c r="AF3101" s="52"/>
      <c r="AG3101" s="52"/>
      <c r="AH3101" s="87"/>
      <c r="AI3101" s="87"/>
    </row>
    <row r="3102" spans="1:35" ht="16.5" hidden="1" thickBot="1">
      <c r="A3102" s="218" t="e">
        <f>"P"&amp;E3079</f>
        <v>#N/A</v>
      </c>
      <c r="B3102" s="702"/>
      <c r="C3102" s="114">
        <v>3</v>
      </c>
      <c r="D3102" s="194" t="e">
        <f>IF(AND(C3102&lt;=F3098,F3098&lt;&gt;""),VLOOKUP(VALUE(E3079&amp;","&amp;C3102),INTEGRANTES!$D$18:$F$235,2,0),"")</f>
        <v>#N/A</v>
      </c>
      <c r="E3102" s="211" t="e">
        <f>IF(D3102&lt;&gt;"",VLOOKUP(VALUE(E3079&amp;","&amp;C3102),INTEGRANTES!$D$18:$F$235,3,0),"")</f>
        <v>#N/A</v>
      </c>
      <c r="F3102" s="547" t="e">
        <f>IF(D3102="","",SUMIF($I3083:$I3092,D3102,$P3083:$P3092))</f>
        <v>#N/A</v>
      </c>
      <c r="G3102" s="333" t="e">
        <f>IF(D3102="","",SUMIF($I3083:$I3092,D3102,$M3083:$M3092))</f>
        <v>#N/A</v>
      </c>
      <c r="H3102" s="535" t="e">
        <f t="shared" si="911"/>
        <v>#N/A</v>
      </c>
      <c r="I3102" s="212" t="e">
        <f>IF(D3102="","",IF(H3102="NO APORTA","NO",IF(H3102=MAX($H3100:$H3105),"SI","NO")))</f>
        <v>#N/A</v>
      </c>
      <c r="J3102" s="213" t="e">
        <f t="shared" si="912"/>
        <v>#N/A</v>
      </c>
      <c r="K3102" s="200" t="e">
        <f t="shared" si="913"/>
        <v>#N/A</v>
      </c>
      <c r="L3102" s="724"/>
      <c r="M3102" s="729">
        <f>NUMMOD</f>
        <v>1</v>
      </c>
      <c r="N3102" s="730"/>
      <c r="O3102" s="443">
        <f>IF(M3102="","",VLOOKUP(M3102,PRESUPUESTOS!$B$16:$H$16,5,FALSE))</f>
        <v>2</v>
      </c>
      <c r="P3102" s="713">
        <f>IF(OR(COUNTIF(M3083:M3092,"")&gt;=10,Q3099&lt;NUMMINCONT,OR(T3097="NO CUMPLE",T3097="VERIFICAR")),0,ROUND(AVERAGE(M3083:M3092),3))</f>
        <v>0</v>
      </c>
      <c r="Q3102" s="714"/>
      <c r="R3102" s="458"/>
      <c r="S3102" s="459"/>
      <c r="T3102" s="460"/>
      <c r="U3102" s="219"/>
      <c r="V3102" s="464"/>
      <c r="Y3102" s="532" t="str">
        <f>"40% * ("&amp;PRESUPUESTOS!$H$13&amp;")"</f>
        <v>40% * (50% PFMO)</v>
      </c>
      <c r="AA3102" s="540" t="e">
        <f>IF(AND(C3101&lt;=F3098,F3098&lt;&gt;""),VLOOKUP(VALUE(E3079&amp;","&amp;C3101),INTEGRANTES!$D$18:$F$235,2,0),"")</f>
        <v>#N/A</v>
      </c>
      <c r="AB3102" s="545" t="e">
        <f t="shared" si="914"/>
        <v>#N/A</v>
      </c>
      <c r="AC3102" s="529"/>
      <c r="AD3102" s="200" t="e">
        <f t="shared" si="915"/>
        <v>#N/A</v>
      </c>
      <c r="AE3102" s="52"/>
      <c r="AF3102" s="52"/>
      <c r="AG3102" s="52"/>
      <c r="AH3102" s="87"/>
      <c r="AI3102" s="87"/>
    </row>
    <row r="3103" spans="1:35" ht="15.75" hidden="1" customHeight="1" thickBot="1">
      <c r="A3103" s="218" t="e">
        <f>"Q"&amp;E3079</f>
        <v>#N/A</v>
      </c>
      <c r="B3103" s="702"/>
      <c r="C3103" s="114">
        <v>4</v>
      </c>
      <c r="D3103" s="194" t="e">
        <f>IF(AND(C3103&lt;=F3098,F3098&lt;&gt;""),VLOOKUP(VALUE(E3079&amp;","&amp;C3103),INTEGRANTES!$D$18:$F$235,2,0),"")</f>
        <v>#N/A</v>
      </c>
      <c r="E3103" s="211" t="e">
        <f>IF(D3103&lt;&gt;"",VLOOKUP(VALUE(E3079&amp;","&amp;C3103),INTEGRANTES!$D$18:$F$235,3,0),"")</f>
        <v>#N/A</v>
      </c>
      <c r="F3103" s="547" t="e">
        <f>IF(D3103="","",SUMIF($I3083:$I3092,D3103,$P3083:$P3092))</f>
        <v>#N/A</v>
      </c>
      <c r="G3103" s="333" t="e">
        <f>IF(D3103="","",SUMIF($I3083:$I3092,D3103,$M3083:$M3092))</f>
        <v>#N/A</v>
      </c>
      <c r="H3103" s="535" t="e">
        <f t="shared" si="911"/>
        <v>#N/A</v>
      </c>
      <c r="I3103" s="212" t="e">
        <f>IF(D3103="","",IF(H3103="NO APORTA","NO",IF(H3103=MAX($H3100:$H3105),"SI","NO")))</f>
        <v>#N/A</v>
      </c>
      <c r="J3103" s="213" t="e">
        <f t="shared" si="912"/>
        <v>#N/A</v>
      </c>
      <c r="K3103" s="200" t="e">
        <f t="shared" si="913"/>
        <v>#N/A</v>
      </c>
      <c r="L3103" s="720" t="s">
        <v>109</v>
      </c>
      <c r="M3103" s="757" t="s">
        <v>120</v>
      </c>
      <c r="N3103" s="726"/>
      <c r="O3103" s="726"/>
      <c r="P3103" s="726"/>
      <c r="Q3103" s="727"/>
      <c r="R3103" s="458"/>
      <c r="S3103" s="459"/>
      <c r="T3103" s="460"/>
      <c r="U3103" s="219"/>
      <c r="V3103" s="464"/>
      <c r="Y3103" s="537">
        <f>0.4*PRESUPUESTOS!$H$16</f>
        <v>10.3124</v>
      </c>
      <c r="AA3103" s="540" t="e">
        <f>IF(AND(C3102&lt;=F3098,F3098&lt;&gt;""),VLOOKUP(VALUE(E3079&amp;","&amp;C3102),INTEGRANTES!$D$18:$F$235,2,0),"")</f>
        <v>#N/A</v>
      </c>
      <c r="AB3103" s="545" t="e">
        <f t="shared" si="914"/>
        <v>#N/A</v>
      </c>
      <c r="AC3103" s="529"/>
      <c r="AD3103" s="200" t="e">
        <f t="shared" si="915"/>
        <v>#N/A</v>
      </c>
      <c r="AE3103" s="52"/>
      <c r="AF3103" s="52"/>
      <c r="AG3103" s="52"/>
      <c r="AH3103" s="87"/>
      <c r="AI3103" s="87"/>
    </row>
    <row r="3104" spans="1:35" ht="27" hidden="1" customHeight="1" thickBot="1">
      <c r="A3104" s="218" t="e">
        <f>"R"&amp;E3079</f>
        <v>#N/A</v>
      </c>
      <c r="B3104" s="702"/>
      <c r="C3104" s="114">
        <v>5</v>
      </c>
      <c r="D3104" s="194" t="e">
        <f>IF(AND(C3104&lt;=F3098,F3098&lt;&gt;""),VLOOKUP(VALUE(E3079&amp;","&amp;C3104),INTEGRANTES!$D$18:$F$235,2,0),"")</f>
        <v>#N/A</v>
      </c>
      <c r="E3104" s="211" t="e">
        <f>IF(D3104&lt;&gt;"",VLOOKUP(VALUE(E3079&amp;","&amp;C3104),INTEGRANTES!$D$18:$F$235,3,0),"")</f>
        <v>#N/A</v>
      </c>
      <c r="F3104" s="547" t="e">
        <f>IF(D3104="","",SUMIF($I3083:$I3092,D3104,$P3083:$P3092))</f>
        <v>#N/A</v>
      </c>
      <c r="G3104" s="333" t="e">
        <f>IF(D3104="","",SUMIF($I3083:$I3092,D3104,$M3083:$M3092))</f>
        <v>#N/A</v>
      </c>
      <c r="H3104" s="535" t="e">
        <f t="shared" si="911"/>
        <v>#N/A</v>
      </c>
      <c r="I3104" s="212" t="e">
        <f>IF(D3104="","",IF(H3104="NO APORTA","NO",IF(H3104=MAX($H3100:$H3105),"SI","NO")))</f>
        <v>#N/A</v>
      </c>
      <c r="J3104" s="213" t="e">
        <f t="shared" si="912"/>
        <v>#N/A</v>
      </c>
      <c r="K3104" s="200" t="e">
        <f t="shared" si="913"/>
        <v>#N/A</v>
      </c>
      <c r="L3104" s="721"/>
      <c r="M3104" s="715" t="s">
        <v>116</v>
      </c>
      <c r="N3104" s="716"/>
      <c r="O3104" s="556" t="str">
        <f>PORCREQUERIDO*100&amp;"% PMFO DEL MÓDULO"</f>
        <v>50% PMFO DEL MÓDULO</v>
      </c>
      <c r="P3104" s="715" t="s">
        <v>118</v>
      </c>
      <c r="Q3104" s="728"/>
      <c r="R3104" s="458"/>
      <c r="S3104" s="459"/>
      <c r="T3104" s="460"/>
      <c r="U3104" s="219"/>
      <c r="V3104" s="464"/>
      <c r="Y3104" s="414"/>
      <c r="AA3104" s="540" t="e">
        <f>IF(AND(C3103&lt;=F3098,F3098&lt;&gt;""),VLOOKUP(VALUE(E3079&amp;","&amp;C3103),INTEGRANTES!$D$18:$F$235,2,0),"")</f>
        <v>#N/A</v>
      </c>
      <c r="AB3104" s="545" t="e">
        <f t="shared" si="914"/>
        <v>#N/A</v>
      </c>
      <c r="AC3104" s="529"/>
      <c r="AD3104" s="200" t="e">
        <f t="shared" si="915"/>
        <v>#N/A</v>
      </c>
      <c r="AE3104" s="52"/>
      <c r="AF3104" s="52"/>
      <c r="AG3104" s="52"/>
      <c r="AH3104" s="87"/>
      <c r="AI3104" s="87"/>
    </row>
    <row r="3105" spans="1:35" ht="16.5" hidden="1" thickBot="1">
      <c r="A3105" s="218" t="e">
        <f>"S"&amp;E3079</f>
        <v>#N/A</v>
      </c>
      <c r="B3105" s="702"/>
      <c r="C3105" s="215">
        <v>6</v>
      </c>
      <c r="D3105" s="216" t="e">
        <f>IF(AND(C3105&lt;=F3098,F3098&lt;&gt;""),VLOOKUP(VALUE(E3079&amp;","&amp;C3105),INTEGRANTES!$D$18:$F$235,2,0),"")</f>
        <v>#N/A</v>
      </c>
      <c r="E3105" s="217" t="e">
        <f>IF(D3105&lt;&gt;"",VLOOKUP(VALUE(E3079&amp;","&amp;C3105),INTEGRANTES!$D$18:$F$235,3,0),"")</f>
        <v>#N/A</v>
      </c>
      <c r="F3105" s="548" t="e">
        <f>IF(D3105="","",SUMIF($I3083:$I3092,D3105,$P3083:$P3092))</f>
        <v>#N/A</v>
      </c>
      <c r="G3105" s="334" t="e">
        <f>IF(D3105="","",SUMIF($I3083:$I3092,D3105,$M3083:$M3092))</f>
        <v>#N/A</v>
      </c>
      <c r="H3105" s="536" t="e">
        <f t="shared" si="911"/>
        <v>#N/A</v>
      </c>
      <c r="I3105" s="214" t="e">
        <f>IF(D3105="","",IF(H3105="NO APORTA","NO",IF(H3105=MAX($H3100:$H3105),"SI","NO")))</f>
        <v>#N/A</v>
      </c>
      <c r="J3105" s="213" t="e">
        <f t="shared" si="912"/>
        <v>#N/A</v>
      </c>
      <c r="K3105" s="200" t="e">
        <f t="shared" si="913"/>
        <v>#N/A</v>
      </c>
      <c r="L3105" s="721"/>
      <c r="M3105" s="729">
        <f>NUMMOD</f>
        <v>1</v>
      </c>
      <c r="N3105" s="730"/>
      <c r="O3105" s="443">
        <f>IF(M3105="","",ROUND(VLOOKUP(M3105,PRESUPUESTOS!$B$16:$H$16,7,FALSE),3))</f>
        <v>25.780999999999999</v>
      </c>
      <c r="P3105" s="713">
        <f>IF(OR(COUNTIF(P3083:P3092,"")&gt;=10,Q3099&lt;NUMMINCONT,OR(T3097="NO CUMPLE",T3097="VERIFICAR")),0,ROUND((SUM(P3083:P3092)/SUM(M3083:M3092)),3))</f>
        <v>0</v>
      </c>
      <c r="Q3105" s="714"/>
      <c r="R3105" s="458"/>
      <c r="S3105" s="459"/>
      <c r="T3105" s="460"/>
      <c r="U3105" s="219"/>
      <c r="V3105" s="464"/>
      <c r="Y3105" s="532" t="s">
        <v>343</v>
      </c>
      <c r="AA3105" s="540" t="e">
        <f>IF(AND(C3104&lt;=F3098,F3098&lt;&gt;""),VLOOKUP(VALUE(E3079&amp;","&amp;C3104),INTEGRANTES!$D$18:$F$235,2,0),"")</f>
        <v>#N/A</v>
      </c>
      <c r="AB3105" s="545" t="e">
        <f t="shared" si="914"/>
        <v>#N/A</v>
      </c>
      <c r="AC3105" s="529"/>
      <c r="AD3105" s="200" t="e">
        <f t="shared" si="915"/>
        <v>#N/A</v>
      </c>
      <c r="AE3105" s="52"/>
      <c r="AF3105" s="52"/>
      <c r="AG3105" s="52"/>
      <c r="AH3105" s="87"/>
      <c r="AI3105" s="87"/>
    </row>
    <row r="3106" spans="1:35" ht="16.5" hidden="1" customHeight="1" thickBot="1">
      <c r="A3106" s="218" t="e">
        <f>"T"&amp;E3079</f>
        <v>#N/A</v>
      </c>
      <c r="B3106" s="703"/>
      <c r="C3106" s="719"/>
      <c r="D3106" s="719"/>
      <c r="E3106" s="719"/>
      <c r="F3106" s="719"/>
      <c r="G3106" s="719"/>
      <c r="H3106" s="719" t="s">
        <v>110</v>
      </c>
      <c r="I3106" s="719"/>
      <c r="J3106" s="719"/>
      <c r="K3106" s="201" t="str">
        <f>IF(COUNTIF(K3100:K3105,"")=6,"",IF(COUNTIF(K3100:K3105,"CUMPLE")&gt;0,"CUMPLE","NO CUMPLE"))</f>
        <v>NO CUMPLE</v>
      </c>
      <c r="L3106" s="754"/>
      <c r="M3106" s="755"/>
      <c r="N3106" s="755"/>
      <c r="O3106" s="755"/>
      <c r="P3106" s="755"/>
      <c r="Q3106" s="756"/>
      <c r="R3106" s="461"/>
      <c r="S3106" s="462"/>
      <c r="T3106" s="463"/>
      <c r="U3106" s="219"/>
      <c r="V3106" s="464"/>
      <c r="Y3106" s="549" t="e">
        <f>IF(Y3100="NO APLICA","NO APLICA",IF(COUNTIF(AD3101:AD3106,"CUMPLE")&gt;0,"CUMPLE","NO CUMPLE"))</f>
        <v>#N/A</v>
      </c>
      <c r="AA3106" s="541" t="e">
        <f>IF(AND(C3105&lt;=F3098,F3098&lt;&gt;""),VLOOKUP(VALUE(E3079&amp;","&amp;C3105),INTEGRANTES!$D$18:$F$235,2,0),"")</f>
        <v>#N/A</v>
      </c>
      <c r="AB3106" s="546" t="e">
        <f t="shared" si="914"/>
        <v>#N/A</v>
      </c>
      <c r="AC3106" s="543"/>
      <c r="AD3106" s="201" t="e">
        <f t="shared" si="915"/>
        <v>#N/A</v>
      </c>
      <c r="AE3106" s="52"/>
      <c r="AF3106" s="52"/>
      <c r="AG3106" s="52"/>
      <c r="AH3106" s="87"/>
      <c r="AI3106" s="87"/>
    </row>
    <row r="3107" spans="1:35" hidden="1">
      <c r="AH3107" s="87"/>
      <c r="AI3107" s="87"/>
    </row>
    <row r="3108" spans="1:35" hidden="1">
      <c r="AH3108" s="87"/>
      <c r="AI3108" s="87"/>
    </row>
    <row r="3109" spans="1:35" ht="24" hidden="1" thickBot="1">
      <c r="A3109" s="61">
        <v>104</v>
      </c>
      <c r="B3109" s="704" t="s">
        <v>51</v>
      </c>
      <c r="C3109" s="704"/>
      <c r="D3109" s="704"/>
      <c r="E3109" s="62" t="e">
        <f>VLOOKUP(A3109,PROPONENTES!$B$19:$E$218,2,FALSE)</f>
        <v>#N/A</v>
      </c>
      <c r="F3109" s="63" t="e">
        <f>VLOOKUP(A3109,PROPONENTES!$B$19:$E$218,3,FALSE)</f>
        <v>#N/A</v>
      </c>
      <c r="G3109" s="64"/>
      <c r="H3109" s="64"/>
      <c r="I3109" s="63"/>
      <c r="J3109" s="63"/>
      <c r="K3109" s="65"/>
      <c r="L3109" s="65"/>
      <c r="M3109" s="64"/>
      <c r="N3109" s="64"/>
      <c r="O3109" s="66"/>
      <c r="P3109" s="66"/>
      <c r="Q3109" s="66"/>
      <c r="R3109" s="66"/>
      <c r="S3109" s="67"/>
      <c r="T3109" s="68"/>
      <c r="U3109" s="68"/>
      <c r="AC3109" s="68"/>
      <c r="AD3109" s="68"/>
      <c r="AE3109" s="68"/>
      <c r="AF3109" s="68"/>
      <c r="AG3109" s="68"/>
      <c r="AH3109" s="87"/>
      <c r="AI3109" s="87"/>
    </row>
    <row r="3110" spans="1:35" ht="15.75" hidden="1" customHeight="1">
      <c r="A3110" s="44"/>
      <c r="B3110" s="709" t="s">
        <v>59</v>
      </c>
      <c r="C3110" s="552" t="s">
        <v>60</v>
      </c>
      <c r="D3110" s="70" t="s">
        <v>17</v>
      </c>
      <c r="E3110" s="70"/>
      <c r="F3110" s="70" t="s">
        <v>61</v>
      </c>
      <c r="G3110" s="71"/>
      <c r="H3110" s="699" t="s">
        <v>62</v>
      </c>
      <c r="I3110" s="699" t="s">
        <v>18</v>
      </c>
      <c r="J3110" s="699" t="s">
        <v>63</v>
      </c>
      <c r="K3110" s="699" t="s">
        <v>64</v>
      </c>
      <c r="L3110" s="699" t="s">
        <v>65</v>
      </c>
      <c r="M3110" s="743" t="s">
        <v>66</v>
      </c>
      <c r="N3110" s="699" t="s">
        <v>282</v>
      </c>
      <c r="O3110" s="745" t="s">
        <v>67</v>
      </c>
      <c r="P3110" s="746"/>
      <c r="Q3110" s="102" t="s">
        <v>75</v>
      </c>
      <c r="R3110" s="731" t="s">
        <v>22</v>
      </c>
      <c r="S3110" s="732"/>
      <c r="T3110" s="733"/>
      <c r="U3110" s="712" t="s">
        <v>298</v>
      </c>
      <c r="W3110" s="690" t="s">
        <v>268</v>
      </c>
      <c r="X3110" s="691"/>
      <c r="Y3110" s="692"/>
      <c r="Z3110" s="428"/>
      <c r="AA3110" s="697" t="s">
        <v>315</v>
      </c>
      <c r="AB3110" s="695" t="s">
        <v>322</v>
      </c>
      <c r="AC3110" s="49"/>
      <c r="AD3110" s="690" t="s">
        <v>297</v>
      </c>
      <c r="AE3110" s="691"/>
      <c r="AF3110" s="692"/>
      <c r="AG3110" s="49"/>
      <c r="AH3110" s="87"/>
      <c r="AI3110" s="87"/>
    </row>
    <row r="3111" spans="1:35" ht="72" hidden="1">
      <c r="A3111" s="44"/>
      <c r="B3111" s="710"/>
      <c r="C3111" s="553" t="s">
        <v>68</v>
      </c>
      <c r="D3111" s="73" t="s">
        <v>3</v>
      </c>
      <c r="E3111" s="73" t="s">
        <v>19</v>
      </c>
      <c r="F3111" s="73" t="s">
        <v>69</v>
      </c>
      <c r="G3111" s="74" t="s">
        <v>70</v>
      </c>
      <c r="H3111" s="700"/>
      <c r="I3111" s="700"/>
      <c r="J3111" s="700"/>
      <c r="K3111" s="700"/>
      <c r="L3111" s="700"/>
      <c r="M3111" s="744"/>
      <c r="N3111" s="700"/>
      <c r="O3111" s="553" t="s">
        <v>279</v>
      </c>
      <c r="P3111" s="73" t="s">
        <v>88</v>
      </c>
      <c r="Q3111" s="555" t="s">
        <v>76</v>
      </c>
      <c r="R3111" s="734"/>
      <c r="S3111" s="735"/>
      <c r="T3111" s="736"/>
      <c r="U3111" s="712"/>
      <c r="W3111" s="429" t="s">
        <v>269</v>
      </c>
      <c r="X3111" s="457" t="s">
        <v>278</v>
      </c>
      <c r="Y3111" s="430" t="s">
        <v>324</v>
      </c>
      <c r="Z3111" s="428"/>
      <c r="AA3111" s="698"/>
      <c r="AB3111" s="696"/>
      <c r="AC3111" s="49"/>
      <c r="AD3111" s="429" t="s">
        <v>292</v>
      </c>
      <c r="AE3111" s="431" t="s">
        <v>300</v>
      </c>
      <c r="AF3111" s="468" t="s">
        <v>301</v>
      </c>
      <c r="AG3111" s="49"/>
      <c r="AH3111" s="87"/>
      <c r="AI3111" s="87"/>
    </row>
    <row r="3112" spans="1:35" hidden="1">
      <c r="A3112" s="44"/>
      <c r="B3112" s="76"/>
      <c r="C3112" s="77"/>
      <c r="D3112" s="77"/>
      <c r="E3112" s="77"/>
      <c r="F3112" s="77"/>
      <c r="G3112" s="77"/>
      <c r="H3112" s="77"/>
      <c r="I3112" s="77"/>
      <c r="J3112" s="77"/>
      <c r="K3112" s="77"/>
      <c r="L3112" s="77"/>
      <c r="M3112" s="77"/>
      <c r="N3112" s="77"/>
      <c r="O3112" s="77"/>
      <c r="P3112" s="77"/>
      <c r="Q3112" s="77"/>
      <c r="R3112" s="77"/>
      <c r="S3112" s="78"/>
      <c r="T3112" s="79"/>
      <c r="U3112" s="109"/>
      <c r="V3112" s="49"/>
      <c r="W3112" s="432"/>
      <c r="X3112" s="454"/>
      <c r="Y3112" s="433"/>
      <c r="Z3112" s="6"/>
      <c r="AA3112" s="500"/>
      <c r="AB3112" s="562"/>
      <c r="AC3112" s="49"/>
      <c r="AD3112" s="210"/>
      <c r="AE3112" s="434"/>
      <c r="AF3112" s="435"/>
      <c r="AG3112" s="49"/>
      <c r="AH3112" s="87"/>
      <c r="AI3112" s="87"/>
    </row>
    <row r="3113" spans="1:35" hidden="1">
      <c r="A3113" s="80" t="e">
        <f>"A"&amp;E3109</f>
        <v>#N/A</v>
      </c>
      <c r="B3113" s="81">
        <v>1</v>
      </c>
      <c r="C3113" s="82"/>
      <c r="D3113" s="82"/>
      <c r="E3113" s="82"/>
      <c r="F3113" s="82"/>
      <c r="G3113" s="83"/>
      <c r="H3113" s="83"/>
      <c r="I3113" s="84"/>
      <c r="J3113" s="85"/>
      <c r="K3113" s="382"/>
      <c r="L3113" s="85"/>
      <c r="M3113" s="332" t="str">
        <f t="shared" ref="M3113:M3122" si="916">IF(OR(J3113="",L3113="",H3113="NO"),"",IF(OR(J3113&gt;$P$17,J3113&lt;$O$17,L3113&gt;$P$17,AND(J3113&lt;$O$17,L3113&lt;$O$17)),"FUERA DE RANGO",IF(OR(K3113="---",K3113=""),IF(J3113&gt;=$O$17,ROUND((L3113-J3113+1)/360*12,3),ROUND((L3113-$O$17+1)/360*12,3)),IF(J3113&gt;=$O$17,ROUND((L3113-J3113+1)/360*12-ROUND(K3113,3),3),ROUND((L3113-$O$17+1)/360*12-ROUND(K3113,3),3)))))</f>
        <v/>
      </c>
      <c r="N3113" s="86"/>
      <c r="O3113" s="453" t="str">
        <f>IF(OR(G3113="",N3113=""),"",N3113*G3113)</f>
        <v/>
      </c>
      <c r="P3113" s="538" t="str">
        <f>IF(OR(H3113="",M3113="FUERA DE RANGO"),"",IF(OR(L3113&lt;$O$17,L3113&gt;$P$17,L3113="",H3113="NO"),"",IF(OR(N3113="",O3113=""),"",ROUND(O3113,3))))</f>
        <v/>
      </c>
      <c r="Q3113" s="539" t="str">
        <f t="shared" ref="Q3113:Q3122" si="917">IF(AND(H3113="SI",P3113&lt;&gt;""),ROUND(P3113/M3113,3),"")</f>
        <v/>
      </c>
      <c r="R3113" s="737"/>
      <c r="S3113" s="738"/>
      <c r="T3113" s="739"/>
      <c r="U3113" s="470"/>
      <c r="V3113" s="165"/>
      <c r="W3113" s="446"/>
      <c r="X3113" s="456"/>
      <c r="Y3113" s="436"/>
      <c r="Z3113" s="437"/>
      <c r="AA3113" s="560"/>
      <c r="AB3113" s="561"/>
      <c r="AC3113" s="87"/>
      <c r="AD3113" s="466"/>
      <c r="AE3113" s="456"/>
      <c r="AF3113" s="467"/>
      <c r="AG3113" s="87"/>
      <c r="AH3113" s="87"/>
      <c r="AI3113" s="87"/>
    </row>
    <row r="3114" spans="1:35" hidden="1">
      <c r="A3114" s="80" t="e">
        <f>"B"&amp;E3109</f>
        <v>#N/A</v>
      </c>
      <c r="B3114" s="81">
        <v>2</v>
      </c>
      <c r="C3114" s="106"/>
      <c r="D3114" s="106"/>
      <c r="E3114" s="106"/>
      <c r="F3114" s="106"/>
      <c r="G3114" s="83"/>
      <c r="H3114" s="83"/>
      <c r="I3114" s="84"/>
      <c r="J3114" s="85"/>
      <c r="K3114" s="382"/>
      <c r="L3114" s="85"/>
      <c r="M3114" s="332" t="str">
        <f t="shared" si="916"/>
        <v/>
      </c>
      <c r="N3114" s="86"/>
      <c r="O3114" s="453" t="str">
        <f t="shared" ref="O3114:O3122" si="918">IF(OR(G3114="",N3114=""),"",N3114*G3114)</f>
        <v/>
      </c>
      <c r="P3114" s="538" t="str">
        <f t="shared" ref="P3114:P3122" si="919">IF(OR(H3114="",M3114="FUERA DE RANGO"),"",IF(OR(L3114&lt;$O$17,L3114&gt;$P$17,L3114="",H3114="NO"),"",IF(OR(N3114="",O3114=""),"",ROUND(O3114,3))))</f>
        <v/>
      </c>
      <c r="Q3114" s="539" t="str">
        <f t="shared" si="917"/>
        <v/>
      </c>
      <c r="R3114" s="740"/>
      <c r="S3114" s="741"/>
      <c r="T3114" s="742"/>
      <c r="U3114" s="471"/>
      <c r="V3114" s="165"/>
      <c r="W3114" s="446"/>
      <c r="X3114" s="456"/>
      <c r="Y3114" s="436"/>
      <c r="Z3114" s="437"/>
      <c r="AA3114" s="560"/>
      <c r="AB3114" s="561"/>
      <c r="AC3114" s="87"/>
      <c r="AD3114" s="466"/>
      <c r="AE3114" s="456"/>
      <c r="AF3114" s="467"/>
      <c r="AG3114" s="87"/>
      <c r="AH3114" s="87"/>
      <c r="AI3114" s="87"/>
    </row>
    <row r="3115" spans="1:35" hidden="1">
      <c r="A3115" s="80" t="e">
        <f>"C"&amp;E3109</f>
        <v>#N/A</v>
      </c>
      <c r="B3115" s="88">
        <v>3</v>
      </c>
      <c r="C3115" s="82"/>
      <c r="D3115" s="82"/>
      <c r="E3115" s="82"/>
      <c r="F3115" s="82"/>
      <c r="G3115" s="83"/>
      <c r="H3115" s="83"/>
      <c r="I3115" s="84"/>
      <c r="J3115" s="85"/>
      <c r="K3115" s="382"/>
      <c r="L3115" s="85"/>
      <c r="M3115" s="332" t="str">
        <f t="shared" si="916"/>
        <v/>
      </c>
      <c r="N3115" s="86"/>
      <c r="O3115" s="453" t="str">
        <f t="shared" si="918"/>
        <v/>
      </c>
      <c r="P3115" s="538" t="str">
        <f t="shared" si="919"/>
        <v/>
      </c>
      <c r="Q3115" s="539" t="str">
        <f t="shared" si="917"/>
        <v/>
      </c>
      <c r="R3115" s="706"/>
      <c r="S3115" s="707"/>
      <c r="T3115" s="708"/>
      <c r="U3115" s="472"/>
      <c r="V3115" s="166"/>
      <c r="W3115" s="446"/>
      <c r="X3115" s="456"/>
      <c r="Y3115" s="436"/>
      <c r="Z3115" s="437"/>
      <c r="AA3115" s="560"/>
      <c r="AB3115" s="561"/>
      <c r="AC3115" s="87"/>
      <c r="AD3115" s="466"/>
      <c r="AE3115" s="456"/>
      <c r="AF3115" s="467"/>
      <c r="AG3115" s="87"/>
      <c r="AH3115" s="87"/>
      <c r="AI3115" s="87"/>
    </row>
    <row r="3116" spans="1:35" hidden="1">
      <c r="A3116" s="80" t="e">
        <f>"D"&amp;E3109</f>
        <v>#N/A</v>
      </c>
      <c r="B3116" s="105">
        <v>4</v>
      </c>
      <c r="C3116" s="107"/>
      <c r="D3116" s="107"/>
      <c r="E3116" s="107"/>
      <c r="F3116" s="107"/>
      <c r="G3116" s="83"/>
      <c r="H3116" s="83"/>
      <c r="I3116" s="84"/>
      <c r="J3116" s="85"/>
      <c r="K3116" s="382"/>
      <c r="L3116" s="85"/>
      <c r="M3116" s="332" t="str">
        <f t="shared" si="916"/>
        <v/>
      </c>
      <c r="N3116" s="86"/>
      <c r="O3116" s="453" t="str">
        <f t="shared" si="918"/>
        <v/>
      </c>
      <c r="P3116" s="538" t="str">
        <f t="shared" si="919"/>
        <v/>
      </c>
      <c r="Q3116" s="539" t="str">
        <f t="shared" si="917"/>
        <v/>
      </c>
      <c r="R3116" s="706"/>
      <c r="S3116" s="707"/>
      <c r="T3116" s="708"/>
      <c r="U3116" s="472"/>
      <c r="V3116" s="166"/>
      <c r="W3116" s="446"/>
      <c r="X3116" s="456"/>
      <c r="Y3116" s="436"/>
      <c r="Z3116" s="437"/>
      <c r="AA3116" s="560"/>
      <c r="AB3116" s="561"/>
      <c r="AC3116" s="87"/>
      <c r="AD3116" s="466"/>
      <c r="AE3116" s="456"/>
      <c r="AF3116" s="467"/>
      <c r="AG3116" s="87"/>
      <c r="AH3116" s="87"/>
      <c r="AI3116" s="87"/>
    </row>
    <row r="3117" spans="1:35" hidden="1">
      <c r="A3117" s="80" t="e">
        <f>"E"&amp;E3109</f>
        <v>#N/A</v>
      </c>
      <c r="B3117" s="105">
        <v>5</v>
      </c>
      <c r="C3117" s="107"/>
      <c r="D3117" s="107"/>
      <c r="E3117" s="107"/>
      <c r="F3117" s="107"/>
      <c r="G3117" s="83"/>
      <c r="H3117" s="83"/>
      <c r="I3117" s="84"/>
      <c r="J3117" s="85"/>
      <c r="K3117" s="382"/>
      <c r="L3117" s="85"/>
      <c r="M3117" s="332" t="str">
        <f t="shared" si="916"/>
        <v/>
      </c>
      <c r="N3117" s="86"/>
      <c r="O3117" s="453" t="str">
        <f t="shared" si="918"/>
        <v/>
      </c>
      <c r="P3117" s="538" t="str">
        <f t="shared" si="919"/>
        <v/>
      </c>
      <c r="Q3117" s="539" t="str">
        <f t="shared" si="917"/>
        <v/>
      </c>
      <c r="R3117" s="706"/>
      <c r="S3117" s="707"/>
      <c r="T3117" s="708"/>
      <c r="U3117" s="472"/>
      <c r="V3117" s="167"/>
      <c r="W3117" s="446"/>
      <c r="X3117" s="456"/>
      <c r="Y3117" s="436"/>
      <c r="Z3117" s="437"/>
      <c r="AA3117" s="560"/>
      <c r="AB3117" s="561"/>
      <c r="AC3117" s="87"/>
      <c r="AD3117" s="466"/>
      <c r="AE3117" s="456"/>
      <c r="AF3117" s="467"/>
      <c r="AG3117" s="87"/>
      <c r="AH3117" s="87"/>
      <c r="AI3117" s="87"/>
    </row>
    <row r="3118" spans="1:35" hidden="1">
      <c r="A3118" s="80" t="e">
        <f>"F"&amp;E3109</f>
        <v>#N/A</v>
      </c>
      <c r="B3118" s="105">
        <v>6</v>
      </c>
      <c r="C3118" s="107"/>
      <c r="D3118" s="107"/>
      <c r="E3118" s="107"/>
      <c r="F3118" s="107"/>
      <c r="G3118" s="83"/>
      <c r="H3118" s="83"/>
      <c r="I3118" s="84"/>
      <c r="J3118" s="85"/>
      <c r="K3118" s="382"/>
      <c r="L3118" s="85"/>
      <c r="M3118" s="332" t="str">
        <f t="shared" si="916"/>
        <v/>
      </c>
      <c r="N3118" s="86"/>
      <c r="O3118" s="453" t="str">
        <f t="shared" si="918"/>
        <v/>
      </c>
      <c r="P3118" s="538" t="str">
        <f t="shared" si="919"/>
        <v/>
      </c>
      <c r="Q3118" s="539" t="str">
        <f t="shared" si="917"/>
        <v/>
      </c>
      <c r="R3118" s="706"/>
      <c r="S3118" s="707"/>
      <c r="T3118" s="708"/>
      <c r="U3118" s="472"/>
      <c r="V3118" s="167"/>
      <c r="W3118" s="446"/>
      <c r="X3118" s="456"/>
      <c r="Y3118" s="436"/>
      <c r="Z3118" s="437"/>
      <c r="AA3118" s="560"/>
      <c r="AB3118" s="561"/>
      <c r="AC3118" s="87"/>
      <c r="AD3118" s="466"/>
      <c r="AE3118" s="456"/>
      <c r="AF3118" s="467"/>
      <c r="AG3118" s="87"/>
      <c r="AH3118" s="87"/>
      <c r="AI3118" s="87"/>
    </row>
    <row r="3119" spans="1:35" hidden="1">
      <c r="A3119" s="80" t="e">
        <f>"G"&amp;E3109</f>
        <v>#N/A</v>
      </c>
      <c r="B3119" s="105">
        <v>7</v>
      </c>
      <c r="C3119" s="107"/>
      <c r="D3119" s="107"/>
      <c r="E3119" s="107"/>
      <c r="F3119" s="107"/>
      <c r="G3119" s="83"/>
      <c r="H3119" s="83"/>
      <c r="I3119" s="84"/>
      <c r="J3119" s="85"/>
      <c r="K3119" s="382"/>
      <c r="L3119" s="85"/>
      <c r="M3119" s="332" t="str">
        <f t="shared" si="916"/>
        <v/>
      </c>
      <c r="N3119" s="86"/>
      <c r="O3119" s="86" t="str">
        <f t="shared" si="918"/>
        <v/>
      </c>
      <c r="P3119" s="538" t="str">
        <f t="shared" si="919"/>
        <v/>
      </c>
      <c r="Q3119" s="539" t="str">
        <f t="shared" si="917"/>
        <v/>
      </c>
      <c r="R3119" s="706"/>
      <c r="S3119" s="707"/>
      <c r="T3119" s="708"/>
      <c r="U3119" s="472"/>
      <c r="V3119" s="167"/>
      <c r="W3119" s="446"/>
      <c r="X3119" s="456"/>
      <c r="Y3119" s="436"/>
      <c r="Z3119" s="437"/>
      <c r="AA3119" s="560"/>
      <c r="AB3119" s="561"/>
      <c r="AC3119" s="87"/>
      <c r="AD3119" s="466"/>
      <c r="AE3119" s="456"/>
      <c r="AF3119" s="467"/>
      <c r="AG3119" s="87"/>
      <c r="AH3119" s="87"/>
      <c r="AI3119" s="87"/>
    </row>
    <row r="3120" spans="1:35" hidden="1">
      <c r="A3120" s="80" t="e">
        <f>"H"&amp;E3109</f>
        <v>#N/A</v>
      </c>
      <c r="B3120" s="105">
        <v>8</v>
      </c>
      <c r="C3120" s="107"/>
      <c r="D3120" s="107"/>
      <c r="E3120" s="107"/>
      <c r="F3120" s="107"/>
      <c r="G3120" s="83"/>
      <c r="H3120" s="83"/>
      <c r="I3120" s="84"/>
      <c r="J3120" s="85"/>
      <c r="K3120" s="382"/>
      <c r="L3120" s="85"/>
      <c r="M3120" s="332" t="str">
        <f t="shared" si="916"/>
        <v/>
      </c>
      <c r="N3120" s="453"/>
      <c r="O3120" s="86" t="str">
        <f t="shared" si="918"/>
        <v/>
      </c>
      <c r="P3120" s="538" t="str">
        <f t="shared" si="919"/>
        <v/>
      </c>
      <c r="Q3120" s="539" t="str">
        <f t="shared" si="917"/>
        <v/>
      </c>
      <c r="R3120" s="706"/>
      <c r="S3120" s="707"/>
      <c r="T3120" s="708"/>
      <c r="U3120" s="472"/>
      <c r="V3120" s="167"/>
      <c r="W3120" s="446"/>
      <c r="X3120" s="456"/>
      <c r="Y3120" s="436"/>
      <c r="Z3120" s="437"/>
      <c r="AA3120" s="560"/>
      <c r="AB3120" s="561"/>
      <c r="AC3120" s="87"/>
      <c r="AD3120" s="466"/>
      <c r="AE3120" s="456"/>
      <c r="AF3120" s="467"/>
      <c r="AG3120" s="87"/>
      <c r="AH3120" s="87"/>
      <c r="AI3120" s="87"/>
    </row>
    <row r="3121" spans="1:35" hidden="1">
      <c r="A3121" s="80" t="e">
        <f>"I"&amp;E3109</f>
        <v>#N/A</v>
      </c>
      <c r="B3121" s="105">
        <v>9</v>
      </c>
      <c r="C3121" s="107"/>
      <c r="D3121" s="107"/>
      <c r="E3121" s="107"/>
      <c r="F3121" s="107"/>
      <c r="G3121" s="83"/>
      <c r="H3121" s="83"/>
      <c r="I3121" s="84"/>
      <c r="J3121" s="85"/>
      <c r="K3121" s="382"/>
      <c r="L3121" s="85"/>
      <c r="M3121" s="332" t="str">
        <f t="shared" si="916"/>
        <v/>
      </c>
      <c r="N3121" s="453"/>
      <c r="O3121" s="86" t="str">
        <f t="shared" si="918"/>
        <v/>
      </c>
      <c r="P3121" s="538" t="str">
        <f t="shared" si="919"/>
        <v/>
      </c>
      <c r="Q3121" s="539" t="str">
        <f t="shared" si="917"/>
        <v/>
      </c>
      <c r="R3121" s="706"/>
      <c r="S3121" s="707"/>
      <c r="T3121" s="708"/>
      <c r="U3121" s="472"/>
      <c r="V3121" s="167"/>
      <c r="W3121" s="446"/>
      <c r="X3121" s="456"/>
      <c r="Y3121" s="436"/>
      <c r="Z3121" s="437"/>
      <c r="AA3121" s="560"/>
      <c r="AB3121" s="561"/>
      <c r="AC3121" s="87"/>
      <c r="AD3121" s="466"/>
      <c r="AE3121" s="456"/>
      <c r="AF3121" s="467"/>
      <c r="AG3121" s="87"/>
      <c r="AH3121" s="87"/>
      <c r="AI3121" s="87"/>
    </row>
    <row r="3122" spans="1:35" hidden="1">
      <c r="A3122" s="80" t="e">
        <f>"J"&amp;E3109</f>
        <v>#N/A</v>
      </c>
      <c r="B3122" s="105">
        <v>10</v>
      </c>
      <c r="C3122" s="107"/>
      <c r="D3122" s="107"/>
      <c r="E3122" s="107"/>
      <c r="F3122" s="107"/>
      <c r="G3122" s="83"/>
      <c r="H3122" s="83"/>
      <c r="I3122" s="84"/>
      <c r="J3122" s="85"/>
      <c r="K3122" s="382"/>
      <c r="L3122" s="85"/>
      <c r="M3122" s="332" t="str">
        <f t="shared" si="916"/>
        <v/>
      </c>
      <c r="N3122" s="453"/>
      <c r="O3122" s="86" t="str">
        <f t="shared" si="918"/>
        <v/>
      </c>
      <c r="P3122" s="538" t="str">
        <f t="shared" si="919"/>
        <v/>
      </c>
      <c r="Q3122" s="539" t="str">
        <f t="shared" si="917"/>
        <v/>
      </c>
      <c r="R3122" s="706"/>
      <c r="S3122" s="707"/>
      <c r="T3122" s="708"/>
      <c r="U3122" s="472"/>
      <c r="V3122" s="167"/>
      <c r="W3122" s="446"/>
      <c r="X3122" s="456"/>
      <c r="Y3122" s="436"/>
      <c r="Z3122" s="437"/>
      <c r="AA3122" s="560"/>
      <c r="AB3122" s="561"/>
      <c r="AC3122" s="87"/>
      <c r="AD3122" s="466"/>
      <c r="AE3122" s="456"/>
      <c r="AF3122" s="467"/>
      <c r="AG3122" s="87"/>
      <c r="AH3122" s="87"/>
      <c r="AI3122" s="87"/>
    </row>
    <row r="3123" spans="1:35" ht="16.5" hidden="1" thickBot="1">
      <c r="A3123" s="44"/>
      <c r="B3123" s="89"/>
      <c r="C3123" s="90"/>
      <c r="D3123" s="90"/>
      <c r="E3123" s="90"/>
      <c r="F3123" s="90"/>
      <c r="G3123" s="90"/>
      <c r="H3123" s="90"/>
      <c r="I3123" s="90"/>
      <c r="J3123" s="90"/>
      <c r="K3123" s="90"/>
      <c r="L3123" s="90"/>
      <c r="M3123" s="90"/>
      <c r="N3123" s="90"/>
      <c r="O3123" s="90"/>
      <c r="P3123" s="90"/>
      <c r="Q3123" s="90"/>
      <c r="R3123" s="90"/>
      <c r="S3123" s="91"/>
      <c r="T3123" s="92"/>
      <c r="U3123" s="473"/>
      <c r="W3123" s="438"/>
      <c r="X3123" s="455"/>
      <c r="Y3123" s="439"/>
      <c r="Z3123" s="437"/>
      <c r="AA3123" s="530"/>
      <c r="AB3123" s="563"/>
      <c r="AC3123" s="87"/>
      <c r="AD3123" s="440"/>
      <c r="AE3123" s="441"/>
      <c r="AF3123" s="442"/>
      <c r="AG3123" s="49"/>
      <c r="AH3123" s="87"/>
      <c r="AI3123" s="87"/>
    </row>
    <row r="3124" spans="1:35" ht="16.5" hidden="1" thickBot="1">
      <c r="A3124" s="93"/>
      <c r="B3124" s="94"/>
      <c r="C3124" s="96"/>
      <c r="D3124" s="96"/>
      <c r="E3124" s="96"/>
      <c r="F3124" s="96"/>
      <c r="G3124" s="96"/>
      <c r="H3124" s="96"/>
      <c r="I3124" s="96"/>
      <c r="J3124" s="96"/>
      <c r="K3124" s="96"/>
      <c r="L3124" s="96"/>
      <c r="M3124" s="136"/>
      <c r="N3124" s="96"/>
      <c r="O3124" s="96"/>
      <c r="P3124" s="97"/>
      <c r="Q3124" s="97"/>
      <c r="R3124" s="98"/>
      <c r="S3124" s="95"/>
      <c r="T3124" s="99"/>
      <c r="U3124" s="469"/>
      <c r="AC3124" s="58"/>
      <c r="AG3124" s="58"/>
      <c r="AH3124" s="87"/>
      <c r="AI3124" s="87"/>
    </row>
    <row r="3125" spans="1:35" ht="16.5" hidden="1" thickBot="1">
      <c r="B3125" s="101"/>
      <c r="C3125" s="101"/>
      <c r="D3125" s="101"/>
      <c r="E3125" s="101"/>
      <c r="F3125" s="101"/>
      <c r="G3125" s="101"/>
      <c r="H3125" s="101"/>
      <c r="I3125" s="101"/>
      <c r="J3125" s="101"/>
      <c r="K3125" s="101"/>
      <c r="L3125" s="101"/>
      <c r="M3125" s="101"/>
      <c r="N3125" s="101"/>
      <c r="O3125" s="101"/>
      <c r="P3125" s="101"/>
      <c r="Q3125" s="101"/>
      <c r="R3125" s="101"/>
      <c r="S3125" s="101"/>
      <c r="U3125" s="50"/>
      <c r="AH3125" s="87"/>
      <c r="AI3125" s="87"/>
    </row>
    <row r="3126" spans="1:35" ht="16.5" hidden="1" customHeight="1" thickBot="1">
      <c r="A3126" s="44"/>
      <c r="B3126" s="705" t="s">
        <v>74</v>
      </c>
      <c r="C3126" s="705"/>
      <c r="D3126" s="705"/>
      <c r="E3126" s="705"/>
      <c r="F3126" s="705"/>
      <c r="G3126" s="705"/>
      <c r="H3126" s="705"/>
      <c r="I3126" s="705"/>
      <c r="J3126" s="705"/>
      <c r="K3126" s="705"/>
      <c r="L3126" s="705"/>
      <c r="M3126" s="705"/>
      <c r="N3126" s="705"/>
      <c r="O3126" s="705"/>
      <c r="P3126" s="705"/>
      <c r="Q3126" s="705"/>
      <c r="R3126" s="705"/>
      <c r="S3126" s="705"/>
      <c r="T3126" s="705"/>
      <c r="U3126" s="108"/>
      <c r="Y3126" s="532" t="s">
        <v>341</v>
      </c>
      <c r="AC3126" s="49"/>
      <c r="AD3126" s="687" t="s">
        <v>302</v>
      </c>
      <c r="AE3126" s="688"/>
      <c r="AF3126" s="689"/>
      <c r="AG3126" s="49"/>
      <c r="AH3126" s="87"/>
      <c r="AI3126" s="87"/>
    </row>
    <row r="3127" spans="1:35" ht="16.5" hidden="1" customHeight="1" thickBot="1">
      <c r="A3127" s="218" t="e">
        <f>"K"&amp;E3109</f>
        <v>#N/A</v>
      </c>
      <c r="B3127" s="701" t="s">
        <v>71</v>
      </c>
      <c r="C3127" s="751" t="s">
        <v>102</v>
      </c>
      <c r="D3127" s="751"/>
      <c r="E3127" s="751"/>
      <c r="F3127" s="751"/>
      <c r="G3127" s="751"/>
      <c r="H3127" s="751"/>
      <c r="I3127" s="751"/>
      <c r="J3127" s="751"/>
      <c r="K3127" s="751"/>
      <c r="L3127" s="722" t="s">
        <v>100</v>
      </c>
      <c r="M3127" s="747" t="s">
        <v>114</v>
      </c>
      <c r="N3127" s="747"/>
      <c r="O3127" s="747"/>
      <c r="P3127" s="747"/>
      <c r="Q3127" s="748"/>
      <c r="R3127" s="758" t="s">
        <v>280</v>
      </c>
      <c r="S3127" s="748"/>
      <c r="T3127" s="762" t="str">
        <f>IF(COUNTIF(AE3127:AF3127,"VERIFICAR")&gt;0,"VERIFICAR",IF(COUNTIF(AE3127:AF3127,"NO CUMPLE")&gt;0,"NO CUMPLE","CUMPLE"))</f>
        <v>VERIFICAR</v>
      </c>
      <c r="U3127" s="108"/>
      <c r="Y3127" s="533" t="e">
        <f>IF(F3128="","",IF(F3128=1,"INDIVIDUAL","ESTRUCTURA PLURAL"))</f>
        <v>#N/A</v>
      </c>
      <c r="AC3127" s="52"/>
      <c r="AD3127" s="475" t="s">
        <v>303</v>
      </c>
      <c r="AE3127" s="476" t="str">
        <f>IF(COUNTIF(AE3113:AE3122,"")=10,"VERIFICAR",IF(COUNTIF(AE3113:AE3122,"SI")&gt;0,"CUMPLE","NO CUMPLE"))</f>
        <v>VERIFICAR</v>
      </c>
      <c r="AF3127" s="477" t="str">
        <f>IF(COUNTIF(AF3113:AF3122,"")=10,"VERIFICAR",IF(COUNTIF(AF3113:AF3122,"SI")&gt;=$AI$22,"CUMPLE","NO CUMPLE"))</f>
        <v>VERIFICAR</v>
      </c>
      <c r="AG3127" s="52"/>
      <c r="AH3127" s="87"/>
      <c r="AI3127" s="87"/>
    </row>
    <row r="3128" spans="1:35" ht="15.75" hidden="1" customHeight="1" thickBot="1">
      <c r="A3128" s="218" t="e">
        <f>"L"&amp;E3109</f>
        <v>#N/A</v>
      </c>
      <c r="B3128" s="702"/>
      <c r="C3128" s="751" t="s">
        <v>103</v>
      </c>
      <c r="D3128" s="751"/>
      <c r="E3128" s="752"/>
      <c r="F3128" s="557" t="e">
        <f>IF(VLOOKUP(E3109,PROPONENTES!$C$19:$E$218,3,0)="","",VLOOKUP(E3109,PROPONENTES!$C$19:$E$218,3,0))</f>
        <v>#N/A</v>
      </c>
      <c r="G3128" s="753" t="s">
        <v>104</v>
      </c>
      <c r="H3128" s="751"/>
      <c r="I3128" s="715" t="e">
        <f>IF(OR(F3128="",F3128=1),"INTERESADO PERSONA NATURAL O JURIDICA","CONSORCIO O UNION TEMPORAL")</f>
        <v>#N/A</v>
      </c>
      <c r="J3128" s="725"/>
      <c r="K3128" s="728"/>
      <c r="L3128" s="723"/>
      <c r="M3128" s="749"/>
      <c r="N3128" s="749"/>
      <c r="O3128" s="749"/>
      <c r="P3128" s="749"/>
      <c r="Q3128" s="750"/>
      <c r="R3128" s="712"/>
      <c r="S3128" s="750"/>
      <c r="T3128" s="763"/>
      <c r="U3128" s="108"/>
      <c r="Y3128" s="534"/>
      <c r="AA3128" s="52"/>
      <c r="AB3128" s="52"/>
      <c r="AC3128" s="52"/>
      <c r="AG3128" s="52"/>
      <c r="AH3128" s="87"/>
      <c r="AI3128" s="87"/>
    </row>
    <row r="3129" spans="1:35" ht="56.25" hidden="1" customHeight="1" thickBot="1">
      <c r="A3129" s="218" t="e">
        <f>"M"&amp;E3109</f>
        <v>#N/A</v>
      </c>
      <c r="B3129" s="702"/>
      <c r="C3129" s="725" t="s">
        <v>101</v>
      </c>
      <c r="D3129" s="716"/>
      <c r="E3129" s="558" t="s">
        <v>105</v>
      </c>
      <c r="F3129" s="554" t="s">
        <v>87</v>
      </c>
      <c r="G3129" s="553" t="s">
        <v>86</v>
      </c>
      <c r="H3129" s="559" t="s">
        <v>85</v>
      </c>
      <c r="I3129" s="554" t="s">
        <v>252</v>
      </c>
      <c r="J3129" s="553" t="str">
        <f>"¿EL INTEGRANTE TIENE UNA PARTICIPACIÓN DEL "&amp;PORCREQUERIDOINT*100&amp;"%?"</f>
        <v>¿EL INTEGRANTE TIENE UNA PARTICIPACIÓN DEL 60%?</v>
      </c>
      <c r="K3129" s="554" t="s">
        <v>107</v>
      </c>
      <c r="L3129" s="724"/>
      <c r="M3129" s="717" t="s">
        <v>115</v>
      </c>
      <c r="N3129" s="718"/>
      <c r="O3129" s="718"/>
      <c r="P3129" s="718"/>
      <c r="Q3129" s="223">
        <f>IF(AND(H3113="SI",P3113&gt;=0),1,0)+IF(AND(H3114="SI",P3114&gt;=0),1,0)+IF(AND(H3115="SI",P3115&gt;=0),1,0)+IF(AND(H3116="SI",P3116&gt;=0),1,0)+IF(AND(H3117="SI",P3117&gt;=0),1,0)+IF(AND(H3118="SI",P3118&gt;=0),1,0)+IF(AND(H3119="SI",P3119&gt;=0),1,0)+IF(AND(H3120="SI",P3120&gt;=0),1,0)+IF(AND(H3121="SI",P3121&gt;=0),1,0)+IF(AND(H3122="SI",P3122&gt;=0),1,0)</f>
        <v>0</v>
      </c>
      <c r="R3129" s="759"/>
      <c r="S3129" s="761"/>
      <c r="T3129" s="764"/>
      <c r="U3129" s="219"/>
      <c r="V3129" s="464"/>
      <c r="Y3129" s="532" t="s">
        <v>342</v>
      </c>
      <c r="AA3129" s="550" t="s">
        <v>344</v>
      </c>
      <c r="AB3129" s="693" t="s">
        <v>345</v>
      </c>
      <c r="AC3129" s="693" t="s">
        <v>346</v>
      </c>
      <c r="AD3129" s="685" t="s">
        <v>347</v>
      </c>
      <c r="AE3129" s="52"/>
      <c r="AF3129" s="52"/>
      <c r="AG3129" s="52"/>
      <c r="AH3129" s="87"/>
      <c r="AI3129" s="87"/>
    </row>
    <row r="3130" spans="1:35" ht="15.75" hidden="1" customHeight="1" thickBot="1">
      <c r="A3130" s="218" t="e">
        <f>"N"&amp;E3109</f>
        <v>#N/A</v>
      </c>
      <c r="B3130" s="702"/>
      <c r="C3130" s="114">
        <v>1</v>
      </c>
      <c r="D3130" s="194" t="e">
        <f>IF(AND(C3130&lt;=F3128,F3128&gt;1,F3128&lt;&gt;""),VLOOKUP(VALUE(E3109&amp;","&amp;C3130),INTEGRANTES!$D$18:$F$235,2,0),"")</f>
        <v>#N/A</v>
      </c>
      <c r="E3130" s="211" t="e">
        <f>IF(D3130&lt;&gt;"",VLOOKUP(VALUE(E3109&amp;","&amp;C3130),INTEGRANTES!$D$18:$F$235,3,0),"")</f>
        <v>#N/A</v>
      </c>
      <c r="F3130" s="547" t="e">
        <f>IF(D3130="","",SUMIF($I3113:$I3122,D3130,$P3113:$P3122))</f>
        <v>#N/A</v>
      </c>
      <c r="G3130" s="333" t="e">
        <f>IF(D3130="","",SUMIF($I3113:$I3122,D3130,$M3113:$M3122))</f>
        <v>#N/A</v>
      </c>
      <c r="H3130" s="535" t="e">
        <f t="shared" ref="H3130:H3135" si="920">IF(D3130="","",IF(OR(F3130=0,G3130=0),"NO APORTA",ROUND($F3130/$G3130,3)))</f>
        <v>#N/A</v>
      </c>
      <c r="I3130" s="212" t="e">
        <f>IF(D3130="","",IF(H3130="NO APORTA","NO",IF(H3130=MAX($H3130:$H3135),"SI","NO")))</f>
        <v>#N/A</v>
      </c>
      <c r="J3130" s="213" t="e">
        <f t="shared" ref="J3130:J3135" si="921">IF(D3130="","",IF(E3130&gt;=PORCREQUERIDOINT,"SI","NO"))</f>
        <v>#N/A</v>
      </c>
      <c r="K3130" s="200" t="e">
        <f t="shared" ref="K3130:K3135" si="922">IF(D3130="","",IF(AND(I3130="SI",J3130="SI"),"CUMPLE",IF(AND(I3130="NO",OR(J3130="SI",J3130="NO")),"","NO CUMPLE")))</f>
        <v>#N/A</v>
      </c>
      <c r="L3130" s="722" t="s">
        <v>108</v>
      </c>
      <c r="M3130" s="726" t="s">
        <v>119</v>
      </c>
      <c r="N3130" s="726"/>
      <c r="O3130" s="726"/>
      <c r="P3130" s="726"/>
      <c r="Q3130" s="727"/>
      <c r="R3130" s="758" t="s">
        <v>80</v>
      </c>
      <c r="S3130" s="747"/>
      <c r="T3130" s="748"/>
      <c r="U3130" s="219"/>
      <c r="V3130" s="464"/>
      <c r="Y3130" s="533" t="e">
        <f>IF(Y3127="","",IF(Y3127="INDIVIDUAL","NO APLICA","VERIFICAR CUADRO"))</f>
        <v>#N/A</v>
      </c>
      <c r="AA3130" s="551"/>
      <c r="AB3130" s="694"/>
      <c r="AC3130" s="694"/>
      <c r="AD3130" s="686"/>
      <c r="AE3130" s="52"/>
      <c r="AF3130" s="52"/>
      <c r="AG3130" s="52"/>
      <c r="AH3130" s="87"/>
      <c r="AI3130" s="87"/>
    </row>
    <row r="3131" spans="1:35" ht="27" hidden="1" customHeight="1" thickBot="1">
      <c r="A3131" s="218" t="e">
        <f>"O"&amp;E3109</f>
        <v>#N/A</v>
      </c>
      <c r="B3131" s="702"/>
      <c r="C3131" s="114">
        <v>2</v>
      </c>
      <c r="D3131" s="194" t="e">
        <f>IF(AND(C3131&lt;=F3128,F3128&lt;&gt;""),VLOOKUP(VALUE(E3109&amp;","&amp;C3131),INTEGRANTES!$D$18:$F$235,2,0),"")</f>
        <v>#N/A</v>
      </c>
      <c r="E3131" s="211" t="e">
        <f>IF(D3131&lt;&gt;"",VLOOKUP(VALUE(E3109&amp;","&amp;C3131),INTEGRANTES!$D$18:$F$235,3,0),"")</f>
        <v>#N/A</v>
      </c>
      <c r="F3131" s="547" t="e">
        <f>IF(D3131="","",SUMIF($I3113:$I3122,D3131,$P3113:$P3122))</f>
        <v>#N/A</v>
      </c>
      <c r="G3131" s="333" t="e">
        <f>IF(D3131="","",SUMIF($I3113:$I3122,D3131,$M3113:$M3122))</f>
        <v>#N/A</v>
      </c>
      <c r="H3131" s="535" t="e">
        <f t="shared" si="920"/>
        <v>#N/A</v>
      </c>
      <c r="I3131" s="212" t="e">
        <f>IF(D3131="","",IF(H3131="NO APORTA","NO",IF(H3131=MAX($H3130:$H3135),"SI","NO")))</f>
        <v>#N/A</v>
      </c>
      <c r="J3131" s="213" t="e">
        <f t="shared" si="921"/>
        <v>#N/A</v>
      </c>
      <c r="K3131" s="200" t="e">
        <f t="shared" si="922"/>
        <v>#N/A</v>
      </c>
      <c r="L3131" s="723"/>
      <c r="M3131" s="715" t="s">
        <v>116</v>
      </c>
      <c r="N3131" s="716"/>
      <c r="O3131" s="556" t="s">
        <v>113</v>
      </c>
      <c r="P3131" s="715" t="s">
        <v>117</v>
      </c>
      <c r="Q3131" s="728"/>
      <c r="R3131" s="759"/>
      <c r="S3131" s="760"/>
      <c r="T3131" s="761"/>
      <c r="U3131" s="219"/>
      <c r="V3131" s="464"/>
      <c r="Y3131" s="414"/>
      <c r="AA3131" s="542" t="e">
        <f>IF(AND(C3130&lt;=F3128,F3128&gt;1,F3128&lt;&gt;""),VLOOKUP(VALUE(E3109&amp;","&amp;C3130),INTEGRANTES!$D$18:$F$235,2,0),"")</f>
        <v>#N/A</v>
      </c>
      <c r="AB3131" s="544" t="e">
        <f t="shared" ref="AB3131:AB3136" si="923">IF(D3130="","",IF(OR(F3130=0,G3130=0),"NO APORTA",ROUND($F3130/$G3130,3)))</f>
        <v>#N/A</v>
      </c>
      <c r="AC3131" s="529"/>
      <c r="AD3131" s="200" t="e">
        <f t="shared" ref="AD3131:AD3136" si="924">IF(OR(AA3131="",AB3131=""),"",IF(AND(AC3131="X",AB3131&gt;=EXPREQVTD),"CUMPLE","NO CUMPLE"))</f>
        <v>#N/A</v>
      </c>
      <c r="AE3131" s="52"/>
      <c r="AF3131" s="52"/>
      <c r="AG3131" s="52"/>
      <c r="AH3131" s="87"/>
      <c r="AI3131" s="87"/>
    </row>
    <row r="3132" spans="1:35" ht="16.5" hidden="1" thickBot="1">
      <c r="A3132" s="218" t="e">
        <f>"P"&amp;E3109</f>
        <v>#N/A</v>
      </c>
      <c r="B3132" s="702"/>
      <c r="C3132" s="114">
        <v>3</v>
      </c>
      <c r="D3132" s="194" t="e">
        <f>IF(AND(C3132&lt;=F3128,F3128&lt;&gt;""),VLOOKUP(VALUE(E3109&amp;","&amp;C3132),INTEGRANTES!$D$18:$F$235,2,0),"")</f>
        <v>#N/A</v>
      </c>
      <c r="E3132" s="211" t="e">
        <f>IF(D3132&lt;&gt;"",VLOOKUP(VALUE(E3109&amp;","&amp;C3132),INTEGRANTES!$D$18:$F$235,3,0),"")</f>
        <v>#N/A</v>
      </c>
      <c r="F3132" s="547" t="e">
        <f>IF(D3132="","",SUMIF($I3113:$I3122,D3132,$P3113:$P3122))</f>
        <v>#N/A</v>
      </c>
      <c r="G3132" s="333" t="e">
        <f>IF(D3132="","",SUMIF($I3113:$I3122,D3132,$M3113:$M3122))</f>
        <v>#N/A</v>
      </c>
      <c r="H3132" s="535" t="e">
        <f t="shared" si="920"/>
        <v>#N/A</v>
      </c>
      <c r="I3132" s="212" t="e">
        <f>IF(D3132="","",IF(H3132="NO APORTA","NO",IF(H3132=MAX($H3130:$H3135),"SI","NO")))</f>
        <v>#N/A</v>
      </c>
      <c r="J3132" s="213" t="e">
        <f t="shared" si="921"/>
        <v>#N/A</v>
      </c>
      <c r="K3132" s="200" t="e">
        <f t="shared" si="922"/>
        <v>#N/A</v>
      </c>
      <c r="L3132" s="724"/>
      <c r="M3132" s="729">
        <f>NUMMOD</f>
        <v>1</v>
      </c>
      <c r="N3132" s="730"/>
      <c r="O3132" s="443">
        <f>IF(M3132="","",VLOOKUP(M3132,PRESUPUESTOS!$B$16:$H$16,5,FALSE))</f>
        <v>2</v>
      </c>
      <c r="P3132" s="713">
        <f>IF(OR(COUNTIF(M3113:M3122,"")&gt;=10,Q3129&lt;NUMMINCONT,OR(T3127="NO CUMPLE",T3127="VERIFICAR")),0,ROUND(AVERAGE(M3113:M3122),3))</f>
        <v>0</v>
      </c>
      <c r="Q3132" s="714"/>
      <c r="R3132" s="458"/>
      <c r="S3132" s="459"/>
      <c r="T3132" s="460"/>
      <c r="U3132" s="219"/>
      <c r="V3132" s="464"/>
      <c r="Y3132" s="532" t="str">
        <f>"40% * ("&amp;PRESUPUESTOS!$H$13&amp;")"</f>
        <v>40% * (50% PFMO)</v>
      </c>
      <c r="AA3132" s="540" t="e">
        <f>IF(AND(C3131&lt;=F3128,F3128&lt;&gt;""),VLOOKUP(VALUE(E3109&amp;","&amp;C3131),INTEGRANTES!$D$18:$F$235,2,0),"")</f>
        <v>#N/A</v>
      </c>
      <c r="AB3132" s="545" t="e">
        <f t="shared" si="923"/>
        <v>#N/A</v>
      </c>
      <c r="AC3132" s="529"/>
      <c r="AD3132" s="200" t="e">
        <f t="shared" si="924"/>
        <v>#N/A</v>
      </c>
      <c r="AE3132" s="52"/>
      <c r="AF3132" s="52"/>
      <c r="AG3132" s="52"/>
      <c r="AH3132" s="87"/>
      <c r="AI3132" s="87"/>
    </row>
    <row r="3133" spans="1:35" ht="15.75" hidden="1" customHeight="1" thickBot="1">
      <c r="A3133" s="218" t="e">
        <f>"Q"&amp;E3109</f>
        <v>#N/A</v>
      </c>
      <c r="B3133" s="702"/>
      <c r="C3133" s="114">
        <v>4</v>
      </c>
      <c r="D3133" s="194" t="e">
        <f>IF(AND(C3133&lt;=F3128,F3128&lt;&gt;""),VLOOKUP(VALUE(E3109&amp;","&amp;C3133),INTEGRANTES!$D$18:$F$235,2,0),"")</f>
        <v>#N/A</v>
      </c>
      <c r="E3133" s="211" t="e">
        <f>IF(D3133&lt;&gt;"",VLOOKUP(VALUE(E3109&amp;","&amp;C3133),INTEGRANTES!$D$18:$F$235,3,0),"")</f>
        <v>#N/A</v>
      </c>
      <c r="F3133" s="547" t="e">
        <f>IF(D3133="","",SUMIF($I3113:$I3122,D3133,$P3113:$P3122))</f>
        <v>#N/A</v>
      </c>
      <c r="G3133" s="333" t="e">
        <f>IF(D3133="","",SUMIF($I3113:$I3122,D3133,$M3113:$M3122))</f>
        <v>#N/A</v>
      </c>
      <c r="H3133" s="535" t="e">
        <f t="shared" si="920"/>
        <v>#N/A</v>
      </c>
      <c r="I3133" s="212" t="e">
        <f>IF(D3133="","",IF(H3133="NO APORTA","NO",IF(H3133=MAX($H3130:$H3135),"SI","NO")))</f>
        <v>#N/A</v>
      </c>
      <c r="J3133" s="213" t="e">
        <f t="shared" si="921"/>
        <v>#N/A</v>
      </c>
      <c r="K3133" s="200" t="e">
        <f t="shared" si="922"/>
        <v>#N/A</v>
      </c>
      <c r="L3133" s="720" t="s">
        <v>109</v>
      </c>
      <c r="M3133" s="757" t="s">
        <v>120</v>
      </c>
      <c r="N3133" s="726"/>
      <c r="O3133" s="726"/>
      <c r="P3133" s="726"/>
      <c r="Q3133" s="727"/>
      <c r="R3133" s="458"/>
      <c r="S3133" s="459"/>
      <c r="T3133" s="460"/>
      <c r="U3133" s="219"/>
      <c r="V3133" s="464"/>
      <c r="Y3133" s="537">
        <f>0.4*PRESUPUESTOS!$H$16</f>
        <v>10.3124</v>
      </c>
      <c r="AA3133" s="540" t="e">
        <f>IF(AND(C3132&lt;=F3128,F3128&lt;&gt;""),VLOOKUP(VALUE(E3109&amp;","&amp;C3132),INTEGRANTES!$D$18:$F$235,2,0),"")</f>
        <v>#N/A</v>
      </c>
      <c r="AB3133" s="545" t="e">
        <f t="shared" si="923"/>
        <v>#N/A</v>
      </c>
      <c r="AC3133" s="529"/>
      <c r="AD3133" s="200" t="e">
        <f t="shared" si="924"/>
        <v>#N/A</v>
      </c>
      <c r="AE3133" s="52"/>
      <c r="AF3133" s="52"/>
      <c r="AG3133" s="52"/>
      <c r="AH3133" s="87"/>
      <c r="AI3133" s="87"/>
    </row>
    <row r="3134" spans="1:35" ht="27" hidden="1" customHeight="1" thickBot="1">
      <c r="A3134" s="218" t="e">
        <f>"R"&amp;E3109</f>
        <v>#N/A</v>
      </c>
      <c r="B3134" s="702"/>
      <c r="C3134" s="114">
        <v>5</v>
      </c>
      <c r="D3134" s="194" t="e">
        <f>IF(AND(C3134&lt;=F3128,F3128&lt;&gt;""),VLOOKUP(VALUE(E3109&amp;","&amp;C3134),INTEGRANTES!$D$18:$F$235,2,0),"")</f>
        <v>#N/A</v>
      </c>
      <c r="E3134" s="211" t="e">
        <f>IF(D3134&lt;&gt;"",VLOOKUP(VALUE(E3109&amp;","&amp;C3134),INTEGRANTES!$D$18:$F$235,3,0),"")</f>
        <v>#N/A</v>
      </c>
      <c r="F3134" s="547" t="e">
        <f>IF(D3134="","",SUMIF($I3113:$I3122,D3134,$P3113:$P3122))</f>
        <v>#N/A</v>
      </c>
      <c r="G3134" s="333" t="e">
        <f>IF(D3134="","",SUMIF($I3113:$I3122,D3134,$M3113:$M3122))</f>
        <v>#N/A</v>
      </c>
      <c r="H3134" s="535" t="e">
        <f t="shared" si="920"/>
        <v>#N/A</v>
      </c>
      <c r="I3134" s="212" t="e">
        <f>IF(D3134="","",IF(H3134="NO APORTA","NO",IF(H3134=MAX($H3130:$H3135),"SI","NO")))</f>
        <v>#N/A</v>
      </c>
      <c r="J3134" s="213" t="e">
        <f t="shared" si="921"/>
        <v>#N/A</v>
      </c>
      <c r="K3134" s="200" t="e">
        <f t="shared" si="922"/>
        <v>#N/A</v>
      </c>
      <c r="L3134" s="721"/>
      <c r="M3134" s="715" t="s">
        <v>116</v>
      </c>
      <c r="N3134" s="716"/>
      <c r="O3134" s="556" t="str">
        <f>PORCREQUERIDO*100&amp;"% PMFO DEL MÓDULO"</f>
        <v>50% PMFO DEL MÓDULO</v>
      </c>
      <c r="P3134" s="715" t="s">
        <v>118</v>
      </c>
      <c r="Q3134" s="728"/>
      <c r="R3134" s="458"/>
      <c r="S3134" s="459"/>
      <c r="T3134" s="460"/>
      <c r="U3134" s="219"/>
      <c r="V3134" s="464"/>
      <c r="Y3134" s="414"/>
      <c r="AA3134" s="540" t="e">
        <f>IF(AND(C3133&lt;=F3128,F3128&lt;&gt;""),VLOOKUP(VALUE(E3109&amp;","&amp;C3133),INTEGRANTES!$D$18:$F$235,2,0),"")</f>
        <v>#N/A</v>
      </c>
      <c r="AB3134" s="545" t="e">
        <f t="shared" si="923"/>
        <v>#N/A</v>
      </c>
      <c r="AC3134" s="529"/>
      <c r="AD3134" s="200" t="e">
        <f t="shared" si="924"/>
        <v>#N/A</v>
      </c>
      <c r="AE3134" s="52"/>
      <c r="AF3134" s="52"/>
      <c r="AG3134" s="52"/>
      <c r="AH3134" s="87"/>
      <c r="AI3134" s="87"/>
    </row>
    <row r="3135" spans="1:35" ht="16.5" hidden="1" thickBot="1">
      <c r="A3135" s="218" t="e">
        <f>"S"&amp;E3109</f>
        <v>#N/A</v>
      </c>
      <c r="B3135" s="702"/>
      <c r="C3135" s="215">
        <v>6</v>
      </c>
      <c r="D3135" s="216" t="e">
        <f>IF(AND(C3135&lt;=F3128,F3128&lt;&gt;""),VLOOKUP(VALUE(E3109&amp;","&amp;C3135),INTEGRANTES!$D$18:$F$235,2,0),"")</f>
        <v>#N/A</v>
      </c>
      <c r="E3135" s="217" t="e">
        <f>IF(D3135&lt;&gt;"",VLOOKUP(VALUE(E3109&amp;","&amp;C3135),INTEGRANTES!$D$18:$F$235,3,0),"")</f>
        <v>#N/A</v>
      </c>
      <c r="F3135" s="548" t="e">
        <f>IF(D3135="","",SUMIF($I3113:$I3122,D3135,$P3113:$P3122))</f>
        <v>#N/A</v>
      </c>
      <c r="G3135" s="334" t="e">
        <f>IF(D3135="","",SUMIF($I3113:$I3122,D3135,$M3113:$M3122))</f>
        <v>#N/A</v>
      </c>
      <c r="H3135" s="536" t="e">
        <f t="shared" si="920"/>
        <v>#N/A</v>
      </c>
      <c r="I3135" s="214" t="e">
        <f>IF(D3135="","",IF(H3135="NO APORTA","NO",IF(H3135=MAX($H3130:$H3135),"SI","NO")))</f>
        <v>#N/A</v>
      </c>
      <c r="J3135" s="213" t="e">
        <f t="shared" si="921"/>
        <v>#N/A</v>
      </c>
      <c r="K3135" s="200" t="e">
        <f t="shared" si="922"/>
        <v>#N/A</v>
      </c>
      <c r="L3135" s="721"/>
      <c r="M3135" s="729">
        <f>NUMMOD</f>
        <v>1</v>
      </c>
      <c r="N3135" s="730"/>
      <c r="O3135" s="443">
        <f>IF(M3135="","",ROUND(VLOOKUP(M3135,PRESUPUESTOS!$B$16:$H$16,7,FALSE),3))</f>
        <v>25.780999999999999</v>
      </c>
      <c r="P3135" s="713">
        <f>IF(OR(COUNTIF(P3113:P3122,"")&gt;=10,Q3129&lt;NUMMINCONT,OR(T3127="NO CUMPLE",T3127="VERIFICAR")),0,ROUND((SUM(P3113:P3122)/SUM(M3113:M3122)),3))</f>
        <v>0</v>
      </c>
      <c r="Q3135" s="714"/>
      <c r="R3135" s="458"/>
      <c r="S3135" s="459"/>
      <c r="T3135" s="460"/>
      <c r="U3135" s="219"/>
      <c r="V3135" s="464"/>
      <c r="Y3135" s="532" t="s">
        <v>343</v>
      </c>
      <c r="AA3135" s="540" t="e">
        <f>IF(AND(C3134&lt;=F3128,F3128&lt;&gt;""),VLOOKUP(VALUE(E3109&amp;","&amp;C3134),INTEGRANTES!$D$18:$F$235,2,0),"")</f>
        <v>#N/A</v>
      </c>
      <c r="AB3135" s="545" t="e">
        <f t="shared" si="923"/>
        <v>#N/A</v>
      </c>
      <c r="AC3135" s="529"/>
      <c r="AD3135" s="200" t="e">
        <f t="shared" si="924"/>
        <v>#N/A</v>
      </c>
      <c r="AE3135" s="52"/>
      <c r="AF3135" s="52"/>
      <c r="AG3135" s="52"/>
      <c r="AH3135" s="87"/>
      <c r="AI3135" s="87"/>
    </row>
    <row r="3136" spans="1:35" ht="16.5" hidden="1" customHeight="1" thickBot="1">
      <c r="A3136" s="218" t="e">
        <f>"T"&amp;E3109</f>
        <v>#N/A</v>
      </c>
      <c r="B3136" s="703"/>
      <c r="C3136" s="719"/>
      <c r="D3136" s="719"/>
      <c r="E3136" s="719"/>
      <c r="F3136" s="719"/>
      <c r="G3136" s="719"/>
      <c r="H3136" s="719" t="s">
        <v>110</v>
      </c>
      <c r="I3136" s="719"/>
      <c r="J3136" s="719"/>
      <c r="K3136" s="201" t="str">
        <f>IF(COUNTIF(K3130:K3135,"")=6,"",IF(COUNTIF(K3130:K3135,"CUMPLE")&gt;0,"CUMPLE","NO CUMPLE"))</f>
        <v>NO CUMPLE</v>
      </c>
      <c r="L3136" s="754"/>
      <c r="M3136" s="755"/>
      <c r="N3136" s="755"/>
      <c r="O3136" s="755"/>
      <c r="P3136" s="755"/>
      <c r="Q3136" s="756"/>
      <c r="R3136" s="461"/>
      <c r="S3136" s="462"/>
      <c r="T3136" s="463"/>
      <c r="U3136" s="219"/>
      <c r="V3136" s="464"/>
      <c r="Y3136" s="549" t="e">
        <f>IF(Y3130="NO APLICA","NO APLICA",IF(COUNTIF(AD3131:AD3136,"CUMPLE")&gt;0,"CUMPLE","NO CUMPLE"))</f>
        <v>#N/A</v>
      </c>
      <c r="AA3136" s="541" t="e">
        <f>IF(AND(C3135&lt;=F3128,F3128&lt;&gt;""),VLOOKUP(VALUE(E3109&amp;","&amp;C3135),INTEGRANTES!$D$18:$F$235,2,0),"")</f>
        <v>#N/A</v>
      </c>
      <c r="AB3136" s="546" t="e">
        <f t="shared" si="923"/>
        <v>#N/A</v>
      </c>
      <c r="AC3136" s="543"/>
      <c r="AD3136" s="201" t="e">
        <f t="shared" si="924"/>
        <v>#N/A</v>
      </c>
      <c r="AE3136" s="52"/>
      <c r="AF3136" s="52"/>
      <c r="AG3136" s="52"/>
      <c r="AH3136" s="87"/>
      <c r="AI3136" s="87"/>
    </row>
    <row r="3137" spans="1:35" hidden="1">
      <c r="AH3137" s="87"/>
      <c r="AI3137" s="87"/>
    </row>
    <row r="3138" spans="1:35" hidden="1">
      <c r="AH3138" s="87"/>
      <c r="AI3138" s="87"/>
    </row>
    <row r="3139" spans="1:35" ht="24" hidden="1" thickBot="1">
      <c r="A3139" s="61">
        <v>105</v>
      </c>
      <c r="B3139" s="704" t="s">
        <v>51</v>
      </c>
      <c r="C3139" s="704"/>
      <c r="D3139" s="704"/>
      <c r="E3139" s="62" t="e">
        <f>VLOOKUP(A3139,PROPONENTES!$B$19:$E$218,2,FALSE)</f>
        <v>#N/A</v>
      </c>
      <c r="F3139" s="63" t="e">
        <f>VLOOKUP(A3139,PROPONENTES!$B$19:$E$218,3,FALSE)</f>
        <v>#N/A</v>
      </c>
      <c r="G3139" s="64"/>
      <c r="H3139" s="64"/>
      <c r="I3139" s="63"/>
      <c r="J3139" s="63"/>
      <c r="K3139" s="65"/>
      <c r="L3139" s="65"/>
      <c r="M3139" s="64"/>
      <c r="N3139" s="64"/>
      <c r="O3139" s="66"/>
      <c r="P3139" s="66"/>
      <c r="Q3139" s="66"/>
      <c r="R3139" s="66"/>
      <c r="S3139" s="67"/>
      <c r="T3139" s="68"/>
      <c r="U3139" s="68"/>
      <c r="AC3139" s="68"/>
      <c r="AD3139" s="68"/>
      <c r="AE3139" s="68"/>
      <c r="AF3139" s="68"/>
      <c r="AG3139" s="68"/>
      <c r="AH3139" s="87"/>
      <c r="AI3139" s="87"/>
    </row>
    <row r="3140" spans="1:35" ht="15.75" hidden="1" customHeight="1">
      <c r="A3140" s="44"/>
      <c r="B3140" s="709" t="s">
        <v>59</v>
      </c>
      <c r="C3140" s="552" t="s">
        <v>60</v>
      </c>
      <c r="D3140" s="70" t="s">
        <v>17</v>
      </c>
      <c r="E3140" s="70"/>
      <c r="F3140" s="70" t="s">
        <v>61</v>
      </c>
      <c r="G3140" s="71"/>
      <c r="H3140" s="699" t="s">
        <v>62</v>
      </c>
      <c r="I3140" s="699" t="s">
        <v>18</v>
      </c>
      <c r="J3140" s="699" t="s">
        <v>63</v>
      </c>
      <c r="K3140" s="699" t="s">
        <v>64</v>
      </c>
      <c r="L3140" s="699" t="s">
        <v>65</v>
      </c>
      <c r="M3140" s="743" t="s">
        <v>66</v>
      </c>
      <c r="N3140" s="699" t="s">
        <v>282</v>
      </c>
      <c r="O3140" s="745" t="s">
        <v>67</v>
      </c>
      <c r="P3140" s="746"/>
      <c r="Q3140" s="102" t="s">
        <v>75</v>
      </c>
      <c r="R3140" s="731" t="s">
        <v>22</v>
      </c>
      <c r="S3140" s="732"/>
      <c r="T3140" s="733"/>
      <c r="U3140" s="712" t="s">
        <v>298</v>
      </c>
      <c r="W3140" s="690" t="s">
        <v>268</v>
      </c>
      <c r="X3140" s="691"/>
      <c r="Y3140" s="692"/>
      <c r="Z3140" s="428"/>
      <c r="AA3140" s="697" t="s">
        <v>315</v>
      </c>
      <c r="AB3140" s="695" t="s">
        <v>322</v>
      </c>
      <c r="AC3140" s="49"/>
      <c r="AD3140" s="690" t="s">
        <v>297</v>
      </c>
      <c r="AE3140" s="691"/>
      <c r="AF3140" s="692"/>
      <c r="AG3140" s="49"/>
      <c r="AH3140" s="87"/>
      <c r="AI3140" s="87"/>
    </row>
    <row r="3141" spans="1:35" ht="72" hidden="1">
      <c r="A3141" s="44"/>
      <c r="B3141" s="710"/>
      <c r="C3141" s="553" t="s">
        <v>68</v>
      </c>
      <c r="D3141" s="73" t="s">
        <v>3</v>
      </c>
      <c r="E3141" s="73" t="s">
        <v>19</v>
      </c>
      <c r="F3141" s="73" t="s">
        <v>69</v>
      </c>
      <c r="G3141" s="74" t="s">
        <v>70</v>
      </c>
      <c r="H3141" s="700"/>
      <c r="I3141" s="700"/>
      <c r="J3141" s="700"/>
      <c r="K3141" s="700"/>
      <c r="L3141" s="700"/>
      <c r="M3141" s="744"/>
      <c r="N3141" s="700"/>
      <c r="O3141" s="553" t="s">
        <v>279</v>
      </c>
      <c r="P3141" s="73" t="s">
        <v>88</v>
      </c>
      <c r="Q3141" s="555" t="s">
        <v>76</v>
      </c>
      <c r="R3141" s="734"/>
      <c r="S3141" s="735"/>
      <c r="T3141" s="736"/>
      <c r="U3141" s="712"/>
      <c r="W3141" s="429" t="s">
        <v>269</v>
      </c>
      <c r="X3141" s="457" t="s">
        <v>278</v>
      </c>
      <c r="Y3141" s="430" t="s">
        <v>324</v>
      </c>
      <c r="Z3141" s="428"/>
      <c r="AA3141" s="698"/>
      <c r="AB3141" s="696"/>
      <c r="AC3141" s="49"/>
      <c r="AD3141" s="429" t="s">
        <v>292</v>
      </c>
      <c r="AE3141" s="431" t="s">
        <v>300</v>
      </c>
      <c r="AF3141" s="468" t="s">
        <v>301</v>
      </c>
      <c r="AG3141" s="49"/>
      <c r="AH3141" s="87"/>
      <c r="AI3141" s="87"/>
    </row>
    <row r="3142" spans="1:35" hidden="1">
      <c r="A3142" s="44"/>
      <c r="B3142" s="76"/>
      <c r="C3142" s="77"/>
      <c r="D3142" s="77"/>
      <c r="E3142" s="77"/>
      <c r="F3142" s="77"/>
      <c r="G3142" s="77"/>
      <c r="H3142" s="77"/>
      <c r="I3142" s="77"/>
      <c r="J3142" s="77"/>
      <c r="K3142" s="77"/>
      <c r="L3142" s="77"/>
      <c r="M3142" s="77"/>
      <c r="N3142" s="77"/>
      <c r="O3142" s="77"/>
      <c r="P3142" s="77"/>
      <c r="Q3142" s="77"/>
      <c r="R3142" s="77"/>
      <c r="S3142" s="78"/>
      <c r="T3142" s="79"/>
      <c r="U3142" s="109"/>
      <c r="V3142" s="49"/>
      <c r="W3142" s="432"/>
      <c r="X3142" s="454"/>
      <c r="Y3142" s="433"/>
      <c r="Z3142" s="6"/>
      <c r="AA3142" s="500"/>
      <c r="AB3142" s="562"/>
      <c r="AC3142" s="49"/>
      <c r="AD3142" s="210"/>
      <c r="AE3142" s="434"/>
      <c r="AF3142" s="435"/>
      <c r="AG3142" s="49"/>
      <c r="AH3142" s="87"/>
      <c r="AI3142" s="87"/>
    </row>
    <row r="3143" spans="1:35" hidden="1">
      <c r="A3143" s="80" t="e">
        <f>"A"&amp;E3139</f>
        <v>#N/A</v>
      </c>
      <c r="B3143" s="81">
        <v>1</v>
      </c>
      <c r="C3143" s="82"/>
      <c r="D3143" s="82"/>
      <c r="E3143" s="82"/>
      <c r="F3143" s="82"/>
      <c r="G3143" s="83"/>
      <c r="H3143" s="83"/>
      <c r="I3143" s="84"/>
      <c r="J3143" s="85"/>
      <c r="K3143" s="382"/>
      <c r="L3143" s="85"/>
      <c r="M3143" s="332" t="str">
        <f t="shared" ref="M3143:M3152" si="925">IF(OR(J3143="",L3143="",H3143="NO"),"",IF(OR(J3143&gt;$P$17,J3143&lt;$O$17,L3143&gt;$P$17,AND(J3143&lt;$O$17,L3143&lt;$O$17)),"FUERA DE RANGO",IF(OR(K3143="---",K3143=""),IF(J3143&gt;=$O$17,ROUND((L3143-J3143+1)/360*12,3),ROUND((L3143-$O$17+1)/360*12,3)),IF(J3143&gt;=$O$17,ROUND((L3143-J3143+1)/360*12-ROUND(K3143,3),3),ROUND((L3143-$O$17+1)/360*12-ROUND(K3143,3),3)))))</f>
        <v/>
      </c>
      <c r="N3143" s="86"/>
      <c r="O3143" s="453" t="str">
        <f>IF(OR(G3143="",N3143=""),"",N3143*G3143)</f>
        <v/>
      </c>
      <c r="P3143" s="538" t="str">
        <f>IF(OR(H3143="",M3143="FUERA DE RANGO"),"",IF(OR(L3143&lt;$O$17,L3143&gt;$P$17,L3143="",H3143="NO"),"",IF(OR(N3143="",O3143=""),"",ROUND(O3143,3))))</f>
        <v/>
      </c>
      <c r="Q3143" s="539" t="str">
        <f t="shared" ref="Q3143:Q3152" si="926">IF(AND(H3143="SI",P3143&lt;&gt;""),ROUND(P3143/M3143,3),"")</f>
        <v/>
      </c>
      <c r="R3143" s="737"/>
      <c r="S3143" s="738"/>
      <c r="T3143" s="739"/>
      <c r="U3143" s="470"/>
      <c r="V3143" s="165"/>
      <c r="W3143" s="446"/>
      <c r="X3143" s="456"/>
      <c r="Y3143" s="436"/>
      <c r="Z3143" s="437"/>
      <c r="AA3143" s="560"/>
      <c r="AB3143" s="561"/>
      <c r="AC3143" s="87"/>
      <c r="AD3143" s="466"/>
      <c r="AE3143" s="456"/>
      <c r="AF3143" s="467"/>
      <c r="AG3143" s="87"/>
      <c r="AH3143" s="87"/>
      <c r="AI3143" s="87"/>
    </row>
    <row r="3144" spans="1:35" hidden="1">
      <c r="A3144" s="80" t="e">
        <f>"B"&amp;E3139</f>
        <v>#N/A</v>
      </c>
      <c r="B3144" s="81">
        <v>2</v>
      </c>
      <c r="C3144" s="106"/>
      <c r="D3144" s="106"/>
      <c r="E3144" s="106"/>
      <c r="F3144" s="106"/>
      <c r="G3144" s="83"/>
      <c r="H3144" s="83"/>
      <c r="I3144" s="84"/>
      <c r="J3144" s="85"/>
      <c r="K3144" s="382"/>
      <c r="L3144" s="85"/>
      <c r="M3144" s="332" t="str">
        <f t="shared" si="925"/>
        <v/>
      </c>
      <c r="N3144" s="86"/>
      <c r="O3144" s="453" t="str">
        <f t="shared" ref="O3144:O3152" si="927">IF(OR(G3144="",N3144=""),"",N3144*G3144)</f>
        <v/>
      </c>
      <c r="P3144" s="538" t="str">
        <f t="shared" ref="P3144:P3152" si="928">IF(OR(H3144="",M3144="FUERA DE RANGO"),"",IF(OR(L3144&lt;$O$17,L3144&gt;$P$17,L3144="",H3144="NO"),"",IF(OR(N3144="",O3144=""),"",ROUND(O3144,3))))</f>
        <v/>
      </c>
      <c r="Q3144" s="539" t="str">
        <f t="shared" si="926"/>
        <v/>
      </c>
      <c r="R3144" s="740"/>
      <c r="S3144" s="741"/>
      <c r="T3144" s="742"/>
      <c r="U3144" s="471"/>
      <c r="V3144" s="165"/>
      <c r="W3144" s="446"/>
      <c r="X3144" s="456"/>
      <c r="Y3144" s="436"/>
      <c r="Z3144" s="437"/>
      <c r="AA3144" s="560"/>
      <c r="AB3144" s="561"/>
      <c r="AC3144" s="87"/>
      <c r="AD3144" s="466"/>
      <c r="AE3144" s="456"/>
      <c r="AF3144" s="467"/>
      <c r="AG3144" s="87"/>
      <c r="AH3144" s="87"/>
      <c r="AI3144" s="87"/>
    </row>
    <row r="3145" spans="1:35" hidden="1">
      <c r="A3145" s="80" t="e">
        <f>"C"&amp;E3139</f>
        <v>#N/A</v>
      </c>
      <c r="B3145" s="88">
        <v>3</v>
      </c>
      <c r="C3145" s="82"/>
      <c r="D3145" s="82"/>
      <c r="E3145" s="82"/>
      <c r="F3145" s="82"/>
      <c r="G3145" s="83"/>
      <c r="H3145" s="83"/>
      <c r="I3145" s="84"/>
      <c r="J3145" s="85"/>
      <c r="K3145" s="382"/>
      <c r="L3145" s="85"/>
      <c r="M3145" s="332" t="str">
        <f t="shared" si="925"/>
        <v/>
      </c>
      <c r="N3145" s="86"/>
      <c r="O3145" s="453" t="str">
        <f t="shared" si="927"/>
        <v/>
      </c>
      <c r="P3145" s="538" t="str">
        <f t="shared" si="928"/>
        <v/>
      </c>
      <c r="Q3145" s="539" t="str">
        <f t="shared" si="926"/>
        <v/>
      </c>
      <c r="R3145" s="706"/>
      <c r="S3145" s="707"/>
      <c r="T3145" s="708"/>
      <c r="U3145" s="472"/>
      <c r="V3145" s="166"/>
      <c r="W3145" s="446"/>
      <c r="X3145" s="456"/>
      <c r="Y3145" s="436"/>
      <c r="Z3145" s="437"/>
      <c r="AA3145" s="560"/>
      <c r="AB3145" s="561"/>
      <c r="AC3145" s="87"/>
      <c r="AD3145" s="466"/>
      <c r="AE3145" s="456"/>
      <c r="AF3145" s="467"/>
      <c r="AG3145" s="87"/>
      <c r="AH3145" s="87"/>
      <c r="AI3145" s="87"/>
    </row>
    <row r="3146" spans="1:35" hidden="1">
      <c r="A3146" s="80" t="e">
        <f>"D"&amp;E3139</f>
        <v>#N/A</v>
      </c>
      <c r="B3146" s="105">
        <v>4</v>
      </c>
      <c r="C3146" s="107"/>
      <c r="D3146" s="107"/>
      <c r="E3146" s="107"/>
      <c r="F3146" s="107"/>
      <c r="G3146" s="83"/>
      <c r="H3146" s="83"/>
      <c r="I3146" s="84"/>
      <c r="J3146" s="85"/>
      <c r="K3146" s="382"/>
      <c r="L3146" s="85"/>
      <c r="M3146" s="332" t="str">
        <f t="shared" si="925"/>
        <v/>
      </c>
      <c r="N3146" s="86"/>
      <c r="O3146" s="453" t="str">
        <f t="shared" si="927"/>
        <v/>
      </c>
      <c r="P3146" s="538" t="str">
        <f t="shared" si="928"/>
        <v/>
      </c>
      <c r="Q3146" s="539" t="str">
        <f t="shared" si="926"/>
        <v/>
      </c>
      <c r="R3146" s="706"/>
      <c r="S3146" s="707"/>
      <c r="T3146" s="708"/>
      <c r="U3146" s="472"/>
      <c r="V3146" s="166"/>
      <c r="W3146" s="446"/>
      <c r="X3146" s="456"/>
      <c r="Y3146" s="436"/>
      <c r="Z3146" s="437"/>
      <c r="AA3146" s="560"/>
      <c r="AB3146" s="561"/>
      <c r="AC3146" s="87"/>
      <c r="AD3146" s="466"/>
      <c r="AE3146" s="456"/>
      <c r="AF3146" s="467"/>
      <c r="AG3146" s="87"/>
      <c r="AH3146" s="87"/>
      <c r="AI3146" s="87"/>
    </row>
    <row r="3147" spans="1:35" hidden="1">
      <c r="A3147" s="80" t="e">
        <f>"E"&amp;E3139</f>
        <v>#N/A</v>
      </c>
      <c r="B3147" s="105">
        <v>5</v>
      </c>
      <c r="C3147" s="107"/>
      <c r="D3147" s="107"/>
      <c r="E3147" s="107"/>
      <c r="F3147" s="107"/>
      <c r="G3147" s="83"/>
      <c r="H3147" s="83"/>
      <c r="I3147" s="84"/>
      <c r="J3147" s="85"/>
      <c r="K3147" s="382"/>
      <c r="L3147" s="85"/>
      <c r="M3147" s="332" t="str">
        <f t="shared" si="925"/>
        <v/>
      </c>
      <c r="N3147" s="86"/>
      <c r="O3147" s="453" t="str">
        <f t="shared" si="927"/>
        <v/>
      </c>
      <c r="P3147" s="538" t="str">
        <f t="shared" si="928"/>
        <v/>
      </c>
      <c r="Q3147" s="539" t="str">
        <f t="shared" si="926"/>
        <v/>
      </c>
      <c r="R3147" s="706"/>
      <c r="S3147" s="707"/>
      <c r="T3147" s="708"/>
      <c r="U3147" s="472"/>
      <c r="V3147" s="167"/>
      <c r="W3147" s="446"/>
      <c r="X3147" s="456"/>
      <c r="Y3147" s="436"/>
      <c r="Z3147" s="437"/>
      <c r="AA3147" s="560"/>
      <c r="AB3147" s="561"/>
      <c r="AC3147" s="87"/>
      <c r="AD3147" s="466"/>
      <c r="AE3147" s="456"/>
      <c r="AF3147" s="467"/>
      <c r="AG3147" s="87"/>
      <c r="AH3147" s="87"/>
      <c r="AI3147" s="87"/>
    </row>
    <row r="3148" spans="1:35" hidden="1">
      <c r="A3148" s="80" t="e">
        <f>"F"&amp;E3139</f>
        <v>#N/A</v>
      </c>
      <c r="B3148" s="105">
        <v>6</v>
      </c>
      <c r="C3148" s="107"/>
      <c r="D3148" s="107"/>
      <c r="E3148" s="107"/>
      <c r="F3148" s="107"/>
      <c r="G3148" s="83"/>
      <c r="H3148" s="83"/>
      <c r="I3148" s="84"/>
      <c r="J3148" s="85"/>
      <c r="K3148" s="382"/>
      <c r="L3148" s="85"/>
      <c r="M3148" s="332" t="str">
        <f t="shared" si="925"/>
        <v/>
      </c>
      <c r="N3148" s="86"/>
      <c r="O3148" s="453" t="str">
        <f t="shared" si="927"/>
        <v/>
      </c>
      <c r="P3148" s="538" t="str">
        <f t="shared" si="928"/>
        <v/>
      </c>
      <c r="Q3148" s="539" t="str">
        <f t="shared" si="926"/>
        <v/>
      </c>
      <c r="R3148" s="706"/>
      <c r="S3148" s="707"/>
      <c r="T3148" s="708"/>
      <c r="U3148" s="472"/>
      <c r="V3148" s="167"/>
      <c r="W3148" s="446"/>
      <c r="X3148" s="456"/>
      <c r="Y3148" s="436"/>
      <c r="Z3148" s="437"/>
      <c r="AA3148" s="560"/>
      <c r="AB3148" s="561"/>
      <c r="AC3148" s="87"/>
      <c r="AD3148" s="466"/>
      <c r="AE3148" s="456"/>
      <c r="AF3148" s="467"/>
      <c r="AG3148" s="87"/>
      <c r="AH3148" s="87"/>
      <c r="AI3148" s="87"/>
    </row>
    <row r="3149" spans="1:35" hidden="1">
      <c r="A3149" s="80" t="e">
        <f>"G"&amp;E3139</f>
        <v>#N/A</v>
      </c>
      <c r="B3149" s="105">
        <v>7</v>
      </c>
      <c r="C3149" s="107"/>
      <c r="D3149" s="107"/>
      <c r="E3149" s="107"/>
      <c r="F3149" s="107"/>
      <c r="G3149" s="83"/>
      <c r="H3149" s="83"/>
      <c r="I3149" s="84"/>
      <c r="J3149" s="85"/>
      <c r="K3149" s="382"/>
      <c r="L3149" s="85"/>
      <c r="M3149" s="332" t="str">
        <f t="shared" si="925"/>
        <v/>
      </c>
      <c r="N3149" s="86"/>
      <c r="O3149" s="86" t="str">
        <f t="shared" si="927"/>
        <v/>
      </c>
      <c r="P3149" s="538" t="str">
        <f t="shared" si="928"/>
        <v/>
      </c>
      <c r="Q3149" s="539" t="str">
        <f t="shared" si="926"/>
        <v/>
      </c>
      <c r="R3149" s="706"/>
      <c r="S3149" s="707"/>
      <c r="T3149" s="708"/>
      <c r="U3149" s="472"/>
      <c r="V3149" s="167"/>
      <c r="W3149" s="446"/>
      <c r="X3149" s="456"/>
      <c r="Y3149" s="436"/>
      <c r="Z3149" s="437"/>
      <c r="AA3149" s="560"/>
      <c r="AB3149" s="561"/>
      <c r="AC3149" s="87"/>
      <c r="AD3149" s="466"/>
      <c r="AE3149" s="456"/>
      <c r="AF3149" s="467"/>
      <c r="AG3149" s="87"/>
      <c r="AH3149" s="87"/>
      <c r="AI3149" s="87"/>
    </row>
    <row r="3150" spans="1:35" hidden="1">
      <c r="A3150" s="80" t="e">
        <f>"H"&amp;E3139</f>
        <v>#N/A</v>
      </c>
      <c r="B3150" s="105">
        <v>8</v>
      </c>
      <c r="C3150" s="107"/>
      <c r="D3150" s="107"/>
      <c r="E3150" s="107"/>
      <c r="F3150" s="107"/>
      <c r="G3150" s="83"/>
      <c r="H3150" s="83"/>
      <c r="I3150" s="84"/>
      <c r="J3150" s="85"/>
      <c r="K3150" s="382"/>
      <c r="L3150" s="85"/>
      <c r="M3150" s="332" t="str">
        <f t="shared" si="925"/>
        <v/>
      </c>
      <c r="N3150" s="453"/>
      <c r="O3150" s="86" t="str">
        <f t="shared" si="927"/>
        <v/>
      </c>
      <c r="P3150" s="538" t="str">
        <f t="shared" si="928"/>
        <v/>
      </c>
      <c r="Q3150" s="539" t="str">
        <f t="shared" si="926"/>
        <v/>
      </c>
      <c r="R3150" s="706"/>
      <c r="S3150" s="707"/>
      <c r="T3150" s="708"/>
      <c r="U3150" s="472"/>
      <c r="V3150" s="167"/>
      <c r="W3150" s="446"/>
      <c r="X3150" s="456"/>
      <c r="Y3150" s="436"/>
      <c r="Z3150" s="437"/>
      <c r="AA3150" s="560"/>
      <c r="AB3150" s="561"/>
      <c r="AC3150" s="87"/>
      <c r="AD3150" s="466"/>
      <c r="AE3150" s="456"/>
      <c r="AF3150" s="467"/>
      <c r="AG3150" s="87"/>
      <c r="AH3150" s="87"/>
      <c r="AI3150" s="87"/>
    </row>
    <row r="3151" spans="1:35" hidden="1">
      <c r="A3151" s="80" t="e">
        <f>"I"&amp;E3139</f>
        <v>#N/A</v>
      </c>
      <c r="B3151" s="105">
        <v>9</v>
      </c>
      <c r="C3151" s="107"/>
      <c r="D3151" s="107"/>
      <c r="E3151" s="107"/>
      <c r="F3151" s="107"/>
      <c r="G3151" s="83"/>
      <c r="H3151" s="83"/>
      <c r="I3151" s="84"/>
      <c r="J3151" s="85"/>
      <c r="K3151" s="382"/>
      <c r="L3151" s="85"/>
      <c r="M3151" s="332" t="str">
        <f t="shared" si="925"/>
        <v/>
      </c>
      <c r="N3151" s="453"/>
      <c r="O3151" s="86" t="str">
        <f t="shared" si="927"/>
        <v/>
      </c>
      <c r="P3151" s="538" t="str">
        <f t="shared" si="928"/>
        <v/>
      </c>
      <c r="Q3151" s="539" t="str">
        <f t="shared" si="926"/>
        <v/>
      </c>
      <c r="R3151" s="706"/>
      <c r="S3151" s="707"/>
      <c r="T3151" s="708"/>
      <c r="U3151" s="472"/>
      <c r="V3151" s="167"/>
      <c r="W3151" s="446"/>
      <c r="X3151" s="456"/>
      <c r="Y3151" s="436"/>
      <c r="Z3151" s="437"/>
      <c r="AA3151" s="560"/>
      <c r="AB3151" s="561"/>
      <c r="AC3151" s="87"/>
      <c r="AD3151" s="466"/>
      <c r="AE3151" s="456"/>
      <c r="AF3151" s="467"/>
      <c r="AG3151" s="87"/>
      <c r="AH3151" s="87"/>
      <c r="AI3151" s="87"/>
    </row>
    <row r="3152" spans="1:35" hidden="1">
      <c r="A3152" s="80" t="e">
        <f>"J"&amp;E3139</f>
        <v>#N/A</v>
      </c>
      <c r="B3152" s="105">
        <v>10</v>
      </c>
      <c r="C3152" s="107"/>
      <c r="D3152" s="107"/>
      <c r="E3152" s="107"/>
      <c r="F3152" s="107"/>
      <c r="G3152" s="83"/>
      <c r="H3152" s="83"/>
      <c r="I3152" s="84"/>
      <c r="J3152" s="85"/>
      <c r="K3152" s="382"/>
      <c r="L3152" s="85"/>
      <c r="M3152" s="332" t="str">
        <f t="shared" si="925"/>
        <v/>
      </c>
      <c r="N3152" s="453"/>
      <c r="O3152" s="86" t="str">
        <f t="shared" si="927"/>
        <v/>
      </c>
      <c r="P3152" s="538" t="str">
        <f t="shared" si="928"/>
        <v/>
      </c>
      <c r="Q3152" s="539" t="str">
        <f t="shared" si="926"/>
        <v/>
      </c>
      <c r="R3152" s="706"/>
      <c r="S3152" s="707"/>
      <c r="T3152" s="708"/>
      <c r="U3152" s="472"/>
      <c r="V3152" s="167"/>
      <c r="W3152" s="446"/>
      <c r="X3152" s="456"/>
      <c r="Y3152" s="436"/>
      <c r="Z3152" s="437"/>
      <c r="AA3152" s="560"/>
      <c r="AB3152" s="561"/>
      <c r="AC3152" s="87"/>
      <c r="AD3152" s="466"/>
      <c r="AE3152" s="456"/>
      <c r="AF3152" s="467"/>
      <c r="AG3152" s="87"/>
      <c r="AH3152" s="87"/>
      <c r="AI3152" s="87"/>
    </row>
    <row r="3153" spans="1:35" ht="16.5" hidden="1" thickBot="1">
      <c r="A3153" s="44"/>
      <c r="B3153" s="89"/>
      <c r="C3153" s="90"/>
      <c r="D3153" s="90"/>
      <c r="E3153" s="90"/>
      <c r="F3153" s="90"/>
      <c r="G3153" s="90"/>
      <c r="H3153" s="90"/>
      <c r="I3153" s="90"/>
      <c r="J3153" s="90"/>
      <c r="K3153" s="90"/>
      <c r="L3153" s="90"/>
      <c r="M3153" s="90"/>
      <c r="N3153" s="90"/>
      <c r="O3153" s="90"/>
      <c r="P3153" s="90"/>
      <c r="Q3153" s="90"/>
      <c r="R3153" s="90"/>
      <c r="S3153" s="91"/>
      <c r="T3153" s="92"/>
      <c r="U3153" s="473"/>
      <c r="W3153" s="438"/>
      <c r="X3153" s="455"/>
      <c r="Y3153" s="439"/>
      <c r="Z3153" s="437"/>
      <c r="AA3153" s="530"/>
      <c r="AB3153" s="563"/>
      <c r="AC3153" s="87"/>
      <c r="AD3153" s="440"/>
      <c r="AE3153" s="441"/>
      <c r="AF3153" s="442"/>
      <c r="AG3153" s="49"/>
      <c r="AH3153" s="87"/>
      <c r="AI3153" s="87"/>
    </row>
    <row r="3154" spans="1:35" ht="16.5" hidden="1" thickBot="1">
      <c r="A3154" s="93"/>
      <c r="B3154" s="94"/>
      <c r="C3154" s="96"/>
      <c r="D3154" s="96"/>
      <c r="E3154" s="96"/>
      <c r="F3154" s="96"/>
      <c r="G3154" s="96"/>
      <c r="H3154" s="96"/>
      <c r="I3154" s="96"/>
      <c r="J3154" s="96"/>
      <c r="K3154" s="96"/>
      <c r="L3154" s="96"/>
      <c r="M3154" s="136"/>
      <c r="N3154" s="96"/>
      <c r="O3154" s="96"/>
      <c r="P3154" s="97"/>
      <c r="Q3154" s="97"/>
      <c r="R3154" s="98"/>
      <c r="S3154" s="95"/>
      <c r="T3154" s="99"/>
      <c r="U3154" s="469"/>
      <c r="AC3154" s="58"/>
      <c r="AG3154" s="58"/>
      <c r="AH3154" s="87"/>
      <c r="AI3154" s="87"/>
    </row>
    <row r="3155" spans="1:35" ht="16.5" hidden="1" thickBot="1">
      <c r="B3155" s="101"/>
      <c r="C3155" s="101"/>
      <c r="D3155" s="101"/>
      <c r="E3155" s="101"/>
      <c r="F3155" s="101"/>
      <c r="G3155" s="101"/>
      <c r="H3155" s="101"/>
      <c r="I3155" s="101"/>
      <c r="J3155" s="101"/>
      <c r="K3155" s="101"/>
      <c r="L3155" s="101"/>
      <c r="M3155" s="101"/>
      <c r="N3155" s="101"/>
      <c r="O3155" s="101"/>
      <c r="P3155" s="101"/>
      <c r="Q3155" s="101"/>
      <c r="R3155" s="101"/>
      <c r="S3155" s="101"/>
      <c r="U3155" s="50"/>
      <c r="AH3155" s="87"/>
      <c r="AI3155" s="87"/>
    </row>
    <row r="3156" spans="1:35" ht="16.5" hidden="1" customHeight="1" thickBot="1">
      <c r="A3156" s="44"/>
      <c r="B3156" s="705" t="s">
        <v>74</v>
      </c>
      <c r="C3156" s="705"/>
      <c r="D3156" s="705"/>
      <c r="E3156" s="705"/>
      <c r="F3156" s="705"/>
      <c r="G3156" s="705"/>
      <c r="H3156" s="705"/>
      <c r="I3156" s="705"/>
      <c r="J3156" s="705"/>
      <c r="K3156" s="705"/>
      <c r="L3156" s="705"/>
      <c r="M3156" s="705"/>
      <c r="N3156" s="705"/>
      <c r="O3156" s="705"/>
      <c r="P3156" s="705"/>
      <c r="Q3156" s="705"/>
      <c r="R3156" s="705"/>
      <c r="S3156" s="705"/>
      <c r="T3156" s="705"/>
      <c r="U3156" s="108"/>
      <c r="Y3156" s="532" t="s">
        <v>341</v>
      </c>
      <c r="AC3156" s="49"/>
      <c r="AD3156" s="687" t="s">
        <v>302</v>
      </c>
      <c r="AE3156" s="688"/>
      <c r="AF3156" s="689"/>
      <c r="AG3156" s="49"/>
      <c r="AH3156" s="87"/>
      <c r="AI3156" s="87"/>
    </row>
    <row r="3157" spans="1:35" ht="16.5" hidden="1" customHeight="1" thickBot="1">
      <c r="A3157" s="218" t="e">
        <f>"K"&amp;E3139</f>
        <v>#N/A</v>
      </c>
      <c r="B3157" s="701" t="s">
        <v>71</v>
      </c>
      <c r="C3157" s="751" t="s">
        <v>102</v>
      </c>
      <c r="D3157" s="751"/>
      <c r="E3157" s="751"/>
      <c r="F3157" s="751"/>
      <c r="G3157" s="751"/>
      <c r="H3157" s="751"/>
      <c r="I3157" s="751"/>
      <c r="J3157" s="751"/>
      <c r="K3157" s="751"/>
      <c r="L3157" s="722" t="s">
        <v>100</v>
      </c>
      <c r="M3157" s="747" t="s">
        <v>114</v>
      </c>
      <c r="N3157" s="747"/>
      <c r="O3157" s="747"/>
      <c r="P3157" s="747"/>
      <c r="Q3157" s="748"/>
      <c r="R3157" s="758" t="s">
        <v>280</v>
      </c>
      <c r="S3157" s="748"/>
      <c r="T3157" s="762" t="str">
        <f>IF(COUNTIF(AE3157:AF3157,"VERIFICAR")&gt;0,"VERIFICAR",IF(COUNTIF(AE3157:AF3157,"NO CUMPLE")&gt;0,"NO CUMPLE","CUMPLE"))</f>
        <v>VERIFICAR</v>
      </c>
      <c r="U3157" s="108"/>
      <c r="Y3157" s="533" t="e">
        <f>IF(F3158="","",IF(F3158=1,"INDIVIDUAL","ESTRUCTURA PLURAL"))</f>
        <v>#N/A</v>
      </c>
      <c r="AC3157" s="52"/>
      <c r="AD3157" s="475" t="s">
        <v>303</v>
      </c>
      <c r="AE3157" s="476" t="str">
        <f>IF(COUNTIF(AE3143:AE3152,"")=10,"VERIFICAR",IF(COUNTIF(AE3143:AE3152,"SI")&gt;0,"CUMPLE","NO CUMPLE"))</f>
        <v>VERIFICAR</v>
      </c>
      <c r="AF3157" s="477" t="str">
        <f>IF(COUNTIF(AF3143:AF3152,"")=10,"VERIFICAR",IF(COUNTIF(AF3143:AF3152,"SI")&gt;=$AI$22,"CUMPLE","NO CUMPLE"))</f>
        <v>VERIFICAR</v>
      </c>
      <c r="AG3157" s="52"/>
      <c r="AH3157" s="87"/>
      <c r="AI3157" s="87"/>
    </row>
    <row r="3158" spans="1:35" ht="15.75" hidden="1" customHeight="1" thickBot="1">
      <c r="A3158" s="218" t="e">
        <f>"L"&amp;E3139</f>
        <v>#N/A</v>
      </c>
      <c r="B3158" s="702"/>
      <c r="C3158" s="751" t="s">
        <v>103</v>
      </c>
      <c r="D3158" s="751"/>
      <c r="E3158" s="752"/>
      <c r="F3158" s="557" t="e">
        <f>IF(VLOOKUP(E3139,PROPONENTES!$C$19:$E$218,3,0)="","",VLOOKUP(E3139,PROPONENTES!$C$19:$E$218,3,0))</f>
        <v>#N/A</v>
      </c>
      <c r="G3158" s="753" t="s">
        <v>104</v>
      </c>
      <c r="H3158" s="751"/>
      <c r="I3158" s="715" t="e">
        <f>IF(OR(F3158="",F3158=1),"INTERESADO PERSONA NATURAL O JURIDICA","CONSORCIO O UNION TEMPORAL")</f>
        <v>#N/A</v>
      </c>
      <c r="J3158" s="725"/>
      <c r="K3158" s="728"/>
      <c r="L3158" s="723"/>
      <c r="M3158" s="749"/>
      <c r="N3158" s="749"/>
      <c r="O3158" s="749"/>
      <c r="P3158" s="749"/>
      <c r="Q3158" s="750"/>
      <c r="R3158" s="712"/>
      <c r="S3158" s="750"/>
      <c r="T3158" s="763"/>
      <c r="U3158" s="108"/>
      <c r="Y3158" s="534"/>
      <c r="AA3158" s="52"/>
      <c r="AB3158" s="52"/>
      <c r="AC3158" s="52"/>
      <c r="AG3158" s="52"/>
      <c r="AH3158" s="87"/>
      <c r="AI3158" s="87"/>
    </row>
    <row r="3159" spans="1:35" ht="56.25" hidden="1" customHeight="1" thickBot="1">
      <c r="A3159" s="218" t="e">
        <f>"M"&amp;E3139</f>
        <v>#N/A</v>
      </c>
      <c r="B3159" s="702"/>
      <c r="C3159" s="725" t="s">
        <v>101</v>
      </c>
      <c r="D3159" s="716"/>
      <c r="E3159" s="558" t="s">
        <v>105</v>
      </c>
      <c r="F3159" s="554" t="s">
        <v>87</v>
      </c>
      <c r="G3159" s="553" t="s">
        <v>86</v>
      </c>
      <c r="H3159" s="559" t="s">
        <v>85</v>
      </c>
      <c r="I3159" s="554" t="s">
        <v>252</v>
      </c>
      <c r="J3159" s="553" t="str">
        <f>"¿EL INTEGRANTE TIENE UNA PARTICIPACIÓN DEL "&amp;PORCREQUERIDOINT*100&amp;"%?"</f>
        <v>¿EL INTEGRANTE TIENE UNA PARTICIPACIÓN DEL 60%?</v>
      </c>
      <c r="K3159" s="554" t="s">
        <v>107</v>
      </c>
      <c r="L3159" s="724"/>
      <c r="M3159" s="717" t="s">
        <v>115</v>
      </c>
      <c r="N3159" s="718"/>
      <c r="O3159" s="718"/>
      <c r="P3159" s="718"/>
      <c r="Q3159" s="223">
        <f>IF(AND(H3143="SI",P3143&gt;=0),1,0)+IF(AND(H3144="SI",P3144&gt;=0),1,0)+IF(AND(H3145="SI",P3145&gt;=0),1,0)+IF(AND(H3146="SI",P3146&gt;=0),1,0)+IF(AND(H3147="SI",P3147&gt;=0),1,0)+IF(AND(H3148="SI",P3148&gt;=0),1,0)+IF(AND(H3149="SI",P3149&gt;=0),1,0)+IF(AND(H3150="SI",P3150&gt;=0),1,0)+IF(AND(H3151="SI",P3151&gt;=0),1,0)+IF(AND(H3152="SI",P3152&gt;=0),1,0)</f>
        <v>0</v>
      </c>
      <c r="R3159" s="759"/>
      <c r="S3159" s="761"/>
      <c r="T3159" s="764"/>
      <c r="U3159" s="219"/>
      <c r="V3159" s="464"/>
      <c r="Y3159" s="532" t="s">
        <v>342</v>
      </c>
      <c r="AA3159" s="550" t="s">
        <v>344</v>
      </c>
      <c r="AB3159" s="693" t="s">
        <v>345</v>
      </c>
      <c r="AC3159" s="693" t="s">
        <v>346</v>
      </c>
      <c r="AD3159" s="685" t="s">
        <v>347</v>
      </c>
      <c r="AE3159" s="52"/>
      <c r="AF3159" s="52"/>
      <c r="AG3159" s="52"/>
      <c r="AH3159" s="87"/>
      <c r="AI3159" s="87"/>
    </row>
    <row r="3160" spans="1:35" ht="15.75" hidden="1" customHeight="1" thickBot="1">
      <c r="A3160" s="218" t="e">
        <f>"N"&amp;E3139</f>
        <v>#N/A</v>
      </c>
      <c r="B3160" s="702"/>
      <c r="C3160" s="114">
        <v>1</v>
      </c>
      <c r="D3160" s="194" t="e">
        <f>IF(AND(C3160&lt;=F3158,F3158&gt;1,F3158&lt;&gt;""),VLOOKUP(VALUE(E3139&amp;","&amp;C3160),INTEGRANTES!$D$18:$F$235,2,0),"")</f>
        <v>#N/A</v>
      </c>
      <c r="E3160" s="211" t="e">
        <f>IF(D3160&lt;&gt;"",VLOOKUP(VALUE(E3139&amp;","&amp;C3160),INTEGRANTES!$D$18:$F$235,3,0),"")</f>
        <v>#N/A</v>
      </c>
      <c r="F3160" s="547" t="e">
        <f>IF(D3160="","",SUMIF($I3143:$I3152,D3160,$P3143:$P3152))</f>
        <v>#N/A</v>
      </c>
      <c r="G3160" s="333" t="e">
        <f>IF(D3160="","",SUMIF($I3143:$I3152,D3160,$M3143:$M3152))</f>
        <v>#N/A</v>
      </c>
      <c r="H3160" s="535" t="e">
        <f t="shared" ref="H3160:H3165" si="929">IF(D3160="","",IF(OR(F3160=0,G3160=0),"NO APORTA",ROUND($F3160/$G3160,3)))</f>
        <v>#N/A</v>
      </c>
      <c r="I3160" s="212" t="e">
        <f>IF(D3160="","",IF(H3160="NO APORTA","NO",IF(H3160=MAX($H3160:$H3165),"SI","NO")))</f>
        <v>#N/A</v>
      </c>
      <c r="J3160" s="213" t="e">
        <f t="shared" ref="J3160:J3165" si="930">IF(D3160="","",IF(E3160&gt;=PORCREQUERIDOINT,"SI","NO"))</f>
        <v>#N/A</v>
      </c>
      <c r="K3160" s="200" t="e">
        <f t="shared" ref="K3160:K3165" si="931">IF(D3160="","",IF(AND(I3160="SI",J3160="SI"),"CUMPLE",IF(AND(I3160="NO",OR(J3160="SI",J3160="NO")),"","NO CUMPLE")))</f>
        <v>#N/A</v>
      </c>
      <c r="L3160" s="722" t="s">
        <v>108</v>
      </c>
      <c r="M3160" s="726" t="s">
        <v>119</v>
      </c>
      <c r="N3160" s="726"/>
      <c r="O3160" s="726"/>
      <c r="P3160" s="726"/>
      <c r="Q3160" s="727"/>
      <c r="R3160" s="758" t="s">
        <v>80</v>
      </c>
      <c r="S3160" s="747"/>
      <c r="T3160" s="748"/>
      <c r="U3160" s="219"/>
      <c r="V3160" s="464"/>
      <c r="Y3160" s="533" t="e">
        <f>IF(Y3157="","",IF(Y3157="INDIVIDUAL","NO APLICA","VERIFICAR CUADRO"))</f>
        <v>#N/A</v>
      </c>
      <c r="AA3160" s="551"/>
      <c r="AB3160" s="694"/>
      <c r="AC3160" s="694"/>
      <c r="AD3160" s="686"/>
      <c r="AE3160" s="52"/>
      <c r="AF3160" s="52"/>
      <c r="AG3160" s="52"/>
      <c r="AH3160" s="87"/>
      <c r="AI3160" s="87"/>
    </row>
    <row r="3161" spans="1:35" ht="27" hidden="1" customHeight="1" thickBot="1">
      <c r="A3161" s="218" t="e">
        <f>"O"&amp;E3139</f>
        <v>#N/A</v>
      </c>
      <c r="B3161" s="702"/>
      <c r="C3161" s="114">
        <v>2</v>
      </c>
      <c r="D3161" s="194" t="e">
        <f>IF(AND(C3161&lt;=F3158,F3158&lt;&gt;""),VLOOKUP(VALUE(E3139&amp;","&amp;C3161),INTEGRANTES!$D$18:$F$235,2,0),"")</f>
        <v>#N/A</v>
      </c>
      <c r="E3161" s="211" t="e">
        <f>IF(D3161&lt;&gt;"",VLOOKUP(VALUE(E3139&amp;","&amp;C3161),INTEGRANTES!$D$18:$F$235,3,0),"")</f>
        <v>#N/A</v>
      </c>
      <c r="F3161" s="547" t="e">
        <f>IF(D3161="","",SUMIF($I3143:$I3152,D3161,$P3143:$P3152))</f>
        <v>#N/A</v>
      </c>
      <c r="G3161" s="333" t="e">
        <f>IF(D3161="","",SUMIF($I3143:$I3152,D3161,$M3143:$M3152))</f>
        <v>#N/A</v>
      </c>
      <c r="H3161" s="535" t="e">
        <f t="shared" si="929"/>
        <v>#N/A</v>
      </c>
      <c r="I3161" s="212" t="e">
        <f>IF(D3161="","",IF(H3161="NO APORTA","NO",IF(H3161=MAX($H3160:$H3165),"SI","NO")))</f>
        <v>#N/A</v>
      </c>
      <c r="J3161" s="213" t="e">
        <f t="shared" si="930"/>
        <v>#N/A</v>
      </c>
      <c r="K3161" s="200" t="e">
        <f t="shared" si="931"/>
        <v>#N/A</v>
      </c>
      <c r="L3161" s="723"/>
      <c r="M3161" s="715" t="s">
        <v>116</v>
      </c>
      <c r="N3161" s="716"/>
      <c r="O3161" s="556" t="s">
        <v>113</v>
      </c>
      <c r="P3161" s="715" t="s">
        <v>117</v>
      </c>
      <c r="Q3161" s="728"/>
      <c r="R3161" s="759"/>
      <c r="S3161" s="760"/>
      <c r="T3161" s="761"/>
      <c r="U3161" s="219"/>
      <c r="V3161" s="464"/>
      <c r="Y3161" s="414"/>
      <c r="AA3161" s="542" t="e">
        <f>IF(AND(C3160&lt;=F3158,F3158&gt;1,F3158&lt;&gt;""),VLOOKUP(VALUE(E3139&amp;","&amp;C3160),INTEGRANTES!$D$18:$F$235,2,0),"")</f>
        <v>#N/A</v>
      </c>
      <c r="AB3161" s="544" t="e">
        <f t="shared" ref="AB3161:AB3166" si="932">IF(D3160="","",IF(OR(F3160=0,G3160=0),"NO APORTA",ROUND($F3160/$G3160,3)))</f>
        <v>#N/A</v>
      </c>
      <c r="AC3161" s="529"/>
      <c r="AD3161" s="200" t="e">
        <f t="shared" ref="AD3161:AD3166" si="933">IF(OR(AA3161="",AB3161=""),"",IF(AND(AC3161="X",AB3161&gt;=EXPREQVTD),"CUMPLE","NO CUMPLE"))</f>
        <v>#N/A</v>
      </c>
      <c r="AE3161" s="52"/>
      <c r="AF3161" s="52"/>
      <c r="AG3161" s="52"/>
      <c r="AH3161" s="87"/>
      <c r="AI3161" s="87"/>
    </row>
    <row r="3162" spans="1:35" ht="16.5" hidden="1" thickBot="1">
      <c r="A3162" s="218" t="e">
        <f>"P"&amp;E3139</f>
        <v>#N/A</v>
      </c>
      <c r="B3162" s="702"/>
      <c r="C3162" s="114">
        <v>3</v>
      </c>
      <c r="D3162" s="194" t="e">
        <f>IF(AND(C3162&lt;=F3158,F3158&lt;&gt;""),VLOOKUP(VALUE(E3139&amp;","&amp;C3162),INTEGRANTES!$D$18:$F$235,2,0),"")</f>
        <v>#N/A</v>
      </c>
      <c r="E3162" s="211" t="e">
        <f>IF(D3162&lt;&gt;"",VLOOKUP(VALUE(E3139&amp;","&amp;C3162),INTEGRANTES!$D$18:$F$235,3,0),"")</f>
        <v>#N/A</v>
      </c>
      <c r="F3162" s="547" t="e">
        <f>IF(D3162="","",SUMIF($I3143:$I3152,D3162,$P3143:$P3152))</f>
        <v>#N/A</v>
      </c>
      <c r="G3162" s="333" t="e">
        <f>IF(D3162="","",SUMIF($I3143:$I3152,D3162,$M3143:$M3152))</f>
        <v>#N/A</v>
      </c>
      <c r="H3162" s="535" t="e">
        <f t="shared" si="929"/>
        <v>#N/A</v>
      </c>
      <c r="I3162" s="212" t="e">
        <f>IF(D3162="","",IF(H3162="NO APORTA","NO",IF(H3162=MAX($H3160:$H3165),"SI","NO")))</f>
        <v>#N/A</v>
      </c>
      <c r="J3162" s="213" t="e">
        <f t="shared" si="930"/>
        <v>#N/A</v>
      </c>
      <c r="K3162" s="200" t="e">
        <f t="shared" si="931"/>
        <v>#N/A</v>
      </c>
      <c r="L3162" s="724"/>
      <c r="M3162" s="729">
        <f>NUMMOD</f>
        <v>1</v>
      </c>
      <c r="N3162" s="730"/>
      <c r="O3162" s="443">
        <f>IF(M3162="","",VLOOKUP(M3162,PRESUPUESTOS!$B$16:$H$16,5,FALSE))</f>
        <v>2</v>
      </c>
      <c r="P3162" s="713">
        <f>IF(OR(COUNTIF(M3143:M3152,"")&gt;=10,Q3159&lt;NUMMINCONT,OR(T3157="NO CUMPLE",T3157="VERIFICAR")),0,ROUND(AVERAGE(M3143:M3152),3))</f>
        <v>0</v>
      </c>
      <c r="Q3162" s="714"/>
      <c r="R3162" s="458"/>
      <c r="S3162" s="459"/>
      <c r="T3162" s="460"/>
      <c r="U3162" s="219"/>
      <c r="V3162" s="464"/>
      <c r="Y3162" s="532" t="str">
        <f>"40% * ("&amp;PRESUPUESTOS!$H$13&amp;")"</f>
        <v>40% * (50% PFMO)</v>
      </c>
      <c r="AA3162" s="540" t="e">
        <f>IF(AND(C3161&lt;=F3158,F3158&lt;&gt;""),VLOOKUP(VALUE(E3139&amp;","&amp;C3161),INTEGRANTES!$D$18:$F$235,2,0),"")</f>
        <v>#N/A</v>
      </c>
      <c r="AB3162" s="545" t="e">
        <f t="shared" si="932"/>
        <v>#N/A</v>
      </c>
      <c r="AC3162" s="529"/>
      <c r="AD3162" s="200" t="e">
        <f t="shared" si="933"/>
        <v>#N/A</v>
      </c>
      <c r="AE3162" s="52"/>
      <c r="AF3162" s="52"/>
      <c r="AG3162" s="52"/>
      <c r="AH3162" s="87"/>
      <c r="AI3162" s="87"/>
    </row>
    <row r="3163" spans="1:35" ht="15.75" hidden="1" customHeight="1" thickBot="1">
      <c r="A3163" s="218" t="e">
        <f>"Q"&amp;E3139</f>
        <v>#N/A</v>
      </c>
      <c r="B3163" s="702"/>
      <c r="C3163" s="114">
        <v>4</v>
      </c>
      <c r="D3163" s="194" t="e">
        <f>IF(AND(C3163&lt;=F3158,F3158&lt;&gt;""),VLOOKUP(VALUE(E3139&amp;","&amp;C3163),INTEGRANTES!$D$18:$F$235,2,0),"")</f>
        <v>#N/A</v>
      </c>
      <c r="E3163" s="211" t="e">
        <f>IF(D3163&lt;&gt;"",VLOOKUP(VALUE(E3139&amp;","&amp;C3163),INTEGRANTES!$D$18:$F$235,3,0),"")</f>
        <v>#N/A</v>
      </c>
      <c r="F3163" s="547" t="e">
        <f>IF(D3163="","",SUMIF($I3143:$I3152,D3163,$P3143:$P3152))</f>
        <v>#N/A</v>
      </c>
      <c r="G3163" s="333" t="e">
        <f>IF(D3163="","",SUMIF($I3143:$I3152,D3163,$M3143:$M3152))</f>
        <v>#N/A</v>
      </c>
      <c r="H3163" s="535" t="e">
        <f t="shared" si="929"/>
        <v>#N/A</v>
      </c>
      <c r="I3163" s="212" t="e">
        <f>IF(D3163="","",IF(H3163="NO APORTA","NO",IF(H3163=MAX($H3160:$H3165),"SI","NO")))</f>
        <v>#N/A</v>
      </c>
      <c r="J3163" s="213" t="e">
        <f t="shared" si="930"/>
        <v>#N/A</v>
      </c>
      <c r="K3163" s="200" t="e">
        <f t="shared" si="931"/>
        <v>#N/A</v>
      </c>
      <c r="L3163" s="720" t="s">
        <v>109</v>
      </c>
      <c r="M3163" s="757" t="s">
        <v>120</v>
      </c>
      <c r="N3163" s="726"/>
      <c r="O3163" s="726"/>
      <c r="P3163" s="726"/>
      <c r="Q3163" s="727"/>
      <c r="R3163" s="458"/>
      <c r="S3163" s="459"/>
      <c r="T3163" s="460"/>
      <c r="U3163" s="219"/>
      <c r="V3163" s="464"/>
      <c r="Y3163" s="537">
        <f>0.4*PRESUPUESTOS!$H$16</f>
        <v>10.3124</v>
      </c>
      <c r="AA3163" s="540" t="e">
        <f>IF(AND(C3162&lt;=F3158,F3158&lt;&gt;""),VLOOKUP(VALUE(E3139&amp;","&amp;C3162),INTEGRANTES!$D$18:$F$235,2,0),"")</f>
        <v>#N/A</v>
      </c>
      <c r="AB3163" s="545" t="e">
        <f t="shared" si="932"/>
        <v>#N/A</v>
      </c>
      <c r="AC3163" s="529"/>
      <c r="AD3163" s="200" t="e">
        <f t="shared" si="933"/>
        <v>#N/A</v>
      </c>
      <c r="AE3163" s="52"/>
      <c r="AF3163" s="52"/>
      <c r="AG3163" s="52"/>
      <c r="AH3163" s="87"/>
      <c r="AI3163" s="87"/>
    </row>
    <row r="3164" spans="1:35" ht="27" hidden="1" customHeight="1" thickBot="1">
      <c r="A3164" s="218" t="e">
        <f>"R"&amp;E3139</f>
        <v>#N/A</v>
      </c>
      <c r="B3164" s="702"/>
      <c r="C3164" s="114">
        <v>5</v>
      </c>
      <c r="D3164" s="194" t="e">
        <f>IF(AND(C3164&lt;=F3158,F3158&lt;&gt;""),VLOOKUP(VALUE(E3139&amp;","&amp;C3164),INTEGRANTES!$D$18:$F$235,2,0),"")</f>
        <v>#N/A</v>
      </c>
      <c r="E3164" s="211" t="e">
        <f>IF(D3164&lt;&gt;"",VLOOKUP(VALUE(E3139&amp;","&amp;C3164),INTEGRANTES!$D$18:$F$235,3,0),"")</f>
        <v>#N/A</v>
      </c>
      <c r="F3164" s="547" t="e">
        <f>IF(D3164="","",SUMIF($I3143:$I3152,D3164,$P3143:$P3152))</f>
        <v>#N/A</v>
      </c>
      <c r="G3164" s="333" t="e">
        <f>IF(D3164="","",SUMIF($I3143:$I3152,D3164,$M3143:$M3152))</f>
        <v>#N/A</v>
      </c>
      <c r="H3164" s="535" t="e">
        <f t="shared" si="929"/>
        <v>#N/A</v>
      </c>
      <c r="I3164" s="212" t="e">
        <f>IF(D3164="","",IF(H3164="NO APORTA","NO",IF(H3164=MAX($H3160:$H3165),"SI","NO")))</f>
        <v>#N/A</v>
      </c>
      <c r="J3164" s="213" t="e">
        <f t="shared" si="930"/>
        <v>#N/A</v>
      </c>
      <c r="K3164" s="200" t="e">
        <f t="shared" si="931"/>
        <v>#N/A</v>
      </c>
      <c r="L3164" s="721"/>
      <c r="M3164" s="715" t="s">
        <v>116</v>
      </c>
      <c r="N3164" s="716"/>
      <c r="O3164" s="556" t="str">
        <f>PORCREQUERIDO*100&amp;"% PMFO DEL MÓDULO"</f>
        <v>50% PMFO DEL MÓDULO</v>
      </c>
      <c r="P3164" s="715" t="s">
        <v>118</v>
      </c>
      <c r="Q3164" s="728"/>
      <c r="R3164" s="458"/>
      <c r="S3164" s="459"/>
      <c r="T3164" s="460"/>
      <c r="U3164" s="219"/>
      <c r="V3164" s="464"/>
      <c r="Y3164" s="414"/>
      <c r="AA3164" s="540" t="e">
        <f>IF(AND(C3163&lt;=F3158,F3158&lt;&gt;""),VLOOKUP(VALUE(E3139&amp;","&amp;C3163),INTEGRANTES!$D$18:$F$235,2,0),"")</f>
        <v>#N/A</v>
      </c>
      <c r="AB3164" s="545" t="e">
        <f t="shared" si="932"/>
        <v>#N/A</v>
      </c>
      <c r="AC3164" s="529"/>
      <c r="AD3164" s="200" t="e">
        <f t="shared" si="933"/>
        <v>#N/A</v>
      </c>
      <c r="AE3164" s="52"/>
      <c r="AF3164" s="52"/>
      <c r="AG3164" s="52"/>
      <c r="AH3164" s="87"/>
      <c r="AI3164" s="87"/>
    </row>
    <row r="3165" spans="1:35" ht="16.5" hidden="1" thickBot="1">
      <c r="A3165" s="218" t="e">
        <f>"S"&amp;E3139</f>
        <v>#N/A</v>
      </c>
      <c r="B3165" s="702"/>
      <c r="C3165" s="215">
        <v>6</v>
      </c>
      <c r="D3165" s="216" t="e">
        <f>IF(AND(C3165&lt;=F3158,F3158&lt;&gt;""),VLOOKUP(VALUE(E3139&amp;","&amp;C3165),INTEGRANTES!$D$18:$F$235,2,0),"")</f>
        <v>#N/A</v>
      </c>
      <c r="E3165" s="217" t="e">
        <f>IF(D3165&lt;&gt;"",VLOOKUP(VALUE(E3139&amp;","&amp;C3165),INTEGRANTES!$D$18:$F$235,3,0),"")</f>
        <v>#N/A</v>
      </c>
      <c r="F3165" s="548" t="e">
        <f>IF(D3165="","",SUMIF($I3143:$I3152,D3165,$P3143:$P3152))</f>
        <v>#N/A</v>
      </c>
      <c r="G3165" s="334" t="e">
        <f>IF(D3165="","",SUMIF($I3143:$I3152,D3165,$M3143:$M3152))</f>
        <v>#N/A</v>
      </c>
      <c r="H3165" s="536" t="e">
        <f t="shared" si="929"/>
        <v>#N/A</v>
      </c>
      <c r="I3165" s="214" t="e">
        <f>IF(D3165="","",IF(H3165="NO APORTA","NO",IF(H3165=MAX($H3160:$H3165),"SI","NO")))</f>
        <v>#N/A</v>
      </c>
      <c r="J3165" s="213" t="e">
        <f t="shared" si="930"/>
        <v>#N/A</v>
      </c>
      <c r="K3165" s="200" t="e">
        <f t="shared" si="931"/>
        <v>#N/A</v>
      </c>
      <c r="L3165" s="721"/>
      <c r="M3165" s="729">
        <f>NUMMOD</f>
        <v>1</v>
      </c>
      <c r="N3165" s="730"/>
      <c r="O3165" s="443">
        <f>IF(M3165="","",ROUND(VLOOKUP(M3165,PRESUPUESTOS!$B$16:$H$16,7,FALSE),3))</f>
        <v>25.780999999999999</v>
      </c>
      <c r="P3165" s="713">
        <f>IF(OR(COUNTIF(P3143:P3152,"")&gt;=10,Q3159&lt;NUMMINCONT,OR(T3157="NO CUMPLE",T3157="VERIFICAR")),0,ROUND((SUM(P3143:P3152)/SUM(M3143:M3152)),3))</f>
        <v>0</v>
      </c>
      <c r="Q3165" s="714"/>
      <c r="R3165" s="458"/>
      <c r="S3165" s="459"/>
      <c r="T3165" s="460"/>
      <c r="U3165" s="219"/>
      <c r="V3165" s="464"/>
      <c r="Y3165" s="532" t="s">
        <v>343</v>
      </c>
      <c r="AA3165" s="540" t="e">
        <f>IF(AND(C3164&lt;=F3158,F3158&lt;&gt;""),VLOOKUP(VALUE(E3139&amp;","&amp;C3164),INTEGRANTES!$D$18:$F$235,2,0),"")</f>
        <v>#N/A</v>
      </c>
      <c r="AB3165" s="545" t="e">
        <f t="shared" si="932"/>
        <v>#N/A</v>
      </c>
      <c r="AC3165" s="529"/>
      <c r="AD3165" s="200" t="e">
        <f t="shared" si="933"/>
        <v>#N/A</v>
      </c>
      <c r="AE3165" s="52"/>
      <c r="AF3165" s="52"/>
      <c r="AG3165" s="52"/>
      <c r="AH3165" s="87"/>
      <c r="AI3165" s="87"/>
    </row>
    <row r="3166" spans="1:35" ht="16.5" hidden="1" customHeight="1" thickBot="1">
      <c r="A3166" s="218" t="e">
        <f>"T"&amp;E3139</f>
        <v>#N/A</v>
      </c>
      <c r="B3166" s="703"/>
      <c r="C3166" s="719"/>
      <c r="D3166" s="719"/>
      <c r="E3166" s="719"/>
      <c r="F3166" s="719"/>
      <c r="G3166" s="719"/>
      <c r="H3166" s="719" t="s">
        <v>110</v>
      </c>
      <c r="I3166" s="719"/>
      <c r="J3166" s="719"/>
      <c r="K3166" s="201" t="str">
        <f>IF(COUNTIF(K3160:K3165,"")=6,"",IF(COUNTIF(K3160:K3165,"CUMPLE")&gt;0,"CUMPLE","NO CUMPLE"))</f>
        <v>NO CUMPLE</v>
      </c>
      <c r="L3166" s="754"/>
      <c r="M3166" s="755"/>
      <c r="N3166" s="755"/>
      <c r="O3166" s="755"/>
      <c r="P3166" s="755"/>
      <c r="Q3166" s="756"/>
      <c r="R3166" s="461"/>
      <c r="S3166" s="462"/>
      <c r="T3166" s="463"/>
      <c r="U3166" s="219"/>
      <c r="V3166" s="464"/>
      <c r="Y3166" s="549" t="e">
        <f>IF(Y3160="NO APLICA","NO APLICA",IF(COUNTIF(AD3161:AD3166,"CUMPLE")&gt;0,"CUMPLE","NO CUMPLE"))</f>
        <v>#N/A</v>
      </c>
      <c r="AA3166" s="541" t="e">
        <f>IF(AND(C3165&lt;=F3158,F3158&lt;&gt;""),VLOOKUP(VALUE(E3139&amp;","&amp;C3165),INTEGRANTES!$D$18:$F$235,2,0),"")</f>
        <v>#N/A</v>
      </c>
      <c r="AB3166" s="546" t="e">
        <f t="shared" si="932"/>
        <v>#N/A</v>
      </c>
      <c r="AC3166" s="543"/>
      <c r="AD3166" s="201" t="e">
        <f t="shared" si="933"/>
        <v>#N/A</v>
      </c>
      <c r="AE3166" s="52"/>
      <c r="AF3166" s="52"/>
      <c r="AG3166" s="52"/>
      <c r="AH3166" s="87"/>
      <c r="AI3166" s="87"/>
    </row>
    <row r="3167" spans="1:35" hidden="1">
      <c r="AH3167" s="87"/>
      <c r="AI3167" s="87"/>
    </row>
    <row r="3168" spans="1:35" hidden="1">
      <c r="AH3168" s="87"/>
      <c r="AI3168" s="87"/>
    </row>
    <row r="3169" spans="1:35" ht="24" hidden="1" thickBot="1">
      <c r="A3169" s="61">
        <v>106</v>
      </c>
      <c r="B3169" s="704" t="s">
        <v>51</v>
      </c>
      <c r="C3169" s="704"/>
      <c r="D3169" s="704"/>
      <c r="E3169" s="62" t="e">
        <f>VLOOKUP(A3169,PROPONENTES!$B$19:$E$218,2,FALSE)</f>
        <v>#N/A</v>
      </c>
      <c r="F3169" s="63" t="e">
        <f>VLOOKUP(A3169,PROPONENTES!$B$19:$E$218,3,FALSE)</f>
        <v>#N/A</v>
      </c>
      <c r="G3169" s="64"/>
      <c r="H3169" s="64"/>
      <c r="I3169" s="63"/>
      <c r="J3169" s="63"/>
      <c r="K3169" s="65"/>
      <c r="L3169" s="65"/>
      <c r="M3169" s="64"/>
      <c r="N3169" s="64"/>
      <c r="O3169" s="66"/>
      <c r="P3169" s="66"/>
      <c r="Q3169" s="66"/>
      <c r="R3169" s="66"/>
      <c r="S3169" s="67"/>
      <c r="T3169" s="68"/>
      <c r="U3169" s="68"/>
      <c r="AC3169" s="68"/>
      <c r="AD3169" s="68"/>
      <c r="AE3169" s="68"/>
      <c r="AF3169" s="68"/>
      <c r="AG3169" s="68"/>
      <c r="AH3169" s="87"/>
      <c r="AI3169" s="87"/>
    </row>
    <row r="3170" spans="1:35" ht="15.75" hidden="1" customHeight="1">
      <c r="A3170" s="44"/>
      <c r="B3170" s="709" t="s">
        <v>59</v>
      </c>
      <c r="C3170" s="552" t="s">
        <v>60</v>
      </c>
      <c r="D3170" s="70" t="s">
        <v>17</v>
      </c>
      <c r="E3170" s="70"/>
      <c r="F3170" s="70" t="s">
        <v>61</v>
      </c>
      <c r="G3170" s="71"/>
      <c r="H3170" s="699" t="s">
        <v>62</v>
      </c>
      <c r="I3170" s="699" t="s">
        <v>18</v>
      </c>
      <c r="J3170" s="699" t="s">
        <v>63</v>
      </c>
      <c r="K3170" s="699" t="s">
        <v>64</v>
      </c>
      <c r="L3170" s="699" t="s">
        <v>65</v>
      </c>
      <c r="M3170" s="743" t="s">
        <v>66</v>
      </c>
      <c r="N3170" s="699" t="s">
        <v>282</v>
      </c>
      <c r="O3170" s="745" t="s">
        <v>67</v>
      </c>
      <c r="P3170" s="746"/>
      <c r="Q3170" s="102" t="s">
        <v>75</v>
      </c>
      <c r="R3170" s="731" t="s">
        <v>22</v>
      </c>
      <c r="S3170" s="732"/>
      <c r="T3170" s="733"/>
      <c r="U3170" s="712" t="s">
        <v>298</v>
      </c>
      <c r="W3170" s="690" t="s">
        <v>268</v>
      </c>
      <c r="X3170" s="691"/>
      <c r="Y3170" s="692"/>
      <c r="Z3170" s="428"/>
      <c r="AA3170" s="697" t="s">
        <v>315</v>
      </c>
      <c r="AB3170" s="695" t="s">
        <v>322</v>
      </c>
      <c r="AC3170" s="49"/>
      <c r="AD3170" s="690" t="s">
        <v>297</v>
      </c>
      <c r="AE3170" s="691"/>
      <c r="AF3170" s="692"/>
      <c r="AG3170" s="49"/>
      <c r="AH3170" s="87"/>
      <c r="AI3170" s="87"/>
    </row>
    <row r="3171" spans="1:35" ht="72" hidden="1">
      <c r="A3171" s="44"/>
      <c r="B3171" s="710"/>
      <c r="C3171" s="553" t="s">
        <v>68</v>
      </c>
      <c r="D3171" s="73" t="s">
        <v>3</v>
      </c>
      <c r="E3171" s="73" t="s">
        <v>19</v>
      </c>
      <c r="F3171" s="73" t="s">
        <v>69</v>
      </c>
      <c r="G3171" s="74" t="s">
        <v>70</v>
      </c>
      <c r="H3171" s="700"/>
      <c r="I3171" s="700"/>
      <c r="J3171" s="700"/>
      <c r="K3171" s="700"/>
      <c r="L3171" s="700"/>
      <c r="M3171" s="744"/>
      <c r="N3171" s="700"/>
      <c r="O3171" s="553" t="s">
        <v>279</v>
      </c>
      <c r="P3171" s="73" t="s">
        <v>88</v>
      </c>
      <c r="Q3171" s="555" t="s">
        <v>76</v>
      </c>
      <c r="R3171" s="734"/>
      <c r="S3171" s="735"/>
      <c r="T3171" s="736"/>
      <c r="U3171" s="712"/>
      <c r="W3171" s="429" t="s">
        <v>269</v>
      </c>
      <c r="X3171" s="457" t="s">
        <v>278</v>
      </c>
      <c r="Y3171" s="430" t="s">
        <v>324</v>
      </c>
      <c r="Z3171" s="428"/>
      <c r="AA3171" s="698"/>
      <c r="AB3171" s="696"/>
      <c r="AC3171" s="49"/>
      <c r="AD3171" s="429" t="s">
        <v>292</v>
      </c>
      <c r="AE3171" s="431" t="s">
        <v>300</v>
      </c>
      <c r="AF3171" s="468" t="s">
        <v>301</v>
      </c>
      <c r="AG3171" s="49"/>
      <c r="AH3171" s="87"/>
      <c r="AI3171" s="87"/>
    </row>
    <row r="3172" spans="1:35" hidden="1">
      <c r="A3172" s="44"/>
      <c r="B3172" s="76"/>
      <c r="C3172" s="77"/>
      <c r="D3172" s="77"/>
      <c r="E3172" s="77"/>
      <c r="F3172" s="77"/>
      <c r="G3172" s="77"/>
      <c r="H3172" s="77"/>
      <c r="I3172" s="77"/>
      <c r="J3172" s="77"/>
      <c r="K3172" s="77"/>
      <c r="L3172" s="77"/>
      <c r="M3172" s="77"/>
      <c r="N3172" s="77"/>
      <c r="O3172" s="77"/>
      <c r="P3172" s="77"/>
      <c r="Q3172" s="77"/>
      <c r="R3172" s="77"/>
      <c r="S3172" s="78"/>
      <c r="T3172" s="79"/>
      <c r="U3172" s="109"/>
      <c r="V3172" s="49"/>
      <c r="W3172" s="432"/>
      <c r="X3172" s="454"/>
      <c r="Y3172" s="433"/>
      <c r="Z3172" s="6"/>
      <c r="AA3172" s="500"/>
      <c r="AB3172" s="562"/>
      <c r="AC3172" s="49"/>
      <c r="AD3172" s="210"/>
      <c r="AE3172" s="434"/>
      <c r="AF3172" s="435"/>
      <c r="AG3172" s="49"/>
      <c r="AH3172" s="87"/>
      <c r="AI3172" s="87"/>
    </row>
    <row r="3173" spans="1:35" hidden="1">
      <c r="A3173" s="80" t="e">
        <f>"A"&amp;E3169</f>
        <v>#N/A</v>
      </c>
      <c r="B3173" s="81">
        <v>1</v>
      </c>
      <c r="C3173" s="82"/>
      <c r="D3173" s="82"/>
      <c r="E3173" s="82"/>
      <c r="F3173" s="82"/>
      <c r="G3173" s="83"/>
      <c r="H3173" s="83"/>
      <c r="I3173" s="84"/>
      <c r="J3173" s="85"/>
      <c r="K3173" s="382"/>
      <c r="L3173" s="85"/>
      <c r="M3173" s="332" t="str">
        <f t="shared" ref="M3173:M3182" si="934">IF(OR(J3173="",L3173="",H3173="NO"),"",IF(OR(J3173&gt;$P$17,J3173&lt;$O$17,L3173&gt;$P$17,AND(J3173&lt;$O$17,L3173&lt;$O$17)),"FUERA DE RANGO",IF(OR(K3173="---",K3173=""),IF(J3173&gt;=$O$17,ROUND((L3173-J3173+1)/360*12,3),ROUND((L3173-$O$17+1)/360*12,3)),IF(J3173&gt;=$O$17,ROUND((L3173-J3173+1)/360*12-ROUND(K3173,3),3),ROUND((L3173-$O$17+1)/360*12-ROUND(K3173,3),3)))))</f>
        <v/>
      </c>
      <c r="N3173" s="86"/>
      <c r="O3173" s="453" t="str">
        <f>IF(OR(G3173="",N3173=""),"",N3173*G3173)</f>
        <v/>
      </c>
      <c r="P3173" s="538" t="str">
        <f>IF(OR(H3173="",M3173="FUERA DE RANGO"),"",IF(OR(L3173&lt;$O$17,L3173&gt;$P$17,L3173="",H3173="NO"),"",IF(OR(N3173="",O3173=""),"",ROUND(O3173,3))))</f>
        <v/>
      </c>
      <c r="Q3173" s="539" t="str">
        <f t="shared" ref="Q3173:Q3182" si="935">IF(AND(H3173="SI",P3173&lt;&gt;""),ROUND(P3173/M3173,3),"")</f>
        <v/>
      </c>
      <c r="R3173" s="737"/>
      <c r="S3173" s="738"/>
      <c r="T3173" s="739"/>
      <c r="U3173" s="470"/>
      <c r="V3173" s="165"/>
      <c r="W3173" s="446"/>
      <c r="X3173" s="456"/>
      <c r="Y3173" s="436"/>
      <c r="Z3173" s="437"/>
      <c r="AA3173" s="560"/>
      <c r="AB3173" s="561"/>
      <c r="AC3173" s="87"/>
      <c r="AD3173" s="466"/>
      <c r="AE3173" s="456"/>
      <c r="AF3173" s="467"/>
      <c r="AG3173" s="87"/>
      <c r="AH3173" s="87"/>
      <c r="AI3173" s="87"/>
    </row>
    <row r="3174" spans="1:35" hidden="1">
      <c r="A3174" s="80" t="e">
        <f>"B"&amp;E3169</f>
        <v>#N/A</v>
      </c>
      <c r="B3174" s="81">
        <v>2</v>
      </c>
      <c r="C3174" s="106"/>
      <c r="D3174" s="106"/>
      <c r="E3174" s="106"/>
      <c r="F3174" s="106"/>
      <c r="G3174" s="83"/>
      <c r="H3174" s="83"/>
      <c r="I3174" s="84"/>
      <c r="J3174" s="85"/>
      <c r="K3174" s="382"/>
      <c r="L3174" s="85"/>
      <c r="M3174" s="332" t="str">
        <f t="shared" si="934"/>
        <v/>
      </c>
      <c r="N3174" s="86"/>
      <c r="O3174" s="453" t="str">
        <f t="shared" ref="O3174:O3182" si="936">IF(OR(G3174="",N3174=""),"",N3174*G3174)</f>
        <v/>
      </c>
      <c r="P3174" s="538" t="str">
        <f t="shared" ref="P3174:P3182" si="937">IF(OR(H3174="",M3174="FUERA DE RANGO"),"",IF(OR(L3174&lt;$O$17,L3174&gt;$P$17,L3174="",H3174="NO"),"",IF(OR(N3174="",O3174=""),"",ROUND(O3174,3))))</f>
        <v/>
      </c>
      <c r="Q3174" s="539" t="str">
        <f t="shared" si="935"/>
        <v/>
      </c>
      <c r="R3174" s="740"/>
      <c r="S3174" s="741"/>
      <c r="T3174" s="742"/>
      <c r="U3174" s="471"/>
      <c r="V3174" s="165"/>
      <c r="W3174" s="446"/>
      <c r="X3174" s="456"/>
      <c r="Y3174" s="436"/>
      <c r="Z3174" s="437"/>
      <c r="AA3174" s="560"/>
      <c r="AB3174" s="561"/>
      <c r="AC3174" s="87"/>
      <c r="AD3174" s="466"/>
      <c r="AE3174" s="456"/>
      <c r="AF3174" s="467"/>
      <c r="AG3174" s="87"/>
      <c r="AH3174" s="87"/>
      <c r="AI3174" s="87"/>
    </row>
    <row r="3175" spans="1:35" hidden="1">
      <c r="A3175" s="80" t="e">
        <f>"C"&amp;E3169</f>
        <v>#N/A</v>
      </c>
      <c r="B3175" s="88">
        <v>3</v>
      </c>
      <c r="C3175" s="82"/>
      <c r="D3175" s="82"/>
      <c r="E3175" s="82"/>
      <c r="F3175" s="82"/>
      <c r="G3175" s="83"/>
      <c r="H3175" s="83"/>
      <c r="I3175" s="84"/>
      <c r="J3175" s="85"/>
      <c r="K3175" s="382"/>
      <c r="L3175" s="85"/>
      <c r="M3175" s="332" t="str">
        <f t="shared" si="934"/>
        <v/>
      </c>
      <c r="N3175" s="86"/>
      <c r="O3175" s="453" t="str">
        <f t="shared" si="936"/>
        <v/>
      </c>
      <c r="P3175" s="538" t="str">
        <f t="shared" si="937"/>
        <v/>
      </c>
      <c r="Q3175" s="539" t="str">
        <f t="shared" si="935"/>
        <v/>
      </c>
      <c r="R3175" s="706"/>
      <c r="S3175" s="707"/>
      <c r="T3175" s="708"/>
      <c r="U3175" s="472"/>
      <c r="V3175" s="166"/>
      <c r="W3175" s="446"/>
      <c r="X3175" s="456"/>
      <c r="Y3175" s="436"/>
      <c r="Z3175" s="437"/>
      <c r="AA3175" s="560"/>
      <c r="AB3175" s="561"/>
      <c r="AC3175" s="87"/>
      <c r="AD3175" s="466"/>
      <c r="AE3175" s="456"/>
      <c r="AF3175" s="467"/>
      <c r="AG3175" s="87"/>
      <c r="AH3175" s="87"/>
      <c r="AI3175" s="87"/>
    </row>
    <row r="3176" spans="1:35" hidden="1">
      <c r="A3176" s="80" t="e">
        <f>"D"&amp;E3169</f>
        <v>#N/A</v>
      </c>
      <c r="B3176" s="105">
        <v>4</v>
      </c>
      <c r="C3176" s="107"/>
      <c r="D3176" s="107"/>
      <c r="E3176" s="107"/>
      <c r="F3176" s="107"/>
      <c r="G3176" s="83"/>
      <c r="H3176" s="83"/>
      <c r="I3176" s="84"/>
      <c r="J3176" s="85"/>
      <c r="K3176" s="382"/>
      <c r="L3176" s="85"/>
      <c r="M3176" s="332" t="str">
        <f t="shared" si="934"/>
        <v/>
      </c>
      <c r="N3176" s="86"/>
      <c r="O3176" s="453" t="str">
        <f t="shared" si="936"/>
        <v/>
      </c>
      <c r="P3176" s="538" t="str">
        <f t="shared" si="937"/>
        <v/>
      </c>
      <c r="Q3176" s="539" t="str">
        <f t="shared" si="935"/>
        <v/>
      </c>
      <c r="R3176" s="706"/>
      <c r="S3176" s="707"/>
      <c r="T3176" s="708"/>
      <c r="U3176" s="472"/>
      <c r="V3176" s="166"/>
      <c r="W3176" s="446"/>
      <c r="X3176" s="456"/>
      <c r="Y3176" s="436"/>
      <c r="Z3176" s="437"/>
      <c r="AA3176" s="560"/>
      <c r="AB3176" s="561"/>
      <c r="AC3176" s="87"/>
      <c r="AD3176" s="466"/>
      <c r="AE3176" s="456"/>
      <c r="AF3176" s="467"/>
      <c r="AG3176" s="87"/>
      <c r="AH3176" s="87"/>
      <c r="AI3176" s="87"/>
    </row>
    <row r="3177" spans="1:35" hidden="1">
      <c r="A3177" s="80" t="e">
        <f>"E"&amp;E3169</f>
        <v>#N/A</v>
      </c>
      <c r="B3177" s="105">
        <v>5</v>
      </c>
      <c r="C3177" s="107"/>
      <c r="D3177" s="107"/>
      <c r="E3177" s="107"/>
      <c r="F3177" s="107"/>
      <c r="G3177" s="83"/>
      <c r="H3177" s="83"/>
      <c r="I3177" s="84"/>
      <c r="J3177" s="85"/>
      <c r="K3177" s="382"/>
      <c r="L3177" s="85"/>
      <c r="M3177" s="332" t="str">
        <f t="shared" si="934"/>
        <v/>
      </c>
      <c r="N3177" s="86"/>
      <c r="O3177" s="453" t="str">
        <f t="shared" si="936"/>
        <v/>
      </c>
      <c r="P3177" s="538" t="str">
        <f t="shared" si="937"/>
        <v/>
      </c>
      <c r="Q3177" s="539" t="str">
        <f t="shared" si="935"/>
        <v/>
      </c>
      <c r="R3177" s="706"/>
      <c r="S3177" s="707"/>
      <c r="T3177" s="708"/>
      <c r="U3177" s="472"/>
      <c r="V3177" s="167"/>
      <c r="W3177" s="446"/>
      <c r="X3177" s="456"/>
      <c r="Y3177" s="436"/>
      <c r="Z3177" s="437"/>
      <c r="AA3177" s="560"/>
      <c r="AB3177" s="561"/>
      <c r="AC3177" s="87"/>
      <c r="AD3177" s="466"/>
      <c r="AE3177" s="456"/>
      <c r="AF3177" s="467"/>
      <c r="AG3177" s="87"/>
      <c r="AH3177" s="87"/>
      <c r="AI3177" s="87"/>
    </row>
    <row r="3178" spans="1:35" hidden="1">
      <c r="A3178" s="80" t="e">
        <f>"F"&amp;E3169</f>
        <v>#N/A</v>
      </c>
      <c r="B3178" s="105">
        <v>6</v>
      </c>
      <c r="C3178" s="107"/>
      <c r="D3178" s="107"/>
      <c r="E3178" s="107"/>
      <c r="F3178" s="107"/>
      <c r="G3178" s="83"/>
      <c r="H3178" s="83"/>
      <c r="I3178" s="84"/>
      <c r="J3178" s="85"/>
      <c r="K3178" s="382"/>
      <c r="L3178" s="85"/>
      <c r="M3178" s="332" t="str">
        <f t="shared" si="934"/>
        <v/>
      </c>
      <c r="N3178" s="86"/>
      <c r="O3178" s="453" t="str">
        <f t="shared" si="936"/>
        <v/>
      </c>
      <c r="P3178" s="538" t="str">
        <f t="shared" si="937"/>
        <v/>
      </c>
      <c r="Q3178" s="539" t="str">
        <f t="shared" si="935"/>
        <v/>
      </c>
      <c r="R3178" s="706"/>
      <c r="S3178" s="707"/>
      <c r="T3178" s="708"/>
      <c r="U3178" s="472"/>
      <c r="V3178" s="167"/>
      <c r="W3178" s="446"/>
      <c r="X3178" s="456"/>
      <c r="Y3178" s="436"/>
      <c r="Z3178" s="437"/>
      <c r="AA3178" s="560"/>
      <c r="AB3178" s="561"/>
      <c r="AC3178" s="87"/>
      <c r="AD3178" s="466"/>
      <c r="AE3178" s="456"/>
      <c r="AF3178" s="467"/>
      <c r="AG3178" s="87"/>
      <c r="AH3178" s="87"/>
      <c r="AI3178" s="87"/>
    </row>
    <row r="3179" spans="1:35" hidden="1">
      <c r="A3179" s="80" t="e">
        <f>"G"&amp;E3169</f>
        <v>#N/A</v>
      </c>
      <c r="B3179" s="105">
        <v>7</v>
      </c>
      <c r="C3179" s="107"/>
      <c r="D3179" s="107"/>
      <c r="E3179" s="107"/>
      <c r="F3179" s="107"/>
      <c r="G3179" s="83"/>
      <c r="H3179" s="83"/>
      <c r="I3179" s="84"/>
      <c r="J3179" s="85"/>
      <c r="K3179" s="382"/>
      <c r="L3179" s="85"/>
      <c r="M3179" s="332" t="str">
        <f t="shared" si="934"/>
        <v/>
      </c>
      <c r="N3179" s="86"/>
      <c r="O3179" s="86" t="str">
        <f t="shared" si="936"/>
        <v/>
      </c>
      <c r="P3179" s="538" t="str">
        <f t="shared" si="937"/>
        <v/>
      </c>
      <c r="Q3179" s="539" t="str">
        <f t="shared" si="935"/>
        <v/>
      </c>
      <c r="R3179" s="706"/>
      <c r="S3179" s="707"/>
      <c r="T3179" s="708"/>
      <c r="U3179" s="472"/>
      <c r="V3179" s="167"/>
      <c r="W3179" s="446"/>
      <c r="X3179" s="456"/>
      <c r="Y3179" s="436"/>
      <c r="Z3179" s="437"/>
      <c r="AA3179" s="560"/>
      <c r="AB3179" s="561"/>
      <c r="AC3179" s="87"/>
      <c r="AD3179" s="466"/>
      <c r="AE3179" s="456"/>
      <c r="AF3179" s="467"/>
      <c r="AG3179" s="87"/>
      <c r="AH3179" s="87"/>
      <c r="AI3179" s="87"/>
    </row>
    <row r="3180" spans="1:35" hidden="1">
      <c r="A3180" s="80" t="e">
        <f>"H"&amp;E3169</f>
        <v>#N/A</v>
      </c>
      <c r="B3180" s="105">
        <v>8</v>
      </c>
      <c r="C3180" s="107"/>
      <c r="D3180" s="107"/>
      <c r="E3180" s="107"/>
      <c r="F3180" s="107"/>
      <c r="G3180" s="83"/>
      <c r="H3180" s="83"/>
      <c r="I3180" s="84"/>
      <c r="J3180" s="85"/>
      <c r="K3180" s="382"/>
      <c r="L3180" s="85"/>
      <c r="M3180" s="332" t="str">
        <f t="shared" si="934"/>
        <v/>
      </c>
      <c r="N3180" s="453"/>
      <c r="O3180" s="86" t="str">
        <f t="shared" si="936"/>
        <v/>
      </c>
      <c r="P3180" s="538" t="str">
        <f t="shared" si="937"/>
        <v/>
      </c>
      <c r="Q3180" s="539" t="str">
        <f t="shared" si="935"/>
        <v/>
      </c>
      <c r="R3180" s="706"/>
      <c r="S3180" s="707"/>
      <c r="T3180" s="708"/>
      <c r="U3180" s="472"/>
      <c r="V3180" s="167"/>
      <c r="W3180" s="446"/>
      <c r="X3180" s="456"/>
      <c r="Y3180" s="436"/>
      <c r="Z3180" s="437"/>
      <c r="AA3180" s="560"/>
      <c r="AB3180" s="561"/>
      <c r="AC3180" s="87"/>
      <c r="AD3180" s="466"/>
      <c r="AE3180" s="456"/>
      <c r="AF3180" s="467"/>
      <c r="AG3180" s="87"/>
      <c r="AH3180" s="87"/>
      <c r="AI3180" s="87"/>
    </row>
    <row r="3181" spans="1:35" hidden="1">
      <c r="A3181" s="80" t="e">
        <f>"I"&amp;E3169</f>
        <v>#N/A</v>
      </c>
      <c r="B3181" s="105">
        <v>9</v>
      </c>
      <c r="C3181" s="107"/>
      <c r="D3181" s="107"/>
      <c r="E3181" s="107"/>
      <c r="F3181" s="107"/>
      <c r="G3181" s="83"/>
      <c r="H3181" s="83"/>
      <c r="I3181" s="84"/>
      <c r="J3181" s="85"/>
      <c r="K3181" s="382"/>
      <c r="L3181" s="85"/>
      <c r="M3181" s="332" t="str">
        <f t="shared" si="934"/>
        <v/>
      </c>
      <c r="N3181" s="453"/>
      <c r="O3181" s="86" t="str">
        <f t="shared" si="936"/>
        <v/>
      </c>
      <c r="P3181" s="538" t="str">
        <f t="shared" si="937"/>
        <v/>
      </c>
      <c r="Q3181" s="539" t="str">
        <f t="shared" si="935"/>
        <v/>
      </c>
      <c r="R3181" s="706"/>
      <c r="S3181" s="707"/>
      <c r="T3181" s="708"/>
      <c r="U3181" s="472"/>
      <c r="V3181" s="167"/>
      <c r="W3181" s="446"/>
      <c r="X3181" s="456"/>
      <c r="Y3181" s="436"/>
      <c r="Z3181" s="437"/>
      <c r="AA3181" s="560"/>
      <c r="AB3181" s="561"/>
      <c r="AC3181" s="87"/>
      <c r="AD3181" s="466"/>
      <c r="AE3181" s="456"/>
      <c r="AF3181" s="467"/>
      <c r="AG3181" s="87"/>
      <c r="AH3181" s="87"/>
      <c r="AI3181" s="87"/>
    </row>
    <row r="3182" spans="1:35" hidden="1">
      <c r="A3182" s="80" t="e">
        <f>"J"&amp;E3169</f>
        <v>#N/A</v>
      </c>
      <c r="B3182" s="105">
        <v>10</v>
      </c>
      <c r="C3182" s="107"/>
      <c r="D3182" s="107"/>
      <c r="E3182" s="107"/>
      <c r="F3182" s="107"/>
      <c r="G3182" s="83"/>
      <c r="H3182" s="83"/>
      <c r="I3182" s="84"/>
      <c r="J3182" s="85"/>
      <c r="K3182" s="382"/>
      <c r="L3182" s="85"/>
      <c r="M3182" s="332" t="str">
        <f t="shared" si="934"/>
        <v/>
      </c>
      <c r="N3182" s="453"/>
      <c r="O3182" s="86" t="str">
        <f t="shared" si="936"/>
        <v/>
      </c>
      <c r="P3182" s="538" t="str">
        <f t="shared" si="937"/>
        <v/>
      </c>
      <c r="Q3182" s="539" t="str">
        <f t="shared" si="935"/>
        <v/>
      </c>
      <c r="R3182" s="706"/>
      <c r="S3182" s="707"/>
      <c r="T3182" s="708"/>
      <c r="U3182" s="472"/>
      <c r="V3182" s="167"/>
      <c r="W3182" s="446"/>
      <c r="X3182" s="456"/>
      <c r="Y3182" s="436"/>
      <c r="Z3182" s="437"/>
      <c r="AA3182" s="560"/>
      <c r="AB3182" s="561"/>
      <c r="AC3182" s="87"/>
      <c r="AD3182" s="466"/>
      <c r="AE3182" s="456"/>
      <c r="AF3182" s="467"/>
      <c r="AG3182" s="87"/>
      <c r="AH3182" s="87"/>
      <c r="AI3182" s="87"/>
    </row>
    <row r="3183" spans="1:35" ht="16.5" hidden="1" thickBot="1">
      <c r="A3183" s="44"/>
      <c r="B3183" s="89"/>
      <c r="C3183" s="90"/>
      <c r="D3183" s="90"/>
      <c r="E3183" s="90"/>
      <c r="F3183" s="90"/>
      <c r="G3183" s="90"/>
      <c r="H3183" s="90"/>
      <c r="I3183" s="90"/>
      <c r="J3183" s="90"/>
      <c r="K3183" s="90"/>
      <c r="L3183" s="90"/>
      <c r="M3183" s="90"/>
      <c r="N3183" s="90"/>
      <c r="O3183" s="90"/>
      <c r="P3183" s="90"/>
      <c r="Q3183" s="90"/>
      <c r="R3183" s="90"/>
      <c r="S3183" s="91"/>
      <c r="T3183" s="92"/>
      <c r="U3183" s="473"/>
      <c r="W3183" s="438"/>
      <c r="X3183" s="455"/>
      <c r="Y3183" s="439"/>
      <c r="Z3183" s="437"/>
      <c r="AA3183" s="530"/>
      <c r="AB3183" s="563"/>
      <c r="AC3183" s="87"/>
      <c r="AD3183" s="440"/>
      <c r="AE3183" s="441"/>
      <c r="AF3183" s="442"/>
      <c r="AG3183" s="49"/>
      <c r="AH3183" s="87"/>
      <c r="AI3183" s="87"/>
    </row>
    <row r="3184" spans="1:35" ht="16.5" hidden="1" thickBot="1">
      <c r="A3184" s="93"/>
      <c r="B3184" s="94"/>
      <c r="C3184" s="96"/>
      <c r="D3184" s="96"/>
      <c r="E3184" s="96"/>
      <c r="F3184" s="96"/>
      <c r="G3184" s="96"/>
      <c r="H3184" s="96"/>
      <c r="I3184" s="96"/>
      <c r="J3184" s="96"/>
      <c r="K3184" s="96"/>
      <c r="L3184" s="96"/>
      <c r="M3184" s="136"/>
      <c r="N3184" s="96"/>
      <c r="O3184" s="96"/>
      <c r="P3184" s="97"/>
      <c r="Q3184" s="97"/>
      <c r="R3184" s="98"/>
      <c r="S3184" s="95"/>
      <c r="T3184" s="99"/>
      <c r="U3184" s="469"/>
      <c r="AC3184" s="58"/>
      <c r="AG3184" s="58"/>
      <c r="AH3184" s="87"/>
      <c r="AI3184" s="87"/>
    </row>
    <row r="3185" spans="1:35" ht="16.5" hidden="1" thickBot="1">
      <c r="B3185" s="101"/>
      <c r="C3185" s="101"/>
      <c r="D3185" s="101"/>
      <c r="E3185" s="101"/>
      <c r="F3185" s="101"/>
      <c r="G3185" s="101"/>
      <c r="H3185" s="101"/>
      <c r="I3185" s="101"/>
      <c r="J3185" s="101"/>
      <c r="K3185" s="101"/>
      <c r="L3185" s="101"/>
      <c r="M3185" s="101"/>
      <c r="N3185" s="101"/>
      <c r="O3185" s="101"/>
      <c r="P3185" s="101"/>
      <c r="Q3185" s="101"/>
      <c r="R3185" s="101"/>
      <c r="S3185" s="101"/>
      <c r="U3185" s="50"/>
      <c r="AH3185" s="87"/>
      <c r="AI3185" s="87"/>
    </row>
    <row r="3186" spans="1:35" ht="16.5" hidden="1" customHeight="1" thickBot="1">
      <c r="A3186" s="44"/>
      <c r="B3186" s="705" t="s">
        <v>74</v>
      </c>
      <c r="C3186" s="705"/>
      <c r="D3186" s="705"/>
      <c r="E3186" s="705"/>
      <c r="F3186" s="705"/>
      <c r="G3186" s="705"/>
      <c r="H3186" s="705"/>
      <c r="I3186" s="705"/>
      <c r="J3186" s="705"/>
      <c r="K3186" s="705"/>
      <c r="L3186" s="705"/>
      <c r="M3186" s="705"/>
      <c r="N3186" s="705"/>
      <c r="O3186" s="705"/>
      <c r="P3186" s="705"/>
      <c r="Q3186" s="705"/>
      <c r="R3186" s="705"/>
      <c r="S3186" s="705"/>
      <c r="T3186" s="705"/>
      <c r="U3186" s="108"/>
      <c r="Y3186" s="532" t="s">
        <v>341</v>
      </c>
      <c r="AC3186" s="49"/>
      <c r="AD3186" s="687" t="s">
        <v>302</v>
      </c>
      <c r="AE3186" s="688"/>
      <c r="AF3186" s="689"/>
      <c r="AG3186" s="49"/>
      <c r="AH3186" s="87"/>
      <c r="AI3186" s="87"/>
    </row>
    <row r="3187" spans="1:35" ht="16.5" hidden="1" customHeight="1" thickBot="1">
      <c r="A3187" s="218" t="e">
        <f>"K"&amp;E3169</f>
        <v>#N/A</v>
      </c>
      <c r="B3187" s="701" t="s">
        <v>71</v>
      </c>
      <c r="C3187" s="751" t="s">
        <v>102</v>
      </c>
      <c r="D3187" s="751"/>
      <c r="E3187" s="751"/>
      <c r="F3187" s="751"/>
      <c r="G3187" s="751"/>
      <c r="H3187" s="751"/>
      <c r="I3187" s="751"/>
      <c r="J3187" s="751"/>
      <c r="K3187" s="751"/>
      <c r="L3187" s="722" t="s">
        <v>100</v>
      </c>
      <c r="M3187" s="747" t="s">
        <v>114</v>
      </c>
      <c r="N3187" s="747"/>
      <c r="O3187" s="747"/>
      <c r="P3187" s="747"/>
      <c r="Q3187" s="748"/>
      <c r="R3187" s="758" t="s">
        <v>280</v>
      </c>
      <c r="S3187" s="748"/>
      <c r="T3187" s="762" t="str">
        <f>IF(COUNTIF(AE3187:AF3187,"VERIFICAR")&gt;0,"VERIFICAR",IF(COUNTIF(AE3187:AF3187,"NO CUMPLE")&gt;0,"NO CUMPLE","CUMPLE"))</f>
        <v>VERIFICAR</v>
      </c>
      <c r="U3187" s="108"/>
      <c r="Y3187" s="533" t="e">
        <f>IF(F3188="","",IF(F3188=1,"INDIVIDUAL","ESTRUCTURA PLURAL"))</f>
        <v>#N/A</v>
      </c>
      <c r="AC3187" s="52"/>
      <c r="AD3187" s="475" t="s">
        <v>303</v>
      </c>
      <c r="AE3187" s="476" t="str">
        <f>IF(COUNTIF(AE3173:AE3182,"")=10,"VERIFICAR",IF(COUNTIF(AE3173:AE3182,"SI")&gt;0,"CUMPLE","NO CUMPLE"))</f>
        <v>VERIFICAR</v>
      </c>
      <c r="AF3187" s="477" t="str">
        <f>IF(COUNTIF(AF3173:AF3182,"")=10,"VERIFICAR",IF(COUNTIF(AF3173:AF3182,"SI")&gt;=$AI$22,"CUMPLE","NO CUMPLE"))</f>
        <v>VERIFICAR</v>
      </c>
      <c r="AG3187" s="52"/>
      <c r="AH3187" s="87"/>
      <c r="AI3187" s="87"/>
    </row>
    <row r="3188" spans="1:35" ht="15.75" hidden="1" customHeight="1" thickBot="1">
      <c r="A3188" s="218" t="e">
        <f>"L"&amp;E3169</f>
        <v>#N/A</v>
      </c>
      <c r="B3188" s="702"/>
      <c r="C3188" s="751" t="s">
        <v>103</v>
      </c>
      <c r="D3188" s="751"/>
      <c r="E3188" s="752"/>
      <c r="F3188" s="557" t="e">
        <f>IF(VLOOKUP(E3169,PROPONENTES!$C$19:$E$218,3,0)="","",VLOOKUP(E3169,PROPONENTES!$C$19:$E$218,3,0))</f>
        <v>#N/A</v>
      </c>
      <c r="G3188" s="753" t="s">
        <v>104</v>
      </c>
      <c r="H3188" s="751"/>
      <c r="I3188" s="715" t="e">
        <f>IF(OR(F3188="",F3188=1),"INTERESADO PERSONA NATURAL O JURIDICA","CONSORCIO O UNION TEMPORAL")</f>
        <v>#N/A</v>
      </c>
      <c r="J3188" s="725"/>
      <c r="K3188" s="728"/>
      <c r="L3188" s="723"/>
      <c r="M3188" s="749"/>
      <c r="N3188" s="749"/>
      <c r="O3188" s="749"/>
      <c r="P3188" s="749"/>
      <c r="Q3188" s="750"/>
      <c r="R3188" s="712"/>
      <c r="S3188" s="750"/>
      <c r="T3188" s="763"/>
      <c r="U3188" s="108"/>
      <c r="Y3188" s="534"/>
      <c r="AA3188" s="52"/>
      <c r="AB3188" s="52"/>
      <c r="AC3188" s="52"/>
      <c r="AG3188" s="52"/>
      <c r="AH3188" s="87"/>
      <c r="AI3188" s="87"/>
    </row>
    <row r="3189" spans="1:35" ht="56.25" hidden="1" customHeight="1" thickBot="1">
      <c r="A3189" s="218" t="e">
        <f>"M"&amp;E3169</f>
        <v>#N/A</v>
      </c>
      <c r="B3189" s="702"/>
      <c r="C3189" s="725" t="s">
        <v>101</v>
      </c>
      <c r="D3189" s="716"/>
      <c r="E3189" s="558" t="s">
        <v>105</v>
      </c>
      <c r="F3189" s="554" t="s">
        <v>87</v>
      </c>
      <c r="G3189" s="553" t="s">
        <v>86</v>
      </c>
      <c r="H3189" s="559" t="s">
        <v>85</v>
      </c>
      <c r="I3189" s="554" t="s">
        <v>252</v>
      </c>
      <c r="J3189" s="553" t="str">
        <f>"¿EL INTEGRANTE TIENE UNA PARTICIPACIÓN DEL "&amp;PORCREQUERIDOINT*100&amp;"%?"</f>
        <v>¿EL INTEGRANTE TIENE UNA PARTICIPACIÓN DEL 60%?</v>
      </c>
      <c r="K3189" s="554" t="s">
        <v>107</v>
      </c>
      <c r="L3189" s="724"/>
      <c r="M3189" s="717" t="s">
        <v>115</v>
      </c>
      <c r="N3189" s="718"/>
      <c r="O3189" s="718"/>
      <c r="P3189" s="718"/>
      <c r="Q3189" s="223">
        <f>IF(AND(H3173="SI",P3173&gt;=0),1,0)+IF(AND(H3174="SI",P3174&gt;=0),1,0)+IF(AND(H3175="SI",P3175&gt;=0),1,0)+IF(AND(H3176="SI",P3176&gt;=0),1,0)+IF(AND(H3177="SI",P3177&gt;=0),1,0)+IF(AND(H3178="SI",P3178&gt;=0),1,0)+IF(AND(H3179="SI",P3179&gt;=0),1,0)+IF(AND(H3180="SI",P3180&gt;=0),1,0)+IF(AND(H3181="SI",P3181&gt;=0),1,0)+IF(AND(H3182="SI",P3182&gt;=0),1,0)</f>
        <v>0</v>
      </c>
      <c r="R3189" s="759"/>
      <c r="S3189" s="761"/>
      <c r="T3189" s="764"/>
      <c r="U3189" s="219"/>
      <c r="V3189" s="464"/>
      <c r="Y3189" s="532" t="s">
        <v>342</v>
      </c>
      <c r="AA3189" s="550" t="s">
        <v>344</v>
      </c>
      <c r="AB3189" s="693" t="s">
        <v>345</v>
      </c>
      <c r="AC3189" s="693" t="s">
        <v>346</v>
      </c>
      <c r="AD3189" s="685" t="s">
        <v>347</v>
      </c>
      <c r="AE3189" s="52"/>
      <c r="AF3189" s="52"/>
      <c r="AG3189" s="52"/>
      <c r="AH3189" s="87"/>
      <c r="AI3189" s="87"/>
    </row>
    <row r="3190" spans="1:35" ht="15.75" hidden="1" customHeight="1" thickBot="1">
      <c r="A3190" s="218" t="e">
        <f>"N"&amp;E3169</f>
        <v>#N/A</v>
      </c>
      <c r="B3190" s="702"/>
      <c r="C3190" s="114">
        <v>1</v>
      </c>
      <c r="D3190" s="194" t="e">
        <f>IF(AND(C3190&lt;=F3188,F3188&gt;1,F3188&lt;&gt;""),VLOOKUP(VALUE(E3169&amp;","&amp;C3190),INTEGRANTES!$D$18:$F$235,2,0),"")</f>
        <v>#N/A</v>
      </c>
      <c r="E3190" s="211" t="e">
        <f>IF(D3190&lt;&gt;"",VLOOKUP(VALUE(E3169&amp;","&amp;C3190),INTEGRANTES!$D$18:$F$235,3,0),"")</f>
        <v>#N/A</v>
      </c>
      <c r="F3190" s="547" t="e">
        <f>IF(D3190="","",SUMIF($I3173:$I3182,D3190,$P3173:$P3182))</f>
        <v>#N/A</v>
      </c>
      <c r="G3190" s="333" t="e">
        <f>IF(D3190="","",SUMIF($I3173:$I3182,D3190,$M3173:$M3182))</f>
        <v>#N/A</v>
      </c>
      <c r="H3190" s="535" t="e">
        <f t="shared" ref="H3190:H3195" si="938">IF(D3190="","",IF(OR(F3190=0,G3190=0),"NO APORTA",ROUND($F3190/$G3190,3)))</f>
        <v>#N/A</v>
      </c>
      <c r="I3190" s="212" t="e">
        <f>IF(D3190="","",IF(H3190="NO APORTA","NO",IF(H3190=MAX($H3190:$H3195),"SI","NO")))</f>
        <v>#N/A</v>
      </c>
      <c r="J3190" s="213" t="e">
        <f t="shared" ref="J3190:J3195" si="939">IF(D3190="","",IF(E3190&gt;=PORCREQUERIDOINT,"SI","NO"))</f>
        <v>#N/A</v>
      </c>
      <c r="K3190" s="200" t="e">
        <f t="shared" ref="K3190:K3195" si="940">IF(D3190="","",IF(AND(I3190="SI",J3190="SI"),"CUMPLE",IF(AND(I3190="NO",OR(J3190="SI",J3190="NO")),"","NO CUMPLE")))</f>
        <v>#N/A</v>
      </c>
      <c r="L3190" s="722" t="s">
        <v>108</v>
      </c>
      <c r="M3190" s="726" t="s">
        <v>119</v>
      </c>
      <c r="N3190" s="726"/>
      <c r="O3190" s="726"/>
      <c r="P3190" s="726"/>
      <c r="Q3190" s="727"/>
      <c r="R3190" s="758" t="s">
        <v>80</v>
      </c>
      <c r="S3190" s="747"/>
      <c r="T3190" s="748"/>
      <c r="U3190" s="219"/>
      <c r="V3190" s="464"/>
      <c r="Y3190" s="533" t="e">
        <f>IF(Y3187="","",IF(Y3187="INDIVIDUAL","NO APLICA","VERIFICAR CUADRO"))</f>
        <v>#N/A</v>
      </c>
      <c r="AA3190" s="551"/>
      <c r="AB3190" s="694"/>
      <c r="AC3190" s="694"/>
      <c r="AD3190" s="686"/>
      <c r="AE3190" s="52"/>
      <c r="AF3190" s="52"/>
      <c r="AG3190" s="52"/>
      <c r="AH3190" s="87"/>
      <c r="AI3190" s="87"/>
    </row>
    <row r="3191" spans="1:35" ht="27" hidden="1" customHeight="1" thickBot="1">
      <c r="A3191" s="218" t="e">
        <f>"O"&amp;E3169</f>
        <v>#N/A</v>
      </c>
      <c r="B3191" s="702"/>
      <c r="C3191" s="114">
        <v>2</v>
      </c>
      <c r="D3191" s="194" t="e">
        <f>IF(AND(C3191&lt;=F3188,F3188&lt;&gt;""),VLOOKUP(VALUE(E3169&amp;","&amp;C3191),INTEGRANTES!$D$18:$F$235,2,0),"")</f>
        <v>#N/A</v>
      </c>
      <c r="E3191" s="211" t="e">
        <f>IF(D3191&lt;&gt;"",VLOOKUP(VALUE(E3169&amp;","&amp;C3191),INTEGRANTES!$D$18:$F$235,3,0),"")</f>
        <v>#N/A</v>
      </c>
      <c r="F3191" s="547" t="e">
        <f>IF(D3191="","",SUMIF($I3173:$I3182,D3191,$P3173:$P3182))</f>
        <v>#N/A</v>
      </c>
      <c r="G3191" s="333" t="e">
        <f>IF(D3191="","",SUMIF($I3173:$I3182,D3191,$M3173:$M3182))</f>
        <v>#N/A</v>
      </c>
      <c r="H3191" s="535" t="e">
        <f t="shared" si="938"/>
        <v>#N/A</v>
      </c>
      <c r="I3191" s="212" t="e">
        <f>IF(D3191="","",IF(H3191="NO APORTA","NO",IF(H3191=MAX($H3190:$H3195),"SI","NO")))</f>
        <v>#N/A</v>
      </c>
      <c r="J3191" s="213" t="e">
        <f t="shared" si="939"/>
        <v>#N/A</v>
      </c>
      <c r="K3191" s="200" t="e">
        <f t="shared" si="940"/>
        <v>#N/A</v>
      </c>
      <c r="L3191" s="723"/>
      <c r="M3191" s="715" t="s">
        <v>116</v>
      </c>
      <c r="N3191" s="716"/>
      <c r="O3191" s="556" t="s">
        <v>113</v>
      </c>
      <c r="P3191" s="715" t="s">
        <v>117</v>
      </c>
      <c r="Q3191" s="728"/>
      <c r="R3191" s="759"/>
      <c r="S3191" s="760"/>
      <c r="T3191" s="761"/>
      <c r="U3191" s="219"/>
      <c r="V3191" s="464"/>
      <c r="Y3191" s="414"/>
      <c r="AA3191" s="542" t="e">
        <f>IF(AND(C3190&lt;=F3188,F3188&gt;1,F3188&lt;&gt;""),VLOOKUP(VALUE(E3169&amp;","&amp;C3190),INTEGRANTES!$D$18:$F$235,2,0),"")</f>
        <v>#N/A</v>
      </c>
      <c r="AB3191" s="544" t="e">
        <f t="shared" ref="AB3191:AB3196" si="941">IF(D3190="","",IF(OR(F3190=0,G3190=0),"NO APORTA",ROUND($F3190/$G3190,3)))</f>
        <v>#N/A</v>
      </c>
      <c r="AC3191" s="529"/>
      <c r="AD3191" s="200" t="e">
        <f t="shared" ref="AD3191:AD3196" si="942">IF(OR(AA3191="",AB3191=""),"",IF(AND(AC3191="X",AB3191&gt;=EXPREQVTD),"CUMPLE","NO CUMPLE"))</f>
        <v>#N/A</v>
      </c>
      <c r="AE3191" s="52"/>
      <c r="AF3191" s="52"/>
      <c r="AG3191" s="52"/>
      <c r="AH3191" s="87"/>
      <c r="AI3191" s="87"/>
    </row>
    <row r="3192" spans="1:35" ht="16.5" hidden="1" thickBot="1">
      <c r="A3192" s="218" t="e">
        <f>"P"&amp;E3169</f>
        <v>#N/A</v>
      </c>
      <c r="B3192" s="702"/>
      <c r="C3192" s="114">
        <v>3</v>
      </c>
      <c r="D3192" s="194" t="e">
        <f>IF(AND(C3192&lt;=F3188,F3188&lt;&gt;""),VLOOKUP(VALUE(E3169&amp;","&amp;C3192),INTEGRANTES!$D$18:$F$235,2,0),"")</f>
        <v>#N/A</v>
      </c>
      <c r="E3192" s="211" t="e">
        <f>IF(D3192&lt;&gt;"",VLOOKUP(VALUE(E3169&amp;","&amp;C3192),INTEGRANTES!$D$18:$F$235,3,0),"")</f>
        <v>#N/A</v>
      </c>
      <c r="F3192" s="547" t="e">
        <f>IF(D3192="","",SUMIF($I3173:$I3182,D3192,$P3173:$P3182))</f>
        <v>#N/A</v>
      </c>
      <c r="G3192" s="333" t="e">
        <f>IF(D3192="","",SUMIF($I3173:$I3182,D3192,$M3173:$M3182))</f>
        <v>#N/A</v>
      </c>
      <c r="H3192" s="535" t="e">
        <f t="shared" si="938"/>
        <v>#N/A</v>
      </c>
      <c r="I3192" s="212" t="e">
        <f>IF(D3192="","",IF(H3192="NO APORTA","NO",IF(H3192=MAX($H3190:$H3195),"SI","NO")))</f>
        <v>#N/A</v>
      </c>
      <c r="J3192" s="213" t="e">
        <f t="shared" si="939"/>
        <v>#N/A</v>
      </c>
      <c r="K3192" s="200" t="e">
        <f t="shared" si="940"/>
        <v>#N/A</v>
      </c>
      <c r="L3192" s="724"/>
      <c r="M3192" s="729">
        <f>NUMMOD</f>
        <v>1</v>
      </c>
      <c r="N3192" s="730"/>
      <c r="O3192" s="443">
        <f>IF(M3192="","",VLOOKUP(M3192,PRESUPUESTOS!$B$16:$H$16,5,FALSE))</f>
        <v>2</v>
      </c>
      <c r="P3192" s="713">
        <f>IF(OR(COUNTIF(M3173:M3182,"")&gt;=10,Q3189&lt;NUMMINCONT,OR(T3187="NO CUMPLE",T3187="VERIFICAR")),0,ROUND(AVERAGE(M3173:M3182),3))</f>
        <v>0</v>
      </c>
      <c r="Q3192" s="714"/>
      <c r="R3192" s="458"/>
      <c r="S3192" s="459"/>
      <c r="T3192" s="460"/>
      <c r="U3192" s="219"/>
      <c r="V3192" s="464"/>
      <c r="Y3192" s="532" t="str">
        <f>"40% * ("&amp;PRESUPUESTOS!$H$13&amp;")"</f>
        <v>40% * (50% PFMO)</v>
      </c>
      <c r="AA3192" s="540" t="e">
        <f>IF(AND(C3191&lt;=F3188,F3188&lt;&gt;""),VLOOKUP(VALUE(E3169&amp;","&amp;C3191),INTEGRANTES!$D$18:$F$235,2,0),"")</f>
        <v>#N/A</v>
      </c>
      <c r="AB3192" s="545" t="e">
        <f t="shared" si="941"/>
        <v>#N/A</v>
      </c>
      <c r="AC3192" s="529"/>
      <c r="AD3192" s="200" t="e">
        <f t="shared" si="942"/>
        <v>#N/A</v>
      </c>
      <c r="AE3192" s="52"/>
      <c r="AF3192" s="52"/>
      <c r="AG3192" s="52"/>
      <c r="AH3192" s="87"/>
      <c r="AI3192" s="87"/>
    </row>
    <row r="3193" spans="1:35" ht="15.75" hidden="1" customHeight="1" thickBot="1">
      <c r="A3193" s="218" t="e">
        <f>"Q"&amp;E3169</f>
        <v>#N/A</v>
      </c>
      <c r="B3193" s="702"/>
      <c r="C3193" s="114">
        <v>4</v>
      </c>
      <c r="D3193" s="194" t="e">
        <f>IF(AND(C3193&lt;=F3188,F3188&lt;&gt;""),VLOOKUP(VALUE(E3169&amp;","&amp;C3193),INTEGRANTES!$D$18:$F$235,2,0),"")</f>
        <v>#N/A</v>
      </c>
      <c r="E3193" s="211" t="e">
        <f>IF(D3193&lt;&gt;"",VLOOKUP(VALUE(E3169&amp;","&amp;C3193),INTEGRANTES!$D$18:$F$235,3,0),"")</f>
        <v>#N/A</v>
      </c>
      <c r="F3193" s="547" t="e">
        <f>IF(D3193="","",SUMIF($I3173:$I3182,D3193,$P3173:$P3182))</f>
        <v>#N/A</v>
      </c>
      <c r="G3193" s="333" t="e">
        <f>IF(D3193="","",SUMIF($I3173:$I3182,D3193,$M3173:$M3182))</f>
        <v>#N/A</v>
      </c>
      <c r="H3193" s="535" t="e">
        <f t="shared" si="938"/>
        <v>#N/A</v>
      </c>
      <c r="I3193" s="212" t="e">
        <f>IF(D3193="","",IF(H3193="NO APORTA","NO",IF(H3193=MAX($H3190:$H3195),"SI","NO")))</f>
        <v>#N/A</v>
      </c>
      <c r="J3193" s="213" t="e">
        <f t="shared" si="939"/>
        <v>#N/A</v>
      </c>
      <c r="K3193" s="200" t="e">
        <f t="shared" si="940"/>
        <v>#N/A</v>
      </c>
      <c r="L3193" s="720" t="s">
        <v>109</v>
      </c>
      <c r="M3193" s="757" t="s">
        <v>120</v>
      </c>
      <c r="N3193" s="726"/>
      <c r="O3193" s="726"/>
      <c r="P3193" s="726"/>
      <c r="Q3193" s="727"/>
      <c r="R3193" s="458"/>
      <c r="S3193" s="459"/>
      <c r="T3193" s="460"/>
      <c r="U3193" s="219"/>
      <c r="V3193" s="464"/>
      <c r="Y3193" s="537">
        <f>0.4*PRESUPUESTOS!$H$16</f>
        <v>10.3124</v>
      </c>
      <c r="AA3193" s="540" t="e">
        <f>IF(AND(C3192&lt;=F3188,F3188&lt;&gt;""),VLOOKUP(VALUE(E3169&amp;","&amp;C3192),INTEGRANTES!$D$18:$F$235,2,0),"")</f>
        <v>#N/A</v>
      </c>
      <c r="AB3193" s="545" t="e">
        <f t="shared" si="941"/>
        <v>#N/A</v>
      </c>
      <c r="AC3193" s="529"/>
      <c r="AD3193" s="200" t="e">
        <f t="shared" si="942"/>
        <v>#N/A</v>
      </c>
      <c r="AE3193" s="52"/>
      <c r="AF3193" s="52"/>
      <c r="AG3193" s="52"/>
      <c r="AH3193" s="87"/>
      <c r="AI3193" s="87"/>
    </row>
    <row r="3194" spans="1:35" ht="27" hidden="1" customHeight="1" thickBot="1">
      <c r="A3194" s="218" t="e">
        <f>"R"&amp;E3169</f>
        <v>#N/A</v>
      </c>
      <c r="B3194" s="702"/>
      <c r="C3194" s="114">
        <v>5</v>
      </c>
      <c r="D3194" s="194" t="e">
        <f>IF(AND(C3194&lt;=F3188,F3188&lt;&gt;""),VLOOKUP(VALUE(E3169&amp;","&amp;C3194),INTEGRANTES!$D$18:$F$235,2,0),"")</f>
        <v>#N/A</v>
      </c>
      <c r="E3194" s="211" t="e">
        <f>IF(D3194&lt;&gt;"",VLOOKUP(VALUE(E3169&amp;","&amp;C3194),INTEGRANTES!$D$18:$F$235,3,0),"")</f>
        <v>#N/A</v>
      </c>
      <c r="F3194" s="547" t="e">
        <f>IF(D3194="","",SUMIF($I3173:$I3182,D3194,$P3173:$P3182))</f>
        <v>#N/A</v>
      </c>
      <c r="G3194" s="333" t="e">
        <f>IF(D3194="","",SUMIF($I3173:$I3182,D3194,$M3173:$M3182))</f>
        <v>#N/A</v>
      </c>
      <c r="H3194" s="535" t="e">
        <f t="shared" si="938"/>
        <v>#N/A</v>
      </c>
      <c r="I3194" s="212" t="e">
        <f>IF(D3194="","",IF(H3194="NO APORTA","NO",IF(H3194=MAX($H3190:$H3195),"SI","NO")))</f>
        <v>#N/A</v>
      </c>
      <c r="J3194" s="213" t="e">
        <f t="shared" si="939"/>
        <v>#N/A</v>
      </c>
      <c r="K3194" s="200" t="e">
        <f t="shared" si="940"/>
        <v>#N/A</v>
      </c>
      <c r="L3194" s="721"/>
      <c r="M3194" s="715" t="s">
        <v>116</v>
      </c>
      <c r="N3194" s="716"/>
      <c r="O3194" s="556" t="str">
        <f>PORCREQUERIDO*100&amp;"% PMFO DEL MÓDULO"</f>
        <v>50% PMFO DEL MÓDULO</v>
      </c>
      <c r="P3194" s="715" t="s">
        <v>118</v>
      </c>
      <c r="Q3194" s="728"/>
      <c r="R3194" s="458"/>
      <c r="S3194" s="459"/>
      <c r="T3194" s="460"/>
      <c r="U3194" s="219"/>
      <c r="V3194" s="464"/>
      <c r="Y3194" s="414"/>
      <c r="AA3194" s="540" t="e">
        <f>IF(AND(C3193&lt;=F3188,F3188&lt;&gt;""),VLOOKUP(VALUE(E3169&amp;","&amp;C3193),INTEGRANTES!$D$18:$F$235,2,0),"")</f>
        <v>#N/A</v>
      </c>
      <c r="AB3194" s="545" t="e">
        <f t="shared" si="941"/>
        <v>#N/A</v>
      </c>
      <c r="AC3194" s="529"/>
      <c r="AD3194" s="200" t="e">
        <f t="shared" si="942"/>
        <v>#N/A</v>
      </c>
      <c r="AE3194" s="52"/>
      <c r="AF3194" s="52"/>
      <c r="AG3194" s="52"/>
      <c r="AH3194" s="87"/>
      <c r="AI3194" s="87"/>
    </row>
    <row r="3195" spans="1:35" ht="16.5" hidden="1" thickBot="1">
      <c r="A3195" s="218" t="e">
        <f>"S"&amp;E3169</f>
        <v>#N/A</v>
      </c>
      <c r="B3195" s="702"/>
      <c r="C3195" s="215">
        <v>6</v>
      </c>
      <c r="D3195" s="216" t="e">
        <f>IF(AND(C3195&lt;=F3188,F3188&lt;&gt;""),VLOOKUP(VALUE(E3169&amp;","&amp;C3195),INTEGRANTES!$D$18:$F$235,2,0),"")</f>
        <v>#N/A</v>
      </c>
      <c r="E3195" s="217" t="e">
        <f>IF(D3195&lt;&gt;"",VLOOKUP(VALUE(E3169&amp;","&amp;C3195),INTEGRANTES!$D$18:$F$235,3,0),"")</f>
        <v>#N/A</v>
      </c>
      <c r="F3195" s="548" t="e">
        <f>IF(D3195="","",SUMIF($I3173:$I3182,D3195,$P3173:$P3182))</f>
        <v>#N/A</v>
      </c>
      <c r="G3195" s="334" t="e">
        <f>IF(D3195="","",SUMIF($I3173:$I3182,D3195,$M3173:$M3182))</f>
        <v>#N/A</v>
      </c>
      <c r="H3195" s="536" t="e">
        <f t="shared" si="938"/>
        <v>#N/A</v>
      </c>
      <c r="I3195" s="214" t="e">
        <f>IF(D3195="","",IF(H3195="NO APORTA","NO",IF(H3195=MAX($H3190:$H3195),"SI","NO")))</f>
        <v>#N/A</v>
      </c>
      <c r="J3195" s="213" t="e">
        <f t="shared" si="939"/>
        <v>#N/A</v>
      </c>
      <c r="K3195" s="200" t="e">
        <f t="shared" si="940"/>
        <v>#N/A</v>
      </c>
      <c r="L3195" s="721"/>
      <c r="M3195" s="729">
        <f>NUMMOD</f>
        <v>1</v>
      </c>
      <c r="N3195" s="730"/>
      <c r="O3195" s="443">
        <f>IF(M3195="","",ROUND(VLOOKUP(M3195,PRESUPUESTOS!$B$16:$H$16,7,FALSE),3))</f>
        <v>25.780999999999999</v>
      </c>
      <c r="P3195" s="713">
        <f>IF(OR(COUNTIF(P3173:P3182,"")&gt;=10,Q3189&lt;NUMMINCONT,OR(T3187="NO CUMPLE",T3187="VERIFICAR")),0,ROUND((SUM(P3173:P3182)/SUM(M3173:M3182)),3))</f>
        <v>0</v>
      </c>
      <c r="Q3195" s="714"/>
      <c r="R3195" s="458"/>
      <c r="S3195" s="459"/>
      <c r="T3195" s="460"/>
      <c r="U3195" s="219"/>
      <c r="V3195" s="464"/>
      <c r="Y3195" s="532" t="s">
        <v>343</v>
      </c>
      <c r="AA3195" s="540" t="e">
        <f>IF(AND(C3194&lt;=F3188,F3188&lt;&gt;""),VLOOKUP(VALUE(E3169&amp;","&amp;C3194),INTEGRANTES!$D$18:$F$235,2,0),"")</f>
        <v>#N/A</v>
      </c>
      <c r="AB3195" s="545" t="e">
        <f t="shared" si="941"/>
        <v>#N/A</v>
      </c>
      <c r="AC3195" s="529"/>
      <c r="AD3195" s="200" t="e">
        <f t="shared" si="942"/>
        <v>#N/A</v>
      </c>
      <c r="AE3195" s="52"/>
      <c r="AF3195" s="52"/>
      <c r="AG3195" s="52"/>
      <c r="AH3195" s="87"/>
      <c r="AI3195" s="87"/>
    </row>
    <row r="3196" spans="1:35" ht="16.5" hidden="1" customHeight="1" thickBot="1">
      <c r="A3196" s="218" t="e">
        <f>"T"&amp;E3169</f>
        <v>#N/A</v>
      </c>
      <c r="B3196" s="703"/>
      <c r="C3196" s="719"/>
      <c r="D3196" s="719"/>
      <c r="E3196" s="719"/>
      <c r="F3196" s="719"/>
      <c r="G3196" s="719"/>
      <c r="H3196" s="719" t="s">
        <v>110</v>
      </c>
      <c r="I3196" s="719"/>
      <c r="J3196" s="719"/>
      <c r="K3196" s="201" t="str">
        <f>IF(COUNTIF(K3190:K3195,"")=6,"",IF(COUNTIF(K3190:K3195,"CUMPLE")&gt;0,"CUMPLE","NO CUMPLE"))</f>
        <v>NO CUMPLE</v>
      </c>
      <c r="L3196" s="754"/>
      <c r="M3196" s="755"/>
      <c r="N3196" s="755"/>
      <c r="O3196" s="755"/>
      <c r="P3196" s="755"/>
      <c r="Q3196" s="756"/>
      <c r="R3196" s="461"/>
      <c r="S3196" s="462"/>
      <c r="T3196" s="463"/>
      <c r="U3196" s="219"/>
      <c r="V3196" s="464"/>
      <c r="Y3196" s="549" t="e">
        <f>IF(Y3190="NO APLICA","NO APLICA",IF(COUNTIF(AD3191:AD3196,"CUMPLE")&gt;0,"CUMPLE","NO CUMPLE"))</f>
        <v>#N/A</v>
      </c>
      <c r="AA3196" s="541" t="e">
        <f>IF(AND(C3195&lt;=F3188,F3188&lt;&gt;""),VLOOKUP(VALUE(E3169&amp;","&amp;C3195),INTEGRANTES!$D$18:$F$235,2,0),"")</f>
        <v>#N/A</v>
      </c>
      <c r="AB3196" s="546" t="e">
        <f t="shared" si="941"/>
        <v>#N/A</v>
      </c>
      <c r="AC3196" s="543"/>
      <c r="AD3196" s="201" t="e">
        <f t="shared" si="942"/>
        <v>#N/A</v>
      </c>
      <c r="AE3196" s="52"/>
      <c r="AF3196" s="52"/>
      <c r="AG3196" s="52"/>
      <c r="AH3196" s="87"/>
      <c r="AI3196" s="87"/>
    </row>
    <row r="3197" spans="1:35" hidden="1">
      <c r="AH3197" s="87"/>
      <c r="AI3197" s="87"/>
    </row>
    <row r="3198" spans="1:35" hidden="1">
      <c r="AH3198" s="87"/>
      <c r="AI3198" s="87"/>
    </row>
    <row r="3199" spans="1:35" ht="24" hidden="1" thickBot="1">
      <c r="A3199" s="61">
        <v>107</v>
      </c>
      <c r="B3199" s="704" t="s">
        <v>51</v>
      </c>
      <c r="C3199" s="704"/>
      <c r="D3199" s="704"/>
      <c r="E3199" s="62" t="e">
        <f>VLOOKUP(A3199,PROPONENTES!$B$19:$E$218,2,FALSE)</f>
        <v>#N/A</v>
      </c>
      <c r="F3199" s="63" t="e">
        <f>VLOOKUP(A3199,PROPONENTES!$B$19:$E$218,3,FALSE)</f>
        <v>#N/A</v>
      </c>
      <c r="G3199" s="64"/>
      <c r="H3199" s="64"/>
      <c r="I3199" s="63"/>
      <c r="J3199" s="63"/>
      <c r="K3199" s="65"/>
      <c r="L3199" s="65"/>
      <c r="M3199" s="64"/>
      <c r="N3199" s="64"/>
      <c r="O3199" s="66"/>
      <c r="P3199" s="66"/>
      <c r="Q3199" s="66"/>
      <c r="R3199" s="66"/>
      <c r="S3199" s="67"/>
      <c r="T3199" s="68"/>
      <c r="U3199" s="68"/>
      <c r="AC3199" s="68"/>
      <c r="AD3199" s="68"/>
      <c r="AE3199" s="68"/>
      <c r="AF3199" s="68"/>
      <c r="AG3199" s="68"/>
      <c r="AH3199" s="87"/>
      <c r="AI3199" s="87"/>
    </row>
    <row r="3200" spans="1:35" ht="15.75" hidden="1" customHeight="1">
      <c r="A3200" s="44"/>
      <c r="B3200" s="709" t="s">
        <v>59</v>
      </c>
      <c r="C3200" s="552" t="s">
        <v>60</v>
      </c>
      <c r="D3200" s="70" t="s">
        <v>17</v>
      </c>
      <c r="E3200" s="70"/>
      <c r="F3200" s="70" t="s">
        <v>61</v>
      </c>
      <c r="G3200" s="71"/>
      <c r="H3200" s="699" t="s">
        <v>62</v>
      </c>
      <c r="I3200" s="699" t="s">
        <v>18</v>
      </c>
      <c r="J3200" s="699" t="s">
        <v>63</v>
      </c>
      <c r="K3200" s="699" t="s">
        <v>64</v>
      </c>
      <c r="L3200" s="699" t="s">
        <v>65</v>
      </c>
      <c r="M3200" s="743" t="s">
        <v>66</v>
      </c>
      <c r="N3200" s="699" t="s">
        <v>282</v>
      </c>
      <c r="O3200" s="745" t="s">
        <v>67</v>
      </c>
      <c r="P3200" s="746"/>
      <c r="Q3200" s="102" t="s">
        <v>75</v>
      </c>
      <c r="R3200" s="731" t="s">
        <v>22</v>
      </c>
      <c r="S3200" s="732"/>
      <c r="T3200" s="733"/>
      <c r="U3200" s="712" t="s">
        <v>298</v>
      </c>
      <c r="W3200" s="690" t="s">
        <v>268</v>
      </c>
      <c r="X3200" s="691"/>
      <c r="Y3200" s="692"/>
      <c r="Z3200" s="428"/>
      <c r="AA3200" s="697" t="s">
        <v>315</v>
      </c>
      <c r="AB3200" s="695" t="s">
        <v>322</v>
      </c>
      <c r="AC3200" s="49"/>
      <c r="AD3200" s="690" t="s">
        <v>297</v>
      </c>
      <c r="AE3200" s="691"/>
      <c r="AF3200" s="692"/>
      <c r="AG3200" s="49"/>
      <c r="AH3200" s="87"/>
      <c r="AI3200" s="87"/>
    </row>
    <row r="3201" spans="1:35" ht="72" hidden="1">
      <c r="A3201" s="44"/>
      <c r="B3201" s="710"/>
      <c r="C3201" s="553" t="s">
        <v>68</v>
      </c>
      <c r="D3201" s="73" t="s">
        <v>3</v>
      </c>
      <c r="E3201" s="73" t="s">
        <v>19</v>
      </c>
      <c r="F3201" s="73" t="s">
        <v>69</v>
      </c>
      <c r="G3201" s="74" t="s">
        <v>70</v>
      </c>
      <c r="H3201" s="700"/>
      <c r="I3201" s="700"/>
      <c r="J3201" s="700"/>
      <c r="K3201" s="700"/>
      <c r="L3201" s="700"/>
      <c r="M3201" s="744"/>
      <c r="N3201" s="700"/>
      <c r="O3201" s="553" t="s">
        <v>279</v>
      </c>
      <c r="P3201" s="73" t="s">
        <v>88</v>
      </c>
      <c r="Q3201" s="555" t="s">
        <v>76</v>
      </c>
      <c r="R3201" s="734"/>
      <c r="S3201" s="735"/>
      <c r="T3201" s="736"/>
      <c r="U3201" s="712"/>
      <c r="W3201" s="429" t="s">
        <v>269</v>
      </c>
      <c r="X3201" s="457" t="s">
        <v>278</v>
      </c>
      <c r="Y3201" s="430" t="s">
        <v>324</v>
      </c>
      <c r="Z3201" s="428"/>
      <c r="AA3201" s="698"/>
      <c r="AB3201" s="696"/>
      <c r="AC3201" s="49"/>
      <c r="AD3201" s="429" t="s">
        <v>292</v>
      </c>
      <c r="AE3201" s="431" t="s">
        <v>300</v>
      </c>
      <c r="AF3201" s="468" t="s">
        <v>301</v>
      </c>
      <c r="AG3201" s="49"/>
      <c r="AH3201" s="87"/>
      <c r="AI3201" s="87"/>
    </row>
    <row r="3202" spans="1:35" hidden="1">
      <c r="A3202" s="44"/>
      <c r="B3202" s="76"/>
      <c r="C3202" s="77"/>
      <c r="D3202" s="77"/>
      <c r="E3202" s="77"/>
      <c r="F3202" s="77"/>
      <c r="G3202" s="77"/>
      <c r="H3202" s="77"/>
      <c r="I3202" s="77"/>
      <c r="J3202" s="77"/>
      <c r="K3202" s="77"/>
      <c r="L3202" s="77"/>
      <c r="M3202" s="77"/>
      <c r="N3202" s="77"/>
      <c r="O3202" s="77"/>
      <c r="P3202" s="77"/>
      <c r="Q3202" s="77"/>
      <c r="R3202" s="77"/>
      <c r="S3202" s="78"/>
      <c r="T3202" s="79"/>
      <c r="U3202" s="109"/>
      <c r="V3202" s="49"/>
      <c r="W3202" s="432"/>
      <c r="X3202" s="454"/>
      <c r="Y3202" s="433"/>
      <c r="Z3202" s="6"/>
      <c r="AA3202" s="500"/>
      <c r="AB3202" s="562"/>
      <c r="AC3202" s="49"/>
      <c r="AD3202" s="210"/>
      <c r="AE3202" s="434"/>
      <c r="AF3202" s="435"/>
      <c r="AG3202" s="49"/>
      <c r="AH3202" s="87"/>
      <c r="AI3202" s="87"/>
    </row>
    <row r="3203" spans="1:35" hidden="1">
      <c r="A3203" s="80" t="e">
        <f>"A"&amp;E3199</f>
        <v>#N/A</v>
      </c>
      <c r="B3203" s="81">
        <v>1</v>
      </c>
      <c r="C3203" s="82"/>
      <c r="D3203" s="82"/>
      <c r="E3203" s="82"/>
      <c r="F3203" s="82"/>
      <c r="G3203" s="83"/>
      <c r="H3203" s="83"/>
      <c r="I3203" s="84"/>
      <c r="J3203" s="85"/>
      <c r="K3203" s="382"/>
      <c r="L3203" s="85"/>
      <c r="M3203" s="332" t="str">
        <f t="shared" ref="M3203:M3212" si="943">IF(OR(J3203="",L3203="",H3203="NO"),"",IF(OR(J3203&gt;$P$17,J3203&lt;$O$17,L3203&gt;$P$17,AND(J3203&lt;$O$17,L3203&lt;$O$17)),"FUERA DE RANGO",IF(OR(K3203="---",K3203=""),IF(J3203&gt;=$O$17,ROUND((L3203-J3203+1)/360*12,3),ROUND((L3203-$O$17+1)/360*12,3)),IF(J3203&gt;=$O$17,ROUND((L3203-J3203+1)/360*12-ROUND(K3203,3),3),ROUND((L3203-$O$17+1)/360*12-ROUND(K3203,3),3)))))</f>
        <v/>
      </c>
      <c r="N3203" s="86"/>
      <c r="O3203" s="453" t="str">
        <f>IF(OR(G3203="",N3203=""),"",N3203*G3203)</f>
        <v/>
      </c>
      <c r="P3203" s="538" t="str">
        <f>IF(OR(H3203="",M3203="FUERA DE RANGO"),"",IF(OR(L3203&lt;$O$17,L3203&gt;$P$17,L3203="",H3203="NO"),"",IF(OR(N3203="",O3203=""),"",ROUND(O3203,3))))</f>
        <v/>
      </c>
      <c r="Q3203" s="539" t="str">
        <f t="shared" ref="Q3203:Q3212" si="944">IF(AND(H3203="SI",P3203&lt;&gt;""),ROUND(P3203/M3203,3),"")</f>
        <v/>
      </c>
      <c r="R3203" s="737"/>
      <c r="S3203" s="738"/>
      <c r="T3203" s="739"/>
      <c r="U3203" s="470"/>
      <c r="V3203" s="165"/>
      <c r="W3203" s="446"/>
      <c r="X3203" s="456"/>
      <c r="Y3203" s="436"/>
      <c r="Z3203" s="437"/>
      <c r="AA3203" s="560"/>
      <c r="AB3203" s="561"/>
      <c r="AC3203" s="87"/>
      <c r="AD3203" s="466"/>
      <c r="AE3203" s="456"/>
      <c r="AF3203" s="467"/>
      <c r="AG3203" s="87"/>
      <c r="AH3203" s="87"/>
      <c r="AI3203" s="87"/>
    </row>
    <row r="3204" spans="1:35" hidden="1">
      <c r="A3204" s="80" t="e">
        <f>"B"&amp;E3199</f>
        <v>#N/A</v>
      </c>
      <c r="B3204" s="81">
        <v>2</v>
      </c>
      <c r="C3204" s="106"/>
      <c r="D3204" s="106"/>
      <c r="E3204" s="106"/>
      <c r="F3204" s="106"/>
      <c r="G3204" s="83"/>
      <c r="H3204" s="83"/>
      <c r="I3204" s="84"/>
      <c r="J3204" s="85"/>
      <c r="K3204" s="382"/>
      <c r="L3204" s="85"/>
      <c r="M3204" s="332" t="str">
        <f t="shared" si="943"/>
        <v/>
      </c>
      <c r="N3204" s="86"/>
      <c r="O3204" s="453" t="str">
        <f t="shared" ref="O3204:O3212" si="945">IF(OR(G3204="",N3204=""),"",N3204*G3204)</f>
        <v/>
      </c>
      <c r="P3204" s="538" t="str">
        <f t="shared" ref="P3204:P3212" si="946">IF(OR(H3204="",M3204="FUERA DE RANGO"),"",IF(OR(L3204&lt;$O$17,L3204&gt;$P$17,L3204="",H3204="NO"),"",IF(OR(N3204="",O3204=""),"",ROUND(O3204,3))))</f>
        <v/>
      </c>
      <c r="Q3204" s="539" t="str">
        <f t="shared" si="944"/>
        <v/>
      </c>
      <c r="R3204" s="740"/>
      <c r="S3204" s="741"/>
      <c r="T3204" s="742"/>
      <c r="U3204" s="471"/>
      <c r="V3204" s="165"/>
      <c r="W3204" s="446"/>
      <c r="X3204" s="456"/>
      <c r="Y3204" s="436"/>
      <c r="Z3204" s="437"/>
      <c r="AA3204" s="560"/>
      <c r="AB3204" s="561"/>
      <c r="AC3204" s="87"/>
      <c r="AD3204" s="466"/>
      <c r="AE3204" s="456"/>
      <c r="AF3204" s="467"/>
      <c r="AG3204" s="87"/>
      <c r="AH3204" s="87"/>
      <c r="AI3204" s="87"/>
    </row>
    <row r="3205" spans="1:35" hidden="1">
      <c r="A3205" s="80" t="e">
        <f>"C"&amp;E3199</f>
        <v>#N/A</v>
      </c>
      <c r="B3205" s="88">
        <v>3</v>
      </c>
      <c r="C3205" s="82"/>
      <c r="D3205" s="82"/>
      <c r="E3205" s="82"/>
      <c r="F3205" s="82"/>
      <c r="G3205" s="83"/>
      <c r="H3205" s="83"/>
      <c r="I3205" s="84"/>
      <c r="J3205" s="85"/>
      <c r="K3205" s="382"/>
      <c r="L3205" s="85"/>
      <c r="M3205" s="332" t="str">
        <f t="shared" si="943"/>
        <v/>
      </c>
      <c r="N3205" s="86"/>
      <c r="O3205" s="453" t="str">
        <f t="shared" si="945"/>
        <v/>
      </c>
      <c r="P3205" s="538" t="str">
        <f t="shared" si="946"/>
        <v/>
      </c>
      <c r="Q3205" s="539" t="str">
        <f t="shared" si="944"/>
        <v/>
      </c>
      <c r="R3205" s="706"/>
      <c r="S3205" s="707"/>
      <c r="T3205" s="708"/>
      <c r="U3205" s="472"/>
      <c r="V3205" s="166"/>
      <c r="W3205" s="446"/>
      <c r="X3205" s="456"/>
      <c r="Y3205" s="436"/>
      <c r="Z3205" s="437"/>
      <c r="AA3205" s="560"/>
      <c r="AB3205" s="561"/>
      <c r="AC3205" s="87"/>
      <c r="AD3205" s="466"/>
      <c r="AE3205" s="456"/>
      <c r="AF3205" s="467"/>
      <c r="AG3205" s="87"/>
      <c r="AH3205" s="87"/>
      <c r="AI3205" s="87"/>
    </row>
    <row r="3206" spans="1:35" hidden="1">
      <c r="A3206" s="80" t="e">
        <f>"D"&amp;E3199</f>
        <v>#N/A</v>
      </c>
      <c r="B3206" s="105">
        <v>4</v>
      </c>
      <c r="C3206" s="107"/>
      <c r="D3206" s="107"/>
      <c r="E3206" s="107"/>
      <c r="F3206" s="107"/>
      <c r="G3206" s="83"/>
      <c r="H3206" s="83"/>
      <c r="I3206" s="84"/>
      <c r="J3206" s="85"/>
      <c r="K3206" s="382"/>
      <c r="L3206" s="85"/>
      <c r="M3206" s="332" t="str">
        <f t="shared" si="943"/>
        <v/>
      </c>
      <c r="N3206" s="86"/>
      <c r="O3206" s="453" t="str">
        <f t="shared" si="945"/>
        <v/>
      </c>
      <c r="P3206" s="538" t="str">
        <f t="shared" si="946"/>
        <v/>
      </c>
      <c r="Q3206" s="539" t="str">
        <f t="shared" si="944"/>
        <v/>
      </c>
      <c r="R3206" s="706"/>
      <c r="S3206" s="707"/>
      <c r="T3206" s="708"/>
      <c r="U3206" s="472"/>
      <c r="V3206" s="166"/>
      <c r="W3206" s="446"/>
      <c r="X3206" s="456"/>
      <c r="Y3206" s="436"/>
      <c r="Z3206" s="437"/>
      <c r="AA3206" s="560"/>
      <c r="AB3206" s="561"/>
      <c r="AC3206" s="87"/>
      <c r="AD3206" s="466"/>
      <c r="AE3206" s="456"/>
      <c r="AF3206" s="467"/>
      <c r="AG3206" s="87"/>
      <c r="AH3206" s="87"/>
      <c r="AI3206" s="87"/>
    </row>
    <row r="3207" spans="1:35" hidden="1">
      <c r="A3207" s="80" t="e">
        <f>"E"&amp;E3199</f>
        <v>#N/A</v>
      </c>
      <c r="B3207" s="105">
        <v>5</v>
      </c>
      <c r="C3207" s="107"/>
      <c r="D3207" s="107"/>
      <c r="E3207" s="107"/>
      <c r="F3207" s="107"/>
      <c r="G3207" s="83"/>
      <c r="H3207" s="83"/>
      <c r="I3207" s="84"/>
      <c r="J3207" s="85"/>
      <c r="K3207" s="382"/>
      <c r="L3207" s="85"/>
      <c r="M3207" s="332" t="str">
        <f t="shared" si="943"/>
        <v/>
      </c>
      <c r="N3207" s="86"/>
      <c r="O3207" s="453" t="str">
        <f t="shared" si="945"/>
        <v/>
      </c>
      <c r="P3207" s="538" t="str">
        <f t="shared" si="946"/>
        <v/>
      </c>
      <c r="Q3207" s="539" t="str">
        <f t="shared" si="944"/>
        <v/>
      </c>
      <c r="R3207" s="706"/>
      <c r="S3207" s="707"/>
      <c r="T3207" s="708"/>
      <c r="U3207" s="472"/>
      <c r="V3207" s="167"/>
      <c r="W3207" s="446"/>
      <c r="X3207" s="456"/>
      <c r="Y3207" s="436"/>
      <c r="Z3207" s="437"/>
      <c r="AA3207" s="560"/>
      <c r="AB3207" s="561"/>
      <c r="AC3207" s="87"/>
      <c r="AD3207" s="466"/>
      <c r="AE3207" s="456"/>
      <c r="AF3207" s="467"/>
      <c r="AG3207" s="87"/>
      <c r="AH3207" s="87"/>
      <c r="AI3207" s="87"/>
    </row>
    <row r="3208" spans="1:35" hidden="1">
      <c r="A3208" s="80" t="e">
        <f>"F"&amp;E3199</f>
        <v>#N/A</v>
      </c>
      <c r="B3208" s="105">
        <v>6</v>
      </c>
      <c r="C3208" s="107"/>
      <c r="D3208" s="107"/>
      <c r="E3208" s="107"/>
      <c r="F3208" s="107"/>
      <c r="G3208" s="83"/>
      <c r="H3208" s="83"/>
      <c r="I3208" s="84"/>
      <c r="J3208" s="85"/>
      <c r="K3208" s="382"/>
      <c r="L3208" s="85"/>
      <c r="M3208" s="332" t="str">
        <f t="shared" si="943"/>
        <v/>
      </c>
      <c r="N3208" s="86"/>
      <c r="O3208" s="453" t="str">
        <f t="shared" si="945"/>
        <v/>
      </c>
      <c r="P3208" s="538" t="str">
        <f t="shared" si="946"/>
        <v/>
      </c>
      <c r="Q3208" s="539" t="str">
        <f t="shared" si="944"/>
        <v/>
      </c>
      <c r="R3208" s="706"/>
      <c r="S3208" s="707"/>
      <c r="T3208" s="708"/>
      <c r="U3208" s="472"/>
      <c r="V3208" s="167"/>
      <c r="W3208" s="446"/>
      <c r="X3208" s="456"/>
      <c r="Y3208" s="436"/>
      <c r="Z3208" s="437"/>
      <c r="AA3208" s="560"/>
      <c r="AB3208" s="561"/>
      <c r="AC3208" s="87"/>
      <c r="AD3208" s="466"/>
      <c r="AE3208" s="456"/>
      <c r="AF3208" s="467"/>
      <c r="AG3208" s="87"/>
      <c r="AH3208" s="87"/>
      <c r="AI3208" s="87"/>
    </row>
    <row r="3209" spans="1:35" hidden="1">
      <c r="A3209" s="80" t="e">
        <f>"G"&amp;E3199</f>
        <v>#N/A</v>
      </c>
      <c r="B3209" s="105">
        <v>7</v>
      </c>
      <c r="C3209" s="107"/>
      <c r="D3209" s="107"/>
      <c r="E3209" s="107"/>
      <c r="F3209" s="107"/>
      <c r="G3209" s="83"/>
      <c r="H3209" s="83"/>
      <c r="I3209" s="84"/>
      <c r="J3209" s="85"/>
      <c r="K3209" s="382"/>
      <c r="L3209" s="85"/>
      <c r="M3209" s="332" t="str">
        <f t="shared" si="943"/>
        <v/>
      </c>
      <c r="N3209" s="86"/>
      <c r="O3209" s="86" t="str">
        <f t="shared" si="945"/>
        <v/>
      </c>
      <c r="P3209" s="538" t="str">
        <f t="shared" si="946"/>
        <v/>
      </c>
      <c r="Q3209" s="539" t="str">
        <f t="shared" si="944"/>
        <v/>
      </c>
      <c r="R3209" s="706"/>
      <c r="S3209" s="707"/>
      <c r="T3209" s="708"/>
      <c r="U3209" s="472"/>
      <c r="V3209" s="167"/>
      <c r="W3209" s="446"/>
      <c r="X3209" s="456"/>
      <c r="Y3209" s="436"/>
      <c r="Z3209" s="437"/>
      <c r="AA3209" s="560"/>
      <c r="AB3209" s="561"/>
      <c r="AC3209" s="87"/>
      <c r="AD3209" s="466"/>
      <c r="AE3209" s="456"/>
      <c r="AF3209" s="467"/>
      <c r="AG3209" s="87"/>
      <c r="AH3209" s="87"/>
      <c r="AI3209" s="87"/>
    </row>
    <row r="3210" spans="1:35" hidden="1">
      <c r="A3210" s="80" t="e">
        <f>"H"&amp;E3199</f>
        <v>#N/A</v>
      </c>
      <c r="B3210" s="105">
        <v>8</v>
      </c>
      <c r="C3210" s="107"/>
      <c r="D3210" s="107"/>
      <c r="E3210" s="107"/>
      <c r="F3210" s="107"/>
      <c r="G3210" s="83"/>
      <c r="H3210" s="83"/>
      <c r="I3210" s="84"/>
      <c r="J3210" s="85"/>
      <c r="K3210" s="382"/>
      <c r="L3210" s="85"/>
      <c r="M3210" s="332" t="str">
        <f t="shared" si="943"/>
        <v/>
      </c>
      <c r="N3210" s="453"/>
      <c r="O3210" s="86" t="str">
        <f t="shared" si="945"/>
        <v/>
      </c>
      <c r="P3210" s="538" t="str">
        <f t="shared" si="946"/>
        <v/>
      </c>
      <c r="Q3210" s="539" t="str">
        <f t="shared" si="944"/>
        <v/>
      </c>
      <c r="R3210" s="706"/>
      <c r="S3210" s="707"/>
      <c r="T3210" s="708"/>
      <c r="U3210" s="472"/>
      <c r="V3210" s="167"/>
      <c r="W3210" s="446"/>
      <c r="X3210" s="456"/>
      <c r="Y3210" s="436"/>
      <c r="Z3210" s="437"/>
      <c r="AA3210" s="560"/>
      <c r="AB3210" s="561"/>
      <c r="AC3210" s="87"/>
      <c r="AD3210" s="466"/>
      <c r="AE3210" s="456"/>
      <c r="AF3210" s="467"/>
      <c r="AG3210" s="87"/>
      <c r="AH3210" s="87"/>
      <c r="AI3210" s="87"/>
    </row>
    <row r="3211" spans="1:35" hidden="1">
      <c r="A3211" s="80" t="e">
        <f>"I"&amp;E3199</f>
        <v>#N/A</v>
      </c>
      <c r="B3211" s="105">
        <v>9</v>
      </c>
      <c r="C3211" s="107"/>
      <c r="D3211" s="107"/>
      <c r="E3211" s="107"/>
      <c r="F3211" s="107"/>
      <c r="G3211" s="83"/>
      <c r="H3211" s="83"/>
      <c r="I3211" s="84"/>
      <c r="J3211" s="85"/>
      <c r="K3211" s="382"/>
      <c r="L3211" s="85"/>
      <c r="M3211" s="332" t="str">
        <f t="shared" si="943"/>
        <v/>
      </c>
      <c r="N3211" s="453"/>
      <c r="O3211" s="86" t="str">
        <f t="shared" si="945"/>
        <v/>
      </c>
      <c r="P3211" s="538" t="str">
        <f t="shared" si="946"/>
        <v/>
      </c>
      <c r="Q3211" s="539" t="str">
        <f t="shared" si="944"/>
        <v/>
      </c>
      <c r="R3211" s="706"/>
      <c r="S3211" s="707"/>
      <c r="T3211" s="708"/>
      <c r="U3211" s="472"/>
      <c r="V3211" s="167"/>
      <c r="W3211" s="446"/>
      <c r="X3211" s="456"/>
      <c r="Y3211" s="436"/>
      <c r="Z3211" s="437"/>
      <c r="AA3211" s="560"/>
      <c r="AB3211" s="561"/>
      <c r="AC3211" s="87"/>
      <c r="AD3211" s="466"/>
      <c r="AE3211" s="456"/>
      <c r="AF3211" s="467"/>
      <c r="AG3211" s="87"/>
      <c r="AH3211" s="87"/>
      <c r="AI3211" s="87"/>
    </row>
    <row r="3212" spans="1:35" hidden="1">
      <c r="A3212" s="80" t="e">
        <f>"J"&amp;E3199</f>
        <v>#N/A</v>
      </c>
      <c r="B3212" s="105">
        <v>10</v>
      </c>
      <c r="C3212" s="107"/>
      <c r="D3212" s="107"/>
      <c r="E3212" s="107"/>
      <c r="F3212" s="107"/>
      <c r="G3212" s="83"/>
      <c r="H3212" s="83"/>
      <c r="I3212" s="84"/>
      <c r="J3212" s="85"/>
      <c r="K3212" s="382"/>
      <c r="L3212" s="85"/>
      <c r="M3212" s="332" t="str">
        <f t="shared" si="943"/>
        <v/>
      </c>
      <c r="N3212" s="453"/>
      <c r="O3212" s="86" t="str">
        <f t="shared" si="945"/>
        <v/>
      </c>
      <c r="P3212" s="538" t="str">
        <f t="shared" si="946"/>
        <v/>
      </c>
      <c r="Q3212" s="539" t="str">
        <f t="shared" si="944"/>
        <v/>
      </c>
      <c r="R3212" s="706"/>
      <c r="S3212" s="707"/>
      <c r="T3212" s="708"/>
      <c r="U3212" s="472"/>
      <c r="V3212" s="167"/>
      <c r="W3212" s="446"/>
      <c r="X3212" s="456"/>
      <c r="Y3212" s="436"/>
      <c r="Z3212" s="437"/>
      <c r="AA3212" s="560"/>
      <c r="AB3212" s="561"/>
      <c r="AC3212" s="87"/>
      <c r="AD3212" s="466"/>
      <c r="AE3212" s="456"/>
      <c r="AF3212" s="467"/>
      <c r="AG3212" s="87"/>
      <c r="AH3212" s="87"/>
      <c r="AI3212" s="87"/>
    </row>
    <row r="3213" spans="1:35" ht="16.5" hidden="1" thickBot="1">
      <c r="A3213" s="44"/>
      <c r="B3213" s="89"/>
      <c r="C3213" s="90"/>
      <c r="D3213" s="90"/>
      <c r="E3213" s="90"/>
      <c r="F3213" s="90"/>
      <c r="G3213" s="90"/>
      <c r="H3213" s="90"/>
      <c r="I3213" s="90"/>
      <c r="J3213" s="90"/>
      <c r="K3213" s="90"/>
      <c r="L3213" s="90"/>
      <c r="M3213" s="90"/>
      <c r="N3213" s="90"/>
      <c r="O3213" s="90"/>
      <c r="P3213" s="90"/>
      <c r="Q3213" s="90"/>
      <c r="R3213" s="90"/>
      <c r="S3213" s="91"/>
      <c r="T3213" s="92"/>
      <c r="U3213" s="473"/>
      <c r="W3213" s="438"/>
      <c r="X3213" s="455"/>
      <c r="Y3213" s="439"/>
      <c r="Z3213" s="437"/>
      <c r="AA3213" s="530"/>
      <c r="AB3213" s="563"/>
      <c r="AC3213" s="87"/>
      <c r="AD3213" s="440"/>
      <c r="AE3213" s="441"/>
      <c r="AF3213" s="442"/>
      <c r="AG3213" s="49"/>
      <c r="AH3213" s="87"/>
      <c r="AI3213" s="87"/>
    </row>
    <row r="3214" spans="1:35" ht="16.5" hidden="1" thickBot="1">
      <c r="A3214" s="93"/>
      <c r="B3214" s="94"/>
      <c r="C3214" s="96"/>
      <c r="D3214" s="96"/>
      <c r="E3214" s="96"/>
      <c r="F3214" s="96"/>
      <c r="G3214" s="96"/>
      <c r="H3214" s="96"/>
      <c r="I3214" s="96"/>
      <c r="J3214" s="96"/>
      <c r="K3214" s="96"/>
      <c r="L3214" s="96"/>
      <c r="M3214" s="136"/>
      <c r="N3214" s="96"/>
      <c r="O3214" s="96"/>
      <c r="P3214" s="97"/>
      <c r="Q3214" s="97"/>
      <c r="R3214" s="98"/>
      <c r="S3214" s="95"/>
      <c r="T3214" s="99"/>
      <c r="U3214" s="469"/>
      <c r="AC3214" s="58"/>
      <c r="AG3214" s="58"/>
      <c r="AH3214" s="87"/>
      <c r="AI3214" s="87"/>
    </row>
    <row r="3215" spans="1:35" ht="16.5" hidden="1" thickBot="1">
      <c r="B3215" s="101"/>
      <c r="C3215" s="101"/>
      <c r="D3215" s="101"/>
      <c r="E3215" s="101"/>
      <c r="F3215" s="101"/>
      <c r="G3215" s="101"/>
      <c r="H3215" s="101"/>
      <c r="I3215" s="101"/>
      <c r="J3215" s="101"/>
      <c r="K3215" s="101"/>
      <c r="L3215" s="101"/>
      <c r="M3215" s="101"/>
      <c r="N3215" s="101"/>
      <c r="O3215" s="101"/>
      <c r="P3215" s="101"/>
      <c r="Q3215" s="101"/>
      <c r="R3215" s="101"/>
      <c r="S3215" s="101"/>
      <c r="U3215" s="50"/>
      <c r="AH3215" s="87"/>
      <c r="AI3215" s="87"/>
    </row>
    <row r="3216" spans="1:35" ht="16.5" hidden="1" customHeight="1" thickBot="1">
      <c r="A3216" s="44"/>
      <c r="B3216" s="705" t="s">
        <v>74</v>
      </c>
      <c r="C3216" s="705"/>
      <c r="D3216" s="705"/>
      <c r="E3216" s="705"/>
      <c r="F3216" s="705"/>
      <c r="G3216" s="705"/>
      <c r="H3216" s="705"/>
      <c r="I3216" s="705"/>
      <c r="J3216" s="705"/>
      <c r="K3216" s="705"/>
      <c r="L3216" s="705"/>
      <c r="M3216" s="705"/>
      <c r="N3216" s="705"/>
      <c r="O3216" s="705"/>
      <c r="P3216" s="705"/>
      <c r="Q3216" s="705"/>
      <c r="R3216" s="705"/>
      <c r="S3216" s="705"/>
      <c r="T3216" s="705"/>
      <c r="U3216" s="108"/>
      <c r="Y3216" s="532" t="s">
        <v>341</v>
      </c>
      <c r="AC3216" s="49"/>
      <c r="AD3216" s="687" t="s">
        <v>302</v>
      </c>
      <c r="AE3216" s="688"/>
      <c r="AF3216" s="689"/>
      <c r="AG3216" s="49"/>
      <c r="AH3216" s="87"/>
      <c r="AI3216" s="87"/>
    </row>
    <row r="3217" spans="1:35" ht="16.5" hidden="1" customHeight="1" thickBot="1">
      <c r="A3217" s="218" t="e">
        <f>"K"&amp;E3199</f>
        <v>#N/A</v>
      </c>
      <c r="B3217" s="701" t="s">
        <v>71</v>
      </c>
      <c r="C3217" s="751" t="s">
        <v>102</v>
      </c>
      <c r="D3217" s="751"/>
      <c r="E3217" s="751"/>
      <c r="F3217" s="751"/>
      <c r="G3217" s="751"/>
      <c r="H3217" s="751"/>
      <c r="I3217" s="751"/>
      <c r="J3217" s="751"/>
      <c r="K3217" s="751"/>
      <c r="L3217" s="722" t="s">
        <v>100</v>
      </c>
      <c r="M3217" s="747" t="s">
        <v>114</v>
      </c>
      <c r="N3217" s="747"/>
      <c r="O3217" s="747"/>
      <c r="P3217" s="747"/>
      <c r="Q3217" s="748"/>
      <c r="R3217" s="758" t="s">
        <v>280</v>
      </c>
      <c r="S3217" s="748"/>
      <c r="T3217" s="762" t="str">
        <f>IF(COUNTIF(AE3217:AF3217,"VERIFICAR")&gt;0,"VERIFICAR",IF(COUNTIF(AE3217:AF3217,"NO CUMPLE")&gt;0,"NO CUMPLE","CUMPLE"))</f>
        <v>VERIFICAR</v>
      </c>
      <c r="U3217" s="108"/>
      <c r="Y3217" s="533" t="e">
        <f>IF(F3218="","",IF(F3218=1,"INDIVIDUAL","ESTRUCTURA PLURAL"))</f>
        <v>#N/A</v>
      </c>
      <c r="AC3217" s="52"/>
      <c r="AD3217" s="475" t="s">
        <v>303</v>
      </c>
      <c r="AE3217" s="476" t="str">
        <f>IF(COUNTIF(AE3203:AE3212,"")=10,"VERIFICAR",IF(COUNTIF(AE3203:AE3212,"SI")&gt;0,"CUMPLE","NO CUMPLE"))</f>
        <v>VERIFICAR</v>
      </c>
      <c r="AF3217" s="477" t="str">
        <f>IF(COUNTIF(AF3203:AF3212,"")=10,"VERIFICAR",IF(COUNTIF(AF3203:AF3212,"SI")&gt;=$AI$22,"CUMPLE","NO CUMPLE"))</f>
        <v>VERIFICAR</v>
      </c>
      <c r="AG3217" s="52"/>
      <c r="AH3217" s="87"/>
      <c r="AI3217" s="87"/>
    </row>
    <row r="3218" spans="1:35" ht="15.75" hidden="1" customHeight="1" thickBot="1">
      <c r="A3218" s="218" t="e">
        <f>"L"&amp;E3199</f>
        <v>#N/A</v>
      </c>
      <c r="B3218" s="702"/>
      <c r="C3218" s="751" t="s">
        <v>103</v>
      </c>
      <c r="D3218" s="751"/>
      <c r="E3218" s="752"/>
      <c r="F3218" s="557" t="e">
        <f>IF(VLOOKUP(E3199,PROPONENTES!$C$19:$E$218,3,0)="","",VLOOKUP(E3199,PROPONENTES!$C$19:$E$218,3,0))</f>
        <v>#N/A</v>
      </c>
      <c r="G3218" s="753" t="s">
        <v>104</v>
      </c>
      <c r="H3218" s="751"/>
      <c r="I3218" s="715" t="e">
        <f>IF(OR(F3218="",F3218=1),"INTERESADO PERSONA NATURAL O JURIDICA","CONSORCIO O UNION TEMPORAL")</f>
        <v>#N/A</v>
      </c>
      <c r="J3218" s="725"/>
      <c r="K3218" s="728"/>
      <c r="L3218" s="723"/>
      <c r="M3218" s="749"/>
      <c r="N3218" s="749"/>
      <c r="O3218" s="749"/>
      <c r="P3218" s="749"/>
      <c r="Q3218" s="750"/>
      <c r="R3218" s="712"/>
      <c r="S3218" s="750"/>
      <c r="T3218" s="763"/>
      <c r="U3218" s="108"/>
      <c r="Y3218" s="534"/>
      <c r="AA3218" s="52"/>
      <c r="AB3218" s="52"/>
      <c r="AC3218" s="52"/>
      <c r="AG3218" s="52"/>
      <c r="AH3218" s="87"/>
      <c r="AI3218" s="87"/>
    </row>
    <row r="3219" spans="1:35" ht="56.25" hidden="1" customHeight="1" thickBot="1">
      <c r="A3219" s="218" t="e">
        <f>"M"&amp;E3199</f>
        <v>#N/A</v>
      </c>
      <c r="B3219" s="702"/>
      <c r="C3219" s="725" t="s">
        <v>101</v>
      </c>
      <c r="D3219" s="716"/>
      <c r="E3219" s="558" t="s">
        <v>105</v>
      </c>
      <c r="F3219" s="554" t="s">
        <v>87</v>
      </c>
      <c r="G3219" s="553" t="s">
        <v>86</v>
      </c>
      <c r="H3219" s="559" t="s">
        <v>85</v>
      </c>
      <c r="I3219" s="554" t="s">
        <v>252</v>
      </c>
      <c r="J3219" s="553" t="str">
        <f>"¿EL INTEGRANTE TIENE UNA PARTICIPACIÓN DEL "&amp;PORCREQUERIDOINT*100&amp;"%?"</f>
        <v>¿EL INTEGRANTE TIENE UNA PARTICIPACIÓN DEL 60%?</v>
      </c>
      <c r="K3219" s="554" t="s">
        <v>107</v>
      </c>
      <c r="L3219" s="724"/>
      <c r="M3219" s="717" t="s">
        <v>115</v>
      </c>
      <c r="N3219" s="718"/>
      <c r="O3219" s="718"/>
      <c r="P3219" s="718"/>
      <c r="Q3219" s="223">
        <f>IF(AND(H3203="SI",P3203&gt;=0),1,0)+IF(AND(H3204="SI",P3204&gt;=0),1,0)+IF(AND(H3205="SI",P3205&gt;=0),1,0)+IF(AND(H3206="SI",P3206&gt;=0),1,0)+IF(AND(H3207="SI",P3207&gt;=0),1,0)+IF(AND(H3208="SI",P3208&gt;=0),1,0)+IF(AND(H3209="SI",P3209&gt;=0),1,0)+IF(AND(H3210="SI",P3210&gt;=0),1,0)+IF(AND(H3211="SI",P3211&gt;=0),1,0)+IF(AND(H3212="SI",P3212&gt;=0),1,0)</f>
        <v>0</v>
      </c>
      <c r="R3219" s="759"/>
      <c r="S3219" s="761"/>
      <c r="T3219" s="764"/>
      <c r="U3219" s="219"/>
      <c r="V3219" s="464"/>
      <c r="Y3219" s="532" t="s">
        <v>342</v>
      </c>
      <c r="AA3219" s="550" t="s">
        <v>344</v>
      </c>
      <c r="AB3219" s="693" t="s">
        <v>345</v>
      </c>
      <c r="AC3219" s="693" t="s">
        <v>346</v>
      </c>
      <c r="AD3219" s="685" t="s">
        <v>347</v>
      </c>
      <c r="AE3219" s="52"/>
      <c r="AF3219" s="52"/>
      <c r="AG3219" s="52"/>
      <c r="AH3219" s="87"/>
      <c r="AI3219" s="87"/>
    </row>
    <row r="3220" spans="1:35" ht="15.75" hidden="1" customHeight="1" thickBot="1">
      <c r="A3220" s="218" t="e">
        <f>"N"&amp;E3199</f>
        <v>#N/A</v>
      </c>
      <c r="B3220" s="702"/>
      <c r="C3220" s="114">
        <v>1</v>
      </c>
      <c r="D3220" s="194" t="e">
        <f>IF(AND(C3220&lt;=F3218,F3218&gt;1,F3218&lt;&gt;""),VLOOKUP(VALUE(E3199&amp;","&amp;C3220),INTEGRANTES!$D$18:$F$235,2,0),"")</f>
        <v>#N/A</v>
      </c>
      <c r="E3220" s="211" t="e">
        <f>IF(D3220&lt;&gt;"",VLOOKUP(VALUE(E3199&amp;","&amp;C3220),INTEGRANTES!$D$18:$F$235,3,0),"")</f>
        <v>#N/A</v>
      </c>
      <c r="F3220" s="547" t="e">
        <f>IF(D3220="","",SUMIF($I3203:$I3212,D3220,$P3203:$P3212))</f>
        <v>#N/A</v>
      </c>
      <c r="G3220" s="333" t="e">
        <f>IF(D3220="","",SUMIF($I3203:$I3212,D3220,$M3203:$M3212))</f>
        <v>#N/A</v>
      </c>
      <c r="H3220" s="535" t="e">
        <f t="shared" ref="H3220:H3225" si="947">IF(D3220="","",IF(OR(F3220=0,G3220=0),"NO APORTA",ROUND($F3220/$G3220,3)))</f>
        <v>#N/A</v>
      </c>
      <c r="I3220" s="212" t="e">
        <f>IF(D3220="","",IF(H3220="NO APORTA","NO",IF(H3220=MAX($H3220:$H3225),"SI","NO")))</f>
        <v>#N/A</v>
      </c>
      <c r="J3220" s="213" t="e">
        <f t="shared" ref="J3220:J3225" si="948">IF(D3220="","",IF(E3220&gt;=PORCREQUERIDOINT,"SI","NO"))</f>
        <v>#N/A</v>
      </c>
      <c r="K3220" s="200" t="e">
        <f t="shared" ref="K3220:K3225" si="949">IF(D3220="","",IF(AND(I3220="SI",J3220="SI"),"CUMPLE",IF(AND(I3220="NO",OR(J3220="SI",J3220="NO")),"","NO CUMPLE")))</f>
        <v>#N/A</v>
      </c>
      <c r="L3220" s="722" t="s">
        <v>108</v>
      </c>
      <c r="M3220" s="726" t="s">
        <v>119</v>
      </c>
      <c r="N3220" s="726"/>
      <c r="O3220" s="726"/>
      <c r="P3220" s="726"/>
      <c r="Q3220" s="727"/>
      <c r="R3220" s="758" t="s">
        <v>80</v>
      </c>
      <c r="S3220" s="747"/>
      <c r="T3220" s="748"/>
      <c r="U3220" s="219"/>
      <c r="V3220" s="464"/>
      <c r="Y3220" s="533" t="e">
        <f>IF(Y3217="","",IF(Y3217="INDIVIDUAL","NO APLICA","VERIFICAR CUADRO"))</f>
        <v>#N/A</v>
      </c>
      <c r="AA3220" s="551"/>
      <c r="AB3220" s="694"/>
      <c r="AC3220" s="694"/>
      <c r="AD3220" s="686"/>
      <c r="AE3220" s="52"/>
      <c r="AF3220" s="52"/>
      <c r="AG3220" s="52"/>
      <c r="AH3220" s="87"/>
      <c r="AI3220" s="87"/>
    </row>
    <row r="3221" spans="1:35" ht="27" hidden="1" customHeight="1" thickBot="1">
      <c r="A3221" s="218" t="e">
        <f>"O"&amp;E3199</f>
        <v>#N/A</v>
      </c>
      <c r="B3221" s="702"/>
      <c r="C3221" s="114">
        <v>2</v>
      </c>
      <c r="D3221" s="194" t="e">
        <f>IF(AND(C3221&lt;=F3218,F3218&lt;&gt;""),VLOOKUP(VALUE(E3199&amp;","&amp;C3221),INTEGRANTES!$D$18:$F$235,2,0),"")</f>
        <v>#N/A</v>
      </c>
      <c r="E3221" s="211" t="e">
        <f>IF(D3221&lt;&gt;"",VLOOKUP(VALUE(E3199&amp;","&amp;C3221),INTEGRANTES!$D$18:$F$235,3,0),"")</f>
        <v>#N/A</v>
      </c>
      <c r="F3221" s="547" t="e">
        <f>IF(D3221="","",SUMIF($I3203:$I3212,D3221,$P3203:$P3212))</f>
        <v>#N/A</v>
      </c>
      <c r="G3221" s="333" t="e">
        <f>IF(D3221="","",SUMIF($I3203:$I3212,D3221,$M3203:$M3212))</f>
        <v>#N/A</v>
      </c>
      <c r="H3221" s="535" t="e">
        <f t="shared" si="947"/>
        <v>#N/A</v>
      </c>
      <c r="I3221" s="212" t="e">
        <f>IF(D3221="","",IF(H3221="NO APORTA","NO",IF(H3221=MAX($H3220:$H3225),"SI","NO")))</f>
        <v>#N/A</v>
      </c>
      <c r="J3221" s="213" t="e">
        <f t="shared" si="948"/>
        <v>#N/A</v>
      </c>
      <c r="K3221" s="200" t="e">
        <f t="shared" si="949"/>
        <v>#N/A</v>
      </c>
      <c r="L3221" s="723"/>
      <c r="M3221" s="715" t="s">
        <v>116</v>
      </c>
      <c r="N3221" s="716"/>
      <c r="O3221" s="556" t="s">
        <v>113</v>
      </c>
      <c r="P3221" s="715" t="s">
        <v>117</v>
      </c>
      <c r="Q3221" s="728"/>
      <c r="R3221" s="759"/>
      <c r="S3221" s="760"/>
      <c r="T3221" s="761"/>
      <c r="U3221" s="219"/>
      <c r="V3221" s="464"/>
      <c r="Y3221" s="414"/>
      <c r="AA3221" s="542" t="e">
        <f>IF(AND(C3220&lt;=F3218,F3218&gt;1,F3218&lt;&gt;""),VLOOKUP(VALUE(E3199&amp;","&amp;C3220),INTEGRANTES!$D$18:$F$235,2,0),"")</f>
        <v>#N/A</v>
      </c>
      <c r="AB3221" s="544" t="e">
        <f t="shared" ref="AB3221:AB3226" si="950">IF(D3220="","",IF(OR(F3220=0,G3220=0),"NO APORTA",ROUND($F3220/$G3220,3)))</f>
        <v>#N/A</v>
      </c>
      <c r="AC3221" s="529"/>
      <c r="AD3221" s="200" t="e">
        <f t="shared" ref="AD3221:AD3226" si="951">IF(OR(AA3221="",AB3221=""),"",IF(AND(AC3221="X",AB3221&gt;=EXPREQVTD),"CUMPLE","NO CUMPLE"))</f>
        <v>#N/A</v>
      </c>
      <c r="AE3221" s="52"/>
      <c r="AF3221" s="52"/>
      <c r="AG3221" s="52"/>
      <c r="AH3221" s="87"/>
      <c r="AI3221" s="87"/>
    </row>
    <row r="3222" spans="1:35" ht="16.5" hidden="1" thickBot="1">
      <c r="A3222" s="218" t="e">
        <f>"P"&amp;E3199</f>
        <v>#N/A</v>
      </c>
      <c r="B3222" s="702"/>
      <c r="C3222" s="114">
        <v>3</v>
      </c>
      <c r="D3222" s="194" t="e">
        <f>IF(AND(C3222&lt;=F3218,F3218&lt;&gt;""),VLOOKUP(VALUE(E3199&amp;","&amp;C3222),INTEGRANTES!$D$18:$F$235,2,0),"")</f>
        <v>#N/A</v>
      </c>
      <c r="E3222" s="211" t="e">
        <f>IF(D3222&lt;&gt;"",VLOOKUP(VALUE(E3199&amp;","&amp;C3222),INTEGRANTES!$D$18:$F$235,3,0),"")</f>
        <v>#N/A</v>
      </c>
      <c r="F3222" s="547" t="e">
        <f>IF(D3222="","",SUMIF($I3203:$I3212,D3222,$P3203:$P3212))</f>
        <v>#N/A</v>
      </c>
      <c r="G3222" s="333" t="e">
        <f>IF(D3222="","",SUMIF($I3203:$I3212,D3222,$M3203:$M3212))</f>
        <v>#N/A</v>
      </c>
      <c r="H3222" s="535" t="e">
        <f t="shared" si="947"/>
        <v>#N/A</v>
      </c>
      <c r="I3222" s="212" t="e">
        <f>IF(D3222="","",IF(H3222="NO APORTA","NO",IF(H3222=MAX($H3220:$H3225),"SI","NO")))</f>
        <v>#N/A</v>
      </c>
      <c r="J3222" s="213" t="e">
        <f t="shared" si="948"/>
        <v>#N/A</v>
      </c>
      <c r="K3222" s="200" t="e">
        <f t="shared" si="949"/>
        <v>#N/A</v>
      </c>
      <c r="L3222" s="724"/>
      <c r="M3222" s="729">
        <f>NUMMOD</f>
        <v>1</v>
      </c>
      <c r="N3222" s="730"/>
      <c r="O3222" s="443">
        <f>IF(M3222="","",VLOOKUP(M3222,PRESUPUESTOS!$B$16:$H$16,5,FALSE))</f>
        <v>2</v>
      </c>
      <c r="P3222" s="713">
        <f>IF(OR(COUNTIF(M3203:M3212,"")&gt;=10,Q3219&lt;NUMMINCONT,OR(T3217="NO CUMPLE",T3217="VERIFICAR")),0,ROUND(AVERAGE(M3203:M3212),3))</f>
        <v>0</v>
      </c>
      <c r="Q3222" s="714"/>
      <c r="R3222" s="458"/>
      <c r="S3222" s="459"/>
      <c r="T3222" s="460"/>
      <c r="U3222" s="219"/>
      <c r="V3222" s="464"/>
      <c r="Y3222" s="532" t="str">
        <f>"40% * ("&amp;PRESUPUESTOS!$H$13&amp;")"</f>
        <v>40% * (50% PFMO)</v>
      </c>
      <c r="AA3222" s="540" t="e">
        <f>IF(AND(C3221&lt;=F3218,F3218&lt;&gt;""),VLOOKUP(VALUE(E3199&amp;","&amp;C3221),INTEGRANTES!$D$18:$F$235,2,0),"")</f>
        <v>#N/A</v>
      </c>
      <c r="AB3222" s="545" t="e">
        <f t="shared" si="950"/>
        <v>#N/A</v>
      </c>
      <c r="AC3222" s="529"/>
      <c r="AD3222" s="200" t="e">
        <f t="shared" si="951"/>
        <v>#N/A</v>
      </c>
      <c r="AE3222" s="52"/>
      <c r="AF3222" s="52"/>
      <c r="AG3222" s="52"/>
      <c r="AH3222" s="87"/>
      <c r="AI3222" s="87"/>
    </row>
    <row r="3223" spans="1:35" ht="15.75" hidden="1" customHeight="1" thickBot="1">
      <c r="A3223" s="218" t="e">
        <f>"Q"&amp;E3199</f>
        <v>#N/A</v>
      </c>
      <c r="B3223" s="702"/>
      <c r="C3223" s="114">
        <v>4</v>
      </c>
      <c r="D3223" s="194" t="e">
        <f>IF(AND(C3223&lt;=F3218,F3218&lt;&gt;""),VLOOKUP(VALUE(E3199&amp;","&amp;C3223),INTEGRANTES!$D$18:$F$235,2,0),"")</f>
        <v>#N/A</v>
      </c>
      <c r="E3223" s="211" t="e">
        <f>IF(D3223&lt;&gt;"",VLOOKUP(VALUE(E3199&amp;","&amp;C3223),INTEGRANTES!$D$18:$F$235,3,0),"")</f>
        <v>#N/A</v>
      </c>
      <c r="F3223" s="547" t="e">
        <f>IF(D3223="","",SUMIF($I3203:$I3212,D3223,$P3203:$P3212))</f>
        <v>#N/A</v>
      </c>
      <c r="G3223" s="333" t="e">
        <f>IF(D3223="","",SUMIF($I3203:$I3212,D3223,$M3203:$M3212))</f>
        <v>#N/A</v>
      </c>
      <c r="H3223" s="535" t="e">
        <f t="shared" si="947"/>
        <v>#N/A</v>
      </c>
      <c r="I3223" s="212" t="e">
        <f>IF(D3223="","",IF(H3223="NO APORTA","NO",IF(H3223=MAX($H3220:$H3225),"SI","NO")))</f>
        <v>#N/A</v>
      </c>
      <c r="J3223" s="213" t="e">
        <f t="shared" si="948"/>
        <v>#N/A</v>
      </c>
      <c r="K3223" s="200" t="e">
        <f t="shared" si="949"/>
        <v>#N/A</v>
      </c>
      <c r="L3223" s="720" t="s">
        <v>109</v>
      </c>
      <c r="M3223" s="757" t="s">
        <v>120</v>
      </c>
      <c r="N3223" s="726"/>
      <c r="O3223" s="726"/>
      <c r="P3223" s="726"/>
      <c r="Q3223" s="727"/>
      <c r="R3223" s="458"/>
      <c r="S3223" s="459"/>
      <c r="T3223" s="460"/>
      <c r="U3223" s="219"/>
      <c r="V3223" s="464"/>
      <c r="Y3223" s="537">
        <f>0.4*PRESUPUESTOS!$H$16</f>
        <v>10.3124</v>
      </c>
      <c r="AA3223" s="540" t="e">
        <f>IF(AND(C3222&lt;=F3218,F3218&lt;&gt;""),VLOOKUP(VALUE(E3199&amp;","&amp;C3222),INTEGRANTES!$D$18:$F$235,2,0),"")</f>
        <v>#N/A</v>
      </c>
      <c r="AB3223" s="545" t="e">
        <f t="shared" si="950"/>
        <v>#N/A</v>
      </c>
      <c r="AC3223" s="529"/>
      <c r="AD3223" s="200" t="e">
        <f t="shared" si="951"/>
        <v>#N/A</v>
      </c>
      <c r="AE3223" s="52"/>
      <c r="AF3223" s="52"/>
      <c r="AG3223" s="52"/>
      <c r="AH3223" s="87"/>
      <c r="AI3223" s="87"/>
    </row>
    <row r="3224" spans="1:35" ht="27" hidden="1" customHeight="1" thickBot="1">
      <c r="A3224" s="218" t="e">
        <f>"R"&amp;E3199</f>
        <v>#N/A</v>
      </c>
      <c r="B3224" s="702"/>
      <c r="C3224" s="114">
        <v>5</v>
      </c>
      <c r="D3224" s="194" t="e">
        <f>IF(AND(C3224&lt;=F3218,F3218&lt;&gt;""),VLOOKUP(VALUE(E3199&amp;","&amp;C3224),INTEGRANTES!$D$18:$F$235,2,0),"")</f>
        <v>#N/A</v>
      </c>
      <c r="E3224" s="211" t="e">
        <f>IF(D3224&lt;&gt;"",VLOOKUP(VALUE(E3199&amp;","&amp;C3224),INTEGRANTES!$D$18:$F$235,3,0),"")</f>
        <v>#N/A</v>
      </c>
      <c r="F3224" s="547" t="e">
        <f>IF(D3224="","",SUMIF($I3203:$I3212,D3224,$P3203:$P3212))</f>
        <v>#N/A</v>
      </c>
      <c r="G3224" s="333" t="e">
        <f>IF(D3224="","",SUMIF($I3203:$I3212,D3224,$M3203:$M3212))</f>
        <v>#N/A</v>
      </c>
      <c r="H3224" s="535" t="e">
        <f t="shared" si="947"/>
        <v>#N/A</v>
      </c>
      <c r="I3224" s="212" t="e">
        <f>IF(D3224="","",IF(H3224="NO APORTA","NO",IF(H3224=MAX($H3220:$H3225),"SI","NO")))</f>
        <v>#N/A</v>
      </c>
      <c r="J3224" s="213" t="e">
        <f t="shared" si="948"/>
        <v>#N/A</v>
      </c>
      <c r="K3224" s="200" t="e">
        <f t="shared" si="949"/>
        <v>#N/A</v>
      </c>
      <c r="L3224" s="721"/>
      <c r="M3224" s="715" t="s">
        <v>116</v>
      </c>
      <c r="N3224" s="716"/>
      <c r="O3224" s="556" t="str">
        <f>PORCREQUERIDO*100&amp;"% PMFO DEL MÓDULO"</f>
        <v>50% PMFO DEL MÓDULO</v>
      </c>
      <c r="P3224" s="715" t="s">
        <v>118</v>
      </c>
      <c r="Q3224" s="728"/>
      <c r="R3224" s="458"/>
      <c r="S3224" s="459"/>
      <c r="T3224" s="460"/>
      <c r="U3224" s="219"/>
      <c r="V3224" s="464"/>
      <c r="Y3224" s="414"/>
      <c r="AA3224" s="540" t="e">
        <f>IF(AND(C3223&lt;=F3218,F3218&lt;&gt;""),VLOOKUP(VALUE(E3199&amp;","&amp;C3223),INTEGRANTES!$D$18:$F$235,2,0),"")</f>
        <v>#N/A</v>
      </c>
      <c r="AB3224" s="545" t="e">
        <f t="shared" si="950"/>
        <v>#N/A</v>
      </c>
      <c r="AC3224" s="529"/>
      <c r="AD3224" s="200" t="e">
        <f t="shared" si="951"/>
        <v>#N/A</v>
      </c>
      <c r="AE3224" s="52"/>
      <c r="AF3224" s="52"/>
      <c r="AG3224" s="52"/>
      <c r="AH3224" s="87"/>
      <c r="AI3224" s="87"/>
    </row>
    <row r="3225" spans="1:35" ht="16.5" hidden="1" thickBot="1">
      <c r="A3225" s="218" t="e">
        <f>"S"&amp;E3199</f>
        <v>#N/A</v>
      </c>
      <c r="B3225" s="702"/>
      <c r="C3225" s="215">
        <v>6</v>
      </c>
      <c r="D3225" s="216" t="e">
        <f>IF(AND(C3225&lt;=F3218,F3218&lt;&gt;""),VLOOKUP(VALUE(E3199&amp;","&amp;C3225),INTEGRANTES!$D$18:$F$235,2,0),"")</f>
        <v>#N/A</v>
      </c>
      <c r="E3225" s="217" t="e">
        <f>IF(D3225&lt;&gt;"",VLOOKUP(VALUE(E3199&amp;","&amp;C3225),INTEGRANTES!$D$18:$F$235,3,0),"")</f>
        <v>#N/A</v>
      </c>
      <c r="F3225" s="548" t="e">
        <f>IF(D3225="","",SUMIF($I3203:$I3212,D3225,$P3203:$P3212))</f>
        <v>#N/A</v>
      </c>
      <c r="G3225" s="334" t="e">
        <f>IF(D3225="","",SUMIF($I3203:$I3212,D3225,$M3203:$M3212))</f>
        <v>#N/A</v>
      </c>
      <c r="H3225" s="536" t="e">
        <f t="shared" si="947"/>
        <v>#N/A</v>
      </c>
      <c r="I3225" s="214" t="e">
        <f>IF(D3225="","",IF(H3225="NO APORTA","NO",IF(H3225=MAX($H3220:$H3225),"SI","NO")))</f>
        <v>#N/A</v>
      </c>
      <c r="J3225" s="213" t="e">
        <f t="shared" si="948"/>
        <v>#N/A</v>
      </c>
      <c r="K3225" s="200" t="e">
        <f t="shared" si="949"/>
        <v>#N/A</v>
      </c>
      <c r="L3225" s="721"/>
      <c r="M3225" s="729">
        <f>NUMMOD</f>
        <v>1</v>
      </c>
      <c r="N3225" s="730"/>
      <c r="O3225" s="443">
        <f>IF(M3225="","",ROUND(VLOOKUP(M3225,PRESUPUESTOS!$B$16:$H$16,7,FALSE),3))</f>
        <v>25.780999999999999</v>
      </c>
      <c r="P3225" s="713">
        <f>IF(OR(COUNTIF(P3203:P3212,"")&gt;=10,Q3219&lt;NUMMINCONT,OR(T3217="NO CUMPLE",T3217="VERIFICAR")),0,ROUND((SUM(P3203:P3212)/SUM(M3203:M3212)),3))</f>
        <v>0</v>
      </c>
      <c r="Q3225" s="714"/>
      <c r="R3225" s="458"/>
      <c r="S3225" s="459"/>
      <c r="T3225" s="460"/>
      <c r="U3225" s="219"/>
      <c r="V3225" s="464"/>
      <c r="Y3225" s="532" t="s">
        <v>343</v>
      </c>
      <c r="AA3225" s="540" t="e">
        <f>IF(AND(C3224&lt;=F3218,F3218&lt;&gt;""),VLOOKUP(VALUE(E3199&amp;","&amp;C3224),INTEGRANTES!$D$18:$F$235,2,0),"")</f>
        <v>#N/A</v>
      </c>
      <c r="AB3225" s="545" t="e">
        <f t="shared" si="950"/>
        <v>#N/A</v>
      </c>
      <c r="AC3225" s="529"/>
      <c r="AD3225" s="200" t="e">
        <f t="shared" si="951"/>
        <v>#N/A</v>
      </c>
      <c r="AE3225" s="52"/>
      <c r="AF3225" s="52"/>
      <c r="AG3225" s="52"/>
      <c r="AH3225" s="87"/>
      <c r="AI3225" s="87"/>
    </row>
    <row r="3226" spans="1:35" ht="16.5" hidden="1" customHeight="1" thickBot="1">
      <c r="A3226" s="218" t="e">
        <f>"T"&amp;E3199</f>
        <v>#N/A</v>
      </c>
      <c r="B3226" s="703"/>
      <c r="C3226" s="719"/>
      <c r="D3226" s="719"/>
      <c r="E3226" s="719"/>
      <c r="F3226" s="719"/>
      <c r="G3226" s="719"/>
      <c r="H3226" s="719" t="s">
        <v>110</v>
      </c>
      <c r="I3226" s="719"/>
      <c r="J3226" s="719"/>
      <c r="K3226" s="201" t="str">
        <f>IF(COUNTIF(K3220:K3225,"")=6,"",IF(COUNTIF(K3220:K3225,"CUMPLE")&gt;0,"CUMPLE","NO CUMPLE"))</f>
        <v>NO CUMPLE</v>
      </c>
      <c r="L3226" s="754"/>
      <c r="M3226" s="755"/>
      <c r="N3226" s="755"/>
      <c r="O3226" s="755"/>
      <c r="P3226" s="755"/>
      <c r="Q3226" s="756"/>
      <c r="R3226" s="461"/>
      <c r="S3226" s="462"/>
      <c r="T3226" s="463"/>
      <c r="U3226" s="219"/>
      <c r="V3226" s="464"/>
      <c r="Y3226" s="549" t="e">
        <f>IF(Y3220="NO APLICA","NO APLICA",IF(COUNTIF(AD3221:AD3226,"CUMPLE")&gt;0,"CUMPLE","NO CUMPLE"))</f>
        <v>#N/A</v>
      </c>
      <c r="AA3226" s="541" t="e">
        <f>IF(AND(C3225&lt;=F3218,F3218&lt;&gt;""),VLOOKUP(VALUE(E3199&amp;","&amp;C3225),INTEGRANTES!$D$18:$F$235,2,0),"")</f>
        <v>#N/A</v>
      </c>
      <c r="AB3226" s="546" t="e">
        <f t="shared" si="950"/>
        <v>#N/A</v>
      </c>
      <c r="AC3226" s="543"/>
      <c r="AD3226" s="201" t="e">
        <f t="shared" si="951"/>
        <v>#N/A</v>
      </c>
      <c r="AE3226" s="52"/>
      <c r="AF3226" s="52"/>
      <c r="AG3226" s="52"/>
      <c r="AH3226" s="87"/>
      <c r="AI3226" s="87"/>
    </row>
    <row r="3227" spans="1:35" hidden="1">
      <c r="AH3227" s="87"/>
      <c r="AI3227" s="87"/>
    </row>
    <row r="3228" spans="1:35" hidden="1">
      <c r="AH3228" s="87"/>
      <c r="AI3228" s="87"/>
    </row>
    <row r="3229" spans="1:35" ht="24" hidden="1" thickBot="1">
      <c r="A3229" s="61">
        <v>108</v>
      </c>
      <c r="B3229" s="704" t="s">
        <v>51</v>
      </c>
      <c r="C3229" s="704"/>
      <c r="D3229" s="704"/>
      <c r="E3229" s="62" t="e">
        <f>VLOOKUP(A3229,PROPONENTES!$B$19:$E$218,2,FALSE)</f>
        <v>#N/A</v>
      </c>
      <c r="F3229" s="63" t="e">
        <f>VLOOKUP(A3229,PROPONENTES!$B$19:$E$218,3,FALSE)</f>
        <v>#N/A</v>
      </c>
      <c r="G3229" s="64"/>
      <c r="H3229" s="64"/>
      <c r="I3229" s="63"/>
      <c r="J3229" s="63"/>
      <c r="K3229" s="65"/>
      <c r="L3229" s="65"/>
      <c r="M3229" s="64"/>
      <c r="N3229" s="64"/>
      <c r="O3229" s="66"/>
      <c r="P3229" s="66"/>
      <c r="Q3229" s="66"/>
      <c r="R3229" s="66"/>
      <c r="S3229" s="67"/>
      <c r="T3229" s="68"/>
      <c r="U3229" s="68"/>
      <c r="AC3229" s="68"/>
      <c r="AD3229" s="68"/>
      <c r="AE3229" s="68"/>
      <c r="AF3229" s="68"/>
      <c r="AG3229" s="68"/>
      <c r="AH3229" s="87"/>
      <c r="AI3229" s="87"/>
    </row>
    <row r="3230" spans="1:35" ht="15.75" hidden="1" customHeight="1">
      <c r="A3230" s="44"/>
      <c r="B3230" s="709" t="s">
        <v>59</v>
      </c>
      <c r="C3230" s="552" t="s">
        <v>60</v>
      </c>
      <c r="D3230" s="70" t="s">
        <v>17</v>
      </c>
      <c r="E3230" s="70"/>
      <c r="F3230" s="70" t="s">
        <v>61</v>
      </c>
      <c r="G3230" s="71"/>
      <c r="H3230" s="699" t="s">
        <v>62</v>
      </c>
      <c r="I3230" s="699" t="s">
        <v>18</v>
      </c>
      <c r="J3230" s="699" t="s">
        <v>63</v>
      </c>
      <c r="K3230" s="699" t="s">
        <v>64</v>
      </c>
      <c r="L3230" s="699" t="s">
        <v>65</v>
      </c>
      <c r="M3230" s="743" t="s">
        <v>66</v>
      </c>
      <c r="N3230" s="699" t="s">
        <v>282</v>
      </c>
      <c r="O3230" s="745" t="s">
        <v>67</v>
      </c>
      <c r="P3230" s="746"/>
      <c r="Q3230" s="102" t="s">
        <v>75</v>
      </c>
      <c r="R3230" s="731" t="s">
        <v>22</v>
      </c>
      <c r="S3230" s="732"/>
      <c r="T3230" s="733"/>
      <c r="U3230" s="712" t="s">
        <v>298</v>
      </c>
      <c r="W3230" s="690" t="s">
        <v>268</v>
      </c>
      <c r="X3230" s="691"/>
      <c r="Y3230" s="692"/>
      <c r="Z3230" s="428"/>
      <c r="AA3230" s="697" t="s">
        <v>315</v>
      </c>
      <c r="AB3230" s="695" t="s">
        <v>322</v>
      </c>
      <c r="AC3230" s="49"/>
      <c r="AD3230" s="690" t="s">
        <v>297</v>
      </c>
      <c r="AE3230" s="691"/>
      <c r="AF3230" s="692"/>
      <c r="AG3230" s="49"/>
      <c r="AH3230" s="87"/>
      <c r="AI3230" s="87"/>
    </row>
    <row r="3231" spans="1:35" ht="72" hidden="1">
      <c r="A3231" s="44"/>
      <c r="B3231" s="710"/>
      <c r="C3231" s="553" t="s">
        <v>68</v>
      </c>
      <c r="D3231" s="73" t="s">
        <v>3</v>
      </c>
      <c r="E3231" s="73" t="s">
        <v>19</v>
      </c>
      <c r="F3231" s="73" t="s">
        <v>69</v>
      </c>
      <c r="G3231" s="74" t="s">
        <v>70</v>
      </c>
      <c r="H3231" s="700"/>
      <c r="I3231" s="700"/>
      <c r="J3231" s="700"/>
      <c r="K3231" s="700"/>
      <c r="L3231" s="700"/>
      <c r="M3231" s="744"/>
      <c r="N3231" s="700"/>
      <c r="O3231" s="553" t="s">
        <v>279</v>
      </c>
      <c r="P3231" s="73" t="s">
        <v>88</v>
      </c>
      <c r="Q3231" s="555" t="s">
        <v>76</v>
      </c>
      <c r="R3231" s="734"/>
      <c r="S3231" s="735"/>
      <c r="T3231" s="736"/>
      <c r="U3231" s="712"/>
      <c r="W3231" s="429" t="s">
        <v>269</v>
      </c>
      <c r="X3231" s="457" t="s">
        <v>278</v>
      </c>
      <c r="Y3231" s="430" t="s">
        <v>324</v>
      </c>
      <c r="Z3231" s="428"/>
      <c r="AA3231" s="698"/>
      <c r="AB3231" s="696"/>
      <c r="AC3231" s="49"/>
      <c r="AD3231" s="429" t="s">
        <v>292</v>
      </c>
      <c r="AE3231" s="431" t="s">
        <v>300</v>
      </c>
      <c r="AF3231" s="468" t="s">
        <v>301</v>
      </c>
      <c r="AG3231" s="49"/>
      <c r="AH3231" s="87"/>
      <c r="AI3231" s="87"/>
    </row>
    <row r="3232" spans="1:35" hidden="1">
      <c r="A3232" s="44"/>
      <c r="B3232" s="76"/>
      <c r="C3232" s="77"/>
      <c r="D3232" s="77"/>
      <c r="E3232" s="77"/>
      <c r="F3232" s="77"/>
      <c r="G3232" s="77"/>
      <c r="H3232" s="77"/>
      <c r="I3232" s="77"/>
      <c r="J3232" s="77"/>
      <c r="K3232" s="77"/>
      <c r="L3232" s="77"/>
      <c r="M3232" s="77"/>
      <c r="N3232" s="77"/>
      <c r="O3232" s="77"/>
      <c r="P3232" s="77"/>
      <c r="Q3232" s="77"/>
      <c r="R3232" s="77"/>
      <c r="S3232" s="78"/>
      <c r="T3232" s="79"/>
      <c r="U3232" s="109"/>
      <c r="V3232" s="49"/>
      <c r="W3232" s="432"/>
      <c r="X3232" s="454"/>
      <c r="Y3232" s="433"/>
      <c r="Z3232" s="6"/>
      <c r="AA3232" s="500"/>
      <c r="AB3232" s="562"/>
      <c r="AC3232" s="49"/>
      <c r="AD3232" s="210"/>
      <c r="AE3232" s="434"/>
      <c r="AF3232" s="435"/>
      <c r="AG3232" s="49"/>
      <c r="AH3232" s="87"/>
      <c r="AI3232" s="87"/>
    </row>
    <row r="3233" spans="1:35" hidden="1">
      <c r="A3233" s="80" t="e">
        <f>"A"&amp;E3229</f>
        <v>#N/A</v>
      </c>
      <c r="B3233" s="81">
        <v>1</v>
      </c>
      <c r="C3233" s="82"/>
      <c r="D3233" s="82"/>
      <c r="E3233" s="82"/>
      <c r="F3233" s="82"/>
      <c r="G3233" s="83"/>
      <c r="H3233" s="83"/>
      <c r="I3233" s="84"/>
      <c r="J3233" s="85"/>
      <c r="K3233" s="382"/>
      <c r="L3233" s="85"/>
      <c r="M3233" s="332" t="str">
        <f t="shared" ref="M3233:M3242" si="952">IF(OR(J3233="",L3233="",H3233="NO"),"",IF(OR(J3233&gt;$P$17,J3233&lt;$O$17,L3233&gt;$P$17,AND(J3233&lt;$O$17,L3233&lt;$O$17)),"FUERA DE RANGO",IF(OR(K3233="---",K3233=""),IF(J3233&gt;=$O$17,ROUND((L3233-J3233+1)/360*12,3),ROUND((L3233-$O$17+1)/360*12,3)),IF(J3233&gt;=$O$17,ROUND((L3233-J3233+1)/360*12-ROUND(K3233,3),3),ROUND((L3233-$O$17+1)/360*12-ROUND(K3233,3),3)))))</f>
        <v/>
      </c>
      <c r="N3233" s="86"/>
      <c r="O3233" s="453" t="str">
        <f>IF(OR(G3233="",N3233=""),"",N3233*G3233)</f>
        <v/>
      </c>
      <c r="P3233" s="538" t="str">
        <f>IF(OR(H3233="",M3233="FUERA DE RANGO"),"",IF(OR(L3233&lt;$O$17,L3233&gt;$P$17,L3233="",H3233="NO"),"",IF(OR(N3233="",O3233=""),"",ROUND(O3233,3))))</f>
        <v/>
      </c>
      <c r="Q3233" s="539" t="str">
        <f t="shared" ref="Q3233:Q3242" si="953">IF(AND(H3233="SI",P3233&lt;&gt;""),ROUND(P3233/M3233,3),"")</f>
        <v/>
      </c>
      <c r="R3233" s="737"/>
      <c r="S3233" s="738"/>
      <c r="T3233" s="739"/>
      <c r="U3233" s="470"/>
      <c r="V3233" s="165"/>
      <c r="W3233" s="446"/>
      <c r="X3233" s="456"/>
      <c r="Y3233" s="436"/>
      <c r="Z3233" s="437"/>
      <c r="AA3233" s="560"/>
      <c r="AB3233" s="561"/>
      <c r="AC3233" s="87"/>
      <c r="AD3233" s="466"/>
      <c r="AE3233" s="456"/>
      <c r="AF3233" s="467"/>
      <c r="AG3233" s="87"/>
      <c r="AH3233" s="87"/>
      <c r="AI3233" s="87"/>
    </row>
    <row r="3234" spans="1:35" hidden="1">
      <c r="A3234" s="80" t="e">
        <f>"B"&amp;E3229</f>
        <v>#N/A</v>
      </c>
      <c r="B3234" s="81">
        <v>2</v>
      </c>
      <c r="C3234" s="106"/>
      <c r="D3234" s="106"/>
      <c r="E3234" s="106"/>
      <c r="F3234" s="106"/>
      <c r="G3234" s="83"/>
      <c r="H3234" s="83"/>
      <c r="I3234" s="84"/>
      <c r="J3234" s="85"/>
      <c r="K3234" s="382"/>
      <c r="L3234" s="85"/>
      <c r="M3234" s="332" t="str">
        <f t="shared" si="952"/>
        <v/>
      </c>
      <c r="N3234" s="86"/>
      <c r="O3234" s="453" t="str">
        <f t="shared" ref="O3234:O3242" si="954">IF(OR(G3234="",N3234=""),"",N3234*G3234)</f>
        <v/>
      </c>
      <c r="P3234" s="538" t="str">
        <f t="shared" ref="P3234:P3242" si="955">IF(OR(H3234="",M3234="FUERA DE RANGO"),"",IF(OR(L3234&lt;$O$17,L3234&gt;$P$17,L3234="",H3234="NO"),"",IF(OR(N3234="",O3234=""),"",ROUND(O3234,3))))</f>
        <v/>
      </c>
      <c r="Q3234" s="539" t="str">
        <f t="shared" si="953"/>
        <v/>
      </c>
      <c r="R3234" s="740"/>
      <c r="S3234" s="741"/>
      <c r="T3234" s="742"/>
      <c r="U3234" s="471"/>
      <c r="V3234" s="165"/>
      <c r="W3234" s="446"/>
      <c r="X3234" s="456"/>
      <c r="Y3234" s="436"/>
      <c r="Z3234" s="437"/>
      <c r="AA3234" s="560"/>
      <c r="AB3234" s="561"/>
      <c r="AC3234" s="87"/>
      <c r="AD3234" s="466"/>
      <c r="AE3234" s="456"/>
      <c r="AF3234" s="467"/>
      <c r="AG3234" s="87"/>
      <c r="AH3234" s="87"/>
      <c r="AI3234" s="87"/>
    </row>
    <row r="3235" spans="1:35" hidden="1">
      <c r="A3235" s="80" t="e">
        <f>"C"&amp;E3229</f>
        <v>#N/A</v>
      </c>
      <c r="B3235" s="88">
        <v>3</v>
      </c>
      <c r="C3235" s="82"/>
      <c r="D3235" s="82"/>
      <c r="E3235" s="82"/>
      <c r="F3235" s="82"/>
      <c r="G3235" s="83"/>
      <c r="H3235" s="83"/>
      <c r="I3235" s="84"/>
      <c r="J3235" s="85"/>
      <c r="K3235" s="382"/>
      <c r="L3235" s="85"/>
      <c r="M3235" s="332" t="str">
        <f t="shared" si="952"/>
        <v/>
      </c>
      <c r="N3235" s="86"/>
      <c r="O3235" s="453" t="str">
        <f t="shared" si="954"/>
        <v/>
      </c>
      <c r="P3235" s="538" t="str">
        <f t="shared" si="955"/>
        <v/>
      </c>
      <c r="Q3235" s="539" t="str">
        <f t="shared" si="953"/>
        <v/>
      </c>
      <c r="R3235" s="706"/>
      <c r="S3235" s="707"/>
      <c r="T3235" s="708"/>
      <c r="U3235" s="472"/>
      <c r="V3235" s="166"/>
      <c r="W3235" s="446"/>
      <c r="X3235" s="456"/>
      <c r="Y3235" s="436"/>
      <c r="Z3235" s="437"/>
      <c r="AA3235" s="560"/>
      <c r="AB3235" s="561"/>
      <c r="AC3235" s="87"/>
      <c r="AD3235" s="466"/>
      <c r="AE3235" s="456"/>
      <c r="AF3235" s="467"/>
      <c r="AG3235" s="87"/>
      <c r="AH3235" s="87"/>
      <c r="AI3235" s="87"/>
    </row>
    <row r="3236" spans="1:35" hidden="1">
      <c r="A3236" s="80" t="e">
        <f>"D"&amp;E3229</f>
        <v>#N/A</v>
      </c>
      <c r="B3236" s="105">
        <v>4</v>
      </c>
      <c r="C3236" s="107"/>
      <c r="D3236" s="107"/>
      <c r="E3236" s="107"/>
      <c r="F3236" s="107"/>
      <c r="G3236" s="83"/>
      <c r="H3236" s="83"/>
      <c r="I3236" s="84"/>
      <c r="J3236" s="85"/>
      <c r="K3236" s="382"/>
      <c r="L3236" s="85"/>
      <c r="M3236" s="332" t="str">
        <f t="shared" si="952"/>
        <v/>
      </c>
      <c r="N3236" s="86"/>
      <c r="O3236" s="453" t="str">
        <f t="shared" si="954"/>
        <v/>
      </c>
      <c r="P3236" s="538" t="str">
        <f t="shared" si="955"/>
        <v/>
      </c>
      <c r="Q3236" s="539" t="str">
        <f t="shared" si="953"/>
        <v/>
      </c>
      <c r="R3236" s="706"/>
      <c r="S3236" s="707"/>
      <c r="T3236" s="708"/>
      <c r="U3236" s="472"/>
      <c r="V3236" s="166"/>
      <c r="W3236" s="446"/>
      <c r="X3236" s="456"/>
      <c r="Y3236" s="436"/>
      <c r="Z3236" s="437"/>
      <c r="AA3236" s="560"/>
      <c r="AB3236" s="561"/>
      <c r="AC3236" s="87"/>
      <c r="AD3236" s="466"/>
      <c r="AE3236" s="456"/>
      <c r="AF3236" s="467"/>
      <c r="AG3236" s="87"/>
      <c r="AH3236" s="87"/>
      <c r="AI3236" s="87"/>
    </row>
    <row r="3237" spans="1:35" hidden="1">
      <c r="A3237" s="80" t="e">
        <f>"E"&amp;E3229</f>
        <v>#N/A</v>
      </c>
      <c r="B3237" s="105">
        <v>5</v>
      </c>
      <c r="C3237" s="107"/>
      <c r="D3237" s="107"/>
      <c r="E3237" s="107"/>
      <c r="F3237" s="107"/>
      <c r="G3237" s="83"/>
      <c r="H3237" s="83"/>
      <c r="I3237" s="84"/>
      <c r="J3237" s="85"/>
      <c r="K3237" s="382"/>
      <c r="L3237" s="85"/>
      <c r="M3237" s="332" t="str">
        <f t="shared" si="952"/>
        <v/>
      </c>
      <c r="N3237" s="86"/>
      <c r="O3237" s="453" t="str">
        <f t="shared" si="954"/>
        <v/>
      </c>
      <c r="P3237" s="538" t="str">
        <f t="shared" si="955"/>
        <v/>
      </c>
      <c r="Q3237" s="539" t="str">
        <f t="shared" si="953"/>
        <v/>
      </c>
      <c r="R3237" s="706"/>
      <c r="S3237" s="707"/>
      <c r="T3237" s="708"/>
      <c r="U3237" s="472"/>
      <c r="V3237" s="167"/>
      <c r="W3237" s="446"/>
      <c r="X3237" s="456"/>
      <c r="Y3237" s="436"/>
      <c r="Z3237" s="437"/>
      <c r="AA3237" s="560"/>
      <c r="AB3237" s="561"/>
      <c r="AC3237" s="87"/>
      <c r="AD3237" s="466"/>
      <c r="AE3237" s="456"/>
      <c r="AF3237" s="467"/>
      <c r="AG3237" s="87"/>
      <c r="AH3237" s="87"/>
      <c r="AI3237" s="87"/>
    </row>
    <row r="3238" spans="1:35" hidden="1">
      <c r="A3238" s="80" t="e">
        <f>"F"&amp;E3229</f>
        <v>#N/A</v>
      </c>
      <c r="B3238" s="105">
        <v>6</v>
      </c>
      <c r="C3238" s="107"/>
      <c r="D3238" s="107"/>
      <c r="E3238" s="107"/>
      <c r="F3238" s="107"/>
      <c r="G3238" s="83"/>
      <c r="H3238" s="83"/>
      <c r="I3238" s="84"/>
      <c r="J3238" s="85"/>
      <c r="K3238" s="382"/>
      <c r="L3238" s="85"/>
      <c r="M3238" s="332" t="str">
        <f t="shared" si="952"/>
        <v/>
      </c>
      <c r="N3238" s="86"/>
      <c r="O3238" s="453" t="str">
        <f t="shared" si="954"/>
        <v/>
      </c>
      <c r="P3238" s="538" t="str">
        <f t="shared" si="955"/>
        <v/>
      </c>
      <c r="Q3238" s="539" t="str">
        <f t="shared" si="953"/>
        <v/>
      </c>
      <c r="R3238" s="706"/>
      <c r="S3238" s="707"/>
      <c r="T3238" s="708"/>
      <c r="U3238" s="472"/>
      <c r="V3238" s="167"/>
      <c r="W3238" s="446"/>
      <c r="X3238" s="456"/>
      <c r="Y3238" s="436"/>
      <c r="Z3238" s="437"/>
      <c r="AA3238" s="560"/>
      <c r="AB3238" s="561"/>
      <c r="AC3238" s="87"/>
      <c r="AD3238" s="466"/>
      <c r="AE3238" s="456"/>
      <c r="AF3238" s="467"/>
      <c r="AG3238" s="87"/>
      <c r="AH3238" s="87"/>
      <c r="AI3238" s="87"/>
    </row>
    <row r="3239" spans="1:35" hidden="1">
      <c r="A3239" s="80" t="e">
        <f>"G"&amp;E3229</f>
        <v>#N/A</v>
      </c>
      <c r="B3239" s="105">
        <v>7</v>
      </c>
      <c r="C3239" s="107"/>
      <c r="D3239" s="107"/>
      <c r="E3239" s="107"/>
      <c r="F3239" s="107"/>
      <c r="G3239" s="83"/>
      <c r="H3239" s="83"/>
      <c r="I3239" s="84"/>
      <c r="J3239" s="85"/>
      <c r="K3239" s="382"/>
      <c r="L3239" s="85"/>
      <c r="M3239" s="332" t="str">
        <f t="shared" si="952"/>
        <v/>
      </c>
      <c r="N3239" s="86"/>
      <c r="O3239" s="86" t="str">
        <f t="shared" si="954"/>
        <v/>
      </c>
      <c r="P3239" s="538" t="str">
        <f t="shared" si="955"/>
        <v/>
      </c>
      <c r="Q3239" s="539" t="str">
        <f t="shared" si="953"/>
        <v/>
      </c>
      <c r="R3239" s="706"/>
      <c r="S3239" s="707"/>
      <c r="T3239" s="708"/>
      <c r="U3239" s="472"/>
      <c r="V3239" s="167"/>
      <c r="W3239" s="446"/>
      <c r="X3239" s="456"/>
      <c r="Y3239" s="436"/>
      <c r="Z3239" s="437"/>
      <c r="AA3239" s="560"/>
      <c r="AB3239" s="561"/>
      <c r="AC3239" s="87"/>
      <c r="AD3239" s="466"/>
      <c r="AE3239" s="456"/>
      <c r="AF3239" s="467"/>
      <c r="AG3239" s="87"/>
      <c r="AH3239" s="87"/>
      <c r="AI3239" s="87"/>
    </row>
    <row r="3240" spans="1:35" hidden="1">
      <c r="A3240" s="80" t="e">
        <f>"H"&amp;E3229</f>
        <v>#N/A</v>
      </c>
      <c r="B3240" s="105">
        <v>8</v>
      </c>
      <c r="C3240" s="107"/>
      <c r="D3240" s="107"/>
      <c r="E3240" s="107"/>
      <c r="F3240" s="107"/>
      <c r="G3240" s="83"/>
      <c r="H3240" s="83"/>
      <c r="I3240" s="84"/>
      <c r="J3240" s="85"/>
      <c r="K3240" s="382"/>
      <c r="L3240" s="85"/>
      <c r="M3240" s="332" t="str">
        <f t="shared" si="952"/>
        <v/>
      </c>
      <c r="N3240" s="453"/>
      <c r="O3240" s="86" t="str">
        <f t="shared" si="954"/>
        <v/>
      </c>
      <c r="P3240" s="538" t="str">
        <f t="shared" si="955"/>
        <v/>
      </c>
      <c r="Q3240" s="539" t="str">
        <f t="shared" si="953"/>
        <v/>
      </c>
      <c r="R3240" s="706"/>
      <c r="S3240" s="707"/>
      <c r="T3240" s="708"/>
      <c r="U3240" s="472"/>
      <c r="V3240" s="167"/>
      <c r="W3240" s="446"/>
      <c r="X3240" s="456"/>
      <c r="Y3240" s="436"/>
      <c r="Z3240" s="437"/>
      <c r="AA3240" s="560"/>
      <c r="AB3240" s="561"/>
      <c r="AC3240" s="87"/>
      <c r="AD3240" s="466"/>
      <c r="AE3240" s="456"/>
      <c r="AF3240" s="467"/>
      <c r="AG3240" s="87"/>
      <c r="AH3240" s="87"/>
      <c r="AI3240" s="87"/>
    </row>
    <row r="3241" spans="1:35" hidden="1">
      <c r="A3241" s="80" t="e">
        <f>"I"&amp;E3229</f>
        <v>#N/A</v>
      </c>
      <c r="B3241" s="105">
        <v>9</v>
      </c>
      <c r="C3241" s="107"/>
      <c r="D3241" s="107"/>
      <c r="E3241" s="107"/>
      <c r="F3241" s="107"/>
      <c r="G3241" s="83"/>
      <c r="H3241" s="83"/>
      <c r="I3241" s="84"/>
      <c r="J3241" s="85"/>
      <c r="K3241" s="382"/>
      <c r="L3241" s="85"/>
      <c r="M3241" s="332" t="str">
        <f t="shared" si="952"/>
        <v/>
      </c>
      <c r="N3241" s="453"/>
      <c r="O3241" s="86" t="str">
        <f t="shared" si="954"/>
        <v/>
      </c>
      <c r="P3241" s="538" t="str">
        <f t="shared" si="955"/>
        <v/>
      </c>
      <c r="Q3241" s="539" t="str">
        <f t="shared" si="953"/>
        <v/>
      </c>
      <c r="R3241" s="706"/>
      <c r="S3241" s="707"/>
      <c r="T3241" s="708"/>
      <c r="U3241" s="472"/>
      <c r="V3241" s="167"/>
      <c r="W3241" s="446"/>
      <c r="X3241" s="456"/>
      <c r="Y3241" s="436"/>
      <c r="Z3241" s="437"/>
      <c r="AA3241" s="560"/>
      <c r="AB3241" s="561"/>
      <c r="AC3241" s="87"/>
      <c r="AD3241" s="466"/>
      <c r="AE3241" s="456"/>
      <c r="AF3241" s="467"/>
      <c r="AG3241" s="87"/>
      <c r="AH3241" s="87"/>
      <c r="AI3241" s="87"/>
    </row>
    <row r="3242" spans="1:35" hidden="1">
      <c r="A3242" s="80" t="e">
        <f>"J"&amp;E3229</f>
        <v>#N/A</v>
      </c>
      <c r="B3242" s="105">
        <v>10</v>
      </c>
      <c r="C3242" s="107"/>
      <c r="D3242" s="107"/>
      <c r="E3242" s="107"/>
      <c r="F3242" s="107"/>
      <c r="G3242" s="83"/>
      <c r="H3242" s="83"/>
      <c r="I3242" s="84"/>
      <c r="J3242" s="85"/>
      <c r="K3242" s="382"/>
      <c r="L3242" s="85"/>
      <c r="M3242" s="332" t="str">
        <f t="shared" si="952"/>
        <v/>
      </c>
      <c r="N3242" s="453"/>
      <c r="O3242" s="86" t="str">
        <f t="shared" si="954"/>
        <v/>
      </c>
      <c r="P3242" s="538" t="str">
        <f t="shared" si="955"/>
        <v/>
      </c>
      <c r="Q3242" s="539" t="str">
        <f t="shared" si="953"/>
        <v/>
      </c>
      <c r="R3242" s="706"/>
      <c r="S3242" s="707"/>
      <c r="T3242" s="708"/>
      <c r="U3242" s="472"/>
      <c r="V3242" s="167"/>
      <c r="W3242" s="446"/>
      <c r="X3242" s="456"/>
      <c r="Y3242" s="436"/>
      <c r="Z3242" s="437"/>
      <c r="AA3242" s="560"/>
      <c r="AB3242" s="561"/>
      <c r="AC3242" s="87"/>
      <c r="AD3242" s="466"/>
      <c r="AE3242" s="456"/>
      <c r="AF3242" s="467"/>
      <c r="AG3242" s="87"/>
      <c r="AH3242" s="87"/>
      <c r="AI3242" s="87"/>
    </row>
    <row r="3243" spans="1:35" ht="16.5" hidden="1" thickBot="1">
      <c r="A3243" s="44"/>
      <c r="B3243" s="89"/>
      <c r="C3243" s="90"/>
      <c r="D3243" s="90"/>
      <c r="E3243" s="90"/>
      <c r="F3243" s="90"/>
      <c r="G3243" s="90"/>
      <c r="H3243" s="90"/>
      <c r="I3243" s="90"/>
      <c r="J3243" s="90"/>
      <c r="K3243" s="90"/>
      <c r="L3243" s="90"/>
      <c r="M3243" s="90"/>
      <c r="N3243" s="90"/>
      <c r="O3243" s="90"/>
      <c r="P3243" s="90"/>
      <c r="Q3243" s="90"/>
      <c r="R3243" s="90"/>
      <c r="S3243" s="91"/>
      <c r="T3243" s="92"/>
      <c r="U3243" s="473"/>
      <c r="W3243" s="438"/>
      <c r="X3243" s="455"/>
      <c r="Y3243" s="439"/>
      <c r="Z3243" s="437"/>
      <c r="AA3243" s="530"/>
      <c r="AB3243" s="563"/>
      <c r="AC3243" s="87"/>
      <c r="AD3243" s="440"/>
      <c r="AE3243" s="441"/>
      <c r="AF3243" s="442"/>
      <c r="AG3243" s="49"/>
      <c r="AH3243" s="87"/>
      <c r="AI3243" s="87"/>
    </row>
    <row r="3244" spans="1:35" ht="16.5" hidden="1" thickBot="1">
      <c r="A3244" s="93"/>
      <c r="B3244" s="94"/>
      <c r="C3244" s="96"/>
      <c r="D3244" s="96"/>
      <c r="E3244" s="96"/>
      <c r="F3244" s="96"/>
      <c r="G3244" s="96"/>
      <c r="H3244" s="96"/>
      <c r="I3244" s="96"/>
      <c r="J3244" s="96"/>
      <c r="K3244" s="96"/>
      <c r="L3244" s="96"/>
      <c r="M3244" s="136"/>
      <c r="N3244" s="96"/>
      <c r="O3244" s="96"/>
      <c r="P3244" s="97"/>
      <c r="Q3244" s="97"/>
      <c r="R3244" s="98"/>
      <c r="S3244" s="95"/>
      <c r="T3244" s="99"/>
      <c r="U3244" s="469"/>
      <c r="AC3244" s="58"/>
      <c r="AG3244" s="58"/>
      <c r="AH3244" s="87"/>
      <c r="AI3244" s="87"/>
    </row>
    <row r="3245" spans="1:35" ht="16.5" hidden="1" thickBot="1">
      <c r="B3245" s="101"/>
      <c r="C3245" s="101"/>
      <c r="D3245" s="101"/>
      <c r="E3245" s="101"/>
      <c r="F3245" s="101"/>
      <c r="G3245" s="101"/>
      <c r="H3245" s="101"/>
      <c r="I3245" s="101"/>
      <c r="J3245" s="101"/>
      <c r="K3245" s="101"/>
      <c r="L3245" s="101"/>
      <c r="M3245" s="101"/>
      <c r="N3245" s="101"/>
      <c r="O3245" s="101"/>
      <c r="P3245" s="101"/>
      <c r="Q3245" s="101"/>
      <c r="R3245" s="101"/>
      <c r="S3245" s="101"/>
      <c r="U3245" s="50"/>
      <c r="AH3245" s="87"/>
      <c r="AI3245" s="87"/>
    </row>
    <row r="3246" spans="1:35" ht="16.5" hidden="1" customHeight="1" thickBot="1">
      <c r="A3246" s="44"/>
      <c r="B3246" s="705" t="s">
        <v>74</v>
      </c>
      <c r="C3246" s="705"/>
      <c r="D3246" s="705"/>
      <c r="E3246" s="705"/>
      <c r="F3246" s="705"/>
      <c r="G3246" s="705"/>
      <c r="H3246" s="705"/>
      <c r="I3246" s="705"/>
      <c r="J3246" s="705"/>
      <c r="K3246" s="705"/>
      <c r="L3246" s="705"/>
      <c r="M3246" s="705"/>
      <c r="N3246" s="705"/>
      <c r="O3246" s="705"/>
      <c r="P3246" s="705"/>
      <c r="Q3246" s="705"/>
      <c r="R3246" s="705"/>
      <c r="S3246" s="705"/>
      <c r="T3246" s="705"/>
      <c r="U3246" s="108"/>
      <c r="Y3246" s="532" t="s">
        <v>341</v>
      </c>
      <c r="AC3246" s="49"/>
      <c r="AD3246" s="687" t="s">
        <v>302</v>
      </c>
      <c r="AE3246" s="688"/>
      <c r="AF3246" s="689"/>
      <c r="AG3246" s="49"/>
      <c r="AH3246" s="87"/>
      <c r="AI3246" s="87"/>
    </row>
    <row r="3247" spans="1:35" ht="16.5" hidden="1" customHeight="1" thickBot="1">
      <c r="A3247" s="218" t="e">
        <f>"K"&amp;E3229</f>
        <v>#N/A</v>
      </c>
      <c r="B3247" s="701" t="s">
        <v>71</v>
      </c>
      <c r="C3247" s="751" t="s">
        <v>102</v>
      </c>
      <c r="D3247" s="751"/>
      <c r="E3247" s="751"/>
      <c r="F3247" s="751"/>
      <c r="G3247" s="751"/>
      <c r="H3247" s="751"/>
      <c r="I3247" s="751"/>
      <c r="J3247" s="751"/>
      <c r="K3247" s="751"/>
      <c r="L3247" s="722" t="s">
        <v>100</v>
      </c>
      <c r="M3247" s="747" t="s">
        <v>114</v>
      </c>
      <c r="N3247" s="747"/>
      <c r="O3247" s="747"/>
      <c r="P3247" s="747"/>
      <c r="Q3247" s="748"/>
      <c r="R3247" s="758" t="s">
        <v>280</v>
      </c>
      <c r="S3247" s="748"/>
      <c r="T3247" s="762" t="str">
        <f>IF(COUNTIF(AE3247:AF3247,"VERIFICAR")&gt;0,"VERIFICAR",IF(COUNTIF(AE3247:AF3247,"NO CUMPLE")&gt;0,"NO CUMPLE","CUMPLE"))</f>
        <v>VERIFICAR</v>
      </c>
      <c r="U3247" s="108"/>
      <c r="Y3247" s="533" t="e">
        <f>IF(F3248="","",IF(F3248=1,"INDIVIDUAL","ESTRUCTURA PLURAL"))</f>
        <v>#N/A</v>
      </c>
      <c r="AC3247" s="52"/>
      <c r="AD3247" s="475" t="s">
        <v>303</v>
      </c>
      <c r="AE3247" s="476" t="str">
        <f>IF(COUNTIF(AE3233:AE3242,"")=10,"VERIFICAR",IF(COUNTIF(AE3233:AE3242,"SI")&gt;0,"CUMPLE","NO CUMPLE"))</f>
        <v>VERIFICAR</v>
      </c>
      <c r="AF3247" s="477" t="str">
        <f>IF(COUNTIF(AF3233:AF3242,"")=10,"VERIFICAR",IF(COUNTIF(AF3233:AF3242,"SI")&gt;=$AI$22,"CUMPLE","NO CUMPLE"))</f>
        <v>VERIFICAR</v>
      </c>
      <c r="AG3247" s="52"/>
      <c r="AH3247" s="87"/>
      <c r="AI3247" s="87"/>
    </row>
    <row r="3248" spans="1:35" ht="15.75" hidden="1" customHeight="1" thickBot="1">
      <c r="A3248" s="218" t="e">
        <f>"L"&amp;E3229</f>
        <v>#N/A</v>
      </c>
      <c r="B3248" s="702"/>
      <c r="C3248" s="751" t="s">
        <v>103</v>
      </c>
      <c r="D3248" s="751"/>
      <c r="E3248" s="752"/>
      <c r="F3248" s="557" t="e">
        <f>IF(VLOOKUP(E3229,PROPONENTES!$C$19:$E$218,3,0)="","",VLOOKUP(E3229,PROPONENTES!$C$19:$E$218,3,0))</f>
        <v>#N/A</v>
      </c>
      <c r="G3248" s="753" t="s">
        <v>104</v>
      </c>
      <c r="H3248" s="751"/>
      <c r="I3248" s="715" t="e">
        <f>IF(OR(F3248="",F3248=1),"INTERESADO PERSONA NATURAL O JURIDICA","CONSORCIO O UNION TEMPORAL")</f>
        <v>#N/A</v>
      </c>
      <c r="J3248" s="725"/>
      <c r="K3248" s="728"/>
      <c r="L3248" s="723"/>
      <c r="M3248" s="749"/>
      <c r="N3248" s="749"/>
      <c r="O3248" s="749"/>
      <c r="P3248" s="749"/>
      <c r="Q3248" s="750"/>
      <c r="R3248" s="712"/>
      <c r="S3248" s="750"/>
      <c r="T3248" s="763"/>
      <c r="U3248" s="108"/>
      <c r="Y3248" s="534"/>
      <c r="AA3248" s="52"/>
      <c r="AB3248" s="52"/>
      <c r="AC3248" s="52"/>
      <c r="AG3248" s="52"/>
      <c r="AH3248" s="87"/>
      <c r="AI3248" s="87"/>
    </row>
    <row r="3249" spans="1:35" ht="56.25" hidden="1" customHeight="1" thickBot="1">
      <c r="A3249" s="218" t="e">
        <f>"M"&amp;E3229</f>
        <v>#N/A</v>
      </c>
      <c r="B3249" s="702"/>
      <c r="C3249" s="725" t="s">
        <v>101</v>
      </c>
      <c r="D3249" s="716"/>
      <c r="E3249" s="558" t="s">
        <v>105</v>
      </c>
      <c r="F3249" s="554" t="s">
        <v>87</v>
      </c>
      <c r="G3249" s="553" t="s">
        <v>86</v>
      </c>
      <c r="H3249" s="559" t="s">
        <v>85</v>
      </c>
      <c r="I3249" s="554" t="s">
        <v>252</v>
      </c>
      <c r="J3249" s="553" t="str">
        <f>"¿EL INTEGRANTE TIENE UNA PARTICIPACIÓN DEL "&amp;PORCREQUERIDOINT*100&amp;"%?"</f>
        <v>¿EL INTEGRANTE TIENE UNA PARTICIPACIÓN DEL 60%?</v>
      </c>
      <c r="K3249" s="554" t="s">
        <v>107</v>
      </c>
      <c r="L3249" s="724"/>
      <c r="M3249" s="717" t="s">
        <v>115</v>
      </c>
      <c r="N3249" s="718"/>
      <c r="O3249" s="718"/>
      <c r="P3249" s="718"/>
      <c r="Q3249" s="223">
        <f>IF(AND(H3233="SI",P3233&gt;=0),1,0)+IF(AND(H3234="SI",P3234&gt;=0),1,0)+IF(AND(H3235="SI",P3235&gt;=0),1,0)+IF(AND(H3236="SI",P3236&gt;=0),1,0)+IF(AND(H3237="SI",P3237&gt;=0),1,0)+IF(AND(H3238="SI",P3238&gt;=0),1,0)+IF(AND(H3239="SI",P3239&gt;=0),1,0)+IF(AND(H3240="SI",P3240&gt;=0),1,0)+IF(AND(H3241="SI",P3241&gt;=0),1,0)+IF(AND(H3242="SI",P3242&gt;=0),1,0)</f>
        <v>0</v>
      </c>
      <c r="R3249" s="759"/>
      <c r="S3249" s="761"/>
      <c r="T3249" s="764"/>
      <c r="U3249" s="219"/>
      <c r="V3249" s="464"/>
      <c r="Y3249" s="532" t="s">
        <v>342</v>
      </c>
      <c r="AA3249" s="550" t="s">
        <v>344</v>
      </c>
      <c r="AB3249" s="693" t="s">
        <v>345</v>
      </c>
      <c r="AC3249" s="693" t="s">
        <v>346</v>
      </c>
      <c r="AD3249" s="685" t="s">
        <v>347</v>
      </c>
      <c r="AE3249" s="52"/>
      <c r="AF3249" s="52"/>
      <c r="AG3249" s="52"/>
      <c r="AH3249" s="87"/>
      <c r="AI3249" s="87"/>
    </row>
    <row r="3250" spans="1:35" ht="15.75" hidden="1" customHeight="1" thickBot="1">
      <c r="A3250" s="218" t="e">
        <f>"N"&amp;E3229</f>
        <v>#N/A</v>
      </c>
      <c r="B3250" s="702"/>
      <c r="C3250" s="114">
        <v>1</v>
      </c>
      <c r="D3250" s="194" t="e">
        <f>IF(AND(C3250&lt;=F3248,F3248&gt;1,F3248&lt;&gt;""),VLOOKUP(VALUE(E3229&amp;","&amp;C3250),INTEGRANTES!$D$18:$F$235,2,0),"")</f>
        <v>#N/A</v>
      </c>
      <c r="E3250" s="211" t="e">
        <f>IF(D3250&lt;&gt;"",VLOOKUP(VALUE(E3229&amp;","&amp;C3250),INTEGRANTES!$D$18:$F$235,3,0),"")</f>
        <v>#N/A</v>
      </c>
      <c r="F3250" s="547" t="e">
        <f>IF(D3250="","",SUMIF($I3233:$I3242,D3250,$P3233:$P3242))</f>
        <v>#N/A</v>
      </c>
      <c r="G3250" s="333" t="e">
        <f>IF(D3250="","",SUMIF($I3233:$I3242,D3250,$M3233:$M3242))</f>
        <v>#N/A</v>
      </c>
      <c r="H3250" s="535" t="e">
        <f t="shared" ref="H3250:H3255" si="956">IF(D3250="","",IF(OR(F3250=0,G3250=0),"NO APORTA",ROUND($F3250/$G3250,3)))</f>
        <v>#N/A</v>
      </c>
      <c r="I3250" s="212" t="e">
        <f>IF(D3250="","",IF(H3250="NO APORTA","NO",IF(H3250=MAX($H3250:$H3255),"SI","NO")))</f>
        <v>#N/A</v>
      </c>
      <c r="J3250" s="213" t="e">
        <f t="shared" ref="J3250:J3255" si="957">IF(D3250="","",IF(E3250&gt;=PORCREQUERIDOINT,"SI","NO"))</f>
        <v>#N/A</v>
      </c>
      <c r="K3250" s="200" t="e">
        <f t="shared" ref="K3250:K3255" si="958">IF(D3250="","",IF(AND(I3250="SI",J3250="SI"),"CUMPLE",IF(AND(I3250="NO",OR(J3250="SI",J3250="NO")),"","NO CUMPLE")))</f>
        <v>#N/A</v>
      </c>
      <c r="L3250" s="722" t="s">
        <v>108</v>
      </c>
      <c r="M3250" s="726" t="s">
        <v>119</v>
      </c>
      <c r="N3250" s="726"/>
      <c r="O3250" s="726"/>
      <c r="P3250" s="726"/>
      <c r="Q3250" s="727"/>
      <c r="R3250" s="758" t="s">
        <v>80</v>
      </c>
      <c r="S3250" s="747"/>
      <c r="T3250" s="748"/>
      <c r="U3250" s="219"/>
      <c r="V3250" s="464"/>
      <c r="Y3250" s="533" t="e">
        <f>IF(Y3247="","",IF(Y3247="INDIVIDUAL","NO APLICA","VERIFICAR CUADRO"))</f>
        <v>#N/A</v>
      </c>
      <c r="AA3250" s="551"/>
      <c r="AB3250" s="694"/>
      <c r="AC3250" s="694"/>
      <c r="AD3250" s="686"/>
      <c r="AE3250" s="52"/>
      <c r="AF3250" s="52"/>
      <c r="AG3250" s="52"/>
      <c r="AH3250" s="87"/>
      <c r="AI3250" s="87"/>
    </row>
    <row r="3251" spans="1:35" ht="27" hidden="1" customHeight="1" thickBot="1">
      <c r="A3251" s="218" t="e">
        <f>"O"&amp;E3229</f>
        <v>#N/A</v>
      </c>
      <c r="B3251" s="702"/>
      <c r="C3251" s="114">
        <v>2</v>
      </c>
      <c r="D3251" s="194" t="e">
        <f>IF(AND(C3251&lt;=F3248,F3248&lt;&gt;""),VLOOKUP(VALUE(E3229&amp;","&amp;C3251),INTEGRANTES!$D$18:$F$235,2,0),"")</f>
        <v>#N/A</v>
      </c>
      <c r="E3251" s="211" t="e">
        <f>IF(D3251&lt;&gt;"",VLOOKUP(VALUE(E3229&amp;","&amp;C3251),INTEGRANTES!$D$18:$F$235,3,0),"")</f>
        <v>#N/A</v>
      </c>
      <c r="F3251" s="547" t="e">
        <f>IF(D3251="","",SUMIF($I3233:$I3242,D3251,$P3233:$P3242))</f>
        <v>#N/A</v>
      </c>
      <c r="G3251" s="333" t="e">
        <f>IF(D3251="","",SUMIF($I3233:$I3242,D3251,$M3233:$M3242))</f>
        <v>#N/A</v>
      </c>
      <c r="H3251" s="535" t="e">
        <f t="shared" si="956"/>
        <v>#N/A</v>
      </c>
      <c r="I3251" s="212" t="e">
        <f>IF(D3251="","",IF(H3251="NO APORTA","NO",IF(H3251=MAX($H3250:$H3255),"SI","NO")))</f>
        <v>#N/A</v>
      </c>
      <c r="J3251" s="213" t="e">
        <f t="shared" si="957"/>
        <v>#N/A</v>
      </c>
      <c r="K3251" s="200" t="e">
        <f t="shared" si="958"/>
        <v>#N/A</v>
      </c>
      <c r="L3251" s="723"/>
      <c r="M3251" s="715" t="s">
        <v>116</v>
      </c>
      <c r="N3251" s="716"/>
      <c r="O3251" s="556" t="s">
        <v>113</v>
      </c>
      <c r="P3251" s="715" t="s">
        <v>117</v>
      </c>
      <c r="Q3251" s="728"/>
      <c r="R3251" s="759"/>
      <c r="S3251" s="760"/>
      <c r="T3251" s="761"/>
      <c r="U3251" s="219"/>
      <c r="V3251" s="464"/>
      <c r="Y3251" s="414"/>
      <c r="AA3251" s="542" t="e">
        <f>IF(AND(C3250&lt;=F3248,F3248&gt;1,F3248&lt;&gt;""),VLOOKUP(VALUE(E3229&amp;","&amp;C3250),INTEGRANTES!$D$18:$F$235,2,0),"")</f>
        <v>#N/A</v>
      </c>
      <c r="AB3251" s="544" t="e">
        <f t="shared" ref="AB3251:AB3256" si="959">IF(D3250="","",IF(OR(F3250=0,G3250=0),"NO APORTA",ROUND($F3250/$G3250,3)))</f>
        <v>#N/A</v>
      </c>
      <c r="AC3251" s="529"/>
      <c r="AD3251" s="200" t="e">
        <f t="shared" ref="AD3251:AD3256" si="960">IF(OR(AA3251="",AB3251=""),"",IF(AND(AC3251="X",AB3251&gt;=EXPREQVTD),"CUMPLE","NO CUMPLE"))</f>
        <v>#N/A</v>
      </c>
      <c r="AE3251" s="52"/>
      <c r="AF3251" s="52"/>
      <c r="AG3251" s="52"/>
      <c r="AH3251" s="87"/>
      <c r="AI3251" s="87"/>
    </row>
    <row r="3252" spans="1:35" ht="16.5" hidden="1" thickBot="1">
      <c r="A3252" s="218" t="e">
        <f>"P"&amp;E3229</f>
        <v>#N/A</v>
      </c>
      <c r="B3252" s="702"/>
      <c r="C3252" s="114">
        <v>3</v>
      </c>
      <c r="D3252" s="194" t="e">
        <f>IF(AND(C3252&lt;=F3248,F3248&lt;&gt;""),VLOOKUP(VALUE(E3229&amp;","&amp;C3252),INTEGRANTES!$D$18:$F$235,2,0),"")</f>
        <v>#N/A</v>
      </c>
      <c r="E3252" s="211" t="e">
        <f>IF(D3252&lt;&gt;"",VLOOKUP(VALUE(E3229&amp;","&amp;C3252),INTEGRANTES!$D$18:$F$235,3,0),"")</f>
        <v>#N/A</v>
      </c>
      <c r="F3252" s="547" t="e">
        <f>IF(D3252="","",SUMIF($I3233:$I3242,D3252,$P3233:$P3242))</f>
        <v>#N/A</v>
      </c>
      <c r="G3252" s="333" t="e">
        <f>IF(D3252="","",SUMIF($I3233:$I3242,D3252,$M3233:$M3242))</f>
        <v>#N/A</v>
      </c>
      <c r="H3252" s="535" t="e">
        <f t="shared" si="956"/>
        <v>#N/A</v>
      </c>
      <c r="I3252" s="212" t="e">
        <f>IF(D3252="","",IF(H3252="NO APORTA","NO",IF(H3252=MAX($H3250:$H3255),"SI","NO")))</f>
        <v>#N/A</v>
      </c>
      <c r="J3252" s="213" t="e">
        <f t="shared" si="957"/>
        <v>#N/A</v>
      </c>
      <c r="K3252" s="200" t="e">
        <f t="shared" si="958"/>
        <v>#N/A</v>
      </c>
      <c r="L3252" s="724"/>
      <c r="M3252" s="729">
        <f>NUMMOD</f>
        <v>1</v>
      </c>
      <c r="N3252" s="730"/>
      <c r="O3252" s="443">
        <f>IF(M3252="","",VLOOKUP(M3252,PRESUPUESTOS!$B$16:$H$16,5,FALSE))</f>
        <v>2</v>
      </c>
      <c r="P3252" s="713">
        <f>IF(OR(COUNTIF(M3233:M3242,"")&gt;=10,Q3249&lt;NUMMINCONT,OR(T3247="NO CUMPLE",T3247="VERIFICAR")),0,ROUND(AVERAGE(M3233:M3242),3))</f>
        <v>0</v>
      </c>
      <c r="Q3252" s="714"/>
      <c r="R3252" s="458"/>
      <c r="S3252" s="459"/>
      <c r="T3252" s="460"/>
      <c r="U3252" s="219"/>
      <c r="V3252" s="464"/>
      <c r="Y3252" s="532" t="str">
        <f>"40% * ("&amp;PRESUPUESTOS!$H$13&amp;")"</f>
        <v>40% * (50% PFMO)</v>
      </c>
      <c r="AA3252" s="540" t="e">
        <f>IF(AND(C3251&lt;=F3248,F3248&lt;&gt;""),VLOOKUP(VALUE(E3229&amp;","&amp;C3251),INTEGRANTES!$D$18:$F$235,2,0),"")</f>
        <v>#N/A</v>
      </c>
      <c r="AB3252" s="545" t="e">
        <f t="shared" si="959"/>
        <v>#N/A</v>
      </c>
      <c r="AC3252" s="529"/>
      <c r="AD3252" s="200" t="e">
        <f t="shared" si="960"/>
        <v>#N/A</v>
      </c>
      <c r="AE3252" s="52"/>
      <c r="AF3252" s="52"/>
      <c r="AG3252" s="52"/>
      <c r="AH3252" s="87"/>
      <c r="AI3252" s="87"/>
    </row>
    <row r="3253" spans="1:35" ht="15.75" hidden="1" customHeight="1" thickBot="1">
      <c r="A3253" s="218" t="e">
        <f>"Q"&amp;E3229</f>
        <v>#N/A</v>
      </c>
      <c r="B3253" s="702"/>
      <c r="C3253" s="114">
        <v>4</v>
      </c>
      <c r="D3253" s="194" t="e">
        <f>IF(AND(C3253&lt;=F3248,F3248&lt;&gt;""),VLOOKUP(VALUE(E3229&amp;","&amp;C3253),INTEGRANTES!$D$18:$F$235,2,0),"")</f>
        <v>#N/A</v>
      </c>
      <c r="E3253" s="211" t="e">
        <f>IF(D3253&lt;&gt;"",VLOOKUP(VALUE(E3229&amp;","&amp;C3253),INTEGRANTES!$D$18:$F$235,3,0),"")</f>
        <v>#N/A</v>
      </c>
      <c r="F3253" s="547" t="e">
        <f>IF(D3253="","",SUMIF($I3233:$I3242,D3253,$P3233:$P3242))</f>
        <v>#N/A</v>
      </c>
      <c r="G3253" s="333" t="e">
        <f>IF(D3253="","",SUMIF($I3233:$I3242,D3253,$M3233:$M3242))</f>
        <v>#N/A</v>
      </c>
      <c r="H3253" s="535" t="e">
        <f t="shared" si="956"/>
        <v>#N/A</v>
      </c>
      <c r="I3253" s="212" t="e">
        <f>IF(D3253="","",IF(H3253="NO APORTA","NO",IF(H3253=MAX($H3250:$H3255),"SI","NO")))</f>
        <v>#N/A</v>
      </c>
      <c r="J3253" s="213" t="e">
        <f t="shared" si="957"/>
        <v>#N/A</v>
      </c>
      <c r="K3253" s="200" t="e">
        <f t="shared" si="958"/>
        <v>#N/A</v>
      </c>
      <c r="L3253" s="720" t="s">
        <v>109</v>
      </c>
      <c r="M3253" s="757" t="s">
        <v>120</v>
      </c>
      <c r="N3253" s="726"/>
      <c r="O3253" s="726"/>
      <c r="P3253" s="726"/>
      <c r="Q3253" s="727"/>
      <c r="R3253" s="458"/>
      <c r="S3253" s="459"/>
      <c r="T3253" s="460"/>
      <c r="U3253" s="219"/>
      <c r="V3253" s="464"/>
      <c r="Y3253" s="537">
        <f>0.4*PRESUPUESTOS!$H$16</f>
        <v>10.3124</v>
      </c>
      <c r="AA3253" s="540" t="e">
        <f>IF(AND(C3252&lt;=F3248,F3248&lt;&gt;""),VLOOKUP(VALUE(E3229&amp;","&amp;C3252),INTEGRANTES!$D$18:$F$235,2,0),"")</f>
        <v>#N/A</v>
      </c>
      <c r="AB3253" s="545" t="e">
        <f t="shared" si="959"/>
        <v>#N/A</v>
      </c>
      <c r="AC3253" s="529"/>
      <c r="AD3253" s="200" t="e">
        <f t="shared" si="960"/>
        <v>#N/A</v>
      </c>
      <c r="AE3253" s="52"/>
      <c r="AF3253" s="52"/>
      <c r="AG3253" s="52"/>
      <c r="AH3253" s="87"/>
      <c r="AI3253" s="87"/>
    </row>
    <row r="3254" spans="1:35" ht="27" hidden="1" customHeight="1" thickBot="1">
      <c r="A3254" s="218" t="e">
        <f>"R"&amp;E3229</f>
        <v>#N/A</v>
      </c>
      <c r="B3254" s="702"/>
      <c r="C3254" s="114">
        <v>5</v>
      </c>
      <c r="D3254" s="194" t="e">
        <f>IF(AND(C3254&lt;=F3248,F3248&lt;&gt;""),VLOOKUP(VALUE(E3229&amp;","&amp;C3254),INTEGRANTES!$D$18:$F$235,2,0),"")</f>
        <v>#N/A</v>
      </c>
      <c r="E3254" s="211" t="e">
        <f>IF(D3254&lt;&gt;"",VLOOKUP(VALUE(E3229&amp;","&amp;C3254),INTEGRANTES!$D$18:$F$235,3,0),"")</f>
        <v>#N/A</v>
      </c>
      <c r="F3254" s="547" t="e">
        <f>IF(D3254="","",SUMIF($I3233:$I3242,D3254,$P3233:$P3242))</f>
        <v>#N/A</v>
      </c>
      <c r="G3254" s="333" t="e">
        <f>IF(D3254="","",SUMIF($I3233:$I3242,D3254,$M3233:$M3242))</f>
        <v>#N/A</v>
      </c>
      <c r="H3254" s="535" t="e">
        <f t="shared" si="956"/>
        <v>#N/A</v>
      </c>
      <c r="I3254" s="212" t="e">
        <f>IF(D3254="","",IF(H3254="NO APORTA","NO",IF(H3254=MAX($H3250:$H3255),"SI","NO")))</f>
        <v>#N/A</v>
      </c>
      <c r="J3254" s="213" t="e">
        <f t="shared" si="957"/>
        <v>#N/A</v>
      </c>
      <c r="K3254" s="200" t="e">
        <f t="shared" si="958"/>
        <v>#N/A</v>
      </c>
      <c r="L3254" s="721"/>
      <c r="M3254" s="715" t="s">
        <v>116</v>
      </c>
      <c r="N3254" s="716"/>
      <c r="O3254" s="556" t="str">
        <f>PORCREQUERIDO*100&amp;"% PMFO DEL MÓDULO"</f>
        <v>50% PMFO DEL MÓDULO</v>
      </c>
      <c r="P3254" s="715" t="s">
        <v>118</v>
      </c>
      <c r="Q3254" s="728"/>
      <c r="R3254" s="458"/>
      <c r="S3254" s="459"/>
      <c r="T3254" s="460"/>
      <c r="U3254" s="219"/>
      <c r="V3254" s="464"/>
      <c r="Y3254" s="414"/>
      <c r="AA3254" s="540" t="e">
        <f>IF(AND(C3253&lt;=F3248,F3248&lt;&gt;""),VLOOKUP(VALUE(E3229&amp;","&amp;C3253),INTEGRANTES!$D$18:$F$235,2,0),"")</f>
        <v>#N/A</v>
      </c>
      <c r="AB3254" s="545" t="e">
        <f t="shared" si="959"/>
        <v>#N/A</v>
      </c>
      <c r="AC3254" s="529"/>
      <c r="AD3254" s="200" t="e">
        <f t="shared" si="960"/>
        <v>#N/A</v>
      </c>
      <c r="AE3254" s="52"/>
      <c r="AF3254" s="52"/>
      <c r="AG3254" s="52"/>
      <c r="AH3254" s="87"/>
      <c r="AI3254" s="87"/>
    </row>
    <row r="3255" spans="1:35" ht="16.5" hidden="1" thickBot="1">
      <c r="A3255" s="218" t="e">
        <f>"S"&amp;E3229</f>
        <v>#N/A</v>
      </c>
      <c r="B3255" s="702"/>
      <c r="C3255" s="215">
        <v>6</v>
      </c>
      <c r="D3255" s="216" t="e">
        <f>IF(AND(C3255&lt;=F3248,F3248&lt;&gt;""),VLOOKUP(VALUE(E3229&amp;","&amp;C3255),INTEGRANTES!$D$18:$F$235,2,0),"")</f>
        <v>#N/A</v>
      </c>
      <c r="E3255" s="217" t="e">
        <f>IF(D3255&lt;&gt;"",VLOOKUP(VALUE(E3229&amp;","&amp;C3255),INTEGRANTES!$D$18:$F$235,3,0),"")</f>
        <v>#N/A</v>
      </c>
      <c r="F3255" s="548" t="e">
        <f>IF(D3255="","",SUMIF($I3233:$I3242,D3255,$P3233:$P3242))</f>
        <v>#N/A</v>
      </c>
      <c r="G3255" s="334" t="e">
        <f>IF(D3255="","",SUMIF($I3233:$I3242,D3255,$M3233:$M3242))</f>
        <v>#N/A</v>
      </c>
      <c r="H3255" s="536" t="e">
        <f t="shared" si="956"/>
        <v>#N/A</v>
      </c>
      <c r="I3255" s="214" t="e">
        <f>IF(D3255="","",IF(H3255="NO APORTA","NO",IF(H3255=MAX($H3250:$H3255),"SI","NO")))</f>
        <v>#N/A</v>
      </c>
      <c r="J3255" s="213" t="e">
        <f t="shared" si="957"/>
        <v>#N/A</v>
      </c>
      <c r="K3255" s="200" t="e">
        <f t="shared" si="958"/>
        <v>#N/A</v>
      </c>
      <c r="L3255" s="721"/>
      <c r="M3255" s="729">
        <f>NUMMOD</f>
        <v>1</v>
      </c>
      <c r="N3255" s="730"/>
      <c r="O3255" s="443">
        <f>IF(M3255="","",ROUND(VLOOKUP(M3255,PRESUPUESTOS!$B$16:$H$16,7,FALSE),3))</f>
        <v>25.780999999999999</v>
      </c>
      <c r="P3255" s="713">
        <f>IF(OR(COUNTIF(P3233:P3242,"")&gt;=10,Q3249&lt;NUMMINCONT,OR(T3247="NO CUMPLE",T3247="VERIFICAR")),0,ROUND((SUM(P3233:P3242)/SUM(M3233:M3242)),3))</f>
        <v>0</v>
      </c>
      <c r="Q3255" s="714"/>
      <c r="R3255" s="458"/>
      <c r="S3255" s="459"/>
      <c r="T3255" s="460"/>
      <c r="U3255" s="219"/>
      <c r="V3255" s="464"/>
      <c r="Y3255" s="532" t="s">
        <v>343</v>
      </c>
      <c r="AA3255" s="540" t="e">
        <f>IF(AND(C3254&lt;=F3248,F3248&lt;&gt;""),VLOOKUP(VALUE(E3229&amp;","&amp;C3254),INTEGRANTES!$D$18:$F$235,2,0),"")</f>
        <v>#N/A</v>
      </c>
      <c r="AB3255" s="545" t="e">
        <f t="shared" si="959"/>
        <v>#N/A</v>
      </c>
      <c r="AC3255" s="529"/>
      <c r="AD3255" s="200" t="e">
        <f t="shared" si="960"/>
        <v>#N/A</v>
      </c>
      <c r="AE3255" s="52"/>
      <c r="AF3255" s="52"/>
      <c r="AG3255" s="52"/>
      <c r="AH3255" s="87"/>
      <c r="AI3255" s="87"/>
    </row>
    <row r="3256" spans="1:35" ht="16.5" hidden="1" customHeight="1" thickBot="1">
      <c r="A3256" s="218" t="e">
        <f>"T"&amp;E3229</f>
        <v>#N/A</v>
      </c>
      <c r="B3256" s="703"/>
      <c r="C3256" s="719"/>
      <c r="D3256" s="719"/>
      <c r="E3256" s="719"/>
      <c r="F3256" s="719"/>
      <c r="G3256" s="719"/>
      <c r="H3256" s="719" t="s">
        <v>110</v>
      </c>
      <c r="I3256" s="719"/>
      <c r="J3256" s="719"/>
      <c r="K3256" s="201" t="str">
        <f>IF(COUNTIF(K3250:K3255,"")=6,"",IF(COUNTIF(K3250:K3255,"CUMPLE")&gt;0,"CUMPLE","NO CUMPLE"))</f>
        <v>NO CUMPLE</v>
      </c>
      <c r="L3256" s="754"/>
      <c r="M3256" s="755"/>
      <c r="N3256" s="755"/>
      <c r="O3256" s="755"/>
      <c r="P3256" s="755"/>
      <c r="Q3256" s="756"/>
      <c r="R3256" s="461"/>
      <c r="S3256" s="462"/>
      <c r="T3256" s="463"/>
      <c r="U3256" s="219"/>
      <c r="V3256" s="464"/>
      <c r="Y3256" s="549" t="e">
        <f>IF(Y3250="NO APLICA","NO APLICA",IF(COUNTIF(AD3251:AD3256,"CUMPLE")&gt;0,"CUMPLE","NO CUMPLE"))</f>
        <v>#N/A</v>
      </c>
      <c r="AA3256" s="541" t="e">
        <f>IF(AND(C3255&lt;=F3248,F3248&lt;&gt;""),VLOOKUP(VALUE(E3229&amp;","&amp;C3255),INTEGRANTES!$D$18:$F$235,2,0),"")</f>
        <v>#N/A</v>
      </c>
      <c r="AB3256" s="546" t="e">
        <f t="shared" si="959"/>
        <v>#N/A</v>
      </c>
      <c r="AC3256" s="543"/>
      <c r="AD3256" s="201" t="e">
        <f t="shared" si="960"/>
        <v>#N/A</v>
      </c>
      <c r="AE3256" s="52"/>
      <c r="AF3256" s="52"/>
      <c r="AG3256" s="52"/>
      <c r="AH3256" s="87"/>
      <c r="AI3256" s="87"/>
    </row>
    <row r="3257" spans="1:35" hidden="1">
      <c r="AH3257" s="87"/>
      <c r="AI3257" s="87"/>
    </row>
    <row r="3258" spans="1:35" hidden="1">
      <c r="AH3258" s="87"/>
      <c r="AI3258" s="87"/>
    </row>
    <row r="3259" spans="1:35" ht="24" hidden="1" thickBot="1">
      <c r="A3259" s="61">
        <v>109</v>
      </c>
      <c r="B3259" s="704" t="s">
        <v>51</v>
      </c>
      <c r="C3259" s="704"/>
      <c r="D3259" s="704"/>
      <c r="E3259" s="62" t="e">
        <f>VLOOKUP(A3259,PROPONENTES!$B$19:$E$218,2,FALSE)</f>
        <v>#N/A</v>
      </c>
      <c r="F3259" s="63" t="e">
        <f>VLOOKUP(A3259,PROPONENTES!$B$19:$E$218,3,FALSE)</f>
        <v>#N/A</v>
      </c>
      <c r="G3259" s="64"/>
      <c r="H3259" s="64"/>
      <c r="I3259" s="63"/>
      <c r="J3259" s="63"/>
      <c r="K3259" s="65"/>
      <c r="L3259" s="65"/>
      <c r="M3259" s="64"/>
      <c r="N3259" s="64"/>
      <c r="O3259" s="66"/>
      <c r="P3259" s="66"/>
      <c r="Q3259" s="66"/>
      <c r="R3259" s="66"/>
      <c r="S3259" s="67"/>
      <c r="T3259" s="68"/>
      <c r="U3259" s="68"/>
      <c r="AC3259" s="68"/>
      <c r="AD3259" s="68"/>
      <c r="AE3259" s="68"/>
      <c r="AF3259" s="68"/>
      <c r="AG3259" s="68"/>
      <c r="AH3259" s="87"/>
      <c r="AI3259" s="87"/>
    </row>
    <row r="3260" spans="1:35" ht="15.75" hidden="1" customHeight="1">
      <c r="A3260" s="44"/>
      <c r="B3260" s="709" t="s">
        <v>59</v>
      </c>
      <c r="C3260" s="552" t="s">
        <v>60</v>
      </c>
      <c r="D3260" s="70" t="s">
        <v>17</v>
      </c>
      <c r="E3260" s="70"/>
      <c r="F3260" s="70" t="s">
        <v>61</v>
      </c>
      <c r="G3260" s="71"/>
      <c r="H3260" s="699" t="s">
        <v>62</v>
      </c>
      <c r="I3260" s="699" t="s">
        <v>18</v>
      </c>
      <c r="J3260" s="699" t="s">
        <v>63</v>
      </c>
      <c r="K3260" s="699" t="s">
        <v>64</v>
      </c>
      <c r="L3260" s="699" t="s">
        <v>65</v>
      </c>
      <c r="M3260" s="743" t="s">
        <v>66</v>
      </c>
      <c r="N3260" s="699" t="s">
        <v>282</v>
      </c>
      <c r="O3260" s="745" t="s">
        <v>67</v>
      </c>
      <c r="P3260" s="746"/>
      <c r="Q3260" s="102" t="s">
        <v>75</v>
      </c>
      <c r="R3260" s="731" t="s">
        <v>22</v>
      </c>
      <c r="S3260" s="732"/>
      <c r="T3260" s="733"/>
      <c r="U3260" s="712" t="s">
        <v>298</v>
      </c>
      <c r="W3260" s="690" t="s">
        <v>268</v>
      </c>
      <c r="X3260" s="691"/>
      <c r="Y3260" s="692"/>
      <c r="Z3260" s="428"/>
      <c r="AA3260" s="697" t="s">
        <v>315</v>
      </c>
      <c r="AB3260" s="695" t="s">
        <v>322</v>
      </c>
      <c r="AC3260" s="49"/>
      <c r="AD3260" s="690" t="s">
        <v>297</v>
      </c>
      <c r="AE3260" s="691"/>
      <c r="AF3260" s="692"/>
      <c r="AG3260" s="49"/>
      <c r="AH3260" s="87"/>
      <c r="AI3260" s="87"/>
    </row>
    <row r="3261" spans="1:35" ht="72" hidden="1">
      <c r="A3261" s="44"/>
      <c r="B3261" s="710"/>
      <c r="C3261" s="553" t="s">
        <v>68</v>
      </c>
      <c r="D3261" s="73" t="s">
        <v>3</v>
      </c>
      <c r="E3261" s="73" t="s">
        <v>19</v>
      </c>
      <c r="F3261" s="73" t="s">
        <v>69</v>
      </c>
      <c r="G3261" s="74" t="s">
        <v>70</v>
      </c>
      <c r="H3261" s="700"/>
      <c r="I3261" s="700"/>
      <c r="J3261" s="700"/>
      <c r="K3261" s="700"/>
      <c r="L3261" s="700"/>
      <c r="M3261" s="744"/>
      <c r="N3261" s="700"/>
      <c r="O3261" s="553" t="s">
        <v>279</v>
      </c>
      <c r="P3261" s="73" t="s">
        <v>88</v>
      </c>
      <c r="Q3261" s="555" t="s">
        <v>76</v>
      </c>
      <c r="R3261" s="734"/>
      <c r="S3261" s="735"/>
      <c r="T3261" s="736"/>
      <c r="U3261" s="712"/>
      <c r="W3261" s="429" t="s">
        <v>269</v>
      </c>
      <c r="X3261" s="457" t="s">
        <v>278</v>
      </c>
      <c r="Y3261" s="430" t="s">
        <v>324</v>
      </c>
      <c r="Z3261" s="428"/>
      <c r="AA3261" s="698"/>
      <c r="AB3261" s="696"/>
      <c r="AC3261" s="49"/>
      <c r="AD3261" s="429" t="s">
        <v>292</v>
      </c>
      <c r="AE3261" s="431" t="s">
        <v>300</v>
      </c>
      <c r="AF3261" s="468" t="s">
        <v>301</v>
      </c>
      <c r="AG3261" s="49"/>
      <c r="AH3261" s="87"/>
      <c r="AI3261" s="87"/>
    </row>
    <row r="3262" spans="1:35" hidden="1">
      <c r="A3262" s="44"/>
      <c r="B3262" s="76"/>
      <c r="C3262" s="77"/>
      <c r="D3262" s="77"/>
      <c r="E3262" s="77"/>
      <c r="F3262" s="77"/>
      <c r="G3262" s="77"/>
      <c r="H3262" s="77"/>
      <c r="I3262" s="77"/>
      <c r="J3262" s="77"/>
      <c r="K3262" s="77"/>
      <c r="L3262" s="77"/>
      <c r="M3262" s="77"/>
      <c r="N3262" s="77"/>
      <c r="O3262" s="77"/>
      <c r="P3262" s="77"/>
      <c r="Q3262" s="77"/>
      <c r="R3262" s="77"/>
      <c r="S3262" s="78"/>
      <c r="T3262" s="79"/>
      <c r="U3262" s="109"/>
      <c r="V3262" s="49"/>
      <c r="W3262" s="432"/>
      <c r="X3262" s="454"/>
      <c r="Y3262" s="433"/>
      <c r="Z3262" s="6"/>
      <c r="AA3262" s="500"/>
      <c r="AB3262" s="562"/>
      <c r="AC3262" s="49"/>
      <c r="AD3262" s="210"/>
      <c r="AE3262" s="434"/>
      <c r="AF3262" s="435"/>
      <c r="AG3262" s="49"/>
      <c r="AH3262" s="87"/>
      <c r="AI3262" s="87"/>
    </row>
    <row r="3263" spans="1:35" hidden="1">
      <c r="A3263" s="80" t="e">
        <f>"A"&amp;E3259</f>
        <v>#N/A</v>
      </c>
      <c r="B3263" s="81">
        <v>1</v>
      </c>
      <c r="C3263" s="82"/>
      <c r="D3263" s="82"/>
      <c r="E3263" s="82"/>
      <c r="F3263" s="82"/>
      <c r="G3263" s="83"/>
      <c r="H3263" s="83"/>
      <c r="I3263" s="84"/>
      <c r="J3263" s="85"/>
      <c r="K3263" s="382"/>
      <c r="L3263" s="85"/>
      <c r="M3263" s="332" t="str">
        <f t="shared" ref="M3263:M3272" si="961">IF(OR(J3263="",L3263="",H3263="NO"),"",IF(OR(J3263&gt;$P$17,J3263&lt;$O$17,L3263&gt;$P$17,AND(J3263&lt;$O$17,L3263&lt;$O$17)),"FUERA DE RANGO",IF(OR(K3263="---",K3263=""),IF(J3263&gt;=$O$17,ROUND((L3263-J3263+1)/360*12,3),ROUND((L3263-$O$17+1)/360*12,3)),IF(J3263&gt;=$O$17,ROUND((L3263-J3263+1)/360*12-ROUND(K3263,3),3),ROUND((L3263-$O$17+1)/360*12-ROUND(K3263,3),3)))))</f>
        <v/>
      </c>
      <c r="N3263" s="86"/>
      <c r="O3263" s="453" t="str">
        <f>IF(OR(G3263="",N3263=""),"",N3263*G3263)</f>
        <v/>
      </c>
      <c r="P3263" s="538" t="str">
        <f>IF(OR(H3263="",M3263="FUERA DE RANGO"),"",IF(OR(L3263&lt;$O$17,L3263&gt;$P$17,L3263="",H3263="NO"),"",IF(OR(N3263="",O3263=""),"",ROUND(O3263,3))))</f>
        <v/>
      </c>
      <c r="Q3263" s="539" t="str">
        <f t="shared" ref="Q3263:Q3272" si="962">IF(AND(H3263="SI",P3263&lt;&gt;""),ROUND(P3263/M3263,3),"")</f>
        <v/>
      </c>
      <c r="R3263" s="737"/>
      <c r="S3263" s="738"/>
      <c r="T3263" s="739"/>
      <c r="U3263" s="470"/>
      <c r="V3263" s="165"/>
      <c r="W3263" s="446"/>
      <c r="X3263" s="456"/>
      <c r="Y3263" s="436"/>
      <c r="Z3263" s="437"/>
      <c r="AA3263" s="560"/>
      <c r="AB3263" s="561"/>
      <c r="AC3263" s="87"/>
      <c r="AD3263" s="466"/>
      <c r="AE3263" s="456"/>
      <c r="AF3263" s="467"/>
      <c r="AG3263" s="87"/>
      <c r="AH3263" s="87"/>
      <c r="AI3263" s="87"/>
    </row>
    <row r="3264" spans="1:35" hidden="1">
      <c r="A3264" s="80" t="e">
        <f>"B"&amp;E3259</f>
        <v>#N/A</v>
      </c>
      <c r="B3264" s="81">
        <v>2</v>
      </c>
      <c r="C3264" s="106"/>
      <c r="D3264" s="106"/>
      <c r="E3264" s="106"/>
      <c r="F3264" s="106"/>
      <c r="G3264" s="83"/>
      <c r="H3264" s="83"/>
      <c r="I3264" s="84"/>
      <c r="J3264" s="85"/>
      <c r="K3264" s="382"/>
      <c r="L3264" s="85"/>
      <c r="M3264" s="332" t="str">
        <f t="shared" si="961"/>
        <v/>
      </c>
      <c r="N3264" s="86"/>
      <c r="O3264" s="453" t="str">
        <f t="shared" ref="O3264:O3272" si="963">IF(OR(G3264="",N3264=""),"",N3264*G3264)</f>
        <v/>
      </c>
      <c r="P3264" s="538" t="str">
        <f t="shared" ref="P3264:P3272" si="964">IF(OR(H3264="",M3264="FUERA DE RANGO"),"",IF(OR(L3264&lt;$O$17,L3264&gt;$P$17,L3264="",H3264="NO"),"",IF(OR(N3264="",O3264=""),"",ROUND(O3264,3))))</f>
        <v/>
      </c>
      <c r="Q3264" s="539" t="str">
        <f t="shared" si="962"/>
        <v/>
      </c>
      <c r="R3264" s="740"/>
      <c r="S3264" s="741"/>
      <c r="T3264" s="742"/>
      <c r="U3264" s="471"/>
      <c r="V3264" s="165"/>
      <c r="W3264" s="446"/>
      <c r="X3264" s="456"/>
      <c r="Y3264" s="436"/>
      <c r="Z3264" s="437"/>
      <c r="AA3264" s="560"/>
      <c r="AB3264" s="561"/>
      <c r="AC3264" s="87"/>
      <c r="AD3264" s="466"/>
      <c r="AE3264" s="456"/>
      <c r="AF3264" s="467"/>
      <c r="AG3264" s="87"/>
      <c r="AH3264" s="87"/>
      <c r="AI3264" s="87"/>
    </row>
    <row r="3265" spans="1:35" hidden="1">
      <c r="A3265" s="80" t="e">
        <f>"C"&amp;E3259</f>
        <v>#N/A</v>
      </c>
      <c r="B3265" s="88">
        <v>3</v>
      </c>
      <c r="C3265" s="82"/>
      <c r="D3265" s="82"/>
      <c r="E3265" s="82"/>
      <c r="F3265" s="82"/>
      <c r="G3265" s="83"/>
      <c r="H3265" s="83"/>
      <c r="I3265" s="84"/>
      <c r="J3265" s="85"/>
      <c r="K3265" s="382"/>
      <c r="L3265" s="85"/>
      <c r="M3265" s="332" t="str">
        <f t="shared" si="961"/>
        <v/>
      </c>
      <c r="N3265" s="86"/>
      <c r="O3265" s="453" t="str">
        <f t="shared" si="963"/>
        <v/>
      </c>
      <c r="P3265" s="538" t="str">
        <f t="shared" si="964"/>
        <v/>
      </c>
      <c r="Q3265" s="539" t="str">
        <f t="shared" si="962"/>
        <v/>
      </c>
      <c r="R3265" s="706"/>
      <c r="S3265" s="707"/>
      <c r="T3265" s="708"/>
      <c r="U3265" s="472"/>
      <c r="V3265" s="166"/>
      <c r="W3265" s="446"/>
      <c r="X3265" s="456"/>
      <c r="Y3265" s="436"/>
      <c r="Z3265" s="437"/>
      <c r="AA3265" s="560"/>
      <c r="AB3265" s="561"/>
      <c r="AC3265" s="87"/>
      <c r="AD3265" s="466"/>
      <c r="AE3265" s="456"/>
      <c r="AF3265" s="467"/>
      <c r="AG3265" s="87"/>
      <c r="AH3265" s="87"/>
      <c r="AI3265" s="87"/>
    </row>
    <row r="3266" spans="1:35" hidden="1">
      <c r="A3266" s="80" t="e">
        <f>"D"&amp;E3259</f>
        <v>#N/A</v>
      </c>
      <c r="B3266" s="105">
        <v>4</v>
      </c>
      <c r="C3266" s="107"/>
      <c r="D3266" s="107"/>
      <c r="E3266" s="107"/>
      <c r="F3266" s="107"/>
      <c r="G3266" s="83"/>
      <c r="H3266" s="83"/>
      <c r="I3266" s="84"/>
      <c r="J3266" s="85"/>
      <c r="K3266" s="382"/>
      <c r="L3266" s="85"/>
      <c r="M3266" s="332" t="str">
        <f t="shared" si="961"/>
        <v/>
      </c>
      <c r="N3266" s="86"/>
      <c r="O3266" s="453" t="str">
        <f t="shared" si="963"/>
        <v/>
      </c>
      <c r="P3266" s="538" t="str">
        <f t="shared" si="964"/>
        <v/>
      </c>
      <c r="Q3266" s="539" t="str">
        <f t="shared" si="962"/>
        <v/>
      </c>
      <c r="R3266" s="706"/>
      <c r="S3266" s="707"/>
      <c r="T3266" s="708"/>
      <c r="U3266" s="472"/>
      <c r="V3266" s="166"/>
      <c r="W3266" s="446"/>
      <c r="X3266" s="456"/>
      <c r="Y3266" s="436"/>
      <c r="Z3266" s="437"/>
      <c r="AA3266" s="560"/>
      <c r="AB3266" s="561"/>
      <c r="AC3266" s="87"/>
      <c r="AD3266" s="466"/>
      <c r="AE3266" s="456"/>
      <c r="AF3266" s="467"/>
      <c r="AG3266" s="87"/>
      <c r="AH3266" s="87"/>
      <c r="AI3266" s="87"/>
    </row>
    <row r="3267" spans="1:35" hidden="1">
      <c r="A3267" s="80" t="e">
        <f>"E"&amp;E3259</f>
        <v>#N/A</v>
      </c>
      <c r="B3267" s="105">
        <v>5</v>
      </c>
      <c r="C3267" s="107"/>
      <c r="D3267" s="107"/>
      <c r="E3267" s="107"/>
      <c r="F3267" s="107"/>
      <c r="G3267" s="83"/>
      <c r="H3267" s="83"/>
      <c r="I3267" s="84"/>
      <c r="J3267" s="85"/>
      <c r="K3267" s="382"/>
      <c r="L3267" s="85"/>
      <c r="M3267" s="332" t="str">
        <f t="shared" si="961"/>
        <v/>
      </c>
      <c r="N3267" s="86"/>
      <c r="O3267" s="453" t="str">
        <f t="shared" si="963"/>
        <v/>
      </c>
      <c r="P3267" s="538" t="str">
        <f t="shared" si="964"/>
        <v/>
      </c>
      <c r="Q3267" s="539" t="str">
        <f t="shared" si="962"/>
        <v/>
      </c>
      <c r="R3267" s="706"/>
      <c r="S3267" s="707"/>
      <c r="T3267" s="708"/>
      <c r="U3267" s="472"/>
      <c r="V3267" s="167"/>
      <c r="W3267" s="446"/>
      <c r="X3267" s="456"/>
      <c r="Y3267" s="436"/>
      <c r="Z3267" s="437"/>
      <c r="AA3267" s="560"/>
      <c r="AB3267" s="561"/>
      <c r="AC3267" s="87"/>
      <c r="AD3267" s="466"/>
      <c r="AE3267" s="456"/>
      <c r="AF3267" s="467"/>
      <c r="AG3267" s="87"/>
      <c r="AH3267" s="87"/>
      <c r="AI3267" s="87"/>
    </row>
    <row r="3268" spans="1:35" hidden="1">
      <c r="A3268" s="80" t="e">
        <f>"F"&amp;E3259</f>
        <v>#N/A</v>
      </c>
      <c r="B3268" s="105">
        <v>6</v>
      </c>
      <c r="C3268" s="107"/>
      <c r="D3268" s="107"/>
      <c r="E3268" s="107"/>
      <c r="F3268" s="107"/>
      <c r="G3268" s="83"/>
      <c r="H3268" s="83"/>
      <c r="I3268" s="84"/>
      <c r="J3268" s="85"/>
      <c r="K3268" s="382"/>
      <c r="L3268" s="85"/>
      <c r="M3268" s="332" t="str">
        <f t="shared" si="961"/>
        <v/>
      </c>
      <c r="N3268" s="86"/>
      <c r="O3268" s="453" t="str">
        <f t="shared" si="963"/>
        <v/>
      </c>
      <c r="P3268" s="538" t="str">
        <f t="shared" si="964"/>
        <v/>
      </c>
      <c r="Q3268" s="539" t="str">
        <f t="shared" si="962"/>
        <v/>
      </c>
      <c r="R3268" s="706"/>
      <c r="S3268" s="707"/>
      <c r="T3268" s="708"/>
      <c r="U3268" s="472"/>
      <c r="V3268" s="167"/>
      <c r="W3268" s="446"/>
      <c r="X3268" s="456"/>
      <c r="Y3268" s="436"/>
      <c r="Z3268" s="437"/>
      <c r="AA3268" s="560"/>
      <c r="AB3268" s="561"/>
      <c r="AC3268" s="87"/>
      <c r="AD3268" s="466"/>
      <c r="AE3268" s="456"/>
      <c r="AF3268" s="467"/>
      <c r="AG3268" s="87"/>
      <c r="AH3268" s="87"/>
      <c r="AI3268" s="87"/>
    </row>
    <row r="3269" spans="1:35" hidden="1">
      <c r="A3269" s="80" t="e">
        <f>"G"&amp;E3259</f>
        <v>#N/A</v>
      </c>
      <c r="B3269" s="105">
        <v>7</v>
      </c>
      <c r="C3269" s="107"/>
      <c r="D3269" s="107"/>
      <c r="E3269" s="107"/>
      <c r="F3269" s="107"/>
      <c r="G3269" s="83"/>
      <c r="H3269" s="83"/>
      <c r="I3269" s="84"/>
      <c r="J3269" s="85"/>
      <c r="K3269" s="382"/>
      <c r="L3269" s="85"/>
      <c r="M3269" s="332" t="str">
        <f t="shared" si="961"/>
        <v/>
      </c>
      <c r="N3269" s="86"/>
      <c r="O3269" s="86" t="str">
        <f t="shared" si="963"/>
        <v/>
      </c>
      <c r="P3269" s="538" t="str">
        <f t="shared" si="964"/>
        <v/>
      </c>
      <c r="Q3269" s="539" t="str">
        <f t="shared" si="962"/>
        <v/>
      </c>
      <c r="R3269" s="706"/>
      <c r="S3269" s="707"/>
      <c r="T3269" s="708"/>
      <c r="U3269" s="472"/>
      <c r="V3269" s="167"/>
      <c r="W3269" s="446"/>
      <c r="X3269" s="456"/>
      <c r="Y3269" s="436"/>
      <c r="Z3269" s="437"/>
      <c r="AA3269" s="560"/>
      <c r="AB3269" s="561"/>
      <c r="AC3269" s="87"/>
      <c r="AD3269" s="466"/>
      <c r="AE3269" s="456"/>
      <c r="AF3269" s="467"/>
      <c r="AG3269" s="87"/>
      <c r="AH3269" s="87"/>
      <c r="AI3269" s="87"/>
    </row>
    <row r="3270" spans="1:35" hidden="1">
      <c r="A3270" s="80" t="e">
        <f>"H"&amp;E3259</f>
        <v>#N/A</v>
      </c>
      <c r="B3270" s="105">
        <v>8</v>
      </c>
      <c r="C3270" s="107"/>
      <c r="D3270" s="107"/>
      <c r="E3270" s="107"/>
      <c r="F3270" s="107"/>
      <c r="G3270" s="83"/>
      <c r="H3270" s="83"/>
      <c r="I3270" s="84"/>
      <c r="J3270" s="85"/>
      <c r="K3270" s="382"/>
      <c r="L3270" s="85"/>
      <c r="M3270" s="332" t="str">
        <f t="shared" si="961"/>
        <v/>
      </c>
      <c r="N3270" s="453"/>
      <c r="O3270" s="86" t="str">
        <f t="shared" si="963"/>
        <v/>
      </c>
      <c r="P3270" s="538" t="str">
        <f t="shared" si="964"/>
        <v/>
      </c>
      <c r="Q3270" s="539" t="str">
        <f t="shared" si="962"/>
        <v/>
      </c>
      <c r="R3270" s="706"/>
      <c r="S3270" s="707"/>
      <c r="T3270" s="708"/>
      <c r="U3270" s="472"/>
      <c r="V3270" s="167"/>
      <c r="W3270" s="446"/>
      <c r="X3270" s="456"/>
      <c r="Y3270" s="436"/>
      <c r="Z3270" s="437"/>
      <c r="AA3270" s="560"/>
      <c r="AB3270" s="561"/>
      <c r="AC3270" s="87"/>
      <c r="AD3270" s="466"/>
      <c r="AE3270" s="456"/>
      <c r="AF3270" s="467"/>
      <c r="AG3270" s="87"/>
      <c r="AH3270" s="87"/>
      <c r="AI3270" s="87"/>
    </row>
    <row r="3271" spans="1:35" hidden="1">
      <c r="A3271" s="80" t="e">
        <f>"I"&amp;E3259</f>
        <v>#N/A</v>
      </c>
      <c r="B3271" s="105">
        <v>9</v>
      </c>
      <c r="C3271" s="107"/>
      <c r="D3271" s="107"/>
      <c r="E3271" s="107"/>
      <c r="F3271" s="107"/>
      <c r="G3271" s="83"/>
      <c r="H3271" s="83"/>
      <c r="I3271" s="84"/>
      <c r="J3271" s="85"/>
      <c r="K3271" s="382"/>
      <c r="L3271" s="85"/>
      <c r="M3271" s="332" t="str">
        <f t="shared" si="961"/>
        <v/>
      </c>
      <c r="N3271" s="453"/>
      <c r="O3271" s="86" t="str">
        <f t="shared" si="963"/>
        <v/>
      </c>
      <c r="P3271" s="538" t="str">
        <f t="shared" si="964"/>
        <v/>
      </c>
      <c r="Q3271" s="539" t="str">
        <f t="shared" si="962"/>
        <v/>
      </c>
      <c r="R3271" s="706"/>
      <c r="S3271" s="707"/>
      <c r="T3271" s="708"/>
      <c r="U3271" s="472"/>
      <c r="V3271" s="167"/>
      <c r="W3271" s="446"/>
      <c r="X3271" s="456"/>
      <c r="Y3271" s="436"/>
      <c r="Z3271" s="437"/>
      <c r="AA3271" s="560"/>
      <c r="AB3271" s="561"/>
      <c r="AC3271" s="87"/>
      <c r="AD3271" s="466"/>
      <c r="AE3271" s="456"/>
      <c r="AF3271" s="467"/>
      <c r="AG3271" s="87"/>
      <c r="AH3271" s="87"/>
      <c r="AI3271" s="87"/>
    </row>
    <row r="3272" spans="1:35" hidden="1">
      <c r="A3272" s="80" t="e">
        <f>"J"&amp;E3259</f>
        <v>#N/A</v>
      </c>
      <c r="B3272" s="105">
        <v>10</v>
      </c>
      <c r="C3272" s="107"/>
      <c r="D3272" s="107"/>
      <c r="E3272" s="107"/>
      <c r="F3272" s="107"/>
      <c r="G3272" s="83"/>
      <c r="H3272" s="83"/>
      <c r="I3272" s="84"/>
      <c r="J3272" s="85"/>
      <c r="K3272" s="382"/>
      <c r="L3272" s="85"/>
      <c r="M3272" s="332" t="str">
        <f t="shared" si="961"/>
        <v/>
      </c>
      <c r="N3272" s="453"/>
      <c r="O3272" s="86" t="str">
        <f t="shared" si="963"/>
        <v/>
      </c>
      <c r="P3272" s="538" t="str">
        <f t="shared" si="964"/>
        <v/>
      </c>
      <c r="Q3272" s="539" t="str">
        <f t="shared" si="962"/>
        <v/>
      </c>
      <c r="R3272" s="706"/>
      <c r="S3272" s="707"/>
      <c r="T3272" s="708"/>
      <c r="U3272" s="472"/>
      <c r="V3272" s="167"/>
      <c r="W3272" s="446"/>
      <c r="X3272" s="456"/>
      <c r="Y3272" s="436"/>
      <c r="Z3272" s="437"/>
      <c r="AA3272" s="560"/>
      <c r="AB3272" s="561"/>
      <c r="AC3272" s="87"/>
      <c r="AD3272" s="466"/>
      <c r="AE3272" s="456"/>
      <c r="AF3272" s="467"/>
      <c r="AG3272" s="87"/>
      <c r="AH3272" s="87"/>
      <c r="AI3272" s="87"/>
    </row>
    <row r="3273" spans="1:35" ht="16.5" hidden="1" thickBot="1">
      <c r="A3273" s="44"/>
      <c r="B3273" s="89"/>
      <c r="C3273" s="90"/>
      <c r="D3273" s="90"/>
      <c r="E3273" s="90"/>
      <c r="F3273" s="90"/>
      <c r="G3273" s="90"/>
      <c r="H3273" s="90"/>
      <c r="I3273" s="90"/>
      <c r="J3273" s="90"/>
      <c r="K3273" s="90"/>
      <c r="L3273" s="90"/>
      <c r="M3273" s="90"/>
      <c r="N3273" s="90"/>
      <c r="O3273" s="90"/>
      <c r="P3273" s="90"/>
      <c r="Q3273" s="90"/>
      <c r="R3273" s="90"/>
      <c r="S3273" s="91"/>
      <c r="T3273" s="92"/>
      <c r="U3273" s="473"/>
      <c r="W3273" s="438"/>
      <c r="X3273" s="455"/>
      <c r="Y3273" s="439"/>
      <c r="Z3273" s="437"/>
      <c r="AA3273" s="530"/>
      <c r="AB3273" s="563"/>
      <c r="AC3273" s="87"/>
      <c r="AD3273" s="440"/>
      <c r="AE3273" s="441"/>
      <c r="AF3273" s="442"/>
      <c r="AG3273" s="49"/>
      <c r="AH3273" s="87"/>
      <c r="AI3273" s="87"/>
    </row>
    <row r="3274" spans="1:35" ht="16.5" hidden="1" thickBot="1">
      <c r="A3274" s="93"/>
      <c r="B3274" s="94"/>
      <c r="C3274" s="96"/>
      <c r="D3274" s="96"/>
      <c r="E3274" s="96"/>
      <c r="F3274" s="96"/>
      <c r="G3274" s="96"/>
      <c r="H3274" s="96"/>
      <c r="I3274" s="96"/>
      <c r="J3274" s="96"/>
      <c r="K3274" s="96"/>
      <c r="L3274" s="96"/>
      <c r="M3274" s="136"/>
      <c r="N3274" s="96"/>
      <c r="O3274" s="96"/>
      <c r="P3274" s="97"/>
      <c r="Q3274" s="97"/>
      <c r="R3274" s="98"/>
      <c r="S3274" s="95"/>
      <c r="T3274" s="99"/>
      <c r="U3274" s="469"/>
      <c r="AC3274" s="58"/>
      <c r="AG3274" s="58"/>
      <c r="AH3274" s="87"/>
      <c r="AI3274" s="87"/>
    </row>
    <row r="3275" spans="1:35" ht="16.5" hidden="1" thickBot="1">
      <c r="B3275" s="101"/>
      <c r="C3275" s="101"/>
      <c r="D3275" s="101"/>
      <c r="E3275" s="101"/>
      <c r="F3275" s="101"/>
      <c r="G3275" s="101"/>
      <c r="H3275" s="101"/>
      <c r="I3275" s="101"/>
      <c r="J3275" s="101"/>
      <c r="K3275" s="101"/>
      <c r="L3275" s="101"/>
      <c r="M3275" s="101"/>
      <c r="N3275" s="101"/>
      <c r="O3275" s="101"/>
      <c r="P3275" s="101"/>
      <c r="Q3275" s="101"/>
      <c r="R3275" s="101"/>
      <c r="S3275" s="101"/>
      <c r="U3275" s="50"/>
      <c r="AH3275" s="87"/>
      <c r="AI3275" s="87"/>
    </row>
    <row r="3276" spans="1:35" ht="16.5" hidden="1" customHeight="1" thickBot="1">
      <c r="A3276" s="44"/>
      <c r="B3276" s="705" t="s">
        <v>74</v>
      </c>
      <c r="C3276" s="705"/>
      <c r="D3276" s="705"/>
      <c r="E3276" s="705"/>
      <c r="F3276" s="705"/>
      <c r="G3276" s="705"/>
      <c r="H3276" s="705"/>
      <c r="I3276" s="705"/>
      <c r="J3276" s="705"/>
      <c r="K3276" s="705"/>
      <c r="L3276" s="705"/>
      <c r="M3276" s="705"/>
      <c r="N3276" s="705"/>
      <c r="O3276" s="705"/>
      <c r="P3276" s="705"/>
      <c r="Q3276" s="705"/>
      <c r="R3276" s="705"/>
      <c r="S3276" s="705"/>
      <c r="T3276" s="705"/>
      <c r="U3276" s="108"/>
      <c r="Y3276" s="532" t="s">
        <v>341</v>
      </c>
      <c r="AC3276" s="49"/>
      <c r="AD3276" s="687" t="s">
        <v>302</v>
      </c>
      <c r="AE3276" s="688"/>
      <c r="AF3276" s="689"/>
      <c r="AG3276" s="49"/>
      <c r="AH3276" s="87"/>
      <c r="AI3276" s="87"/>
    </row>
    <row r="3277" spans="1:35" ht="16.5" hidden="1" customHeight="1" thickBot="1">
      <c r="A3277" s="218" t="e">
        <f>"K"&amp;E3259</f>
        <v>#N/A</v>
      </c>
      <c r="B3277" s="701" t="s">
        <v>71</v>
      </c>
      <c r="C3277" s="751" t="s">
        <v>102</v>
      </c>
      <c r="D3277" s="751"/>
      <c r="E3277" s="751"/>
      <c r="F3277" s="751"/>
      <c r="G3277" s="751"/>
      <c r="H3277" s="751"/>
      <c r="I3277" s="751"/>
      <c r="J3277" s="751"/>
      <c r="K3277" s="751"/>
      <c r="L3277" s="722" t="s">
        <v>100</v>
      </c>
      <c r="M3277" s="747" t="s">
        <v>114</v>
      </c>
      <c r="N3277" s="747"/>
      <c r="O3277" s="747"/>
      <c r="P3277" s="747"/>
      <c r="Q3277" s="748"/>
      <c r="R3277" s="758" t="s">
        <v>280</v>
      </c>
      <c r="S3277" s="748"/>
      <c r="T3277" s="762" t="str">
        <f>IF(COUNTIF(AE3277:AF3277,"VERIFICAR")&gt;0,"VERIFICAR",IF(COUNTIF(AE3277:AF3277,"NO CUMPLE")&gt;0,"NO CUMPLE","CUMPLE"))</f>
        <v>VERIFICAR</v>
      </c>
      <c r="U3277" s="108"/>
      <c r="Y3277" s="533" t="e">
        <f>IF(F3278="","",IF(F3278=1,"INDIVIDUAL","ESTRUCTURA PLURAL"))</f>
        <v>#N/A</v>
      </c>
      <c r="AC3277" s="52"/>
      <c r="AD3277" s="475" t="s">
        <v>303</v>
      </c>
      <c r="AE3277" s="476" t="str">
        <f>IF(COUNTIF(AE3263:AE3272,"")=10,"VERIFICAR",IF(COUNTIF(AE3263:AE3272,"SI")&gt;0,"CUMPLE","NO CUMPLE"))</f>
        <v>VERIFICAR</v>
      </c>
      <c r="AF3277" s="477" t="str">
        <f>IF(COUNTIF(AF3263:AF3272,"")=10,"VERIFICAR",IF(COUNTIF(AF3263:AF3272,"SI")&gt;=$AI$22,"CUMPLE","NO CUMPLE"))</f>
        <v>VERIFICAR</v>
      </c>
      <c r="AG3277" s="52"/>
      <c r="AH3277" s="87"/>
      <c r="AI3277" s="87"/>
    </row>
    <row r="3278" spans="1:35" ht="15.75" hidden="1" customHeight="1" thickBot="1">
      <c r="A3278" s="218" t="e">
        <f>"L"&amp;E3259</f>
        <v>#N/A</v>
      </c>
      <c r="B3278" s="702"/>
      <c r="C3278" s="751" t="s">
        <v>103</v>
      </c>
      <c r="D3278" s="751"/>
      <c r="E3278" s="752"/>
      <c r="F3278" s="557" t="e">
        <f>IF(VLOOKUP(E3259,PROPONENTES!$C$19:$E$218,3,0)="","",VLOOKUP(E3259,PROPONENTES!$C$19:$E$218,3,0))</f>
        <v>#N/A</v>
      </c>
      <c r="G3278" s="753" t="s">
        <v>104</v>
      </c>
      <c r="H3278" s="751"/>
      <c r="I3278" s="715" t="e">
        <f>IF(OR(F3278="",F3278=1),"INTERESADO PERSONA NATURAL O JURIDICA","CONSORCIO O UNION TEMPORAL")</f>
        <v>#N/A</v>
      </c>
      <c r="J3278" s="725"/>
      <c r="K3278" s="728"/>
      <c r="L3278" s="723"/>
      <c r="M3278" s="749"/>
      <c r="N3278" s="749"/>
      <c r="O3278" s="749"/>
      <c r="P3278" s="749"/>
      <c r="Q3278" s="750"/>
      <c r="R3278" s="712"/>
      <c r="S3278" s="750"/>
      <c r="T3278" s="763"/>
      <c r="U3278" s="108"/>
      <c r="Y3278" s="534"/>
      <c r="AA3278" s="52"/>
      <c r="AB3278" s="52"/>
      <c r="AC3278" s="52"/>
      <c r="AG3278" s="52"/>
      <c r="AH3278" s="87"/>
      <c r="AI3278" s="87"/>
    </row>
    <row r="3279" spans="1:35" ht="56.25" hidden="1" customHeight="1" thickBot="1">
      <c r="A3279" s="218" t="e">
        <f>"M"&amp;E3259</f>
        <v>#N/A</v>
      </c>
      <c r="B3279" s="702"/>
      <c r="C3279" s="725" t="s">
        <v>101</v>
      </c>
      <c r="D3279" s="716"/>
      <c r="E3279" s="558" t="s">
        <v>105</v>
      </c>
      <c r="F3279" s="554" t="s">
        <v>87</v>
      </c>
      <c r="G3279" s="553" t="s">
        <v>86</v>
      </c>
      <c r="H3279" s="559" t="s">
        <v>85</v>
      </c>
      <c r="I3279" s="554" t="s">
        <v>252</v>
      </c>
      <c r="J3279" s="553" t="str">
        <f>"¿EL INTEGRANTE TIENE UNA PARTICIPACIÓN DEL "&amp;PORCREQUERIDOINT*100&amp;"%?"</f>
        <v>¿EL INTEGRANTE TIENE UNA PARTICIPACIÓN DEL 60%?</v>
      </c>
      <c r="K3279" s="554" t="s">
        <v>107</v>
      </c>
      <c r="L3279" s="724"/>
      <c r="M3279" s="717" t="s">
        <v>115</v>
      </c>
      <c r="N3279" s="718"/>
      <c r="O3279" s="718"/>
      <c r="P3279" s="718"/>
      <c r="Q3279" s="223">
        <f>IF(AND(H3263="SI",P3263&gt;=0),1,0)+IF(AND(H3264="SI",P3264&gt;=0),1,0)+IF(AND(H3265="SI",P3265&gt;=0),1,0)+IF(AND(H3266="SI",P3266&gt;=0),1,0)+IF(AND(H3267="SI",P3267&gt;=0),1,0)+IF(AND(H3268="SI",P3268&gt;=0),1,0)+IF(AND(H3269="SI",P3269&gt;=0),1,0)+IF(AND(H3270="SI",P3270&gt;=0),1,0)+IF(AND(H3271="SI",P3271&gt;=0),1,0)+IF(AND(H3272="SI",P3272&gt;=0),1,0)</f>
        <v>0</v>
      </c>
      <c r="R3279" s="759"/>
      <c r="S3279" s="761"/>
      <c r="T3279" s="764"/>
      <c r="U3279" s="219"/>
      <c r="V3279" s="464"/>
      <c r="Y3279" s="532" t="s">
        <v>342</v>
      </c>
      <c r="AA3279" s="550" t="s">
        <v>344</v>
      </c>
      <c r="AB3279" s="693" t="s">
        <v>345</v>
      </c>
      <c r="AC3279" s="693" t="s">
        <v>346</v>
      </c>
      <c r="AD3279" s="685" t="s">
        <v>347</v>
      </c>
      <c r="AE3279" s="52"/>
      <c r="AF3279" s="52"/>
      <c r="AG3279" s="52"/>
      <c r="AH3279" s="87"/>
      <c r="AI3279" s="87"/>
    </row>
    <row r="3280" spans="1:35" ht="15.75" hidden="1" customHeight="1" thickBot="1">
      <c r="A3280" s="218" t="e">
        <f>"N"&amp;E3259</f>
        <v>#N/A</v>
      </c>
      <c r="B3280" s="702"/>
      <c r="C3280" s="114">
        <v>1</v>
      </c>
      <c r="D3280" s="194" t="e">
        <f>IF(AND(C3280&lt;=F3278,F3278&gt;1,F3278&lt;&gt;""),VLOOKUP(VALUE(E3259&amp;","&amp;C3280),INTEGRANTES!$D$18:$F$235,2,0),"")</f>
        <v>#N/A</v>
      </c>
      <c r="E3280" s="211" t="e">
        <f>IF(D3280&lt;&gt;"",VLOOKUP(VALUE(E3259&amp;","&amp;C3280),INTEGRANTES!$D$18:$F$235,3,0),"")</f>
        <v>#N/A</v>
      </c>
      <c r="F3280" s="547" t="e">
        <f>IF(D3280="","",SUMIF($I3263:$I3272,D3280,$P3263:$P3272))</f>
        <v>#N/A</v>
      </c>
      <c r="G3280" s="333" t="e">
        <f>IF(D3280="","",SUMIF($I3263:$I3272,D3280,$M3263:$M3272))</f>
        <v>#N/A</v>
      </c>
      <c r="H3280" s="535" t="e">
        <f t="shared" ref="H3280:H3285" si="965">IF(D3280="","",IF(OR(F3280=0,G3280=0),"NO APORTA",ROUND($F3280/$G3280,3)))</f>
        <v>#N/A</v>
      </c>
      <c r="I3280" s="212" t="e">
        <f>IF(D3280="","",IF(H3280="NO APORTA","NO",IF(H3280=MAX($H3280:$H3285),"SI","NO")))</f>
        <v>#N/A</v>
      </c>
      <c r="J3280" s="213" t="e">
        <f t="shared" ref="J3280:J3285" si="966">IF(D3280="","",IF(E3280&gt;=PORCREQUERIDOINT,"SI","NO"))</f>
        <v>#N/A</v>
      </c>
      <c r="K3280" s="200" t="e">
        <f t="shared" ref="K3280:K3285" si="967">IF(D3280="","",IF(AND(I3280="SI",J3280="SI"),"CUMPLE",IF(AND(I3280="NO",OR(J3280="SI",J3280="NO")),"","NO CUMPLE")))</f>
        <v>#N/A</v>
      </c>
      <c r="L3280" s="722" t="s">
        <v>108</v>
      </c>
      <c r="M3280" s="726" t="s">
        <v>119</v>
      </c>
      <c r="N3280" s="726"/>
      <c r="O3280" s="726"/>
      <c r="P3280" s="726"/>
      <c r="Q3280" s="727"/>
      <c r="R3280" s="758" t="s">
        <v>80</v>
      </c>
      <c r="S3280" s="747"/>
      <c r="T3280" s="748"/>
      <c r="U3280" s="219"/>
      <c r="V3280" s="464"/>
      <c r="Y3280" s="533" t="e">
        <f>IF(Y3277="","",IF(Y3277="INDIVIDUAL","NO APLICA","VERIFICAR CUADRO"))</f>
        <v>#N/A</v>
      </c>
      <c r="AA3280" s="551"/>
      <c r="AB3280" s="694"/>
      <c r="AC3280" s="694"/>
      <c r="AD3280" s="686"/>
      <c r="AE3280" s="52"/>
      <c r="AF3280" s="52"/>
      <c r="AG3280" s="52"/>
      <c r="AH3280" s="87"/>
      <c r="AI3280" s="87"/>
    </row>
    <row r="3281" spans="1:35" ht="27" hidden="1" customHeight="1" thickBot="1">
      <c r="A3281" s="218" t="e">
        <f>"O"&amp;E3259</f>
        <v>#N/A</v>
      </c>
      <c r="B3281" s="702"/>
      <c r="C3281" s="114">
        <v>2</v>
      </c>
      <c r="D3281" s="194" t="e">
        <f>IF(AND(C3281&lt;=F3278,F3278&lt;&gt;""),VLOOKUP(VALUE(E3259&amp;","&amp;C3281),INTEGRANTES!$D$18:$F$235,2,0),"")</f>
        <v>#N/A</v>
      </c>
      <c r="E3281" s="211" t="e">
        <f>IF(D3281&lt;&gt;"",VLOOKUP(VALUE(E3259&amp;","&amp;C3281),INTEGRANTES!$D$18:$F$235,3,0),"")</f>
        <v>#N/A</v>
      </c>
      <c r="F3281" s="547" t="e">
        <f>IF(D3281="","",SUMIF($I3263:$I3272,D3281,$P3263:$P3272))</f>
        <v>#N/A</v>
      </c>
      <c r="G3281" s="333" t="e">
        <f>IF(D3281="","",SUMIF($I3263:$I3272,D3281,$M3263:$M3272))</f>
        <v>#N/A</v>
      </c>
      <c r="H3281" s="535" t="e">
        <f t="shared" si="965"/>
        <v>#N/A</v>
      </c>
      <c r="I3281" s="212" t="e">
        <f>IF(D3281="","",IF(H3281="NO APORTA","NO",IF(H3281=MAX($H3280:$H3285),"SI","NO")))</f>
        <v>#N/A</v>
      </c>
      <c r="J3281" s="213" t="e">
        <f t="shared" si="966"/>
        <v>#N/A</v>
      </c>
      <c r="K3281" s="200" t="e">
        <f t="shared" si="967"/>
        <v>#N/A</v>
      </c>
      <c r="L3281" s="723"/>
      <c r="M3281" s="715" t="s">
        <v>116</v>
      </c>
      <c r="N3281" s="716"/>
      <c r="O3281" s="556" t="s">
        <v>113</v>
      </c>
      <c r="P3281" s="715" t="s">
        <v>117</v>
      </c>
      <c r="Q3281" s="728"/>
      <c r="R3281" s="759"/>
      <c r="S3281" s="760"/>
      <c r="T3281" s="761"/>
      <c r="U3281" s="219"/>
      <c r="V3281" s="464"/>
      <c r="Y3281" s="414"/>
      <c r="AA3281" s="542" t="e">
        <f>IF(AND(C3280&lt;=F3278,F3278&gt;1,F3278&lt;&gt;""),VLOOKUP(VALUE(E3259&amp;","&amp;C3280),INTEGRANTES!$D$18:$F$235,2,0),"")</f>
        <v>#N/A</v>
      </c>
      <c r="AB3281" s="544" t="e">
        <f t="shared" ref="AB3281:AB3286" si="968">IF(D3280="","",IF(OR(F3280=0,G3280=0),"NO APORTA",ROUND($F3280/$G3280,3)))</f>
        <v>#N/A</v>
      </c>
      <c r="AC3281" s="529"/>
      <c r="AD3281" s="200" t="e">
        <f t="shared" ref="AD3281:AD3286" si="969">IF(OR(AA3281="",AB3281=""),"",IF(AND(AC3281="X",AB3281&gt;=EXPREQVTD),"CUMPLE","NO CUMPLE"))</f>
        <v>#N/A</v>
      </c>
      <c r="AE3281" s="52"/>
      <c r="AF3281" s="52"/>
      <c r="AG3281" s="52"/>
      <c r="AH3281" s="87"/>
      <c r="AI3281" s="87"/>
    </row>
    <row r="3282" spans="1:35" ht="16.5" hidden="1" thickBot="1">
      <c r="A3282" s="218" t="e">
        <f>"P"&amp;E3259</f>
        <v>#N/A</v>
      </c>
      <c r="B3282" s="702"/>
      <c r="C3282" s="114">
        <v>3</v>
      </c>
      <c r="D3282" s="194" t="e">
        <f>IF(AND(C3282&lt;=F3278,F3278&lt;&gt;""),VLOOKUP(VALUE(E3259&amp;","&amp;C3282),INTEGRANTES!$D$18:$F$235,2,0),"")</f>
        <v>#N/A</v>
      </c>
      <c r="E3282" s="211" t="e">
        <f>IF(D3282&lt;&gt;"",VLOOKUP(VALUE(E3259&amp;","&amp;C3282),INTEGRANTES!$D$18:$F$235,3,0),"")</f>
        <v>#N/A</v>
      </c>
      <c r="F3282" s="547" t="e">
        <f>IF(D3282="","",SUMIF($I3263:$I3272,D3282,$P3263:$P3272))</f>
        <v>#N/A</v>
      </c>
      <c r="G3282" s="333" t="e">
        <f>IF(D3282="","",SUMIF($I3263:$I3272,D3282,$M3263:$M3272))</f>
        <v>#N/A</v>
      </c>
      <c r="H3282" s="535" t="e">
        <f t="shared" si="965"/>
        <v>#N/A</v>
      </c>
      <c r="I3282" s="212" t="e">
        <f>IF(D3282="","",IF(H3282="NO APORTA","NO",IF(H3282=MAX($H3280:$H3285),"SI","NO")))</f>
        <v>#N/A</v>
      </c>
      <c r="J3282" s="213" t="e">
        <f t="shared" si="966"/>
        <v>#N/A</v>
      </c>
      <c r="K3282" s="200" t="e">
        <f t="shared" si="967"/>
        <v>#N/A</v>
      </c>
      <c r="L3282" s="724"/>
      <c r="M3282" s="729">
        <f>NUMMOD</f>
        <v>1</v>
      </c>
      <c r="N3282" s="730"/>
      <c r="O3282" s="443">
        <f>IF(M3282="","",VLOOKUP(M3282,PRESUPUESTOS!$B$16:$H$16,5,FALSE))</f>
        <v>2</v>
      </c>
      <c r="P3282" s="713">
        <f>IF(OR(COUNTIF(M3263:M3272,"")&gt;=10,Q3279&lt;NUMMINCONT,OR(T3277="NO CUMPLE",T3277="VERIFICAR")),0,ROUND(AVERAGE(M3263:M3272),3))</f>
        <v>0</v>
      </c>
      <c r="Q3282" s="714"/>
      <c r="R3282" s="458"/>
      <c r="S3282" s="459"/>
      <c r="T3282" s="460"/>
      <c r="U3282" s="219"/>
      <c r="V3282" s="464"/>
      <c r="Y3282" s="532" t="str">
        <f>"40% * ("&amp;PRESUPUESTOS!$H$13&amp;")"</f>
        <v>40% * (50% PFMO)</v>
      </c>
      <c r="AA3282" s="540" t="e">
        <f>IF(AND(C3281&lt;=F3278,F3278&lt;&gt;""),VLOOKUP(VALUE(E3259&amp;","&amp;C3281),INTEGRANTES!$D$18:$F$235,2,0),"")</f>
        <v>#N/A</v>
      </c>
      <c r="AB3282" s="545" t="e">
        <f t="shared" si="968"/>
        <v>#N/A</v>
      </c>
      <c r="AC3282" s="529"/>
      <c r="AD3282" s="200" t="e">
        <f t="shared" si="969"/>
        <v>#N/A</v>
      </c>
      <c r="AE3282" s="52"/>
      <c r="AF3282" s="52"/>
      <c r="AG3282" s="52"/>
      <c r="AH3282" s="87"/>
      <c r="AI3282" s="87"/>
    </row>
    <row r="3283" spans="1:35" ht="15.75" hidden="1" customHeight="1" thickBot="1">
      <c r="A3283" s="218" t="e">
        <f>"Q"&amp;E3259</f>
        <v>#N/A</v>
      </c>
      <c r="B3283" s="702"/>
      <c r="C3283" s="114">
        <v>4</v>
      </c>
      <c r="D3283" s="194" t="e">
        <f>IF(AND(C3283&lt;=F3278,F3278&lt;&gt;""),VLOOKUP(VALUE(E3259&amp;","&amp;C3283),INTEGRANTES!$D$18:$F$235,2,0),"")</f>
        <v>#N/A</v>
      </c>
      <c r="E3283" s="211" t="e">
        <f>IF(D3283&lt;&gt;"",VLOOKUP(VALUE(E3259&amp;","&amp;C3283),INTEGRANTES!$D$18:$F$235,3,0),"")</f>
        <v>#N/A</v>
      </c>
      <c r="F3283" s="547" t="e">
        <f>IF(D3283="","",SUMIF($I3263:$I3272,D3283,$P3263:$P3272))</f>
        <v>#N/A</v>
      </c>
      <c r="G3283" s="333" t="e">
        <f>IF(D3283="","",SUMIF($I3263:$I3272,D3283,$M3263:$M3272))</f>
        <v>#N/A</v>
      </c>
      <c r="H3283" s="535" t="e">
        <f t="shared" si="965"/>
        <v>#N/A</v>
      </c>
      <c r="I3283" s="212" t="e">
        <f>IF(D3283="","",IF(H3283="NO APORTA","NO",IF(H3283=MAX($H3280:$H3285),"SI","NO")))</f>
        <v>#N/A</v>
      </c>
      <c r="J3283" s="213" t="e">
        <f t="shared" si="966"/>
        <v>#N/A</v>
      </c>
      <c r="K3283" s="200" t="e">
        <f t="shared" si="967"/>
        <v>#N/A</v>
      </c>
      <c r="L3283" s="720" t="s">
        <v>109</v>
      </c>
      <c r="M3283" s="757" t="s">
        <v>120</v>
      </c>
      <c r="N3283" s="726"/>
      <c r="O3283" s="726"/>
      <c r="P3283" s="726"/>
      <c r="Q3283" s="727"/>
      <c r="R3283" s="458"/>
      <c r="S3283" s="459"/>
      <c r="T3283" s="460"/>
      <c r="U3283" s="219"/>
      <c r="V3283" s="464"/>
      <c r="Y3283" s="537">
        <f>0.4*PRESUPUESTOS!$H$16</f>
        <v>10.3124</v>
      </c>
      <c r="AA3283" s="540" t="e">
        <f>IF(AND(C3282&lt;=F3278,F3278&lt;&gt;""),VLOOKUP(VALUE(E3259&amp;","&amp;C3282),INTEGRANTES!$D$18:$F$235,2,0),"")</f>
        <v>#N/A</v>
      </c>
      <c r="AB3283" s="545" t="e">
        <f t="shared" si="968"/>
        <v>#N/A</v>
      </c>
      <c r="AC3283" s="529"/>
      <c r="AD3283" s="200" t="e">
        <f t="shared" si="969"/>
        <v>#N/A</v>
      </c>
      <c r="AE3283" s="52"/>
      <c r="AF3283" s="52"/>
      <c r="AG3283" s="52"/>
      <c r="AH3283" s="87"/>
      <c r="AI3283" s="87"/>
    </row>
    <row r="3284" spans="1:35" ht="27" hidden="1" customHeight="1" thickBot="1">
      <c r="A3284" s="218" t="e">
        <f>"R"&amp;E3259</f>
        <v>#N/A</v>
      </c>
      <c r="B3284" s="702"/>
      <c r="C3284" s="114">
        <v>5</v>
      </c>
      <c r="D3284" s="194" t="e">
        <f>IF(AND(C3284&lt;=F3278,F3278&lt;&gt;""),VLOOKUP(VALUE(E3259&amp;","&amp;C3284),INTEGRANTES!$D$18:$F$235,2,0),"")</f>
        <v>#N/A</v>
      </c>
      <c r="E3284" s="211" t="e">
        <f>IF(D3284&lt;&gt;"",VLOOKUP(VALUE(E3259&amp;","&amp;C3284),INTEGRANTES!$D$18:$F$235,3,0),"")</f>
        <v>#N/A</v>
      </c>
      <c r="F3284" s="547" t="e">
        <f>IF(D3284="","",SUMIF($I3263:$I3272,D3284,$P3263:$P3272))</f>
        <v>#N/A</v>
      </c>
      <c r="G3284" s="333" t="e">
        <f>IF(D3284="","",SUMIF($I3263:$I3272,D3284,$M3263:$M3272))</f>
        <v>#N/A</v>
      </c>
      <c r="H3284" s="535" t="e">
        <f t="shared" si="965"/>
        <v>#N/A</v>
      </c>
      <c r="I3284" s="212" t="e">
        <f>IF(D3284="","",IF(H3284="NO APORTA","NO",IF(H3284=MAX($H3280:$H3285),"SI","NO")))</f>
        <v>#N/A</v>
      </c>
      <c r="J3284" s="213" t="e">
        <f t="shared" si="966"/>
        <v>#N/A</v>
      </c>
      <c r="K3284" s="200" t="e">
        <f t="shared" si="967"/>
        <v>#N/A</v>
      </c>
      <c r="L3284" s="721"/>
      <c r="M3284" s="715" t="s">
        <v>116</v>
      </c>
      <c r="N3284" s="716"/>
      <c r="O3284" s="556" t="str">
        <f>PORCREQUERIDO*100&amp;"% PMFO DEL MÓDULO"</f>
        <v>50% PMFO DEL MÓDULO</v>
      </c>
      <c r="P3284" s="715" t="s">
        <v>118</v>
      </c>
      <c r="Q3284" s="728"/>
      <c r="R3284" s="458"/>
      <c r="S3284" s="459"/>
      <c r="T3284" s="460"/>
      <c r="U3284" s="219"/>
      <c r="V3284" s="464"/>
      <c r="Y3284" s="414"/>
      <c r="AA3284" s="540" t="e">
        <f>IF(AND(C3283&lt;=F3278,F3278&lt;&gt;""),VLOOKUP(VALUE(E3259&amp;","&amp;C3283),INTEGRANTES!$D$18:$F$235,2,0),"")</f>
        <v>#N/A</v>
      </c>
      <c r="AB3284" s="545" t="e">
        <f t="shared" si="968"/>
        <v>#N/A</v>
      </c>
      <c r="AC3284" s="529"/>
      <c r="AD3284" s="200" t="e">
        <f t="shared" si="969"/>
        <v>#N/A</v>
      </c>
      <c r="AE3284" s="52"/>
      <c r="AF3284" s="52"/>
      <c r="AG3284" s="52"/>
      <c r="AH3284" s="87"/>
      <c r="AI3284" s="87"/>
    </row>
    <row r="3285" spans="1:35" ht="16.5" hidden="1" thickBot="1">
      <c r="A3285" s="218" t="e">
        <f>"S"&amp;E3259</f>
        <v>#N/A</v>
      </c>
      <c r="B3285" s="702"/>
      <c r="C3285" s="215">
        <v>6</v>
      </c>
      <c r="D3285" s="216" t="e">
        <f>IF(AND(C3285&lt;=F3278,F3278&lt;&gt;""),VLOOKUP(VALUE(E3259&amp;","&amp;C3285),INTEGRANTES!$D$18:$F$235,2,0),"")</f>
        <v>#N/A</v>
      </c>
      <c r="E3285" s="217" t="e">
        <f>IF(D3285&lt;&gt;"",VLOOKUP(VALUE(E3259&amp;","&amp;C3285),INTEGRANTES!$D$18:$F$235,3,0),"")</f>
        <v>#N/A</v>
      </c>
      <c r="F3285" s="548" t="e">
        <f>IF(D3285="","",SUMIF($I3263:$I3272,D3285,$P3263:$P3272))</f>
        <v>#N/A</v>
      </c>
      <c r="G3285" s="334" t="e">
        <f>IF(D3285="","",SUMIF($I3263:$I3272,D3285,$M3263:$M3272))</f>
        <v>#N/A</v>
      </c>
      <c r="H3285" s="536" t="e">
        <f t="shared" si="965"/>
        <v>#N/A</v>
      </c>
      <c r="I3285" s="214" t="e">
        <f>IF(D3285="","",IF(H3285="NO APORTA","NO",IF(H3285=MAX($H3280:$H3285),"SI","NO")))</f>
        <v>#N/A</v>
      </c>
      <c r="J3285" s="213" t="e">
        <f t="shared" si="966"/>
        <v>#N/A</v>
      </c>
      <c r="K3285" s="200" t="e">
        <f t="shared" si="967"/>
        <v>#N/A</v>
      </c>
      <c r="L3285" s="721"/>
      <c r="M3285" s="729">
        <f>NUMMOD</f>
        <v>1</v>
      </c>
      <c r="N3285" s="730"/>
      <c r="O3285" s="443">
        <f>IF(M3285="","",ROUND(VLOOKUP(M3285,PRESUPUESTOS!$B$16:$H$16,7,FALSE),3))</f>
        <v>25.780999999999999</v>
      </c>
      <c r="P3285" s="713">
        <f>IF(OR(COUNTIF(P3263:P3272,"")&gt;=10,Q3279&lt;NUMMINCONT,OR(T3277="NO CUMPLE",T3277="VERIFICAR")),0,ROUND((SUM(P3263:P3272)/SUM(M3263:M3272)),3))</f>
        <v>0</v>
      </c>
      <c r="Q3285" s="714"/>
      <c r="R3285" s="458"/>
      <c r="S3285" s="459"/>
      <c r="T3285" s="460"/>
      <c r="U3285" s="219"/>
      <c r="V3285" s="464"/>
      <c r="Y3285" s="532" t="s">
        <v>343</v>
      </c>
      <c r="AA3285" s="540" t="e">
        <f>IF(AND(C3284&lt;=F3278,F3278&lt;&gt;""),VLOOKUP(VALUE(E3259&amp;","&amp;C3284),INTEGRANTES!$D$18:$F$235,2,0),"")</f>
        <v>#N/A</v>
      </c>
      <c r="AB3285" s="545" t="e">
        <f t="shared" si="968"/>
        <v>#N/A</v>
      </c>
      <c r="AC3285" s="529"/>
      <c r="AD3285" s="200" t="e">
        <f t="shared" si="969"/>
        <v>#N/A</v>
      </c>
      <c r="AE3285" s="52"/>
      <c r="AF3285" s="52"/>
      <c r="AG3285" s="52"/>
      <c r="AH3285" s="87"/>
      <c r="AI3285" s="87"/>
    </row>
    <row r="3286" spans="1:35" ht="16.5" hidden="1" customHeight="1" thickBot="1">
      <c r="A3286" s="218" t="e">
        <f>"T"&amp;E3259</f>
        <v>#N/A</v>
      </c>
      <c r="B3286" s="703"/>
      <c r="C3286" s="719"/>
      <c r="D3286" s="719"/>
      <c r="E3286" s="719"/>
      <c r="F3286" s="719"/>
      <c r="G3286" s="719"/>
      <c r="H3286" s="719" t="s">
        <v>110</v>
      </c>
      <c r="I3286" s="719"/>
      <c r="J3286" s="719"/>
      <c r="K3286" s="201" t="str">
        <f>IF(COUNTIF(K3280:K3285,"")=6,"",IF(COUNTIF(K3280:K3285,"CUMPLE")&gt;0,"CUMPLE","NO CUMPLE"))</f>
        <v>NO CUMPLE</v>
      </c>
      <c r="L3286" s="754"/>
      <c r="M3286" s="755"/>
      <c r="N3286" s="755"/>
      <c r="O3286" s="755"/>
      <c r="P3286" s="755"/>
      <c r="Q3286" s="756"/>
      <c r="R3286" s="461"/>
      <c r="S3286" s="462"/>
      <c r="T3286" s="463"/>
      <c r="U3286" s="219"/>
      <c r="V3286" s="464"/>
      <c r="Y3286" s="549" t="e">
        <f>IF(Y3280="NO APLICA","NO APLICA",IF(COUNTIF(AD3281:AD3286,"CUMPLE")&gt;0,"CUMPLE","NO CUMPLE"))</f>
        <v>#N/A</v>
      </c>
      <c r="AA3286" s="541" t="e">
        <f>IF(AND(C3285&lt;=F3278,F3278&lt;&gt;""),VLOOKUP(VALUE(E3259&amp;","&amp;C3285),INTEGRANTES!$D$18:$F$235,2,0),"")</f>
        <v>#N/A</v>
      </c>
      <c r="AB3286" s="546" t="e">
        <f t="shared" si="968"/>
        <v>#N/A</v>
      </c>
      <c r="AC3286" s="543"/>
      <c r="AD3286" s="201" t="e">
        <f t="shared" si="969"/>
        <v>#N/A</v>
      </c>
      <c r="AE3286" s="52"/>
      <c r="AF3286" s="52"/>
      <c r="AG3286" s="52"/>
      <c r="AH3286" s="87"/>
      <c r="AI3286" s="87"/>
    </row>
    <row r="3287" spans="1:35" hidden="1">
      <c r="AH3287" s="87"/>
      <c r="AI3287" s="87"/>
    </row>
    <row r="3288" spans="1:35" hidden="1">
      <c r="AH3288" s="87"/>
      <c r="AI3288" s="87"/>
    </row>
    <row r="3289" spans="1:35" ht="24" hidden="1" thickBot="1">
      <c r="A3289" s="61">
        <v>110</v>
      </c>
      <c r="B3289" s="704" t="s">
        <v>51</v>
      </c>
      <c r="C3289" s="704"/>
      <c r="D3289" s="704"/>
      <c r="E3289" s="62" t="e">
        <f>VLOOKUP(A3289,PROPONENTES!$B$19:$E$218,2,FALSE)</f>
        <v>#N/A</v>
      </c>
      <c r="F3289" s="63" t="e">
        <f>VLOOKUP(A3289,PROPONENTES!$B$19:$E$218,3,FALSE)</f>
        <v>#N/A</v>
      </c>
      <c r="G3289" s="64"/>
      <c r="H3289" s="64"/>
      <c r="I3289" s="63"/>
      <c r="J3289" s="63"/>
      <c r="K3289" s="65"/>
      <c r="L3289" s="65"/>
      <c r="M3289" s="64"/>
      <c r="N3289" s="64"/>
      <c r="O3289" s="66"/>
      <c r="P3289" s="66"/>
      <c r="Q3289" s="66"/>
      <c r="R3289" s="66"/>
      <c r="S3289" s="67"/>
      <c r="T3289" s="68"/>
      <c r="U3289" s="68"/>
      <c r="AC3289" s="68"/>
      <c r="AD3289" s="68"/>
      <c r="AE3289" s="68"/>
      <c r="AF3289" s="68"/>
      <c r="AG3289" s="68"/>
      <c r="AH3289" s="87"/>
      <c r="AI3289" s="87"/>
    </row>
    <row r="3290" spans="1:35" ht="15.75" hidden="1" customHeight="1">
      <c r="A3290" s="44"/>
      <c r="B3290" s="709" t="s">
        <v>59</v>
      </c>
      <c r="C3290" s="552" t="s">
        <v>60</v>
      </c>
      <c r="D3290" s="70" t="s">
        <v>17</v>
      </c>
      <c r="E3290" s="70"/>
      <c r="F3290" s="70" t="s">
        <v>61</v>
      </c>
      <c r="G3290" s="71"/>
      <c r="H3290" s="699" t="s">
        <v>62</v>
      </c>
      <c r="I3290" s="699" t="s">
        <v>18</v>
      </c>
      <c r="J3290" s="699" t="s">
        <v>63</v>
      </c>
      <c r="K3290" s="699" t="s">
        <v>64</v>
      </c>
      <c r="L3290" s="699" t="s">
        <v>65</v>
      </c>
      <c r="M3290" s="743" t="s">
        <v>66</v>
      </c>
      <c r="N3290" s="699" t="s">
        <v>282</v>
      </c>
      <c r="O3290" s="745" t="s">
        <v>67</v>
      </c>
      <c r="P3290" s="746"/>
      <c r="Q3290" s="102" t="s">
        <v>75</v>
      </c>
      <c r="R3290" s="731" t="s">
        <v>22</v>
      </c>
      <c r="S3290" s="732"/>
      <c r="T3290" s="733"/>
      <c r="U3290" s="712" t="s">
        <v>298</v>
      </c>
      <c r="W3290" s="690" t="s">
        <v>268</v>
      </c>
      <c r="X3290" s="691"/>
      <c r="Y3290" s="692"/>
      <c r="Z3290" s="428"/>
      <c r="AA3290" s="697" t="s">
        <v>315</v>
      </c>
      <c r="AB3290" s="695" t="s">
        <v>322</v>
      </c>
      <c r="AC3290" s="49"/>
      <c r="AD3290" s="690" t="s">
        <v>297</v>
      </c>
      <c r="AE3290" s="691"/>
      <c r="AF3290" s="692"/>
      <c r="AG3290" s="49"/>
      <c r="AH3290" s="87"/>
      <c r="AI3290" s="87"/>
    </row>
    <row r="3291" spans="1:35" ht="72" hidden="1">
      <c r="A3291" s="44"/>
      <c r="B3291" s="710"/>
      <c r="C3291" s="553" t="s">
        <v>68</v>
      </c>
      <c r="D3291" s="73" t="s">
        <v>3</v>
      </c>
      <c r="E3291" s="73" t="s">
        <v>19</v>
      </c>
      <c r="F3291" s="73" t="s">
        <v>69</v>
      </c>
      <c r="G3291" s="74" t="s">
        <v>70</v>
      </c>
      <c r="H3291" s="700"/>
      <c r="I3291" s="700"/>
      <c r="J3291" s="700"/>
      <c r="K3291" s="700"/>
      <c r="L3291" s="700"/>
      <c r="M3291" s="744"/>
      <c r="N3291" s="700"/>
      <c r="O3291" s="553" t="s">
        <v>279</v>
      </c>
      <c r="P3291" s="73" t="s">
        <v>88</v>
      </c>
      <c r="Q3291" s="555" t="s">
        <v>76</v>
      </c>
      <c r="R3291" s="734"/>
      <c r="S3291" s="735"/>
      <c r="T3291" s="736"/>
      <c r="U3291" s="712"/>
      <c r="W3291" s="429" t="s">
        <v>269</v>
      </c>
      <c r="X3291" s="457" t="s">
        <v>278</v>
      </c>
      <c r="Y3291" s="430" t="s">
        <v>324</v>
      </c>
      <c r="Z3291" s="428"/>
      <c r="AA3291" s="698"/>
      <c r="AB3291" s="696"/>
      <c r="AC3291" s="49"/>
      <c r="AD3291" s="429" t="s">
        <v>292</v>
      </c>
      <c r="AE3291" s="431" t="s">
        <v>300</v>
      </c>
      <c r="AF3291" s="468" t="s">
        <v>301</v>
      </c>
      <c r="AG3291" s="49"/>
      <c r="AH3291" s="87"/>
      <c r="AI3291" s="87"/>
    </row>
    <row r="3292" spans="1:35" hidden="1">
      <c r="A3292" s="44"/>
      <c r="B3292" s="76"/>
      <c r="C3292" s="77"/>
      <c r="D3292" s="77"/>
      <c r="E3292" s="77"/>
      <c r="F3292" s="77"/>
      <c r="G3292" s="77"/>
      <c r="H3292" s="77"/>
      <c r="I3292" s="77"/>
      <c r="J3292" s="77"/>
      <c r="K3292" s="77"/>
      <c r="L3292" s="77"/>
      <c r="M3292" s="77"/>
      <c r="N3292" s="77"/>
      <c r="O3292" s="77"/>
      <c r="P3292" s="77"/>
      <c r="Q3292" s="77"/>
      <c r="R3292" s="77"/>
      <c r="S3292" s="78"/>
      <c r="T3292" s="79"/>
      <c r="U3292" s="109"/>
      <c r="V3292" s="49"/>
      <c r="W3292" s="432"/>
      <c r="X3292" s="454"/>
      <c r="Y3292" s="433"/>
      <c r="Z3292" s="6"/>
      <c r="AA3292" s="500"/>
      <c r="AB3292" s="562"/>
      <c r="AC3292" s="49"/>
      <c r="AD3292" s="210"/>
      <c r="AE3292" s="434"/>
      <c r="AF3292" s="435"/>
      <c r="AG3292" s="49"/>
      <c r="AH3292" s="87"/>
      <c r="AI3292" s="87"/>
    </row>
    <row r="3293" spans="1:35" hidden="1">
      <c r="A3293" s="80" t="e">
        <f>"A"&amp;E3289</f>
        <v>#N/A</v>
      </c>
      <c r="B3293" s="81">
        <v>1</v>
      </c>
      <c r="C3293" s="82"/>
      <c r="D3293" s="82"/>
      <c r="E3293" s="82"/>
      <c r="F3293" s="82"/>
      <c r="G3293" s="83"/>
      <c r="H3293" s="83"/>
      <c r="I3293" s="84"/>
      <c r="J3293" s="85"/>
      <c r="K3293" s="382"/>
      <c r="L3293" s="85"/>
      <c r="M3293" s="332" t="str">
        <f t="shared" ref="M3293:M3302" si="970">IF(OR(J3293="",L3293="",H3293="NO"),"",IF(OR(J3293&gt;$P$17,J3293&lt;$O$17,L3293&gt;$P$17,AND(J3293&lt;$O$17,L3293&lt;$O$17)),"FUERA DE RANGO",IF(OR(K3293="---",K3293=""),IF(J3293&gt;=$O$17,ROUND((L3293-J3293+1)/360*12,3),ROUND((L3293-$O$17+1)/360*12,3)),IF(J3293&gt;=$O$17,ROUND((L3293-J3293+1)/360*12-ROUND(K3293,3),3),ROUND((L3293-$O$17+1)/360*12-ROUND(K3293,3),3)))))</f>
        <v/>
      </c>
      <c r="N3293" s="86"/>
      <c r="O3293" s="453" t="str">
        <f>IF(OR(G3293="",N3293=""),"",N3293*G3293)</f>
        <v/>
      </c>
      <c r="P3293" s="538" t="str">
        <f>IF(OR(H3293="",M3293="FUERA DE RANGO"),"",IF(OR(L3293&lt;$O$17,L3293&gt;$P$17,L3293="",H3293="NO"),"",IF(OR(N3293="",O3293=""),"",ROUND(O3293,3))))</f>
        <v/>
      </c>
      <c r="Q3293" s="539" t="str">
        <f t="shared" ref="Q3293:Q3302" si="971">IF(AND(H3293="SI",P3293&lt;&gt;""),ROUND(P3293/M3293,3),"")</f>
        <v/>
      </c>
      <c r="R3293" s="737"/>
      <c r="S3293" s="738"/>
      <c r="T3293" s="739"/>
      <c r="U3293" s="470"/>
      <c r="V3293" s="165"/>
      <c r="W3293" s="446"/>
      <c r="X3293" s="456"/>
      <c r="Y3293" s="436"/>
      <c r="Z3293" s="437"/>
      <c r="AA3293" s="560"/>
      <c r="AB3293" s="561"/>
      <c r="AC3293" s="87"/>
      <c r="AD3293" s="466"/>
      <c r="AE3293" s="456"/>
      <c r="AF3293" s="467"/>
      <c r="AG3293" s="87"/>
      <c r="AH3293" s="87"/>
      <c r="AI3293" s="87"/>
    </row>
    <row r="3294" spans="1:35" hidden="1">
      <c r="A3294" s="80" t="e">
        <f>"B"&amp;E3289</f>
        <v>#N/A</v>
      </c>
      <c r="B3294" s="81">
        <v>2</v>
      </c>
      <c r="C3294" s="106"/>
      <c r="D3294" s="106"/>
      <c r="E3294" s="106"/>
      <c r="F3294" s="106"/>
      <c r="G3294" s="83"/>
      <c r="H3294" s="83"/>
      <c r="I3294" s="84"/>
      <c r="J3294" s="85"/>
      <c r="K3294" s="382"/>
      <c r="L3294" s="85"/>
      <c r="M3294" s="332" t="str">
        <f t="shared" si="970"/>
        <v/>
      </c>
      <c r="N3294" s="86"/>
      <c r="O3294" s="453" t="str">
        <f t="shared" ref="O3294:O3302" si="972">IF(OR(G3294="",N3294=""),"",N3294*G3294)</f>
        <v/>
      </c>
      <c r="P3294" s="538" t="str">
        <f t="shared" ref="P3294:P3302" si="973">IF(OR(H3294="",M3294="FUERA DE RANGO"),"",IF(OR(L3294&lt;$O$17,L3294&gt;$P$17,L3294="",H3294="NO"),"",IF(OR(N3294="",O3294=""),"",ROUND(O3294,3))))</f>
        <v/>
      </c>
      <c r="Q3294" s="539" t="str">
        <f t="shared" si="971"/>
        <v/>
      </c>
      <c r="R3294" s="740"/>
      <c r="S3294" s="741"/>
      <c r="T3294" s="742"/>
      <c r="U3294" s="471"/>
      <c r="V3294" s="165"/>
      <c r="W3294" s="446"/>
      <c r="X3294" s="456"/>
      <c r="Y3294" s="436"/>
      <c r="Z3294" s="437"/>
      <c r="AA3294" s="560"/>
      <c r="AB3294" s="561"/>
      <c r="AC3294" s="87"/>
      <c r="AD3294" s="466"/>
      <c r="AE3294" s="456"/>
      <c r="AF3294" s="467"/>
      <c r="AG3294" s="87"/>
      <c r="AH3294" s="87"/>
      <c r="AI3294" s="87"/>
    </row>
    <row r="3295" spans="1:35" hidden="1">
      <c r="A3295" s="80" t="e">
        <f>"C"&amp;E3289</f>
        <v>#N/A</v>
      </c>
      <c r="B3295" s="88">
        <v>3</v>
      </c>
      <c r="C3295" s="82"/>
      <c r="D3295" s="82"/>
      <c r="E3295" s="82"/>
      <c r="F3295" s="82"/>
      <c r="G3295" s="83"/>
      <c r="H3295" s="83"/>
      <c r="I3295" s="84"/>
      <c r="J3295" s="85"/>
      <c r="K3295" s="382"/>
      <c r="L3295" s="85"/>
      <c r="M3295" s="332" t="str">
        <f t="shared" si="970"/>
        <v/>
      </c>
      <c r="N3295" s="86"/>
      <c r="O3295" s="453" t="str">
        <f t="shared" si="972"/>
        <v/>
      </c>
      <c r="P3295" s="538" t="str">
        <f t="shared" si="973"/>
        <v/>
      </c>
      <c r="Q3295" s="539" t="str">
        <f t="shared" si="971"/>
        <v/>
      </c>
      <c r="R3295" s="706"/>
      <c r="S3295" s="707"/>
      <c r="T3295" s="708"/>
      <c r="U3295" s="472"/>
      <c r="V3295" s="166"/>
      <c r="W3295" s="446"/>
      <c r="X3295" s="456"/>
      <c r="Y3295" s="436"/>
      <c r="Z3295" s="437"/>
      <c r="AA3295" s="560"/>
      <c r="AB3295" s="561"/>
      <c r="AC3295" s="87"/>
      <c r="AD3295" s="466"/>
      <c r="AE3295" s="456"/>
      <c r="AF3295" s="467"/>
      <c r="AG3295" s="87"/>
      <c r="AH3295" s="87"/>
      <c r="AI3295" s="87"/>
    </row>
    <row r="3296" spans="1:35" hidden="1">
      <c r="A3296" s="80" t="e">
        <f>"D"&amp;E3289</f>
        <v>#N/A</v>
      </c>
      <c r="B3296" s="105">
        <v>4</v>
      </c>
      <c r="C3296" s="107"/>
      <c r="D3296" s="107"/>
      <c r="E3296" s="107"/>
      <c r="F3296" s="107"/>
      <c r="G3296" s="83"/>
      <c r="H3296" s="83"/>
      <c r="I3296" s="84"/>
      <c r="J3296" s="85"/>
      <c r="K3296" s="382"/>
      <c r="L3296" s="85"/>
      <c r="M3296" s="332" t="str">
        <f t="shared" si="970"/>
        <v/>
      </c>
      <c r="N3296" s="86"/>
      <c r="O3296" s="453" t="str">
        <f t="shared" si="972"/>
        <v/>
      </c>
      <c r="P3296" s="538" t="str">
        <f t="shared" si="973"/>
        <v/>
      </c>
      <c r="Q3296" s="539" t="str">
        <f t="shared" si="971"/>
        <v/>
      </c>
      <c r="R3296" s="706"/>
      <c r="S3296" s="707"/>
      <c r="T3296" s="708"/>
      <c r="U3296" s="472"/>
      <c r="V3296" s="166"/>
      <c r="W3296" s="446"/>
      <c r="X3296" s="456"/>
      <c r="Y3296" s="436"/>
      <c r="Z3296" s="437"/>
      <c r="AA3296" s="560"/>
      <c r="AB3296" s="561"/>
      <c r="AC3296" s="87"/>
      <c r="AD3296" s="466"/>
      <c r="AE3296" s="456"/>
      <c r="AF3296" s="467"/>
      <c r="AG3296" s="87"/>
      <c r="AH3296" s="87"/>
      <c r="AI3296" s="87"/>
    </row>
    <row r="3297" spans="1:35" hidden="1">
      <c r="A3297" s="80" t="e">
        <f>"E"&amp;E3289</f>
        <v>#N/A</v>
      </c>
      <c r="B3297" s="105">
        <v>5</v>
      </c>
      <c r="C3297" s="107"/>
      <c r="D3297" s="107"/>
      <c r="E3297" s="107"/>
      <c r="F3297" s="107"/>
      <c r="G3297" s="83"/>
      <c r="H3297" s="83"/>
      <c r="I3297" s="84"/>
      <c r="J3297" s="85"/>
      <c r="K3297" s="382"/>
      <c r="L3297" s="85"/>
      <c r="M3297" s="332" t="str">
        <f t="shared" si="970"/>
        <v/>
      </c>
      <c r="N3297" s="86"/>
      <c r="O3297" s="453" t="str">
        <f t="shared" si="972"/>
        <v/>
      </c>
      <c r="P3297" s="538" t="str">
        <f t="shared" si="973"/>
        <v/>
      </c>
      <c r="Q3297" s="539" t="str">
        <f t="shared" si="971"/>
        <v/>
      </c>
      <c r="R3297" s="706"/>
      <c r="S3297" s="707"/>
      <c r="T3297" s="708"/>
      <c r="U3297" s="472"/>
      <c r="V3297" s="167"/>
      <c r="W3297" s="446"/>
      <c r="X3297" s="456"/>
      <c r="Y3297" s="436"/>
      <c r="Z3297" s="437"/>
      <c r="AA3297" s="560"/>
      <c r="AB3297" s="561"/>
      <c r="AC3297" s="87"/>
      <c r="AD3297" s="466"/>
      <c r="AE3297" s="456"/>
      <c r="AF3297" s="467"/>
      <c r="AG3297" s="87"/>
      <c r="AH3297" s="87"/>
      <c r="AI3297" s="87"/>
    </row>
    <row r="3298" spans="1:35" hidden="1">
      <c r="A3298" s="80" t="e">
        <f>"F"&amp;E3289</f>
        <v>#N/A</v>
      </c>
      <c r="B3298" s="105">
        <v>6</v>
      </c>
      <c r="C3298" s="107"/>
      <c r="D3298" s="107"/>
      <c r="E3298" s="107"/>
      <c r="F3298" s="107"/>
      <c r="G3298" s="83"/>
      <c r="H3298" s="83"/>
      <c r="I3298" s="84"/>
      <c r="J3298" s="85"/>
      <c r="K3298" s="382"/>
      <c r="L3298" s="85"/>
      <c r="M3298" s="332" t="str">
        <f t="shared" si="970"/>
        <v/>
      </c>
      <c r="N3298" s="86"/>
      <c r="O3298" s="453" t="str">
        <f t="shared" si="972"/>
        <v/>
      </c>
      <c r="P3298" s="538" t="str">
        <f t="shared" si="973"/>
        <v/>
      </c>
      <c r="Q3298" s="539" t="str">
        <f t="shared" si="971"/>
        <v/>
      </c>
      <c r="R3298" s="706"/>
      <c r="S3298" s="707"/>
      <c r="T3298" s="708"/>
      <c r="U3298" s="472"/>
      <c r="V3298" s="167"/>
      <c r="W3298" s="446"/>
      <c r="X3298" s="456"/>
      <c r="Y3298" s="436"/>
      <c r="Z3298" s="437"/>
      <c r="AA3298" s="560"/>
      <c r="AB3298" s="561"/>
      <c r="AC3298" s="87"/>
      <c r="AD3298" s="466"/>
      <c r="AE3298" s="456"/>
      <c r="AF3298" s="467"/>
      <c r="AG3298" s="87"/>
      <c r="AH3298" s="87"/>
      <c r="AI3298" s="87"/>
    </row>
    <row r="3299" spans="1:35" hidden="1">
      <c r="A3299" s="80" t="e">
        <f>"G"&amp;E3289</f>
        <v>#N/A</v>
      </c>
      <c r="B3299" s="105">
        <v>7</v>
      </c>
      <c r="C3299" s="107"/>
      <c r="D3299" s="107"/>
      <c r="E3299" s="107"/>
      <c r="F3299" s="107"/>
      <c r="G3299" s="83"/>
      <c r="H3299" s="83"/>
      <c r="I3299" s="84"/>
      <c r="J3299" s="85"/>
      <c r="K3299" s="382"/>
      <c r="L3299" s="85"/>
      <c r="M3299" s="332" t="str">
        <f t="shared" si="970"/>
        <v/>
      </c>
      <c r="N3299" s="86"/>
      <c r="O3299" s="86" t="str">
        <f t="shared" si="972"/>
        <v/>
      </c>
      <c r="P3299" s="538" t="str">
        <f t="shared" si="973"/>
        <v/>
      </c>
      <c r="Q3299" s="539" t="str">
        <f t="shared" si="971"/>
        <v/>
      </c>
      <c r="R3299" s="706"/>
      <c r="S3299" s="707"/>
      <c r="T3299" s="708"/>
      <c r="U3299" s="472"/>
      <c r="V3299" s="167"/>
      <c r="W3299" s="446"/>
      <c r="X3299" s="456"/>
      <c r="Y3299" s="436"/>
      <c r="Z3299" s="437"/>
      <c r="AA3299" s="560"/>
      <c r="AB3299" s="561"/>
      <c r="AC3299" s="87"/>
      <c r="AD3299" s="466"/>
      <c r="AE3299" s="456"/>
      <c r="AF3299" s="467"/>
      <c r="AG3299" s="87"/>
      <c r="AH3299" s="87"/>
      <c r="AI3299" s="87"/>
    </row>
    <row r="3300" spans="1:35" hidden="1">
      <c r="A3300" s="80" t="e">
        <f>"H"&amp;E3289</f>
        <v>#N/A</v>
      </c>
      <c r="B3300" s="105">
        <v>8</v>
      </c>
      <c r="C3300" s="107"/>
      <c r="D3300" s="107"/>
      <c r="E3300" s="107"/>
      <c r="F3300" s="107"/>
      <c r="G3300" s="83"/>
      <c r="H3300" s="83"/>
      <c r="I3300" s="84"/>
      <c r="J3300" s="85"/>
      <c r="K3300" s="382"/>
      <c r="L3300" s="85"/>
      <c r="M3300" s="332" t="str">
        <f t="shared" si="970"/>
        <v/>
      </c>
      <c r="N3300" s="453"/>
      <c r="O3300" s="86" t="str">
        <f t="shared" si="972"/>
        <v/>
      </c>
      <c r="P3300" s="538" t="str">
        <f t="shared" si="973"/>
        <v/>
      </c>
      <c r="Q3300" s="539" t="str">
        <f t="shared" si="971"/>
        <v/>
      </c>
      <c r="R3300" s="706"/>
      <c r="S3300" s="707"/>
      <c r="T3300" s="708"/>
      <c r="U3300" s="472"/>
      <c r="V3300" s="167"/>
      <c r="W3300" s="446"/>
      <c r="X3300" s="456"/>
      <c r="Y3300" s="436"/>
      <c r="Z3300" s="437"/>
      <c r="AA3300" s="560"/>
      <c r="AB3300" s="561"/>
      <c r="AC3300" s="87"/>
      <c r="AD3300" s="466"/>
      <c r="AE3300" s="456"/>
      <c r="AF3300" s="467"/>
      <c r="AG3300" s="87"/>
      <c r="AH3300" s="87"/>
      <c r="AI3300" s="87"/>
    </row>
    <row r="3301" spans="1:35" hidden="1">
      <c r="A3301" s="80" t="e">
        <f>"I"&amp;E3289</f>
        <v>#N/A</v>
      </c>
      <c r="B3301" s="105">
        <v>9</v>
      </c>
      <c r="C3301" s="107"/>
      <c r="D3301" s="107"/>
      <c r="E3301" s="107"/>
      <c r="F3301" s="107"/>
      <c r="G3301" s="83"/>
      <c r="H3301" s="83"/>
      <c r="I3301" s="84"/>
      <c r="J3301" s="85"/>
      <c r="K3301" s="382"/>
      <c r="L3301" s="85"/>
      <c r="M3301" s="332" t="str">
        <f t="shared" si="970"/>
        <v/>
      </c>
      <c r="N3301" s="453"/>
      <c r="O3301" s="86" t="str">
        <f t="shared" si="972"/>
        <v/>
      </c>
      <c r="P3301" s="538" t="str">
        <f t="shared" si="973"/>
        <v/>
      </c>
      <c r="Q3301" s="539" t="str">
        <f t="shared" si="971"/>
        <v/>
      </c>
      <c r="R3301" s="706"/>
      <c r="S3301" s="707"/>
      <c r="T3301" s="708"/>
      <c r="U3301" s="472"/>
      <c r="V3301" s="167"/>
      <c r="W3301" s="446"/>
      <c r="X3301" s="456"/>
      <c r="Y3301" s="436"/>
      <c r="Z3301" s="437"/>
      <c r="AA3301" s="560"/>
      <c r="AB3301" s="561"/>
      <c r="AC3301" s="87"/>
      <c r="AD3301" s="466"/>
      <c r="AE3301" s="456"/>
      <c r="AF3301" s="467"/>
      <c r="AG3301" s="87"/>
      <c r="AH3301" s="87"/>
      <c r="AI3301" s="87"/>
    </row>
    <row r="3302" spans="1:35" hidden="1">
      <c r="A3302" s="80" t="e">
        <f>"J"&amp;E3289</f>
        <v>#N/A</v>
      </c>
      <c r="B3302" s="105">
        <v>10</v>
      </c>
      <c r="C3302" s="107"/>
      <c r="D3302" s="107"/>
      <c r="E3302" s="107"/>
      <c r="F3302" s="107"/>
      <c r="G3302" s="83"/>
      <c r="H3302" s="83"/>
      <c r="I3302" s="84"/>
      <c r="J3302" s="85"/>
      <c r="K3302" s="382"/>
      <c r="L3302" s="85"/>
      <c r="M3302" s="332" t="str">
        <f t="shared" si="970"/>
        <v/>
      </c>
      <c r="N3302" s="453"/>
      <c r="O3302" s="86" t="str">
        <f t="shared" si="972"/>
        <v/>
      </c>
      <c r="P3302" s="538" t="str">
        <f t="shared" si="973"/>
        <v/>
      </c>
      <c r="Q3302" s="539" t="str">
        <f t="shared" si="971"/>
        <v/>
      </c>
      <c r="R3302" s="706"/>
      <c r="S3302" s="707"/>
      <c r="T3302" s="708"/>
      <c r="U3302" s="472"/>
      <c r="V3302" s="167"/>
      <c r="W3302" s="446"/>
      <c r="X3302" s="456"/>
      <c r="Y3302" s="436"/>
      <c r="Z3302" s="437"/>
      <c r="AA3302" s="560"/>
      <c r="AB3302" s="561"/>
      <c r="AC3302" s="87"/>
      <c r="AD3302" s="466"/>
      <c r="AE3302" s="456"/>
      <c r="AF3302" s="467"/>
      <c r="AG3302" s="87"/>
      <c r="AH3302" s="87"/>
      <c r="AI3302" s="87"/>
    </row>
    <row r="3303" spans="1:35" ht="16.5" hidden="1" thickBot="1">
      <c r="A3303" s="44"/>
      <c r="B3303" s="89"/>
      <c r="C3303" s="90"/>
      <c r="D3303" s="90"/>
      <c r="E3303" s="90"/>
      <c r="F3303" s="90"/>
      <c r="G3303" s="90"/>
      <c r="H3303" s="90"/>
      <c r="I3303" s="90"/>
      <c r="J3303" s="90"/>
      <c r="K3303" s="90"/>
      <c r="L3303" s="90"/>
      <c r="M3303" s="90"/>
      <c r="N3303" s="90"/>
      <c r="O3303" s="90"/>
      <c r="P3303" s="90"/>
      <c r="Q3303" s="90"/>
      <c r="R3303" s="90"/>
      <c r="S3303" s="91"/>
      <c r="T3303" s="92"/>
      <c r="U3303" s="473"/>
      <c r="W3303" s="438"/>
      <c r="X3303" s="455"/>
      <c r="Y3303" s="439"/>
      <c r="Z3303" s="437"/>
      <c r="AA3303" s="530"/>
      <c r="AB3303" s="563"/>
      <c r="AC3303" s="87"/>
      <c r="AD3303" s="440"/>
      <c r="AE3303" s="441"/>
      <c r="AF3303" s="442"/>
      <c r="AG3303" s="49"/>
      <c r="AH3303" s="87"/>
      <c r="AI3303" s="87"/>
    </row>
    <row r="3304" spans="1:35" ht="16.5" hidden="1" thickBot="1">
      <c r="A3304" s="93"/>
      <c r="B3304" s="94"/>
      <c r="C3304" s="96"/>
      <c r="D3304" s="96"/>
      <c r="E3304" s="96"/>
      <c r="F3304" s="96"/>
      <c r="G3304" s="96"/>
      <c r="H3304" s="96"/>
      <c r="I3304" s="96"/>
      <c r="J3304" s="96"/>
      <c r="K3304" s="96"/>
      <c r="L3304" s="96"/>
      <c r="M3304" s="136"/>
      <c r="N3304" s="96"/>
      <c r="O3304" s="96"/>
      <c r="P3304" s="97"/>
      <c r="Q3304" s="97"/>
      <c r="R3304" s="98"/>
      <c r="S3304" s="95"/>
      <c r="T3304" s="99"/>
      <c r="U3304" s="469"/>
      <c r="AC3304" s="58"/>
      <c r="AG3304" s="58"/>
      <c r="AH3304" s="87"/>
      <c r="AI3304" s="87"/>
    </row>
    <row r="3305" spans="1:35" ht="16.5" hidden="1" thickBot="1">
      <c r="B3305" s="101"/>
      <c r="C3305" s="101"/>
      <c r="D3305" s="101"/>
      <c r="E3305" s="101"/>
      <c r="F3305" s="101"/>
      <c r="G3305" s="101"/>
      <c r="H3305" s="101"/>
      <c r="I3305" s="101"/>
      <c r="J3305" s="101"/>
      <c r="K3305" s="101"/>
      <c r="L3305" s="101"/>
      <c r="M3305" s="101"/>
      <c r="N3305" s="101"/>
      <c r="O3305" s="101"/>
      <c r="P3305" s="101"/>
      <c r="Q3305" s="101"/>
      <c r="R3305" s="101"/>
      <c r="S3305" s="101"/>
      <c r="U3305" s="50"/>
      <c r="AH3305" s="87"/>
      <c r="AI3305" s="87"/>
    </row>
    <row r="3306" spans="1:35" ht="16.5" hidden="1" customHeight="1" thickBot="1">
      <c r="A3306" s="44"/>
      <c r="B3306" s="705" t="s">
        <v>74</v>
      </c>
      <c r="C3306" s="705"/>
      <c r="D3306" s="705"/>
      <c r="E3306" s="705"/>
      <c r="F3306" s="705"/>
      <c r="G3306" s="705"/>
      <c r="H3306" s="705"/>
      <c r="I3306" s="705"/>
      <c r="J3306" s="705"/>
      <c r="K3306" s="705"/>
      <c r="L3306" s="705"/>
      <c r="M3306" s="705"/>
      <c r="N3306" s="705"/>
      <c r="O3306" s="705"/>
      <c r="P3306" s="705"/>
      <c r="Q3306" s="705"/>
      <c r="R3306" s="705"/>
      <c r="S3306" s="705"/>
      <c r="T3306" s="705"/>
      <c r="U3306" s="108"/>
      <c r="Y3306" s="532" t="s">
        <v>341</v>
      </c>
      <c r="AC3306" s="49"/>
      <c r="AD3306" s="687" t="s">
        <v>302</v>
      </c>
      <c r="AE3306" s="688"/>
      <c r="AF3306" s="689"/>
      <c r="AG3306" s="49"/>
      <c r="AH3306" s="87"/>
      <c r="AI3306" s="87"/>
    </row>
    <row r="3307" spans="1:35" ht="16.5" hidden="1" customHeight="1" thickBot="1">
      <c r="A3307" s="218" t="e">
        <f>"K"&amp;E3289</f>
        <v>#N/A</v>
      </c>
      <c r="B3307" s="701" t="s">
        <v>71</v>
      </c>
      <c r="C3307" s="751" t="s">
        <v>102</v>
      </c>
      <c r="D3307" s="751"/>
      <c r="E3307" s="751"/>
      <c r="F3307" s="751"/>
      <c r="G3307" s="751"/>
      <c r="H3307" s="751"/>
      <c r="I3307" s="751"/>
      <c r="J3307" s="751"/>
      <c r="K3307" s="751"/>
      <c r="L3307" s="722" t="s">
        <v>100</v>
      </c>
      <c r="M3307" s="747" t="s">
        <v>114</v>
      </c>
      <c r="N3307" s="747"/>
      <c r="O3307" s="747"/>
      <c r="P3307" s="747"/>
      <c r="Q3307" s="748"/>
      <c r="R3307" s="758" t="s">
        <v>280</v>
      </c>
      <c r="S3307" s="748"/>
      <c r="T3307" s="762" t="str">
        <f>IF(COUNTIF(AE3307:AF3307,"VERIFICAR")&gt;0,"VERIFICAR",IF(COUNTIF(AE3307:AF3307,"NO CUMPLE")&gt;0,"NO CUMPLE","CUMPLE"))</f>
        <v>VERIFICAR</v>
      </c>
      <c r="U3307" s="108"/>
      <c r="Y3307" s="533" t="e">
        <f>IF(F3308="","",IF(F3308=1,"INDIVIDUAL","ESTRUCTURA PLURAL"))</f>
        <v>#N/A</v>
      </c>
      <c r="AC3307" s="52"/>
      <c r="AD3307" s="475" t="s">
        <v>303</v>
      </c>
      <c r="AE3307" s="476" t="str">
        <f>IF(COUNTIF(AE3293:AE3302,"")=10,"VERIFICAR",IF(COUNTIF(AE3293:AE3302,"SI")&gt;0,"CUMPLE","NO CUMPLE"))</f>
        <v>VERIFICAR</v>
      </c>
      <c r="AF3307" s="477" t="str">
        <f>IF(COUNTIF(AF3293:AF3302,"")=10,"VERIFICAR",IF(COUNTIF(AF3293:AF3302,"SI")&gt;=$AI$22,"CUMPLE","NO CUMPLE"))</f>
        <v>VERIFICAR</v>
      </c>
      <c r="AG3307" s="52"/>
      <c r="AH3307" s="87"/>
      <c r="AI3307" s="87"/>
    </row>
    <row r="3308" spans="1:35" ht="15.75" hidden="1" customHeight="1" thickBot="1">
      <c r="A3308" s="218" t="e">
        <f>"L"&amp;E3289</f>
        <v>#N/A</v>
      </c>
      <c r="B3308" s="702"/>
      <c r="C3308" s="751" t="s">
        <v>103</v>
      </c>
      <c r="D3308" s="751"/>
      <c r="E3308" s="752"/>
      <c r="F3308" s="557" t="e">
        <f>IF(VLOOKUP(E3289,PROPONENTES!$C$19:$E$218,3,0)="","",VLOOKUP(E3289,PROPONENTES!$C$19:$E$218,3,0))</f>
        <v>#N/A</v>
      </c>
      <c r="G3308" s="753" t="s">
        <v>104</v>
      </c>
      <c r="H3308" s="751"/>
      <c r="I3308" s="715" t="e">
        <f>IF(OR(F3308="",F3308=1),"INTERESADO PERSONA NATURAL O JURIDICA","CONSORCIO O UNION TEMPORAL")</f>
        <v>#N/A</v>
      </c>
      <c r="J3308" s="725"/>
      <c r="K3308" s="728"/>
      <c r="L3308" s="723"/>
      <c r="M3308" s="749"/>
      <c r="N3308" s="749"/>
      <c r="O3308" s="749"/>
      <c r="P3308" s="749"/>
      <c r="Q3308" s="750"/>
      <c r="R3308" s="712"/>
      <c r="S3308" s="750"/>
      <c r="T3308" s="763"/>
      <c r="U3308" s="108"/>
      <c r="Y3308" s="534"/>
      <c r="AA3308" s="52"/>
      <c r="AB3308" s="52"/>
      <c r="AC3308" s="52"/>
      <c r="AG3308" s="52"/>
      <c r="AH3308" s="87"/>
      <c r="AI3308" s="87"/>
    </row>
    <row r="3309" spans="1:35" ht="56.25" hidden="1" customHeight="1" thickBot="1">
      <c r="A3309" s="218" t="e">
        <f>"M"&amp;E3289</f>
        <v>#N/A</v>
      </c>
      <c r="B3309" s="702"/>
      <c r="C3309" s="725" t="s">
        <v>101</v>
      </c>
      <c r="D3309" s="716"/>
      <c r="E3309" s="558" t="s">
        <v>105</v>
      </c>
      <c r="F3309" s="554" t="s">
        <v>87</v>
      </c>
      <c r="G3309" s="553" t="s">
        <v>86</v>
      </c>
      <c r="H3309" s="559" t="s">
        <v>85</v>
      </c>
      <c r="I3309" s="554" t="s">
        <v>252</v>
      </c>
      <c r="J3309" s="553" t="str">
        <f>"¿EL INTEGRANTE TIENE UNA PARTICIPACIÓN DEL "&amp;PORCREQUERIDOINT*100&amp;"%?"</f>
        <v>¿EL INTEGRANTE TIENE UNA PARTICIPACIÓN DEL 60%?</v>
      </c>
      <c r="K3309" s="554" t="s">
        <v>107</v>
      </c>
      <c r="L3309" s="724"/>
      <c r="M3309" s="717" t="s">
        <v>115</v>
      </c>
      <c r="N3309" s="718"/>
      <c r="O3309" s="718"/>
      <c r="P3309" s="718"/>
      <c r="Q3309" s="223">
        <f>IF(AND(H3293="SI",P3293&gt;=0),1,0)+IF(AND(H3294="SI",P3294&gt;=0),1,0)+IF(AND(H3295="SI",P3295&gt;=0),1,0)+IF(AND(H3296="SI",P3296&gt;=0),1,0)+IF(AND(H3297="SI",P3297&gt;=0),1,0)+IF(AND(H3298="SI",P3298&gt;=0),1,0)+IF(AND(H3299="SI",P3299&gt;=0),1,0)+IF(AND(H3300="SI",P3300&gt;=0),1,0)+IF(AND(H3301="SI",P3301&gt;=0),1,0)+IF(AND(H3302="SI",P3302&gt;=0),1,0)</f>
        <v>0</v>
      </c>
      <c r="R3309" s="759"/>
      <c r="S3309" s="761"/>
      <c r="T3309" s="764"/>
      <c r="U3309" s="219"/>
      <c r="V3309" s="464"/>
      <c r="Y3309" s="532" t="s">
        <v>342</v>
      </c>
      <c r="AA3309" s="550" t="s">
        <v>344</v>
      </c>
      <c r="AB3309" s="693" t="s">
        <v>345</v>
      </c>
      <c r="AC3309" s="693" t="s">
        <v>346</v>
      </c>
      <c r="AD3309" s="685" t="s">
        <v>347</v>
      </c>
      <c r="AE3309" s="52"/>
      <c r="AF3309" s="52"/>
      <c r="AG3309" s="52"/>
      <c r="AH3309" s="87"/>
      <c r="AI3309" s="87"/>
    </row>
    <row r="3310" spans="1:35" ht="15.75" hidden="1" customHeight="1" thickBot="1">
      <c r="A3310" s="218" t="e">
        <f>"N"&amp;E3289</f>
        <v>#N/A</v>
      </c>
      <c r="B3310" s="702"/>
      <c r="C3310" s="114">
        <v>1</v>
      </c>
      <c r="D3310" s="194" t="e">
        <f>IF(AND(C3310&lt;=F3308,F3308&gt;1,F3308&lt;&gt;""),VLOOKUP(VALUE(E3289&amp;","&amp;C3310),INTEGRANTES!$D$18:$F$235,2,0),"")</f>
        <v>#N/A</v>
      </c>
      <c r="E3310" s="211" t="e">
        <f>IF(D3310&lt;&gt;"",VLOOKUP(VALUE(E3289&amp;","&amp;C3310),INTEGRANTES!$D$18:$F$235,3,0),"")</f>
        <v>#N/A</v>
      </c>
      <c r="F3310" s="547" t="e">
        <f>IF(D3310="","",SUMIF($I3293:$I3302,D3310,$P3293:$P3302))</f>
        <v>#N/A</v>
      </c>
      <c r="G3310" s="333" t="e">
        <f>IF(D3310="","",SUMIF($I3293:$I3302,D3310,$M3293:$M3302))</f>
        <v>#N/A</v>
      </c>
      <c r="H3310" s="535" t="e">
        <f t="shared" ref="H3310:H3315" si="974">IF(D3310="","",IF(OR(F3310=0,G3310=0),"NO APORTA",ROUND($F3310/$G3310,3)))</f>
        <v>#N/A</v>
      </c>
      <c r="I3310" s="212" t="e">
        <f>IF(D3310="","",IF(H3310="NO APORTA","NO",IF(H3310=MAX($H3310:$H3315),"SI","NO")))</f>
        <v>#N/A</v>
      </c>
      <c r="J3310" s="213" t="e">
        <f t="shared" ref="J3310:J3315" si="975">IF(D3310="","",IF(E3310&gt;=PORCREQUERIDOINT,"SI","NO"))</f>
        <v>#N/A</v>
      </c>
      <c r="K3310" s="200" t="e">
        <f t="shared" ref="K3310:K3315" si="976">IF(D3310="","",IF(AND(I3310="SI",J3310="SI"),"CUMPLE",IF(AND(I3310="NO",OR(J3310="SI",J3310="NO")),"","NO CUMPLE")))</f>
        <v>#N/A</v>
      </c>
      <c r="L3310" s="722" t="s">
        <v>108</v>
      </c>
      <c r="M3310" s="726" t="s">
        <v>119</v>
      </c>
      <c r="N3310" s="726"/>
      <c r="O3310" s="726"/>
      <c r="P3310" s="726"/>
      <c r="Q3310" s="727"/>
      <c r="R3310" s="758" t="s">
        <v>80</v>
      </c>
      <c r="S3310" s="747"/>
      <c r="T3310" s="748"/>
      <c r="U3310" s="219"/>
      <c r="V3310" s="464"/>
      <c r="Y3310" s="533" t="e">
        <f>IF(Y3307="","",IF(Y3307="INDIVIDUAL","NO APLICA","VERIFICAR CUADRO"))</f>
        <v>#N/A</v>
      </c>
      <c r="AA3310" s="551"/>
      <c r="AB3310" s="694"/>
      <c r="AC3310" s="694"/>
      <c r="AD3310" s="686"/>
      <c r="AE3310" s="52"/>
      <c r="AF3310" s="52"/>
      <c r="AG3310" s="52"/>
      <c r="AH3310" s="87"/>
      <c r="AI3310" s="87"/>
    </row>
    <row r="3311" spans="1:35" ht="27" hidden="1" customHeight="1" thickBot="1">
      <c r="A3311" s="218" t="e">
        <f>"O"&amp;E3289</f>
        <v>#N/A</v>
      </c>
      <c r="B3311" s="702"/>
      <c r="C3311" s="114">
        <v>2</v>
      </c>
      <c r="D3311" s="194" t="e">
        <f>IF(AND(C3311&lt;=F3308,F3308&lt;&gt;""),VLOOKUP(VALUE(E3289&amp;","&amp;C3311),INTEGRANTES!$D$18:$F$235,2,0),"")</f>
        <v>#N/A</v>
      </c>
      <c r="E3311" s="211" t="e">
        <f>IF(D3311&lt;&gt;"",VLOOKUP(VALUE(E3289&amp;","&amp;C3311),INTEGRANTES!$D$18:$F$235,3,0),"")</f>
        <v>#N/A</v>
      </c>
      <c r="F3311" s="547" t="e">
        <f>IF(D3311="","",SUMIF($I3293:$I3302,D3311,$P3293:$P3302))</f>
        <v>#N/A</v>
      </c>
      <c r="G3311" s="333" t="e">
        <f>IF(D3311="","",SUMIF($I3293:$I3302,D3311,$M3293:$M3302))</f>
        <v>#N/A</v>
      </c>
      <c r="H3311" s="535" t="e">
        <f t="shared" si="974"/>
        <v>#N/A</v>
      </c>
      <c r="I3311" s="212" t="e">
        <f>IF(D3311="","",IF(H3311="NO APORTA","NO",IF(H3311=MAX($H3310:$H3315),"SI","NO")))</f>
        <v>#N/A</v>
      </c>
      <c r="J3311" s="213" t="e">
        <f t="shared" si="975"/>
        <v>#N/A</v>
      </c>
      <c r="K3311" s="200" t="e">
        <f t="shared" si="976"/>
        <v>#N/A</v>
      </c>
      <c r="L3311" s="723"/>
      <c r="M3311" s="715" t="s">
        <v>116</v>
      </c>
      <c r="N3311" s="716"/>
      <c r="O3311" s="556" t="s">
        <v>113</v>
      </c>
      <c r="P3311" s="715" t="s">
        <v>117</v>
      </c>
      <c r="Q3311" s="728"/>
      <c r="R3311" s="759"/>
      <c r="S3311" s="760"/>
      <c r="T3311" s="761"/>
      <c r="U3311" s="219"/>
      <c r="V3311" s="464"/>
      <c r="Y3311" s="414"/>
      <c r="AA3311" s="542" t="e">
        <f>IF(AND(C3310&lt;=F3308,F3308&gt;1,F3308&lt;&gt;""),VLOOKUP(VALUE(E3289&amp;","&amp;C3310),INTEGRANTES!$D$18:$F$235,2,0),"")</f>
        <v>#N/A</v>
      </c>
      <c r="AB3311" s="544" t="e">
        <f t="shared" ref="AB3311:AB3316" si="977">IF(D3310="","",IF(OR(F3310=0,G3310=0),"NO APORTA",ROUND($F3310/$G3310,3)))</f>
        <v>#N/A</v>
      </c>
      <c r="AC3311" s="529"/>
      <c r="AD3311" s="200" t="e">
        <f t="shared" ref="AD3311:AD3316" si="978">IF(OR(AA3311="",AB3311=""),"",IF(AND(AC3311="X",AB3311&gt;=EXPREQVTD),"CUMPLE","NO CUMPLE"))</f>
        <v>#N/A</v>
      </c>
      <c r="AE3311" s="52"/>
      <c r="AF3311" s="52"/>
      <c r="AG3311" s="52"/>
      <c r="AH3311" s="87"/>
      <c r="AI3311" s="87"/>
    </row>
    <row r="3312" spans="1:35" ht="16.5" hidden="1" thickBot="1">
      <c r="A3312" s="218" t="e">
        <f>"P"&amp;E3289</f>
        <v>#N/A</v>
      </c>
      <c r="B3312" s="702"/>
      <c r="C3312" s="114">
        <v>3</v>
      </c>
      <c r="D3312" s="194" t="e">
        <f>IF(AND(C3312&lt;=F3308,F3308&lt;&gt;""),VLOOKUP(VALUE(E3289&amp;","&amp;C3312),INTEGRANTES!$D$18:$F$235,2,0),"")</f>
        <v>#N/A</v>
      </c>
      <c r="E3312" s="211" t="e">
        <f>IF(D3312&lt;&gt;"",VLOOKUP(VALUE(E3289&amp;","&amp;C3312),INTEGRANTES!$D$18:$F$235,3,0),"")</f>
        <v>#N/A</v>
      </c>
      <c r="F3312" s="547" t="e">
        <f>IF(D3312="","",SUMIF($I3293:$I3302,D3312,$P3293:$P3302))</f>
        <v>#N/A</v>
      </c>
      <c r="G3312" s="333" t="e">
        <f>IF(D3312="","",SUMIF($I3293:$I3302,D3312,$M3293:$M3302))</f>
        <v>#N/A</v>
      </c>
      <c r="H3312" s="535" t="e">
        <f t="shared" si="974"/>
        <v>#N/A</v>
      </c>
      <c r="I3312" s="212" t="e">
        <f>IF(D3312="","",IF(H3312="NO APORTA","NO",IF(H3312=MAX($H3310:$H3315),"SI","NO")))</f>
        <v>#N/A</v>
      </c>
      <c r="J3312" s="213" t="e">
        <f t="shared" si="975"/>
        <v>#N/A</v>
      </c>
      <c r="K3312" s="200" t="e">
        <f t="shared" si="976"/>
        <v>#N/A</v>
      </c>
      <c r="L3312" s="724"/>
      <c r="M3312" s="729">
        <f>NUMMOD</f>
        <v>1</v>
      </c>
      <c r="N3312" s="730"/>
      <c r="O3312" s="443">
        <f>IF(M3312="","",VLOOKUP(M3312,PRESUPUESTOS!$B$16:$H$16,5,FALSE))</f>
        <v>2</v>
      </c>
      <c r="P3312" s="713">
        <f>IF(OR(COUNTIF(M3293:M3302,"")&gt;=10,Q3309&lt;NUMMINCONT,OR(T3307="NO CUMPLE",T3307="VERIFICAR")),0,ROUND(AVERAGE(M3293:M3302),3))</f>
        <v>0</v>
      </c>
      <c r="Q3312" s="714"/>
      <c r="R3312" s="458"/>
      <c r="S3312" s="459"/>
      <c r="T3312" s="460"/>
      <c r="U3312" s="219"/>
      <c r="V3312" s="464"/>
      <c r="Y3312" s="532" t="str">
        <f>"40% * ("&amp;PRESUPUESTOS!$H$13&amp;")"</f>
        <v>40% * (50% PFMO)</v>
      </c>
      <c r="AA3312" s="540" t="e">
        <f>IF(AND(C3311&lt;=F3308,F3308&lt;&gt;""),VLOOKUP(VALUE(E3289&amp;","&amp;C3311),INTEGRANTES!$D$18:$F$235,2,0),"")</f>
        <v>#N/A</v>
      </c>
      <c r="AB3312" s="545" t="e">
        <f t="shared" si="977"/>
        <v>#N/A</v>
      </c>
      <c r="AC3312" s="529"/>
      <c r="AD3312" s="200" t="e">
        <f t="shared" si="978"/>
        <v>#N/A</v>
      </c>
      <c r="AE3312" s="52"/>
      <c r="AF3312" s="52"/>
      <c r="AG3312" s="52"/>
      <c r="AH3312" s="87"/>
      <c r="AI3312" s="87"/>
    </row>
    <row r="3313" spans="1:35" ht="15.75" hidden="1" customHeight="1" thickBot="1">
      <c r="A3313" s="218" t="e">
        <f>"Q"&amp;E3289</f>
        <v>#N/A</v>
      </c>
      <c r="B3313" s="702"/>
      <c r="C3313" s="114">
        <v>4</v>
      </c>
      <c r="D3313" s="194" t="e">
        <f>IF(AND(C3313&lt;=F3308,F3308&lt;&gt;""),VLOOKUP(VALUE(E3289&amp;","&amp;C3313),INTEGRANTES!$D$18:$F$235,2,0),"")</f>
        <v>#N/A</v>
      </c>
      <c r="E3313" s="211" t="e">
        <f>IF(D3313&lt;&gt;"",VLOOKUP(VALUE(E3289&amp;","&amp;C3313),INTEGRANTES!$D$18:$F$235,3,0),"")</f>
        <v>#N/A</v>
      </c>
      <c r="F3313" s="547" t="e">
        <f>IF(D3313="","",SUMIF($I3293:$I3302,D3313,$P3293:$P3302))</f>
        <v>#N/A</v>
      </c>
      <c r="G3313" s="333" t="e">
        <f>IF(D3313="","",SUMIF($I3293:$I3302,D3313,$M3293:$M3302))</f>
        <v>#N/A</v>
      </c>
      <c r="H3313" s="535" t="e">
        <f t="shared" si="974"/>
        <v>#N/A</v>
      </c>
      <c r="I3313" s="212" t="e">
        <f>IF(D3313="","",IF(H3313="NO APORTA","NO",IF(H3313=MAX($H3310:$H3315),"SI","NO")))</f>
        <v>#N/A</v>
      </c>
      <c r="J3313" s="213" t="e">
        <f t="shared" si="975"/>
        <v>#N/A</v>
      </c>
      <c r="K3313" s="200" t="e">
        <f t="shared" si="976"/>
        <v>#N/A</v>
      </c>
      <c r="L3313" s="720" t="s">
        <v>109</v>
      </c>
      <c r="M3313" s="757" t="s">
        <v>120</v>
      </c>
      <c r="N3313" s="726"/>
      <c r="O3313" s="726"/>
      <c r="P3313" s="726"/>
      <c r="Q3313" s="727"/>
      <c r="R3313" s="458"/>
      <c r="S3313" s="459"/>
      <c r="T3313" s="460"/>
      <c r="U3313" s="219"/>
      <c r="V3313" s="464"/>
      <c r="Y3313" s="537">
        <f>0.4*PRESUPUESTOS!$H$16</f>
        <v>10.3124</v>
      </c>
      <c r="AA3313" s="540" t="e">
        <f>IF(AND(C3312&lt;=F3308,F3308&lt;&gt;""),VLOOKUP(VALUE(E3289&amp;","&amp;C3312),INTEGRANTES!$D$18:$F$235,2,0),"")</f>
        <v>#N/A</v>
      </c>
      <c r="AB3313" s="545" t="e">
        <f t="shared" si="977"/>
        <v>#N/A</v>
      </c>
      <c r="AC3313" s="529"/>
      <c r="AD3313" s="200" t="e">
        <f t="shared" si="978"/>
        <v>#N/A</v>
      </c>
      <c r="AE3313" s="52"/>
      <c r="AF3313" s="52"/>
      <c r="AG3313" s="52"/>
      <c r="AH3313" s="87"/>
      <c r="AI3313" s="87"/>
    </row>
    <row r="3314" spans="1:35" ht="27" hidden="1" customHeight="1" thickBot="1">
      <c r="A3314" s="218" t="e">
        <f>"R"&amp;E3289</f>
        <v>#N/A</v>
      </c>
      <c r="B3314" s="702"/>
      <c r="C3314" s="114">
        <v>5</v>
      </c>
      <c r="D3314" s="194" t="e">
        <f>IF(AND(C3314&lt;=F3308,F3308&lt;&gt;""),VLOOKUP(VALUE(E3289&amp;","&amp;C3314),INTEGRANTES!$D$18:$F$235,2,0),"")</f>
        <v>#N/A</v>
      </c>
      <c r="E3314" s="211" t="e">
        <f>IF(D3314&lt;&gt;"",VLOOKUP(VALUE(E3289&amp;","&amp;C3314),INTEGRANTES!$D$18:$F$235,3,0),"")</f>
        <v>#N/A</v>
      </c>
      <c r="F3314" s="547" t="e">
        <f>IF(D3314="","",SUMIF($I3293:$I3302,D3314,$P3293:$P3302))</f>
        <v>#N/A</v>
      </c>
      <c r="G3314" s="333" t="e">
        <f>IF(D3314="","",SUMIF($I3293:$I3302,D3314,$M3293:$M3302))</f>
        <v>#N/A</v>
      </c>
      <c r="H3314" s="535" t="e">
        <f t="shared" si="974"/>
        <v>#N/A</v>
      </c>
      <c r="I3314" s="212" t="e">
        <f>IF(D3314="","",IF(H3314="NO APORTA","NO",IF(H3314=MAX($H3310:$H3315),"SI","NO")))</f>
        <v>#N/A</v>
      </c>
      <c r="J3314" s="213" t="e">
        <f t="shared" si="975"/>
        <v>#N/A</v>
      </c>
      <c r="K3314" s="200" t="e">
        <f t="shared" si="976"/>
        <v>#N/A</v>
      </c>
      <c r="L3314" s="721"/>
      <c r="M3314" s="715" t="s">
        <v>116</v>
      </c>
      <c r="N3314" s="716"/>
      <c r="O3314" s="556" t="str">
        <f>PORCREQUERIDO*100&amp;"% PMFO DEL MÓDULO"</f>
        <v>50% PMFO DEL MÓDULO</v>
      </c>
      <c r="P3314" s="715" t="s">
        <v>118</v>
      </c>
      <c r="Q3314" s="728"/>
      <c r="R3314" s="458"/>
      <c r="S3314" s="459"/>
      <c r="T3314" s="460"/>
      <c r="U3314" s="219"/>
      <c r="V3314" s="464"/>
      <c r="Y3314" s="414"/>
      <c r="AA3314" s="540" t="e">
        <f>IF(AND(C3313&lt;=F3308,F3308&lt;&gt;""),VLOOKUP(VALUE(E3289&amp;","&amp;C3313),INTEGRANTES!$D$18:$F$235,2,0),"")</f>
        <v>#N/A</v>
      </c>
      <c r="AB3314" s="545" t="e">
        <f t="shared" si="977"/>
        <v>#N/A</v>
      </c>
      <c r="AC3314" s="529"/>
      <c r="AD3314" s="200" t="e">
        <f t="shared" si="978"/>
        <v>#N/A</v>
      </c>
      <c r="AE3314" s="52"/>
      <c r="AF3314" s="52"/>
      <c r="AG3314" s="52"/>
      <c r="AH3314" s="87"/>
      <c r="AI3314" s="87"/>
    </row>
    <row r="3315" spans="1:35" ht="16.5" hidden="1" thickBot="1">
      <c r="A3315" s="218" t="e">
        <f>"S"&amp;E3289</f>
        <v>#N/A</v>
      </c>
      <c r="B3315" s="702"/>
      <c r="C3315" s="215">
        <v>6</v>
      </c>
      <c r="D3315" s="216" t="e">
        <f>IF(AND(C3315&lt;=F3308,F3308&lt;&gt;""),VLOOKUP(VALUE(E3289&amp;","&amp;C3315),INTEGRANTES!$D$18:$F$235,2,0),"")</f>
        <v>#N/A</v>
      </c>
      <c r="E3315" s="217" t="e">
        <f>IF(D3315&lt;&gt;"",VLOOKUP(VALUE(E3289&amp;","&amp;C3315),INTEGRANTES!$D$18:$F$235,3,0),"")</f>
        <v>#N/A</v>
      </c>
      <c r="F3315" s="548" t="e">
        <f>IF(D3315="","",SUMIF($I3293:$I3302,D3315,$P3293:$P3302))</f>
        <v>#N/A</v>
      </c>
      <c r="G3315" s="334" t="e">
        <f>IF(D3315="","",SUMIF($I3293:$I3302,D3315,$M3293:$M3302))</f>
        <v>#N/A</v>
      </c>
      <c r="H3315" s="536" t="e">
        <f t="shared" si="974"/>
        <v>#N/A</v>
      </c>
      <c r="I3315" s="214" t="e">
        <f>IF(D3315="","",IF(H3315="NO APORTA","NO",IF(H3315=MAX($H3310:$H3315),"SI","NO")))</f>
        <v>#N/A</v>
      </c>
      <c r="J3315" s="213" t="e">
        <f t="shared" si="975"/>
        <v>#N/A</v>
      </c>
      <c r="K3315" s="200" t="e">
        <f t="shared" si="976"/>
        <v>#N/A</v>
      </c>
      <c r="L3315" s="721"/>
      <c r="M3315" s="729">
        <f>NUMMOD</f>
        <v>1</v>
      </c>
      <c r="N3315" s="730"/>
      <c r="O3315" s="443">
        <f>IF(M3315="","",ROUND(VLOOKUP(M3315,PRESUPUESTOS!$B$16:$H$16,7,FALSE),3))</f>
        <v>25.780999999999999</v>
      </c>
      <c r="P3315" s="713">
        <f>IF(OR(COUNTIF(P3293:P3302,"")&gt;=10,Q3309&lt;NUMMINCONT,OR(T3307="NO CUMPLE",T3307="VERIFICAR")),0,ROUND((SUM(P3293:P3302)/SUM(M3293:M3302)),3))</f>
        <v>0</v>
      </c>
      <c r="Q3315" s="714"/>
      <c r="R3315" s="458"/>
      <c r="S3315" s="459"/>
      <c r="T3315" s="460"/>
      <c r="U3315" s="219"/>
      <c r="V3315" s="464"/>
      <c r="Y3315" s="532" t="s">
        <v>343</v>
      </c>
      <c r="AA3315" s="540" t="e">
        <f>IF(AND(C3314&lt;=F3308,F3308&lt;&gt;""),VLOOKUP(VALUE(E3289&amp;","&amp;C3314),INTEGRANTES!$D$18:$F$235,2,0),"")</f>
        <v>#N/A</v>
      </c>
      <c r="AB3315" s="545" t="e">
        <f t="shared" si="977"/>
        <v>#N/A</v>
      </c>
      <c r="AC3315" s="529"/>
      <c r="AD3315" s="200" t="e">
        <f t="shared" si="978"/>
        <v>#N/A</v>
      </c>
      <c r="AE3315" s="52"/>
      <c r="AF3315" s="52"/>
      <c r="AG3315" s="52"/>
      <c r="AH3315" s="87"/>
      <c r="AI3315" s="87"/>
    </row>
    <row r="3316" spans="1:35" ht="16.5" hidden="1" customHeight="1" thickBot="1">
      <c r="A3316" s="218" t="e">
        <f>"T"&amp;E3289</f>
        <v>#N/A</v>
      </c>
      <c r="B3316" s="703"/>
      <c r="C3316" s="719"/>
      <c r="D3316" s="719"/>
      <c r="E3316" s="719"/>
      <c r="F3316" s="719"/>
      <c r="G3316" s="719"/>
      <c r="H3316" s="719" t="s">
        <v>110</v>
      </c>
      <c r="I3316" s="719"/>
      <c r="J3316" s="719"/>
      <c r="K3316" s="201" t="str">
        <f>IF(COUNTIF(K3310:K3315,"")=6,"",IF(COUNTIF(K3310:K3315,"CUMPLE")&gt;0,"CUMPLE","NO CUMPLE"))</f>
        <v>NO CUMPLE</v>
      </c>
      <c r="L3316" s="754"/>
      <c r="M3316" s="755"/>
      <c r="N3316" s="755"/>
      <c r="O3316" s="755"/>
      <c r="P3316" s="755"/>
      <c r="Q3316" s="756"/>
      <c r="R3316" s="461"/>
      <c r="S3316" s="462"/>
      <c r="T3316" s="463"/>
      <c r="U3316" s="219"/>
      <c r="V3316" s="464"/>
      <c r="Y3316" s="549" t="e">
        <f>IF(Y3310="NO APLICA","NO APLICA",IF(COUNTIF(AD3311:AD3316,"CUMPLE")&gt;0,"CUMPLE","NO CUMPLE"))</f>
        <v>#N/A</v>
      </c>
      <c r="AA3316" s="541" t="e">
        <f>IF(AND(C3315&lt;=F3308,F3308&lt;&gt;""),VLOOKUP(VALUE(E3289&amp;","&amp;C3315),INTEGRANTES!$D$18:$F$235,2,0),"")</f>
        <v>#N/A</v>
      </c>
      <c r="AB3316" s="546" t="e">
        <f t="shared" si="977"/>
        <v>#N/A</v>
      </c>
      <c r="AC3316" s="543"/>
      <c r="AD3316" s="201" t="e">
        <f t="shared" si="978"/>
        <v>#N/A</v>
      </c>
      <c r="AE3316" s="52"/>
      <c r="AF3316" s="52"/>
      <c r="AG3316" s="52"/>
      <c r="AH3316" s="87"/>
      <c r="AI3316" s="87"/>
    </row>
    <row r="3317" spans="1:35" hidden="1">
      <c r="AH3317" s="87"/>
      <c r="AI3317" s="87"/>
    </row>
    <row r="3318" spans="1:35" hidden="1">
      <c r="AH3318" s="87"/>
      <c r="AI3318" s="87"/>
    </row>
    <row r="3319" spans="1:35" ht="24" hidden="1" thickBot="1">
      <c r="A3319" s="61">
        <v>111</v>
      </c>
      <c r="B3319" s="704" t="s">
        <v>51</v>
      </c>
      <c r="C3319" s="704"/>
      <c r="D3319" s="704"/>
      <c r="E3319" s="62" t="e">
        <f>VLOOKUP(A3319,PROPONENTES!$B$19:$E$218,2,FALSE)</f>
        <v>#N/A</v>
      </c>
      <c r="F3319" s="63" t="e">
        <f>VLOOKUP(A3319,PROPONENTES!$B$19:$E$218,3,FALSE)</f>
        <v>#N/A</v>
      </c>
      <c r="G3319" s="64"/>
      <c r="H3319" s="64"/>
      <c r="I3319" s="63"/>
      <c r="J3319" s="63"/>
      <c r="K3319" s="65"/>
      <c r="L3319" s="65"/>
      <c r="M3319" s="64"/>
      <c r="N3319" s="64"/>
      <c r="O3319" s="66"/>
      <c r="P3319" s="66"/>
      <c r="Q3319" s="66"/>
      <c r="R3319" s="66"/>
      <c r="S3319" s="67"/>
      <c r="T3319" s="68"/>
      <c r="U3319" s="68"/>
      <c r="AC3319" s="68"/>
      <c r="AD3319" s="68"/>
      <c r="AE3319" s="68"/>
      <c r="AF3319" s="68"/>
      <c r="AG3319" s="68"/>
      <c r="AH3319" s="87"/>
      <c r="AI3319" s="87"/>
    </row>
    <row r="3320" spans="1:35" ht="15.75" hidden="1" customHeight="1">
      <c r="A3320" s="44"/>
      <c r="B3320" s="709" t="s">
        <v>59</v>
      </c>
      <c r="C3320" s="552" t="s">
        <v>60</v>
      </c>
      <c r="D3320" s="70" t="s">
        <v>17</v>
      </c>
      <c r="E3320" s="70"/>
      <c r="F3320" s="70" t="s">
        <v>61</v>
      </c>
      <c r="G3320" s="71"/>
      <c r="H3320" s="699" t="s">
        <v>62</v>
      </c>
      <c r="I3320" s="699" t="s">
        <v>18</v>
      </c>
      <c r="J3320" s="699" t="s">
        <v>63</v>
      </c>
      <c r="K3320" s="699" t="s">
        <v>64</v>
      </c>
      <c r="L3320" s="699" t="s">
        <v>65</v>
      </c>
      <c r="M3320" s="743" t="s">
        <v>66</v>
      </c>
      <c r="N3320" s="699" t="s">
        <v>282</v>
      </c>
      <c r="O3320" s="745" t="s">
        <v>67</v>
      </c>
      <c r="P3320" s="746"/>
      <c r="Q3320" s="102" t="s">
        <v>75</v>
      </c>
      <c r="R3320" s="731" t="s">
        <v>22</v>
      </c>
      <c r="S3320" s="732"/>
      <c r="T3320" s="733"/>
      <c r="U3320" s="712" t="s">
        <v>298</v>
      </c>
      <c r="W3320" s="690" t="s">
        <v>268</v>
      </c>
      <c r="X3320" s="691"/>
      <c r="Y3320" s="692"/>
      <c r="Z3320" s="428"/>
      <c r="AA3320" s="697" t="s">
        <v>315</v>
      </c>
      <c r="AB3320" s="695" t="s">
        <v>322</v>
      </c>
      <c r="AC3320" s="49"/>
      <c r="AD3320" s="690" t="s">
        <v>297</v>
      </c>
      <c r="AE3320" s="691"/>
      <c r="AF3320" s="692"/>
      <c r="AG3320" s="49"/>
      <c r="AH3320" s="87"/>
      <c r="AI3320" s="87"/>
    </row>
    <row r="3321" spans="1:35" ht="72" hidden="1">
      <c r="A3321" s="44"/>
      <c r="B3321" s="710"/>
      <c r="C3321" s="553" t="s">
        <v>68</v>
      </c>
      <c r="D3321" s="73" t="s">
        <v>3</v>
      </c>
      <c r="E3321" s="73" t="s">
        <v>19</v>
      </c>
      <c r="F3321" s="73" t="s">
        <v>69</v>
      </c>
      <c r="G3321" s="74" t="s">
        <v>70</v>
      </c>
      <c r="H3321" s="700"/>
      <c r="I3321" s="700"/>
      <c r="J3321" s="700"/>
      <c r="K3321" s="700"/>
      <c r="L3321" s="700"/>
      <c r="M3321" s="744"/>
      <c r="N3321" s="700"/>
      <c r="O3321" s="553" t="s">
        <v>279</v>
      </c>
      <c r="P3321" s="73" t="s">
        <v>88</v>
      </c>
      <c r="Q3321" s="555" t="s">
        <v>76</v>
      </c>
      <c r="R3321" s="734"/>
      <c r="S3321" s="735"/>
      <c r="T3321" s="736"/>
      <c r="U3321" s="712"/>
      <c r="W3321" s="429" t="s">
        <v>269</v>
      </c>
      <c r="X3321" s="457" t="s">
        <v>278</v>
      </c>
      <c r="Y3321" s="430" t="s">
        <v>324</v>
      </c>
      <c r="Z3321" s="428"/>
      <c r="AA3321" s="698"/>
      <c r="AB3321" s="696"/>
      <c r="AC3321" s="49"/>
      <c r="AD3321" s="429" t="s">
        <v>292</v>
      </c>
      <c r="AE3321" s="431" t="s">
        <v>300</v>
      </c>
      <c r="AF3321" s="468" t="s">
        <v>301</v>
      </c>
      <c r="AG3321" s="49"/>
      <c r="AH3321" s="87"/>
      <c r="AI3321" s="87"/>
    </row>
    <row r="3322" spans="1:35" hidden="1">
      <c r="A3322" s="44"/>
      <c r="B3322" s="76"/>
      <c r="C3322" s="77"/>
      <c r="D3322" s="77"/>
      <c r="E3322" s="77"/>
      <c r="F3322" s="77"/>
      <c r="G3322" s="77"/>
      <c r="H3322" s="77"/>
      <c r="I3322" s="77"/>
      <c r="J3322" s="77"/>
      <c r="K3322" s="77"/>
      <c r="L3322" s="77"/>
      <c r="M3322" s="77"/>
      <c r="N3322" s="77"/>
      <c r="O3322" s="77"/>
      <c r="P3322" s="77"/>
      <c r="Q3322" s="77"/>
      <c r="R3322" s="77"/>
      <c r="S3322" s="78"/>
      <c r="T3322" s="79"/>
      <c r="U3322" s="109"/>
      <c r="V3322" s="49"/>
      <c r="W3322" s="432"/>
      <c r="X3322" s="454"/>
      <c r="Y3322" s="433"/>
      <c r="Z3322" s="6"/>
      <c r="AA3322" s="500"/>
      <c r="AB3322" s="562"/>
      <c r="AC3322" s="49"/>
      <c r="AD3322" s="210"/>
      <c r="AE3322" s="434"/>
      <c r="AF3322" s="435"/>
      <c r="AG3322" s="49"/>
      <c r="AH3322" s="87"/>
      <c r="AI3322" s="87"/>
    </row>
    <row r="3323" spans="1:35" hidden="1">
      <c r="A3323" s="80" t="e">
        <f>"A"&amp;E3319</f>
        <v>#N/A</v>
      </c>
      <c r="B3323" s="81">
        <v>1</v>
      </c>
      <c r="C3323" s="82"/>
      <c r="D3323" s="82"/>
      <c r="E3323" s="82"/>
      <c r="F3323" s="82"/>
      <c r="G3323" s="83"/>
      <c r="H3323" s="83"/>
      <c r="I3323" s="84"/>
      <c r="J3323" s="85"/>
      <c r="K3323" s="382"/>
      <c r="L3323" s="85"/>
      <c r="M3323" s="332" t="str">
        <f t="shared" ref="M3323:M3332" si="979">IF(OR(J3323="",L3323="",H3323="NO"),"",IF(OR(J3323&gt;$P$17,J3323&lt;$O$17,L3323&gt;$P$17,AND(J3323&lt;$O$17,L3323&lt;$O$17)),"FUERA DE RANGO",IF(OR(K3323="---",K3323=""),IF(J3323&gt;=$O$17,ROUND((L3323-J3323+1)/360*12,3),ROUND((L3323-$O$17+1)/360*12,3)),IF(J3323&gt;=$O$17,ROUND((L3323-J3323+1)/360*12-ROUND(K3323,3),3),ROUND((L3323-$O$17+1)/360*12-ROUND(K3323,3),3)))))</f>
        <v/>
      </c>
      <c r="N3323" s="86"/>
      <c r="O3323" s="453" t="str">
        <f>IF(OR(G3323="",N3323=""),"",N3323*G3323)</f>
        <v/>
      </c>
      <c r="P3323" s="538" t="str">
        <f>IF(OR(H3323="",M3323="FUERA DE RANGO"),"",IF(OR(L3323&lt;$O$17,L3323&gt;$P$17,L3323="",H3323="NO"),"",IF(OR(N3323="",O3323=""),"",ROUND(O3323,3))))</f>
        <v/>
      </c>
      <c r="Q3323" s="539" t="str">
        <f t="shared" ref="Q3323:Q3332" si="980">IF(AND(H3323="SI",P3323&lt;&gt;""),ROUND(P3323/M3323,3),"")</f>
        <v/>
      </c>
      <c r="R3323" s="737"/>
      <c r="S3323" s="738"/>
      <c r="T3323" s="739"/>
      <c r="U3323" s="470"/>
      <c r="V3323" s="165"/>
      <c r="W3323" s="446"/>
      <c r="X3323" s="456"/>
      <c r="Y3323" s="436"/>
      <c r="Z3323" s="437"/>
      <c r="AA3323" s="560"/>
      <c r="AB3323" s="561"/>
      <c r="AC3323" s="87"/>
      <c r="AD3323" s="466"/>
      <c r="AE3323" s="456"/>
      <c r="AF3323" s="467"/>
      <c r="AG3323" s="87"/>
      <c r="AH3323" s="87"/>
      <c r="AI3323" s="87"/>
    </row>
    <row r="3324" spans="1:35" hidden="1">
      <c r="A3324" s="80" t="e">
        <f>"B"&amp;E3319</f>
        <v>#N/A</v>
      </c>
      <c r="B3324" s="81">
        <v>2</v>
      </c>
      <c r="C3324" s="106"/>
      <c r="D3324" s="106"/>
      <c r="E3324" s="106"/>
      <c r="F3324" s="106"/>
      <c r="G3324" s="83"/>
      <c r="H3324" s="83"/>
      <c r="I3324" s="84"/>
      <c r="J3324" s="85"/>
      <c r="K3324" s="382"/>
      <c r="L3324" s="85"/>
      <c r="M3324" s="332" t="str">
        <f t="shared" si="979"/>
        <v/>
      </c>
      <c r="N3324" s="86"/>
      <c r="O3324" s="453" t="str">
        <f t="shared" ref="O3324:O3332" si="981">IF(OR(G3324="",N3324=""),"",N3324*G3324)</f>
        <v/>
      </c>
      <c r="P3324" s="538" t="str">
        <f t="shared" ref="P3324:P3332" si="982">IF(OR(H3324="",M3324="FUERA DE RANGO"),"",IF(OR(L3324&lt;$O$17,L3324&gt;$P$17,L3324="",H3324="NO"),"",IF(OR(N3324="",O3324=""),"",ROUND(O3324,3))))</f>
        <v/>
      </c>
      <c r="Q3324" s="539" t="str">
        <f t="shared" si="980"/>
        <v/>
      </c>
      <c r="R3324" s="740"/>
      <c r="S3324" s="741"/>
      <c r="T3324" s="742"/>
      <c r="U3324" s="471"/>
      <c r="V3324" s="165"/>
      <c r="W3324" s="446"/>
      <c r="X3324" s="456"/>
      <c r="Y3324" s="436"/>
      <c r="Z3324" s="437"/>
      <c r="AA3324" s="560"/>
      <c r="AB3324" s="561"/>
      <c r="AC3324" s="87"/>
      <c r="AD3324" s="466"/>
      <c r="AE3324" s="456"/>
      <c r="AF3324" s="467"/>
      <c r="AG3324" s="87"/>
      <c r="AH3324" s="87"/>
      <c r="AI3324" s="87"/>
    </row>
    <row r="3325" spans="1:35" hidden="1">
      <c r="A3325" s="80" t="e">
        <f>"C"&amp;E3319</f>
        <v>#N/A</v>
      </c>
      <c r="B3325" s="88">
        <v>3</v>
      </c>
      <c r="C3325" s="82"/>
      <c r="D3325" s="82"/>
      <c r="E3325" s="82"/>
      <c r="F3325" s="82"/>
      <c r="G3325" s="83"/>
      <c r="H3325" s="83"/>
      <c r="I3325" s="84"/>
      <c r="J3325" s="85"/>
      <c r="K3325" s="382"/>
      <c r="L3325" s="85"/>
      <c r="M3325" s="332" t="str">
        <f t="shared" si="979"/>
        <v/>
      </c>
      <c r="N3325" s="86"/>
      <c r="O3325" s="453" t="str">
        <f t="shared" si="981"/>
        <v/>
      </c>
      <c r="P3325" s="538" t="str">
        <f t="shared" si="982"/>
        <v/>
      </c>
      <c r="Q3325" s="539" t="str">
        <f t="shared" si="980"/>
        <v/>
      </c>
      <c r="R3325" s="706"/>
      <c r="S3325" s="707"/>
      <c r="T3325" s="708"/>
      <c r="U3325" s="472"/>
      <c r="V3325" s="166"/>
      <c r="W3325" s="446"/>
      <c r="X3325" s="456"/>
      <c r="Y3325" s="436"/>
      <c r="Z3325" s="437"/>
      <c r="AA3325" s="560"/>
      <c r="AB3325" s="561"/>
      <c r="AC3325" s="87"/>
      <c r="AD3325" s="466"/>
      <c r="AE3325" s="456"/>
      <c r="AF3325" s="467"/>
      <c r="AG3325" s="87"/>
      <c r="AH3325" s="87"/>
      <c r="AI3325" s="87"/>
    </row>
    <row r="3326" spans="1:35" hidden="1">
      <c r="A3326" s="80" t="e">
        <f>"D"&amp;E3319</f>
        <v>#N/A</v>
      </c>
      <c r="B3326" s="105">
        <v>4</v>
      </c>
      <c r="C3326" s="107"/>
      <c r="D3326" s="107"/>
      <c r="E3326" s="107"/>
      <c r="F3326" s="107"/>
      <c r="G3326" s="83"/>
      <c r="H3326" s="83"/>
      <c r="I3326" s="84"/>
      <c r="J3326" s="85"/>
      <c r="K3326" s="382"/>
      <c r="L3326" s="85"/>
      <c r="M3326" s="332" t="str">
        <f t="shared" si="979"/>
        <v/>
      </c>
      <c r="N3326" s="86"/>
      <c r="O3326" s="453" t="str">
        <f t="shared" si="981"/>
        <v/>
      </c>
      <c r="P3326" s="538" t="str">
        <f t="shared" si="982"/>
        <v/>
      </c>
      <c r="Q3326" s="539" t="str">
        <f t="shared" si="980"/>
        <v/>
      </c>
      <c r="R3326" s="706"/>
      <c r="S3326" s="707"/>
      <c r="T3326" s="708"/>
      <c r="U3326" s="472"/>
      <c r="V3326" s="166"/>
      <c r="W3326" s="446"/>
      <c r="X3326" s="456"/>
      <c r="Y3326" s="436"/>
      <c r="Z3326" s="437"/>
      <c r="AA3326" s="560"/>
      <c r="AB3326" s="561"/>
      <c r="AC3326" s="87"/>
      <c r="AD3326" s="466"/>
      <c r="AE3326" s="456"/>
      <c r="AF3326" s="467"/>
      <c r="AG3326" s="87"/>
      <c r="AH3326" s="87"/>
      <c r="AI3326" s="87"/>
    </row>
    <row r="3327" spans="1:35" hidden="1">
      <c r="A3327" s="80" t="e">
        <f>"E"&amp;E3319</f>
        <v>#N/A</v>
      </c>
      <c r="B3327" s="105">
        <v>5</v>
      </c>
      <c r="C3327" s="107"/>
      <c r="D3327" s="107"/>
      <c r="E3327" s="107"/>
      <c r="F3327" s="107"/>
      <c r="G3327" s="83"/>
      <c r="H3327" s="83"/>
      <c r="I3327" s="84"/>
      <c r="J3327" s="85"/>
      <c r="K3327" s="382"/>
      <c r="L3327" s="85"/>
      <c r="M3327" s="332" t="str">
        <f t="shared" si="979"/>
        <v/>
      </c>
      <c r="N3327" s="86"/>
      <c r="O3327" s="453" t="str">
        <f t="shared" si="981"/>
        <v/>
      </c>
      <c r="P3327" s="538" t="str">
        <f t="shared" si="982"/>
        <v/>
      </c>
      <c r="Q3327" s="539" t="str">
        <f t="shared" si="980"/>
        <v/>
      </c>
      <c r="R3327" s="706"/>
      <c r="S3327" s="707"/>
      <c r="T3327" s="708"/>
      <c r="U3327" s="472"/>
      <c r="V3327" s="167"/>
      <c r="W3327" s="446"/>
      <c r="X3327" s="456"/>
      <c r="Y3327" s="436"/>
      <c r="Z3327" s="437"/>
      <c r="AA3327" s="560"/>
      <c r="AB3327" s="561"/>
      <c r="AC3327" s="87"/>
      <c r="AD3327" s="466"/>
      <c r="AE3327" s="456"/>
      <c r="AF3327" s="467"/>
      <c r="AG3327" s="87"/>
      <c r="AH3327" s="87"/>
      <c r="AI3327" s="87"/>
    </row>
    <row r="3328" spans="1:35" hidden="1">
      <c r="A3328" s="80" t="e">
        <f>"F"&amp;E3319</f>
        <v>#N/A</v>
      </c>
      <c r="B3328" s="105">
        <v>6</v>
      </c>
      <c r="C3328" s="107"/>
      <c r="D3328" s="107"/>
      <c r="E3328" s="107"/>
      <c r="F3328" s="107"/>
      <c r="G3328" s="83"/>
      <c r="H3328" s="83"/>
      <c r="I3328" s="84"/>
      <c r="J3328" s="85"/>
      <c r="K3328" s="382"/>
      <c r="L3328" s="85"/>
      <c r="M3328" s="332" t="str">
        <f t="shared" si="979"/>
        <v/>
      </c>
      <c r="N3328" s="86"/>
      <c r="O3328" s="453" t="str">
        <f t="shared" si="981"/>
        <v/>
      </c>
      <c r="P3328" s="538" t="str">
        <f t="shared" si="982"/>
        <v/>
      </c>
      <c r="Q3328" s="539" t="str">
        <f t="shared" si="980"/>
        <v/>
      </c>
      <c r="R3328" s="706"/>
      <c r="S3328" s="707"/>
      <c r="T3328" s="708"/>
      <c r="U3328" s="472"/>
      <c r="V3328" s="167"/>
      <c r="W3328" s="446"/>
      <c r="X3328" s="456"/>
      <c r="Y3328" s="436"/>
      <c r="Z3328" s="437"/>
      <c r="AA3328" s="560"/>
      <c r="AB3328" s="561"/>
      <c r="AC3328" s="87"/>
      <c r="AD3328" s="466"/>
      <c r="AE3328" s="456"/>
      <c r="AF3328" s="467"/>
      <c r="AG3328" s="87"/>
      <c r="AH3328" s="87"/>
      <c r="AI3328" s="87"/>
    </row>
    <row r="3329" spans="1:35" hidden="1">
      <c r="A3329" s="80" t="e">
        <f>"G"&amp;E3319</f>
        <v>#N/A</v>
      </c>
      <c r="B3329" s="105">
        <v>7</v>
      </c>
      <c r="C3329" s="107"/>
      <c r="D3329" s="107"/>
      <c r="E3329" s="107"/>
      <c r="F3329" s="107"/>
      <c r="G3329" s="83"/>
      <c r="H3329" s="83"/>
      <c r="I3329" s="84"/>
      <c r="J3329" s="85"/>
      <c r="K3329" s="382"/>
      <c r="L3329" s="85"/>
      <c r="M3329" s="332" t="str">
        <f t="shared" si="979"/>
        <v/>
      </c>
      <c r="N3329" s="86"/>
      <c r="O3329" s="86" t="str">
        <f t="shared" si="981"/>
        <v/>
      </c>
      <c r="P3329" s="538" t="str">
        <f t="shared" si="982"/>
        <v/>
      </c>
      <c r="Q3329" s="539" t="str">
        <f t="shared" si="980"/>
        <v/>
      </c>
      <c r="R3329" s="706"/>
      <c r="S3329" s="707"/>
      <c r="T3329" s="708"/>
      <c r="U3329" s="472"/>
      <c r="V3329" s="167"/>
      <c r="W3329" s="446"/>
      <c r="X3329" s="456"/>
      <c r="Y3329" s="436"/>
      <c r="Z3329" s="437"/>
      <c r="AA3329" s="560"/>
      <c r="AB3329" s="561"/>
      <c r="AC3329" s="87"/>
      <c r="AD3329" s="466"/>
      <c r="AE3329" s="456"/>
      <c r="AF3329" s="467"/>
      <c r="AG3329" s="87"/>
      <c r="AH3329" s="87"/>
      <c r="AI3329" s="87"/>
    </row>
    <row r="3330" spans="1:35" hidden="1">
      <c r="A3330" s="80" t="e">
        <f>"H"&amp;E3319</f>
        <v>#N/A</v>
      </c>
      <c r="B3330" s="105">
        <v>8</v>
      </c>
      <c r="C3330" s="107"/>
      <c r="D3330" s="107"/>
      <c r="E3330" s="107"/>
      <c r="F3330" s="107"/>
      <c r="G3330" s="83"/>
      <c r="H3330" s="83"/>
      <c r="I3330" s="84"/>
      <c r="J3330" s="85"/>
      <c r="K3330" s="382"/>
      <c r="L3330" s="85"/>
      <c r="M3330" s="332" t="str">
        <f t="shared" si="979"/>
        <v/>
      </c>
      <c r="N3330" s="453"/>
      <c r="O3330" s="86" t="str">
        <f t="shared" si="981"/>
        <v/>
      </c>
      <c r="P3330" s="538" t="str">
        <f t="shared" si="982"/>
        <v/>
      </c>
      <c r="Q3330" s="539" t="str">
        <f t="shared" si="980"/>
        <v/>
      </c>
      <c r="R3330" s="706"/>
      <c r="S3330" s="707"/>
      <c r="T3330" s="708"/>
      <c r="U3330" s="472"/>
      <c r="V3330" s="167"/>
      <c r="W3330" s="446"/>
      <c r="X3330" s="456"/>
      <c r="Y3330" s="436"/>
      <c r="Z3330" s="437"/>
      <c r="AA3330" s="560"/>
      <c r="AB3330" s="561"/>
      <c r="AC3330" s="87"/>
      <c r="AD3330" s="466"/>
      <c r="AE3330" s="456"/>
      <c r="AF3330" s="467"/>
      <c r="AG3330" s="87"/>
      <c r="AH3330" s="87"/>
      <c r="AI3330" s="87"/>
    </row>
    <row r="3331" spans="1:35" hidden="1">
      <c r="A3331" s="80" t="e">
        <f>"I"&amp;E3319</f>
        <v>#N/A</v>
      </c>
      <c r="B3331" s="105">
        <v>9</v>
      </c>
      <c r="C3331" s="107"/>
      <c r="D3331" s="107"/>
      <c r="E3331" s="107"/>
      <c r="F3331" s="107"/>
      <c r="G3331" s="83"/>
      <c r="H3331" s="83"/>
      <c r="I3331" s="84"/>
      <c r="J3331" s="85"/>
      <c r="K3331" s="382"/>
      <c r="L3331" s="85"/>
      <c r="M3331" s="332" t="str">
        <f t="shared" si="979"/>
        <v/>
      </c>
      <c r="N3331" s="453"/>
      <c r="O3331" s="86" t="str">
        <f t="shared" si="981"/>
        <v/>
      </c>
      <c r="P3331" s="538" t="str">
        <f t="shared" si="982"/>
        <v/>
      </c>
      <c r="Q3331" s="539" t="str">
        <f t="shared" si="980"/>
        <v/>
      </c>
      <c r="R3331" s="706"/>
      <c r="S3331" s="707"/>
      <c r="T3331" s="708"/>
      <c r="U3331" s="472"/>
      <c r="V3331" s="167"/>
      <c r="W3331" s="446"/>
      <c r="X3331" s="456"/>
      <c r="Y3331" s="436"/>
      <c r="Z3331" s="437"/>
      <c r="AA3331" s="560"/>
      <c r="AB3331" s="561"/>
      <c r="AC3331" s="87"/>
      <c r="AD3331" s="466"/>
      <c r="AE3331" s="456"/>
      <c r="AF3331" s="467"/>
      <c r="AG3331" s="87"/>
      <c r="AH3331" s="87"/>
      <c r="AI3331" s="87"/>
    </row>
    <row r="3332" spans="1:35" hidden="1">
      <c r="A3332" s="80" t="e">
        <f>"J"&amp;E3319</f>
        <v>#N/A</v>
      </c>
      <c r="B3332" s="105">
        <v>10</v>
      </c>
      <c r="C3332" s="107"/>
      <c r="D3332" s="107"/>
      <c r="E3332" s="107"/>
      <c r="F3332" s="107"/>
      <c r="G3332" s="83"/>
      <c r="H3332" s="83"/>
      <c r="I3332" s="84"/>
      <c r="J3332" s="85"/>
      <c r="K3332" s="382"/>
      <c r="L3332" s="85"/>
      <c r="M3332" s="332" t="str">
        <f t="shared" si="979"/>
        <v/>
      </c>
      <c r="N3332" s="453"/>
      <c r="O3332" s="86" t="str">
        <f t="shared" si="981"/>
        <v/>
      </c>
      <c r="P3332" s="538" t="str">
        <f t="shared" si="982"/>
        <v/>
      </c>
      <c r="Q3332" s="539" t="str">
        <f t="shared" si="980"/>
        <v/>
      </c>
      <c r="R3332" s="706"/>
      <c r="S3332" s="707"/>
      <c r="T3332" s="708"/>
      <c r="U3332" s="472"/>
      <c r="V3332" s="167"/>
      <c r="W3332" s="446"/>
      <c r="X3332" s="456"/>
      <c r="Y3332" s="436"/>
      <c r="Z3332" s="437"/>
      <c r="AA3332" s="560"/>
      <c r="AB3332" s="561"/>
      <c r="AC3332" s="87"/>
      <c r="AD3332" s="466"/>
      <c r="AE3332" s="456"/>
      <c r="AF3332" s="467"/>
      <c r="AG3332" s="87"/>
      <c r="AH3332" s="87"/>
      <c r="AI3332" s="87"/>
    </row>
    <row r="3333" spans="1:35" ht="16.5" hidden="1" thickBot="1">
      <c r="A3333" s="44"/>
      <c r="B3333" s="89"/>
      <c r="C3333" s="90"/>
      <c r="D3333" s="90"/>
      <c r="E3333" s="90"/>
      <c r="F3333" s="90"/>
      <c r="G3333" s="90"/>
      <c r="H3333" s="90"/>
      <c r="I3333" s="90"/>
      <c r="J3333" s="90"/>
      <c r="K3333" s="90"/>
      <c r="L3333" s="90"/>
      <c r="M3333" s="90"/>
      <c r="N3333" s="90"/>
      <c r="O3333" s="90"/>
      <c r="P3333" s="90"/>
      <c r="Q3333" s="90"/>
      <c r="R3333" s="90"/>
      <c r="S3333" s="91"/>
      <c r="T3333" s="92"/>
      <c r="U3333" s="473"/>
      <c r="W3333" s="438"/>
      <c r="X3333" s="455"/>
      <c r="Y3333" s="439"/>
      <c r="Z3333" s="437"/>
      <c r="AA3333" s="530"/>
      <c r="AB3333" s="563"/>
      <c r="AC3333" s="87"/>
      <c r="AD3333" s="440"/>
      <c r="AE3333" s="441"/>
      <c r="AF3333" s="442"/>
      <c r="AG3333" s="49"/>
      <c r="AH3333" s="87"/>
      <c r="AI3333" s="87"/>
    </row>
    <row r="3334" spans="1:35" ht="16.5" hidden="1" thickBot="1">
      <c r="A3334" s="93"/>
      <c r="B3334" s="94"/>
      <c r="C3334" s="96"/>
      <c r="D3334" s="96"/>
      <c r="E3334" s="96"/>
      <c r="F3334" s="96"/>
      <c r="G3334" s="96"/>
      <c r="H3334" s="96"/>
      <c r="I3334" s="96"/>
      <c r="J3334" s="96"/>
      <c r="K3334" s="96"/>
      <c r="L3334" s="96"/>
      <c r="M3334" s="136"/>
      <c r="N3334" s="96"/>
      <c r="O3334" s="96"/>
      <c r="P3334" s="97"/>
      <c r="Q3334" s="97"/>
      <c r="R3334" s="98"/>
      <c r="S3334" s="95"/>
      <c r="T3334" s="99"/>
      <c r="U3334" s="469"/>
      <c r="AC3334" s="58"/>
      <c r="AG3334" s="58"/>
      <c r="AH3334" s="87"/>
      <c r="AI3334" s="87"/>
    </row>
    <row r="3335" spans="1:35" ht="16.5" hidden="1" thickBot="1">
      <c r="B3335" s="101"/>
      <c r="C3335" s="101"/>
      <c r="D3335" s="101"/>
      <c r="E3335" s="101"/>
      <c r="F3335" s="101"/>
      <c r="G3335" s="101"/>
      <c r="H3335" s="101"/>
      <c r="I3335" s="101"/>
      <c r="J3335" s="101"/>
      <c r="K3335" s="101"/>
      <c r="L3335" s="101"/>
      <c r="M3335" s="101"/>
      <c r="N3335" s="101"/>
      <c r="O3335" s="101"/>
      <c r="P3335" s="101"/>
      <c r="Q3335" s="101"/>
      <c r="R3335" s="101"/>
      <c r="S3335" s="101"/>
      <c r="U3335" s="50"/>
      <c r="AH3335" s="87"/>
      <c r="AI3335" s="87"/>
    </row>
    <row r="3336" spans="1:35" ht="16.5" hidden="1" customHeight="1" thickBot="1">
      <c r="A3336" s="44"/>
      <c r="B3336" s="705" t="s">
        <v>74</v>
      </c>
      <c r="C3336" s="705"/>
      <c r="D3336" s="705"/>
      <c r="E3336" s="705"/>
      <c r="F3336" s="705"/>
      <c r="G3336" s="705"/>
      <c r="H3336" s="705"/>
      <c r="I3336" s="705"/>
      <c r="J3336" s="705"/>
      <c r="K3336" s="705"/>
      <c r="L3336" s="705"/>
      <c r="M3336" s="705"/>
      <c r="N3336" s="705"/>
      <c r="O3336" s="705"/>
      <c r="P3336" s="705"/>
      <c r="Q3336" s="705"/>
      <c r="R3336" s="705"/>
      <c r="S3336" s="705"/>
      <c r="T3336" s="705"/>
      <c r="U3336" s="108"/>
      <c r="Y3336" s="532" t="s">
        <v>341</v>
      </c>
      <c r="AC3336" s="49"/>
      <c r="AD3336" s="687" t="s">
        <v>302</v>
      </c>
      <c r="AE3336" s="688"/>
      <c r="AF3336" s="689"/>
      <c r="AG3336" s="49"/>
      <c r="AH3336" s="87"/>
      <c r="AI3336" s="87"/>
    </row>
    <row r="3337" spans="1:35" ht="16.5" hidden="1" customHeight="1" thickBot="1">
      <c r="A3337" s="218" t="e">
        <f>"K"&amp;E3319</f>
        <v>#N/A</v>
      </c>
      <c r="B3337" s="701" t="s">
        <v>71</v>
      </c>
      <c r="C3337" s="751" t="s">
        <v>102</v>
      </c>
      <c r="D3337" s="751"/>
      <c r="E3337" s="751"/>
      <c r="F3337" s="751"/>
      <c r="G3337" s="751"/>
      <c r="H3337" s="751"/>
      <c r="I3337" s="751"/>
      <c r="J3337" s="751"/>
      <c r="K3337" s="751"/>
      <c r="L3337" s="722" t="s">
        <v>100</v>
      </c>
      <c r="M3337" s="747" t="s">
        <v>114</v>
      </c>
      <c r="N3337" s="747"/>
      <c r="O3337" s="747"/>
      <c r="P3337" s="747"/>
      <c r="Q3337" s="748"/>
      <c r="R3337" s="758" t="s">
        <v>280</v>
      </c>
      <c r="S3337" s="748"/>
      <c r="T3337" s="762" t="str">
        <f>IF(COUNTIF(AE3337:AF3337,"VERIFICAR")&gt;0,"VERIFICAR",IF(COUNTIF(AE3337:AF3337,"NO CUMPLE")&gt;0,"NO CUMPLE","CUMPLE"))</f>
        <v>VERIFICAR</v>
      </c>
      <c r="U3337" s="108"/>
      <c r="Y3337" s="533" t="e">
        <f>IF(F3338="","",IF(F3338=1,"INDIVIDUAL","ESTRUCTURA PLURAL"))</f>
        <v>#N/A</v>
      </c>
      <c r="AC3337" s="52"/>
      <c r="AD3337" s="475" t="s">
        <v>303</v>
      </c>
      <c r="AE3337" s="476" t="str">
        <f>IF(COUNTIF(AE3323:AE3332,"")=10,"VERIFICAR",IF(COUNTIF(AE3323:AE3332,"SI")&gt;0,"CUMPLE","NO CUMPLE"))</f>
        <v>VERIFICAR</v>
      </c>
      <c r="AF3337" s="477" t="str">
        <f>IF(COUNTIF(AF3323:AF3332,"")=10,"VERIFICAR",IF(COUNTIF(AF3323:AF3332,"SI")&gt;=$AI$22,"CUMPLE","NO CUMPLE"))</f>
        <v>VERIFICAR</v>
      </c>
      <c r="AG3337" s="52"/>
      <c r="AH3337" s="87"/>
      <c r="AI3337" s="87"/>
    </row>
    <row r="3338" spans="1:35" ht="15.75" hidden="1" customHeight="1" thickBot="1">
      <c r="A3338" s="218" t="e">
        <f>"L"&amp;E3319</f>
        <v>#N/A</v>
      </c>
      <c r="B3338" s="702"/>
      <c r="C3338" s="751" t="s">
        <v>103</v>
      </c>
      <c r="D3338" s="751"/>
      <c r="E3338" s="752"/>
      <c r="F3338" s="557" t="e">
        <f>IF(VLOOKUP(E3319,PROPONENTES!$C$19:$E$218,3,0)="","",VLOOKUP(E3319,PROPONENTES!$C$19:$E$218,3,0))</f>
        <v>#N/A</v>
      </c>
      <c r="G3338" s="753" t="s">
        <v>104</v>
      </c>
      <c r="H3338" s="751"/>
      <c r="I3338" s="715" t="e">
        <f>IF(OR(F3338="",F3338=1),"INTERESADO PERSONA NATURAL O JURIDICA","CONSORCIO O UNION TEMPORAL")</f>
        <v>#N/A</v>
      </c>
      <c r="J3338" s="725"/>
      <c r="K3338" s="728"/>
      <c r="L3338" s="723"/>
      <c r="M3338" s="749"/>
      <c r="N3338" s="749"/>
      <c r="O3338" s="749"/>
      <c r="P3338" s="749"/>
      <c r="Q3338" s="750"/>
      <c r="R3338" s="712"/>
      <c r="S3338" s="750"/>
      <c r="T3338" s="763"/>
      <c r="U3338" s="108"/>
      <c r="Y3338" s="534"/>
      <c r="AA3338" s="52"/>
      <c r="AB3338" s="52"/>
      <c r="AC3338" s="52"/>
      <c r="AG3338" s="52"/>
      <c r="AH3338" s="87"/>
      <c r="AI3338" s="87"/>
    </row>
    <row r="3339" spans="1:35" ht="56.25" hidden="1" customHeight="1" thickBot="1">
      <c r="A3339" s="218" t="e">
        <f>"M"&amp;E3319</f>
        <v>#N/A</v>
      </c>
      <c r="B3339" s="702"/>
      <c r="C3339" s="725" t="s">
        <v>101</v>
      </c>
      <c r="D3339" s="716"/>
      <c r="E3339" s="558" t="s">
        <v>105</v>
      </c>
      <c r="F3339" s="554" t="s">
        <v>87</v>
      </c>
      <c r="G3339" s="553" t="s">
        <v>86</v>
      </c>
      <c r="H3339" s="559" t="s">
        <v>85</v>
      </c>
      <c r="I3339" s="554" t="s">
        <v>252</v>
      </c>
      <c r="J3339" s="553" t="str">
        <f>"¿EL INTEGRANTE TIENE UNA PARTICIPACIÓN DEL "&amp;PORCREQUERIDOINT*100&amp;"%?"</f>
        <v>¿EL INTEGRANTE TIENE UNA PARTICIPACIÓN DEL 60%?</v>
      </c>
      <c r="K3339" s="554" t="s">
        <v>107</v>
      </c>
      <c r="L3339" s="724"/>
      <c r="M3339" s="717" t="s">
        <v>115</v>
      </c>
      <c r="N3339" s="718"/>
      <c r="O3339" s="718"/>
      <c r="P3339" s="718"/>
      <c r="Q3339" s="223">
        <f>IF(AND(H3323="SI",P3323&gt;=0),1,0)+IF(AND(H3324="SI",P3324&gt;=0),1,0)+IF(AND(H3325="SI",P3325&gt;=0),1,0)+IF(AND(H3326="SI",P3326&gt;=0),1,0)+IF(AND(H3327="SI",P3327&gt;=0),1,0)+IF(AND(H3328="SI",P3328&gt;=0),1,0)+IF(AND(H3329="SI",P3329&gt;=0),1,0)+IF(AND(H3330="SI",P3330&gt;=0),1,0)+IF(AND(H3331="SI",P3331&gt;=0),1,0)+IF(AND(H3332="SI",P3332&gt;=0),1,0)</f>
        <v>0</v>
      </c>
      <c r="R3339" s="759"/>
      <c r="S3339" s="761"/>
      <c r="T3339" s="764"/>
      <c r="U3339" s="219"/>
      <c r="V3339" s="464"/>
      <c r="Y3339" s="532" t="s">
        <v>342</v>
      </c>
      <c r="AA3339" s="550" t="s">
        <v>344</v>
      </c>
      <c r="AB3339" s="693" t="s">
        <v>345</v>
      </c>
      <c r="AC3339" s="693" t="s">
        <v>346</v>
      </c>
      <c r="AD3339" s="685" t="s">
        <v>347</v>
      </c>
      <c r="AE3339" s="52"/>
      <c r="AF3339" s="52"/>
      <c r="AG3339" s="52"/>
      <c r="AH3339" s="87"/>
      <c r="AI3339" s="87"/>
    </row>
    <row r="3340" spans="1:35" ht="15.75" hidden="1" customHeight="1" thickBot="1">
      <c r="A3340" s="218" t="e">
        <f>"N"&amp;E3319</f>
        <v>#N/A</v>
      </c>
      <c r="B3340" s="702"/>
      <c r="C3340" s="114">
        <v>1</v>
      </c>
      <c r="D3340" s="194" t="e">
        <f>IF(AND(C3340&lt;=F3338,F3338&gt;1,F3338&lt;&gt;""),VLOOKUP(VALUE(E3319&amp;","&amp;C3340),INTEGRANTES!$D$18:$F$235,2,0),"")</f>
        <v>#N/A</v>
      </c>
      <c r="E3340" s="211" t="e">
        <f>IF(D3340&lt;&gt;"",VLOOKUP(VALUE(E3319&amp;","&amp;C3340),INTEGRANTES!$D$18:$F$235,3,0),"")</f>
        <v>#N/A</v>
      </c>
      <c r="F3340" s="547" t="e">
        <f>IF(D3340="","",SUMIF($I3323:$I3332,D3340,$P3323:$P3332))</f>
        <v>#N/A</v>
      </c>
      <c r="G3340" s="333" t="e">
        <f>IF(D3340="","",SUMIF($I3323:$I3332,D3340,$M3323:$M3332))</f>
        <v>#N/A</v>
      </c>
      <c r="H3340" s="535" t="e">
        <f t="shared" ref="H3340:H3345" si="983">IF(D3340="","",IF(OR(F3340=0,G3340=0),"NO APORTA",ROUND($F3340/$G3340,3)))</f>
        <v>#N/A</v>
      </c>
      <c r="I3340" s="212" t="e">
        <f>IF(D3340="","",IF(H3340="NO APORTA","NO",IF(H3340=MAX($H3340:$H3345),"SI","NO")))</f>
        <v>#N/A</v>
      </c>
      <c r="J3340" s="213" t="e">
        <f t="shared" ref="J3340:J3345" si="984">IF(D3340="","",IF(E3340&gt;=PORCREQUERIDOINT,"SI","NO"))</f>
        <v>#N/A</v>
      </c>
      <c r="K3340" s="200" t="e">
        <f t="shared" ref="K3340:K3345" si="985">IF(D3340="","",IF(AND(I3340="SI",J3340="SI"),"CUMPLE",IF(AND(I3340="NO",OR(J3340="SI",J3340="NO")),"","NO CUMPLE")))</f>
        <v>#N/A</v>
      </c>
      <c r="L3340" s="722" t="s">
        <v>108</v>
      </c>
      <c r="M3340" s="726" t="s">
        <v>119</v>
      </c>
      <c r="N3340" s="726"/>
      <c r="O3340" s="726"/>
      <c r="P3340" s="726"/>
      <c r="Q3340" s="727"/>
      <c r="R3340" s="758" t="s">
        <v>80</v>
      </c>
      <c r="S3340" s="747"/>
      <c r="T3340" s="748"/>
      <c r="U3340" s="219"/>
      <c r="V3340" s="464"/>
      <c r="Y3340" s="533" t="e">
        <f>IF(Y3337="","",IF(Y3337="INDIVIDUAL","NO APLICA","VERIFICAR CUADRO"))</f>
        <v>#N/A</v>
      </c>
      <c r="AA3340" s="551"/>
      <c r="AB3340" s="694"/>
      <c r="AC3340" s="694"/>
      <c r="AD3340" s="686"/>
      <c r="AE3340" s="52"/>
      <c r="AF3340" s="52"/>
      <c r="AG3340" s="52"/>
      <c r="AH3340" s="87"/>
      <c r="AI3340" s="87"/>
    </row>
    <row r="3341" spans="1:35" ht="27" hidden="1" customHeight="1" thickBot="1">
      <c r="A3341" s="218" t="e">
        <f>"O"&amp;E3319</f>
        <v>#N/A</v>
      </c>
      <c r="B3341" s="702"/>
      <c r="C3341" s="114">
        <v>2</v>
      </c>
      <c r="D3341" s="194" t="e">
        <f>IF(AND(C3341&lt;=F3338,F3338&lt;&gt;""),VLOOKUP(VALUE(E3319&amp;","&amp;C3341),INTEGRANTES!$D$18:$F$235,2,0),"")</f>
        <v>#N/A</v>
      </c>
      <c r="E3341" s="211" t="e">
        <f>IF(D3341&lt;&gt;"",VLOOKUP(VALUE(E3319&amp;","&amp;C3341),INTEGRANTES!$D$18:$F$235,3,0),"")</f>
        <v>#N/A</v>
      </c>
      <c r="F3341" s="547" t="e">
        <f>IF(D3341="","",SUMIF($I3323:$I3332,D3341,$P3323:$P3332))</f>
        <v>#N/A</v>
      </c>
      <c r="G3341" s="333" t="e">
        <f>IF(D3341="","",SUMIF($I3323:$I3332,D3341,$M3323:$M3332))</f>
        <v>#N/A</v>
      </c>
      <c r="H3341" s="535" t="e">
        <f t="shared" si="983"/>
        <v>#N/A</v>
      </c>
      <c r="I3341" s="212" t="e">
        <f>IF(D3341="","",IF(H3341="NO APORTA","NO",IF(H3341=MAX($H3340:$H3345),"SI","NO")))</f>
        <v>#N/A</v>
      </c>
      <c r="J3341" s="213" t="e">
        <f t="shared" si="984"/>
        <v>#N/A</v>
      </c>
      <c r="K3341" s="200" t="e">
        <f t="shared" si="985"/>
        <v>#N/A</v>
      </c>
      <c r="L3341" s="723"/>
      <c r="M3341" s="715" t="s">
        <v>116</v>
      </c>
      <c r="N3341" s="716"/>
      <c r="O3341" s="556" t="s">
        <v>113</v>
      </c>
      <c r="P3341" s="715" t="s">
        <v>117</v>
      </c>
      <c r="Q3341" s="728"/>
      <c r="R3341" s="759"/>
      <c r="S3341" s="760"/>
      <c r="T3341" s="761"/>
      <c r="U3341" s="219"/>
      <c r="V3341" s="464"/>
      <c r="Y3341" s="414"/>
      <c r="AA3341" s="542" t="e">
        <f>IF(AND(C3340&lt;=F3338,F3338&gt;1,F3338&lt;&gt;""),VLOOKUP(VALUE(E3319&amp;","&amp;C3340),INTEGRANTES!$D$18:$F$235,2,0),"")</f>
        <v>#N/A</v>
      </c>
      <c r="AB3341" s="544" t="e">
        <f t="shared" ref="AB3341:AB3346" si="986">IF(D3340="","",IF(OR(F3340=0,G3340=0),"NO APORTA",ROUND($F3340/$G3340,3)))</f>
        <v>#N/A</v>
      </c>
      <c r="AC3341" s="529"/>
      <c r="AD3341" s="200" t="e">
        <f t="shared" ref="AD3341:AD3346" si="987">IF(OR(AA3341="",AB3341=""),"",IF(AND(AC3341="X",AB3341&gt;=EXPREQVTD),"CUMPLE","NO CUMPLE"))</f>
        <v>#N/A</v>
      </c>
      <c r="AE3341" s="52"/>
      <c r="AF3341" s="52"/>
      <c r="AG3341" s="52"/>
      <c r="AH3341" s="87"/>
      <c r="AI3341" s="87"/>
    </row>
    <row r="3342" spans="1:35" ht="16.5" hidden="1" thickBot="1">
      <c r="A3342" s="218" t="e">
        <f>"P"&amp;E3319</f>
        <v>#N/A</v>
      </c>
      <c r="B3342" s="702"/>
      <c r="C3342" s="114">
        <v>3</v>
      </c>
      <c r="D3342" s="194" t="e">
        <f>IF(AND(C3342&lt;=F3338,F3338&lt;&gt;""),VLOOKUP(VALUE(E3319&amp;","&amp;C3342),INTEGRANTES!$D$18:$F$235,2,0),"")</f>
        <v>#N/A</v>
      </c>
      <c r="E3342" s="211" t="e">
        <f>IF(D3342&lt;&gt;"",VLOOKUP(VALUE(E3319&amp;","&amp;C3342),INTEGRANTES!$D$18:$F$235,3,0),"")</f>
        <v>#N/A</v>
      </c>
      <c r="F3342" s="547" t="e">
        <f>IF(D3342="","",SUMIF($I3323:$I3332,D3342,$P3323:$P3332))</f>
        <v>#N/A</v>
      </c>
      <c r="G3342" s="333" t="e">
        <f>IF(D3342="","",SUMIF($I3323:$I3332,D3342,$M3323:$M3332))</f>
        <v>#N/A</v>
      </c>
      <c r="H3342" s="535" t="e">
        <f t="shared" si="983"/>
        <v>#N/A</v>
      </c>
      <c r="I3342" s="212" t="e">
        <f>IF(D3342="","",IF(H3342="NO APORTA","NO",IF(H3342=MAX($H3340:$H3345),"SI","NO")))</f>
        <v>#N/A</v>
      </c>
      <c r="J3342" s="213" t="e">
        <f t="shared" si="984"/>
        <v>#N/A</v>
      </c>
      <c r="K3342" s="200" t="e">
        <f t="shared" si="985"/>
        <v>#N/A</v>
      </c>
      <c r="L3342" s="724"/>
      <c r="M3342" s="729">
        <f>NUMMOD</f>
        <v>1</v>
      </c>
      <c r="N3342" s="730"/>
      <c r="O3342" s="443">
        <f>IF(M3342="","",VLOOKUP(M3342,PRESUPUESTOS!$B$16:$H$16,5,FALSE))</f>
        <v>2</v>
      </c>
      <c r="P3342" s="713">
        <f>IF(OR(COUNTIF(M3323:M3332,"")&gt;=10,Q3339&lt;NUMMINCONT,OR(T3337="NO CUMPLE",T3337="VERIFICAR")),0,ROUND(AVERAGE(M3323:M3332),3))</f>
        <v>0</v>
      </c>
      <c r="Q3342" s="714"/>
      <c r="R3342" s="458"/>
      <c r="S3342" s="459"/>
      <c r="T3342" s="460"/>
      <c r="U3342" s="219"/>
      <c r="V3342" s="464"/>
      <c r="Y3342" s="532" t="str">
        <f>"40% * ("&amp;PRESUPUESTOS!$H$13&amp;")"</f>
        <v>40% * (50% PFMO)</v>
      </c>
      <c r="AA3342" s="540" t="e">
        <f>IF(AND(C3341&lt;=F3338,F3338&lt;&gt;""),VLOOKUP(VALUE(E3319&amp;","&amp;C3341),INTEGRANTES!$D$18:$F$235,2,0),"")</f>
        <v>#N/A</v>
      </c>
      <c r="AB3342" s="545" t="e">
        <f t="shared" si="986"/>
        <v>#N/A</v>
      </c>
      <c r="AC3342" s="529"/>
      <c r="AD3342" s="200" t="e">
        <f t="shared" si="987"/>
        <v>#N/A</v>
      </c>
      <c r="AE3342" s="52"/>
      <c r="AF3342" s="52"/>
      <c r="AG3342" s="52"/>
      <c r="AH3342" s="87"/>
      <c r="AI3342" s="87"/>
    </row>
    <row r="3343" spans="1:35" ht="15.75" hidden="1" customHeight="1" thickBot="1">
      <c r="A3343" s="218" t="e">
        <f>"Q"&amp;E3319</f>
        <v>#N/A</v>
      </c>
      <c r="B3343" s="702"/>
      <c r="C3343" s="114">
        <v>4</v>
      </c>
      <c r="D3343" s="194" t="e">
        <f>IF(AND(C3343&lt;=F3338,F3338&lt;&gt;""),VLOOKUP(VALUE(E3319&amp;","&amp;C3343),INTEGRANTES!$D$18:$F$235,2,0),"")</f>
        <v>#N/A</v>
      </c>
      <c r="E3343" s="211" t="e">
        <f>IF(D3343&lt;&gt;"",VLOOKUP(VALUE(E3319&amp;","&amp;C3343),INTEGRANTES!$D$18:$F$235,3,0),"")</f>
        <v>#N/A</v>
      </c>
      <c r="F3343" s="547" t="e">
        <f>IF(D3343="","",SUMIF($I3323:$I3332,D3343,$P3323:$P3332))</f>
        <v>#N/A</v>
      </c>
      <c r="G3343" s="333" t="e">
        <f>IF(D3343="","",SUMIF($I3323:$I3332,D3343,$M3323:$M3332))</f>
        <v>#N/A</v>
      </c>
      <c r="H3343" s="535" t="e">
        <f t="shared" si="983"/>
        <v>#N/A</v>
      </c>
      <c r="I3343" s="212" t="e">
        <f>IF(D3343="","",IF(H3343="NO APORTA","NO",IF(H3343=MAX($H3340:$H3345),"SI","NO")))</f>
        <v>#N/A</v>
      </c>
      <c r="J3343" s="213" t="e">
        <f t="shared" si="984"/>
        <v>#N/A</v>
      </c>
      <c r="K3343" s="200" t="e">
        <f t="shared" si="985"/>
        <v>#N/A</v>
      </c>
      <c r="L3343" s="720" t="s">
        <v>109</v>
      </c>
      <c r="M3343" s="757" t="s">
        <v>120</v>
      </c>
      <c r="N3343" s="726"/>
      <c r="O3343" s="726"/>
      <c r="P3343" s="726"/>
      <c r="Q3343" s="727"/>
      <c r="R3343" s="458"/>
      <c r="S3343" s="459"/>
      <c r="T3343" s="460"/>
      <c r="U3343" s="219"/>
      <c r="V3343" s="464"/>
      <c r="Y3343" s="537">
        <f>0.4*PRESUPUESTOS!$H$16</f>
        <v>10.3124</v>
      </c>
      <c r="AA3343" s="540" t="e">
        <f>IF(AND(C3342&lt;=F3338,F3338&lt;&gt;""),VLOOKUP(VALUE(E3319&amp;","&amp;C3342),INTEGRANTES!$D$18:$F$235,2,0),"")</f>
        <v>#N/A</v>
      </c>
      <c r="AB3343" s="545" t="e">
        <f t="shared" si="986"/>
        <v>#N/A</v>
      </c>
      <c r="AC3343" s="529"/>
      <c r="AD3343" s="200" t="e">
        <f t="shared" si="987"/>
        <v>#N/A</v>
      </c>
      <c r="AE3343" s="52"/>
      <c r="AF3343" s="52"/>
      <c r="AG3343" s="52"/>
      <c r="AH3343" s="87"/>
      <c r="AI3343" s="87"/>
    </row>
    <row r="3344" spans="1:35" ht="27" hidden="1" customHeight="1" thickBot="1">
      <c r="A3344" s="218" t="e">
        <f>"R"&amp;E3319</f>
        <v>#N/A</v>
      </c>
      <c r="B3344" s="702"/>
      <c r="C3344" s="114">
        <v>5</v>
      </c>
      <c r="D3344" s="194" t="e">
        <f>IF(AND(C3344&lt;=F3338,F3338&lt;&gt;""),VLOOKUP(VALUE(E3319&amp;","&amp;C3344),INTEGRANTES!$D$18:$F$235,2,0),"")</f>
        <v>#N/A</v>
      </c>
      <c r="E3344" s="211" t="e">
        <f>IF(D3344&lt;&gt;"",VLOOKUP(VALUE(E3319&amp;","&amp;C3344),INTEGRANTES!$D$18:$F$235,3,0),"")</f>
        <v>#N/A</v>
      </c>
      <c r="F3344" s="547" t="e">
        <f>IF(D3344="","",SUMIF($I3323:$I3332,D3344,$P3323:$P3332))</f>
        <v>#N/A</v>
      </c>
      <c r="G3344" s="333" t="e">
        <f>IF(D3344="","",SUMIF($I3323:$I3332,D3344,$M3323:$M3332))</f>
        <v>#N/A</v>
      </c>
      <c r="H3344" s="535" t="e">
        <f t="shared" si="983"/>
        <v>#N/A</v>
      </c>
      <c r="I3344" s="212" t="e">
        <f>IF(D3344="","",IF(H3344="NO APORTA","NO",IF(H3344=MAX($H3340:$H3345),"SI","NO")))</f>
        <v>#N/A</v>
      </c>
      <c r="J3344" s="213" t="e">
        <f t="shared" si="984"/>
        <v>#N/A</v>
      </c>
      <c r="K3344" s="200" t="e">
        <f t="shared" si="985"/>
        <v>#N/A</v>
      </c>
      <c r="L3344" s="721"/>
      <c r="M3344" s="715" t="s">
        <v>116</v>
      </c>
      <c r="N3344" s="716"/>
      <c r="O3344" s="556" t="str">
        <f>PORCREQUERIDO*100&amp;"% PMFO DEL MÓDULO"</f>
        <v>50% PMFO DEL MÓDULO</v>
      </c>
      <c r="P3344" s="715" t="s">
        <v>118</v>
      </c>
      <c r="Q3344" s="728"/>
      <c r="R3344" s="458"/>
      <c r="S3344" s="459"/>
      <c r="T3344" s="460"/>
      <c r="U3344" s="219"/>
      <c r="V3344" s="464"/>
      <c r="Y3344" s="414"/>
      <c r="AA3344" s="540" t="e">
        <f>IF(AND(C3343&lt;=F3338,F3338&lt;&gt;""),VLOOKUP(VALUE(E3319&amp;","&amp;C3343),INTEGRANTES!$D$18:$F$235,2,0),"")</f>
        <v>#N/A</v>
      </c>
      <c r="AB3344" s="545" t="e">
        <f t="shared" si="986"/>
        <v>#N/A</v>
      </c>
      <c r="AC3344" s="529"/>
      <c r="AD3344" s="200" t="e">
        <f t="shared" si="987"/>
        <v>#N/A</v>
      </c>
      <c r="AE3344" s="52"/>
      <c r="AF3344" s="52"/>
      <c r="AG3344" s="52"/>
      <c r="AH3344" s="87"/>
      <c r="AI3344" s="87"/>
    </row>
    <row r="3345" spans="1:35" ht="16.5" hidden="1" thickBot="1">
      <c r="A3345" s="218" t="e">
        <f>"S"&amp;E3319</f>
        <v>#N/A</v>
      </c>
      <c r="B3345" s="702"/>
      <c r="C3345" s="215">
        <v>6</v>
      </c>
      <c r="D3345" s="216" t="e">
        <f>IF(AND(C3345&lt;=F3338,F3338&lt;&gt;""),VLOOKUP(VALUE(E3319&amp;","&amp;C3345),INTEGRANTES!$D$18:$F$235,2,0),"")</f>
        <v>#N/A</v>
      </c>
      <c r="E3345" s="217" t="e">
        <f>IF(D3345&lt;&gt;"",VLOOKUP(VALUE(E3319&amp;","&amp;C3345),INTEGRANTES!$D$18:$F$235,3,0),"")</f>
        <v>#N/A</v>
      </c>
      <c r="F3345" s="548" t="e">
        <f>IF(D3345="","",SUMIF($I3323:$I3332,D3345,$P3323:$P3332))</f>
        <v>#N/A</v>
      </c>
      <c r="G3345" s="334" t="e">
        <f>IF(D3345="","",SUMIF($I3323:$I3332,D3345,$M3323:$M3332))</f>
        <v>#N/A</v>
      </c>
      <c r="H3345" s="536" t="e">
        <f t="shared" si="983"/>
        <v>#N/A</v>
      </c>
      <c r="I3345" s="214" t="e">
        <f>IF(D3345="","",IF(H3345="NO APORTA","NO",IF(H3345=MAX($H3340:$H3345),"SI","NO")))</f>
        <v>#N/A</v>
      </c>
      <c r="J3345" s="213" t="e">
        <f t="shared" si="984"/>
        <v>#N/A</v>
      </c>
      <c r="K3345" s="200" t="e">
        <f t="shared" si="985"/>
        <v>#N/A</v>
      </c>
      <c r="L3345" s="721"/>
      <c r="M3345" s="729">
        <f>NUMMOD</f>
        <v>1</v>
      </c>
      <c r="N3345" s="730"/>
      <c r="O3345" s="443">
        <f>IF(M3345="","",ROUND(VLOOKUP(M3345,PRESUPUESTOS!$B$16:$H$16,7,FALSE),3))</f>
        <v>25.780999999999999</v>
      </c>
      <c r="P3345" s="713">
        <f>IF(OR(COUNTIF(P3323:P3332,"")&gt;=10,Q3339&lt;NUMMINCONT,OR(T3337="NO CUMPLE",T3337="VERIFICAR")),0,ROUND((SUM(P3323:P3332)/SUM(M3323:M3332)),3))</f>
        <v>0</v>
      </c>
      <c r="Q3345" s="714"/>
      <c r="R3345" s="458"/>
      <c r="S3345" s="459"/>
      <c r="T3345" s="460"/>
      <c r="U3345" s="219"/>
      <c r="V3345" s="464"/>
      <c r="Y3345" s="532" t="s">
        <v>343</v>
      </c>
      <c r="AA3345" s="540" t="e">
        <f>IF(AND(C3344&lt;=F3338,F3338&lt;&gt;""),VLOOKUP(VALUE(E3319&amp;","&amp;C3344),INTEGRANTES!$D$18:$F$235,2,0),"")</f>
        <v>#N/A</v>
      </c>
      <c r="AB3345" s="545" t="e">
        <f t="shared" si="986"/>
        <v>#N/A</v>
      </c>
      <c r="AC3345" s="529"/>
      <c r="AD3345" s="200" t="e">
        <f t="shared" si="987"/>
        <v>#N/A</v>
      </c>
      <c r="AE3345" s="52"/>
      <c r="AF3345" s="52"/>
      <c r="AG3345" s="52"/>
      <c r="AH3345" s="87"/>
      <c r="AI3345" s="87"/>
    </row>
    <row r="3346" spans="1:35" ht="16.5" hidden="1" customHeight="1" thickBot="1">
      <c r="A3346" s="218" t="e">
        <f>"T"&amp;E3319</f>
        <v>#N/A</v>
      </c>
      <c r="B3346" s="703"/>
      <c r="C3346" s="719"/>
      <c r="D3346" s="719"/>
      <c r="E3346" s="719"/>
      <c r="F3346" s="719"/>
      <c r="G3346" s="719"/>
      <c r="H3346" s="719" t="s">
        <v>110</v>
      </c>
      <c r="I3346" s="719"/>
      <c r="J3346" s="719"/>
      <c r="K3346" s="201" t="str">
        <f>IF(COUNTIF(K3340:K3345,"")=6,"",IF(COUNTIF(K3340:K3345,"CUMPLE")&gt;0,"CUMPLE","NO CUMPLE"))</f>
        <v>NO CUMPLE</v>
      </c>
      <c r="L3346" s="754"/>
      <c r="M3346" s="755"/>
      <c r="N3346" s="755"/>
      <c r="O3346" s="755"/>
      <c r="P3346" s="755"/>
      <c r="Q3346" s="756"/>
      <c r="R3346" s="461"/>
      <c r="S3346" s="462"/>
      <c r="T3346" s="463"/>
      <c r="U3346" s="219"/>
      <c r="V3346" s="464"/>
      <c r="Y3346" s="549" t="e">
        <f>IF(Y3340="NO APLICA","NO APLICA",IF(COUNTIF(AD3341:AD3346,"CUMPLE")&gt;0,"CUMPLE","NO CUMPLE"))</f>
        <v>#N/A</v>
      </c>
      <c r="AA3346" s="541" t="e">
        <f>IF(AND(C3345&lt;=F3338,F3338&lt;&gt;""),VLOOKUP(VALUE(E3319&amp;","&amp;C3345),INTEGRANTES!$D$18:$F$235,2,0),"")</f>
        <v>#N/A</v>
      </c>
      <c r="AB3346" s="546" t="e">
        <f t="shared" si="986"/>
        <v>#N/A</v>
      </c>
      <c r="AC3346" s="543"/>
      <c r="AD3346" s="201" t="e">
        <f t="shared" si="987"/>
        <v>#N/A</v>
      </c>
      <c r="AE3346" s="52"/>
      <c r="AF3346" s="52"/>
      <c r="AG3346" s="52"/>
      <c r="AH3346" s="87"/>
      <c r="AI3346" s="87"/>
    </row>
    <row r="3347" spans="1:35" hidden="1">
      <c r="AH3347" s="87"/>
      <c r="AI3347" s="87"/>
    </row>
    <row r="3348" spans="1:35" hidden="1">
      <c r="AH3348" s="87"/>
      <c r="AI3348" s="87"/>
    </row>
    <row r="3349" spans="1:35" ht="24" hidden="1" thickBot="1">
      <c r="A3349" s="61">
        <v>112</v>
      </c>
      <c r="B3349" s="704" t="s">
        <v>51</v>
      </c>
      <c r="C3349" s="704"/>
      <c r="D3349" s="704"/>
      <c r="E3349" s="62" t="e">
        <f>VLOOKUP(A3349,PROPONENTES!$B$19:$E$218,2,FALSE)</f>
        <v>#N/A</v>
      </c>
      <c r="F3349" s="63" t="e">
        <f>VLOOKUP(A3349,PROPONENTES!$B$19:$E$218,3,FALSE)</f>
        <v>#N/A</v>
      </c>
      <c r="G3349" s="64"/>
      <c r="H3349" s="64"/>
      <c r="I3349" s="63"/>
      <c r="J3349" s="63"/>
      <c r="K3349" s="65"/>
      <c r="L3349" s="65"/>
      <c r="M3349" s="64"/>
      <c r="N3349" s="64"/>
      <c r="O3349" s="66"/>
      <c r="P3349" s="66"/>
      <c r="Q3349" s="66"/>
      <c r="R3349" s="66"/>
      <c r="S3349" s="67"/>
      <c r="T3349" s="68"/>
      <c r="U3349" s="68"/>
      <c r="AC3349" s="68"/>
      <c r="AD3349" s="68"/>
      <c r="AE3349" s="68"/>
      <c r="AF3349" s="68"/>
      <c r="AG3349" s="68"/>
      <c r="AH3349" s="87"/>
      <c r="AI3349" s="87"/>
    </row>
    <row r="3350" spans="1:35" ht="15.75" hidden="1" customHeight="1">
      <c r="A3350" s="44"/>
      <c r="B3350" s="709" t="s">
        <v>59</v>
      </c>
      <c r="C3350" s="552" t="s">
        <v>60</v>
      </c>
      <c r="D3350" s="70" t="s">
        <v>17</v>
      </c>
      <c r="E3350" s="70"/>
      <c r="F3350" s="70" t="s">
        <v>61</v>
      </c>
      <c r="G3350" s="71"/>
      <c r="H3350" s="699" t="s">
        <v>62</v>
      </c>
      <c r="I3350" s="699" t="s">
        <v>18</v>
      </c>
      <c r="J3350" s="699" t="s">
        <v>63</v>
      </c>
      <c r="K3350" s="699" t="s">
        <v>64</v>
      </c>
      <c r="L3350" s="699" t="s">
        <v>65</v>
      </c>
      <c r="M3350" s="743" t="s">
        <v>66</v>
      </c>
      <c r="N3350" s="699" t="s">
        <v>282</v>
      </c>
      <c r="O3350" s="745" t="s">
        <v>67</v>
      </c>
      <c r="P3350" s="746"/>
      <c r="Q3350" s="102" t="s">
        <v>75</v>
      </c>
      <c r="R3350" s="731" t="s">
        <v>22</v>
      </c>
      <c r="S3350" s="732"/>
      <c r="T3350" s="733"/>
      <c r="U3350" s="712" t="s">
        <v>298</v>
      </c>
      <c r="W3350" s="690" t="s">
        <v>268</v>
      </c>
      <c r="X3350" s="691"/>
      <c r="Y3350" s="692"/>
      <c r="Z3350" s="428"/>
      <c r="AA3350" s="697" t="s">
        <v>315</v>
      </c>
      <c r="AB3350" s="695" t="s">
        <v>322</v>
      </c>
      <c r="AC3350" s="49"/>
      <c r="AD3350" s="690" t="s">
        <v>297</v>
      </c>
      <c r="AE3350" s="691"/>
      <c r="AF3350" s="692"/>
      <c r="AG3350" s="49"/>
      <c r="AH3350" s="87"/>
      <c r="AI3350" s="87"/>
    </row>
    <row r="3351" spans="1:35" ht="72" hidden="1">
      <c r="A3351" s="44"/>
      <c r="B3351" s="710"/>
      <c r="C3351" s="553" t="s">
        <v>68</v>
      </c>
      <c r="D3351" s="73" t="s">
        <v>3</v>
      </c>
      <c r="E3351" s="73" t="s">
        <v>19</v>
      </c>
      <c r="F3351" s="73" t="s">
        <v>69</v>
      </c>
      <c r="G3351" s="74" t="s">
        <v>70</v>
      </c>
      <c r="H3351" s="700"/>
      <c r="I3351" s="700"/>
      <c r="J3351" s="700"/>
      <c r="K3351" s="700"/>
      <c r="L3351" s="700"/>
      <c r="M3351" s="744"/>
      <c r="N3351" s="700"/>
      <c r="O3351" s="553" t="s">
        <v>279</v>
      </c>
      <c r="P3351" s="73" t="s">
        <v>88</v>
      </c>
      <c r="Q3351" s="555" t="s">
        <v>76</v>
      </c>
      <c r="R3351" s="734"/>
      <c r="S3351" s="735"/>
      <c r="T3351" s="736"/>
      <c r="U3351" s="712"/>
      <c r="W3351" s="429" t="s">
        <v>269</v>
      </c>
      <c r="X3351" s="457" t="s">
        <v>278</v>
      </c>
      <c r="Y3351" s="430" t="s">
        <v>324</v>
      </c>
      <c r="Z3351" s="428"/>
      <c r="AA3351" s="698"/>
      <c r="AB3351" s="696"/>
      <c r="AC3351" s="49"/>
      <c r="AD3351" s="429" t="s">
        <v>292</v>
      </c>
      <c r="AE3351" s="431" t="s">
        <v>300</v>
      </c>
      <c r="AF3351" s="468" t="s">
        <v>301</v>
      </c>
      <c r="AG3351" s="49"/>
      <c r="AH3351" s="87"/>
      <c r="AI3351" s="87"/>
    </row>
    <row r="3352" spans="1:35" hidden="1">
      <c r="A3352" s="44"/>
      <c r="B3352" s="76"/>
      <c r="C3352" s="77"/>
      <c r="D3352" s="77"/>
      <c r="E3352" s="77"/>
      <c r="F3352" s="77"/>
      <c r="G3352" s="77"/>
      <c r="H3352" s="77"/>
      <c r="I3352" s="77"/>
      <c r="J3352" s="77"/>
      <c r="K3352" s="77"/>
      <c r="L3352" s="77"/>
      <c r="M3352" s="77"/>
      <c r="N3352" s="77"/>
      <c r="O3352" s="77"/>
      <c r="P3352" s="77"/>
      <c r="Q3352" s="77"/>
      <c r="R3352" s="77"/>
      <c r="S3352" s="78"/>
      <c r="T3352" s="79"/>
      <c r="U3352" s="109"/>
      <c r="V3352" s="49"/>
      <c r="W3352" s="432"/>
      <c r="X3352" s="454"/>
      <c r="Y3352" s="433"/>
      <c r="Z3352" s="6"/>
      <c r="AA3352" s="500"/>
      <c r="AB3352" s="562"/>
      <c r="AC3352" s="49"/>
      <c r="AD3352" s="210"/>
      <c r="AE3352" s="434"/>
      <c r="AF3352" s="435"/>
      <c r="AG3352" s="49"/>
      <c r="AH3352" s="87"/>
      <c r="AI3352" s="87"/>
    </row>
    <row r="3353" spans="1:35" hidden="1">
      <c r="A3353" s="80" t="e">
        <f>"A"&amp;E3349</f>
        <v>#N/A</v>
      </c>
      <c r="B3353" s="81">
        <v>1</v>
      </c>
      <c r="C3353" s="82"/>
      <c r="D3353" s="82"/>
      <c r="E3353" s="82"/>
      <c r="F3353" s="82"/>
      <c r="G3353" s="83"/>
      <c r="H3353" s="83"/>
      <c r="I3353" s="84"/>
      <c r="J3353" s="85"/>
      <c r="K3353" s="382"/>
      <c r="L3353" s="85"/>
      <c r="M3353" s="332" t="str">
        <f t="shared" ref="M3353:M3362" si="988">IF(OR(J3353="",L3353="",H3353="NO"),"",IF(OR(J3353&gt;$P$17,J3353&lt;$O$17,L3353&gt;$P$17,AND(J3353&lt;$O$17,L3353&lt;$O$17)),"FUERA DE RANGO",IF(OR(K3353="---",K3353=""),IF(J3353&gt;=$O$17,ROUND((L3353-J3353+1)/360*12,3),ROUND((L3353-$O$17+1)/360*12,3)),IF(J3353&gt;=$O$17,ROUND((L3353-J3353+1)/360*12-ROUND(K3353,3),3),ROUND((L3353-$O$17+1)/360*12-ROUND(K3353,3),3)))))</f>
        <v/>
      </c>
      <c r="N3353" s="86"/>
      <c r="O3353" s="453" t="str">
        <f>IF(OR(G3353="",N3353=""),"",N3353*G3353)</f>
        <v/>
      </c>
      <c r="P3353" s="538" t="str">
        <f>IF(OR(H3353="",M3353="FUERA DE RANGO"),"",IF(OR(L3353&lt;$O$17,L3353&gt;$P$17,L3353="",H3353="NO"),"",IF(OR(N3353="",O3353=""),"",ROUND(O3353,3))))</f>
        <v/>
      </c>
      <c r="Q3353" s="539" t="str">
        <f t="shared" ref="Q3353:Q3362" si="989">IF(AND(H3353="SI",P3353&lt;&gt;""),ROUND(P3353/M3353,3),"")</f>
        <v/>
      </c>
      <c r="R3353" s="737"/>
      <c r="S3353" s="738"/>
      <c r="T3353" s="739"/>
      <c r="U3353" s="470"/>
      <c r="V3353" s="165"/>
      <c r="W3353" s="446"/>
      <c r="X3353" s="456"/>
      <c r="Y3353" s="436"/>
      <c r="Z3353" s="437"/>
      <c r="AA3353" s="560"/>
      <c r="AB3353" s="561"/>
      <c r="AC3353" s="87"/>
      <c r="AD3353" s="466"/>
      <c r="AE3353" s="456"/>
      <c r="AF3353" s="467"/>
      <c r="AG3353" s="87"/>
      <c r="AH3353" s="87"/>
      <c r="AI3353" s="87"/>
    </row>
    <row r="3354" spans="1:35" hidden="1">
      <c r="A3354" s="80" t="e">
        <f>"B"&amp;E3349</f>
        <v>#N/A</v>
      </c>
      <c r="B3354" s="81">
        <v>2</v>
      </c>
      <c r="C3354" s="106"/>
      <c r="D3354" s="106"/>
      <c r="E3354" s="106"/>
      <c r="F3354" s="106"/>
      <c r="G3354" s="83"/>
      <c r="H3354" s="83"/>
      <c r="I3354" s="84"/>
      <c r="J3354" s="85"/>
      <c r="K3354" s="382"/>
      <c r="L3354" s="85"/>
      <c r="M3354" s="332" t="str">
        <f t="shared" si="988"/>
        <v/>
      </c>
      <c r="N3354" s="86"/>
      <c r="O3354" s="453" t="str">
        <f t="shared" ref="O3354:O3362" si="990">IF(OR(G3354="",N3354=""),"",N3354*G3354)</f>
        <v/>
      </c>
      <c r="P3354" s="538" t="str">
        <f t="shared" ref="P3354:P3362" si="991">IF(OR(H3354="",M3354="FUERA DE RANGO"),"",IF(OR(L3354&lt;$O$17,L3354&gt;$P$17,L3354="",H3354="NO"),"",IF(OR(N3354="",O3354=""),"",ROUND(O3354,3))))</f>
        <v/>
      </c>
      <c r="Q3354" s="539" t="str">
        <f t="shared" si="989"/>
        <v/>
      </c>
      <c r="R3354" s="740"/>
      <c r="S3354" s="741"/>
      <c r="T3354" s="742"/>
      <c r="U3354" s="471"/>
      <c r="V3354" s="165"/>
      <c r="W3354" s="446"/>
      <c r="X3354" s="456"/>
      <c r="Y3354" s="436"/>
      <c r="Z3354" s="437"/>
      <c r="AA3354" s="560"/>
      <c r="AB3354" s="561"/>
      <c r="AC3354" s="87"/>
      <c r="AD3354" s="466"/>
      <c r="AE3354" s="456"/>
      <c r="AF3354" s="467"/>
      <c r="AG3354" s="87"/>
      <c r="AH3354" s="87"/>
      <c r="AI3354" s="87"/>
    </row>
    <row r="3355" spans="1:35" hidden="1">
      <c r="A3355" s="80" t="e">
        <f>"C"&amp;E3349</f>
        <v>#N/A</v>
      </c>
      <c r="B3355" s="88">
        <v>3</v>
      </c>
      <c r="C3355" s="82"/>
      <c r="D3355" s="82"/>
      <c r="E3355" s="82"/>
      <c r="F3355" s="82"/>
      <c r="G3355" s="83"/>
      <c r="H3355" s="83"/>
      <c r="I3355" s="84"/>
      <c r="J3355" s="85"/>
      <c r="K3355" s="382"/>
      <c r="L3355" s="85"/>
      <c r="M3355" s="332" t="str">
        <f t="shared" si="988"/>
        <v/>
      </c>
      <c r="N3355" s="86"/>
      <c r="O3355" s="453" t="str">
        <f t="shared" si="990"/>
        <v/>
      </c>
      <c r="P3355" s="538" t="str">
        <f t="shared" si="991"/>
        <v/>
      </c>
      <c r="Q3355" s="539" t="str">
        <f t="shared" si="989"/>
        <v/>
      </c>
      <c r="R3355" s="706"/>
      <c r="S3355" s="707"/>
      <c r="T3355" s="708"/>
      <c r="U3355" s="472"/>
      <c r="V3355" s="166"/>
      <c r="W3355" s="446"/>
      <c r="X3355" s="456"/>
      <c r="Y3355" s="436"/>
      <c r="Z3355" s="437"/>
      <c r="AA3355" s="560"/>
      <c r="AB3355" s="561"/>
      <c r="AC3355" s="87"/>
      <c r="AD3355" s="466"/>
      <c r="AE3355" s="456"/>
      <c r="AF3355" s="467"/>
      <c r="AG3355" s="87"/>
      <c r="AH3355" s="87"/>
      <c r="AI3355" s="87"/>
    </row>
    <row r="3356" spans="1:35" hidden="1">
      <c r="A3356" s="80" t="e">
        <f>"D"&amp;E3349</f>
        <v>#N/A</v>
      </c>
      <c r="B3356" s="105">
        <v>4</v>
      </c>
      <c r="C3356" s="107"/>
      <c r="D3356" s="107"/>
      <c r="E3356" s="107"/>
      <c r="F3356" s="107"/>
      <c r="G3356" s="83"/>
      <c r="H3356" s="83"/>
      <c r="I3356" s="84"/>
      <c r="J3356" s="85"/>
      <c r="K3356" s="382"/>
      <c r="L3356" s="85"/>
      <c r="M3356" s="332" t="str">
        <f t="shared" si="988"/>
        <v/>
      </c>
      <c r="N3356" s="86"/>
      <c r="O3356" s="453" t="str">
        <f t="shared" si="990"/>
        <v/>
      </c>
      <c r="P3356" s="538" t="str">
        <f t="shared" si="991"/>
        <v/>
      </c>
      <c r="Q3356" s="539" t="str">
        <f t="shared" si="989"/>
        <v/>
      </c>
      <c r="R3356" s="706"/>
      <c r="S3356" s="707"/>
      <c r="T3356" s="708"/>
      <c r="U3356" s="472"/>
      <c r="V3356" s="166"/>
      <c r="W3356" s="446"/>
      <c r="X3356" s="456"/>
      <c r="Y3356" s="436"/>
      <c r="Z3356" s="437"/>
      <c r="AA3356" s="560"/>
      <c r="AB3356" s="561"/>
      <c r="AC3356" s="87"/>
      <c r="AD3356" s="466"/>
      <c r="AE3356" s="456"/>
      <c r="AF3356" s="467"/>
      <c r="AG3356" s="87"/>
      <c r="AH3356" s="87"/>
      <c r="AI3356" s="87"/>
    </row>
    <row r="3357" spans="1:35" hidden="1">
      <c r="A3357" s="80" t="e">
        <f>"E"&amp;E3349</f>
        <v>#N/A</v>
      </c>
      <c r="B3357" s="105">
        <v>5</v>
      </c>
      <c r="C3357" s="107"/>
      <c r="D3357" s="107"/>
      <c r="E3357" s="107"/>
      <c r="F3357" s="107"/>
      <c r="G3357" s="83"/>
      <c r="H3357" s="83"/>
      <c r="I3357" s="84"/>
      <c r="J3357" s="85"/>
      <c r="K3357" s="382"/>
      <c r="L3357" s="85"/>
      <c r="M3357" s="332" t="str">
        <f t="shared" si="988"/>
        <v/>
      </c>
      <c r="N3357" s="86"/>
      <c r="O3357" s="453" t="str">
        <f t="shared" si="990"/>
        <v/>
      </c>
      <c r="P3357" s="538" t="str">
        <f t="shared" si="991"/>
        <v/>
      </c>
      <c r="Q3357" s="539" t="str">
        <f t="shared" si="989"/>
        <v/>
      </c>
      <c r="R3357" s="706"/>
      <c r="S3357" s="707"/>
      <c r="T3357" s="708"/>
      <c r="U3357" s="472"/>
      <c r="V3357" s="167"/>
      <c r="W3357" s="446"/>
      <c r="X3357" s="456"/>
      <c r="Y3357" s="436"/>
      <c r="Z3357" s="437"/>
      <c r="AA3357" s="560"/>
      <c r="AB3357" s="561"/>
      <c r="AC3357" s="87"/>
      <c r="AD3357" s="466"/>
      <c r="AE3357" s="456"/>
      <c r="AF3357" s="467"/>
      <c r="AG3357" s="87"/>
      <c r="AH3357" s="87"/>
      <c r="AI3357" s="87"/>
    </row>
    <row r="3358" spans="1:35" hidden="1">
      <c r="A3358" s="80" t="e">
        <f>"F"&amp;E3349</f>
        <v>#N/A</v>
      </c>
      <c r="B3358" s="105">
        <v>6</v>
      </c>
      <c r="C3358" s="107"/>
      <c r="D3358" s="107"/>
      <c r="E3358" s="107"/>
      <c r="F3358" s="107"/>
      <c r="G3358" s="83"/>
      <c r="H3358" s="83"/>
      <c r="I3358" s="84"/>
      <c r="J3358" s="85"/>
      <c r="K3358" s="382"/>
      <c r="L3358" s="85"/>
      <c r="M3358" s="332" t="str">
        <f t="shared" si="988"/>
        <v/>
      </c>
      <c r="N3358" s="86"/>
      <c r="O3358" s="453" t="str">
        <f t="shared" si="990"/>
        <v/>
      </c>
      <c r="P3358" s="538" t="str">
        <f t="shared" si="991"/>
        <v/>
      </c>
      <c r="Q3358" s="539" t="str">
        <f t="shared" si="989"/>
        <v/>
      </c>
      <c r="R3358" s="706"/>
      <c r="S3358" s="707"/>
      <c r="T3358" s="708"/>
      <c r="U3358" s="472"/>
      <c r="V3358" s="167"/>
      <c r="W3358" s="446"/>
      <c r="X3358" s="456"/>
      <c r="Y3358" s="436"/>
      <c r="Z3358" s="437"/>
      <c r="AA3358" s="560"/>
      <c r="AB3358" s="561"/>
      <c r="AC3358" s="87"/>
      <c r="AD3358" s="466"/>
      <c r="AE3358" s="456"/>
      <c r="AF3358" s="467"/>
      <c r="AG3358" s="87"/>
      <c r="AH3358" s="87"/>
      <c r="AI3358" s="87"/>
    </row>
    <row r="3359" spans="1:35" hidden="1">
      <c r="A3359" s="80" t="e">
        <f>"G"&amp;E3349</f>
        <v>#N/A</v>
      </c>
      <c r="B3359" s="105">
        <v>7</v>
      </c>
      <c r="C3359" s="107"/>
      <c r="D3359" s="107"/>
      <c r="E3359" s="107"/>
      <c r="F3359" s="107"/>
      <c r="G3359" s="83"/>
      <c r="H3359" s="83"/>
      <c r="I3359" s="84"/>
      <c r="J3359" s="85"/>
      <c r="K3359" s="382"/>
      <c r="L3359" s="85"/>
      <c r="M3359" s="332" t="str">
        <f t="shared" si="988"/>
        <v/>
      </c>
      <c r="N3359" s="86"/>
      <c r="O3359" s="86" t="str">
        <f t="shared" si="990"/>
        <v/>
      </c>
      <c r="P3359" s="538" t="str">
        <f t="shared" si="991"/>
        <v/>
      </c>
      <c r="Q3359" s="539" t="str">
        <f t="shared" si="989"/>
        <v/>
      </c>
      <c r="R3359" s="706"/>
      <c r="S3359" s="707"/>
      <c r="T3359" s="708"/>
      <c r="U3359" s="472"/>
      <c r="V3359" s="167"/>
      <c r="W3359" s="446"/>
      <c r="X3359" s="456"/>
      <c r="Y3359" s="436"/>
      <c r="Z3359" s="437"/>
      <c r="AA3359" s="560"/>
      <c r="AB3359" s="561"/>
      <c r="AC3359" s="87"/>
      <c r="AD3359" s="466"/>
      <c r="AE3359" s="456"/>
      <c r="AF3359" s="467"/>
      <c r="AG3359" s="87"/>
      <c r="AH3359" s="87"/>
      <c r="AI3359" s="87"/>
    </row>
    <row r="3360" spans="1:35" hidden="1">
      <c r="A3360" s="80" t="e">
        <f>"H"&amp;E3349</f>
        <v>#N/A</v>
      </c>
      <c r="B3360" s="105">
        <v>8</v>
      </c>
      <c r="C3360" s="107"/>
      <c r="D3360" s="107"/>
      <c r="E3360" s="107"/>
      <c r="F3360" s="107"/>
      <c r="G3360" s="83"/>
      <c r="H3360" s="83"/>
      <c r="I3360" s="84"/>
      <c r="J3360" s="85"/>
      <c r="K3360" s="382"/>
      <c r="L3360" s="85"/>
      <c r="M3360" s="332" t="str">
        <f t="shared" si="988"/>
        <v/>
      </c>
      <c r="N3360" s="453"/>
      <c r="O3360" s="86" t="str">
        <f t="shared" si="990"/>
        <v/>
      </c>
      <c r="P3360" s="538" t="str">
        <f t="shared" si="991"/>
        <v/>
      </c>
      <c r="Q3360" s="539" t="str">
        <f t="shared" si="989"/>
        <v/>
      </c>
      <c r="R3360" s="706"/>
      <c r="S3360" s="707"/>
      <c r="T3360" s="708"/>
      <c r="U3360" s="472"/>
      <c r="V3360" s="167"/>
      <c r="W3360" s="446"/>
      <c r="X3360" s="456"/>
      <c r="Y3360" s="436"/>
      <c r="Z3360" s="437"/>
      <c r="AA3360" s="560"/>
      <c r="AB3360" s="561"/>
      <c r="AC3360" s="87"/>
      <c r="AD3360" s="466"/>
      <c r="AE3360" s="456"/>
      <c r="AF3360" s="467"/>
      <c r="AG3360" s="87"/>
      <c r="AH3360" s="87"/>
      <c r="AI3360" s="87"/>
    </row>
    <row r="3361" spans="1:35" hidden="1">
      <c r="A3361" s="80" t="e">
        <f>"I"&amp;E3349</f>
        <v>#N/A</v>
      </c>
      <c r="B3361" s="105">
        <v>9</v>
      </c>
      <c r="C3361" s="107"/>
      <c r="D3361" s="107"/>
      <c r="E3361" s="107"/>
      <c r="F3361" s="107"/>
      <c r="G3361" s="83"/>
      <c r="H3361" s="83"/>
      <c r="I3361" s="84"/>
      <c r="J3361" s="85"/>
      <c r="K3361" s="382"/>
      <c r="L3361" s="85"/>
      <c r="M3361" s="332" t="str">
        <f t="shared" si="988"/>
        <v/>
      </c>
      <c r="N3361" s="453"/>
      <c r="O3361" s="86" t="str">
        <f t="shared" si="990"/>
        <v/>
      </c>
      <c r="P3361" s="538" t="str">
        <f t="shared" si="991"/>
        <v/>
      </c>
      <c r="Q3361" s="539" t="str">
        <f t="shared" si="989"/>
        <v/>
      </c>
      <c r="R3361" s="706"/>
      <c r="S3361" s="707"/>
      <c r="T3361" s="708"/>
      <c r="U3361" s="472"/>
      <c r="V3361" s="167"/>
      <c r="W3361" s="446"/>
      <c r="X3361" s="456"/>
      <c r="Y3361" s="436"/>
      <c r="Z3361" s="437"/>
      <c r="AA3361" s="560"/>
      <c r="AB3361" s="561"/>
      <c r="AC3361" s="87"/>
      <c r="AD3361" s="466"/>
      <c r="AE3361" s="456"/>
      <c r="AF3361" s="467"/>
      <c r="AG3361" s="87"/>
      <c r="AH3361" s="87"/>
      <c r="AI3361" s="87"/>
    </row>
    <row r="3362" spans="1:35" hidden="1">
      <c r="A3362" s="80" t="e">
        <f>"J"&amp;E3349</f>
        <v>#N/A</v>
      </c>
      <c r="B3362" s="105">
        <v>10</v>
      </c>
      <c r="C3362" s="107"/>
      <c r="D3362" s="107"/>
      <c r="E3362" s="107"/>
      <c r="F3362" s="107"/>
      <c r="G3362" s="83"/>
      <c r="H3362" s="83"/>
      <c r="I3362" s="84"/>
      <c r="J3362" s="85"/>
      <c r="K3362" s="382"/>
      <c r="L3362" s="85"/>
      <c r="M3362" s="332" t="str">
        <f t="shared" si="988"/>
        <v/>
      </c>
      <c r="N3362" s="453"/>
      <c r="O3362" s="86" t="str">
        <f t="shared" si="990"/>
        <v/>
      </c>
      <c r="P3362" s="538" t="str">
        <f t="shared" si="991"/>
        <v/>
      </c>
      <c r="Q3362" s="539" t="str">
        <f t="shared" si="989"/>
        <v/>
      </c>
      <c r="R3362" s="706"/>
      <c r="S3362" s="707"/>
      <c r="T3362" s="708"/>
      <c r="U3362" s="472"/>
      <c r="V3362" s="167"/>
      <c r="W3362" s="446"/>
      <c r="X3362" s="456"/>
      <c r="Y3362" s="436"/>
      <c r="Z3362" s="437"/>
      <c r="AA3362" s="560"/>
      <c r="AB3362" s="561"/>
      <c r="AC3362" s="87"/>
      <c r="AD3362" s="466"/>
      <c r="AE3362" s="456"/>
      <c r="AF3362" s="467"/>
      <c r="AG3362" s="87"/>
      <c r="AH3362" s="87"/>
      <c r="AI3362" s="87"/>
    </row>
    <row r="3363" spans="1:35" ht="16.5" hidden="1" thickBot="1">
      <c r="A3363" s="44"/>
      <c r="B3363" s="89"/>
      <c r="C3363" s="90"/>
      <c r="D3363" s="90"/>
      <c r="E3363" s="90"/>
      <c r="F3363" s="90"/>
      <c r="G3363" s="90"/>
      <c r="H3363" s="90"/>
      <c r="I3363" s="90"/>
      <c r="J3363" s="90"/>
      <c r="K3363" s="90"/>
      <c r="L3363" s="90"/>
      <c r="M3363" s="90"/>
      <c r="N3363" s="90"/>
      <c r="O3363" s="90"/>
      <c r="P3363" s="90"/>
      <c r="Q3363" s="90"/>
      <c r="R3363" s="90"/>
      <c r="S3363" s="91"/>
      <c r="T3363" s="92"/>
      <c r="U3363" s="473"/>
      <c r="W3363" s="438"/>
      <c r="X3363" s="455"/>
      <c r="Y3363" s="439"/>
      <c r="Z3363" s="437"/>
      <c r="AA3363" s="530"/>
      <c r="AB3363" s="563"/>
      <c r="AC3363" s="87"/>
      <c r="AD3363" s="440"/>
      <c r="AE3363" s="441"/>
      <c r="AF3363" s="442"/>
      <c r="AG3363" s="49"/>
      <c r="AH3363" s="87"/>
      <c r="AI3363" s="87"/>
    </row>
    <row r="3364" spans="1:35" ht="16.5" hidden="1" thickBot="1">
      <c r="A3364" s="93"/>
      <c r="B3364" s="94"/>
      <c r="C3364" s="96"/>
      <c r="D3364" s="96"/>
      <c r="E3364" s="96"/>
      <c r="F3364" s="96"/>
      <c r="G3364" s="96"/>
      <c r="H3364" s="96"/>
      <c r="I3364" s="96"/>
      <c r="J3364" s="96"/>
      <c r="K3364" s="96"/>
      <c r="L3364" s="96"/>
      <c r="M3364" s="136"/>
      <c r="N3364" s="96"/>
      <c r="O3364" s="96"/>
      <c r="P3364" s="97"/>
      <c r="Q3364" s="97"/>
      <c r="R3364" s="98"/>
      <c r="S3364" s="95"/>
      <c r="T3364" s="99"/>
      <c r="U3364" s="469"/>
      <c r="AC3364" s="58"/>
      <c r="AG3364" s="58"/>
      <c r="AH3364" s="87"/>
      <c r="AI3364" s="87"/>
    </row>
    <row r="3365" spans="1:35" ht="16.5" hidden="1" thickBot="1">
      <c r="B3365" s="101"/>
      <c r="C3365" s="101"/>
      <c r="D3365" s="101"/>
      <c r="E3365" s="101"/>
      <c r="F3365" s="101"/>
      <c r="G3365" s="101"/>
      <c r="H3365" s="101"/>
      <c r="I3365" s="101"/>
      <c r="J3365" s="101"/>
      <c r="K3365" s="101"/>
      <c r="L3365" s="101"/>
      <c r="M3365" s="101"/>
      <c r="N3365" s="101"/>
      <c r="O3365" s="101"/>
      <c r="P3365" s="101"/>
      <c r="Q3365" s="101"/>
      <c r="R3365" s="101"/>
      <c r="S3365" s="101"/>
      <c r="U3365" s="50"/>
      <c r="AH3365" s="87"/>
      <c r="AI3365" s="87"/>
    </row>
    <row r="3366" spans="1:35" ht="16.5" hidden="1" customHeight="1" thickBot="1">
      <c r="A3366" s="44"/>
      <c r="B3366" s="705" t="s">
        <v>74</v>
      </c>
      <c r="C3366" s="705"/>
      <c r="D3366" s="705"/>
      <c r="E3366" s="705"/>
      <c r="F3366" s="705"/>
      <c r="G3366" s="705"/>
      <c r="H3366" s="705"/>
      <c r="I3366" s="705"/>
      <c r="J3366" s="705"/>
      <c r="K3366" s="705"/>
      <c r="L3366" s="705"/>
      <c r="M3366" s="705"/>
      <c r="N3366" s="705"/>
      <c r="O3366" s="705"/>
      <c r="P3366" s="705"/>
      <c r="Q3366" s="705"/>
      <c r="R3366" s="705"/>
      <c r="S3366" s="705"/>
      <c r="T3366" s="705"/>
      <c r="U3366" s="108"/>
      <c r="Y3366" s="532" t="s">
        <v>341</v>
      </c>
      <c r="AC3366" s="49"/>
      <c r="AD3366" s="687" t="s">
        <v>302</v>
      </c>
      <c r="AE3366" s="688"/>
      <c r="AF3366" s="689"/>
      <c r="AG3366" s="49"/>
      <c r="AH3366" s="87"/>
      <c r="AI3366" s="87"/>
    </row>
    <row r="3367" spans="1:35" ht="16.5" hidden="1" customHeight="1" thickBot="1">
      <c r="A3367" s="218" t="e">
        <f>"K"&amp;E3349</f>
        <v>#N/A</v>
      </c>
      <c r="B3367" s="701" t="s">
        <v>71</v>
      </c>
      <c r="C3367" s="751" t="s">
        <v>102</v>
      </c>
      <c r="D3367" s="751"/>
      <c r="E3367" s="751"/>
      <c r="F3367" s="751"/>
      <c r="G3367" s="751"/>
      <c r="H3367" s="751"/>
      <c r="I3367" s="751"/>
      <c r="J3367" s="751"/>
      <c r="K3367" s="751"/>
      <c r="L3367" s="722" t="s">
        <v>100</v>
      </c>
      <c r="M3367" s="747" t="s">
        <v>114</v>
      </c>
      <c r="N3367" s="747"/>
      <c r="O3367" s="747"/>
      <c r="P3367" s="747"/>
      <c r="Q3367" s="748"/>
      <c r="R3367" s="758" t="s">
        <v>280</v>
      </c>
      <c r="S3367" s="748"/>
      <c r="T3367" s="762" t="str">
        <f>IF(COUNTIF(AE3367:AF3367,"VERIFICAR")&gt;0,"VERIFICAR",IF(COUNTIF(AE3367:AF3367,"NO CUMPLE")&gt;0,"NO CUMPLE","CUMPLE"))</f>
        <v>VERIFICAR</v>
      </c>
      <c r="U3367" s="108"/>
      <c r="Y3367" s="533" t="e">
        <f>IF(F3368="","",IF(F3368=1,"INDIVIDUAL","ESTRUCTURA PLURAL"))</f>
        <v>#N/A</v>
      </c>
      <c r="AC3367" s="52"/>
      <c r="AD3367" s="475" t="s">
        <v>303</v>
      </c>
      <c r="AE3367" s="476" t="str">
        <f>IF(COUNTIF(AE3353:AE3362,"")=10,"VERIFICAR",IF(COUNTIF(AE3353:AE3362,"SI")&gt;0,"CUMPLE","NO CUMPLE"))</f>
        <v>VERIFICAR</v>
      </c>
      <c r="AF3367" s="477" t="str">
        <f>IF(COUNTIF(AF3353:AF3362,"")=10,"VERIFICAR",IF(COUNTIF(AF3353:AF3362,"SI")&gt;=$AI$22,"CUMPLE","NO CUMPLE"))</f>
        <v>VERIFICAR</v>
      </c>
      <c r="AG3367" s="52"/>
      <c r="AH3367" s="87"/>
      <c r="AI3367" s="87"/>
    </row>
    <row r="3368" spans="1:35" ht="15.75" hidden="1" customHeight="1" thickBot="1">
      <c r="A3368" s="218" t="e">
        <f>"L"&amp;E3349</f>
        <v>#N/A</v>
      </c>
      <c r="B3368" s="702"/>
      <c r="C3368" s="751" t="s">
        <v>103</v>
      </c>
      <c r="D3368" s="751"/>
      <c r="E3368" s="752"/>
      <c r="F3368" s="557" t="e">
        <f>IF(VLOOKUP(E3349,PROPONENTES!$C$19:$E$218,3,0)="","",VLOOKUP(E3349,PROPONENTES!$C$19:$E$218,3,0))</f>
        <v>#N/A</v>
      </c>
      <c r="G3368" s="753" t="s">
        <v>104</v>
      </c>
      <c r="H3368" s="751"/>
      <c r="I3368" s="715" t="e">
        <f>IF(OR(F3368="",F3368=1),"INTERESADO PERSONA NATURAL O JURIDICA","CONSORCIO O UNION TEMPORAL")</f>
        <v>#N/A</v>
      </c>
      <c r="J3368" s="725"/>
      <c r="K3368" s="728"/>
      <c r="L3368" s="723"/>
      <c r="M3368" s="749"/>
      <c r="N3368" s="749"/>
      <c r="O3368" s="749"/>
      <c r="P3368" s="749"/>
      <c r="Q3368" s="750"/>
      <c r="R3368" s="712"/>
      <c r="S3368" s="750"/>
      <c r="T3368" s="763"/>
      <c r="U3368" s="108"/>
      <c r="Y3368" s="534"/>
      <c r="AA3368" s="52"/>
      <c r="AB3368" s="52"/>
      <c r="AC3368" s="52"/>
      <c r="AG3368" s="52"/>
      <c r="AH3368" s="87"/>
      <c r="AI3368" s="87"/>
    </row>
    <row r="3369" spans="1:35" ht="56.25" hidden="1" customHeight="1" thickBot="1">
      <c r="A3369" s="218" t="e">
        <f>"M"&amp;E3349</f>
        <v>#N/A</v>
      </c>
      <c r="B3369" s="702"/>
      <c r="C3369" s="725" t="s">
        <v>101</v>
      </c>
      <c r="D3369" s="716"/>
      <c r="E3369" s="558" t="s">
        <v>105</v>
      </c>
      <c r="F3369" s="554" t="s">
        <v>87</v>
      </c>
      <c r="G3369" s="553" t="s">
        <v>86</v>
      </c>
      <c r="H3369" s="559" t="s">
        <v>85</v>
      </c>
      <c r="I3369" s="554" t="s">
        <v>252</v>
      </c>
      <c r="J3369" s="553" t="str">
        <f>"¿EL INTEGRANTE TIENE UNA PARTICIPACIÓN DEL "&amp;PORCREQUERIDOINT*100&amp;"%?"</f>
        <v>¿EL INTEGRANTE TIENE UNA PARTICIPACIÓN DEL 60%?</v>
      </c>
      <c r="K3369" s="554" t="s">
        <v>107</v>
      </c>
      <c r="L3369" s="724"/>
      <c r="M3369" s="717" t="s">
        <v>115</v>
      </c>
      <c r="N3369" s="718"/>
      <c r="O3369" s="718"/>
      <c r="P3369" s="718"/>
      <c r="Q3369" s="223">
        <f>IF(AND(H3353="SI",P3353&gt;=0),1,0)+IF(AND(H3354="SI",P3354&gt;=0),1,0)+IF(AND(H3355="SI",P3355&gt;=0),1,0)+IF(AND(H3356="SI",P3356&gt;=0),1,0)+IF(AND(H3357="SI",P3357&gt;=0),1,0)+IF(AND(H3358="SI",P3358&gt;=0),1,0)+IF(AND(H3359="SI",P3359&gt;=0),1,0)+IF(AND(H3360="SI",P3360&gt;=0),1,0)+IF(AND(H3361="SI",P3361&gt;=0),1,0)+IF(AND(H3362="SI",P3362&gt;=0),1,0)</f>
        <v>0</v>
      </c>
      <c r="R3369" s="759"/>
      <c r="S3369" s="761"/>
      <c r="T3369" s="764"/>
      <c r="U3369" s="219"/>
      <c r="V3369" s="464"/>
      <c r="Y3369" s="532" t="s">
        <v>342</v>
      </c>
      <c r="AA3369" s="550" t="s">
        <v>344</v>
      </c>
      <c r="AB3369" s="693" t="s">
        <v>345</v>
      </c>
      <c r="AC3369" s="693" t="s">
        <v>346</v>
      </c>
      <c r="AD3369" s="685" t="s">
        <v>347</v>
      </c>
      <c r="AE3369" s="52"/>
      <c r="AF3369" s="52"/>
      <c r="AG3369" s="52"/>
      <c r="AH3369" s="87"/>
      <c r="AI3369" s="87"/>
    </row>
    <row r="3370" spans="1:35" ht="15.75" hidden="1" customHeight="1" thickBot="1">
      <c r="A3370" s="218" t="e">
        <f>"N"&amp;E3349</f>
        <v>#N/A</v>
      </c>
      <c r="B3370" s="702"/>
      <c r="C3370" s="114">
        <v>1</v>
      </c>
      <c r="D3370" s="194" t="e">
        <f>IF(AND(C3370&lt;=F3368,F3368&gt;1,F3368&lt;&gt;""),VLOOKUP(VALUE(E3349&amp;","&amp;C3370),INTEGRANTES!$D$18:$F$235,2,0),"")</f>
        <v>#N/A</v>
      </c>
      <c r="E3370" s="211" t="e">
        <f>IF(D3370&lt;&gt;"",VLOOKUP(VALUE(E3349&amp;","&amp;C3370),INTEGRANTES!$D$18:$F$235,3,0),"")</f>
        <v>#N/A</v>
      </c>
      <c r="F3370" s="547" t="e">
        <f>IF(D3370="","",SUMIF($I3353:$I3362,D3370,$P3353:$P3362))</f>
        <v>#N/A</v>
      </c>
      <c r="G3370" s="333" t="e">
        <f>IF(D3370="","",SUMIF($I3353:$I3362,D3370,$M3353:$M3362))</f>
        <v>#N/A</v>
      </c>
      <c r="H3370" s="535" t="e">
        <f t="shared" ref="H3370:H3375" si="992">IF(D3370="","",IF(OR(F3370=0,G3370=0),"NO APORTA",ROUND($F3370/$G3370,3)))</f>
        <v>#N/A</v>
      </c>
      <c r="I3370" s="212" t="e">
        <f>IF(D3370="","",IF(H3370="NO APORTA","NO",IF(H3370=MAX($H3370:$H3375),"SI","NO")))</f>
        <v>#N/A</v>
      </c>
      <c r="J3370" s="213" t="e">
        <f t="shared" ref="J3370:J3375" si="993">IF(D3370="","",IF(E3370&gt;=PORCREQUERIDOINT,"SI","NO"))</f>
        <v>#N/A</v>
      </c>
      <c r="K3370" s="200" t="e">
        <f t="shared" ref="K3370:K3375" si="994">IF(D3370="","",IF(AND(I3370="SI",J3370="SI"),"CUMPLE",IF(AND(I3370="NO",OR(J3370="SI",J3370="NO")),"","NO CUMPLE")))</f>
        <v>#N/A</v>
      </c>
      <c r="L3370" s="722" t="s">
        <v>108</v>
      </c>
      <c r="M3370" s="726" t="s">
        <v>119</v>
      </c>
      <c r="N3370" s="726"/>
      <c r="O3370" s="726"/>
      <c r="P3370" s="726"/>
      <c r="Q3370" s="727"/>
      <c r="R3370" s="758" t="s">
        <v>80</v>
      </c>
      <c r="S3370" s="747"/>
      <c r="T3370" s="748"/>
      <c r="U3370" s="219"/>
      <c r="V3370" s="464"/>
      <c r="Y3370" s="533" t="e">
        <f>IF(Y3367="","",IF(Y3367="INDIVIDUAL","NO APLICA","VERIFICAR CUADRO"))</f>
        <v>#N/A</v>
      </c>
      <c r="AA3370" s="551"/>
      <c r="AB3370" s="694"/>
      <c r="AC3370" s="694"/>
      <c r="AD3370" s="686"/>
      <c r="AE3370" s="52"/>
      <c r="AF3370" s="52"/>
      <c r="AG3370" s="52"/>
      <c r="AH3370" s="87"/>
      <c r="AI3370" s="87"/>
    </row>
    <row r="3371" spans="1:35" ht="27" hidden="1" customHeight="1" thickBot="1">
      <c r="A3371" s="218" t="e">
        <f>"O"&amp;E3349</f>
        <v>#N/A</v>
      </c>
      <c r="B3371" s="702"/>
      <c r="C3371" s="114">
        <v>2</v>
      </c>
      <c r="D3371" s="194" t="e">
        <f>IF(AND(C3371&lt;=F3368,F3368&lt;&gt;""),VLOOKUP(VALUE(E3349&amp;","&amp;C3371),INTEGRANTES!$D$18:$F$235,2,0),"")</f>
        <v>#N/A</v>
      </c>
      <c r="E3371" s="211" t="e">
        <f>IF(D3371&lt;&gt;"",VLOOKUP(VALUE(E3349&amp;","&amp;C3371),INTEGRANTES!$D$18:$F$235,3,0),"")</f>
        <v>#N/A</v>
      </c>
      <c r="F3371" s="547" t="e">
        <f>IF(D3371="","",SUMIF($I3353:$I3362,D3371,$P3353:$P3362))</f>
        <v>#N/A</v>
      </c>
      <c r="G3371" s="333" t="e">
        <f>IF(D3371="","",SUMIF($I3353:$I3362,D3371,$M3353:$M3362))</f>
        <v>#N/A</v>
      </c>
      <c r="H3371" s="535" t="e">
        <f t="shared" si="992"/>
        <v>#N/A</v>
      </c>
      <c r="I3371" s="212" t="e">
        <f>IF(D3371="","",IF(H3371="NO APORTA","NO",IF(H3371=MAX($H3370:$H3375),"SI","NO")))</f>
        <v>#N/A</v>
      </c>
      <c r="J3371" s="213" t="e">
        <f t="shared" si="993"/>
        <v>#N/A</v>
      </c>
      <c r="K3371" s="200" t="e">
        <f t="shared" si="994"/>
        <v>#N/A</v>
      </c>
      <c r="L3371" s="723"/>
      <c r="M3371" s="715" t="s">
        <v>116</v>
      </c>
      <c r="N3371" s="716"/>
      <c r="O3371" s="556" t="s">
        <v>113</v>
      </c>
      <c r="P3371" s="715" t="s">
        <v>117</v>
      </c>
      <c r="Q3371" s="728"/>
      <c r="R3371" s="759"/>
      <c r="S3371" s="760"/>
      <c r="T3371" s="761"/>
      <c r="U3371" s="219"/>
      <c r="V3371" s="464"/>
      <c r="Y3371" s="414"/>
      <c r="AA3371" s="542" t="e">
        <f>IF(AND(C3370&lt;=F3368,F3368&gt;1,F3368&lt;&gt;""),VLOOKUP(VALUE(E3349&amp;","&amp;C3370),INTEGRANTES!$D$18:$F$235,2,0),"")</f>
        <v>#N/A</v>
      </c>
      <c r="AB3371" s="544" t="e">
        <f t="shared" ref="AB3371:AB3376" si="995">IF(D3370="","",IF(OR(F3370=0,G3370=0),"NO APORTA",ROUND($F3370/$G3370,3)))</f>
        <v>#N/A</v>
      </c>
      <c r="AC3371" s="529"/>
      <c r="AD3371" s="200" t="e">
        <f t="shared" ref="AD3371:AD3376" si="996">IF(OR(AA3371="",AB3371=""),"",IF(AND(AC3371="X",AB3371&gt;=EXPREQVTD),"CUMPLE","NO CUMPLE"))</f>
        <v>#N/A</v>
      </c>
      <c r="AE3371" s="52"/>
      <c r="AF3371" s="52"/>
      <c r="AG3371" s="52"/>
      <c r="AH3371" s="87"/>
      <c r="AI3371" s="87"/>
    </row>
    <row r="3372" spans="1:35" ht="16.5" hidden="1" thickBot="1">
      <c r="A3372" s="218" t="e">
        <f>"P"&amp;E3349</f>
        <v>#N/A</v>
      </c>
      <c r="B3372" s="702"/>
      <c r="C3372" s="114">
        <v>3</v>
      </c>
      <c r="D3372" s="194" t="e">
        <f>IF(AND(C3372&lt;=F3368,F3368&lt;&gt;""),VLOOKUP(VALUE(E3349&amp;","&amp;C3372),INTEGRANTES!$D$18:$F$235,2,0),"")</f>
        <v>#N/A</v>
      </c>
      <c r="E3372" s="211" t="e">
        <f>IF(D3372&lt;&gt;"",VLOOKUP(VALUE(E3349&amp;","&amp;C3372),INTEGRANTES!$D$18:$F$235,3,0),"")</f>
        <v>#N/A</v>
      </c>
      <c r="F3372" s="547" t="e">
        <f>IF(D3372="","",SUMIF($I3353:$I3362,D3372,$P3353:$P3362))</f>
        <v>#N/A</v>
      </c>
      <c r="G3372" s="333" t="e">
        <f>IF(D3372="","",SUMIF($I3353:$I3362,D3372,$M3353:$M3362))</f>
        <v>#N/A</v>
      </c>
      <c r="H3372" s="535" t="e">
        <f t="shared" si="992"/>
        <v>#N/A</v>
      </c>
      <c r="I3372" s="212" t="e">
        <f>IF(D3372="","",IF(H3372="NO APORTA","NO",IF(H3372=MAX($H3370:$H3375),"SI","NO")))</f>
        <v>#N/A</v>
      </c>
      <c r="J3372" s="213" t="e">
        <f t="shared" si="993"/>
        <v>#N/A</v>
      </c>
      <c r="K3372" s="200" t="e">
        <f t="shared" si="994"/>
        <v>#N/A</v>
      </c>
      <c r="L3372" s="724"/>
      <c r="M3372" s="729">
        <f>NUMMOD</f>
        <v>1</v>
      </c>
      <c r="N3372" s="730"/>
      <c r="O3372" s="443">
        <f>IF(M3372="","",VLOOKUP(M3372,PRESUPUESTOS!$B$16:$H$16,5,FALSE))</f>
        <v>2</v>
      </c>
      <c r="P3372" s="713">
        <f>IF(OR(COUNTIF(M3353:M3362,"")&gt;=10,Q3369&lt;NUMMINCONT,OR(T3367="NO CUMPLE",T3367="VERIFICAR")),0,ROUND(AVERAGE(M3353:M3362),3))</f>
        <v>0</v>
      </c>
      <c r="Q3372" s="714"/>
      <c r="R3372" s="458"/>
      <c r="S3372" s="459"/>
      <c r="T3372" s="460"/>
      <c r="U3372" s="219"/>
      <c r="V3372" s="464"/>
      <c r="Y3372" s="532" t="str">
        <f>"40% * ("&amp;PRESUPUESTOS!$H$13&amp;")"</f>
        <v>40% * (50% PFMO)</v>
      </c>
      <c r="AA3372" s="540" t="e">
        <f>IF(AND(C3371&lt;=F3368,F3368&lt;&gt;""),VLOOKUP(VALUE(E3349&amp;","&amp;C3371),INTEGRANTES!$D$18:$F$235,2,0),"")</f>
        <v>#N/A</v>
      </c>
      <c r="AB3372" s="545" t="e">
        <f t="shared" si="995"/>
        <v>#N/A</v>
      </c>
      <c r="AC3372" s="529"/>
      <c r="AD3372" s="200" t="e">
        <f t="shared" si="996"/>
        <v>#N/A</v>
      </c>
      <c r="AE3372" s="52"/>
      <c r="AF3372" s="52"/>
      <c r="AG3372" s="52"/>
      <c r="AH3372" s="87"/>
      <c r="AI3372" s="87"/>
    </row>
    <row r="3373" spans="1:35" ht="15.75" hidden="1" customHeight="1" thickBot="1">
      <c r="A3373" s="218" t="e">
        <f>"Q"&amp;E3349</f>
        <v>#N/A</v>
      </c>
      <c r="B3373" s="702"/>
      <c r="C3373" s="114">
        <v>4</v>
      </c>
      <c r="D3373" s="194" t="e">
        <f>IF(AND(C3373&lt;=F3368,F3368&lt;&gt;""),VLOOKUP(VALUE(E3349&amp;","&amp;C3373),INTEGRANTES!$D$18:$F$235,2,0),"")</f>
        <v>#N/A</v>
      </c>
      <c r="E3373" s="211" t="e">
        <f>IF(D3373&lt;&gt;"",VLOOKUP(VALUE(E3349&amp;","&amp;C3373),INTEGRANTES!$D$18:$F$235,3,0),"")</f>
        <v>#N/A</v>
      </c>
      <c r="F3373" s="547" t="e">
        <f>IF(D3373="","",SUMIF($I3353:$I3362,D3373,$P3353:$P3362))</f>
        <v>#N/A</v>
      </c>
      <c r="G3373" s="333" t="e">
        <f>IF(D3373="","",SUMIF($I3353:$I3362,D3373,$M3353:$M3362))</f>
        <v>#N/A</v>
      </c>
      <c r="H3373" s="535" t="e">
        <f t="shared" si="992"/>
        <v>#N/A</v>
      </c>
      <c r="I3373" s="212" t="e">
        <f>IF(D3373="","",IF(H3373="NO APORTA","NO",IF(H3373=MAX($H3370:$H3375),"SI","NO")))</f>
        <v>#N/A</v>
      </c>
      <c r="J3373" s="213" t="e">
        <f t="shared" si="993"/>
        <v>#N/A</v>
      </c>
      <c r="K3373" s="200" t="e">
        <f t="shared" si="994"/>
        <v>#N/A</v>
      </c>
      <c r="L3373" s="720" t="s">
        <v>109</v>
      </c>
      <c r="M3373" s="757" t="s">
        <v>120</v>
      </c>
      <c r="N3373" s="726"/>
      <c r="O3373" s="726"/>
      <c r="P3373" s="726"/>
      <c r="Q3373" s="727"/>
      <c r="R3373" s="458"/>
      <c r="S3373" s="459"/>
      <c r="T3373" s="460"/>
      <c r="U3373" s="219"/>
      <c r="V3373" s="464"/>
      <c r="Y3373" s="537">
        <f>0.4*PRESUPUESTOS!$H$16</f>
        <v>10.3124</v>
      </c>
      <c r="AA3373" s="540" t="e">
        <f>IF(AND(C3372&lt;=F3368,F3368&lt;&gt;""),VLOOKUP(VALUE(E3349&amp;","&amp;C3372),INTEGRANTES!$D$18:$F$235,2,0),"")</f>
        <v>#N/A</v>
      </c>
      <c r="AB3373" s="545" t="e">
        <f t="shared" si="995"/>
        <v>#N/A</v>
      </c>
      <c r="AC3373" s="529"/>
      <c r="AD3373" s="200" t="e">
        <f t="shared" si="996"/>
        <v>#N/A</v>
      </c>
      <c r="AE3373" s="52"/>
      <c r="AF3373" s="52"/>
      <c r="AG3373" s="52"/>
      <c r="AH3373" s="87"/>
      <c r="AI3373" s="87"/>
    </row>
    <row r="3374" spans="1:35" ht="27" hidden="1" customHeight="1" thickBot="1">
      <c r="A3374" s="218" t="e">
        <f>"R"&amp;E3349</f>
        <v>#N/A</v>
      </c>
      <c r="B3374" s="702"/>
      <c r="C3374" s="114">
        <v>5</v>
      </c>
      <c r="D3374" s="194" t="e">
        <f>IF(AND(C3374&lt;=F3368,F3368&lt;&gt;""),VLOOKUP(VALUE(E3349&amp;","&amp;C3374),INTEGRANTES!$D$18:$F$235,2,0),"")</f>
        <v>#N/A</v>
      </c>
      <c r="E3374" s="211" t="e">
        <f>IF(D3374&lt;&gt;"",VLOOKUP(VALUE(E3349&amp;","&amp;C3374),INTEGRANTES!$D$18:$F$235,3,0),"")</f>
        <v>#N/A</v>
      </c>
      <c r="F3374" s="547" t="e">
        <f>IF(D3374="","",SUMIF($I3353:$I3362,D3374,$P3353:$P3362))</f>
        <v>#N/A</v>
      </c>
      <c r="G3374" s="333" t="e">
        <f>IF(D3374="","",SUMIF($I3353:$I3362,D3374,$M3353:$M3362))</f>
        <v>#N/A</v>
      </c>
      <c r="H3374" s="535" t="e">
        <f t="shared" si="992"/>
        <v>#N/A</v>
      </c>
      <c r="I3374" s="212" t="e">
        <f>IF(D3374="","",IF(H3374="NO APORTA","NO",IF(H3374=MAX($H3370:$H3375),"SI","NO")))</f>
        <v>#N/A</v>
      </c>
      <c r="J3374" s="213" t="e">
        <f t="shared" si="993"/>
        <v>#N/A</v>
      </c>
      <c r="K3374" s="200" t="e">
        <f t="shared" si="994"/>
        <v>#N/A</v>
      </c>
      <c r="L3374" s="721"/>
      <c r="M3374" s="715" t="s">
        <v>116</v>
      </c>
      <c r="N3374" s="716"/>
      <c r="O3374" s="556" t="str">
        <f>PORCREQUERIDO*100&amp;"% PMFO DEL MÓDULO"</f>
        <v>50% PMFO DEL MÓDULO</v>
      </c>
      <c r="P3374" s="715" t="s">
        <v>118</v>
      </c>
      <c r="Q3374" s="728"/>
      <c r="R3374" s="458"/>
      <c r="S3374" s="459"/>
      <c r="T3374" s="460"/>
      <c r="U3374" s="219"/>
      <c r="V3374" s="464"/>
      <c r="Y3374" s="414"/>
      <c r="AA3374" s="540" t="e">
        <f>IF(AND(C3373&lt;=F3368,F3368&lt;&gt;""),VLOOKUP(VALUE(E3349&amp;","&amp;C3373),INTEGRANTES!$D$18:$F$235,2,0),"")</f>
        <v>#N/A</v>
      </c>
      <c r="AB3374" s="545" t="e">
        <f t="shared" si="995"/>
        <v>#N/A</v>
      </c>
      <c r="AC3374" s="529"/>
      <c r="AD3374" s="200" t="e">
        <f t="shared" si="996"/>
        <v>#N/A</v>
      </c>
      <c r="AE3374" s="52"/>
      <c r="AF3374" s="52"/>
      <c r="AG3374" s="52"/>
      <c r="AH3374" s="87"/>
      <c r="AI3374" s="87"/>
    </row>
    <row r="3375" spans="1:35" ht="16.5" hidden="1" thickBot="1">
      <c r="A3375" s="218" t="e">
        <f>"S"&amp;E3349</f>
        <v>#N/A</v>
      </c>
      <c r="B3375" s="702"/>
      <c r="C3375" s="215">
        <v>6</v>
      </c>
      <c r="D3375" s="216" t="e">
        <f>IF(AND(C3375&lt;=F3368,F3368&lt;&gt;""),VLOOKUP(VALUE(E3349&amp;","&amp;C3375),INTEGRANTES!$D$18:$F$235,2,0),"")</f>
        <v>#N/A</v>
      </c>
      <c r="E3375" s="217" t="e">
        <f>IF(D3375&lt;&gt;"",VLOOKUP(VALUE(E3349&amp;","&amp;C3375),INTEGRANTES!$D$18:$F$235,3,0),"")</f>
        <v>#N/A</v>
      </c>
      <c r="F3375" s="548" t="e">
        <f>IF(D3375="","",SUMIF($I3353:$I3362,D3375,$P3353:$P3362))</f>
        <v>#N/A</v>
      </c>
      <c r="G3375" s="334" t="e">
        <f>IF(D3375="","",SUMIF($I3353:$I3362,D3375,$M3353:$M3362))</f>
        <v>#N/A</v>
      </c>
      <c r="H3375" s="536" t="e">
        <f t="shared" si="992"/>
        <v>#N/A</v>
      </c>
      <c r="I3375" s="214" t="e">
        <f>IF(D3375="","",IF(H3375="NO APORTA","NO",IF(H3375=MAX($H3370:$H3375),"SI","NO")))</f>
        <v>#N/A</v>
      </c>
      <c r="J3375" s="213" t="e">
        <f t="shared" si="993"/>
        <v>#N/A</v>
      </c>
      <c r="K3375" s="200" t="e">
        <f t="shared" si="994"/>
        <v>#N/A</v>
      </c>
      <c r="L3375" s="721"/>
      <c r="M3375" s="729">
        <f>NUMMOD</f>
        <v>1</v>
      </c>
      <c r="N3375" s="730"/>
      <c r="O3375" s="443">
        <f>IF(M3375="","",ROUND(VLOOKUP(M3375,PRESUPUESTOS!$B$16:$H$16,7,FALSE),3))</f>
        <v>25.780999999999999</v>
      </c>
      <c r="P3375" s="713">
        <f>IF(OR(COUNTIF(P3353:P3362,"")&gt;=10,Q3369&lt;NUMMINCONT,OR(T3367="NO CUMPLE",T3367="VERIFICAR")),0,ROUND((SUM(P3353:P3362)/SUM(M3353:M3362)),3))</f>
        <v>0</v>
      </c>
      <c r="Q3375" s="714"/>
      <c r="R3375" s="458"/>
      <c r="S3375" s="459"/>
      <c r="T3375" s="460"/>
      <c r="U3375" s="219"/>
      <c r="V3375" s="464"/>
      <c r="Y3375" s="532" t="s">
        <v>343</v>
      </c>
      <c r="AA3375" s="540" t="e">
        <f>IF(AND(C3374&lt;=F3368,F3368&lt;&gt;""),VLOOKUP(VALUE(E3349&amp;","&amp;C3374),INTEGRANTES!$D$18:$F$235,2,0),"")</f>
        <v>#N/A</v>
      </c>
      <c r="AB3375" s="545" t="e">
        <f t="shared" si="995"/>
        <v>#N/A</v>
      </c>
      <c r="AC3375" s="529"/>
      <c r="AD3375" s="200" t="e">
        <f t="shared" si="996"/>
        <v>#N/A</v>
      </c>
      <c r="AE3375" s="52"/>
      <c r="AF3375" s="52"/>
      <c r="AG3375" s="52"/>
      <c r="AH3375" s="87"/>
      <c r="AI3375" s="87"/>
    </row>
    <row r="3376" spans="1:35" ht="16.5" hidden="1" customHeight="1" thickBot="1">
      <c r="A3376" s="218" t="e">
        <f>"T"&amp;E3349</f>
        <v>#N/A</v>
      </c>
      <c r="B3376" s="703"/>
      <c r="C3376" s="719"/>
      <c r="D3376" s="719"/>
      <c r="E3376" s="719"/>
      <c r="F3376" s="719"/>
      <c r="G3376" s="719"/>
      <c r="H3376" s="719" t="s">
        <v>110</v>
      </c>
      <c r="I3376" s="719"/>
      <c r="J3376" s="719"/>
      <c r="K3376" s="201" t="str">
        <f>IF(COUNTIF(K3370:K3375,"")=6,"",IF(COUNTIF(K3370:K3375,"CUMPLE")&gt;0,"CUMPLE","NO CUMPLE"))</f>
        <v>NO CUMPLE</v>
      </c>
      <c r="L3376" s="754"/>
      <c r="M3376" s="755"/>
      <c r="N3376" s="755"/>
      <c r="O3376" s="755"/>
      <c r="P3376" s="755"/>
      <c r="Q3376" s="756"/>
      <c r="R3376" s="461"/>
      <c r="S3376" s="462"/>
      <c r="T3376" s="463"/>
      <c r="U3376" s="219"/>
      <c r="V3376" s="464"/>
      <c r="Y3376" s="549" t="e">
        <f>IF(Y3370="NO APLICA","NO APLICA",IF(COUNTIF(AD3371:AD3376,"CUMPLE")&gt;0,"CUMPLE","NO CUMPLE"))</f>
        <v>#N/A</v>
      </c>
      <c r="AA3376" s="541" t="e">
        <f>IF(AND(C3375&lt;=F3368,F3368&lt;&gt;""),VLOOKUP(VALUE(E3349&amp;","&amp;C3375),INTEGRANTES!$D$18:$F$235,2,0),"")</f>
        <v>#N/A</v>
      </c>
      <c r="AB3376" s="546" t="e">
        <f t="shared" si="995"/>
        <v>#N/A</v>
      </c>
      <c r="AC3376" s="543"/>
      <c r="AD3376" s="201" t="e">
        <f t="shared" si="996"/>
        <v>#N/A</v>
      </c>
      <c r="AE3376" s="52"/>
      <c r="AF3376" s="52"/>
      <c r="AG3376" s="52"/>
      <c r="AH3376" s="87"/>
      <c r="AI3376" s="87"/>
    </row>
    <row r="3377" spans="1:35" hidden="1">
      <c r="AH3377" s="87"/>
      <c r="AI3377" s="87"/>
    </row>
    <row r="3378" spans="1:35" hidden="1">
      <c r="AH3378" s="87"/>
      <c r="AI3378" s="87"/>
    </row>
    <row r="3379" spans="1:35" ht="24" hidden="1" thickBot="1">
      <c r="A3379" s="61">
        <v>113</v>
      </c>
      <c r="B3379" s="704" t="s">
        <v>51</v>
      </c>
      <c r="C3379" s="704"/>
      <c r="D3379" s="704"/>
      <c r="E3379" s="62" t="e">
        <f>VLOOKUP(A3379,PROPONENTES!$B$19:$E$218,2,FALSE)</f>
        <v>#N/A</v>
      </c>
      <c r="F3379" s="63" t="e">
        <f>VLOOKUP(A3379,PROPONENTES!$B$19:$E$218,3,FALSE)</f>
        <v>#N/A</v>
      </c>
      <c r="G3379" s="64"/>
      <c r="H3379" s="64"/>
      <c r="I3379" s="63"/>
      <c r="J3379" s="63"/>
      <c r="K3379" s="65"/>
      <c r="L3379" s="65"/>
      <c r="M3379" s="64"/>
      <c r="N3379" s="64"/>
      <c r="O3379" s="66"/>
      <c r="P3379" s="66"/>
      <c r="Q3379" s="66"/>
      <c r="R3379" s="66"/>
      <c r="S3379" s="67"/>
      <c r="T3379" s="68"/>
      <c r="U3379" s="68"/>
      <c r="AC3379" s="68"/>
      <c r="AD3379" s="68"/>
      <c r="AE3379" s="68"/>
      <c r="AF3379" s="68"/>
      <c r="AG3379" s="68"/>
      <c r="AH3379" s="87"/>
      <c r="AI3379" s="87"/>
    </row>
    <row r="3380" spans="1:35" ht="15.75" hidden="1" customHeight="1">
      <c r="A3380" s="44"/>
      <c r="B3380" s="709" t="s">
        <v>59</v>
      </c>
      <c r="C3380" s="552" t="s">
        <v>60</v>
      </c>
      <c r="D3380" s="70" t="s">
        <v>17</v>
      </c>
      <c r="E3380" s="70"/>
      <c r="F3380" s="70" t="s">
        <v>61</v>
      </c>
      <c r="G3380" s="71"/>
      <c r="H3380" s="699" t="s">
        <v>62</v>
      </c>
      <c r="I3380" s="699" t="s">
        <v>18</v>
      </c>
      <c r="J3380" s="699" t="s">
        <v>63</v>
      </c>
      <c r="K3380" s="699" t="s">
        <v>64</v>
      </c>
      <c r="L3380" s="699" t="s">
        <v>65</v>
      </c>
      <c r="M3380" s="743" t="s">
        <v>66</v>
      </c>
      <c r="N3380" s="699" t="s">
        <v>282</v>
      </c>
      <c r="O3380" s="745" t="s">
        <v>67</v>
      </c>
      <c r="P3380" s="746"/>
      <c r="Q3380" s="102" t="s">
        <v>75</v>
      </c>
      <c r="R3380" s="731" t="s">
        <v>22</v>
      </c>
      <c r="S3380" s="732"/>
      <c r="T3380" s="733"/>
      <c r="U3380" s="712" t="s">
        <v>298</v>
      </c>
      <c r="W3380" s="690" t="s">
        <v>268</v>
      </c>
      <c r="X3380" s="691"/>
      <c r="Y3380" s="692"/>
      <c r="Z3380" s="428"/>
      <c r="AA3380" s="697" t="s">
        <v>315</v>
      </c>
      <c r="AB3380" s="695" t="s">
        <v>322</v>
      </c>
      <c r="AC3380" s="49"/>
      <c r="AD3380" s="690" t="s">
        <v>297</v>
      </c>
      <c r="AE3380" s="691"/>
      <c r="AF3380" s="692"/>
      <c r="AG3380" s="49"/>
      <c r="AH3380" s="87"/>
      <c r="AI3380" s="87"/>
    </row>
    <row r="3381" spans="1:35" ht="72" hidden="1">
      <c r="A3381" s="44"/>
      <c r="B3381" s="710"/>
      <c r="C3381" s="553" t="s">
        <v>68</v>
      </c>
      <c r="D3381" s="73" t="s">
        <v>3</v>
      </c>
      <c r="E3381" s="73" t="s">
        <v>19</v>
      </c>
      <c r="F3381" s="73" t="s">
        <v>69</v>
      </c>
      <c r="G3381" s="74" t="s">
        <v>70</v>
      </c>
      <c r="H3381" s="700"/>
      <c r="I3381" s="700"/>
      <c r="J3381" s="700"/>
      <c r="K3381" s="700"/>
      <c r="L3381" s="700"/>
      <c r="M3381" s="744"/>
      <c r="N3381" s="700"/>
      <c r="O3381" s="553" t="s">
        <v>279</v>
      </c>
      <c r="P3381" s="73" t="s">
        <v>88</v>
      </c>
      <c r="Q3381" s="555" t="s">
        <v>76</v>
      </c>
      <c r="R3381" s="734"/>
      <c r="S3381" s="735"/>
      <c r="T3381" s="736"/>
      <c r="U3381" s="712"/>
      <c r="W3381" s="429" t="s">
        <v>269</v>
      </c>
      <c r="X3381" s="457" t="s">
        <v>278</v>
      </c>
      <c r="Y3381" s="430" t="s">
        <v>324</v>
      </c>
      <c r="Z3381" s="428"/>
      <c r="AA3381" s="698"/>
      <c r="AB3381" s="696"/>
      <c r="AC3381" s="49"/>
      <c r="AD3381" s="429" t="s">
        <v>292</v>
      </c>
      <c r="AE3381" s="431" t="s">
        <v>300</v>
      </c>
      <c r="AF3381" s="468" t="s">
        <v>301</v>
      </c>
      <c r="AG3381" s="49"/>
      <c r="AH3381" s="87"/>
      <c r="AI3381" s="87"/>
    </row>
    <row r="3382" spans="1:35" hidden="1">
      <c r="A3382" s="44"/>
      <c r="B3382" s="76"/>
      <c r="C3382" s="77"/>
      <c r="D3382" s="77"/>
      <c r="E3382" s="77"/>
      <c r="F3382" s="77"/>
      <c r="G3382" s="77"/>
      <c r="H3382" s="77"/>
      <c r="I3382" s="77"/>
      <c r="J3382" s="77"/>
      <c r="K3382" s="77"/>
      <c r="L3382" s="77"/>
      <c r="M3382" s="77"/>
      <c r="N3382" s="77"/>
      <c r="O3382" s="77"/>
      <c r="P3382" s="77"/>
      <c r="Q3382" s="77"/>
      <c r="R3382" s="77"/>
      <c r="S3382" s="78"/>
      <c r="T3382" s="79"/>
      <c r="U3382" s="109"/>
      <c r="V3382" s="49"/>
      <c r="W3382" s="432"/>
      <c r="X3382" s="454"/>
      <c r="Y3382" s="433"/>
      <c r="Z3382" s="6"/>
      <c r="AA3382" s="500"/>
      <c r="AB3382" s="562"/>
      <c r="AC3382" s="49"/>
      <c r="AD3382" s="210"/>
      <c r="AE3382" s="434"/>
      <c r="AF3382" s="435"/>
      <c r="AG3382" s="49"/>
      <c r="AH3382" s="87"/>
      <c r="AI3382" s="87"/>
    </row>
    <row r="3383" spans="1:35" hidden="1">
      <c r="A3383" s="80" t="e">
        <f>"A"&amp;E3379</f>
        <v>#N/A</v>
      </c>
      <c r="B3383" s="81">
        <v>1</v>
      </c>
      <c r="C3383" s="82"/>
      <c r="D3383" s="82"/>
      <c r="E3383" s="82"/>
      <c r="F3383" s="82"/>
      <c r="G3383" s="83"/>
      <c r="H3383" s="83"/>
      <c r="I3383" s="84"/>
      <c r="J3383" s="85"/>
      <c r="K3383" s="382"/>
      <c r="L3383" s="85"/>
      <c r="M3383" s="332" t="str">
        <f t="shared" ref="M3383:M3392" si="997">IF(OR(J3383="",L3383="",H3383="NO"),"",IF(OR(J3383&gt;$P$17,J3383&lt;$O$17,L3383&gt;$P$17,AND(J3383&lt;$O$17,L3383&lt;$O$17)),"FUERA DE RANGO",IF(OR(K3383="---",K3383=""),IF(J3383&gt;=$O$17,ROUND((L3383-J3383+1)/360*12,3),ROUND((L3383-$O$17+1)/360*12,3)),IF(J3383&gt;=$O$17,ROUND((L3383-J3383+1)/360*12-ROUND(K3383,3),3),ROUND((L3383-$O$17+1)/360*12-ROUND(K3383,3),3)))))</f>
        <v/>
      </c>
      <c r="N3383" s="86"/>
      <c r="O3383" s="453" t="str">
        <f>IF(OR(G3383="",N3383=""),"",N3383*G3383)</f>
        <v/>
      </c>
      <c r="P3383" s="538" t="str">
        <f>IF(OR(H3383="",M3383="FUERA DE RANGO"),"",IF(OR(L3383&lt;$O$17,L3383&gt;$P$17,L3383="",H3383="NO"),"",IF(OR(N3383="",O3383=""),"",ROUND(O3383,3))))</f>
        <v/>
      </c>
      <c r="Q3383" s="539" t="str">
        <f t="shared" ref="Q3383:Q3392" si="998">IF(AND(H3383="SI",P3383&lt;&gt;""),ROUND(P3383/M3383,3),"")</f>
        <v/>
      </c>
      <c r="R3383" s="737"/>
      <c r="S3383" s="738"/>
      <c r="T3383" s="739"/>
      <c r="U3383" s="470"/>
      <c r="V3383" s="165"/>
      <c r="W3383" s="446"/>
      <c r="X3383" s="456"/>
      <c r="Y3383" s="436"/>
      <c r="Z3383" s="437"/>
      <c r="AA3383" s="560"/>
      <c r="AB3383" s="561"/>
      <c r="AC3383" s="87"/>
      <c r="AD3383" s="466"/>
      <c r="AE3383" s="456"/>
      <c r="AF3383" s="467"/>
      <c r="AG3383" s="87"/>
      <c r="AH3383" s="87"/>
      <c r="AI3383" s="87"/>
    </row>
    <row r="3384" spans="1:35" hidden="1">
      <c r="A3384" s="80" t="e">
        <f>"B"&amp;E3379</f>
        <v>#N/A</v>
      </c>
      <c r="B3384" s="81">
        <v>2</v>
      </c>
      <c r="C3384" s="106"/>
      <c r="D3384" s="106"/>
      <c r="E3384" s="106"/>
      <c r="F3384" s="106"/>
      <c r="G3384" s="83"/>
      <c r="H3384" s="83"/>
      <c r="I3384" s="84"/>
      <c r="J3384" s="85"/>
      <c r="K3384" s="382"/>
      <c r="L3384" s="85"/>
      <c r="M3384" s="332" t="str">
        <f t="shared" si="997"/>
        <v/>
      </c>
      <c r="N3384" s="86"/>
      <c r="O3384" s="453" t="str">
        <f t="shared" ref="O3384:O3392" si="999">IF(OR(G3384="",N3384=""),"",N3384*G3384)</f>
        <v/>
      </c>
      <c r="P3384" s="538" t="str">
        <f t="shared" ref="P3384:P3392" si="1000">IF(OR(H3384="",M3384="FUERA DE RANGO"),"",IF(OR(L3384&lt;$O$17,L3384&gt;$P$17,L3384="",H3384="NO"),"",IF(OR(N3384="",O3384=""),"",ROUND(O3384,3))))</f>
        <v/>
      </c>
      <c r="Q3384" s="539" t="str">
        <f t="shared" si="998"/>
        <v/>
      </c>
      <c r="R3384" s="740"/>
      <c r="S3384" s="741"/>
      <c r="T3384" s="742"/>
      <c r="U3384" s="471"/>
      <c r="V3384" s="165"/>
      <c r="W3384" s="446"/>
      <c r="X3384" s="456"/>
      <c r="Y3384" s="436"/>
      <c r="Z3384" s="437"/>
      <c r="AA3384" s="560"/>
      <c r="AB3384" s="561"/>
      <c r="AC3384" s="87"/>
      <c r="AD3384" s="466"/>
      <c r="AE3384" s="456"/>
      <c r="AF3384" s="467"/>
      <c r="AG3384" s="87"/>
      <c r="AH3384" s="87"/>
      <c r="AI3384" s="87"/>
    </row>
    <row r="3385" spans="1:35" hidden="1">
      <c r="A3385" s="80" t="e">
        <f>"C"&amp;E3379</f>
        <v>#N/A</v>
      </c>
      <c r="B3385" s="88">
        <v>3</v>
      </c>
      <c r="C3385" s="82"/>
      <c r="D3385" s="82"/>
      <c r="E3385" s="82"/>
      <c r="F3385" s="82"/>
      <c r="G3385" s="83"/>
      <c r="H3385" s="83"/>
      <c r="I3385" s="84"/>
      <c r="J3385" s="85"/>
      <c r="K3385" s="382"/>
      <c r="L3385" s="85"/>
      <c r="M3385" s="332" t="str">
        <f t="shared" si="997"/>
        <v/>
      </c>
      <c r="N3385" s="86"/>
      <c r="O3385" s="453" t="str">
        <f t="shared" si="999"/>
        <v/>
      </c>
      <c r="P3385" s="538" t="str">
        <f t="shared" si="1000"/>
        <v/>
      </c>
      <c r="Q3385" s="539" t="str">
        <f t="shared" si="998"/>
        <v/>
      </c>
      <c r="R3385" s="706"/>
      <c r="S3385" s="707"/>
      <c r="T3385" s="708"/>
      <c r="U3385" s="472"/>
      <c r="V3385" s="166"/>
      <c r="W3385" s="446"/>
      <c r="X3385" s="456"/>
      <c r="Y3385" s="436"/>
      <c r="Z3385" s="437"/>
      <c r="AA3385" s="560"/>
      <c r="AB3385" s="561"/>
      <c r="AC3385" s="87"/>
      <c r="AD3385" s="466"/>
      <c r="AE3385" s="456"/>
      <c r="AF3385" s="467"/>
      <c r="AG3385" s="87"/>
      <c r="AH3385" s="87"/>
      <c r="AI3385" s="87"/>
    </row>
    <row r="3386" spans="1:35" hidden="1">
      <c r="A3386" s="80" t="e">
        <f>"D"&amp;E3379</f>
        <v>#N/A</v>
      </c>
      <c r="B3386" s="105">
        <v>4</v>
      </c>
      <c r="C3386" s="107"/>
      <c r="D3386" s="107"/>
      <c r="E3386" s="107"/>
      <c r="F3386" s="107"/>
      <c r="G3386" s="83"/>
      <c r="H3386" s="83"/>
      <c r="I3386" s="84"/>
      <c r="J3386" s="85"/>
      <c r="K3386" s="382"/>
      <c r="L3386" s="85"/>
      <c r="M3386" s="332" t="str">
        <f t="shared" si="997"/>
        <v/>
      </c>
      <c r="N3386" s="86"/>
      <c r="O3386" s="453" t="str">
        <f t="shared" si="999"/>
        <v/>
      </c>
      <c r="P3386" s="538" t="str">
        <f t="shared" si="1000"/>
        <v/>
      </c>
      <c r="Q3386" s="539" t="str">
        <f t="shared" si="998"/>
        <v/>
      </c>
      <c r="R3386" s="706"/>
      <c r="S3386" s="707"/>
      <c r="T3386" s="708"/>
      <c r="U3386" s="472"/>
      <c r="V3386" s="166"/>
      <c r="W3386" s="446"/>
      <c r="X3386" s="456"/>
      <c r="Y3386" s="436"/>
      <c r="Z3386" s="437"/>
      <c r="AA3386" s="560"/>
      <c r="AB3386" s="561"/>
      <c r="AC3386" s="87"/>
      <c r="AD3386" s="466"/>
      <c r="AE3386" s="456"/>
      <c r="AF3386" s="467"/>
      <c r="AG3386" s="87"/>
      <c r="AH3386" s="87"/>
      <c r="AI3386" s="87"/>
    </row>
    <row r="3387" spans="1:35" hidden="1">
      <c r="A3387" s="80" t="e">
        <f>"E"&amp;E3379</f>
        <v>#N/A</v>
      </c>
      <c r="B3387" s="105">
        <v>5</v>
      </c>
      <c r="C3387" s="107"/>
      <c r="D3387" s="107"/>
      <c r="E3387" s="107"/>
      <c r="F3387" s="107"/>
      <c r="G3387" s="83"/>
      <c r="H3387" s="83"/>
      <c r="I3387" s="84"/>
      <c r="J3387" s="85"/>
      <c r="K3387" s="382"/>
      <c r="L3387" s="85"/>
      <c r="M3387" s="332" t="str">
        <f t="shared" si="997"/>
        <v/>
      </c>
      <c r="N3387" s="86"/>
      <c r="O3387" s="453" t="str">
        <f t="shared" si="999"/>
        <v/>
      </c>
      <c r="P3387" s="538" t="str">
        <f t="shared" si="1000"/>
        <v/>
      </c>
      <c r="Q3387" s="539" t="str">
        <f t="shared" si="998"/>
        <v/>
      </c>
      <c r="R3387" s="706"/>
      <c r="S3387" s="707"/>
      <c r="T3387" s="708"/>
      <c r="U3387" s="472"/>
      <c r="V3387" s="167"/>
      <c r="W3387" s="446"/>
      <c r="X3387" s="456"/>
      <c r="Y3387" s="436"/>
      <c r="Z3387" s="437"/>
      <c r="AA3387" s="560"/>
      <c r="AB3387" s="561"/>
      <c r="AC3387" s="87"/>
      <c r="AD3387" s="466"/>
      <c r="AE3387" s="456"/>
      <c r="AF3387" s="467"/>
      <c r="AG3387" s="87"/>
      <c r="AH3387" s="87"/>
      <c r="AI3387" s="87"/>
    </row>
    <row r="3388" spans="1:35" hidden="1">
      <c r="A3388" s="80" t="e">
        <f>"F"&amp;E3379</f>
        <v>#N/A</v>
      </c>
      <c r="B3388" s="105">
        <v>6</v>
      </c>
      <c r="C3388" s="107"/>
      <c r="D3388" s="107"/>
      <c r="E3388" s="107"/>
      <c r="F3388" s="107"/>
      <c r="G3388" s="83"/>
      <c r="H3388" s="83"/>
      <c r="I3388" s="84"/>
      <c r="J3388" s="85"/>
      <c r="K3388" s="382"/>
      <c r="L3388" s="85"/>
      <c r="M3388" s="332" t="str">
        <f t="shared" si="997"/>
        <v/>
      </c>
      <c r="N3388" s="86"/>
      <c r="O3388" s="453" t="str">
        <f t="shared" si="999"/>
        <v/>
      </c>
      <c r="P3388" s="538" t="str">
        <f t="shared" si="1000"/>
        <v/>
      </c>
      <c r="Q3388" s="539" t="str">
        <f t="shared" si="998"/>
        <v/>
      </c>
      <c r="R3388" s="706"/>
      <c r="S3388" s="707"/>
      <c r="T3388" s="708"/>
      <c r="U3388" s="472"/>
      <c r="V3388" s="167"/>
      <c r="W3388" s="446"/>
      <c r="X3388" s="456"/>
      <c r="Y3388" s="436"/>
      <c r="Z3388" s="437"/>
      <c r="AA3388" s="560"/>
      <c r="AB3388" s="561"/>
      <c r="AC3388" s="87"/>
      <c r="AD3388" s="466"/>
      <c r="AE3388" s="456"/>
      <c r="AF3388" s="467"/>
      <c r="AG3388" s="87"/>
      <c r="AH3388" s="87"/>
      <c r="AI3388" s="87"/>
    </row>
    <row r="3389" spans="1:35" hidden="1">
      <c r="A3389" s="80" t="e">
        <f>"G"&amp;E3379</f>
        <v>#N/A</v>
      </c>
      <c r="B3389" s="105">
        <v>7</v>
      </c>
      <c r="C3389" s="107"/>
      <c r="D3389" s="107"/>
      <c r="E3389" s="107"/>
      <c r="F3389" s="107"/>
      <c r="G3389" s="83"/>
      <c r="H3389" s="83"/>
      <c r="I3389" s="84"/>
      <c r="J3389" s="85"/>
      <c r="K3389" s="382"/>
      <c r="L3389" s="85"/>
      <c r="M3389" s="332" t="str">
        <f t="shared" si="997"/>
        <v/>
      </c>
      <c r="N3389" s="86"/>
      <c r="O3389" s="86" t="str">
        <f t="shared" si="999"/>
        <v/>
      </c>
      <c r="P3389" s="538" t="str">
        <f t="shared" si="1000"/>
        <v/>
      </c>
      <c r="Q3389" s="539" t="str">
        <f t="shared" si="998"/>
        <v/>
      </c>
      <c r="R3389" s="706"/>
      <c r="S3389" s="707"/>
      <c r="T3389" s="708"/>
      <c r="U3389" s="472"/>
      <c r="V3389" s="167"/>
      <c r="W3389" s="446"/>
      <c r="X3389" s="456"/>
      <c r="Y3389" s="436"/>
      <c r="Z3389" s="437"/>
      <c r="AA3389" s="560"/>
      <c r="AB3389" s="561"/>
      <c r="AC3389" s="87"/>
      <c r="AD3389" s="466"/>
      <c r="AE3389" s="456"/>
      <c r="AF3389" s="467"/>
      <c r="AG3389" s="87"/>
      <c r="AH3389" s="87"/>
      <c r="AI3389" s="87"/>
    </row>
    <row r="3390" spans="1:35" hidden="1">
      <c r="A3390" s="80" t="e">
        <f>"H"&amp;E3379</f>
        <v>#N/A</v>
      </c>
      <c r="B3390" s="105">
        <v>8</v>
      </c>
      <c r="C3390" s="107"/>
      <c r="D3390" s="107"/>
      <c r="E3390" s="107"/>
      <c r="F3390" s="107"/>
      <c r="G3390" s="83"/>
      <c r="H3390" s="83"/>
      <c r="I3390" s="84"/>
      <c r="J3390" s="85"/>
      <c r="K3390" s="382"/>
      <c r="L3390" s="85"/>
      <c r="M3390" s="332" t="str">
        <f t="shared" si="997"/>
        <v/>
      </c>
      <c r="N3390" s="453"/>
      <c r="O3390" s="86" t="str">
        <f t="shared" si="999"/>
        <v/>
      </c>
      <c r="P3390" s="538" t="str">
        <f t="shared" si="1000"/>
        <v/>
      </c>
      <c r="Q3390" s="539" t="str">
        <f t="shared" si="998"/>
        <v/>
      </c>
      <c r="R3390" s="706"/>
      <c r="S3390" s="707"/>
      <c r="T3390" s="708"/>
      <c r="U3390" s="472"/>
      <c r="V3390" s="167"/>
      <c r="W3390" s="446"/>
      <c r="X3390" s="456"/>
      <c r="Y3390" s="436"/>
      <c r="Z3390" s="437"/>
      <c r="AA3390" s="560"/>
      <c r="AB3390" s="561"/>
      <c r="AC3390" s="87"/>
      <c r="AD3390" s="466"/>
      <c r="AE3390" s="456"/>
      <c r="AF3390" s="467"/>
      <c r="AG3390" s="87"/>
      <c r="AH3390" s="87"/>
      <c r="AI3390" s="87"/>
    </row>
    <row r="3391" spans="1:35" hidden="1">
      <c r="A3391" s="80" t="e">
        <f>"I"&amp;E3379</f>
        <v>#N/A</v>
      </c>
      <c r="B3391" s="105">
        <v>9</v>
      </c>
      <c r="C3391" s="107"/>
      <c r="D3391" s="107"/>
      <c r="E3391" s="107"/>
      <c r="F3391" s="107"/>
      <c r="G3391" s="83"/>
      <c r="H3391" s="83"/>
      <c r="I3391" s="84"/>
      <c r="J3391" s="85"/>
      <c r="K3391" s="382"/>
      <c r="L3391" s="85"/>
      <c r="M3391" s="332" t="str">
        <f t="shared" si="997"/>
        <v/>
      </c>
      <c r="N3391" s="453"/>
      <c r="O3391" s="86" t="str">
        <f t="shared" si="999"/>
        <v/>
      </c>
      <c r="P3391" s="538" t="str">
        <f t="shared" si="1000"/>
        <v/>
      </c>
      <c r="Q3391" s="539" t="str">
        <f t="shared" si="998"/>
        <v/>
      </c>
      <c r="R3391" s="706"/>
      <c r="S3391" s="707"/>
      <c r="T3391" s="708"/>
      <c r="U3391" s="472"/>
      <c r="V3391" s="167"/>
      <c r="W3391" s="446"/>
      <c r="X3391" s="456"/>
      <c r="Y3391" s="436"/>
      <c r="Z3391" s="437"/>
      <c r="AA3391" s="560"/>
      <c r="AB3391" s="561"/>
      <c r="AC3391" s="87"/>
      <c r="AD3391" s="466"/>
      <c r="AE3391" s="456"/>
      <c r="AF3391" s="467"/>
      <c r="AG3391" s="87"/>
      <c r="AH3391" s="87"/>
      <c r="AI3391" s="87"/>
    </row>
    <row r="3392" spans="1:35" hidden="1">
      <c r="A3392" s="80" t="e">
        <f>"J"&amp;E3379</f>
        <v>#N/A</v>
      </c>
      <c r="B3392" s="105">
        <v>10</v>
      </c>
      <c r="C3392" s="107"/>
      <c r="D3392" s="107"/>
      <c r="E3392" s="107"/>
      <c r="F3392" s="107"/>
      <c r="G3392" s="83"/>
      <c r="H3392" s="83"/>
      <c r="I3392" s="84"/>
      <c r="J3392" s="85"/>
      <c r="K3392" s="382"/>
      <c r="L3392" s="85"/>
      <c r="M3392" s="332" t="str">
        <f t="shared" si="997"/>
        <v/>
      </c>
      <c r="N3392" s="453"/>
      <c r="O3392" s="86" t="str">
        <f t="shared" si="999"/>
        <v/>
      </c>
      <c r="P3392" s="538" t="str">
        <f t="shared" si="1000"/>
        <v/>
      </c>
      <c r="Q3392" s="539" t="str">
        <f t="shared" si="998"/>
        <v/>
      </c>
      <c r="R3392" s="706"/>
      <c r="S3392" s="707"/>
      <c r="T3392" s="708"/>
      <c r="U3392" s="472"/>
      <c r="V3392" s="167"/>
      <c r="W3392" s="446"/>
      <c r="X3392" s="456"/>
      <c r="Y3392" s="436"/>
      <c r="Z3392" s="437"/>
      <c r="AA3392" s="560"/>
      <c r="AB3392" s="561"/>
      <c r="AC3392" s="87"/>
      <c r="AD3392" s="466"/>
      <c r="AE3392" s="456"/>
      <c r="AF3392" s="467"/>
      <c r="AG3392" s="87"/>
      <c r="AH3392" s="87"/>
      <c r="AI3392" s="87"/>
    </row>
    <row r="3393" spans="1:35" ht="16.5" hidden="1" thickBot="1">
      <c r="A3393" s="44"/>
      <c r="B3393" s="89"/>
      <c r="C3393" s="90"/>
      <c r="D3393" s="90"/>
      <c r="E3393" s="90"/>
      <c r="F3393" s="90"/>
      <c r="G3393" s="90"/>
      <c r="H3393" s="90"/>
      <c r="I3393" s="90"/>
      <c r="J3393" s="90"/>
      <c r="K3393" s="90"/>
      <c r="L3393" s="90"/>
      <c r="M3393" s="90"/>
      <c r="N3393" s="90"/>
      <c r="O3393" s="90"/>
      <c r="P3393" s="90"/>
      <c r="Q3393" s="90"/>
      <c r="R3393" s="90"/>
      <c r="S3393" s="91"/>
      <c r="T3393" s="92"/>
      <c r="U3393" s="473"/>
      <c r="W3393" s="438"/>
      <c r="X3393" s="455"/>
      <c r="Y3393" s="439"/>
      <c r="Z3393" s="437"/>
      <c r="AA3393" s="530"/>
      <c r="AB3393" s="563"/>
      <c r="AC3393" s="87"/>
      <c r="AD3393" s="440"/>
      <c r="AE3393" s="441"/>
      <c r="AF3393" s="442"/>
      <c r="AG3393" s="49"/>
      <c r="AH3393" s="87"/>
      <c r="AI3393" s="87"/>
    </row>
    <row r="3394" spans="1:35" ht="16.5" hidden="1" thickBot="1">
      <c r="A3394" s="93"/>
      <c r="B3394" s="94"/>
      <c r="C3394" s="96"/>
      <c r="D3394" s="96"/>
      <c r="E3394" s="96"/>
      <c r="F3394" s="96"/>
      <c r="G3394" s="96"/>
      <c r="H3394" s="96"/>
      <c r="I3394" s="96"/>
      <c r="J3394" s="96"/>
      <c r="K3394" s="96"/>
      <c r="L3394" s="96"/>
      <c r="M3394" s="136"/>
      <c r="N3394" s="96"/>
      <c r="O3394" s="96"/>
      <c r="P3394" s="97"/>
      <c r="Q3394" s="97"/>
      <c r="R3394" s="98"/>
      <c r="S3394" s="95"/>
      <c r="T3394" s="99"/>
      <c r="U3394" s="469"/>
      <c r="AC3394" s="58"/>
      <c r="AG3394" s="58"/>
      <c r="AH3394" s="87"/>
      <c r="AI3394" s="87"/>
    </row>
    <row r="3395" spans="1:35" ht="16.5" hidden="1" thickBot="1">
      <c r="B3395" s="101"/>
      <c r="C3395" s="101"/>
      <c r="D3395" s="101"/>
      <c r="E3395" s="101"/>
      <c r="F3395" s="101"/>
      <c r="G3395" s="101"/>
      <c r="H3395" s="101"/>
      <c r="I3395" s="101"/>
      <c r="J3395" s="101"/>
      <c r="K3395" s="101"/>
      <c r="L3395" s="101"/>
      <c r="M3395" s="101"/>
      <c r="N3395" s="101"/>
      <c r="O3395" s="101"/>
      <c r="P3395" s="101"/>
      <c r="Q3395" s="101"/>
      <c r="R3395" s="101"/>
      <c r="S3395" s="101"/>
      <c r="U3395" s="50"/>
      <c r="AH3395" s="87"/>
      <c r="AI3395" s="87"/>
    </row>
    <row r="3396" spans="1:35" ht="16.5" hidden="1" customHeight="1" thickBot="1">
      <c r="A3396" s="44"/>
      <c r="B3396" s="705" t="s">
        <v>74</v>
      </c>
      <c r="C3396" s="705"/>
      <c r="D3396" s="705"/>
      <c r="E3396" s="705"/>
      <c r="F3396" s="705"/>
      <c r="G3396" s="705"/>
      <c r="H3396" s="705"/>
      <c r="I3396" s="705"/>
      <c r="J3396" s="705"/>
      <c r="K3396" s="705"/>
      <c r="L3396" s="705"/>
      <c r="M3396" s="705"/>
      <c r="N3396" s="705"/>
      <c r="O3396" s="705"/>
      <c r="P3396" s="705"/>
      <c r="Q3396" s="705"/>
      <c r="R3396" s="705"/>
      <c r="S3396" s="705"/>
      <c r="T3396" s="705"/>
      <c r="U3396" s="108"/>
      <c r="Y3396" s="532" t="s">
        <v>341</v>
      </c>
      <c r="AC3396" s="49"/>
      <c r="AD3396" s="687" t="s">
        <v>302</v>
      </c>
      <c r="AE3396" s="688"/>
      <c r="AF3396" s="689"/>
      <c r="AG3396" s="49"/>
      <c r="AH3396" s="87"/>
      <c r="AI3396" s="87"/>
    </row>
    <row r="3397" spans="1:35" ht="16.5" hidden="1" customHeight="1" thickBot="1">
      <c r="A3397" s="218" t="e">
        <f>"K"&amp;E3379</f>
        <v>#N/A</v>
      </c>
      <c r="B3397" s="701" t="s">
        <v>71</v>
      </c>
      <c r="C3397" s="751" t="s">
        <v>102</v>
      </c>
      <c r="D3397" s="751"/>
      <c r="E3397" s="751"/>
      <c r="F3397" s="751"/>
      <c r="G3397" s="751"/>
      <c r="H3397" s="751"/>
      <c r="I3397" s="751"/>
      <c r="J3397" s="751"/>
      <c r="K3397" s="751"/>
      <c r="L3397" s="722" t="s">
        <v>100</v>
      </c>
      <c r="M3397" s="747" t="s">
        <v>114</v>
      </c>
      <c r="N3397" s="747"/>
      <c r="O3397" s="747"/>
      <c r="P3397" s="747"/>
      <c r="Q3397" s="748"/>
      <c r="R3397" s="758" t="s">
        <v>280</v>
      </c>
      <c r="S3397" s="748"/>
      <c r="T3397" s="762" t="str">
        <f>IF(COUNTIF(AE3397:AF3397,"VERIFICAR")&gt;0,"VERIFICAR",IF(COUNTIF(AE3397:AF3397,"NO CUMPLE")&gt;0,"NO CUMPLE","CUMPLE"))</f>
        <v>VERIFICAR</v>
      </c>
      <c r="U3397" s="108"/>
      <c r="Y3397" s="533" t="e">
        <f>IF(F3398="","",IF(F3398=1,"INDIVIDUAL","ESTRUCTURA PLURAL"))</f>
        <v>#N/A</v>
      </c>
      <c r="AC3397" s="52"/>
      <c r="AD3397" s="475" t="s">
        <v>303</v>
      </c>
      <c r="AE3397" s="476" t="str">
        <f>IF(COUNTIF(AE3383:AE3392,"")=10,"VERIFICAR",IF(COUNTIF(AE3383:AE3392,"SI")&gt;0,"CUMPLE","NO CUMPLE"))</f>
        <v>VERIFICAR</v>
      </c>
      <c r="AF3397" s="477" t="str">
        <f>IF(COUNTIF(AF3383:AF3392,"")=10,"VERIFICAR",IF(COUNTIF(AF3383:AF3392,"SI")&gt;=$AI$22,"CUMPLE","NO CUMPLE"))</f>
        <v>VERIFICAR</v>
      </c>
      <c r="AG3397" s="52"/>
      <c r="AH3397" s="87"/>
      <c r="AI3397" s="87"/>
    </row>
    <row r="3398" spans="1:35" ht="15.75" hidden="1" customHeight="1" thickBot="1">
      <c r="A3398" s="218" t="e">
        <f>"L"&amp;E3379</f>
        <v>#N/A</v>
      </c>
      <c r="B3398" s="702"/>
      <c r="C3398" s="751" t="s">
        <v>103</v>
      </c>
      <c r="D3398" s="751"/>
      <c r="E3398" s="752"/>
      <c r="F3398" s="557" t="e">
        <f>IF(VLOOKUP(E3379,PROPONENTES!$C$19:$E$218,3,0)="","",VLOOKUP(E3379,PROPONENTES!$C$19:$E$218,3,0))</f>
        <v>#N/A</v>
      </c>
      <c r="G3398" s="753" t="s">
        <v>104</v>
      </c>
      <c r="H3398" s="751"/>
      <c r="I3398" s="715" t="e">
        <f>IF(OR(F3398="",F3398=1),"INTERESADO PERSONA NATURAL O JURIDICA","CONSORCIO O UNION TEMPORAL")</f>
        <v>#N/A</v>
      </c>
      <c r="J3398" s="725"/>
      <c r="K3398" s="728"/>
      <c r="L3398" s="723"/>
      <c r="M3398" s="749"/>
      <c r="N3398" s="749"/>
      <c r="O3398" s="749"/>
      <c r="P3398" s="749"/>
      <c r="Q3398" s="750"/>
      <c r="R3398" s="712"/>
      <c r="S3398" s="750"/>
      <c r="T3398" s="763"/>
      <c r="U3398" s="108"/>
      <c r="Y3398" s="534"/>
      <c r="AA3398" s="52"/>
      <c r="AB3398" s="52"/>
      <c r="AC3398" s="52"/>
      <c r="AG3398" s="52"/>
      <c r="AH3398" s="87"/>
      <c r="AI3398" s="87"/>
    </row>
    <row r="3399" spans="1:35" ht="56.25" hidden="1" customHeight="1" thickBot="1">
      <c r="A3399" s="218" t="e">
        <f>"M"&amp;E3379</f>
        <v>#N/A</v>
      </c>
      <c r="B3399" s="702"/>
      <c r="C3399" s="725" t="s">
        <v>101</v>
      </c>
      <c r="D3399" s="716"/>
      <c r="E3399" s="558" t="s">
        <v>105</v>
      </c>
      <c r="F3399" s="554" t="s">
        <v>87</v>
      </c>
      <c r="G3399" s="553" t="s">
        <v>86</v>
      </c>
      <c r="H3399" s="559" t="s">
        <v>85</v>
      </c>
      <c r="I3399" s="554" t="s">
        <v>252</v>
      </c>
      <c r="J3399" s="553" t="str">
        <f>"¿EL INTEGRANTE TIENE UNA PARTICIPACIÓN DEL "&amp;PORCREQUERIDOINT*100&amp;"%?"</f>
        <v>¿EL INTEGRANTE TIENE UNA PARTICIPACIÓN DEL 60%?</v>
      </c>
      <c r="K3399" s="554" t="s">
        <v>107</v>
      </c>
      <c r="L3399" s="724"/>
      <c r="M3399" s="717" t="s">
        <v>115</v>
      </c>
      <c r="N3399" s="718"/>
      <c r="O3399" s="718"/>
      <c r="P3399" s="718"/>
      <c r="Q3399" s="223">
        <f>IF(AND(H3383="SI",P3383&gt;=0),1,0)+IF(AND(H3384="SI",P3384&gt;=0),1,0)+IF(AND(H3385="SI",P3385&gt;=0),1,0)+IF(AND(H3386="SI",P3386&gt;=0),1,0)+IF(AND(H3387="SI",P3387&gt;=0),1,0)+IF(AND(H3388="SI",P3388&gt;=0),1,0)+IF(AND(H3389="SI",P3389&gt;=0),1,0)+IF(AND(H3390="SI",P3390&gt;=0),1,0)+IF(AND(H3391="SI",P3391&gt;=0),1,0)+IF(AND(H3392="SI",P3392&gt;=0),1,0)</f>
        <v>0</v>
      </c>
      <c r="R3399" s="759"/>
      <c r="S3399" s="761"/>
      <c r="T3399" s="764"/>
      <c r="U3399" s="219"/>
      <c r="V3399" s="464"/>
      <c r="Y3399" s="532" t="s">
        <v>342</v>
      </c>
      <c r="AA3399" s="550" t="s">
        <v>344</v>
      </c>
      <c r="AB3399" s="693" t="s">
        <v>345</v>
      </c>
      <c r="AC3399" s="693" t="s">
        <v>346</v>
      </c>
      <c r="AD3399" s="685" t="s">
        <v>347</v>
      </c>
      <c r="AE3399" s="52"/>
      <c r="AF3399" s="52"/>
      <c r="AG3399" s="52"/>
      <c r="AH3399" s="87"/>
      <c r="AI3399" s="87"/>
    </row>
    <row r="3400" spans="1:35" ht="15.75" hidden="1" customHeight="1" thickBot="1">
      <c r="A3400" s="218" t="e">
        <f>"N"&amp;E3379</f>
        <v>#N/A</v>
      </c>
      <c r="B3400" s="702"/>
      <c r="C3400" s="114">
        <v>1</v>
      </c>
      <c r="D3400" s="194" t="e">
        <f>IF(AND(C3400&lt;=F3398,F3398&gt;1,F3398&lt;&gt;""),VLOOKUP(VALUE(E3379&amp;","&amp;C3400),INTEGRANTES!$D$18:$F$235,2,0),"")</f>
        <v>#N/A</v>
      </c>
      <c r="E3400" s="211" t="e">
        <f>IF(D3400&lt;&gt;"",VLOOKUP(VALUE(E3379&amp;","&amp;C3400),INTEGRANTES!$D$18:$F$235,3,0),"")</f>
        <v>#N/A</v>
      </c>
      <c r="F3400" s="547" t="e">
        <f>IF(D3400="","",SUMIF($I3383:$I3392,D3400,$P3383:$P3392))</f>
        <v>#N/A</v>
      </c>
      <c r="G3400" s="333" t="e">
        <f>IF(D3400="","",SUMIF($I3383:$I3392,D3400,$M3383:$M3392))</f>
        <v>#N/A</v>
      </c>
      <c r="H3400" s="535" t="e">
        <f t="shared" ref="H3400:H3405" si="1001">IF(D3400="","",IF(OR(F3400=0,G3400=0),"NO APORTA",ROUND($F3400/$G3400,3)))</f>
        <v>#N/A</v>
      </c>
      <c r="I3400" s="212" t="e">
        <f>IF(D3400="","",IF(H3400="NO APORTA","NO",IF(H3400=MAX($H3400:$H3405),"SI","NO")))</f>
        <v>#N/A</v>
      </c>
      <c r="J3400" s="213" t="e">
        <f t="shared" ref="J3400:J3405" si="1002">IF(D3400="","",IF(E3400&gt;=PORCREQUERIDOINT,"SI","NO"))</f>
        <v>#N/A</v>
      </c>
      <c r="K3400" s="200" t="e">
        <f t="shared" ref="K3400:K3405" si="1003">IF(D3400="","",IF(AND(I3400="SI",J3400="SI"),"CUMPLE",IF(AND(I3400="NO",OR(J3400="SI",J3400="NO")),"","NO CUMPLE")))</f>
        <v>#N/A</v>
      </c>
      <c r="L3400" s="722" t="s">
        <v>108</v>
      </c>
      <c r="M3400" s="726" t="s">
        <v>119</v>
      </c>
      <c r="N3400" s="726"/>
      <c r="O3400" s="726"/>
      <c r="P3400" s="726"/>
      <c r="Q3400" s="727"/>
      <c r="R3400" s="758" t="s">
        <v>80</v>
      </c>
      <c r="S3400" s="747"/>
      <c r="T3400" s="748"/>
      <c r="U3400" s="219"/>
      <c r="V3400" s="464"/>
      <c r="Y3400" s="533" t="e">
        <f>IF(Y3397="","",IF(Y3397="INDIVIDUAL","NO APLICA","VERIFICAR CUADRO"))</f>
        <v>#N/A</v>
      </c>
      <c r="AA3400" s="551"/>
      <c r="AB3400" s="694"/>
      <c r="AC3400" s="694"/>
      <c r="AD3400" s="686"/>
      <c r="AE3400" s="52"/>
      <c r="AF3400" s="52"/>
      <c r="AG3400" s="52"/>
      <c r="AH3400" s="87"/>
      <c r="AI3400" s="87"/>
    </row>
    <row r="3401" spans="1:35" ht="27" hidden="1" customHeight="1" thickBot="1">
      <c r="A3401" s="218" t="e">
        <f>"O"&amp;E3379</f>
        <v>#N/A</v>
      </c>
      <c r="B3401" s="702"/>
      <c r="C3401" s="114">
        <v>2</v>
      </c>
      <c r="D3401" s="194" t="e">
        <f>IF(AND(C3401&lt;=F3398,F3398&lt;&gt;""),VLOOKUP(VALUE(E3379&amp;","&amp;C3401),INTEGRANTES!$D$18:$F$235,2,0),"")</f>
        <v>#N/A</v>
      </c>
      <c r="E3401" s="211" t="e">
        <f>IF(D3401&lt;&gt;"",VLOOKUP(VALUE(E3379&amp;","&amp;C3401),INTEGRANTES!$D$18:$F$235,3,0),"")</f>
        <v>#N/A</v>
      </c>
      <c r="F3401" s="547" t="e">
        <f>IF(D3401="","",SUMIF($I3383:$I3392,D3401,$P3383:$P3392))</f>
        <v>#N/A</v>
      </c>
      <c r="G3401" s="333" t="e">
        <f>IF(D3401="","",SUMIF($I3383:$I3392,D3401,$M3383:$M3392))</f>
        <v>#N/A</v>
      </c>
      <c r="H3401" s="535" t="e">
        <f t="shared" si="1001"/>
        <v>#N/A</v>
      </c>
      <c r="I3401" s="212" t="e">
        <f>IF(D3401="","",IF(H3401="NO APORTA","NO",IF(H3401=MAX($H3400:$H3405),"SI","NO")))</f>
        <v>#N/A</v>
      </c>
      <c r="J3401" s="213" t="e">
        <f t="shared" si="1002"/>
        <v>#N/A</v>
      </c>
      <c r="K3401" s="200" t="e">
        <f t="shared" si="1003"/>
        <v>#N/A</v>
      </c>
      <c r="L3401" s="723"/>
      <c r="M3401" s="715" t="s">
        <v>116</v>
      </c>
      <c r="N3401" s="716"/>
      <c r="O3401" s="556" t="s">
        <v>113</v>
      </c>
      <c r="P3401" s="715" t="s">
        <v>117</v>
      </c>
      <c r="Q3401" s="728"/>
      <c r="R3401" s="759"/>
      <c r="S3401" s="760"/>
      <c r="T3401" s="761"/>
      <c r="U3401" s="219"/>
      <c r="V3401" s="464"/>
      <c r="Y3401" s="414"/>
      <c r="AA3401" s="542" t="e">
        <f>IF(AND(C3400&lt;=F3398,F3398&gt;1,F3398&lt;&gt;""),VLOOKUP(VALUE(E3379&amp;","&amp;C3400),INTEGRANTES!$D$18:$F$235,2,0),"")</f>
        <v>#N/A</v>
      </c>
      <c r="AB3401" s="544" t="e">
        <f t="shared" ref="AB3401:AB3406" si="1004">IF(D3400="","",IF(OR(F3400=0,G3400=0),"NO APORTA",ROUND($F3400/$G3400,3)))</f>
        <v>#N/A</v>
      </c>
      <c r="AC3401" s="529"/>
      <c r="AD3401" s="200" t="e">
        <f t="shared" ref="AD3401:AD3406" si="1005">IF(OR(AA3401="",AB3401=""),"",IF(AND(AC3401="X",AB3401&gt;=EXPREQVTD),"CUMPLE","NO CUMPLE"))</f>
        <v>#N/A</v>
      </c>
      <c r="AE3401" s="52"/>
      <c r="AF3401" s="52"/>
      <c r="AG3401" s="52"/>
      <c r="AH3401" s="87"/>
      <c r="AI3401" s="87"/>
    </row>
    <row r="3402" spans="1:35" ht="16.5" hidden="1" thickBot="1">
      <c r="A3402" s="218" t="e">
        <f>"P"&amp;E3379</f>
        <v>#N/A</v>
      </c>
      <c r="B3402" s="702"/>
      <c r="C3402" s="114">
        <v>3</v>
      </c>
      <c r="D3402" s="194" t="e">
        <f>IF(AND(C3402&lt;=F3398,F3398&lt;&gt;""),VLOOKUP(VALUE(E3379&amp;","&amp;C3402),INTEGRANTES!$D$18:$F$235,2,0),"")</f>
        <v>#N/A</v>
      </c>
      <c r="E3402" s="211" t="e">
        <f>IF(D3402&lt;&gt;"",VLOOKUP(VALUE(E3379&amp;","&amp;C3402),INTEGRANTES!$D$18:$F$235,3,0),"")</f>
        <v>#N/A</v>
      </c>
      <c r="F3402" s="547" t="e">
        <f>IF(D3402="","",SUMIF($I3383:$I3392,D3402,$P3383:$P3392))</f>
        <v>#N/A</v>
      </c>
      <c r="G3402" s="333" t="e">
        <f>IF(D3402="","",SUMIF($I3383:$I3392,D3402,$M3383:$M3392))</f>
        <v>#N/A</v>
      </c>
      <c r="H3402" s="535" t="e">
        <f t="shared" si="1001"/>
        <v>#N/A</v>
      </c>
      <c r="I3402" s="212" t="e">
        <f>IF(D3402="","",IF(H3402="NO APORTA","NO",IF(H3402=MAX($H3400:$H3405),"SI","NO")))</f>
        <v>#N/A</v>
      </c>
      <c r="J3402" s="213" t="e">
        <f t="shared" si="1002"/>
        <v>#N/A</v>
      </c>
      <c r="K3402" s="200" t="e">
        <f t="shared" si="1003"/>
        <v>#N/A</v>
      </c>
      <c r="L3402" s="724"/>
      <c r="M3402" s="729">
        <f>NUMMOD</f>
        <v>1</v>
      </c>
      <c r="N3402" s="730"/>
      <c r="O3402" s="443">
        <f>IF(M3402="","",VLOOKUP(M3402,PRESUPUESTOS!$B$16:$H$16,5,FALSE))</f>
        <v>2</v>
      </c>
      <c r="P3402" s="713">
        <f>IF(OR(COUNTIF(M3383:M3392,"")&gt;=10,Q3399&lt;NUMMINCONT,OR(T3397="NO CUMPLE",T3397="VERIFICAR")),0,ROUND(AVERAGE(M3383:M3392),3))</f>
        <v>0</v>
      </c>
      <c r="Q3402" s="714"/>
      <c r="R3402" s="458"/>
      <c r="S3402" s="459"/>
      <c r="T3402" s="460"/>
      <c r="U3402" s="219"/>
      <c r="V3402" s="464"/>
      <c r="Y3402" s="532" t="str">
        <f>"40% * ("&amp;PRESUPUESTOS!$H$13&amp;")"</f>
        <v>40% * (50% PFMO)</v>
      </c>
      <c r="AA3402" s="540" t="e">
        <f>IF(AND(C3401&lt;=F3398,F3398&lt;&gt;""),VLOOKUP(VALUE(E3379&amp;","&amp;C3401),INTEGRANTES!$D$18:$F$235,2,0),"")</f>
        <v>#N/A</v>
      </c>
      <c r="AB3402" s="545" t="e">
        <f t="shared" si="1004"/>
        <v>#N/A</v>
      </c>
      <c r="AC3402" s="529"/>
      <c r="AD3402" s="200" t="e">
        <f t="shared" si="1005"/>
        <v>#N/A</v>
      </c>
      <c r="AE3402" s="52"/>
      <c r="AF3402" s="52"/>
      <c r="AG3402" s="52"/>
      <c r="AH3402" s="87"/>
      <c r="AI3402" s="87"/>
    </row>
    <row r="3403" spans="1:35" ht="15.75" hidden="1" customHeight="1" thickBot="1">
      <c r="A3403" s="218" t="e">
        <f>"Q"&amp;E3379</f>
        <v>#N/A</v>
      </c>
      <c r="B3403" s="702"/>
      <c r="C3403" s="114">
        <v>4</v>
      </c>
      <c r="D3403" s="194" t="e">
        <f>IF(AND(C3403&lt;=F3398,F3398&lt;&gt;""),VLOOKUP(VALUE(E3379&amp;","&amp;C3403),INTEGRANTES!$D$18:$F$235,2,0),"")</f>
        <v>#N/A</v>
      </c>
      <c r="E3403" s="211" t="e">
        <f>IF(D3403&lt;&gt;"",VLOOKUP(VALUE(E3379&amp;","&amp;C3403),INTEGRANTES!$D$18:$F$235,3,0),"")</f>
        <v>#N/A</v>
      </c>
      <c r="F3403" s="547" t="e">
        <f>IF(D3403="","",SUMIF($I3383:$I3392,D3403,$P3383:$P3392))</f>
        <v>#N/A</v>
      </c>
      <c r="G3403" s="333" t="e">
        <f>IF(D3403="","",SUMIF($I3383:$I3392,D3403,$M3383:$M3392))</f>
        <v>#N/A</v>
      </c>
      <c r="H3403" s="535" t="e">
        <f t="shared" si="1001"/>
        <v>#N/A</v>
      </c>
      <c r="I3403" s="212" t="e">
        <f>IF(D3403="","",IF(H3403="NO APORTA","NO",IF(H3403=MAX($H3400:$H3405),"SI","NO")))</f>
        <v>#N/A</v>
      </c>
      <c r="J3403" s="213" t="e">
        <f t="shared" si="1002"/>
        <v>#N/A</v>
      </c>
      <c r="K3403" s="200" t="e">
        <f t="shared" si="1003"/>
        <v>#N/A</v>
      </c>
      <c r="L3403" s="720" t="s">
        <v>109</v>
      </c>
      <c r="M3403" s="757" t="s">
        <v>120</v>
      </c>
      <c r="N3403" s="726"/>
      <c r="O3403" s="726"/>
      <c r="P3403" s="726"/>
      <c r="Q3403" s="727"/>
      <c r="R3403" s="458"/>
      <c r="S3403" s="459"/>
      <c r="T3403" s="460"/>
      <c r="U3403" s="219"/>
      <c r="V3403" s="464"/>
      <c r="Y3403" s="537">
        <f>0.4*PRESUPUESTOS!$H$16</f>
        <v>10.3124</v>
      </c>
      <c r="AA3403" s="540" t="e">
        <f>IF(AND(C3402&lt;=F3398,F3398&lt;&gt;""),VLOOKUP(VALUE(E3379&amp;","&amp;C3402),INTEGRANTES!$D$18:$F$235,2,0),"")</f>
        <v>#N/A</v>
      </c>
      <c r="AB3403" s="545" t="e">
        <f t="shared" si="1004"/>
        <v>#N/A</v>
      </c>
      <c r="AC3403" s="529"/>
      <c r="AD3403" s="200" t="e">
        <f t="shared" si="1005"/>
        <v>#N/A</v>
      </c>
      <c r="AE3403" s="52"/>
      <c r="AF3403" s="52"/>
      <c r="AG3403" s="52"/>
      <c r="AH3403" s="87"/>
      <c r="AI3403" s="87"/>
    </row>
    <row r="3404" spans="1:35" ht="27" hidden="1" customHeight="1" thickBot="1">
      <c r="A3404" s="218" t="e">
        <f>"R"&amp;E3379</f>
        <v>#N/A</v>
      </c>
      <c r="B3404" s="702"/>
      <c r="C3404" s="114">
        <v>5</v>
      </c>
      <c r="D3404" s="194" t="e">
        <f>IF(AND(C3404&lt;=F3398,F3398&lt;&gt;""),VLOOKUP(VALUE(E3379&amp;","&amp;C3404),INTEGRANTES!$D$18:$F$235,2,0),"")</f>
        <v>#N/A</v>
      </c>
      <c r="E3404" s="211" t="e">
        <f>IF(D3404&lt;&gt;"",VLOOKUP(VALUE(E3379&amp;","&amp;C3404),INTEGRANTES!$D$18:$F$235,3,0),"")</f>
        <v>#N/A</v>
      </c>
      <c r="F3404" s="547" t="e">
        <f>IF(D3404="","",SUMIF($I3383:$I3392,D3404,$P3383:$P3392))</f>
        <v>#N/A</v>
      </c>
      <c r="G3404" s="333" t="e">
        <f>IF(D3404="","",SUMIF($I3383:$I3392,D3404,$M3383:$M3392))</f>
        <v>#N/A</v>
      </c>
      <c r="H3404" s="535" t="e">
        <f t="shared" si="1001"/>
        <v>#N/A</v>
      </c>
      <c r="I3404" s="212" t="e">
        <f>IF(D3404="","",IF(H3404="NO APORTA","NO",IF(H3404=MAX($H3400:$H3405),"SI","NO")))</f>
        <v>#N/A</v>
      </c>
      <c r="J3404" s="213" t="e">
        <f t="shared" si="1002"/>
        <v>#N/A</v>
      </c>
      <c r="K3404" s="200" t="e">
        <f t="shared" si="1003"/>
        <v>#N/A</v>
      </c>
      <c r="L3404" s="721"/>
      <c r="M3404" s="715" t="s">
        <v>116</v>
      </c>
      <c r="N3404" s="716"/>
      <c r="O3404" s="556" t="str">
        <f>PORCREQUERIDO*100&amp;"% PMFO DEL MÓDULO"</f>
        <v>50% PMFO DEL MÓDULO</v>
      </c>
      <c r="P3404" s="715" t="s">
        <v>118</v>
      </c>
      <c r="Q3404" s="728"/>
      <c r="R3404" s="458"/>
      <c r="S3404" s="459"/>
      <c r="T3404" s="460"/>
      <c r="U3404" s="219"/>
      <c r="V3404" s="464"/>
      <c r="Y3404" s="414"/>
      <c r="AA3404" s="540" t="e">
        <f>IF(AND(C3403&lt;=F3398,F3398&lt;&gt;""),VLOOKUP(VALUE(E3379&amp;","&amp;C3403),INTEGRANTES!$D$18:$F$235,2,0),"")</f>
        <v>#N/A</v>
      </c>
      <c r="AB3404" s="545" t="e">
        <f t="shared" si="1004"/>
        <v>#N/A</v>
      </c>
      <c r="AC3404" s="529"/>
      <c r="AD3404" s="200" t="e">
        <f t="shared" si="1005"/>
        <v>#N/A</v>
      </c>
      <c r="AE3404" s="52"/>
      <c r="AF3404" s="52"/>
      <c r="AG3404" s="52"/>
      <c r="AH3404" s="87"/>
      <c r="AI3404" s="87"/>
    </row>
    <row r="3405" spans="1:35" ht="16.5" hidden="1" thickBot="1">
      <c r="A3405" s="218" t="e">
        <f>"S"&amp;E3379</f>
        <v>#N/A</v>
      </c>
      <c r="B3405" s="702"/>
      <c r="C3405" s="215">
        <v>6</v>
      </c>
      <c r="D3405" s="216" t="e">
        <f>IF(AND(C3405&lt;=F3398,F3398&lt;&gt;""),VLOOKUP(VALUE(E3379&amp;","&amp;C3405),INTEGRANTES!$D$18:$F$235,2,0),"")</f>
        <v>#N/A</v>
      </c>
      <c r="E3405" s="217" t="e">
        <f>IF(D3405&lt;&gt;"",VLOOKUP(VALUE(E3379&amp;","&amp;C3405),INTEGRANTES!$D$18:$F$235,3,0),"")</f>
        <v>#N/A</v>
      </c>
      <c r="F3405" s="548" t="e">
        <f>IF(D3405="","",SUMIF($I3383:$I3392,D3405,$P3383:$P3392))</f>
        <v>#N/A</v>
      </c>
      <c r="G3405" s="334" t="e">
        <f>IF(D3405="","",SUMIF($I3383:$I3392,D3405,$M3383:$M3392))</f>
        <v>#N/A</v>
      </c>
      <c r="H3405" s="536" t="e">
        <f t="shared" si="1001"/>
        <v>#N/A</v>
      </c>
      <c r="I3405" s="214" t="e">
        <f>IF(D3405="","",IF(H3405="NO APORTA","NO",IF(H3405=MAX($H3400:$H3405),"SI","NO")))</f>
        <v>#N/A</v>
      </c>
      <c r="J3405" s="213" t="e">
        <f t="shared" si="1002"/>
        <v>#N/A</v>
      </c>
      <c r="K3405" s="200" t="e">
        <f t="shared" si="1003"/>
        <v>#N/A</v>
      </c>
      <c r="L3405" s="721"/>
      <c r="M3405" s="729">
        <f>NUMMOD</f>
        <v>1</v>
      </c>
      <c r="N3405" s="730"/>
      <c r="O3405" s="443">
        <f>IF(M3405="","",ROUND(VLOOKUP(M3405,PRESUPUESTOS!$B$16:$H$16,7,FALSE),3))</f>
        <v>25.780999999999999</v>
      </c>
      <c r="P3405" s="713">
        <f>IF(OR(COUNTIF(P3383:P3392,"")&gt;=10,Q3399&lt;NUMMINCONT,OR(T3397="NO CUMPLE",T3397="VERIFICAR")),0,ROUND((SUM(P3383:P3392)/SUM(M3383:M3392)),3))</f>
        <v>0</v>
      </c>
      <c r="Q3405" s="714"/>
      <c r="R3405" s="458"/>
      <c r="S3405" s="459"/>
      <c r="T3405" s="460"/>
      <c r="U3405" s="219"/>
      <c r="V3405" s="464"/>
      <c r="Y3405" s="532" t="s">
        <v>343</v>
      </c>
      <c r="AA3405" s="540" t="e">
        <f>IF(AND(C3404&lt;=F3398,F3398&lt;&gt;""),VLOOKUP(VALUE(E3379&amp;","&amp;C3404),INTEGRANTES!$D$18:$F$235,2,0),"")</f>
        <v>#N/A</v>
      </c>
      <c r="AB3405" s="545" t="e">
        <f t="shared" si="1004"/>
        <v>#N/A</v>
      </c>
      <c r="AC3405" s="529"/>
      <c r="AD3405" s="200" t="e">
        <f t="shared" si="1005"/>
        <v>#N/A</v>
      </c>
      <c r="AE3405" s="52"/>
      <c r="AF3405" s="52"/>
      <c r="AG3405" s="52"/>
      <c r="AH3405" s="87"/>
      <c r="AI3405" s="87"/>
    </row>
    <row r="3406" spans="1:35" ht="16.5" hidden="1" customHeight="1" thickBot="1">
      <c r="A3406" s="218" t="e">
        <f>"T"&amp;E3379</f>
        <v>#N/A</v>
      </c>
      <c r="B3406" s="703"/>
      <c r="C3406" s="719"/>
      <c r="D3406" s="719"/>
      <c r="E3406" s="719"/>
      <c r="F3406" s="719"/>
      <c r="G3406" s="719"/>
      <c r="H3406" s="719" t="s">
        <v>110</v>
      </c>
      <c r="I3406" s="719"/>
      <c r="J3406" s="719"/>
      <c r="K3406" s="201" t="str">
        <f>IF(COUNTIF(K3400:K3405,"")=6,"",IF(COUNTIF(K3400:K3405,"CUMPLE")&gt;0,"CUMPLE","NO CUMPLE"))</f>
        <v>NO CUMPLE</v>
      </c>
      <c r="L3406" s="754"/>
      <c r="M3406" s="755"/>
      <c r="N3406" s="755"/>
      <c r="O3406" s="755"/>
      <c r="P3406" s="755"/>
      <c r="Q3406" s="756"/>
      <c r="R3406" s="461"/>
      <c r="S3406" s="462"/>
      <c r="T3406" s="463"/>
      <c r="U3406" s="219"/>
      <c r="V3406" s="464"/>
      <c r="Y3406" s="549" t="e">
        <f>IF(Y3400="NO APLICA","NO APLICA",IF(COUNTIF(AD3401:AD3406,"CUMPLE")&gt;0,"CUMPLE","NO CUMPLE"))</f>
        <v>#N/A</v>
      </c>
      <c r="AA3406" s="541" t="e">
        <f>IF(AND(C3405&lt;=F3398,F3398&lt;&gt;""),VLOOKUP(VALUE(E3379&amp;","&amp;C3405),INTEGRANTES!$D$18:$F$235,2,0),"")</f>
        <v>#N/A</v>
      </c>
      <c r="AB3406" s="546" t="e">
        <f t="shared" si="1004"/>
        <v>#N/A</v>
      </c>
      <c r="AC3406" s="543"/>
      <c r="AD3406" s="201" t="e">
        <f t="shared" si="1005"/>
        <v>#N/A</v>
      </c>
      <c r="AE3406" s="52"/>
      <c r="AF3406" s="52"/>
      <c r="AG3406" s="52"/>
      <c r="AH3406" s="87"/>
      <c r="AI3406" s="87"/>
    </row>
    <row r="3407" spans="1:35" hidden="1">
      <c r="AH3407" s="87"/>
      <c r="AI3407" s="87"/>
    </row>
    <row r="3408" spans="1:35" hidden="1">
      <c r="AH3408" s="87"/>
      <c r="AI3408" s="87"/>
    </row>
    <row r="3409" spans="1:35" ht="24" hidden="1" thickBot="1">
      <c r="A3409" s="61">
        <v>114</v>
      </c>
      <c r="B3409" s="704" t="s">
        <v>51</v>
      </c>
      <c r="C3409" s="704"/>
      <c r="D3409" s="704"/>
      <c r="E3409" s="62" t="e">
        <f>VLOOKUP(A3409,PROPONENTES!$B$19:$E$218,2,FALSE)</f>
        <v>#N/A</v>
      </c>
      <c r="F3409" s="63" t="e">
        <f>VLOOKUP(A3409,PROPONENTES!$B$19:$E$218,3,FALSE)</f>
        <v>#N/A</v>
      </c>
      <c r="G3409" s="64"/>
      <c r="H3409" s="64"/>
      <c r="I3409" s="63"/>
      <c r="J3409" s="63"/>
      <c r="K3409" s="65"/>
      <c r="L3409" s="65"/>
      <c r="M3409" s="64"/>
      <c r="N3409" s="64"/>
      <c r="O3409" s="66"/>
      <c r="P3409" s="66"/>
      <c r="Q3409" s="66"/>
      <c r="R3409" s="66"/>
      <c r="S3409" s="67"/>
      <c r="T3409" s="68"/>
      <c r="U3409" s="68"/>
      <c r="AC3409" s="68"/>
      <c r="AD3409" s="68"/>
      <c r="AE3409" s="68"/>
      <c r="AF3409" s="68"/>
      <c r="AG3409" s="68"/>
      <c r="AH3409" s="87"/>
      <c r="AI3409" s="87"/>
    </row>
    <row r="3410" spans="1:35" ht="15.75" hidden="1" customHeight="1">
      <c r="A3410" s="44"/>
      <c r="B3410" s="709" t="s">
        <v>59</v>
      </c>
      <c r="C3410" s="552" t="s">
        <v>60</v>
      </c>
      <c r="D3410" s="70" t="s">
        <v>17</v>
      </c>
      <c r="E3410" s="70"/>
      <c r="F3410" s="70" t="s">
        <v>61</v>
      </c>
      <c r="G3410" s="71"/>
      <c r="H3410" s="699" t="s">
        <v>62</v>
      </c>
      <c r="I3410" s="699" t="s">
        <v>18</v>
      </c>
      <c r="J3410" s="699" t="s">
        <v>63</v>
      </c>
      <c r="K3410" s="699" t="s">
        <v>64</v>
      </c>
      <c r="L3410" s="699" t="s">
        <v>65</v>
      </c>
      <c r="M3410" s="743" t="s">
        <v>66</v>
      </c>
      <c r="N3410" s="699" t="s">
        <v>282</v>
      </c>
      <c r="O3410" s="745" t="s">
        <v>67</v>
      </c>
      <c r="P3410" s="746"/>
      <c r="Q3410" s="102" t="s">
        <v>75</v>
      </c>
      <c r="R3410" s="731" t="s">
        <v>22</v>
      </c>
      <c r="S3410" s="732"/>
      <c r="T3410" s="733"/>
      <c r="U3410" s="712" t="s">
        <v>298</v>
      </c>
      <c r="W3410" s="690" t="s">
        <v>268</v>
      </c>
      <c r="X3410" s="691"/>
      <c r="Y3410" s="692"/>
      <c r="Z3410" s="428"/>
      <c r="AA3410" s="697" t="s">
        <v>315</v>
      </c>
      <c r="AB3410" s="695" t="s">
        <v>322</v>
      </c>
      <c r="AC3410" s="49"/>
      <c r="AD3410" s="690" t="s">
        <v>297</v>
      </c>
      <c r="AE3410" s="691"/>
      <c r="AF3410" s="692"/>
      <c r="AG3410" s="49"/>
      <c r="AH3410" s="87"/>
      <c r="AI3410" s="87"/>
    </row>
    <row r="3411" spans="1:35" ht="72" hidden="1">
      <c r="A3411" s="44"/>
      <c r="B3411" s="710"/>
      <c r="C3411" s="553" t="s">
        <v>68</v>
      </c>
      <c r="D3411" s="73" t="s">
        <v>3</v>
      </c>
      <c r="E3411" s="73" t="s">
        <v>19</v>
      </c>
      <c r="F3411" s="73" t="s">
        <v>69</v>
      </c>
      <c r="G3411" s="74" t="s">
        <v>70</v>
      </c>
      <c r="H3411" s="700"/>
      <c r="I3411" s="700"/>
      <c r="J3411" s="700"/>
      <c r="K3411" s="700"/>
      <c r="L3411" s="700"/>
      <c r="M3411" s="744"/>
      <c r="N3411" s="700"/>
      <c r="O3411" s="553" t="s">
        <v>279</v>
      </c>
      <c r="P3411" s="73" t="s">
        <v>88</v>
      </c>
      <c r="Q3411" s="555" t="s">
        <v>76</v>
      </c>
      <c r="R3411" s="734"/>
      <c r="S3411" s="735"/>
      <c r="T3411" s="736"/>
      <c r="U3411" s="712"/>
      <c r="W3411" s="429" t="s">
        <v>269</v>
      </c>
      <c r="X3411" s="457" t="s">
        <v>278</v>
      </c>
      <c r="Y3411" s="430" t="s">
        <v>324</v>
      </c>
      <c r="Z3411" s="428"/>
      <c r="AA3411" s="698"/>
      <c r="AB3411" s="696"/>
      <c r="AC3411" s="49"/>
      <c r="AD3411" s="429" t="s">
        <v>292</v>
      </c>
      <c r="AE3411" s="431" t="s">
        <v>300</v>
      </c>
      <c r="AF3411" s="468" t="s">
        <v>301</v>
      </c>
      <c r="AG3411" s="49"/>
      <c r="AH3411" s="87"/>
      <c r="AI3411" s="87"/>
    </row>
    <row r="3412" spans="1:35" hidden="1">
      <c r="A3412" s="44"/>
      <c r="B3412" s="76"/>
      <c r="C3412" s="77"/>
      <c r="D3412" s="77"/>
      <c r="E3412" s="77"/>
      <c r="F3412" s="77"/>
      <c r="G3412" s="77"/>
      <c r="H3412" s="77"/>
      <c r="I3412" s="77"/>
      <c r="J3412" s="77"/>
      <c r="K3412" s="77"/>
      <c r="L3412" s="77"/>
      <c r="M3412" s="77"/>
      <c r="N3412" s="77"/>
      <c r="O3412" s="77"/>
      <c r="P3412" s="77"/>
      <c r="Q3412" s="77"/>
      <c r="R3412" s="77"/>
      <c r="S3412" s="78"/>
      <c r="T3412" s="79"/>
      <c r="U3412" s="109"/>
      <c r="V3412" s="49"/>
      <c r="W3412" s="432"/>
      <c r="X3412" s="454"/>
      <c r="Y3412" s="433"/>
      <c r="Z3412" s="6"/>
      <c r="AA3412" s="500"/>
      <c r="AB3412" s="562"/>
      <c r="AC3412" s="49"/>
      <c r="AD3412" s="210"/>
      <c r="AE3412" s="434"/>
      <c r="AF3412" s="435"/>
      <c r="AG3412" s="49"/>
      <c r="AH3412" s="87"/>
      <c r="AI3412" s="87"/>
    </row>
    <row r="3413" spans="1:35" hidden="1">
      <c r="A3413" s="80" t="e">
        <f>"A"&amp;E3409</f>
        <v>#N/A</v>
      </c>
      <c r="B3413" s="81">
        <v>1</v>
      </c>
      <c r="C3413" s="82"/>
      <c r="D3413" s="82"/>
      <c r="E3413" s="82"/>
      <c r="F3413" s="82"/>
      <c r="G3413" s="83"/>
      <c r="H3413" s="83"/>
      <c r="I3413" s="84"/>
      <c r="J3413" s="85"/>
      <c r="K3413" s="382"/>
      <c r="L3413" s="85"/>
      <c r="M3413" s="332" t="str">
        <f t="shared" ref="M3413:M3422" si="1006">IF(OR(J3413="",L3413="",H3413="NO"),"",IF(OR(J3413&gt;$P$17,J3413&lt;$O$17,L3413&gt;$P$17,AND(J3413&lt;$O$17,L3413&lt;$O$17)),"FUERA DE RANGO",IF(OR(K3413="---",K3413=""),IF(J3413&gt;=$O$17,ROUND((L3413-J3413+1)/360*12,3),ROUND((L3413-$O$17+1)/360*12,3)),IF(J3413&gt;=$O$17,ROUND((L3413-J3413+1)/360*12-ROUND(K3413,3),3),ROUND((L3413-$O$17+1)/360*12-ROUND(K3413,3),3)))))</f>
        <v/>
      </c>
      <c r="N3413" s="86"/>
      <c r="O3413" s="453" t="str">
        <f>IF(OR(G3413="",N3413=""),"",N3413*G3413)</f>
        <v/>
      </c>
      <c r="P3413" s="538" t="str">
        <f>IF(OR(H3413="",M3413="FUERA DE RANGO"),"",IF(OR(L3413&lt;$O$17,L3413&gt;$P$17,L3413="",H3413="NO"),"",IF(OR(N3413="",O3413=""),"",ROUND(O3413,3))))</f>
        <v/>
      </c>
      <c r="Q3413" s="539" t="str">
        <f t="shared" ref="Q3413:Q3422" si="1007">IF(AND(H3413="SI",P3413&lt;&gt;""),ROUND(P3413/M3413,3),"")</f>
        <v/>
      </c>
      <c r="R3413" s="737"/>
      <c r="S3413" s="738"/>
      <c r="T3413" s="739"/>
      <c r="U3413" s="470"/>
      <c r="V3413" s="165"/>
      <c r="W3413" s="446"/>
      <c r="X3413" s="456"/>
      <c r="Y3413" s="436"/>
      <c r="Z3413" s="437"/>
      <c r="AA3413" s="560"/>
      <c r="AB3413" s="561"/>
      <c r="AC3413" s="87"/>
      <c r="AD3413" s="466"/>
      <c r="AE3413" s="456"/>
      <c r="AF3413" s="467"/>
      <c r="AG3413" s="87"/>
      <c r="AH3413" s="87"/>
      <c r="AI3413" s="87"/>
    </row>
    <row r="3414" spans="1:35" hidden="1">
      <c r="A3414" s="80" t="e">
        <f>"B"&amp;E3409</f>
        <v>#N/A</v>
      </c>
      <c r="B3414" s="81">
        <v>2</v>
      </c>
      <c r="C3414" s="106"/>
      <c r="D3414" s="106"/>
      <c r="E3414" s="106"/>
      <c r="F3414" s="106"/>
      <c r="G3414" s="83"/>
      <c r="H3414" s="83"/>
      <c r="I3414" s="84"/>
      <c r="J3414" s="85"/>
      <c r="K3414" s="382"/>
      <c r="L3414" s="85"/>
      <c r="M3414" s="332" t="str">
        <f t="shared" si="1006"/>
        <v/>
      </c>
      <c r="N3414" s="86"/>
      <c r="O3414" s="453" t="str">
        <f t="shared" ref="O3414:O3422" si="1008">IF(OR(G3414="",N3414=""),"",N3414*G3414)</f>
        <v/>
      </c>
      <c r="P3414" s="538" t="str">
        <f t="shared" ref="P3414:P3422" si="1009">IF(OR(H3414="",M3414="FUERA DE RANGO"),"",IF(OR(L3414&lt;$O$17,L3414&gt;$P$17,L3414="",H3414="NO"),"",IF(OR(N3414="",O3414=""),"",ROUND(O3414,3))))</f>
        <v/>
      </c>
      <c r="Q3414" s="539" t="str">
        <f t="shared" si="1007"/>
        <v/>
      </c>
      <c r="R3414" s="740"/>
      <c r="S3414" s="741"/>
      <c r="T3414" s="742"/>
      <c r="U3414" s="471"/>
      <c r="V3414" s="165"/>
      <c r="W3414" s="446"/>
      <c r="X3414" s="456"/>
      <c r="Y3414" s="436"/>
      <c r="Z3414" s="437"/>
      <c r="AA3414" s="560"/>
      <c r="AB3414" s="561"/>
      <c r="AC3414" s="87"/>
      <c r="AD3414" s="466"/>
      <c r="AE3414" s="456"/>
      <c r="AF3414" s="467"/>
      <c r="AG3414" s="87"/>
      <c r="AH3414" s="87"/>
      <c r="AI3414" s="87"/>
    </row>
    <row r="3415" spans="1:35" hidden="1">
      <c r="A3415" s="80" t="e">
        <f>"C"&amp;E3409</f>
        <v>#N/A</v>
      </c>
      <c r="B3415" s="88">
        <v>3</v>
      </c>
      <c r="C3415" s="82"/>
      <c r="D3415" s="82"/>
      <c r="E3415" s="82"/>
      <c r="F3415" s="82"/>
      <c r="G3415" s="83"/>
      <c r="H3415" s="83"/>
      <c r="I3415" s="84"/>
      <c r="J3415" s="85"/>
      <c r="K3415" s="382"/>
      <c r="L3415" s="85"/>
      <c r="M3415" s="332" t="str">
        <f t="shared" si="1006"/>
        <v/>
      </c>
      <c r="N3415" s="86"/>
      <c r="O3415" s="453" t="str">
        <f t="shared" si="1008"/>
        <v/>
      </c>
      <c r="P3415" s="538" t="str">
        <f t="shared" si="1009"/>
        <v/>
      </c>
      <c r="Q3415" s="539" t="str">
        <f t="shared" si="1007"/>
        <v/>
      </c>
      <c r="R3415" s="706"/>
      <c r="S3415" s="707"/>
      <c r="T3415" s="708"/>
      <c r="U3415" s="472"/>
      <c r="V3415" s="166"/>
      <c r="W3415" s="446"/>
      <c r="X3415" s="456"/>
      <c r="Y3415" s="436"/>
      <c r="Z3415" s="437"/>
      <c r="AA3415" s="560"/>
      <c r="AB3415" s="561"/>
      <c r="AC3415" s="87"/>
      <c r="AD3415" s="466"/>
      <c r="AE3415" s="456"/>
      <c r="AF3415" s="467"/>
      <c r="AG3415" s="87"/>
      <c r="AH3415" s="87"/>
      <c r="AI3415" s="87"/>
    </row>
    <row r="3416" spans="1:35" hidden="1">
      <c r="A3416" s="80" t="e">
        <f>"D"&amp;E3409</f>
        <v>#N/A</v>
      </c>
      <c r="B3416" s="105">
        <v>4</v>
      </c>
      <c r="C3416" s="107"/>
      <c r="D3416" s="107"/>
      <c r="E3416" s="107"/>
      <c r="F3416" s="107"/>
      <c r="G3416" s="83"/>
      <c r="H3416" s="83"/>
      <c r="I3416" s="84"/>
      <c r="J3416" s="85"/>
      <c r="K3416" s="382"/>
      <c r="L3416" s="85"/>
      <c r="M3416" s="332" t="str">
        <f t="shared" si="1006"/>
        <v/>
      </c>
      <c r="N3416" s="86"/>
      <c r="O3416" s="453" t="str">
        <f t="shared" si="1008"/>
        <v/>
      </c>
      <c r="P3416" s="538" t="str">
        <f t="shared" si="1009"/>
        <v/>
      </c>
      <c r="Q3416" s="539" t="str">
        <f t="shared" si="1007"/>
        <v/>
      </c>
      <c r="R3416" s="706"/>
      <c r="S3416" s="707"/>
      <c r="T3416" s="708"/>
      <c r="U3416" s="472"/>
      <c r="V3416" s="166"/>
      <c r="W3416" s="446"/>
      <c r="X3416" s="456"/>
      <c r="Y3416" s="436"/>
      <c r="Z3416" s="437"/>
      <c r="AA3416" s="560"/>
      <c r="AB3416" s="561"/>
      <c r="AC3416" s="87"/>
      <c r="AD3416" s="466"/>
      <c r="AE3416" s="456"/>
      <c r="AF3416" s="467"/>
      <c r="AG3416" s="87"/>
      <c r="AH3416" s="87"/>
      <c r="AI3416" s="87"/>
    </row>
    <row r="3417" spans="1:35" hidden="1">
      <c r="A3417" s="80" t="e">
        <f>"E"&amp;E3409</f>
        <v>#N/A</v>
      </c>
      <c r="B3417" s="105">
        <v>5</v>
      </c>
      <c r="C3417" s="107"/>
      <c r="D3417" s="107"/>
      <c r="E3417" s="107"/>
      <c r="F3417" s="107"/>
      <c r="G3417" s="83"/>
      <c r="H3417" s="83"/>
      <c r="I3417" s="84"/>
      <c r="J3417" s="85"/>
      <c r="K3417" s="382"/>
      <c r="L3417" s="85"/>
      <c r="M3417" s="332" t="str">
        <f t="shared" si="1006"/>
        <v/>
      </c>
      <c r="N3417" s="86"/>
      <c r="O3417" s="453" t="str">
        <f t="shared" si="1008"/>
        <v/>
      </c>
      <c r="P3417" s="538" t="str">
        <f t="shared" si="1009"/>
        <v/>
      </c>
      <c r="Q3417" s="539" t="str">
        <f t="shared" si="1007"/>
        <v/>
      </c>
      <c r="R3417" s="706"/>
      <c r="S3417" s="707"/>
      <c r="T3417" s="708"/>
      <c r="U3417" s="472"/>
      <c r="V3417" s="167"/>
      <c r="W3417" s="446"/>
      <c r="X3417" s="456"/>
      <c r="Y3417" s="436"/>
      <c r="Z3417" s="437"/>
      <c r="AA3417" s="560"/>
      <c r="AB3417" s="561"/>
      <c r="AC3417" s="87"/>
      <c r="AD3417" s="466"/>
      <c r="AE3417" s="456"/>
      <c r="AF3417" s="467"/>
      <c r="AG3417" s="87"/>
      <c r="AH3417" s="87"/>
      <c r="AI3417" s="87"/>
    </row>
    <row r="3418" spans="1:35" hidden="1">
      <c r="A3418" s="80" t="e">
        <f>"F"&amp;E3409</f>
        <v>#N/A</v>
      </c>
      <c r="B3418" s="105">
        <v>6</v>
      </c>
      <c r="C3418" s="107"/>
      <c r="D3418" s="107"/>
      <c r="E3418" s="107"/>
      <c r="F3418" s="107"/>
      <c r="G3418" s="83"/>
      <c r="H3418" s="83"/>
      <c r="I3418" s="84"/>
      <c r="J3418" s="85"/>
      <c r="K3418" s="382"/>
      <c r="L3418" s="85"/>
      <c r="M3418" s="332" t="str">
        <f t="shared" si="1006"/>
        <v/>
      </c>
      <c r="N3418" s="86"/>
      <c r="O3418" s="453" t="str">
        <f t="shared" si="1008"/>
        <v/>
      </c>
      <c r="P3418" s="538" t="str">
        <f t="shared" si="1009"/>
        <v/>
      </c>
      <c r="Q3418" s="539" t="str">
        <f t="shared" si="1007"/>
        <v/>
      </c>
      <c r="R3418" s="706"/>
      <c r="S3418" s="707"/>
      <c r="T3418" s="708"/>
      <c r="U3418" s="472"/>
      <c r="V3418" s="167"/>
      <c r="W3418" s="446"/>
      <c r="X3418" s="456"/>
      <c r="Y3418" s="436"/>
      <c r="Z3418" s="437"/>
      <c r="AA3418" s="560"/>
      <c r="AB3418" s="561"/>
      <c r="AC3418" s="87"/>
      <c r="AD3418" s="466"/>
      <c r="AE3418" s="456"/>
      <c r="AF3418" s="467"/>
      <c r="AG3418" s="87"/>
      <c r="AH3418" s="87"/>
      <c r="AI3418" s="87"/>
    </row>
    <row r="3419" spans="1:35" hidden="1">
      <c r="A3419" s="80" t="e">
        <f>"G"&amp;E3409</f>
        <v>#N/A</v>
      </c>
      <c r="B3419" s="105">
        <v>7</v>
      </c>
      <c r="C3419" s="107"/>
      <c r="D3419" s="107"/>
      <c r="E3419" s="107"/>
      <c r="F3419" s="107"/>
      <c r="G3419" s="83"/>
      <c r="H3419" s="83"/>
      <c r="I3419" s="84"/>
      <c r="J3419" s="85"/>
      <c r="K3419" s="382"/>
      <c r="L3419" s="85"/>
      <c r="M3419" s="332" t="str">
        <f t="shared" si="1006"/>
        <v/>
      </c>
      <c r="N3419" s="86"/>
      <c r="O3419" s="86" t="str">
        <f t="shared" si="1008"/>
        <v/>
      </c>
      <c r="P3419" s="538" t="str">
        <f t="shared" si="1009"/>
        <v/>
      </c>
      <c r="Q3419" s="539" t="str">
        <f t="shared" si="1007"/>
        <v/>
      </c>
      <c r="R3419" s="706"/>
      <c r="S3419" s="707"/>
      <c r="T3419" s="708"/>
      <c r="U3419" s="472"/>
      <c r="V3419" s="167"/>
      <c r="W3419" s="446"/>
      <c r="X3419" s="456"/>
      <c r="Y3419" s="436"/>
      <c r="Z3419" s="437"/>
      <c r="AA3419" s="560"/>
      <c r="AB3419" s="561"/>
      <c r="AC3419" s="87"/>
      <c r="AD3419" s="466"/>
      <c r="AE3419" s="456"/>
      <c r="AF3419" s="467"/>
      <c r="AG3419" s="87"/>
      <c r="AH3419" s="87"/>
      <c r="AI3419" s="87"/>
    </row>
    <row r="3420" spans="1:35" hidden="1">
      <c r="A3420" s="80" t="e">
        <f>"H"&amp;E3409</f>
        <v>#N/A</v>
      </c>
      <c r="B3420" s="105">
        <v>8</v>
      </c>
      <c r="C3420" s="107"/>
      <c r="D3420" s="107"/>
      <c r="E3420" s="107"/>
      <c r="F3420" s="107"/>
      <c r="G3420" s="83"/>
      <c r="H3420" s="83"/>
      <c r="I3420" s="84"/>
      <c r="J3420" s="85"/>
      <c r="K3420" s="382"/>
      <c r="L3420" s="85"/>
      <c r="M3420" s="332" t="str">
        <f t="shared" si="1006"/>
        <v/>
      </c>
      <c r="N3420" s="453"/>
      <c r="O3420" s="86" t="str">
        <f t="shared" si="1008"/>
        <v/>
      </c>
      <c r="P3420" s="538" t="str">
        <f t="shared" si="1009"/>
        <v/>
      </c>
      <c r="Q3420" s="539" t="str">
        <f t="shared" si="1007"/>
        <v/>
      </c>
      <c r="R3420" s="706"/>
      <c r="S3420" s="707"/>
      <c r="T3420" s="708"/>
      <c r="U3420" s="472"/>
      <c r="V3420" s="167"/>
      <c r="W3420" s="446"/>
      <c r="X3420" s="456"/>
      <c r="Y3420" s="436"/>
      <c r="Z3420" s="437"/>
      <c r="AA3420" s="560"/>
      <c r="AB3420" s="561"/>
      <c r="AC3420" s="87"/>
      <c r="AD3420" s="466"/>
      <c r="AE3420" s="456"/>
      <c r="AF3420" s="467"/>
      <c r="AG3420" s="87"/>
      <c r="AH3420" s="87"/>
      <c r="AI3420" s="87"/>
    </row>
    <row r="3421" spans="1:35" hidden="1">
      <c r="A3421" s="80" t="e">
        <f>"I"&amp;E3409</f>
        <v>#N/A</v>
      </c>
      <c r="B3421" s="105">
        <v>9</v>
      </c>
      <c r="C3421" s="107"/>
      <c r="D3421" s="107"/>
      <c r="E3421" s="107"/>
      <c r="F3421" s="107"/>
      <c r="G3421" s="83"/>
      <c r="H3421" s="83"/>
      <c r="I3421" s="84"/>
      <c r="J3421" s="85"/>
      <c r="K3421" s="382"/>
      <c r="L3421" s="85"/>
      <c r="M3421" s="332" t="str">
        <f t="shared" si="1006"/>
        <v/>
      </c>
      <c r="N3421" s="453"/>
      <c r="O3421" s="86" t="str">
        <f t="shared" si="1008"/>
        <v/>
      </c>
      <c r="P3421" s="538" t="str">
        <f t="shared" si="1009"/>
        <v/>
      </c>
      <c r="Q3421" s="539" t="str">
        <f t="shared" si="1007"/>
        <v/>
      </c>
      <c r="R3421" s="706"/>
      <c r="S3421" s="707"/>
      <c r="T3421" s="708"/>
      <c r="U3421" s="472"/>
      <c r="V3421" s="167"/>
      <c r="W3421" s="446"/>
      <c r="X3421" s="456"/>
      <c r="Y3421" s="436"/>
      <c r="Z3421" s="437"/>
      <c r="AA3421" s="560"/>
      <c r="AB3421" s="561"/>
      <c r="AC3421" s="87"/>
      <c r="AD3421" s="466"/>
      <c r="AE3421" s="456"/>
      <c r="AF3421" s="467"/>
      <c r="AG3421" s="87"/>
      <c r="AH3421" s="87"/>
      <c r="AI3421" s="87"/>
    </row>
    <row r="3422" spans="1:35" hidden="1">
      <c r="A3422" s="80" t="e">
        <f>"J"&amp;E3409</f>
        <v>#N/A</v>
      </c>
      <c r="B3422" s="105">
        <v>10</v>
      </c>
      <c r="C3422" s="107"/>
      <c r="D3422" s="107"/>
      <c r="E3422" s="107"/>
      <c r="F3422" s="107"/>
      <c r="G3422" s="83"/>
      <c r="H3422" s="83"/>
      <c r="I3422" s="84"/>
      <c r="J3422" s="85"/>
      <c r="K3422" s="382"/>
      <c r="L3422" s="85"/>
      <c r="M3422" s="332" t="str">
        <f t="shared" si="1006"/>
        <v/>
      </c>
      <c r="N3422" s="453"/>
      <c r="O3422" s="86" t="str">
        <f t="shared" si="1008"/>
        <v/>
      </c>
      <c r="P3422" s="538" t="str">
        <f t="shared" si="1009"/>
        <v/>
      </c>
      <c r="Q3422" s="539" t="str">
        <f t="shared" si="1007"/>
        <v/>
      </c>
      <c r="R3422" s="706"/>
      <c r="S3422" s="707"/>
      <c r="T3422" s="708"/>
      <c r="U3422" s="472"/>
      <c r="V3422" s="167"/>
      <c r="W3422" s="446"/>
      <c r="X3422" s="456"/>
      <c r="Y3422" s="436"/>
      <c r="Z3422" s="437"/>
      <c r="AA3422" s="560"/>
      <c r="AB3422" s="561"/>
      <c r="AC3422" s="87"/>
      <c r="AD3422" s="466"/>
      <c r="AE3422" s="456"/>
      <c r="AF3422" s="467"/>
      <c r="AG3422" s="87"/>
      <c r="AH3422" s="87"/>
      <c r="AI3422" s="87"/>
    </row>
    <row r="3423" spans="1:35" ht="16.5" hidden="1" thickBot="1">
      <c r="A3423" s="44"/>
      <c r="B3423" s="89"/>
      <c r="C3423" s="90"/>
      <c r="D3423" s="90"/>
      <c r="E3423" s="90"/>
      <c r="F3423" s="90"/>
      <c r="G3423" s="90"/>
      <c r="H3423" s="90"/>
      <c r="I3423" s="90"/>
      <c r="J3423" s="90"/>
      <c r="K3423" s="90"/>
      <c r="L3423" s="90"/>
      <c r="M3423" s="90"/>
      <c r="N3423" s="90"/>
      <c r="O3423" s="90"/>
      <c r="P3423" s="90"/>
      <c r="Q3423" s="90"/>
      <c r="R3423" s="90"/>
      <c r="S3423" s="91"/>
      <c r="T3423" s="92"/>
      <c r="U3423" s="473"/>
      <c r="W3423" s="438"/>
      <c r="X3423" s="455"/>
      <c r="Y3423" s="439"/>
      <c r="Z3423" s="437"/>
      <c r="AA3423" s="530"/>
      <c r="AB3423" s="563"/>
      <c r="AC3423" s="87"/>
      <c r="AD3423" s="440"/>
      <c r="AE3423" s="441"/>
      <c r="AF3423" s="442"/>
      <c r="AG3423" s="49"/>
      <c r="AH3423" s="87"/>
      <c r="AI3423" s="87"/>
    </row>
    <row r="3424" spans="1:35" ht="16.5" hidden="1" thickBot="1">
      <c r="A3424" s="93"/>
      <c r="B3424" s="94"/>
      <c r="C3424" s="96"/>
      <c r="D3424" s="96"/>
      <c r="E3424" s="96"/>
      <c r="F3424" s="96"/>
      <c r="G3424" s="96"/>
      <c r="H3424" s="96"/>
      <c r="I3424" s="96"/>
      <c r="J3424" s="96"/>
      <c r="K3424" s="96"/>
      <c r="L3424" s="96"/>
      <c r="M3424" s="136"/>
      <c r="N3424" s="96"/>
      <c r="O3424" s="96"/>
      <c r="P3424" s="97"/>
      <c r="Q3424" s="97"/>
      <c r="R3424" s="98"/>
      <c r="S3424" s="95"/>
      <c r="T3424" s="99"/>
      <c r="U3424" s="469"/>
      <c r="AC3424" s="58"/>
      <c r="AG3424" s="58"/>
      <c r="AH3424" s="87"/>
      <c r="AI3424" s="87"/>
    </row>
    <row r="3425" spans="1:35" ht="16.5" hidden="1" thickBot="1">
      <c r="B3425" s="101"/>
      <c r="C3425" s="101"/>
      <c r="D3425" s="101"/>
      <c r="E3425" s="101"/>
      <c r="F3425" s="101"/>
      <c r="G3425" s="101"/>
      <c r="H3425" s="101"/>
      <c r="I3425" s="101"/>
      <c r="J3425" s="101"/>
      <c r="K3425" s="101"/>
      <c r="L3425" s="101"/>
      <c r="M3425" s="101"/>
      <c r="N3425" s="101"/>
      <c r="O3425" s="101"/>
      <c r="P3425" s="101"/>
      <c r="Q3425" s="101"/>
      <c r="R3425" s="101"/>
      <c r="S3425" s="101"/>
      <c r="U3425" s="50"/>
      <c r="AH3425" s="87"/>
      <c r="AI3425" s="87"/>
    </row>
    <row r="3426" spans="1:35" ht="16.5" hidden="1" customHeight="1" thickBot="1">
      <c r="A3426" s="44"/>
      <c r="B3426" s="705" t="s">
        <v>74</v>
      </c>
      <c r="C3426" s="705"/>
      <c r="D3426" s="705"/>
      <c r="E3426" s="705"/>
      <c r="F3426" s="705"/>
      <c r="G3426" s="705"/>
      <c r="H3426" s="705"/>
      <c r="I3426" s="705"/>
      <c r="J3426" s="705"/>
      <c r="K3426" s="705"/>
      <c r="L3426" s="705"/>
      <c r="M3426" s="705"/>
      <c r="N3426" s="705"/>
      <c r="O3426" s="705"/>
      <c r="P3426" s="705"/>
      <c r="Q3426" s="705"/>
      <c r="R3426" s="705"/>
      <c r="S3426" s="705"/>
      <c r="T3426" s="705"/>
      <c r="U3426" s="108"/>
      <c r="Y3426" s="532" t="s">
        <v>341</v>
      </c>
      <c r="AC3426" s="49"/>
      <c r="AD3426" s="687" t="s">
        <v>302</v>
      </c>
      <c r="AE3426" s="688"/>
      <c r="AF3426" s="689"/>
      <c r="AG3426" s="49"/>
      <c r="AH3426" s="87"/>
      <c r="AI3426" s="87"/>
    </row>
    <row r="3427" spans="1:35" ht="16.5" hidden="1" customHeight="1" thickBot="1">
      <c r="A3427" s="218" t="e">
        <f>"K"&amp;E3409</f>
        <v>#N/A</v>
      </c>
      <c r="B3427" s="701" t="s">
        <v>71</v>
      </c>
      <c r="C3427" s="751" t="s">
        <v>102</v>
      </c>
      <c r="D3427" s="751"/>
      <c r="E3427" s="751"/>
      <c r="F3427" s="751"/>
      <c r="G3427" s="751"/>
      <c r="H3427" s="751"/>
      <c r="I3427" s="751"/>
      <c r="J3427" s="751"/>
      <c r="K3427" s="751"/>
      <c r="L3427" s="722" t="s">
        <v>100</v>
      </c>
      <c r="M3427" s="747" t="s">
        <v>114</v>
      </c>
      <c r="N3427" s="747"/>
      <c r="O3427" s="747"/>
      <c r="P3427" s="747"/>
      <c r="Q3427" s="748"/>
      <c r="R3427" s="758" t="s">
        <v>280</v>
      </c>
      <c r="S3427" s="748"/>
      <c r="T3427" s="762" t="str">
        <f>IF(COUNTIF(AE3427:AF3427,"VERIFICAR")&gt;0,"VERIFICAR",IF(COUNTIF(AE3427:AF3427,"NO CUMPLE")&gt;0,"NO CUMPLE","CUMPLE"))</f>
        <v>VERIFICAR</v>
      </c>
      <c r="U3427" s="108"/>
      <c r="Y3427" s="533" t="e">
        <f>IF(F3428="","",IF(F3428=1,"INDIVIDUAL","ESTRUCTURA PLURAL"))</f>
        <v>#N/A</v>
      </c>
      <c r="AC3427" s="52"/>
      <c r="AD3427" s="475" t="s">
        <v>303</v>
      </c>
      <c r="AE3427" s="476" t="str">
        <f>IF(COUNTIF(AE3413:AE3422,"")=10,"VERIFICAR",IF(COUNTIF(AE3413:AE3422,"SI")&gt;0,"CUMPLE","NO CUMPLE"))</f>
        <v>VERIFICAR</v>
      </c>
      <c r="AF3427" s="477" t="str">
        <f>IF(COUNTIF(AF3413:AF3422,"")=10,"VERIFICAR",IF(COUNTIF(AF3413:AF3422,"SI")&gt;=$AI$22,"CUMPLE","NO CUMPLE"))</f>
        <v>VERIFICAR</v>
      </c>
      <c r="AG3427" s="52"/>
      <c r="AH3427" s="87"/>
      <c r="AI3427" s="87"/>
    </row>
    <row r="3428" spans="1:35" ht="15.75" hidden="1" customHeight="1" thickBot="1">
      <c r="A3428" s="218" t="e">
        <f>"L"&amp;E3409</f>
        <v>#N/A</v>
      </c>
      <c r="B3428" s="702"/>
      <c r="C3428" s="751" t="s">
        <v>103</v>
      </c>
      <c r="D3428" s="751"/>
      <c r="E3428" s="752"/>
      <c r="F3428" s="557" t="e">
        <f>IF(VLOOKUP(E3409,PROPONENTES!$C$19:$E$218,3,0)="","",VLOOKUP(E3409,PROPONENTES!$C$19:$E$218,3,0))</f>
        <v>#N/A</v>
      </c>
      <c r="G3428" s="753" t="s">
        <v>104</v>
      </c>
      <c r="H3428" s="751"/>
      <c r="I3428" s="715" t="e">
        <f>IF(OR(F3428="",F3428=1),"INTERESADO PERSONA NATURAL O JURIDICA","CONSORCIO O UNION TEMPORAL")</f>
        <v>#N/A</v>
      </c>
      <c r="J3428" s="725"/>
      <c r="K3428" s="728"/>
      <c r="L3428" s="723"/>
      <c r="M3428" s="749"/>
      <c r="N3428" s="749"/>
      <c r="O3428" s="749"/>
      <c r="P3428" s="749"/>
      <c r="Q3428" s="750"/>
      <c r="R3428" s="712"/>
      <c r="S3428" s="750"/>
      <c r="T3428" s="763"/>
      <c r="U3428" s="108"/>
      <c r="Y3428" s="534"/>
      <c r="AA3428" s="52"/>
      <c r="AB3428" s="52"/>
      <c r="AC3428" s="52"/>
      <c r="AG3428" s="52"/>
      <c r="AH3428" s="87"/>
      <c r="AI3428" s="87"/>
    </row>
    <row r="3429" spans="1:35" ht="56.25" hidden="1" customHeight="1" thickBot="1">
      <c r="A3429" s="218" t="e">
        <f>"M"&amp;E3409</f>
        <v>#N/A</v>
      </c>
      <c r="B3429" s="702"/>
      <c r="C3429" s="725" t="s">
        <v>101</v>
      </c>
      <c r="D3429" s="716"/>
      <c r="E3429" s="558" t="s">
        <v>105</v>
      </c>
      <c r="F3429" s="554" t="s">
        <v>87</v>
      </c>
      <c r="G3429" s="553" t="s">
        <v>86</v>
      </c>
      <c r="H3429" s="559" t="s">
        <v>85</v>
      </c>
      <c r="I3429" s="554" t="s">
        <v>252</v>
      </c>
      <c r="J3429" s="553" t="str">
        <f>"¿EL INTEGRANTE TIENE UNA PARTICIPACIÓN DEL "&amp;PORCREQUERIDOINT*100&amp;"%?"</f>
        <v>¿EL INTEGRANTE TIENE UNA PARTICIPACIÓN DEL 60%?</v>
      </c>
      <c r="K3429" s="554" t="s">
        <v>107</v>
      </c>
      <c r="L3429" s="724"/>
      <c r="M3429" s="717" t="s">
        <v>115</v>
      </c>
      <c r="N3429" s="718"/>
      <c r="O3429" s="718"/>
      <c r="P3429" s="718"/>
      <c r="Q3429" s="223">
        <f>IF(AND(H3413="SI",P3413&gt;=0),1,0)+IF(AND(H3414="SI",P3414&gt;=0),1,0)+IF(AND(H3415="SI",P3415&gt;=0),1,0)+IF(AND(H3416="SI",P3416&gt;=0),1,0)+IF(AND(H3417="SI",P3417&gt;=0),1,0)+IF(AND(H3418="SI",P3418&gt;=0),1,0)+IF(AND(H3419="SI",P3419&gt;=0),1,0)+IF(AND(H3420="SI",P3420&gt;=0),1,0)+IF(AND(H3421="SI",P3421&gt;=0),1,0)+IF(AND(H3422="SI",P3422&gt;=0),1,0)</f>
        <v>0</v>
      </c>
      <c r="R3429" s="759"/>
      <c r="S3429" s="761"/>
      <c r="T3429" s="764"/>
      <c r="U3429" s="219"/>
      <c r="V3429" s="464"/>
      <c r="Y3429" s="532" t="s">
        <v>342</v>
      </c>
      <c r="AA3429" s="550" t="s">
        <v>344</v>
      </c>
      <c r="AB3429" s="693" t="s">
        <v>345</v>
      </c>
      <c r="AC3429" s="693" t="s">
        <v>346</v>
      </c>
      <c r="AD3429" s="685" t="s">
        <v>347</v>
      </c>
      <c r="AE3429" s="52"/>
      <c r="AF3429" s="52"/>
      <c r="AG3429" s="52"/>
      <c r="AH3429" s="87"/>
      <c r="AI3429" s="87"/>
    </row>
    <row r="3430" spans="1:35" ht="15.75" hidden="1" customHeight="1" thickBot="1">
      <c r="A3430" s="218" t="e">
        <f>"N"&amp;E3409</f>
        <v>#N/A</v>
      </c>
      <c r="B3430" s="702"/>
      <c r="C3430" s="114">
        <v>1</v>
      </c>
      <c r="D3430" s="194" t="e">
        <f>IF(AND(C3430&lt;=F3428,F3428&gt;1,F3428&lt;&gt;""),VLOOKUP(VALUE(E3409&amp;","&amp;C3430),INTEGRANTES!$D$18:$F$235,2,0),"")</f>
        <v>#N/A</v>
      </c>
      <c r="E3430" s="211" t="e">
        <f>IF(D3430&lt;&gt;"",VLOOKUP(VALUE(E3409&amp;","&amp;C3430),INTEGRANTES!$D$18:$F$235,3,0),"")</f>
        <v>#N/A</v>
      </c>
      <c r="F3430" s="547" t="e">
        <f>IF(D3430="","",SUMIF($I3413:$I3422,D3430,$P3413:$P3422))</f>
        <v>#N/A</v>
      </c>
      <c r="G3430" s="333" t="e">
        <f>IF(D3430="","",SUMIF($I3413:$I3422,D3430,$M3413:$M3422))</f>
        <v>#N/A</v>
      </c>
      <c r="H3430" s="535" t="e">
        <f t="shared" ref="H3430:H3435" si="1010">IF(D3430="","",IF(OR(F3430=0,G3430=0),"NO APORTA",ROUND($F3430/$G3430,3)))</f>
        <v>#N/A</v>
      </c>
      <c r="I3430" s="212" t="e">
        <f>IF(D3430="","",IF(H3430="NO APORTA","NO",IF(H3430=MAX($H3430:$H3435),"SI","NO")))</f>
        <v>#N/A</v>
      </c>
      <c r="J3430" s="213" t="e">
        <f t="shared" ref="J3430:J3435" si="1011">IF(D3430="","",IF(E3430&gt;=PORCREQUERIDOINT,"SI","NO"))</f>
        <v>#N/A</v>
      </c>
      <c r="K3430" s="200" t="e">
        <f t="shared" ref="K3430:K3435" si="1012">IF(D3430="","",IF(AND(I3430="SI",J3430="SI"),"CUMPLE",IF(AND(I3430="NO",OR(J3430="SI",J3430="NO")),"","NO CUMPLE")))</f>
        <v>#N/A</v>
      </c>
      <c r="L3430" s="722" t="s">
        <v>108</v>
      </c>
      <c r="M3430" s="726" t="s">
        <v>119</v>
      </c>
      <c r="N3430" s="726"/>
      <c r="O3430" s="726"/>
      <c r="P3430" s="726"/>
      <c r="Q3430" s="727"/>
      <c r="R3430" s="758" t="s">
        <v>80</v>
      </c>
      <c r="S3430" s="747"/>
      <c r="T3430" s="748"/>
      <c r="U3430" s="219"/>
      <c r="V3430" s="464"/>
      <c r="Y3430" s="533" t="e">
        <f>IF(Y3427="","",IF(Y3427="INDIVIDUAL","NO APLICA","VERIFICAR CUADRO"))</f>
        <v>#N/A</v>
      </c>
      <c r="AA3430" s="551"/>
      <c r="AB3430" s="694"/>
      <c r="AC3430" s="694"/>
      <c r="AD3430" s="686"/>
      <c r="AE3430" s="52"/>
      <c r="AF3430" s="52"/>
      <c r="AG3430" s="52"/>
      <c r="AH3430" s="87"/>
      <c r="AI3430" s="87"/>
    </row>
    <row r="3431" spans="1:35" ht="27" hidden="1" customHeight="1" thickBot="1">
      <c r="A3431" s="218" t="e">
        <f>"O"&amp;E3409</f>
        <v>#N/A</v>
      </c>
      <c r="B3431" s="702"/>
      <c r="C3431" s="114">
        <v>2</v>
      </c>
      <c r="D3431" s="194" t="e">
        <f>IF(AND(C3431&lt;=F3428,F3428&lt;&gt;""),VLOOKUP(VALUE(E3409&amp;","&amp;C3431),INTEGRANTES!$D$18:$F$235,2,0),"")</f>
        <v>#N/A</v>
      </c>
      <c r="E3431" s="211" t="e">
        <f>IF(D3431&lt;&gt;"",VLOOKUP(VALUE(E3409&amp;","&amp;C3431),INTEGRANTES!$D$18:$F$235,3,0),"")</f>
        <v>#N/A</v>
      </c>
      <c r="F3431" s="547" t="e">
        <f>IF(D3431="","",SUMIF($I3413:$I3422,D3431,$P3413:$P3422))</f>
        <v>#N/A</v>
      </c>
      <c r="G3431" s="333" t="e">
        <f>IF(D3431="","",SUMIF($I3413:$I3422,D3431,$M3413:$M3422))</f>
        <v>#N/A</v>
      </c>
      <c r="H3431" s="535" t="e">
        <f t="shared" si="1010"/>
        <v>#N/A</v>
      </c>
      <c r="I3431" s="212" t="e">
        <f>IF(D3431="","",IF(H3431="NO APORTA","NO",IF(H3431=MAX($H3430:$H3435),"SI","NO")))</f>
        <v>#N/A</v>
      </c>
      <c r="J3431" s="213" t="e">
        <f t="shared" si="1011"/>
        <v>#N/A</v>
      </c>
      <c r="K3431" s="200" t="e">
        <f t="shared" si="1012"/>
        <v>#N/A</v>
      </c>
      <c r="L3431" s="723"/>
      <c r="M3431" s="715" t="s">
        <v>116</v>
      </c>
      <c r="N3431" s="716"/>
      <c r="O3431" s="556" t="s">
        <v>113</v>
      </c>
      <c r="P3431" s="715" t="s">
        <v>117</v>
      </c>
      <c r="Q3431" s="728"/>
      <c r="R3431" s="759"/>
      <c r="S3431" s="760"/>
      <c r="T3431" s="761"/>
      <c r="U3431" s="219"/>
      <c r="V3431" s="464"/>
      <c r="Y3431" s="414"/>
      <c r="AA3431" s="542" t="e">
        <f>IF(AND(C3430&lt;=F3428,F3428&gt;1,F3428&lt;&gt;""),VLOOKUP(VALUE(E3409&amp;","&amp;C3430),INTEGRANTES!$D$18:$F$235,2,0),"")</f>
        <v>#N/A</v>
      </c>
      <c r="AB3431" s="544" t="e">
        <f t="shared" ref="AB3431:AB3436" si="1013">IF(D3430="","",IF(OR(F3430=0,G3430=0),"NO APORTA",ROUND($F3430/$G3430,3)))</f>
        <v>#N/A</v>
      </c>
      <c r="AC3431" s="529"/>
      <c r="AD3431" s="200" t="e">
        <f t="shared" ref="AD3431:AD3436" si="1014">IF(OR(AA3431="",AB3431=""),"",IF(AND(AC3431="X",AB3431&gt;=EXPREQVTD),"CUMPLE","NO CUMPLE"))</f>
        <v>#N/A</v>
      </c>
      <c r="AE3431" s="52"/>
      <c r="AF3431" s="52"/>
      <c r="AG3431" s="52"/>
      <c r="AH3431" s="87"/>
      <c r="AI3431" s="87"/>
    </row>
    <row r="3432" spans="1:35" ht="16.5" hidden="1" thickBot="1">
      <c r="A3432" s="218" t="e">
        <f>"P"&amp;E3409</f>
        <v>#N/A</v>
      </c>
      <c r="B3432" s="702"/>
      <c r="C3432" s="114">
        <v>3</v>
      </c>
      <c r="D3432" s="194" t="e">
        <f>IF(AND(C3432&lt;=F3428,F3428&lt;&gt;""),VLOOKUP(VALUE(E3409&amp;","&amp;C3432),INTEGRANTES!$D$18:$F$235,2,0),"")</f>
        <v>#N/A</v>
      </c>
      <c r="E3432" s="211" t="e">
        <f>IF(D3432&lt;&gt;"",VLOOKUP(VALUE(E3409&amp;","&amp;C3432),INTEGRANTES!$D$18:$F$235,3,0),"")</f>
        <v>#N/A</v>
      </c>
      <c r="F3432" s="547" t="e">
        <f>IF(D3432="","",SUMIF($I3413:$I3422,D3432,$P3413:$P3422))</f>
        <v>#N/A</v>
      </c>
      <c r="G3432" s="333" t="e">
        <f>IF(D3432="","",SUMIF($I3413:$I3422,D3432,$M3413:$M3422))</f>
        <v>#N/A</v>
      </c>
      <c r="H3432" s="535" t="e">
        <f t="shared" si="1010"/>
        <v>#N/A</v>
      </c>
      <c r="I3432" s="212" t="e">
        <f>IF(D3432="","",IF(H3432="NO APORTA","NO",IF(H3432=MAX($H3430:$H3435),"SI","NO")))</f>
        <v>#N/A</v>
      </c>
      <c r="J3432" s="213" t="e">
        <f t="shared" si="1011"/>
        <v>#N/A</v>
      </c>
      <c r="K3432" s="200" t="e">
        <f t="shared" si="1012"/>
        <v>#N/A</v>
      </c>
      <c r="L3432" s="724"/>
      <c r="M3432" s="729">
        <f>NUMMOD</f>
        <v>1</v>
      </c>
      <c r="N3432" s="730"/>
      <c r="O3432" s="443">
        <f>IF(M3432="","",VLOOKUP(M3432,PRESUPUESTOS!$B$16:$H$16,5,FALSE))</f>
        <v>2</v>
      </c>
      <c r="P3432" s="713">
        <f>IF(OR(COUNTIF(M3413:M3422,"")&gt;=10,Q3429&lt;NUMMINCONT,OR(T3427="NO CUMPLE",T3427="VERIFICAR")),0,ROUND(AVERAGE(M3413:M3422),3))</f>
        <v>0</v>
      </c>
      <c r="Q3432" s="714"/>
      <c r="R3432" s="458"/>
      <c r="S3432" s="459"/>
      <c r="T3432" s="460"/>
      <c r="U3432" s="219"/>
      <c r="V3432" s="464"/>
      <c r="Y3432" s="532" t="str">
        <f>"40% * ("&amp;PRESUPUESTOS!$H$13&amp;")"</f>
        <v>40% * (50% PFMO)</v>
      </c>
      <c r="AA3432" s="540" t="e">
        <f>IF(AND(C3431&lt;=F3428,F3428&lt;&gt;""),VLOOKUP(VALUE(E3409&amp;","&amp;C3431),INTEGRANTES!$D$18:$F$235,2,0),"")</f>
        <v>#N/A</v>
      </c>
      <c r="AB3432" s="545" t="e">
        <f t="shared" si="1013"/>
        <v>#N/A</v>
      </c>
      <c r="AC3432" s="529"/>
      <c r="AD3432" s="200" t="e">
        <f t="shared" si="1014"/>
        <v>#N/A</v>
      </c>
      <c r="AE3432" s="52"/>
      <c r="AF3432" s="52"/>
      <c r="AG3432" s="52"/>
      <c r="AH3432" s="87"/>
      <c r="AI3432" s="87"/>
    </row>
    <row r="3433" spans="1:35" ht="15.75" hidden="1" customHeight="1" thickBot="1">
      <c r="A3433" s="218" t="e">
        <f>"Q"&amp;E3409</f>
        <v>#N/A</v>
      </c>
      <c r="B3433" s="702"/>
      <c r="C3433" s="114">
        <v>4</v>
      </c>
      <c r="D3433" s="194" t="e">
        <f>IF(AND(C3433&lt;=F3428,F3428&lt;&gt;""),VLOOKUP(VALUE(E3409&amp;","&amp;C3433),INTEGRANTES!$D$18:$F$235,2,0),"")</f>
        <v>#N/A</v>
      </c>
      <c r="E3433" s="211" t="e">
        <f>IF(D3433&lt;&gt;"",VLOOKUP(VALUE(E3409&amp;","&amp;C3433),INTEGRANTES!$D$18:$F$235,3,0),"")</f>
        <v>#N/A</v>
      </c>
      <c r="F3433" s="547" t="e">
        <f>IF(D3433="","",SUMIF($I3413:$I3422,D3433,$P3413:$P3422))</f>
        <v>#N/A</v>
      </c>
      <c r="G3433" s="333" t="e">
        <f>IF(D3433="","",SUMIF($I3413:$I3422,D3433,$M3413:$M3422))</f>
        <v>#N/A</v>
      </c>
      <c r="H3433" s="535" t="e">
        <f t="shared" si="1010"/>
        <v>#N/A</v>
      </c>
      <c r="I3433" s="212" t="e">
        <f>IF(D3433="","",IF(H3433="NO APORTA","NO",IF(H3433=MAX($H3430:$H3435),"SI","NO")))</f>
        <v>#N/A</v>
      </c>
      <c r="J3433" s="213" t="e">
        <f t="shared" si="1011"/>
        <v>#N/A</v>
      </c>
      <c r="K3433" s="200" t="e">
        <f t="shared" si="1012"/>
        <v>#N/A</v>
      </c>
      <c r="L3433" s="720" t="s">
        <v>109</v>
      </c>
      <c r="M3433" s="757" t="s">
        <v>120</v>
      </c>
      <c r="N3433" s="726"/>
      <c r="O3433" s="726"/>
      <c r="P3433" s="726"/>
      <c r="Q3433" s="727"/>
      <c r="R3433" s="458"/>
      <c r="S3433" s="459"/>
      <c r="T3433" s="460"/>
      <c r="U3433" s="219"/>
      <c r="V3433" s="464"/>
      <c r="Y3433" s="537">
        <f>0.4*PRESUPUESTOS!$H$16</f>
        <v>10.3124</v>
      </c>
      <c r="AA3433" s="540" t="e">
        <f>IF(AND(C3432&lt;=F3428,F3428&lt;&gt;""),VLOOKUP(VALUE(E3409&amp;","&amp;C3432),INTEGRANTES!$D$18:$F$235,2,0),"")</f>
        <v>#N/A</v>
      </c>
      <c r="AB3433" s="545" t="e">
        <f t="shared" si="1013"/>
        <v>#N/A</v>
      </c>
      <c r="AC3433" s="529"/>
      <c r="AD3433" s="200" t="e">
        <f t="shared" si="1014"/>
        <v>#N/A</v>
      </c>
      <c r="AE3433" s="52"/>
      <c r="AF3433" s="52"/>
      <c r="AG3433" s="52"/>
      <c r="AH3433" s="87"/>
      <c r="AI3433" s="87"/>
    </row>
    <row r="3434" spans="1:35" ht="27" hidden="1" customHeight="1" thickBot="1">
      <c r="A3434" s="218" t="e">
        <f>"R"&amp;E3409</f>
        <v>#N/A</v>
      </c>
      <c r="B3434" s="702"/>
      <c r="C3434" s="114">
        <v>5</v>
      </c>
      <c r="D3434" s="194" t="e">
        <f>IF(AND(C3434&lt;=F3428,F3428&lt;&gt;""),VLOOKUP(VALUE(E3409&amp;","&amp;C3434),INTEGRANTES!$D$18:$F$235,2,0),"")</f>
        <v>#N/A</v>
      </c>
      <c r="E3434" s="211" t="e">
        <f>IF(D3434&lt;&gt;"",VLOOKUP(VALUE(E3409&amp;","&amp;C3434),INTEGRANTES!$D$18:$F$235,3,0),"")</f>
        <v>#N/A</v>
      </c>
      <c r="F3434" s="547" t="e">
        <f>IF(D3434="","",SUMIF($I3413:$I3422,D3434,$P3413:$P3422))</f>
        <v>#N/A</v>
      </c>
      <c r="G3434" s="333" t="e">
        <f>IF(D3434="","",SUMIF($I3413:$I3422,D3434,$M3413:$M3422))</f>
        <v>#N/A</v>
      </c>
      <c r="H3434" s="535" t="e">
        <f t="shared" si="1010"/>
        <v>#N/A</v>
      </c>
      <c r="I3434" s="212" t="e">
        <f>IF(D3434="","",IF(H3434="NO APORTA","NO",IF(H3434=MAX($H3430:$H3435),"SI","NO")))</f>
        <v>#N/A</v>
      </c>
      <c r="J3434" s="213" t="e">
        <f t="shared" si="1011"/>
        <v>#N/A</v>
      </c>
      <c r="K3434" s="200" t="e">
        <f t="shared" si="1012"/>
        <v>#N/A</v>
      </c>
      <c r="L3434" s="721"/>
      <c r="M3434" s="715" t="s">
        <v>116</v>
      </c>
      <c r="N3434" s="716"/>
      <c r="O3434" s="556" t="str">
        <f>PORCREQUERIDO*100&amp;"% PMFO DEL MÓDULO"</f>
        <v>50% PMFO DEL MÓDULO</v>
      </c>
      <c r="P3434" s="715" t="s">
        <v>118</v>
      </c>
      <c r="Q3434" s="728"/>
      <c r="R3434" s="458"/>
      <c r="S3434" s="459"/>
      <c r="T3434" s="460"/>
      <c r="U3434" s="219"/>
      <c r="V3434" s="464"/>
      <c r="Y3434" s="414"/>
      <c r="AA3434" s="540" t="e">
        <f>IF(AND(C3433&lt;=F3428,F3428&lt;&gt;""),VLOOKUP(VALUE(E3409&amp;","&amp;C3433),INTEGRANTES!$D$18:$F$235,2,0),"")</f>
        <v>#N/A</v>
      </c>
      <c r="AB3434" s="545" t="e">
        <f t="shared" si="1013"/>
        <v>#N/A</v>
      </c>
      <c r="AC3434" s="529"/>
      <c r="AD3434" s="200" t="e">
        <f t="shared" si="1014"/>
        <v>#N/A</v>
      </c>
      <c r="AE3434" s="52"/>
      <c r="AF3434" s="52"/>
      <c r="AG3434" s="52"/>
      <c r="AH3434" s="87"/>
      <c r="AI3434" s="87"/>
    </row>
    <row r="3435" spans="1:35" ht="16.5" hidden="1" thickBot="1">
      <c r="A3435" s="218" t="e">
        <f>"S"&amp;E3409</f>
        <v>#N/A</v>
      </c>
      <c r="B3435" s="702"/>
      <c r="C3435" s="215">
        <v>6</v>
      </c>
      <c r="D3435" s="216" t="e">
        <f>IF(AND(C3435&lt;=F3428,F3428&lt;&gt;""),VLOOKUP(VALUE(E3409&amp;","&amp;C3435),INTEGRANTES!$D$18:$F$235,2,0),"")</f>
        <v>#N/A</v>
      </c>
      <c r="E3435" s="217" t="e">
        <f>IF(D3435&lt;&gt;"",VLOOKUP(VALUE(E3409&amp;","&amp;C3435),INTEGRANTES!$D$18:$F$235,3,0),"")</f>
        <v>#N/A</v>
      </c>
      <c r="F3435" s="548" t="e">
        <f>IF(D3435="","",SUMIF($I3413:$I3422,D3435,$P3413:$P3422))</f>
        <v>#N/A</v>
      </c>
      <c r="G3435" s="334" t="e">
        <f>IF(D3435="","",SUMIF($I3413:$I3422,D3435,$M3413:$M3422))</f>
        <v>#N/A</v>
      </c>
      <c r="H3435" s="536" t="e">
        <f t="shared" si="1010"/>
        <v>#N/A</v>
      </c>
      <c r="I3435" s="214" t="e">
        <f>IF(D3435="","",IF(H3435="NO APORTA","NO",IF(H3435=MAX($H3430:$H3435),"SI","NO")))</f>
        <v>#N/A</v>
      </c>
      <c r="J3435" s="213" t="e">
        <f t="shared" si="1011"/>
        <v>#N/A</v>
      </c>
      <c r="K3435" s="200" t="e">
        <f t="shared" si="1012"/>
        <v>#N/A</v>
      </c>
      <c r="L3435" s="721"/>
      <c r="M3435" s="729">
        <f>NUMMOD</f>
        <v>1</v>
      </c>
      <c r="N3435" s="730"/>
      <c r="O3435" s="443">
        <f>IF(M3435="","",ROUND(VLOOKUP(M3435,PRESUPUESTOS!$B$16:$H$16,7,FALSE),3))</f>
        <v>25.780999999999999</v>
      </c>
      <c r="P3435" s="713">
        <f>IF(OR(COUNTIF(P3413:P3422,"")&gt;=10,Q3429&lt;NUMMINCONT,OR(T3427="NO CUMPLE",T3427="VERIFICAR")),0,ROUND((SUM(P3413:P3422)/SUM(M3413:M3422)),3))</f>
        <v>0</v>
      </c>
      <c r="Q3435" s="714"/>
      <c r="R3435" s="458"/>
      <c r="S3435" s="459"/>
      <c r="T3435" s="460"/>
      <c r="U3435" s="219"/>
      <c r="V3435" s="464"/>
      <c r="Y3435" s="532" t="s">
        <v>343</v>
      </c>
      <c r="AA3435" s="540" t="e">
        <f>IF(AND(C3434&lt;=F3428,F3428&lt;&gt;""),VLOOKUP(VALUE(E3409&amp;","&amp;C3434),INTEGRANTES!$D$18:$F$235,2,0),"")</f>
        <v>#N/A</v>
      </c>
      <c r="AB3435" s="545" t="e">
        <f t="shared" si="1013"/>
        <v>#N/A</v>
      </c>
      <c r="AC3435" s="529"/>
      <c r="AD3435" s="200" t="e">
        <f t="shared" si="1014"/>
        <v>#N/A</v>
      </c>
      <c r="AE3435" s="52"/>
      <c r="AF3435" s="52"/>
      <c r="AG3435" s="52"/>
      <c r="AH3435" s="87"/>
      <c r="AI3435" s="87"/>
    </row>
    <row r="3436" spans="1:35" ht="16.5" hidden="1" customHeight="1" thickBot="1">
      <c r="A3436" s="218" t="e">
        <f>"T"&amp;E3409</f>
        <v>#N/A</v>
      </c>
      <c r="B3436" s="703"/>
      <c r="C3436" s="719"/>
      <c r="D3436" s="719"/>
      <c r="E3436" s="719"/>
      <c r="F3436" s="719"/>
      <c r="G3436" s="719"/>
      <c r="H3436" s="719" t="s">
        <v>110</v>
      </c>
      <c r="I3436" s="719"/>
      <c r="J3436" s="719"/>
      <c r="K3436" s="201" t="str">
        <f>IF(COUNTIF(K3430:K3435,"")=6,"",IF(COUNTIF(K3430:K3435,"CUMPLE")&gt;0,"CUMPLE","NO CUMPLE"))</f>
        <v>NO CUMPLE</v>
      </c>
      <c r="L3436" s="754"/>
      <c r="M3436" s="755"/>
      <c r="N3436" s="755"/>
      <c r="O3436" s="755"/>
      <c r="P3436" s="755"/>
      <c r="Q3436" s="756"/>
      <c r="R3436" s="461"/>
      <c r="S3436" s="462"/>
      <c r="T3436" s="463"/>
      <c r="U3436" s="219"/>
      <c r="V3436" s="464"/>
      <c r="Y3436" s="549" t="e">
        <f>IF(Y3430="NO APLICA","NO APLICA",IF(COUNTIF(AD3431:AD3436,"CUMPLE")&gt;0,"CUMPLE","NO CUMPLE"))</f>
        <v>#N/A</v>
      </c>
      <c r="AA3436" s="541" t="e">
        <f>IF(AND(C3435&lt;=F3428,F3428&lt;&gt;""),VLOOKUP(VALUE(E3409&amp;","&amp;C3435),INTEGRANTES!$D$18:$F$235,2,0),"")</f>
        <v>#N/A</v>
      </c>
      <c r="AB3436" s="546" t="e">
        <f t="shared" si="1013"/>
        <v>#N/A</v>
      </c>
      <c r="AC3436" s="543"/>
      <c r="AD3436" s="201" t="e">
        <f t="shared" si="1014"/>
        <v>#N/A</v>
      </c>
      <c r="AE3436" s="52"/>
      <c r="AF3436" s="52"/>
      <c r="AG3436" s="52"/>
      <c r="AH3436" s="87"/>
      <c r="AI3436" s="87"/>
    </row>
    <row r="3437" spans="1:35" hidden="1">
      <c r="AH3437" s="87"/>
      <c r="AI3437" s="87"/>
    </row>
    <row r="3438" spans="1:35" hidden="1">
      <c r="AH3438" s="87"/>
      <c r="AI3438" s="87"/>
    </row>
    <row r="3439" spans="1:35" ht="24" hidden="1" thickBot="1">
      <c r="A3439" s="61">
        <v>115</v>
      </c>
      <c r="B3439" s="704" t="s">
        <v>51</v>
      </c>
      <c r="C3439" s="704"/>
      <c r="D3439" s="704"/>
      <c r="E3439" s="62" t="e">
        <f>VLOOKUP(A3439,PROPONENTES!$B$19:$E$218,2,FALSE)</f>
        <v>#N/A</v>
      </c>
      <c r="F3439" s="63" t="e">
        <f>VLOOKUP(A3439,PROPONENTES!$B$19:$E$218,3,FALSE)</f>
        <v>#N/A</v>
      </c>
      <c r="G3439" s="64"/>
      <c r="H3439" s="64"/>
      <c r="I3439" s="63"/>
      <c r="J3439" s="63"/>
      <c r="K3439" s="65"/>
      <c r="L3439" s="65"/>
      <c r="M3439" s="64"/>
      <c r="N3439" s="64"/>
      <c r="O3439" s="66"/>
      <c r="P3439" s="66"/>
      <c r="Q3439" s="66"/>
      <c r="R3439" s="66"/>
      <c r="S3439" s="67"/>
      <c r="T3439" s="68"/>
      <c r="U3439" s="68"/>
      <c r="AC3439" s="68"/>
      <c r="AD3439" s="68"/>
      <c r="AE3439" s="68"/>
      <c r="AF3439" s="68"/>
      <c r="AG3439" s="68"/>
      <c r="AH3439" s="87"/>
      <c r="AI3439" s="87"/>
    </row>
    <row r="3440" spans="1:35" ht="15.75" hidden="1" customHeight="1">
      <c r="A3440" s="44"/>
      <c r="B3440" s="709" t="s">
        <v>59</v>
      </c>
      <c r="C3440" s="552" t="s">
        <v>60</v>
      </c>
      <c r="D3440" s="70" t="s">
        <v>17</v>
      </c>
      <c r="E3440" s="70"/>
      <c r="F3440" s="70" t="s">
        <v>61</v>
      </c>
      <c r="G3440" s="71"/>
      <c r="H3440" s="699" t="s">
        <v>62</v>
      </c>
      <c r="I3440" s="699" t="s">
        <v>18</v>
      </c>
      <c r="J3440" s="699" t="s">
        <v>63</v>
      </c>
      <c r="K3440" s="699" t="s">
        <v>64</v>
      </c>
      <c r="L3440" s="699" t="s">
        <v>65</v>
      </c>
      <c r="M3440" s="743" t="s">
        <v>66</v>
      </c>
      <c r="N3440" s="699" t="s">
        <v>282</v>
      </c>
      <c r="O3440" s="745" t="s">
        <v>67</v>
      </c>
      <c r="P3440" s="746"/>
      <c r="Q3440" s="102" t="s">
        <v>75</v>
      </c>
      <c r="R3440" s="731" t="s">
        <v>22</v>
      </c>
      <c r="S3440" s="732"/>
      <c r="T3440" s="733"/>
      <c r="U3440" s="712" t="s">
        <v>298</v>
      </c>
      <c r="W3440" s="690" t="s">
        <v>268</v>
      </c>
      <c r="X3440" s="691"/>
      <c r="Y3440" s="692"/>
      <c r="Z3440" s="428"/>
      <c r="AA3440" s="697" t="s">
        <v>315</v>
      </c>
      <c r="AB3440" s="695" t="s">
        <v>322</v>
      </c>
      <c r="AC3440" s="49"/>
      <c r="AD3440" s="690" t="s">
        <v>297</v>
      </c>
      <c r="AE3440" s="691"/>
      <c r="AF3440" s="692"/>
      <c r="AG3440" s="49"/>
      <c r="AH3440" s="87"/>
      <c r="AI3440" s="87"/>
    </row>
    <row r="3441" spans="1:35" ht="72" hidden="1">
      <c r="A3441" s="44"/>
      <c r="B3441" s="710"/>
      <c r="C3441" s="553" t="s">
        <v>68</v>
      </c>
      <c r="D3441" s="73" t="s">
        <v>3</v>
      </c>
      <c r="E3441" s="73" t="s">
        <v>19</v>
      </c>
      <c r="F3441" s="73" t="s">
        <v>69</v>
      </c>
      <c r="G3441" s="74" t="s">
        <v>70</v>
      </c>
      <c r="H3441" s="700"/>
      <c r="I3441" s="700"/>
      <c r="J3441" s="700"/>
      <c r="K3441" s="700"/>
      <c r="L3441" s="700"/>
      <c r="M3441" s="744"/>
      <c r="N3441" s="700"/>
      <c r="O3441" s="553" t="s">
        <v>279</v>
      </c>
      <c r="P3441" s="73" t="s">
        <v>88</v>
      </c>
      <c r="Q3441" s="555" t="s">
        <v>76</v>
      </c>
      <c r="R3441" s="734"/>
      <c r="S3441" s="735"/>
      <c r="T3441" s="736"/>
      <c r="U3441" s="712"/>
      <c r="W3441" s="429" t="s">
        <v>269</v>
      </c>
      <c r="X3441" s="457" t="s">
        <v>278</v>
      </c>
      <c r="Y3441" s="430" t="s">
        <v>324</v>
      </c>
      <c r="Z3441" s="428"/>
      <c r="AA3441" s="698"/>
      <c r="AB3441" s="696"/>
      <c r="AC3441" s="49"/>
      <c r="AD3441" s="429" t="s">
        <v>292</v>
      </c>
      <c r="AE3441" s="431" t="s">
        <v>300</v>
      </c>
      <c r="AF3441" s="468" t="s">
        <v>301</v>
      </c>
      <c r="AG3441" s="49"/>
      <c r="AH3441" s="87"/>
      <c r="AI3441" s="87"/>
    </row>
    <row r="3442" spans="1:35" hidden="1">
      <c r="A3442" s="44"/>
      <c r="B3442" s="76"/>
      <c r="C3442" s="77"/>
      <c r="D3442" s="77"/>
      <c r="E3442" s="77"/>
      <c r="F3442" s="77"/>
      <c r="G3442" s="77"/>
      <c r="H3442" s="77"/>
      <c r="I3442" s="77"/>
      <c r="J3442" s="77"/>
      <c r="K3442" s="77"/>
      <c r="L3442" s="77"/>
      <c r="M3442" s="77"/>
      <c r="N3442" s="77"/>
      <c r="O3442" s="77"/>
      <c r="P3442" s="77"/>
      <c r="Q3442" s="77"/>
      <c r="R3442" s="77"/>
      <c r="S3442" s="78"/>
      <c r="T3442" s="79"/>
      <c r="U3442" s="109"/>
      <c r="V3442" s="49"/>
      <c r="W3442" s="432"/>
      <c r="X3442" s="454"/>
      <c r="Y3442" s="433"/>
      <c r="Z3442" s="6"/>
      <c r="AA3442" s="500"/>
      <c r="AB3442" s="562"/>
      <c r="AC3442" s="49"/>
      <c r="AD3442" s="210"/>
      <c r="AE3442" s="434"/>
      <c r="AF3442" s="435"/>
      <c r="AG3442" s="49"/>
      <c r="AH3442" s="87"/>
      <c r="AI3442" s="87"/>
    </row>
    <row r="3443" spans="1:35" hidden="1">
      <c r="A3443" s="80" t="e">
        <f>"A"&amp;E3439</f>
        <v>#N/A</v>
      </c>
      <c r="B3443" s="81">
        <v>1</v>
      </c>
      <c r="C3443" s="82"/>
      <c r="D3443" s="82"/>
      <c r="E3443" s="82"/>
      <c r="F3443" s="82"/>
      <c r="G3443" s="83"/>
      <c r="H3443" s="83"/>
      <c r="I3443" s="84"/>
      <c r="J3443" s="85"/>
      <c r="K3443" s="382"/>
      <c r="L3443" s="85"/>
      <c r="M3443" s="332" t="str">
        <f t="shared" ref="M3443:M3452" si="1015">IF(OR(J3443="",L3443="",H3443="NO"),"",IF(OR(J3443&gt;$P$17,J3443&lt;$O$17,L3443&gt;$P$17,AND(J3443&lt;$O$17,L3443&lt;$O$17)),"FUERA DE RANGO",IF(OR(K3443="---",K3443=""),IF(J3443&gt;=$O$17,ROUND((L3443-J3443+1)/360*12,3),ROUND((L3443-$O$17+1)/360*12,3)),IF(J3443&gt;=$O$17,ROUND((L3443-J3443+1)/360*12-ROUND(K3443,3),3),ROUND((L3443-$O$17+1)/360*12-ROUND(K3443,3),3)))))</f>
        <v/>
      </c>
      <c r="N3443" s="86"/>
      <c r="O3443" s="453" t="str">
        <f>IF(OR(G3443="",N3443=""),"",N3443*G3443)</f>
        <v/>
      </c>
      <c r="P3443" s="538" t="str">
        <f>IF(OR(H3443="",M3443="FUERA DE RANGO"),"",IF(OR(L3443&lt;$O$17,L3443&gt;$P$17,L3443="",H3443="NO"),"",IF(OR(N3443="",O3443=""),"",ROUND(O3443,3))))</f>
        <v/>
      </c>
      <c r="Q3443" s="539" t="str">
        <f t="shared" ref="Q3443:Q3452" si="1016">IF(AND(H3443="SI",P3443&lt;&gt;""),ROUND(P3443/M3443,3),"")</f>
        <v/>
      </c>
      <c r="R3443" s="737"/>
      <c r="S3443" s="738"/>
      <c r="T3443" s="739"/>
      <c r="U3443" s="470"/>
      <c r="V3443" s="165"/>
      <c r="W3443" s="446"/>
      <c r="X3443" s="456"/>
      <c r="Y3443" s="436"/>
      <c r="Z3443" s="437"/>
      <c r="AA3443" s="560"/>
      <c r="AB3443" s="561"/>
      <c r="AC3443" s="87"/>
      <c r="AD3443" s="466"/>
      <c r="AE3443" s="456"/>
      <c r="AF3443" s="467"/>
      <c r="AG3443" s="87"/>
      <c r="AH3443" s="87"/>
      <c r="AI3443" s="87"/>
    </row>
    <row r="3444" spans="1:35" hidden="1">
      <c r="A3444" s="80" t="e">
        <f>"B"&amp;E3439</f>
        <v>#N/A</v>
      </c>
      <c r="B3444" s="81">
        <v>2</v>
      </c>
      <c r="C3444" s="106"/>
      <c r="D3444" s="106"/>
      <c r="E3444" s="106"/>
      <c r="F3444" s="106"/>
      <c r="G3444" s="83"/>
      <c r="H3444" s="83"/>
      <c r="I3444" s="84"/>
      <c r="J3444" s="85"/>
      <c r="K3444" s="382"/>
      <c r="L3444" s="85"/>
      <c r="M3444" s="332" t="str">
        <f t="shared" si="1015"/>
        <v/>
      </c>
      <c r="N3444" s="86"/>
      <c r="O3444" s="453" t="str">
        <f t="shared" ref="O3444:O3452" si="1017">IF(OR(G3444="",N3444=""),"",N3444*G3444)</f>
        <v/>
      </c>
      <c r="P3444" s="538" t="str">
        <f t="shared" ref="P3444:P3452" si="1018">IF(OR(H3444="",M3444="FUERA DE RANGO"),"",IF(OR(L3444&lt;$O$17,L3444&gt;$P$17,L3444="",H3444="NO"),"",IF(OR(N3444="",O3444=""),"",ROUND(O3444,3))))</f>
        <v/>
      </c>
      <c r="Q3444" s="539" t="str">
        <f t="shared" si="1016"/>
        <v/>
      </c>
      <c r="R3444" s="740"/>
      <c r="S3444" s="741"/>
      <c r="T3444" s="742"/>
      <c r="U3444" s="471"/>
      <c r="V3444" s="165"/>
      <c r="W3444" s="446"/>
      <c r="X3444" s="456"/>
      <c r="Y3444" s="436"/>
      <c r="Z3444" s="437"/>
      <c r="AA3444" s="560"/>
      <c r="AB3444" s="561"/>
      <c r="AC3444" s="87"/>
      <c r="AD3444" s="466"/>
      <c r="AE3444" s="456"/>
      <c r="AF3444" s="467"/>
      <c r="AG3444" s="87"/>
      <c r="AH3444" s="87"/>
      <c r="AI3444" s="87"/>
    </row>
    <row r="3445" spans="1:35" hidden="1">
      <c r="A3445" s="80" t="e">
        <f>"C"&amp;E3439</f>
        <v>#N/A</v>
      </c>
      <c r="B3445" s="88">
        <v>3</v>
      </c>
      <c r="C3445" s="82"/>
      <c r="D3445" s="82"/>
      <c r="E3445" s="82"/>
      <c r="F3445" s="82"/>
      <c r="G3445" s="83"/>
      <c r="H3445" s="83"/>
      <c r="I3445" s="84"/>
      <c r="J3445" s="85"/>
      <c r="K3445" s="382"/>
      <c r="L3445" s="85"/>
      <c r="M3445" s="332" t="str">
        <f t="shared" si="1015"/>
        <v/>
      </c>
      <c r="N3445" s="86"/>
      <c r="O3445" s="453" t="str">
        <f t="shared" si="1017"/>
        <v/>
      </c>
      <c r="P3445" s="538" t="str">
        <f t="shared" si="1018"/>
        <v/>
      </c>
      <c r="Q3445" s="539" t="str">
        <f t="shared" si="1016"/>
        <v/>
      </c>
      <c r="R3445" s="706"/>
      <c r="S3445" s="707"/>
      <c r="T3445" s="708"/>
      <c r="U3445" s="472"/>
      <c r="V3445" s="166"/>
      <c r="W3445" s="446"/>
      <c r="X3445" s="456"/>
      <c r="Y3445" s="436"/>
      <c r="Z3445" s="437"/>
      <c r="AA3445" s="560"/>
      <c r="AB3445" s="561"/>
      <c r="AC3445" s="87"/>
      <c r="AD3445" s="466"/>
      <c r="AE3445" s="456"/>
      <c r="AF3445" s="467"/>
      <c r="AG3445" s="87"/>
      <c r="AH3445" s="87"/>
      <c r="AI3445" s="87"/>
    </row>
    <row r="3446" spans="1:35" hidden="1">
      <c r="A3446" s="80" t="e">
        <f>"D"&amp;E3439</f>
        <v>#N/A</v>
      </c>
      <c r="B3446" s="105">
        <v>4</v>
      </c>
      <c r="C3446" s="107"/>
      <c r="D3446" s="107"/>
      <c r="E3446" s="107"/>
      <c r="F3446" s="107"/>
      <c r="G3446" s="83"/>
      <c r="H3446" s="83"/>
      <c r="I3446" s="84"/>
      <c r="J3446" s="85"/>
      <c r="K3446" s="382"/>
      <c r="L3446" s="85"/>
      <c r="M3446" s="332" t="str">
        <f t="shared" si="1015"/>
        <v/>
      </c>
      <c r="N3446" s="86"/>
      <c r="O3446" s="453" t="str">
        <f t="shared" si="1017"/>
        <v/>
      </c>
      <c r="P3446" s="538" t="str">
        <f t="shared" si="1018"/>
        <v/>
      </c>
      <c r="Q3446" s="539" t="str">
        <f t="shared" si="1016"/>
        <v/>
      </c>
      <c r="R3446" s="706"/>
      <c r="S3446" s="707"/>
      <c r="T3446" s="708"/>
      <c r="U3446" s="472"/>
      <c r="V3446" s="166"/>
      <c r="W3446" s="446"/>
      <c r="X3446" s="456"/>
      <c r="Y3446" s="436"/>
      <c r="Z3446" s="437"/>
      <c r="AA3446" s="560"/>
      <c r="AB3446" s="561"/>
      <c r="AC3446" s="87"/>
      <c r="AD3446" s="466"/>
      <c r="AE3446" s="456"/>
      <c r="AF3446" s="467"/>
      <c r="AG3446" s="87"/>
      <c r="AH3446" s="87"/>
      <c r="AI3446" s="87"/>
    </row>
    <row r="3447" spans="1:35" hidden="1">
      <c r="A3447" s="80" t="e">
        <f>"E"&amp;E3439</f>
        <v>#N/A</v>
      </c>
      <c r="B3447" s="105">
        <v>5</v>
      </c>
      <c r="C3447" s="107"/>
      <c r="D3447" s="107"/>
      <c r="E3447" s="107"/>
      <c r="F3447" s="107"/>
      <c r="G3447" s="83"/>
      <c r="H3447" s="83"/>
      <c r="I3447" s="84"/>
      <c r="J3447" s="85"/>
      <c r="K3447" s="382"/>
      <c r="L3447" s="85"/>
      <c r="M3447" s="332" t="str">
        <f t="shared" si="1015"/>
        <v/>
      </c>
      <c r="N3447" s="86"/>
      <c r="O3447" s="453" t="str">
        <f t="shared" si="1017"/>
        <v/>
      </c>
      <c r="P3447" s="538" t="str">
        <f t="shared" si="1018"/>
        <v/>
      </c>
      <c r="Q3447" s="539" t="str">
        <f t="shared" si="1016"/>
        <v/>
      </c>
      <c r="R3447" s="706"/>
      <c r="S3447" s="707"/>
      <c r="T3447" s="708"/>
      <c r="U3447" s="472"/>
      <c r="V3447" s="167"/>
      <c r="W3447" s="446"/>
      <c r="X3447" s="456"/>
      <c r="Y3447" s="436"/>
      <c r="Z3447" s="437"/>
      <c r="AA3447" s="560"/>
      <c r="AB3447" s="561"/>
      <c r="AC3447" s="87"/>
      <c r="AD3447" s="466"/>
      <c r="AE3447" s="456"/>
      <c r="AF3447" s="467"/>
      <c r="AG3447" s="87"/>
      <c r="AH3447" s="87"/>
      <c r="AI3447" s="87"/>
    </row>
    <row r="3448" spans="1:35" hidden="1">
      <c r="A3448" s="80" t="e">
        <f>"F"&amp;E3439</f>
        <v>#N/A</v>
      </c>
      <c r="B3448" s="105">
        <v>6</v>
      </c>
      <c r="C3448" s="107"/>
      <c r="D3448" s="107"/>
      <c r="E3448" s="107"/>
      <c r="F3448" s="107"/>
      <c r="G3448" s="83"/>
      <c r="H3448" s="83"/>
      <c r="I3448" s="84"/>
      <c r="J3448" s="85"/>
      <c r="K3448" s="382"/>
      <c r="L3448" s="85"/>
      <c r="M3448" s="332" t="str">
        <f t="shared" si="1015"/>
        <v/>
      </c>
      <c r="N3448" s="86"/>
      <c r="O3448" s="453" t="str">
        <f t="shared" si="1017"/>
        <v/>
      </c>
      <c r="P3448" s="538" t="str">
        <f t="shared" si="1018"/>
        <v/>
      </c>
      <c r="Q3448" s="539" t="str">
        <f t="shared" si="1016"/>
        <v/>
      </c>
      <c r="R3448" s="706"/>
      <c r="S3448" s="707"/>
      <c r="T3448" s="708"/>
      <c r="U3448" s="472"/>
      <c r="V3448" s="167"/>
      <c r="W3448" s="446"/>
      <c r="X3448" s="456"/>
      <c r="Y3448" s="436"/>
      <c r="Z3448" s="437"/>
      <c r="AA3448" s="560"/>
      <c r="AB3448" s="561"/>
      <c r="AC3448" s="87"/>
      <c r="AD3448" s="466"/>
      <c r="AE3448" s="456"/>
      <c r="AF3448" s="467"/>
      <c r="AG3448" s="87"/>
      <c r="AH3448" s="87"/>
      <c r="AI3448" s="87"/>
    </row>
    <row r="3449" spans="1:35" hidden="1">
      <c r="A3449" s="80" t="e">
        <f>"G"&amp;E3439</f>
        <v>#N/A</v>
      </c>
      <c r="B3449" s="105">
        <v>7</v>
      </c>
      <c r="C3449" s="107"/>
      <c r="D3449" s="107"/>
      <c r="E3449" s="107"/>
      <c r="F3449" s="107"/>
      <c r="G3449" s="83"/>
      <c r="H3449" s="83"/>
      <c r="I3449" s="84"/>
      <c r="J3449" s="85"/>
      <c r="K3449" s="382"/>
      <c r="L3449" s="85"/>
      <c r="M3449" s="332" t="str">
        <f t="shared" si="1015"/>
        <v/>
      </c>
      <c r="N3449" s="86"/>
      <c r="O3449" s="86" t="str">
        <f t="shared" si="1017"/>
        <v/>
      </c>
      <c r="P3449" s="538" t="str">
        <f t="shared" si="1018"/>
        <v/>
      </c>
      <c r="Q3449" s="539" t="str">
        <f t="shared" si="1016"/>
        <v/>
      </c>
      <c r="R3449" s="706"/>
      <c r="S3449" s="707"/>
      <c r="T3449" s="708"/>
      <c r="U3449" s="472"/>
      <c r="V3449" s="167"/>
      <c r="W3449" s="446"/>
      <c r="X3449" s="456"/>
      <c r="Y3449" s="436"/>
      <c r="Z3449" s="437"/>
      <c r="AA3449" s="560"/>
      <c r="AB3449" s="561"/>
      <c r="AC3449" s="87"/>
      <c r="AD3449" s="466"/>
      <c r="AE3449" s="456"/>
      <c r="AF3449" s="467"/>
      <c r="AG3449" s="87"/>
      <c r="AH3449" s="87"/>
      <c r="AI3449" s="87"/>
    </row>
    <row r="3450" spans="1:35" hidden="1">
      <c r="A3450" s="80" t="e">
        <f>"H"&amp;E3439</f>
        <v>#N/A</v>
      </c>
      <c r="B3450" s="105">
        <v>8</v>
      </c>
      <c r="C3450" s="107"/>
      <c r="D3450" s="107"/>
      <c r="E3450" s="107"/>
      <c r="F3450" s="107"/>
      <c r="G3450" s="83"/>
      <c r="H3450" s="83"/>
      <c r="I3450" s="84"/>
      <c r="J3450" s="85"/>
      <c r="K3450" s="382"/>
      <c r="L3450" s="85"/>
      <c r="M3450" s="332" t="str">
        <f t="shared" si="1015"/>
        <v/>
      </c>
      <c r="N3450" s="453"/>
      <c r="O3450" s="86" t="str">
        <f t="shared" si="1017"/>
        <v/>
      </c>
      <c r="P3450" s="538" t="str">
        <f t="shared" si="1018"/>
        <v/>
      </c>
      <c r="Q3450" s="539" t="str">
        <f t="shared" si="1016"/>
        <v/>
      </c>
      <c r="R3450" s="706"/>
      <c r="S3450" s="707"/>
      <c r="T3450" s="708"/>
      <c r="U3450" s="472"/>
      <c r="V3450" s="167"/>
      <c r="W3450" s="446"/>
      <c r="X3450" s="456"/>
      <c r="Y3450" s="436"/>
      <c r="Z3450" s="437"/>
      <c r="AA3450" s="560"/>
      <c r="AB3450" s="561"/>
      <c r="AC3450" s="87"/>
      <c r="AD3450" s="466"/>
      <c r="AE3450" s="456"/>
      <c r="AF3450" s="467"/>
      <c r="AG3450" s="87"/>
      <c r="AH3450" s="87"/>
      <c r="AI3450" s="87"/>
    </row>
    <row r="3451" spans="1:35" hidden="1">
      <c r="A3451" s="80" t="e">
        <f>"I"&amp;E3439</f>
        <v>#N/A</v>
      </c>
      <c r="B3451" s="105">
        <v>9</v>
      </c>
      <c r="C3451" s="107"/>
      <c r="D3451" s="107"/>
      <c r="E3451" s="107"/>
      <c r="F3451" s="107"/>
      <c r="G3451" s="83"/>
      <c r="H3451" s="83"/>
      <c r="I3451" s="84"/>
      <c r="J3451" s="85"/>
      <c r="K3451" s="382"/>
      <c r="L3451" s="85"/>
      <c r="M3451" s="332" t="str">
        <f t="shared" si="1015"/>
        <v/>
      </c>
      <c r="N3451" s="453"/>
      <c r="O3451" s="86" t="str">
        <f t="shared" si="1017"/>
        <v/>
      </c>
      <c r="P3451" s="538" t="str">
        <f t="shared" si="1018"/>
        <v/>
      </c>
      <c r="Q3451" s="539" t="str">
        <f t="shared" si="1016"/>
        <v/>
      </c>
      <c r="R3451" s="706"/>
      <c r="S3451" s="707"/>
      <c r="T3451" s="708"/>
      <c r="U3451" s="472"/>
      <c r="V3451" s="167"/>
      <c r="W3451" s="446"/>
      <c r="X3451" s="456"/>
      <c r="Y3451" s="436"/>
      <c r="Z3451" s="437"/>
      <c r="AA3451" s="560"/>
      <c r="AB3451" s="561"/>
      <c r="AC3451" s="87"/>
      <c r="AD3451" s="466"/>
      <c r="AE3451" s="456"/>
      <c r="AF3451" s="467"/>
      <c r="AG3451" s="87"/>
      <c r="AH3451" s="87"/>
      <c r="AI3451" s="87"/>
    </row>
    <row r="3452" spans="1:35" hidden="1">
      <c r="A3452" s="80" t="e">
        <f>"J"&amp;E3439</f>
        <v>#N/A</v>
      </c>
      <c r="B3452" s="105">
        <v>10</v>
      </c>
      <c r="C3452" s="107"/>
      <c r="D3452" s="107"/>
      <c r="E3452" s="107"/>
      <c r="F3452" s="107"/>
      <c r="G3452" s="83"/>
      <c r="H3452" s="83"/>
      <c r="I3452" s="84"/>
      <c r="J3452" s="85"/>
      <c r="K3452" s="382"/>
      <c r="L3452" s="85"/>
      <c r="M3452" s="332" t="str">
        <f t="shared" si="1015"/>
        <v/>
      </c>
      <c r="N3452" s="453"/>
      <c r="O3452" s="86" t="str">
        <f t="shared" si="1017"/>
        <v/>
      </c>
      <c r="P3452" s="538" t="str">
        <f t="shared" si="1018"/>
        <v/>
      </c>
      <c r="Q3452" s="539" t="str">
        <f t="shared" si="1016"/>
        <v/>
      </c>
      <c r="R3452" s="706"/>
      <c r="S3452" s="707"/>
      <c r="T3452" s="708"/>
      <c r="U3452" s="472"/>
      <c r="V3452" s="167"/>
      <c r="W3452" s="446"/>
      <c r="X3452" s="456"/>
      <c r="Y3452" s="436"/>
      <c r="Z3452" s="437"/>
      <c r="AA3452" s="560"/>
      <c r="AB3452" s="561"/>
      <c r="AC3452" s="87"/>
      <c r="AD3452" s="466"/>
      <c r="AE3452" s="456"/>
      <c r="AF3452" s="467"/>
      <c r="AG3452" s="87"/>
      <c r="AH3452" s="87"/>
      <c r="AI3452" s="87"/>
    </row>
    <row r="3453" spans="1:35" ht="16.5" hidden="1" thickBot="1">
      <c r="A3453" s="44"/>
      <c r="B3453" s="89"/>
      <c r="C3453" s="90"/>
      <c r="D3453" s="90"/>
      <c r="E3453" s="90"/>
      <c r="F3453" s="90"/>
      <c r="G3453" s="90"/>
      <c r="H3453" s="90"/>
      <c r="I3453" s="90"/>
      <c r="J3453" s="90"/>
      <c r="K3453" s="90"/>
      <c r="L3453" s="90"/>
      <c r="M3453" s="90"/>
      <c r="N3453" s="90"/>
      <c r="O3453" s="90"/>
      <c r="P3453" s="90"/>
      <c r="Q3453" s="90"/>
      <c r="R3453" s="90"/>
      <c r="S3453" s="91"/>
      <c r="T3453" s="92"/>
      <c r="U3453" s="473"/>
      <c r="W3453" s="438"/>
      <c r="X3453" s="455"/>
      <c r="Y3453" s="439"/>
      <c r="Z3453" s="437"/>
      <c r="AA3453" s="530"/>
      <c r="AB3453" s="563"/>
      <c r="AC3453" s="87"/>
      <c r="AD3453" s="440"/>
      <c r="AE3453" s="441"/>
      <c r="AF3453" s="442"/>
      <c r="AG3453" s="49"/>
      <c r="AH3453" s="87"/>
      <c r="AI3453" s="87"/>
    </row>
    <row r="3454" spans="1:35" ht="16.5" hidden="1" thickBot="1">
      <c r="A3454" s="93"/>
      <c r="B3454" s="94"/>
      <c r="C3454" s="96"/>
      <c r="D3454" s="96"/>
      <c r="E3454" s="96"/>
      <c r="F3454" s="96"/>
      <c r="G3454" s="96"/>
      <c r="H3454" s="96"/>
      <c r="I3454" s="96"/>
      <c r="J3454" s="96"/>
      <c r="K3454" s="96"/>
      <c r="L3454" s="96"/>
      <c r="M3454" s="136"/>
      <c r="N3454" s="96"/>
      <c r="O3454" s="96"/>
      <c r="P3454" s="97"/>
      <c r="Q3454" s="97"/>
      <c r="R3454" s="98"/>
      <c r="S3454" s="95"/>
      <c r="T3454" s="99"/>
      <c r="U3454" s="469"/>
      <c r="AC3454" s="58"/>
      <c r="AG3454" s="58"/>
      <c r="AH3454" s="87"/>
      <c r="AI3454" s="87"/>
    </row>
    <row r="3455" spans="1:35" ht="16.5" hidden="1" thickBot="1">
      <c r="B3455" s="101"/>
      <c r="C3455" s="101"/>
      <c r="D3455" s="101"/>
      <c r="E3455" s="101"/>
      <c r="F3455" s="101"/>
      <c r="G3455" s="101"/>
      <c r="H3455" s="101"/>
      <c r="I3455" s="101"/>
      <c r="J3455" s="101"/>
      <c r="K3455" s="101"/>
      <c r="L3455" s="101"/>
      <c r="M3455" s="101"/>
      <c r="N3455" s="101"/>
      <c r="O3455" s="101"/>
      <c r="P3455" s="101"/>
      <c r="Q3455" s="101"/>
      <c r="R3455" s="101"/>
      <c r="S3455" s="101"/>
      <c r="U3455" s="50"/>
      <c r="AH3455" s="87"/>
      <c r="AI3455" s="87"/>
    </row>
    <row r="3456" spans="1:35" ht="16.5" hidden="1" customHeight="1" thickBot="1">
      <c r="A3456" s="44"/>
      <c r="B3456" s="705" t="s">
        <v>74</v>
      </c>
      <c r="C3456" s="705"/>
      <c r="D3456" s="705"/>
      <c r="E3456" s="705"/>
      <c r="F3456" s="705"/>
      <c r="G3456" s="705"/>
      <c r="H3456" s="705"/>
      <c r="I3456" s="705"/>
      <c r="J3456" s="705"/>
      <c r="K3456" s="705"/>
      <c r="L3456" s="705"/>
      <c r="M3456" s="705"/>
      <c r="N3456" s="705"/>
      <c r="O3456" s="705"/>
      <c r="P3456" s="705"/>
      <c r="Q3456" s="705"/>
      <c r="R3456" s="705"/>
      <c r="S3456" s="705"/>
      <c r="T3456" s="705"/>
      <c r="U3456" s="108"/>
      <c r="Y3456" s="532" t="s">
        <v>341</v>
      </c>
      <c r="AC3456" s="49"/>
      <c r="AD3456" s="687" t="s">
        <v>302</v>
      </c>
      <c r="AE3456" s="688"/>
      <c r="AF3456" s="689"/>
      <c r="AG3456" s="49"/>
      <c r="AH3456" s="87"/>
      <c r="AI3456" s="87"/>
    </row>
    <row r="3457" spans="1:35" ht="16.5" hidden="1" customHeight="1" thickBot="1">
      <c r="A3457" s="218" t="e">
        <f>"K"&amp;E3439</f>
        <v>#N/A</v>
      </c>
      <c r="B3457" s="701" t="s">
        <v>71</v>
      </c>
      <c r="C3457" s="751" t="s">
        <v>102</v>
      </c>
      <c r="D3457" s="751"/>
      <c r="E3457" s="751"/>
      <c r="F3457" s="751"/>
      <c r="G3457" s="751"/>
      <c r="H3457" s="751"/>
      <c r="I3457" s="751"/>
      <c r="J3457" s="751"/>
      <c r="K3457" s="751"/>
      <c r="L3457" s="722" t="s">
        <v>100</v>
      </c>
      <c r="M3457" s="747" t="s">
        <v>114</v>
      </c>
      <c r="N3457" s="747"/>
      <c r="O3457" s="747"/>
      <c r="P3457" s="747"/>
      <c r="Q3457" s="748"/>
      <c r="R3457" s="758" t="s">
        <v>280</v>
      </c>
      <c r="S3457" s="748"/>
      <c r="T3457" s="762" t="str">
        <f>IF(COUNTIF(AE3457:AF3457,"VERIFICAR")&gt;0,"VERIFICAR",IF(COUNTIF(AE3457:AF3457,"NO CUMPLE")&gt;0,"NO CUMPLE","CUMPLE"))</f>
        <v>VERIFICAR</v>
      </c>
      <c r="U3457" s="108"/>
      <c r="Y3457" s="533" t="e">
        <f>IF(F3458="","",IF(F3458=1,"INDIVIDUAL","ESTRUCTURA PLURAL"))</f>
        <v>#N/A</v>
      </c>
      <c r="AC3457" s="52"/>
      <c r="AD3457" s="475" t="s">
        <v>303</v>
      </c>
      <c r="AE3457" s="476" t="str">
        <f>IF(COUNTIF(AE3443:AE3452,"")=10,"VERIFICAR",IF(COUNTIF(AE3443:AE3452,"SI")&gt;0,"CUMPLE","NO CUMPLE"))</f>
        <v>VERIFICAR</v>
      </c>
      <c r="AF3457" s="477" t="str">
        <f>IF(COUNTIF(AF3443:AF3452,"")=10,"VERIFICAR",IF(COUNTIF(AF3443:AF3452,"SI")&gt;=$AI$22,"CUMPLE","NO CUMPLE"))</f>
        <v>VERIFICAR</v>
      </c>
      <c r="AG3457" s="52"/>
      <c r="AH3457" s="87"/>
      <c r="AI3457" s="87"/>
    </row>
    <row r="3458" spans="1:35" ht="15.75" hidden="1" customHeight="1" thickBot="1">
      <c r="A3458" s="218" t="e">
        <f>"L"&amp;E3439</f>
        <v>#N/A</v>
      </c>
      <c r="B3458" s="702"/>
      <c r="C3458" s="751" t="s">
        <v>103</v>
      </c>
      <c r="D3458" s="751"/>
      <c r="E3458" s="752"/>
      <c r="F3458" s="557" t="e">
        <f>IF(VLOOKUP(E3439,PROPONENTES!$C$19:$E$218,3,0)="","",VLOOKUP(E3439,PROPONENTES!$C$19:$E$218,3,0))</f>
        <v>#N/A</v>
      </c>
      <c r="G3458" s="753" t="s">
        <v>104</v>
      </c>
      <c r="H3458" s="751"/>
      <c r="I3458" s="715" t="e">
        <f>IF(OR(F3458="",F3458=1),"INTERESADO PERSONA NATURAL O JURIDICA","CONSORCIO O UNION TEMPORAL")</f>
        <v>#N/A</v>
      </c>
      <c r="J3458" s="725"/>
      <c r="K3458" s="728"/>
      <c r="L3458" s="723"/>
      <c r="M3458" s="749"/>
      <c r="N3458" s="749"/>
      <c r="O3458" s="749"/>
      <c r="P3458" s="749"/>
      <c r="Q3458" s="750"/>
      <c r="R3458" s="712"/>
      <c r="S3458" s="750"/>
      <c r="T3458" s="763"/>
      <c r="U3458" s="108"/>
      <c r="Y3458" s="534"/>
      <c r="AA3458" s="52"/>
      <c r="AB3458" s="52"/>
      <c r="AC3458" s="52"/>
      <c r="AG3458" s="52"/>
      <c r="AH3458" s="87"/>
      <c r="AI3458" s="87"/>
    </row>
    <row r="3459" spans="1:35" ht="56.25" hidden="1" customHeight="1" thickBot="1">
      <c r="A3459" s="218" t="e">
        <f>"M"&amp;E3439</f>
        <v>#N/A</v>
      </c>
      <c r="B3459" s="702"/>
      <c r="C3459" s="725" t="s">
        <v>101</v>
      </c>
      <c r="D3459" s="716"/>
      <c r="E3459" s="558" t="s">
        <v>105</v>
      </c>
      <c r="F3459" s="554" t="s">
        <v>87</v>
      </c>
      <c r="G3459" s="553" t="s">
        <v>86</v>
      </c>
      <c r="H3459" s="559" t="s">
        <v>85</v>
      </c>
      <c r="I3459" s="554" t="s">
        <v>252</v>
      </c>
      <c r="J3459" s="553" t="str">
        <f>"¿EL INTEGRANTE TIENE UNA PARTICIPACIÓN DEL "&amp;PORCREQUERIDOINT*100&amp;"%?"</f>
        <v>¿EL INTEGRANTE TIENE UNA PARTICIPACIÓN DEL 60%?</v>
      </c>
      <c r="K3459" s="554" t="s">
        <v>107</v>
      </c>
      <c r="L3459" s="724"/>
      <c r="M3459" s="717" t="s">
        <v>115</v>
      </c>
      <c r="N3459" s="718"/>
      <c r="O3459" s="718"/>
      <c r="P3459" s="718"/>
      <c r="Q3459" s="223">
        <f>IF(AND(H3443="SI",P3443&gt;=0),1,0)+IF(AND(H3444="SI",P3444&gt;=0),1,0)+IF(AND(H3445="SI",P3445&gt;=0),1,0)+IF(AND(H3446="SI",P3446&gt;=0),1,0)+IF(AND(H3447="SI",P3447&gt;=0),1,0)+IF(AND(H3448="SI",P3448&gt;=0),1,0)+IF(AND(H3449="SI",P3449&gt;=0),1,0)+IF(AND(H3450="SI",P3450&gt;=0),1,0)+IF(AND(H3451="SI",P3451&gt;=0),1,0)+IF(AND(H3452="SI",P3452&gt;=0),1,0)</f>
        <v>0</v>
      </c>
      <c r="R3459" s="759"/>
      <c r="S3459" s="761"/>
      <c r="T3459" s="764"/>
      <c r="U3459" s="219"/>
      <c r="V3459" s="464"/>
      <c r="Y3459" s="532" t="s">
        <v>342</v>
      </c>
      <c r="AA3459" s="550" t="s">
        <v>344</v>
      </c>
      <c r="AB3459" s="693" t="s">
        <v>345</v>
      </c>
      <c r="AC3459" s="693" t="s">
        <v>346</v>
      </c>
      <c r="AD3459" s="685" t="s">
        <v>347</v>
      </c>
      <c r="AE3459" s="52"/>
      <c r="AF3459" s="52"/>
      <c r="AG3459" s="52"/>
      <c r="AH3459" s="87"/>
      <c r="AI3459" s="87"/>
    </row>
    <row r="3460" spans="1:35" ht="15.75" hidden="1" customHeight="1" thickBot="1">
      <c r="A3460" s="218" t="e">
        <f>"N"&amp;E3439</f>
        <v>#N/A</v>
      </c>
      <c r="B3460" s="702"/>
      <c r="C3460" s="114">
        <v>1</v>
      </c>
      <c r="D3460" s="194" t="e">
        <f>IF(AND(C3460&lt;=F3458,F3458&gt;1,F3458&lt;&gt;""),VLOOKUP(VALUE(E3439&amp;","&amp;C3460),INTEGRANTES!$D$18:$F$235,2,0),"")</f>
        <v>#N/A</v>
      </c>
      <c r="E3460" s="211" t="e">
        <f>IF(D3460&lt;&gt;"",VLOOKUP(VALUE(E3439&amp;","&amp;C3460),INTEGRANTES!$D$18:$F$235,3,0),"")</f>
        <v>#N/A</v>
      </c>
      <c r="F3460" s="547" t="e">
        <f>IF(D3460="","",SUMIF($I3443:$I3452,D3460,$P3443:$P3452))</f>
        <v>#N/A</v>
      </c>
      <c r="G3460" s="333" t="e">
        <f>IF(D3460="","",SUMIF($I3443:$I3452,D3460,$M3443:$M3452))</f>
        <v>#N/A</v>
      </c>
      <c r="H3460" s="535" t="e">
        <f t="shared" ref="H3460:H3465" si="1019">IF(D3460="","",IF(OR(F3460=0,G3460=0),"NO APORTA",ROUND($F3460/$G3460,3)))</f>
        <v>#N/A</v>
      </c>
      <c r="I3460" s="212" t="e">
        <f>IF(D3460="","",IF(H3460="NO APORTA","NO",IF(H3460=MAX($H3460:$H3465),"SI","NO")))</f>
        <v>#N/A</v>
      </c>
      <c r="J3460" s="213" t="e">
        <f t="shared" ref="J3460:J3465" si="1020">IF(D3460="","",IF(E3460&gt;=PORCREQUERIDOINT,"SI","NO"))</f>
        <v>#N/A</v>
      </c>
      <c r="K3460" s="200" t="e">
        <f t="shared" ref="K3460:K3465" si="1021">IF(D3460="","",IF(AND(I3460="SI",J3460="SI"),"CUMPLE",IF(AND(I3460="NO",OR(J3460="SI",J3460="NO")),"","NO CUMPLE")))</f>
        <v>#N/A</v>
      </c>
      <c r="L3460" s="722" t="s">
        <v>108</v>
      </c>
      <c r="M3460" s="726" t="s">
        <v>119</v>
      </c>
      <c r="N3460" s="726"/>
      <c r="O3460" s="726"/>
      <c r="P3460" s="726"/>
      <c r="Q3460" s="727"/>
      <c r="R3460" s="758" t="s">
        <v>80</v>
      </c>
      <c r="S3460" s="747"/>
      <c r="T3460" s="748"/>
      <c r="U3460" s="219"/>
      <c r="V3460" s="464"/>
      <c r="Y3460" s="533" t="e">
        <f>IF(Y3457="","",IF(Y3457="INDIVIDUAL","NO APLICA","VERIFICAR CUADRO"))</f>
        <v>#N/A</v>
      </c>
      <c r="AA3460" s="551"/>
      <c r="AB3460" s="694"/>
      <c r="AC3460" s="694"/>
      <c r="AD3460" s="686"/>
      <c r="AE3460" s="52"/>
      <c r="AF3460" s="52"/>
      <c r="AG3460" s="52"/>
      <c r="AH3460" s="87"/>
      <c r="AI3460" s="87"/>
    </row>
    <row r="3461" spans="1:35" ht="27" hidden="1" customHeight="1" thickBot="1">
      <c r="A3461" s="218" t="e">
        <f>"O"&amp;E3439</f>
        <v>#N/A</v>
      </c>
      <c r="B3461" s="702"/>
      <c r="C3461" s="114">
        <v>2</v>
      </c>
      <c r="D3461" s="194" t="e">
        <f>IF(AND(C3461&lt;=F3458,F3458&lt;&gt;""),VLOOKUP(VALUE(E3439&amp;","&amp;C3461),INTEGRANTES!$D$18:$F$235,2,0),"")</f>
        <v>#N/A</v>
      </c>
      <c r="E3461" s="211" t="e">
        <f>IF(D3461&lt;&gt;"",VLOOKUP(VALUE(E3439&amp;","&amp;C3461),INTEGRANTES!$D$18:$F$235,3,0),"")</f>
        <v>#N/A</v>
      </c>
      <c r="F3461" s="547" t="e">
        <f>IF(D3461="","",SUMIF($I3443:$I3452,D3461,$P3443:$P3452))</f>
        <v>#N/A</v>
      </c>
      <c r="G3461" s="333" t="e">
        <f>IF(D3461="","",SUMIF($I3443:$I3452,D3461,$M3443:$M3452))</f>
        <v>#N/A</v>
      </c>
      <c r="H3461" s="535" t="e">
        <f t="shared" si="1019"/>
        <v>#N/A</v>
      </c>
      <c r="I3461" s="212" t="e">
        <f>IF(D3461="","",IF(H3461="NO APORTA","NO",IF(H3461=MAX($H3460:$H3465),"SI","NO")))</f>
        <v>#N/A</v>
      </c>
      <c r="J3461" s="213" t="e">
        <f t="shared" si="1020"/>
        <v>#N/A</v>
      </c>
      <c r="K3461" s="200" t="e">
        <f t="shared" si="1021"/>
        <v>#N/A</v>
      </c>
      <c r="L3461" s="723"/>
      <c r="M3461" s="715" t="s">
        <v>116</v>
      </c>
      <c r="N3461" s="716"/>
      <c r="O3461" s="556" t="s">
        <v>113</v>
      </c>
      <c r="P3461" s="715" t="s">
        <v>117</v>
      </c>
      <c r="Q3461" s="728"/>
      <c r="R3461" s="759"/>
      <c r="S3461" s="760"/>
      <c r="T3461" s="761"/>
      <c r="U3461" s="219"/>
      <c r="V3461" s="464"/>
      <c r="Y3461" s="414"/>
      <c r="AA3461" s="542" t="e">
        <f>IF(AND(C3460&lt;=F3458,F3458&gt;1,F3458&lt;&gt;""),VLOOKUP(VALUE(E3439&amp;","&amp;C3460),INTEGRANTES!$D$18:$F$235,2,0),"")</f>
        <v>#N/A</v>
      </c>
      <c r="AB3461" s="544" t="e">
        <f t="shared" ref="AB3461:AB3466" si="1022">IF(D3460="","",IF(OR(F3460=0,G3460=0),"NO APORTA",ROUND($F3460/$G3460,3)))</f>
        <v>#N/A</v>
      </c>
      <c r="AC3461" s="529"/>
      <c r="AD3461" s="200" t="e">
        <f t="shared" ref="AD3461:AD3466" si="1023">IF(OR(AA3461="",AB3461=""),"",IF(AND(AC3461="X",AB3461&gt;=EXPREQVTD),"CUMPLE","NO CUMPLE"))</f>
        <v>#N/A</v>
      </c>
      <c r="AE3461" s="52"/>
      <c r="AF3461" s="52"/>
      <c r="AG3461" s="52"/>
      <c r="AH3461" s="87"/>
      <c r="AI3461" s="87"/>
    </row>
    <row r="3462" spans="1:35" ht="16.5" hidden="1" thickBot="1">
      <c r="A3462" s="218" t="e">
        <f>"P"&amp;E3439</f>
        <v>#N/A</v>
      </c>
      <c r="B3462" s="702"/>
      <c r="C3462" s="114">
        <v>3</v>
      </c>
      <c r="D3462" s="194" t="e">
        <f>IF(AND(C3462&lt;=F3458,F3458&lt;&gt;""),VLOOKUP(VALUE(E3439&amp;","&amp;C3462),INTEGRANTES!$D$18:$F$235,2,0),"")</f>
        <v>#N/A</v>
      </c>
      <c r="E3462" s="211" t="e">
        <f>IF(D3462&lt;&gt;"",VLOOKUP(VALUE(E3439&amp;","&amp;C3462),INTEGRANTES!$D$18:$F$235,3,0),"")</f>
        <v>#N/A</v>
      </c>
      <c r="F3462" s="547" t="e">
        <f>IF(D3462="","",SUMIF($I3443:$I3452,D3462,$P3443:$P3452))</f>
        <v>#N/A</v>
      </c>
      <c r="G3462" s="333" t="e">
        <f>IF(D3462="","",SUMIF($I3443:$I3452,D3462,$M3443:$M3452))</f>
        <v>#N/A</v>
      </c>
      <c r="H3462" s="535" t="e">
        <f t="shared" si="1019"/>
        <v>#N/A</v>
      </c>
      <c r="I3462" s="212" t="e">
        <f>IF(D3462="","",IF(H3462="NO APORTA","NO",IF(H3462=MAX($H3460:$H3465),"SI","NO")))</f>
        <v>#N/A</v>
      </c>
      <c r="J3462" s="213" t="e">
        <f t="shared" si="1020"/>
        <v>#N/A</v>
      </c>
      <c r="K3462" s="200" t="e">
        <f t="shared" si="1021"/>
        <v>#N/A</v>
      </c>
      <c r="L3462" s="724"/>
      <c r="M3462" s="729">
        <f>NUMMOD</f>
        <v>1</v>
      </c>
      <c r="N3462" s="730"/>
      <c r="O3462" s="443">
        <f>IF(M3462="","",VLOOKUP(M3462,PRESUPUESTOS!$B$16:$H$16,5,FALSE))</f>
        <v>2</v>
      </c>
      <c r="P3462" s="713">
        <f>IF(OR(COUNTIF(M3443:M3452,"")&gt;=10,Q3459&lt;NUMMINCONT,OR(T3457="NO CUMPLE",T3457="VERIFICAR")),0,ROUND(AVERAGE(M3443:M3452),3))</f>
        <v>0</v>
      </c>
      <c r="Q3462" s="714"/>
      <c r="R3462" s="458"/>
      <c r="S3462" s="459"/>
      <c r="T3462" s="460"/>
      <c r="U3462" s="219"/>
      <c r="V3462" s="464"/>
      <c r="Y3462" s="532" t="str">
        <f>"40% * ("&amp;PRESUPUESTOS!$H$13&amp;")"</f>
        <v>40% * (50% PFMO)</v>
      </c>
      <c r="AA3462" s="540" t="e">
        <f>IF(AND(C3461&lt;=F3458,F3458&lt;&gt;""),VLOOKUP(VALUE(E3439&amp;","&amp;C3461),INTEGRANTES!$D$18:$F$235,2,0),"")</f>
        <v>#N/A</v>
      </c>
      <c r="AB3462" s="545" t="e">
        <f t="shared" si="1022"/>
        <v>#N/A</v>
      </c>
      <c r="AC3462" s="529"/>
      <c r="AD3462" s="200" t="e">
        <f t="shared" si="1023"/>
        <v>#N/A</v>
      </c>
      <c r="AE3462" s="52"/>
      <c r="AF3462" s="52"/>
      <c r="AG3462" s="52"/>
      <c r="AH3462" s="87"/>
      <c r="AI3462" s="87"/>
    </row>
    <row r="3463" spans="1:35" ht="15.75" hidden="1" customHeight="1" thickBot="1">
      <c r="A3463" s="218" t="e">
        <f>"Q"&amp;E3439</f>
        <v>#N/A</v>
      </c>
      <c r="B3463" s="702"/>
      <c r="C3463" s="114">
        <v>4</v>
      </c>
      <c r="D3463" s="194" t="e">
        <f>IF(AND(C3463&lt;=F3458,F3458&lt;&gt;""),VLOOKUP(VALUE(E3439&amp;","&amp;C3463),INTEGRANTES!$D$18:$F$235,2,0),"")</f>
        <v>#N/A</v>
      </c>
      <c r="E3463" s="211" t="e">
        <f>IF(D3463&lt;&gt;"",VLOOKUP(VALUE(E3439&amp;","&amp;C3463),INTEGRANTES!$D$18:$F$235,3,0),"")</f>
        <v>#N/A</v>
      </c>
      <c r="F3463" s="547" t="e">
        <f>IF(D3463="","",SUMIF($I3443:$I3452,D3463,$P3443:$P3452))</f>
        <v>#N/A</v>
      </c>
      <c r="G3463" s="333" t="e">
        <f>IF(D3463="","",SUMIF($I3443:$I3452,D3463,$M3443:$M3452))</f>
        <v>#N/A</v>
      </c>
      <c r="H3463" s="535" t="e">
        <f t="shared" si="1019"/>
        <v>#N/A</v>
      </c>
      <c r="I3463" s="212" t="e">
        <f>IF(D3463="","",IF(H3463="NO APORTA","NO",IF(H3463=MAX($H3460:$H3465),"SI","NO")))</f>
        <v>#N/A</v>
      </c>
      <c r="J3463" s="213" t="e">
        <f t="shared" si="1020"/>
        <v>#N/A</v>
      </c>
      <c r="K3463" s="200" t="e">
        <f t="shared" si="1021"/>
        <v>#N/A</v>
      </c>
      <c r="L3463" s="720" t="s">
        <v>109</v>
      </c>
      <c r="M3463" s="757" t="s">
        <v>120</v>
      </c>
      <c r="N3463" s="726"/>
      <c r="O3463" s="726"/>
      <c r="P3463" s="726"/>
      <c r="Q3463" s="727"/>
      <c r="R3463" s="458"/>
      <c r="S3463" s="459"/>
      <c r="T3463" s="460"/>
      <c r="U3463" s="219"/>
      <c r="V3463" s="464"/>
      <c r="Y3463" s="537">
        <f>0.4*PRESUPUESTOS!$H$16</f>
        <v>10.3124</v>
      </c>
      <c r="AA3463" s="540" t="e">
        <f>IF(AND(C3462&lt;=F3458,F3458&lt;&gt;""),VLOOKUP(VALUE(E3439&amp;","&amp;C3462),INTEGRANTES!$D$18:$F$235,2,0),"")</f>
        <v>#N/A</v>
      </c>
      <c r="AB3463" s="545" t="e">
        <f t="shared" si="1022"/>
        <v>#N/A</v>
      </c>
      <c r="AC3463" s="529"/>
      <c r="AD3463" s="200" t="e">
        <f t="shared" si="1023"/>
        <v>#N/A</v>
      </c>
      <c r="AE3463" s="52"/>
      <c r="AF3463" s="52"/>
      <c r="AG3463" s="52"/>
      <c r="AH3463" s="87"/>
      <c r="AI3463" s="87"/>
    </row>
    <row r="3464" spans="1:35" ht="27" hidden="1" customHeight="1" thickBot="1">
      <c r="A3464" s="218" t="e">
        <f>"R"&amp;E3439</f>
        <v>#N/A</v>
      </c>
      <c r="B3464" s="702"/>
      <c r="C3464" s="114">
        <v>5</v>
      </c>
      <c r="D3464" s="194" t="e">
        <f>IF(AND(C3464&lt;=F3458,F3458&lt;&gt;""),VLOOKUP(VALUE(E3439&amp;","&amp;C3464),INTEGRANTES!$D$18:$F$235,2,0),"")</f>
        <v>#N/A</v>
      </c>
      <c r="E3464" s="211" t="e">
        <f>IF(D3464&lt;&gt;"",VLOOKUP(VALUE(E3439&amp;","&amp;C3464),INTEGRANTES!$D$18:$F$235,3,0),"")</f>
        <v>#N/A</v>
      </c>
      <c r="F3464" s="547" t="e">
        <f>IF(D3464="","",SUMIF($I3443:$I3452,D3464,$P3443:$P3452))</f>
        <v>#N/A</v>
      </c>
      <c r="G3464" s="333" t="e">
        <f>IF(D3464="","",SUMIF($I3443:$I3452,D3464,$M3443:$M3452))</f>
        <v>#N/A</v>
      </c>
      <c r="H3464" s="535" t="e">
        <f t="shared" si="1019"/>
        <v>#N/A</v>
      </c>
      <c r="I3464" s="212" t="e">
        <f>IF(D3464="","",IF(H3464="NO APORTA","NO",IF(H3464=MAX($H3460:$H3465),"SI","NO")))</f>
        <v>#N/A</v>
      </c>
      <c r="J3464" s="213" t="e">
        <f t="shared" si="1020"/>
        <v>#N/A</v>
      </c>
      <c r="K3464" s="200" t="e">
        <f t="shared" si="1021"/>
        <v>#N/A</v>
      </c>
      <c r="L3464" s="721"/>
      <c r="M3464" s="715" t="s">
        <v>116</v>
      </c>
      <c r="N3464" s="716"/>
      <c r="O3464" s="556" t="str">
        <f>PORCREQUERIDO*100&amp;"% PMFO DEL MÓDULO"</f>
        <v>50% PMFO DEL MÓDULO</v>
      </c>
      <c r="P3464" s="715" t="s">
        <v>118</v>
      </c>
      <c r="Q3464" s="728"/>
      <c r="R3464" s="458"/>
      <c r="S3464" s="459"/>
      <c r="T3464" s="460"/>
      <c r="U3464" s="219"/>
      <c r="V3464" s="464"/>
      <c r="Y3464" s="414"/>
      <c r="AA3464" s="540" t="e">
        <f>IF(AND(C3463&lt;=F3458,F3458&lt;&gt;""),VLOOKUP(VALUE(E3439&amp;","&amp;C3463),INTEGRANTES!$D$18:$F$235,2,0),"")</f>
        <v>#N/A</v>
      </c>
      <c r="AB3464" s="545" t="e">
        <f t="shared" si="1022"/>
        <v>#N/A</v>
      </c>
      <c r="AC3464" s="529"/>
      <c r="AD3464" s="200" t="e">
        <f t="shared" si="1023"/>
        <v>#N/A</v>
      </c>
      <c r="AE3464" s="52"/>
      <c r="AF3464" s="52"/>
      <c r="AG3464" s="52"/>
      <c r="AH3464" s="87"/>
      <c r="AI3464" s="87"/>
    </row>
    <row r="3465" spans="1:35" ht="16.5" hidden="1" thickBot="1">
      <c r="A3465" s="218" t="e">
        <f>"S"&amp;E3439</f>
        <v>#N/A</v>
      </c>
      <c r="B3465" s="702"/>
      <c r="C3465" s="215">
        <v>6</v>
      </c>
      <c r="D3465" s="216" t="e">
        <f>IF(AND(C3465&lt;=F3458,F3458&lt;&gt;""),VLOOKUP(VALUE(E3439&amp;","&amp;C3465),INTEGRANTES!$D$18:$F$235,2,0),"")</f>
        <v>#N/A</v>
      </c>
      <c r="E3465" s="217" t="e">
        <f>IF(D3465&lt;&gt;"",VLOOKUP(VALUE(E3439&amp;","&amp;C3465),INTEGRANTES!$D$18:$F$235,3,0),"")</f>
        <v>#N/A</v>
      </c>
      <c r="F3465" s="548" t="e">
        <f>IF(D3465="","",SUMIF($I3443:$I3452,D3465,$P3443:$P3452))</f>
        <v>#N/A</v>
      </c>
      <c r="G3465" s="334" t="e">
        <f>IF(D3465="","",SUMIF($I3443:$I3452,D3465,$M3443:$M3452))</f>
        <v>#N/A</v>
      </c>
      <c r="H3465" s="536" t="e">
        <f t="shared" si="1019"/>
        <v>#N/A</v>
      </c>
      <c r="I3465" s="214" t="e">
        <f>IF(D3465="","",IF(H3465="NO APORTA","NO",IF(H3465=MAX($H3460:$H3465),"SI","NO")))</f>
        <v>#N/A</v>
      </c>
      <c r="J3465" s="213" t="e">
        <f t="shared" si="1020"/>
        <v>#N/A</v>
      </c>
      <c r="K3465" s="200" t="e">
        <f t="shared" si="1021"/>
        <v>#N/A</v>
      </c>
      <c r="L3465" s="721"/>
      <c r="M3465" s="729">
        <f>NUMMOD</f>
        <v>1</v>
      </c>
      <c r="N3465" s="730"/>
      <c r="O3465" s="443">
        <f>IF(M3465="","",ROUND(VLOOKUP(M3465,PRESUPUESTOS!$B$16:$H$16,7,FALSE),3))</f>
        <v>25.780999999999999</v>
      </c>
      <c r="P3465" s="713">
        <f>IF(OR(COUNTIF(P3443:P3452,"")&gt;=10,Q3459&lt;NUMMINCONT,OR(T3457="NO CUMPLE",T3457="VERIFICAR")),0,ROUND((SUM(P3443:P3452)/SUM(M3443:M3452)),3))</f>
        <v>0</v>
      </c>
      <c r="Q3465" s="714"/>
      <c r="R3465" s="458"/>
      <c r="S3465" s="459"/>
      <c r="T3465" s="460"/>
      <c r="U3465" s="219"/>
      <c r="V3465" s="464"/>
      <c r="Y3465" s="532" t="s">
        <v>343</v>
      </c>
      <c r="AA3465" s="540" t="e">
        <f>IF(AND(C3464&lt;=F3458,F3458&lt;&gt;""),VLOOKUP(VALUE(E3439&amp;","&amp;C3464),INTEGRANTES!$D$18:$F$235,2,0),"")</f>
        <v>#N/A</v>
      </c>
      <c r="AB3465" s="545" t="e">
        <f t="shared" si="1022"/>
        <v>#N/A</v>
      </c>
      <c r="AC3465" s="529"/>
      <c r="AD3465" s="200" t="e">
        <f t="shared" si="1023"/>
        <v>#N/A</v>
      </c>
      <c r="AE3465" s="52"/>
      <c r="AF3465" s="52"/>
      <c r="AG3465" s="52"/>
      <c r="AH3465" s="87"/>
      <c r="AI3465" s="87"/>
    </row>
    <row r="3466" spans="1:35" ht="16.5" hidden="1" customHeight="1" thickBot="1">
      <c r="A3466" s="218" t="e">
        <f>"T"&amp;E3439</f>
        <v>#N/A</v>
      </c>
      <c r="B3466" s="703"/>
      <c r="C3466" s="719"/>
      <c r="D3466" s="719"/>
      <c r="E3466" s="719"/>
      <c r="F3466" s="719"/>
      <c r="G3466" s="719"/>
      <c r="H3466" s="719" t="s">
        <v>110</v>
      </c>
      <c r="I3466" s="719"/>
      <c r="J3466" s="719"/>
      <c r="K3466" s="201" t="str">
        <f>IF(COUNTIF(K3460:K3465,"")=6,"",IF(COUNTIF(K3460:K3465,"CUMPLE")&gt;0,"CUMPLE","NO CUMPLE"))</f>
        <v>NO CUMPLE</v>
      </c>
      <c r="L3466" s="754"/>
      <c r="M3466" s="755"/>
      <c r="N3466" s="755"/>
      <c r="O3466" s="755"/>
      <c r="P3466" s="755"/>
      <c r="Q3466" s="756"/>
      <c r="R3466" s="461"/>
      <c r="S3466" s="462"/>
      <c r="T3466" s="463"/>
      <c r="U3466" s="219"/>
      <c r="V3466" s="464"/>
      <c r="Y3466" s="549" t="e">
        <f>IF(Y3460="NO APLICA","NO APLICA",IF(COUNTIF(AD3461:AD3466,"CUMPLE")&gt;0,"CUMPLE","NO CUMPLE"))</f>
        <v>#N/A</v>
      </c>
      <c r="AA3466" s="541" t="e">
        <f>IF(AND(C3465&lt;=F3458,F3458&lt;&gt;""),VLOOKUP(VALUE(E3439&amp;","&amp;C3465),INTEGRANTES!$D$18:$F$235,2,0),"")</f>
        <v>#N/A</v>
      </c>
      <c r="AB3466" s="546" t="e">
        <f t="shared" si="1022"/>
        <v>#N/A</v>
      </c>
      <c r="AC3466" s="543"/>
      <c r="AD3466" s="201" t="e">
        <f t="shared" si="1023"/>
        <v>#N/A</v>
      </c>
      <c r="AE3466" s="52"/>
      <c r="AF3466" s="52"/>
      <c r="AG3466" s="52"/>
      <c r="AH3466" s="87"/>
      <c r="AI3466" s="87"/>
    </row>
    <row r="3467" spans="1:35" hidden="1">
      <c r="AH3467" s="87"/>
      <c r="AI3467" s="87"/>
    </row>
    <row r="3468" spans="1:35" hidden="1">
      <c r="AH3468" s="87"/>
      <c r="AI3468" s="87"/>
    </row>
    <row r="3469" spans="1:35" ht="24" hidden="1" thickBot="1">
      <c r="A3469" s="61">
        <v>116</v>
      </c>
      <c r="B3469" s="704" t="s">
        <v>51</v>
      </c>
      <c r="C3469" s="704"/>
      <c r="D3469" s="704"/>
      <c r="E3469" s="62" t="e">
        <f>VLOOKUP(A3469,PROPONENTES!$B$19:$E$218,2,FALSE)</f>
        <v>#N/A</v>
      </c>
      <c r="F3469" s="63" t="e">
        <f>VLOOKUP(A3469,PROPONENTES!$B$19:$E$218,3,FALSE)</f>
        <v>#N/A</v>
      </c>
      <c r="G3469" s="64"/>
      <c r="H3469" s="64"/>
      <c r="I3469" s="63"/>
      <c r="J3469" s="63"/>
      <c r="K3469" s="65"/>
      <c r="L3469" s="65"/>
      <c r="M3469" s="64"/>
      <c r="N3469" s="64"/>
      <c r="O3469" s="66"/>
      <c r="P3469" s="66"/>
      <c r="Q3469" s="66"/>
      <c r="R3469" s="66"/>
      <c r="S3469" s="67"/>
      <c r="T3469" s="68"/>
      <c r="U3469" s="68"/>
      <c r="AC3469" s="68"/>
      <c r="AD3469" s="68"/>
      <c r="AE3469" s="68"/>
      <c r="AF3469" s="68"/>
      <c r="AG3469" s="68"/>
      <c r="AH3469" s="87"/>
      <c r="AI3469" s="87"/>
    </row>
    <row r="3470" spans="1:35" ht="15.75" hidden="1" customHeight="1">
      <c r="A3470" s="44"/>
      <c r="B3470" s="709" t="s">
        <v>59</v>
      </c>
      <c r="C3470" s="552" t="s">
        <v>60</v>
      </c>
      <c r="D3470" s="70" t="s">
        <v>17</v>
      </c>
      <c r="E3470" s="70"/>
      <c r="F3470" s="70" t="s">
        <v>61</v>
      </c>
      <c r="G3470" s="71"/>
      <c r="H3470" s="699" t="s">
        <v>62</v>
      </c>
      <c r="I3470" s="699" t="s">
        <v>18</v>
      </c>
      <c r="J3470" s="699" t="s">
        <v>63</v>
      </c>
      <c r="K3470" s="699" t="s">
        <v>64</v>
      </c>
      <c r="L3470" s="699" t="s">
        <v>65</v>
      </c>
      <c r="M3470" s="743" t="s">
        <v>66</v>
      </c>
      <c r="N3470" s="699" t="s">
        <v>282</v>
      </c>
      <c r="O3470" s="745" t="s">
        <v>67</v>
      </c>
      <c r="P3470" s="746"/>
      <c r="Q3470" s="102" t="s">
        <v>75</v>
      </c>
      <c r="R3470" s="731" t="s">
        <v>22</v>
      </c>
      <c r="S3470" s="732"/>
      <c r="T3470" s="733"/>
      <c r="U3470" s="712" t="s">
        <v>298</v>
      </c>
      <c r="W3470" s="690" t="s">
        <v>268</v>
      </c>
      <c r="X3470" s="691"/>
      <c r="Y3470" s="692"/>
      <c r="Z3470" s="428"/>
      <c r="AA3470" s="697" t="s">
        <v>315</v>
      </c>
      <c r="AB3470" s="695" t="s">
        <v>322</v>
      </c>
      <c r="AC3470" s="49"/>
      <c r="AD3470" s="690" t="s">
        <v>297</v>
      </c>
      <c r="AE3470" s="691"/>
      <c r="AF3470" s="692"/>
      <c r="AG3470" s="49"/>
      <c r="AH3470" s="87"/>
      <c r="AI3470" s="87"/>
    </row>
    <row r="3471" spans="1:35" ht="72" hidden="1">
      <c r="A3471" s="44"/>
      <c r="B3471" s="710"/>
      <c r="C3471" s="553" t="s">
        <v>68</v>
      </c>
      <c r="D3471" s="73" t="s">
        <v>3</v>
      </c>
      <c r="E3471" s="73" t="s">
        <v>19</v>
      </c>
      <c r="F3471" s="73" t="s">
        <v>69</v>
      </c>
      <c r="G3471" s="74" t="s">
        <v>70</v>
      </c>
      <c r="H3471" s="700"/>
      <c r="I3471" s="700"/>
      <c r="J3471" s="700"/>
      <c r="K3471" s="700"/>
      <c r="L3471" s="700"/>
      <c r="M3471" s="744"/>
      <c r="N3471" s="700"/>
      <c r="O3471" s="553" t="s">
        <v>279</v>
      </c>
      <c r="P3471" s="73" t="s">
        <v>88</v>
      </c>
      <c r="Q3471" s="555" t="s">
        <v>76</v>
      </c>
      <c r="R3471" s="734"/>
      <c r="S3471" s="735"/>
      <c r="T3471" s="736"/>
      <c r="U3471" s="712"/>
      <c r="W3471" s="429" t="s">
        <v>269</v>
      </c>
      <c r="X3471" s="457" t="s">
        <v>278</v>
      </c>
      <c r="Y3471" s="430" t="s">
        <v>324</v>
      </c>
      <c r="Z3471" s="428"/>
      <c r="AA3471" s="698"/>
      <c r="AB3471" s="696"/>
      <c r="AC3471" s="49"/>
      <c r="AD3471" s="429" t="s">
        <v>292</v>
      </c>
      <c r="AE3471" s="431" t="s">
        <v>300</v>
      </c>
      <c r="AF3471" s="468" t="s">
        <v>301</v>
      </c>
      <c r="AG3471" s="49"/>
      <c r="AH3471" s="87"/>
      <c r="AI3471" s="87"/>
    </row>
    <row r="3472" spans="1:35" hidden="1">
      <c r="A3472" s="44"/>
      <c r="B3472" s="76"/>
      <c r="C3472" s="77"/>
      <c r="D3472" s="77"/>
      <c r="E3472" s="77"/>
      <c r="F3472" s="77"/>
      <c r="G3472" s="77"/>
      <c r="H3472" s="77"/>
      <c r="I3472" s="77"/>
      <c r="J3472" s="77"/>
      <c r="K3472" s="77"/>
      <c r="L3472" s="77"/>
      <c r="M3472" s="77"/>
      <c r="N3472" s="77"/>
      <c r="O3472" s="77"/>
      <c r="P3472" s="77"/>
      <c r="Q3472" s="77"/>
      <c r="R3472" s="77"/>
      <c r="S3472" s="78"/>
      <c r="T3472" s="79"/>
      <c r="U3472" s="109"/>
      <c r="V3472" s="49"/>
      <c r="W3472" s="432"/>
      <c r="X3472" s="454"/>
      <c r="Y3472" s="433"/>
      <c r="Z3472" s="6"/>
      <c r="AA3472" s="500"/>
      <c r="AB3472" s="562"/>
      <c r="AC3472" s="49"/>
      <c r="AD3472" s="210"/>
      <c r="AE3472" s="434"/>
      <c r="AF3472" s="435"/>
      <c r="AG3472" s="49"/>
      <c r="AH3472" s="87"/>
      <c r="AI3472" s="87"/>
    </row>
    <row r="3473" spans="1:35" hidden="1">
      <c r="A3473" s="80" t="e">
        <f>"A"&amp;E3469</f>
        <v>#N/A</v>
      </c>
      <c r="B3473" s="81">
        <v>1</v>
      </c>
      <c r="C3473" s="82"/>
      <c r="D3473" s="82"/>
      <c r="E3473" s="82"/>
      <c r="F3473" s="82"/>
      <c r="G3473" s="83"/>
      <c r="H3473" s="83"/>
      <c r="I3473" s="84"/>
      <c r="J3473" s="85"/>
      <c r="K3473" s="382"/>
      <c r="L3473" s="85"/>
      <c r="M3473" s="332" t="str">
        <f t="shared" ref="M3473:M3482" si="1024">IF(OR(J3473="",L3473="",H3473="NO"),"",IF(OR(J3473&gt;$P$17,J3473&lt;$O$17,L3473&gt;$P$17,AND(J3473&lt;$O$17,L3473&lt;$O$17)),"FUERA DE RANGO",IF(OR(K3473="---",K3473=""),IF(J3473&gt;=$O$17,ROUND((L3473-J3473+1)/360*12,3),ROUND((L3473-$O$17+1)/360*12,3)),IF(J3473&gt;=$O$17,ROUND((L3473-J3473+1)/360*12-ROUND(K3473,3),3),ROUND((L3473-$O$17+1)/360*12-ROUND(K3473,3),3)))))</f>
        <v/>
      </c>
      <c r="N3473" s="86"/>
      <c r="O3473" s="453" t="str">
        <f>IF(OR(G3473="",N3473=""),"",N3473*G3473)</f>
        <v/>
      </c>
      <c r="P3473" s="538" t="str">
        <f>IF(OR(H3473="",M3473="FUERA DE RANGO"),"",IF(OR(L3473&lt;$O$17,L3473&gt;$P$17,L3473="",H3473="NO"),"",IF(OR(N3473="",O3473=""),"",ROUND(O3473,3))))</f>
        <v/>
      </c>
      <c r="Q3473" s="539" t="str">
        <f t="shared" ref="Q3473:Q3482" si="1025">IF(AND(H3473="SI",P3473&lt;&gt;""),ROUND(P3473/M3473,3),"")</f>
        <v/>
      </c>
      <c r="R3473" s="737"/>
      <c r="S3473" s="738"/>
      <c r="T3473" s="739"/>
      <c r="U3473" s="470"/>
      <c r="V3473" s="165"/>
      <c r="W3473" s="446"/>
      <c r="X3473" s="456"/>
      <c r="Y3473" s="436"/>
      <c r="Z3473" s="437"/>
      <c r="AA3473" s="560"/>
      <c r="AB3473" s="561"/>
      <c r="AC3473" s="87"/>
      <c r="AD3473" s="466"/>
      <c r="AE3473" s="456"/>
      <c r="AF3473" s="467"/>
      <c r="AG3473" s="87"/>
      <c r="AH3473" s="87"/>
      <c r="AI3473" s="87"/>
    </row>
    <row r="3474" spans="1:35" hidden="1">
      <c r="A3474" s="80" t="e">
        <f>"B"&amp;E3469</f>
        <v>#N/A</v>
      </c>
      <c r="B3474" s="81">
        <v>2</v>
      </c>
      <c r="C3474" s="106"/>
      <c r="D3474" s="106"/>
      <c r="E3474" s="106"/>
      <c r="F3474" s="106"/>
      <c r="G3474" s="83"/>
      <c r="H3474" s="83"/>
      <c r="I3474" s="84"/>
      <c r="J3474" s="85"/>
      <c r="K3474" s="382"/>
      <c r="L3474" s="85"/>
      <c r="M3474" s="332" t="str">
        <f t="shared" si="1024"/>
        <v/>
      </c>
      <c r="N3474" s="86"/>
      <c r="O3474" s="453" t="str">
        <f t="shared" ref="O3474:O3482" si="1026">IF(OR(G3474="",N3474=""),"",N3474*G3474)</f>
        <v/>
      </c>
      <c r="P3474" s="538" t="str">
        <f t="shared" ref="P3474:P3482" si="1027">IF(OR(H3474="",M3474="FUERA DE RANGO"),"",IF(OR(L3474&lt;$O$17,L3474&gt;$P$17,L3474="",H3474="NO"),"",IF(OR(N3474="",O3474=""),"",ROUND(O3474,3))))</f>
        <v/>
      </c>
      <c r="Q3474" s="539" t="str">
        <f t="shared" si="1025"/>
        <v/>
      </c>
      <c r="R3474" s="740"/>
      <c r="S3474" s="741"/>
      <c r="T3474" s="742"/>
      <c r="U3474" s="471"/>
      <c r="V3474" s="165"/>
      <c r="W3474" s="446"/>
      <c r="X3474" s="456"/>
      <c r="Y3474" s="436"/>
      <c r="Z3474" s="437"/>
      <c r="AA3474" s="560"/>
      <c r="AB3474" s="561"/>
      <c r="AC3474" s="87"/>
      <c r="AD3474" s="466"/>
      <c r="AE3474" s="456"/>
      <c r="AF3474" s="467"/>
      <c r="AG3474" s="87"/>
      <c r="AH3474" s="87"/>
      <c r="AI3474" s="87"/>
    </row>
    <row r="3475" spans="1:35" hidden="1">
      <c r="A3475" s="80" t="e">
        <f>"C"&amp;E3469</f>
        <v>#N/A</v>
      </c>
      <c r="B3475" s="88">
        <v>3</v>
      </c>
      <c r="C3475" s="82"/>
      <c r="D3475" s="82"/>
      <c r="E3475" s="82"/>
      <c r="F3475" s="82"/>
      <c r="G3475" s="83"/>
      <c r="H3475" s="83"/>
      <c r="I3475" s="84"/>
      <c r="J3475" s="85"/>
      <c r="K3475" s="382"/>
      <c r="L3475" s="85"/>
      <c r="M3475" s="332" t="str">
        <f t="shared" si="1024"/>
        <v/>
      </c>
      <c r="N3475" s="86"/>
      <c r="O3475" s="453" t="str">
        <f t="shared" si="1026"/>
        <v/>
      </c>
      <c r="P3475" s="538" t="str">
        <f t="shared" si="1027"/>
        <v/>
      </c>
      <c r="Q3475" s="539" t="str">
        <f t="shared" si="1025"/>
        <v/>
      </c>
      <c r="R3475" s="706"/>
      <c r="S3475" s="707"/>
      <c r="T3475" s="708"/>
      <c r="U3475" s="472"/>
      <c r="V3475" s="166"/>
      <c r="W3475" s="446"/>
      <c r="X3475" s="456"/>
      <c r="Y3475" s="436"/>
      <c r="Z3475" s="437"/>
      <c r="AA3475" s="560"/>
      <c r="AB3475" s="561"/>
      <c r="AC3475" s="87"/>
      <c r="AD3475" s="466"/>
      <c r="AE3475" s="456"/>
      <c r="AF3475" s="467"/>
      <c r="AG3475" s="87"/>
      <c r="AH3475" s="87"/>
      <c r="AI3475" s="87"/>
    </row>
    <row r="3476" spans="1:35" hidden="1">
      <c r="A3476" s="80" t="e">
        <f>"D"&amp;E3469</f>
        <v>#N/A</v>
      </c>
      <c r="B3476" s="105">
        <v>4</v>
      </c>
      <c r="C3476" s="107"/>
      <c r="D3476" s="107"/>
      <c r="E3476" s="107"/>
      <c r="F3476" s="107"/>
      <c r="G3476" s="83"/>
      <c r="H3476" s="83"/>
      <c r="I3476" s="84"/>
      <c r="J3476" s="85"/>
      <c r="K3476" s="382"/>
      <c r="L3476" s="85"/>
      <c r="M3476" s="332" t="str">
        <f t="shared" si="1024"/>
        <v/>
      </c>
      <c r="N3476" s="86"/>
      <c r="O3476" s="453" t="str">
        <f t="shared" si="1026"/>
        <v/>
      </c>
      <c r="P3476" s="538" t="str">
        <f t="shared" si="1027"/>
        <v/>
      </c>
      <c r="Q3476" s="539" t="str">
        <f t="shared" si="1025"/>
        <v/>
      </c>
      <c r="R3476" s="706"/>
      <c r="S3476" s="707"/>
      <c r="T3476" s="708"/>
      <c r="U3476" s="472"/>
      <c r="V3476" s="166"/>
      <c r="W3476" s="446"/>
      <c r="X3476" s="456"/>
      <c r="Y3476" s="436"/>
      <c r="Z3476" s="437"/>
      <c r="AA3476" s="560"/>
      <c r="AB3476" s="561"/>
      <c r="AC3476" s="87"/>
      <c r="AD3476" s="466"/>
      <c r="AE3476" s="456"/>
      <c r="AF3476" s="467"/>
      <c r="AG3476" s="87"/>
      <c r="AH3476" s="87"/>
      <c r="AI3476" s="87"/>
    </row>
    <row r="3477" spans="1:35" hidden="1">
      <c r="A3477" s="80" t="e">
        <f>"E"&amp;E3469</f>
        <v>#N/A</v>
      </c>
      <c r="B3477" s="105">
        <v>5</v>
      </c>
      <c r="C3477" s="107"/>
      <c r="D3477" s="107"/>
      <c r="E3477" s="107"/>
      <c r="F3477" s="107"/>
      <c r="G3477" s="83"/>
      <c r="H3477" s="83"/>
      <c r="I3477" s="84"/>
      <c r="J3477" s="85"/>
      <c r="K3477" s="382"/>
      <c r="L3477" s="85"/>
      <c r="M3477" s="332" t="str">
        <f t="shared" si="1024"/>
        <v/>
      </c>
      <c r="N3477" s="86"/>
      <c r="O3477" s="453" t="str">
        <f t="shared" si="1026"/>
        <v/>
      </c>
      <c r="P3477" s="538" t="str">
        <f t="shared" si="1027"/>
        <v/>
      </c>
      <c r="Q3477" s="539" t="str">
        <f t="shared" si="1025"/>
        <v/>
      </c>
      <c r="R3477" s="706"/>
      <c r="S3477" s="707"/>
      <c r="T3477" s="708"/>
      <c r="U3477" s="472"/>
      <c r="V3477" s="167"/>
      <c r="W3477" s="446"/>
      <c r="X3477" s="456"/>
      <c r="Y3477" s="436"/>
      <c r="Z3477" s="437"/>
      <c r="AA3477" s="560"/>
      <c r="AB3477" s="561"/>
      <c r="AC3477" s="87"/>
      <c r="AD3477" s="466"/>
      <c r="AE3477" s="456"/>
      <c r="AF3477" s="467"/>
      <c r="AG3477" s="87"/>
      <c r="AH3477" s="87"/>
      <c r="AI3477" s="87"/>
    </row>
    <row r="3478" spans="1:35" hidden="1">
      <c r="A3478" s="80" t="e">
        <f>"F"&amp;E3469</f>
        <v>#N/A</v>
      </c>
      <c r="B3478" s="105">
        <v>6</v>
      </c>
      <c r="C3478" s="107"/>
      <c r="D3478" s="107"/>
      <c r="E3478" s="107"/>
      <c r="F3478" s="107"/>
      <c r="G3478" s="83"/>
      <c r="H3478" s="83"/>
      <c r="I3478" s="84"/>
      <c r="J3478" s="85"/>
      <c r="K3478" s="382"/>
      <c r="L3478" s="85"/>
      <c r="M3478" s="332" t="str">
        <f t="shared" si="1024"/>
        <v/>
      </c>
      <c r="N3478" s="86"/>
      <c r="O3478" s="453" t="str">
        <f t="shared" si="1026"/>
        <v/>
      </c>
      <c r="P3478" s="538" t="str">
        <f t="shared" si="1027"/>
        <v/>
      </c>
      <c r="Q3478" s="539" t="str">
        <f t="shared" si="1025"/>
        <v/>
      </c>
      <c r="R3478" s="706"/>
      <c r="S3478" s="707"/>
      <c r="T3478" s="708"/>
      <c r="U3478" s="472"/>
      <c r="V3478" s="167"/>
      <c r="W3478" s="446"/>
      <c r="X3478" s="456"/>
      <c r="Y3478" s="436"/>
      <c r="Z3478" s="437"/>
      <c r="AA3478" s="560"/>
      <c r="AB3478" s="561"/>
      <c r="AC3478" s="87"/>
      <c r="AD3478" s="466"/>
      <c r="AE3478" s="456"/>
      <c r="AF3478" s="467"/>
      <c r="AG3478" s="87"/>
      <c r="AH3478" s="87"/>
      <c r="AI3478" s="87"/>
    </row>
    <row r="3479" spans="1:35" hidden="1">
      <c r="A3479" s="80" t="e">
        <f>"G"&amp;E3469</f>
        <v>#N/A</v>
      </c>
      <c r="B3479" s="105">
        <v>7</v>
      </c>
      <c r="C3479" s="107"/>
      <c r="D3479" s="107"/>
      <c r="E3479" s="107"/>
      <c r="F3479" s="107"/>
      <c r="G3479" s="83"/>
      <c r="H3479" s="83"/>
      <c r="I3479" s="84"/>
      <c r="J3479" s="85"/>
      <c r="K3479" s="382"/>
      <c r="L3479" s="85"/>
      <c r="M3479" s="332" t="str">
        <f t="shared" si="1024"/>
        <v/>
      </c>
      <c r="N3479" s="86"/>
      <c r="O3479" s="86" t="str">
        <f t="shared" si="1026"/>
        <v/>
      </c>
      <c r="P3479" s="538" t="str">
        <f t="shared" si="1027"/>
        <v/>
      </c>
      <c r="Q3479" s="539" t="str">
        <f t="shared" si="1025"/>
        <v/>
      </c>
      <c r="R3479" s="706"/>
      <c r="S3479" s="707"/>
      <c r="T3479" s="708"/>
      <c r="U3479" s="472"/>
      <c r="V3479" s="167"/>
      <c r="W3479" s="446"/>
      <c r="X3479" s="456"/>
      <c r="Y3479" s="436"/>
      <c r="Z3479" s="437"/>
      <c r="AA3479" s="560"/>
      <c r="AB3479" s="561"/>
      <c r="AC3479" s="87"/>
      <c r="AD3479" s="466"/>
      <c r="AE3479" s="456"/>
      <c r="AF3479" s="467"/>
      <c r="AG3479" s="87"/>
      <c r="AH3479" s="87"/>
      <c r="AI3479" s="87"/>
    </row>
    <row r="3480" spans="1:35" hidden="1">
      <c r="A3480" s="80" t="e">
        <f>"H"&amp;E3469</f>
        <v>#N/A</v>
      </c>
      <c r="B3480" s="105">
        <v>8</v>
      </c>
      <c r="C3480" s="107"/>
      <c r="D3480" s="107"/>
      <c r="E3480" s="107"/>
      <c r="F3480" s="107"/>
      <c r="G3480" s="83"/>
      <c r="H3480" s="83"/>
      <c r="I3480" s="84"/>
      <c r="J3480" s="85"/>
      <c r="K3480" s="382"/>
      <c r="L3480" s="85"/>
      <c r="M3480" s="332" t="str">
        <f t="shared" si="1024"/>
        <v/>
      </c>
      <c r="N3480" s="453"/>
      <c r="O3480" s="86" t="str">
        <f t="shared" si="1026"/>
        <v/>
      </c>
      <c r="P3480" s="538" t="str">
        <f t="shared" si="1027"/>
        <v/>
      </c>
      <c r="Q3480" s="539" t="str">
        <f t="shared" si="1025"/>
        <v/>
      </c>
      <c r="R3480" s="706"/>
      <c r="S3480" s="707"/>
      <c r="T3480" s="708"/>
      <c r="U3480" s="472"/>
      <c r="V3480" s="167"/>
      <c r="W3480" s="446"/>
      <c r="X3480" s="456"/>
      <c r="Y3480" s="436"/>
      <c r="Z3480" s="437"/>
      <c r="AA3480" s="560"/>
      <c r="AB3480" s="561"/>
      <c r="AC3480" s="87"/>
      <c r="AD3480" s="466"/>
      <c r="AE3480" s="456"/>
      <c r="AF3480" s="467"/>
      <c r="AG3480" s="87"/>
      <c r="AH3480" s="87"/>
      <c r="AI3480" s="87"/>
    </row>
    <row r="3481" spans="1:35" hidden="1">
      <c r="A3481" s="80" t="e">
        <f>"I"&amp;E3469</f>
        <v>#N/A</v>
      </c>
      <c r="B3481" s="105">
        <v>9</v>
      </c>
      <c r="C3481" s="107"/>
      <c r="D3481" s="107"/>
      <c r="E3481" s="107"/>
      <c r="F3481" s="107"/>
      <c r="G3481" s="83"/>
      <c r="H3481" s="83"/>
      <c r="I3481" s="84"/>
      <c r="J3481" s="85"/>
      <c r="K3481" s="382"/>
      <c r="L3481" s="85"/>
      <c r="M3481" s="332" t="str">
        <f t="shared" si="1024"/>
        <v/>
      </c>
      <c r="N3481" s="453"/>
      <c r="O3481" s="86" t="str">
        <f t="shared" si="1026"/>
        <v/>
      </c>
      <c r="P3481" s="538" t="str">
        <f t="shared" si="1027"/>
        <v/>
      </c>
      <c r="Q3481" s="539" t="str">
        <f t="shared" si="1025"/>
        <v/>
      </c>
      <c r="R3481" s="706"/>
      <c r="S3481" s="707"/>
      <c r="T3481" s="708"/>
      <c r="U3481" s="472"/>
      <c r="V3481" s="167"/>
      <c r="W3481" s="446"/>
      <c r="X3481" s="456"/>
      <c r="Y3481" s="436"/>
      <c r="Z3481" s="437"/>
      <c r="AA3481" s="560"/>
      <c r="AB3481" s="561"/>
      <c r="AC3481" s="87"/>
      <c r="AD3481" s="466"/>
      <c r="AE3481" s="456"/>
      <c r="AF3481" s="467"/>
      <c r="AG3481" s="87"/>
      <c r="AH3481" s="87"/>
      <c r="AI3481" s="87"/>
    </row>
    <row r="3482" spans="1:35" hidden="1">
      <c r="A3482" s="80" t="e">
        <f>"J"&amp;E3469</f>
        <v>#N/A</v>
      </c>
      <c r="B3482" s="105">
        <v>10</v>
      </c>
      <c r="C3482" s="107"/>
      <c r="D3482" s="107"/>
      <c r="E3482" s="107"/>
      <c r="F3482" s="107"/>
      <c r="G3482" s="83"/>
      <c r="H3482" s="83"/>
      <c r="I3482" s="84"/>
      <c r="J3482" s="85"/>
      <c r="K3482" s="382"/>
      <c r="L3482" s="85"/>
      <c r="M3482" s="332" t="str">
        <f t="shared" si="1024"/>
        <v/>
      </c>
      <c r="N3482" s="453"/>
      <c r="O3482" s="86" t="str">
        <f t="shared" si="1026"/>
        <v/>
      </c>
      <c r="P3482" s="538" t="str">
        <f t="shared" si="1027"/>
        <v/>
      </c>
      <c r="Q3482" s="539" t="str">
        <f t="shared" si="1025"/>
        <v/>
      </c>
      <c r="R3482" s="706"/>
      <c r="S3482" s="707"/>
      <c r="T3482" s="708"/>
      <c r="U3482" s="472"/>
      <c r="V3482" s="167"/>
      <c r="W3482" s="446"/>
      <c r="X3482" s="456"/>
      <c r="Y3482" s="436"/>
      <c r="Z3482" s="437"/>
      <c r="AA3482" s="560"/>
      <c r="AB3482" s="561"/>
      <c r="AC3482" s="87"/>
      <c r="AD3482" s="466"/>
      <c r="AE3482" s="456"/>
      <c r="AF3482" s="467"/>
      <c r="AG3482" s="87"/>
      <c r="AH3482" s="87"/>
      <c r="AI3482" s="87"/>
    </row>
    <row r="3483" spans="1:35" ht="16.5" hidden="1" thickBot="1">
      <c r="A3483" s="44"/>
      <c r="B3483" s="89"/>
      <c r="C3483" s="90"/>
      <c r="D3483" s="90"/>
      <c r="E3483" s="90"/>
      <c r="F3483" s="90"/>
      <c r="G3483" s="90"/>
      <c r="H3483" s="90"/>
      <c r="I3483" s="90"/>
      <c r="J3483" s="90"/>
      <c r="K3483" s="90"/>
      <c r="L3483" s="90"/>
      <c r="M3483" s="90"/>
      <c r="N3483" s="90"/>
      <c r="O3483" s="90"/>
      <c r="P3483" s="90"/>
      <c r="Q3483" s="90"/>
      <c r="R3483" s="90"/>
      <c r="S3483" s="91"/>
      <c r="T3483" s="92"/>
      <c r="U3483" s="473"/>
      <c r="W3483" s="438"/>
      <c r="X3483" s="455"/>
      <c r="Y3483" s="439"/>
      <c r="Z3483" s="437"/>
      <c r="AA3483" s="530"/>
      <c r="AB3483" s="563"/>
      <c r="AC3483" s="87"/>
      <c r="AD3483" s="440"/>
      <c r="AE3483" s="441"/>
      <c r="AF3483" s="442"/>
      <c r="AG3483" s="49"/>
      <c r="AH3483" s="87"/>
      <c r="AI3483" s="87"/>
    </row>
    <row r="3484" spans="1:35" ht="16.5" hidden="1" thickBot="1">
      <c r="A3484" s="93"/>
      <c r="B3484" s="94"/>
      <c r="C3484" s="96"/>
      <c r="D3484" s="96"/>
      <c r="E3484" s="96"/>
      <c r="F3484" s="96"/>
      <c r="G3484" s="96"/>
      <c r="H3484" s="96"/>
      <c r="I3484" s="96"/>
      <c r="J3484" s="96"/>
      <c r="K3484" s="96"/>
      <c r="L3484" s="96"/>
      <c r="M3484" s="136"/>
      <c r="N3484" s="96"/>
      <c r="O3484" s="96"/>
      <c r="P3484" s="97"/>
      <c r="Q3484" s="97"/>
      <c r="R3484" s="98"/>
      <c r="S3484" s="95"/>
      <c r="T3484" s="99"/>
      <c r="U3484" s="469"/>
      <c r="AC3484" s="58"/>
      <c r="AG3484" s="58"/>
      <c r="AH3484" s="87"/>
      <c r="AI3484" s="87"/>
    </row>
    <row r="3485" spans="1:35" ht="16.5" hidden="1" thickBot="1">
      <c r="B3485" s="101"/>
      <c r="C3485" s="101"/>
      <c r="D3485" s="101"/>
      <c r="E3485" s="101"/>
      <c r="F3485" s="101"/>
      <c r="G3485" s="101"/>
      <c r="H3485" s="101"/>
      <c r="I3485" s="101"/>
      <c r="J3485" s="101"/>
      <c r="K3485" s="101"/>
      <c r="L3485" s="101"/>
      <c r="M3485" s="101"/>
      <c r="N3485" s="101"/>
      <c r="O3485" s="101"/>
      <c r="P3485" s="101"/>
      <c r="Q3485" s="101"/>
      <c r="R3485" s="101"/>
      <c r="S3485" s="101"/>
      <c r="U3485" s="50"/>
      <c r="AH3485" s="87"/>
      <c r="AI3485" s="87"/>
    </row>
    <row r="3486" spans="1:35" ht="16.5" hidden="1" customHeight="1" thickBot="1">
      <c r="A3486" s="44"/>
      <c r="B3486" s="705" t="s">
        <v>74</v>
      </c>
      <c r="C3486" s="705"/>
      <c r="D3486" s="705"/>
      <c r="E3486" s="705"/>
      <c r="F3486" s="705"/>
      <c r="G3486" s="705"/>
      <c r="H3486" s="705"/>
      <c r="I3486" s="705"/>
      <c r="J3486" s="705"/>
      <c r="K3486" s="705"/>
      <c r="L3486" s="705"/>
      <c r="M3486" s="705"/>
      <c r="N3486" s="705"/>
      <c r="O3486" s="705"/>
      <c r="P3486" s="705"/>
      <c r="Q3486" s="705"/>
      <c r="R3486" s="705"/>
      <c r="S3486" s="705"/>
      <c r="T3486" s="705"/>
      <c r="U3486" s="108"/>
      <c r="Y3486" s="532" t="s">
        <v>341</v>
      </c>
      <c r="AC3486" s="49"/>
      <c r="AD3486" s="687" t="s">
        <v>302</v>
      </c>
      <c r="AE3486" s="688"/>
      <c r="AF3486" s="689"/>
      <c r="AG3486" s="49"/>
      <c r="AH3486" s="87"/>
      <c r="AI3486" s="87"/>
    </row>
    <row r="3487" spans="1:35" ht="16.5" hidden="1" customHeight="1" thickBot="1">
      <c r="A3487" s="218" t="e">
        <f>"K"&amp;E3469</f>
        <v>#N/A</v>
      </c>
      <c r="B3487" s="701" t="s">
        <v>71</v>
      </c>
      <c r="C3487" s="751" t="s">
        <v>102</v>
      </c>
      <c r="D3487" s="751"/>
      <c r="E3487" s="751"/>
      <c r="F3487" s="751"/>
      <c r="G3487" s="751"/>
      <c r="H3487" s="751"/>
      <c r="I3487" s="751"/>
      <c r="J3487" s="751"/>
      <c r="K3487" s="751"/>
      <c r="L3487" s="722" t="s">
        <v>100</v>
      </c>
      <c r="M3487" s="747" t="s">
        <v>114</v>
      </c>
      <c r="N3487" s="747"/>
      <c r="O3487" s="747"/>
      <c r="P3487" s="747"/>
      <c r="Q3487" s="748"/>
      <c r="R3487" s="758" t="s">
        <v>280</v>
      </c>
      <c r="S3487" s="748"/>
      <c r="T3487" s="762" t="str">
        <f>IF(COUNTIF(AE3487:AF3487,"VERIFICAR")&gt;0,"VERIFICAR",IF(COUNTIF(AE3487:AF3487,"NO CUMPLE")&gt;0,"NO CUMPLE","CUMPLE"))</f>
        <v>VERIFICAR</v>
      </c>
      <c r="U3487" s="108"/>
      <c r="Y3487" s="533" t="e">
        <f>IF(F3488="","",IF(F3488=1,"INDIVIDUAL","ESTRUCTURA PLURAL"))</f>
        <v>#N/A</v>
      </c>
      <c r="AC3487" s="52"/>
      <c r="AD3487" s="475" t="s">
        <v>303</v>
      </c>
      <c r="AE3487" s="476" t="str">
        <f>IF(COUNTIF(AE3473:AE3482,"")=10,"VERIFICAR",IF(COUNTIF(AE3473:AE3482,"SI")&gt;0,"CUMPLE","NO CUMPLE"))</f>
        <v>VERIFICAR</v>
      </c>
      <c r="AF3487" s="477" t="str">
        <f>IF(COUNTIF(AF3473:AF3482,"")=10,"VERIFICAR",IF(COUNTIF(AF3473:AF3482,"SI")&gt;=$AI$22,"CUMPLE","NO CUMPLE"))</f>
        <v>VERIFICAR</v>
      </c>
      <c r="AG3487" s="52"/>
      <c r="AH3487" s="87"/>
      <c r="AI3487" s="87"/>
    </row>
    <row r="3488" spans="1:35" ht="15.75" hidden="1" customHeight="1" thickBot="1">
      <c r="A3488" s="218" t="e">
        <f>"L"&amp;E3469</f>
        <v>#N/A</v>
      </c>
      <c r="B3488" s="702"/>
      <c r="C3488" s="751" t="s">
        <v>103</v>
      </c>
      <c r="D3488" s="751"/>
      <c r="E3488" s="752"/>
      <c r="F3488" s="557" t="e">
        <f>IF(VLOOKUP(E3469,PROPONENTES!$C$19:$E$218,3,0)="","",VLOOKUP(E3469,PROPONENTES!$C$19:$E$218,3,0))</f>
        <v>#N/A</v>
      </c>
      <c r="G3488" s="753" t="s">
        <v>104</v>
      </c>
      <c r="H3488" s="751"/>
      <c r="I3488" s="715" t="e">
        <f>IF(OR(F3488="",F3488=1),"INTERESADO PERSONA NATURAL O JURIDICA","CONSORCIO O UNION TEMPORAL")</f>
        <v>#N/A</v>
      </c>
      <c r="J3488" s="725"/>
      <c r="K3488" s="728"/>
      <c r="L3488" s="723"/>
      <c r="M3488" s="749"/>
      <c r="N3488" s="749"/>
      <c r="O3488" s="749"/>
      <c r="P3488" s="749"/>
      <c r="Q3488" s="750"/>
      <c r="R3488" s="712"/>
      <c r="S3488" s="750"/>
      <c r="T3488" s="763"/>
      <c r="U3488" s="108"/>
      <c r="Y3488" s="534"/>
      <c r="AA3488" s="52"/>
      <c r="AB3488" s="52"/>
      <c r="AC3488" s="52"/>
      <c r="AG3488" s="52"/>
      <c r="AH3488" s="87"/>
      <c r="AI3488" s="87"/>
    </row>
    <row r="3489" spans="1:35" ht="56.25" hidden="1" customHeight="1" thickBot="1">
      <c r="A3489" s="218" t="e">
        <f>"M"&amp;E3469</f>
        <v>#N/A</v>
      </c>
      <c r="B3489" s="702"/>
      <c r="C3489" s="725" t="s">
        <v>101</v>
      </c>
      <c r="D3489" s="716"/>
      <c r="E3489" s="558" t="s">
        <v>105</v>
      </c>
      <c r="F3489" s="554" t="s">
        <v>87</v>
      </c>
      <c r="G3489" s="553" t="s">
        <v>86</v>
      </c>
      <c r="H3489" s="559" t="s">
        <v>85</v>
      </c>
      <c r="I3489" s="554" t="s">
        <v>252</v>
      </c>
      <c r="J3489" s="553" t="str">
        <f>"¿EL INTEGRANTE TIENE UNA PARTICIPACIÓN DEL "&amp;PORCREQUERIDOINT*100&amp;"%?"</f>
        <v>¿EL INTEGRANTE TIENE UNA PARTICIPACIÓN DEL 60%?</v>
      </c>
      <c r="K3489" s="554" t="s">
        <v>107</v>
      </c>
      <c r="L3489" s="724"/>
      <c r="M3489" s="717" t="s">
        <v>115</v>
      </c>
      <c r="N3489" s="718"/>
      <c r="O3489" s="718"/>
      <c r="P3489" s="718"/>
      <c r="Q3489" s="223">
        <f>IF(AND(H3473="SI",P3473&gt;=0),1,0)+IF(AND(H3474="SI",P3474&gt;=0),1,0)+IF(AND(H3475="SI",P3475&gt;=0),1,0)+IF(AND(H3476="SI",P3476&gt;=0),1,0)+IF(AND(H3477="SI",P3477&gt;=0),1,0)+IF(AND(H3478="SI",P3478&gt;=0),1,0)+IF(AND(H3479="SI",P3479&gt;=0),1,0)+IF(AND(H3480="SI",P3480&gt;=0),1,0)+IF(AND(H3481="SI",P3481&gt;=0),1,0)+IF(AND(H3482="SI",P3482&gt;=0),1,0)</f>
        <v>0</v>
      </c>
      <c r="R3489" s="759"/>
      <c r="S3489" s="761"/>
      <c r="T3489" s="764"/>
      <c r="U3489" s="219"/>
      <c r="V3489" s="464"/>
      <c r="Y3489" s="532" t="s">
        <v>342</v>
      </c>
      <c r="AA3489" s="550" t="s">
        <v>344</v>
      </c>
      <c r="AB3489" s="693" t="s">
        <v>345</v>
      </c>
      <c r="AC3489" s="693" t="s">
        <v>346</v>
      </c>
      <c r="AD3489" s="685" t="s">
        <v>347</v>
      </c>
      <c r="AE3489" s="52"/>
      <c r="AF3489" s="52"/>
      <c r="AG3489" s="52"/>
      <c r="AH3489" s="87"/>
      <c r="AI3489" s="87"/>
    </row>
    <row r="3490" spans="1:35" ht="15.75" hidden="1" customHeight="1" thickBot="1">
      <c r="A3490" s="218" t="e">
        <f>"N"&amp;E3469</f>
        <v>#N/A</v>
      </c>
      <c r="B3490" s="702"/>
      <c r="C3490" s="114">
        <v>1</v>
      </c>
      <c r="D3490" s="194" t="e">
        <f>IF(AND(C3490&lt;=F3488,F3488&gt;1,F3488&lt;&gt;""),VLOOKUP(VALUE(E3469&amp;","&amp;C3490),INTEGRANTES!$D$18:$F$235,2,0),"")</f>
        <v>#N/A</v>
      </c>
      <c r="E3490" s="211" t="e">
        <f>IF(D3490&lt;&gt;"",VLOOKUP(VALUE(E3469&amp;","&amp;C3490),INTEGRANTES!$D$18:$F$235,3,0),"")</f>
        <v>#N/A</v>
      </c>
      <c r="F3490" s="547" t="e">
        <f>IF(D3490="","",SUMIF($I3473:$I3482,D3490,$P3473:$P3482))</f>
        <v>#N/A</v>
      </c>
      <c r="G3490" s="333" t="e">
        <f>IF(D3490="","",SUMIF($I3473:$I3482,D3490,$M3473:$M3482))</f>
        <v>#N/A</v>
      </c>
      <c r="H3490" s="535" t="e">
        <f t="shared" ref="H3490:H3495" si="1028">IF(D3490="","",IF(OR(F3490=0,G3490=0),"NO APORTA",ROUND($F3490/$G3490,3)))</f>
        <v>#N/A</v>
      </c>
      <c r="I3490" s="212" t="e">
        <f>IF(D3490="","",IF(H3490="NO APORTA","NO",IF(H3490=MAX($H3490:$H3495),"SI","NO")))</f>
        <v>#N/A</v>
      </c>
      <c r="J3490" s="213" t="e">
        <f t="shared" ref="J3490:J3495" si="1029">IF(D3490="","",IF(E3490&gt;=PORCREQUERIDOINT,"SI","NO"))</f>
        <v>#N/A</v>
      </c>
      <c r="K3490" s="200" t="e">
        <f t="shared" ref="K3490:K3495" si="1030">IF(D3490="","",IF(AND(I3490="SI",J3490="SI"),"CUMPLE",IF(AND(I3490="NO",OR(J3490="SI",J3490="NO")),"","NO CUMPLE")))</f>
        <v>#N/A</v>
      </c>
      <c r="L3490" s="722" t="s">
        <v>108</v>
      </c>
      <c r="M3490" s="726" t="s">
        <v>119</v>
      </c>
      <c r="N3490" s="726"/>
      <c r="O3490" s="726"/>
      <c r="P3490" s="726"/>
      <c r="Q3490" s="727"/>
      <c r="R3490" s="758" t="s">
        <v>80</v>
      </c>
      <c r="S3490" s="747"/>
      <c r="T3490" s="748"/>
      <c r="U3490" s="219"/>
      <c r="V3490" s="464"/>
      <c r="Y3490" s="533" t="e">
        <f>IF(Y3487="","",IF(Y3487="INDIVIDUAL","NO APLICA","VERIFICAR CUADRO"))</f>
        <v>#N/A</v>
      </c>
      <c r="AA3490" s="551"/>
      <c r="AB3490" s="694"/>
      <c r="AC3490" s="694"/>
      <c r="AD3490" s="686"/>
      <c r="AE3490" s="52"/>
      <c r="AF3490" s="52"/>
      <c r="AG3490" s="52"/>
      <c r="AH3490" s="87"/>
      <c r="AI3490" s="87"/>
    </row>
    <row r="3491" spans="1:35" ht="27" hidden="1" customHeight="1" thickBot="1">
      <c r="A3491" s="218" t="e">
        <f>"O"&amp;E3469</f>
        <v>#N/A</v>
      </c>
      <c r="B3491" s="702"/>
      <c r="C3491" s="114">
        <v>2</v>
      </c>
      <c r="D3491" s="194" t="e">
        <f>IF(AND(C3491&lt;=F3488,F3488&lt;&gt;""),VLOOKUP(VALUE(E3469&amp;","&amp;C3491),INTEGRANTES!$D$18:$F$235,2,0),"")</f>
        <v>#N/A</v>
      </c>
      <c r="E3491" s="211" t="e">
        <f>IF(D3491&lt;&gt;"",VLOOKUP(VALUE(E3469&amp;","&amp;C3491),INTEGRANTES!$D$18:$F$235,3,0),"")</f>
        <v>#N/A</v>
      </c>
      <c r="F3491" s="547" t="e">
        <f>IF(D3491="","",SUMIF($I3473:$I3482,D3491,$P3473:$P3482))</f>
        <v>#N/A</v>
      </c>
      <c r="G3491" s="333" t="e">
        <f>IF(D3491="","",SUMIF($I3473:$I3482,D3491,$M3473:$M3482))</f>
        <v>#N/A</v>
      </c>
      <c r="H3491" s="535" t="e">
        <f t="shared" si="1028"/>
        <v>#N/A</v>
      </c>
      <c r="I3491" s="212" t="e">
        <f>IF(D3491="","",IF(H3491="NO APORTA","NO",IF(H3491=MAX($H3490:$H3495),"SI","NO")))</f>
        <v>#N/A</v>
      </c>
      <c r="J3491" s="213" t="e">
        <f t="shared" si="1029"/>
        <v>#N/A</v>
      </c>
      <c r="K3491" s="200" t="e">
        <f t="shared" si="1030"/>
        <v>#N/A</v>
      </c>
      <c r="L3491" s="723"/>
      <c r="M3491" s="715" t="s">
        <v>116</v>
      </c>
      <c r="N3491" s="716"/>
      <c r="O3491" s="556" t="s">
        <v>113</v>
      </c>
      <c r="P3491" s="715" t="s">
        <v>117</v>
      </c>
      <c r="Q3491" s="728"/>
      <c r="R3491" s="759"/>
      <c r="S3491" s="760"/>
      <c r="T3491" s="761"/>
      <c r="U3491" s="219"/>
      <c r="V3491" s="464"/>
      <c r="Y3491" s="414"/>
      <c r="AA3491" s="542" t="e">
        <f>IF(AND(C3490&lt;=F3488,F3488&gt;1,F3488&lt;&gt;""),VLOOKUP(VALUE(E3469&amp;","&amp;C3490),INTEGRANTES!$D$18:$F$235,2,0),"")</f>
        <v>#N/A</v>
      </c>
      <c r="AB3491" s="544" t="e">
        <f t="shared" ref="AB3491:AB3496" si="1031">IF(D3490="","",IF(OR(F3490=0,G3490=0),"NO APORTA",ROUND($F3490/$G3490,3)))</f>
        <v>#N/A</v>
      </c>
      <c r="AC3491" s="529"/>
      <c r="AD3491" s="200" t="e">
        <f t="shared" ref="AD3491:AD3496" si="1032">IF(OR(AA3491="",AB3491=""),"",IF(AND(AC3491="X",AB3491&gt;=EXPREQVTD),"CUMPLE","NO CUMPLE"))</f>
        <v>#N/A</v>
      </c>
      <c r="AE3491" s="52"/>
      <c r="AF3491" s="52"/>
      <c r="AG3491" s="52"/>
      <c r="AH3491" s="87"/>
      <c r="AI3491" s="87"/>
    </row>
    <row r="3492" spans="1:35" ht="16.5" hidden="1" thickBot="1">
      <c r="A3492" s="218" t="e">
        <f>"P"&amp;E3469</f>
        <v>#N/A</v>
      </c>
      <c r="B3492" s="702"/>
      <c r="C3492" s="114">
        <v>3</v>
      </c>
      <c r="D3492" s="194" t="e">
        <f>IF(AND(C3492&lt;=F3488,F3488&lt;&gt;""),VLOOKUP(VALUE(E3469&amp;","&amp;C3492),INTEGRANTES!$D$18:$F$235,2,0),"")</f>
        <v>#N/A</v>
      </c>
      <c r="E3492" s="211" t="e">
        <f>IF(D3492&lt;&gt;"",VLOOKUP(VALUE(E3469&amp;","&amp;C3492),INTEGRANTES!$D$18:$F$235,3,0),"")</f>
        <v>#N/A</v>
      </c>
      <c r="F3492" s="547" t="e">
        <f>IF(D3492="","",SUMIF($I3473:$I3482,D3492,$P3473:$P3482))</f>
        <v>#N/A</v>
      </c>
      <c r="G3492" s="333" t="e">
        <f>IF(D3492="","",SUMIF($I3473:$I3482,D3492,$M3473:$M3482))</f>
        <v>#N/A</v>
      </c>
      <c r="H3492" s="535" t="e">
        <f t="shared" si="1028"/>
        <v>#N/A</v>
      </c>
      <c r="I3492" s="212" t="e">
        <f>IF(D3492="","",IF(H3492="NO APORTA","NO",IF(H3492=MAX($H3490:$H3495),"SI","NO")))</f>
        <v>#N/A</v>
      </c>
      <c r="J3492" s="213" t="e">
        <f t="shared" si="1029"/>
        <v>#N/A</v>
      </c>
      <c r="K3492" s="200" t="e">
        <f t="shared" si="1030"/>
        <v>#N/A</v>
      </c>
      <c r="L3492" s="724"/>
      <c r="M3492" s="729">
        <f>NUMMOD</f>
        <v>1</v>
      </c>
      <c r="N3492" s="730"/>
      <c r="O3492" s="443">
        <f>IF(M3492="","",VLOOKUP(M3492,PRESUPUESTOS!$B$16:$H$16,5,FALSE))</f>
        <v>2</v>
      </c>
      <c r="P3492" s="713">
        <f>IF(OR(COUNTIF(M3473:M3482,"")&gt;=10,Q3489&lt;NUMMINCONT,OR(T3487="NO CUMPLE",T3487="VERIFICAR")),0,ROUND(AVERAGE(M3473:M3482),3))</f>
        <v>0</v>
      </c>
      <c r="Q3492" s="714"/>
      <c r="R3492" s="458"/>
      <c r="S3492" s="459"/>
      <c r="T3492" s="460"/>
      <c r="U3492" s="219"/>
      <c r="V3492" s="464"/>
      <c r="Y3492" s="532" t="str">
        <f>"40% * ("&amp;PRESUPUESTOS!$H$13&amp;")"</f>
        <v>40% * (50% PFMO)</v>
      </c>
      <c r="AA3492" s="540" t="e">
        <f>IF(AND(C3491&lt;=F3488,F3488&lt;&gt;""),VLOOKUP(VALUE(E3469&amp;","&amp;C3491),INTEGRANTES!$D$18:$F$235,2,0),"")</f>
        <v>#N/A</v>
      </c>
      <c r="AB3492" s="545" t="e">
        <f t="shared" si="1031"/>
        <v>#N/A</v>
      </c>
      <c r="AC3492" s="529"/>
      <c r="AD3492" s="200" t="e">
        <f t="shared" si="1032"/>
        <v>#N/A</v>
      </c>
      <c r="AE3492" s="52"/>
      <c r="AF3492" s="52"/>
      <c r="AG3492" s="52"/>
      <c r="AH3492" s="87"/>
      <c r="AI3492" s="87"/>
    </row>
    <row r="3493" spans="1:35" ht="15.75" hidden="1" customHeight="1" thickBot="1">
      <c r="A3493" s="218" t="e">
        <f>"Q"&amp;E3469</f>
        <v>#N/A</v>
      </c>
      <c r="B3493" s="702"/>
      <c r="C3493" s="114">
        <v>4</v>
      </c>
      <c r="D3493" s="194" t="e">
        <f>IF(AND(C3493&lt;=F3488,F3488&lt;&gt;""),VLOOKUP(VALUE(E3469&amp;","&amp;C3493),INTEGRANTES!$D$18:$F$235,2,0),"")</f>
        <v>#N/A</v>
      </c>
      <c r="E3493" s="211" t="e">
        <f>IF(D3493&lt;&gt;"",VLOOKUP(VALUE(E3469&amp;","&amp;C3493),INTEGRANTES!$D$18:$F$235,3,0),"")</f>
        <v>#N/A</v>
      </c>
      <c r="F3493" s="547" t="e">
        <f>IF(D3493="","",SUMIF($I3473:$I3482,D3493,$P3473:$P3482))</f>
        <v>#N/A</v>
      </c>
      <c r="G3493" s="333" t="e">
        <f>IF(D3493="","",SUMIF($I3473:$I3482,D3493,$M3473:$M3482))</f>
        <v>#N/A</v>
      </c>
      <c r="H3493" s="535" t="e">
        <f t="shared" si="1028"/>
        <v>#N/A</v>
      </c>
      <c r="I3493" s="212" t="e">
        <f>IF(D3493="","",IF(H3493="NO APORTA","NO",IF(H3493=MAX($H3490:$H3495),"SI","NO")))</f>
        <v>#N/A</v>
      </c>
      <c r="J3493" s="213" t="e">
        <f t="shared" si="1029"/>
        <v>#N/A</v>
      </c>
      <c r="K3493" s="200" t="e">
        <f t="shared" si="1030"/>
        <v>#N/A</v>
      </c>
      <c r="L3493" s="720" t="s">
        <v>109</v>
      </c>
      <c r="M3493" s="757" t="s">
        <v>120</v>
      </c>
      <c r="N3493" s="726"/>
      <c r="O3493" s="726"/>
      <c r="P3493" s="726"/>
      <c r="Q3493" s="727"/>
      <c r="R3493" s="458"/>
      <c r="S3493" s="459"/>
      <c r="T3493" s="460"/>
      <c r="U3493" s="219"/>
      <c r="V3493" s="464"/>
      <c r="Y3493" s="537">
        <f>0.4*PRESUPUESTOS!$H$16</f>
        <v>10.3124</v>
      </c>
      <c r="AA3493" s="540" t="e">
        <f>IF(AND(C3492&lt;=F3488,F3488&lt;&gt;""),VLOOKUP(VALUE(E3469&amp;","&amp;C3492),INTEGRANTES!$D$18:$F$235,2,0),"")</f>
        <v>#N/A</v>
      </c>
      <c r="AB3493" s="545" t="e">
        <f t="shared" si="1031"/>
        <v>#N/A</v>
      </c>
      <c r="AC3493" s="529"/>
      <c r="AD3493" s="200" t="e">
        <f t="shared" si="1032"/>
        <v>#N/A</v>
      </c>
      <c r="AE3493" s="52"/>
      <c r="AF3493" s="52"/>
      <c r="AG3493" s="52"/>
      <c r="AH3493" s="87"/>
      <c r="AI3493" s="87"/>
    </row>
    <row r="3494" spans="1:35" ht="27" hidden="1" customHeight="1" thickBot="1">
      <c r="A3494" s="218" t="e">
        <f>"R"&amp;E3469</f>
        <v>#N/A</v>
      </c>
      <c r="B3494" s="702"/>
      <c r="C3494" s="114">
        <v>5</v>
      </c>
      <c r="D3494" s="194" t="e">
        <f>IF(AND(C3494&lt;=F3488,F3488&lt;&gt;""),VLOOKUP(VALUE(E3469&amp;","&amp;C3494),INTEGRANTES!$D$18:$F$235,2,0),"")</f>
        <v>#N/A</v>
      </c>
      <c r="E3494" s="211" t="e">
        <f>IF(D3494&lt;&gt;"",VLOOKUP(VALUE(E3469&amp;","&amp;C3494),INTEGRANTES!$D$18:$F$235,3,0),"")</f>
        <v>#N/A</v>
      </c>
      <c r="F3494" s="547" t="e">
        <f>IF(D3494="","",SUMIF($I3473:$I3482,D3494,$P3473:$P3482))</f>
        <v>#N/A</v>
      </c>
      <c r="G3494" s="333" t="e">
        <f>IF(D3494="","",SUMIF($I3473:$I3482,D3494,$M3473:$M3482))</f>
        <v>#N/A</v>
      </c>
      <c r="H3494" s="535" t="e">
        <f t="shared" si="1028"/>
        <v>#N/A</v>
      </c>
      <c r="I3494" s="212" t="e">
        <f>IF(D3494="","",IF(H3494="NO APORTA","NO",IF(H3494=MAX($H3490:$H3495),"SI","NO")))</f>
        <v>#N/A</v>
      </c>
      <c r="J3494" s="213" t="e">
        <f t="shared" si="1029"/>
        <v>#N/A</v>
      </c>
      <c r="K3494" s="200" t="e">
        <f t="shared" si="1030"/>
        <v>#N/A</v>
      </c>
      <c r="L3494" s="721"/>
      <c r="M3494" s="715" t="s">
        <v>116</v>
      </c>
      <c r="N3494" s="716"/>
      <c r="O3494" s="556" t="str">
        <f>PORCREQUERIDO*100&amp;"% PMFO DEL MÓDULO"</f>
        <v>50% PMFO DEL MÓDULO</v>
      </c>
      <c r="P3494" s="715" t="s">
        <v>118</v>
      </c>
      <c r="Q3494" s="728"/>
      <c r="R3494" s="458"/>
      <c r="S3494" s="459"/>
      <c r="T3494" s="460"/>
      <c r="U3494" s="219"/>
      <c r="V3494" s="464"/>
      <c r="Y3494" s="414"/>
      <c r="AA3494" s="540" t="e">
        <f>IF(AND(C3493&lt;=F3488,F3488&lt;&gt;""),VLOOKUP(VALUE(E3469&amp;","&amp;C3493),INTEGRANTES!$D$18:$F$235,2,0),"")</f>
        <v>#N/A</v>
      </c>
      <c r="AB3494" s="545" t="e">
        <f t="shared" si="1031"/>
        <v>#N/A</v>
      </c>
      <c r="AC3494" s="529"/>
      <c r="AD3494" s="200" t="e">
        <f t="shared" si="1032"/>
        <v>#N/A</v>
      </c>
      <c r="AE3494" s="52"/>
      <c r="AF3494" s="52"/>
      <c r="AG3494" s="52"/>
      <c r="AH3494" s="87"/>
      <c r="AI3494" s="87"/>
    </row>
    <row r="3495" spans="1:35" ht="16.5" hidden="1" thickBot="1">
      <c r="A3495" s="218" t="e">
        <f>"S"&amp;E3469</f>
        <v>#N/A</v>
      </c>
      <c r="B3495" s="702"/>
      <c r="C3495" s="215">
        <v>6</v>
      </c>
      <c r="D3495" s="216" t="e">
        <f>IF(AND(C3495&lt;=F3488,F3488&lt;&gt;""),VLOOKUP(VALUE(E3469&amp;","&amp;C3495),INTEGRANTES!$D$18:$F$235,2,0),"")</f>
        <v>#N/A</v>
      </c>
      <c r="E3495" s="217" t="e">
        <f>IF(D3495&lt;&gt;"",VLOOKUP(VALUE(E3469&amp;","&amp;C3495),INTEGRANTES!$D$18:$F$235,3,0),"")</f>
        <v>#N/A</v>
      </c>
      <c r="F3495" s="548" t="e">
        <f>IF(D3495="","",SUMIF($I3473:$I3482,D3495,$P3473:$P3482))</f>
        <v>#N/A</v>
      </c>
      <c r="G3495" s="334" t="e">
        <f>IF(D3495="","",SUMIF($I3473:$I3482,D3495,$M3473:$M3482))</f>
        <v>#N/A</v>
      </c>
      <c r="H3495" s="536" t="e">
        <f t="shared" si="1028"/>
        <v>#N/A</v>
      </c>
      <c r="I3495" s="214" t="e">
        <f>IF(D3495="","",IF(H3495="NO APORTA","NO",IF(H3495=MAX($H3490:$H3495),"SI","NO")))</f>
        <v>#N/A</v>
      </c>
      <c r="J3495" s="213" t="e">
        <f t="shared" si="1029"/>
        <v>#N/A</v>
      </c>
      <c r="K3495" s="200" t="e">
        <f t="shared" si="1030"/>
        <v>#N/A</v>
      </c>
      <c r="L3495" s="721"/>
      <c r="M3495" s="729">
        <f>NUMMOD</f>
        <v>1</v>
      </c>
      <c r="N3495" s="730"/>
      <c r="O3495" s="443">
        <f>IF(M3495="","",ROUND(VLOOKUP(M3495,PRESUPUESTOS!$B$16:$H$16,7,FALSE),3))</f>
        <v>25.780999999999999</v>
      </c>
      <c r="P3495" s="713">
        <f>IF(OR(COUNTIF(P3473:P3482,"")&gt;=10,Q3489&lt;NUMMINCONT,OR(T3487="NO CUMPLE",T3487="VERIFICAR")),0,ROUND((SUM(P3473:P3482)/SUM(M3473:M3482)),3))</f>
        <v>0</v>
      </c>
      <c r="Q3495" s="714"/>
      <c r="R3495" s="458"/>
      <c r="S3495" s="459"/>
      <c r="T3495" s="460"/>
      <c r="U3495" s="219"/>
      <c r="V3495" s="464"/>
      <c r="Y3495" s="532" t="s">
        <v>343</v>
      </c>
      <c r="AA3495" s="540" t="e">
        <f>IF(AND(C3494&lt;=F3488,F3488&lt;&gt;""),VLOOKUP(VALUE(E3469&amp;","&amp;C3494),INTEGRANTES!$D$18:$F$235,2,0),"")</f>
        <v>#N/A</v>
      </c>
      <c r="AB3495" s="545" t="e">
        <f t="shared" si="1031"/>
        <v>#N/A</v>
      </c>
      <c r="AC3495" s="529"/>
      <c r="AD3495" s="200" t="e">
        <f t="shared" si="1032"/>
        <v>#N/A</v>
      </c>
      <c r="AE3495" s="52"/>
      <c r="AF3495" s="52"/>
      <c r="AG3495" s="52"/>
      <c r="AH3495" s="87"/>
      <c r="AI3495" s="87"/>
    </row>
    <row r="3496" spans="1:35" ht="16.5" hidden="1" customHeight="1" thickBot="1">
      <c r="A3496" s="218" t="e">
        <f>"T"&amp;E3469</f>
        <v>#N/A</v>
      </c>
      <c r="B3496" s="703"/>
      <c r="C3496" s="719"/>
      <c r="D3496" s="719"/>
      <c r="E3496" s="719"/>
      <c r="F3496" s="719"/>
      <c r="G3496" s="719"/>
      <c r="H3496" s="719" t="s">
        <v>110</v>
      </c>
      <c r="I3496" s="719"/>
      <c r="J3496" s="719"/>
      <c r="K3496" s="201" t="str">
        <f>IF(COUNTIF(K3490:K3495,"")=6,"",IF(COUNTIF(K3490:K3495,"CUMPLE")&gt;0,"CUMPLE","NO CUMPLE"))</f>
        <v>NO CUMPLE</v>
      </c>
      <c r="L3496" s="754"/>
      <c r="M3496" s="755"/>
      <c r="N3496" s="755"/>
      <c r="O3496" s="755"/>
      <c r="P3496" s="755"/>
      <c r="Q3496" s="756"/>
      <c r="R3496" s="461"/>
      <c r="S3496" s="462"/>
      <c r="T3496" s="463"/>
      <c r="U3496" s="219"/>
      <c r="V3496" s="464"/>
      <c r="Y3496" s="549" t="e">
        <f>IF(Y3490="NO APLICA","NO APLICA",IF(COUNTIF(AD3491:AD3496,"CUMPLE")&gt;0,"CUMPLE","NO CUMPLE"))</f>
        <v>#N/A</v>
      </c>
      <c r="AA3496" s="541" t="e">
        <f>IF(AND(C3495&lt;=F3488,F3488&lt;&gt;""),VLOOKUP(VALUE(E3469&amp;","&amp;C3495),INTEGRANTES!$D$18:$F$235,2,0),"")</f>
        <v>#N/A</v>
      </c>
      <c r="AB3496" s="546" t="e">
        <f t="shared" si="1031"/>
        <v>#N/A</v>
      </c>
      <c r="AC3496" s="543"/>
      <c r="AD3496" s="201" t="e">
        <f t="shared" si="1032"/>
        <v>#N/A</v>
      </c>
      <c r="AE3496" s="52"/>
      <c r="AF3496" s="52"/>
      <c r="AG3496" s="52"/>
      <c r="AH3496" s="87"/>
      <c r="AI3496" s="87"/>
    </row>
    <row r="3497" spans="1:35" hidden="1">
      <c r="AH3497" s="87"/>
      <c r="AI3497" s="87"/>
    </row>
    <row r="3498" spans="1:35" hidden="1">
      <c r="AH3498" s="87"/>
      <c r="AI3498" s="87"/>
    </row>
    <row r="3499" spans="1:35" ht="24" hidden="1" thickBot="1">
      <c r="A3499" s="61">
        <v>117</v>
      </c>
      <c r="B3499" s="704" t="s">
        <v>51</v>
      </c>
      <c r="C3499" s="704"/>
      <c r="D3499" s="704"/>
      <c r="E3499" s="62" t="e">
        <f>VLOOKUP(A3499,PROPONENTES!$B$19:$E$218,2,FALSE)</f>
        <v>#N/A</v>
      </c>
      <c r="F3499" s="63" t="e">
        <f>VLOOKUP(A3499,PROPONENTES!$B$19:$E$218,3,FALSE)</f>
        <v>#N/A</v>
      </c>
      <c r="G3499" s="64"/>
      <c r="H3499" s="64"/>
      <c r="I3499" s="63"/>
      <c r="J3499" s="63"/>
      <c r="K3499" s="65"/>
      <c r="L3499" s="65"/>
      <c r="M3499" s="64"/>
      <c r="N3499" s="64"/>
      <c r="O3499" s="66"/>
      <c r="P3499" s="66"/>
      <c r="Q3499" s="66"/>
      <c r="R3499" s="66"/>
      <c r="S3499" s="67"/>
      <c r="T3499" s="68"/>
      <c r="U3499" s="68"/>
      <c r="AC3499" s="68"/>
      <c r="AD3499" s="68"/>
      <c r="AE3499" s="68"/>
      <c r="AF3499" s="68"/>
      <c r="AG3499" s="68"/>
      <c r="AH3499" s="87"/>
      <c r="AI3499" s="87"/>
    </row>
    <row r="3500" spans="1:35" ht="15.75" hidden="1" customHeight="1">
      <c r="A3500" s="44"/>
      <c r="B3500" s="709" t="s">
        <v>59</v>
      </c>
      <c r="C3500" s="552" t="s">
        <v>60</v>
      </c>
      <c r="D3500" s="70" t="s">
        <v>17</v>
      </c>
      <c r="E3500" s="70"/>
      <c r="F3500" s="70" t="s">
        <v>61</v>
      </c>
      <c r="G3500" s="71"/>
      <c r="H3500" s="699" t="s">
        <v>62</v>
      </c>
      <c r="I3500" s="699" t="s">
        <v>18</v>
      </c>
      <c r="J3500" s="699" t="s">
        <v>63</v>
      </c>
      <c r="K3500" s="699" t="s">
        <v>64</v>
      </c>
      <c r="L3500" s="699" t="s">
        <v>65</v>
      </c>
      <c r="M3500" s="743" t="s">
        <v>66</v>
      </c>
      <c r="N3500" s="699" t="s">
        <v>282</v>
      </c>
      <c r="O3500" s="745" t="s">
        <v>67</v>
      </c>
      <c r="P3500" s="746"/>
      <c r="Q3500" s="102" t="s">
        <v>75</v>
      </c>
      <c r="R3500" s="731" t="s">
        <v>22</v>
      </c>
      <c r="S3500" s="732"/>
      <c r="T3500" s="733"/>
      <c r="U3500" s="712" t="s">
        <v>298</v>
      </c>
      <c r="W3500" s="690" t="s">
        <v>268</v>
      </c>
      <c r="X3500" s="691"/>
      <c r="Y3500" s="692"/>
      <c r="Z3500" s="428"/>
      <c r="AA3500" s="697" t="s">
        <v>315</v>
      </c>
      <c r="AB3500" s="695" t="s">
        <v>322</v>
      </c>
      <c r="AC3500" s="49"/>
      <c r="AD3500" s="690" t="s">
        <v>297</v>
      </c>
      <c r="AE3500" s="691"/>
      <c r="AF3500" s="692"/>
      <c r="AG3500" s="49"/>
      <c r="AH3500" s="87"/>
      <c r="AI3500" s="87"/>
    </row>
    <row r="3501" spans="1:35" ht="72" hidden="1">
      <c r="A3501" s="44"/>
      <c r="B3501" s="710"/>
      <c r="C3501" s="553" t="s">
        <v>68</v>
      </c>
      <c r="D3501" s="73" t="s">
        <v>3</v>
      </c>
      <c r="E3501" s="73" t="s">
        <v>19</v>
      </c>
      <c r="F3501" s="73" t="s">
        <v>69</v>
      </c>
      <c r="G3501" s="74" t="s">
        <v>70</v>
      </c>
      <c r="H3501" s="700"/>
      <c r="I3501" s="700"/>
      <c r="J3501" s="700"/>
      <c r="K3501" s="700"/>
      <c r="L3501" s="700"/>
      <c r="M3501" s="744"/>
      <c r="N3501" s="700"/>
      <c r="O3501" s="553" t="s">
        <v>279</v>
      </c>
      <c r="P3501" s="73" t="s">
        <v>88</v>
      </c>
      <c r="Q3501" s="555" t="s">
        <v>76</v>
      </c>
      <c r="R3501" s="734"/>
      <c r="S3501" s="735"/>
      <c r="T3501" s="736"/>
      <c r="U3501" s="712"/>
      <c r="W3501" s="429" t="s">
        <v>269</v>
      </c>
      <c r="X3501" s="457" t="s">
        <v>278</v>
      </c>
      <c r="Y3501" s="430" t="s">
        <v>324</v>
      </c>
      <c r="Z3501" s="428"/>
      <c r="AA3501" s="698"/>
      <c r="AB3501" s="696"/>
      <c r="AC3501" s="49"/>
      <c r="AD3501" s="429" t="s">
        <v>292</v>
      </c>
      <c r="AE3501" s="431" t="s">
        <v>300</v>
      </c>
      <c r="AF3501" s="468" t="s">
        <v>301</v>
      </c>
      <c r="AG3501" s="49"/>
      <c r="AH3501" s="87"/>
      <c r="AI3501" s="87"/>
    </row>
    <row r="3502" spans="1:35" hidden="1">
      <c r="A3502" s="44"/>
      <c r="B3502" s="76"/>
      <c r="C3502" s="77"/>
      <c r="D3502" s="77"/>
      <c r="E3502" s="77"/>
      <c r="F3502" s="77"/>
      <c r="G3502" s="77"/>
      <c r="H3502" s="77"/>
      <c r="I3502" s="77"/>
      <c r="J3502" s="77"/>
      <c r="K3502" s="77"/>
      <c r="L3502" s="77"/>
      <c r="M3502" s="77"/>
      <c r="N3502" s="77"/>
      <c r="O3502" s="77"/>
      <c r="P3502" s="77"/>
      <c r="Q3502" s="77"/>
      <c r="R3502" s="77"/>
      <c r="S3502" s="78"/>
      <c r="T3502" s="79"/>
      <c r="U3502" s="109"/>
      <c r="V3502" s="49"/>
      <c r="W3502" s="432"/>
      <c r="X3502" s="454"/>
      <c r="Y3502" s="433"/>
      <c r="Z3502" s="6"/>
      <c r="AA3502" s="500"/>
      <c r="AB3502" s="562"/>
      <c r="AC3502" s="49"/>
      <c r="AD3502" s="210"/>
      <c r="AE3502" s="434"/>
      <c r="AF3502" s="435"/>
      <c r="AG3502" s="49"/>
      <c r="AH3502" s="87"/>
      <c r="AI3502" s="87"/>
    </row>
    <row r="3503" spans="1:35" hidden="1">
      <c r="A3503" s="80" t="e">
        <f>"A"&amp;E3499</f>
        <v>#N/A</v>
      </c>
      <c r="B3503" s="81">
        <v>1</v>
      </c>
      <c r="C3503" s="82"/>
      <c r="D3503" s="82"/>
      <c r="E3503" s="82"/>
      <c r="F3503" s="82"/>
      <c r="G3503" s="83"/>
      <c r="H3503" s="83"/>
      <c r="I3503" s="84"/>
      <c r="J3503" s="85"/>
      <c r="K3503" s="382"/>
      <c r="L3503" s="85"/>
      <c r="M3503" s="332" t="str">
        <f t="shared" ref="M3503:M3512" si="1033">IF(OR(J3503="",L3503="",H3503="NO"),"",IF(OR(J3503&gt;$P$17,J3503&lt;$O$17,L3503&gt;$P$17,AND(J3503&lt;$O$17,L3503&lt;$O$17)),"FUERA DE RANGO",IF(OR(K3503="---",K3503=""),IF(J3503&gt;=$O$17,ROUND((L3503-J3503+1)/360*12,3),ROUND((L3503-$O$17+1)/360*12,3)),IF(J3503&gt;=$O$17,ROUND((L3503-J3503+1)/360*12-ROUND(K3503,3),3),ROUND((L3503-$O$17+1)/360*12-ROUND(K3503,3),3)))))</f>
        <v/>
      </c>
      <c r="N3503" s="86"/>
      <c r="O3503" s="453" t="str">
        <f>IF(OR(G3503="",N3503=""),"",N3503*G3503)</f>
        <v/>
      </c>
      <c r="P3503" s="538" t="str">
        <f>IF(OR(H3503="",M3503="FUERA DE RANGO"),"",IF(OR(L3503&lt;$O$17,L3503&gt;$P$17,L3503="",H3503="NO"),"",IF(OR(N3503="",O3503=""),"",ROUND(O3503,3))))</f>
        <v/>
      </c>
      <c r="Q3503" s="539" t="str">
        <f t="shared" ref="Q3503:Q3512" si="1034">IF(AND(H3503="SI",P3503&lt;&gt;""),ROUND(P3503/M3503,3),"")</f>
        <v/>
      </c>
      <c r="R3503" s="737"/>
      <c r="S3503" s="738"/>
      <c r="T3503" s="739"/>
      <c r="U3503" s="470"/>
      <c r="V3503" s="165"/>
      <c r="W3503" s="446"/>
      <c r="X3503" s="456"/>
      <c r="Y3503" s="436"/>
      <c r="Z3503" s="437"/>
      <c r="AA3503" s="560"/>
      <c r="AB3503" s="561"/>
      <c r="AC3503" s="87"/>
      <c r="AD3503" s="466"/>
      <c r="AE3503" s="456"/>
      <c r="AF3503" s="467"/>
      <c r="AG3503" s="87"/>
      <c r="AH3503" s="87"/>
      <c r="AI3503" s="87"/>
    </row>
    <row r="3504" spans="1:35" hidden="1">
      <c r="A3504" s="80" t="e">
        <f>"B"&amp;E3499</f>
        <v>#N/A</v>
      </c>
      <c r="B3504" s="81">
        <v>2</v>
      </c>
      <c r="C3504" s="106"/>
      <c r="D3504" s="106"/>
      <c r="E3504" s="106"/>
      <c r="F3504" s="106"/>
      <c r="G3504" s="83"/>
      <c r="H3504" s="83"/>
      <c r="I3504" s="84"/>
      <c r="J3504" s="85"/>
      <c r="K3504" s="382"/>
      <c r="L3504" s="85"/>
      <c r="M3504" s="332" t="str">
        <f t="shared" si="1033"/>
        <v/>
      </c>
      <c r="N3504" s="86"/>
      <c r="O3504" s="453" t="str">
        <f t="shared" ref="O3504:O3512" si="1035">IF(OR(G3504="",N3504=""),"",N3504*G3504)</f>
        <v/>
      </c>
      <c r="P3504" s="538" t="str">
        <f t="shared" ref="P3504:P3512" si="1036">IF(OR(H3504="",M3504="FUERA DE RANGO"),"",IF(OR(L3504&lt;$O$17,L3504&gt;$P$17,L3504="",H3504="NO"),"",IF(OR(N3504="",O3504=""),"",ROUND(O3504,3))))</f>
        <v/>
      </c>
      <c r="Q3504" s="539" t="str">
        <f t="shared" si="1034"/>
        <v/>
      </c>
      <c r="R3504" s="740"/>
      <c r="S3504" s="741"/>
      <c r="T3504" s="742"/>
      <c r="U3504" s="471"/>
      <c r="V3504" s="165"/>
      <c r="W3504" s="446"/>
      <c r="X3504" s="456"/>
      <c r="Y3504" s="436"/>
      <c r="Z3504" s="437"/>
      <c r="AA3504" s="560"/>
      <c r="AB3504" s="561"/>
      <c r="AC3504" s="87"/>
      <c r="AD3504" s="466"/>
      <c r="AE3504" s="456"/>
      <c r="AF3504" s="467"/>
      <c r="AG3504" s="87"/>
      <c r="AH3504" s="87"/>
      <c r="AI3504" s="87"/>
    </row>
    <row r="3505" spans="1:35" hidden="1">
      <c r="A3505" s="80" t="e">
        <f>"C"&amp;E3499</f>
        <v>#N/A</v>
      </c>
      <c r="B3505" s="88">
        <v>3</v>
      </c>
      <c r="C3505" s="82"/>
      <c r="D3505" s="82"/>
      <c r="E3505" s="82"/>
      <c r="F3505" s="82"/>
      <c r="G3505" s="83"/>
      <c r="H3505" s="83"/>
      <c r="I3505" s="84"/>
      <c r="J3505" s="85"/>
      <c r="K3505" s="382"/>
      <c r="L3505" s="85"/>
      <c r="M3505" s="332" t="str">
        <f t="shared" si="1033"/>
        <v/>
      </c>
      <c r="N3505" s="86"/>
      <c r="O3505" s="453" t="str">
        <f t="shared" si="1035"/>
        <v/>
      </c>
      <c r="P3505" s="538" t="str">
        <f t="shared" si="1036"/>
        <v/>
      </c>
      <c r="Q3505" s="539" t="str">
        <f t="shared" si="1034"/>
        <v/>
      </c>
      <c r="R3505" s="706"/>
      <c r="S3505" s="707"/>
      <c r="T3505" s="708"/>
      <c r="U3505" s="472"/>
      <c r="V3505" s="166"/>
      <c r="W3505" s="446"/>
      <c r="X3505" s="456"/>
      <c r="Y3505" s="436"/>
      <c r="Z3505" s="437"/>
      <c r="AA3505" s="560"/>
      <c r="AB3505" s="561"/>
      <c r="AC3505" s="87"/>
      <c r="AD3505" s="466"/>
      <c r="AE3505" s="456"/>
      <c r="AF3505" s="467"/>
      <c r="AG3505" s="87"/>
      <c r="AH3505" s="87"/>
      <c r="AI3505" s="87"/>
    </row>
    <row r="3506" spans="1:35" hidden="1">
      <c r="A3506" s="80" t="e">
        <f>"D"&amp;E3499</f>
        <v>#N/A</v>
      </c>
      <c r="B3506" s="105">
        <v>4</v>
      </c>
      <c r="C3506" s="107"/>
      <c r="D3506" s="107"/>
      <c r="E3506" s="107"/>
      <c r="F3506" s="107"/>
      <c r="G3506" s="83"/>
      <c r="H3506" s="83"/>
      <c r="I3506" s="84"/>
      <c r="J3506" s="85"/>
      <c r="K3506" s="382"/>
      <c r="L3506" s="85"/>
      <c r="M3506" s="332" t="str">
        <f t="shared" si="1033"/>
        <v/>
      </c>
      <c r="N3506" s="86"/>
      <c r="O3506" s="453" t="str">
        <f t="shared" si="1035"/>
        <v/>
      </c>
      <c r="P3506" s="538" t="str">
        <f t="shared" si="1036"/>
        <v/>
      </c>
      <c r="Q3506" s="539" t="str">
        <f t="shared" si="1034"/>
        <v/>
      </c>
      <c r="R3506" s="706"/>
      <c r="S3506" s="707"/>
      <c r="T3506" s="708"/>
      <c r="U3506" s="472"/>
      <c r="V3506" s="166"/>
      <c r="W3506" s="446"/>
      <c r="X3506" s="456"/>
      <c r="Y3506" s="436"/>
      <c r="Z3506" s="437"/>
      <c r="AA3506" s="560"/>
      <c r="AB3506" s="561"/>
      <c r="AC3506" s="87"/>
      <c r="AD3506" s="466"/>
      <c r="AE3506" s="456"/>
      <c r="AF3506" s="467"/>
      <c r="AG3506" s="87"/>
      <c r="AH3506" s="87"/>
      <c r="AI3506" s="87"/>
    </row>
    <row r="3507" spans="1:35" hidden="1">
      <c r="A3507" s="80" t="e">
        <f>"E"&amp;E3499</f>
        <v>#N/A</v>
      </c>
      <c r="B3507" s="105">
        <v>5</v>
      </c>
      <c r="C3507" s="107"/>
      <c r="D3507" s="107"/>
      <c r="E3507" s="107"/>
      <c r="F3507" s="107"/>
      <c r="G3507" s="83"/>
      <c r="H3507" s="83"/>
      <c r="I3507" s="84"/>
      <c r="J3507" s="85"/>
      <c r="K3507" s="382"/>
      <c r="L3507" s="85"/>
      <c r="M3507" s="332" t="str">
        <f t="shared" si="1033"/>
        <v/>
      </c>
      <c r="N3507" s="86"/>
      <c r="O3507" s="453" t="str">
        <f t="shared" si="1035"/>
        <v/>
      </c>
      <c r="P3507" s="538" t="str">
        <f t="shared" si="1036"/>
        <v/>
      </c>
      <c r="Q3507" s="539" t="str">
        <f t="shared" si="1034"/>
        <v/>
      </c>
      <c r="R3507" s="706"/>
      <c r="S3507" s="707"/>
      <c r="T3507" s="708"/>
      <c r="U3507" s="472"/>
      <c r="V3507" s="167"/>
      <c r="W3507" s="446"/>
      <c r="X3507" s="456"/>
      <c r="Y3507" s="436"/>
      <c r="Z3507" s="437"/>
      <c r="AA3507" s="560"/>
      <c r="AB3507" s="561"/>
      <c r="AC3507" s="87"/>
      <c r="AD3507" s="466"/>
      <c r="AE3507" s="456"/>
      <c r="AF3507" s="467"/>
      <c r="AG3507" s="87"/>
      <c r="AH3507" s="87"/>
      <c r="AI3507" s="87"/>
    </row>
    <row r="3508" spans="1:35" hidden="1">
      <c r="A3508" s="80" t="e">
        <f>"F"&amp;E3499</f>
        <v>#N/A</v>
      </c>
      <c r="B3508" s="105">
        <v>6</v>
      </c>
      <c r="C3508" s="107"/>
      <c r="D3508" s="107"/>
      <c r="E3508" s="107"/>
      <c r="F3508" s="107"/>
      <c r="G3508" s="83"/>
      <c r="H3508" s="83"/>
      <c r="I3508" s="84"/>
      <c r="J3508" s="85"/>
      <c r="K3508" s="382"/>
      <c r="L3508" s="85"/>
      <c r="M3508" s="332" t="str">
        <f t="shared" si="1033"/>
        <v/>
      </c>
      <c r="N3508" s="86"/>
      <c r="O3508" s="453" t="str">
        <f t="shared" si="1035"/>
        <v/>
      </c>
      <c r="P3508" s="538" t="str">
        <f t="shared" si="1036"/>
        <v/>
      </c>
      <c r="Q3508" s="539" t="str">
        <f t="shared" si="1034"/>
        <v/>
      </c>
      <c r="R3508" s="706"/>
      <c r="S3508" s="707"/>
      <c r="T3508" s="708"/>
      <c r="U3508" s="472"/>
      <c r="V3508" s="167"/>
      <c r="W3508" s="446"/>
      <c r="X3508" s="456"/>
      <c r="Y3508" s="436"/>
      <c r="Z3508" s="437"/>
      <c r="AA3508" s="560"/>
      <c r="AB3508" s="561"/>
      <c r="AC3508" s="87"/>
      <c r="AD3508" s="466"/>
      <c r="AE3508" s="456"/>
      <c r="AF3508" s="467"/>
      <c r="AG3508" s="87"/>
      <c r="AH3508" s="87"/>
      <c r="AI3508" s="87"/>
    </row>
    <row r="3509" spans="1:35" hidden="1">
      <c r="A3509" s="80" t="e">
        <f>"G"&amp;E3499</f>
        <v>#N/A</v>
      </c>
      <c r="B3509" s="105">
        <v>7</v>
      </c>
      <c r="C3509" s="107"/>
      <c r="D3509" s="107"/>
      <c r="E3509" s="107"/>
      <c r="F3509" s="107"/>
      <c r="G3509" s="83"/>
      <c r="H3509" s="83"/>
      <c r="I3509" s="84"/>
      <c r="J3509" s="85"/>
      <c r="K3509" s="382"/>
      <c r="L3509" s="85"/>
      <c r="M3509" s="332" t="str">
        <f t="shared" si="1033"/>
        <v/>
      </c>
      <c r="N3509" s="86"/>
      <c r="O3509" s="86" t="str">
        <f t="shared" si="1035"/>
        <v/>
      </c>
      <c r="P3509" s="538" t="str">
        <f t="shared" si="1036"/>
        <v/>
      </c>
      <c r="Q3509" s="539" t="str">
        <f t="shared" si="1034"/>
        <v/>
      </c>
      <c r="R3509" s="706"/>
      <c r="S3509" s="707"/>
      <c r="T3509" s="708"/>
      <c r="U3509" s="472"/>
      <c r="V3509" s="167"/>
      <c r="W3509" s="446"/>
      <c r="X3509" s="456"/>
      <c r="Y3509" s="436"/>
      <c r="Z3509" s="437"/>
      <c r="AA3509" s="560"/>
      <c r="AB3509" s="561"/>
      <c r="AC3509" s="87"/>
      <c r="AD3509" s="466"/>
      <c r="AE3509" s="456"/>
      <c r="AF3509" s="467"/>
      <c r="AG3509" s="87"/>
      <c r="AH3509" s="87"/>
      <c r="AI3509" s="87"/>
    </row>
    <row r="3510" spans="1:35" hidden="1">
      <c r="A3510" s="80" t="e">
        <f>"H"&amp;E3499</f>
        <v>#N/A</v>
      </c>
      <c r="B3510" s="105">
        <v>8</v>
      </c>
      <c r="C3510" s="107"/>
      <c r="D3510" s="107"/>
      <c r="E3510" s="107"/>
      <c r="F3510" s="107"/>
      <c r="G3510" s="83"/>
      <c r="H3510" s="83"/>
      <c r="I3510" s="84"/>
      <c r="J3510" s="85"/>
      <c r="K3510" s="382"/>
      <c r="L3510" s="85"/>
      <c r="M3510" s="332" t="str">
        <f t="shared" si="1033"/>
        <v/>
      </c>
      <c r="N3510" s="453"/>
      <c r="O3510" s="86" t="str">
        <f t="shared" si="1035"/>
        <v/>
      </c>
      <c r="P3510" s="538" t="str">
        <f t="shared" si="1036"/>
        <v/>
      </c>
      <c r="Q3510" s="539" t="str">
        <f t="shared" si="1034"/>
        <v/>
      </c>
      <c r="R3510" s="706"/>
      <c r="S3510" s="707"/>
      <c r="T3510" s="708"/>
      <c r="U3510" s="472"/>
      <c r="V3510" s="167"/>
      <c r="W3510" s="446"/>
      <c r="X3510" s="456"/>
      <c r="Y3510" s="436"/>
      <c r="Z3510" s="437"/>
      <c r="AA3510" s="560"/>
      <c r="AB3510" s="561"/>
      <c r="AC3510" s="87"/>
      <c r="AD3510" s="466"/>
      <c r="AE3510" s="456"/>
      <c r="AF3510" s="467"/>
      <c r="AG3510" s="87"/>
      <c r="AH3510" s="87"/>
      <c r="AI3510" s="87"/>
    </row>
    <row r="3511" spans="1:35" hidden="1">
      <c r="A3511" s="80" t="e">
        <f>"I"&amp;E3499</f>
        <v>#N/A</v>
      </c>
      <c r="B3511" s="105">
        <v>9</v>
      </c>
      <c r="C3511" s="107"/>
      <c r="D3511" s="107"/>
      <c r="E3511" s="107"/>
      <c r="F3511" s="107"/>
      <c r="G3511" s="83"/>
      <c r="H3511" s="83"/>
      <c r="I3511" s="84"/>
      <c r="J3511" s="85"/>
      <c r="K3511" s="382"/>
      <c r="L3511" s="85"/>
      <c r="M3511" s="332" t="str">
        <f t="shared" si="1033"/>
        <v/>
      </c>
      <c r="N3511" s="453"/>
      <c r="O3511" s="86" t="str">
        <f t="shared" si="1035"/>
        <v/>
      </c>
      <c r="P3511" s="538" t="str">
        <f t="shared" si="1036"/>
        <v/>
      </c>
      <c r="Q3511" s="539" t="str">
        <f t="shared" si="1034"/>
        <v/>
      </c>
      <c r="R3511" s="706"/>
      <c r="S3511" s="707"/>
      <c r="T3511" s="708"/>
      <c r="U3511" s="472"/>
      <c r="V3511" s="167"/>
      <c r="W3511" s="446"/>
      <c r="X3511" s="456"/>
      <c r="Y3511" s="436"/>
      <c r="Z3511" s="437"/>
      <c r="AA3511" s="560"/>
      <c r="AB3511" s="561"/>
      <c r="AC3511" s="87"/>
      <c r="AD3511" s="466"/>
      <c r="AE3511" s="456"/>
      <c r="AF3511" s="467"/>
      <c r="AG3511" s="87"/>
      <c r="AH3511" s="87"/>
      <c r="AI3511" s="87"/>
    </row>
    <row r="3512" spans="1:35" hidden="1">
      <c r="A3512" s="80" t="e">
        <f>"J"&amp;E3499</f>
        <v>#N/A</v>
      </c>
      <c r="B3512" s="105">
        <v>10</v>
      </c>
      <c r="C3512" s="107"/>
      <c r="D3512" s="107"/>
      <c r="E3512" s="107"/>
      <c r="F3512" s="107"/>
      <c r="G3512" s="83"/>
      <c r="H3512" s="83"/>
      <c r="I3512" s="84"/>
      <c r="J3512" s="85"/>
      <c r="K3512" s="382"/>
      <c r="L3512" s="85"/>
      <c r="M3512" s="332" t="str">
        <f t="shared" si="1033"/>
        <v/>
      </c>
      <c r="N3512" s="453"/>
      <c r="O3512" s="86" t="str">
        <f t="shared" si="1035"/>
        <v/>
      </c>
      <c r="P3512" s="538" t="str">
        <f t="shared" si="1036"/>
        <v/>
      </c>
      <c r="Q3512" s="539" t="str">
        <f t="shared" si="1034"/>
        <v/>
      </c>
      <c r="R3512" s="706"/>
      <c r="S3512" s="707"/>
      <c r="T3512" s="708"/>
      <c r="U3512" s="472"/>
      <c r="V3512" s="167"/>
      <c r="W3512" s="446"/>
      <c r="X3512" s="456"/>
      <c r="Y3512" s="436"/>
      <c r="Z3512" s="437"/>
      <c r="AA3512" s="560"/>
      <c r="AB3512" s="561"/>
      <c r="AC3512" s="87"/>
      <c r="AD3512" s="466"/>
      <c r="AE3512" s="456"/>
      <c r="AF3512" s="467"/>
      <c r="AG3512" s="87"/>
      <c r="AH3512" s="87"/>
      <c r="AI3512" s="87"/>
    </row>
    <row r="3513" spans="1:35" ht="16.5" hidden="1" thickBot="1">
      <c r="A3513" s="44"/>
      <c r="B3513" s="89"/>
      <c r="C3513" s="90"/>
      <c r="D3513" s="90"/>
      <c r="E3513" s="90"/>
      <c r="F3513" s="90"/>
      <c r="G3513" s="90"/>
      <c r="H3513" s="90"/>
      <c r="I3513" s="90"/>
      <c r="J3513" s="90"/>
      <c r="K3513" s="90"/>
      <c r="L3513" s="90"/>
      <c r="M3513" s="90"/>
      <c r="N3513" s="90"/>
      <c r="O3513" s="90"/>
      <c r="P3513" s="90"/>
      <c r="Q3513" s="90"/>
      <c r="R3513" s="90"/>
      <c r="S3513" s="91"/>
      <c r="T3513" s="92"/>
      <c r="U3513" s="473"/>
      <c r="W3513" s="438"/>
      <c r="X3513" s="455"/>
      <c r="Y3513" s="439"/>
      <c r="Z3513" s="437"/>
      <c r="AA3513" s="530"/>
      <c r="AB3513" s="563"/>
      <c r="AC3513" s="87"/>
      <c r="AD3513" s="440"/>
      <c r="AE3513" s="441"/>
      <c r="AF3513" s="442"/>
      <c r="AG3513" s="49"/>
      <c r="AH3513" s="87"/>
      <c r="AI3513" s="87"/>
    </row>
    <row r="3514" spans="1:35" ht="16.5" hidden="1" thickBot="1">
      <c r="A3514" s="93"/>
      <c r="B3514" s="94"/>
      <c r="C3514" s="96"/>
      <c r="D3514" s="96"/>
      <c r="E3514" s="96"/>
      <c r="F3514" s="96"/>
      <c r="G3514" s="96"/>
      <c r="H3514" s="96"/>
      <c r="I3514" s="96"/>
      <c r="J3514" s="96"/>
      <c r="K3514" s="96"/>
      <c r="L3514" s="96"/>
      <c r="M3514" s="136"/>
      <c r="N3514" s="96"/>
      <c r="O3514" s="96"/>
      <c r="P3514" s="97"/>
      <c r="Q3514" s="97"/>
      <c r="R3514" s="98"/>
      <c r="S3514" s="95"/>
      <c r="T3514" s="99"/>
      <c r="U3514" s="469"/>
      <c r="AC3514" s="58"/>
      <c r="AG3514" s="58"/>
      <c r="AH3514" s="87"/>
      <c r="AI3514" s="87"/>
    </row>
    <row r="3515" spans="1:35" ht="16.5" hidden="1" thickBot="1">
      <c r="B3515" s="101"/>
      <c r="C3515" s="101"/>
      <c r="D3515" s="101"/>
      <c r="E3515" s="101"/>
      <c r="F3515" s="101"/>
      <c r="G3515" s="101"/>
      <c r="H3515" s="101"/>
      <c r="I3515" s="101"/>
      <c r="J3515" s="101"/>
      <c r="K3515" s="101"/>
      <c r="L3515" s="101"/>
      <c r="M3515" s="101"/>
      <c r="N3515" s="101"/>
      <c r="O3515" s="101"/>
      <c r="P3515" s="101"/>
      <c r="Q3515" s="101"/>
      <c r="R3515" s="101"/>
      <c r="S3515" s="101"/>
      <c r="U3515" s="50"/>
      <c r="AH3515" s="87"/>
      <c r="AI3515" s="87"/>
    </row>
    <row r="3516" spans="1:35" ht="16.5" hidden="1" customHeight="1" thickBot="1">
      <c r="A3516" s="44"/>
      <c r="B3516" s="705" t="s">
        <v>74</v>
      </c>
      <c r="C3516" s="705"/>
      <c r="D3516" s="705"/>
      <c r="E3516" s="705"/>
      <c r="F3516" s="705"/>
      <c r="G3516" s="705"/>
      <c r="H3516" s="705"/>
      <c r="I3516" s="705"/>
      <c r="J3516" s="705"/>
      <c r="K3516" s="705"/>
      <c r="L3516" s="705"/>
      <c r="M3516" s="705"/>
      <c r="N3516" s="705"/>
      <c r="O3516" s="705"/>
      <c r="P3516" s="705"/>
      <c r="Q3516" s="705"/>
      <c r="R3516" s="705"/>
      <c r="S3516" s="705"/>
      <c r="T3516" s="705"/>
      <c r="U3516" s="108"/>
      <c r="Y3516" s="532" t="s">
        <v>341</v>
      </c>
      <c r="AC3516" s="49"/>
      <c r="AD3516" s="687" t="s">
        <v>302</v>
      </c>
      <c r="AE3516" s="688"/>
      <c r="AF3516" s="689"/>
      <c r="AG3516" s="49"/>
      <c r="AH3516" s="87"/>
      <c r="AI3516" s="87"/>
    </row>
    <row r="3517" spans="1:35" ht="16.5" hidden="1" customHeight="1" thickBot="1">
      <c r="A3517" s="218" t="e">
        <f>"K"&amp;E3499</f>
        <v>#N/A</v>
      </c>
      <c r="B3517" s="701" t="s">
        <v>71</v>
      </c>
      <c r="C3517" s="751" t="s">
        <v>102</v>
      </c>
      <c r="D3517" s="751"/>
      <c r="E3517" s="751"/>
      <c r="F3517" s="751"/>
      <c r="G3517" s="751"/>
      <c r="H3517" s="751"/>
      <c r="I3517" s="751"/>
      <c r="J3517" s="751"/>
      <c r="K3517" s="751"/>
      <c r="L3517" s="722" t="s">
        <v>100</v>
      </c>
      <c r="M3517" s="747" t="s">
        <v>114</v>
      </c>
      <c r="N3517" s="747"/>
      <c r="O3517" s="747"/>
      <c r="P3517" s="747"/>
      <c r="Q3517" s="748"/>
      <c r="R3517" s="758" t="s">
        <v>280</v>
      </c>
      <c r="S3517" s="748"/>
      <c r="T3517" s="762" t="str">
        <f>IF(COUNTIF(AE3517:AF3517,"VERIFICAR")&gt;0,"VERIFICAR",IF(COUNTIF(AE3517:AF3517,"NO CUMPLE")&gt;0,"NO CUMPLE","CUMPLE"))</f>
        <v>VERIFICAR</v>
      </c>
      <c r="U3517" s="108"/>
      <c r="Y3517" s="533" t="e">
        <f>IF(F3518="","",IF(F3518=1,"INDIVIDUAL","ESTRUCTURA PLURAL"))</f>
        <v>#N/A</v>
      </c>
      <c r="AC3517" s="52"/>
      <c r="AD3517" s="475" t="s">
        <v>303</v>
      </c>
      <c r="AE3517" s="476" t="str">
        <f>IF(COUNTIF(AE3503:AE3512,"")=10,"VERIFICAR",IF(COUNTIF(AE3503:AE3512,"SI")&gt;0,"CUMPLE","NO CUMPLE"))</f>
        <v>VERIFICAR</v>
      </c>
      <c r="AF3517" s="477" t="str">
        <f>IF(COUNTIF(AF3503:AF3512,"")=10,"VERIFICAR",IF(COUNTIF(AF3503:AF3512,"SI")&gt;=$AI$22,"CUMPLE","NO CUMPLE"))</f>
        <v>VERIFICAR</v>
      </c>
      <c r="AG3517" s="52"/>
      <c r="AH3517" s="87"/>
      <c r="AI3517" s="87"/>
    </row>
    <row r="3518" spans="1:35" ht="15.75" hidden="1" customHeight="1" thickBot="1">
      <c r="A3518" s="218" t="e">
        <f>"L"&amp;E3499</f>
        <v>#N/A</v>
      </c>
      <c r="B3518" s="702"/>
      <c r="C3518" s="751" t="s">
        <v>103</v>
      </c>
      <c r="D3518" s="751"/>
      <c r="E3518" s="752"/>
      <c r="F3518" s="557" t="e">
        <f>IF(VLOOKUP(E3499,PROPONENTES!$C$19:$E$218,3,0)="","",VLOOKUP(E3499,PROPONENTES!$C$19:$E$218,3,0))</f>
        <v>#N/A</v>
      </c>
      <c r="G3518" s="753" t="s">
        <v>104</v>
      </c>
      <c r="H3518" s="751"/>
      <c r="I3518" s="715" t="e">
        <f>IF(OR(F3518="",F3518=1),"INTERESADO PERSONA NATURAL O JURIDICA","CONSORCIO O UNION TEMPORAL")</f>
        <v>#N/A</v>
      </c>
      <c r="J3518" s="725"/>
      <c r="K3518" s="728"/>
      <c r="L3518" s="723"/>
      <c r="M3518" s="749"/>
      <c r="N3518" s="749"/>
      <c r="O3518" s="749"/>
      <c r="P3518" s="749"/>
      <c r="Q3518" s="750"/>
      <c r="R3518" s="712"/>
      <c r="S3518" s="750"/>
      <c r="T3518" s="763"/>
      <c r="U3518" s="108"/>
      <c r="Y3518" s="534"/>
      <c r="AA3518" s="52"/>
      <c r="AB3518" s="52"/>
      <c r="AC3518" s="52"/>
      <c r="AG3518" s="52"/>
      <c r="AH3518" s="87"/>
      <c r="AI3518" s="87"/>
    </row>
    <row r="3519" spans="1:35" ht="56.25" hidden="1" customHeight="1" thickBot="1">
      <c r="A3519" s="218" t="e">
        <f>"M"&amp;E3499</f>
        <v>#N/A</v>
      </c>
      <c r="B3519" s="702"/>
      <c r="C3519" s="725" t="s">
        <v>101</v>
      </c>
      <c r="D3519" s="716"/>
      <c r="E3519" s="558" t="s">
        <v>105</v>
      </c>
      <c r="F3519" s="554" t="s">
        <v>87</v>
      </c>
      <c r="G3519" s="553" t="s">
        <v>86</v>
      </c>
      <c r="H3519" s="559" t="s">
        <v>85</v>
      </c>
      <c r="I3519" s="554" t="s">
        <v>252</v>
      </c>
      <c r="J3519" s="553" t="str">
        <f>"¿EL INTEGRANTE TIENE UNA PARTICIPACIÓN DEL "&amp;PORCREQUERIDOINT*100&amp;"%?"</f>
        <v>¿EL INTEGRANTE TIENE UNA PARTICIPACIÓN DEL 60%?</v>
      </c>
      <c r="K3519" s="554" t="s">
        <v>107</v>
      </c>
      <c r="L3519" s="724"/>
      <c r="M3519" s="717" t="s">
        <v>115</v>
      </c>
      <c r="N3519" s="718"/>
      <c r="O3519" s="718"/>
      <c r="P3519" s="718"/>
      <c r="Q3519" s="223">
        <f>IF(AND(H3503="SI",P3503&gt;=0),1,0)+IF(AND(H3504="SI",P3504&gt;=0),1,0)+IF(AND(H3505="SI",P3505&gt;=0),1,0)+IF(AND(H3506="SI",P3506&gt;=0),1,0)+IF(AND(H3507="SI",P3507&gt;=0),1,0)+IF(AND(H3508="SI",P3508&gt;=0),1,0)+IF(AND(H3509="SI",P3509&gt;=0),1,0)+IF(AND(H3510="SI",P3510&gt;=0),1,0)+IF(AND(H3511="SI",P3511&gt;=0),1,0)+IF(AND(H3512="SI",P3512&gt;=0),1,0)</f>
        <v>0</v>
      </c>
      <c r="R3519" s="759"/>
      <c r="S3519" s="761"/>
      <c r="T3519" s="764"/>
      <c r="U3519" s="219"/>
      <c r="V3519" s="464"/>
      <c r="Y3519" s="532" t="s">
        <v>342</v>
      </c>
      <c r="AA3519" s="550" t="s">
        <v>344</v>
      </c>
      <c r="AB3519" s="693" t="s">
        <v>345</v>
      </c>
      <c r="AC3519" s="693" t="s">
        <v>346</v>
      </c>
      <c r="AD3519" s="685" t="s">
        <v>347</v>
      </c>
      <c r="AE3519" s="52"/>
      <c r="AF3519" s="52"/>
      <c r="AG3519" s="52"/>
      <c r="AH3519" s="87"/>
      <c r="AI3519" s="87"/>
    </row>
    <row r="3520" spans="1:35" ht="15.75" hidden="1" customHeight="1" thickBot="1">
      <c r="A3520" s="218" t="e">
        <f>"N"&amp;E3499</f>
        <v>#N/A</v>
      </c>
      <c r="B3520" s="702"/>
      <c r="C3520" s="114">
        <v>1</v>
      </c>
      <c r="D3520" s="194" t="e">
        <f>IF(AND(C3520&lt;=F3518,F3518&gt;1,F3518&lt;&gt;""),VLOOKUP(VALUE(E3499&amp;","&amp;C3520),INTEGRANTES!$D$18:$F$235,2,0),"")</f>
        <v>#N/A</v>
      </c>
      <c r="E3520" s="211" t="e">
        <f>IF(D3520&lt;&gt;"",VLOOKUP(VALUE(E3499&amp;","&amp;C3520),INTEGRANTES!$D$18:$F$235,3,0),"")</f>
        <v>#N/A</v>
      </c>
      <c r="F3520" s="547" t="e">
        <f>IF(D3520="","",SUMIF($I3503:$I3512,D3520,$P3503:$P3512))</f>
        <v>#N/A</v>
      </c>
      <c r="G3520" s="333" t="e">
        <f>IF(D3520="","",SUMIF($I3503:$I3512,D3520,$M3503:$M3512))</f>
        <v>#N/A</v>
      </c>
      <c r="H3520" s="535" t="e">
        <f t="shared" ref="H3520:H3525" si="1037">IF(D3520="","",IF(OR(F3520=0,G3520=0),"NO APORTA",ROUND($F3520/$G3520,3)))</f>
        <v>#N/A</v>
      </c>
      <c r="I3520" s="212" t="e">
        <f>IF(D3520="","",IF(H3520="NO APORTA","NO",IF(H3520=MAX($H3520:$H3525),"SI","NO")))</f>
        <v>#N/A</v>
      </c>
      <c r="J3520" s="213" t="e">
        <f t="shared" ref="J3520:J3525" si="1038">IF(D3520="","",IF(E3520&gt;=PORCREQUERIDOINT,"SI","NO"))</f>
        <v>#N/A</v>
      </c>
      <c r="K3520" s="200" t="e">
        <f t="shared" ref="K3520:K3525" si="1039">IF(D3520="","",IF(AND(I3520="SI",J3520="SI"),"CUMPLE",IF(AND(I3520="NO",OR(J3520="SI",J3520="NO")),"","NO CUMPLE")))</f>
        <v>#N/A</v>
      </c>
      <c r="L3520" s="722" t="s">
        <v>108</v>
      </c>
      <c r="M3520" s="726" t="s">
        <v>119</v>
      </c>
      <c r="N3520" s="726"/>
      <c r="O3520" s="726"/>
      <c r="P3520" s="726"/>
      <c r="Q3520" s="727"/>
      <c r="R3520" s="758" t="s">
        <v>80</v>
      </c>
      <c r="S3520" s="747"/>
      <c r="T3520" s="748"/>
      <c r="U3520" s="219"/>
      <c r="V3520" s="464"/>
      <c r="Y3520" s="533" t="e">
        <f>IF(Y3517="","",IF(Y3517="INDIVIDUAL","NO APLICA","VERIFICAR CUADRO"))</f>
        <v>#N/A</v>
      </c>
      <c r="AA3520" s="551"/>
      <c r="AB3520" s="694"/>
      <c r="AC3520" s="694"/>
      <c r="AD3520" s="686"/>
      <c r="AE3520" s="52"/>
      <c r="AF3520" s="52"/>
      <c r="AG3520" s="52"/>
      <c r="AH3520" s="87"/>
      <c r="AI3520" s="87"/>
    </row>
    <row r="3521" spans="1:35" ht="27" hidden="1" customHeight="1" thickBot="1">
      <c r="A3521" s="218" t="e">
        <f>"O"&amp;E3499</f>
        <v>#N/A</v>
      </c>
      <c r="B3521" s="702"/>
      <c r="C3521" s="114">
        <v>2</v>
      </c>
      <c r="D3521" s="194" t="e">
        <f>IF(AND(C3521&lt;=F3518,F3518&lt;&gt;""),VLOOKUP(VALUE(E3499&amp;","&amp;C3521),INTEGRANTES!$D$18:$F$235,2,0),"")</f>
        <v>#N/A</v>
      </c>
      <c r="E3521" s="211" t="e">
        <f>IF(D3521&lt;&gt;"",VLOOKUP(VALUE(E3499&amp;","&amp;C3521),INTEGRANTES!$D$18:$F$235,3,0),"")</f>
        <v>#N/A</v>
      </c>
      <c r="F3521" s="547" t="e">
        <f>IF(D3521="","",SUMIF($I3503:$I3512,D3521,$P3503:$P3512))</f>
        <v>#N/A</v>
      </c>
      <c r="G3521" s="333" t="e">
        <f>IF(D3521="","",SUMIF($I3503:$I3512,D3521,$M3503:$M3512))</f>
        <v>#N/A</v>
      </c>
      <c r="H3521" s="535" t="e">
        <f t="shared" si="1037"/>
        <v>#N/A</v>
      </c>
      <c r="I3521" s="212" t="e">
        <f>IF(D3521="","",IF(H3521="NO APORTA","NO",IF(H3521=MAX($H3520:$H3525),"SI","NO")))</f>
        <v>#N/A</v>
      </c>
      <c r="J3521" s="213" t="e">
        <f t="shared" si="1038"/>
        <v>#N/A</v>
      </c>
      <c r="K3521" s="200" t="e">
        <f t="shared" si="1039"/>
        <v>#N/A</v>
      </c>
      <c r="L3521" s="723"/>
      <c r="M3521" s="715" t="s">
        <v>116</v>
      </c>
      <c r="N3521" s="716"/>
      <c r="O3521" s="556" t="s">
        <v>113</v>
      </c>
      <c r="P3521" s="715" t="s">
        <v>117</v>
      </c>
      <c r="Q3521" s="728"/>
      <c r="R3521" s="759"/>
      <c r="S3521" s="760"/>
      <c r="T3521" s="761"/>
      <c r="U3521" s="219"/>
      <c r="V3521" s="464"/>
      <c r="Y3521" s="414"/>
      <c r="AA3521" s="542" t="e">
        <f>IF(AND(C3520&lt;=F3518,F3518&gt;1,F3518&lt;&gt;""),VLOOKUP(VALUE(E3499&amp;","&amp;C3520),INTEGRANTES!$D$18:$F$235,2,0),"")</f>
        <v>#N/A</v>
      </c>
      <c r="AB3521" s="544" t="e">
        <f t="shared" ref="AB3521:AB3526" si="1040">IF(D3520="","",IF(OR(F3520=0,G3520=0),"NO APORTA",ROUND($F3520/$G3520,3)))</f>
        <v>#N/A</v>
      </c>
      <c r="AC3521" s="529"/>
      <c r="AD3521" s="200" t="e">
        <f t="shared" ref="AD3521:AD3526" si="1041">IF(OR(AA3521="",AB3521=""),"",IF(AND(AC3521="X",AB3521&gt;=EXPREQVTD),"CUMPLE","NO CUMPLE"))</f>
        <v>#N/A</v>
      </c>
      <c r="AE3521" s="52"/>
      <c r="AF3521" s="52"/>
      <c r="AG3521" s="52"/>
      <c r="AH3521" s="87"/>
      <c r="AI3521" s="87"/>
    </row>
    <row r="3522" spans="1:35" ht="16.5" hidden="1" thickBot="1">
      <c r="A3522" s="218" t="e">
        <f>"P"&amp;E3499</f>
        <v>#N/A</v>
      </c>
      <c r="B3522" s="702"/>
      <c r="C3522" s="114">
        <v>3</v>
      </c>
      <c r="D3522" s="194" t="e">
        <f>IF(AND(C3522&lt;=F3518,F3518&lt;&gt;""),VLOOKUP(VALUE(E3499&amp;","&amp;C3522),INTEGRANTES!$D$18:$F$235,2,0),"")</f>
        <v>#N/A</v>
      </c>
      <c r="E3522" s="211" t="e">
        <f>IF(D3522&lt;&gt;"",VLOOKUP(VALUE(E3499&amp;","&amp;C3522),INTEGRANTES!$D$18:$F$235,3,0),"")</f>
        <v>#N/A</v>
      </c>
      <c r="F3522" s="547" t="e">
        <f>IF(D3522="","",SUMIF($I3503:$I3512,D3522,$P3503:$P3512))</f>
        <v>#N/A</v>
      </c>
      <c r="G3522" s="333" t="e">
        <f>IF(D3522="","",SUMIF($I3503:$I3512,D3522,$M3503:$M3512))</f>
        <v>#N/A</v>
      </c>
      <c r="H3522" s="535" t="e">
        <f t="shared" si="1037"/>
        <v>#N/A</v>
      </c>
      <c r="I3522" s="212" t="e">
        <f>IF(D3522="","",IF(H3522="NO APORTA","NO",IF(H3522=MAX($H3520:$H3525),"SI","NO")))</f>
        <v>#N/A</v>
      </c>
      <c r="J3522" s="213" t="e">
        <f t="shared" si="1038"/>
        <v>#N/A</v>
      </c>
      <c r="K3522" s="200" t="e">
        <f t="shared" si="1039"/>
        <v>#N/A</v>
      </c>
      <c r="L3522" s="724"/>
      <c r="M3522" s="729">
        <f>NUMMOD</f>
        <v>1</v>
      </c>
      <c r="N3522" s="730"/>
      <c r="O3522" s="443">
        <f>IF(M3522="","",VLOOKUP(M3522,PRESUPUESTOS!$B$16:$H$16,5,FALSE))</f>
        <v>2</v>
      </c>
      <c r="P3522" s="713">
        <f>IF(OR(COUNTIF(M3503:M3512,"")&gt;=10,Q3519&lt;NUMMINCONT,OR(T3517="NO CUMPLE",T3517="VERIFICAR")),0,ROUND(AVERAGE(M3503:M3512),3))</f>
        <v>0</v>
      </c>
      <c r="Q3522" s="714"/>
      <c r="R3522" s="458"/>
      <c r="S3522" s="459"/>
      <c r="T3522" s="460"/>
      <c r="U3522" s="219"/>
      <c r="V3522" s="464"/>
      <c r="Y3522" s="532" t="str">
        <f>"40% * ("&amp;PRESUPUESTOS!$H$13&amp;")"</f>
        <v>40% * (50% PFMO)</v>
      </c>
      <c r="AA3522" s="540" t="e">
        <f>IF(AND(C3521&lt;=F3518,F3518&lt;&gt;""),VLOOKUP(VALUE(E3499&amp;","&amp;C3521),INTEGRANTES!$D$18:$F$235,2,0),"")</f>
        <v>#N/A</v>
      </c>
      <c r="AB3522" s="545" t="e">
        <f t="shared" si="1040"/>
        <v>#N/A</v>
      </c>
      <c r="AC3522" s="529"/>
      <c r="AD3522" s="200" t="e">
        <f t="shared" si="1041"/>
        <v>#N/A</v>
      </c>
      <c r="AE3522" s="52"/>
      <c r="AF3522" s="52"/>
      <c r="AG3522" s="52"/>
      <c r="AH3522" s="87"/>
      <c r="AI3522" s="87"/>
    </row>
    <row r="3523" spans="1:35" ht="15.75" hidden="1" customHeight="1" thickBot="1">
      <c r="A3523" s="218" t="e">
        <f>"Q"&amp;E3499</f>
        <v>#N/A</v>
      </c>
      <c r="B3523" s="702"/>
      <c r="C3523" s="114">
        <v>4</v>
      </c>
      <c r="D3523" s="194" t="e">
        <f>IF(AND(C3523&lt;=F3518,F3518&lt;&gt;""),VLOOKUP(VALUE(E3499&amp;","&amp;C3523),INTEGRANTES!$D$18:$F$235,2,0),"")</f>
        <v>#N/A</v>
      </c>
      <c r="E3523" s="211" t="e">
        <f>IF(D3523&lt;&gt;"",VLOOKUP(VALUE(E3499&amp;","&amp;C3523),INTEGRANTES!$D$18:$F$235,3,0),"")</f>
        <v>#N/A</v>
      </c>
      <c r="F3523" s="547" t="e">
        <f>IF(D3523="","",SUMIF($I3503:$I3512,D3523,$P3503:$P3512))</f>
        <v>#N/A</v>
      </c>
      <c r="G3523" s="333" t="e">
        <f>IF(D3523="","",SUMIF($I3503:$I3512,D3523,$M3503:$M3512))</f>
        <v>#N/A</v>
      </c>
      <c r="H3523" s="535" t="e">
        <f t="shared" si="1037"/>
        <v>#N/A</v>
      </c>
      <c r="I3523" s="212" t="e">
        <f>IF(D3523="","",IF(H3523="NO APORTA","NO",IF(H3523=MAX($H3520:$H3525),"SI","NO")))</f>
        <v>#N/A</v>
      </c>
      <c r="J3523" s="213" t="e">
        <f t="shared" si="1038"/>
        <v>#N/A</v>
      </c>
      <c r="K3523" s="200" t="e">
        <f t="shared" si="1039"/>
        <v>#N/A</v>
      </c>
      <c r="L3523" s="720" t="s">
        <v>109</v>
      </c>
      <c r="M3523" s="757" t="s">
        <v>120</v>
      </c>
      <c r="N3523" s="726"/>
      <c r="O3523" s="726"/>
      <c r="P3523" s="726"/>
      <c r="Q3523" s="727"/>
      <c r="R3523" s="458"/>
      <c r="S3523" s="459"/>
      <c r="T3523" s="460"/>
      <c r="U3523" s="219"/>
      <c r="V3523" s="464"/>
      <c r="Y3523" s="537">
        <f>0.4*PRESUPUESTOS!$H$16</f>
        <v>10.3124</v>
      </c>
      <c r="AA3523" s="540" t="e">
        <f>IF(AND(C3522&lt;=F3518,F3518&lt;&gt;""),VLOOKUP(VALUE(E3499&amp;","&amp;C3522),INTEGRANTES!$D$18:$F$235,2,0),"")</f>
        <v>#N/A</v>
      </c>
      <c r="AB3523" s="545" t="e">
        <f t="shared" si="1040"/>
        <v>#N/A</v>
      </c>
      <c r="AC3523" s="529"/>
      <c r="AD3523" s="200" t="e">
        <f t="shared" si="1041"/>
        <v>#N/A</v>
      </c>
      <c r="AE3523" s="52"/>
      <c r="AF3523" s="52"/>
      <c r="AG3523" s="52"/>
      <c r="AH3523" s="87"/>
      <c r="AI3523" s="87"/>
    </row>
    <row r="3524" spans="1:35" ht="27" hidden="1" customHeight="1" thickBot="1">
      <c r="A3524" s="218" t="e">
        <f>"R"&amp;E3499</f>
        <v>#N/A</v>
      </c>
      <c r="B3524" s="702"/>
      <c r="C3524" s="114">
        <v>5</v>
      </c>
      <c r="D3524" s="194" t="e">
        <f>IF(AND(C3524&lt;=F3518,F3518&lt;&gt;""),VLOOKUP(VALUE(E3499&amp;","&amp;C3524),INTEGRANTES!$D$18:$F$235,2,0),"")</f>
        <v>#N/A</v>
      </c>
      <c r="E3524" s="211" t="e">
        <f>IF(D3524&lt;&gt;"",VLOOKUP(VALUE(E3499&amp;","&amp;C3524),INTEGRANTES!$D$18:$F$235,3,0),"")</f>
        <v>#N/A</v>
      </c>
      <c r="F3524" s="547" t="e">
        <f>IF(D3524="","",SUMIF($I3503:$I3512,D3524,$P3503:$P3512))</f>
        <v>#N/A</v>
      </c>
      <c r="G3524" s="333" t="e">
        <f>IF(D3524="","",SUMIF($I3503:$I3512,D3524,$M3503:$M3512))</f>
        <v>#N/A</v>
      </c>
      <c r="H3524" s="535" t="e">
        <f t="shared" si="1037"/>
        <v>#N/A</v>
      </c>
      <c r="I3524" s="212" t="e">
        <f>IF(D3524="","",IF(H3524="NO APORTA","NO",IF(H3524=MAX($H3520:$H3525),"SI","NO")))</f>
        <v>#N/A</v>
      </c>
      <c r="J3524" s="213" t="e">
        <f t="shared" si="1038"/>
        <v>#N/A</v>
      </c>
      <c r="K3524" s="200" t="e">
        <f t="shared" si="1039"/>
        <v>#N/A</v>
      </c>
      <c r="L3524" s="721"/>
      <c r="M3524" s="715" t="s">
        <v>116</v>
      </c>
      <c r="N3524" s="716"/>
      <c r="O3524" s="556" t="str">
        <f>PORCREQUERIDO*100&amp;"% PMFO DEL MÓDULO"</f>
        <v>50% PMFO DEL MÓDULO</v>
      </c>
      <c r="P3524" s="715" t="s">
        <v>118</v>
      </c>
      <c r="Q3524" s="728"/>
      <c r="R3524" s="458"/>
      <c r="S3524" s="459"/>
      <c r="T3524" s="460"/>
      <c r="U3524" s="219"/>
      <c r="V3524" s="464"/>
      <c r="Y3524" s="414"/>
      <c r="AA3524" s="540" t="e">
        <f>IF(AND(C3523&lt;=F3518,F3518&lt;&gt;""),VLOOKUP(VALUE(E3499&amp;","&amp;C3523),INTEGRANTES!$D$18:$F$235,2,0),"")</f>
        <v>#N/A</v>
      </c>
      <c r="AB3524" s="545" t="e">
        <f t="shared" si="1040"/>
        <v>#N/A</v>
      </c>
      <c r="AC3524" s="529"/>
      <c r="AD3524" s="200" t="e">
        <f t="shared" si="1041"/>
        <v>#N/A</v>
      </c>
      <c r="AE3524" s="52"/>
      <c r="AF3524" s="52"/>
      <c r="AG3524" s="52"/>
      <c r="AH3524" s="87"/>
      <c r="AI3524" s="87"/>
    </row>
    <row r="3525" spans="1:35" ht="16.5" hidden="1" thickBot="1">
      <c r="A3525" s="218" t="e">
        <f>"S"&amp;E3499</f>
        <v>#N/A</v>
      </c>
      <c r="B3525" s="702"/>
      <c r="C3525" s="215">
        <v>6</v>
      </c>
      <c r="D3525" s="216" t="e">
        <f>IF(AND(C3525&lt;=F3518,F3518&lt;&gt;""),VLOOKUP(VALUE(E3499&amp;","&amp;C3525),INTEGRANTES!$D$18:$F$235,2,0),"")</f>
        <v>#N/A</v>
      </c>
      <c r="E3525" s="217" t="e">
        <f>IF(D3525&lt;&gt;"",VLOOKUP(VALUE(E3499&amp;","&amp;C3525),INTEGRANTES!$D$18:$F$235,3,0),"")</f>
        <v>#N/A</v>
      </c>
      <c r="F3525" s="548" t="e">
        <f>IF(D3525="","",SUMIF($I3503:$I3512,D3525,$P3503:$P3512))</f>
        <v>#N/A</v>
      </c>
      <c r="G3525" s="334" t="e">
        <f>IF(D3525="","",SUMIF($I3503:$I3512,D3525,$M3503:$M3512))</f>
        <v>#N/A</v>
      </c>
      <c r="H3525" s="536" t="e">
        <f t="shared" si="1037"/>
        <v>#N/A</v>
      </c>
      <c r="I3525" s="214" t="e">
        <f>IF(D3525="","",IF(H3525="NO APORTA","NO",IF(H3525=MAX($H3520:$H3525),"SI","NO")))</f>
        <v>#N/A</v>
      </c>
      <c r="J3525" s="213" t="e">
        <f t="shared" si="1038"/>
        <v>#N/A</v>
      </c>
      <c r="K3525" s="200" t="e">
        <f t="shared" si="1039"/>
        <v>#N/A</v>
      </c>
      <c r="L3525" s="721"/>
      <c r="M3525" s="729">
        <f>NUMMOD</f>
        <v>1</v>
      </c>
      <c r="N3525" s="730"/>
      <c r="O3525" s="443">
        <f>IF(M3525="","",ROUND(VLOOKUP(M3525,PRESUPUESTOS!$B$16:$H$16,7,FALSE),3))</f>
        <v>25.780999999999999</v>
      </c>
      <c r="P3525" s="713">
        <f>IF(OR(COUNTIF(P3503:P3512,"")&gt;=10,Q3519&lt;NUMMINCONT,OR(T3517="NO CUMPLE",T3517="VERIFICAR")),0,ROUND((SUM(P3503:P3512)/SUM(M3503:M3512)),3))</f>
        <v>0</v>
      </c>
      <c r="Q3525" s="714"/>
      <c r="R3525" s="458"/>
      <c r="S3525" s="459"/>
      <c r="T3525" s="460"/>
      <c r="U3525" s="219"/>
      <c r="V3525" s="464"/>
      <c r="Y3525" s="532" t="s">
        <v>343</v>
      </c>
      <c r="AA3525" s="540" t="e">
        <f>IF(AND(C3524&lt;=F3518,F3518&lt;&gt;""),VLOOKUP(VALUE(E3499&amp;","&amp;C3524),INTEGRANTES!$D$18:$F$235,2,0),"")</f>
        <v>#N/A</v>
      </c>
      <c r="AB3525" s="545" t="e">
        <f t="shared" si="1040"/>
        <v>#N/A</v>
      </c>
      <c r="AC3525" s="529"/>
      <c r="AD3525" s="200" t="e">
        <f t="shared" si="1041"/>
        <v>#N/A</v>
      </c>
      <c r="AE3525" s="52"/>
      <c r="AF3525" s="52"/>
      <c r="AG3525" s="52"/>
      <c r="AH3525" s="87"/>
      <c r="AI3525" s="87"/>
    </row>
    <row r="3526" spans="1:35" ht="16.5" hidden="1" customHeight="1" thickBot="1">
      <c r="A3526" s="218" t="e">
        <f>"T"&amp;E3499</f>
        <v>#N/A</v>
      </c>
      <c r="B3526" s="703"/>
      <c r="C3526" s="719"/>
      <c r="D3526" s="719"/>
      <c r="E3526" s="719"/>
      <c r="F3526" s="719"/>
      <c r="G3526" s="719"/>
      <c r="H3526" s="719" t="s">
        <v>110</v>
      </c>
      <c r="I3526" s="719"/>
      <c r="J3526" s="719"/>
      <c r="K3526" s="201" t="str">
        <f>IF(COUNTIF(K3520:K3525,"")=6,"",IF(COUNTIF(K3520:K3525,"CUMPLE")&gt;0,"CUMPLE","NO CUMPLE"))</f>
        <v>NO CUMPLE</v>
      </c>
      <c r="L3526" s="754"/>
      <c r="M3526" s="755"/>
      <c r="N3526" s="755"/>
      <c r="O3526" s="755"/>
      <c r="P3526" s="755"/>
      <c r="Q3526" s="756"/>
      <c r="R3526" s="461"/>
      <c r="S3526" s="462"/>
      <c r="T3526" s="463"/>
      <c r="U3526" s="219"/>
      <c r="V3526" s="464"/>
      <c r="Y3526" s="549" t="e">
        <f>IF(Y3520="NO APLICA","NO APLICA",IF(COUNTIF(AD3521:AD3526,"CUMPLE")&gt;0,"CUMPLE","NO CUMPLE"))</f>
        <v>#N/A</v>
      </c>
      <c r="AA3526" s="541" t="e">
        <f>IF(AND(C3525&lt;=F3518,F3518&lt;&gt;""),VLOOKUP(VALUE(E3499&amp;","&amp;C3525),INTEGRANTES!$D$18:$F$235,2,0),"")</f>
        <v>#N/A</v>
      </c>
      <c r="AB3526" s="546" t="e">
        <f t="shared" si="1040"/>
        <v>#N/A</v>
      </c>
      <c r="AC3526" s="543"/>
      <c r="AD3526" s="201" t="e">
        <f t="shared" si="1041"/>
        <v>#N/A</v>
      </c>
      <c r="AE3526" s="52"/>
      <c r="AF3526" s="52"/>
      <c r="AG3526" s="52"/>
      <c r="AH3526" s="87"/>
      <c r="AI3526" s="87"/>
    </row>
    <row r="3527" spans="1:35" hidden="1">
      <c r="AH3527" s="87"/>
      <c r="AI3527" s="87"/>
    </row>
    <row r="3528" spans="1:35" hidden="1">
      <c r="AH3528" s="87"/>
      <c r="AI3528" s="87"/>
    </row>
    <row r="3529" spans="1:35" ht="24" hidden="1" thickBot="1">
      <c r="A3529" s="61">
        <v>118</v>
      </c>
      <c r="B3529" s="704" t="s">
        <v>51</v>
      </c>
      <c r="C3529" s="704"/>
      <c r="D3529" s="704"/>
      <c r="E3529" s="62" t="e">
        <f>VLOOKUP(A3529,PROPONENTES!$B$19:$E$218,2,FALSE)</f>
        <v>#N/A</v>
      </c>
      <c r="F3529" s="63" t="e">
        <f>VLOOKUP(A3529,PROPONENTES!$B$19:$E$218,3,FALSE)</f>
        <v>#N/A</v>
      </c>
      <c r="G3529" s="64"/>
      <c r="H3529" s="64"/>
      <c r="I3529" s="63"/>
      <c r="J3529" s="63"/>
      <c r="K3529" s="65"/>
      <c r="L3529" s="65"/>
      <c r="M3529" s="64"/>
      <c r="N3529" s="64"/>
      <c r="O3529" s="66"/>
      <c r="P3529" s="66"/>
      <c r="Q3529" s="66"/>
      <c r="R3529" s="66"/>
      <c r="S3529" s="67"/>
      <c r="T3529" s="68"/>
      <c r="U3529" s="68"/>
      <c r="AC3529" s="68"/>
      <c r="AD3529" s="68"/>
      <c r="AE3529" s="68"/>
      <c r="AF3529" s="68"/>
      <c r="AG3529" s="68"/>
      <c r="AH3529" s="87"/>
      <c r="AI3529" s="87"/>
    </row>
    <row r="3530" spans="1:35" ht="15.75" hidden="1" customHeight="1">
      <c r="A3530" s="44"/>
      <c r="B3530" s="709" t="s">
        <v>59</v>
      </c>
      <c r="C3530" s="552" t="s">
        <v>60</v>
      </c>
      <c r="D3530" s="70" t="s">
        <v>17</v>
      </c>
      <c r="E3530" s="70"/>
      <c r="F3530" s="70" t="s">
        <v>61</v>
      </c>
      <c r="G3530" s="71"/>
      <c r="H3530" s="699" t="s">
        <v>62</v>
      </c>
      <c r="I3530" s="699" t="s">
        <v>18</v>
      </c>
      <c r="J3530" s="699" t="s">
        <v>63</v>
      </c>
      <c r="K3530" s="699" t="s">
        <v>64</v>
      </c>
      <c r="L3530" s="699" t="s">
        <v>65</v>
      </c>
      <c r="M3530" s="743" t="s">
        <v>66</v>
      </c>
      <c r="N3530" s="699" t="s">
        <v>282</v>
      </c>
      <c r="O3530" s="745" t="s">
        <v>67</v>
      </c>
      <c r="P3530" s="746"/>
      <c r="Q3530" s="102" t="s">
        <v>75</v>
      </c>
      <c r="R3530" s="731" t="s">
        <v>22</v>
      </c>
      <c r="S3530" s="732"/>
      <c r="T3530" s="733"/>
      <c r="U3530" s="712" t="s">
        <v>298</v>
      </c>
      <c r="W3530" s="690" t="s">
        <v>268</v>
      </c>
      <c r="X3530" s="691"/>
      <c r="Y3530" s="692"/>
      <c r="Z3530" s="428"/>
      <c r="AA3530" s="697" t="s">
        <v>315</v>
      </c>
      <c r="AB3530" s="695" t="s">
        <v>322</v>
      </c>
      <c r="AC3530" s="49"/>
      <c r="AD3530" s="690" t="s">
        <v>297</v>
      </c>
      <c r="AE3530" s="691"/>
      <c r="AF3530" s="692"/>
      <c r="AG3530" s="49"/>
      <c r="AH3530" s="87"/>
      <c r="AI3530" s="87"/>
    </row>
    <row r="3531" spans="1:35" ht="72" hidden="1">
      <c r="A3531" s="44"/>
      <c r="B3531" s="710"/>
      <c r="C3531" s="553" t="s">
        <v>68</v>
      </c>
      <c r="D3531" s="73" t="s">
        <v>3</v>
      </c>
      <c r="E3531" s="73" t="s">
        <v>19</v>
      </c>
      <c r="F3531" s="73" t="s">
        <v>69</v>
      </c>
      <c r="G3531" s="74" t="s">
        <v>70</v>
      </c>
      <c r="H3531" s="700"/>
      <c r="I3531" s="700"/>
      <c r="J3531" s="700"/>
      <c r="K3531" s="700"/>
      <c r="L3531" s="700"/>
      <c r="M3531" s="744"/>
      <c r="N3531" s="700"/>
      <c r="O3531" s="553" t="s">
        <v>279</v>
      </c>
      <c r="P3531" s="73" t="s">
        <v>88</v>
      </c>
      <c r="Q3531" s="555" t="s">
        <v>76</v>
      </c>
      <c r="R3531" s="734"/>
      <c r="S3531" s="735"/>
      <c r="T3531" s="736"/>
      <c r="U3531" s="712"/>
      <c r="W3531" s="429" t="s">
        <v>269</v>
      </c>
      <c r="X3531" s="457" t="s">
        <v>278</v>
      </c>
      <c r="Y3531" s="430" t="s">
        <v>324</v>
      </c>
      <c r="Z3531" s="428"/>
      <c r="AA3531" s="698"/>
      <c r="AB3531" s="696"/>
      <c r="AC3531" s="49"/>
      <c r="AD3531" s="429" t="s">
        <v>292</v>
      </c>
      <c r="AE3531" s="431" t="s">
        <v>300</v>
      </c>
      <c r="AF3531" s="468" t="s">
        <v>301</v>
      </c>
      <c r="AG3531" s="49"/>
      <c r="AH3531" s="87"/>
      <c r="AI3531" s="87"/>
    </row>
    <row r="3532" spans="1:35" hidden="1">
      <c r="A3532" s="44"/>
      <c r="B3532" s="76"/>
      <c r="C3532" s="77"/>
      <c r="D3532" s="77"/>
      <c r="E3532" s="77"/>
      <c r="F3532" s="77"/>
      <c r="G3532" s="77"/>
      <c r="H3532" s="77"/>
      <c r="I3532" s="77"/>
      <c r="J3532" s="77"/>
      <c r="K3532" s="77"/>
      <c r="L3532" s="77"/>
      <c r="M3532" s="77"/>
      <c r="N3532" s="77"/>
      <c r="O3532" s="77"/>
      <c r="P3532" s="77"/>
      <c r="Q3532" s="77"/>
      <c r="R3532" s="77"/>
      <c r="S3532" s="78"/>
      <c r="T3532" s="79"/>
      <c r="U3532" s="109"/>
      <c r="V3532" s="49"/>
      <c r="W3532" s="432"/>
      <c r="X3532" s="454"/>
      <c r="Y3532" s="433"/>
      <c r="Z3532" s="6"/>
      <c r="AA3532" s="500"/>
      <c r="AB3532" s="562"/>
      <c r="AC3532" s="49"/>
      <c r="AD3532" s="210"/>
      <c r="AE3532" s="434"/>
      <c r="AF3532" s="435"/>
      <c r="AG3532" s="49"/>
      <c r="AH3532" s="87"/>
      <c r="AI3532" s="87"/>
    </row>
    <row r="3533" spans="1:35" hidden="1">
      <c r="A3533" s="80" t="e">
        <f>"A"&amp;E3529</f>
        <v>#N/A</v>
      </c>
      <c r="B3533" s="81">
        <v>1</v>
      </c>
      <c r="C3533" s="82"/>
      <c r="D3533" s="82"/>
      <c r="E3533" s="82"/>
      <c r="F3533" s="82"/>
      <c r="G3533" s="83"/>
      <c r="H3533" s="83"/>
      <c r="I3533" s="84"/>
      <c r="J3533" s="85"/>
      <c r="K3533" s="382"/>
      <c r="L3533" s="85"/>
      <c r="M3533" s="332" t="str">
        <f t="shared" ref="M3533:M3542" si="1042">IF(OR(J3533="",L3533="",H3533="NO"),"",IF(OR(J3533&gt;$P$17,J3533&lt;$O$17,L3533&gt;$P$17,AND(J3533&lt;$O$17,L3533&lt;$O$17)),"FUERA DE RANGO",IF(OR(K3533="---",K3533=""),IF(J3533&gt;=$O$17,ROUND((L3533-J3533+1)/360*12,3),ROUND((L3533-$O$17+1)/360*12,3)),IF(J3533&gt;=$O$17,ROUND((L3533-J3533+1)/360*12-ROUND(K3533,3),3),ROUND((L3533-$O$17+1)/360*12-ROUND(K3533,3),3)))))</f>
        <v/>
      </c>
      <c r="N3533" s="86"/>
      <c r="O3533" s="453" t="str">
        <f>IF(OR(G3533="",N3533=""),"",N3533*G3533)</f>
        <v/>
      </c>
      <c r="P3533" s="538" t="str">
        <f>IF(OR(H3533="",M3533="FUERA DE RANGO"),"",IF(OR(L3533&lt;$O$17,L3533&gt;$P$17,L3533="",H3533="NO"),"",IF(OR(N3533="",O3533=""),"",ROUND(O3533,3))))</f>
        <v/>
      </c>
      <c r="Q3533" s="539" t="str">
        <f t="shared" ref="Q3533:Q3542" si="1043">IF(AND(H3533="SI",P3533&lt;&gt;""),ROUND(P3533/M3533,3),"")</f>
        <v/>
      </c>
      <c r="R3533" s="737"/>
      <c r="S3533" s="738"/>
      <c r="T3533" s="739"/>
      <c r="U3533" s="470"/>
      <c r="V3533" s="165"/>
      <c r="W3533" s="446"/>
      <c r="X3533" s="456"/>
      <c r="Y3533" s="436"/>
      <c r="Z3533" s="437"/>
      <c r="AA3533" s="560"/>
      <c r="AB3533" s="561"/>
      <c r="AC3533" s="87"/>
      <c r="AD3533" s="466"/>
      <c r="AE3533" s="456"/>
      <c r="AF3533" s="467"/>
      <c r="AG3533" s="87"/>
      <c r="AH3533" s="87"/>
      <c r="AI3533" s="87"/>
    </row>
    <row r="3534" spans="1:35" hidden="1">
      <c r="A3534" s="80" t="e">
        <f>"B"&amp;E3529</f>
        <v>#N/A</v>
      </c>
      <c r="B3534" s="81">
        <v>2</v>
      </c>
      <c r="C3534" s="106"/>
      <c r="D3534" s="106"/>
      <c r="E3534" s="106"/>
      <c r="F3534" s="106"/>
      <c r="G3534" s="83"/>
      <c r="H3534" s="83"/>
      <c r="I3534" s="84"/>
      <c r="J3534" s="85"/>
      <c r="K3534" s="382"/>
      <c r="L3534" s="85"/>
      <c r="M3534" s="332" t="str">
        <f t="shared" si="1042"/>
        <v/>
      </c>
      <c r="N3534" s="86"/>
      <c r="O3534" s="453" t="str">
        <f t="shared" ref="O3534:O3542" si="1044">IF(OR(G3534="",N3534=""),"",N3534*G3534)</f>
        <v/>
      </c>
      <c r="P3534" s="538" t="str">
        <f t="shared" ref="P3534:P3542" si="1045">IF(OR(H3534="",M3534="FUERA DE RANGO"),"",IF(OR(L3534&lt;$O$17,L3534&gt;$P$17,L3534="",H3534="NO"),"",IF(OR(N3534="",O3534=""),"",ROUND(O3534,3))))</f>
        <v/>
      </c>
      <c r="Q3534" s="539" t="str">
        <f t="shared" si="1043"/>
        <v/>
      </c>
      <c r="R3534" s="740"/>
      <c r="S3534" s="741"/>
      <c r="T3534" s="742"/>
      <c r="U3534" s="471"/>
      <c r="V3534" s="165"/>
      <c r="W3534" s="446"/>
      <c r="X3534" s="456"/>
      <c r="Y3534" s="436"/>
      <c r="Z3534" s="437"/>
      <c r="AA3534" s="560"/>
      <c r="AB3534" s="561"/>
      <c r="AC3534" s="87"/>
      <c r="AD3534" s="466"/>
      <c r="AE3534" s="456"/>
      <c r="AF3534" s="467"/>
      <c r="AG3534" s="87"/>
      <c r="AH3534" s="87"/>
      <c r="AI3534" s="87"/>
    </row>
    <row r="3535" spans="1:35" hidden="1">
      <c r="A3535" s="80" t="e">
        <f>"C"&amp;E3529</f>
        <v>#N/A</v>
      </c>
      <c r="B3535" s="88">
        <v>3</v>
      </c>
      <c r="C3535" s="82"/>
      <c r="D3535" s="82"/>
      <c r="E3535" s="82"/>
      <c r="F3535" s="82"/>
      <c r="G3535" s="83"/>
      <c r="H3535" s="83"/>
      <c r="I3535" s="84"/>
      <c r="J3535" s="85"/>
      <c r="K3535" s="382"/>
      <c r="L3535" s="85"/>
      <c r="M3535" s="332" t="str">
        <f t="shared" si="1042"/>
        <v/>
      </c>
      <c r="N3535" s="86"/>
      <c r="O3535" s="453" t="str">
        <f t="shared" si="1044"/>
        <v/>
      </c>
      <c r="P3535" s="538" t="str">
        <f t="shared" si="1045"/>
        <v/>
      </c>
      <c r="Q3535" s="539" t="str">
        <f t="shared" si="1043"/>
        <v/>
      </c>
      <c r="R3535" s="706"/>
      <c r="S3535" s="707"/>
      <c r="T3535" s="708"/>
      <c r="U3535" s="472"/>
      <c r="V3535" s="166"/>
      <c r="W3535" s="446"/>
      <c r="X3535" s="456"/>
      <c r="Y3535" s="436"/>
      <c r="Z3535" s="437"/>
      <c r="AA3535" s="560"/>
      <c r="AB3535" s="561"/>
      <c r="AC3535" s="87"/>
      <c r="AD3535" s="466"/>
      <c r="AE3535" s="456"/>
      <c r="AF3535" s="467"/>
      <c r="AG3535" s="87"/>
      <c r="AH3535" s="87"/>
      <c r="AI3535" s="87"/>
    </row>
    <row r="3536" spans="1:35" hidden="1">
      <c r="A3536" s="80" t="e">
        <f>"D"&amp;E3529</f>
        <v>#N/A</v>
      </c>
      <c r="B3536" s="105">
        <v>4</v>
      </c>
      <c r="C3536" s="107"/>
      <c r="D3536" s="107"/>
      <c r="E3536" s="107"/>
      <c r="F3536" s="107"/>
      <c r="G3536" s="83"/>
      <c r="H3536" s="83"/>
      <c r="I3536" s="84"/>
      <c r="J3536" s="85"/>
      <c r="K3536" s="382"/>
      <c r="L3536" s="85"/>
      <c r="M3536" s="332" t="str">
        <f t="shared" si="1042"/>
        <v/>
      </c>
      <c r="N3536" s="86"/>
      <c r="O3536" s="453" t="str">
        <f t="shared" si="1044"/>
        <v/>
      </c>
      <c r="P3536" s="538" t="str">
        <f t="shared" si="1045"/>
        <v/>
      </c>
      <c r="Q3536" s="539" t="str">
        <f t="shared" si="1043"/>
        <v/>
      </c>
      <c r="R3536" s="706"/>
      <c r="S3536" s="707"/>
      <c r="T3536" s="708"/>
      <c r="U3536" s="472"/>
      <c r="V3536" s="166"/>
      <c r="W3536" s="446"/>
      <c r="X3536" s="456"/>
      <c r="Y3536" s="436"/>
      <c r="Z3536" s="437"/>
      <c r="AA3536" s="560"/>
      <c r="AB3536" s="561"/>
      <c r="AC3536" s="87"/>
      <c r="AD3536" s="466"/>
      <c r="AE3536" s="456"/>
      <c r="AF3536" s="467"/>
      <c r="AG3536" s="87"/>
      <c r="AH3536" s="87"/>
      <c r="AI3536" s="87"/>
    </row>
    <row r="3537" spans="1:35" hidden="1">
      <c r="A3537" s="80" t="e">
        <f>"E"&amp;E3529</f>
        <v>#N/A</v>
      </c>
      <c r="B3537" s="105">
        <v>5</v>
      </c>
      <c r="C3537" s="107"/>
      <c r="D3537" s="107"/>
      <c r="E3537" s="107"/>
      <c r="F3537" s="107"/>
      <c r="G3537" s="83"/>
      <c r="H3537" s="83"/>
      <c r="I3537" s="84"/>
      <c r="J3537" s="85"/>
      <c r="K3537" s="382"/>
      <c r="L3537" s="85"/>
      <c r="M3537" s="332" t="str">
        <f t="shared" si="1042"/>
        <v/>
      </c>
      <c r="N3537" s="86"/>
      <c r="O3537" s="453" t="str">
        <f t="shared" si="1044"/>
        <v/>
      </c>
      <c r="P3537" s="538" t="str">
        <f t="shared" si="1045"/>
        <v/>
      </c>
      <c r="Q3537" s="539" t="str">
        <f t="shared" si="1043"/>
        <v/>
      </c>
      <c r="R3537" s="706"/>
      <c r="S3537" s="707"/>
      <c r="T3537" s="708"/>
      <c r="U3537" s="472"/>
      <c r="V3537" s="167"/>
      <c r="W3537" s="446"/>
      <c r="X3537" s="456"/>
      <c r="Y3537" s="436"/>
      <c r="Z3537" s="437"/>
      <c r="AA3537" s="560"/>
      <c r="AB3537" s="561"/>
      <c r="AC3537" s="87"/>
      <c r="AD3537" s="466"/>
      <c r="AE3537" s="456"/>
      <c r="AF3537" s="467"/>
      <c r="AG3537" s="87"/>
      <c r="AH3537" s="87"/>
      <c r="AI3537" s="87"/>
    </row>
    <row r="3538" spans="1:35" hidden="1">
      <c r="A3538" s="80" t="e">
        <f>"F"&amp;E3529</f>
        <v>#N/A</v>
      </c>
      <c r="B3538" s="105">
        <v>6</v>
      </c>
      <c r="C3538" s="107"/>
      <c r="D3538" s="107"/>
      <c r="E3538" s="107"/>
      <c r="F3538" s="107"/>
      <c r="G3538" s="83"/>
      <c r="H3538" s="83"/>
      <c r="I3538" s="84"/>
      <c r="J3538" s="85"/>
      <c r="K3538" s="382"/>
      <c r="L3538" s="85"/>
      <c r="M3538" s="332" t="str">
        <f t="shared" si="1042"/>
        <v/>
      </c>
      <c r="N3538" s="86"/>
      <c r="O3538" s="453" t="str">
        <f t="shared" si="1044"/>
        <v/>
      </c>
      <c r="P3538" s="538" t="str">
        <f t="shared" si="1045"/>
        <v/>
      </c>
      <c r="Q3538" s="539" t="str">
        <f t="shared" si="1043"/>
        <v/>
      </c>
      <c r="R3538" s="706"/>
      <c r="S3538" s="707"/>
      <c r="T3538" s="708"/>
      <c r="U3538" s="472"/>
      <c r="V3538" s="167"/>
      <c r="W3538" s="446"/>
      <c r="X3538" s="456"/>
      <c r="Y3538" s="436"/>
      <c r="Z3538" s="437"/>
      <c r="AA3538" s="560"/>
      <c r="AB3538" s="561"/>
      <c r="AC3538" s="87"/>
      <c r="AD3538" s="466"/>
      <c r="AE3538" s="456"/>
      <c r="AF3538" s="467"/>
      <c r="AG3538" s="87"/>
      <c r="AH3538" s="87"/>
      <c r="AI3538" s="87"/>
    </row>
    <row r="3539" spans="1:35" hidden="1">
      <c r="A3539" s="80" t="e">
        <f>"G"&amp;E3529</f>
        <v>#N/A</v>
      </c>
      <c r="B3539" s="105">
        <v>7</v>
      </c>
      <c r="C3539" s="107"/>
      <c r="D3539" s="107"/>
      <c r="E3539" s="107"/>
      <c r="F3539" s="107"/>
      <c r="G3539" s="83"/>
      <c r="H3539" s="83"/>
      <c r="I3539" s="84"/>
      <c r="J3539" s="85"/>
      <c r="K3539" s="382"/>
      <c r="L3539" s="85"/>
      <c r="M3539" s="332" t="str">
        <f t="shared" si="1042"/>
        <v/>
      </c>
      <c r="N3539" s="86"/>
      <c r="O3539" s="86" t="str">
        <f t="shared" si="1044"/>
        <v/>
      </c>
      <c r="P3539" s="538" t="str">
        <f t="shared" si="1045"/>
        <v/>
      </c>
      <c r="Q3539" s="539" t="str">
        <f t="shared" si="1043"/>
        <v/>
      </c>
      <c r="R3539" s="706"/>
      <c r="S3539" s="707"/>
      <c r="T3539" s="708"/>
      <c r="U3539" s="472"/>
      <c r="V3539" s="167"/>
      <c r="W3539" s="446"/>
      <c r="X3539" s="456"/>
      <c r="Y3539" s="436"/>
      <c r="Z3539" s="437"/>
      <c r="AA3539" s="560"/>
      <c r="AB3539" s="561"/>
      <c r="AC3539" s="87"/>
      <c r="AD3539" s="466"/>
      <c r="AE3539" s="456"/>
      <c r="AF3539" s="467"/>
      <c r="AG3539" s="87"/>
      <c r="AH3539" s="87"/>
      <c r="AI3539" s="87"/>
    </row>
    <row r="3540" spans="1:35" hidden="1">
      <c r="A3540" s="80" t="e">
        <f>"H"&amp;E3529</f>
        <v>#N/A</v>
      </c>
      <c r="B3540" s="105">
        <v>8</v>
      </c>
      <c r="C3540" s="107"/>
      <c r="D3540" s="107"/>
      <c r="E3540" s="107"/>
      <c r="F3540" s="107"/>
      <c r="G3540" s="83"/>
      <c r="H3540" s="83"/>
      <c r="I3540" s="84"/>
      <c r="J3540" s="85"/>
      <c r="K3540" s="382"/>
      <c r="L3540" s="85"/>
      <c r="M3540" s="332" t="str">
        <f t="shared" si="1042"/>
        <v/>
      </c>
      <c r="N3540" s="453"/>
      <c r="O3540" s="86" t="str">
        <f t="shared" si="1044"/>
        <v/>
      </c>
      <c r="P3540" s="538" t="str">
        <f t="shared" si="1045"/>
        <v/>
      </c>
      <c r="Q3540" s="539" t="str">
        <f t="shared" si="1043"/>
        <v/>
      </c>
      <c r="R3540" s="706"/>
      <c r="S3540" s="707"/>
      <c r="T3540" s="708"/>
      <c r="U3540" s="472"/>
      <c r="V3540" s="167"/>
      <c r="W3540" s="446"/>
      <c r="X3540" s="456"/>
      <c r="Y3540" s="436"/>
      <c r="Z3540" s="437"/>
      <c r="AA3540" s="560"/>
      <c r="AB3540" s="561"/>
      <c r="AC3540" s="87"/>
      <c r="AD3540" s="466"/>
      <c r="AE3540" s="456"/>
      <c r="AF3540" s="467"/>
      <c r="AG3540" s="87"/>
      <c r="AH3540" s="87"/>
      <c r="AI3540" s="87"/>
    </row>
    <row r="3541" spans="1:35" hidden="1">
      <c r="A3541" s="80" t="e">
        <f>"I"&amp;E3529</f>
        <v>#N/A</v>
      </c>
      <c r="B3541" s="105">
        <v>9</v>
      </c>
      <c r="C3541" s="107"/>
      <c r="D3541" s="107"/>
      <c r="E3541" s="107"/>
      <c r="F3541" s="107"/>
      <c r="G3541" s="83"/>
      <c r="H3541" s="83"/>
      <c r="I3541" s="84"/>
      <c r="J3541" s="85"/>
      <c r="K3541" s="382"/>
      <c r="L3541" s="85"/>
      <c r="M3541" s="332" t="str">
        <f t="shared" si="1042"/>
        <v/>
      </c>
      <c r="N3541" s="453"/>
      <c r="O3541" s="86" t="str">
        <f t="shared" si="1044"/>
        <v/>
      </c>
      <c r="P3541" s="538" t="str">
        <f t="shared" si="1045"/>
        <v/>
      </c>
      <c r="Q3541" s="539" t="str">
        <f t="shared" si="1043"/>
        <v/>
      </c>
      <c r="R3541" s="706"/>
      <c r="S3541" s="707"/>
      <c r="T3541" s="708"/>
      <c r="U3541" s="472"/>
      <c r="V3541" s="167"/>
      <c r="W3541" s="446"/>
      <c r="X3541" s="456"/>
      <c r="Y3541" s="436"/>
      <c r="Z3541" s="437"/>
      <c r="AA3541" s="560"/>
      <c r="AB3541" s="561"/>
      <c r="AC3541" s="87"/>
      <c r="AD3541" s="466"/>
      <c r="AE3541" s="456"/>
      <c r="AF3541" s="467"/>
      <c r="AG3541" s="87"/>
      <c r="AH3541" s="87"/>
      <c r="AI3541" s="87"/>
    </row>
    <row r="3542" spans="1:35" hidden="1">
      <c r="A3542" s="80" t="e">
        <f>"J"&amp;E3529</f>
        <v>#N/A</v>
      </c>
      <c r="B3542" s="105">
        <v>10</v>
      </c>
      <c r="C3542" s="107"/>
      <c r="D3542" s="107"/>
      <c r="E3542" s="107"/>
      <c r="F3542" s="107"/>
      <c r="G3542" s="83"/>
      <c r="H3542" s="83"/>
      <c r="I3542" s="84"/>
      <c r="J3542" s="85"/>
      <c r="K3542" s="382"/>
      <c r="L3542" s="85"/>
      <c r="M3542" s="332" t="str">
        <f t="shared" si="1042"/>
        <v/>
      </c>
      <c r="N3542" s="453"/>
      <c r="O3542" s="86" t="str">
        <f t="shared" si="1044"/>
        <v/>
      </c>
      <c r="P3542" s="538" t="str">
        <f t="shared" si="1045"/>
        <v/>
      </c>
      <c r="Q3542" s="539" t="str">
        <f t="shared" si="1043"/>
        <v/>
      </c>
      <c r="R3542" s="706"/>
      <c r="S3542" s="707"/>
      <c r="T3542" s="708"/>
      <c r="U3542" s="472"/>
      <c r="V3542" s="167"/>
      <c r="W3542" s="446"/>
      <c r="X3542" s="456"/>
      <c r="Y3542" s="436"/>
      <c r="Z3542" s="437"/>
      <c r="AA3542" s="560"/>
      <c r="AB3542" s="561"/>
      <c r="AC3542" s="87"/>
      <c r="AD3542" s="466"/>
      <c r="AE3542" s="456"/>
      <c r="AF3542" s="467"/>
      <c r="AG3542" s="87"/>
      <c r="AH3542" s="87"/>
      <c r="AI3542" s="87"/>
    </row>
    <row r="3543" spans="1:35" ht="16.5" hidden="1" thickBot="1">
      <c r="A3543" s="44"/>
      <c r="B3543" s="89"/>
      <c r="C3543" s="90"/>
      <c r="D3543" s="90"/>
      <c r="E3543" s="90"/>
      <c r="F3543" s="90"/>
      <c r="G3543" s="90"/>
      <c r="H3543" s="90"/>
      <c r="I3543" s="90"/>
      <c r="J3543" s="90"/>
      <c r="K3543" s="90"/>
      <c r="L3543" s="90"/>
      <c r="M3543" s="90"/>
      <c r="N3543" s="90"/>
      <c r="O3543" s="90"/>
      <c r="P3543" s="90"/>
      <c r="Q3543" s="90"/>
      <c r="R3543" s="90"/>
      <c r="S3543" s="91"/>
      <c r="T3543" s="92"/>
      <c r="U3543" s="473"/>
      <c r="W3543" s="438"/>
      <c r="X3543" s="455"/>
      <c r="Y3543" s="439"/>
      <c r="Z3543" s="437"/>
      <c r="AA3543" s="530"/>
      <c r="AB3543" s="563"/>
      <c r="AC3543" s="87"/>
      <c r="AD3543" s="440"/>
      <c r="AE3543" s="441"/>
      <c r="AF3543" s="442"/>
      <c r="AG3543" s="49"/>
      <c r="AH3543" s="87"/>
      <c r="AI3543" s="87"/>
    </row>
    <row r="3544" spans="1:35" ht="16.5" hidden="1" thickBot="1">
      <c r="A3544" s="93"/>
      <c r="B3544" s="94"/>
      <c r="C3544" s="96"/>
      <c r="D3544" s="96"/>
      <c r="E3544" s="96"/>
      <c r="F3544" s="96"/>
      <c r="G3544" s="96"/>
      <c r="H3544" s="96"/>
      <c r="I3544" s="96"/>
      <c r="J3544" s="96"/>
      <c r="K3544" s="96"/>
      <c r="L3544" s="96"/>
      <c r="M3544" s="136"/>
      <c r="N3544" s="96"/>
      <c r="O3544" s="96"/>
      <c r="P3544" s="97"/>
      <c r="Q3544" s="97"/>
      <c r="R3544" s="98"/>
      <c r="S3544" s="95"/>
      <c r="T3544" s="99"/>
      <c r="U3544" s="469"/>
      <c r="AC3544" s="58"/>
      <c r="AG3544" s="58"/>
      <c r="AH3544" s="87"/>
      <c r="AI3544" s="87"/>
    </row>
    <row r="3545" spans="1:35" ht="16.5" hidden="1" thickBot="1">
      <c r="B3545" s="101"/>
      <c r="C3545" s="101"/>
      <c r="D3545" s="101"/>
      <c r="E3545" s="101"/>
      <c r="F3545" s="101"/>
      <c r="G3545" s="101"/>
      <c r="H3545" s="101"/>
      <c r="I3545" s="101"/>
      <c r="J3545" s="101"/>
      <c r="K3545" s="101"/>
      <c r="L3545" s="101"/>
      <c r="M3545" s="101"/>
      <c r="N3545" s="101"/>
      <c r="O3545" s="101"/>
      <c r="P3545" s="101"/>
      <c r="Q3545" s="101"/>
      <c r="R3545" s="101"/>
      <c r="S3545" s="101"/>
      <c r="U3545" s="50"/>
      <c r="AH3545" s="87"/>
      <c r="AI3545" s="87"/>
    </row>
    <row r="3546" spans="1:35" ht="16.5" hidden="1" customHeight="1" thickBot="1">
      <c r="A3546" s="44"/>
      <c r="B3546" s="705" t="s">
        <v>74</v>
      </c>
      <c r="C3546" s="705"/>
      <c r="D3546" s="705"/>
      <c r="E3546" s="705"/>
      <c r="F3546" s="705"/>
      <c r="G3546" s="705"/>
      <c r="H3546" s="705"/>
      <c r="I3546" s="705"/>
      <c r="J3546" s="705"/>
      <c r="K3546" s="705"/>
      <c r="L3546" s="705"/>
      <c r="M3546" s="705"/>
      <c r="N3546" s="705"/>
      <c r="O3546" s="705"/>
      <c r="P3546" s="705"/>
      <c r="Q3546" s="705"/>
      <c r="R3546" s="705"/>
      <c r="S3546" s="705"/>
      <c r="T3546" s="705"/>
      <c r="U3546" s="108"/>
      <c r="Y3546" s="532" t="s">
        <v>341</v>
      </c>
      <c r="AC3546" s="49"/>
      <c r="AD3546" s="687" t="s">
        <v>302</v>
      </c>
      <c r="AE3546" s="688"/>
      <c r="AF3546" s="689"/>
      <c r="AG3546" s="49"/>
      <c r="AH3546" s="87"/>
      <c r="AI3546" s="87"/>
    </row>
    <row r="3547" spans="1:35" ht="16.5" hidden="1" customHeight="1" thickBot="1">
      <c r="A3547" s="218" t="e">
        <f>"K"&amp;E3529</f>
        <v>#N/A</v>
      </c>
      <c r="B3547" s="701" t="s">
        <v>71</v>
      </c>
      <c r="C3547" s="751" t="s">
        <v>102</v>
      </c>
      <c r="D3547" s="751"/>
      <c r="E3547" s="751"/>
      <c r="F3547" s="751"/>
      <c r="G3547" s="751"/>
      <c r="H3547" s="751"/>
      <c r="I3547" s="751"/>
      <c r="J3547" s="751"/>
      <c r="K3547" s="751"/>
      <c r="L3547" s="722" t="s">
        <v>100</v>
      </c>
      <c r="M3547" s="747" t="s">
        <v>114</v>
      </c>
      <c r="N3547" s="747"/>
      <c r="O3547" s="747"/>
      <c r="P3547" s="747"/>
      <c r="Q3547" s="748"/>
      <c r="R3547" s="758" t="s">
        <v>280</v>
      </c>
      <c r="S3547" s="748"/>
      <c r="T3547" s="762" t="str">
        <f>IF(COUNTIF(AE3547:AF3547,"VERIFICAR")&gt;0,"VERIFICAR",IF(COUNTIF(AE3547:AF3547,"NO CUMPLE")&gt;0,"NO CUMPLE","CUMPLE"))</f>
        <v>VERIFICAR</v>
      </c>
      <c r="U3547" s="108"/>
      <c r="Y3547" s="533" t="e">
        <f>IF(F3548="","",IF(F3548=1,"INDIVIDUAL","ESTRUCTURA PLURAL"))</f>
        <v>#N/A</v>
      </c>
      <c r="AC3547" s="52"/>
      <c r="AD3547" s="475" t="s">
        <v>303</v>
      </c>
      <c r="AE3547" s="476" t="str">
        <f>IF(COUNTIF(AE3533:AE3542,"")=10,"VERIFICAR",IF(COUNTIF(AE3533:AE3542,"SI")&gt;0,"CUMPLE","NO CUMPLE"))</f>
        <v>VERIFICAR</v>
      </c>
      <c r="AF3547" s="477" t="str">
        <f>IF(COUNTIF(AF3533:AF3542,"")=10,"VERIFICAR",IF(COUNTIF(AF3533:AF3542,"SI")&gt;=$AI$22,"CUMPLE","NO CUMPLE"))</f>
        <v>VERIFICAR</v>
      </c>
      <c r="AG3547" s="52"/>
      <c r="AH3547" s="87"/>
      <c r="AI3547" s="87"/>
    </row>
    <row r="3548" spans="1:35" ht="15.75" hidden="1" customHeight="1" thickBot="1">
      <c r="A3548" s="218" t="e">
        <f>"L"&amp;E3529</f>
        <v>#N/A</v>
      </c>
      <c r="B3548" s="702"/>
      <c r="C3548" s="751" t="s">
        <v>103</v>
      </c>
      <c r="D3548" s="751"/>
      <c r="E3548" s="752"/>
      <c r="F3548" s="557" t="e">
        <f>IF(VLOOKUP(E3529,PROPONENTES!$C$19:$E$218,3,0)="","",VLOOKUP(E3529,PROPONENTES!$C$19:$E$218,3,0))</f>
        <v>#N/A</v>
      </c>
      <c r="G3548" s="753" t="s">
        <v>104</v>
      </c>
      <c r="H3548" s="751"/>
      <c r="I3548" s="715" t="e">
        <f>IF(OR(F3548="",F3548=1),"INTERESADO PERSONA NATURAL O JURIDICA","CONSORCIO O UNION TEMPORAL")</f>
        <v>#N/A</v>
      </c>
      <c r="J3548" s="725"/>
      <c r="K3548" s="728"/>
      <c r="L3548" s="723"/>
      <c r="M3548" s="749"/>
      <c r="N3548" s="749"/>
      <c r="O3548" s="749"/>
      <c r="P3548" s="749"/>
      <c r="Q3548" s="750"/>
      <c r="R3548" s="712"/>
      <c r="S3548" s="750"/>
      <c r="T3548" s="763"/>
      <c r="U3548" s="108"/>
      <c r="Y3548" s="534"/>
      <c r="AA3548" s="52"/>
      <c r="AB3548" s="52"/>
      <c r="AC3548" s="52"/>
      <c r="AG3548" s="52"/>
      <c r="AH3548" s="87"/>
      <c r="AI3548" s="87"/>
    </row>
    <row r="3549" spans="1:35" ht="56.25" hidden="1" customHeight="1" thickBot="1">
      <c r="A3549" s="218" t="e">
        <f>"M"&amp;E3529</f>
        <v>#N/A</v>
      </c>
      <c r="B3549" s="702"/>
      <c r="C3549" s="725" t="s">
        <v>101</v>
      </c>
      <c r="D3549" s="716"/>
      <c r="E3549" s="558" t="s">
        <v>105</v>
      </c>
      <c r="F3549" s="554" t="s">
        <v>87</v>
      </c>
      <c r="G3549" s="553" t="s">
        <v>86</v>
      </c>
      <c r="H3549" s="559" t="s">
        <v>85</v>
      </c>
      <c r="I3549" s="554" t="s">
        <v>252</v>
      </c>
      <c r="J3549" s="553" t="str">
        <f>"¿EL INTEGRANTE TIENE UNA PARTICIPACIÓN DEL "&amp;PORCREQUERIDOINT*100&amp;"%?"</f>
        <v>¿EL INTEGRANTE TIENE UNA PARTICIPACIÓN DEL 60%?</v>
      </c>
      <c r="K3549" s="554" t="s">
        <v>107</v>
      </c>
      <c r="L3549" s="724"/>
      <c r="M3549" s="717" t="s">
        <v>115</v>
      </c>
      <c r="N3549" s="718"/>
      <c r="O3549" s="718"/>
      <c r="P3549" s="718"/>
      <c r="Q3549" s="223">
        <f>IF(AND(H3533="SI",P3533&gt;=0),1,0)+IF(AND(H3534="SI",P3534&gt;=0),1,0)+IF(AND(H3535="SI",P3535&gt;=0),1,0)+IF(AND(H3536="SI",P3536&gt;=0),1,0)+IF(AND(H3537="SI",P3537&gt;=0),1,0)+IF(AND(H3538="SI",P3538&gt;=0),1,0)+IF(AND(H3539="SI",P3539&gt;=0),1,0)+IF(AND(H3540="SI",P3540&gt;=0),1,0)+IF(AND(H3541="SI",P3541&gt;=0),1,0)+IF(AND(H3542="SI",P3542&gt;=0),1,0)</f>
        <v>0</v>
      </c>
      <c r="R3549" s="759"/>
      <c r="S3549" s="761"/>
      <c r="T3549" s="764"/>
      <c r="U3549" s="219"/>
      <c r="V3549" s="464"/>
      <c r="Y3549" s="532" t="s">
        <v>342</v>
      </c>
      <c r="AA3549" s="550" t="s">
        <v>344</v>
      </c>
      <c r="AB3549" s="693" t="s">
        <v>345</v>
      </c>
      <c r="AC3549" s="693" t="s">
        <v>346</v>
      </c>
      <c r="AD3549" s="685" t="s">
        <v>347</v>
      </c>
      <c r="AE3549" s="52"/>
      <c r="AF3549" s="52"/>
      <c r="AG3549" s="52"/>
      <c r="AH3549" s="87"/>
      <c r="AI3549" s="87"/>
    </row>
    <row r="3550" spans="1:35" ht="15.75" hidden="1" customHeight="1" thickBot="1">
      <c r="A3550" s="218" t="e">
        <f>"N"&amp;E3529</f>
        <v>#N/A</v>
      </c>
      <c r="B3550" s="702"/>
      <c r="C3550" s="114">
        <v>1</v>
      </c>
      <c r="D3550" s="194" t="e">
        <f>IF(AND(C3550&lt;=F3548,F3548&gt;1,F3548&lt;&gt;""),VLOOKUP(VALUE(E3529&amp;","&amp;C3550),INTEGRANTES!$D$18:$F$235,2,0),"")</f>
        <v>#N/A</v>
      </c>
      <c r="E3550" s="211" t="e">
        <f>IF(D3550&lt;&gt;"",VLOOKUP(VALUE(E3529&amp;","&amp;C3550),INTEGRANTES!$D$18:$F$235,3,0),"")</f>
        <v>#N/A</v>
      </c>
      <c r="F3550" s="547" t="e">
        <f>IF(D3550="","",SUMIF($I3533:$I3542,D3550,$P3533:$P3542))</f>
        <v>#N/A</v>
      </c>
      <c r="G3550" s="333" t="e">
        <f>IF(D3550="","",SUMIF($I3533:$I3542,D3550,$M3533:$M3542))</f>
        <v>#N/A</v>
      </c>
      <c r="H3550" s="535" t="e">
        <f t="shared" ref="H3550:H3555" si="1046">IF(D3550="","",IF(OR(F3550=0,G3550=0),"NO APORTA",ROUND($F3550/$G3550,3)))</f>
        <v>#N/A</v>
      </c>
      <c r="I3550" s="212" t="e">
        <f>IF(D3550="","",IF(H3550="NO APORTA","NO",IF(H3550=MAX($H3550:$H3555),"SI","NO")))</f>
        <v>#N/A</v>
      </c>
      <c r="J3550" s="213" t="e">
        <f t="shared" ref="J3550:J3555" si="1047">IF(D3550="","",IF(E3550&gt;=PORCREQUERIDOINT,"SI","NO"))</f>
        <v>#N/A</v>
      </c>
      <c r="K3550" s="200" t="e">
        <f t="shared" ref="K3550:K3555" si="1048">IF(D3550="","",IF(AND(I3550="SI",J3550="SI"),"CUMPLE",IF(AND(I3550="NO",OR(J3550="SI",J3550="NO")),"","NO CUMPLE")))</f>
        <v>#N/A</v>
      </c>
      <c r="L3550" s="722" t="s">
        <v>108</v>
      </c>
      <c r="M3550" s="726" t="s">
        <v>119</v>
      </c>
      <c r="N3550" s="726"/>
      <c r="O3550" s="726"/>
      <c r="P3550" s="726"/>
      <c r="Q3550" s="727"/>
      <c r="R3550" s="758" t="s">
        <v>80</v>
      </c>
      <c r="S3550" s="747"/>
      <c r="T3550" s="748"/>
      <c r="U3550" s="219"/>
      <c r="V3550" s="464"/>
      <c r="Y3550" s="533" t="e">
        <f>IF(Y3547="","",IF(Y3547="INDIVIDUAL","NO APLICA","VERIFICAR CUADRO"))</f>
        <v>#N/A</v>
      </c>
      <c r="AA3550" s="551"/>
      <c r="AB3550" s="694"/>
      <c r="AC3550" s="694"/>
      <c r="AD3550" s="686"/>
      <c r="AE3550" s="52"/>
      <c r="AF3550" s="52"/>
      <c r="AG3550" s="52"/>
      <c r="AH3550" s="87"/>
      <c r="AI3550" s="87"/>
    </row>
    <row r="3551" spans="1:35" ht="27" hidden="1" customHeight="1" thickBot="1">
      <c r="A3551" s="218" t="e">
        <f>"O"&amp;E3529</f>
        <v>#N/A</v>
      </c>
      <c r="B3551" s="702"/>
      <c r="C3551" s="114">
        <v>2</v>
      </c>
      <c r="D3551" s="194" t="e">
        <f>IF(AND(C3551&lt;=F3548,F3548&lt;&gt;""),VLOOKUP(VALUE(E3529&amp;","&amp;C3551),INTEGRANTES!$D$18:$F$235,2,0),"")</f>
        <v>#N/A</v>
      </c>
      <c r="E3551" s="211" t="e">
        <f>IF(D3551&lt;&gt;"",VLOOKUP(VALUE(E3529&amp;","&amp;C3551),INTEGRANTES!$D$18:$F$235,3,0),"")</f>
        <v>#N/A</v>
      </c>
      <c r="F3551" s="547" t="e">
        <f>IF(D3551="","",SUMIF($I3533:$I3542,D3551,$P3533:$P3542))</f>
        <v>#N/A</v>
      </c>
      <c r="G3551" s="333" t="e">
        <f>IF(D3551="","",SUMIF($I3533:$I3542,D3551,$M3533:$M3542))</f>
        <v>#N/A</v>
      </c>
      <c r="H3551" s="535" t="e">
        <f t="shared" si="1046"/>
        <v>#N/A</v>
      </c>
      <c r="I3551" s="212" t="e">
        <f>IF(D3551="","",IF(H3551="NO APORTA","NO",IF(H3551=MAX($H3550:$H3555),"SI","NO")))</f>
        <v>#N/A</v>
      </c>
      <c r="J3551" s="213" t="e">
        <f t="shared" si="1047"/>
        <v>#N/A</v>
      </c>
      <c r="K3551" s="200" t="e">
        <f t="shared" si="1048"/>
        <v>#N/A</v>
      </c>
      <c r="L3551" s="723"/>
      <c r="M3551" s="715" t="s">
        <v>116</v>
      </c>
      <c r="N3551" s="716"/>
      <c r="O3551" s="556" t="s">
        <v>113</v>
      </c>
      <c r="P3551" s="715" t="s">
        <v>117</v>
      </c>
      <c r="Q3551" s="728"/>
      <c r="R3551" s="759"/>
      <c r="S3551" s="760"/>
      <c r="T3551" s="761"/>
      <c r="U3551" s="219"/>
      <c r="V3551" s="464"/>
      <c r="Y3551" s="414"/>
      <c r="AA3551" s="542" t="e">
        <f>IF(AND(C3550&lt;=F3548,F3548&gt;1,F3548&lt;&gt;""),VLOOKUP(VALUE(E3529&amp;","&amp;C3550),INTEGRANTES!$D$18:$F$235,2,0),"")</f>
        <v>#N/A</v>
      </c>
      <c r="AB3551" s="544" t="e">
        <f t="shared" ref="AB3551:AB3556" si="1049">IF(D3550="","",IF(OR(F3550=0,G3550=0),"NO APORTA",ROUND($F3550/$G3550,3)))</f>
        <v>#N/A</v>
      </c>
      <c r="AC3551" s="529"/>
      <c r="AD3551" s="200" t="e">
        <f t="shared" ref="AD3551:AD3556" si="1050">IF(OR(AA3551="",AB3551=""),"",IF(AND(AC3551="X",AB3551&gt;=EXPREQVTD),"CUMPLE","NO CUMPLE"))</f>
        <v>#N/A</v>
      </c>
      <c r="AE3551" s="52"/>
      <c r="AF3551" s="52"/>
      <c r="AG3551" s="52"/>
      <c r="AH3551" s="87"/>
      <c r="AI3551" s="87"/>
    </row>
    <row r="3552" spans="1:35" ht="16.5" hidden="1" thickBot="1">
      <c r="A3552" s="218" t="e">
        <f>"P"&amp;E3529</f>
        <v>#N/A</v>
      </c>
      <c r="B3552" s="702"/>
      <c r="C3552" s="114">
        <v>3</v>
      </c>
      <c r="D3552" s="194" t="e">
        <f>IF(AND(C3552&lt;=F3548,F3548&lt;&gt;""),VLOOKUP(VALUE(E3529&amp;","&amp;C3552),INTEGRANTES!$D$18:$F$235,2,0),"")</f>
        <v>#N/A</v>
      </c>
      <c r="E3552" s="211" t="e">
        <f>IF(D3552&lt;&gt;"",VLOOKUP(VALUE(E3529&amp;","&amp;C3552),INTEGRANTES!$D$18:$F$235,3,0),"")</f>
        <v>#N/A</v>
      </c>
      <c r="F3552" s="547" t="e">
        <f>IF(D3552="","",SUMIF($I3533:$I3542,D3552,$P3533:$P3542))</f>
        <v>#N/A</v>
      </c>
      <c r="G3552" s="333" t="e">
        <f>IF(D3552="","",SUMIF($I3533:$I3542,D3552,$M3533:$M3542))</f>
        <v>#N/A</v>
      </c>
      <c r="H3552" s="535" t="e">
        <f t="shared" si="1046"/>
        <v>#N/A</v>
      </c>
      <c r="I3552" s="212" t="e">
        <f>IF(D3552="","",IF(H3552="NO APORTA","NO",IF(H3552=MAX($H3550:$H3555),"SI","NO")))</f>
        <v>#N/A</v>
      </c>
      <c r="J3552" s="213" t="e">
        <f t="shared" si="1047"/>
        <v>#N/A</v>
      </c>
      <c r="K3552" s="200" t="e">
        <f t="shared" si="1048"/>
        <v>#N/A</v>
      </c>
      <c r="L3552" s="724"/>
      <c r="M3552" s="729">
        <f>NUMMOD</f>
        <v>1</v>
      </c>
      <c r="N3552" s="730"/>
      <c r="O3552" s="443">
        <f>IF(M3552="","",VLOOKUP(M3552,PRESUPUESTOS!$B$16:$H$16,5,FALSE))</f>
        <v>2</v>
      </c>
      <c r="P3552" s="713">
        <f>IF(OR(COUNTIF(M3533:M3542,"")&gt;=10,Q3549&lt;NUMMINCONT,OR(T3547="NO CUMPLE",T3547="VERIFICAR")),0,ROUND(AVERAGE(M3533:M3542),3))</f>
        <v>0</v>
      </c>
      <c r="Q3552" s="714"/>
      <c r="R3552" s="458"/>
      <c r="S3552" s="459"/>
      <c r="T3552" s="460"/>
      <c r="U3552" s="219"/>
      <c r="V3552" s="464"/>
      <c r="Y3552" s="532" t="str">
        <f>"40% * ("&amp;PRESUPUESTOS!$H$13&amp;")"</f>
        <v>40% * (50% PFMO)</v>
      </c>
      <c r="AA3552" s="540" t="e">
        <f>IF(AND(C3551&lt;=F3548,F3548&lt;&gt;""),VLOOKUP(VALUE(E3529&amp;","&amp;C3551),INTEGRANTES!$D$18:$F$235,2,0),"")</f>
        <v>#N/A</v>
      </c>
      <c r="AB3552" s="545" t="e">
        <f t="shared" si="1049"/>
        <v>#N/A</v>
      </c>
      <c r="AC3552" s="529"/>
      <c r="AD3552" s="200" t="e">
        <f t="shared" si="1050"/>
        <v>#N/A</v>
      </c>
      <c r="AE3552" s="52"/>
      <c r="AF3552" s="52"/>
      <c r="AG3552" s="52"/>
      <c r="AH3552" s="87"/>
      <c r="AI3552" s="87"/>
    </row>
    <row r="3553" spans="1:35" ht="15.75" hidden="1" customHeight="1" thickBot="1">
      <c r="A3553" s="218" t="e">
        <f>"Q"&amp;E3529</f>
        <v>#N/A</v>
      </c>
      <c r="B3553" s="702"/>
      <c r="C3553" s="114">
        <v>4</v>
      </c>
      <c r="D3553" s="194" t="e">
        <f>IF(AND(C3553&lt;=F3548,F3548&lt;&gt;""),VLOOKUP(VALUE(E3529&amp;","&amp;C3553),INTEGRANTES!$D$18:$F$235,2,0),"")</f>
        <v>#N/A</v>
      </c>
      <c r="E3553" s="211" t="e">
        <f>IF(D3553&lt;&gt;"",VLOOKUP(VALUE(E3529&amp;","&amp;C3553),INTEGRANTES!$D$18:$F$235,3,0),"")</f>
        <v>#N/A</v>
      </c>
      <c r="F3553" s="547" t="e">
        <f>IF(D3553="","",SUMIF($I3533:$I3542,D3553,$P3533:$P3542))</f>
        <v>#N/A</v>
      </c>
      <c r="G3553" s="333" t="e">
        <f>IF(D3553="","",SUMIF($I3533:$I3542,D3553,$M3533:$M3542))</f>
        <v>#N/A</v>
      </c>
      <c r="H3553" s="535" t="e">
        <f t="shared" si="1046"/>
        <v>#N/A</v>
      </c>
      <c r="I3553" s="212" t="e">
        <f>IF(D3553="","",IF(H3553="NO APORTA","NO",IF(H3553=MAX($H3550:$H3555),"SI","NO")))</f>
        <v>#N/A</v>
      </c>
      <c r="J3553" s="213" t="e">
        <f t="shared" si="1047"/>
        <v>#N/A</v>
      </c>
      <c r="K3553" s="200" t="e">
        <f t="shared" si="1048"/>
        <v>#N/A</v>
      </c>
      <c r="L3553" s="720" t="s">
        <v>109</v>
      </c>
      <c r="M3553" s="757" t="s">
        <v>120</v>
      </c>
      <c r="N3553" s="726"/>
      <c r="O3553" s="726"/>
      <c r="P3553" s="726"/>
      <c r="Q3553" s="727"/>
      <c r="R3553" s="458"/>
      <c r="S3553" s="459"/>
      <c r="T3553" s="460"/>
      <c r="U3553" s="219"/>
      <c r="V3553" s="464"/>
      <c r="Y3553" s="537">
        <f>0.4*PRESUPUESTOS!$H$16</f>
        <v>10.3124</v>
      </c>
      <c r="AA3553" s="540" t="e">
        <f>IF(AND(C3552&lt;=F3548,F3548&lt;&gt;""),VLOOKUP(VALUE(E3529&amp;","&amp;C3552),INTEGRANTES!$D$18:$F$235,2,0),"")</f>
        <v>#N/A</v>
      </c>
      <c r="AB3553" s="545" t="e">
        <f t="shared" si="1049"/>
        <v>#N/A</v>
      </c>
      <c r="AC3553" s="529"/>
      <c r="AD3553" s="200" t="e">
        <f t="shared" si="1050"/>
        <v>#N/A</v>
      </c>
      <c r="AE3553" s="52"/>
      <c r="AF3553" s="52"/>
      <c r="AG3553" s="52"/>
      <c r="AH3553" s="87"/>
      <c r="AI3553" s="87"/>
    </row>
    <row r="3554" spans="1:35" ht="27" hidden="1" customHeight="1" thickBot="1">
      <c r="A3554" s="218" t="e">
        <f>"R"&amp;E3529</f>
        <v>#N/A</v>
      </c>
      <c r="B3554" s="702"/>
      <c r="C3554" s="114">
        <v>5</v>
      </c>
      <c r="D3554" s="194" t="e">
        <f>IF(AND(C3554&lt;=F3548,F3548&lt;&gt;""),VLOOKUP(VALUE(E3529&amp;","&amp;C3554),INTEGRANTES!$D$18:$F$235,2,0),"")</f>
        <v>#N/A</v>
      </c>
      <c r="E3554" s="211" t="e">
        <f>IF(D3554&lt;&gt;"",VLOOKUP(VALUE(E3529&amp;","&amp;C3554),INTEGRANTES!$D$18:$F$235,3,0),"")</f>
        <v>#N/A</v>
      </c>
      <c r="F3554" s="547" t="e">
        <f>IF(D3554="","",SUMIF($I3533:$I3542,D3554,$P3533:$P3542))</f>
        <v>#N/A</v>
      </c>
      <c r="G3554" s="333" t="e">
        <f>IF(D3554="","",SUMIF($I3533:$I3542,D3554,$M3533:$M3542))</f>
        <v>#N/A</v>
      </c>
      <c r="H3554" s="535" t="e">
        <f t="shared" si="1046"/>
        <v>#N/A</v>
      </c>
      <c r="I3554" s="212" t="e">
        <f>IF(D3554="","",IF(H3554="NO APORTA","NO",IF(H3554=MAX($H3550:$H3555),"SI","NO")))</f>
        <v>#N/A</v>
      </c>
      <c r="J3554" s="213" t="e">
        <f t="shared" si="1047"/>
        <v>#N/A</v>
      </c>
      <c r="K3554" s="200" t="e">
        <f t="shared" si="1048"/>
        <v>#N/A</v>
      </c>
      <c r="L3554" s="721"/>
      <c r="M3554" s="715" t="s">
        <v>116</v>
      </c>
      <c r="N3554" s="716"/>
      <c r="O3554" s="556" t="str">
        <f>PORCREQUERIDO*100&amp;"% PMFO DEL MÓDULO"</f>
        <v>50% PMFO DEL MÓDULO</v>
      </c>
      <c r="P3554" s="715" t="s">
        <v>118</v>
      </c>
      <c r="Q3554" s="728"/>
      <c r="R3554" s="458"/>
      <c r="S3554" s="459"/>
      <c r="T3554" s="460"/>
      <c r="U3554" s="219"/>
      <c r="V3554" s="464"/>
      <c r="Y3554" s="414"/>
      <c r="AA3554" s="540" t="e">
        <f>IF(AND(C3553&lt;=F3548,F3548&lt;&gt;""),VLOOKUP(VALUE(E3529&amp;","&amp;C3553),INTEGRANTES!$D$18:$F$235,2,0),"")</f>
        <v>#N/A</v>
      </c>
      <c r="AB3554" s="545" t="e">
        <f t="shared" si="1049"/>
        <v>#N/A</v>
      </c>
      <c r="AC3554" s="529"/>
      <c r="AD3554" s="200" t="e">
        <f t="shared" si="1050"/>
        <v>#N/A</v>
      </c>
      <c r="AE3554" s="52"/>
      <c r="AF3554" s="52"/>
      <c r="AG3554" s="52"/>
      <c r="AH3554" s="87"/>
      <c r="AI3554" s="87"/>
    </row>
    <row r="3555" spans="1:35" ht="16.5" hidden="1" thickBot="1">
      <c r="A3555" s="218" t="e">
        <f>"S"&amp;E3529</f>
        <v>#N/A</v>
      </c>
      <c r="B3555" s="702"/>
      <c r="C3555" s="215">
        <v>6</v>
      </c>
      <c r="D3555" s="216" t="e">
        <f>IF(AND(C3555&lt;=F3548,F3548&lt;&gt;""),VLOOKUP(VALUE(E3529&amp;","&amp;C3555),INTEGRANTES!$D$18:$F$235,2,0),"")</f>
        <v>#N/A</v>
      </c>
      <c r="E3555" s="217" t="e">
        <f>IF(D3555&lt;&gt;"",VLOOKUP(VALUE(E3529&amp;","&amp;C3555),INTEGRANTES!$D$18:$F$235,3,0),"")</f>
        <v>#N/A</v>
      </c>
      <c r="F3555" s="548" t="e">
        <f>IF(D3555="","",SUMIF($I3533:$I3542,D3555,$P3533:$P3542))</f>
        <v>#N/A</v>
      </c>
      <c r="G3555" s="334" t="e">
        <f>IF(D3555="","",SUMIF($I3533:$I3542,D3555,$M3533:$M3542))</f>
        <v>#N/A</v>
      </c>
      <c r="H3555" s="536" t="e">
        <f t="shared" si="1046"/>
        <v>#N/A</v>
      </c>
      <c r="I3555" s="214" t="e">
        <f>IF(D3555="","",IF(H3555="NO APORTA","NO",IF(H3555=MAX($H3550:$H3555),"SI","NO")))</f>
        <v>#N/A</v>
      </c>
      <c r="J3555" s="213" t="e">
        <f t="shared" si="1047"/>
        <v>#N/A</v>
      </c>
      <c r="K3555" s="200" t="e">
        <f t="shared" si="1048"/>
        <v>#N/A</v>
      </c>
      <c r="L3555" s="721"/>
      <c r="M3555" s="729">
        <f>NUMMOD</f>
        <v>1</v>
      </c>
      <c r="N3555" s="730"/>
      <c r="O3555" s="443">
        <f>IF(M3555="","",ROUND(VLOOKUP(M3555,PRESUPUESTOS!$B$16:$H$16,7,FALSE),3))</f>
        <v>25.780999999999999</v>
      </c>
      <c r="P3555" s="713">
        <f>IF(OR(COUNTIF(P3533:P3542,"")&gt;=10,Q3549&lt;NUMMINCONT,OR(T3547="NO CUMPLE",T3547="VERIFICAR")),0,ROUND((SUM(P3533:P3542)/SUM(M3533:M3542)),3))</f>
        <v>0</v>
      </c>
      <c r="Q3555" s="714"/>
      <c r="R3555" s="458"/>
      <c r="S3555" s="459"/>
      <c r="T3555" s="460"/>
      <c r="U3555" s="219"/>
      <c r="V3555" s="464"/>
      <c r="Y3555" s="532" t="s">
        <v>343</v>
      </c>
      <c r="AA3555" s="540" t="e">
        <f>IF(AND(C3554&lt;=F3548,F3548&lt;&gt;""),VLOOKUP(VALUE(E3529&amp;","&amp;C3554),INTEGRANTES!$D$18:$F$235,2,0),"")</f>
        <v>#N/A</v>
      </c>
      <c r="AB3555" s="545" t="e">
        <f t="shared" si="1049"/>
        <v>#N/A</v>
      </c>
      <c r="AC3555" s="529"/>
      <c r="AD3555" s="200" t="e">
        <f t="shared" si="1050"/>
        <v>#N/A</v>
      </c>
      <c r="AE3555" s="52"/>
      <c r="AF3555" s="52"/>
      <c r="AG3555" s="52"/>
      <c r="AH3555" s="87"/>
      <c r="AI3555" s="87"/>
    </row>
    <row r="3556" spans="1:35" ht="16.5" hidden="1" customHeight="1" thickBot="1">
      <c r="A3556" s="218" t="e">
        <f>"T"&amp;E3529</f>
        <v>#N/A</v>
      </c>
      <c r="B3556" s="703"/>
      <c r="C3556" s="719"/>
      <c r="D3556" s="719"/>
      <c r="E3556" s="719"/>
      <c r="F3556" s="719"/>
      <c r="G3556" s="719"/>
      <c r="H3556" s="719" t="s">
        <v>110</v>
      </c>
      <c r="I3556" s="719"/>
      <c r="J3556" s="719"/>
      <c r="K3556" s="201" t="str">
        <f>IF(COUNTIF(K3550:K3555,"")=6,"",IF(COUNTIF(K3550:K3555,"CUMPLE")&gt;0,"CUMPLE","NO CUMPLE"))</f>
        <v>NO CUMPLE</v>
      </c>
      <c r="L3556" s="754"/>
      <c r="M3556" s="755"/>
      <c r="N3556" s="755"/>
      <c r="O3556" s="755"/>
      <c r="P3556" s="755"/>
      <c r="Q3556" s="756"/>
      <c r="R3556" s="461"/>
      <c r="S3556" s="462"/>
      <c r="T3556" s="463"/>
      <c r="U3556" s="219"/>
      <c r="V3556" s="464"/>
      <c r="Y3556" s="549" t="e">
        <f>IF(Y3550="NO APLICA","NO APLICA",IF(COUNTIF(AD3551:AD3556,"CUMPLE")&gt;0,"CUMPLE","NO CUMPLE"))</f>
        <v>#N/A</v>
      </c>
      <c r="AA3556" s="541" t="e">
        <f>IF(AND(C3555&lt;=F3548,F3548&lt;&gt;""),VLOOKUP(VALUE(E3529&amp;","&amp;C3555),INTEGRANTES!$D$18:$F$235,2,0),"")</f>
        <v>#N/A</v>
      </c>
      <c r="AB3556" s="546" t="e">
        <f t="shared" si="1049"/>
        <v>#N/A</v>
      </c>
      <c r="AC3556" s="543"/>
      <c r="AD3556" s="201" t="e">
        <f t="shared" si="1050"/>
        <v>#N/A</v>
      </c>
      <c r="AE3556" s="52"/>
      <c r="AF3556" s="52"/>
      <c r="AG3556" s="52"/>
      <c r="AH3556" s="87"/>
      <c r="AI3556" s="87"/>
    </row>
    <row r="3557" spans="1:35" hidden="1">
      <c r="AH3557" s="87"/>
      <c r="AI3557" s="87"/>
    </row>
    <row r="3558" spans="1:35" hidden="1">
      <c r="AH3558" s="87"/>
      <c r="AI3558" s="87"/>
    </row>
    <row r="3559" spans="1:35" ht="24" hidden="1" thickBot="1">
      <c r="A3559" s="61">
        <v>119</v>
      </c>
      <c r="B3559" s="704" t="s">
        <v>51</v>
      </c>
      <c r="C3559" s="704"/>
      <c r="D3559" s="704"/>
      <c r="E3559" s="62" t="e">
        <f>VLOOKUP(A3559,PROPONENTES!$B$19:$E$218,2,FALSE)</f>
        <v>#N/A</v>
      </c>
      <c r="F3559" s="63" t="e">
        <f>VLOOKUP(A3559,PROPONENTES!$B$19:$E$218,3,FALSE)</f>
        <v>#N/A</v>
      </c>
      <c r="G3559" s="64"/>
      <c r="H3559" s="64"/>
      <c r="I3559" s="63"/>
      <c r="J3559" s="63"/>
      <c r="K3559" s="65"/>
      <c r="L3559" s="65"/>
      <c r="M3559" s="64"/>
      <c r="N3559" s="64"/>
      <c r="O3559" s="66"/>
      <c r="P3559" s="66"/>
      <c r="Q3559" s="66"/>
      <c r="R3559" s="66"/>
      <c r="S3559" s="67"/>
      <c r="T3559" s="68"/>
      <c r="U3559" s="68"/>
      <c r="AC3559" s="68"/>
      <c r="AD3559" s="68"/>
      <c r="AE3559" s="68"/>
      <c r="AF3559" s="68"/>
      <c r="AG3559" s="68"/>
      <c r="AH3559" s="87"/>
      <c r="AI3559" s="87"/>
    </row>
    <row r="3560" spans="1:35" ht="15.75" hidden="1" customHeight="1">
      <c r="A3560" s="44"/>
      <c r="B3560" s="709" t="s">
        <v>59</v>
      </c>
      <c r="C3560" s="552" t="s">
        <v>60</v>
      </c>
      <c r="D3560" s="70" t="s">
        <v>17</v>
      </c>
      <c r="E3560" s="70"/>
      <c r="F3560" s="70" t="s">
        <v>61</v>
      </c>
      <c r="G3560" s="71"/>
      <c r="H3560" s="699" t="s">
        <v>62</v>
      </c>
      <c r="I3560" s="699" t="s">
        <v>18</v>
      </c>
      <c r="J3560" s="699" t="s">
        <v>63</v>
      </c>
      <c r="K3560" s="699" t="s">
        <v>64</v>
      </c>
      <c r="L3560" s="699" t="s">
        <v>65</v>
      </c>
      <c r="M3560" s="743" t="s">
        <v>66</v>
      </c>
      <c r="N3560" s="699" t="s">
        <v>282</v>
      </c>
      <c r="O3560" s="745" t="s">
        <v>67</v>
      </c>
      <c r="P3560" s="746"/>
      <c r="Q3560" s="102" t="s">
        <v>75</v>
      </c>
      <c r="R3560" s="731" t="s">
        <v>22</v>
      </c>
      <c r="S3560" s="732"/>
      <c r="T3560" s="733"/>
      <c r="U3560" s="712" t="s">
        <v>298</v>
      </c>
      <c r="W3560" s="690" t="s">
        <v>268</v>
      </c>
      <c r="X3560" s="691"/>
      <c r="Y3560" s="692"/>
      <c r="Z3560" s="428"/>
      <c r="AA3560" s="697" t="s">
        <v>315</v>
      </c>
      <c r="AB3560" s="695" t="s">
        <v>322</v>
      </c>
      <c r="AC3560" s="49"/>
      <c r="AD3560" s="690" t="s">
        <v>297</v>
      </c>
      <c r="AE3560" s="691"/>
      <c r="AF3560" s="692"/>
      <c r="AG3560" s="49"/>
      <c r="AH3560" s="87"/>
      <c r="AI3560" s="87"/>
    </row>
    <row r="3561" spans="1:35" ht="72" hidden="1">
      <c r="A3561" s="44"/>
      <c r="B3561" s="710"/>
      <c r="C3561" s="553" t="s">
        <v>68</v>
      </c>
      <c r="D3561" s="73" t="s">
        <v>3</v>
      </c>
      <c r="E3561" s="73" t="s">
        <v>19</v>
      </c>
      <c r="F3561" s="73" t="s">
        <v>69</v>
      </c>
      <c r="G3561" s="74" t="s">
        <v>70</v>
      </c>
      <c r="H3561" s="700"/>
      <c r="I3561" s="700"/>
      <c r="J3561" s="700"/>
      <c r="K3561" s="700"/>
      <c r="L3561" s="700"/>
      <c r="M3561" s="744"/>
      <c r="N3561" s="700"/>
      <c r="O3561" s="553" t="s">
        <v>279</v>
      </c>
      <c r="P3561" s="73" t="s">
        <v>88</v>
      </c>
      <c r="Q3561" s="555" t="s">
        <v>76</v>
      </c>
      <c r="R3561" s="734"/>
      <c r="S3561" s="735"/>
      <c r="T3561" s="736"/>
      <c r="U3561" s="712"/>
      <c r="W3561" s="429" t="s">
        <v>269</v>
      </c>
      <c r="X3561" s="457" t="s">
        <v>278</v>
      </c>
      <c r="Y3561" s="430" t="s">
        <v>324</v>
      </c>
      <c r="Z3561" s="428"/>
      <c r="AA3561" s="698"/>
      <c r="AB3561" s="696"/>
      <c r="AC3561" s="49"/>
      <c r="AD3561" s="429" t="s">
        <v>292</v>
      </c>
      <c r="AE3561" s="431" t="s">
        <v>300</v>
      </c>
      <c r="AF3561" s="468" t="s">
        <v>301</v>
      </c>
      <c r="AG3561" s="49"/>
      <c r="AH3561" s="87"/>
      <c r="AI3561" s="87"/>
    </row>
    <row r="3562" spans="1:35" hidden="1">
      <c r="A3562" s="44"/>
      <c r="B3562" s="76"/>
      <c r="C3562" s="77"/>
      <c r="D3562" s="77"/>
      <c r="E3562" s="77"/>
      <c r="F3562" s="77"/>
      <c r="G3562" s="77"/>
      <c r="H3562" s="77"/>
      <c r="I3562" s="77"/>
      <c r="J3562" s="77"/>
      <c r="K3562" s="77"/>
      <c r="L3562" s="77"/>
      <c r="M3562" s="77"/>
      <c r="N3562" s="77"/>
      <c r="O3562" s="77"/>
      <c r="P3562" s="77"/>
      <c r="Q3562" s="77"/>
      <c r="R3562" s="77"/>
      <c r="S3562" s="78"/>
      <c r="T3562" s="79"/>
      <c r="U3562" s="109"/>
      <c r="V3562" s="49"/>
      <c r="W3562" s="432"/>
      <c r="X3562" s="454"/>
      <c r="Y3562" s="433"/>
      <c r="Z3562" s="6"/>
      <c r="AA3562" s="500"/>
      <c r="AB3562" s="562"/>
      <c r="AC3562" s="49"/>
      <c r="AD3562" s="210"/>
      <c r="AE3562" s="434"/>
      <c r="AF3562" s="435"/>
      <c r="AG3562" s="49"/>
      <c r="AH3562" s="87"/>
      <c r="AI3562" s="87"/>
    </row>
    <row r="3563" spans="1:35" hidden="1">
      <c r="A3563" s="80" t="e">
        <f>"A"&amp;E3559</f>
        <v>#N/A</v>
      </c>
      <c r="B3563" s="81">
        <v>1</v>
      </c>
      <c r="C3563" s="82"/>
      <c r="D3563" s="82"/>
      <c r="E3563" s="82"/>
      <c r="F3563" s="82"/>
      <c r="G3563" s="83"/>
      <c r="H3563" s="83"/>
      <c r="I3563" s="84"/>
      <c r="J3563" s="85"/>
      <c r="K3563" s="382"/>
      <c r="L3563" s="85"/>
      <c r="M3563" s="332" t="str">
        <f t="shared" ref="M3563:M3572" si="1051">IF(OR(J3563="",L3563="",H3563="NO"),"",IF(OR(J3563&gt;$P$17,J3563&lt;$O$17,L3563&gt;$P$17,AND(J3563&lt;$O$17,L3563&lt;$O$17)),"FUERA DE RANGO",IF(OR(K3563="---",K3563=""),IF(J3563&gt;=$O$17,ROUND((L3563-J3563+1)/360*12,3),ROUND((L3563-$O$17+1)/360*12,3)),IF(J3563&gt;=$O$17,ROUND((L3563-J3563+1)/360*12-ROUND(K3563,3),3),ROUND((L3563-$O$17+1)/360*12-ROUND(K3563,3),3)))))</f>
        <v/>
      </c>
      <c r="N3563" s="86"/>
      <c r="O3563" s="453" t="str">
        <f>IF(OR(G3563="",N3563=""),"",N3563*G3563)</f>
        <v/>
      </c>
      <c r="P3563" s="538" t="str">
        <f>IF(OR(H3563="",M3563="FUERA DE RANGO"),"",IF(OR(L3563&lt;$O$17,L3563&gt;$P$17,L3563="",H3563="NO"),"",IF(OR(N3563="",O3563=""),"",ROUND(O3563,3))))</f>
        <v/>
      </c>
      <c r="Q3563" s="539" t="str">
        <f t="shared" ref="Q3563:Q3572" si="1052">IF(AND(H3563="SI",P3563&lt;&gt;""),ROUND(P3563/M3563,3),"")</f>
        <v/>
      </c>
      <c r="R3563" s="737"/>
      <c r="S3563" s="738"/>
      <c r="T3563" s="739"/>
      <c r="U3563" s="470"/>
      <c r="V3563" s="165"/>
      <c r="W3563" s="446"/>
      <c r="X3563" s="456"/>
      <c r="Y3563" s="436"/>
      <c r="Z3563" s="437"/>
      <c r="AA3563" s="560"/>
      <c r="AB3563" s="561"/>
      <c r="AC3563" s="87"/>
      <c r="AD3563" s="466"/>
      <c r="AE3563" s="456"/>
      <c r="AF3563" s="467"/>
      <c r="AG3563" s="87"/>
      <c r="AH3563" s="87"/>
      <c r="AI3563" s="87"/>
    </row>
    <row r="3564" spans="1:35" hidden="1">
      <c r="A3564" s="80" t="e">
        <f>"B"&amp;E3559</f>
        <v>#N/A</v>
      </c>
      <c r="B3564" s="81">
        <v>2</v>
      </c>
      <c r="C3564" s="106"/>
      <c r="D3564" s="106"/>
      <c r="E3564" s="106"/>
      <c r="F3564" s="106"/>
      <c r="G3564" s="83"/>
      <c r="H3564" s="83"/>
      <c r="I3564" s="84"/>
      <c r="J3564" s="85"/>
      <c r="K3564" s="382"/>
      <c r="L3564" s="85"/>
      <c r="M3564" s="332" t="str">
        <f t="shared" si="1051"/>
        <v/>
      </c>
      <c r="N3564" s="86"/>
      <c r="O3564" s="453" t="str">
        <f t="shared" ref="O3564:O3572" si="1053">IF(OR(G3564="",N3564=""),"",N3564*G3564)</f>
        <v/>
      </c>
      <c r="P3564" s="538" t="str">
        <f t="shared" ref="P3564:P3572" si="1054">IF(OR(H3564="",M3564="FUERA DE RANGO"),"",IF(OR(L3564&lt;$O$17,L3564&gt;$P$17,L3564="",H3564="NO"),"",IF(OR(N3564="",O3564=""),"",ROUND(O3564,3))))</f>
        <v/>
      </c>
      <c r="Q3564" s="539" t="str">
        <f t="shared" si="1052"/>
        <v/>
      </c>
      <c r="R3564" s="740"/>
      <c r="S3564" s="741"/>
      <c r="T3564" s="742"/>
      <c r="U3564" s="471"/>
      <c r="V3564" s="165"/>
      <c r="W3564" s="446"/>
      <c r="X3564" s="456"/>
      <c r="Y3564" s="436"/>
      <c r="Z3564" s="437"/>
      <c r="AA3564" s="560"/>
      <c r="AB3564" s="561"/>
      <c r="AC3564" s="87"/>
      <c r="AD3564" s="466"/>
      <c r="AE3564" s="456"/>
      <c r="AF3564" s="467"/>
      <c r="AG3564" s="87"/>
      <c r="AH3564" s="87"/>
      <c r="AI3564" s="87"/>
    </row>
    <row r="3565" spans="1:35" hidden="1">
      <c r="A3565" s="80" t="e">
        <f>"C"&amp;E3559</f>
        <v>#N/A</v>
      </c>
      <c r="B3565" s="88">
        <v>3</v>
      </c>
      <c r="C3565" s="82"/>
      <c r="D3565" s="82"/>
      <c r="E3565" s="82"/>
      <c r="F3565" s="82"/>
      <c r="G3565" s="83"/>
      <c r="H3565" s="83"/>
      <c r="I3565" s="84"/>
      <c r="J3565" s="85"/>
      <c r="K3565" s="382"/>
      <c r="L3565" s="85"/>
      <c r="M3565" s="332" t="str">
        <f t="shared" si="1051"/>
        <v/>
      </c>
      <c r="N3565" s="86"/>
      <c r="O3565" s="453" t="str">
        <f t="shared" si="1053"/>
        <v/>
      </c>
      <c r="P3565" s="538" t="str">
        <f t="shared" si="1054"/>
        <v/>
      </c>
      <c r="Q3565" s="539" t="str">
        <f t="shared" si="1052"/>
        <v/>
      </c>
      <c r="R3565" s="706"/>
      <c r="S3565" s="707"/>
      <c r="T3565" s="708"/>
      <c r="U3565" s="472"/>
      <c r="V3565" s="166"/>
      <c r="W3565" s="446"/>
      <c r="X3565" s="456"/>
      <c r="Y3565" s="436"/>
      <c r="Z3565" s="437"/>
      <c r="AA3565" s="560"/>
      <c r="AB3565" s="561"/>
      <c r="AC3565" s="87"/>
      <c r="AD3565" s="466"/>
      <c r="AE3565" s="456"/>
      <c r="AF3565" s="467"/>
      <c r="AG3565" s="87"/>
      <c r="AH3565" s="87"/>
      <c r="AI3565" s="87"/>
    </row>
    <row r="3566" spans="1:35" hidden="1">
      <c r="A3566" s="80" t="e">
        <f>"D"&amp;E3559</f>
        <v>#N/A</v>
      </c>
      <c r="B3566" s="105">
        <v>4</v>
      </c>
      <c r="C3566" s="107"/>
      <c r="D3566" s="107"/>
      <c r="E3566" s="107"/>
      <c r="F3566" s="107"/>
      <c r="G3566" s="83"/>
      <c r="H3566" s="83"/>
      <c r="I3566" s="84"/>
      <c r="J3566" s="85"/>
      <c r="K3566" s="382"/>
      <c r="L3566" s="85"/>
      <c r="M3566" s="332" t="str">
        <f t="shared" si="1051"/>
        <v/>
      </c>
      <c r="N3566" s="86"/>
      <c r="O3566" s="453" t="str">
        <f t="shared" si="1053"/>
        <v/>
      </c>
      <c r="P3566" s="538" t="str">
        <f t="shared" si="1054"/>
        <v/>
      </c>
      <c r="Q3566" s="539" t="str">
        <f t="shared" si="1052"/>
        <v/>
      </c>
      <c r="R3566" s="706"/>
      <c r="S3566" s="707"/>
      <c r="T3566" s="708"/>
      <c r="U3566" s="472"/>
      <c r="V3566" s="166"/>
      <c r="W3566" s="446"/>
      <c r="X3566" s="456"/>
      <c r="Y3566" s="436"/>
      <c r="Z3566" s="437"/>
      <c r="AA3566" s="560"/>
      <c r="AB3566" s="561"/>
      <c r="AC3566" s="87"/>
      <c r="AD3566" s="466"/>
      <c r="AE3566" s="456"/>
      <c r="AF3566" s="467"/>
      <c r="AG3566" s="87"/>
      <c r="AH3566" s="87"/>
      <c r="AI3566" s="87"/>
    </row>
    <row r="3567" spans="1:35" hidden="1">
      <c r="A3567" s="80" t="e">
        <f>"E"&amp;E3559</f>
        <v>#N/A</v>
      </c>
      <c r="B3567" s="105">
        <v>5</v>
      </c>
      <c r="C3567" s="107"/>
      <c r="D3567" s="107"/>
      <c r="E3567" s="107"/>
      <c r="F3567" s="107"/>
      <c r="G3567" s="83"/>
      <c r="H3567" s="83"/>
      <c r="I3567" s="84"/>
      <c r="J3567" s="85"/>
      <c r="K3567" s="382"/>
      <c r="L3567" s="85"/>
      <c r="M3567" s="332" t="str">
        <f t="shared" si="1051"/>
        <v/>
      </c>
      <c r="N3567" s="86"/>
      <c r="O3567" s="453" t="str">
        <f t="shared" si="1053"/>
        <v/>
      </c>
      <c r="P3567" s="538" t="str">
        <f t="shared" si="1054"/>
        <v/>
      </c>
      <c r="Q3567" s="539" t="str">
        <f t="shared" si="1052"/>
        <v/>
      </c>
      <c r="R3567" s="706"/>
      <c r="S3567" s="707"/>
      <c r="T3567" s="708"/>
      <c r="U3567" s="472"/>
      <c r="V3567" s="167"/>
      <c r="W3567" s="446"/>
      <c r="X3567" s="456"/>
      <c r="Y3567" s="436"/>
      <c r="Z3567" s="437"/>
      <c r="AA3567" s="560"/>
      <c r="AB3567" s="561"/>
      <c r="AC3567" s="87"/>
      <c r="AD3567" s="466"/>
      <c r="AE3567" s="456"/>
      <c r="AF3567" s="467"/>
      <c r="AG3567" s="87"/>
      <c r="AH3567" s="87"/>
      <c r="AI3567" s="87"/>
    </row>
    <row r="3568" spans="1:35" hidden="1">
      <c r="A3568" s="80" t="e">
        <f>"F"&amp;E3559</f>
        <v>#N/A</v>
      </c>
      <c r="B3568" s="105">
        <v>6</v>
      </c>
      <c r="C3568" s="107"/>
      <c r="D3568" s="107"/>
      <c r="E3568" s="107"/>
      <c r="F3568" s="107"/>
      <c r="G3568" s="83"/>
      <c r="H3568" s="83"/>
      <c r="I3568" s="84"/>
      <c r="J3568" s="85"/>
      <c r="K3568" s="382"/>
      <c r="L3568" s="85"/>
      <c r="M3568" s="332" t="str">
        <f t="shared" si="1051"/>
        <v/>
      </c>
      <c r="N3568" s="86"/>
      <c r="O3568" s="453" t="str">
        <f t="shared" si="1053"/>
        <v/>
      </c>
      <c r="P3568" s="538" t="str">
        <f t="shared" si="1054"/>
        <v/>
      </c>
      <c r="Q3568" s="539" t="str">
        <f t="shared" si="1052"/>
        <v/>
      </c>
      <c r="R3568" s="706"/>
      <c r="S3568" s="707"/>
      <c r="T3568" s="708"/>
      <c r="U3568" s="472"/>
      <c r="V3568" s="167"/>
      <c r="W3568" s="446"/>
      <c r="X3568" s="456"/>
      <c r="Y3568" s="436"/>
      <c r="Z3568" s="437"/>
      <c r="AA3568" s="560"/>
      <c r="AB3568" s="561"/>
      <c r="AC3568" s="87"/>
      <c r="AD3568" s="466"/>
      <c r="AE3568" s="456"/>
      <c r="AF3568" s="467"/>
      <c r="AG3568" s="87"/>
      <c r="AH3568" s="87"/>
      <c r="AI3568" s="87"/>
    </row>
    <row r="3569" spans="1:35" hidden="1">
      <c r="A3569" s="80" t="e">
        <f>"G"&amp;E3559</f>
        <v>#N/A</v>
      </c>
      <c r="B3569" s="105">
        <v>7</v>
      </c>
      <c r="C3569" s="107"/>
      <c r="D3569" s="107"/>
      <c r="E3569" s="107"/>
      <c r="F3569" s="107"/>
      <c r="G3569" s="83"/>
      <c r="H3569" s="83"/>
      <c r="I3569" s="84"/>
      <c r="J3569" s="85"/>
      <c r="K3569" s="382"/>
      <c r="L3569" s="85"/>
      <c r="M3569" s="332" t="str">
        <f t="shared" si="1051"/>
        <v/>
      </c>
      <c r="N3569" s="86"/>
      <c r="O3569" s="86" t="str">
        <f t="shared" si="1053"/>
        <v/>
      </c>
      <c r="P3569" s="538" t="str">
        <f t="shared" si="1054"/>
        <v/>
      </c>
      <c r="Q3569" s="539" t="str">
        <f t="shared" si="1052"/>
        <v/>
      </c>
      <c r="R3569" s="706"/>
      <c r="S3569" s="707"/>
      <c r="T3569" s="708"/>
      <c r="U3569" s="472"/>
      <c r="V3569" s="167"/>
      <c r="W3569" s="446"/>
      <c r="X3569" s="456"/>
      <c r="Y3569" s="436"/>
      <c r="Z3569" s="437"/>
      <c r="AA3569" s="560"/>
      <c r="AB3569" s="561"/>
      <c r="AC3569" s="87"/>
      <c r="AD3569" s="466"/>
      <c r="AE3569" s="456"/>
      <c r="AF3569" s="467"/>
      <c r="AG3569" s="87"/>
      <c r="AH3569" s="87"/>
      <c r="AI3569" s="87"/>
    </row>
    <row r="3570" spans="1:35" hidden="1">
      <c r="A3570" s="80" t="e">
        <f>"H"&amp;E3559</f>
        <v>#N/A</v>
      </c>
      <c r="B3570" s="105">
        <v>8</v>
      </c>
      <c r="C3570" s="107"/>
      <c r="D3570" s="107"/>
      <c r="E3570" s="107"/>
      <c r="F3570" s="107"/>
      <c r="G3570" s="83"/>
      <c r="H3570" s="83"/>
      <c r="I3570" s="84"/>
      <c r="J3570" s="85"/>
      <c r="K3570" s="382"/>
      <c r="L3570" s="85"/>
      <c r="M3570" s="332" t="str">
        <f t="shared" si="1051"/>
        <v/>
      </c>
      <c r="N3570" s="453"/>
      <c r="O3570" s="86" t="str">
        <f t="shared" si="1053"/>
        <v/>
      </c>
      <c r="P3570" s="538" t="str">
        <f t="shared" si="1054"/>
        <v/>
      </c>
      <c r="Q3570" s="539" t="str">
        <f t="shared" si="1052"/>
        <v/>
      </c>
      <c r="R3570" s="706"/>
      <c r="S3570" s="707"/>
      <c r="T3570" s="708"/>
      <c r="U3570" s="472"/>
      <c r="V3570" s="167"/>
      <c r="W3570" s="446"/>
      <c r="X3570" s="456"/>
      <c r="Y3570" s="436"/>
      <c r="Z3570" s="437"/>
      <c r="AA3570" s="560"/>
      <c r="AB3570" s="561"/>
      <c r="AC3570" s="87"/>
      <c r="AD3570" s="466"/>
      <c r="AE3570" s="456"/>
      <c r="AF3570" s="467"/>
      <c r="AG3570" s="87"/>
      <c r="AH3570" s="87"/>
      <c r="AI3570" s="87"/>
    </row>
    <row r="3571" spans="1:35" hidden="1">
      <c r="A3571" s="80" t="e">
        <f>"I"&amp;E3559</f>
        <v>#N/A</v>
      </c>
      <c r="B3571" s="105">
        <v>9</v>
      </c>
      <c r="C3571" s="107"/>
      <c r="D3571" s="107"/>
      <c r="E3571" s="107"/>
      <c r="F3571" s="107"/>
      <c r="G3571" s="83"/>
      <c r="H3571" s="83"/>
      <c r="I3571" s="84"/>
      <c r="J3571" s="85"/>
      <c r="K3571" s="382"/>
      <c r="L3571" s="85"/>
      <c r="M3571" s="332" t="str">
        <f t="shared" si="1051"/>
        <v/>
      </c>
      <c r="N3571" s="453"/>
      <c r="O3571" s="86" t="str">
        <f t="shared" si="1053"/>
        <v/>
      </c>
      <c r="P3571" s="538" t="str">
        <f t="shared" si="1054"/>
        <v/>
      </c>
      <c r="Q3571" s="539" t="str">
        <f t="shared" si="1052"/>
        <v/>
      </c>
      <c r="R3571" s="706"/>
      <c r="S3571" s="707"/>
      <c r="T3571" s="708"/>
      <c r="U3571" s="472"/>
      <c r="V3571" s="167"/>
      <c r="W3571" s="446"/>
      <c r="X3571" s="456"/>
      <c r="Y3571" s="436"/>
      <c r="Z3571" s="437"/>
      <c r="AA3571" s="560"/>
      <c r="AB3571" s="561"/>
      <c r="AC3571" s="87"/>
      <c r="AD3571" s="466"/>
      <c r="AE3571" s="456"/>
      <c r="AF3571" s="467"/>
      <c r="AG3571" s="87"/>
      <c r="AH3571" s="87"/>
      <c r="AI3571" s="87"/>
    </row>
    <row r="3572" spans="1:35" hidden="1">
      <c r="A3572" s="80" t="e">
        <f>"J"&amp;E3559</f>
        <v>#N/A</v>
      </c>
      <c r="B3572" s="105">
        <v>10</v>
      </c>
      <c r="C3572" s="107"/>
      <c r="D3572" s="107"/>
      <c r="E3572" s="107"/>
      <c r="F3572" s="107"/>
      <c r="G3572" s="83"/>
      <c r="H3572" s="83"/>
      <c r="I3572" s="84"/>
      <c r="J3572" s="85"/>
      <c r="K3572" s="382"/>
      <c r="L3572" s="85"/>
      <c r="M3572" s="332" t="str">
        <f t="shared" si="1051"/>
        <v/>
      </c>
      <c r="N3572" s="453"/>
      <c r="O3572" s="86" t="str">
        <f t="shared" si="1053"/>
        <v/>
      </c>
      <c r="P3572" s="538" t="str">
        <f t="shared" si="1054"/>
        <v/>
      </c>
      <c r="Q3572" s="539" t="str">
        <f t="shared" si="1052"/>
        <v/>
      </c>
      <c r="R3572" s="706"/>
      <c r="S3572" s="707"/>
      <c r="T3572" s="708"/>
      <c r="U3572" s="472"/>
      <c r="V3572" s="167"/>
      <c r="W3572" s="446"/>
      <c r="X3572" s="456"/>
      <c r="Y3572" s="436"/>
      <c r="Z3572" s="437"/>
      <c r="AA3572" s="560"/>
      <c r="AB3572" s="561"/>
      <c r="AC3572" s="87"/>
      <c r="AD3572" s="466"/>
      <c r="AE3572" s="456"/>
      <c r="AF3572" s="467"/>
      <c r="AG3572" s="87"/>
      <c r="AH3572" s="87"/>
      <c r="AI3572" s="87"/>
    </row>
    <row r="3573" spans="1:35" ht="16.5" hidden="1" thickBot="1">
      <c r="A3573" s="44"/>
      <c r="B3573" s="89"/>
      <c r="C3573" s="90"/>
      <c r="D3573" s="90"/>
      <c r="E3573" s="90"/>
      <c r="F3573" s="90"/>
      <c r="G3573" s="90"/>
      <c r="H3573" s="90"/>
      <c r="I3573" s="90"/>
      <c r="J3573" s="90"/>
      <c r="K3573" s="90"/>
      <c r="L3573" s="90"/>
      <c r="M3573" s="90"/>
      <c r="N3573" s="90"/>
      <c r="O3573" s="90"/>
      <c r="P3573" s="90"/>
      <c r="Q3573" s="90"/>
      <c r="R3573" s="90"/>
      <c r="S3573" s="91"/>
      <c r="T3573" s="92"/>
      <c r="U3573" s="473"/>
      <c r="W3573" s="438"/>
      <c r="X3573" s="455"/>
      <c r="Y3573" s="439"/>
      <c r="Z3573" s="437"/>
      <c r="AA3573" s="530"/>
      <c r="AB3573" s="563"/>
      <c r="AC3573" s="87"/>
      <c r="AD3573" s="440"/>
      <c r="AE3573" s="441"/>
      <c r="AF3573" s="442"/>
      <c r="AG3573" s="49"/>
      <c r="AH3573" s="87"/>
      <c r="AI3573" s="87"/>
    </row>
    <row r="3574" spans="1:35" ht="16.5" hidden="1" thickBot="1">
      <c r="A3574" s="93"/>
      <c r="B3574" s="94"/>
      <c r="C3574" s="96"/>
      <c r="D3574" s="96"/>
      <c r="E3574" s="96"/>
      <c r="F3574" s="96"/>
      <c r="G3574" s="96"/>
      <c r="H3574" s="96"/>
      <c r="I3574" s="96"/>
      <c r="J3574" s="96"/>
      <c r="K3574" s="96"/>
      <c r="L3574" s="96"/>
      <c r="M3574" s="136"/>
      <c r="N3574" s="96"/>
      <c r="O3574" s="96"/>
      <c r="P3574" s="97"/>
      <c r="Q3574" s="97"/>
      <c r="R3574" s="98"/>
      <c r="S3574" s="95"/>
      <c r="T3574" s="99"/>
      <c r="U3574" s="469"/>
      <c r="AC3574" s="58"/>
      <c r="AG3574" s="58"/>
      <c r="AH3574" s="87"/>
      <c r="AI3574" s="87"/>
    </row>
    <row r="3575" spans="1:35" ht="16.5" hidden="1" thickBot="1">
      <c r="B3575" s="101"/>
      <c r="C3575" s="101"/>
      <c r="D3575" s="101"/>
      <c r="E3575" s="101"/>
      <c r="F3575" s="101"/>
      <c r="G3575" s="101"/>
      <c r="H3575" s="101"/>
      <c r="I3575" s="101"/>
      <c r="J3575" s="101"/>
      <c r="K3575" s="101"/>
      <c r="L3575" s="101"/>
      <c r="M3575" s="101"/>
      <c r="N3575" s="101"/>
      <c r="O3575" s="101"/>
      <c r="P3575" s="101"/>
      <c r="Q3575" s="101"/>
      <c r="R3575" s="101"/>
      <c r="S3575" s="101"/>
      <c r="U3575" s="50"/>
      <c r="AH3575" s="87"/>
      <c r="AI3575" s="87"/>
    </row>
    <row r="3576" spans="1:35" ht="16.5" hidden="1" customHeight="1" thickBot="1">
      <c r="A3576" s="44"/>
      <c r="B3576" s="705" t="s">
        <v>74</v>
      </c>
      <c r="C3576" s="705"/>
      <c r="D3576" s="705"/>
      <c r="E3576" s="705"/>
      <c r="F3576" s="705"/>
      <c r="G3576" s="705"/>
      <c r="H3576" s="705"/>
      <c r="I3576" s="705"/>
      <c r="J3576" s="705"/>
      <c r="K3576" s="705"/>
      <c r="L3576" s="705"/>
      <c r="M3576" s="705"/>
      <c r="N3576" s="705"/>
      <c r="O3576" s="705"/>
      <c r="P3576" s="705"/>
      <c r="Q3576" s="705"/>
      <c r="R3576" s="705"/>
      <c r="S3576" s="705"/>
      <c r="T3576" s="705"/>
      <c r="U3576" s="108"/>
      <c r="Y3576" s="532" t="s">
        <v>341</v>
      </c>
      <c r="AC3576" s="49"/>
      <c r="AD3576" s="687" t="s">
        <v>302</v>
      </c>
      <c r="AE3576" s="688"/>
      <c r="AF3576" s="689"/>
      <c r="AG3576" s="49"/>
      <c r="AH3576" s="87"/>
      <c r="AI3576" s="87"/>
    </row>
    <row r="3577" spans="1:35" ht="16.5" hidden="1" customHeight="1" thickBot="1">
      <c r="A3577" s="218" t="e">
        <f>"K"&amp;E3559</f>
        <v>#N/A</v>
      </c>
      <c r="B3577" s="701" t="s">
        <v>71</v>
      </c>
      <c r="C3577" s="751" t="s">
        <v>102</v>
      </c>
      <c r="D3577" s="751"/>
      <c r="E3577" s="751"/>
      <c r="F3577" s="751"/>
      <c r="G3577" s="751"/>
      <c r="H3577" s="751"/>
      <c r="I3577" s="751"/>
      <c r="J3577" s="751"/>
      <c r="K3577" s="751"/>
      <c r="L3577" s="722" t="s">
        <v>100</v>
      </c>
      <c r="M3577" s="747" t="s">
        <v>114</v>
      </c>
      <c r="N3577" s="747"/>
      <c r="O3577" s="747"/>
      <c r="P3577" s="747"/>
      <c r="Q3577" s="748"/>
      <c r="R3577" s="758" t="s">
        <v>280</v>
      </c>
      <c r="S3577" s="748"/>
      <c r="T3577" s="762" t="str">
        <f>IF(COUNTIF(AE3577:AF3577,"VERIFICAR")&gt;0,"VERIFICAR",IF(COUNTIF(AE3577:AF3577,"NO CUMPLE")&gt;0,"NO CUMPLE","CUMPLE"))</f>
        <v>VERIFICAR</v>
      </c>
      <c r="U3577" s="108"/>
      <c r="Y3577" s="533" t="e">
        <f>IF(F3578="","",IF(F3578=1,"INDIVIDUAL","ESTRUCTURA PLURAL"))</f>
        <v>#N/A</v>
      </c>
      <c r="AC3577" s="52"/>
      <c r="AD3577" s="475" t="s">
        <v>303</v>
      </c>
      <c r="AE3577" s="476" t="str">
        <f>IF(COUNTIF(AE3563:AE3572,"")=10,"VERIFICAR",IF(COUNTIF(AE3563:AE3572,"SI")&gt;0,"CUMPLE","NO CUMPLE"))</f>
        <v>VERIFICAR</v>
      </c>
      <c r="AF3577" s="477" t="str">
        <f>IF(COUNTIF(AF3563:AF3572,"")=10,"VERIFICAR",IF(COUNTIF(AF3563:AF3572,"SI")&gt;=$AI$22,"CUMPLE","NO CUMPLE"))</f>
        <v>VERIFICAR</v>
      </c>
      <c r="AG3577" s="52"/>
      <c r="AH3577" s="87"/>
      <c r="AI3577" s="87"/>
    </row>
    <row r="3578" spans="1:35" ht="15.75" hidden="1" customHeight="1" thickBot="1">
      <c r="A3578" s="218" t="e">
        <f>"L"&amp;E3559</f>
        <v>#N/A</v>
      </c>
      <c r="B3578" s="702"/>
      <c r="C3578" s="751" t="s">
        <v>103</v>
      </c>
      <c r="D3578" s="751"/>
      <c r="E3578" s="752"/>
      <c r="F3578" s="557" t="e">
        <f>IF(VLOOKUP(E3559,PROPONENTES!$C$19:$E$218,3,0)="","",VLOOKUP(E3559,PROPONENTES!$C$19:$E$218,3,0))</f>
        <v>#N/A</v>
      </c>
      <c r="G3578" s="753" t="s">
        <v>104</v>
      </c>
      <c r="H3578" s="751"/>
      <c r="I3578" s="715" t="e">
        <f>IF(OR(F3578="",F3578=1),"INTERESADO PERSONA NATURAL O JURIDICA","CONSORCIO O UNION TEMPORAL")</f>
        <v>#N/A</v>
      </c>
      <c r="J3578" s="725"/>
      <c r="K3578" s="728"/>
      <c r="L3578" s="723"/>
      <c r="M3578" s="749"/>
      <c r="N3578" s="749"/>
      <c r="O3578" s="749"/>
      <c r="P3578" s="749"/>
      <c r="Q3578" s="750"/>
      <c r="R3578" s="712"/>
      <c r="S3578" s="750"/>
      <c r="T3578" s="763"/>
      <c r="U3578" s="108"/>
      <c r="Y3578" s="534"/>
      <c r="AA3578" s="52"/>
      <c r="AB3578" s="52"/>
      <c r="AC3578" s="52"/>
      <c r="AG3578" s="52"/>
      <c r="AH3578" s="87"/>
      <c r="AI3578" s="87"/>
    </row>
    <row r="3579" spans="1:35" ht="56.25" hidden="1" customHeight="1" thickBot="1">
      <c r="A3579" s="218" t="e">
        <f>"M"&amp;E3559</f>
        <v>#N/A</v>
      </c>
      <c r="B3579" s="702"/>
      <c r="C3579" s="725" t="s">
        <v>101</v>
      </c>
      <c r="D3579" s="716"/>
      <c r="E3579" s="558" t="s">
        <v>105</v>
      </c>
      <c r="F3579" s="554" t="s">
        <v>87</v>
      </c>
      <c r="G3579" s="553" t="s">
        <v>86</v>
      </c>
      <c r="H3579" s="559" t="s">
        <v>85</v>
      </c>
      <c r="I3579" s="554" t="s">
        <v>252</v>
      </c>
      <c r="J3579" s="553" t="str">
        <f>"¿EL INTEGRANTE TIENE UNA PARTICIPACIÓN DEL "&amp;PORCREQUERIDOINT*100&amp;"%?"</f>
        <v>¿EL INTEGRANTE TIENE UNA PARTICIPACIÓN DEL 60%?</v>
      </c>
      <c r="K3579" s="554" t="s">
        <v>107</v>
      </c>
      <c r="L3579" s="724"/>
      <c r="M3579" s="717" t="s">
        <v>115</v>
      </c>
      <c r="N3579" s="718"/>
      <c r="O3579" s="718"/>
      <c r="P3579" s="718"/>
      <c r="Q3579" s="223">
        <f>IF(AND(H3563="SI",P3563&gt;=0),1,0)+IF(AND(H3564="SI",P3564&gt;=0),1,0)+IF(AND(H3565="SI",P3565&gt;=0),1,0)+IF(AND(H3566="SI",P3566&gt;=0),1,0)+IF(AND(H3567="SI",P3567&gt;=0),1,0)+IF(AND(H3568="SI",P3568&gt;=0),1,0)+IF(AND(H3569="SI",P3569&gt;=0),1,0)+IF(AND(H3570="SI",P3570&gt;=0),1,0)+IF(AND(H3571="SI",P3571&gt;=0),1,0)+IF(AND(H3572="SI",P3572&gt;=0),1,0)</f>
        <v>0</v>
      </c>
      <c r="R3579" s="759"/>
      <c r="S3579" s="761"/>
      <c r="T3579" s="764"/>
      <c r="U3579" s="219"/>
      <c r="V3579" s="464"/>
      <c r="Y3579" s="532" t="s">
        <v>342</v>
      </c>
      <c r="AA3579" s="550" t="s">
        <v>344</v>
      </c>
      <c r="AB3579" s="693" t="s">
        <v>345</v>
      </c>
      <c r="AC3579" s="693" t="s">
        <v>346</v>
      </c>
      <c r="AD3579" s="685" t="s">
        <v>347</v>
      </c>
      <c r="AE3579" s="52"/>
      <c r="AF3579" s="52"/>
      <c r="AG3579" s="52"/>
      <c r="AH3579" s="87"/>
      <c r="AI3579" s="87"/>
    </row>
    <row r="3580" spans="1:35" ht="15.75" hidden="1" customHeight="1" thickBot="1">
      <c r="A3580" s="218" t="e">
        <f>"N"&amp;E3559</f>
        <v>#N/A</v>
      </c>
      <c r="B3580" s="702"/>
      <c r="C3580" s="114">
        <v>1</v>
      </c>
      <c r="D3580" s="194" t="e">
        <f>IF(AND(C3580&lt;=F3578,F3578&gt;1,F3578&lt;&gt;""),VLOOKUP(VALUE(E3559&amp;","&amp;C3580),INTEGRANTES!$D$18:$F$235,2,0),"")</f>
        <v>#N/A</v>
      </c>
      <c r="E3580" s="211" t="e">
        <f>IF(D3580&lt;&gt;"",VLOOKUP(VALUE(E3559&amp;","&amp;C3580),INTEGRANTES!$D$18:$F$235,3,0),"")</f>
        <v>#N/A</v>
      </c>
      <c r="F3580" s="547" t="e">
        <f>IF(D3580="","",SUMIF($I3563:$I3572,D3580,$P3563:$P3572))</f>
        <v>#N/A</v>
      </c>
      <c r="G3580" s="333" t="e">
        <f>IF(D3580="","",SUMIF($I3563:$I3572,D3580,$M3563:$M3572))</f>
        <v>#N/A</v>
      </c>
      <c r="H3580" s="535" t="e">
        <f t="shared" ref="H3580:H3585" si="1055">IF(D3580="","",IF(OR(F3580=0,G3580=0),"NO APORTA",ROUND($F3580/$G3580,3)))</f>
        <v>#N/A</v>
      </c>
      <c r="I3580" s="212" t="e">
        <f>IF(D3580="","",IF(H3580="NO APORTA","NO",IF(H3580=MAX($H3580:$H3585),"SI","NO")))</f>
        <v>#N/A</v>
      </c>
      <c r="J3580" s="213" t="e">
        <f t="shared" ref="J3580:J3585" si="1056">IF(D3580="","",IF(E3580&gt;=PORCREQUERIDOINT,"SI","NO"))</f>
        <v>#N/A</v>
      </c>
      <c r="K3580" s="200" t="e">
        <f t="shared" ref="K3580:K3585" si="1057">IF(D3580="","",IF(AND(I3580="SI",J3580="SI"),"CUMPLE",IF(AND(I3580="NO",OR(J3580="SI",J3580="NO")),"","NO CUMPLE")))</f>
        <v>#N/A</v>
      </c>
      <c r="L3580" s="722" t="s">
        <v>108</v>
      </c>
      <c r="M3580" s="726" t="s">
        <v>119</v>
      </c>
      <c r="N3580" s="726"/>
      <c r="O3580" s="726"/>
      <c r="P3580" s="726"/>
      <c r="Q3580" s="727"/>
      <c r="R3580" s="758" t="s">
        <v>80</v>
      </c>
      <c r="S3580" s="747"/>
      <c r="T3580" s="748"/>
      <c r="U3580" s="219"/>
      <c r="V3580" s="464"/>
      <c r="Y3580" s="533" t="e">
        <f>IF(Y3577="","",IF(Y3577="INDIVIDUAL","NO APLICA","VERIFICAR CUADRO"))</f>
        <v>#N/A</v>
      </c>
      <c r="AA3580" s="551"/>
      <c r="AB3580" s="694"/>
      <c r="AC3580" s="694"/>
      <c r="AD3580" s="686"/>
      <c r="AE3580" s="52"/>
      <c r="AF3580" s="52"/>
      <c r="AG3580" s="52"/>
      <c r="AH3580" s="87"/>
      <c r="AI3580" s="87"/>
    </row>
    <row r="3581" spans="1:35" ht="27" hidden="1" customHeight="1" thickBot="1">
      <c r="A3581" s="218" t="e">
        <f>"O"&amp;E3559</f>
        <v>#N/A</v>
      </c>
      <c r="B3581" s="702"/>
      <c r="C3581" s="114">
        <v>2</v>
      </c>
      <c r="D3581" s="194" t="e">
        <f>IF(AND(C3581&lt;=F3578,F3578&lt;&gt;""),VLOOKUP(VALUE(E3559&amp;","&amp;C3581),INTEGRANTES!$D$18:$F$235,2,0),"")</f>
        <v>#N/A</v>
      </c>
      <c r="E3581" s="211" t="e">
        <f>IF(D3581&lt;&gt;"",VLOOKUP(VALUE(E3559&amp;","&amp;C3581),INTEGRANTES!$D$18:$F$235,3,0),"")</f>
        <v>#N/A</v>
      </c>
      <c r="F3581" s="547" t="e">
        <f>IF(D3581="","",SUMIF($I3563:$I3572,D3581,$P3563:$P3572))</f>
        <v>#N/A</v>
      </c>
      <c r="G3581" s="333" t="e">
        <f>IF(D3581="","",SUMIF($I3563:$I3572,D3581,$M3563:$M3572))</f>
        <v>#N/A</v>
      </c>
      <c r="H3581" s="535" t="e">
        <f t="shared" si="1055"/>
        <v>#N/A</v>
      </c>
      <c r="I3581" s="212" t="e">
        <f>IF(D3581="","",IF(H3581="NO APORTA","NO",IF(H3581=MAX($H3580:$H3585),"SI","NO")))</f>
        <v>#N/A</v>
      </c>
      <c r="J3581" s="213" t="e">
        <f t="shared" si="1056"/>
        <v>#N/A</v>
      </c>
      <c r="K3581" s="200" t="e">
        <f t="shared" si="1057"/>
        <v>#N/A</v>
      </c>
      <c r="L3581" s="723"/>
      <c r="M3581" s="715" t="s">
        <v>116</v>
      </c>
      <c r="N3581" s="716"/>
      <c r="O3581" s="556" t="s">
        <v>113</v>
      </c>
      <c r="P3581" s="715" t="s">
        <v>117</v>
      </c>
      <c r="Q3581" s="728"/>
      <c r="R3581" s="759"/>
      <c r="S3581" s="760"/>
      <c r="T3581" s="761"/>
      <c r="U3581" s="219"/>
      <c r="V3581" s="464"/>
      <c r="Y3581" s="414"/>
      <c r="AA3581" s="542" t="e">
        <f>IF(AND(C3580&lt;=F3578,F3578&gt;1,F3578&lt;&gt;""),VLOOKUP(VALUE(E3559&amp;","&amp;C3580),INTEGRANTES!$D$18:$F$235,2,0),"")</f>
        <v>#N/A</v>
      </c>
      <c r="AB3581" s="544" t="e">
        <f t="shared" ref="AB3581:AB3586" si="1058">IF(D3580="","",IF(OR(F3580=0,G3580=0),"NO APORTA",ROUND($F3580/$G3580,3)))</f>
        <v>#N/A</v>
      </c>
      <c r="AC3581" s="529"/>
      <c r="AD3581" s="200" t="e">
        <f t="shared" ref="AD3581:AD3586" si="1059">IF(OR(AA3581="",AB3581=""),"",IF(AND(AC3581="X",AB3581&gt;=EXPREQVTD),"CUMPLE","NO CUMPLE"))</f>
        <v>#N/A</v>
      </c>
      <c r="AE3581" s="52"/>
      <c r="AF3581" s="52"/>
      <c r="AG3581" s="52"/>
      <c r="AH3581" s="87"/>
      <c r="AI3581" s="87"/>
    </row>
    <row r="3582" spans="1:35" ht="16.5" hidden="1" thickBot="1">
      <c r="A3582" s="218" t="e">
        <f>"P"&amp;E3559</f>
        <v>#N/A</v>
      </c>
      <c r="B3582" s="702"/>
      <c r="C3582" s="114">
        <v>3</v>
      </c>
      <c r="D3582" s="194" t="e">
        <f>IF(AND(C3582&lt;=F3578,F3578&lt;&gt;""),VLOOKUP(VALUE(E3559&amp;","&amp;C3582),INTEGRANTES!$D$18:$F$235,2,0),"")</f>
        <v>#N/A</v>
      </c>
      <c r="E3582" s="211" t="e">
        <f>IF(D3582&lt;&gt;"",VLOOKUP(VALUE(E3559&amp;","&amp;C3582),INTEGRANTES!$D$18:$F$235,3,0),"")</f>
        <v>#N/A</v>
      </c>
      <c r="F3582" s="547" t="e">
        <f>IF(D3582="","",SUMIF($I3563:$I3572,D3582,$P3563:$P3572))</f>
        <v>#N/A</v>
      </c>
      <c r="G3582" s="333" t="e">
        <f>IF(D3582="","",SUMIF($I3563:$I3572,D3582,$M3563:$M3572))</f>
        <v>#N/A</v>
      </c>
      <c r="H3582" s="535" t="e">
        <f t="shared" si="1055"/>
        <v>#N/A</v>
      </c>
      <c r="I3582" s="212" t="e">
        <f>IF(D3582="","",IF(H3582="NO APORTA","NO",IF(H3582=MAX($H3580:$H3585),"SI","NO")))</f>
        <v>#N/A</v>
      </c>
      <c r="J3582" s="213" t="e">
        <f t="shared" si="1056"/>
        <v>#N/A</v>
      </c>
      <c r="K3582" s="200" t="e">
        <f t="shared" si="1057"/>
        <v>#N/A</v>
      </c>
      <c r="L3582" s="724"/>
      <c r="M3582" s="729">
        <f>NUMMOD</f>
        <v>1</v>
      </c>
      <c r="N3582" s="730"/>
      <c r="O3582" s="443">
        <f>IF(M3582="","",VLOOKUP(M3582,PRESUPUESTOS!$B$16:$H$16,5,FALSE))</f>
        <v>2</v>
      </c>
      <c r="P3582" s="713">
        <f>IF(OR(COUNTIF(M3563:M3572,"")&gt;=10,Q3579&lt;NUMMINCONT,OR(T3577="NO CUMPLE",T3577="VERIFICAR")),0,ROUND(AVERAGE(M3563:M3572),3))</f>
        <v>0</v>
      </c>
      <c r="Q3582" s="714"/>
      <c r="R3582" s="458"/>
      <c r="S3582" s="459"/>
      <c r="T3582" s="460"/>
      <c r="U3582" s="219"/>
      <c r="V3582" s="464"/>
      <c r="Y3582" s="532" t="str">
        <f>"40% * ("&amp;PRESUPUESTOS!$H$13&amp;")"</f>
        <v>40% * (50% PFMO)</v>
      </c>
      <c r="AA3582" s="540" t="e">
        <f>IF(AND(C3581&lt;=F3578,F3578&lt;&gt;""),VLOOKUP(VALUE(E3559&amp;","&amp;C3581),INTEGRANTES!$D$18:$F$235,2,0),"")</f>
        <v>#N/A</v>
      </c>
      <c r="AB3582" s="545" t="e">
        <f t="shared" si="1058"/>
        <v>#N/A</v>
      </c>
      <c r="AC3582" s="529"/>
      <c r="AD3582" s="200" t="e">
        <f t="shared" si="1059"/>
        <v>#N/A</v>
      </c>
      <c r="AE3582" s="52"/>
      <c r="AF3582" s="52"/>
      <c r="AG3582" s="52"/>
      <c r="AH3582" s="87"/>
      <c r="AI3582" s="87"/>
    </row>
    <row r="3583" spans="1:35" ht="15.75" hidden="1" customHeight="1" thickBot="1">
      <c r="A3583" s="218" t="e">
        <f>"Q"&amp;E3559</f>
        <v>#N/A</v>
      </c>
      <c r="B3583" s="702"/>
      <c r="C3583" s="114">
        <v>4</v>
      </c>
      <c r="D3583" s="194" t="e">
        <f>IF(AND(C3583&lt;=F3578,F3578&lt;&gt;""),VLOOKUP(VALUE(E3559&amp;","&amp;C3583),INTEGRANTES!$D$18:$F$235,2,0),"")</f>
        <v>#N/A</v>
      </c>
      <c r="E3583" s="211" t="e">
        <f>IF(D3583&lt;&gt;"",VLOOKUP(VALUE(E3559&amp;","&amp;C3583),INTEGRANTES!$D$18:$F$235,3,0),"")</f>
        <v>#N/A</v>
      </c>
      <c r="F3583" s="547" t="e">
        <f>IF(D3583="","",SUMIF($I3563:$I3572,D3583,$P3563:$P3572))</f>
        <v>#N/A</v>
      </c>
      <c r="G3583" s="333" t="e">
        <f>IF(D3583="","",SUMIF($I3563:$I3572,D3583,$M3563:$M3572))</f>
        <v>#N/A</v>
      </c>
      <c r="H3583" s="535" t="e">
        <f t="shared" si="1055"/>
        <v>#N/A</v>
      </c>
      <c r="I3583" s="212" t="e">
        <f>IF(D3583="","",IF(H3583="NO APORTA","NO",IF(H3583=MAX($H3580:$H3585),"SI","NO")))</f>
        <v>#N/A</v>
      </c>
      <c r="J3583" s="213" t="e">
        <f t="shared" si="1056"/>
        <v>#N/A</v>
      </c>
      <c r="K3583" s="200" t="e">
        <f t="shared" si="1057"/>
        <v>#N/A</v>
      </c>
      <c r="L3583" s="720" t="s">
        <v>109</v>
      </c>
      <c r="M3583" s="757" t="s">
        <v>120</v>
      </c>
      <c r="N3583" s="726"/>
      <c r="O3583" s="726"/>
      <c r="P3583" s="726"/>
      <c r="Q3583" s="727"/>
      <c r="R3583" s="458"/>
      <c r="S3583" s="459"/>
      <c r="T3583" s="460"/>
      <c r="U3583" s="219"/>
      <c r="V3583" s="464"/>
      <c r="Y3583" s="537">
        <f>0.4*PRESUPUESTOS!$H$16</f>
        <v>10.3124</v>
      </c>
      <c r="AA3583" s="540" t="e">
        <f>IF(AND(C3582&lt;=F3578,F3578&lt;&gt;""),VLOOKUP(VALUE(E3559&amp;","&amp;C3582),INTEGRANTES!$D$18:$F$235,2,0),"")</f>
        <v>#N/A</v>
      </c>
      <c r="AB3583" s="545" t="e">
        <f t="shared" si="1058"/>
        <v>#N/A</v>
      </c>
      <c r="AC3583" s="529"/>
      <c r="AD3583" s="200" t="e">
        <f t="shared" si="1059"/>
        <v>#N/A</v>
      </c>
      <c r="AE3583" s="52"/>
      <c r="AF3583" s="52"/>
      <c r="AG3583" s="52"/>
      <c r="AH3583" s="87"/>
      <c r="AI3583" s="87"/>
    </row>
    <row r="3584" spans="1:35" ht="27" hidden="1" customHeight="1" thickBot="1">
      <c r="A3584" s="218" t="e">
        <f>"R"&amp;E3559</f>
        <v>#N/A</v>
      </c>
      <c r="B3584" s="702"/>
      <c r="C3584" s="114">
        <v>5</v>
      </c>
      <c r="D3584" s="194" t="e">
        <f>IF(AND(C3584&lt;=F3578,F3578&lt;&gt;""),VLOOKUP(VALUE(E3559&amp;","&amp;C3584),INTEGRANTES!$D$18:$F$235,2,0),"")</f>
        <v>#N/A</v>
      </c>
      <c r="E3584" s="211" t="e">
        <f>IF(D3584&lt;&gt;"",VLOOKUP(VALUE(E3559&amp;","&amp;C3584),INTEGRANTES!$D$18:$F$235,3,0),"")</f>
        <v>#N/A</v>
      </c>
      <c r="F3584" s="547" t="e">
        <f>IF(D3584="","",SUMIF($I3563:$I3572,D3584,$P3563:$P3572))</f>
        <v>#N/A</v>
      </c>
      <c r="G3584" s="333" t="e">
        <f>IF(D3584="","",SUMIF($I3563:$I3572,D3584,$M3563:$M3572))</f>
        <v>#N/A</v>
      </c>
      <c r="H3584" s="535" t="e">
        <f t="shared" si="1055"/>
        <v>#N/A</v>
      </c>
      <c r="I3584" s="212" t="e">
        <f>IF(D3584="","",IF(H3584="NO APORTA","NO",IF(H3584=MAX($H3580:$H3585),"SI","NO")))</f>
        <v>#N/A</v>
      </c>
      <c r="J3584" s="213" t="e">
        <f t="shared" si="1056"/>
        <v>#N/A</v>
      </c>
      <c r="K3584" s="200" t="e">
        <f t="shared" si="1057"/>
        <v>#N/A</v>
      </c>
      <c r="L3584" s="721"/>
      <c r="M3584" s="715" t="s">
        <v>116</v>
      </c>
      <c r="N3584" s="716"/>
      <c r="O3584" s="556" t="str">
        <f>PORCREQUERIDO*100&amp;"% PMFO DEL MÓDULO"</f>
        <v>50% PMFO DEL MÓDULO</v>
      </c>
      <c r="P3584" s="715" t="s">
        <v>118</v>
      </c>
      <c r="Q3584" s="728"/>
      <c r="R3584" s="458"/>
      <c r="S3584" s="459"/>
      <c r="T3584" s="460"/>
      <c r="U3584" s="219"/>
      <c r="V3584" s="464"/>
      <c r="Y3584" s="414"/>
      <c r="AA3584" s="540" t="e">
        <f>IF(AND(C3583&lt;=F3578,F3578&lt;&gt;""),VLOOKUP(VALUE(E3559&amp;","&amp;C3583),INTEGRANTES!$D$18:$F$235,2,0),"")</f>
        <v>#N/A</v>
      </c>
      <c r="AB3584" s="545" t="e">
        <f t="shared" si="1058"/>
        <v>#N/A</v>
      </c>
      <c r="AC3584" s="529"/>
      <c r="AD3584" s="200" t="e">
        <f t="shared" si="1059"/>
        <v>#N/A</v>
      </c>
      <c r="AE3584" s="52"/>
      <c r="AF3584" s="52"/>
      <c r="AG3584" s="52"/>
      <c r="AH3584" s="87"/>
      <c r="AI3584" s="87"/>
    </row>
    <row r="3585" spans="1:35" ht="16.5" hidden="1" thickBot="1">
      <c r="A3585" s="218" t="e">
        <f>"S"&amp;E3559</f>
        <v>#N/A</v>
      </c>
      <c r="B3585" s="702"/>
      <c r="C3585" s="215">
        <v>6</v>
      </c>
      <c r="D3585" s="216" t="e">
        <f>IF(AND(C3585&lt;=F3578,F3578&lt;&gt;""),VLOOKUP(VALUE(E3559&amp;","&amp;C3585),INTEGRANTES!$D$18:$F$235,2,0),"")</f>
        <v>#N/A</v>
      </c>
      <c r="E3585" s="217" t="e">
        <f>IF(D3585&lt;&gt;"",VLOOKUP(VALUE(E3559&amp;","&amp;C3585),INTEGRANTES!$D$18:$F$235,3,0),"")</f>
        <v>#N/A</v>
      </c>
      <c r="F3585" s="548" t="e">
        <f>IF(D3585="","",SUMIF($I3563:$I3572,D3585,$P3563:$P3572))</f>
        <v>#N/A</v>
      </c>
      <c r="G3585" s="334" t="e">
        <f>IF(D3585="","",SUMIF($I3563:$I3572,D3585,$M3563:$M3572))</f>
        <v>#N/A</v>
      </c>
      <c r="H3585" s="536" t="e">
        <f t="shared" si="1055"/>
        <v>#N/A</v>
      </c>
      <c r="I3585" s="214" t="e">
        <f>IF(D3585="","",IF(H3585="NO APORTA","NO",IF(H3585=MAX($H3580:$H3585),"SI","NO")))</f>
        <v>#N/A</v>
      </c>
      <c r="J3585" s="213" t="e">
        <f t="shared" si="1056"/>
        <v>#N/A</v>
      </c>
      <c r="K3585" s="200" t="e">
        <f t="shared" si="1057"/>
        <v>#N/A</v>
      </c>
      <c r="L3585" s="721"/>
      <c r="M3585" s="729">
        <f>NUMMOD</f>
        <v>1</v>
      </c>
      <c r="N3585" s="730"/>
      <c r="O3585" s="443">
        <f>IF(M3585="","",ROUND(VLOOKUP(M3585,PRESUPUESTOS!$B$16:$H$16,7,FALSE),3))</f>
        <v>25.780999999999999</v>
      </c>
      <c r="P3585" s="713">
        <f>IF(OR(COUNTIF(P3563:P3572,"")&gt;=10,Q3579&lt;NUMMINCONT,OR(T3577="NO CUMPLE",T3577="VERIFICAR")),0,ROUND((SUM(P3563:P3572)/SUM(M3563:M3572)),3))</f>
        <v>0</v>
      </c>
      <c r="Q3585" s="714"/>
      <c r="R3585" s="458"/>
      <c r="S3585" s="459"/>
      <c r="T3585" s="460"/>
      <c r="U3585" s="219"/>
      <c r="V3585" s="464"/>
      <c r="Y3585" s="532" t="s">
        <v>343</v>
      </c>
      <c r="AA3585" s="540" t="e">
        <f>IF(AND(C3584&lt;=F3578,F3578&lt;&gt;""),VLOOKUP(VALUE(E3559&amp;","&amp;C3584),INTEGRANTES!$D$18:$F$235,2,0),"")</f>
        <v>#N/A</v>
      </c>
      <c r="AB3585" s="545" t="e">
        <f t="shared" si="1058"/>
        <v>#N/A</v>
      </c>
      <c r="AC3585" s="529"/>
      <c r="AD3585" s="200" t="e">
        <f t="shared" si="1059"/>
        <v>#N/A</v>
      </c>
      <c r="AE3585" s="52"/>
      <c r="AF3585" s="52"/>
      <c r="AG3585" s="52"/>
      <c r="AH3585" s="87"/>
      <c r="AI3585" s="87"/>
    </row>
    <row r="3586" spans="1:35" ht="16.5" hidden="1" customHeight="1" thickBot="1">
      <c r="A3586" s="218" t="e">
        <f>"T"&amp;E3559</f>
        <v>#N/A</v>
      </c>
      <c r="B3586" s="703"/>
      <c r="C3586" s="719"/>
      <c r="D3586" s="719"/>
      <c r="E3586" s="719"/>
      <c r="F3586" s="719"/>
      <c r="G3586" s="719"/>
      <c r="H3586" s="719" t="s">
        <v>110</v>
      </c>
      <c r="I3586" s="719"/>
      <c r="J3586" s="719"/>
      <c r="K3586" s="201" t="str">
        <f>IF(COUNTIF(K3580:K3585,"")=6,"",IF(COUNTIF(K3580:K3585,"CUMPLE")&gt;0,"CUMPLE","NO CUMPLE"))</f>
        <v>NO CUMPLE</v>
      </c>
      <c r="L3586" s="754"/>
      <c r="M3586" s="755"/>
      <c r="N3586" s="755"/>
      <c r="O3586" s="755"/>
      <c r="P3586" s="755"/>
      <c r="Q3586" s="756"/>
      <c r="R3586" s="461"/>
      <c r="S3586" s="462"/>
      <c r="T3586" s="463"/>
      <c r="U3586" s="219"/>
      <c r="V3586" s="464"/>
      <c r="Y3586" s="549" t="e">
        <f>IF(Y3580="NO APLICA","NO APLICA",IF(COUNTIF(AD3581:AD3586,"CUMPLE")&gt;0,"CUMPLE","NO CUMPLE"))</f>
        <v>#N/A</v>
      </c>
      <c r="AA3586" s="541" t="e">
        <f>IF(AND(C3585&lt;=F3578,F3578&lt;&gt;""),VLOOKUP(VALUE(E3559&amp;","&amp;C3585),INTEGRANTES!$D$18:$F$235,2,0),"")</f>
        <v>#N/A</v>
      </c>
      <c r="AB3586" s="546" t="e">
        <f t="shared" si="1058"/>
        <v>#N/A</v>
      </c>
      <c r="AC3586" s="543"/>
      <c r="AD3586" s="201" t="e">
        <f t="shared" si="1059"/>
        <v>#N/A</v>
      </c>
      <c r="AE3586" s="52"/>
      <c r="AF3586" s="52"/>
      <c r="AG3586" s="52"/>
      <c r="AH3586" s="87"/>
      <c r="AI3586" s="87"/>
    </row>
    <row r="3587" spans="1:35" hidden="1">
      <c r="AH3587" s="87"/>
      <c r="AI3587" s="87"/>
    </row>
    <row r="3588" spans="1:35" hidden="1">
      <c r="AH3588" s="87"/>
      <c r="AI3588" s="87"/>
    </row>
    <row r="3589" spans="1:35" ht="24" hidden="1" thickBot="1">
      <c r="A3589" s="61">
        <v>120</v>
      </c>
      <c r="B3589" s="704" t="s">
        <v>51</v>
      </c>
      <c r="C3589" s="704"/>
      <c r="D3589" s="704"/>
      <c r="E3589" s="62" t="e">
        <f>VLOOKUP(A3589,PROPONENTES!$B$19:$E$218,2,FALSE)</f>
        <v>#N/A</v>
      </c>
      <c r="F3589" s="63" t="e">
        <f>VLOOKUP(A3589,PROPONENTES!$B$19:$E$218,3,FALSE)</f>
        <v>#N/A</v>
      </c>
      <c r="G3589" s="64"/>
      <c r="H3589" s="64"/>
      <c r="I3589" s="63"/>
      <c r="J3589" s="63"/>
      <c r="K3589" s="65"/>
      <c r="L3589" s="65"/>
      <c r="M3589" s="64"/>
      <c r="N3589" s="64"/>
      <c r="O3589" s="66"/>
      <c r="P3589" s="66"/>
      <c r="Q3589" s="66"/>
      <c r="R3589" s="66"/>
      <c r="S3589" s="67"/>
      <c r="T3589" s="68"/>
      <c r="U3589" s="68"/>
      <c r="AC3589" s="68"/>
      <c r="AD3589" s="68"/>
      <c r="AE3589" s="68"/>
      <c r="AF3589" s="68"/>
      <c r="AG3589" s="68"/>
      <c r="AH3589" s="87"/>
      <c r="AI3589" s="87"/>
    </row>
    <row r="3590" spans="1:35" ht="15.75" hidden="1" customHeight="1">
      <c r="A3590" s="44"/>
      <c r="B3590" s="709" t="s">
        <v>59</v>
      </c>
      <c r="C3590" s="552" t="s">
        <v>60</v>
      </c>
      <c r="D3590" s="70" t="s">
        <v>17</v>
      </c>
      <c r="E3590" s="70"/>
      <c r="F3590" s="70" t="s">
        <v>61</v>
      </c>
      <c r="G3590" s="71"/>
      <c r="H3590" s="699" t="s">
        <v>62</v>
      </c>
      <c r="I3590" s="699" t="s">
        <v>18</v>
      </c>
      <c r="J3590" s="699" t="s">
        <v>63</v>
      </c>
      <c r="K3590" s="699" t="s">
        <v>64</v>
      </c>
      <c r="L3590" s="699" t="s">
        <v>65</v>
      </c>
      <c r="M3590" s="743" t="s">
        <v>66</v>
      </c>
      <c r="N3590" s="699" t="s">
        <v>282</v>
      </c>
      <c r="O3590" s="745" t="s">
        <v>67</v>
      </c>
      <c r="P3590" s="746"/>
      <c r="Q3590" s="102" t="s">
        <v>75</v>
      </c>
      <c r="R3590" s="731" t="s">
        <v>22</v>
      </c>
      <c r="S3590" s="732"/>
      <c r="T3590" s="733"/>
      <c r="U3590" s="712" t="s">
        <v>298</v>
      </c>
      <c r="W3590" s="690" t="s">
        <v>268</v>
      </c>
      <c r="X3590" s="691"/>
      <c r="Y3590" s="692"/>
      <c r="Z3590" s="428"/>
      <c r="AA3590" s="697" t="s">
        <v>315</v>
      </c>
      <c r="AB3590" s="695" t="s">
        <v>322</v>
      </c>
      <c r="AC3590" s="49"/>
      <c r="AD3590" s="690" t="s">
        <v>297</v>
      </c>
      <c r="AE3590" s="691"/>
      <c r="AF3590" s="692"/>
      <c r="AG3590" s="49"/>
      <c r="AH3590" s="87"/>
      <c r="AI3590" s="87"/>
    </row>
    <row r="3591" spans="1:35" ht="72" hidden="1">
      <c r="A3591" s="44"/>
      <c r="B3591" s="710"/>
      <c r="C3591" s="553" t="s">
        <v>68</v>
      </c>
      <c r="D3591" s="73" t="s">
        <v>3</v>
      </c>
      <c r="E3591" s="73" t="s">
        <v>19</v>
      </c>
      <c r="F3591" s="73" t="s">
        <v>69</v>
      </c>
      <c r="G3591" s="74" t="s">
        <v>70</v>
      </c>
      <c r="H3591" s="700"/>
      <c r="I3591" s="700"/>
      <c r="J3591" s="700"/>
      <c r="K3591" s="700"/>
      <c r="L3591" s="700"/>
      <c r="M3591" s="744"/>
      <c r="N3591" s="700"/>
      <c r="O3591" s="553" t="s">
        <v>279</v>
      </c>
      <c r="P3591" s="73" t="s">
        <v>88</v>
      </c>
      <c r="Q3591" s="555" t="s">
        <v>76</v>
      </c>
      <c r="R3591" s="734"/>
      <c r="S3591" s="735"/>
      <c r="T3591" s="736"/>
      <c r="U3591" s="712"/>
      <c r="W3591" s="429" t="s">
        <v>269</v>
      </c>
      <c r="X3591" s="457" t="s">
        <v>278</v>
      </c>
      <c r="Y3591" s="430" t="s">
        <v>324</v>
      </c>
      <c r="Z3591" s="428"/>
      <c r="AA3591" s="698"/>
      <c r="AB3591" s="696"/>
      <c r="AC3591" s="49"/>
      <c r="AD3591" s="429" t="s">
        <v>292</v>
      </c>
      <c r="AE3591" s="431" t="s">
        <v>300</v>
      </c>
      <c r="AF3591" s="468" t="s">
        <v>301</v>
      </c>
      <c r="AG3591" s="49"/>
      <c r="AH3591" s="87"/>
      <c r="AI3591" s="87"/>
    </row>
    <row r="3592" spans="1:35" hidden="1">
      <c r="A3592" s="44"/>
      <c r="B3592" s="76"/>
      <c r="C3592" s="77"/>
      <c r="D3592" s="77"/>
      <c r="E3592" s="77"/>
      <c r="F3592" s="77"/>
      <c r="G3592" s="77"/>
      <c r="H3592" s="77"/>
      <c r="I3592" s="77"/>
      <c r="J3592" s="77"/>
      <c r="K3592" s="77"/>
      <c r="L3592" s="77"/>
      <c r="M3592" s="77"/>
      <c r="N3592" s="77"/>
      <c r="O3592" s="77"/>
      <c r="P3592" s="77"/>
      <c r="Q3592" s="77"/>
      <c r="R3592" s="77"/>
      <c r="S3592" s="78"/>
      <c r="T3592" s="79"/>
      <c r="U3592" s="109"/>
      <c r="V3592" s="49"/>
      <c r="W3592" s="432"/>
      <c r="X3592" s="454"/>
      <c r="Y3592" s="433"/>
      <c r="Z3592" s="6"/>
      <c r="AA3592" s="500"/>
      <c r="AB3592" s="562"/>
      <c r="AC3592" s="49"/>
      <c r="AD3592" s="210"/>
      <c r="AE3592" s="434"/>
      <c r="AF3592" s="435"/>
      <c r="AG3592" s="49"/>
      <c r="AH3592" s="87"/>
      <c r="AI3592" s="87"/>
    </row>
    <row r="3593" spans="1:35" hidden="1">
      <c r="A3593" s="80" t="e">
        <f>"A"&amp;E3589</f>
        <v>#N/A</v>
      </c>
      <c r="B3593" s="81">
        <v>1</v>
      </c>
      <c r="C3593" s="82"/>
      <c r="D3593" s="82"/>
      <c r="E3593" s="82"/>
      <c r="F3593" s="82"/>
      <c r="G3593" s="83"/>
      <c r="H3593" s="83"/>
      <c r="I3593" s="84"/>
      <c r="J3593" s="85"/>
      <c r="K3593" s="382"/>
      <c r="L3593" s="85"/>
      <c r="M3593" s="332" t="str">
        <f t="shared" ref="M3593:M3602" si="1060">IF(OR(J3593="",L3593="",H3593="NO"),"",IF(OR(J3593&gt;$P$17,J3593&lt;$O$17,L3593&gt;$P$17,AND(J3593&lt;$O$17,L3593&lt;$O$17)),"FUERA DE RANGO",IF(OR(K3593="---",K3593=""),IF(J3593&gt;=$O$17,ROUND((L3593-J3593+1)/360*12,3),ROUND((L3593-$O$17+1)/360*12,3)),IF(J3593&gt;=$O$17,ROUND((L3593-J3593+1)/360*12-ROUND(K3593,3),3),ROUND((L3593-$O$17+1)/360*12-ROUND(K3593,3),3)))))</f>
        <v/>
      </c>
      <c r="N3593" s="86"/>
      <c r="O3593" s="453" t="str">
        <f>IF(OR(G3593="",N3593=""),"",N3593*G3593)</f>
        <v/>
      </c>
      <c r="P3593" s="538" t="str">
        <f>IF(OR(H3593="",M3593="FUERA DE RANGO"),"",IF(OR(L3593&lt;$O$17,L3593&gt;$P$17,L3593="",H3593="NO"),"",IF(OR(N3593="",O3593=""),"",ROUND(O3593,3))))</f>
        <v/>
      </c>
      <c r="Q3593" s="539" t="str">
        <f t="shared" ref="Q3593:Q3602" si="1061">IF(AND(H3593="SI",P3593&lt;&gt;""),ROUND(P3593/M3593,3),"")</f>
        <v/>
      </c>
      <c r="R3593" s="737"/>
      <c r="S3593" s="738"/>
      <c r="T3593" s="739"/>
      <c r="U3593" s="470"/>
      <c r="V3593" s="165"/>
      <c r="W3593" s="446"/>
      <c r="X3593" s="456"/>
      <c r="Y3593" s="436"/>
      <c r="Z3593" s="437"/>
      <c r="AA3593" s="560"/>
      <c r="AB3593" s="561"/>
      <c r="AC3593" s="87"/>
      <c r="AD3593" s="466"/>
      <c r="AE3593" s="456"/>
      <c r="AF3593" s="467"/>
      <c r="AG3593" s="87"/>
      <c r="AH3593" s="87"/>
      <c r="AI3593" s="87"/>
    </row>
    <row r="3594" spans="1:35" hidden="1">
      <c r="A3594" s="80" t="e">
        <f>"B"&amp;E3589</f>
        <v>#N/A</v>
      </c>
      <c r="B3594" s="81">
        <v>2</v>
      </c>
      <c r="C3594" s="106"/>
      <c r="D3594" s="106"/>
      <c r="E3594" s="106"/>
      <c r="F3594" s="106"/>
      <c r="G3594" s="83"/>
      <c r="H3594" s="83"/>
      <c r="I3594" s="84"/>
      <c r="J3594" s="85"/>
      <c r="K3594" s="382"/>
      <c r="L3594" s="85"/>
      <c r="M3594" s="332" t="str">
        <f t="shared" si="1060"/>
        <v/>
      </c>
      <c r="N3594" s="86"/>
      <c r="O3594" s="453" t="str">
        <f t="shared" ref="O3594:O3602" si="1062">IF(OR(G3594="",N3594=""),"",N3594*G3594)</f>
        <v/>
      </c>
      <c r="P3594" s="538" t="str">
        <f t="shared" ref="P3594:P3602" si="1063">IF(OR(H3594="",M3594="FUERA DE RANGO"),"",IF(OR(L3594&lt;$O$17,L3594&gt;$P$17,L3594="",H3594="NO"),"",IF(OR(N3594="",O3594=""),"",ROUND(O3594,3))))</f>
        <v/>
      </c>
      <c r="Q3594" s="539" t="str">
        <f t="shared" si="1061"/>
        <v/>
      </c>
      <c r="R3594" s="740"/>
      <c r="S3594" s="741"/>
      <c r="T3594" s="742"/>
      <c r="U3594" s="471"/>
      <c r="V3594" s="165"/>
      <c r="W3594" s="446"/>
      <c r="X3594" s="456"/>
      <c r="Y3594" s="436"/>
      <c r="Z3594" s="437"/>
      <c r="AA3594" s="560"/>
      <c r="AB3594" s="561"/>
      <c r="AC3594" s="87"/>
      <c r="AD3594" s="466"/>
      <c r="AE3594" s="456"/>
      <c r="AF3594" s="467"/>
      <c r="AG3594" s="87"/>
      <c r="AH3594" s="87"/>
      <c r="AI3594" s="87"/>
    </row>
    <row r="3595" spans="1:35" hidden="1">
      <c r="A3595" s="80" t="e">
        <f>"C"&amp;E3589</f>
        <v>#N/A</v>
      </c>
      <c r="B3595" s="88">
        <v>3</v>
      </c>
      <c r="C3595" s="82"/>
      <c r="D3595" s="82"/>
      <c r="E3595" s="82"/>
      <c r="F3595" s="82"/>
      <c r="G3595" s="83"/>
      <c r="H3595" s="83"/>
      <c r="I3595" s="84"/>
      <c r="J3595" s="85"/>
      <c r="K3595" s="382"/>
      <c r="L3595" s="85"/>
      <c r="M3595" s="332" t="str">
        <f t="shared" si="1060"/>
        <v/>
      </c>
      <c r="N3595" s="86"/>
      <c r="O3595" s="453" t="str">
        <f t="shared" si="1062"/>
        <v/>
      </c>
      <c r="P3595" s="538" t="str">
        <f t="shared" si="1063"/>
        <v/>
      </c>
      <c r="Q3595" s="539" t="str">
        <f t="shared" si="1061"/>
        <v/>
      </c>
      <c r="R3595" s="706"/>
      <c r="S3595" s="707"/>
      <c r="T3595" s="708"/>
      <c r="U3595" s="472"/>
      <c r="V3595" s="166"/>
      <c r="W3595" s="446"/>
      <c r="X3595" s="456"/>
      <c r="Y3595" s="436"/>
      <c r="Z3595" s="437"/>
      <c r="AA3595" s="560"/>
      <c r="AB3595" s="561"/>
      <c r="AC3595" s="87"/>
      <c r="AD3595" s="466"/>
      <c r="AE3595" s="456"/>
      <c r="AF3595" s="467"/>
      <c r="AG3595" s="87"/>
      <c r="AH3595" s="87"/>
      <c r="AI3595" s="87"/>
    </row>
    <row r="3596" spans="1:35" hidden="1">
      <c r="A3596" s="80" t="e">
        <f>"D"&amp;E3589</f>
        <v>#N/A</v>
      </c>
      <c r="B3596" s="105">
        <v>4</v>
      </c>
      <c r="C3596" s="107"/>
      <c r="D3596" s="107"/>
      <c r="E3596" s="107"/>
      <c r="F3596" s="107"/>
      <c r="G3596" s="83"/>
      <c r="H3596" s="83"/>
      <c r="I3596" s="84"/>
      <c r="J3596" s="85"/>
      <c r="K3596" s="382"/>
      <c r="L3596" s="85"/>
      <c r="M3596" s="332" t="str">
        <f t="shared" si="1060"/>
        <v/>
      </c>
      <c r="N3596" s="86"/>
      <c r="O3596" s="453" t="str">
        <f t="shared" si="1062"/>
        <v/>
      </c>
      <c r="P3596" s="538" t="str">
        <f t="shared" si="1063"/>
        <v/>
      </c>
      <c r="Q3596" s="539" t="str">
        <f t="shared" si="1061"/>
        <v/>
      </c>
      <c r="R3596" s="706"/>
      <c r="S3596" s="707"/>
      <c r="T3596" s="708"/>
      <c r="U3596" s="472"/>
      <c r="V3596" s="166"/>
      <c r="W3596" s="446"/>
      <c r="X3596" s="456"/>
      <c r="Y3596" s="436"/>
      <c r="Z3596" s="437"/>
      <c r="AA3596" s="560"/>
      <c r="AB3596" s="561"/>
      <c r="AC3596" s="87"/>
      <c r="AD3596" s="466"/>
      <c r="AE3596" s="456"/>
      <c r="AF3596" s="467"/>
      <c r="AG3596" s="87"/>
      <c r="AH3596" s="87"/>
      <c r="AI3596" s="87"/>
    </row>
    <row r="3597" spans="1:35" hidden="1">
      <c r="A3597" s="80" t="e">
        <f>"E"&amp;E3589</f>
        <v>#N/A</v>
      </c>
      <c r="B3597" s="105">
        <v>5</v>
      </c>
      <c r="C3597" s="107"/>
      <c r="D3597" s="107"/>
      <c r="E3597" s="107"/>
      <c r="F3597" s="107"/>
      <c r="G3597" s="83"/>
      <c r="H3597" s="83"/>
      <c r="I3597" s="84"/>
      <c r="J3597" s="85"/>
      <c r="K3597" s="382"/>
      <c r="L3597" s="85"/>
      <c r="M3597" s="332" t="str">
        <f t="shared" si="1060"/>
        <v/>
      </c>
      <c r="N3597" s="86"/>
      <c r="O3597" s="453" t="str">
        <f t="shared" si="1062"/>
        <v/>
      </c>
      <c r="P3597" s="538" t="str">
        <f t="shared" si="1063"/>
        <v/>
      </c>
      <c r="Q3597" s="539" t="str">
        <f t="shared" si="1061"/>
        <v/>
      </c>
      <c r="R3597" s="706"/>
      <c r="S3597" s="707"/>
      <c r="T3597" s="708"/>
      <c r="U3597" s="472"/>
      <c r="V3597" s="167"/>
      <c r="W3597" s="446"/>
      <c r="X3597" s="456"/>
      <c r="Y3597" s="436"/>
      <c r="Z3597" s="437"/>
      <c r="AA3597" s="560"/>
      <c r="AB3597" s="561"/>
      <c r="AC3597" s="87"/>
      <c r="AD3597" s="466"/>
      <c r="AE3597" s="456"/>
      <c r="AF3597" s="467"/>
      <c r="AG3597" s="87"/>
      <c r="AH3597" s="87"/>
      <c r="AI3597" s="87"/>
    </row>
    <row r="3598" spans="1:35" hidden="1">
      <c r="A3598" s="80" t="e">
        <f>"F"&amp;E3589</f>
        <v>#N/A</v>
      </c>
      <c r="B3598" s="105">
        <v>6</v>
      </c>
      <c r="C3598" s="107"/>
      <c r="D3598" s="107"/>
      <c r="E3598" s="107"/>
      <c r="F3598" s="107"/>
      <c r="G3598" s="83"/>
      <c r="H3598" s="83"/>
      <c r="I3598" s="84"/>
      <c r="J3598" s="85"/>
      <c r="K3598" s="382"/>
      <c r="L3598" s="85"/>
      <c r="M3598" s="332" t="str">
        <f t="shared" si="1060"/>
        <v/>
      </c>
      <c r="N3598" s="86"/>
      <c r="O3598" s="453" t="str">
        <f t="shared" si="1062"/>
        <v/>
      </c>
      <c r="P3598" s="538" t="str">
        <f t="shared" si="1063"/>
        <v/>
      </c>
      <c r="Q3598" s="539" t="str">
        <f t="shared" si="1061"/>
        <v/>
      </c>
      <c r="R3598" s="706"/>
      <c r="S3598" s="707"/>
      <c r="T3598" s="708"/>
      <c r="U3598" s="472"/>
      <c r="V3598" s="167"/>
      <c r="W3598" s="446"/>
      <c r="X3598" s="456"/>
      <c r="Y3598" s="436"/>
      <c r="Z3598" s="437"/>
      <c r="AA3598" s="560"/>
      <c r="AB3598" s="561"/>
      <c r="AC3598" s="87"/>
      <c r="AD3598" s="466"/>
      <c r="AE3598" s="456"/>
      <c r="AF3598" s="467"/>
      <c r="AG3598" s="87"/>
      <c r="AH3598" s="87"/>
      <c r="AI3598" s="87"/>
    </row>
    <row r="3599" spans="1:35" hidden="1">
      <c r="A3599" s="80" t="e">
        <f>"G"&amp;E3589</f>
        <v>#N/A</v>
      </c>
      <c r="B3599" s="105">
        <v>7</v>
      </c>
      <c r="C3599" s="107"/>
      <c r="D3599" s="107"/>
      <c r="E3599" s="107"/>
      <c r="F3599" s="107"/>
      <c r="G3599" s="83"/>
      <c r="H3599" s="83"/>
      <c r="I3599" s="84"/>
      <c r="J3599" s="85"/>
      <c r="K3599" s="382"/>
      <c r="L3599" s="85"/>
      <c r="M3599" s="332" t="str">
        <f t="shared" si="1060"/>
        <v/>
      </c>
      <c r="N3599" s="86"/>
      <c r="O3599" s="86" t="str">
        <f t="shared" si="1062"/>
        <v/>
      </c>
      <c r="P3599" s="538" t="str">
        <f t="shared" si="1063"/>
        <v/>
      </c>
      <c r="Q3599" s="539" t="str">
        <f t="shared" si="1061"/>
        <v/>
      </c>
      <c r="R3599" s="706"/>
      <c r="S3599" s="707"/>
      <c r="T3599" s="708"/>
      <c r="U3599" s="472"/>
      <c r="V3599" s="167"/>
      <c r="W3599" s="446"/>
      <c r="X3599" s="456"/>
      <c r="Y3599" s="436"/>
      <c r="Z3599" s="437"/>
      <c r="AA3599" s="560"/>
      <c r="AB3599" s="561"/>
      <c r="AC3599" s="87"/>
      <c r="AD3599" s="466"/>
      <c r="AE3599" s="456"/>
      <c r="AF3599" s="467"/>
      <c r="AG3599" s="87"/>
      <c r="AH3599" s="87"/>
      <c r="AI3599" s="87"/>
    </row>
    <row r="3600" spans="1:35" hidden="1">
      <c r="A3600" s="80" t="e">
        <f>"H"&amp;E3589</f>
        <v>#N/A</v>
      </c>
      <c r="B3600" s="105">
        <v>8</v>
      </c>
      <c r="C3600" s="107"/>
      <c r="D3600" s="107"/>
      <c r="E3600" s="107"/>
      <c r="F3600" s="107"/>
      <c r="G3600" s="83"/>
      <c r="H3600" s="83"/>
      <c r="I3600" s="84"/>
      <c r="J3600" s="85"/>
      <c r="K3600" s="382"/>
      <c r="L3600" s="85"/>
      <c r="M3600" s="332" t="str">
        <f t="shared" si="1060"/>
        <v/>
      </c>
      <c r="N3600" s="453"/>
      <c r="O3600" s="86" t="str">
        <f t="shared" si="1062"/>
        <v/>
      </c>
      <c r="P3600" s="538" t="str">
        <f t="shared" si="1063"/>
        <v/>
      </c>
      <c r="Q3600" s="539" t="str">
        <f t="shared" si="1061"/>
        <v/>
      </c>
      <c r="R3600" s="706"/>
      <c r="S3600" s="707"/>
      <c r="T3600" s="708"/>
      <c r="U3600" s="472"/>
      <c r="V3600" s="167"/>
      <c r="W3600" s="446"/>
      <c r="X3600" s="456"/>
      <c r="Y3600" s="436"/>
      <c r="Z3600" s="437"/>
      <c r="AA3600" s="560"/>
      <c r="AB3600" s="561"/>
      <c r="AC3600" s="87"/>
      <c r="AD3600" s="466"/>
      <c r="AE3600" s="456"/>
      <c r="AF3600" s="467"/>
      <c r="AG3600" s="87"/>
      <c r="AH3600" s="87"/>
      <c r="AI3600" s="87"/>
    </row>
    <row r="3601" spans="1:35" hidden="1">
      <c r="A3601" s="80" t="e">
        <f>"I"&amp;E3589</f>
        <v>#N/A</v>
      </c>
      <c r="B3601" s="105">
        <v>9</v>
      </c>
      <c r="C3601" s="107"/>
      <c r="D3601" s="107"/>
      <c r="E3601" s="107"/>
      <c r="F3601" s="107"/>
      <c r="G3601" s="83"/>
      <c r="H3601" s="83"/>
      <c r="I3601" s="84"/>
      <c r="J3601" s="85"/>
      <c r="K3601" s="382"/>
      <c r="L3601" s="85"/>
      <c r="M3601" s="332" t="str">
        <f t="shared" si="1060"/>
        <v/>
      </c>
      <c r="N3601" s="453"/>
      <c r="O3601" s="86" t="str">
        <f t="shared" si="1062"/>
        <v/>
      </c>
      <c r="P3601" s="538" t="str">
        <f t="shared" si="1063"/>
        <v/>
      </c>
      <c r="Q3601" s="539" t="str">
        <f t="shared" si="1061"/>
        <v/>
      </c>
      <c r="R3601" s="706"/>
      <c r="S3601" s="707"/>
      <c r="T3601" s="708"/>
      <c r="U3601" s="472"/>
      <c r="V3601" s="167"/>
      <c r="W3601" s="446"/>
      <c r="X3601" s="456"/>
      <c r="Y3601" s="436"/>
      <c r="Z3601" s="437"/>
      <c r="AA3601" s="560"/>
      <c r="AB3601" s="561"/>
      <c r="AC3601" s="87"/>
      <c r="AD3601" s="466"/>
      <c r="AE3601" s="456"/>
      <c r="AF3601" s="467"/>
      <c r="AG3601" s="87"/>
      <c r="AH3601" s="87"/>
      <c r="AI3601" s="87"/>
    </row>
    <row r="3602" spans="1:35" hidden="1">
      <c r="A3602" s="80" t="e">
        <f>"J"&amp;E3589</f>
        <v>#N/A</v>
      </c>
      <c r="B3602" s="105">
        <v>10</v>
      </c>
      <c r="C3602" s="107"/>
      <c r="D3602" s="107"/>
      <c r="E3602" s="107"/>
      <c r="F3602" s="107"/>
      <c r="G3602" s="83"/>
      <c r="H3602" s="83"/>
      <c r="I3602" s="84"/>
      <c r="J3602" s="85"/>
      <c r="K3602" s="382"/>
      <c r="L3602" s="85"/>
      <c r="M3602" s="332" t="str">
        <f t="shared" si="1060"/>
        <v/>
      </c>
      <c r="N3602" s="453"/>
      <c r="O3602" s="86" t="str">
        <f t="shared" si="1062"/>
        <v/>
      </c>
      <c r="P3602" s="538" t="str">
        <f t="shared" si="1063"/>
        <v/>
      </c>
      <c r="Q3602" s="539" t="str">
        <f t="shared" si="1061"/>
        <v/>
      </c>
      <c r="R3602" s="706"/>
      <c r="S3602" s="707"/>
      <c r="T3602" s="708"/>
      <c r="U3602" s="472"/>
      <c r="V3602" s="167"/>
      <c r="W3602" s="446"/>
      <c r="X3602" s="456"/>
      <c r="Y3602" s="436"/>
      <c r="Z3602" s="437"/>
      <c r="AA3602" s="560"/>
      <c r="AB3602" s="561"/>
      <c r="AC3602" s="87"/>
      <c r="AD3602" s="466"/>
      <c r="AE3602" s="456"/>
      <c r="AF3602" s="467"/>
      <c r="AG3602" s="87"/>
      <c r="AH3602" s="87"/>
      <c r="AI3602" s="87"/>
    </row>
    <row r="3603" spans="1:35" ht="16.5" hidden="1" thickBot="1">
      <c r="A3603" s="44"/>
      <c r="B3603" s="89"/>
      <c r="C3603" s="90"/>
      <c r="D3603" s="90"/>
      <c r="E3603" s="90"/>
      <c r="F3603" s="90"/>
      <c r="G3603" s="90"/>
      <c r="H3603" s="90"/>
      <c r="I3603" s="90"/>
      <c r="J3603" s="90"/>
      <c r="K3603" s="90"/>
      <c r="L3603" s="90"/>
      <c r="M3603" s="90"/>
      <c r="N3603" s="90"/>
      <c r="O3603" s="90"/>
      <c r="P3603" s="90"/>
      <c r="Q3603" s="90"/>
      <c r="R3603" s="90"/>
      <c r="S3603" s="91"/>
      <c r="T3603" s="92"/>
      <c r="U3603" s="473"/>
      <c r="W3603" s="438"/>
      <c r="X3603" s="455"/>
      <c r="Y3603" s="439"/>
      <c r="Z3603" s="437"/>
      <c r="AA3603" s="530"/>
      <c r="AB3603" s="563"/>
      <c r="AC3603" s="87"/>
      <c r="AD3603" s="440"/>
      <c r="AE3603" s="441"/>
      <c r="AF3603" s="442"/>
      <c r="AG3603" s="49"/>
      <c r="AH3603" s="87"/>
      <c r="AI3603" s="87"/>
    </row>
    <row r="3604" spans="1:35" ht="16.5" hidden="1" thickBot="1">
      <c r="A3604" s="93"/>
      <c r="B3604" s="94"/>
      <c r="C3604" s="96"/>
      <c r="D3604" s="96"/>
      <c r="E3604" s="96"/>
      <c r="F3604" s="96"/>
      <c r="G3604" s="96"/>
      <c r="H3604" s="96"/>
      <c r="I3604" s="96"/>
      <c r="J3604" s="96"/>
      <c r="K3604" s="96"/>
      <c r="L3604" s="96"/>
      <c r="M3604" s="136"/>
      <c r="N3604" s="96"/>
      <c r="O3604" s="96"/>
      <c r="P3604" s="97"/>
      <c r="Q3604" s="97"/>
      <c r="R3604" s="98"/>
      <c r="S3604" s="95"/>
      <c r="T3604" s="99"/>
      <c r="U3604" s="469"/>
      <c r="AC3604" s="58"/>
      <c r="AG3604" s="58"/>
      <c r="AH3604" s="87"/>
      <c r="AI3604" s="87"/>
    </row>
    <row r="3605" spans="1:35" ht="16.5" hidden="1" thickBot="1">
      <c r="B3605" s="101"/>
      <c r="C3605" s="101"/>
      <c r="D3605" s="101"/>
      <c r="E3605" s="101"/>
      <c r="F3605" s="101"/>
      <c r="G3605" s="101"/>
      <c r="H3605" s="101"/>
      <c r="I3605" s="101"/>
      <c r="J3605" s="101"/>
      <c r="K3605" s="101"/>
      <c r="L3605" s="101"/>
      <c r="M3605" s="101"/>
      <c r="N3605" s="101"/>
      <c r="O3605" s="101"/>
      <c r="P3605" s="101"/>
      <c r="Q3605" s="101"/>
      <c r="R3605" s="101"/>
      <c r="S3605" s="101"/>
      <c r="U3605" s="50"/>
      <c r="AH3605" s="87"/>
      <c r="AI3605" s="87"/>
    </row>
    <row r="3606" spans="1:35" ht="16.5" hidden="1" customHeight="1" thickBot="1">
      <c r="A3606" s="44"/>
      <c r="B3606" s="705" t="s">
        <v>74</v>
      </c>
      <c r="C3606" s="705"/>
      <c r="D3606" s="705"/>
      <c r="E3606" s="705"/>
      <c r="F3606" s="705"/>
      <c r="G3606" s="705"/>
      <c r="H3606" s="705"/>
      <c r="I3606" s="705"/>
      <c r="J3606" s="705"/>
      <c r="K3606" s="705"/>
      <c r="L3606" s="705"/>
      <c r="M3606" s="705"/>
      <c r="N3606" s="705"/>
      <c r="O3606" s="705"/>
      <c r="P3606" s="705"/>
      <c r="Q3606" s="705"/>
      <c r="R3606" s="705"/>
      <c r="S3606" s="705"/>
      <c r="T3606" s="705"/>
      <c r="U3606" s="108"/>
      <c r="Y3606" s="532" t="s">
        <v>341</v>
      </c>
      <c r="AC3606" s="49"/>
      <c r="AD3606" s="687" t="s">
        <v>302</v>
      </c>
      <c r="AE3606" s="688"/>
      <c r="AF3606" s="689"/>
      <c r="AG3606" s="49"/>
      <c r="AH3606" s="87"/>
      <c r="AI3606" s="87"/>
    </row>
    <row r="3607" spans="1:35" ht="16.5" hidden="1" customHeight="1" thickBot="1">
      <c r="A3607" s="218" t="e">
        <f>"K"&amp;E3589</f>
        <v>#N/A</v>
      </c>
      <c r="B3607" s="701" t="s">
        <v>71</v>
      </c>
      <c r="C3607" s="751" t="s">
        <v>102</v>
      </c>
      <c r="D3607" s="751"/>
      <c r="E3607" s="751"/>
      <c r="F3607" s="751"/>
      <c r="G3607" s="751"/>
      <c r="H3607" s="751"/>
      <c r="I3607" s="751"/>
      <c r="J3607" s="751"/>
      <c r="K3607" s="751"/>
      <c r="L3607" s="722" t="s">
        <v>100</v>
      </c>
      <c r="M3607" s="747" t="s">
        <v>114</v>
      </c>
      <c r="N3607" s="747"/>
      <c r="O3607" s="747"/>
      <c r="P3607" s="747"/>
      <c r="Q3607" s="748"/>
      <c r="R3607" s="758" t="s">
        <v>280</v>
      </c>
      <c r="S3607" s="748"/>
      <c r="T3607" s="762" t="str">
        <f>IF(COUNTIF(AE3607:AF3607,"VERIFICAR")&gt;0,"VERIFICAR",IF(COUNTIF(AE3607:AF3607,"NO CUMPLE")&gt;0,"NO CUMPLE","CUMPLE"))</f>
        <v>VERIFICAR</v>
      </c>
      <c r="U3607" s="108"/>
      <c r="Y3607" s="533" t="e">
        <f>IF(F3608="","",IF(F3608=1,"INDIVIDUAL","ESTRUCTURA PLURAL"))</f>
        <v>#N/A</v>
      </c>
      <c r="AC3607" s="52"/>
      <c r="AD3607" s="475" t="s">
        <v>303</v>
      </c>
      <c r="AE3607" s="476" t="str">
        <f>IF(COUNTIF(AE3593:AE3602,"")=10,"VERIFICAR",IF(COUNTIF(AE3593:AE3602,"SI")&gt;0,"CUMPLE","NO CUMPLE"))</f>
        <v>VERIFICAR</v>
      </c>
      <c r="AF3607" s="477" t="str">
        <f>IF(COUNTIF(AF3593:AF3602,"")=10,"VERIFICAR",IF(COUNTIF(AF3593:AF3602,"SI")&gt;=$AI$22,"CUMPLE","NO CUMPLE"))</f>
        <v>VERIFICAR</v>
      </c>
      <c r="AG3607" s="52"/>
      <c r="AH3607" s="87"/>
      <c r="AI3607" s="87"/>
    </row>
    <row r="3608" spans="1:35" ht="15.75" hidden="1" customHeight="1" thickBot="1">
      <c r="A3608" s="218" t="e">
        <f>"L"&amp;E3589</f>
        <v>#N/A</v>
      </c>
      <c r="B3608" s="702"/>
      <c r="C3608" s="751" t="s">
        <v>103</v>
      </c>
      <c r="D3608" s="751"/>
      <c r="E3608" s="752"/>
      <c r="F3608" s="557" t="e">
        <f>IF(VLOOKUP(E3589,PROPONENTES!$C$19:$E$218,3,0)="","",VLOOKUP(E3589,PROPONENTES!$C$19:$E$218,3,0))</f>
        <v>#N/A</v>
      </c>
      <c r="G3608" s="753" t="s">
        <v>104</v>
      </c>
      <c r="H3608" s="751"/>
      <c r="I3608" s="715" t="e">
        <f>IF(OR(F3608="",F3608=1),"INTERESADO PERSONA NATURAL O JURIDICA","CONSORCIO O UNION TEMPORAL")</f>
        <v>#N/A</v>
      </c>
      <c r="J3608" s="725"/>
      <c r="K3608" s="728"/>
      <c r="L3608" s="723"/>
      <c r="M3608" s="749"/>
      <c r="N3608" s="749"/>
      <c r="O3608" s="749"/>
      <c r="P3608" s="749"/>
      <c r="Q3608" s="750"/>
      <c r="R3608" s="712"/>
      <c r="S3608" s="750"/>
      <c r="T3608" s="763"/>
      <c r="U3608" s="108"/>
      <c r="Y3608" s="534"/>
      <c r="AA3608" s="52"/>
      <c r="AB3608" s="52"/>
      <c r="AC3608" s="52"/>
      <c r="AG3608" s="52"/>
      <c r="AH3608" s="87"/>
      <c r="AI3608" s="87"/>
    </row>
    <row r="3609" spans="1:35" ht="56.25" hidden="1" customHeight="1" thickBot="1">
      <c r="A3609" s="218" t="e">
        <f>"M"&amp;E3589</f>
        <v>#N/A</v>
      </c>
      <c r="B3609" s="702"/>
      <c r="C3609" s="725" t="s">
        <v>101</v>
      </c>
      <c r="D3609" s="716"/>
      <c r="E3609" s="558" t="s">
        <v>105</v>
      </c>
      <c r="F3609" s="554" t="s">
        <v>87</v>
      </c>
      <c r="G3609" s="553" t="s">
        <v>86</v>
      </c>
      <c r="H3609" s="559" t="s">
        <v>85</v>
      </c>
      <c r="I3609" s="554" t="s">
        <v>252</v>
      </c>
      <c r="J3609" s="553" t="str">
        <f>"¿EL INTEGRANTE TIENE UNA PARTICIPACIÓN DEL "&amp;PORCREQUERIDOINT*100&amp;"%?"</f>
        <v>¿EL INTEGRANTE TIENE UNA PARTICIPACIÓN DEL 60%?</v>
      </c>
      <c r="K3609" s="554" t="s">
        <v>107</v>
      </c>
      <c r="L3609" s="724"/>
      <c r="M3609" s="717" t="s">
        <v>115</v>
      </c>
      <c r="N3609" s="718"/>
      <c r="O3609" s="718"/>
      <c r="P3609" s="718"/>
      <c r="Q3609" s="223">
        <f>IF(AND(H3593="SI",P3593&gt;=0),1,0)+IF(AND(H3594="SI",P3594&gt;=0),1,0)+IF(AND(H3595="SI",P3595&gt;=0),1,0)+IF(AND(H3596="SI",P3596&gt;=0),1,0)+IF(AND(H3597="SI",P3597&gt;=0),1,0)+IF(AND(H3598="SI",P3598&gt;=0),1,0)+IF(AND(H3599="SI",P3599&gt;=0),1,0)+IF(AND(H3600="SI",P3600&gt;=0),1,0)+IF(AND(H3601="SI",P3601&gt;=0),1,0)+IF(AND(H3602="SI",P3602&gt;=0),1,0)</f>
        <v>0</v>
      </c>
      <c r="R3609" s="759"/>
      <c r="S3609" s="761"/>
      <c r="T3609" s="764"/>
      <c r="U3609" s="219"/>
      <c r="V3609" s="464"/>
      <c r="Y3609" s="532" t="s">
        <v>342</v>
      </c>
      <c r="AA3609" s="550" t="s">
        <v>344</v>
      </c>
      <c r="AB3609" s="693" t="s">
        <v>345</v>
      </c>
      <c r="AC3609" s="693" t="s">
        <v>346</v>
      </c>
      <c r="AD3609" s="685" t="s">
        <v>347</v>
      </c>
      <c r="AE3609" s="52"/>
      <c r="AF3609" s="52"/>
      <c r="AG3609" s="52"/>
      <c r="AH3609" s="87"/>
      <c r="AI3609" s="87"/>
    </row>
    <row r="3610" spans="1:35" ht="15.75" hidden="1" customHeight="1" thickBot="1">
      <c r="A3610" s="218" t="e">
        <f>"N"&amp;E3589</f>
        <v>#N/A</v>
      </c>
      <c r="B3610" s="702"/>
      <c r="C3610" s="114">
        <v>1</v>
      </c>
      <c r="D3610" s="194" t="e">
        <f>IF(AND(C3610&lt;=F3608,F3608&gt;1,F3608&lt;&gt;""),VLOOKUP(VALUE(E3589&amp;","&amp;C3610),INTEGRANTES!$D$18:$F$235,2,0),"")</f>
        <v>#N/A</v>
      </c>
      <c r="E3610" s="211" t="e">
        <f>IF(D3610&lt;&gt;"",VLOOKUP(VALUE(E3589&amp;","&amp;C3610),INTEGRANTES!$D$18:$F$235,3,0),"")</f>
        <v>#N/A</v>
      </c>
      <c r="F3610" s="547" t="e">
        <f>IF(D3610="","",SUMIF($I3593:$I3602,D3610,$P3593:$P3602))</f>
        <v>#N/A</v>
      </c>
      <c r="G3610" s="333" t="e">
        <f>IF(D3610="","",SUMIF($I3593:$I3602,D3610,$M3593:$M3602))</f>
        <v>#N/A</v>
      </c>
      <c r="H3610" s="535" t="e">
        <f t="shared" ref="H3610:H3615" si="1064">IF(D3610="","",IF(OR(F3610=0,G3610=0),"NO APORTA",ROUND($F3610/$G3610,3)))</f>
        <v>#N/A</v>
      </c>
      <c r="I3610" s="212" t="e">
        <f>IF(D3610="","",IF(H3610="NO APORTA","NO",IF(H3610=MAX($H3610:$H3615),"SI","NO")))</f>
        <v>#N/A</v>
      </c>
      <c r="J3610" s="213" t="e">
        <f t="shared" ref="J3610:J3615" si="1065">IF(D3610="","",IF(E3610&gt;=PORCREQUERIDOINT,"SI","NO"))</f>
        <v>#N/A</v>
      </c>
      <c r="K3610" s="200" t="e">
        <f t="shared" ref="K3610:K3615" si="1066">IF(D3610="","",IF(AND(I3610="SI",J3610="SI"),"CUMPLE",IF(AND(I3610="NO",OR(J3610="SI",J3610="NO")),"","NO CUMPLE")))</f>
        <v>#N/A</v>
      </c>
      <c r="L3610" s="722" t="s">
        <v>108</v>
      </c>
      <c r="M3610" s="726" t="s">
        <v>119</v>
      </c>
      <c r="N3610" s="726"/>
      <c r="O3610" s="726"/>
      <c r="P3610" s="726"/>
      <c r="Q3610" s="727"/>
      <c r="R3610" s="758" t="s">
        <v>80</v>
      </c>
      <c r="S3610" s="747"/>
      <c r="T3610" s="748"/>
      <c r="U3610" s="219"/>
      <c r="V3610" s="464"/>
      <c r="Y3610" s="533" t="e">
        <f>IF(Y3607="","",IF(Y3607="INDIVIDUAL","NO APLICA","VERIFICAR CUADRO"))</f>
        <v>#N/A</v>
      </c>
      <c r="AA3610" s="551"/>
      <c r="AB3610" s="694"/>
      <c r="AC3610" s="694"/>
      <c r="AD3610" s="686"/>
      <c r="AE3610" s="52"/>
      <c r="AF3610" s="52"/>
      <c r="AG3610" s="52"/>
      <c r="AH3610" s="87"/>
      <c r="AI3610" s="87"/>
    </row>
    <row r="3611" spans="1:35" ht="27" hidden="1" customHeight="1" thickBot="1">
      <c r="A3611" s="218" t="e">
        <f>"O"&amp;E3589</f>
        <v>#N/A</v>
      </c>
      <c r="B3611" s="702"/>
      <c r="C3611" s="114">
        <v>2</v>
      </c>
      <c r="D3611" s="194" t="e">
        <f>IF(AND(C3611&lt;=F3608,F3608&lt;&gt;""),VLOOKUP(VALUE(E3589&amp;","&amp;C3611),INTEGRANTES!$D$18:$F$235,2,0),"")</f>
        <v>#N/A</v>
      </c>
      <c r="E3611" s="211" t="e">
        <f>IF(D3611&lt;&gt;"",VLOOKUP(VALUE(E3589&amp;","&amp;C3611),INTEGRANTES!$D$18:$F$235,3,0),"")</f>
        <v>#N/A</v>
      </c>
      <c r="F3611" s="547" t="e">
        <f>IF(D3611="","",SUMIF($I3593:$I3602,D3611,$P3593:$P3602))</f>
        <v>#N/A</v>
      </c>
      <c r="G3611" s="333" t="e">
        <f>IF(D3611="","",SUMIF($I3593:$I3602,D3611,$M3593:$M3602))</f>
        <v>#N/A</v>
      </c>
      <c r="H3611" s="535" t="e">
        <f t="shared" si="1064"/>
        <v>#N/A</v>
      </c>
      <c r="I3611" s="212" t="e">
        <f>IF(D3611="","",IF(H3611="NO APORTA","NO",IF(H3611=MAX($H3610:$H3615),"SI","NO")))</f>
        <v>#N/A</v>
      </c>
      <c r="J3611" s="213" t="e">
        <f t="shared" si="1065"/>
        <v>#N/A</v>
      </c>
      <c r="K3611" s="200" t="e">
        <f t="shared" si="1066"/>
        <v>#N/A</v>
      </c>
      <c r="L3611" s="723"/>
      <c r="M3611" s="715" t="s">
        <v>116</v>
      </c>
      <c r="N3611" s="716"/>
      <c r="O3611" s="556" t="s">
        <v>113</v>
      </c>
      <c r="P3611" s="715" t="s">
        <v>117</v>
      </c>
      <c r="Q3611" s="728"/>
      <c r="R3611" s="759"/>
      <c r="S3611" s="760"/>
      <c r="T3611" s="761"/>
      <c r="U3611" s="219"/>
      <c r="V3611" s="464"/>
      <c r="Y3611" s="414"/>
      <c r="AA3611" s="542" t="e">
        <f>IF(AND(C3610&lt;=F3608,F3608&gt;1,F3608&lt;&gt;""),VLOOKUP(VALUE(E3589&amp;","&amp;C3610),INTEGRANTES!$D$18:$F$235,2,0),"")</f>
        <v>#N/A</v>
      </c>
      <c r="AB3611" s="544" t="e">
        <f t="shared" ref="AB3611:AB3616" si="1067">IF(D3610="","",IF(OR(F3610=0,G3610=0),"NO APORTA",ROUND($F3610/$G3610,3)))</f>
        <v>#N/A</v>
      </c>
      <c r="AC3611" s="529"/>
      <c r="AD3611" s="200" t="e">
        <f t="shared" ref="AD3611:AD3616" si="1068">IF(OR(AA3611="",AB3611=""),"",IF(AND(AC3611="X",AB3611&gt;=EXPREQVTD),"CUMPLE","NO CUMPLE"))</f>
        <v>#N/A</v>
      </c>
      <c r="AE3611" s="52"/>
      <c r="AF3611" s="52"/>
      <c r="AG3611" s="52"/>
      <c r="AH3611" s="87"/>
      <c r="AI3611" s="87"/>
    </row>
    <row r="3612" spans="1:35" ht="16.5" hidden="1" thickBot="1">
      <c r="A3612" s="218" t="e">
        <f>"P"&amp;E3589</f>
        <v>#N/A</v>
      </c>
      <c r="B3612" s="702"/>
      <c r="C3612" s="114">
        <v>3</v>
      </c>
      <c r="D3612" s="194" t="e">
        <f>IF(AND(C3612&lt;=F3608,F3608&lt;&gt;""),VLOOKUP(VALUE(E3589&amp;","&amp;C3612),INTEGRANTES!$D$18:$F$235,2,0),"")</f>
        <v>#N/A</v>
      </c>
      <c r="E3612" s="211" t="e">
        <f>IF(D3612&lt;&gt;"",VLOOKUP(VALUE(E3589&amp;","&amp;C3612),INTEGRANTES!$D$18:$F$235,3,0),"")</f>
        <v>#N/A</v>
      </c>
      <c r="F3612" s="547" t="e">
        <f>IF(D3612="","",SUMIF($I3593:$I3602,D3612,$P3593:$P3602))</f>
        <v>#N/A</v>
      </c>
      <c r="G3612" s="333" t="e">
        <f>IF(D3612="","",SUMIF($I3593:$I3602,D3612,$M3593:$M3602))</f>
        <v>#N/A</v>
      </c>
      <c r="H3612" s="535" t="e">
        <f t="shared" si="1064"/>
        <v>#N/A</v>
      </c>
      <c r="I3612" s="212" t="e">
        <f>IF(D3612="","",IF(H3612="NO APORTA","NO",IF(H3612=MAX($H3610:$H3615),"SI","NO")))</f>
        <v>#N/A</v>
      </c>
      <c r="J3612" s="213" t="e">
        <f t="shared" si="1065"/>
        <v>#N/A</v>
      </c>
      <c r="K3612" s="200" t="e">
        <f t="shared" si="1066"/>
        <v>#N/A</v>
      </c>
      <c r="L3612" s="724"/>
      <c r="M3612" s="729">
        <f>NUMMOD</f>
        <v>1</v>
      </c>
      <c r="N3612" s="730"/>
      <c r="O3612" s="443">
        <f>IF(M3612="","",VLOOKUP(M3612,PRESUPUESTOS!$B$16:$H$16,5,FALSE))</f>
        <v>2</v>
      </c>
      <c r="P3612" s="713">
        <f>IF(OR(COUNTIF(M3593:M3602,"")&gt;=10,Q3609&lt;NUMMINCONT,OR(T3607="NO CUMPLE",T3607="VERIFICAR")),0,ROUND(AVERAGE(M3593:M3602),3))</f>
        <v>0</v>
      </c>
      <c r="Q3612" s="714"/>
      <c r="R3612" s="458"/>
      <c r="S3612" s="459"/>
      <c r="T3612" s="460"/>
      <c r="U3612" s="219"/>
      <c r="V3612" s="464"/>
      <c r="Y3612" s="532" t="str">
        <f>"40% * ("&amp;PRESUPUESTOS!$H$13&amp;")"</f>
        <v>40% * (50% PFMO)</v>
      </c>
      <c r="AA3612" s="540" t="e">
        <f>IF(AND(C3611&lt;=F3608,F3608&lt;&gt;""),VLOOKUP(VALUE(E3589&amp;","&amp;C3611),INTEGRANTES!$D$18:$F$235,2,0),"")</f>
        <v>#N/A</v>
      </c>
      <c r="AB3612" s="545" t="e">
        <f t="shared" si="1067"/>
        <v>#N/A</v>
      </c>
      <c r="AC3612" s="529"/>
      <c r="AD3612" s="200" t="e">
        <f t="shared" si="1068"/>
        <v>#N/A</v>
      </c>
      <c r="AE3612" s="52"/>
      <c r="AF3612" s="52"/>
      <c r="AG3612" s="52"/>
      <c r="AH3612" s="87"/>
      <c r="AI3612" s="87"/>
    </row>
    <row r="3613" spans="1:35" ht="15.75" hidden="1" customHeight="1" thickBot="1">
      <c r="A3613" s="218" t="e">
        <f>"Q"&amp;E3589</f>
        <v>#N/A</v>
      </c>
      <c r="B3613" s="702"/>
      <c r="C3613" s="114">
        <v>4</v>
      </c>
      <c r="D3613" s="194" t="e">
        <f>IF(AND(C3613&lt;=F3608,F3608&lt;&gt;""),VLOOKUP(VALUE(E3589&amp;","&amp;C3613),INTEGRANTES!$D$18:$F$235,2,0),"")</f>
        <v>#N/A</v>
      </c>
      <c r="E3613" s="211" t="e">
        <f>IF(D3613&lt;&gt;"",VLOOKUP(VALUE(E3589&amp;","&amp;C3613),INTEGRANTES!$D$18:$F$235,3,0),"")</f>
        <v>#N/A</v>
      </c>
      <c r="F3613" s="547" t="e">
        <f>IF(D3613="","",SUMIF($I3593:$I3602,D3613,$P3593:$P3602))</f>
        <v>#N/A</v>
      </c>
      <c r="G3613" s="333" t="e">
        <f>IF(D3613="","",SUMIF($I3593:$I3602,D3613,$M3593:$M3602))</f>
        <v>#N/A</v>
      </c>
      <c r="H3613" s="535" t="e">
        <f t="shared" si="1064"/>
        <v>#N/A</v>
      </c>
      <c r="I3613" s="212" t="e">
        <f>IF(D3613="","",IF(H3613="NO APORTA","NO",IF(H3613=MAX($H3610:$H3615),"SI","NO")))</f>
        <v>#N/A</v>
      </c>
      <c r="J3613" s="213" t="e">
        <f t="shared" si="1065"/>
        <v>#N/A</v>
      </c>
      <c r="K3613" s="200" t="e">
        <f t="shared" si="1066"/>
        <v>#N/A</v>
      </c>
      <c r="L3613" s="720" t="s">
        <v>109</v>
      </c>
      <c r="M3613" s="757" t="s">
        <v>120</v>
      </c>
      <c r="N3613" s="726"/>
      <c r="O3613" s="726"/>
      <c r="P3613" s="726"/>
      <c r="Q3613" s="727"/>
      <c r="R3613" s="458"/>
      <c r="S3613" s="459"/>
      <c r="T3613" s="460"/>
      <c r="U3613" s="219"/>
      <c r="V3613" s="464"/>
      <c r="Y3613" s="537">
        <f>0.4*PRESUPUESTOS!$H$16</f>
        <v>10.3124</v>
      </c>
      <c r="AA3613" s="540" t="e">
        <f>IF(AND(C3612&lt;=F3608,F3608&lt;&gt;""),VLOOKUP(VALUE(E3589&amp;","&amp;C3612),INTEGRANTES!$D$18:$F$235,2,0),"")</f>
        <v>#N/A</v>
      </c>
      <c r="AB3613" s="545" t="e">
        <f t="shared" si="1067"/>
        <v>#N/A</v>
      </c>
      <c r="AC3613" s="529"/>
      <c r="AD3613" s="200" t="e">
        <f t="shared" si="1068"/>
        <v>#N/A</v>
      </c>
      <c r="AE3613" s="52"/>
      <c r="AF3613" s="52"/>
      <c r="AG3613" s="52"/>
      <c r="AH3613" s="87"/>
      <c r="AI3613" s="87"/>
    </row>
    <row r="3614" spans="1:35" ht="27" hidden="1" customHeight="1" thickBot="1">
      <c r="A3614" s="218" t="e">
        <f>"R"&amp;E3589</f>
        <v>#N/A</v>
      </c>
      <c r="B3614" s="702"/>
      <c r="C3614" s="114">
        <v>5</v>
      </c>
      <c r="D3614" s="194" t="e">
        <f>IF(AND(C3614&lt;=F3608,F3608&lt;&gt;""),VLOOKUP(VALUE(E3589&amp;","&amp;C3614),INTEGRANTES!$D$18:$F$235,2,0),"")</f>
        <v>#N/A</v>
      </c>
      <c r="E3614" s="211" t="e">
        <f>IF(D3614&lt;&gt;"",VLOOKUP(VALUE(E3589&amp;","&amp;C3614),INTEGRANTES!$D$18:$F$235,3,0),"")</f>
        <v>#N/A</v>
      </c>
      <c r="F3614" s="547" t="e">
        <f>IF(D3614="","",SUMIF($I3593:$I3602,D3614,$P3593:$P3602))</f>
        <v>#N/A</v>
      </c>
      <c r="G3614" s="333" t="e">
        <f>IF(D3614="","",SUMIF($I3593:$I3602,D3614,$M3593:$M3602))</f>
        <v>#N/A</v>
      </c>
      <c r="H3614" s="535" t="e">
        <f t="shared" si="1064"/>
        <v>#N/A</v>
      </c>
      <c r="I3614" s="212" t="e">
        <f>IF(D3614="","",IF(H3614="NO APORTA","NO",IF(H3614=MAX($H3610:$H3615),"SI","NO")))</f>
        <v>#N/A</v>
      </c>
      <c r="J3614" s="213" t="e">
        <f t="shared" si="1065"/>
        <v>#N/A</v>
      </c>
      <c r="K3614" s="200" t="e">
        <f t="shared" si="1066"/>
        <v>#N/A</v>
      </c>
      <c r="L3614" s="721"/>
      <c r="M3614" s="715" t="s">
        <v>116</v>
      </c>
      <c r="N3614" s="716"/>
      <c r="O3614" s="556" t="str">
        <f>PORCREQUERIDO*100&amp;"% PMFO DEL MÓDULO"</f>
        <v>50% PMFO DEL MÓDULO</v>
      </c>
      <c r="P3614" s="715" t="s">
        <v>118</v>
      </c>
      <c r="Q3614" s="728"/>
      <c r="R3614" s="458"/>
      <c r="S3614" s="459"/>
      <c r="T3614" s="460"/>
      <c r="U3614" s="219"/>
      <c r="V3614" s="464"/>
      <c r="Y3614" s="414"/>
      <c r="AA3614" s="540" t="e">
        <f>IF(AND(C3613&lt;=F3608,F3608&lt;&gt;""),VLOOKUP(VALUE(E3589&amp;","&amp;C3613),INTEGRANTES!$D$18:$F$235,2,0),"")</f>
        <v>#N/A</v>
      </c>
      <c r="AB3614" s="545" t="e">
        <f t="shared" si="1067"/>
        <v>#N/A</v>
      </c>
      <c r="AC3614" s="529"/>
      <c r="AD3614" s="200" t="e">
        <f t="shared" si="1068"/>
        <v>#N/A</v>
      </c>
      <c r="AE3614" s="52"/>
      <c r="AF3614" s="52"/>
      <c r="AG3614" s="52"/>
      <c r="AH3614" s="87"/>
      <c r="AI3614" s="87"/>
    </row>
    <row r="3615" spans="1:35" ht="16.5" hidden="1" thickBot="1">
      <c r="A3615" s="218" t="e">
        <f>"S"&amp;E3589</f>
        <v>#N/A</v>
      </c>
      <c r="B3615" s="702"/>
      <c r="C3615" s="215">
        <v>6</v>
      </c>
      <c r="D3615" s="216" t="e">
        <f>IF(AND(C3615&lt;=F3608,F3608&lt;&gt;""),VLOOKUP(VALUE(E3589&amp;","&amp;C3615),INTEGRANTES!$D$18:$F$235,2,0),"")</f>
        <v>#N/A</v>
      </c>
      <c r="E3615" s="217" t="e">
        <f>IF(D3615&lt;&gt;"",VLOOKUP(VALUE(E3589&amp;","&amp;C3615),INTEGRANTES!$D$18:$F$235,3,0),"")</f>
        <v>#N/A</v>
      </c>
      <c r="F3615" s="548" t="e">
        <f>IF(D3615="","",SUMIF($I3593:$I3602,D3615,$P3593:$P3602))</f>
        <v>#N/A</v>
      </c>
      <c r="G3615" s="334" t="e">
        <f>IF(D3615="","",SUMIF($I3593:$I3602,D3615,$M3593:$M3602))</f>
        <v>#N/A</v>
      </c>
      <c r="H3615" s="536" t="e">
        <f t="shared" si="1064"/>
        <v>#N/A</v>
      </c>
      <c r="I3615" s="214" t="e">
        <f>IF(D3615="","",IF(H3615="NO APORTA","NO",IF(H3615=MAX($H3610:$H3615),"SI","NO")))</f>
        <v>#N/A</v>
      </c>
      <c r="J3615" s="213" t="e">
        <f t="shared" si="1065"/>
        <v>#N/A</v>
      </c>
      <c r="K3615" s="200" t="e">
        <f t="shared" si="1066"/>
        <v>#N/A</v>
      </c>
      <c r="L3615" s="721"/>
      <c r="M3615" s="729">
        <f>NUMMOD</f>
        <v>1</v>
      </c>
      <c r="N3615" s="730"/>
      <c r="O3615" s="443">
        <f>IF(M3615="","",ROUND(VLOOKUP(M3615,PRESUPUESTOS!$B$16:$H$16,7,FALSE),3))</f>
        <v>25.780999999999999</v>
      </c>
      <c r="P3615" s="713">
        <f>IF(OR(COUNTIF(P3593:P3602,"")&gt;=10,Q3609&lt;NUMMINCONT,OR(T3607="NO CUMPLE",T3607="VERIFICAR")),0,ROUND((SUM(P3593:P3602)/SUM(M3593:M3602)),3))</f>
        <v>0</v>
      </c>
      <c r="Q3615" s="714"/>
      <c r="R3615" s="458"/>
      <c r="S3615" s="459"/>
      <c r="T3615" s="460"/>
      <c r="U3615" s="219"/>
      <c r="V3615" s="464"/>
      <c r="Y3615" s="532" t="s">
        <v>343</v>
      </c>
      <c r="AA3615" s="540" t="e">
        <f>IF(AND(C3614&lt;=F3608,F3608&lt;&gt;""),VLOOKUP(VALUE(E3589&amp;","&amp;C3614),INTEGRANTES!$D$18:$F$235,2,0),"")</f>
        <v>#N/A</v>
      </c>
      <c r="AB3615" s="545" t="e">
        <f t="shared" si="1067"/>
        <v>#N/A</v>
      </c>
      <c r="AC3615" s="529"/>
      <c r="AD3615" s="200" t="e">
        <f t="shared" si="1068"/>
        <v>#N/A</v>
      </c>
      <c r="AE3615" s="52"/>
      <c r="AF3615" s="52"/>
      <c r="AG3615" s="52"/>
      <c r="AH3615" s="87"/>
      <c r="AI3615" s="87"/>
    </row>
    <row r="3616" spans="1:35" ht="16.5" hidden="1" customHeight="1" thickBot="1">
      <c r="A3616" s="218" t="e">
        <f>"T"&amp;E3589</f>
        <v>#N/A</v>
      </c>
      <c r="B3616" s="703"/>
      <c r="C3616" s="719"/>
      <c r="D3616" s="719"/>
      <c r="E3616" s="719"/>
      <c r="F3616" s="719"/>
      <c r="G3616" s="719"/>
      <c r="H3616" s="719" t="s">
        <v>110</v>
      </c>
      <c r="I3616" s="719"/>
      <c r="J3616" s="719"/>
      <c r="K3616" s="201" t="str">
        <f>IF(COUNTIF(K3610:K3615,"")=6,"",IF(COUNTIF(K3610:K3615,"CUMPLE")&gt;0,"CUMPLE","NO CUMPLE"))</f>
        <v>NO CUMPLE</v>
      </c>
      <c r="L3616" s="754"/>
      <c r="M3616" s="755"/>
      <c r="N3616" s="755"/>
      <c r="O3616" s="755"/>
      <c r="P3616" s="755"/>
      <c r="Q3616" s="756"/>
      <c r="R3616" s="461"/>
      <c r="S3616" s="462"/>
      <c r="T3616" s="463"/>
      <c r="U3616" s="219"/>
      <c r="V3616" s="464"/>
      <c r="Y3616" s="549" t="e">
        <f>IF(Y3610="NO APLICA","NO APLICA",IF(COUNTIF(AD3611:AD3616,"CUMPLE")&gt;0,"CUMPLE","NO CUMPLE"))</f>
        <v>#N/A</v>
      </c>
      <c r="AA3616" s="541" t="e">
        <f>IF(AND(C3615&lt;=F3608,F3608&lt;&gt;""),VLOOKUP(VALUE(E3589&amp;","&amp;C3615),INTEGRANTES!$D$18:$F$235,2,0),"")</f>
        <v>#N/A</v>
      </c>
      <c r="AB3616" s="546" t="e">
        <f t="shared" si="1067"/>
        <v>#N/A</v>
      </c>
      <c r="AC3616" s="543"/>
      <c r="AD3616" s="201" t="e">
        <f t="shared" si="1068"/>
        <v>#N/A</v>
      </c>
      <c r="AE3616" s="52"/>
      <c r="AF3616" s="52"/>
      <c r="AG3616" s="52"/>
      <c r="AH3616" s="87"/>
      <c r="AI3616" s="87"/>
    </row>
    <row r="3617" spans="1:35" hidden="1">
      <c r="AH3617" s="87"/>
      <c r="AI3617" s="87"/>
    </row>
    <row r="3618" spans="1:35" hidden="1">
      <c r="AH3618" s="87"/>
      <c r="AI3618" s="87"/>
    </row>
    <row r="3619" spans="1:35" ht="24" hidden="1" thickBot="1">
      <c r="A3619" s="61">
        <v>121</v>
      </c>
      <c r="B3619" s="704" t="s">
        <v>51</v>
      </c>
      <c r="C3619" s="704"/>
      <c r="D3619" s="704"/>
      <c r="E3619" s="62" t="e">
        <f>VLOOKUP(A3619,PROPONENTES!$B$19:$E$218,2,FALSE)</f>
        <v>#N/A</v>
      </c>
      <c r="F3619" s="63" t="e">
        <f>VLOOKUP(A3619,PROPONENTES!$B$19:$E$218,3,FALSE)</f>
        <v>#N/A</v>
      </c>
      <c r="G3619" s="64"/>
      <c r="H3619" s="64"/>
      <c r="I3619" s="63"/>
      <c r="J3619" s="63"/>
      <c r="K3619" s="65"/>
      <c r="L3619" s="65"/>
      <c r="M3619" s="64"/>
      <c r="N3619" s="64"/>
      <c r="O3619" s="66"/>
      <c r="P3619" s="66"/>
      <c r="Q3619" s="66"/>
      <c r="R3619" s="66"/>
      <c r="S3619" s="67"/>
      <c r="T3619" s="68"/>
      <c r="U3619" s="68"/>
      <c r="AC3619" s="68"/>
      <c r="AD3619" s="68"/>
      <c r="AE3619" s="68"/>
      <c r="AF3619" s="68"/>
      <c r="AG3619" s="68"/>
      <c r="AH3619" s="87"/>
      <c r="AI3619" s="87"/>
    </row>
    <row r="3620" spans="1:35" ht="15.75" hidden="1" customHeight="1">
      <c r="A3620" s="44"/>
      <c r="B3620" s="709" t="s">
        <v>59</v>
      </c>
      <c r="C3620" s="552" t="s">
        <v>60</v>
      </c>
      <c r="D3620" s="70" t="s">
        <v>17</v>
      </c>
      <c r="E3620" s="70"/>
      <c r="F3620" s="70" t="s">
        <v>61</v>
      </c>
      <c r="G3620" s="71"/>
      <c r="H3620" s="699" t="s">
        <v>62</v>
      </c>
      <c r="I3620" s="699" t="s">
        <v>18</v>
      </c>
      <c r="J3620" s="699" t="s">
        <v>63</v>
      </c>
      <c r="K3620" s="699" t="s">
        <v>64</v>
      </c>
      <c r="L3620" s="699" t="s">
        <v>65</v>
      </c>
      <c r="M3620" s="743" t="s">
        <v>66</v>
      </c>
      <c r="N3620" s="699" t="s">
        <v>282</v>
      </c>
      <c r="O3620" s="745" t="s">
        <v>67</v>
      </c>
      <c r="P3620" s="746"/>
      <c r="Q3620" s="102" t="s">
        <v>75</v>
      </c>
      <c r="R3620" s="731" t="s">
        <v>22</v>
      </c>
      <c r="S3620" s="732"/>
      <c r="T3620" s="733"/>
      <c r="U3620" s="712" t="s">
        <v>298</v>
      </c>
      <c r="W3620" s="690" t="s">
        <v>268</v>
      </c>
      <c r="X3620" s="691"/>
      <c r="Y3620" s="692"/>
      <c r="Z3620" s="428"/>
      <c r="AA3620" s="697" t="s">
        <v>315</v>
      </c>
      <c r="AB3620" s="695" t="s">
        <v>322</v>
      </c>
      <c r="AC3620" s="49"/>
      <c r="AD3620" s="690" t="s">
        <v>297</v>
      </c>
      <c r="AE3620" s="691"/>
      <c r="AF3620" s="692"/>
      <c r="AG3620" s="49"/>
      <c r="AH3620" s="87"/>
      <c r="AI3620" s="87"/>
    </row>
    <row r="3621" spans="1:35" ht="72" hidden="1">
      <c r="A3621" s="44"/>
      <c r="B3621" s="710"/>
      <c r="C3621" s="553" t="s">
        <v>68</v>
      </c>
      <c r="D3621" s="73" t="s">
        <v>3</v>
      </c>
      <c r="E3621" s="73" t="s">
        <v>19</v>
      </c>
      <c r="F3621" s="73" t="s">
        <v>69</v>
      </c>
      <c r="G3621" s="74" t="s">
        <v>70</v>
      </c>
      <c r="H3621" s="700"/>
      <c r="I3621" s="700"/>
      <c r="J3621" s="700"/>
      <c r="K3621" s="700"/>
      <c r="L3621" s="700"/>
      <c r="M3621" s="744"/>
      <c r="N3621" s="700"/>
      <c r="O3621" s="553" t="s">
        <v>279</v>
      </c>
      <c r="P3621" s="73" t="s">
        <v>88</v>
      </c>
      <c r="Q3621" s="555" t="s">
        <v>76</v>
      </c>
      <c r="R3621" s="734"/>
      <c r="S3621" s="735"/>
      <c r="T3621" s="736"/>
      <c r="U3621" s="712"/>
      <c r="W3621" s="429" t="s">
        <v>269</v>
      </c>
      <c r="X3621" s="457" t="s">
        <v>278</v>
      </c>
      <c r="Y3621" s="430" t="s">
        <v>324</v>
      </c>
      <c r="Z3621" s="428"/>
      <c r="AA3621" s="698"/>
      <c r="AB3621" s="696"/>
      <c r="AC3621" s="49"/>
      <c r="AD3621" s="429" t="s">
        <v>292</v>
      </c>
      <c r="AE3621" s="431" t="s">
        <v>300</v>
      </c>
      <c r="AF3621" s="468" t="s">
        <v>301</v>
      </c>
      <c r="AG3621" s="49"/>
      <c r="AH3621" s="87"/>
      <c r="AI3621" s="87"/>
    </row>
    <row r="3622" spans="1:35" hidden="1">
      <c r="A3622" s="44"/>
      <c r="B3622" s="76"/>
      <c r="C3622" s="77"/>
      <c r="D3622" s="77"/>
      <c r="E3622" s="77"/>
      <c r="F3622" s="77"/>
      <c r="G3622" s="77"/>
      <c r="H3622" s="77"/>
      <c r="I3622" s="77"/>
      <c r="J3622" s="77"/>
      <c r="K3622" s="77"/>
      <c r="L3622" s="77"/>
      <c r="M3622" s="77"/>
      <c r="N3622" s="77"/>
      <c r="O3622" s="77"/>
      <c r="P3622" s="77"/>
      <c r="Q3622" s="77"/>
      <c r="R3622" s="77"/>
      <c r="S3622" s="78"/>
      <c r="T3622" s="79"/>
      <c r="U3622" s="109"/>
      <c r="V3622" s="49"/>
      <c r="W3622" s="432"/>
      <c r="X3622" s="454"/>
      <c r="Y3622" s="433"/>
      <c r="Z3622" s="6"/>
      <c r="AA3622" s="500"/>
      <c r="AB3622" s="562"/>
      <c r="AC3622" s="49"/>
      <c r="AD3622" s="210"/>
      <c r="AE3622" s="434"/>
      <c r="AF3622" s="435"/>
      <c r="AG3622" s="49"/>
      <c r="AH3622" s="87"/>
      <c r="AI3622" s="87"/>
    </row>
    <row r="3623" spans="1:35" hidden="1">
      <c r="A3623" s="80" t="e">
        <f>"A"&amp;E3619</f>
        <v>#N/A</v>
      </c>
      <c r="B3623" s="81">
        <v>1</v>
      </c>
      <c r="C3623" s="82"/>
      <c r="D3623" s="82"/>
      <c r="E3623" s="82"/>
      <c r="F3623" s="82"/>
      <c r="G3623" s="83"/>
      <c r="H3623" s="83"/>
      <c r="I3623" s="84"/>
      <c r="J3623" s="85"/>
      <c r="K3623" s="382"/>
      <c r="L3623" s="85"/>
      <c r="M3623" s="332" t="str">
        <f t="shared" ref="M3623:M3632" si="1069">IF(OR(J3623="",L3623="",H3623="NO"),"",IF(OR(J3623&gt;$P$17,J3623&lt;$O$17,L3623&gt;$P$17,AND(J3623&lt;$O$17,L3623&lt;$O$17)),"FUERA DE RANGO",IF(OR(K3623="---",K3623=""),IF(J3623&gt;=$O$17,ROUND((L3623-J3623+1)/360*12,3),ROUND((L3623-$O$17+1)/360*12,3)),IF(J3623&gt;=$O$17,ROUND((L3623-J3623+1)/360*12-ROUND(K3623,3),3),ROUND((L3623-$O$17+1)/360*12-ROUND(K3623,3),3)))))</f>
        <v/>
      </c>
      <c r="N3623" s="86"/>
      <c r="O3623" s="453" t="str">
        <f>IF(OR(G3623="",N3623=""),"",N3623*G3623)</f>
        <v/>
      </c>
      <c r="P3623" s="538" t="str">
        <f>IF(OR(H3623="",M3623="FUERA DE RANGO"),"",IF(OR(L3623&lt;$O$17,L3623&gt;$P$17,L3623="",H3623="NO"),"",IF(OR(N3623="",O3623=""),"",ROUND(O3623,3))))</f>
        <v/>
      </c>
      <c r="Q3623" s="539" t="str">
        <f t="shared" ref="Q3623:Q3632" si="1070">IF(AND(H3623="SI",P3623&lt;&gt;""),ROUND(P3623/M3623,3),"")</f>
        <v/>
      </c>
      <c r="R3623" s="737"/>
      <c r="S3623" s="738"/>
      <c r="T3623" s="739"/>
      <c r="U3623" s="470"/>
      <c r="V3623" s="165"/>
      <c r="W3623" s="446"/>
      <c r="X3623" s="456"/>
      <c r="Y3623" s="436"/>
      <c r="Z3623" s="437"/>
      <c r="AA3623" s="560"/>
      <c r="AB3623" s="561"/>
      <c r="AC3623" s="87"/>
      <c r="AD3623" s="466"/>
      <c r="AE3623" s="456"/>
      <c r="AF3623" s="467"/>
      <c r="AG3623" s="87"/>
      <c r="AH3623" s="87"/>
      <c r="AI3623" s="87"/>
    </row>
    <row r="3624" spans="1:35" hidden="1">
      <c r="A3624" s="80" t="e">
        <f>"B"&amp;E3619</f>
        <v>#N/A</v>
      </c>
      <c r="B3624" s="81">
        <v>2</v>
      </c>
      <c r="C3624" s="106"/>
      <c r="D3624" s="106"/>
      <c r="E3624" s="106"/>
      <c r="F3624" s="106"/>
      <c r="G3624" s="83"/>
      <c r="H3624" s="83"/>
      <c r="I3624" s="84"/>
      <c r="J3624" s="85"/>
      <c r="K3624" s="382"/>
      <c r="L3624" s="85"/>
      <c r="M3624" s="332" t="str">
        <f t="shared" si="1069"/>
        <v/>
      </c>
      <c r="N3624" s="86"/>
      <c r="O3624" s="453" t="str">
        <f t="shared" ref="O3624:O3632" si="1071">IF(OR(G3624="",N3624=""),"",N3624*G3624)</f>
        <v/>
      </c>
      <c r="P3624" s="538" t="str">
        <f t="shared" ref="P3624:P3632" si="1072">IF(OR(H3624="",M3624="FUERA DE RANGO"),"",IF(OR(L3624&lt;$O$17,L3624&gt;$P$17,L3624="",H3624="NO"),"",IF(OR(N3624="",O3624=""),"",ROUND(O3624,3))))</f>
        <v/>
      </c>
      <c r="Q3624" s="539" t="str">
        <f t="shared" si="1070"/>
        <v/>
      </c>
      <c r="R3624" s="740"/>
      <c r="S3624" s="741"/>
      <c r="T3624" s="742"/>
      <c r="U3624" s="471"/>
      <c r="V3624" s="165"/>
      <c r="W3624" s="446"/>
      <c r="X3624" s="456"/>
      <c r="Y3624" s="436"/>
      <c r="Z3624" s="437"/>
      <c r="AA3624" s="560"/>
      <c r="AB3624" s="561"/>
      <c r="AC3624" s="87"/>
      <c r="AD3624" s="466"/>
      <c r="AE3624" s="456"/>
      <c r="AF3624" s="467"/>
      <c r="AG3624" s="87"/>
      <c r="AH3624" s="87"/>
      <c r="AI3624" s="87"/>
    </row>
    <row r="3625" spans="1:35" hidden="1">
      <c r="A3625" s="80" t="e">
        <f>"C"&amp;E3619</f>
        <v>#N/A</v>
      </c>
      <c r="B3625" s="88">
        <v>3</v>
      </c>
      <c r="C3625" s="82"/>
      <c r="D3625" s="82"/>
      <c r="E3625" s="82"/>
      <c r="F3625" s="82"/>
      <c r="G3625" s="83"/>
      <c r="H3625" s="83"/>
      <c r="I3625" s="84"/>
      <c r="J3625" s="85"/>
      <c r="K3625" s="382"/>
      <c r="L3625" s="85"/>
      <c r="M3625" s="332" t="str">
        <f t="shared" si="1069"/>
        <v/>
      </c>
      <c r="N3625" s="86"/>
      <c r="O3625" s="453" t="str">
        <f t="shared" si="1071"/>
        <v/>
      </c>
      <c r="P3625" s="538" t="str">
        <f t="shared" si="1072"/>
        <v/>
      </c>
      <c r="Q3625" s="539" t="str">
        <f t="shared" si="1070"/>
        <v/>
      </c>
      <c r="R3625" s="706"/>
      <c r="S3625" s="707"/>
      <c r="T3625" s="708"/>
      <c r="U3625" s="472"/>
      <c r="V3625" s="166"/>
      <c r="W3625" s="446"/>
      <c r="X3625" s="456"/>
      <c r="Y3625" s="436"/>
      <c r="Z3625" s="437"/>
      <c r="AA3625" s="560"/>
      <c r="AB3625" s="561"/>
      <c r="AC3625" s="87"/>
      <c r="AD3625" s="466"/>
      <c r="AE3625" s="456"/>
      <c r="AF3625" s="467"/>
      <c r="AG3625" s="87"/>
      <c r="AH3625" s="87"/>
      <c r="AI3625" s="87"/>
    </row>
    <row r="3626" spans="1:35" hidden="1">
      <c r="A3626" s="80" t="e">
        <f>"D"&amp;E3619</f>
        <v>#N/A</v>
      </c>
      <c r="B3626" s="105">
        <v>4</v>
      </c>
      <c r="C3626" s="107"/>
      <c r="D3626" s="107"/>
      <c r="E3626" s="107"/>
      <c r="F3626" s="107"/>
      <c r="G3626" s="83"/>
      <c r="H3626" s="83"/>
      <c r="I3626" s="84"/>
      <c r="J3626" s="85"/>
      <c r="K3626" s="382"/>
      <c r="L3626" s="85"/>
      <c r="M3626" s="332" t="str">
        <f t="shared" si="1069"/>
        <v/>
      </c>
      <c r="N3626" s="86"/>
      <c r="O3626" s="453" t="str">
        <f t="shared" si="1071"/>
        <v/>
      </c>
      <c r="P3626" s="538" t="str">
        <f t="shared" si="1072"/>
        <v/>
      </c>
      <c r="Q3626" s="539" t="str">
        <f t="shared" si="1070"/>
        <v/>
      </c>
      <c r="R3626" s="706"/>
      <c r="S3626" s="707"/>
      <c r="T3626" s="708"/>
      <c r="U3626" s="472"/>
      <c r="V3626" s="166"/>
      <c r="W3626" s="446"/>
      <c r="X3626" s="456"/>
      <c r="Y3626" s="436"/>
      <c r="Z3626" s="437"/>
      <c r="AA3626" s="560"/>
      <c r="AB3626" s="561"/>
      <c r="AC3626" s="87"/>
      <c r="AD3626" s="466"/>
      <c r="AE3626" s="456"/>
      <c r="AF3626" s="467"/>
      <c r="AG3626" s="87"/>
      <c r="AH3626" s="87"/>
      <c r="AI3626" s="87"/>
    </row>
    <row r="3627" spans="1:35" hidden="1">
      <c r="A3627" s="80" t="e">
        <f>"E"&amp;E3619</f>
        <v>#N/A</v>
      </c>
      <c r="B3627" s="105">
        <v>5</v>
      </c>
      <c r="C3627" s="107"/>
      <c r="D3627" s="107"/>
      <c r="E3627" s="107"/>
      <c r="F3627" s="107"/>
      <c r="G3627" s="83"/>
      <c r="H3627" s="83"/>
      <c r="I3627" s="84"/>
      <c r="J3627" s="85"/>
      <c r="K3627" s="382"/>
      <c r="L3627" s="85"/>
      <c r="M3627" s="332" t="str">
        <f t="shared" si="1069"/>
        <v/>
      </c>
      <c r="N3627" s="86"/>
      <c r="O3627" s="453" t="str">
        <f t="shared" si="1071"/>
        <v/>
      </c>
      <c r="P3627" s="538" t="str">
        <f t="shared" si="1072"/>
        <v/>
      </c>
      <c r="Q3627" s="539" t="str">
        <f t="shared" si="1070"/>
        <v/>
      </c>
      <c r="R3627" s="706"/>
      <c r="S3627" s="707"/>
      <c r="T3627" s="708"/>
      <c r="U3627" s="472"/>
      <c r="V3627" s="167"/>
      <c r="W3627" s="446"/>
      <c r="X3627" s="456"/>
      <c r="Y3627" s="436"/>
      <c r="Z3627" s="437"/>
      <c r="AA3627" s="560"/>
      <c r="AB3627" s="561"/>
      <c r="AC3627" s="87"/>
      <c r="AD3627" s="466"/>
      <c r="AE3627" s="456"/>
      <c r="AF3627" s="467"/>
      <c r="AG3627" s="87"/>
      <c r="AH3627" s="87"/>
      <c r="AI3627" s="87"/>
    </row>
    <row r="3628" spans="1:35" hidden="1">
      <c r="A3628" s="80" t="e">
        <f>"F"&amp;E3619</f>
        <v>#N/A</v>
      </c>
      <c r="B3628" s="105">
        <v>6</v>
      </c>
      <c r="C3628" s="107"/>
      <c r="D3628" s="107"/>
      <c r="E3628" s="107"/>
      <c r="F3628" s="107"/>
      <c r="G3628" s="83"/>
      <c r="H3628" s="83"/>
      <c r="I3628" s="84"/>
      <c r="J3628" s="85"/>
      <c r="K3628" s="382"/>
      <c r="L3628" s="85"/>
      <c r="M3628" s="332" t="str">
        <f t="shared" si="1069"/>
        <v/>
      </c>
      <c r="N3628" s="86"/>
      <c r="O3628" s="453" t="str">
        <f t="shared" si="1071"/>
        <v/>
      </c>
      <c r="P3628" s="538" t="str">
        <f t="shared" si="1072"/>
        <v/>
      </c>
      <c r="Q3628" s="539" t="str">
        <f t="shared" si="1070"/>
        <v/>
      </c>
      <c r="R3628" s="706"/>
      <c r="S3628" s="707"/>
      <c r="T3628" s="708"/>
      <c r="U3628" s="472"/>
      <c r="V3628" s="167"/>
      <c r="W3628" s="446"/>
      <c r="X3628" s="456"/>
      <c r="Y3628" s="436"/>
      <c r="Z3628" s="437"/>
      <c r="AA3628" s="560"/>
      <c r="AB3628" s="561"/>
      <c r="AC3628" s="87"/>
      <c r="AD3628" s="466"/>
      <c r="AE3628" s="456"/>
      <c r="AF3628" s="467"/>
      <c r="AG3628" s="87"/>
      <c r="AH3628" s="87"/>
      <c r="AI3628" s="87"/>
    </row>
    <row r="3629" spans="1:35" hidden="1">
      <c r="A3629" s="80" t="e">
        <f>"G"&amp;E3619</f>
        <v>#N/A</v>
      </c>
      <c r="B3629" s="105">
        <v>7</v>
      </c>
      <c r="C3629" s="107"/>
      <c r="D3629" s="107"/>
      <c r="E3629" s="107"/>
      <c r="F3629" s="107"/>
      <c r="G3629" s="83"/>
      <c r="H3629" s="83"/>
      <c r="I3629" s="84"/>
      <c r="J3629" s="85"/>
      <c r="K3629" s="382"/>
      <c r="L3629" s="85"/>
      <c r="M3629" s="332" t="str">
        <f t="shared" si="1069"/>
        <v/>
      </c>
      <c r="N3629" s="86"/>
      <c r="O3629" s="86" t="str">
        <f t="shared" si="1071"/>
        <v/>
      </c>
      <c r="P3629" s="538" t="str">
        <f t="shared" si="1072"/>
        <v/>
      </c>
      <c r="Q3629" s="539" t="str">
        <f t="shared" si="1070"/>
        <v/>
      </c>
      <c r="R3629" s="706"/>
      <c r="S3629" s="707"/>
      <c r="T3629" s="708"/>
      <c r="U3629" s="472"/>
      <c r="V3629" s="167"/>
      <c r="W3629" s="446"/>
      <c r="X3629" s="456"/>
      <c r="Y3629" s="436"/>
      <c r="Z3629" s="437"/>
      <c r="AA3629" s="560"/>
      <c r="AB3629" s="561"/>
      <c r="AC3629" s="87"/>
      <c r="AD3629" s="466"/>
      <c r="AE3629" s="456"/>
      <c r="AF3629" s="467"/>
      <c r="AG3629" s="87"/>
      <c r="AH3629" s="87"/>
      <c r="AI3629" s="87"/>
    </row>
    <row r="3630" spans="1:35" hidden="1">
      <c r="A3630" s="80" t="e">
        <f>"H"&amp;E3619</f>
        <v>#N/A</v>
      </c>
      <c r="B3630" s="105">
        <v>8</v>
      </c>
      <c r="C3630" s="107"/>
      <c r="D3630" s="107"/>
      <c r="E3630" s="107"/>
      <c r="F3630" s="107"/>
      <c r="G3630" s="83"/>
      <c r="H3630" s="83"/>
      <c r="I3630" s="84"/>
      <c r="J3630" s="85"/>
      <c r="K3630" s="382"/>
      <c r="L3630" s="85"/>
      <c r="M3630" s="332" t="str">
        <f t="shared" si="1069"/>
        <v/>
      </c>
      <c r="N3630" s="453"/>
      <c r="O3630" s="86" t="str">
        <f t="shared" si="1071"/>
        <v/>
      </c>
      <c r="P3630" s="538" t="str">
        <f t="shared" si="1072"/>
        <v/>
      </c>
      <c r="Q3630" s="539" t="str">
        <f t="shared" si="1070"/>
        <v/>
      </c>
      <c r="R3630" s="706"/>
      <c r="S3630" s="707"/>
      <c r="T3630" s="708"/>
      <c r="U3630" s="472"/>
      <c r="V3630" s="167"/>
      <c r="W3630" s="446"/>
      <c r="X3630" s="456"/>
      <c r="Y3630" s="436"/>
      <c r="Z3630" s="437"/>
      <c r="AA3630" s="560"/>
      <c r="AB3630" s="561"/>
      <c r="AC3630" s="87"/>
      <c r="AD3630" s="466"/>
      <c r="AE3630" s="456"/>
      <c r="AF3630" s="467"/>
      <c r="AG3630" s="87"/>
      <c r="AH3630" s="87"/>
      <c r="AI3630" s="87"/>
    </row>
    <row r="3631" spans="1:35" hidden="1">
      <c r="A3631" s="80" t="e">
        <f>"I"&amp;E3619</f>
        <v>#N/A</v>
      </c>
      <c r="B3631" s="105">
        <v>9</v>
      </c>
      <c r="C3631" s="107"/>
      <c r="D3631" s="107"/>
      <c r="E3631" s="107"/>
      <c r="F3631" s="107"/>
      <c r="G3631" s="83"/>
      <c r="H3631" s="83"/>
      <c r="I3631" s="84"/>
      <c r="J3631" s="85"/>
      <c r="K3631" s="382"/>
      <c r="L3631" s="85"/>
      <c r="M3631" s="332" t="str">
        <f t="shared" si="1069"/>
        <v/>
      </c>
      <c r="N3631" s="453"/>
      <c r="O3631" s="86" t="str">
        <f t="shared" si="1071"/>
        <v/>
      </c>
      <c r="P3631" s="538" t="str">
        <f t="shared" si="1072"/>
        <v/>
      </c>
      <c r="Q3631" s="539" t="str">
        <f t="shared" si="1070"/>
        <v/>
      </c>
      <c r="R3631" s="706"/>
      <c r="S3631" s="707"/>
      <c r="T3631" s="708"/>
      <c r="U3631" s="472"/>
      <c r="V3631" s="167"/>
      <c r="W3631" s="446"/>
      <c r="X3631" s="456"/>
      <c r="Y3631" s="436"/>
      <c r="Z3631" s="437"/>
      <c r="AA3631" s="560"/>
      <c r="AB3631" s="561"/>
      <c r="AC3631" s="87"/>
      <c r="AD3631" s="466"/>
      <c r="AE3631" s="456"/>
      <c r="AF3631" s="467"/>
      <c r="AG3631" s="87"/>
      <c r="AH3631" s="87"/>
      <c r="AI3631" s="87"/>
    </row>
    <row r="3632" spans="1:35" hidden="1">
      <c r="A3632" s="80" t="e">
        <f>"J"&amp;E3619</f>
        <v>#N/A</v>
      </c>
      <c r="B3632" s="105">
        <v>10</v>
      </c>
      <c r="C3632" s="107"/>
      <c r="D3632" s="107"/>
      <c r="E3632" s="107"/>
      <c r="F3632" s="107"/>
      <c r="G3632" s="83"/>
      <c r="H3632" s="83"/>
      <c r="I3632" s="84"/>
      <c r="J3632" s="85"/>
      <c r="K3632" s="382"/>
      <c r="L3632" s="85"/>
      <c r="M3632" s="332" t="str">
        <f t="shared" si="1069"/>
        <v/>
      </c>
      <c r="N3632" s="453"/>
      <c r="O3632" s="86" t="str">
        <f t="shared" si="1071"/>
        <v/>
      </c>
      <c r="P3632" s="538" t="str">
        <f t="shared" si="1072"/>
        <v/>
      </c>
      <c r="Q3632" s="539" t="str">
        <f t="shared" si="1070"/>
        <v/>
      </c>
      <c r="R3632" s="706"/>
      <c r="S3632" s="707"/>
      <c r="T3632" s="708"/>
      <c r="U3632" s="472"/>
      <c r="V3632" s="167"/>
      <c r="W3632" s="446"/>
      <c r="X3632" s="456"/>
      <c r="Y3632" s="436"/>
      <c r="Z3632" s="437"/>
      <c r="AA3632" s="560"/>
      <c r="AB3632" s="561"/>
      <c r="AC3632" s="87"/>
      <c r="AD3632" s="466"/>
      <c r="AE3632" s="456"/>
      <c r="AF3632" s="467"/>
      <c r="AG3632" s="87"/>
      <c r="AH3632" s="87"/>
      <c r="AI3632" s="87"/>
    </row>
    <row r="3633" spans="1:35" ht="16.5" hidden="1" thickBot="1">
      <c r="A3633" s="44"/>
      <c r="B3633" s="89"/>
      <c r="C3633" s="90"/>
      <c r="D3633" s="90"/>
      <c r="E3633" s="90"/>
      <c r="F3633" s="90"/>
      <c r="G3633" s="90"/>
      <c r="H3633" s="90"/>
      <c r="I3633" s="90"/>
      <c r="J3633" s="90"/>
      <c r="K3633" s="90"/>
      <c r="L3633" s="90"/>
      <c r="M3633" s="90"/>
      <c r="N3633" s="90"/>
      <c r="O3633" s="90"/>
      <c r="P3633" s="90"/>
      <c r="Q3633" s="90"/>
      <c r="R3633" s="90"/>
      <c r="S3633" s="91"/>
      <c r="T3633" s="92"/>
      <c r="U3633" s="473"/>
      <c r="W3633" s="438"/>
      <c r="X3633" s="455"/>
      <c r="Y3633" s="439"/>
      <c r="Z3633" s="437"/>
      <c r="AA3633" s="530"/>
      <c r="AB3633" s="563"/>
      <c r="AC3633" s="87"/>
      <c r="AD3633" s="440"/>
      <c r="AE3633" s="441"/>
      <c r="AF3633" s="442"/>
      <c r="AG3633" s="49"/>
      <c r="AH3633" s="87"/>
      <c r="AI3633" s="87"/>
    </row>
    <row r="3634" spans="1:35" ht="16.5" hidden="1" thickBot="1">
      <c r="A3634" s="93"/>
      <c r="B3634" s="94"/>
      <c r="C3634" s="96"/>
      <c r="D3634" s="96"/>
      <c r="E3634" s="96"/>
      <c r="F3634" s="96"/>
      <c r="G3634" s="96"/>
      <c r="H3634" s="96"/>
      <c r="I3634" s="96"/>
      <c r="J3634" s="96"/>
      <c r="K3634" s="96"/>
      <c r="L3634" s="96"/>
      <c r="M3634" s="136"/>
      <c r="N3634" s="96"/>
      <c r="O3634" s="96"/>
      <c r="P3634" s="97"/>
      <c r="Q3634" s="97"/>
      <c r="R3634" s="98"/>
      <c r="S3634" s="95"/>
      <c r="T3634" s="99"/>
      <c r="U3634" s="469"/>
      <c r="AC3634" s="58"/>
      <c r="AG3634" s="58"/>
      <c r="AH3634" s="87"/>
      <c r="AI3634" s="87"/>
    </row>
    <row r="3635" spans="1:35" ht="16.5" hidden="1" thickBot="1">
      <c r="B3635" s="101"/>
      <c r="C3635" s="101"/>
      <c r="D3635" s="101"/>
      <c r="E3635" s="101"/>
      <c r="F3635" s="101"/>
      <c r="G3635" s="101"/>
      <c r="H3635" s="101"/>
      <c r="I3635" s="101"/>
      <c r="J3635" s="101"/>
      <c r="K3635" s="101"/>
      <c r="L3635" s="101"/>
      <c r="M3635" s="101"/>
      <c r="N3635" s="101"/>
      <c r="O3635" s="101"/>
      <c r="P3635" s="101"/>
      <c r="Q3635" s="101"/>
      <c r="R3635" s="101"/>
      <c r="S3635" s="101"/>
      <c r="U3635" s="50"/>
      <c r="AH3635" s="87"/>
      <c r="AI3635" s="87"/>
    </row>
    <row r="3636" spans="1:35" ht="16.5" hidden="1" customHeight="1" thickBot="1">
      <c r="A3636" s="44"/>
      <c r="B3636" s="705" t="s">
        <v>74</v>
      </c>
      <c r="C3636" s="705"/>
      <c r="D3636" s="705"/>
      <c r="E3636" s="705"/>
      <c r="F3636" s="705"/>
      <c r="G3636" s="705"/>
      <c r="H3636" s="705"/>
      <c r="I3636" s="705"/>
      <c r="J3636" s="705"/>
      <c r="K3636" s="705"/>
      <c r="L3636" s="705"/>
      <c r="M3636" s="705"/>
      <c r="N3636" s="705"/>
      <c r="O3636" s="705"/>
      <c r="P3636" s="705"/>
      <c r="Q3636" s="705"/>
      <c r="R3636" s="705"/>
      <c r="S3636" s="705"/>
      <c r="T3636" s="705"/>
      <c r="U3636" s="108"/>
      <c r="Y3636" s="532" t="s">
        <v>341</v>
      </c>
      <c r="AC3636" s="49"/>
      <c r="AD3636" s="687" t="s">
        <v>302</v>
      </c>
      <c r="AE3636" s="688"/>
      <c r="AF3636" s="689"/>
      <c r="AG3636" s="49"/>
      <c r="AH3636" s="87"/>
      <c r="AI3636" s="87"/>
    </row>
    <row r="3637" spans="1:35" ht="16.5" hidden="1" customHeight="1" thickBot="1">
      <c r="A3637" s="218" t="e">
        <f>"K"&amp;E3619</f>
        <v>#N/A</v>
      </c>
      <c r="B3637" s="701" t="s">
        <v>71</v>
      </c>
      <c r="C3637" s="751" t="s">
        <v>102</v>
      </c>
      <c r="D3637" s="751"/>
      <c r="E3637" s="751"/>
      <c r="F3637" s="751"/>
      <c r="G3637" s="751"/>
      <c r="H3637" s="751"/>
      <c r="I3637" s="751"/>
      <c r="J3637" s="751"/>
      <c r="K3637" s="751"/>
      <c r="L3637" s="722" t="s">
        <v>100</v>
      </c>
      <c r="M3637" s="747" t="s">
        <v>114</v>
      </c>
      <c r="N3637" s="747"/>
      <c r="O3637" s="747"/>
      <c r="P3637" s="747"/>
      <c r="Q3637" s="748"/>
      <c r="R3637" s="758" t="s">
        <v>280</v>
      </c>
      <c r="S3637" s="748"/>
      <c r="T3637" s="762" t="str">
        <f>IF(COUNTIF(AE3637:AF3637,"VERIFICAR")&gt;0,"VERIFICAR",IF(COUNTIF(AE3637:AF3637,"NO CUMPLE")&gt;0,"NO CUMPLE","CUMPLE"))</f>
        <v>VERIFICAR</v>
      </c>
      <c r="U3637" s="108"/>
      <c r="Y3637" s="533" t="e">
        <f>IF(F3638="","",IF(F3638=1,"INDIVIDUAL","ESTRUCTURA PLURAL"))</f>
        <v>#N/A</v>
      </c>
      <c r="AC3637" s="52"/>
      <c r="AD3637" s="475" t="s">
        <v>303</v>
      </c>
      <c r="AE3637" s="476" t="str">
        <f>IF(COUNTIF(AE3623:AE3632,"")=10,"VERIFICAR",IF(COUNTIF(AE3623:AE3632,"SI")&gt;0,"CUMPLE","NO CUMPLE"))</f>
        <v>VERIFICAR</v>
      </c>
      <c r="AF3637" s="477" t="str">
        <f>IF(COUNTIF(AF3623:AF3632,"")=10,"VERIFICAR",IF(COUNTIF(AF3623:AF3632,"SI")&gt;=$AI$22,"CUMPLE","NO CUMPLE"))</f>
        <v>VERIFICAR</v>
      </c>
      <c r="AG3637" s="52"/>
      <c r="AH3637" s="87"/>
      <c r="AI3637" s="87"/>
    </row>
    <row r="3638" spans="1:35" ht="15.75" hidden="1" customHeight="1" thickBot="1">
      <c r="A3638" s="218" t="e">
        <f>"L"&amp;E3619</f>
        <v>#N/A</v>
      </c>
      <c r="B3638" s="702"/>
      <c r="C3638" s="751" t="s">
        <v>103</v>
      </c>
      <c r="D3638" s="751"/>
      <c r="E3638" s="752"/>
      <c r="F3638" s="557" t="e">
        <f>IF(VLOOKUP(E3619,PROPONENTES!$C$19:$E$218,3,0)="","",VLOOKUP(E3619,PROPONENTES!$C$19:$E$218,3,0))</f>
        <v>#N/A</v>
      </c>
      <c r="G3638" s="753" t="s">
        <v>104</v>
      </c>
      <c r="H3638" s="751"/>
      <c r="I3638" s="715" t="e">
        <f>IF(OR(F3638="",F3638=1),"INTERESADO PERSONA NATURAL O JURIDICA","CONSORCIO O UNION TEMPORAL")</f>
        <v>#N/A</v>
      </c>
      <c r="J3638" s="725"/>
      <c r="K3638" s="728"/>
      <c r="L3638" s="723"/>
      <c r="M3638" s="749"/>
      <c r="N3638" s="749"/>
      <c r="O3638" s="749"/>
      <c r="P3638" s="749"/>
      <c r="Q3638" s="750"/>
      <c r="R3638" s="712"/>
      <c r="S3638" s="750"/>
      <c r="T3638" s="763"/>
      <c r="U3638" s="108"/>
      <c r="Y3638" s="534"/>
      <c r="AA3638" s="52"/>
      <c r="AB3638" s="52"/>
      <c r="AC3638" s="52"/>
      <c r="AG3638" s="52"/>
      <c r="AH3638" s="87"/>
      <c r="AI3638" s="87"/>
    </row>
    <row r="3639" spans="1:35" ht="56.25" hidden="1" customHeight="1" thickBot="1">
      <c r="A3639" s="218" t="e">
        <f>"M"&amp;E3619</f>
        <v>#N/A</v>
      </c>
      <c r="B3639" s="702"/>
      <c r="C3639" s="725" t="s">
        <v>101</v>
      </c>
      <c r="D3639" s="716"/>
      <c r="E3639" s="558" t="s">
        <v>105</v>
      </c>
      <c r="F3639" s="554" t="s">
        <v>87</v>
      </c>
      <c r="G3639" s="553" t="s">
        <v>86</v>
      </c>
      <c r="H3639" s="559" t="s">
        <v>85</v>
      </c>
      <c r="I3639" s="554" t="s">
        <v>252</v>
      </c>
      <c r="J3639" s="553" t="str">
        <f>"¿EL INTEGRANTE TIENE UNA PARTICIPACIÓN DEL "&amp;PORCREQUERIDOINT*100&amp;"%?"</f>
        <v>¿EL INTEGRANTE TIENE UNA PARTICIPACIÓN DEL 60%?</v>
      </c>
      <c r="K3639" s="554" t="s">
        <v>107</v>
      </c>
      <c r="L3639" s="724"/>
      <c r="M3639" s="717" t="s">
        <v>115</v>
      </c>
      <c r="N3639" s="718"/>
      <c r="O3639" s="718"/>
      <c r="P3639" s="718"/>
      <c r="Q3639" s="223">
        <f>IF(AND(H3623="SI",P3623&gt;=0),1,0)+IF(AND(H3624="SI",P3624&gt;=0),1,0)+IF(AND(H3625="SI",P3625&gt;=0),1,0)+IF(AND(H3626="SI",P3626&gt;=0),1,0)+IF(AND(H3627="SI",P3627&gt;=0),1,0)+IF(AND(H3628="SI",P3628&gt;=0),1,0)+IF(AND(H3629="SI",P3629&gt;=0),1,0)+IF(AND(H3630="SI",P3630&gt;=0),1,0)+IF(AND(H3631="SI",P3631&gt;=0),1,0)+IF(AND(H3632="SI",P3632&gt;=0),1,0)</f>
        <v>0</v>
      </c>
      <c r="R3639" s="759"/>
      <c r="S3639" s="761"/>
      <c r="T3639" s="764"/>
      <c r="U3639" s="219"/>
      <c r="V3639" s="464"/>
      <c r="Y3639" s="532" t="s">
        <v>342</v>
      </c>
      <c r="AA3639" s="550" t="s">
        <v>344</v>
      </c>
      <c r="AB3639" s="693" t="s">
        <v>345</v>
      </c>
      <c r="AC3639" s="693" t="s">
        <v>346</v>
      </c>
      <c r="AD3639" s="685" t="s">
        <v>347</v>
      </c>
      <c r="AE3639" s="52"/>
      <c r="AF3639" s="52"/>
      <c r="AG3639" s="52"/>
      <c r="AH3639" s="87"/>
      <c r="AI3639" s="87"/>
    </row>
    <row r="3640" spans="1:35" ht="15.75" hidden="1" customHeight="1" thickBot="1">
      <c r="A3640" s="218" t="e">
        <f>"N"&amp;E3619</f>
        <v>#N/A</v>
      </c>
      <c r="B3640" s="702"/>
      <c r="C3640" s="114">
        <v>1</v>
      </c>
      <c r="D3640" s="194" t="e">
        <f>IF(AND(C3640&lt;=F3638,F3638&gt;1,F3638&lt;&gt;""),VLOOKUP(VALUE(E3619&amp;","&amp;C3640),INTEGRANTES!$D$18:$F$235,2,0),"")</f>
        <v>#N/A</v>
      </c>
      <c r="E3640" s="211" t="e">
        <f>IF(D3640&lt;&gt;"",VLOOKUP(VALUE(E3619&amp;","&amp;C3640),INTEGRANTES!$D$18:$F$235,3,0),"")</f>
        <v>#N/A</v>
      </c>
      <c r="F3640" s="547" t="e">
        <f>IF(D3640="","",SUMIF($I3623:$I3632,D3640,$P3623:$P3632))</f>
        <v>#N/A</v>
      </c>
      <c r="G3640" s="333" t="e">
        <f>IF(D3640="","",SUMIF($I3623:$I3632,D3640,$M3623:$M3632))</f>
        <v>#N/A</v>
      </c>
      <c r="H3640" s="535" t="e">
        <f t="shared" ref="H3640:H3645" si="1073">IF(D3640="","",IF(OR(F3640=0,G3640=0),"NO APORTA",ROUND($F3640/$G3640,3)))</f>
        <v>#N/A</v>
      </c>
      <c r="I3640" s="212" t="e">
        <f>IF(D3640="","",IF(H3640="NO APORTA","NO",IF(H3640=MAX($H3640:$H3645),"SI","NO")))</f>
        <v>#N/A</v>
      </c>
      <c r="J3640" s="213" t="e">
        <f t="shared" ref="J3640:J3645" si="1074">IF(D3640="","",IF(E3640&gt;=PORCREQUERIDOINT,"SI","NO"))</f>
        <v>#N/A</v>
      </c>
      <c r="K3640" s="200" t="e">
        <f t="shared" ref="K3640:K3645" si="1075">IF(D3640="","",IF(AND(I3640="SI",J3640="SI"),"CUMPLE",IF(AND(I3640="NO",OR(J3640="SI",J3640="NO")),"","NO CUMPLE")))</f>
        <v>#N/A</v>
      </c>
      <c r="L3640" s="722" t="s">
        <v>108</v>
      </c>
      <c r="M3640" s="726" t="s">
        <v>119</v>
      </c>
      <c r="N3640" s="726"/>
      <c r="O3640" s="726"/>
      <c r="P3640" s="726"/>
      <c r="Q3640" s="727"/>
      <c r="R3640" s="758" t="s">
        <v>80</v>
      </c>
      <c r="S3640" s="747"/>
      <c r="T3640" s="748"/>
      <c r="U3640" s="219"/>
      <c r="V3640" s="464"/>
      <c r="Y3640" s="533" t="e">
        <f>IF(Y3637="","",IF(Y3637="INDIVIDUAL","NO APLICA","VERIFICAR CUADRO"))</f>
        <v>#N/A</v>
      </c>
      <c r="AA3640" s="551"/>
      <c r="AB3640" s="694"/>
      <c r="AC3640" s="694"/>
      <c r="AD3640" s="686"/>
      <c r="AE3640" s="52"/>
      <c r="AF3640" s="52"/>
      <c r="AG3640" s="52"/>
      <c r="AH3640" s="87"/>
      <c r="AI3640" s="87"/>
    </row>
    <row r="3641" spans="1:35" ht="27" hidden="1" customHeight="1" thickBot="1">
      <c r="A3641" s="218" t="e">
        <f>"O"&amp;E3619</f>
        <v>#N/A</v>
      </c>
      <c r="B3641" s="702"/>
      <c r="C3641" s="114">
        <v>2</v>
      </c>
      <c r="D3641" s="194" t="e">
        <f>IF(AND(C3641&lt;=F3638,F3638&lt;&gt;""),VLOOKUP(VALUE(E3619&amp;","&amp;C3641),INTEGRANTES!$D$18:$F$235,2,0),"")</f>
        <v>#N/A</v>
      </c>
      <c r="E3641" s="211" t="e">
        <f>IF(D3641&lt;&gt;"",VLOOKUP(VALUE(E3619&amp;","&amp;C3641),INTEGRANTES!$D$18:$F$235,3,0),"")</f>
        <v>#N/A</v>
      </c>
      <c r="F3641" s="547" t="e">
        <f>IF(D3641="","",SUMIF($I3623:$I3632,D3641,$P3623:$P3632))</f>
        <v>#N/A</v>
      </c>
      <c r="G3641" s="333" t="e">
        <f>IF(D3641="","",SUMIF($I3623:$I3632,D3641,$M3623:$M3632))</f>
        <v>#N/A</v>
      </c>
      <c r="H3641" s="535" t="e">
        <f t="shared" si="1073"/>
        <v>#N/A</v>
      </c>
      <c r="I3641" s="212" t="e">
        <f>IF(D3641="","",IF(H3641="NO APORTA","NO",IF(H3641=MAX($H3640:$H3645),"SI","NO")))</f>
        <v>#N/A</v>
      </c>
      <c r="J3641" s="213" t="e">
        <f t="shared" si="1074"/>
        <v>#N/A</v>
      </c>
      <c r="K3641" s="200" t="e">
        <f t="shared" si="1075"/>
        <v>#N/A</v>
      </c>
      <c r="L3641" s="723"/>
      <c r="M3641" s="715" t="s">
        <v>116</v>
      </c>
      <c r="N3641" s="716"/>
      <c r="O3641" s="556" t="s">
        <v>113</v>
      </c>
      <c r="P3641" s="715" t="s">
        <v>117</v>
      </c>
      <c r="Q3641" s="728"/>
      <c r="R3641" s="759"/>
      <c r="S3641" s="760"/>
      <c r="T3641" s="761"/>
      <c r="U3641" s="219"/>
      <c r="V3641" s="464"/>
      <c r="Y3641" s="414"/>
      <c r="AA3641" s="542" t="e">
        <f>IF(AND(C3640&lt;=F3638,F3638&gt;1,F3638&lt;&gt;""),VLOOKUP(VALUE(E3619&amp;","&amp;C3640),INTEGRANTES!$D$18:$F$235,2,0),"")</f>
        <v>#N/A</v>
      </c>
      <c r="AB3641" s="544" t="e">
        <f t="shared" ref="AB3641:AB3646" si="1076">IF(D3640="","",IF(OR(F3640=0,G3640=0),"NO APORTA",ROUND($F3640/$G3640,3)))</f>
        <v>#N/A</v>
      </c>
      <c r="AC3641" s="529"/>
      <c r="AD3641" s="200" t="e">
        <f t="shared" ref="AD3641:AD3646" si="1077">IF(OR(AA3641="",AB3641=""),"",IF(AND(AC3641="X",AB3641&gt;=EXPREQVTD),"CUMPLE","NO CUMPLE"))</f>
        <v>#N/A</v>
      </c>
      <c r="AE3641" s="52"/>
      <c r="AF3641" s="52"/>
      <c r="AG3641" s="52"/>
      <c r="AH3641" s="87"/>
      <c r="AI3641" s="87"/>
    </row>
    <row r="3642" spans="1:35" ht="16.5" hidden="1" thickBot="1">
      <c r="A3642" s="218" t="e">
        <f>"P"&amp;E3619</f>
        <v>#N/A</v>
      </c>
      <c r="B3642" s="702"/>
      <c r="C3642" s="114">
        <v>3</v>
      </c>
      <c r="D3642" s="194" t="e">
        <f>IF(AND(C3642&lt;=F3638,F3638&lt;&gt;""),VLOOKUP(VALUE(E3619&amp;","&amp;C3642),INTEGRANTES!$D$18:$F$235,2,0),"")</f>
        <v>#N/A</v>
      </c>
      <c r="E3642" s="211" t="e">
        <f>IF(D3642&lt;&gt;"",VLOOKUP(VALUE(E3619&amp;","&amp;C3642),INTEGRANTES!$D$18:$F$235,3,0),"")</f>
        <v>#N/A</v>
      </c>
      <c r="F3642" s="547" t="e">
        <f>IF(D3642="","",SUMIF($I3623:$I3632,D3642,$P3623:$P3632))</f>
        <v>#N/A</v>
      </c>
      <c r="G3642" s="333" t="e">
        <f>IF(D3642="","",SUMIF($I3623:$I3632,D3642,$M3623:$M3632))</f>
        <v>#N/A</v>
      </c>
      <c r="H3642" s="535" t="e">
        <f t="shared" si="1073"/>
        <v>#N/A</v>
      </c>
      <c r="I3642" s="212" t="e">
        <f>IF(D3642="","",IF(H3642="NO APORTA","NO",IF(H3642=MAX($H3640:$H3645),"SI","NO")))</f>
        <v>#N/A</v>
      </c>
      <c r="J3642" s="213" t="e">
        <f t="shared" si="1074"/>
        <v>#N/A</v>
      </c>
      <c r="K3642" s="200" t="e">
        <f t="shared" si="1075"/>
        <v>#N/A</v>
      </c>
      <c r="L3642" s="724"/>
      <c r="M3642" s="729">
        <f>NUMMOD</f>
        <v>1</v>
      </c>
      <c r="N3642" s="730"/>
      <c r="O3642" s="443">
        <f>IF(M3642="","",VLOOKUP(M3642,PRESUPUESTOS!$B$16:$H$16,5,FALSE))</f>
        <v>2</v>
      </c>
      <c r="P3642" s="713">
        <f>IF(OR(COUNTIF(M3623:M3632,"")&gt;=10,Q3639&lt;NUMMINCONT,OR(T3637="NO CUMPLE",T3637="VERIFICAR")),0,ROUND(AVERAGE(M3623:M3632),3))</f>
        <v>0</v>
      </c>
      <c r="Q3642" s="714"/>
      <c r="R3642" s="458"/>
      <c r="S3642" s="459"/>
      <c r="T3642" s="460"/>
      <c r="U3642" s="219"/>
      <c r="V3642" s="464"/>
      <c r="Y3642" s="532" t="str">
        <f>"40% * ("&amp;PRESUPUESTOS!$H$13&amp;")"</f>
        <v>40% * (50% PFMO)</v>
      </c>
      <c r="AA3642" s="540" t="e">
        <f>IF(AND(C3641&lt;=F3638,F3638&lt;&gt;""),VLOOKUP(VALUE(E3619&amp;","&amp;C3641),INTEGRANTES!$D$18:$F$235,2,0),"")</f>
        <v>#N/A</v>
      </c>
      <c r="AB3642" s="545" t="e">
        <f t="shared" si="1076"/>
        <v>#N/A</v>
      </c>
      <c r="AC3642" s="529"/>
      <c r="AD3642" s="200" t="e">
        <f t="shared" si="1077"/>
        <v>#N/A</v>
      </c>
      <c r="AE3642" s="52"/>
      <c r="AF3642" s="52"/>
      <c r="AG3642" s="52"/>
      <c r="AH3642" s="87"/>
      <c r="AI3642" s="87"/>
    </row>
    <row r="3643" spans="1:35" ht="15.75" hidden="1" customHeight="1" thickBot="1">
      <c r="A3643" s="218" t="e">
        <f>"Q"&amp;E3619</f>
        <v>#N/A</v>
      </c>
      <c r="B3643" s="702"/>
      <c r="C3643" s="114">
        <v>4</v>
      </c>
      <c r="D3643" s="194" t="e">
        <f>IF(AND(C3643&lt;=F3638,F3638&lt;&gt;""),VLOOKUP(VALUE(E3619&amp;","&amp;C3643),INTEGRANTES!$D$18:$F$235,2,0),"")</f>
        <v>#N/A</v>
      </c>
      <c r="E3643" s="211" t="e">
        <f>IF(D3643&lt;&gt;"",VLOOKUP(VALUE(E3619&amp;","&amp;C3643),INTEGRANTES!$D$18:$F$235,3,0),"")</f>
        <v>#N/A</v>
      </c>
      <c r="F3643" s="547" t="e">
        <f>IF(D3643="","",SUMIF($I3623:$I3632,D3643,$P3623:$P3632))</f>
        <v>#N/A</v>
      </c>
      <c r="G3643" s="333" t="e">
        <f>IF(D3643="","",SUMIF($I3623:$I3632,D3643,$M3623:$M3632))</f>
        <v>#N/A</v>
      </c>
      <c r="H3643" s="535" t="e">
        <f t="shared" si="1073"/>
        <v>#N/A</v>
      </c>
      <c r="I3643" s="212" t="e">
        <f>IF(D3643="","",IF(H3643="NO APORTA","NO",IF(H3643=MAX($H3640:$H3645),"SI","NO")))</f>
        <v>#N/A</v>
      </c>
      <c r="J3643" s="213" t="e">
        <f t="shared" si="1074"/>
        <v>#N/A</v>
      </c>
      <c r="K3643" s="200" t="e">
        <f t="shared" si="1075"/>
        <v>#N/A</v>
      </c>
      <c r="L3643" s="720" t="s">
        <v>109</v>
      </c>
      <c r="M3643" s="757" t="s">
        <v>120</v>
      </c>
      <c r="N3643" s="726"/>
      <c r="O3643" s="726"/>
      <c r="P3643" s="726"/>
      <c r="Q3643" s="727"/>
      <c r="R3643" s="458"/>
      <c r="S3643" s="459"/>
      <c r="T3643" s="460"/>
      <c r="U3643" s="219"/>
      <c r="V3643" s="464"/>
      <c r="Y3643" s="537">
        <f>0.4*PRESUPUESTOS!$H$16</f>
        <v>10.3124</v>
      </c>
      <c r="AA3643" s="540" t="e">
        <f>IF(AND(C3642&lt;=F3638,F3638&lt;&gt;""),VLOOKUP(VALUE(E3619&amp;","&amp;C3642),INTEGRANTES!$D$18:$F$235,2,0),"")</f>
        <v>#N/A</v>
      </c>
      <c r="AB3643" s="545" t="e">
        <f t="shared" si="1076"/>
        <v>#N/A</v>
      </c>
      <c r="AC3643" s="529"/>
      <c r="AD3643" s="200" t="e">
        <f t="shared" si="1077"/>
        <v>#N/A</v>
      </c>
      <c r="AE3643" s="52"/>
      <c r="AF3643" s="52"/>
      <c r="AG3643" s="52"/>
      <c r="AH3643" s="87"/>
      <c r="AI3643" s="87"/>
    </row>
    <row r="3644" spans="1:35" ht="27" hidden="1" customHeight="1" thickBot="1">
      <c r="A3644" s="218" t="e">
        <f>"R"&amp;E3619</f>
        <v>#N/A</v>
      </c>
      <c r="B3644" s="702"/>
      <c r="C3644" s="114">
        <v>5</v>
      </c>
      <c r="D3644" s="194" t="e">
        <f>IF(AND(C3644&lt;=F3638,F3638&lt;&gt;""),VLOOKUP(VALUE(E3619&amp;","&amp;C3644),INTEGRANTES!$D$18:$F$235,2,0),"")</f>
        <v>#N/A</v>
      </c>
      <c r="E3644" s="211" t="e">
        <f>IF(D3644&lt;&gt;"",VLOOKUP(VALUE(E3619&amp;","&amp;C3644),INTEGRANTES!$D$18:$F$235,3,0),"")</f>
        <v>#N/A</v>
      </c>
      <c r="F3644" s="547" t="e">
        <f>IF(D3644="","",SUMIF($I3623:$I3632,D3644,$P3623:$P3632))</f>
        <v>#N/A</v>
      </c>
      <c r="G3644" s="333" t="e">
        <f>IF(D3644="","",SUMIF($I3623:$I3632,D3644,$M3623:$M3632))</f>
        <v>#N/A</v>
      </c>
      <c r="H3644" s="535" t="e">
        <f t="shared" si="1073"/>
        <v>#N/A</v>
      </c>
      <c r="I3644" s="212" t="e">
        <f>IF(D3644="","",IF(H3644="NO APORTA","NO",IF(H3644=MAX($H3640:$H3645),"SI","NO")))</f>
        <v>#N/A</v>
      </c>
      <c r="J3644" s="213" t="e">
        <f t="shared" si="1074"/>
        <v>#N/A</v>
      </c>
      <c r="K3644" s="200" t="e">
        <f t="shared" si="1075"/>
        <v>#N/A</v>
      </c>
      <c r="L3644" s="721"/>
      <c r="M3644" s="715" t="s">
        <v>116</v>
      </c>
      <c r="N3644" s="716"/>
      <c r="O3644" s="556" t="str">
        <f>PORCREQUERIDO*100&amp;"% PMFO DEL MÓDULO"</f>
        <v>50% PMFO DEL MÓDULO</v>
      </c>
      <c r="P3644" s="715" t="s">
        <v>118</v>
      </c>
      <c r="Q3644" s="728"/>
      <c r="R3644" s="458"/>
      <c r="S3644" s="459"/>
      <c r="T3644" s="460"/>
      <c r="U3644" s="219"/>
      <c r="V3644" s="464"/>
      <c r="Y3644" s="414"/>
      <c r="AA3644" s="540" t="e">
        <f>IF(AND(C3643&lt;=F3638,F3638&lt;&gt;""),VLOOKUP(VALUE(E3619&amp;","&amp;C3643),INTEGRANTES!$D$18:$F$235,2,0),"")</f>
        <v>#N/A</v>
      </c>
      <c r="AB3644" s="545" t="e">
        <f t="shared" si="1076"/>
        <v>#N/A</v>
      </c>
      <c r="AC3644" s="529"/>
      <c r="AD3644" s="200" t="e">
        <f t="shared" si="1077"/>
        <v>#N/A</v>
      </c>
      <c r="AE3644" s="52"/>
      <c r="AF3644" s="52"/>
      <c r="AG3644" s="52"/>
      <c r="AH3644" s="87"/>
      <c r="AI3644" s="87"/>
    </row>
    <row r="3645" spans="1:35" ht="16.5" hidden="1" thickBot="1">
      <c r="A3645" s="218" t="e">
        <f>"S"&amp;E3619</f>
        <v>#N/A</v>
      </c>
      <c r="B3645" s="702"/>
      <c r="C3645" s="215">
        <v>6</v>
      </c>
      <c r="D3645" s="216" t="e">
        <f>IF(AND(C3645&lt;=F3638,F3638&lt;&gt;""),VLOOKUP(VALUE(E3619&amp;","&amp;C3645),INTEGRANTES!$D$18:$F$235,2,0),"")</f>
        <v>#N/A</v>
      </c>
      <c r="E3645" s="217" t="e">
        <f>IF(D3645&lt;&gt;"",VLOOKUP(VALUE(E3619&amp;","&amp;C3645),INTEGRANTES!$D$18:$F$235,3,0),"")</f>
        <v>#N/A</v>
      </c>
      <c r="F3645" s="548" t="e">
        <f>IF(D3645="","",SUMIF($I3623:$I3632,D3645,$P3623:$P3632))</f>
        <v>#N/A</v>
      </c>
      <c r="G3645" s="334" t="e">
        <f>IF(D3645="","",SUMIF($I3623:$I3632,D3645,$M3623:$M3632))</f>
        <v>#N/A</v>
      </c>
      <c r="H3645" s="536" t="e">
        <f t="shared" si="1073"/>
        <v>#N/A</v>
      </c>
      <c r="I3645" s="214" t="e">
        <f>IF(D3645="","",IF(H3645="NO APORTA","NO",IF(H3645=MAX($H3640:$H3645),"SI","NO")))</f>
        <v>#N/A</v>
      </c>
      <c r="J3645" s="213" t="e">
        <f t="shared" si="1074"/>
        <v>#N/A</v>
      </c>
      <c r="K3645" s="200" t="e">
        <f t="shared" si="1075"/>
        <v>#N/A</v>
      </c>
      <c r="L3645" s="721"/>
      <c r="M3645" s="729">
        <f>NUMMOD</f>
        <v>1</v>
      </c>
      <c r="N3645" s="730"/>
      <c r="O3645" s="443">
        <f>IF(M3645="","",ROUND(VLOOKUP(M3645,PRESUPUESTOS!$B$16:$H$16,7,FALSE),3))</f>
        <v>25.780999999999999</v>
      </c>
      <c r="P3645" s="713">
        <f>IF(OR(COUNTIF(P3623:P3632,"")&gt;=10,Q3639&lt;NUMMINCONT,OR(T3637="NO CUMPLE",T3637="VERIFICAR")),0,ROUND((SUM(P3623:P3632)/SUM(M3623:M3632)),3))</f>
        <v>0</v>
      </c>
      <c r="Q3645" s="714"/>
      <c r="R3645" s="458"/>
      <c r="S3645" s="459"/>
      <c r="T3645" s="460"/>
      <c r="U3645" s="219"/>
      <c r="V3645" s="464"/>
      <c r="Y3645" s="532" t="s">
        <v>343</v>
      </c>
      <c r="AA3645" s="540" t="e">
        <f>IF(AND(C3644&lt;=F3638,F3638&lt;&gt;""),VLOOKUP(VALUE(E3619&amp;","&amp;C3644),INTEGRANTES!$D$18:$F$235,2,0),"")</f>
        <v>#N/A</v>
      </c>
      <c r="AB3645" s="545" t="e">
        <f t="shared" si="1076"/>
        <v>#N/A</v>
      </c>
      <c r="AC3645" s="529"/>
      <c r="AD3645" s="200" t="e">
        <f t="shared" si="1077"/>
        <v>#N/A</v>
      </c>
      <c r="AE3645" s="52"/>
      <c r="AF3645" s="52"/>
      <c r="AG3645" s="52"/>
      <c r="AH3645" s="87"/>
      <c r="AI3645" s="87"/>
    </row>
    <row r="3646" spans="1:35" ht="16.5" hidden="1" customHeight="1" thickBot="1">
      <c r="A3646" s="218" t="e">
        <f>"T"&amp;E3619</f>
        <v>#N/A</v>
      </c>
      <c r="B3646" s="703"/>
      <c r="C3646" s="719"/>
      <c r="D3646" s="719"/>
      <c r="E3646" s="719"/>
      <c r="F3646" s="719"/>
      <c r="G3646" s="719"/>
      <c r="H3646" s="719" t="s">
        <v>110</v>
      </c>
      <c r="I3646" s="719"/>
      <c r="J3646" s="719"/>
      <c r="K3646" s="201" t="str">
        <f>IF(COUNTIF(K3640:K3645,"")=6,"",IF(COUNTIF(K3640:K3645,"CUMPLE")&gt;0,"CUMPLE","NO CUMPLE"))</f>
        <v>NO CUMPLE</v>
      </c>
      <c r="L3646" s="754"/>
      <c r="M3646" s="755"/>
      <c r="N3646" s="755"/>
      <c r="O3646" s="755"/>
      <c r="P3646" s="755"/>
      <c r="Q3646" s="756"/>
      <c r="R3646" s="461"/>
      <c r="S3646" s="462"/>
      <c r="T3646" s="463"/>
      <c r="U3646" s="219"/>
      <c r="V3646" s="464"/>
      <c r="Y3646" s="549" t="e">
        <f>IF(Y3640="NO APLICA","NO APLICA",IF(COUNTIF(AD3641:AD3646,"CUMPLE")&gt;0,"CUMPLE","NO CUMPLE"))</f>
        <v>#N/A</v>
      </c>
      <c r="AA3646" s="541" t="e">
        <f>IF(AND(C3645&lt;=F3638,F3638&lt;&gt;""),VLOOKUP(VALUE(E3619&amp;","&amp;C3645),INTEGRANTES!$D$18:$F$235,2,0),"")</f>
        <v>#N/A</v>
      </c>
      <c r="AB3646" s="546" t="e">
        <f t="shared" si="1076"/>
        <v>#N/A</v>
      </c>
      <c r="AC3646" s="543"/>
      <c r="AD3646" s="201" t="e">
        <f t="shared" si="1077"/>
        <v>#N/A</v>
      </c>
      <c r="AE3646" s="52"/>
      <c r="AF3646" s="52"/>
      <c r="AG3646" s="52"/>
      <c r="AH3646" s="87"/>
      <c r="AI3646" s="87"/>
    </row>
    <row r="3647" spans="1:35" hidden="1">
      <c r="AH3647" s="87"/>
      <c r="AI3647" s="87"/>
    </row>
    <row r="3648" spans="1:35" hidden="1">
      <c r="AH3648" s="87"/>
      <c r="AI3648" s="87"/>
    </row>
    <row r="3649" spans="1:35" ht="24" hidden="1" thickBot="1">
      <c r="A3649" s="61">
        <v>122</v>
      </c>
      <c r="B3649" s="704" t="s">
        <v>51</v>
      </c>
      <c r="C3649" s="704"/>
      <c r="D3649" s="704"/>
      <c r="E3649" s="62" t="e">
        <f>VLOOKUP(A3649,PROPONENTES!$B$19:$E$218,2,FALSE)</f>
        <v>#N/A</v>
      </c>
      <c r="F3649" s="63" t="e">
        <f>VLOOKUP(A3649,PROPONENTES!$B$19:$E$218,3,FALSE)</f>
        <v>#N/A</v>
      </c>
      <c r="G3649" s="64"/>
      <c r="H3649" s="64"/>
      <c r="I3649" s="63"/>
      <c r="J3649" s="63"/>
      <c r="K3649" s="65"/>
      <c r="L3649" s="65"/>
      <c r="M3649" s="64"/>
      <c r="N3649" s="64"/>
      <c r="O3649" s="66"/>
      <c r="P3649" s="66"/>
      <c r="Q3649" s="66"/>
      <c r="R3649" s="66"/>
      <c r="S3649" s="67"/>
      <c r="T3649" s="68"/>
      <c r="U3649" s="68"/>
      <c r="AC3649" s="68"/>
      <c r="AD3649" s="68"/>
      <c r="AE3649" s="68"/>
      <c r="AF3649" s="68"/>
      <c r="AG3649" s="68"/>
      <c r="AH3649" s="87"/>
      <c r="AI3649" s="87"/>
    </row>
    <row r="3650" spans="1:35" ht="15.75" hidden="1" customHeight="1">
      <c r="A3650" s="44"/>
      <c r="B3650" s="709" t="s">
        <v>59</v>
      </c>
      <c r="C3650" s="552" t="s">
        <v>60</v>
      </c>
      <c r="D3650" s="70" t="s">
        <v>17</v>
      </c>
      <c r="E3650" s="70"/>
      <c r="F3650" s="70" t="s">
        <v>61</v>
      </c>
      <c r="G3650" s="71"/>
      <c r="H3650" s="699" t="s">
        <v>62</v>
      </c>
      <c r="I3650" s="699" t="s">
        <v>18</v>
      </c>
      <c r="J3650" s="699" t="s">
        <v>63</v>
      </c>
      <c r="K3650" s="699" t="s">
        <v>64</v>
      </c>
      <c r="L3650" s="699" t="s">
        <v>65</v>
      </c>
      <c r="M3650" s="743" t="s">
        <v>66</v>
      </c>
      <c r="N3650" s="699" t="s">
        <v>282</v>
      </c>
      <c r="O3650" s="745" t="s">
        <v>67</v>
      </c>
      <c r="P3650" s="746"/>
      <c r="Q3650" s="102" t="s">
        <v>75</v>
      </c>
      <c r="R3650" s="731" t="s">
        <v>22</v>
      </c>
      <c r="S3650" s="732"/>
      <c r="T3650" s="733"/>
      <c r="U3650" s="712" t="s">
        <v>298</v>
      </c>
      <c r="W3650" s="690" t="s">
        <v>268</v>
      </c>
      <c r="X3650" s="691"/>
      <c r="Y3650" s="692"/>
      <c r="Z3650" s="428"/>
      <c r="AA3650" s="697" t="s">
        <v>315</v>
      </c>
      <c r="AB3650" s="695" t="s">
        <v>322</v>
      </c>
      <c r="AC3650" s="49"/>
      <c r="AD3650" s="690" t="s">
        <v>297</v>
      </c>
      <c r="AE3650" s="691"/>
      <c r="AF3650" s="692"/>
      <c r="AG3650" s="49"/>
      <c r="AH3650" s="87"/>
      <c r="AI3650" s="87"/>
    </row>
    <row r="3651" spans="1:35" ht="72" hidden="1">
      <c r="A3651" s="44"/>
      <c r="B3651" s="710"/>
      <c r="C3651" s="553" t="s">
        <v>68</v>
      </c>
      <c r="D3651" s="73" t="s">
        <v>3</v>
      </c>
      <c r="E3651" s="73" t="s">
        <v>19</v>
      </c>
      <c r="F3651" s="73" t="s">
        <v>69</v>
      </c>
      <c r="G3651" s="74" t="s">
        <v>70</v>
      </c>
      <c r="H3651" s="700"/>
      <c r="I3651" s="700"/>
      <c r="J3651" s="700"/>
      <c r="K3651" s="700"/>
      <c r="L3651" s="700"/>
      <c r="M3651" s="744"/>
      <c r="N3651" s="700"/>
      <c r="O3651" s="553" t="s">
        <v>279</v>
      </c>
      <c r="P3651" s="73" t="s">
        <v>88</v>
      </c>
      <c r="Q3651" s="555" t="s">
        <v>76</v>
      </c>
      <c r="R3651" s="734"/>
      <c r="S3651" s="735"/>
      <c r="T3651" s="736"/>
      <c r="U3651" s="712"/>
      <c r="W3651" s="429" t="s">
        <v>269</v>
      </c>
      <c r="X3651" s="457" t="s">
        <v>278</v>
      </c>
      <c r="Y3651" s="430" t="s">
        <v>324</v>
      </c>
      <c r="Z3651" s="428"/>
      <c r="AA3651" s="698"/>
      <c r="AB3651" s="696"/>
      <c r="AC3651" s="49"/>
      <c r="AD3651" s="429" t="s">
        <v>292</v>
      </c>
      <c r="AE3651" s="431" t="s">
        <v>300</v>
      </c>
      <c r="AF3651" s="468" t="s">
        <v>301</v>
      </c>
      <c r="AG3651" s="49"/>
      <c r="AH3651" s="87"/>
      <c r="AI3651" s="87"/>
    </row>
    <row r="3652" spans="1:35" hidden="1">
      <c r="A3652" s="44"/>
      <c r="B3652" s="76"/>
      <c r="C3652" s="77"/>
      <c r="D3652" s="77"/>
      <c r="E3652" s="77"/>
      <c r="F3652" s="77"/>
      <c r="G3652" s="77"/>
      <c r="H3652" s="77"/>
      <c r="I3652" s="77"/>
      <c r="J3652" s="77"/>
      <c r="K3652" s="77"/>
      <c r="L3652" s="77"/>
      <c r="M3652" s="77"/>
      <c r="N3652" s="77"/>
      <c r="O3652" s="77"/>
      <c r="P3652" s="77"/>
      <c r="Q3652" s="77"/>
      <c r="R3652" s="77"/>
      <c r="S3652" s="78"/>
      <c r="T3652" s="79"/>
      <c r="U3652" s="109"/>
      <c r="V3652" s="49"/>
      <c r="W3652" s="432"/>
      <c r="X3652" s="454"/>
      <c r="Y3652" s="433"/>
      <c r="Z3652" s="6"/>
      <c r="AA3652" s="500"/>
      <c r="AB3652" s="562"/>
      <c r="AC3652" s="49"/>
      <c r="AD3652" s="210"/>
      <c r="AE3652" s="434"/>
      <c r="AF3652" s="435"/>
      <c r="AG3652" s="49"/>
      <c r="AH3652" s="87"/>
      <c r="AI3652" s="87"/>
    </row>
    <row r="3653" spans="1:35" hidden="1">
      <c r="A3653" s="80" t="e">
        <f>"A"&amp;E3649</f>
        <v>#N/A</v>
      </c>
      <c r="B3653" s="81">
        <v>1</v>
      </c>
      <c r="C3653" s="82"/>
      <c r="D3653" s="82"/>
      <c r="E3653" s="82"/>
      <c r="F3653" s="82"/>
      <c r="G3653" s="83"/>
      <c r="H3653" s="83"/>
      <c r="I3653" s="84"/>
      <c r="J3653" s="85"/>
      <c r="K3653" s="382"/>
      <c r="L3653" s="85"/>
      <c r="M3653" s="332" t="str">
        <f t="shared" ref="M3653:M3662" si="1078">IF(OR(J3653="",L3653="",H3653="NO"),"",IF(OR(J3653&gt;$P$17,J3653&lt;$O$17,L3653&gt;$P$17,AND(J3653&lt;$O$17,L3653&lt;$O$17)),"FUERA DE RANGO",IF(OR(K3653="---",K3653=""),IF(J3653&gt;=$O$17,ROUND((L3653-J3653+1)/360*12,3),ROUND((L3653-$O$17+1)/360*12,3)),IF(J3653&gt;=$O$17,ROUND((L3653-J3653+1)/360*12-ROUND(K3653,3),3),ROUND((L3653-$O$17+1)/360*12-ROUND(K3653,3),3)))))</f>
        <v/>
      </c>
      <c r="N3653" s="86"/>
      <c r="O3653" s="453" t="str">
        <f>IF(OR(G3653="",N3653=""),"",N3653*G3653)</f>
        <v/>
      </c>
      <c r="P3653" s="538" t="str">
        <f>IF(OR(H3653="",M3653="FUERA DE RANGO"),"",IF(OR(L3653&lt;$O$17,L3653&gt;$P$17,L3653="",H3653="NO"),"",IF(OR(N3653="",O3653=""),"",ROUND(O3653,3))))</f>
        <v/>
      </c>
      <c r="Q3653" s="539" t="str">
        <f t="shared" ref="Q3653:Q3662" si="1079">IF(AND(H3653="SI",P3653&lt;&gt;""),ROUND(P3653/M3653,3),"")</f>
        <v/>
      </c>
      <c r="R3653" s="737"/>
      <c r="S3653" s="738"/>
      <c r="T3653" s="739"/>
      <c r="U3653" s="470"/>
      <c r="V3653" s="165"/>
      <c r="W3653" s="446"/>
      <c r="X3653" s="456"/>
      <c r="Y3653" s="436"/>
      <c r="Z3653" s="437"/>
      <c r="AA3653" s="560"/>
      <c r="AB3653" s="561"/>
      <c r="AC3653" s="87"/>
      <c r="AD3653" s="466"/>
      <c r="AE3653" s="456"/>
      <c r="AF3653" s="467"/>
      <c r="AG3653" s="87"/>
      <c r="AH3653" s="87"/>
      <c r="AI3653" s="87"/>
    </row>
    <row r="3654" spans="1:35" hidden="1">
      <c r="A3654" s="80" t="e">
        <f>"B"&amp;E3649</f>
        <v>#N/A</v>
      </c>
      <c r="B3654" s="81">
        <v>2</v>
      </c>
      <c r="C3654" s="106"/>
      <c r="D3654" s="106"/>
      <c r="E3654" s="106"/>
      <c r="F3654" s="106"/>
      <c r="G3654" s="83"/>
      <c r="H3654" s="83"/>
      <c r="I3654" s="84"/>
      <c r="J3654" s="85"/>
      <c r="K3654" s="382"/>
      <c r="L3654" s="85"/>
      <c r="M3654" s="332" t="str">
        <f t="shared" si="1078"/>
        <v/>
      </c>
      <c r="N3654" s="86"/>
      <c r="O3654" s="453" t="str">
        <f t="shared" ref="O3654:O3662" si="1080">IF(OR(G3654="",N3654=""),"",N3654*G3654)</f>
        <v/>
      </c>
      <c r="P3654" s="538" t="str">
        <f t="shared" ref="P3654:P3662" si="1081">IF(OR(H3654="",M3654="FUERA DE RANGO"),"",IF(OR(L3654&lt;$O$17,L3654&gt;$P$17,L3654="",H3654="NO"),"",IF(OR(N3654="",O3654=""),"",ROUND(O3654,3))))</f>
        <v/>
      </c>
      <c r="Q3654" s="539" t="str">
        <f t="shared" si="1079"/>
        <v/>
      </c>
      <c r="R3654" s="740"/>
      <c r="S3654" s="741"/>
      <c r="T3654" s="742"/>
      <c r="U3654" s="471"/>
      <c r="V3654" s="165"/>
      <c r="W3654" s="446"/>
      <c r="X3654" s="456"/>
      <c r="Y3654" s="436"/>
      <c r="Z3654" s="437"/>
      <c r="AA3654" s="560"/>
      <c r="AB3654" s="561"/>
      <c r="AC3654" s="87"/>
      <c r="AD3654" s="466"/>
      <c r="AE3654" s="456"/>
      <c r="AF3654" s="467"/>
      <c r="AG3654" s="87"/>
      <c r="AH3654" s="87"/>
      <c r="AI3654" s="87"/>
    </row>
    <row r="3655" spans="1:35" hidden="1">
      <c r="A3655" s="80" t="e">
        <f>"C"&amp;E3649</f>
        <v>#N/A</v>
      </c>
      <c r="B3655" s="88">
        <v>3</v>
      </c>
      <c r="C3655" s="82"/>
      <c r="D3655" s="82"/>
      <c r="E3655" s="82"/>
      <c r="F3655" s="82"/>
      <c r="G3655" s="83"/>
      <c r="H3655" s="83"/>
      <c r="I3655" s="84"/>
      <c r="J3655" s="85"/>
      <c r="K3655" s="382"/>
      <c r="L3655" s="85"/>
      <c r="M3655" s="332" t="str">
        <f t="shared" si="1078"/>
        <v/>
      </c>
      <c r="N3655" s="86"/>
      <c r="O3655" s="453" t="str">
        <f t="shared" si="1080"/>
        <v/>
      </c>
      <c r="P3655" s="538" t="str">
        <f t="shared" si="1081"/>
        <v/>
      </c>
      <c r="Q3655" s="539" t="str">
        <f t="shared" si="1079"/>
        <v/>
      </c>
      <c r="R3655" s="706"/>
      <c r="S3655" s="707"/>
      <c r="T3655" s="708"/>
      <c r="U3655" s="472"/>
      <c r="V3655" s="166"/>
      <c r="W3655" s="446"/>
      <c r="X3655" s="456"/>
      <c r="Y3655" s="436"/>
      <c r="Z3655" s="437"/>
      <c r="AA3655" s="560"/>
      <c r="AB3655" s="561"/>
      <c r="AC3655" s="87"/>
      <c r="AD3655" s="466"/>
      <c r="AE3655" s="456"/>
      <c r="AF3655" s="467"/>
      <c r="AG3655" s="87"/>
      <c r="AH3655" s="87"/>
      <c r="AI3655" s="87"/>
    </row>
    <row r="3656" spans="1:35" hidden="1">
      <c r="A3656" s="80" t="e">
        <f>"D"&amp;E3649</f>
        <v>#N/A</v>
      </c>
      <c r="B3656" s="105">
        <v>4</v>
      </c>
      <c r="C3656" s="107"/>
      <c r="D3656" s="107"/>
      <c r="E3656" s="107"/>
      <c r="F3656" s="107"/>
      <c r="G3656" s="83"/>
      <c r="H3656" s="83"/>
      <c r="I3656" s="84"/>
      <c r="J3656" s="85"/>
      <c r="K3656" s="382"/>
      <c r="L3656" s="85"/>
      <c r="M3656" s="332" t="str">
        <f t="shared" si="1078"/>
        <v/>
      </c>
      <c r="N3656" s="86"/>
      <c r="O3656" s="453" t="str">
        <f t="shared" si="1080"/>
        <v/>
      </c>
      <c r="P3656" s="538" t="str">
        <f t="shared" si="1081"/>
        <v/>
      </c>
      <c r="Q3656" s="539" t="str">
        <f t="shared" si="1079"/>
        <v/>
      </c>
      <c r="R3656" s="706"/>
      <c r="S3656" s="707"/>
      <c r="T3656" s="708"/>
      <c r="U3656" s="472"/>
      <c r="V3656" s="166"/>
      <c r="W3656" s="446"/>
      <c r="X3656" s="456"/>
      <c r="Y3656" s="436"/>
      <c r="Z3656" s="437"/>
      <c r="AA3656" s="560"/>
      <c r="AB3656" s="561"/>
      <c r="AC3656" s="87"/>
      <c r="AD3656" s="466"/>
      <c r="AE3656" s="456"/>
      <c r="AF3656" s="467"/>
      <c r="AG3656" s="87"/>
      <c r="AH3656" s="87"/>
      <c r="AI3656" s="87"/>
    </row>
    <row r="3657" spans="1:35" hidden="1">
      <c r="A3657" s="80" t="e">
        <f>"E"&amp;E3649</f>
        <v>#N/A</v>
      </c>
      <c r="B3657" s="105">
        <v>5</v>
      </c>
      <c r="C3657" s="107"/>
      <c r="D3657" s="107"/>
      <c r="E3657" s="107"/>
      <c r="F3657" s="107"/>
      <c r="G3657" s="83"/>
      <c r="H3657" s="83"/>
      <c r="I3657" s="84"/>
      <c r="J3657" s="85"/>
      <c r="K3657" s="382"/>
      <c r="L3657" s="85"/>
      <c r="M3657" s="332" t="str">
        <f t="shared" si="1078"/>
        <v/>
      </c>
      <c r="N3657" s="86"/>
      <c r="O3657" s="453" t="str">
        <f t="shared" si="1080"/>
        <v/>
      </c>
      <c r="P3657" s="538" t="str">
        <f t="shared" si="1081"/>
        <v/>
      </c>
      <c r="Q3657" s="539" t="str">
        <f t="shared" si="1079"/>
        <v/>
      </c>
      <c r="R3657" s="706"/>
      <c r="S3657" s="707"/>
      <c r="T3657" s="708"/>
      <c r="U3657" s="472"/>
      <c r="V3657" s="167"/>
      <c r="W3657" s="446"/>
      <c r="X3657" s="456"/>
      <c r="Y3657" s="436"/>
      <c r="Z3657" s="437"/>
      <c r="AA3657" s="560"/>
      <c r="AB3657" s="561"/>
      <c r="AC3657" s="87"/>
      <c r="AD3657" s="466"/>
      <c r="AE3657" s="456"/>
      <c r="AF3657" s="467"/>
      <c r="AG3657" s="87"/>
      <c r="AH3657" s="87"/>
      <c r="AI3657" s="87"/>
    </row>
    <row r="3658" spans="1:35" hidden="1">
      <c r="A3658" s="80" t="e">
        <f>"F"&amp;E3649</f>
        <v>#N/A</v>
      </c>
      <c r="B3658" s="105">
        <v>6</v>
      </c>
      <c r="C3658" s="107"/>
      <c r="D3658" s="107"/>
      <c r="E3658" s="107"/>
      <c r="F3658" s="107"/>
      <c r="G3658" s="83"/>
      <c r="H3658" s="83"/>
      <c r="I3658" s="84"/>
      <c r="J3658" s="85"/>
      <c r="K3658" s="382"/>
      <c r="L3658" s="85"/>
      <c r="M3658" s="332" t="str">
        <f t="shared" si="1078"/>
        <v/>
      </c>
      <c r="N3658" s="86"/>
      <c r="O3658" s="453" t="str">
        <f t="shared" si="1080"/>
        <v/>
      </c>
      <c r="P3658" s="538" t="str">
        <f t="shared" si="1081"/>
        <v/>
      </c>
      <c r="Q3658" s="539" t="str">
        <f t="shared" si="1079"/>
        <v/>
      </c>
      <c r="R3658" s="706"/>
      <c r="S3658" s="707"/>
      <c r="T3658" s="708"/>
      <c r="U3658" s="472"/>
      <c r="V3658" s="167"/>
      <c r="W3658" s="446"/>
      <c r="X3658" s="456"/>
      <c r="Y3658" s="436"/>
      <c r="Z3658" s="437"/>
      <c r="AA3658" s="560"/>
      <c r="AB3658" s="561"/>
      <c r="AC3658" s="87"/>
      <c r="AD3658" s="466"/>
      <c r="AE3658" s="456"/>
      <c r="AF3658" s="467"/>
      <c r="AG3658" s="87"/>
      <c r="AH3658" s="87"/>
      <c r="AI3658" s="87"/>
    </row>
    <row r="3659" spans="1:35" hidden="1">
      <c r="A3659" s="80" t="e">
        <f>"G"&amp;E3649</f>
        <v>#N/A</v>
      </c>
      <c r="B3659" s="105">
        <v>7</v>
      </c>
      <c r="C3659" s="107"/>
      <c r="D3659" s="107"/>
      <c r="E3659" s="107"/>
      <c r="F3659" s="107"/>
      <c r="G3659" s="83"/>
      <c r="H3659" s="83"/>
      <c r="I3659" s="84"/>
      <c r="J3659" s="85"/>
      <c r="K3659" s="382"/>
      <c r="L3659" s="85"/>
      <c r="M3659" s="332" t="str">
        <f t="shared" si="1078"/>
        <v/>
      </c>
      <c r="N3659" s="86"/>
      <c r="O3659" s="86" t="str">
        <f t="shared" si="1080"/>
        <v/>
      </c>
      <c r="P3659" s="538" t="str">
        <f t="shared" si="1081"/>
        <v/>
      </c>
      <c r="Q3659" s="539" t="str">
        <f t="shared" si="1079"/>
        <v/>
      </c>
      <c r="R3659" s="706"/>
      <c r="S3659" s="707"/>
      <c r="T3659" s="708"/>
      <c r="U3659" s="472"/>
      <c r="V3659" s="167"/>
      <c r="W3659" s="446"/>
      <c r="X3659" s="456"/>
      <c r="Y3659" s="436"/>
      <c r="Z3659" s="437"/>
      <c r="AA3659" s="560"/>
      <c r="AB3659" s="561"/>
      <c r="AC3659" s="87"/>
      <c r="AD3659" s="466"/>
      <c r="AE3659" s="456"/>
      <c r="AF3659" s="467"/>
      <c r="AG3659" s="87"/>
      <c r="AH3659" s="87"/>
      <c r="AI3659" s="87"/>
    </row>
    <row r="3660" spans="1:35" hidden="1">
      <c r="A3660" s="80" t="e">
        <f>"H"&amp;E3649</f>
        <v>#N/A</v>
      </c>
      <c r="B3660" s="105">
        <v>8</v>
      </c>
      <c r="C3660" s="107"/>
      <c r="D3660" s="107"/>
      <c r="E3660" s="107"/>
      <c r="F3660" s="107"/>
      <c r="G3660" s="83"/>
      <c r="H3660" s="83"/>
      <c r="I3660" s="84"/>
      <c r="J3660" s="85"/>
      <c r="K3660" s="382"/>
      <c r="L3660" s="85"/>
      <c r="M3660" s="332" t="str">
        <f t="shared" si="1078"/>
        <v/>
      </c>
      <c r="N3660" s="453"/>
      <c r="O3660" s="86" t="str">
        <f t="shared" si="1080"/>
        <v/>
      </c>
      <c r="P3660" s="538" t="str">
        <f t="shared" si="1081"/>
        <v/>
      </c>
      <c r="Q3660" s="539" t="str">
        <f t="shared" si="1079"/>
        <v/>
      </c>
      <c r="R3660" s="706"/>
      <c r="S3660" s="707"/>
      <c r="T3660" s="708"/>
      <c r="U3660" s="472"/>
      <c r="V3660" s="167"/>
      <c r="W3660" s="446"/>
      <c r="X3660" s="456"/>
      <c r="Y3660" s="436"/>
      <c r="Z3660" s="437"/>
      <c r="AA3660" s="560"/>
      <c r="AB3660" s="561"/>
      <c r="AC3660" s="87"/>
      <c r="AD3660" s="466"/>
      <c r="AE3660" s="456"/>
      <c r="AF3660" s="467"/>
      <c r="AG3660" s="87"/>
      <c r="AH3660" s="87"/>
      <c r="AI3660" s="87"/>
    </row>
    <row r="3661" spans="1:35" hidden="1">
      <c r="A3661" s="80" t="e">
        <f>"I"&amp;E3649</f>
        <v>#N/A</v>
      </c>
      <c r="B3661" s="105">
        <v>9</v>
      </c>
      <c r="C3661" s="107"/>
      <c r="D3661" s="107"/>
      <c r="E3661" s="107"/>
      <c r="F3661" s="107"/>
      <c r="G3661" s="83"/>
      <c r="H3661" s="83"/>
      <c r="I3661" s="84"/>
      <c r="J3661" s="85"/>
      <c r="K3661" s="382"/>
      <c r="L3661" s="85"/>
      <c r="M3661" s="332" t="str">
        <f t="shared" si="1078"/>
        <v/>
      </c>
      <c r="N3661" s="453"/>
      <c r="O3661" s="86" t="str">
        <f t="shared" si="1080"/>
        <v/>
      </c>
      <c r="P3661" s="538" t="str">
        <f t="shared" si="1081"/>
        <v/>
      </c>
      <c r="Q3661" s="539" t="str">
        <f t="shared" si="1079"/>
        <v/>
      </c>
      <c r="R3661" s="706"/>
      <c r="S3661" s="707"/>
      <c r="T3661" s="708"/>
      <c r="U3661" s="472"/>
      <c r="V3661" s="167"/>
      <c r="W3661" s="446"/>
      <c r="X3661" s="456"/>
      <c r="Y3661" s="436"/>
      <c r="Z3661" s="437"/>
      <c r="AA3661" s="560"/>
      <c r="AB3661" s="561"/>
      <c r="AC3661" s="87"/>
      <c r="AD3661" s="466"/>
      <c r="AE3661" s="456"/>
      <c r="AF3661" s="467"/>
      <c r="AG3661" s="87"/>
      <c r="AH3661" s="87"/>
      <c r="AI3661" s="87"/>
    </row>
    <row r="3662" spans="1:35" hidden="1">
      <c r="A3662" s="80" t="e">
        <f>"J"&amp;E3649</f>
        <v>#N/A</v>
      </c>
      <c r="B3662" s="105">
        <v>10</v>
      </c>
      <c r="C3662" s="107"/>
      <c r="D3662" s="107"/>
      <c r="E3662" s="107"/>
      <c r="F3662" s="107"/>
      <c r="G3662" s="83"/>
      <c r="H3662" s="83"/>
      <c r="I3662" s="84"/>
      <c r="J3662" s="85"/>
      <c r="K3662" s="382"/>
      <c r="L3662" s="85"/>
      <c r="M3662" s="332" t="str">
        <f t="shared" si="1078"/>
        <v/>
      </c>
      <c r="N3662" s="453"/>
      <c r="O3662" s="86" t="str">
        <f t="shared" si="1080"/>
        <v/>
      </c>
      <c r="P3662" s="538" t="str">
        <f t="shared" si="1081"/>
        <v/>
      </c>
      <c r="Q3662" s="539" t="str">
        <f t="shared" si="1079"/>
        <v/>
      </c>
      <c r="R3662" s="706"/>
      <c r="S3662" s="707"/>
      <c r="T3662" s="708"/>
      <c r="U3662" s="472"/>
      <c r="V3662" s="167"/>
      <c r="W3662" s="446"/>
      <c r="X3662" s="456"/>
      <c r="Y3662" s="436"/>
      <c r="Z3662" s="437"/>
      <c r="AA3662" s="560"/>
      <c r="AB3662" s="561"/>
      <c r="AC3662" s="87"/>
      <c r="AD3662" s="466"/>
      <c r="AE3662" s="456"/>
      <c r="AF3662" s="467"/>
      <c r="AG3662" s="87"/>
      <c r="AH3662" s="87"/>
      <c r="AI3662" s="87"/>
    </row>
    <row r="3663" spans="1:35" ht="16.5" hidden="1" thickBot="1">
      <c r="A3663" s="44"/>
      <c r="B3663" s="89"/>
      <c r="C3663" s="90"/>
      <c r="D3663" s="90"/>
      <c r="E3663" s="90"/>
      <c r="F3663" s="90"/>
      <c r="G3663" s="90"/>
      <c r="H3663" s="90"/>
      <c r="I3663" s="90"/>
      <c r="J3663" s="90"/>
      <c r="K3663" s="90"/>
      <c r="L3663" s="90"/>
      <c r="M3663" s="90"/>
      <c r="N3663" s="90"/>
      <c r="O3663" s="90"/>
      <c r="P3663" s="90"/>
      <c r="Q3663" s="90"/>
      <c r="R3663" s="90"/>
      <c r="S3663" s="91"/>
      <c r="T3663" s="92"/>
      <c r="U3663" s="473"/>
      <c r="W3663" s="438"/>
      <c r="X3663" s="455"/>
      <c r="Y3663" s="439"/>
      <c r="Z3663" s="437"/>
      <c r="AA3663" s="530"/>
      <c r="AB3663" s="563"/>
      <c r="AC3663" s="87"/>
      <c r="AD3663" s="440"/>
      <c r="AE3663" s="441"/>
      <c r="AF3663" s="442"/>
      <c r="AG3663" s="49"/>
      <c r="AH3663" s="87"/>
      <c r="AI3663" s="87"/>
    </row>
    <row r="3664" spans="1:35" ht="16.5" hidden="1" thickBot="1">
      <c r="A3664" s="93"/>
      <c r="B3664" s="94"/>
      <c r="C3664" s="96"/>
      <c r="D3664" s="96"/>
      <c r="E3664" s="96"/>
      <c r="F3664" s="96"/>
      <c r="G3664" s="96"/>
      <c r="H3664" s="96"/>
      <c r="I3664" s="96"/>
      <c r="J3664" s="96"/>
      <c r="K3664" s="96"/>
      <c r="L3664" s="96"/>
      <c r="M3664" s="136"/>
      <c r="N3664" s="96"/>
      <c r="O3664" s="96"/>
      <c r="P3664" s="97"/>
      <c r="Q3664" s="97"/>
      <c r="R3664" s="98"/>
      <c r="S3664" s="95"/>
      <c r="T3664" s="99"/>
      <c r="U3664" s="469"/>
      <c r="AC3664" s="58"/>
      <c r="AG3664" s="58"/>
      <c r="AH3664" s="87"/>
      <c r="AI3664" s="87"/>
    </row>
    <row r="3665" spans="1:35" ht="16.5" hidden="1" thickBot="1">
      <c r="B3665" s="101"/>
      <c r="C3665" s="101"/>
      <c r="D3665" s="101"/>
      <c r="E3665" s="101"/>
      <c r="F3665" s="101"/>
      <c r="G3665" s="101"/>
      <c r="H3665" s="101"/>
      <c r="I3665" s="101"/>
      <c r="J3665" s="101"/>
      <c r="K3665" s="101"/>
      <c r="L3665" s="101"/>
      <c r="M3665" s="101"/>
      <c r="N3665" s="101"/>
      <c r="O3665" s="101"/>
      <c r="P3665" s="101"/>
      <c r="Q3665" s="101"/>
      <c r="R3665" s="101"/>
      <c r="S3665" s="101"/>
      <c r="U3665" s="50"/>
      <c r="AH3665" s="87"/>
      <c r="AI3665" s="87"/>
    </row>
    <row r="3666" spans="1:35" ht="16.5" hidden="1" customHeight="1" thickBot="1">
      <c r="A3666" s="44"/>
      <c r="B3666" s="705" t="s">
        <v>74</v>
      </c>
      <c r="C3666" s="705"/>
      <c r="D3666" s="705"/>
      <c r="E3666" s="705"/>
      <c r="F3666" s="705"/>
      <c r="G3666" s="705"/>
      <c r="H3666" s="705"/>
      <c r="I3666" s="705"/>
      <c r="J3666" s="705"/>
      <c r="K3666" s="705"/>
      <c r="L3666" s="705"/>
      <c r="M3666" s="705"/>
      <c r="N3666" s="705"/>
      <c r="O3666" s="705"/>
      <c r="P3666" s="705"/>
      <c r="Q3666" s="705"/>
      <c r="R3666" s="705"/>
      <c r="S3666" s="705"/>
      <c r="T3666" s="705"/>
      <c r="U3666" s="108"/>
      <c r="Y3666" s="532" t="s">
        <v>341</v>
      </c>
      <c r="AC3666" s="49"/>
      <c r="AD3666" s="687" t="s">
        <v>302</v>
      </c>
      <c r="AE3666" s="688"/>
      <c r="AF3666" s="689"/>
      <c r="AG3666" s="49"/>
      <c r="AH3666" s="87"/>
      <c r="AI3666" s="87"/>
    </row>
    <row r="3667" spans="1:35" ht="16.5" hidden="1" customHeight="1" thickBot="1">
      <c r="A3667" s="218" t="e">
        <f>"K"&amp;E3649</f>
        <v>#N/A</v>
      </c>
      <c r="B3667" s="701" t="s">
        <v>71</v>
      </c>
      <c r="C3667" s="751" t="s">
        <v>102</v>
      </c>
      <c r="D3667" s="751"/>
      <c r="E3667" s="751"/>
      <c r="F3667" s="751"/>
      <c r="G3667" s="751"/>
      <c r="H3667" s="751"/>
      <c r="I3667" s="751"/>
      <c r="J3667" s="751"/>
      <c r="K3667" s="751"/>
      <c r="L3667" s="722" t="s">
        <v>100</v>
      </c>
      <c r="M3667" s="747" t="s">
        <v>114</v>
      </c>
      <c r="N3667" s="747"/>
      <c r="O3667" s="747"/>
      <c r="P3667" s="747"/>
      <c r="Q3667" s="748"/>
      <c r="R3667" s="758" t="s">
        <v>280</v>
      </c>
      <c r="S3667" s="748"/>
      <c r="T3667" s="762" t="str">
        <f>IF(COUNTIF(AE3667:AF3667,"VERIFICAR")&gt;0,"VERIFICAR",IF(COUNTIF(AE3667:AF3667,"NO CUMPLE")&gt;0,"NO CUMPLE","CUMPLE"))</f>
        <v>VERIFICAR</v>
      </c>
      <c r="U3667" s="108"/>
      <c r="Y3667" s="533" t="e">
        <f>IF(F3668="","",IF(F3668=1,"INDIVIDUAL","ESTRUCTURA PLURAL"))</f>
        <v>#N/A</v>
      </c>
      <c r="AC3667" s="52"/>
      <c r="AD3667" s="475" t="s">
        <v>303</v>
      </c>
      <c r="AE3667" s="476" t="str">
        <f>IF(COUNTIF(AE3653:AE3662,"")=10,"VERIFICAR",IF(COUNTIF(AE3653:AE3662,"SI")&gt;0,"CUMPLE","NO CUMPLE"))</f>
        <v>VERIFICAR</v>
      </c>
      <c r="AF3667" s="477" t="str">
        <f>IF(COUNTIF(AF3653:AF3662,"")=10,"VERIFICAR",IF(COUNTIF(AF3653:AF3662,"SI")&gt;=$AI$22,"CUMPLE","NO CUMPLE"))</f>
        <v>VERIFICAR</v>
      </c>
      <c r="AG3667" s="52"/>
      <c r="AH3667" s="87"/>
      <c r="AI3667" s="87"/>
    </row>
    <row r="3668" spans="1:35" ht="15.75" hidden="1" customHeight="1" thickBot="1">
      <c r="A3668" s="218" t="e">
        <f>"L"&amp;E3649</f>
        <v>#N/A</v>
      </c>
      <c r="B3668" s="702"/>
      <c r="C3668" s="751" t="s">
        <v>103</v>
      </c>
      <c r="D3668" s="751"/>
      <c r="E3668" s="752"/>
      <c r="F3668" s="557" t="e">
        <f>IF(VLOOKUP(E3649,PROPONENTES!$C$19:$E$218,3,0)="","",VLOOKUP(E3649,PROPONENTES!$C$19:$E$218,3,0))</f>
        <v>#N/A</v>
      </c>
      <c r="G3668" s="753" t="s">
        <v>104</v>
      </c>
      <c r="H3668" s="751"/>
      <c r="I3668" s="715" t="e">
        <f>IF(OR(F3668="",F3668=1),"INTERESADO PERSONA NATURAL O JURIDICA","CONSORCIO O UNION TEMPORAL")</f>
        <v>#N/A</v>
      </c>
      <c r="J3668" s="725"/>
      <c r="K3668" s="728"/>
      <c r="L3668" s="723"/>
      <c r="M3668" s="749"/>
      <c r="N3668" s="749"/>
      <c r="O3668" s="749"/>
      <c r="P3668" s="749"/>
      <c r="Q3668" s="750"/>
      <c r="R3668" s="712"/>
      <c r="S3668" s="750"/>
      <c r="T3668" s="763"/>
      <c r="U3668" s="108"/>
      <c r="Y3668" s="534"/>
      <c r="AA3668" s="52"/>
      <c r="AB3668" s="52"/>
      <c r="AC3668" s="52"/>
      <c r="AG3668" s="52"/>
      <c r="AH3668" s="87"/>
      <c r="AI3668" s="87"/>
    </row>
    <row r="3669" spans="1:35" ht="56.25" hidden="1" customHeight="1" thickBot="1">
      <c r="A3669" s="218" t="e">
        <f>"M"&amp;E3649</f>
        <v>#N/A</v>
      </c>
      <c r="B3669" s="702"/>
      <c r="C3669" s="725" t="s">
        <v>101</v>
      </c>
      <c r="D3669" s="716"/>
      <c r="E3669" s="558" t="s">
        <v>105</v>
      </c>
      <c r="F3669" s="554" t="s">
        <v>87</v>
      </c>
      <c r="G3669" s="553" t="s">
        <v>86</v>
      </c>
      <c r="H3669" s="559" t="s">
        <v>85</v>
      </c>
      <c r="I3669" s="554" t="s">
        <v>252</v>
      </c>
      <c r="J3669" s="553" t="str">
        <f>"¿EL INTEGRANTE TIENE UNA PARTICIPACIÓN DEL "&amp;PORCREQUERIDOINT*100&amp;"%?"</f>
        <v>¿EL INTEGRANTE TIENE UNA PARTICIPACIÓN DEL 60%?</v>
      </c>
      <c r="K3669" s="554" t="s">
        <v>107</v>
      </c>
      <c r="L3669" s="724"/>
      <c r="M3669" s="717" t="s">
        <v>115</v>
      </c>
      <c r="N3669" s="718"/>
      <c r="O3669" s="718"/>
      <c r="P3669" s="718"/>
      <c r="Q3669" s="223">
        <f>IF(AND(H3653="SI",P3653&gt;=0),1,0)+IF(AND(H3654="SI",P3654&gt;=0),1,0)+IF(AND(H3655="SI",P3655&gt;=0),1,0)+IF(AND(H3656="SI",P3656&gt;=0),1,0)+IF(AND(H3657="SI",P3657&gt;=0),1,0)+IF(AND(H3658="SI",P3658&gt;=0),1,0)+IF(AND(H3659="SI",P3659&gt;=0),1,0)+IF(AND(H3660="SI",P3660&gt;=0),1,0)+IF(AND(H3661="SI",P3661&gt;=0),1,0)+IF(AND(H3662="SI",P3662&gt;=0),1,0)</f>
        <v>0</v>
      </c>
      <c r="R3669" s="759"/>
      <c r="S3669" s="761"/>
      <c r="T3669" s="764"/>
      <c r="U3669" s="219"/>
      <c r="V3669" s="464"/>
      <c r="Y3669" s="532" t="s">
        <v>342</v>
      </c>
      <c r="AA3669" s="550" t="s">
        <v>344</v>
      </c>
      <c r="AB3669" s="693" t="s">
        <v>345</v>
      </c>
      <c r="AC3669" s="693" t="s">
        <v>346</v>
      </c>
      <c r="AD3669" s="685" t="s">
        <v>347</v>
      </c>
      <c r="AE3669" s="52"/>
      <c r="AF3669" s="52"/>
      <c r="AG3669" s="52"/>
      <c r="AH3669" s="87"/>
      <c r="AI3669" s="87"/>
    </row>
    <row r="3670" spans="1:35" ht="15.75" hidden="1" customHeight="1" thickBot="1">
      <c r="A3670" s="218" t="e">
        <f>"N"&amp;E3649</f>
        <v>#N/A</v>
      </c>
      <c r="B3670" s="702"/>
      <c r="C3670" s="114">
        <v>1</v>
      </c>
      <c r="D3670" s="194" t="e">
        <f>IF(AND(C3670&lt;=F3668,F3668&gt;1,F3668&lt;&gt;""),VLOOKUP(VALUE(E3649&amp;","&amp;C3670),INTEGRANTES!$D$18:$F$235,2,0),"")</f>
        <v>#N/A</v>
      </c>
      <c r="E3670" s="211" t="e">
        <f>IF(D3670&lt;&gt;"",VLOOKUP(VALUE(E3649&amp;","&amp;C3670),INTEGRANTES!$D$18:$F$235,3,0),"")</f>
        <v>#N/A</v>
      </c>
      <c r="F3670" s="547" t="e">
        <f>IF(D3670="","",SUMIF($I3653:$I3662,D3670,$P3653:$P3662))</f>
        <v>#N/A</v>
      </c>
      <c r="G3670" s="333" t="e">
        <f>IF(D3670="","",SUMIF($I3653:$I3662,D3670,$M3653:$M3662))</f>
        <v>#N/A</v>
      </c>
      <c r="H3670" s="535" t="e">
        <f t="shared" ref="H3670:H3675" si="1082">IF(D3670="","",IF(OR(F3670=0,G3670=0),"NO APORTA",ROUND($F3670/$G3670,3)))</f>
        <v>#N/A</v>
      </c>
      <c r="I3670" s="212" t="e">
        <f>IF(D3670="","",IF(H3670="NO APORTA","NO",IF(H3670=MAX($H3670:$H3675),"SI","NO")))</f>
        <v>#N/A</v>
      </c>
      <c r="J3670" s="213" t="e">
        <f t="shared" ref="J3670:J3675" si="1083">IF(D3670="","",IF(E3670&gt;=PORCREQUERIDOINT,"SI","NO"))</f>
        <v>#N/A</v>
      </c>
      <c r="K3670" s="200" t="e">
        <f t="shared" ref="K3670:K3675" si="1084">IF(D3670="","",IF(AND(I3670="SI",J3670="SI"),"CUMPLE",IF(AND(I3670="NO",OR(J3670="SI",J3670="NO")),"","NO CUMPLE")))</f>
        <v>#N/A</v>
      </c>
      <c r="L3670" s="722" t="s">
        <v>108</v>
      </c>
      <c r="M3670" s="726" t="s">
        <v>119</v>
      </c>
      <c r="N3670" s="726"/>
      <c r="O3670" s="726"/>
      <c r="P3670" s="726"/>
      <c r="Q3670" s="727"/>
      <c r="R3670" s="758" t="s">
        <v>80</v>
      </c>
      <c r="S3670" s="747"/>
      <c r="T3670" s="748"/>
      <c r="U3670" s="219"/>
      <c r="V3670" s="464"/>
      <c r="Y3670" s="533" t="e">
        <f>IF(Y3667="","",IF(Y3667="INDIVIDUAL","NO APLICA","VERIFICAR CUADRO"))</f>
        <v>#N/A</v>
      </c>
      <c r="AA3670" s="551"/>
      <c r="AB3670" s="694"/>
      <c r="AC3670" s="694"/>
      <c r="AD3670" s="686"/>
      <c r="AE3670" s="52"/>
      <c r="AF3670" s="52"/>
      <c r="AG3670" s="52"/>
      <c r="AH3670" s="87"/>
      <c r="AI3670" s="87"/>
    </row>
    <row r="3671" spans="1:35" ht="27" hidden="1" customHeight="1" thickBot="1">
      <c r="A3671" s="218" t="e">
        <f>"O"&amp;E3649</f>
        <v>#N/A</v>
      </c>
      <c r="B3671" s="702"/>
      <c r="C3671" s="114">
        <v>2</v>
      </c>
      <c r="D3671" s="194" t="e">
        <f>IF(AND(C3671&lt;=F3668,F3668&lt;&gt;""),VLOOKUP(VALUE(E3649&amp;","&amp;C3671),INTEGRANTES!$D$18:$F$235,2,0),"")</f>
        <v>#N/A</v>
      </c>
      <c r="E3671" s="211" t="e">
        <f>IF(D3671&lt;&gt;"",VLOOKUP(VALUE(E3649&amp;","&amp;C3671),INTEGRANTES!$D$18:$F$235,3,0),"")</f>
        <v>#N/A</v>
      </c>
      <c r="F3671" s="547" t="e">
        <f>IF(D3671="","",SUMIF($I3653:$I3662,D3671,$P3653:$P3662))</f>
        <v>#N/A</v>
      </c>
      <c r="G3671" s="333" t="e">
        <f>IF(D3671="","",SUMIF($I3653:$I3662,D3671,$M3653:$M3662))</f>
        <v>#N/A</v>
      </c>
      <c r="H3671" s="535" t="e">
        <f t="shared" si="1082"/>
        <v>#N/A</v>
      </c>
      <c r="I3671" s="212" t="e">
        <f>IF(D3671="","",IF(H3671="NO APORTA","NO",IF(H3671=MAX($H3670:$H3675),"SI","NO")))</f>
        <v>#N/A</v>
      </c>
      <c r="J3671" s="213" t="e">
        <f t="shared" si="1083"/>
        <v>#N/A</v>
      </c>
      <c r="K3671" s="200" t="e">
        <f t="shared" si="1084"/>
        <v>#N/A</v>
      </c>
      <c r="L3671" s="723"/>
      <c r="M3671" s="715" t="s">
        <v>116</v>
      </c>
      <c r="N3671" s="716"/>
      <c r="O3671" s="556" t="s">
        <v>113</v>
      </c>
      <c r="P3671" s="715" t="s">
        <v>117</v>
      </c>
      <c r="Q3671" s="728"/>
      <c r="R3671" s="759"/>
      <c r="S3671" s="760"/>
      <c r="T3671" s="761"/>
      <c r="U3671" s="219"/>
      <c r="V3671" s="464"/>
      <c r="Y3671" s="414"/>
      <c r="AA3671" s="542" t="e">
        <f>IF(AND(C3670&lt;=F3668,F3668&gt;1,F3668&lt;&gt;""),VLOOKUP(VALUE(E3649&amp;","&amp;C3670),INTEGRANTES!$D$18:$F$235,2,0),"")</f>
        <v>#N/A</v>
      </c>
      <c r="AB3671" s="544" t="e">
        <f t="shared" ref="AB3671:AB3676" si="1085">IF(D3670="","",IF(OR(F3670=0,G3670=0),"NO APORTA",ROUND($F3670/$G3670,3)))</f>
        <v>#N/A</v>
      </c>
      <c r="AC3671" s="529"/>
      <c r="AD3671" s="200" t="e">
        <f t="shared" ref="AD3671:AD3676" si="1086">IF(OR(AA3671="",AB3671=""),"",IF(AND(AC3671="X",AB3671&gt;=EXPREQVTD),"CUMPLE","NO CUMPLE"))</f>
        <v>#N/A</v>
      </c>
      <c r="AE3671" s="52"/>
      <c r="AF3671" s="52"/>
      <c r="AG3671" s="52"/>
      <c r="AH3671" s="87"/>
      <c r="AI3671" s="87"/>
    </row>
    <row r="3672" spans="1:35" ht="16.5" hidden="1" thickBot="1">
      <c r="A3672" s="218" t="e">
        <f>"P"&amp;E3649</f>
        <v>#N/A</v>
      </c>
      <c r="B3672" s="702"/>
      <c r="C3672" s="114">
        <v>3</v>
      </c>
      <c r="D3672" s="194" t="e">
        <f>IF(AND(C3672&lt;=F3668,F3668&lt;&gt;""),VLOOKUP(VALUE(E3649&amp;","&amp;C3672),INTEGRANTES!$D$18:$F$235,2,0),"")</f>
        <v>#N/A</v>
      </c>
      <c r="E3672" s="211" t="e">
        <f>IF(D3672&lt;&gt;"",VLOOKUP(VALUE(E3649&amp;","&amp;C3672),INTEGRANTES!$D$18:$F$235,3,0),"")</f>
        <v>#N/A</v>
      </c>
      <c r="F3672" s="547" t="e">
        <f>IF(D3672="","",SUMIF($I3653:$I3662,D3672,$P3653:$P3662))</f>
        <v>#N/A</v>
      </c>
      <c r="G3672" s="333" t="e">
        <f>IF(D3672="","",SUMIF($I3653:$I3662,D3672,$M3653:$M3662))</f>
        <v>#N/A</v>
      </c>
      <c r="H3672" s="535" t="e">
        <f t="shared" si="1082"/>
        <v>#N/A</v>
      </c>
      <c r="I3672" s="212" t="e">
        <f>IF(D3672="","",IF(H3672="NO APORTA","NO",IF(H3672=MAX($H3670:$H3675),"SI","NO")))</f>
        <v>#N/A</v>
      </c>
      <c r="J3672" s="213" t="e">
        <f t="shared" si="1083"/>
        <v>#N/A</v>
      </c>
      <c r="K3672" s="200" t="e">
        <f t="shared" si="1084"/>
        <v>#N/A</v>
      </c>
      <c r="L3672" s="724"/>
      <c r="M3672" s="729">
        <f>NUMMOD</f>
        <v>1</v>
      </c>
      <c r="N3672" s="730"/>
      <c r="O3672" s="443">
        <f>IF(M3672="","",VLOOKUP(M3672,PRESUPUESTOS!$B$16:$H$16,5,FALSE))</f>
        <v>2</v>
      </c>
      <c r="P3672" s="713">
        <f>IF(OR(COUNTIF(M3653:M3662,"")&gt;=10,Q3669&lt;NUMMINCONT,OR(T3667="NO CUMPLE",T3667="VERIFICAR")),0,ROUND(AVERAGE(M3653:M3662),3))</f>
        <v>0</v>
      </c>
      <c r="Q3672" s="714"/>
      <c r="R3672" s="458"/>
      <c r="S3672" s="459"/>
      <c r="T3672" s="460"/>
      <c r="U3672" s="219"/>
      <c r="V3672" s="464"/>
      <c r="Y3672" s="532" t="str">
        <f>"40% * ("&amp;PRESUPUESTOS!$H$13&amp;")"</f>
        <v>40% * (50% PFMO)</v>
      </c>
      <c r="AA3672" s="540" t="e">
        <f>IF(AND(C3671&lt;=F3668,F3668&lt;&gt;""),VLOOKUP(VALUE(E3649&amp;","&amp;C3671),INTEGRANTES!$D$18:$F$235,2,0),"")</f>
        <v>#N/A</v>
      </c>
      <c r="AB3672" s="545" t="e">
        <f t="shared" si="1085"/>
        <v>#N/A</v>
      </c>
      <c r="AC3672" s="529"/>
      <c r="AD3672" s="200" t="e">
        <f t="shared" si="1086"/>
        <v>#N/A</v>
      </c>
      <c r="AE3672" s="52"/>
      <c r="AF3672" s="52"/>
      <c r="AG3672" s="52"/>
      <c r="AH3672" s="87"/>
      <c r="AI3672" s="87"/>
    </row>
    <row r="3673" spans="1:35" ht="15.75" hidden="1" customHeight="1" thickBot="1">
      <c r="A3673" s="218" t="e">
        <f>"Q"&amp;E3649</f>
        <v>#N/A</v>
      </c>
      <c r="B3673" s="702"/>
      <c r="C3673" s="114">
        <v>4</v>
      </c>
      <c r="D3673" s="194" t="e">
        <f>IF(AND(C3673&lt;=F3668,F3668&lt;&gt;""),VLOOKUP(VALUE(E3649&amp;","&amp;C3673),INTEGRANTES!$D$18:$F$235,2,0),"")</f>
        <v>#N/A</v>
      </c>
      <c r="E3673" s="211" t="e">
        <f>IF(D3673&lt;&gt;"",VLOOKUP(VALUE(E3649&amp;","&amp;C3673),INTEGRANTES!$D$18:$F$235,3,0),"")</f>
        <v>#N/A</v>
      </c>
      <c r="F3673" s="547" t="e">
        <f>IF(D3673="","",SUMIF($I3653:$I3662,D3673,$P3653:$P3662))</f>
        <v>#N/A</v>
      </c>
      <c r="G3673" s="333" t="e">
        <f>IF(D3673="","",SUMIF($I3653:$I3662,D3673,$M3653:$M3662))</f>
        <v>#N/A</v>
      </c>
      <c r="H3673" s="535" t="e">
        <f t="shared" si="1082"/>
        <v>#N/A</v>
      </c>
      <c r="I3673" s="212" t="e">
        <f>IF(D3673="","",IF(H3673="NO APORTA","NO",IF(H3673=MAX($H3670:$H3675),"SI","NO")))</f>
        <v>#N/A</v>
      </c>
      <c r="J3673" s="213" t="e">
        <f t="shared" si="1083"/>
        <v>#N/A</v>
      </c>
      <c r="K3673" s="200" t="e">
        <f t="shared" si="1084"/>
        <v>#N/A</v>
      </c>
      <c r="L3673" s="720" t="s">
        <v>109</v>
      </c>
      <c r="M3673" s="757" t="s">
        <v>120</v>
      </c>
      <c r="N3673" s="726"/>
      <c r="O3673" s="726"/>
      <c r="P3673" s="726"/>
      <c r="Q3673" s="727"/>
      <c r="R3673" s="458"/>
      <c r="S3673" s="459"/>
      <c r="T3673" s="460"/>
      <c r="U3673" s="219"/>
      <c r="V3673" s="464"/>
      <c r="Y3673" s="537">
        <f>0.4*PRESUPUESTOS!$H$16</f>
        <v>10.3124</v>
      </c>
      <c r="AA3673" s="540" t="e">
        <f>IF(AND(C3672&lt;=F3668,F3668&lt;&gt;""),VLOOKUP(VALUE(E3649&amp;","&amp;C3672),INTEGRANTES!$D$18:$F$235,2,0),"")</f>
        <v>#N/A</v>
      </c>
      <c r="AB3673" s="545" t="e">
        <f t="shared" si="1085"/>
        <v>#N/A</v>
      </c>
      <c r="AC3673" s="529"/>
      <c r="AD3673" s="200" t="e">
        <f t="shared" si="1086"/>
        <v>#N/A</v>
      </c>
      <c r="AE3673" s="52"/>
      <c r="AF3673" s="52"/>
      <c r="AG3673" s="52"/>
      <c r="AH3673" s="87"/>
      <c r="AI3673" s="87"/>
    </row>
    <row r="3674" spans="1:35" ht="27" hidden="1" customHeight="1" thickBot="1">
      <c r="A3674" s="218" t="e">
        <f>"R"&amp;E3649</f>
        <v>#N/A</v>
      </c>
      <c r="B3674" s="702"/>
      <c r="C3674" s="114">
        <v>5</v>
      </c>
      <c r="D3674" s="194" t="e">
        <f>IF(AND(C3674&lt;=F3668,F3668&lt;&gt;""),VLOOKUP(VALUE(E3649&amp;","&amp;C3674),INTEGRANTES!$D$18:$F$235,2,0),"")</f>
        <v>#N/A</v>
      </c>
      <c r="E3674" s="211" t="e">
        <f>IF(D3674&lt;&gt;"",VLOOKUP(VALUE(E3649&amp;","&amp;C3674),INTEGRANTES!$D$18:$F$235,3,0),"")</f>
        <v>#N/A</v>
      </c>
      <c r="F3674" s="547" t="e">
        <f>IF(D3674="","",SUMIF($I3653:$I3662,D3674,$P3653:$P3662))</f>
        <v>#N/A</v>
      </c>
      <c r="G3674" s="333" t="e">
        <f>IF(D3674="","",SUMIF($I3653:$I3662,D3674,$M3653:$M3662))</f>
        <v>#N/A</v>
      </c>
      <c r="H3674" s="535" t="e">
        <f t="shared" si="1082"/>
        <v>#N/A</v>
      </c>
      <c r="I3674" s="212" t="e">
        <f>IF(D3674="","",IF(H3674="NO APORTA","NO",IF(H3674=MAX($H3670:$H3675),"SI","NO")))</f>
        <v>#N/A</v>
      </c>
      <c r="J3674" s="213" t="e">
        <f t="shared" si="1083"/>
        <v>#N/A</v>
      </c>
      <c r="K3674" s="200" t="e">
        <f t="shared" si="1084"/>
        <v>#N/A</v>
      </c>
      <c r="L3674" s="721"/>
      <c r="M3674" s="715" t="s">
        <v>116</v>
      </c>
      <c r="N3674" s="716"/>
      <c r="O3674" s="556" t="str">
        <f>PORCREQUERIDO*100&amp;"% PMFO DEL MÓDULO"</f>
        <v>50% PMFO DEL MÓDULO</v>
      </c>
      <c r="P3674" s="715" t="s">
        <v>118</v>
      </c>
      <c r="Q3674" s="728"/>
      <c r="R3674" s="458"/>
      <c r="S3674" s="459"/>
      <c r="T3674" s="460"/>
      <c r="U3674" s="219"/>
      <c r="V3674" s="464"/>
      <c r="Y3674" s="414"/>
      <c r="AA3674" s="540" t="e">
        <f>IF(AND(C3673&lt;=F3668,F3668&lt;&gt;""),VLOOKUP(VALUE(E3649&amp;","&amp;C3673),INTEGRANTES!$D$18:$F$235,2,0),"")</f>
        <v>#N/A</v>
      </c>
      <c r="AB3674" s="545" t="e">
        <f t="shared" si="1085"/>
        <v>#N/A</v>
      </c>
      <c r="AC3674" s="529"/>
      <c r="AD3674" s="200" t="e">
        <f t="shared" si="1086"/>
        <v>#N/A</v>
      </c>
      <c r="AE3674" s="52"/>
      <c r="AF3674" s="52"/>
      <c r="AG3674" s="52"/>
      <c r="AH3674" s="87"/>
      <c r="AI3674" s="87"/>
    </row>
    <row r="3675" spans="1:35" ht="16.5" hidden="1" thickBot="1">
      <c r="A3675" s="218" t="e">
        <f>"S"&amp;E3649</f>
        <v>#N/A</v>
      </c>
      <c r="B3675" s="702"/>
      <c r="C3675" s="215">
        <v>6</v>
      </c>
      <c r="D3675" s="216" t="e">
        <f>IF(AND(C3675&lt;=F3668,F3668&lt;&gt;""),VLOOKUP(VALUE(E3649&amp;","&amp;C3675),INTEGRANTES!$D$18:$F$235,2,0),"")</f>
        <v>#N/A</v>
      </c>
      <c r="E3675" s="217" t="e">
        <f>IF(D3675&lt;&gt;"",VLOOKUP(VALUE(E3649&amp;","&amp;C3675),INTEGRANTES!$D$18:$F$235,3,0),"")</f>
        <v>#N/A</v>
      </c>
      <c r="F3675" s="548" t="e">
        <f>IF(D3675="","",SUMIF($I3653:$I3662,D3675,$P3653:$P3662))</f>
        <v>#N/A</v>
      </c>
      <c r="G3675" s="334" t="e">
        <f>IF(D3675="","",SUMIF($I3653:$I3662,D3675,$M3653:$M3662))</f>
        <v>#N/A</v>
      </c>
      <c r="H3675" s="536" t="e">
        <f t="shared" si="1082"/>
        <v>#N/A</v>
      </c>
      <c r="I3675" s="214" t="e">
        <f>IF(D3675="","",IF(H3675="NO APORTA","NO",IF(H3675=MAX($H3670:$H3675),"SI","NO")))</f>
        <v>#N/A</v>
      </c>
      <c r="J3675" s="213" t="e">
        <f t="shared" si="1083"/>
        <v>#N/A</v>
      </c>
      <c r="K3675" s="200" t="e">
        <f t="shared" si="1084"/>
        <v>#N/A</v>
      </c>
      <c r="L3675" s="721"/>
      <c r="M3675" s="729">
        <f>NUMMOD</f>
        <v>1</v>
      </c>
      <c r="N3675" s="730"/>
      <c r="O3675" s="443">
        <f>IF(M3675="","",ROUND(VLOOKUP(M3675,PRESUPUESTOS!$B$16:$H$16,7,FALSE),3))</f>
        <v>25.780999999999999</v>
      </c>
      <c r="P3675" s="713">
        <f>IF(OR(COUNTIF(P3653:P3662,"")&gt;=10,Q3669&lt;NUMMINCONT,OR(T3667="NO CUMPLE",T3667="VERIFICAR")),0,ROUND((SUM(P3653:P3662)/SUM(M3653:M3662)),3))</f>
        <v>0</v>
      </c>
      <c r="Q3675" s="714"/>
      <c r="R3675" s="458"/>
      <c r="S3675" s="459"/>
      <c r="T3675" s="460"/>
      <c r="U3675" s="219"/>
      <c r="V3675" s="464"/>
      <c r="Y3675" s="532" t="s">
        <v>343</v>
      </c>
      <c r="AA3675" s="540" t="e">
        <f>IF(AND(C3674&lt;=F3668,F3668&lt;&gt;""),VLOOKUP(VALUE(E3649&amp;","&amp;C3674),INTEGRANTES!$D$18:$F$235,2,0),"")</f>
        <v>#N/A</v>
      </c>
      <c r="AB3675" s="545" t="e">
        <f t="shared" si="1085"/>
        <v>#N/A</v>
      </c>
      <c r="AC3675" s="529"/>
      <c r="AD3675" s="200" t="e">
        <f t="shared" si="1086"/>
        <v>#N/A</v>
      </c>
      <c r="AE3675" s="52"/>
      <c r="AF3675" s="52"/>
      <c r="AG3675" s="52"/>
      <c r="AH3675" s="87"/>
      <c r="AI3675" s="87"/>
    </row>
    <row r="3676" spans="1:35" ht="16.5" hidden="1" customHeight="1" thickBot="1">
      <c r="A3676" s="218" t="e">
        <f>"T"&amp;E3649</f>
        <v>#N/A</v>
      </c>
      <c r="B3676" s="703"/>
      <c r="C3676" s="719"/>
      <c r="D3676" s="719"/>
      <c r="E3676" s="719"/>
      <c r="F3676" s="719"/>
      <c r="G3676" s="719"/>
      <c r="H3676" s="719" t="s">
        <v>110</v>
      </c>
      <c r="I3676" s="719"/>
      <c r="J3676" s="719"/>
      <c r="K3676" s="201" t="str">
        <f>IF(COUNTIF(K3670:K3675,"")=6,"",IF(COUNTIF(K3670:K3675,"CUMPLE")&gt;0,"CUMPLE","NO CUMPLE"))</f>
        <v>NO CUMPLE</v>
      </c>
      <c r="L3676" s="754"/>
      <c r="M3676" s="755"/>
      <c r="N3676" s="755"/>
      <c r="O3676" s="755"/>
      <c r="P3676" s="755"/>
      <c r="Q3676" s="756"/>
      <c r="R3676" s="461"/>
      <c r="S3676" s="462"/>
      <c r="T3676" s="463"/>
      <c r="U3676" s="219"/>
      <c r="V3676" s="464"/>
      <c r="Y3676" s="549" t="e">
        <f>IF(Y3670="NO APLICA","NO APLICA",IF(COUNTIF(AD3671:AD3676,"CUMPLE")&gt;0,"CUMPLE","NO CUMPLE"))</f>
        <v>#N/A</v>
      </c>
      <c r="AA3676" s="541" t="e">
        <f>IF(AND(C3675&lt;=F3668,F3668&lt;&gt;""),VLOOKUP(VALUE(E3649&amp;","&amp;C3675),INTEGRANTES!$D$18:$F$235,2,0),"")</f>
        <v>#N/A</v>
      </c>
      <c r="AB3676" s="546" t="e">
        <f t="shared" si="1085"/>
        <v>#N/A</v>
      </c>
      <c r="AC3676" s="543"/>
      <c r="AD3676" s="201" t="e">
        <f t="shared" si="1086"/>
        <v>#N/A</v>
      </c>
      <c r="AE3676" s="52"/>
      <c r="AF3676" s="52"/>
      <c r="AG3676" s="52"/>
      <c r="AH3676" s="87"/>
      <c r="AI3676" s="87"/>
    </row>
    <row r="3677" spans="1:35" hidden="1">
      <c r="AH3677" s="87"/>
      <c r="AI3677" s="87"/>
    </row>
    <row r="3678" spans="1:35" hidden="1">
      <c r="AH3678" s="87"/>
      <c r="AI3678" s="87"/>
    </row>
    <row r="3679" spans="1:35" ht="24" hidden="1" thickBot="1">
      <c r="A3679" s="61">
        <v>123</v>
      </c>
      <c r="B3679" s="704" t="s">
        <v>51</v>
      </c>
      <c r="C3679" s="704"/>
      <c r="D3679" s="704"/>
      <c r="E3679" s="62" t="e">
        <f>VLOOKUP(A3679,PROPONENTES!$B$19:$E$218,2,FALSE)</f>
        <v>#N/A</v>
      </c>
      <c r="F3679" s="63" t="e">
        <f>VLOOKUP(A3679,PROPONENTES!$B$19:$E$218,3,FALSE)</f>
        <v>#N/A</v>
      </c>
      <c r="G3679" s="64"/>
      <c r="H3679" s="64"/>
      <c r="I3679" s="63"/>
      <c r="J3679" s="63"/>
      <c r="K3679" s="65"/>
      <c r="L3679" s="65"/>
      <c r="M3679" s="64"/>
      <c r="N3679" s="64"/>
      <c r="O3679" s="66"/>
      <c r="P3679" s="66"/>
      <c r="Q3679" s="66"/>
      <c r="R3679" s="66"/>
      <c r="S3679" s="67"/>
      <c r="T3679" s="68"/>
      <c r="U3679" s="68"/>
      <c r="AC3679" s="68"/>
      <c r="AD3679" s="68"/>
      <c r="AE3679" s="68"/>
      <c r="AF3679" s="68"/>
      <c r="AG3679" s="68"/>
      <c r="AH3679" s="87"/>
      <c r="AI3679" s="87"/>
    </row>
    <row r="3680" spans="1:35" ht="15.75" hidden="1" customHeight="1">
      <c r="A3680" s="44"/>
      <c r="B3680" s="709" t="s">
        <v>59</v>
      </c>
      <c r="C3680" s="552" t="s">
        <v>60</v>
      </c>
      <c r="D3680" s="70" t="s">
        <v>17</v>
      </c>
      <c r="E3680" s="70"/>
      <c r="F3680" s="70" t="s">
        <v>61</v>
      </c>
      <c r="G3680" s="71"/>
      <c r="H3680" s="699" t="s">
        <v>62</v>
      </c>
      <c r="I3680" s="699" t="s">
        <v>18</v>
      </c>
      <c r="J3680" s="699" t="s">
        <v>63</v>
      </c>
      <c r="K3680" s="699" t="s">
        <v>64</v>
      </c>
      <c r="L3680" s="699" t="s">
        <v>65</v>
      </c>
      <c r="M3680" s="743" t="s">
        <v>66</v>
      </c>
      <c r="N3680" s="699" t="s">
        <v>282</v>
      </c>
      <c r="O3680" s="745" t="s">
        <v>67</v>
      </c>
      <c r="P3680" s="746"/>
      <c r="Q3680" s="102" t="s">
        <v>75</v>
      </c>
      <c r="R3680" s="731" t="s">
        <v>22</v>
      </c>
      <c r="S3680" s="732"/>
      <c r="T3680" s="733"/>
      <c r="U3680" s="712" t="s">
        <v>298</v>
      </c>
      <c r="W3680" s="690" t="s">
        <v>268</v>
      </c>
      <c r="X3680" s="691"/>
      <c r="Y3680" s="692"/>
      <c r="Z3680" s="428"/>
      <c r="AA3680" s="697" t="s">
        <v>315</v>
      </c>
      <c r="AB3680" s="695" t="s">
        <v>322</v>
      </c>
      <c r="AC3680" s="49"/>
      <c r="AD3680" s="690" t="s">
        <v>297</v>
      </c>
      <c r="AE3680" s="691"/>
      <c r="AF3680" s="692"/>
      <c r="AG3680" s="49"/>
      <c r="AH3680" s="87"/>
      <c r="AI3680" s="87"/>
    </row>
    <row r="3681" spans="1:35" ht="72" hidden="1">
      <c r="A3681" s="44"/>
      <c r="B3681" s="710"/>
      <c r="C3681" s="553" t="s">
        <v>68</v>
      </c>
      <c r="D3681" s="73" t="s">
        <v>3</v>
      </c>
      <c r="E3681" s="73" t="s">
        <v>19</v>
      </c>
      <c r="F3681" s="73" t="s">
        <v>69</v>
      </c>
      <c r="G3681" s="74" t="s">
        <v>70</v>
      </c>
      <c r="H3681" s="700"/>
      <c r="I3681" s="700"/>
      <c r="J3681" s="700"/>
      <c r="K3681" s="700"/>
      <c r="L3681" s="700"/>
      <c r="M3681" s="744"/>
      <c r="N3681" s="700"/>
      <c r="O3681" s="553" t="s">
        <v>279</v>
      </c>
      <c r="P3681" s="73" t="s">
        <v>88</v>
      </c>
      <c r="Q3681" s="555" t="s">
        <v>76</v>
      </c>
      <c r="R3681" s="734"/>
      <c r="S3681" s="735"/>
      <c r="T3681" s="736"/>
      <c r="U3681" s="712"/>
      <c r="W3681" s="429" t="s">
        <v>269</v>
      </c>
      <c r="X3681" s="457" t="s">
        <v>278</v>
      </c>
      <c r="Y3681" s="430" t="s">
        <v>324</v>
      </c>
      <c r="Z3681" s="428"/>
      <c r="AA3681" s="698"/>
      <c r="AB3681" s="696"/>
      <c r="AC3681" s="49"/>
      <c r="AD3681" s="429" t="s">
        <v>292</v>
      </c>
      <c r="AE3681" s="431" t="s">
        <v>300</v>
      </c>
      <c r="AF3681" s="468" t="s">
        <v>301</v>
      </c>
      <c r="AG3681" s="49"/>
      <c r="AH3681" s="87"/>
      <c r="AI3681" s="87"/>
    </row>
    <row r="3682" spans="1:35" hidden="1">
      <c r="A3682" s="44"/>
      <c r="B3682" s="76"/>
      <c r="C3682" s="77"/>
      <c r="D3682" s="77"/>
      <c r="E3682" s="77"/>
      <c r="F3682" s="77"/>
      <c r="G3682" s="77"/>
      <c r="H3682" s="77"/>
      <c r="I3682" s="77"/>
      <c r="J3682" s="77"/>
      <c r="K3682" s="77"/>
      <c r="L3682" s="77"/>
      <c r="M3682" s="77"/>
      <c r="N3682" s="77"/>
      <c r="O3682" s="77"/>
      <c r="P3682" s="77"/>
      <c r="Q3682" s="77"/>
      <c r="R3682" s="77"/>
      <c r="S3682" s="78"/>
      <c r="T3682" s="79"/>
      <c r="U3682" s="109"/>
      <c r="V3682" s="49"/>
      <c r="W3682" s="432"/>
      <c r="X3682" s="454"/>
      <c r="Y3682" s="433"/>
      <c r="Z3682" s="6"/>
      <c r="AA3682" s="500"/>
      <c r="AB3682" s="562"/>
      <c r="AC3682" s="49"/>
      <c r="AD3682" s="210"/>
      <c r="AE3682" s="434"/>
      <c r="AF3682" s="435"/>
      <c r="AG3682" s="49"/>
      <c r="AH3682" s="87"/>
      <c r="AI3682" s="87"/>
    </row>
    <row r="3683" spans="1:35" hidden="1">
      <c r="A3683" s="80" t="e">
        <f>"A"&amp;E3679</f>
        <v>#N/A</v>
      </c>
      <c r="B3683" s="81">
        <v>1</v>
      </c>
      <c r="C3683" s="82"/>
      <c r="D3683" s="82"/>
      <c r="E3683" s="82"/>
      <c r="F3683" s="82"/>
      <c r="G3683" s="83"/>
      <c r="H3683" s="83"/>
      <c r="I3683" s="84"/>
      <c r="J3683" s="85"/>
      <c r="K3683" s="382"/>
      <c r="L3683" s="85"/>
      <c r="M3683" s="332" t="str">
        <f t="shared" ref="M3683:M3692" si="1087">IF(OR(J3683="",L3683="",H3683="NO"),"",IF(OR(J3683&gt;$P$17,J3683&lt;$O$17,L3683&gt;$P$17,AND(J3683&lt;$O$17,L3683&lt;$O$17)),"FUERA DE RANGO",IF(OR(K3683="---",K3683=""),IF(J3683&gt;=$O$17,ROUND((L3683-J3683+1)/360*12,3),ROUND((L3683-$O$17+1)/360*12,3)),IF(J3683&gt;=$O$17,ROUND((L3683-J3683+1)/360*12-ROUND(K3683,3),3),ROUND((L3683-$O$17+1)/360*12-ROUND(K3683,3),3)))))</f>
        <v/>
      </c>
      <c r="N3683" s="86"/>
      <c r="O3683" s="453" t="str">
        <f>IF(OR(G3683="",N3683=""),"",N3683*G3683)</f>
        <v/>
      </c>
      <c r="P3683" s="538" t="str">
        <f>IF(OR(H3683="",M3683="FUERA DE RANGO"),"",IF(OR(L3683&lt;$O$17,L3683&gt;$P$17,L3683="",H3683="NO"),"",IF(OR(N3683="",O3683=""),"",ROUND(O3683,3))))</f>
        <v/>
      </c>
      <c r="Q3683" s="539" t="str">
        <f t="shared" ref="Q3683:Q3692" si="1088">IF(AND(H3683="SI",P3683&lt;&gt;""),ROUND(P3683/M3683,3),"")</f>
        <v/>
      </c>
      <c r="R3683" s="737"/>
      <c r="S3683" s="738"/>
      <c r="T3683" s="739"/>
      <c r="U3683" s="470"/>
      <c r="V3683" s="165"/>
      <c r="W3683" s="446"/>
      <c r="X3683" s="456"/>
      <c r="Y3683" s="436"/>
      <c r="Z3683" s="437"/>
      <c r="AA3683" s="560"/>
      <c r="AB3683" s="561"/>
      <c r="AC3683" s="87"/>
      <c r="AD3683" s="466"/>
      <c r="AE3683" s="456"/>
      <c r="AF3683" s="467"/>
      <c r="AG3683" s="87"/>
      <c r="AH3683" s="87"/>
      <c r="AI3683" s="87"/>
    </row>
    <row r="3684" spans="1:35" hidden="1">
      <c r="A3684" s="80" t="e">
        <f>"B"&amp;E3679</f>
        <v>#N/A</v>
      </c>
      <c r="B3684" s="81">
        <v>2</v>
      </c>
      <c r="C3684" s="106"/>
      <c r="D3684" s="106"/>
      <c r="E3684" s="106"/>
      <c r="F3684" s="106"/>
      <c r="G3684" s="83"/>
      <c r="H3684" s="83"/>
      <c r="I3684" s="84"/>
      <c r="J3684" s="85"/>
      <c r="K3684" s="382"/>
      <c r="L3684" s="85"/>
      <c r="M3684" s="332" t="str">
        <f t="shared" si="1087"/>
        <v/>
      </c>
      <c r="N3684" s="86"/>
      <c r="O3684" s="453" t="str">
        <f t="shared" ref="O3684:O3692" si="1089">IF(OR(G3684="",N3684=""),"",N3684*G3684)</f>
        <v/>
      </c>
      <c r="P3684" s="538" t="str">
        <f t="shared" ref="P3684:P3692" si="1090">IF(OR(H3684="",M3684="FUERA DE RANGO"),"",IF(OR(L3684&lt;$O$17,L3684&gt;$P$17,L3684="",H3684="NO"),"",IF(OR(N3684="",O3684=""),"",ROUND(O3684,3))))</f>
        <v/>
      </c>
      <c r="Q3684" s="539" t="str">
        <f t="shared" si="1088"/>
        <v/>
      </c>
      <c r="R3684" s="740"/>
      <c r="S3684" s="741"/>
      <c r="T3684" s="742"/>
      <c r="U3684" s="471"/>
      <c r="V3684" s="165"/>
      <c r="W3684" s="446"/>
      <c r="X3684" s="456"/>
      <c r="Y3684" s="436"/>
      <c r="Z3684" s="437"/>
      <c r="AA3684" s="560"/>
      <c r="AB3684" s="561"/>
      <c r="AC3684" s="87"/>
      <c r="AD3684" s="466"/>
      <c r="AE3684" s="456"/>
      <c r="AF3684" s="467"/>
      <c r="AG3684" s="87"/>
      <c r="AH3684" s="87"/>
      <c r="AI3684" s="87"/>
    </row>
    <row r="3685" spans="1:35" hidden="1">
      <c r="A3685" s="80" t="e">
        <f>"C"&amp;E3679</f>
        <v>#N/A</v>
      </c>
      <c r="B3685" s="88">
        <v>3</v>
      </c>
      <c r="C3685" s="82"/>
      <c r="D3685" s="82"/>
      <c r="E3685" s="82"/>
      <c r="F3685" s="82"/>
      <c r="G3685" s="83"/>
      <c r="H3685" s="83"/>
      <c r="I3685" s="84"/>
      <c r="J3685" s="85"/>
      <c r="K3685" s="382"/>
      <c r="L3685" s="85"/>
      <c r="M3685" s="332" t="str">
        <f t="shared" si="1087"/>
        <v/>
      </c>
      <c r="N3685" s="86"/>
      <c r="O3685" s="453" t="str">
        <f t="shared" si="1089"/>
        <v/>
      </c>
      <c r="P3685" s="538" t="str">
        <f t="shared" si="1090"/>
        <v/>
      </c>
      <c r="Q3685" s="539" t="str">
        <f t="shared" si="1088"/>
        <v/>
      </c>
      <c r="R3685" s="706"/>
      <c r="S3685" s="707"/>
      <c r="T3685" s="708"/>
      <c r="U3685" s="472"/>
      <c r="V3685" s="166"/>
      <c r="W3685" s="446"/>
      <c r="X3685" s="456"/>
      <c r="Y3685" s="436"/>
      <c r="Z3685" s="437"/>
      <c r="AA3685" s="560"/>
      <c r="AB3685" s="561"/>
      <c r="AC3685" s="87"/>
      <c r="AD3685" s="466"/>
      <c r="AE3685" s="456"/>
      <c r="AF3685" s="467"/>
      <c r="AG3685" s="87"/>
      <c r="AH3685" s="87"/>
      <c r="AI3685" s="87"/>
    </row>
    <row r="3686" spans="1:35" hidden="1">
      <c r="A3686" s="80" t="e">
        <f>"D"&amp;E3679</f>
        <v>#N/A</v>
      </c>
      <c r="B3686" s="105">
        <v>4</v>
      </c>
      <c r="C3686" s="107"/>
      <c r="D3686" s="107"/>
      <c r="E3686" s="107"/>
      <c r="F3686" s="107"/>
      <c r="G3686" s="83"/>
      <c r="H3686" s="83"/>
      <c r="I3686" s="84"/>
      <c r="J3686" s="85"/>
      <c r="K3686" s="382"/>
      <c r="L3686" s="85"/>
      <c r="M3686" s="332" t="str">
        <f t="shared" si="1087"/>
        <v/>
      </c>
      <c r="N3686" s="86"/>
      <c r="O3686" s="453" t="str">
        <f t="shared" si="1089"/>
        <v/>
      </c>
      <c r="P3686" s="538" t="str">
        <f t="shared" si="1090"/>
        <v/>
      </c>
      <c r="Q3686" s="539" t="str">
        <f t="shared" si="1088"/>
        <v/>
      </c>
      <c r="R3686" s="706"/>
      <c r="S3686" s="707"/>
      <c r="T3686" s="708"/>
      <c r="U3686" s="472"/>
      <c r="V3686" s="166"/>
      <c r="W3686" s="446"/>
      <c r="X3686" s="456"/>
      <c r="Y3686" s="436"/>
      <c r="Z3686" s="437"/>
      <c r="AA3686" s="560"/>
      <c r="AB3686" s="561"/>
      <c r="AC3686" s="87"/>
      <c r="AD3686" s="466"/>
      <c r="AE3686" s="456"/>
      <c r="AF3686" s="467"/>
      <c r="AG3686" s="87"/>
      <c r="AH3686" s="87"/>
      <c r="AI3686" s="87"/>
    </row>
    <row r="3687" spans="1:35" hidden="1">
      <c r="A3687" s="80" t="e">
        <f>"E"&amp;E3679</f>
        <v>#N/A</v>
      </c>
      <c r="B3687" s="105">
        <v>5</v>
      </c>
      <c r="C3687" s="107"/>
      <c r="D3687" s="107"/>
      <c r="E3687" s="107"/>
      <c r="F3687" s="107"/>
      <c r="G3687" s="83"/>
      <c r="H3687" s="83"/>
      <c r="I3687" s="84"/>
      <c r="J3687" s="85"/>
      <c r="K3687" s="382"/>
      <c r="L3687" s="85"/>
      <c r="M3687" s="332" t="str">
        <f t="shared" si="1087"/>
        <v/>
      </c>
      <c r="N3687" s="86"/>
      <c r="O3687" s="453" t="str">
        <f t="shared" si="1089"/>
        <v/>
      </c>
      <c r="P3687" s="538" t="str">
        <f t="shared" si="1090"/>
        <v/>
      </c>
      <c r="Q3687" s="539" t="str">
        <f t="shared" si="1088"/>
        <v/>
      </c>
      <c r="R3687" s="706"/>
      <c r="S3687" s="707"/>
      <c r="T3687" s="708"/>
      <c r="U3687" s="472"/>
      <c r="V3687" s="167"/>
      <c r="W3687" s="446"/>
      <c r="X3687" s="456"/>
      <c r="Y3687" s="436"/>
      <c r="Z3687" s="437"/>
      <c r="AA3687" s="560"/>
      <c r="AB3687" s="561"/>
      <c r="AC3687" s="87"/>
      <c r="AD3687" s="466"/>
      <c r="AE3687" s="456"/>
      <c r="AF3687" s="467"/>
      <c r="AG3687" s="87"/>
      <c r="AH3687" s="87"/>
      <c r="AI3687" s="87"/>
    </row>
    <row r="3688" spans="1:35" hidden="1">
      <c r="A3688" s="80" t="e">
        <f>"F"&amp;E3679</f>
        <v>#N/A</v>
      </c>
      <c r="B3688" s="105">
        <v>6</v>
      </c>
      <c r="C3688" s="107"/>
      <c r="D3688" s="107"/>
      <c r="E3688" s="107"/>
      <c r="F3688" s="107"/>
      <c r="G3688" s="83"/>
      <c r="H3688" s="83"/>
      <c r="I3688" s="84"/>
      <c r="J3688" s="85"/>
      <c r="K3688" s="382"/>
      <c r="L3688" s="85"/>
      <c r="M3688" s="332" t="str">
        <f t="shared" si="1087"/>
        <v/>
      </c>
      <c r="N3688" s="86"/>
      <c r="O3688" s="453" t="str">
        <f t="shared" si="1089"/>
        <v/>
      </c>
      <c r="P3688" s="538" t="str">
        <f t="shared" si="1090"/>
        <v/>
      </c>
      <c r="Q3688" s="539" t="str">
        <f t="shared" si="1088"/>
        <v/>
      </c>
      <c r="R3688" s="706"/>
      <c r="S3688" s="707"/>
      <c r="T3688" s="708"/>
      <c r="U3688" s="472"/>
      <c r="V3688" s="167"/>
      <c r="W3688" s="446"/>
      <c r="X3688" s="456"/>
      <c r="Y3688" s="436"/>
      <c r="Z3688" s="437"/>
      <c r="AA3688" s="560"/>
      <c r="AB3688" s="561"/>
      <c r="AC3688" s="87"/>
      <c r="AD3688" s="466"/>
      <c r="AE3688" s="456"/>
      <c r="AF3688" s="467"/>
      <c r="AG3688" s="87"/>
      <c r="AH3688" s="87"/>
      <c r="AI3688" s="87"/>
    </row>
    <row r="3689" spans="1:35" hidden="1">
      <c r="A3689" s="80" t="e">
        <f>"G"&amp;E3679</f>
        <v>#N/A</v>
      </c>
      <c r="B3689" s="105">
        <v>7</v>
      </c>
      <c r="C3689" s="107"/>
      <c r="D3689" s="107"/>
      <c r="E3689" s="107"/>
      <c r="F3689" s="107"/>
      <c r="G3689" s="83"/>
      <c r="H3689" s="83"/>
      <c r="I3689" s="84"/>
      <c r="J3689" s="85"/>
      <c r="K3689" s="382"/>
      <c r="L3689" s="85"/>
      <c r="M3689" s="332" t="str">
        <f t="shared" si="1087"/>
        <v/>
      </c>
      <c r="N3689" s="86"/>
      <c r="O3689" s="86" t="str">
        <f t="shared" si="1089"/>
        <v/>
      </c>
      <c r="P3689" s="538" t="str">
        <f t="shared" si="1090"/>
        <v/>
      </c>
      <c r="Q3689" s="539" t="str">
        <f t="shared" si="1088"/>
        <v/>
      </c>
      <c r="R3689" s="706"/>
      <c r="S3689" s="707"/>
      <c r="T3689" s="708"/>
      <c r="U3689" s="472"/>
      <c r="V3689" s="167"/>
      <c r="W3689" s="446"/>
      <c r="X3689" s="456"/>
      <c r="Y3689" s="436"/>
      <c r="Z3689" s="437"/>
      <c r="AA3689" s="560"/>
      <c r="AB3689" s="561"/>
      <c r="AC3689" s="87"/>
      <c r="AD3689" s="466"/>
      <c r="AE3689" s="456"/>
      <c r="AF3689" s="467"/>
      <c r="AG3689" s="87"/>
      <c r="AH3689" s="87"/>
      <c r="AI3689" s="87"/>
    </row>
    <row r="3690" spans="1:35" hidden="1">
      <c r="A3690" s="80" t="e">
        <f>"H"&amp;E3679</f>
        <v>#N/A</v>
      </c>
      <c r="B3690" s="105">
        <v>8</v>
      </c>
      <c r="C3690" s="107"/>
      <c r="D3690" s="107"/>
      <c r="E3690" s="107"/>
      <c r="F3690" s="107"/>
      <c r="G3690" s="83"/>
      <c r="H3690" s="83"/>
      <c r="I3690" s="84"/>
      <c r="J3690" s="85"/>
      <c r="K3690" s="382"/>
      <c r="L3690" s="85"/>
      <c r="M3690" s="332" t="str">
        <f t="shared" si="1087"/>
        <v/>
      </c>
      <c r="N3690" s="453"/>
      <c r="O3690" s="86" t="str">
        <f t="shared" si="1089"/>
        <v/>
      </c>
      <c r="P3690" s="538" t="str">
        <f t="shared" si="1090"/>
        <v/>
      </c>
      <c r="Q3690" s="539" t="str">
        <f t="shared" si="1088"/>
        <v/>
      </c>
      <c r="R3690" s="706"/>
      <c r="S3690" s="707"/>
      <c r="T3690" s="708"/>
      <c r="U3690" s="472"/>
      <c r="V3690" s="167"/>
      <c r="W3690" s="446"/>
      <c r="X3690" s="456"/>
      <c r="Y3690" s="436"/>
      <c r="Z3690" s="437"/>
      <c r="AA3690" s="560"/>
      <c r="AB3690" s="561"/>
      <c r="AC3690" s="87"/>
      <c r="AD3690" s="466"/>
      <c r="AE3690" s="456"/>
      <c r="AF3690" s="467"/>
      <c r="AG3690" s="87"/>
      <c r="AH3690" s="87"/>
      <c r="AI3690" s="87"/>
    </row>
    <row r="3691" spans="1:35" hidden="1">
      <c r="A3691" s="80" t="e">
        <f>"I"&amp;E3679</f>
        <v>#N/A</v>
      </c>
      <c r="B3691" s="105">
        <v>9</v>
      </c>
      <c r="C3691" s="107"/>
      <c r="D3691" s="107"/>
      <c r="E3691" s="107"/>
      <c r="F3691" s="107"/>
      <c r="G3691" s="83"/>
      <c r="H3691" s="83"/>
      <c r="I3691" s="84"/>
      <c r="J3691" s="85"/>
      <c r="K3691" s="382"/>
      <c r="L3691" s="85"/>
      <c r="M3691" s="332" t="str">
        <f t="shared" si="1087"/>
        <v/>
      </c>
      <c r="N3691" s="453"/>
      <c r="O3691" s="86" t="str">
        <f t="shared" si="1089"/>
        <v/>
      </c>
      <c r="P3691" s="538" t="str">
        <f t="shared" si="1090"/>
        <v/>
      </c>
      <c r="Q3691" s="539" t="str">
        <f t="shared" si="1088"/>
        <v/>
      </c>
      <c r="R3691" s="706"/>
      <c r="S3691" s="707"/>
      <c r="T3691" s="708"/>
      <c r="U3691" s="472"/>
      <c r="V3691" s="167"/>
      <c r="W3691" s="446"/>
      <c r="X3691" s="456"/>
      <c r="Y3691" s="436"/>
      <c r="Z3691" s="437"/>
      <c r="AA3691" s="560"/>
      <c r="AB3691" s="561"/>
      <c r="AC3691" s="87"/>
      <c r="AD3691" s="466"/>
      <c r="AE3691" s="456"/>
      <c r="AF3691" s="467"/>
      <c r="AG3691" s="87"/>
      <c r="AH3691" s="87"/>
      <c r="AI3691" s="87"/>
    </row>
    <row r="3692" spans="1:35" hidden="1">
      <c r="A3692" s="80" t="e">
        <f>"J"&amp;E3679</f>
        <v>#N/A</v>
      </c>
      <c r="B3692" s="105">
        <v>10</v>
      </c>
      <c r="C3692" s="107"/>
      <c r="D3692" s="107"/>
      <c r="E3692" s="107"/>
      <c r="F3692" s="107"/>
      <c r="G3692" s="83"/>
      <c r="H3692" s="83"/>
      <c r="I3692" s="84"/>
      <c r="J3692" s="85"/>
      <c r="K3692" s="382"/>
      <c r="L3692" s="85"/>
      <c r="M3692" s="332" t="str">
        <f t="shared" si="1087"/>
        <v/>
      </c>
      <c r="N3692" s="453"/>
      <c r="O3692" s="86" t="str">
        <f t="shared" si="1089"/>
        <v/>
      </c>
      <c r="P3692" s="538" t="str">
        <f t="shared" si="1090"/>
        <v/>
      </c>
      <c r="Q3692" s="539" t="str">
        <f t="shared" si="1088"/>
        <v/>
      </c>
      <c r="R3692" s="706"/>
      <c r="S3692" s="707"/>
      <c r="T3692" s="708"/>
      <c r="U3692" s="472"/>
      <c r="V3692" s="167"/>
      <c r="W3692" s="446"/>
      <c r="X3692" s="456"/>
      <c r="Y3692" s="436"/>
      <c r="Z3692" s="437"/>
      <c r="AA3692" s="560"/>
      <c r="AB3692" s="561"/>
      <c r="AC3692" s="87"/>
      <c r="AD3692" s="466"/>
      <c r="AE3692" s="456"/>
      <c r="AF3692" s="467"/>
      <c r="AG3692" s="87"/>
      <c r="AH3692" s="87"/>
      <c r="AI3692" s="87"/>
    </row>
    <row r="3693" spans="1:35" ht="16.5" hidden="1" thickBot="1">
      <c r="A3693" s="44"/>
      <c r="B3693" s="89"/>
      <c r="C3693" s="90"/>
      <c r="D3693" s="90"/>
      <c r="E3693" s="90"/>
      <c r="F3693" s="90"/>
      <c r="G3693" s="90"/>
      <c r="H3693" s="90"/>
      <c r="I3693" s="90"/>
      <c r="J3693" s="90"/>
      <c r="K3693" s="90"/>
      <c r="L3693" s="90"/>
      <c r="M3693" s="90"/>
      <c r="N3693" s="90"/>
      <c r="O3693" s="90"/>
      <c r="P3693" s="90"/>
      <c r="Q3693" s="90"/>
      <c r="R3693" s="90"/>
      <c r="S3693" s="91"/>
      <c r="T3693" s="92"/>
      <c r="U3693" s="473"/>
      <c r="W3693" s="438"/>
      <c r="X3693" s="455"/>
      <c r="Y3693" s="439"/>
      <c r="Z3693" s="437"/>
      <c r="AA3693" s="530"/>
      <c r="AB3693" s="563"/>
      <c r="AC3693" s="87"/>
      <c r="AD3693" s="440"/>
      <c r="AE3693" s="441"/>
      <c r="AF3693" s="442"/>
      <c r="AG3693" s="49"/>
      <c r="AH3693" s="87"/>
      <c r="AI3693" s="87"/>
    </row>
    <row r="3694" spans="1:35" ht="16.5" hidden="1" thickBot="1">
      <c r="A3694" s="93"/>
      <c r="B3694" s="94"/>
      <c r="C3694" s="96"/>
      <c r="D3694" s="96"/>
      <c r="E3694" s="96"/>
      <c r="F3694" s="96"/>
      <c r="G3694" s="96"/>
      <c r="H3694" s="96"/>
      <c r="I3694" s="96"/>
      <c r="J3694" s="96"/>
      <c r="K3694" s="96"/>
      <c r="L3694" s="96"/>
      <c r="M3694" s="136"/>
      <c r="N3694" s="96"/>
      <c r="O3694" s="96"/>
      <c r="P3694" s="97"/>
      <c r="Q3694" s="97"/>
      <c r="R3694" s="98"/>
      <c r="S3694" s="95"/>
      <c r="T3694" s="99"/>
      <c r="U3694" s="469"/>
      <c r="AC3694" s="58"/>
      <c r="AG3694" s="58"/>
      <c r="AH3694" s="87"/>
      <c r="AI3694" s="87"/>
    </row>
    <row r="3695" spans="1:35" ht="16.5" hidden="1" thickBot="1">
      <c r="B3695" s="101"/>
      <c r="C3695" s="101"/>
      <c r="D3695" s="101"/>
      <c r="E3695" s="101"/>
      <c r="F3695" s="101"/>
      <c r="G3695" s="101"/>
      <c r="H3695" s="101"/>
      <c r="I3695" s="101"/>
      <c r="J3695" s="101"/>
      <c r="K3695" s="101"/>
      <c r="L3695" s="101"/>
      <c r="M3695" s="101"/>
      <c r="N3695" s="101"/>
      <c r="O3695" s="101"/>
      <c r="P3695" s="101"/>
      <c r="Q3695" s="101"/>
      <c r="R3695" s="101"/>
      <c r="S3695" s="101"/>
      <c r="U3695" s="50"/>
      <c r="AH3695" s="87"/>
      <c r="AI3695" s="87"/>
    </row>
    <row r="3696" spans="1:35" ht="16.5" hidden="1" customHeight="1" thickBot="1">
      <c r="A3696" s="44"/>
      <c r="B3696" s="705" t="s">
        <v>74</v>
      </c>
      <c r="C3696" s="705"/>
      <c r="D3696" s="705"/>
      <c r="E3696" s="705"/>
      <c r="F3696" s="705"/>
      <c r="G3696" s="705"/>
      <c r="H3696" s="705"/>
      <c r="I3696" s="705"/>
      <c r="J3696" s="705"/>
      <c r="K3696" s="705"/>
      <c r="L3696" s="705"/>
      <c r="M3696" s="705"/>
      <c r="N3696" s="705"/>
      <c r="O3696" s="705"/>
      <c r="P3696" s="705"/>
      <c r="Q3696" s="705"/>
      <c r="R3696" s="705"/>
      <c r="S3696" s="705"/>
      <c r="T3696" s="705"/>
      <c r="U3696" s="108"/>
      <c r="Y3696" s="532" t="s">
        <v>341</v>
      </c>
      <c r="AC3696" s="49"/>
      <c r="AD3696" s="687" t="s">
        <v>302</v>
      </c>
      <c r="AE3696" s="688"/>
      <c r="AF3696" s="689"/>
      <c r="AG3696" s="49"/>
      <c r="AH3696" s="87"/>
      <c r="AI3696" s="87"/>
    </row>
    <row r="3697" spans="1:35" ht="16.5" hidden="1" customHeight="1" thickBot="1">
      <c r="A3697" s="218" t="e">
        <f>"K"&amp;E3679</f>
        <v>#N/A</v>
      </c>
      <c r="B3697" s="701" t="s">
        <v>71</v>
      </c>
      <c r="C3697" s="751" t="s">
        <v>102</v>
      </c>
      <c r="D3697" s="751"/>
      <c r="E3697" s="751"/>
      <c r="F3697" s="751"/>
      <c r="G3697" s="751"/>
      <c r="H3697" s="751"/>
      <c r="I3697" s="751"/>
      <c r="J3697" s="751"/>
      <c r="K3697" s="751"/>
      <c r="L3697" s="722" t="s">
        <v>100</v>
      </c>
      <c r="M3697" s="747" t="s">
        <v>114</v>
      </c>
      <c r="N3697" s="747"/>
      <c r="O3697" s="747"/>
      <c r="P3697" s="747"/>
      <c r="Q3697" s="748"/>
      <c r="R3697" s="758" t="s">
        <v>280</v>
      </c>
      <c r="S3697" s="748"/>
      <c r="T3697" s="762" t="str">
        <f>IF(COUNTIF(AE3697:AF3697,"VERIFICAR")&gt;0,"VERIFICAR",IF(COUNTIF(AE3697:AF3697,"NO CUMPLE")&gt;0,"NO CUMPLE","CUMPLE"))</f>
        <v>VERIFICAR</v>
      </c>
      <c r="U3697" s="108"/>
      <c r="Y3697" s="533" t="e">
        <f>IF(F3698="","",IF(F3698=1,"INDIVIDUAL","ESTRUCTURA PLURAL"))</f>
        <v>#N/A</v>
      </c>
      <c r="AC3697" s="52"/>
      <c r="AD3697" s="475" t="s">
        <v>303</v>
      </c>
      <c r="AE3697" s="476" t="str">
        <f>IF(COUNTIF(AE3683:AE3692,"")=10,"VERIFICAR",IF(COUNTIF(AE3683:AE3692,"SI")&gt;0,"CUMPLE","NO CUMPLE"))</f>
        <v>VERIFICAR</v>
      </c>
      <c r="AF3697" s="477" t="str">
        <f>IF(COUNTIF(AF3683:AF3692,"")=10,"VERIFICAR",IF(COUNTIF(AF3683:AF3692,"SI")&gt;=$AI$22,"CUMPLE","NO CUMPLE"))</f>
        <v>VERIFICAR</v>
      </c>
      <c r="AG3697" s="52"/>
      <c r="AH3697" s="87"/>
      <c r="AI3697" s="87"/>
    </row>
    <row r="3698" spans="1:35" ht="15.75" hidden="1" customHeight="1" thickBot="1">
      <c r="A3698" s="218" t="e">
        <f>"L"&amp;E3679</f>
        <v>#N/A</v>
      </c>
      <c r="B3698" s="702"/>
      <c r="C3698" s="751" t="s">
        <v>103</v>
      </c>
      <c r="D3698" s="751"/>
      <c r="E3698" s="752"/>
      <c r="F3698" s="557" t="e">
        <f>IF(VLOOKUP(E3679,PROPONENTES!$C$19:$E$218,3,0)="","",VLOOKUP(E3679,PROPONENTES!$C$19:$E$218,3,0))</f>
        <v>#N/A</v>
      </c>
      <c r="G3698" s="753" t="s">
        <v>104</v>
      </c>
      <c r="H3698" s="751"/>
      <c r="I3698" s="715" t="e">
        <f>IF(OR(F3698="",F3698=1),"INTERESADO PERSONA NATURAL O JURIDICA","CONSORCIO O UNION TEMPORAL")</f>
        <v>#N/A</v>
      </c>
      <c r="J3698" s="725"/>
      <c r="K3698" s="728"/>
      <c r="L3698" s="723"/>
      <c r="M3698" s="749"/>
      <c r="N3698" s="749"/>
      <c r="O3698" s="749"/>
      <c r="P3698" s="749"/>
      <c r="Q3698" s="750"/>
      <c r="R3698" s="712"/>
      <c r="S3698" s="750"/>
      <c r="T3698" s="763"/>
      <c r="U3698" s="108"/>
      <c r="Y3698" s="534"/>
      <c r="AA3698" s="52"/>
      <c r="AB3698" s="52"/>
      <c r="AC3698" s="52"/>
      <c r="AG3698" s="52"/>
      <c r="AH3698" s="87"/>
      <c r="AI3698" s="87"/>
    </row>
    <row r="3699" spans="1:35" ht="56.25" hidden="1" customHeight="1" thickBot="1">
      <c r="A3699" s="218" t="e">
        <f>"M"&amp;E3679</f>
        <v>#N/A</v>
      </c>
      <c r="B3699" s="702"/>
      <c r="C3699" s="725" t="s">
        <v>101</v>
      </c>
      <c r="D3699" s="716"/>
      <c r="E3699" s="558" t="s">
        <v>105</v>
      </c>
      <c r="F3699" s="554" t="s">
        <v>87</v>
      </c>
      <c r="G3699" s="553" t="s">
        <v>86</v>
      </c>
      <c r="H3699" s="559" t="s">
        <v>85</v>
      </c>
      <c r="I3699" s="554" t="s">
        <v>252</v>
      </c>
      <c r="J3699" s="553" t="str">
        <f>"¿EL INTEGRANTE TIENE UNA PARTICIPACIÓN DEL "&amp;PORCREQUERIDOINT*100&amp;"%?"</f>
        <v>¿EL INTEGRANTE TIENE UNA PARTICIPACIÓN DEL 60%?</v>
      </c>
      <c r="K3699" s="554" t="s">
        <v>107</v>
      </c>
      <c r="L3699" s="724"/>
      <c r="M3699" s="717" t="s">
        <v>115</v>
      </c>
      <c r="N3699" s="718"/>
      <c r="O3699" s="718"/>
      <c r="P3699" s="718"/>
      <c r="Q3699" s="223">
        <f>IF(AND(H3683="SI",P3683&gt;=0),1,0)+IF(AND(H3684="SI",P3684&gt;=0),1,0)+IF(AND(H3685="SI",P3685&gt;=0),1,0)+IF(AND(H3686="SI",P3686&gt;=0),1,0)+IF(AND(H3687="SI",P3687&gt;=0),1,0)+IF(AND(H3688="SI",P3688&gt;=0),1,0)+IF(AND(H3689="SI",P3689&gt;=0),1,0)+IF(AND(H3690="SI",P3690&gt;=0),1,0)+IF(AND(H3691="SI",P3691&gt;=0),1,0)+IF(AND(H3692="SI",P3692&gt;=0),1,0)</f>
        <v>0</v>
      </c>
      <c r="R3699" s="759"/>
      <c r="S3699" s="761"/>
      <c r="T3699" s="764"/>
      <c r="U3699" s="219"/>
      <c r="V3699" s="464"/>
      <c r="Y3699" s="532" t="s">
        <v>342</v>
      </c>
      <c r="AA3699" s="550" t="s">
        <v>344</v>
      </c>
      <c r="AB3699" s="693" t="s">
        <v>345</v>
      </c>
      <c r="AC3699" s="693" t="s">
        <v>346</v>
      </c>
      <c r="AD3699" s="685" t="s">
        <v>347</v>
      </c>
      <c r="AE3699" s="52"/>
      <c r="AF3699" s="52"/>
      <c r="AG3699" s="52"/>
      <c r="AH3699" s="87"/>
      <c r="AI3699" s="87"/>
    </row>
    <row r="3700" spans="1:35" ht="15.75" hidden="1" customHeight="1" thickBot="1">
      <c r="A3700" s="218" t="e">
        <f>"N"&amp;E3679</f>
        <v>#N/A</v>
      </c>
      <c r="B3700" s="702"/>
      <c r="C3700" s="114">
        <v>1</v>
      </c>
      <c r="D3700" s="194" t="e">
        <f>IF(AND(C3700&lt;=F3698,F3698&gt;1,F3698&lt;&gt;""),VLOOKUP(VALUE(E3679&amp;","&amp;C3700),INTEGRANTES!$D$18:$F$235,2,0),"")</f>
        <v>#N/A</v>
      </c>
      <c r="E3700" s="211" t="e">
        <f>IF(D3700&lt;&gt;"",VLOOKUP(VALUE(E3679&amp;","&amp;C3700),INTEGRANTES!$D$18:$F$235,3,0),"")</f>
        <v>#N/A</v>
      </c>
      <c r="F3700" s="547" t="e">
        <f>IF(D3700="","",SUMIF($I3683:$I3692,D3700,$P3683:$P3692))</f>
        <v>#N/A</v>
      </c>
      <c r="G3700" s="333" t="e">
        <f>IF(D3700="","",SUMIF($I3683:$I3692,D3700,$M3683:$M3692))</f>
        <v>#N/A</v>
      </c>
      <c r="H3700" s="535" t="e">
        <f t="shared" ref="H3700:H3705" si="1091">IF(D3700="","",IF(OR(F3700=0,G3700=0),"NO APORTA",ROUND($F3700/$G3700,3)))</f>
        <v>#N/A</v>
      </c>
      <c r="I3700" s="212" t="e">
        <f>IF(D3700="","",IF(H3700="NO APORTA","NO",IF(H3700=MAX($H3700:$H3705),"SI","NO")))</f>
        <v>#N/A</v>
      </c>
      <c r="J3700" s="213" t="e">
        <f t="shared" ref="J3700:J3705" si="1092">IF(D3700="","",IF(E3700&gt;=PORCREQUERIDOINT,"SI","NO"))</f>
        <v>#N/A</v>
      </c>
      <c r="K3700" s="200" t="e">
        <f t="shared" ref="K3700:K3705" si="1093">IF(D3700="","",IF(AND(I3700="SI",J3700="SI"),"CUMPLE",IF(AND(I3700="NO",OR(J3700="SI",J3700="NO")),"","NO CUMPLE")))</f>
        <v>#N/A</v>
      </c>
      <c r="L3700" s="722" t="s">
        <v>108</v>
      </c>
      <c r="M3700" s="726" t="s">
        <v>119</v>
      </c>
      <c r="N3700" s="726"/>
      <c r="O3700" s="726"/>
      <c r="P3700" s="726"/>
      <c r="Q3700" s="727"/>
      <c r="R3700" s="758" t="s">
        <v>80</v>
      </c>
      <c r="S3700" s="747"/>
      <c r="T3700" s="748"/>
      <c r="U3700" s="219"/>
      <c r="V3700" s="464"/>
      <c r="Y3700" s="533" t="e">
        <f>IF(Y3697="","",IF(Y3697="INDIVIDUAL","NO APLICA","VERIFICAR CUADRO"))</f>
        <v>#N/A</v>
      </c>
      <c r="AA3700" s="551"/>
      <c r="AB3700" s="694"/>
      <c r="AC3700" s="694"/>
      <c r="AD3700" s="686"/>
      <c r="AE3700" s="52"/>
      <c r="AF3700" s="52"/>
      <c r="AG3700" s="52"/>
      <c r="AH3700" s="87"/>
      <c r="AI3700" s="87"/>
    </row>
    <row r="3701" spans="1:35" ht="27" hidden="1" customHeight="1" thickBot="1">
      <c r="A3701" s="218" t="e">
        <f>"O"&amp;E3679</f>
        <v>#N/A</v>
      </c>
      <c r="B3701" s="702"/>
      <c r="C3701" s="114">
        <v>2</v>
      </c>
      <c r="D3701" s="194" t="e">
        <f>IF(AND(C3701&lt;=F3698,F3698&lt;&gt;""),VLOOKUP(VALUE(E3679&amp;","&amp;C3701),INTEGRANTES!$D$18:$F$235,2,0),"")</f>
        <v>#N/A</v>
      </c>
      <c r="E3701" s="211" t="e">
        <f>IF(D3701&lt;&gt;"",VLOOKUP(VALUE(E3679&amp;","&amp;C3701),INTEGRANTES!$D$18:$F$235,3,0),"")</f>
        <v>#N/A</v>
      </c>
      <c r="F3701" s="547" t="e">
        <f>IF(D3701="","",SUMIF($I3683:$I3692,D3701,$P3683:$P3692))</f>
        <v>#N/A</v>
      </c>
      <c r="G3701" s="333" t="e">
        <f>IF(D3701="","",SUMIF($I3683:$I3692,D3701,$M3683:$M3692))</f>
        <v>#N/A</v>
      </c>
      <c r="H3701" s="535" t="e">
        <f t="shared" si="1091"/>
        <v>#N/A</v>
      </c>
      <c r="I3701" s="212" t="e">
        <f>IF(D3701="","",IF(H3701="NO APORTA","NO",IF(H3701=MAX($H3700:$H3705),"SI","NO")))</f>
        <v>#N/A</v>
      </c>
      <c r="J3701" s="213" t="e">
        <f t="shared" si="1092"/>
        <v>#N/A</v>
      </c>
      <c r="K3701" s="200" t="e">
        <f t="shared" si="1093"/>
        <v>#N/A</v>
      </c>
      <c r="L3701" s="723"/>
      <c r="M3701" s="715" t="s">
        <v>116</v>
      </c>
      <c r="N3701" s="716"/>
      <c r="O3701" s="556" t="s">
        <v>113</v>
      </c>
      <c r="P3701" s="715" t="s">
        <v>117</v>
      </c>
      <c r="Q3701" s="728"/>
      <c r="R3701" s="759"/>
      <c r="S3701" s="760"/>
      <c r="T3701" s="761"/>
      <c r="U3701" s="219"/>
      <c r="V3701" s="464"/>
      <c r="Y3701" s="414"/>
      <c r="AA3701" s="542" t="e">
        <f>IF(AND(C3700&lt;=F3698,F3698&gt;1,F3698&lt;&gt;""),VLOOKUP(VALUE(E3679&amp;","&amp;C3700),INTEGRANTES!$D$18:$F$235,2,0),"")</f>
        <v>#N/A</v>
      </c>
      <c r="AB3701" s="544" t="e">
        <f t="shared" ref="AB3701:AB3706" si="1094">IF(D3700="","",IF(OR(F3700=0,G3700=0),"NO APORTA",ROUND($F3700/$G3700,3)))</f>
        <v>#N/A</v>
      </c>
      <c r="AC3701" s="529"/>
      <c r="AD3701" s="200" t="e">
        <f t="shared" ref="AD3701:AD3706" si="1095">IF(OR(AA3701="",AB3701=""),"",IF(AND(AC3701="X",AB3701&gt;=EXPREQVTD),"CUMPLE","NO CUMPLE"))</f>
        <v>#N/A</v>
      </c>
      <c r="AE3701" s="52"/>
      <c r="AF3701" s="52"/>
      <c r="AG3701" s="52"/>
      <c r="AH3701" s="87"/>
      <c r="AI3701" s="87"/>
    </row>
    <row r="3702" spans="1:35" ht="16.5" hidden="1" thickBot="1">
      <c r="A3702" s="218" t="e">
        <f>"P"&amp;E3679</f>
        <v>#N/A</v>
      </c>
      <c r="B3702" s="702"/>
      <c r="C3702" s="114">
        <v>3</v>
      </c>
      <c r="D3702" s="194" t="e">
        <f>IF(AND(C3702&lt;=F3698,F3698&lt;&gt;""),VLOOKUP(VALUE(E3679&amp;","&amp;C3702),INTEGRANTES!$D$18:$F$235,2,0),"")</f>
        <v>#N/A</v>
      </c>
      <c r="E3702" s="211" t="e">
        <f>IF(D3702&lt;&gt;"",VLOOKUP(VALUE(E3679&amp;","&amp;C3702),INTEGRANTES!$D$18:$F$235,3,0),"")</f>
        <v>#N/A</v>
      </c>
      <c r="F3702" s="547" t="e">
        <f>IF(D3702="","",SUMIF($I3683:$I3692,D3702,$P3683:$P3692))</f>
        <v>#N/A</v>
      </c>
      <c r="G3702" s="333" t="e">
        <f>IF(D3702="","",SUMIF($I3683:$I3692,D3702,$M3683:$M3692))</f>
        <v>#N/A</v>
      </c>
      <c r="H3702" s="535" t="e">
        <f t="shared" si="1091"/>
        <v>#N/A</v>
      </c>
      <c r="I3702" s="212" t="e">
        <f>IF(D3702="","",IF(H3702="NO APORTA","NO",IF(H3702=MAX($H3700:$H3705),"SI","NO")))</f>
        <v>#N/A</v>
      </c>
      <c r="J3702" s="213" t="e">
        <f t="shared" si="1092"/>
        <v>#N/A</v>
      </c>
      <c r="K3702" s="200" t="e">
        <f t="shared" si="1093"/>
        <v>#N/A</v>
      </c>
      <c r="L3702" s="724"/>
      <c r="M3702" s="729">
        <f>NUMMOD</f>
        <v>1</v>
      </c>
      <c r="N3702" s="730"/>
      <c r="O3702" s="443">
        <f>IF(M3702="","",VLOOKUP(M3702,PRESUPUESTOS!$B$16:$H$16,5,FALSE))</f>
        <v>2</v>
      </c>
      <c r="P3702" s="713">
        <f>IF(OR(COUNTIF(M3683:M3692,"")&gt;=10,Q3699&lt;NUMMINCONT,OR(T3697="NO CUMPLE",T3697="VERIFICAR")),0,ROUND(AVERAGE(M3683:M3692),3))</f>
        <v>0</v>
      </c>
      <c r="Q3702" s="714"/>
      <c r="R3702" s="458"/>
      <c r="S3702" s="459"/>
      <c r="T3702" s="460"/>
      <c r="U3702" s="219"/>
      <c r="V3702" s="464"/>
      <c r="Y3702" s="532" t="str">
        <f>"40% * ("&amp;PRESUPUESTOS!$H$13&amp;")"</f>
        <v>40% * (50% PFMO)</v>
      </c>
      <c r="AA3702" s="540" t="e">
        <f>IF(AND(C3701&lt;=F3698,F3698&lt;&gt;""),VLOOKUP(VALUE(E3679&amp;","&amp;C3701),INTEGRANTES!$D$18:$F$235,2,0),"")</f>
        <v>#N/A</v>
      </c>
      <c r="AB3702" s="545" t="e">
        <f t="shared" si="1094"/>
        <v>#N/A</v>
      </c>
      <c r="AC3702" s="529"/>
      <c r="AD3702" s="200" t="e">
        <f t="shared" si="1095"/>
        <v>#N/A</v>
      </c>
      <c r="AE3702" s="52"/>
      <c r="AF3702" s="52"/>
      <c r="AG3702" s="52"/>
      <c r="AH3702" s="87"/>
      <c r="AI3702" s="87"/>
    </row>
    <row r="3703" spans="1:35" ht="15.75" hidden="1" customHeight="1" thickBot="1">
      <c r="A3703" s="218" t="e">
        <f>"Q"&amp;E3679</f>
        <v>#N/A</v>
      </c>
      <c r="B3703" s="702"/>
      <c r="C3703" s="114">
        <v>4</v>
      </c>
      <c r="D3703" s="194" t="e">
        <f>IF(AND(C3703&lt;=F3698,F3698&lt;&gt;""),VLOOKUP(VALUE(E3679&amp;","&amp;C3703),INTEGRANTES!$D$18:$F$235,2,0),"")</f>
        <v>#N/A</v>
      </c>
      <c r="E3703" s="211" t="e">
        <f>IF(D3703&lt;&gt;"",VLOOKUP(VALUE(E3679&amp;","&amp;C3703),INTEGRANTES!$D$18:$F$235,3,0),"")</f>
        <v>#N/A</v>
      </c>
      <c r="F3703" s="547" t="e">
        <f>IF(D3703="","",SUMIF($I3683:$I3692,D3703,$P3683:$P3692))</f>
        <v>#N/A</v>
      </c>
      <c r="G3703" s="333" t="e">
        <f>IF(D3703="","",SUMIF($I3683:$I3692,D3703,$M3683:$M3692))</f>
        <v>#N/A</v>
      </c>
      <c r="H3703" s="535" t="e">
        <f t="shared" si="1091"/>
        <v>#N/A</v>
      </c>
      <c r="I3703" s="212" t="e">
        <f>IF(D3703="","",IF(H3703="NO APORTA","NO",IF(H3703=MAX($H3700:$H3705),"SI","NO")))</f>
        <v>#N/A</v>
      </c>
      <c r="J3703" s="213" t="e">
        <f t="shared" si="1092"/>
        <v>#N/A</v>
      </c>
      <c r="K3703" s="200" t="e">
        <f t="shared" si="1093"/>
        <v>#N/A</v>
      </c>
      <c r="L3703" s="720" t="s">
        <v>109</v>
      </c>
      <c r="M3703" s="757" t="s">
        <v>120</v>
      </c>
      <c r="N3703" s="726"/>
      <c r="O3703" s="726"/>
      <c r="P3703" s="726"/>
      <c r="Q3703" s="727"/>
      <c r="R3703" s="458"/>
      <c r="S3703" s="459"/>
      <c r="T3703" s="460"/>
      <c r="U3703" s="219"/>
      <c r="V3703" s="464"/>
      <c r="Y3703" s="537">
        <f>0.4*PRESUPUESTOS!$H$16</f>
        <v>10.3124</v>
      </c>
      <c r="AA3703" s="540" t="e">
        <f>IF(AND(C3702&lt;=F3698,F3698&lt;&gt;""),VLOOKUP(VALUE(E3679&amp;","&amp;C3702),INTEGRANTES!$D$18:$F$235,2,0),"")</f>
        <v>#N/A</v>
      </c>
      <c r="AB3703" s="545" t="e">
        <f t="shared" si="1094"/>
        <v>#N/A</v>
      </c>
      <c r="AC3703" s="529"/>
      <c r="AD3703" s="200" t="e">
        <f t="shared" si="1095"/>
        <v>#N/A</v>
      </c>
      <c r="AE3703" s="52"/>
      <c r="AF3703" s="52"/>
      <c r="AG3703" s="52"/>
      <c r="AH3703" s="87"/>
      <c r="AI3703" s="87"/>
    </row>
    <row r="3704" spans="1:35" ht="27" hidden="1" customHeight="1" thickBot="1">
      <c r="A3704" s="218" t="e">
        <f>"R"&amp;E3679</f>
        <v>#N/A</v>
      </c>
      <c r="B3704" s="702"/>
      <c r="C3704" s="114">
        <v>5</v>
      </c>
      <c r="D3704" s="194" t="e">
        <f>IF(AND(C3704&lt;=F3698,F3698&lt;&gt;""),VLOOKUP(VALUE(E3679&amp;","&amp;C3704),INTEGRANTES!$D$18:$F$235,2,0),"")</f>
        <v>#N/A</v>
      </c>
      <c r="E3704" s="211" t="e">
        <f>IF(D3704&lt;&gt;"",VLOOKUP(VALUE(E3679&amp;","&amp;C3704),INTEGRANTES!$D$18:$F$235,3,0),"")</f>
        <v>#N/A</v>
      </c>
      <c r="F3704" s="547" t="e">
        <f>IF(D3704="","",SUMIF($I3683:$I3692,D3704,$P3683:$P3692))</f>
        <v>#N/A</v>
      </c>
      <c r="G3704" s="333" t="e">
        <f>IF(D3704="","",SUMIF($I3683:$I3692,D3704,$M3683:$M3692))</f>
        <v>#N/A</v>
      </c>
      <c r="H3704" s="535" t="e">
        <f t="shared" si="1091"/>
        <v>#N/A</v>
      </c>
      <c r="I3704" s="212" t="e">
        <f>IF(D3704="","",IF(H3704="NO APORTA","NO",IF(H3704=MAX($H3700:$H3705),"SI","NO")))</f>
        <v>#N/A</v>
      </c>
      <c r="J3704" s="213" t="e">
        <f t="shared" si="1092"/>
        <v>#N/A</v>
      </c>
      <c r="K3704" s="200" t="e">
        <f t="shared" si="1093"/>
        <v>#N/A</v>
      </c>
      <c r="L3704" s="721"/>
      <c r="M3704" s="715" t="s">
        <v>116</v>
      </c>
      <c r="N3704" s="716"/>
      <c r="O3704" s="556" t="str">
        <f>PORCREQUERIDO*100&amp;"% PMFO DEL MÓDULO"</f>
        <v>50% PMFO DEL MÓDULO</v>
      </c>
      <c r="P3704" s="715" t="s">
        <v>118</v>
      </c>
      <c r="Q3704" s="728"/>
      <c r="R3704" s="458"/>
      <c r="S3704" s="459"/>
      <c r="T3704" s="460"/>
      <c r="U3704" s="219"/>
      <c r="V3704" s="464"/>
      <c r="Y3704" s="414"/>
      <c r="AA3704" s="540" t="e">
        <f>IF(AND(C3703&lt;=F3698,F3698&lt;&gt;""),VLOOKUP(VALUE(E3679&amp;","&amp;C3703),INTEGRANTES!$D$18:$F$235,2,0),"")</f>
        <v>#N/A</v>
      </c>
      <c r="AB3704" s="545" t="e">
        <f t="shared" si="1094"/>
        <v>#N/A</v>
      </c>
      <c r="AC3704" s="529"/>
      <c r="AD3704" s="200" t="e">
        <f t="shared" si="1095"/>
        <v>#N/A</v>
      </c>
      <c r="AE3704" s="52"/>
      <c r="AF3704" s="52"/>
      <c r="AG3704" s="52"/>
      <c r="AH3704" s="87"/>
      <c r="AI3704" s="87"/>
    </row>
    <row r="3705" spans="1:35" ht="16.5" hidden="1" thickBot="1">
      <c r="A3705" s="218" t="e">
        <f>"S"&amp;E3679</f>
        <v>#N/A</v>
      </c>
      <c r="B3705" s="702"/>
      <c r="C3705" s="215">
        <v>6</v>
      </c>
      <c r="D3705" s="216" t="e">
        <f>IF(AND(C3705&lt;=F3698,F3698&lt;&gt;""),VLOOKUP(VALUE(E3679&amp;","&amp;C3705),INTEGRANTES!$D$18:$F$235,2,0),"")</f>
        <v>#N/A</v>
      </c>
      <c r="E3705" s="217" t="e">
        <f>IF(D3705&lt;&gt;"",VLOOKUP(VALUE(E3679&amp;","&amp;C3705),INTEGRANTES!$D$18:$F$235,3,0),"")</f>
        <v>#N/A</v>
      </c>
      <c r="F3705" s="548" t="e">
        <f>IF(D3705="","",SUMIF($I3683:$I3692,D3705,$P3683:$P3692))</f>
        <v>#N/A</v>
      </c>
      <c r="G3705" s="334" t="e">
        <f>IF(D3705="","",SUMIF($I3683:$I3692,D3705,$M3683:$M3692))</f>
        <v>#N/A</v>
      </c>
      <c r="H3705" s="536" t="e">
        <f t="shared" si="1091"/>
        <v>#N/A</v>
      </c>
      <c r="I3705" s="214" t="e">
        <f>IF(D3705="","",IF(H3705="NO APORTA","NO",IF(H3705=MAX($H3700:$H3705),"SI","NO")))</f>
        <v>#N/A</v>
      </c>
      <c r="J3705" s="213" t="e">
        <f t="shared" si="1092"/>
        <v>#N/A</v>
      </c>
      <c r="K3705" s="200" t="e">
        <f t="shared" si="1093"/>
        <v>#N/A</v>
      </c>
      <c r="L3705" s="721"/>
      <c r="M3705" s="729">
        <f>NUMMOD</f>
        <v>1</v>
      </c>
      <c r="N3705" s="730"/>
      <c r="O3705" s="443">
        <f>IF(M3705="","",ROUND(VLOOKUP(M3705,PRESUPUESTOS!$B$16:$H$16,7,FALSE),3))</f>
        <v>25.780999999999999</v>
      </c>
      <c r="P3705" s="713">
        <f>IF(OR(COUNTIF(P3683:P3692,"")&gt;=10,Q3699&lt;NUMMINCONT,OR(T3697="NO CUMPLE",T3697="VERIFICAR")),0,ROUND((SUM(P3683:P3692)/SUM(M3683:M3692)),3))</f>
        <v>0</v>
      </c>
      <c r="Q3705" s="714"/>
      <c r="R3705" s="458"/>
      <c r="S3705" s="459"/>
      <c r="T3705" s="460"/>
      <c r="U3705" s="219"/>
      <c r="V3705" s="464"/>
      <c r="Y3705" s="532" t="s">
        <v>343</v>
      </c>
      <c r="AA3705" s="540" t="e">
        <f>IF(AND(C3704&lt;=F3698,F3698&lt;&gt;""),VLOOKUP(VALUE(E3679&amp;","&amp;C3704),INTEGRANTES!$D$18:$F$235,2,0),"")</f>
        <v>#N/A</v>
      </c>
      <c r="AB3705" s="545" t="e">
        <f t="shared" si="1094"/>
        <v>#N/A</v>
      </c>
      <c r="AC3705" s="529"/>
      <c r="AD3705" s="200" t="e">
        <f t="shared" si="1095"/>
        <v>#N/A</v>
      </c>
      <c r="AE3705" s="52"/>
      <c r="AF3705" s="52"/>
      <c r="AG3705" s="52"/>
      <c r="AH3705" s="87"/>
      <c r="AI3705" s="87"/>
    </row>
    <row r="3706" spans="1:35" ht="16.5" hidden="1" customHeight="1" thickBot="1">
      <c r="A3706" s="218" t="e">
        <f>"T"&amp;E3679</f>
        <v>#N/A</v>
      </c>
      <c r="B3706" s="703"/>
      <c r="C3706" s="719"/>
      <c r="D3706" s="719"/>
      <c r="E3706" s="719"/>
      <c r="F3706" s="719"/>
      <c r="G3706" s="719"/>
      <c r="H3706" s="719" t="s">
        <v>110</v>
      </c>
      <c r="I3706" s="719"/>
      <c r="J3706" s="719"/>
      <c r="K3706" s="201" t="str">
        <f>IF(COUNTIF(K3700:K3705,"")=6,"",IF(COUNTIF(K3700:K3705,"CUMPLE")&gt;0,"CUMPLE","NO CUMPLE"))</f>
        <v>NO CUMPLE</v>
      </c>
      <c r="L3706" s="754"/>
      <c r="M3706" s="755"/>
      <c r="N3706" s="755"/>
      <c r="O3706" s="755"/>
      <c r="P3706" s="755"/>
      <c r="Q3706" s="756"/>
      <c r="R3706" s="461"/>
      <c r="S3706" s="462"/>
      <c r="T3706" s="463"/>
      <c r="U3706" s="219"/>
      <c r="V3706" s="464"/>
      <c r="Y3706" s="549" t="e">
        <f>IF(Y3700="NO APLICA","NO APLICA",IF(COUNTIF(AD3701:AD3706,"CUMPLE")&gt;0,"CUMPLE","NO CUMPLE"))</f>
        <v>#N/A</v>
      </c>
      <c r="AA3706" s="541" t="e">
        <f>IF(AND(C3705&lt;=F3698,F3698&lt;&gt;""),VLOOKUP(VALUE(E3679&amp;","&amp;C3705),INTEGRANTES!$D$18:$F$235,2,0),"")</f>
        <v>#N/A</v>
      </c>
      <c r="AB3706" s="546" t="e">
        <f t="shared" si="1094"/>
        <v>#N/A</v>
      </c>
      <c r="AC3706" s="543"/>
      <c r="AD3706" s="201" t="e">
        <f t="shared" si="1095"/>
        <v>#N/A</v>
      </c>
      <c r="AE3706" s="52"/>
      <c r="AF3706" s="52"/>
      <c r="AG3706" s="52"/>
      <c r="AH3706" s="87"/>
      <c r="AI3706" s="87"/>
    </row>
    <row r="3707" spans="1:35" hidden="1">
      <c r="AH3707" s="87"/>
      <c r="AI3707" s="87"/>
    </row>
    <row r="3708" spans="1:35" hidden="1">
      <c r="AH3708" s="87"/>
      <c r="AI3708" s="87"/>
    </row>
    <row r="3709" spans="1:35" ht="24" hidden="1" thickBot="1">
      <c r="A3709" s="61">
        <v>124</v>
      </c>
      <c r="B3709" s="704" t="s">
        <v>51</v>
      </c>
      <c r="C3709" s="704"/>
      <c r="D3709" s="704"/>
      <c r="E3709" s="62" t="e">
        <f>VLOOKUP(A3709,PROPONENTES!$B$19:$E$218,2,FALSE)</f>
        <v>#N/A</v>
      </c>
      <c r="F3709" s="63" t="e">
        <f>VLOOKUP(A3709,PROPONENTES!$B$19:$E$218,3,FALSE)</f>
        <v>#N/A</v>
      </c>
      <c r="G3709" s="64"/>
      <c r="H3709" s="64"/>
      <c r="I3709" s="63"/>
      <c r="J3709" s="63"/>
      <c r="K3709" s="65"/>
      <c r="L3709" s="65"/>
      <c r="M3709" s="64"/>
      <c r="N3709" s="64"/>
      <c r="O3709" s="66"/>
      <c r="P3709" s="66"/>
      <c r="Q3709" s="66"/>
      <c r="R3709" s="66"/>
      <c r="S3709" s="67"/>
      <c r="T3709" s="68"/>
      <c r="U3709" s="68"/>
      <c r="AC3709" s="68"/>
      <c r="AD3709" s="68"/>
      <c r="AE3709" s="68"/>
      <c r="AF3709" s="68"/>
      <c r="AG3709" s="68"/>
      <c r="AH3709" s="87"/>
      <c r="AI3709" s="87"/>
    </row>
    <row r="3710" spans="1:35" ht="15.75" hidden="1" customHeight="1">
      <c r="A3710" s="44"/>
      <c r="B3710" s="709" t="s">
        <v>59</v>
      </c>
      <c r="C3710" s="552" t="s">
        <v>60</v>
      </c>
      <c r="D3710" s="70" t="s">
        <v>17</v>
      </c>
      <c r="E3710" s="70"/>
      <c r="F3710" s="70" t="s">
        <v>61</v>
      </c>
      <c r="G3710" s="71"/>
      <c r="H3710" s="699" t="s">
        <v>62</v>
      </c>
      <c r="I3710" s="699" t="s">
        <v>18</v>
      </c>
      <c r="J3710" s="699" t="s">
        <v>63</v>
      </c>
      <c r="K3710" s="699" t="s">
        <v>64</v>
      </c>
      <c r="L3710" s="699" t="s">
        <v>65</v>
      </c>
      <c r="M3710" s="743" t="s">
        <v>66</v>
      </c>
      <c r="N3710" s="699" t="s">
        <v>282</v>
      </c>
      <c r="O3710" s="745" t="s">
        <v>67</v>
      </c>
      <c r="P3710" s="746"/>
      <c r="Q3710" s="102" t="s">
        <v>75</v>
      </c>
      <c r="R3710" s="731" t="s">
        <v>22</v>
      </c>
      <c r="S3710" s="732"/>
      <c r="T3710" s="733"/>
      <c r="U3710" s="712" t="s">
        <v>298</v>
      </c>
      <c r="W3710" s="690" t="s">
        <v>268</v>
      </c>
      <c r="X3710" s="691"/>
      <c r="Y3710" s="692"/>
      <c r="Z3710" s="428"/>
      <c r="AA3710" s="697" t="s">
        <v>315</v>
      </c>
      <c r="AB3710" s="695" t="s">
        <v>322</v>
      </c>
      <c r="AC3710" s="49"/>
      <c r="AD3710" s="690" t="s">
        <v>297</v>
      </c>
      <c r="AE3710" s="691"/>
      <c r="AF3710" s="692"/>
      <c r="AG3710" s="49"/>
      <c r="AH3710" s="87"/>
      <c r="AI3710" s="87"/>
    </row>
    <row r="3711" spans="1:35" ht="72" hidden="1">
      <c r="A3711" s="44"/>
      <c r="B3711" s="710"/>
      <c r="C3711" s="553" t="s">
        <v>68</v>
      </c>
      <c r="D3711" s="73" t="s">
        <v>3</v>
      </c>
      <c r="E3711" s="73" t="s">
        <v>19</v>
      </c>
      <c r="F3711" s="73" t="s">
        <v>69</v>
      </c>
      <c r="G3711" s="74" t="s">
        <v>70</v>
      </c>
      <c r="H3711" s="700"/>
      <c r="I3711" s="700"/>
      <c r="J3711" s="700"/>
      <c r="K3711" s="700"/>
      <c r="L3711" s="700"/>
      <c r="M3711" s="744"/>
      <c r="N3711" s="700"/>
      <c r="O3711" s="553" t="s">
        <v>279</v>
      </c>
      <c r="P3711" s="73" t="s">
        <v>88</v>
      </c>
      <c r="Q3711" s="555" t="s">
        <v>76</v>
      </c>
      <c r="R3711" s="734"/>
      <c r="S3711" s="735"/>
      <c r="T3711" s="736"/>
      <c r="U3711" s="712"/>
      <c r="W3711" s="429" t="s">
        <v>269</v>
      </c>
      <c r="X3711" s="457" t="s">
        <v>278</v>
      </c>
      <c r="Y3711" s="430" t="s">
        <v>324</v>
      </c>
      <c r="Z3711" s="428"/>
      <c r="AA3711" s="698"/>
      <c r="AB3711" s="696"/>
      <c r="AC3711" s="49"/>
      <c r="AD3711" s="429" t="s">
        <v>292</v>
      </c>
      <c r="AE3711" s="431" t="s">
        <v>300</v>
      </c>
      <c r="AF3711" s="468" t="s">
        <v>301</v>
      </c>
      <c r="AG3711" s="49"/>
      <c r="AH3711" s="87"/>
      <c r="AI3711" s="87"/>
    </row>
    <row r="3712" spans="1:35" hidden="1">
      <c r="A3712" s="44"/>
      <c r="B3712" s="76"/>
      <c r="C3712" s="77"/>
      <c r="D3712" s="77"/>
      <c r="E3712" s="77"/>
      <c r="F3712" s="77"/>
      <c r="G3712" s="77"/>
      <c r="H3712" s="77"/>
      <c r="I3712" s="77"/>
      <c r="J3712" s="77"/>
      <c r="K3712" s="77"/>
      <c r="L3712" s="77"/>
      <c r="M3712" s="77"/>
      <c r="N3712" s="77"/>
      <c r="O3712" s="77"/>
      <c r="P3712" s="77"/>
      <c r="Q3712" s="77"/>
      <c r="R3712" s="77"/>
      <c r="S3712" s="78"/>
      <c r="T3712" s="79"/>
      <c r="U3712" s="109"/>
      <c r="V3712" s="49"/>
      <c r="W3712" s="432"/>
      <c r="X3712" s="454"/>
      <c r="Y3712" s="433"/>
      <c r="Z3712" s="6"/>
      <c r="AA3712" s="500"/>
      <c r="AB3712" s="562"/>
      <c r="AC3712" s="49"/>
      <c r="AD3712" s="210"/>
      <c r="AE3712" s="434"/>
      <c r="AF3712" s="435"/>
      <c r="AG3712" s="49"/>
      <c r="AH3712" s="87"/>
      <c r="AI3712" s="87"/>
    </row>
    <row r="3713" spans="1:35" hidden="1">
      <c r="A3713" s="80" t="e">
        <f>"A"&amp;E3709</f>
        <v>#N/A</v>
      </c>
      <c r="B3713" s="81">
        <v>1</v>
      </c>
      <c r="C3713" s="82"/>
      <c r="D3713" s="82"/>
      <c r="E3713" s="82"/>
      <c r="F3713" s="82"/>
      <c r="G3713" s="83"/>
      <c r="H3713" s="83"/>
      <c r="I3713" s="84"/>
      <c r="J3713" s="85"/>
      <c r="K3713" s="382"/>
      <c r="L3713" s="85"/>
      <c r="M3713" s="332" t="str">
        <f t="shared" ref="M3713:M3722" si="1096">IF(OR(J3713="",L3713="",H3713="NO"),"",IF(OR(J3713&gt;$P$17,J3713&lt;$O$17,L3713&gt;$P$17,AND(J3713&lt;$O$17,L3713&lt;$O$17)),"FUERA DE RANGO",IF(OR(K3713="---",K3713=""),IF(J3713&gt;=$O$17,ROUND((L3713-J3713+1)/360*12,3),ROUND((L3713-$O$17+1)/360*12,3)),IF(J3713&gt;=$O$17,ROUND((L3713-J3713+1)/360*12-ROUND(K3713,3),3),ROUND((L3713-$O$17+1)/360*12-ROUND(K3713,3),3)))))</f>
        <v/>
      </c>
      <c r="N3713" s="86"/>
      <c r="O3713" s="453" t="str">
        <f>IF(OR(G3713="",N3713=""),"",N3713*G3713)</f>
        <v/>
      </c>
      <c r="P3713" s="538" t="str">
        <f>IF(OR(H3713="",M3713="FUERA DE RANGO"),"",IF(OR(L3713&lt;$O$17,L3713&gt;$P$17,L3713="",H3713="NO"),"",IF(OR(N3713="",O3713=""),"",ROUND(O3713,3))))</f>
        <v/>
      </c>
      <c r="Q3713" s="539" t="str">
        <f t="shared" ref="Q3713:Q3722" si="1097">IF(AND(H3713="SI",P3713&lt;&gt;""),ROUND(P3713/M3713,3),"")</f>
        <v/>
      </c>
      <c r="R3713" s="737"/>
      <c r="S3713" s="738"/>
      <c r="T3713" s="739"/>
      <c r="U3713" s="470"/>
      <c r="V3713" s="165"/>
      <c r="W3713" s="446"/>
      <c r="X3713" s="456"/>
      <c r="Y3713" s="436"/>
      <c r="Z3713" s="437"/>
      <c r="AA3713" s="560"/>
      <c r="AB3713" s="561"/>
      <c r="AC3713" s="87"/>
      <c r="AD3713" s="466"/>
      <c r="AE3713" s="456"/>
      <c r="AF3713" s="467"/>
      <c r="AG3713" s="87"/>
      <c r="AH3713" s="87"/>
      <c r="AI3713" s="87"/>
    </row>
    <row r="3714" spans="1:35" hidden="1">
      <c r="A3714" s="80" t="e">
        <f>"B"&amp;E3709</f>
        <v>#N/A</v>
      </c>
      <c r="B3714" s="81">
        <v>2</v>
      </c>
      <c r="C3714" s="106"/>
      <c r="D3714" s="106"/>
      <c r="E3714" s="106"/>
      <c r="F3714" s="106"/>
      <c r="G3714" s="83"/>
      <c r="H3714" s="83"/>
      <c r="I3714" s="84"/>
      <c r="J3714" s="85"/>
      <c r="K3714" s="382"/>
      <c r="L3714" s="85"/>
      <c r="M3714" s="332" t="str">
        <f t="shared" si="1096"/>
        <v/>
      </c>
      <c r="N3714" s="86"/>
      <c r="O3714" s="453" t="str">
        <f t="shared" ref="O3714:O3722" si="1098">IF(OR(G3714="",N3714=""),"",N3714*G3714)</f>
        <v/>
      </c>
      <c r="P3714" s="538" t="str">
        <f t="shared" ref="P3714:P3722" si="1099">IF(OR(H3714="",M3714="FUERA DE RANGO"),"",IF(OR(L3714&lt;$O$17,L3714&gt;$P$17,L3714="",H3714="NO"),"",IF(OR(N3714="",O3714=""),"",ROUND(O3714,3))))</f>
        <v/>
      </c>
      <c r="Q3714" s="539" t="str">
        <f t="shared" si="1097"/>
        <v/>
      </c>
      <c r="R3714" s="740"/>
      <c r="S3714" s="741"/>
      <c r="T3714" s="742"/>
      <c r="U3714" s="471"/>
      <c r="V3714" s="165"/>
      <c r="W3714" s="446"/>
      <c r="X3714" s="456"/>
      <c r="Y3714" s="436"/>
      <c r="Z3714" s="437"/>
      <c r="AA3714" s="560"/>
      <c r="AB3714" s="561"/>
      <c r="AC3714" s="87"/>
      <c r="AD3714" s="466"/>
      <c r="AE3714" s="456"/>
      <c r="AF3714" s="467"/>
      <c r="AG3714" s="87"/>
      <c r="AH3714" s="87"/>
      <c r="AI3714" s="87"/>
    </row>
    <row r="3715" spans="1:35" hidden="1">
      <c r="A3715" s="80" t="e">
        <f>"C"&amp;E3709</f>
        <v>#N/A</v>
      </c>
      <c r="B3715" s="88">
        <v>3</v>
      </c>
      <c r="C3715" s="82"/>
      <c r="D3715" s="82"/>
      <c r="E3715" s="82"/>
      <c r="F3715" s="82"/>
      <c r="G3715" s="83"/>
      <c r="H3715" s="83"/>
      <c r="I3715" s="84"/>
      <c r="J3715" s="85"/>
      <c r="K3715" s="382"/>
      <c r="L3715" s="85"/>
      <c r="M3715" s="332" t="str">
        <f t="shared" si="1096"/>
        <v/>
      </c>
      <c r="N3715" s="86"/>
      <c r="O3715" s="453" t="str">
        <f t="shared" si="1098"/>
        <v/>
      </c>
      <c r="P3715" s="538" t="str">
        <f t="shared" si="1099"/>
        <v/>
      </c>
      <c r="Q3715" s="539" t="str">
        <f t="shared" si="1097"/>
        <v/>
      </c>
      <c r="R3715" s="706"/>
      <c r="S3715" s="707"/>
      <c r="T3715" s="708"/>
      <c r="U3715" s="472"/>
      <c r="V3715" s="166"/>
      <c r="W3715" s="446"/>
      <c r="X3715" s="456"/>
      <c r="Y3715" s="436"/>
      <c r="Z3715" s="437"/>
      <c r="AA3715" s="560"/>
      <c r="AB3715" s="561"/>
      <c r="AC3715" s="87"/>
      <c r="AD3715" s="466"/>
      <c r="AE3715" s="456"/>
      <c r="AF3715" s="467"/>
      <c r="AG3715" s="87"/>
      <c r="AH3715" s="87"/>
      <c r="AI3715" s="87"/>
    </row>
    <row r="3716" spans="1:35" hidden="1">
      <c r="A3716" s="80" t="e">
        <f>"D"&amp;E3709</f>
        <v>#N/A</v>
      </c>
      <c r="B3716" s="105">
        <v>4</v>
      </c>
      <c r="C3716" s="107"/>
      <c r="D3716" s="107"/>
      <c r="E3716" s="107"/>
      <c r="F3716" s="107"/>
      <c r="G3716" s="83"/>
      <c r="H3716" s="83"/>
      <c r="I3716" s="84"/>
      <c r="J3716" s="85"/>
      <c r="K3716" s="382"/>
      <c r="L3716" s="85"/>
      <c r="M3716" s="332" t="str">
        <f t="shared" si="1096"/>
        <v/>
      </c>
      <c r="N3716" s="86"/>
      <c r="O3716" s="453" t="str">
        <f t="shared" si="1098"/>
        <v/>
      </c>
      <c r="P3716" s="538" t="str">
        <f t="shared" si="1099"/>
        <v/>
      </c>
      <c r="Q3716" s="539" t="str">
        <f t="shared" si="1097"/>
        <v/>
      </c>
      <c r="R3716" s="706"/>
      <c r="S3716" s="707"/>
      <c r="T3716" s="708"/>
      <c r="U3716" s="472"/>
      <c r="V3716" s="166"/>
      <c r="W3716" s="446"/>
      <c r="X3716" s="456"/>
      <c r="Y3716" s="436"/>
      <c r="Z3716" s="437"/>
      <c r="AA3716" s="560"/>
      <c r="AB3716" s="561"/>
      <c r="AC3716" s="87"/>
      <c r="AD3716" s="466"/>
      <c r="AE3716" s="456"/>
      <c r="AF3716" s="467"/>
      <c r="AG3716" s="87"/>
      <c r="AH3716" s="87"/>
      <c r="AI3716" s="87"/>
    </row>
    <row r="3717" spans="1:35" hidden="1">
      <c r="A3717" s="80" t="e">
        <f>"E"&amp;E3709</f>
        <v>#N/A</v>
      </c>
      <c r="B3717" s="105">
        <v>5</v>
      </c>
      <c r="C3717" s="107"/>
      <c r="D3717" s="107"/>
      <c r="E3717" s="107"/>
      <c r="F3717" s="107"/>
      <c r="G3717" s="83"/>
      <c r="H3717" s="83"/>
      <c r="I3717" s="84"/>
      <c r="J3717" s="85"/>
      <c r="K3717" s="382"/>
      <c r="L3717" s="85"/>
      <c r="M3717" s="332" t="str">
        <f t="shared" si="1096"/>
        <v/>
      </c>
      <c r="N3717" s="86"/>
      <c r="O3717" s="453" t="str">
        <f t="shared" si="1098"/>
        <v/>
      </c>
      <c r="P3717" s="538" t="str">
        <f t="shared" si="1099"/>
        <v/>
      </c>
      <c r="Q3717" s="539" t="str">
        <f t="shared" si="1097"/>
        <v/>
      </c>
      <c r="R3717" s="706"/>
      <c r="S3717" s="707"/>
      <c r="T3717" s="708"/>
      <c r="U3717" s="472"/>
      <c r="V3717" s="167"/>
      <c r="W3717" s="446"/>
      <c r="X3717" s="456"/>
      <c r="Y3717" s="436"/>
      <c r="Z3717" s="437"/>
      <c r="AA3717" s="560"/>
      <c r="AB3717" s="561"/>
      <c r="AC3717" s="87"/>
      <c r="AD3717" s="466"/>
      <c r="AE3717" s="456"/>
      <c r="AF3717" s="467"/>
      <c r="AG3717" s="87"/>
      <c r="AH3717" s="87"/>
      <c r="AI3717" s="87"/>
    </row>
    <row r="3718" spans="1:35" hidden="1">
      <c r="A3718" s="80" t="e">
        <f>"F"&amp;E3709</f>
        <v>#N/A</v>
      </c>
      <c r="B3718" s="105">
        <v>6</v>
      </c>
      <c r="C3718" s="107"/>
      <c r="D3718" s="107"/>
      <c r="E3718" s="107"/>
      <c r="F3718" s="107"/>
      <c r="G3718" s="83"/>
      <c r="H3718" s="83"/>
      <c r="I3718" s="84"/>
      <c r="J3718" s="85"/>
      <c r="K3718" s="382"/>
      <c r="L3718" s="85"/>
      <c r="M3718" s="332" t="str">
        <f t="shared" si="1096"/>
        <v/>
      </c>
      <c r="N3718" s="86"/>
      <c r="O3718" s="453" t="str">
        <f t="shared" si="1098"/>
        <v/>
      </c>
      <c r="P3718" s="538" t="str">
        <f t="shared" si="1099"/>
        <v/>
      </c>
      <c r="Q3718" s="539" t="str">
        <f t="shared" si="1097"/>
        <v/>
      </c>
      <c r="R3718" s="706"/>
      <c r="S3718" s="707"/>
      <c r="T3718" s="708"/>
      <c r="U3718" s="472"/>
      <c r="V3718" s="167"/>
      <c r="W3718" s="446"/>
      <c r="X3718" s="456"/>
      <c r="Y3718" s="436"/>
      <c r="Z3718" s="437"/>
      <c r="AA3718" s="560"/>
      <c r="AB3718" s="561"/>
      <c r="AC3718" s="87"/>
      <c r="AD3718" s="466"/>
      <c r="AE3718" s="456"/>
      <c r="AF3718" s="467"/>
      <c r="AG3718" s="87"/>
      <c r="AH3718" s="87"/>
      <c r="AI3718" s="87"/>
    </row>
    <row r="3719" spans="1:35" hidden="1">
      <c r="A3719" s="80" t="e">
        <f>"G"&amp;E3709</f>
        <v>#N/A</v>
      </c>
      <c r="B3719" s="105">
        <v>7</v>
      </c>
      <c r="C3719" s="107"/>
      <c r="D3719" s="107"/>
      <c r="E3719" s="107"/>
      <c r="F3719" s="107"/>
      <c r="G3719" s="83"/>
      <c r="H3719" s="83"/>
      <c r="I3719" s="84"/>
      <c r="J3719" s="85"/>
      <c r="K3719" s="382"/>
      <c r="L3719" s="85"/>
      <c r="M3719" s="332" t="str">
        <f t="shared" si="1096"/>
        <v/>
      </c>
      <c r="N3719" s="86"/>
      <c r="O3719" s="86" t="str">
        <f t="shared" si="1098"/>
        <v/>
      </c>
      <c r="P3719" s="538" t="str">
        <f t="shared" si="1099"/>
        <v/>
      </c>
      <c r="Q3719" s="539" t="str">
        <f t="shared" si="1097"/>
        <v/>
      </c>
      <c r="R3719" s="706"/>
      <c r="S3719" s="707"/>
      <c r="T3719" s="708"/>
      <c r="U3719" s="472"/>
      <c r="V3719" s="167"/>
      <c r="W3719" s="446"/>
      <c r="X3719" s="456"/>
      <c r="Y3719" s="436"/>
      <c r="Z3719" s="437"/>
      <c r="AA3719" s="560"/>
      <c r="AB3719" s="561"/>
      <c r="AC3719" s="87"/>
      <c r="AD3719" s="466"/>
      <c r="AE3719" s="456"/>
      <c r="AF3719" s="467"/>
      <c r="AG3719" s="87"/>
      <c r="AH3719" s="87"/>
      <c r="AI3719" s="87"/>
    </row>
    <row r="3720" spans="1:35" hidden="1">
      <c r="A3720" s="80" t="e">
        <f>"H"&amp;E3709</f>
        <v>#N/A</v>
      </c>
      <c r="B3720" s="105">
        <v>8</v>
      </c>
      <c r="C3720" s="107"/>
      <c r="D3720" s="107"/>
      <c r="E3720" s="107"/>
      <c r="F3720" s="107"/>
      <c r="G3720" s="83"/>
      <c r="H3720" s="83"/>
      <c r="I3720" s="84"/>
      <c r="J3720" s="85"/>
      <c r="K3720" s="382"/>
      <c r="L3720" s="85"/>
      <c r="M3720" s="332" t="str">
        <f t="shared" si="1096"/>
        <v/>
      </c>
      <c r="N3720" s="453"/>
      <c r="O3720" s="86" t="str">
        <f t="shared" si="1098"/>
        <v/>
      </c>
      <c r="P3720" s="538" t="str">
        <f t="shared" si="1099"/>
        <v/>
      </c>
      <c r="Q3720" s="539" t="str">
        <f t="shared" si="1097"/>
        <v/>
      </c>
      <c r="R3720" s="706"/>
      <c r="S3720" s="707"/>
      <c r="T3720" s="708"/>
      <c r="U3720" s="472"/>
      <c r="V3720" s="167"/>
      <c r="W3720" s="446"/>
      <c r="X3720" s="456"/>
      <c r="Y3720" s="436"/>
      <c r="Z3720" s="437"/>
      <c r="AA3720" s="560"/>
      <c r="AB3720" s="561"/>
      <c r="AC3720" s="87"/>
      <c r="AD3720" s="466"/>
      <c r="AE3720" s="456"/>
      <c r="AF3720" s="467"/>
      <c r="AG3720" s="87"/>
      <c r="AH3720" s="87"/>
      <c r="AI3720" s="87"/>
    </row>
    <row r="3721" spans="1:35" hidden="1">
      <c r="A3721" s="80" t="e">
        <f>"I"&amp;E3709</f>
        <v>#N/A</v>
      </c>
      <c r="B3721" s="105">
        <v>9</v>
      </c>
      <c r="C3721" s="107"/>
      <c r="D3721" s="107"/>
      <c r="E3721" s="107"/>
      <c r="F3721" s="107"/>
      <c r="G3721" s="83"/>
      <c r="H3721" s="83"/>
      <c r="I3721" s="84"/>
      <c r="J3721" s="85"/>
      <c r="K3721" s="382"/>
      <c r="L3721" s="85"/>
      <c r="M3721" s="332" t="str">
        <f t="shared" si="1096"/>
        <v/>
      </c>
      <c r="N3721" s="453"/>
      <c r="O3721" s="86" t="str">
        <f t="shared" si="1098"/>
        <v/>
      </c>
      <c r="P3721" s="538" t="str">
        <f t="shared" si="1099"/>
        <v/>
      </c>
      <c r="Q3721" s="539" t="str">
        <f t="shared" si="1097"/>
        <v/>
      </c>
      <c r="R3721" s="706"/>
      <c r="S3721" s="707"/>
      <c r="T3721" s="708"/>
      <c r="U3721" s="472"/>
      <c r="V3721" s="167"/>
      <c r="W3721" s="446"/>
      <c r="X3721" s="456"/>
      <c r="Y3721" s="436"/>
      <c r="Z3721" s="437"/>
      <c r="AA3721" s="560"/>
      <c r="AB3721" s="561"/>
      <c r="AC3721" s="87"/>
      <c r="AD3721" s="466"/>
      <c r="AE3721" s="456"/>
      <c r="AF3721" s="467"/>
      <c r="AG3721" s="87"/>
      <c r="AH3721" s="87"/>
      <c r="AI3721" s="87"/>
    </row>
    <row r="3722" spans="1:35" hidden="1">
      <c r="A3722" s="80" t="e">
        <f>"J"&amp;E3709</f>
        <v>#N/A</v>
      </c>
      <c r="B3722" s="105">
        <v>10</v>
      </c>
      <c r="C3722" s="107"/>
      <c r="D3722" s="107"/>
      <c r="E3722" s="107"/>
      <c r="F3722" s="107"/>
      <c r="G3722" s="83"/>
      <c r="H3722" s="83"/>
      <c r="I3722" s="84"/>
      <c r="J3722" s="85"/>
      <c r="K3722" s="382"/>
      <c r="L3722" s="85"/>
      <c r="M3722" s="332" t="str">
        <f t="shared" si="1096"/>
        <v/>
      </c>
      <c r="N3722" s="453"/>
      <c r="O3722" s="86" t="str">
        <f t="shared" si="1098"/>
        <v/>
      </c>
      <c r="P3722" s="538" t="str">
        <f t="shared" si="1099"/>
        <v/>
      </c>
      <c r="Q3722" s="539" t="str">
        <f t="shared" si="1097"/>
        <v/>
      </c>
      <c r="R3722" s="706"/>
      <c r="S3722" s="707"/>
      <c r="T3722" s="708"/>
      <c r="U3722" s="472"/>
      <c r="V3722" s="167"/>
      <c r="W3722" s="446"/>
      <c r="X3722" s="456"/>
      <c r="Y3722" s="436"/>
      <c r="Z3722" s="437"/>
      <c r="AA3722" s="560"/>
      <c r="AB3722" s="561"/>
      <c r="AC3722" s="87"/>
      <c r="AD3722" s="466"/>
      <c r="AE3722" s="456"/>
      <c r="AF3722" s="467"/>
      <c r="AG3722" s="87"/>
      <c r="AH3722" s="87"/>
      <c r="AI3722" s="87"/>
    </row>
    <row r="3723" spans="1:35" ht="16.5" hidden="1" thickBot="1">
      <c r="A3723" s="44"/>
      <c r="B3723" s="89"/>
      <c r="C3723" s="90"/>
      <c r="D3723" s="90"/>
      <c r="E3723" s="90"/>
      <c r="F3723" s="90"/>
      <c r="G3723" s="90"/>
      <c r="H3723" s="90"/>
      <c r="I3723" s="90"/>
      <c r="J3723" s="90"/>
      <c r="K3723" s="90"/>
      <c r="L3723" s="90"/>
      <c r="M3723" s="90"/>
      <c r="N3723" s="90"/>
      <c r="O3723" s="90"/>
      <c r="P3723" s="90"/>
      <c r="Q3723" s="90"/>
      <c r="R3723" s="90"/>
      <c r="S3723" s="91"/>
      <c r="T3723" s="92"/>
      <c r="U3723" s="473"/>
      <c r="W3723" s="438"/>
      <c r="X3723" s="455"/>
      <c r="Y3723" s="439"/>
      <c r="Z3723" s="437"/>
      <c r="AA3723" s="530"/>
      <c r="AB3723" s="563"/>
      <c r="AC3723" s="87"/>
      <c r="AD3723" s="440"/>
      <c r="AE3723" s="441"/>
      <c r="AF3723" s="442"/>
      <c r="AG3723" s="49"/>
      <c r="AH3723" s="87"/>
      <c r="AI3723" s="87"/>
    </row>
    <row r="3724" spans="1:35" ht="16.5" hidden="1" thickBot="1">
      <c r="A3724" s="93"/>
      <c r="B3724" s="94"/>
      <c r="C3724" s="96"/>
      <c r="D3724" s="96"/>
      <c r="E3724" s="96"/>
      <c r="F3724" s="96"/>
      <c r="G3724" s="96"/>
      <c r="H3724" s="96"/>
      <c r="I3724" s="96"/>
      <c r="J3724" s="96"/>
      <c r="K3724" s="96"/>
      <c r="L3724" s="96"/>
      <c r="M3724" s="136"/>
      <c r="N3724" s="96"/>
      <c r="O3724" s="96"/>
      <c r="P3724" s="97"/>
      <c r="Q3724" s="97"/>
      <c r="R3724" s="98"/>
      <c r="S3724" s="95"/>
      <c r="T3724" s="99"/>
      <c r="U3724" s="469"/>
      <c r="AC3724" s="58"/>
      <c r="AG3724" s="58"/>
      <c r="AH3724" s="87"/>
      <c r="AI3724" s="87"/>
    </row>
    <row r="3725" spans="1:35" ht="16.5" hidden="1" thickBot="1">
      <c r="B3725" s="101"/>
      <c r="C3725" s="101"/>
      <c r="D3725" s="101"/>
      <c r="E3725" s="101"/>
      <c r="F3725" s="101"/>
      <c r="G3725" s="101"/>
      <c r="H3725" s="101"/>
      <c r="I3725" s="101"/>
      <c r="J3725" s="101"/>
      <c r="K3725" s="101"/>
      <c r="L3725" s="101"/>
      <c r="M3725" s="101"/>
      <c r="N3725" s="101"/>
      <c r="O3725" s="101"/>
      <c r="P3725" s="101"/>
      <c r="Q3725" s="101"/>
      <c r="R3725" s="101"/>
      <c r="S3725" s="101"/>
      <c r="U3725" s="50"/>
      <c r="AH3725" s="87"/>
      <c r="AI3725" s="87"/>
    </row>
    <row r="3726" spans="1:35" ht="16.5" hidden="1" customHeight="1" thickBot="1">
      <c r="A3726" s="44"/>
      <c r="B3726" s="705" t="s">
        <v>74</v>
      </c>
      <c r="C3726" s="705"/>
      <c r="D3726" s="705"/>
      <c r="E3726" s="705"/>
      <c r="F3726" s="705"/>
      <c r="G3726" s="705"/>
      <c r="H3726" s="705"/>
      <c r="I3726" s="705"/>
      <c r="J3726" s="705"/>
      <c r="K3726" s="705"/>
      <c r="L3726" s="705"/>
      <c r="M3726" s="705"/>
      <c r="N3726" s="705"/>
      <c r="O3726" s="705"/>
      <c r="P3726" s="705"/>
      <c r="Q3726" s="705"/>
      <c r="R3726" s="705"/>
      <c r="S3726" s="705"/>
      <c r="T3726" s="705"/>
      <c r="U3726" s="108"/>
      <c r="Y3726" s="532" t="s">
        <v>341</v>
      </c>
      <c r="AC3726" s="49"/>
      <c r="AD3726" s="687" t="s">
        <v>302</v>
      </c>
      <c r="AE3726" s="688"/>
      <c r="AF3726" s="689"/>
      <c r="AG3726" s="49"/>
      <c r="AH3726" s="87"/>
      <c r="AI3726" s="87"/>
    </row>
    <row r="3727" spans="1:35" ht="16.5" hidden="1" customHeight="1" thickBot="1">
      <c r="A3727" s="218" t="e">
        <f>"K"&amp;E3709</f>
        <v>#N/A</v>
      </c>
      <c r="B3727" s="701" t="s">
        <v>71</v>
      </c>
      <c r="C3727" s="751" t="s">
        <v>102</v>
      </c>
      <c r="D3727" s="751"/>
      <c r="E3727" s="751"/>
      <c r="F3727" s="751"/>
      <c r="G3727" s="751"/>
      <c r="H3727" s="751"/>
      <c r="I3727" s="751"/>
      <c r="J3727" s="751"/>
      <c r="K3727" s="751"/>
      <c r="L3727" s="722" t="s">
        <v>100</v>
      </c>
      <c r="M3727" s="747" t="s">
        <v>114</v>
      </c>
      <c r="N3727" s="747"/>
      <c r="O3727" s="747"/>
      <c r="P3727" s="747"/>
      <c r="Q3727" s="748"/>
      <c r="R3727" s="758" t="s">
        <v>280</v>
      </c>
      <c r="S3727" s="748"/>
      <c r="T3727" s="762" t="str">
        <f>IF(COUNTIF(AE3727:AF3727,"VERIFICAR")&gt;0,"VERIFICAR",IF(COUNTIF(AE3727:AF3727,"NO CUMPLE")&gt;0,"NO CUMPLE","CUMPLE"))</f>
        <v>VERIFICAR</v>
      </c>
      <c r="U3727" s="108"/>
      <c r="Y3727" s="533" t="e">
        <f>IF(F3728="","",IF(F3728=1,"INDIVIDUAL","ESTRUCTURA PLURAL"))</f>
        <v>#N/A</v>
      </c>
      <c r="AC3727" s="52"/>
      <c r="AD3727" s="475" t="s">
        <v>303</v>
      </c>
      <c r="AE3727" s="476" t="str">
        <f>IF(COUNTIF(AE3713:AE3722,"")=10,"VERIFICAR",IF(COUNTIF(AE3713:AE3722,"SI")&gt;0,"CUMPLE","NO CUMPLE"))</f>
        <v>VERIFICAR</v>
      </c>
      <c r="AF3727" s="477" t="str">
        <f>IF(COUNTIF(AF3713:AF3722,"")=10,"VERIFICAR",IF(COUNTIF(AF3713:AF3722,"SI")&gt;=$AI$22,"CUMPLE","NO CUMPLE"))</f>
        <v>VERIFICAR</v>
      </c>
      <c r="AG3727" s="52"/>
      <c r="AH3727" s="87"/>
      <c r="AI3727" s="87"/>
    </row>
    <row r="3728" spans="1:35" ht="15.75" hidden="1" customHeight="1" thickBot="1">
      <c r="A3728" s="218" t="e">
        <f>"L"&amp;E3709</f>
        <v>#N/A</v>
      </c>
      <c r="B3728" s="702"/>
      <c r="C3728" s="751" t="s">
        <v>103</v>
      </c>
      <c r="D3728" s="751"/>
      <c r="E3728" s="752"/>
      <c r="F3728" s="557" t="e">
        <f>IF(VLOOKUP(E3709,PROPONENTES!$C$19:$E$218,3,0)="","",VLOOKUP(E3709,PROPONENTES!$C$19:$E$218,3,0))</f>
        <v>#N/A</v>
      </c>
      <c r="G3728" s="753" t="s">
        <v>104</v>
      </c>
      <c r="H3728" s="751"/>
      <c r="I3728" s="715" t="e">
        <f>IF(OR(F3728="",F3728=1),"INTERESADO PERSONA NATURAL O JURIDICA","CONSORCIO O UNION TEMPORAL")</f>
        <v>#N/A</v>
      </c>
      <c r="J3728" s="725"/>
      <c r="K3728" s="728"/>
      <c r="L3728" s="723"/>
      <c r="M3728" s="749"/>
      <c r="N3728" s="749"/>
      <c r="O3728" s="749"/>
      <c r="P3728" s="749"/>
      <c r="Q3728" s="750"/>
      <c r="R3728" s="712"/>
      <c r="S3728" s="750"/>
      <c r="T3728" s="763"/>
      <c r="U3728" s="108"/>
      <c r="Y3728" s="534"/>
      <c r="AA3728" s="52"/>
      <c r="AB3728" s="52"/>
      <c r="AC3728" s="52"/>
      <c r="AG3728" s="52"/>
      <c r="AH3728" s="87"/>
      <c r="AI3728" s="87"/>
    </row>
    <row r="3729" spans="1:35" ht="56.25" hidden="1" customHeight="1" thickBot="1">
      <c r="A3729" s="218" t="e">
        <f>"M"&amp;E3709</f>
        <v>#N/A</v>
      </c>
      <c r="B3729" s="702"/>
      <c r="C3729" s="725" t="s">
        <v>101</v>
      </c>
      <c r="D3729" s="716"/>
      <c r="E3729" s="558" t="s">
        <v>105</v>
      </c>
      <c r="F3729" s="554" t="s">
        <v>87</v>
      </c>
      <c r="G3729" s="553" t="s">
        <v>86</v>
      </c>
      <c r="H3729" s="559" t="s">
        <v>85</v>
      </c>
      <c r="I3729" s="554" t="s">
        <v>252</v>
      </c>
      <c r="J3729" s="553" t="str">
        <f>"¿EL INTEGRANTE TIENE UNA PARTICIPACIÓN DEL "&amp;PORCREQUERIDOINT*100&amp;"%?"</f>
        <v>¿EL INTEGRANTE TIENE UNA PARTICIPACIÓN DEL 60%?</v>
      </c>
      <c r="K3729" s="554" t="s">
        <v>107</v>
      </c>
      <c r="L3729" s="724"/>
      <c r="M3729" s="717" t="s">
        <v>115</v>
      </c>
      <c r="N3729" s="718"/>
      <c r="O3729" s="718"/>
      <c r="P3729" s="718"/>
      <c r="Q3729" s="223">
        <f>IF(AND(H3713="SI",P3713&gt;=0),1,0)+IF(AND(H3714="SI",P3714&gt;=0),1,0)+IF(AND(H3715="SI",P3715&gt;=0),1,0)+IF(AND(H3716="SI",P3716&gt;=0),1,0)+IF(AND(H3717="SI",P3717&gt;=0),1,0)+IF(AND(H3718="SI",P3718&gt;=0),1,0)+IF(AND(H3719="SI",P3719&gt;=0),1,0)+IF(AND(H3720="SI",P3720&gt;=0),1,0)+IF(AND(H3721="SI",P3721&gt;=0),1,0)+IF(AND(H3722="SI",P3722&gt;=0),1,0)</f>
        <v>0</v>
      </c>
      <c r="R3729" s="759"/>
      <c r="S3729" s="761"/>
      <c r="T3729" s="764"/>
      <c r="U3729" s="219"/>
      <c r="V3729" s="464"/>
      <c r="Y3729" s="532" t="s">
        <v>342</v>
      </c>
      <c r="AA3729" s="550" t="s">
        <v>344</v>
      </c>
      <c r="AB3729" s="693" t="s">
        <v>345</v>
      </c>
      <c r="AC3729" s="693" t="s">
        <v>346</v>
      </c>
      <c r="AD3729" s="685" t="s">
        <v>347</v>
      </c>
      <c r="AE3729" s="52"/>
      <c r="AF3729" s="52"/>
      <c r="AG3729" s="52"/>
      <c r="AH3729" s="87"/>
      <c r="AI3729" s="87"/>
    </row>
    <row r="3730" spans="1:35" ht="15.75" hidden="1" customHeight="1" thickBot="1">
      <c r="A3730" s="218" t="e">
        <f>"N"&amp;E3709</f>
        <v>#N/A</v>
      </c>
      <c r="B3730" s="702"/>
      <c r="C3730" s="114">
        <v>1</v>
      </c>
      <c r="D3730" s="194" t="e">
        <f>IF(AND(C3730&lt;=F3728,F3728&gt;1,F3728&lt;&gt;""),VLOOKUP(VALUE(E3709&amp;","&amp;C3730),INTEGRANTES!$D$18:$F$235,2,0),"")</f>
        <v>#N/A</v>
      </c>
      <c r="E3730" s="211" t="e">
        <f>IF(D3730&lt;&gt;"",VLOOKUP(VALUE(E3709&amp;","&amp;C3730),INTEGRANTES!$D$18:$F$235,3,0),"")</f>
        <v>#N/A</v>
      </c>
      <c r="F3730" s="547" t="e">
        <f>IF(D3730="","",SUMIF($I3713:$I3722,D3730,$P3713:$P3722))</f>
        <v>#N/A</v>
      </c>
      <c r="G3730" s="333" t="e">
        <f>IF(D3730="","",SUMIF($I3713:$I3722,D3730,$M3713:$M3722))</f>
        <v>#N/A</v>
      </c>
      <c r="H3730" s="535" t="e">
        <f t="shared" ref="H3730:H3735" si="1100">IF(D3730="","",IF(OR(F3730=0,G3730=0),"NO APORTA",ROUND($F3730/$G3730,3)))</f>
        <v>#N/A</v>
      </c>
      <c r="I3730" s="212" t="e">
        <f>IF(D3730="","",IF(H3730="NO APORTA","NO",IF(H3730=MAX($H3730:$H3735),"SI","NO")))</f>
        <v>#N/A</v>
      </c>
      <c r="J3730" s="213" t="e">
        <f t="shared" ref="J3730:J3735" si="1101">IF(D3730="","",IF(E3730&gt;=PORCREQUERIDOINT,"SI","NO"))</f>
        <v>#N/A</v>
      </c>
      <c r="K3730" s="200" t="e">
        <f t="shared" ref="K3730:K3735" si="1102">IF(D3730="","",IF(AND(I3730="SI",J3730="SI"),"CUMPLE",IF(AND(I3730="NO",OR(J3730="SI",J3730="NO")),"","NO CUMPLE")))</f>
        <v>#N/A</v>
      </c>
      <c r="L3730" s="722" t="s">
        <v>108</v>
      </c>
      <c r="M3730" s="726" t="s">
        <v>119</v>
      </c>
      <c r="N3730" s="726"/>
      <c r="O3730" s="726"/>
      <c r="P3730" s="726"/>
      <c r="Q3730" s="727"/>
      <c r="R3730" s="758" t="s">
        <v>80</v>
      </c>
      <c r="S3730" s="747"/>
      <c r="T3730" s="748"/>
      <c r="U3730" s="219"/>
      <c r="V3730" s="464"/>
      <c r="Y3730" s="533" t="e">
        <f>IF(Y3727="","",IF(Y3727="INDIVIDUAL","NO APLICA","VERIFICAR CUADRO"))</f>
        <v>#N/A</v>
      </c>
      <c r="AA3730" s="551"/>
      <c r="AB3730" s="694"/>
      <c r="AC3730" s="694"/>
      <c r="AD3730" s="686"/>
      <c r="AE3730" s="52"/>
      <c r="AF3730" s="52"/>
      <c r="AG3730" s="52"/>
      <c r="AH3730" s="87"/>
      <c r="AI3730" s="87"/>
    </row>
    <row r="3731" spans="1:35" ht="27" hidden="1" customHeight="1" thickBot="1">
      <c r="A3731" s="218" t="e">
        <f>"O"&amp;E3709</f>
        <v>#N/A</v>
      </c>
      <c r="B3731" s="702"/>
      <c r="C3731" s="114">
        <v>2</v>
      </c>
      <c r="D3731" s="194" t="e">
        <f>IF(AND(C3731&lt;=F3728,F3728&lt;&gt;""),VLOOKUP(VALUE(E3709&amp;","&amp;C3731),INTEGRANTES!$D$18:$F$235,2,0),"")</f>
        <v>#N/A</v>
      </c>
      <c r="E3731" s="211" t="e">
        <f>IF(D3731&lt;&gt;"",VLOOKUP(VALUE(E3709&amp;","&amp;C3731),INTEGRANTES!$D$18:$F$235,3,0),"")</f>
        <v>#N/A</v>
      </c>
      <c r="F3731" s="547" t="e">
        <f>IF(D3731="","",SUMIF($I3713:$I3722,D3731,$P3713:$P3722))</f>
        <v>#N/A</v>
      </c>
      <c r="G3731" s="333" t="e">
        <f>IF(D3731="","",SUMIF($I3713:$I3722,D3731,$M3713:$M3722))</f>
        <v>#N/A</v>
      </c>
      <c r="H3731" s="535" t="e">
        <f t="shared" si="1100"/>
        <v>#N/A</v>
      </c>
      <c r="I3731" s="212" t="e">
        <f>IF(D3731="","",IF(H3731="NO APORTA","NO",IF(H3731=MAX($H3730:$H3735),"SI","NO")))</f>
        <v>#N/A</v>
      </c>
      <c r="J3731" s="213" t="e">
        <f t="shared" si="1101"/>
        <v>#N/A</v>
      </c>
      <c r="K3731" s="200" t="e">
        <f t="shared" si="1102"/>
        <v>#N/A</v>
      </c>
      <c r="L3731" s="723"/>
      <c r="M3731" s="715" t="s">
        <v>116</v>
      </c>
      <c r="N3731" s="716"/>
      <c r="O3731" s="556" t="s">
        <v>113</v>
      </c>
      <c r="P3731" s="715" t="s">
        <v>117</v>
      </c>
      <c r="Q3731" s="728"/>
      <c r="R3731" s="759"/>
      <c r="S3731" s="760"/>
      <c r="T3731" s="761"/>
      <c r="U3731" s="219"/>
      <c r="V3731" s="464"/>
      <c r="Y3731" s="414"/>
      <c r="AA3731" s="542" t="e">
        <f>IF(AND(C3730&lt;=F3728,F3728&gt;1,F3728&lt;&gt;""),VLOOKUP(VALUE(E3709&amp;","&amp;C3730),INTEGRANTES!$D$18:$F$235,2,0),"")</f>
        <v>#N/A</v>
      </c>
      <c r="AB3731" s="544" t="e">
        <f t="shared" ref="AB3731:AB3736" si="1103">IF(D3730="","",IF(OR(F3730=0,G3730=0),"NO APORTA",ROUND($F3730/$G3730,3)))</f>
        <v>#N/A</v>
      </c>
      <c r="AC3731" s="529"/>
      <c r="AD3731" s="200" t="e">
        <f t="shared" ref="AD3731:AD3736" si="1104">IF(OR(AA3731="",AB3731=""),"",IF(AND(AC3731="X",AB3731&gt;=EXPREQVTD),"CUMPLE","NO CUMPLE"))</f>
        <v>#N/A</v>
      </c>
      <c r="AE3731" s="52"/>
      <c r="AF3731" s="52"/>
      <c r="AG3731" s="52"/>
      <c r="AH3731" s="87"/>
      <c r="AI3731" s="87"/>
    </row>
    <row r="3732" spans="1:35" ht="16.5" hidden="1" thickBot="1">
      <c r="A3732" s="218" t="e">
        <f>"P"&amp;E3709</f>
        <v>#N/A</v>
      </c>
      <c r="B3732" s="702"/>
      <c r="C3732" s="114">
        <v>3</v>
      </c>
      <c r="D3732" s="194" t="e">
        <f>IF(AND(C3732&lt;=F3728,F3728&lt;&gt;""),VLOOKUP(VALUE(E3709&amp;","&amp;C3732),INTEGRANTES!$D$18:$F$235,2,0),"")</f>
        <v>#N/A</v>
      </c>
      <c r="E3732" s="211" t="e">
        <f>IF(D3732&lt;&gt;"",VLOOKUP(VALUE(E3709&amp;","&amp;C3732),INTEGRANTES!$D$18:$F$235,3,0),"")</f>
        <v>#N/A</v>
      </c>
      <c r="F3732" s="547" t="e">
        <f>IF(D3732="","",SUMIF($I3713:$I3722,D3732,$P3713:$P3722))</f>
        <v>#N/A</v>
      </c>
      <c r="G3732" s="333" t="e">
        <f>IF(D3732="","",SUMIF($I3713:$I3722,D3732,$M3713:$M3722))</f>
        <v>#N/A</v>
      </c>
      <c r="H3732" s="535" t="e">
        <f t="shared" si="1100"/>
        <v>#N/A</v>
      </c>
      <c r="I3732" s="212" t="e">
        <f>IF(D3732="","",IF(H3732="NO APORTA","NO",IF(H3732=MAX($H3730:$H3735),"SI","NO")))</f>
        <v>#N/A</v>
      </c>
      <c r="J3732" s="213" t="e">
        <f t="shared" si="1101"/>
        <v>#N/A</v>
      </c>
      <c r="K3732" s="200" t="e">
        <f t="shared" si="1102"/>
        <v>#N/A</v>
      </c>
      <c r="L3732" s="724"/>
      <c r="M3732" s="729">
        <f>NUMMOD</f>
        <v>1</v>
      </c>
      <c r="N3732" s="730"/>
      <c r="O3732" s="443">
        <f>IF(M3732="","",VLOOKUP(M3732,PRESUPUESTOS!$B$16:$H$16,5,FALSE))</f>
        <v>2</v>
      </c>
      <c r="P3732" s="713">
        <f>IF(OR(COUNTIF(M3713:M3722,"")&gt;=10,Q3729&lt;NUMMINCONT,OR(T3727="NO CUMPLE",T3727="VERIFICAR")),0,ROUND(AVERAGE(M3713:M3722),3))</f>
        <v>0</v>
      </c>
      <c r="Q3732" s="714"/>
      <c r="R3732" s="458"/>
      <c r="S3732" s="459"/>
      <c r="T3732" s="460"/>
      <c r="U3732" s="219"/>
      <c r="V3732" s="464"/>
      <c r="Y3732" s="532" t="str">
        <f>"40% * ("&amp;PRESUPUESTOS!$H$13&amp;")"</f>
        <v>40% * (50% PFMO)</v>
      </c>
      <c r="AA3732" s="540" t="e">
        <f>IF(AND(C3731&lt;=F3728,F3728&lt;&gt;""),VLOOKUP(VALUE(E3709&amp;","&amp;C3731),INTEGRANTES!$D$18:$F$235,2,0),"")</f>
        <v>#N/A</v>
      </c>
      <c r="AB3732" s="545" t="e">
        <f t="shared" si="1103"/>
        <v>#N/A</v>
      </c>
      <c r="AC3732" s="529"/>
      <c r="AD3732" s="200" t="e">
        <f t="shared" si="1104"/>
        <v>#N/A</v>
      </c>
      <c r="AE3732" s="52"/>
      <c r="AF3732" s="52"/>
      <c r="AG3732" s="52"/>
      <c r="AH3732" s="87"/>
      <c r="AI3732" s="87"/>
    </row>
    <row r="3733" spans="1:35" ht="15.75" hidden="1" customHeight="1" thickBot="1">
      <c r="A3733" s="218" t="e">
        <f>"Q"&amp;E3709</f>
        <v>#N/A</v>
      </c>
      <c r="B3733" s="702"/>
      <c r="C3733" s="114">
        <v>4</v>
      </c>
      <c r="D3733" s="194" t="e">
        <f>IF(AND(C3733&lt;=F3728,F3728&lt;&gt;""),VLOOKUP(VALUE(E3709&amp;","&amp;C3733),INTEGRANTES!$D$18:$F$235,2,0),"")</f>
        <v>#N/A</v>
      </c>
      <c r="E3733" s="211" t="e">
        <f>IF(D3733&lt;&gt;"",VLOOKUP(VALUE(E3709&amp;","&amp;C3733),INTEGRANTES!$D$18:$F$235,3,0),"")</f>
        <v>#N/A</v>
      </c>
      <c r="F3733" s="547" t="e">
        <f>IF(D3733="","",SUMIF($I3713:$I3722,D3733,$P3713:$P3722))</f>
        <v>#N/A</v>
      </c>
      <c r="G3733" s="333" t="e">
        <f>IF(D3733="","",SUMIF($I3713:$I3722,D3733,$M3713:$M3722))</f>
        <v>#N/A</v>
      </c>
      <c r="H3733" s="535" t="e">
        <f t="shared" si="1100"/>
        <v>#N/A</v>
      </c>
      <c r="I3733" s="212" t="e">
        <f>IF(D3733="","",IF(H3733="NO APORTA","NO",IF(H3733=MAX($H3730:$H3735),"SI","NO")))</f>
        <v>#N/A</v>
      </c>
      <c r="J3733" s="213" t="e">
        <f t="shared" si="1101"/>
        <v>#N/A</v>
      </c>
      <c r="K3733" s="200" t="e">
        <f t="shared" si="1102"/>
        <v>#N/A</v>
      </c>
      <c r="L3733" s="720" t="s">
        <v>109</v>
      </c>
      <c r="M3733" s="757" t="s">
        <v>120</v>
      </c>
      <c r="N3733" s="726"/>
      <c r="O3733" s="726"/>
      <c r="P3733" s="726"/>
      <c r="Q3733" s="727"/>
      <c r="R3733" s="458"/>
      <c r="S3733" s="459"/>
      <c r="T3733" s="460"/>
      <c r="U3733" s="219"/>
      <c r="V3733" s="464"/>
      <c r="Y3733" s="537">
        <f>0.4*PRESUPUESTOS!$H$16</f>
        <v>10.3124</v>
      </c>
      <c r="AA3733" s="540" t="e">
        <f>IF(AND(C3732&lt;=F3728,F3728&lt;&gt;""),VLOOKUP(VALUE(E3709&amp;","&amp;C3732),INTEGRANTES!$D$18:$F$235,2,0),"")</f>
        <v>#N/A</v>
      </c>
      <c r="AB3733" s="545" t="e">
        <f t="shared" si="1103"/>
        <v>#N/A</v>
      </c>
      <c r="AC3733" s="529"/>
      <c r="AD3733" s="200" t="e">
        <f t="shared" si="1104"/>
        <v>#N/A</v>
      </c>
      <c r="AE3733" s="52"/>
      <c r="AF3733" s="52"/>
      <c r="AG3733" s="52"/>
      <c r="AH3733" s="87"/>
      <c r="AI3733" s="87"/>
    </row>
    <row r="3734" spans="1:35" ht="27" hidden="1" customHeight="1" thickBot="1">
      <c r="A3734" s="218" t="e">
        <f>"R"&amp;E3709</f>
        <v>#N/A</v>
      </c>
      <c r="B3734" s="702"/>
      <c r="C3734" s="114">
        <v>5</v>
      </c>
      <c r="D3734" s="194" t="e">
        <f>IF(AND(C3734&lt;=F3728,F3728&lt;&gt;""),VLOOKUP(VALUE(E3709&amp;","&amp;C3734),INTEGRANTES!$D$18:$F$235,2,0),"")</f>
        <v>#N/A</v>
      </c>
      <c r="E3734" s="211" t="e">
        <f>IF(D3734&lt;&gt;"",VLOOKUP(VALUE(E3709&amp;","&amp;C3734),INTEGRANTES!$D$18:$F$235,3,0),"")</f>
        <v>#N/A</v>
      </c>
      <c r="F3734" s="547" t="e">
        <f>IF(D3734="","",SUMIF($I3713:$I3722,D3734,$P3713:$P3722))</f>
        <v>#N/A</v>
      </c>
      <c r="G3734" s="333" t="e">
        <f>IF(D3734="","",SUMIF($I3713:$I3722,D3734,$M3713:$M3722))</f>
        <v>#N/A</v>
      </c>
      <c r="H3734" s="535" t="e">
        <f t="shared" si="1100"/>
        <v>#N/A</v>
      </c>
      <c r="I3734" s="212" t="e">
        <f>IF(D3734="","",IF(H3734="NO APORTA","NO",IF(H3734=MAX($H3730:$H3735),"SI","NO")))</f>
        <v>#N/A</v>
      </c>
      <c r="J3734" s="213" t="e">
        <f t="shared" si="1101"/>
        <v>#N/A</v>
      </c>
      <c r="K3734" s="200" t="e">
        <f t="shared" si="1102"/>
        <v>#N/A</v>
      </c>
      <c r="L3734" s="721"/>
      <c r="M3734" s="715" t="s">
        <v>116</v>
      </c>
      <c r="N3734" s="716"/>
      <c r="O3734" s="556" t="str">
        <f>PORCREQUERIDO*100&amp;"% PMFO DEL MÓDULO"</f>
        <v>50% PMFO DEL MÓDULO</v>
      </c>
      <c r="P3734" s="715" t="s">
        <v>118</v>
      </c>
      <c r="Q3734" s="728"/>
      <c r="R3734" s="458"/>
      <c r="S3734" s="459"/>
      <c r="T3734" s="460"/>
      <c r="U3734" s="219"/>
      <c r="V3734" s="464"/>
      <c r="Y3734" s="414"/>
      <c r="AA3734" s="540" t="e">
        <f>IF(AND(C3733&lt;=F3728,F3728&lt;&gt;""),VLOOKUP(VALUE(E3709&amp;","&amp;C3733),INTEGRANTES!$D$18:$F$235,2,0),"")</f>
        <v>#N/A</v>
      </c>
      <c r="AB3734" s="545" t="e">
        <f t="shared" si="1103"/>
        <v>#N/A</v>
      </c>
      <c r="AC3734" s="529"/>
      <c r="AD3734" s="200" t="e">
        <f t="shared" si="1104"/>
        <v>#N/A</v>
      </c>
      <c r="AE3734" s="52"/>
      <c r="AF3734" s="52"/>
      <c r="AG3734" s="52"/>
      <c r="AH3734" s="87"/>
      <c r="AI3734" s="87"/>
    </row>
    <row r="3735" spans="1:35" ht="16.5" hidden="1" thickBot="1">
      <c r="A3735" s="218" t="e">
        <f>"S"&amp;E3709</f>
        <v>#N/A</v>
      </c>
      <c r="B3735" s="702"/>
      <c r="C3735" s="215">
        <v>6</v>
      </c>
      <c r="D3735" s="216" t="e">
        <f>IF(AND(C3735&lt;=F3728,F3728&lt;&gt;""),VLOOKUP(VALUE(E3709&amp;","&amp;C3735),INTEGRANTES!$D$18:$F$235,2,0),"")</f>
        <v>#N/A</v>
      </c>
      <c r="E3735" s="217" t="e">
        <f>IF(D3735&lt;&gt;"",VLOOKUP(VALUE(E3709&amp;","&amp;C3735),INTEGRANTES!$D$18:$F$235,3,0),"")</f>
        <v>#N/A</v>
      </c>
      <c r="F3735" s="548" t="e">
        <f>IF(D3735="","",SUMIF($I3713:$I3722,D3735,$P3713:$P3722))</f>
        <v>#N/A</v>
      </c>
      <c r="G3735" s="334" t="e">
        <f>IF(D3735="","",SUMIF($I3713:$I3722,D3735,$M3713:$M3722))</f>
        <v>#N/A</v>
      </c>
      <c r="H3735" s="536" t="e">
        <f t="shared" si="1100"/>
        <v>#N/A</v>
      </c>
      <c r="I3735" s="214" t="e">
        <f>IF(D3735="","",IF(H3735="NO APORTA","NO",IF(H3735=MAX($H3730:$H3735),"SI","NO")))</f>
        <v>#N/A</v>
      </c>
      <c r="J3735" s="213" t="e">
        <f t="shared" si="1101"/>
        <v>#N/A</v>
      </c>
      <c r="K3735" s="200" t="e">
        <f t="shared" si="1102"/>
        <v>#N/A</v>
      </c>
      <c r="L3735" s="721"/>
      <c r="M3735" s="729">
        <f>NUMMOD</f>
        <v>1</v>
      </c>
      <c r="N3735" s="730"/>
      <c r="O3735" s="443">
        <f>IF(M3735="","",ROUND(VLOOKUP(M3735,PRESUPUESTOS!$B$16:$H$16,7,FALSE),3))</f>
        <v>25.780999999999999</v>
      </c>
      <c r="P3735" s="713">
        <f>IF(OR(COUNTIF(P3713:P3722,"")&gt;=10,Q3729&lt;NUMMINCONT,OR(T3727="NO CUMPLE",T3727="VERIFICAR")),0,ROUND((SUM(P3713:P3722)/SUM(M3713:M3722)),3))</f>
        <v>0</v>
      </c>
      <c r="Q3735" s="714"/>
      <c r="R3735" s="458"/>
      <c r="S3735" s="459"/>
      <c r="T3735" s="460"/>
      <c r="U3735" s="219"/>
      <c r="V3735" s="464"/>
      <c r="Y3735" s="532" t="s">
        <v>343</v>
      </c>
      <c r="AA3735" s="540" t="e">
        <f>IF(AND(C3734&lt;=F3728,F3728&lt;&gt;""),VLOOKUP(VALUE(E3709&amp;","&amp;C3734),INTEGRANTES!$D$18:$F$235,2,0),"")</f>
        <v>#N/A</v>
      </c>
      <c r="AB3735" s="545" t="e">
        <f t="shared" si="1103"/>
        <v>#N/A</v>
      </c>
      <c r="AC3735" s="529"/>
      <c r="AD3735" s="200" t="e">
        <f t="shared" si="1104"/>
        <v>#N/A</v>
      </c>
      <c r="AE3735" s="52"/>
      <c r="AF3735" s="52"/>
      <c r="AG3735" s="52"/>
      <c r="AH3735" s="87"/>
      <c r="AI3735" s="87"/>
    </row>
    <row r="3736" spans="1:35" ht="16.5" hidden="1" customHeight="1" thickBot="1">
      <c r="A3736" s="218" t="e">
        <f>"T"&amp;E3709</f>
        <v>#N/A</v>
      </c>
      <c r="B3736" s="703"/>
      <c r="C3736" s="719"/>
      <c r="D3736" s="719"/>
      <c r="E3736" s="719"/>
      <c r="F3736" s="719"/>
      <c r="G3736" s="719"/>
      <c r="H3736" s="719" t="s">
        <v>110</v>
      </c>
      <c r="I3736" s="719"/>
      <c r="J3736" s="719"/>
      <c r="K3736" s="201" t="str">
        <f>IF(COUNTIF(K3730:K3735,"")=6,"",IF(COUNTIF(K3730:K3735,"CUMPLE")&gt;0,"CUMPLE","NO CUMPLE"))</f>
        <v>NO CUMPLE</v>
      </c>
      <c r="L3736" s="754"/>
      <c r="M3736" s="755"/>
      <c r="N3736" s="755"/>
      <c r="O3736" s="755"/>
      <c r="P3736" s="755"/>
      <c r="Q3736" s="756"/>
      <c r="R3736" s="461"/>
      <c r="S3736" s="462"/>
      <c r="T3736" s="463"/>
      <c r="U3736" s="219"/>
      <c r="V3736" s="464"/>
      <c r="Y3736" s="549" t="e">
        <f>IF(Y3730="NO APLICA","NO APLICA",IF(COUNTIF(AD3731:AD3736,"CUMPLE")&gt;0,"CUMPLE","NO CUMPLE"))</f>
        <v>#N/A</v>
      </c>
      <c r="AA3736" s="541" t="e">
        <f>IF(AND(C3735&lt;=F3728,F3728&lt;&gt;""),VLOOKUP(VALUE(E3709&amp;","&amp;C3735),INTEGRANTES!$D$18:$F$235,2,0),"")</f>
        <v>#N/A</v>
      </c>
      <c r="AB3736" s="546" t="e">
        <f t="shared" si="1103"/>
        <v>#N/A</v>
      </c>
      <c r="AC3736" s="543"/>
      <c r="AD3736" s="201" t="e">
        <f t="shared" si="1104"/>
        <v>#N/A</v>
      </c>
      <c r="AE3736" s="52"/>
      <c r="AF3736" s="52"/>
      <c r="AG3736" s="52"/>
      <c r="AH3736" s="87"/>
      <c r="AI3736" s="87"/>
    </row>
    <row r="3737" spans="1:35" hidden="1">
      <c r="AH3737" s="87"/>
      <c r="AI3737" s="87"/>
    </row>
    <row r="3738" spans="1:35" hidden="1">
      <c r="AH3738" s="87"/>
      <c r="AI3738" s="87"/>
    </row>
    <row r="3739" spans="1:35" ht="24" hidden="1" thickBot="1">
      <c r="A3739" s="61">
        <v>125</v>
      </c>
      <c r="B3739" s="704" t="s">
        <v>51</v>
      </c>
      <c r="C3739" s="704"/>
      <c r="D3739" s="704"/>
      <c r="E3739" s="62" t="e">
        <f>VLOOKUP(A3739,PROPONENTES!$B$19:$E$218,2,FALSE)</f>
        <v>#N/A</v>
      </c>
      <c r="F3739" s="63" t="e">
        <f>VLOOKUP(A3739,PROPONENTES!$B$19:$E$218,3,FALSE)</f>
        <v>#N/A</v>
      </c>
      <c r="G3739" s="64"/>
      <c r="H3739" s="64"/>
      <c r="I3739" s="63"/>
      <c r="J3739" s="63"/>
      <c r="K3739" s="65"/>
      <c r="L3739" s="65"/>
      <c r="M3739" s="64"/>
      <c r="N3739" s="64"/>
      <c r="O3739" s="66"/>
      <c r="P3739" s="66"/>
      <c r="Q3739" s="66"/>
      <c r="R3739" s="66"/>
      <c r="S3739" s="67"/>
      <c r="T3739" s="68"/>
      <c r="U3739" s="68"/>
      <c r="AC3739" s="68"/>
      <c r="AD3739" s="68"/>
      <c r="AE3739" s="68"/>
      <c r="AF3739" s="68"/>
      <c r="AG3739" s="68"/>
      <c r="AH3739" s="87"/>
      <c r="AI3739" s="87"/>
    </row>
    <row r="3740" spans="1:35" ht="15.75" hidden="1" customHeight="1">
      <c r="A3740" s="44"/>
      <c r="B3740" s="709" t="s">
        <v>59</v>
      </c>
      <c r="C3740" s="552" t="s">
        <v>60</v>
      </c>
      <c r="D3740" s="70" t="s">
        <v>17</v>
      </c>
      <c r="E3740" s="70"/>
      <c r="F3740" s="70" t="s">
        <v>61</v>
      </c>
      <c r="G3740" s="71"/>
      <c r="H3740" s="699" t="s">
        <v>62</v>
      </c>
      <c r="I3740" s="699" t="s">
        <v>18</v>
      </c>
      <c r="J3740" s="699" t="s">
        <v>63</v>
      </c>
      <c r="K3740" s="699" t="s">
        <v>64</v>
      </c>
      <c r="L3740" s="699" t="s">
        <v>65</v>
      </c>
      <c r="M3740" s="743" t="s">
        <v>66</v>
      </c>
      <c r="N3740" s="699" t="s">
        <v>282</v>
      </c>
      <c r="O3740" s="745" t="s">
        <v>67</v>
      </c>
      <c r="P3740" s="746"/>
      <c r="Q3740" s="102" t="s">
        <v>75</v>
      </c>
      <c r="R3740" s="731" t="s">
        <v>22</v>
      </c>
      <c r="S3740" s="732"/>
      <c r="T3740" s="733"/>
      <c r="U3740" s="712" t="s">
        <v>298</v>
      </c>
      <c r="W3740" s="690" t="s">
        <v>268</v>
      </c>
      <c r="X3740" s="691"/>
      <c r="Y3740" s="692"/>
      <c r="Z3740" s="428"/>
      <c r="AA3740" s="697" t="s">
        <v>315</v>
      </c>
      <c r="AB3740" s="695" t="s">
        <v>322</v>
      </c>
      <c r="AC3740" s="49"/>
      <c r="AD3740" s="690" t="s">
        <v>297</v>
      </c>
      <c r="AE3740" s="691"/>
      <c r="AF3740" s="692"/>
      <c r="AG3740" s="49"/>
      <c r="AH3740" s="87"/>
      <c r="AI3740" s="87"/>
    </row>
    <row r="3741" spans="1:35" ht="72" hidden="1">
      <c r="A3741" s="44"/>
      <c r="B3741" s="710"/>
      <c r="C3741" s="553" t="s">
        <v>68</v>
      </c>
      <c r="D3741" s="73" t="s">
        <v>3</v>
      </c>
      <c r="E3741" s="73" t="s">
        <v>19</v>
      </c>
      <c r="F3741" s="73" t="s">
        <v>69</v>
      </c>
      <c r="G3741" s="74" t="s">
        <v>70</v>
      </c>
      <c r="H3741" s="700"/>
      <c r="I3741" s="700"/>
      <c r="J3741" s="700"/>
      <c r="K3741" s="700"/>
      <c r="L3741" s="700"/>
      <c r="M3741" s="744"/>
      <c r="N3741" s="700"/>
      <c r="O3741" s="553" t="s">
        <v>279</v>
      </c>
      <c r="P3741" s="73" t="s">
        <v>88</v>
      </c>
      <c r="Q3741" s="555" t="s">
        <v>76</v>
      </c>
      <c r="R3741" s="734"/>
      <c r="S3741" s="735"/>
      <c r="T3741" s="736"/>
      <c r="U3741" s="712"/>
      <c r="W3741" s="429" t="s">
        <v>269</v>
      </c>
      <c r="X3741" s="457" t="s">
        <v>278</v>
      </c>
      <c r="Y3741" s="430" t="s">
        <v>324</v>
      </c>
      <c r="Z3741" s="428"/>
      <c r="AA3741" s="698"/>
      <c r="AB3741" s="696"/>
      <c r="AC3741" s="49"/>
      <c r="AD3741" s="429" t="s">
        <v>292</v>
      </c>
      <c r="AE3741" s="431" t="s">
        <v>300</v>
      </c>
      <c r="AF3741" s="468" t="s">
        <v>301</v>
      </c>
      <c r="AG3741" s="49"/>
      <c r="AH3741" s="87"/>
      <c r="AI3741" s="87"/>
    </row>
    <row r="3742" spans="1:35" hidden="1">
      <c r="A3742" s="44"/>
      <c r="B3742" s="76"/>
      <c r="C3742" s="77"/>
      <c r="D3742" s="77"/>
      <c r="E3742" s="77"/>
      <c r="F3742" s="77"/>
      <c r="G3742" s="77"/>
      <c r="H3742" s="77"/>
      <c r="I3742" s="77"/>
      <c r="J3742" s="77"/>
      <c r="K3742" s="77"/>
      <c r="L3742" s="77"/>
      <c r="M3742" s="77"/>
      <c r="N3742" s="77"/>
      <c r="O3742" s="77"/>
      <c r="P3742" s="77"/>
      <c r="Q3742" s="77"/>
      <c r="R3742" s="77"/>
      <c r="S3742" s="78"/>
      <c r="T3742" s="79"/>
      <c r="U3742" s="109"/>
      <c r="V3742" s="49"/>
      <c r="W3742" s="432"/>
      <c r="X3742" s="454"/>
      <c r="Y3742" s="433"/>
      <c r="Z3742" s="6"/>
      <c r="AA3742" s="500"/>
      <c r="AB3742" s="562"/>
      <c r="AC3742" s="49"/>
      <c r="AD3742" s="210"/>
      <c r="AE3742" s="434"/>
      <c r="AF3742" s="435"/>
      <c r="AG3742" s="49"/>
      <c r="AH3742" s="87"/>
      <c r="AI3742" s="87"/>
    </row>
    <row r="3743" spans="1:35" hidden="1">
      <c r="A3743" s="80" t="e">
        <f>"A"&amp;E3739</f>
        <v>#N/A</v>
      </c>
      <c r="B3743" s="81">
        <v>1</v>
      </c>
      <c r="C3743" s="82"/>
      <c r="D3743" s="82"/>
      <c r="E3743" s="82"/>
      <c r="F3743" s="82"/>
      <c r="G3743" s="83"/>
      <c r="H3743" s="83"/>
      <c r="I3743" s="84"/>
      <c r="J3743" s="85"/>
      <c r="K3743" s="382"/>
      <c r="L3743" s="85"/>
      <c r="M3743" s="332" t="str">
        <f t="shared" ref="M3743:M3752" si="1105">IF(OR(J3743="",L3743="",H3743="NO"),"",IF(OR(J3743&gt;$P$17,J3743&lt;$O$17,L3743&gt;$P$17,AND(J3743&lt;$O$17,L3743&lt;$O$17)),"FUERA DE RANGO",IF(OR(K3743="---",K3743=""),IF(J3743&gt;=$O$17,ROUND((L3743-J3743+1)/360*12,3),ROUND((L3743-$O$17+1)/360*12,3)),IF(J3743&gt;=$O$17,ROUND((L3743-J3743+1)/360*12-ROUND(K3743,3),3),ROUND((L3743-$O$17+1)/360*12-ROUND(K3743,3),3)))))</f>
        <v/>
      </c>
      <c r="N3743" s="86"/>
      <c r="O3743" s="453" t="str">
        <f>IF(OR(G3743="",N3743=""),"",N3743*G3743)</f>
        <v/>
      </c>
      <c r="P3743" s="538" t="str">
        <f>IF(OR(H3743="",M3743="FUERA DE RANGO"),"",IF(OR(L3743&lt;$O$17,L3743&gt;$P$17,L3743="",H3743="NO"),"",IF(OR(N3743="",O3743=""),"",ROUND(O3743,3))))</f>
        <v/>
      </c>
      <c r="Q3743" s="539" t="str">
        <f t="shared" ref="Q3743:Q3752" si="1106">IF(AND(H3743="SI",P3743&lt;&gt;""),ROUND(P3743/M3743,3),"")</f>
        <v/>
      </c>
      <c r="R3743" s="737"/>
      <c r="S3743" s="738"/>
      <c r="T3743" s="739"/>
      <c r="U3743" s="470"/>
      <c r="V3743" s="165"/>
      <c r="W3743" s="446"/>
      <c r="X3743" s="456"/>
      <c r="Y3743" s="436"/>
      <c r="Z3743" s="437"/>
      <c r="AA3743" s="560"/>
      <c r="AB3743" s="561"/>
      <c r="AC3743" s="87"/>
      <c r="AD3743" s="466"/>
      <c r="AE3743" s="456"/>
      <c r="AF3743" s="467"/>
      <c r="AG3743" s="87"/>
      <c r="AH3743" s="87"/>
      <c r="AI3743" s="87"/>
    </row>
    <row r="3744" spans="1:35" hidden="1">
      <c r="A3744" s="80" t="e">
        <f>"B"&amp;E3739</f>
        <v>#N/A</v>
      </c>
      <c r="B3744" s="81">
        <v>2</v>
      </c>
      <c r="C3744" s="106"/>
      <c r="D3744" s="106"/>
      <c r="E3744" s="106"/>
      <c r="F3744" s="106"/>
      <c r="G3744" s="83"/>
      <c r="H3744" s="83"/>
      <c r="I3744" s="84"/>
      <c r="J3744" s="85"/>
      <c r="K3744" s="382"/>
      <c r="L3744" s="85"/>
      <c r="M3744" s="332" t="str">
        <f t="shared" si="1105"/>
        <v/>
      </c>
      <c r="N3744" s="86"/>
      <c r="O3744" s="453" t="str">
        <f t="shared" ref="O3744:O3752" si="1107">IF(OR(G3744="",N3744=""),"",N3744*G3744)</f>
        <v/>
      </c>
      <c r="P3744" s="538" t="str">
        <f t="shared" ref="P3744:P3752" si="1108">IF(OR(H3744="",M3744="FUERA DE RANGO"),"",IF(OR(L3744&lt;$O$17,L3744&gt;$P$17,L3744="",H3744="NO"),"",IF(OR(N3744="",O3744=""),"",ROUND(O3744,3))))</f>
        <v/>
      </c>
      <c r="Q3744" s="539" t="str">
        <f t="shared" si="1106"/>
        <v/>
      </c>
      <c r="R3744" s="740"/>
      <c r="S3744" s="741"/>
      <c r="T3744" s="742"/>
      <c r="U3744" s="471"/>
      <c r="V3744" s="165"/>
      <c r="W3744" s="446"/>
      <c r="X3744" s="456"/>
      <c r="Y3744" s="436"/>
      <c r="Z3744" s="437"/>
      <c r="AA3744" s="560"/>
      <c r="AB3744" s="561"/>
      <c r="AC3744" s="87"/>
      <c r="AD3744" s="466"/>
      <c r="AE3744" s="456"/>
      <c r="AF3744" s="467"/>
      <c r="AG3744" s="87"/>
      <c r="AH3744" s="87"/>
      <c r="AI3744" s="87"/>
    </row>
    <row r="3745" spans="1:35" hidden="1">
      <c r="A3745" s="80" t="e">
        <f>"C"&amp;E3739</f>
        <v>#N/A</v>
      </c>
      <c r="B3745" s="88">
        <v>3</v>
      </c>
      <c r="C3745" s="82"/>
      <c r="D3745" s="82"/>
      <c r="E3745" s="82"/>
      <c r="F3745" s="82"/>
      <c r="G3745" s="83"/>
      <c r="H3745" s="83"/>
      <c r="I3745" s="84"/>
      <c r="J3745" s="85"/>
      <c r="K3745" s="382"/>
      <c r="L3745" s="85"/>
      <c r="M3745" s="332" t="str">
        <f t="shared" si="1105"/>
        <v/>
      </c>
      <c r="N3745" s="86"/>
      <c r="O3745" s="453" t="str">
        <f t="shared" si="1107"/>
        <v/>
      </c>
      <c r="P3745" s="538" t="str">
        <f t="shared" si="1108"/>
        <v/>
      </c>
      <c r="Q3745" s="539" t="str">
        <f t="shared" si="1106"/>
        <v/>
      </c>
      <c r="R3745" s="706"/>
      <c r="S3745" s="707"/>
      <c r="T3745" s="708"/>
      <c r="U3745" s="472"/>
      <c r="V3745" s="166"/>
      <c r="W3745" s="446"/>
      <c r="X3745" s="456"/>
      <c r="Y3745" s="436"/>
      <c r="Z3745" s="437"/>
      <c r="AA3745" s="560"/>
      <c r="AB3745" s="561"/>
      <c r="AC3745" s="87"/>
      <c r="AD3745" s="466"/>
      <c r="AE3745" s="456"/>
      <c r="AF3745" s="467"/>
      <c r="AG3745" s="87"/>
      <c r="AH3745" s="87"/>
      <c r="AI3745" s="87"/>
    </row>
    <row r="3746" spans="1:35" hidden="1">
      <c r="A3746" s="80" t="e">
        <f>"D"&amp;E3739</f>
        <v>#N/A</v>
      </c>
      <c r="B3746" s="105">
        <v>4</v>
      </c>
      <c r="C3746" s="107"/>
      <c r="D3746" s="107"/>
      <c r="E3746" s="107"/>
      <c r="F3746" s="107"/>
      <c r="G3746" s="83"/>
      <c r="H3746" s="83"/>
      <c r="I3746" s="84"/>
      <c r="J3746" s="85"/>
      <c r="K3746" s="382"/>
      <c r="L3746" s="85"/>
      <c r="M3746" s="332" t="str">
        <f t="shared" si="1105"/>
        <v/>
      </c>
      <c r="N3746" s="86"/>
      <c r="O3746" s="453" t="str">
        <f t="shared" si="1107"/>
        <v/>
      </c>
      <c r="P3746" s="538" t="str">
        <f t="shared" si="1108"/>
        <v/>
      </c>
      <c r="Q3746" s="539" t="str">
        <f t="shared" si="1106"/>
        <v/>
      </c>
      <c r="R3746" s="706"/>
      <c r="S3746" s="707"/>
      <c r="T3746" s="708"/>
      <c r="U3746" s="472"/>
      <c r="V3746" s="166"/>
      <c r="W3746" s="446"/>
      <c r="X3746" s="456"/>
      <c r="Y3746" s="436"/>
      <c r="Z3746" s="437"/>
      <c r="AA3746" s="560"/>
      <c r="AB3746" s="561"/>
      <c r="AC3746" s="87"/>
      <c r="AD3746" s="466"/>
      <c r="AE3746" s="456"/>
      <c r="AF3746" s="467"/>
      <c r="AG3746" s="87"/>
      <c r="AH3746" s="87"/>
      <c r="AI3746" s="87"/>
    </row>
    <row r="3747" spans="1:35" hidden="1">
      <c r="A3747" s="80" t="e">
        <f>"E"&amp;E3739</f>
        <v>#N/A</v>
      </c>
      <c r="B3747" s="105">
        <v>5</v>
      </c>
      <c r="C3747" s="107"/>
      <c r="D3747" s="107"/>
      <c r="E3747" s="107"/>
      <c r="F3747" s="107"/>
      <c r="G3747" s="83"/>
      <c r="H3747" s="83"/>
      <c r="I3747" s="84"/>
      <c r="J3747" s="85"/>
      <c r="K3747" s="382"/>
      <c r="L3747" s="85"/>
      <c r="M3747" s="332" t="str">
        <f t="shared" si="1105"/>
        <v/>
      </c>
      <c r="N3747" s="86"/>
      <c r="O3747" s="453" t="str">
        <f t="shared" si="1107"/>
        <v/>
      </c>
      <c r="P3747" s="538" t="str">
        <f t="shared" si="1108"/>
        <v/>
      </c>
      <c r="Q3747" s="539" t="str">
        <f t="shared" si="1106"/>
        <v/>
      </c>
      <c r="R3747" s="706"/>
      <c r="S3747" s="707"/>
      <c r="T3747" s="708"/>
      <c r="U3747" s="472"/>
      <c r="V3747" s="167"/>
      <c r="W3747" s="446"/>
      <c r="X3747" s="456"/>
      <c r="Y3747" s="436"/>
      <c r="Z3747" s="437"/>
      <c r="AA3747" s="560"/>
      <c r="AB3747" s="561"/>
      <c r="AC3747" s="87"/>
      <c r="AD3747" s="466"/>
      <c r="AE3747" s="456"/>
      <c r="AF3747" s="467"/>
      <c r="AG3747" s="87"/>
      <c r="AH3747" s="87"/>
      <c r="AI3747" s="87"/>
    </row>
    <row r="3748" spans="1:35" hidden="1">
      <c r="A3748" s="80" t="e">
        <f>"F"&amp;E3739</f>
        <v>#N/A</v>
      </c>
      <c r="B3748" s="105">
        <v>6</v>
      </c>
      <c r="C3748" s="107"/>
      <c r="D3748" s="107"/>
      <c r="E3748" s="107"/>
      <c r="F3748" s="107"/>
      <c r="G3748" s="83"/>
      <c r="H3748" s="83"/>
      <c r="I3748" s="84"/>
      <c r="J3748" s="85"/>
      <c r="K3748" s="382"/>
      <c r="L3748" s="85"/>
      <c r="M3748" s="332" t="str">
        <f t="shared" si="1105"/>
        <v/>
      </c>
      <c r="N3748" s="86"/>
      <c r="O3748" s="453" t="str">
        <f t="shared" si="1107"/>
        <v/>
      </c>
      <c r="P3748" s="538" t="str">
        <f t="shared" si="1108"/>
        <v/>
      </c>
      <c r="Q3748" s="539" t="str">
        <f t="shared" si="1106"/>
        <v/>
      </c>
      <c r="R3748" s="706"/>
      <c r="S3748" s="707"/>
      <c r="T3748" s="708"/>
      <c r="U3748" s="472"/>
      <c r="V3748" s="167"/>
      <c r="W3748" s="446"/>
      <c r="X3748" s="456"/>
      <c r="Y3748" s="436"/>
      <c r="Z3748" s="437"/>
      <c r="AA3748" s="560"/>
      <c r="AB3748" s="561"/>
      <c r="AC3748" s="87"/>
      <c r="AD3748" s="466"/>
      <c r="AE3748" s="456"/>
      <c r="AF3748" s="467"/>
      <c r="AG3748" s="87"/>
      <c r="AH3748" s="87"/>
      <c r="AI3748" s="87"/>
    </row>
    <row r="3749" spans="1:35" hidden="1">
      <c r="A3749" s="80" t="e">
        <f>"G"&amp;E3739</f>
        <v>#N/A</v>
      </c>
      <c r="B3749" s="105">
        <v>7</v>
      </c>
      <c r="C3749" s="107"/>
      <c r="D3749" s="107"/>
      <c r="E3749" s="107"/>
      <c r="F3749" s="107"/>
      <c r="G3749" s="83"/>
      <c r="H3749" s="83"/>
      <c r="I3749" s="84"/>
      <c r="J3749" s="85"/>
      <c r="K3749" s="382"/>
      <c r="L3749" s="85"/>
      <c r="M3749" s="332" t="str">
        <f t="shared" si="1105"/>
        <v/>
      </c>
      <c r="N3749" s="86"/>
      <c r="O3749" s="86" t="str">
        <f t="shared" si="1107"/>
        <v/>
      </c>
      <c r="P3749" s="538" t="str">
        <f t="shared" si="1108"/>
        <v/>
      </c>
      <c r="Q3749" s="539" t="str">
        <f t="shared" si="1106"/>
        <v/>
      </c>
      <c r="R3749" s="706"/>
      <c r="S3749" s="707"/>
      <c r="T3749" s="708"/>
      <c r="U3749" s="472"/>
      <c r="V3749" s="167"/>
      <c r="W3749" s="446"/>
      <c r="X3749" s="456"/>
      <c r="Y3749" s="436"/>
      <c r="Z3749" s="437"/>
      <c r="AA3749" s="560"/>
      <c r="AB3749" s="561"/>
      <c r="AC3749" s="87"/>
      <c r="AD3749" s="466"/>
      <c r="AE3749" s="456"/>
      <c r="AF3749" s="467"/>
      <c r="AG3749" s="87"/>
      <c r="AH3749" s="87"/>
      <c r="AI3749" s="87"/>
    </row>
    <row r="3750" spans="1:35" hidden="1">
      <c r="A3750" s="80" t="e">
        <f>"H"&amp;E3739</f>
        <v>#N/A</v>
      </c>
      <c r="B3750" s="105">
        <v>8</v>
      </c>
      <c r="C3750" s="107"/>
      <c r="D3750" s="107"/>
      <c r="E3750" s="107"/>
      <c r="F3750" s="107"/>
      <c r="G3750" s="83"/>
      <c r="H3750" s="83"/>
      <c r="I3750" s="84"/>
      <c r="J3750" s="85"/>
      <c r="K3750" s="382"/>
      <c r="L3750" s="85"/>
      <c r="M3750" s="332" t="str">
        <f t="shared" si="1105"/>
        <v/>
      </c>
      <c r="N3750" s="453"/>
      <c r="O3750" s="86" t="str">
        <f t="shared" si="1107"/>
        <v/>
      </c>
      <c r="P3750" s="538" t="str">
        <f t="shared" si="1108"/>
        <v/>
      </c>
      <c r="Q3750" s="539" t="str">
        <f t="shared" si="1106"/>
        <v/>
      </c>
      <c r="R3750" s="706"/>
      <c r="S3750" s="707"/>
      <c r="T3750" s="708"/>
      <c r="U3750" s="472"/>
      <c r="V3750" s="167"/>
      <c r="W3750" s="446"/>
      <c r="X3750" s="456"/>
      <c r="Y3750" s="436"/>
      <c r="Z3750" s="437"/>
      <c r="AA3750" s="560"/>
      <c r="AB3750" s="561"/>
      <c r="AC3750" s="87"/>
      <c r="AD3750" s="466"/>
      <c r="AE3750" s="456"/>
      <c r="AF3750" s="467"/>
      <c r="AG3750" s="87"/>
      <c r="AH3750" s="87"/>
      <c r="AI3750" s="87"/>
    </row>
    <row r="3751" spans="1:35" hidden="1">
      <c r="A3751" s="80" t="e">
        <f>"I"&amp;E3739</f>
        <v>#N/A</v>
      </c>
      <c r="B3751" s="105">
        <v>9</v>
      </c>
      <c r="C3751" s="107"/>
      <c r="D3751" s="107"/>
      <c r="E3751" s="107"/>
      <c r="F3751" s="107"/>
      <c r="G3751" s="83"/>
      <c r="H3751" s="83"/>
      <c r="I3751" s="84"/>
      <c r="J3751" s="85"/>
      <c r="K3751" s="382"/>
      <c r="L3751" s="85"/>
      <c r="M3751" s="332" t="str">
        <f t="shared" si="1105"/>
        <v/>
      </c>
      <c r="N3751" s="453"/>
      <c r="O3751" s="86" t="str">
        <f t="shared" si="1107"/>
        <v/>
      </c>
      <c r="P3751" s="538" t="str">
        <f t="shared" si="1108"/>
        <v/>
      </c>
      <c r="Q3751" s="539" t="str">
        <f t="shared" si="1106"/>
        <v/>
      </c>
      <c r="R3751" s="706"/>
      <c r="S3751" s="707"/>
      <c r="T3751" s="708"/>
      <c r="U3751" s="472"/>
      <c r="V3751" s="167"/>
      <c r="W3751" s="446"/>
      <c r="X3751" s="456"/>
      <c r="Y3751" s="436"/>
      <c r="Z3751" s="437"/>
      <c r="AA3751" s="560"/>
      <c r="AB3751" s="561"/>
      <c r="AC3751" s="87"/>
      <c r="AD3751" s="466"/>
      <c r="AE3751" s="456"/>
      <c r="AF3751" s="467"/>
      <c r="AG3751" s="87"/>
      <c r="AH3751" s="87"/>
      <c r="AI3751" s="87"/>
    </row>
    <row r="3752" spans="1:35" hidden="1">
      <c r="A3752" s="80" t="e">
        <f>"J"&amp;E3739</f>
        <v>#N/A</v>
      </c>
      <c r="B3752" s="105">
        <v>10</v>
      </c>
      <c r="C3752" s="107"/>
      <c r="D3752" s="107"/>
      <c r="E3752" s="107"/>
      <c r="F3752" s="107"/>
      <c r="G3752" s="83"/>
      <c r="H3752" s="83"/>
      <c r="I3752" s="84"/>
      <c r="J3752" s="85"/>
      <c r="K3752" s="382"/>
      <c r="L3752" s="85"/>
      <c r="M3752" s="332" t="str">
        <f t="shared" si="1105"/>
        <v/>
      </c>
      <c r="N3752" s="453"/>
      <c r="O3752" s="86" t="str">
        <f t="shared" si="1107"/>
        <v/>
      </c>
      <c r="P3752" s="538" t="str">
        <f t="shared" si="1108"/>
        <v/>
      </c>
      <c r="Q3752" s="539" t="str">
        <f t="shared" si="1106"/>
        <v/>
      </c>
      <c r="R3752" s="706"/>
      <c r="S3752" s="707"/>
      <c r="T3752" s="708"/>
      <c r="U3752" s="472"/>
      <c r="V3752" s="167"/>
      <c r="W3752" s="446"/>
      <c r="X3752" s="456"/>
      <c r="Y3752" s="436"/>
      <c r="Z3752" s="437"/>
      <c r="AA3752" s="560"/>
      <c r="AB3752" s="561"/>
      <c r="AC3752" s="87"/>
      <c r="AD3752" s="466"/>
      <c r="AE3752" s="456"/>
      <c r="AF3752" s="467"/>
      <c r="AG3752" s="87"/>
      <c r="AH3752" s="87"/>
      <c r="AI3752" s="87"/>
    </row>
    <row r="3753" spans="1:35" ht="16.5" hidden="1" thickBot="1">
      <c r="A3753" s="44"/>
      <c r="B3753" s="89"/>
      <c r="C3753" s="90"/>
      <c r="D3753" s="90"/>
      <c r="E3753" s="90"/>
      <c r="F3753" s="90"/>
      <c r="G3753" s="90"/>
      <c r="H3753" s="90"/>
      <c r="I3753" s="90"/>
      <c r="J3753" s="90"/>
      <c r="K3753" s="90"/>
      <c r="L3753" s="90"/>
      <c r="M3753" s="90"/>
      <c r="N3753" s="90"/>
      <c r="O3753" s="90"/>
      <c r="P3753" s="90"/>
      <c r="Q3753" s="90"/>
      <c r="R3753" s="90"/>
      <c r="S3753" s="91"/>
      <c r="T3753" s="92"/>
      <c r="U3753" s="473"/>
      <c r="W3753" s="438"/>
      <c r="X3753" s="455"/>
      <c r="Y3753" s="439"/>
      <c r="Z3753" s="437"/>
      <c r="AA3753" s="530"/>
      <c r="AB3753" s="563"/>
      <c r="AC3753" s="87"/>
      <c r="AD3753" s="440"/>
      <c r="AE3753" s="441"/>
      <c r="AF3753" s="442"/>
      <c r="AG3753" s="49"/>
      <c r="AH3753" s="87"/>
      <c r="AI3753" s="87"/>
    </row>
    <row r="3754" spans="1:35" ht="16.5" hidden="1" thickBot="1">
      <c r="A3754" s="93"/>
      <c r="B3754" s="94"/>
      <c r="C3754" s="96"/>
      <c r="D3754" s="96"/>
      <c r="E3754" s="96"/>
      <c r="F3754" s="96"/>
      <c r="G3754" s="96"/>
      <c r="H3754" s="96"/>
      <c r="I3754" s="96"/>
      <c r="J3754" s="96"/>
      <c r="K3754" s="96"/>
      <c r="L3754" s="96"/>
      <c r="M3754" s="136"/>
      <c r="N3754" s="96"/>
      <c r="O3754" s="96"/>
      <c r="P3754" s="97"/>
      <c r="Q3754" s="97"/>
      <c r="R3754" s="98"/>
      <c r="S3754" s="95"/>
      <c r="T3754" s="99"/>
      <c r="U3754" s="469"/>
      <c r="AC3754" s="58"/>
      <c r="AG3754" s="58"/>
      <c r="AH3754" s="87"/>
      <c r="AI3754" s="87"/>
    </row>
    <row r="3755" spans="1:35" ht="16.5" hidden="1" thickBot="1">
      <c r="B3755" s="101"/>
      <c r="C3755" s="101"/>
      <c r="D3755" s="101"/>
      <c r="E3755" s="101"/>
      <c r="F3755" s="101"/>
      <c r="G3755" s="101"/>
      <c r="H3755" s="101"/>
      <c r="I3755" s="101"/>
      <c r="J3755" s="101"/>
      <c r="K3755" s="101"/>
      <c r="L3755" s="101"/>
      <c r="M3755" s="101"/>
      <c r="N3755" s="101"/>
      <c r="O3755" s="101"/>
      <c r="P3755" s="101"/>
      <c r="Q3755" s="101"/>
      <c r="R3755" s="101"/>
      <c r="S3755" s="101"/>
      <c r="U3755" s="50"/>
      <c r="AH3755" s="87"/>
      <c r="AI3755" s="87"/>
    </row>
    <row r="3756" spans="1:35" ht="16.5" hidden="1" customHeight="1" thickBot="1">
      <c r="A3756" s="44"/>
      <c r="B3756" s="705" t="s">
        <v>74</v>
      </c>
      <c r="C3756" s="705"/>
      <c r="D3756" s="705"/>
      <c r="E3756" s="705"/>
      <c r="F3756" s="705"/>
      <c r="G3756" s="705"/>
      <c r="H3756" s="705"/>
      <c r="I3756" s="705"/>
      <c r="J3756" s="705"/>
      <c r="K3756" s="705"/>
      <c r="L3756" s="705"/>
      <c r="M3756" s="705"/>
      <c r="N3756" s="705"/>
      <c r="O3756" s="705"/>
      <c r="P3756" s="705"/>
      <c r="Q3756" s="705"/>
      <c r="R3756" s="705"/>
      <c r="S3756" s="705"/>
      <c r="T3756" s="705"/>
      <c r="U3756" s="108"/>
      <c r="Y3756" s="532" t="s">
        <v>341</v>
      </c>
      <c r="AC3756" s="49"/>
      <c r="AD3756" s="687" t="s">
        <v>302</v>
      </c>
      <c r="AE3756" s="688"/>
      <c r="AF3756" s="689"/>
      <c r="AG3756" s="49"/>
      <c r="AH3756" s="87"/>
      <c r="AI3756" s="87"/>
    </row>
    <row r="3757" spans="1:35" ht="16.5" hidden="1" customHeight="1" thickBot="1">
      <c r="A3757" s="218" t="e">
        <f>"K"&amp;E3739</f>
        <v>#N/A</v>
      </c>
      <c r="B3757" s="701" t="s">
        <v>71</v>
      </c>
      <c r="C3757" s="751" t="s">
        <v>102</v>
      </c>
      <c r="D3757" s="751"/>
      <c r="E3757" s="751"/>
      <c r="F3757" s="751"/>
      <c r="G3757" s="751"/>
      <c r="H3757" s="751"/>
      <c r="I3757" s="751"/>
      <c r="J3757" s="751"/>
      <c r="K3757" s="751"/>
      <c r="L3757" s="722" t="s">
        <v>100</v>
      </c>
      <c r="M3757" s="747" t="s">
        <v>114</v>
      </c>
      <c r="N3757" s="747"/>
      <c r="O3757" s="747"/>
      <c r="P3757" s="747"/>
      <c r="Q3757" s="748"/>
      <c r="R3757" s="758" t="s">
        <v>280</v>
      </c>
      <c r="S3757" s="748"/>
      <c r="T3757" s="762" t="str">
        <f>IF(COUNTIF(AE3757:AF3757,"VERIFICAR")&gt;0,"VERIFICAR",IF(COUNTIF(AE3757:AF3757,"NO CUMPLE")&gt;0,"NO CUMPLE","CUMPLE"))</f>
        <v>VERIFICAR</v>
      </c>
      <c r="U3757" s="108"/>
      <c r="Y3757" s="533" t="e">
        <f>IF(F3758="","",IF(F3758=1,"INDIVIDUAL","ESTRUCTURA PLURAL"))</f>
        <v>#N/A</v>
      </c>
      <c r="AC3757" s="52"/>
      <c r="AD3757" s="475" t="s">
        <v>303</v>
      </c>
      <c r="AE3757" s="476" t="str">
        <f>IF(COUNTIF(AE3743:AE3752,"")=10,"VERIFICAR",IF(COUNTIF(AE3743:AE3752,"SI")&gt;0,"CUMPLE","NO CUMPLE"))</f>
        <v>VERIFICAR</v>
      </c>
      <c r="AF3757" s="477" t="str">
        <f>IF(COUNTIF(AF3743:AF3752,"")=10,"VERIFICAR",IF(COUNTIF(AF3743:AF3752,"SI")&gt;=$AI$22,"CUMPLE","NO CUMPLE"))</f>
        <v>VERIFICAR</v>
      </c>
      <c r="AG3757" s="52"/>
      <c r="AH3757" s="87"/>
      <c r="AI3757" s="87"/>
    </row>
    <row r="3758" spans="1:35" ht="15.75" hidden="1" customHeight="1" thickBot="1">
      <c r="A3758" s="218" t="e">
        <f>"L"&amp;E3739</f>
        <v>#N/A</v>
      </c>
      <c r="B3758" s="702"/>
      <c r="C3758" s="751" t="s">
        <v>103</v>
      </c>
      <c r="D3758" s="751"/>
      <c r="E3758" s="752"/>
      <c r="F3758" s="557" t="e">
        <f>IF(VLOOKUP(E3739,PROPONENTES!$C$19:$E$218,3,0)="","",VLOOKUP(E3739,PROPONENTES!$C$19:$E$218,3,0))</f>
        <v>#N/A</v>
      </c>
      <c r="G3758" s="753" t="s">
        <v>104</v>
      </c>
      <c r="H3758" s="751"/>
      <c r="I3758" s="715" t="e">
        <f>IF(OR(F3758="",F3758=1),"INTERESADO PERSONA NATURAL O JURIDICA","CONSORCIO O UNION TEMPORAL")</f>
        <v>#N/A</v>
      </c>
      <c r="J3758" s="725"/>
      <c r="K3758" s="728"/>
      <c r="L3758" s="723"/>
      <c r="M3758" s="749"/>
      <c r="N3758" s="749"/>
      <c r="O3758" s="749"/>
      <c r="P3758" s="749"/>
      <c r="Q3758" s="750"/>
      <c r="R3758" s="712"/>
      <c r="S3758" s="750"/>
      <c r="T3758" s="763"/>
      <c r="U3758" s="108"/>
      <c r="Y3758" s="534"/>
      <c r="AA3758" s="52"/>
      <c r="AB3758" s="52"/>
      <c r="AC3758" s="52"/>
      <c r="AG3758" s="52"/>
      <c r="AH3758" s="87"/>
      <c r="AI3758" s="87"/>
    </row>
    <row r="3759" spans="1:35" ht="56.25" hidden="1" customHeight="1" thickBot="1">
      <c r="A3759" s="218" t="e">
        <f>"M"&amp;E3739</f>
        <v>#N/A</v>
      </c>
      <c r="B3759" s="702"/>
      <c r="C3759" s="725" t="s">
        <v>101</v>
      </c>
      <c r="D3759" s="716"/>
      <c r="E3759" s="558" t="s">
        <v>105</v>
      </c>
      <c r="F3759" s="554" t="s">
        <v>87</v>
      </c>
      <c r="G3759" s="553" t="s">
        <v>86</v>
      </c>
      <c r="H3759" s="559" t="s">
        <v>85</v>
      </c>
      <c r="I3759" s="554" t="s">
        <v>252</v>
      </c>
      <c r="J3759" s="553" t="str">
        <f>"¿EL INTEGRANTE TIENE UNA PARTICIPACIÓN DEL "&amp;PORCREQUERIDOINT*100&amp;"%?"</f>
        <v>¿EL INTEGRANTE TIENE UNA PARTICIPACIÓN DEL 60%?</v>
      </c>
      <c r="K3759" s="554" t="s">
        <v>107</v>
      </c>
      <c r="L3759" s="724"/>
      <c r="M3759" s="717" t="s">
        <v>115</v>
      </c>
      <c r="N3759" s="718"/>
      <c r="O3759" s="718"/>
      <c r="P3759" s="718"/>
      <c r="Q3759" s="223">
        <f>IF(AND(H3743="SI",P3743&gt;=0),1,0)+IF(AND(H3744="SI",P3744&gt;=0),1,0)+IF(AND(H3745="SI",P3745&gt;=0),1,0)+IF(AND(H3746="SI",P3746&gt;=0),1,0)+IF(AND(H3747="SI",P3747&gt;=0),1,0)+IF(AND(H3748="SI",P3748&gt;=0),1,0)+IF(AND(H3749="SI",P3749&gt;=0),1,0)+IF(AND(H3750="SI",P3750&gt;=0),1,0)+IF(AND(H3751="SI",P3751&gt;=0),1,0)+IF(AND(H3752="SI",P3752&gt;=0),1,0)</f>
        <v>0</v>
      </c>
      <c r="R3759" s="759"/>
      <c r="S3759" s="761"/>
      <c r="T3759" s="764"/>
      <c r="U3759" s="219"/>
      <c r="V3759" s="464"/>
      <c r="Y3759" s="532" t="s">
        <v>342</v>
      </c>
      <c r="AA3759" s="550" t="s">
        <v>344</v>
      </c>
      <c r="AB3759" s="693" t="s">
        <v>345</v>
      </c>
      <c r="AC3759" s="693" t="s">
        <v>346</v>
      </c>
      <c r="AD3759" s="685" t="s">
        <v>347</v>
      </c>
      <c r="AE3759" s="52"/>
      <c r="AF3759" s="52"/>
      <c r="AG3759" s="52"/>
      <c r="AH3759" s="87"/>
      <c r="AI3759" s="87"/>
    </row>
    <row r="3760" spans="1:35" ht="15.75" hidden="1" customHeight="1" thickBot="1">
      <c r="A3760" s="218" t="e">
        <f>"N"&amp;E3739</f>
        <v>#N/A</v>
      </c>
      <c r="B3760" s="702"/>
      <c r="C3760" s="114">
        <v>1</v>
      </c>
      <c r="D3760" s="194" t="e">
        <f>IF(AND(C3760&lt;=F3758,F3758&gt;1,F3758&lt;&gt;""),VLOOKUP(VALUE(E3739&amp;","&amp;C3760),INTEGRANTES!$D$18:$F$235,2,0),"")</f>
        <v>#N/A</v>
      </c>
      <c r="E3760" s="211" t="e">
        <f>IF(D3760&lt;&gt;"",VLOOKUP(VALUE(E3739&amp;","&amp;C3760),INTEGRANTES!$D$18:$F$235,3,0),"")</f>
        <v>#N/A</v>
      </c>
      <c r="F3760" s="547" t="e">
        <f>IF(D3760="","",SUMIF($I3743:$I3752,D3760,$P3743:$P3752))</f>
        <v>#N/A</v>
      </c>
      <c r="G3760" s="333" t="e">
        <f>IF(D3760="","",SUMIF($I3743:$I3752,D3760,$M3743:$M3752))</f>
        <v>#N/A</v>
      </c>
      <c r="H3760" s="535" t="e">
        <f t="shared" ref="H3760:H3765" si="1109">IF(D3760="","",IF(OR(F3760=0,G3760=0),"NO APORTA",ROUND($F3760/$G3760,3)))</f>
        <v>#N/A</v>
      </c>
      <c r="I3760" s="212" t="e">
        <f>IF(D3760="","",IF(H3760="NO APORTA","NO",IF(H3760=MAX($H3760:$H3765),"SI","NO")))</f>
        <v>#N/A</v>
      </c>
      <c r="J3760" s="213" t="e">
        <f t="shared" ref="J3760:J3765" si="1110">IF(D3760="","",IF(E3760&gt;=PORCREQUERIDOINT,"SI","NO"))</f>
        <v>#N/A</v>
      </c>
      <c r="K3760" s="200" t="e">
        <f t="shared" ref="K3760:K3765" si="1111">IF(D3760="","",IF(AND(I3760="SI",J3760="SI"),"CUMPLE",IF(AND(I3760="NO",OR(J3760="SI",J3760="NO")),"","NO CUMPLE")))</f>
        <v>#N/A</v>
      </c>
      <c r="L3760" s="722" t="s">
        <v>108</v>
      </c>
      <c r="M3760" s="726" t="s">
        <v>119</v>
      </c>
      <c r="N3760" s="726"/>
      <c r="O3760" s="726"/>
      <c r="P3760" s="726"/>
      <c r="Q3760" s="727"/>
      <c r="R3760" s="758" t="s">
        <v>80</v>
      </c>
      <c r="S3760" s="747"/>
      <c r="T3760" s="748"/>
      <c r="U3760" s="219"/>
      <c r="V3760" s="464"/>
      <c r="Y3760" s="533" t="e">
        <f>IF(Y3757="","",IF(Y3757="INDIVIDUAL","NO APLICA","VERIFICAR CUADRO"))</f>
        <v>#N/A</v>
      </c>
      <c r="AA3760" s="551"/>
      <c r="AB3760" s="694"/>
      <c r="AC3760" s="694"/>
      <c r="AD3760" s="686"/>
      <c r="AE3760" s="52"/>
      <c r="AF3760" s="52"/>
      <c r="AG3760" s="52"/>
      <c r="AH3760" s="87"/>
      <c r="AI3760" s="87"/>
    </row>
    <row r="3761" spans="1:35" ht="27" hidden="1" customHeight="1" thickBot="1">
      <c r="A3761" s="218" t="e">
        <f>"O"&amp;E3739</f>
        <v>#N/A</v>
      </c>
      <c r="B3761" s="702"/>
      <c r="C3761" s="114">
        <v>2</v>
      </c>
      <c r="D3761" s="194" t="e">
        <f>IF(AND(C3761&lt;=F3758,F3758&lt;&gt;""),VLOOKUP(VALUE(E3739&amp;","&amp;C3761),INTEGRANTES!$D$18:$F$235,2,0),"")</f>
        <v>#N/A</v>
      </c>
      <c r="E3761" s="211" t="e">
        <f>IF(D3761&lt;&gt;"",VLOOKUP(VALUE(E3739&amp;","&amp;C3761),INTEGRANTES!$D$18:$F$235,3,0),"")</f>
        <v>#N/A</v>
      </c>
      <c r="F3761" s="547" t="e">
        <f>IF(D3761="","",SUMIF($I3743:$I3752,D3761,$P3743:$P3752))</f>
        <v>#N/A</v>
      </c>
      <c r="G3761" s="333" t="e">
        <f>IF(D3761="","",SUMIF($I3743:$I3752,D3761,$M3743:$M3752))</f>
        <v>#N/A</v>
      </c>
      <c r="H3761" s="535" t="e">
        <f t="shared" si="1109"/>
        <v>#N/A</v>
      </c>
      <c r="I3761" s="212" t="e">
        <f>IF(D3761="","",IF(H3761="NO APORTA","NO",IF(H3761=MAX($H3760:$H3765),"SI","NO")))</f>
        <v>#N/A</v>
      </c>
      <c r="J3761" s="213" t="e">
        <f t="shared" si="1110"/>
        <v>#N/A</v>
      </c>
      <c r="K3761" s="200" t="e">
        <f t="shared" si="1111"/>
        <v>#N/A</v>
      </c>
      <c r="L3761" s="723"/>
      <c r="M3761" s="715" t="s">
        <v>116</v>
      </c>
      <c r="N3761" s="716"/>
      <c r="O3761" s="556" t="s">
        <v>113</v>
      </c>
      <c r="P3761" s="715" t="s">
        <v>117</v>
      </c>
      <c r="Q3761" s="728"/>
      <c r="R3761" s="759"/>
      <c r="S3761" s="760"/>
      <c r="T3761" s="761"/>
      <c r="U3761" s="219"/>
      <c r="V3761" s="464"/>
      <c r="Y3761" s="414"/>
      <c r="AA3761" s="542" t="e">
        <f>IF(AND(C3760&lt;=F3758,F3758&gt;1,F3758&lt;&gt;""),VLOOKUP(VALUE(E3739&amp;","&amp;C3760),INTEGRANTES!$D$18:$F$235,2,0),"")</f>
        <v>#N/A</v>
      </c>
      <c r="AB3761" s="544" t="e">
        <f t="shared" ref="AB3761:AB3766" si="1112">IF(D3760="","",IF(OR(F3760=0,G3760=0),"NO APORTA",ROUND($F3760/$G3760,3)))</f>
        <v>#N/A</v>
      </c>
      <c r="AC3761" s="529"/>
      <c r="AD3761" s="200" t="e">
        <f t="shared" ref="AD3761:AD3766" si="1113">IF(OR(AA3761="",AB3761=""),"",IF(AND(AC3761="X",AB3761&gt;=EXPREQVTD),"CUMPLE","NO CUMPLE"))</f>
        <v>#N/A</v>
      </c>
      <c r="AE3761" s="52"/>
      <c r="AF3761" s="52"/>
      <c r="AG3761" s="52"/>
      <c r="AH3761" s="87"/>
      <c r="AI3761" s="87"/>
    </row>
    <row r="3762" spans="1:35" ht="16.5" hidden="1" thickBot="1">
      <c r="A3762" s="218" t="e">
        <f>"P"&amp;E3739</f>
        <v>#N/A</v>
      </c>
      <c r="B3762" s="702"/>
      <c r="C3762" s="114">
        <v>3</v>
      </c>
      <c r="D3762" s="194" t="e">
        <f>IF(AND(C3762&lt;=F3758,F3758&lt;&gt;""),VLOOKUP(VALUE(E3739&amp;","&amp;C3762),INTEGRANTES!$D$18:$F$235,2,0),"")</f>
        <v>#N/A</v>
      </c>
      <c r="E3762" s="211" t="e">
        <f>IF(D3762&lt;&gt;"",VLOOKUP(VALUE(E3739&amp;","&amp;C3762),INTEGRANTES!$D$18:$F$235,3,0),"")</f>
        <v>#N/A</v>
      </c>
      <c r="F3762" s="547" t="e">
        <f>IF(D3762="","",SUMIF($I3743:$I3752,D3762,$P3743:$P3752))</f>
        <v>#N/A</v>
      </c>
      <c r="G3762" s="333" t="e">
        <f>IF(D3762="","",SUMIF($I3743:$I3752,D3762,$M3743:$M3752))</f>
        <v>#N/A</v>
      </c>
      <c r="H3762" s="535" t="e">
        <f t="shared" si="1109"/>
        <v>#N/A</v>
      </c>
      <c r="I3762" s="212" t="e">
        <f>IF(D3762="","",IF(H3762="NO APORTA","NO",IF(H3762=MAX($H3760:$H3765),"SI","NO")))</f>
        <v>#N/A</v>
      </c>
      <c r="J3762" s="213" t="e">
        <f t="shared" si="1110"/>
        <v>#N/A</v>
      </c>
      <c r="K3762" s="200" t="e">
        <f t="shared" si="1111"/>
        <v>#N/A</v>
      </c>
      <c r="L3762" s="724"/>
      <c r="M3762" s="729">
        <f>NUMMOD</f>
        <v>1</v>
      </c>
      <c r="N3762" s="730"/>
      <c r="O3762" s="443">
        <f>IF(M3762="","",VLOOKUP(M3762,PRESUPUESTOS!$B$16:$H$16,5,FALSE))</f>
        <v>2</v>
      </c>
      <c r="P3762" s="713">
        <f>IF(OR(COUNTIF(M3743:M3752,"")&gt;=10,Q3759&lt;NUMMINCONT,OR(T3757="NO CUMPLE",T3757="VERIFICAR")),0,ROUND(AVERAGE(M3743:M3752),3))</f>
        <v>0</v>
      </c>
      <c r="Q3762" s="714"/>
      <c r="R3762" s="458"/>
      <c r="S3762" s="459"/>
      <c r="T3762" s="460"/>
      <c r="U3762" s="219"/>
      <c r="V3762" s="464"/>
      <c r="Y3762" s="532" t="str">
        <f>"40% * ("&amp;PRESUPUESTOS!$H$13&amp;")"</f>
        <v>40% * (50% PFMO)</v>
      </c>
      <c r="AA3762" s="540" t="e">
        <f>IF(AND(C3761&lt;=F3758,F3758&lt;&gt;""),VLOOKUP(VALUE(E3739&amp;","&amp;C3761),INTEGRANTES!$D$18:$F$235,2,0),"")</f>
        <v>#N/A</v>
      </c>
      <c r="AB3762" s="545" t="e">
        <f t="shared" si="1112"/>
        <v>#N/A</v>
      </c>
      <c r="AC3762" s="529"/>
      <c r="AD3762" s="200" t="e">
        <f t="shared" si="1113"/>
        <v>#N/A</v>
      </c>
      <c r="AE3762" s="52"/>
      <c r="AF3762" s="52"/>
      <c r="AG3762" s="52"/>
      <c r="AH3762" s="87"/>
      <c r="AI3762" s="87"/>
    </row>
    <row r="3763" spans="1:35" ht="15.75" hidden="1" customHeight="1" thickBot="1">
      <c r="A3763" s="218" t="e">
        <f>"Q"&amp;E3739</f>
        <v>#N/A</v>
      </c>
      <c r="B3763" s="702"/>
      <c r="C3763" s="114">
        <v>4</v>
      </c>
      <c r="D3763" s="194" t="e">
        <f>IF(AND(C3763&lt;=F3758,F3758&lt;&gt;""),VLOOKUP(VALUE(E3739&amp;","&amp;C3763),INTEGRANTES!$D$18:$F$235,2,0),"")</f>
        <v>#N/A</v>
      </c>
      <c r="E3763" s="211" t="e">
        <f>IF(D3763&lt;&gt;"",VLOOKUP(VALUE(E3739&amp;","&amp;C3763),INTEGRANTES!$D$18:$F$235,3,0),"")</f>
        <v>#N/A</v>
      </c>
      <c r="F3763" s="547" t="e">
        <f>IF(D3763="","",SUMIF($I3743:$I3752,D3763,$P3743:$P3752))</f>
        <v>#N/A</v>
      </c>
      <c r="G3763" s="333" t="e">
        <f>IF(D3763="","",SUMIF($I3743:$I3752,D3763,$M3743:$M3752))</f>
        <v>#N/A</v>
      </c>
      <c r="H3763" s="535" t="e">
        <f t="shared" si="1109"/>
        <v>#N/A</v>
      </c>
      <c r="I3763" s="212" t="e">
        <f>IF(D3763="","",IF(H3763="NO APORTA","NO",IF(H3763=MAX($H3760:$H3765),"SI","NO")))</f>
        <v>#N/A</v>
      </c>
      <c r="J3763" s="213" t="e">
        <f t="shared" si="1110"/>
        <v>#N/A</v>
      </c>
      <c r="K3763" s="200" t="e">
        <f t="shared" si="1111"/>
        <v>#N/A</v>
      </c>
      <c r="L3763" s="720" t="s">
        <v>109</v>
      </c>
      <c r="M3763" s="757" t="s">
        <v>120</v>
      </c>
      <c r="N3763" s="726"/>
      <c r="O3763" s="726"/>
      <c r="P3763" s="726"/>
      <c r="Q3763" s="727"/>
      <c r="R3763" s="458"/>
      <c r="S3763" s="459"/>
      <c r="T3763" s="460"/>
      <c r="U3763" s="219"/>
      <c r="V3763" s="464"/>
      <c r="Y3763" s="537">
        <f>0.4*PRESUPUESTOS!$H$16</f>
        <v>10.3124</v>
      </c>
      <c r="AA3763" s="540" t="e">
        <f>IF(AND(C3762&lt;=F3758,F3758&lt;&gt;""),VLOOKUP(VALUE(E3739&amp;","&amp;C3762),INTEGRANTES!$D$18:$F$235,2,0),"")</f>
        <v>#N/A</v>
      </c>
      <c r="AB3763" s="545" t="e">
        <f t="shared" si="1112"/>
        <v>#N/A</v>
      </c>
      <c r="AC3763" s="529"/>
      <c r="AD3763" s="200" t="e">
        <f t="shared" si="1113"/>
        <v>#N/A</v>
      </c>
      <c r="AE3763" s="52"/>
      <c r="AF3763" s="52"/>
      <c r="AG3763" s="52"/>
      <c r="AH3763" s="87"/>
      <c r="AI3763" s="87"/>
    </row>
    <row r="3764" spans="1:35" ht="27" hidden="1" customHeight="1" thickBot="1">
      <c r="A3764" s="218" t="e">
        <f>"R"&amp;E3739</f>
        <v>#N/A</v>
      </c>
      <c r="B3764" s="702"/>
      <c r="C3764" s="114">
        <v>5</v>
      </c>
      <c r="D3764" s="194" t="e">
        <f>IF(AND(C3764&lt;=F3758,F3758&lt;&gt;""),VLOOKUP(VALUE(E3739&amp;","&amp;C3764),INTEGRANTES!$D$18:$F$235,2,0),"")</f>
        <v>#N/A</v>
      </c>
      <c r="E3764" s="211" t="e">
        <f>IF(D3764&lt;&gt;"",VLOOKUP(VALUE(E3739&amp;","&amp;C3764),INTEGRANTES!$D$18:$F$235,3,0),"")</f>
        <v>#N/A</v>
      </c>
      <c r="F3764" s="547" t="e">
        <f>IF(D3764="","",SUMIF($I3743:$I3752,D3764,$P3743:$P3752))</f>
        <v>#N/A</v>
      </c>
      <c r="G3764" s="333" t="e">
        <f>IF(D3764="","",SUMIF($I3743:$I3752,D3764,$M3743:$M3752))</f>
        <v>#N/A</v>
      </c>
      <c r="H3764" s="535" t="e">
        <f t="shared" si="1109"/>
        <v>#N/A</v>
      </c>
      <c r="I3764" s="212" t="e">
        <f>IF(D3764="","",IF(H3764="NO APORTA","NO",IF(H3764=MAX($H3760:$H3765),"SI","NO")))</f>
        <v>#N/A</v>
      </c>
      <c r="J3764" s="213" t="e">
        <f t="shared" si="1110"/>
        <v>#N/A</v>
      </c>
      <c r="K3764" s="200" t="e">
        <f t="shared" si="1111"/>
        <v>#N/A</v>
      </c>
      <c r="L3764" s="721"/>
      <c r="M3764" s="715" t="s">
        <v>116</v>
      </c>
      <c r="N3764" s="716"/>
      <c r="O3764" s="556" t="str">
        <f>PORCREQUERIDO*100&amp;"% PMFO DEL MÓDULO"</f>
        <v>50% PMFO DEL MÓDULO</v>
      </c>
      <c r="P3764" s="715" t="s">
        <v>118</v>
      </c>
      <c r="Q3764" s="728"/>
      <c r="R3764" s="458"/>
      <c r="S3764" s="459"/>
      <c r="T3764" s="460"/>
      <c r="U3764" s="219"/>
      <c r="V3764" s="464"/>
      <c r="Y3764" s="414"/>
      <c r="AA3764" s="540" t="e">
        <f>IF(AND(C3763&lt;=F3758,F3758&lt;&gt;""),VLOOKUP(VALUE(E3739&amp;","&amp;C3763),INTEGRANTES!$D$18:$F$235,2,0),"")</f>
        <v>#N/A</v>
      </c>
      <c r="AB3764" s="545" t="e">
        <f t="shared" si="1112"/>
        <v>#N/A</v>
      </c>
      <c r="AC3764" s="529"/>
      <c r="AD3764" s="200" t="e">
        <f t="shared" si="1113"/>
        <v>#N/A</v>
      </c>
      <c r="AE3764" s="52"/>
      <c r="AF3764" s="52"/>
      <c r="AG3764" s="52"/>
      <c r="AH3764" s="87"/>
      <c r="AI3764" s="87"/>
    </row>
    <row r="3765" spans="1:35" ht="16.5" hidden="1" thickBot="1">
      <c r="A3765" s="218" t="e">
        <f>"S"&amp;E3739</f>
        <v>#N/A</v>
      </c>
      <c r="B3765" s="702"/>
      <c r="C3765" s="215">
        <v>6</v>
      </c>
      <c r="D3765" s="216" t="e">
        <f>IF(AND(C3765&lt;=F3758,F3758&lt;&gt;""),VLOOKUP(VALUE(E3739&amp;","&amp;C3765),INTEGRANTES!$D$18:$F$235,2,0),"")</f>
        <v>#N/A</v>
      </c>
      <c r="E3765" s="217" t="e">
        <f>IF(D3765&lt;&gt;"",VLOOKUP(VALUE(E3739&amp;","&amp;C3765),INTEGRANTES!$D$18:$F$235,3,0),"")</f>
        <v>#N/A</v>
      </c>
      <c r="F3765" s="548" t="e">
        <f>IF(D3765="","",SUMIF($I3743:$I3752,D3765,$P3743:$P3752))</f>
        <v>#N/A</v>
      </c>
      <c r="G3765" s="334" t="e">
        <f>IF(D3765="","",SUMIF($I3743:$I3752,D3765,$M3743:$M3752))</f>
        <v>#N/A</v>
      </c>
      <c r="H3765" s="536" t="e">
        <f t="shared" si="1109"/>
        <v>#N/A</v>
      </c>
      <c r="I3765" s="214" t="e">
        <f>IF(D3765="","",IF(H3765="NO APORTA","NO",IF(H3765=MAX($H3760:$H3765),"SI","NO")))</f>
        <v>#N/A</v>
      </c>
      <c r="J3765" s="213" t="e">
        <f t="shared" si="1110"/>
        <v>#N/A</v>
      </c>
      <c r="K3765" s="200" t="e">
        <f t="shared" si="1111"/>
        <v>#N/A</v>
      </c>
      <c r="L3765" s="721"/>
      <c r="M3765" s="729">
        <f>NUMMOD</f>
        <v>1</v>
      </c>
      <c r="N3765" s="730"/>
      <c r="O3765" s="443">
        <f>IF(M3765="","",ROUND(VLOOKUP(M3765,PRESUPUESTOS!$B$16:$H$16,7,FALSE),3))</f>
        <v>25.780999999999999</v>
      </c>
      <c r="P3765" s="713">
        <f>IF(OR(COUNTIF(P3743:P3752,"")&gt;=10,Q3759&lt;NUMMINCONT,OR(T3757="NO CUMPLE",T3757="VERIFICAR")),0,ROUND((SUM(P3743:P3752)/SUM(M3743:M3752)),3))</f>
        <v>0</v>
      </c>
      <c r="Q3765" s="714"/>
      <c r="R3765" s="458"/>
      <c r="S3765" s="459"/>
      <c r="T3765" s="460"/>
      <c r="U3765" s="219"/>
      <c r="V3765" s="464"/>
      <c r="Y3765" s="532" t="s">
        <v>343</v>
      </c>
      <c r="AA3765" s="540" t="e">
        <f>IF(AND(C3764&lt;=F3758,F3758&lt;&gt;""),VLOOKUP(VALUE(E3739&amp;","&amp;C3764),INTEGRANTES!$D$18:$F$235,2,0),"")</f>
        <v>#N/A</v>
      </c>
      <c r="AB3765" s="545" t="e">
        <f t="shared" si="1112"/>
        <v>#N/A</v>
      </c>
      <c r="AC3765" s="529"/>
      <c r="AD3765" s="200" t="e">
        <f t="shared" si="1113"/>
        <v>#N/A</v>
      </c>
      <c r="AE3765" s="52"/>
      <c r="AF3765" s="52"/>
      <c r="AG3765" s="52"/>
      <c r="AH3765" s="87"/>
      <c r="AI3765" s="87"/>
    </row>
    <row r="3766" spans="1:35" ht="16.5" hidden="1" customHeight="1" thickBot="1">
      <c r="A3766" s="218" t="e">
        <f>"T"&amp;E3739</f>
        <v>#N/A</v>
      </c>
      <c r="B3766" s="703"/>
      <c r="C3766" s="719"/>
      <c r="D3766" s="719"/>
      <c r="E3766" s="719"/>
      <c r="F3766" s="719"/>
      <c r="G3766" s="719"/>
      <c r="H3766" s="719" t="s">
        <v>110</v>
      </c>
      <c r="I3766" s="719"/>
      <c r="J3766" s="719"/>
      <c r="K3766" s="201" t="str">
        <f>IF(COUNTIF(K3760:K3765,"")=6,"",IF(COUNTIF(K3760:K3765,"CUMPLE")&gt;0,"CUMPLE","NO CUMPLE"))</f>
        <v>NO CUMPLE</v>
      </c>
      <c r="L3766" s="754"/>
      <c r="M3766" s="755"/>
      <c r="N3766" s="755"/>
      <c r="O3766" s="755"/>
      <c r="P3766" s="755"/>
      <c r="Q3766" s="756"/>
      <c r="R3766" s="461"/>
      <c r="S3766" s="462"/>
      <c r="T3766" s="463"/>
      <c r="U3766" s="219"/>
      <c r="V3766" s="464"/>
      <c r="Y3766" s="549" t="e">
        <f>IF(Y3760="NO APLICA","NO APLICA",IF(COUNTIF(AD3761:AD3766,"CUMPLE")&gt;0,"CUMPLE","NO CUMPLE"))</f>
        <v>#N/A</v>
      </c>
      <c r="AA3766" s="541" t="e">
        <f>IF(AND(C3765&lt;=F3758,F3758&lt;&gt;""),VLOOKUP(VALUE(E3739&amp;","&amp;C3765),INTEGRANTES!$D$18:$F$235,2,0),"")</f>
        <v>#N/A</v>
      </c>
      <c r="AB3766" s="546" t="e">
        <f t="shared" si="1112"/>
        <v>#N/A</v>
      </c>
      <c r="AC3766" s="543"/>
      <c r="AD3766" s="201" t="e">
        <f t="shared" si="1113"/>
        <v>#N/A</v>
      </c>
      <c r="AE3766" s="52"/>
      <c r="AF3766" s="52"/>
      <c r="AG3766" s="52"/>
      <c r="AH3766" s="87"/>
      <c r="AI3766" s="87"/>
    </row>
    <row r="3767" spans="1:35" hidden="1">
      <c r="AH3767" s="87"/>
      <c r="AI3767" s="87"/>
    </row>
    <row r="3768" spans="1:35" hidden="1">
      <c r="AH3768" s="87"/>
      <c r="AI3768" s="87"/>
    </row>
    <row r="3769" spans="1:35" ht="24" hidden="1" thickBot="1">
      <c r="A3769" s="61">
        <v>126</v>
      </c>
      <c r="B3769" s="704" t="s">
        <v>51</v>
      </c>
      <c r="C3769" s="704"/>
      <c r="D3769" s="704"/>
      <c r="E3769" s="62" t="e">
        <f>VLOOKUP(A3769,PROPONENTES!$B$19:$E$218,2,FALSE)</f>
        <v>#N/A</v>
      </c>
      <c r="F3769" s="63" t="e">
        <f>VLOOKUP(A3769,PROPONENTES!$B$19:$E$218,3,FALSE)</f>
        <v>#N/A</v>
      </c>
      <c r="G3769" s="64"/>
      <c r="H3769" s="64"/>
      <c r="I3769" s="63"/>
      <c r="J3769" s="63"/>
      <c r="K3769" s="65"/>
      <c r="L3769" s="65"/>
      <c r="M3769" s="64"/>
      <c r="N3769" s="64"/>
      <c r="O3769" s="66"/>
      <c r="P3769" s="66"/>
      <c r="Q3769" s="66"/>
      <c r="R3769" s="66"/>
      <c r="S3769" s="67"/>
      <c r="T3769" s="68"/>
      <c r="U3769" s="68"/>
      <c r="AC3769" s="68"/>
      <c r="AD3769" s="68"/>
      <c r="AE3769" s="68"/>
      <c r="AF3769" s="68"/>
      <c r="AG3769" s="68"/>
      <c r="AH3769" s="87"/>
      <c r="AI3769" s="87"/>
    </row>
    <row r="3770" spans="1:35" ht="15.75" hidden="1" customHeight="1">
      <c r="A3770" s="44"/>
      <c r="B3770" s="709" t="s">
        <v>59</v>
      </c>
      <c r="C3770" s="552" t="s">
        <v>60</v>
      </c>
      <c r="D3770" s="70" t="s">
        <v>17</v>
      </c>
      <c r="E3770" s="70"/>
      <c r="F3770" s="70" t="s">
        <v>61</v>
      </c>
      <c r="G3770" s="71"/>
      <c r="H3770" s="699" t="s">
        <v>62</v>
      </c>
      <c r="I3770" s="699" t="s">
        <v>18</v>
      </c>
      <c r="J3770" s="699" t="s">
        <v>63</v>
      </c>
      <c r="K3770" s="699" t="s">
        <v>64</v>
      </c>
      <c r="L3770" s="699" t="s">
        <v>65</v>
      </c>
      <c r="M3770" s="743" t="s">
        <v>66</v>
      </c>
      <c r="N3770" s="699" t="s">
        <v>282</v>
      </c>
      <c r="O3770" s="745" t="s">
        <v>67</v>
      </c>
      <c r="P3770" s="746"/>
      <c r="Q3770" s="102" t="s">
        <v>75</v>
      </c>
      <c r="R3770" s="731" t="s">
        <v>22</v>
      </c>
      <c r="S3770" s="732"/>
      <c r="T3770" s="733"/>
      <c r="U3770" s="712" t="s">
        <v>298</v>
      </c>
      <c r="W3770" s="690" t="s">
        <v>268</v>
      </c>
      <c r="X3770" s="691"/>
      <c r="Y3770" s="692"/>
      <c r="Z3770" s="428"/>
      <c r="AA3770" s="697" t="s">
        <v>315</v>
      </c>
      <c r="AB3770" s="695" t="s">
        <v>322</v>
      </c>
      <c r="AC3770" s="49"/>
      <c r="AD3770" s="690" t="s">
        <v>297</v>
      </c>
      <c r="AE3770" s="691"/>
      <c r="AF3770" s="692"/>
      <c r="AG3770" s="49"/>
      <c r="AH3770" s="87"/>
      <c r="AI3770" s="87"/>
    </row>
    <row r="3771" spans="1:35" ht="72" hidden="1">
      <c r="A3771" s="44"/>
      <c r="B3771" s="710"/>
      <c r="C3771" s="553" t="s">
        <v>68</v>
      </c>
      <c r="D3771" s="73" t="s">
        <v>3</v>
      </c>
      <c r="E3771" s="73" t="s">
        <v>19</v>
      </c>
      <c r="F3771" s="73" t="s">
        <v>69</v>
      </c>
      <c r="G3771" s="74" t="s">
        <v>70</v>
      </c>
      <c r="H3771" s="700"/>
      <c r="I3771" s="700"/>
      <c r="J3771" s="700"/>
      <c r="K3771" s="700"/>
      <c r="L3771" s="700"/>
      <c r="M3771" s="744"/>
      <c r="N3771" s="700"/>
      <c r="O3771" s="553" t="s">
        <v>279</v>
      </c>
      <c r="P3771" s="73" t="s">
        <v>88</v>
      </c>
      <c r="Q3771" s="555" t="s">
        <v>76</v>
      </c>
      <c r="R3771" s="734"/>
      <c r="S3771" s="735"/>
      <c r="T3771" s="736"/>
      <c r="U3771" s="712"/>
      <c r="W3771" s="429" t="s">
        <v>269</v>
      </c>
      <c r="X3771" s="457" t="s">
        <v>278</v>
      </c>
      <c r="Y3771" s="430" t="s">
        <v>324</v>
      </c>
      <c r="Z3771" s="428"/>
      <c r="AA3771" s="698"/>
      <c r="AB3771" s="696"/>
      <c r="AC3771" s="49"/>
      <c r="AD3771" s="429" t="s">
        <v>292</v>
      </c>
      <c r="AE3771" s="431" t="s">
        <v>300</v>
      </c>
      <c r="AF3771" s="468" t="s">
        <v>301</v>
      </c>
      <c r="AG3771" s="49"/>
      <c r="AH3771" s="87"/>
      <c r="AI3771" s="87"/>
    </row>
    <row r="3772" spans="1:35" hidden="1">
      <c r="A3772" s="44"/>
      <c r="B3772" s="76"/>
      <c r="C3772" s="77"/>
      <c r="D3772" s="77"/>
      <c r="E3772" s="77"/>
      <c r="F3772" s="77"/>
      <c r="G3772" s="77"/>
      <c r="H3772" s="77"/>
      <c r="I3772" s="77"/>
      <c r="J3772" s="77"/>
      <c r="K3772" s="77"/>
      <c r="L3772" s="77"/>
      <c r="M3772" s="77"/>
      <c r="N3772" s="77"/>
      <c r="O3772" s="77"/>
      <c r="P3772" s="77"/>
      <c r="Q3772" s="77"/>
      <c r="R3772" s="77"/>
      <c r="S3772" s="78"/>
      <c r="T3772" s="79"/>
      <c r="U3772" s="109"/>
      <c r="V3772" s="49"/>
      <c r="W3772" s="432"/>
      <c r="X3772" s="454"/>
      <c r="Y3772" s="433"/>
      <c r="Z3772" s="6"/>
      <c r="AA3772" s="500"/>
      <c r="AB3772" s="562"/>
      <c r="AC3772" s="49"/>
      <c r="AD3772" s="210"/>
      <c r="AE3772" s="434"/>
      <c r="AF3772" s="435"/>
      <c r="AG3772" s="49"/>
      <c r="AH3772" s="87"/>
      <c r="AI3772" s="87"/>
    </row>
    <row r="3773" spans="1:35" hidden="1">
      <c r="A3773" s="80" t="e">
        <f>"A"&amp;E3769</f>
        <v>#N/A</v>
      </c>
      <c r="B3773" s="81">
        <v>1</v>
      </c>
      <c r="C3773" s="82"/>
      <c r="D3773" s="82"/>
      <c r="E3773" s="82"/>
      <c r="F3773" s="82"/>
      <c r="G3773" s="83"/>
      <c r="H3773" s="83"/>
      <c r="I3773" s="84"/>
      <c r="J3773" s="85"/>
      <c r="K3773" s="382"/>
      <c r="L3773" s="85"/>
      <c r="M3773" s="332" t="str">
        <f t="shared" ref="M3773:M3782" si="1114">IF(OR(J3773="",L3773="",H3773="NO"),"",IF(OR(J3773&gt;$P$17,J3773&lt;$O$17,L3773&gt;$P$17,AND(J3773&lt;$O$17,L3773&lt;$O$17)),"FUERA DE RANGO",IF(OR(K3773="---",K3773=""),IF(J3773&gt;=$O$17,ROUND((L3773-J3773+1)/360*12,3),ROUND((L3773-$O$17+1)/360*12,3)),IF(J3773&gt;=$O$17,ROUND((L3773-J3773+1)/360*12-ROUND(K3773,3),3),ROUND((L3773-$O$17+1)/360*12-ROUND(K3773,3),3)))))</f>
        <v/>
      </c>
      <c r="N3773" s="86"/>
      <c r="O3773" s="453" t="str">
        <f>IF(OR(G3773="",N3773=""),"",N3773*G3773)</f>
        <v/>
      </c>
      <c r="P3773" s="538" t="str">
        <f>IF(OR(H3773="",M3773="FUERA DE RANGO"),"",IF(OR(L3773&lt;$O$17,L3773&gt;$P$17,L3773="",H3773="NO"),"",IF(OR(N3773="",O3773=""),"",ROUND(O3773,3))))</f>
        <v/>
      </c>
      <c r="Q3773" s="539" t="str">
        <f t="shared" ref="Q3773:Q3782" si="1115">IF(AND(H3773="SI",P3773&lt;&gt;""),ROUND(P3773/M3773,3),"")</f>
        <v/>
      </c>
      <c r="R3773" s="737"/>
      <c r="S3773" s="738"/>
      <c r="T3773" s="739"/>
      <c r="U3773" s="470"/>
      <c r="V3773" s="165"/>
      <c r="W3773" s="446"/>
      <c r="X3773" s="456"/>
      <c r="Y3773" s="436"/>
      <c r="Z3773" s="437"/>
      <c r="AA3773" s="560"/>
      <c r="AB3773" s="561"/>
      <c r="AC3773" s="87"/>
      <c r="AD3773" s="466"/>
      <c r="AE3773" s="456"/>
      <c r="AF3773" s="467"/>
      <c r="AG3773" s="87"/>
      <c r="AH3773" s="87"/>
      <c r="AI3773" s="87"/>
    </row>
    <row r="3774" spans="1:35" hidden="1">
      <c r="A3774" s="80" t="e">
        <f>"B"&amp;E3769</f>
        <v>#N/A</v>
      </c>
      <c r="B3774" s="81">
        <v>2</v>
      </c>
      <c r="C3774" s="106"/>
      <c r="D3774" s="106"/>
      <c r="E3774" s="106"/>
      <c r="F3774" s="106"/>
      <c r="G3774" s="83"/>
      <c r="H3774" s="83"/>
      <c r="I3774" s="84"/>
      <c r="J3774" s="85"/>
      <c r="K3774" s="382"/>
      <c r="L3774" s="85"/>
      <c r="M3774" s="332" t="str">
        <f t="shared" si="1114"/>
        <v/>
      </c>
      <c r="N3774" s="86"/>
      <c r="O3774" s="453" t="str">
        <f t="shared" ref="O3774:O3782" si="1116">IF(OR(G3774="",N3774=""),"",N3774*G3774)</f>
        <v/>
      </c>
      <c r="P3774" s="538" t="str">
        <f t="shared" ref="P3774:P3782" si="1117">IF(OR(H3774="",M3774="FUERA DE RANGO"),"",IF(OR(L3774&lt;$O$17,L3774&gt;$P$17,L3774="",H3774="NO"),"",IF(OR(N3774="",O3774=""),"",ROUND(O3774,3))))</f>
        <v/>
      </c>
      <c r="Q3774" s="539" t="str">
        <f t="shared" si="1115"/>
        <v/>
      </c>
      <c r="R3774" s="740"/>
      <c r="S3774" s="741"/>
      <c r="T3774" s="742"/>
      <c r="U3774" s="471"/>
      <c r="V3774" s="165"/>
      <c r="W3774" s="446"/>
      <c r="X3774" s="456"/>
      <c r="Y3774" s="436"/>
      <c r="Z3774" s="437"/>
      <c r="AA3774" s="560"/>
      <c r="AB3774" s="561"/>
      <c r="AC3774" s="87"/>
      <c r="AD3774" s="466"/>
      <c r="AE3774" s="456"/>
      <c r="AF3774" s="467"/>
      <c r="AG3774" s="87"/>
      <c r="AH3774" s="87"/>
      <c r="AI3774" s="87"/>
    </row>
    <row r="3775" spans="1:35" hidden="1">
      <c r="A3775" s="80" t="e">
        <f>"C"&amp;E3769</f>
        <v>#N/A</v>
      </c>
      <c r="B3775" s="88">
        <v>3</v>
      </c>
      <c r="C3775" s="82"/>
      <c r="D3775" s="82"/>
      <c r="E3775" s="82"/>
      <c r="F3775" s="82"/>
      <c r="G3775" s="83"/>
      <c r="H3775" s="83"/>
      <c r="I3775" s="84"/>
      <c r="J3775" s="85"/>
      <c r="K3775" s="382"/>
      <c r="L3775" s="85"/>
      <c r="M3775" s="332" t="str">
        <f t="shared" si="1114"/>
        <v/>
      </c>
      <c r="N3775" s="86"/>
      <c r="O3775" s="453" t="str">
        <f t="shared" si="1116"/>
        <v/>
      </c>
      <c r="P3775" s="538" t="str">
        <f t="shared" si="1117"/>
        <v/>
      </c>
      <c r="Q3775" s="539" t="str">
        <f t="shared" si="1115"/>
        <v/>
      </c>
      <c r="R3775" s="706"/>
      <c r="S3775" s="707"/>
      <c r="T3775" s="708"/>
      <c r="U3775" s="472"/>
      <c r="V3775" s="166"/>
      <c r="W3775" s="446"/>
      <c r="X3775" s="456"/>
      <c r="Y3775" s="436"/>
      <c r="Z3775" s="437"/>
      <c r="AA3775" s="560"/>
      <c r="AB3775" s="561"/>
      <c r="AC3775" s="87"/>
      <c r="AD3775" s="466"/>
      <c r="AE3775" s="456"/>
      <c r="AF3775" s="467"/>
      <c r="AG3775" s="87"/>
      <c r="AH3775" s="87"/>
      <c r="AI3775" s="87"/>
    </row>
    <row r="3776" spans="1:35" hidden="1">
      <c r="A3776" s="80" t="e">
        <f>"D"&amp;E3769</f>
        <v>#N/A</v>
      </c>
      <c r="B3776" s="105">
        <v>4</v>
      </c>
      <c r="C3776" s="107"/>
      <c r="D3776" s="107"/>
      <c r="E3776" s="107"/>
      <c r="F3776" s="107"/>
      <c r="G3776" s="83"/>
      <c r="H3776" s="83"/>
      <c r="I3776" s="84"/>
      <c r="J3776" s="85"/>
      <c r="K3776" s="382"/>
      <c r="L3776" s="85"/>
      <c r="M3776" s="332" t="str">
        <f t="shared" si="1114"/>
        <v/>
      </c>
      <c r="N3776" s="86"/>
      <c r="O3776" s="453" t="str">
        <f t="shared" si="1116"/>
        <v/>
      </c>
      <c r="P3776" s="538" t="str">
        <f t="shared" si="1117"/>
        <v/>
      </c>
      <c r="Q3776" s="539" t="str">
        <f t="shared" si="1115"/>
        <v/>
      </c>
      <c r="R3776" s="706"/>
      <c r="S3776" s="707"/>
      <c r="T3776" s="708"/>
      <c r="U3776" s="472"/>
      <c r="V3776" s="166"/>
      <c r="W3776" s="446"/>
      <c r="X3776" s="456"/>
      <c r="Y3776" s="436"/>
      <c r="Z3776" s="437"/>
      <c r="AA3776" s="560"/>
      <c r="AB3776" s="561"/>
      <c r="AC3776" s="87"/>
      <c r="AD3776" s="466"/>
      <c r="AE3776" s="456"/>
      <c r="AF3776" s="467"/>
      <c r="AG3776" s="87"/>
      <c r="AH3776" s="87"/>
      <c r="AI3776" s="87"/>
    </row>
    <row r="3777" spans="1:35" hidden="1">
      <c r="A3777" s="80" t="e">
        <f>"E"&amp;E3769</f>
        <v>#N/A</v>
      </c>
      <c r="B3777" s="105">
        <v>5</v>
      </c>
      <c r="C3777" s="107"/>
      <c r="D3777" s="107"/>
      <c r="E3777" s="107"/>
      <c r="F3777" s="107"/>
      <c r="G3777" s="83"/>
      <c r="H3777" s="83"/>
      <c r="I3777" s="84"/>
      <c r="J3777" s="85"/>
      <c r="K3777" s="382"/>
      <c r="L3777" s="85"/>
      <c r="M3777" s="332" t="str">
        <f t="shared" si="1114"/>
        <v/>
      </c>
      <c r="N3777" s="86"/>
      <c r="O3777" s="453" t="str">
        <f t="shared" si="1116"/>
        <v/>
      </c>
      <c r="P3777" s="538" t="str">
        <f t="shared" si="1117"/>
        <v/>
      </c>
      <c r="Q3777" s="539" t="str">
        <f t="shared" si="1115"/>
        <v/>
      </c>
      <c r="R3777" s="706"/>
      <c r="S3777" s="707"/>
      <c r="T3777" s="708"/>
      <c r="U3777" s="472"/>
      <c r="V3777" s="167"/>
      <c r="W3777" s="446"/>
      <c r="X3777" s="456"/>
      <c r="Y3777" s="436"/>
      <c r="Z3777" s="437"/>
      <c r="AA3777" s="560"/>
      <c r="AB3777" s="561"/>
      <c r="AC3777" s="87"/>
      <c r="AD3777" s="466"/>
      <c r="AE3777" s="456"/>
      <c r="AF3777" s="467"/>
      <c r="AG3777" s="87"/>
      <c r="AH3777" s="87"/>
      <c r="AI3777" s="87"/>
    </row>
    <row r="3778" spans="1:35" hidden="1">
      <c r="A3778" s="80" t="e">
        <f>"F"&amp;E3769</f>
        <v>#N/A</v>
      </c>
      <c r="B3778" s="105">
        <v>6</v>
      </c>
      <c r="C3778" s="107"/>
      <c r="D3778" s="107"/>
      <c r="E3778" s="107"/>
      <c r="F3778" s="107"/>
      <c r="G3778" s="83"/>
      <c r="H3778" s="83"/>
      <c r="I3778" s="84"/>
      <c r="J3778" s="85"/>
      <c r="K3778" s="382"/>
      <c r="L3778" s="85"/>
      <c r="M3778" s="332" t="str">
        <f t="shared" si="1114"/>
        <v/>
      </c>
      <c r="N3778" s="86"/>
      <c r="O3778" s="453" t="str">
        <f t="shared" si="1116"/>
        <v/>
      </c>
      <c r="P3778" s="538" t="str">
        <f t="shared" si="1117"/>
        <v/>
      </c>
      <c r="Q3778" s="539" t="str">
        <f t="shared" si="1115"/>
        <v/>
      </c>
      <c r="R3778" s="706"/>
      <c r="S3778" s="707"/>
      <c r="T3778" s="708"/>
      <c r="U3778" s="472"/>
      <c r="V3778" s="167"/>
      <c r="W3778" s="446"/>
      <c r="X3778" s="456"/>
      <c r="Y3778" s="436"/>
      <c r="Z3778" s="437"/>
      <c r="AA3778" s="560"/>
      <c r="AB3778" s="561"/>
      <c r="AC3778" s="87"/>
      <c r="AD3778" s="466"/>
      <c r="AE3778" s="456"/>
      <c r="AF3778" s="467"/>
      <c r="AG3778" s="87"/>
      <c r="AH3778" s="87"/>
      <c r="AI3778" s="87"/>
    </row>
    <row r="3779" spans="1:35" hidden="1">
      <c r="A3779" s="80" t="e">
        <f>"G"&amp;E3769</f>
        <v>#N/A</v>
      </c>
      <c r="B3779" s="105">
        <v>7</v>
      </c>
      <c r="C3779" s="107"/>
      <c r="D3779" s="107"/>
      <c r="E3779" s="107"/>
      <c r="F3779" s="107"/>
      <c r="G3779" s="83"/>
      <c r="H3779" s="83"/>
      <c r="I3779" s="84"/>
      <c r="J3779" s="85"/>
      <c r="K3779" s="382"/>
      <c r="L3779" s="85"/>
      <c r="M3779" s="332" t="str">
        <f t="shared" si="1114"/>
        <v/>
      </c>
      <c r="N3779" s="86"/>
      <c r="O3779" s="86" t="str">
        <f t="shared" si="1116"/>
        <v/>
      </c>
      <c r="P3779" s="538" t="str">
        <f t="shared" si="1117"/>
        <v/>
      </c>
      <c r="Q3779" s="539" t="str">
        <f t="shared" si="1115"/>
        <v/>
      </c>
      <c r="R3779" s="706"/>
      <c r="S3779" s="707"/>
      <c r="T3779" s="708"/>
      <c r="U3779" s="472"/>
      <c r="V3779" s="167"/>
      <c r="W3779" s="446"/>
      <c r="X3779" s="456"/>
      <c r="Y3779" s="436"/>
      <c r="Z3779" s="437"/>
      <c r="AA3779" s="560"/>
      <c r="AB3779" s="561"/>
      <c r="AC3779" s="87"/>
      <c r="AD3779" s="466"/>
      <c r="AE3779" s="456"/>
      <c r="AF3779" s="467"/>
      <c r="AG3779" s="87"/>
      <c r="AH3779" s="87"/>
      <c r="AI3779" s="87"/>
    </row>
    <row r="3780" spans="1:35" hidden="1">
      <c r="A3780" s="80" t="e">
        <f>"H"&amp;E3769</f>
        <v>#N/A</v>
      </c>
      <c r="B3780" s="105">
        <v>8</v>
      </c>
      <c r="C3780" s="107"/>
      <c r="D3780" s="107"/>
      <c r="E3780" s="107"/>
      <c r="F3780" s="107"/>
      <c r="G3780" s="83"/>
      <c r="H3780" s="83"/>
      <c r="I3780" s="84"/>
      <c r="J3780" s="85"/>
      <c r="K3780" s="382"/>
      <c r="L3780" s="85"/>
      <c r="M3780" s="332" t="str">
        <f t="shared" si="1114"/>
        <v/>
      </c>
      <c r="N3780" s="453"/>
      <c r="O3780" s="86" t="str">
        <f t="shared" si="1116"/>
        <v/>
      </c>
      <c r="P3780" s="538" t="str">
        <f t="shared" si="1117"/>
        <v/>
      </c>
      <c r="Q3780" s="539" t="str">
        <f t="shared" si="1115"/>
        <v/>
      </c>
      <c r="R3780" s="706"/>
      <c r="S3780" s="707"/>
      <c r="T3780" s="708"/>
      <c r="U3780" s="472"/>
      <c r="V3780" s="167"/>
      <c r="W3780" s="446"/>
      <c r="X3780" s="456"/>
      <c r="Y3780" s="436"/>
      <c r="Z3780" s="437"/>
      <c r="AA3780" s="560"/>
      <c r="AB3780" s="561"/>
      <c r="AC3780" s="87"/>
      <c r="AD3780" s="466"/>
      <c r="AE3780" s="456"/>
      <c r="AF3780" s="467"/>
      <c r="AG3780" s="87"/>
      <c r="AH3780" s="87"/>
      <c r="AI3780" s="87"/>
    </row>
    <row r="3781" spans="1:35" hidden="1">
      <c r="A3781" s="80" t="e">
        <f>"I"&amp;E3769</f>
        <v>#N/A</v>
      </c>
      <c r="B3781" s="105">
        <v>9</v>
      </c>
      <c r="C3781" s="107"/>
      <c r="D3781" s="107"/>
      <c r="E3781" s="107"/>
      <c r="F3781" s="107"/>
      <c r="G3781" s="83"/>
      <c r="H3781" s="83"/>
      <c r="I3781" s="84"/>
      <c r="J3781" s="85"/>
      <c r="K3781" s="382"/>
      <c r="L3781" s="85"/>
      <c r="M3781" s="332" t="str">
        <f t="shared" si="1114"/>
        <v/>
      </c>
      <c r="N3781" s="453"/>
      <c r="O3781" s="86" t="str">
        <f t="shared" si="1116"/>
        <v/>
      </c>
      <c r="P3781" s="538" t="str">
        <f t="shared" si="1117"/>
        <v/>
      </c>
      <c r="Q3781" s="539" t="str">
        <f t="shared" si="1115"/>
        <v/>
      </c>
      <c r="R3781" s="706"/>
      <c r="S3781" s="707"/>
      <c r="T3781" s="708"/>
      <c r="U3781" s="472"/>
      <c r="V3781" s="167"/>
      <c r="W3781" s="446"/>
      <c r="X3781" s="456"/>
      <c r="Y3781" s="436"/>
      <c r="Z3781" s="437"/>
      <c r="AA3781" s="560"/>
      <c r="AB3781" s="561"/>
      <c r="AC3781" s="87"/>
      <c r="AD3781" s="466"/>
      <c r="AE3781" s="456"/>
      <c r="AF3781" s="467"/>
      <c r="AG3781" s="87"/>
      <c r="AH3781" s="87"/>
      <c r="AI3781" s="87"/>
    </row>
    <row r="3782" spans="1:35" hidden="1">
      <c r="A3782" s="80" t="e">
        <f>"J"&amp;E3769</f>
        <v>#N/A</v>
      </c>
      <c r="B3782" s="105">
        <v>10</v>
      </c>
      <c r="C3782" s="107"/>
      <c r="D3782" s="107"/>
      <c r="E3782" s="107"/>
      <c r="F3782" s="107"/>
      <c r="G3782" s="83"/>
      <c r="H3782" s="83"/>
      <c r="I3782" s="84"/>
      <c r="J3782" s="85"/>
      <c r="K3782" s="382"/>
      <c r="L3782" s="85"/>
      <c r="M3782" s="332" t="str">
        <f t="shared" si="1114"/>
        <v/>
      </c>
      <c r="N3782" s="453"/>
      <c r="O3782" s="86" t="str">
        <f t="shared" si="1116"/>
        <v/>
      </c>
      <c r="P3782" s="538" t="str">
        <f t="shared" si="1117"/>
        <v/>
      </c>
      <c r="Q3782" s="539" t="str">
        <f t="shared" si="1115"/>
        <v/>
      </c>
      <c r="R3782" s="706"/>
      <c r="S3782" s="707"/>
      <c r="T3782" s="708"/>
      <c r="U3782" s="472"/>
      <c r="V3782" s="167"/>
      <c r="W3782" s="446"/>
      <c r="X3782" s="456"/>
      <c r="Y3782" s="436"/>
      <c r="Z3782" s="437"/>
      <c r="AA3782" s="560"/>
      <c r="AB3782" s="561"/>
      <c r="AC3782" s="87"/>
      <c r="AD3782" s="466"/>
      <c r="AE3782" s="456"/>
      <c r="AF3782" s="467"/>
      <c r="AG3782" s="87"/>
      <c r="AH3782" s="87"/>
      <c r="AI3782" s="87"/>
    </row>
    <row r="3783" spans="1:35" ht="16.5" hidden="1" thickBot="1">
      <c r="A3783" s="44"/>
      <c r="B3783" s="89"/>
      <c r="C3783" s="90"/>
      <c r="D3783" s="90"/>
      <c r="E3783" s="90"/>
      <c r="F3783" s="90"/>
      <c r="G3783" s="90"/>
      <c r="H3783" s="90"/>
      <c r="I3783" s="90"/>
      <c r="J3783" s="90"/>
      <c r="K3783" s="90"/>
      <c r="L3783" s="90"/>
      <c r="M3783" s="90"/>
      <c r="N3783" s="90"/>
      <c r="O3783" s="90"/>
      <c r="P3783" s="90"/>
      <c r="Q3783" s="90"/>
      <c r="R3783" s="90"/>
      <c r="S3783" s="91"/>
      <c r="T3783" s="92"/>
      <c r="U3783" s="473"/>
      <c r="W3783" s="438"/>
      <c r="X3783" s="455"/>
      <c r="Y3783" s="439"/>
      <c r="Z3783" s="437"/>
      <c r="AA3783" s="530"/>
      <c r="AB3783" s="563"/>
      <c r="AC3783" s="87"/>
      <c r="AD3783" s="440"/>
      <c r="AE3783" s="441"/>
      <c r="AF3783" s="442"/>
      <c r="AG3783" s="49"/>
      <c r="AH3783" s="87"/>
      <c r="AI3783" s="87"/>
    </row>
    <row r="3784" spans="1:35" ht="16.5" hidden="1" thickBot="1">
      <c r="A3784" s="93"/>
      <c r="B3784" s="94"/>
      <c r="C3784" s="96"/>
      <c r="D3784" s="96"/>
      <c r="E3784" s="96"/>
      <c r="F3784" s="96"/>
      <c r="G3784" s="96"/>
      <c r="H3784" s="96"/>
      <c r="I3784" s="96"/>
      <c r="J3784" s="96"/>
      <c r="K3784" s="96"/>
      <c r="L3784" s="96"/>
      <c r="M3784" s="136"/>
      <c r="N3784" s="96"/>
      <c r="O3784" s="96"/>
      <c r="P3784" s="97"/>
      <c r="Q3784" s="97"/>
      <c r="R3784" s="98"/>
      <c r="S3784" s="95"/>
      <c r="T3784" s="99"/>
      <c r="U3784" s="469"/>
      <c r="AC3784" s="58"/>
      <c r="AG3784" s="58"/>
      <c r="AH3784" s="87"/>
      <c r="AI3784" s="87"/>
    </row>
    <row r="3785" spans="1:35" ht="16.5" hidden="1" thickBot="1">
      <c r="B3785" s="101"/>
      <c r="C3785" s="101"/>
      <c r="D3785" s="101"/>
      <c r="E3785" s="101"/>
      <c r="F3785" s="101"/>
      <c r="G3785" s="101"/>
      <c r="H3785" s="101"/>
      <c r="I3785" s="101"/>
      <c r="J3785" s="101"/>
      <c r="K3785" s="101"/>
      <c r="L3785" s="101"/>
      <c r="M3785" s="101"/>
      <c r="N3785" s="101"/>
      <c r="O3785" s="101"/>
      <c r="P3785" s="101"/>
      <c r="Q3785" s="101"/>
      <c r="R3785" s="101"/>
      <c r="S3785" s="101"/>
      <c r="U3785" s="50"/>
      <c r="AH3785" s="87"/>
      <c r="AI3785" s="87"/>
    </row>
    <row r="3786" spans="1:35" ht="16.5" hidden="1" customHeight="1" thickBot="1">
      <c r="A3786" s="44"/>
      <c r="B3786" s="705" t="s">
        <v>74</v>
      </c>
      <c r="C3786" s="705"/>
      <c r="D3786" s="705"/>
      <c r="E3786" s="705"/>
      <c r="F3786" s="705"/>
      <c r="G3786" s="705"/>
      <c r="H3786" s="705"/>
      <c r="I3786" s="705"/>
      <c r="J3786" s="705"/>
      <c r="K3786" s="705"/>
      <c r="L3786" s="705"/>
      <c r="M3786" s="705"/>
      <c r="N3786" s="705"/>
      <c r="O3786" s="705"/>
      <c r="P3786" s="705"/>
      <c r="Q3786" s="705"/>
      <c r="R3786" s="705"/>
      <c r="S3786" s="705"/>
      <c r="T3786" s="705"/>
      <c r="U3786" s="108"/>
      <c r="Y3786" s="532" t="s">
        <v>341</v>
      </c>
      <c r="AC3786" s="49"/>
      <c r="AD3786" s="687" t="s">
        <v>302</v>
      </c>
      <c r="AE3786" s="688"/>
      <c r="AF3786" s="689"/>
      <c r="AG3786" s="49"/>
      <c r="AH3786" s="87"/>
      <c r="AI3786" s="87"/>
    </row>
    <row r="3787" spans="1:35" ht="16.5" hidden="1" customHeight="1" thickBot="1">
      <c r="A3787" s="218" t="e">
        <f>"K"&amp;E3769</f>
        <v>#N/A</v>
      </c>
      <c r="B3787" s="701" t="s">
        <v>71</v>
      </c>
      <c r="C3787" s="751" t="s">
        <v>102</v>
      </c>
      <c r="D3787" s="751"/>
      <c r="E3787" s="751"/>
      <c r="F3787" s="751"/>
      <c r="G3787" s="751"/>
      <c r="H3787" s="751"/>
      <c r="I3787" s="751"/>
      <c r="J3787" s="751"/>
      <c r="K3787" s="751"/>
      <c r="L3787" s="722" t="s">
        <v>100</v>
      </c>
      <c r="M3787" s="747" t="s">
        <v>114</v>
      </c>
      <c r="N3787" s="747"/>
      <c r="O3787" s="747"/>
      <c r="P3787" s="747"/>
      <c r="Q3787" s="748"/>
      <c r="R3787" s="758" t="s">
        <v>280</v>
      </c>
      <c r="S3787" s="748"/>
      <c r="T3787" s="762" t="str">
        <f>IF(COUNTIF(AE3787:AF3787,"VERIFICAR")&gt;0,"VERIFICAR",IF(COUNTIF(AE3787:AF3787,"NO CUMPLE")&gt;0,"NO CUMPLE","CUMPLE"))</f>
        <v>VERIFICAR</v>
      </c>
      <c r="U3787" s="108"/>
      <c r="Y3787" s="533" t="e">
        <f>IF(F3788="","",IF(F3788=1,"INDIVIDUAL","ESTRUCTURA PLURAL"))</f>
        <v>#N/A</v>
      </c>
      <c r="AC3787" s="52"/>
      <c r="AD3787" s="475" t="s">
        <v>303</v>
      </c>
      <c r="AE3787" s="476" t="str">
        <f>IF(COUNTIF(AE3773:AE3782,"")=10,"VERIFICAR",IF(COUNTIF(AE3773:AE3782,"SI")&gt;0,"CUMPLE","NO CUMPLE"))</f>
        <v>VERIFICAR</v>
      </c>
      <c r="AF3787" s="477" t="str">
        <f>IF(COUNTIF(AF3773:AF3782,"")=10,"VERIFICAR",IF(COUNTIF(AF3773:AF3782,"SI")&gt;=$AI$22,"CUMPLE","NO CUMPLE"))</f>
        <v>VERIFICAR</v>
      </c>
      <c r="AG3787" s="52"/>
      <c r="AH3787" s="87"/>
      <c r="AI3787" s="87"/>
    </row>
    <row r="3788" spans="1:35" ht="15.75" hidden="1" customHeight="1" thickBot="1">
      <c r="A3788" s="218" t="e">
        <f>"L"&amp;E3769</f>
        <v>#N/A</v>
      </c>
      <c r="B3788" s="702"/>
      <c r="C3788" s="751" t="s">
        <v>103</v>
      </c>
      <c r="D3788" s="751"/>
      <c r="E3788" s="752"/>
      <c r="F3788" s="557" t="e">
        <f>IF(VLOOKUP(E3769,PROPONENTES!$C$19:$E$218,3,0)="","",VLOOKUP(E3769,PROPONENTES!$C$19:$E$218,3,0))</f>
        <v>#N/A</v>
      </c>
      <c r="G3788" s="753" t="s">
        <v>104</v>
      </c>
      <c r="H3788" s="751"/>
      <c r="I3788" s="715" t="e">
        <f>IF(OR(F3788="",F3788=1),"INTERESADO PERSONA NATURAL O JURIDICA","CONSORCIO O UNION TEMPORAL")</f>
        <v>#N/A</v>
      </c>
      <c r="J3788" s="725"/>
      <c r="K3788" s="728"/>
      <c r="L3788" s="723"/>
      <c r="M3788" s="749"/>
      <c r="N3788" s="749"/>
      <c r="O3788" s="749"/>
      <c r="P3788" s="749"/>
      <c r="Q3788" s="750"/>
      <c r="R3788" s="712"/>
      <c r="S3788" s="750"/>
      <c r="T3788" s="763"/>
      <c r="U3788" s="108"/>
      <c r="Y3788" s="534"/>
      <c r="AA3788" s="52"/>
      <c r="AB3788" s="52"/>
      <c r="AC3788" s="52"/>
      <c r="AG3788" s="52"/>
      <c r="AH3788" s="87"/>
      <c r="AI3788" s="87"/>
    </row>
    <row r="3789" spans="1:35" ht="56.25" hidden="1" customHeight="1" thickBot="1">
      <c r="A3789" s="218" t="e">
        <f>"M"&amp;E3769</f>
        <v>#N/A</v>
      </c>
      <c r="B3789" s="702"/>
      <c r="C3789" s="725" t="s">
        <v>101</v>
      </c>
      <c r="D3789" s="716"/>
      <c r="E3789" s="558" t="s">
        <v>105</v>
      </c>
      <c r="F3789" s="554" t="s">
        <v>87</v>
      </c>
      <c r="G3789" s="553" t="s">
        <v>86</v>
      </c>
      <c r="H3789" s="559" t="s">
        <v>85</v>
      </c>
      <c r="I3789" s="554" t="s">
        <v>252</v>
      </c>
      <c r="J3789" s="553" t="str">
        <f>"¿EL INTEGRANTE TIENE UNA PARTICIPACIÓN DEL "&amp;PORCREQUERIDOINT*100&amp;"%?"</f>
        <v>¿EL INTEGRANTE TIENE UNA PARTICIPACIÓN DEL 60%?</v>
      </c>
      <c r="K3789" s="554" t="s">
        <v>107</v>
      </c>
      <c r="L3789" s="724"/>
      <c r="M3789" s="717" t="s">
        <v>115</v>
      </c>
      <c r="N3789" s="718"/>
      <c r="O3789" s="718"/>
      <c r="P3789" s="718"/>
      <c r="Q3789" s="223">
        <f>IF(AND(H3773="SI",P3773&gt;=0),1,0)+IF(AND(H3774="SI",P3774&gt;=0),1,0)+IF(AND(H3775="SI",P3775&gt;=0),1,0)+IF(AND(H3776="SI",P3776&gt;=0),1,0)+IF(AND(H3777="SI",P3777&gt;=0),1,0)+IF(AND(H3778="SI",P3778&gt;=0),1,0)+IF(AND(H3779="SI",P3779&gt;=0),1,0)+IF(AND(H3780="SI",P3780&gt;=0),1,0)+IF(AND(H3781="SI",P3781&gt;=0),1,0)+IF(AND(H3782="SI",P3782&gt;=0),1,0)</f>
        <v>0</v>
      </c>
      <c r="R3789" s="759"/>
      <c r="S3789" s="761"/>
      <c r="T3789" s="764"/>
      <c r="U3789" s="219"/>
      <c r="V3789" s="464"/>
      <c r="Y3789" s="532" t="s">
        <v>342</v>
      </c>
      <c r="AA3789" s="550" t="s">
        <v>344</v>
      </c>
      <c r="AB3789" s="693" t="s">
        <v>345</v>
      </c>
      <c r="AC3789" s="693" t="s">
        <v>346</v>
      </c>
      <c r="AD3789" s="685" t="s">
        <v>347</v>
      </c>
      <c r="AE3789" s="52"/>
      <c r="AF3789" s="52"/>
      <c r="AG3789" s="52"/>
      <c r="AH3789" s="87"/>
      <c r="AI3789" s="87"/>
    </row>
    <row r="3790" spans="1:35" ht="15.75" hidden="1" customHeight="1" thickBot="1">
      <c r="A3790" s="218" t="e">
        <f>"N"&amp;E3769</f>
        <v>#N/A</v>
      </c>
      <c r="B3790" s="702"/>
      <c r="C3790" s="114">
        <v>1</v>
      </c>
      <c r="D3790" s="194" t="e">
        <f>IF(AND(C3790&lt;=F3788,F3788&gt;1,F3788&lt;&gt;""),VLOOKUP(VALUE(E3769&amp;","&amp;C3790),INTEGRANTES!$D$18:$F$235,2,0),"")</f>
        <v>#N/A</v>
      </c>
      <c r="E3790" s="211" t="e">
        <f>IF(D3790&lt;&gt;"",VLOOKUP(VALUE(E3769&amp;","&amp;C3790),INTEGRANTES!$D$18:$F$235,3,0),"")</f>
        <v>#N/A</v>
      </c>
      <c r="F3790" s="547" t="e">
        <f>IF(D3790="","",SUMIF($I3773:$I3782,D3790,$P3773:$P3782))</f>
        <v>#N/A</v>
      </c>
      <c r="G3790" s="333" t="e">
        <f>IF(D3790="","",SUMIF($I3773:$I3782,D3790,$M3773:$M3782))</f>
        <v>#N/A</v>
      </c>
      <c r="H3790" s="535" t="e">
        <f t="shared" ref="H3790:H3795" si="1118">IF(D3790="","",IF(OR(F3790=0,G3790=0),"NO APORTA",ROUND($F3790/$G3790,3)))</f>
        <v>#N/A</v>
      </c>
      <c r="I3790" s="212" t="e">
        <f>IF(D3790="","",IF(H3790="NO APORTA","NO",IF(H3790=MAX($H3790:$H3795),"SI","NO")))</f>
        <v>#N/A</v>
      </c>
      <c r="J3790" s="213" t="e">
        <f t="shared" ref="J3790:J3795" si="1119">IF(D3790="","",IF(E3790&gt;=PORCREQUERIDOINT,"SI","NO"))</f>
        <v>#N/A</v>
      </c>
      <c r="K3790" s="200" t="e">
        <f t="shared" ref="K3790:K3795" si="1120">IF(D3790="","",IF(AND(I3790="SI",J3790="SI"),"CUMPLE",IF(AND(I3790="NO",OR(J3790="SI",J3790="NO")),"","NO CUMPLE")))</f>
        <v>#N/A</v>
      </c>
      <c r="L3790" s="722" t="s">
        <v>108</v>
      </c>
      <c r="M3790" s="726" t="s">
        <v>119</v>
      </c>
      <c r="N3790" s="726"/>
      <c r="O3790" s="726"/>
      <c r="P3790" s="726"/>
      <c r="Q3790" s="727"/>
      <c r="R3790" s="758" t="s">
        <v>80</v>
      </c>
      <c r="S3790" s="747"/>
      <c r="T3790" s="748"/>
      <c r="U3790" s="219"/>
      <c r="V3790" s="464"/>
      <c r="Y3790" s="533" t="e">
        <f>IF(Y3787="","",IF(Y3787="INDIVIDUAL","NO APLICA","VERIFICAR CUADRO"))</f>
        <v>#N/A</v>
      </c>
      <c r="AA3790" s="551"/>
      <c r="AB3790" s="694"/>
      <c r="AC3790" s="694"/>
      <c r="AD3790" s="686"/>
      <c r="AE3790" s="52"/>
      <c r="AF3790" s="52"/>
      <c r="AG3790" s="52"/>
      <c r="AH3790" s="87"/>
      <c r="AI3790" s="87"/>
    </row>
    <row r="3791" spans="1:35" ht="27" hidden="1" customHeight="1" thickBot="1">
      <c r="A3791" s="218" t="e">
        <f>"O"&amp;E3769</f>
        <v>#N/A</v>
      </c>
      <c r="B3791" s="702"/>
      <c r="C3791" s="114">
        <v>2</v>
      </c>
      <c r="D3791" s="194" t="e">
        <f>IF(AND(C3791&lt;=F3788,F3788&lt;&gt;""),VLOOKUP(VALUE(E3769&amp;","&amp;C3791),INTEGRANTES!$D$18:$F$235,2,0),"")</f>
        <v>#N/A</v>
      </c>
      <c r="E3791" s="211" t="e">
        <f>IF(D3791&lt;&gt;"",VLOOKUP(VALUE(E3769&amp;","&amp;C3791),INTEGRANTES!$D$18:$F$235,3,0),"")</f>
        <v>#N/A</v>
      </c>
      <c r="F3791" s="547" t="e">
        <f>IF(D3791="","",SUMIF($I3773:$I3782,D3791,$P3773:$P3782))</f>
        <v>#N/A</v>
      </c>
      <c r="G3791" s="333" t="e">
        <f>IF(D3791="","",SUMIF($I3773:$I3782,D3791,$M3773:$M3782))</f>
        <v>#N/A</v>
      </c>
      <c r="H3791" s="535" t="e">
        <f t="shared" si="1118"/>
        <v>#N/A</v>
      </c>
      <c r="I3791" s="212" t="e">
        <f>IF(D3791="","",IF(H3791="NO APORTA","NO",IF(H3791=MAX($H3790:$H3795),"SI","NO")))</f>
        <v>#N/A</v>
      </c>
      <c r="J3791" s="213" t="e">
        <f t="shared" si="1119"/>
        <v>#N/A</v>
      </c>
      <c r="K3791" s="200" t="e">
        <f t="shared" si="1120"/>
        <v>#N/A</v>
      </c>
      <c r="L3791" s="723"/>
      <c r="M3791" s="715" t="s">
        <v>116</v>
      </c>
      <c r="N3791" s="716"/>
      <c r="O3791" s="556" t="s">
        <v>113</v>
      </c>
      <c r="P3791" s="715" t="s">
        <v>117</v>
      </c>
      <c r="Q3791" s="728"/>
      <c r="R3791" s="759"/>
      <c r="S3791" s="760"/>
      <c r="T3791" s="761"/>
      <c r="U3791" s="219"/>
      <c r="V3791" s="464"/>
      <c r="Y3791" s="414"/>
      <c r="AA3791" s="542" t="e">
        <f>IF(AND(C3790&lt;=F3788,F3788&gt;1,F3788&lt;&gt;""),VLOOKUP(VALUE(E3769&amp;","&amp;C3790),INTEGRANTES!$D$18:$F$235,2,0),"")</f>
        <v>#N/A</v>
      </c>
      <c r="AB3791" s="544" t="e">
        <f t="shared" ref="AB3791:AB3796" si="1121">IF(D3790="","",IF(OR(F3790=0,G3790=0),"NO APORTA",ROUND($F3790/$G3790,3)))</f>
        <v>#N/A</v>
      </c>
      <c r="AC3791" s="529"/>
      <c r="AD3791" s="200" t="e">
        <f t="shared" ref="AD3791:AD3796" si="1122">IF(OR(AA3791="",AB3791=""),"",IF(AND(AC3791="X",AB3791&gt;=EXPREQVTD),"CUMPLE","NO CUMPLE"))</f>
        <v>#N/A</v>
      </c>
      <c r="AE3791" s="52"/>
      <c r="AF3791" s="52"/>
      <c r="AG3791" s="52"/>
      <c r="AH3791" s="87"/>
      <c r="AI3791" s="87"/>
    </row>
    <row r="3792" spans="1:35" ht="16.5" hidden="1" thickBot="1">
      <c r="A3792" s="218" t="e">
        <f>"P"&amp;E3769</f>
        <v>#N/A</v>
      </c>
      <c r="B3792" s="702"/>
      <c r="C3792" s="114">
        <v>3</v>
      </c>
      <c r="D3792" s="194" t="e">
        <f>IF(AND(C3792&lt;=F3788,F3788&lt;&gt;""),VLOOKUP(VALUE(E3769&amp;","&amp;C3792),INTEGRANTES!$D$18:$F$235,2,0),"")</f>
        <v>#N/A</v>
      </c>
      <c r="E3792" s="211" t="e">
        <f>IF(D3792&lt;&gt;"",VLOOKUP(VALUE(E3769&amp;","&amp;C3792),INTEGRANTES!$D$18:$F$235,3,0),"")</f>
        <v>#N/A</v>
      </c>
      <c r="F3792" s="547" t="e">
        <f>IF(D3792="","",SUMIF($I3773:$I3782,D3792,$P3773:$P3782))</f>
        <v>#N/A</v>
      </c>
      <c r="G3792" s="333" t="e">
        <f>IF(D3792="","",SUMIF($I3773:$I3782,D3792,$M3773:$M3782))</f>
        <v>#N/A</v>
      </c>
      <c r="H3792" s="535" t="e">
        <f t="shared" si="1118"/>
        <v>#N/A</v>
      </c>
      <c r="I3792" s="212" t="e">
        <f>IF(D3792="","",IF(H3792="NO APORTA","NO",IF(H3792=MAX($H3790:$H3795),"SI","NO")))</f>
        <v>#N/A</v>
      </c>
      <c r="J3792" s="213" t="e">
        <f t="shared" si="1119"/>
        <v>#N/A</v>
      </c>
      <c r="K3792" s="200" t="e">
        <f t="shared" si="1120"/>
        <v>#N/A</v>
      </c>
      <c r="L3792" s="724"/>
      <c r="M3792" s="729">
        <f>NUMMOD</f>
        <v>1</v>
      </c>
      <c r="N3792" s="730"/>
      <c r="O3792" s="443">
        <f>IF(M3792="","",VLOOKUP(M3792,PRESUPUESTOS!$B$16:$H$16,5,FALSE))</f>
        <v>2</v>
      </c>
      <c r="P3792" s="713">
        <f>IF(OR(COUNTIF(M3773:M3782,"")&gt;=10,Q3789&lt;NUMMINCONT,OR(T3787="NO CUMPLE",T3787="VERIFICAR")),0,ROUND(AVERAGE(M3773:M3782),3))</f>
        <v>0</v>
      </c>
      <c r="Q3792" s="714"/>
      <c r="R3792" s="458"/>
      <c r="S3792" s="459"/>
      <c r="T3792" s="460"/>
      <c r="U3792" s="219"/>
      <c r="V3792" s="464"/>
      <c r="Y3792" s="532" t="str">
        <f>"40% * ("&amp;PRESUPUESTOS!$H$13&amp;")"</f>
        <v>40% * (50% PFMO)</v>
      </c>
      <c r="AA3792" s="540" t="e">
        <f>IF(AND(C3791&lt;=F3788,F3788&lt;&gt;""),VLOOKUP(VALUE(E3769&amp;","&amp;C3791),INTEGRANTES!$D$18:$F$235,2,0),"")</f>
        <v>#N/A</v>
      </c>
      <c r="AB3792" s="545" t="e">
        <f t="shared" si="1121"/>
        <v>#N/A</v>
      </c>
      <c r="AC3792" s="529"/>
      <c r="AD3792" s="200" t="e">
        <f t="shared" si="1122"/>
        <v>#N/A</v>
      </c>
      <c r="AE3792" s="52"/>
      <c r="AF3792" s="52"/>
      <c r="AG3792" s="52"/>
      <c r="AH3792" s="87"/>
      <c r="AI3792" s="87"/>
    </row>
    <row r="3793" spans="1:35" ht="15.75" hidden="1" customHeight="1" thickBot="1">
      <c r="A3793" s="218" t="e">
        <f>"Q"&amp;E3769</f>
        <v>#N/A</v>
      </c>
      <c r="B3793" s="702"/>
      <c r="C3793" s="114">
        <v>4</v>
      </c>
      <c r="D3793" s="194" t="e">
        <f>IF(AND(C3793&lt;=F3788,F3788&lt;&gt;""),VLOOKUP(VALUE(E3769&amp;","&amp;C3793),INTEGRANTES!$D$18:$F$235,2,0),"")</f>
        <v>#N/A</v>
      </c>
      <c r="E3793" s="211" t="e">
        <f>IF(D3793&lt;&gt;"",VLOOKUP(VALUE(E3769&amp;","&amp;C3793),INTEGRANTES!$D$18:$F$235,3,0),"")</f>
        <v>#N/A</v>
      </c>
      <c r="F3793" s="547" t="e">
        <f>IF(D3793="","",SUMIF($I3773:$I3782,D3793,$P3773:$P3782))</f>
        <v>#N/A</v>
      </c>
      <c r="G3793" s="333" t="e">
        <f>IF(D3793="","",SUMIF($I3773:$I3782,D3793,$M3773:$M3782))</f>
        <v>#N/A</v>
      </c>
      <c r="H3793" s="535" t="e">
        <f t="shared" si="1118"/>
        <v>#N/A</v>
      </c>
      <c r="I3793" s="212" t="e">
        <f>IF(D3793="","",IF(H3793="NO APORTA","NO",IF(H3793=MAX($H3790:$H3795),"SI","NO")))</f>
        <v>#N/A</v>
      </c>
      <c r="J3793" s="213" t="e">
        <f t="shared" si="1119"/>
        <v>#N/A</v>
      </c>
      <c r="K3793" s="200" t="e">
        <f t="shared" si="1120"/>
        <v>#N/A</v>
      </c>
      <c r="L3793" s="720" t="s">
        <v>109</v>
      </c>
      <c r="M3793" s="757" t="s">
        <v>120</v>
      </c>
      <c r="N3793" s="726"/>
      <c r="O3793" s="726"/>
      <c r="P3793" s="726"/>
      <c r="Q3793" s="727"/>
      <c r="R3793" s="458"/>
      <c r="S3793" s="459"/>
      <c r="T3793" s="460"/>
      <c r="U3793" s="219"/>
      <c r="V3793" s="464"/>
      <c r="Y3793" s="537">
        <f>0.4*PRESUPUESTOS!$H$16</f>
        <v>10.3124</v>
      </c>
      <c r="AA3793" s="540" t="e">
        <f>IF(AND(C3792&lt;=F3788,F3788&lt;&gt;""),VLOOKUP(VALUE(E3769&amp;","&amp;C3792),INTEGRANTES!$D$18:$F$235,2,0),"")</f>
        <v>#N/A</v>
      </c>
      <c r="AB3793" s="545" t="e">
        <f t="shared" si="1121"/>
        <v>#N/A</v>
      </c>
      <c r="AC3793" s="529"/>
      <c r="AD3793" s="200" t="e">
        <f t="shared" si="1122"/>
        <v>#N/A</v>
      </c>
      <c r="AE3793" s="52"/>
      <c r="AF3793" s="52"/>
      <c r="AG3793" s="52"/>
      <c r="AH3793" s="87"/>
      <c r="AI3793" s="87"/>
    </row>
    <row r="3794" spans="1:35" ht="27" hidden="1" customHeight="1" thickBot="1">
      <c r="A3794" s="218" t="e">
        <f>"R"&amp;E3769</f>
        <v>#N/A</v>
      </c>
      <c r="B3794" s="702"/>
      <c r="C3794" s="114">
        <v>5</v>
      </c>
      <c r="D3794" s="194" t="e">
        <f>IF(AND(C3794&lt;=F3788,F3788&lt;&gt;""),VLOOKUP(VALUE(E3769&amp;","&amp;C3794),INTEGRANTES!$D$18:$F$235,2,0),"")</f>
        <v>#N/A</v>
      </c>
      <c r="E3794" s="211" t="e">
        <f>IF(D3794&lt;&gt;"",VLOOKUP(VALUE(E3769&amp;","&amp;C3794),INTEGRANTES!$D$18:$F$235,3,0),"")</f>
        <v>#N/A</v>
      </c>
      <c r="F3794" s="547" t="e">
        <f>IF(D3794="","",SUMIF($I3773:$I3782,D3794,$P3773:$P3782))</f>
        <v>#N/A</v>
      </c>
      <c r="G3794" s="333" t="e">
        <f>IF(D3794="","",SUMIF($I3773:$I3782,D3794,$M3773:$M3782))</f>
        <v>#N/A</v>
      </c>
      <c r="H3794" s="535" t="e">
        <f t="shared" si="1118"/>
        <v>#N/A</v>
      </c>
      <c r="I3794" s="212" t="e">
        <f>IF(D3794="","",IF(H3794="NO APORTA","NO",IF(H3794=MAX($H3790:$H3795),"SI","NO")))</f>
        <v>#N/A</v>
      </c>
      <c r="J3794" s="213" t="e">
        <f t="shared" si="1119"/>
        <v>#N/A</v>
      </c>
      <c r="K3794" s="200" t="e">
        <f t="shared" si="1120"/>
        <v>#N/A</v>
      </c>
      <c r="L3794" s="721"/>
      <c r="M3794" s="715" t="s">
        <v>116</v>
      </c>
      <c r="N3794" s="716"/>
      <c r="O3794" s="556" t="str">
        <f>PORCREQUERIDO*100&amp;"% PMFO DEL MÓDULO"</f>
        <v>50% PMFO DEL MÓDULO</v>
      </c>
      <c r="P3794" s="715" t="s">
        <v>118</v>
      </c>
      <c r="Q3794" s="728"/>
      <c r="R3794" s="458"/>
      <c r="S3794" s="459"/>
      <c r="T3794" s="460"/>
      <c r="U3794" s="219"/>
      <c r="V3794" s="464"/>
      <c r="Y3794" s="414"/>
      <c r="AA3794" s="540" t="e">
        <f>IF(AND(C3793&lt;=F3788,F3788&lt;&gt;""),VLOOKUP(VALUE(E3769&amp;","&amp;C3793),INTEGRANTES!$D$18:$F$235,2,0),"")</f>
        <v>#N/A</v>
      </c>
      <c r="AB3794" s="545" t="e">
        <f t="shared" si="1121"/>
        <v>#N/A</v>
      </c>
      <c r="AC3794" s="529"/>
      <c r="AD3794" s="200" t="e">
        <f t="shared" si="1122"/>
        <v>#N/A</v>
      </c>
      <c r="AE3794" s="52"/>
      <c r="AF3794" s="52"/>
      <c r="AG3794" s="52"/>
      <c r="AH3794" s="87"/>
      <c r="AI3794" s="87"/>
    </row>
    <row r="3795" spans="1:35" ht="16.5" hidden="1" thickBot="1">
      <c r="A3795" s="218" t="e">
        <f>"S"&amp;E3769</f>
        <v>#N/A</v>
      </c>
      <c r="B3795" s="702"/>
      <c r="C3795" s="215">
        <v>6</v>
      </c>
      <c r="D3795" s="216" t="e">
        <f>IF(AND(C3795&lt;=F3788,F3788&lt;&gt;""),VLOOKUP(VALUE(E3769&amp;","&amp;C3795),INTEGRANTES!$D$18:$F$235,2,0),"")</f>
        <v>#N/A</v>
      </c>
      <c r="E3795" s="217" t="e">
        <f>IF(D3795&lt;&gt;"",VLOOKUP(VALUE(E3769&amp;","&amp;C3795),INTEGRANTES!$D$18:$F$235,3,0),"")</f>
        <v>#N/A</v>
      </c>
      <c r="F3795" s="548" t="e">
        <f>IF(D3795="","",SUMIF($I3773:$I3782,D3795,$P3773:$P3782))</f>
        <v>#N/A</v>
      </c>
      <c r="G3795" s="334" t="e">
        <f>IF(D3795="","",SUMIF($I3773:$I3782,D3795,$M3773:$M3782))</f>
        <v>#N/A</v>
      </c>
      <c r="H3795" s="536" t="e">
        <f t="shared" si="1118"/>
        <v>#N/A</v>
      </c>
      <c r="I3795" s="214" t="e">
        <f>IF(D3795="","",IF(H3795="NO APORTA","NO",IF(H3795=MAX($H3790:$H3795),"SI","NO")))</f>
        <v>#N/A</v>
      </c>
      <c r="J3795" s="213" t="e">
        <f t="shared" si="1119"/>
        <v>#N/A</v>
      </c>
      <c r="K3795" s="200" t="e">
        <f t="shared" si="1120"/>
        <v>#N/A</v>
      </c>
      <c r="L3795" s="721"/>
      <c r="M3795" s="729">
        <f>NUMMOD</f>
        <v>1</v>
      </c>
      <c r="N3795" s="730"/>
      <c r="O3795" s="443">
        <f>IF(M3795="","",ROUND(VLOOKUP(M3795,PRESUPUESTOS!$B$16:$H$16,7,FALSE),3))</f>
        <v>25.780999999999999</v>
      </c>
      <c r="P3795" s="713">
        <f>IF(OR(COUNTIF(P3773:P3782,"")&gt;=10,Q3789&lt;NUMMINCONT,OR(T3787="NO CUMPLE",T3787="VERIFICAR")),0,ROUND((SUM(P3773:P3782)/SUM(M3773:M3782)),3))</f>
        <v>0</v>
      </c>
      <c r="Q3795" s="714"/>
      <c r="R3795" s="458"/>
      <c r="S3795" s="459"/>
      <c r="T3795" s="460"/>
      <c r="U3795" s="219"/>
      <c r="V3795" s="464"/>
      <c r="Y3795" s="532" t="s">
        <v>343</v>
      </c>
      <c r="AA3795" s="540" t="e">
        <f>IF(AND(C3794&lt;=F3788,F3788&lt;&gt;""),VLOOKUP(VALUE(E3769&amp;","&amp;C3794),INTEGRANTES!$D$18:$F$235,2,0),"")</f>
        <v>#N/A</v>
      </c>
      <c r="AB3795" s="545" t="e">
        <f t="shared" si="1121"/>
        <v>#N/A</v>
      </c>
      <c r="AC3795" s="529"/>
      <c r="AD3795" s="200" t="e">
        <f t="shared" si="1122"/>
        <v>#N/A</v>
      </c>
      <c r="AE3795" s="52"/>
      <c r="AF3795" s="52"/>
      <c r="AG3795" s="52"/>
      <c r="AH3795" s="87"/>
      <c r="AI3795" s="87"/>
    </row>
    <row r="3796" spans="1:35" ht="16.5" hidden="1" customHeight="1" thickBot="1">
      <c r="A3796" s="218" t="e">
        <f>"T"&amp;E3769</f>
        <v>#N/A</v>
      </c>
      <c r="B3796" s="703"/>
      <c r="C3796" s="719"/>
      <c r="D3796" s="719"/>
      <c r="E3796" s="719"/>
      <c r="F3796" s="719"/>
      <c r="G3796" s="719"/>
      <c r="H3796" s="719" t="s">
        <v>110</v>
      </c>
      <c r="I3796" s="719"/>
      <c r="J3796" s="719"/>
      <c r="K3796" s="201" t="str">
        <f>IF(COUNTIF(K3790:K3795,"")=6,"",IF(COUNTIF(K3790:K3795,"CUMPLE")&gt;0,"CUMPLE","NO CUMPLE"))</f>
        <v>NO CUMPLE</v>
      </c>
      <c r="L3796" s="754"/>
      <c r="M3796" s="755"/>
      <c r="N3796" s="755"/>
      <c r="O3796" s="755"/>
      <c r="P3796" s="755"/>
      <c r="Q3796" s="756"/>
      <c r="R3796" s="461"/>
      <c r="S3796" s="462"/>
      <c r="T3796" s="463"/>
      <c r="U3796" s="219"/>
      <c r="V3796" s="464"/>
      <c r="Y3796" s="549" t="e">
        <f>IF(Y3790="NO APLICA","NO APLICA",IF(COUNTIF(AD3791:AD3796,"CUMPLE")&gt;0,"CUMPLE","NO CUMPLE"))</f>
        <v>#N/A</v>
      </c>
      <c r="AA3796" s="541" t="e">
        <f>IF(AND(C3795&lt;=F3788,F3788&lt;&gt;""),VLOOKUP(VALUE(E3769&amp;","&amp;C3795),INTEGRANTES!$D$18:$F$235,2,0),"")</f>
        <v>#N/A</v>
      </c>
      <c r="AB3796" s="546" t="e">
        <f t="shared" si="1121"/>
        <v>#N/A</v>
      </c>
      <c r="AC3796" s="543"/>
      <c r="AD3796" s="201" t="e">
        <f t="shared" si="1122"/>
        <v>#N/A</v>
      </c>
      <c r="AE3796" s="52"/>
      <c r="AF3796" s="52"/>
      <c r="AG3796" s="52"/>
      <c r="AH3796" s="87"/>
      <c r="AI3796" s="87"/>
    </row>
    <row r="3797" spans="1:35" hidden="1">
      <c r="AH3797" s="87"/>
      <c r="AI3797" s="87"/>
    </row>
    <row r="3798" spans="1:35" hidden="1">
      <c r="AH3798" s="87"/>
      <c r="AI3798" s="87"/>
    </row>
    <row r="3799" spans="1:35" ht="24" hidden="1" thickBot="1">
      <c r="A3799" s="61">
        <v>127</v>
      </c>
      <c r="B3799" s="704" t="s">
        <v>51</v>
      </c>
      <c r="C3799" s="704"/>
      <c r="D3799" s="704"/>
      <c r="E3799" s="62" t="e">
        <f>VLOOKUP(A3799,PROPONENTES!$B$19:$E$218,2,FALSE)</f>
        <v>#N/A</v>
      </c>
      <c r="F3799" s="63" t="e">
        <f>VLOOKUP(A3799,PROPONENTES!$B$19:$E$218,3,FALSE)</f>
        <v>#N/A</v>
      </c>
      <c r="G3799" s="64"/>
      <c r="H3799" s="64"/>
      <c r="I3799" s="63"/>
      <c r="J3799" s="63"/>
      <c r="K3799" s="65"/>
      <c r="L3799" s="65"/>
      <c r="M3799" s="64"/>
      <c r="N3799" s="64"/>
      <c r="O3799" s="66"/>
      <c r="P3799" s="66"/>
      <c r="Q3799" s="66"/>
      <c r="R3799" s="66"/>
      <c r="S3799" s="67"/>
      <c r="T3799" s="68"/>
      <c r="U3799" s="68"/>
      <c r="AC3799" s="68"/>
      <c r="AD3799" s="68"/>
      <c r="AE3799" s="68"/>
      <c r="AF3799" s="68"/>
      <c r="AG3799" s="68"/>
      <c r="AH3799" s="87"/>
      <c r="AI3799" s="87"/>
    </row>
    <row r="3800" spans="1:35" ht="15.75" hidden="1" customHeight="1">
      <c r="A3800" s="44"/>
      <c r="B3800" s="709" t="s">
        <v>59</v>
      </c>
      <c r="C3800" s="552" t="s">
        <v>60</v>
      </c>
      <c r="D3800" s="70" t="s">
        <v>17</v>
      </c>
      <c r="E3800" s="70"/>
      <c r="F3800" s="70" t="s">
        <v>61</v>
      </c>
      <c r="G3800" s="71"/>
      <c r="H3800" s="699" t="s">
        <v>62</v>
      </c>
      <c r="I3800" s="699" t="s">
        <v>18</v>
      </c>
      <c r="J3800" s="699" t="s">
        <v>63</v>
      </c>
      <c r="K3800" s="699" t="s">
        <v>64</v>
      </c>
      <c r="L3800" s="699" t="s">
        <v>65</v>
      </c>
      <c r="M3800" s="743" t="s">
        <v>66</v>
      </c>
      <c r="N3800" s="699" t="s">
        <v>282</v>
      </c>
      <c r="O3800" s="745" t="s">
        <v>67</v>
      </c>
      <c r="P3800" s="746"/>
      <c r="Q3800" s="102" t="s">
        <v>75</v>
      </c>
      <c r="R3800" s="731" t="s">
        <v>22</v>
      </c>
      <c r="S3800" s="732"/>
      <c r="T3800" s="733"/>
      <c r="U3800" s="712" t="s">
        <v>298</v>
      </c>
      <c r="W3800" s="690" t="s">
        <v>268</v>
      </c>
      <c r="X3800" s="691"/>
      <c r="Y3800" s="692"/>
      <c r="Z3800" s="428"/>
      <c r="AA3800" s="697" t="s">
        <v>315</v>
      </c>
      <c r="AB3800" s="695" t="s">
        <v>322</v>
      </c>
      <c r="AC3800" s="49"/>
      <c r="AD3800" s="690" t="s">
        <v>297</v>
      </c>
      <c r="AE3800" s="691"/>
      <c r="AF3800" s="692"/>
      <c r="AG3800" s="49"/>
      <c r="AH3800" s="87"/>
      <c r="AI3800" s="87"/>
    </row>
    <row r="3801" spans="1:35" ht="72" hidden="1">
      <c r="A3801" s="44"/>
      <c r="B3801" s="710"/>
      <c r="C3801" s="553" t="s">
        <v>68</v>
      </c>
      <c r="D3801" s="73" t="s">
        <v>3</v>
      </c>
      <c r="E3801" s="73" t="s">
        <v>19</v>
      </c>
      <c r="F3801" s="73" t="s">
        <v>69</v>
      </c>
      <c r="G3801" s="74" t="s">
        <v>70</v>
      </c>
      <c r="H3801" s="700"/>
      <c r="I3801" s="700"/>
      <c r="J3801" s="700"/>
      <c r="K3801" s="700"/>
      <c r="L3801" s="700"/>
      <c r="M3801" s="744"/>
      <c r="N3801" s="700"/>
      <c r="O3801" s="553" t="s">
        <v>279</v>
      </c>
      <c r="P3801" s="73" t="s">
        <v>88</v>
      </c>
      <c r="Q3801" s="555" t="s">
        <v>76</v>
      </c>
      <c r="R3801" s="734"/>
      <c r="S3801" s="735"/>
      <c r="T3801" s="736"/>
      <c r="U3801" s="712"/>
      <c r="W3801" s="429" t="s">
        <v>269</v>
      </c>
      <c r="X3801" s="457" t="s">
        <v>278</v>
      </c>
      <c r="Y3801" s="430" t="s">
        <v>324</v>
      </c>
      <c r="Z3801" s="428"/>
      <c r="AA3801" s="698"/>
      <c r="AB3801" s="696"/>
      <c r="AC3801" s="49"/>
      <c r="AD3801" s="429" t="s">
        <v>292</v>
      </c>
      <c r="AE3801" s="431" t="s">
        <v>300</v>
      </c>
      <c r="AF3801" s="468" t="s">
        <v>301</v>
      </c>
      <c r="AG3801" s="49"/>
      <c r="AH3801" s="87"/>
      <c r="AI3801" s="87"/>
    </row>
    <row r="3802" spans="1:35" hidden="1">
      <c r="A3802" s="44"/>
      <c r="B3802" s="76"/>
      <c r="C3802" s="77"/>
      <c r="D3802" s="77"/>
      <c r="E3802" s="77"/>
      <c r="F3802" s="77"/>
      <c r="G3802" s="77"/>
      <c r="H3802" s="77"/>
      <c r="I3802" s="77"/>
      <c r="J3802" s="77"/>
      <c r="K3802" s="77"/>
      <c r="L3802" s="77"/>
      <c r="M3802" s="77"/>
      <c r="N3802" s="77"/>
      <c r="O3802" s="77"/>
      <c r="P3802" s="77"/>
      <c r="Q3802" s="77"/>
      <c r="R3802" s="77"/>
      <c r="S3802" s="78"/>
      <c r="T3802" s="79"/>
      <c r="U3802" s="109"/>
      <c r="V3802" s="49"/>
      <c r="W3802" s="432"/>
      <c r="X3802" s="454"/>
      <c r="Y3802" s="433"/>
      <c r="Z3802" s="6"/>
      <c r="AA3802" s="500"/>
      <c r="AB3802" s="562"/>
      <c r="AC3802" s="49"/>
      <c r="AD3802" s="210"/>
      <c r="AE3802" s="434"/>
      <c r="AF3802" s="435"/>
      <c r="AG3802" s="49"/>
      <c r="AH3802" s="87"/>
      <c r="AI3802" s="87"/>
    </row>
    <row r="3803" spans="1:35" hidden="1">
      <c r="A3803" s="80" t="e">
        <f>"A"&amp;E3799</f>
        <v>#N/A</v>
      </c>
      <c r="B3803" s="81">
        <v>1</v>
      </c>
      <c r="C3803" s="82"/>
      <c r="D3803" s="82"/>
      <c r="E3803" s="82"/>
      <c r="F3803" s="82"/>
      <c r="G3803" s="83"/>
      <c r="H3803" s="83"/>
      <c r="I3803" s="84"/>
      <c r="J3803" s="85"/>
      <c r="K3803" s="382"/>
      <c r="L3803" s="85"/>
      <c r="M3803" s="332" t="str">
        <f t="shared" ref="M3803:M3812" si="1123">IF(OR(J3803="",L3803="",H3803="NO"),"",IF(OR(J3803&gt;$P$17,J3803&lt;$O$17,L3803&gt;$P$17,AND(J3803&lt;$O$17,L3803&lt;$O$17)),"FUERA DE RANGO",IF(OR(K3803="---",K3803=""),IF(J3803&gt;=$O$17,ROUND((L3803-J3803+1)/360*12,3),ROUND((L3803-$O$17+1)/360*12,3)),IF(J3803&gt;=$O$17,ROUND((L3803-J3803+1)/360*12-ROUND(K3803,3),3),ROUND((L3803-$O$17+1)/360*12-ROUND(K3803,3),3)))))</f>
        <v/>
      </c>
      <c r="N3803" s="86"/>
      <c r="O3803" s="453" t="str">
        <f>IF(OR(G3803="",N3803=""),"",N3803*G3803)</f>
        <v/>
      </c>
      <c r="P3803" s="538" t="str">
        <f>IF(OR(H3803="",M3803="FUERA DE RANGO"),"",IF(OR(L3803&lt;$O$17,L3803&gt;$P$17,L3803="",H3803="NO"),"",IF(OR(N3803="",O3803=""),"",ROUND(O3803,3))))</f>
        <v/>
      </c>
      <c r="Q3803" s="539" t="str">
        <f t="shared" ref="Q3803:Q3812" si="1124">IF(AND(H3803="SI",P3803&lt;&gt;""),ROUND(P3803/M3803,3),"")</f>
        <v/>
      </c>
      <c r="R3803" s="737"/>
      <c r="S3803" s="738"/>
      <c r="T3803" s="739"/>
      <c r="U3803" s="470"/>
      <c r="V3803" s="165"/>
      <c r="W3803" s="446"/>
      <c r="X3803" s="456"/>
      <c r="Y3803" s="436"/>
      <c r="Z3803" s="437"/>
      <c r="AA3803" s="560"/>
      <c r="AB3803" s="561"/>
      <c r="AC3803" s="87"/>
      <c r="AD3803" s="466"/>
      <c r="AE3803" s="456"/>
      <c r="AF3803" s="467"/>
      <c r="AG3803" s="87"/>
      <c r="AH3803" s="87"/>
      <c r="AI3803" s="87"/>
    </row>
    <row r="3804" spans="1:35" hidden="1">
      <c r="A3804" s="80" t="e">
        <f>"B"&amp;E3799</f>
        <v>#N/A</v>
      </c>
      <c r="B3804" s="81">
        <v>2</v>
      </c>
      <c r="C3804" s="106"/>
      <c r="D3804" s="106"/>
      <c r="E3804" s="106"/>
      <c r="F3804" s="106"/>
      <c r="G3804" s="83"/>
      <c r="H3804" s="83"/>
      <c r="I3804" s="84"/>
      <c r="J3804" s="85"/>
      <c r="K3804" s="382"/>
      <c r="L3804" s="85"/>
      <c r="M3804" s="332" t="str">
        <f t="shared" si="1123"/>
        <v/>
      </c>
      <c r="N3804" s="86"/>
      <c r="O3804" s="453" t="str">
        <f t="shared" ref="O3804:O3812" si="1125">IF(OR(G3804="",N3804=""),"",N3804*G3804)</f>
        <v/>
      </c>
      <c r="P3804" s="538" t="str">
        <f t="shared" ref="P3804:P3812" si="1126">IF(OR(H3804="",M3804="FUERA DE RANGO"),"",IF(OR(L3804&lt;$O$17,L3804&gt;$P$17,L3804="",H3804="NO"),"",IF(OR(N3804="",O3804=""),"",ROUND(O3804,3))))</f>
        <v/>
      </c>
      <c r="Q3804" s="539" t="str">
        <f t="shared" si="1124"/>
        <v/>
      </c>
      <c r="R3804" s="740"/>
      <c r="S3804" s="741"/>
      <c r="T3804" s="742"/>
      <c r="U3804" s="471"/>
      <c r="V3804" s="165"/>
      <c r="W3804" s="446"/>
      <c r="X3804" s="456"/>
      <c r="Y3804" s="436"/>
      <c r="Z3804" s="437"/>
      <c r="AA3804" s="560"/>
      <c r="AB3804" s="561"/>
      <c r="AC3804" s="87"/>
      <c r="AD3804" s="466"/>
      <c r="AE3804" s="456"/>
      <c r="AF3804" s="467"/>
      <c r="AG3804" s="87"/>
      <c r="AH3804" s="87"/>
      <c r="AI3804" s="87"/>
    </row>
    <row r="3805" spans="1:35" hidden="1">
      <c r="A3805" s="80" t="e">
        <f>"C"&amp;E3799</f>
        <v>#N/A</v>
      </c>
      <c r="B3805" s="88">
        <v>3</v>
      </c>
      <c r="C3805" s="82"/>
      <c r="D3805" s="82"/>
      <c r="E3805" s="82"/>
      <c r="F3805" s="82"/>
      <c r="G3805" s="83"/>
      <c r="H3805" s="83"/>
      <c r="I3805" s="84"/>
      <c r="J3805" s="85"/>
      <c r="K3805" s="382"/>
      <c r="L3805" s="85"/>
      <c r="M3805" s="332" t="str">
        <f t="shared" si="1123"/>
        <v/>
      </c>
      <c r="N3805" s="86"/>
      <c r="O3805" s="453" t="str">
        <f t="shared" si="1125"/>
        <v/>
      </c>
      <c r="P3805" s="538" t="str">
        <f t="shared" si="1126"/>
        <v/>
      </c>
      <c r="Q3805" s="539" t="str">
        <f t="shared" si="1124"/>
        <v/>
      </c>
      <c r="R3805" s="706"/>
      <c r="S3805" s="707"/>
      <c r="T3805" s="708"/>
      <c r="U3805" s="472"/>
      <c r="V3805" s="166"/>
      <c r="W3805" s="446"/>
      <c r="X3805" s="456"/>
      <c r="Y3805" s="436"/>
      <c r="Z3805" s="437"/>
      <c r="AA3805" s="560"/>
      <c r="AB3805" s="561"/>
      <c r="AC3805" s="87"/>
      <c r="AD3805" s="466"/>
      <c r="AE3805" s="456"/>
      <c r="AF3805" s="467"/>
      <c r="AG3805" s="87"/>
      <c r="AH3805" s="87"/>
      <c r="AI3805" s="87"/>
    </row>
    <row r="3806" spans="1:35" hidden="1">
      <c r="A3806" s="80" t="e">
        <f>"D"&amp;E3799</f>
        <v>#N/A</v>
      </c>
      <c r="B3806" s="105">
        <v>4</v>
      </c>
      <c r="C3806" s="107"/>
      <c r="D3806" s="107"/>
      <c r="E3806" s="107"/>
      <c r="F3806" s="107"/>
      <c r="G3806" s="83"/>
      <c r="H3806" s="83"/>
      <c r="I3806" s="84"/>
      <c r="J3806" s="85"/>
      <c r="K3806" s="382"/>
      <c r="L3806" s="85"/>
      <c r="M3806" s="332" t="str">
        <f t="shared" si="1123"/>
        <v/>
      </c>
      <c r="N3806" s="86"/>
      <c r="O3806" s="453" t="str">
        <f t="shared" si="1125"/>
        <v/>
      </c>
      <c r="P3806" s="538" t="str">
        <f t="shared" si="1126"/>
        <v/>
      </c>
      <c r="Q3806" s="539" t="str">
        <f t="shared" si="1124"/>
        <v/>
      </c>
      <c r="R3806" s="706"/>
      <c r="S3806" s="707"/>
      <c r="T3806" s="708"/>
      <c r="U3806" s="472"/>
      <c r="V3806" s="166"/>
      <c r="W3806" s="446"/>
      <c r="X3806" s="456"/>
      <c r="Y3806" s="436"/>
      <c r="Z3806" s="437"/>
      <c r="AA3806" s="560"/>
      <c r="AB3806" s="561"/>
      <c r="AC3806" s="87"/>
      <c r="AD3806" s="466"/>
      <c r="AE3806" s="456"/>
      <c r="AF3806" s="467"/>
      <c r="AG3806" s="87"/>
      <c r="AH3806" s="87"/>
      <c r="AI3806" s="87"/>
    </row>
    <row r="3807" spans="1:35" hidden="1">
      <c r="A3807" s="80" t="e">
        <f>"E"&amp;E3799</f>
        <v>#N/A</v>
      </c>
      <c r="B3807" s="105">
        <v>5</v>
      </c>
      <c r="C3807" s="107"/>
      <c r="D3807" s="107"/>
      <c r="E3807" s="107"/>
      <c r="F3807" s="107"/>
      <c r="G3807" s="83"/>
      <c r="H3807" s="83"/>
      <c r="I3807" s="84"/>
      <c r="J3807" s="85"/>
      <c r="K3807" s="382"/>
      <c r="L3807" s="85"/>
      <c r="M3807" s="332" t="str">
        <f t="shared" si="1123"/>
        <v/>
      </c>
      <c r="N3807" s="86"/>
      <c r="O3807" s="453" t="str">
        <f t="shared" si="1125"/>
        <v/>
      </c>
      <c r="P3807" s="538" t="str">
        <f t="shared" si="1126"/>
        <v/>
      </c>
      <c r="Q3807" s="539" t="str">
        <f t="shared" si="1124"/>
        <v/>
      </c>
      <c r="R3807" s="706"/>
      <c r="S3807" s="707"/>
      <c r="T3807" s="708"/>
      <c r="U3807" s="472"/>
      <c r="V3807" s="167"/>
      <c r="W3807" s="446"/>
      <c r="X3807" s="456"/>
      <c r="Y3807" s="436"/>
      <c r="Z3807" s="437"/>
      <c r="AA3807" s="560"/>
      <c r="AB3807" s="561"/>
      <c r="AC3807" s="87"/>
      <c r="AD3807" s="466"/>
      <c r="AE3807" s="456"/>
      <c r="AF3807" s="467"/>
      <c r="AG3807" s="87"/>
      <c r="AH3807" s="87"/>
      <c r="AI3807" s="87"/>
    </row>
    <row r="3808" spans="1:35" hidden="1">
      <c r="A3808" s="80" t="e">
        <f>"F"&amp;E3799</f>
        <v>#N/A</v>
      </c>
      <c r="B3808" s="105">
        <v>6</v>
      </c>
      <c r="C3808" s="107"/>
      <c r="D3808" s="107"/>
      <c r="E3808" s="107"/>
      <c r="F3808" s="107"/>
      <c r="G3808" s="83"/>
      <c r="H3808" s="83"/>
      <c r="I3808" s="84"/>
      <c r="J3808" s="85"/>
      <c r="K3808" s="382"/>
      <c r="L3808" s="85"/>
      <c r="M3808" s="332" t="str">
        <f t="shared" si="1123"/>
        <v/>
      </c>
      <c r="N3808" s="86"/>
      <c r="O3808" s="453" t="str">
        <f t="shared" si="1125"/>
        <v/>
      </c>
      <c r="P3808" s="538" t="str">
        <f t="shared" si="1126"/>
        <v/>
      </c>
      <c r="Q3808" s="539" t="str">
        <f t="shared" si="1124"/>
        <v/>
      </c>
      <c r="R3808" s="706"/>
      <c r="S3808" s="707"/>
      <c r="T3808" s="708"/>
      <c r="U3808" s="472"/>
      <c r="V3808" s="167"/>
      <c r="W3808" s="446"/>
      <c r="X3808" s="456"/>
      <c r="Y3808" s="436"/>
      <c r="Z3808" s="437"/>
      <c r="AA3808" s="560"/>
      <c r="AB3808" s="561"/>
      <c r="AC3808" s="87"/>
      <c r="AD3808" s="466"/>
      <c r="AE3808" s="456"/>
      <c r="AF3808" s="467"/>
      <c r="AG3808" s="87"/>
      <c r="AH3808" s="87"/>
      <c r="AI3808" s="87"/>
    </row>
    <row r="3809" spans="1:35" hidden="1">
      <c r="A3809" s="80" t="e">
        <f>"G"&amp;E3799</f>
        <v>#N/A</v>
      </c>
      <c r="B3809" s="105">
        <v>7</v>
      </c>
      <c r="C3809" s="107"/>
      <c r="D3809" s="107"/>
      <c r="E3809" s="107"/>
      <c r="F3809" s="107"/>
      <c r="G3809" s="83"/>
      <c r="H3809" s="83"/>
      <c r="I3809" s="84"/>
      <c r="J3809" s="85"/>
      <c r="K3809" s="382"/>
      <c r="L3809" s="85"/>
      <c r="M3809" s="332" t="str">
        <f t="shared" si="1123"/>
        <v/>
      </c>
      <c r="N3809" s="86"/>
      <c r="O3809" s="86" t="str">
        <f t="shared" si="1125"/>
        <v/>
      </c>
      <c r="P3809" s="538" t="str">
        <f t="shared" si="1126"/>
        <v/>
      </c>
      <c r="Q3809" s="539" t="str">
        <f t="shared" si="1124"/>
        <v/>
      </c>
      <c r="R3809" s="706"/>
      <c r="S3809" s="707"/>
      <c r="T3809" s="708"/>
      <c r="U3809" s="472"/>
      <c r="V3809" s="167"/>
      <c r="W3809" s="446"/>
      <c r="X3809" s="456"/>
      <c r="Y3809" s="436"/>
      <c r="Z3809" s="437"/>
      <c r="AA3809" s="560"/>
      <c r="AB3809" s="561"/>
      <c r="AC3809" s="87"/>
      <c r="AD3809" s="466"/>
      <c r="AE3809" s="456"/>
      <c r="AF3809" s="467"/>
      <c r="AG3809" s="87"/>
      <c r="AH3809" s="87"/>
      <c r="AI3809" s="87"/>
    </row>
    <row r="3810" spans="1:35" hidden="1">
      <c r="A3810" s="80" t="e">
        <f>"H"&amp;E3799</f>
        <v>#N/A</v>
      </c>
      <c r="B3810" s="105">
        <v>8</v>
      </c>
      <c r="C3810" s="107"/>
      <c r="D3810" s="107"/>
      <c r="E3810" s="107"/>
      <c r="F3810" s="107"/>
      <c r="G3810" s="83"/>
      <c r="H3810" s="83"/>
      <c r="I3810" s="84"/>
      <c r="J3810" s="85"/>
      <c r="K3810" s="382"/>
      <c r="L3810" s="85"/>
      <c r="M3810" s="332" t="str">
        <f t="shared" si="1123"/>
        <v/>
      </c>
      <c r="N3810" s="453"/>
      <c r="O3810" s="86" t="str">
        <f t="shared" si="1125"/>
        <v/>
      </c>
      <c r="P3810" s="538" t="str">
        <f t="shared" si="1126"/>
        <v/>
      </c>
      <c r="Q3810" s="539" t="str">
        <f t="shared" si="1124"/>
        <v/>
      </c>
      <c r="R3810" s="706"/>
      <c r="S3810" s="707"/>
      <c r="T3810" s="708"/>
      <c r="U3810" s="472"/>
      <c r="V3810" s="167"/>
      <c r="W3810" s="446"/>
      <c r="X3810" s="456"/>
      <c r="Y3810" s="436"/>
      <c r="Z3810" s="437"/>
      <c r="AA3810" s="560"/>
      <c r="AB3810" s="561"/>
      <c r="AC3810" s="87"/>
      <c r="AD3810" s="466"/>
      <c r="AE3810" s="456"/>
      <c r="AF3810" s="467"/>
      <c r="AG3810" s="87"/>
      <c r="AH3810" s="87"/>
      <c r="AI3810" s="87"/>
    </row>
    <row r="3811" spans="1:35" hidden="1">
      <c r="A3811" s="80" t="e">
        <f>"I"&amp;E3799</f>
        <v>#N/A</v>
      </c>
      <c r="B3811" s="105">
        <v>9</v>
      </c>
      <c r="C3811" s="107"/>
      <c r="D3811" s="107"/>
      <c r="E3811" s="107"/>
      <c r="F3811" s="107"/>
      <c r="G3811" s="83"/>
      <c r="H3811" s="83"/>
      <c r="I3811" s="84"/>
      <c r="J3811" s="85"/>
      <c r="K3811" s="382"/>
      <c r="L3811" s="85"/>
      <c r="M3811" s="332" t="str">
        <f t="shared" si="1123"/>
        <v/>
      </c>
      <c r="N3811" s="453"/>
      <c r="O3811" s="86" t="str">
        <f t="shared" si="1125"/>
        <v/>
      </c>
      <c r="P3811" s="538" t="str">
        <f t="shared" si="1126"/>
        <v/>
      </c>
      <c r="Q3811" s="539" t="str">
        <f t="shared" si="1124"/>
        <v/>
      </c>
      <c r="R3811" s="706"/>
      <c r="S3811" s="707"/>
      <c r="T3811" s="708"/>
      <c r="U3811" s="472"/>
      <c r="V3811" s="167"/>
      <c r="W3811" s="446"/>
      <c r="X3811" s="456"/>
      <c r="Y3811" s="436"/>
      <c r="Z3811" s="437"/>
      <c r="AA3811" s="560"/>
      <c r="AB3811" s="561"/>
      <c r="AC3811" s="87"/>
      <c r="AD3811" s="466"/>
      <c r="AE3811" s="456"/>
      <c r="AF3811" s="467"/>
      <c r="AG3811" s="87"/>
      <c r="AH3811" s="87"/>
      <c r="AI3811" s="87"/>
    </row>
    <row r="3812" spans="1:35" hidden="1">
      <c r="A3812" s="80" t="e">
        <f>"J"&amp;E3799</f>
        <v>#N/A</v>
      </c>
      <c r="B3812" s="105">
        <v>10</v>
      </c>
      <c r="C3812" s="107"/>
      <c r="D3812" s="107"/>
      <c r="E3812" s="107"/>
      <c r="F3812" s="107"/>
      <c r="G3812" s="83"/>
      <c r="H3812" s="83"/>
      <c r="I3812" s="84"/>
      <c r="J3812" s="85"/>
      <c r="K3812" s="382"/>
      <c r="L3812" s="85"/>
      <c r="M3812" s="332" t="str">
        <f t="shared" si="1123"/>
        <v/>
      </c>
      <c r="N3812" s="453"/>
      <c r="O3812" s="86" t="str">
        <f t="shared" si="1125"/>
        <v/>
      </c>
      <c r="P3812" s="538" t="str">
        <f t="shared" si="1126"/>
        <v/>
      </c>
      <c r="Q3812" s="539" t="str">
        <f t="shared" si="1124"/>
        <v/>
      </c>
      <c r="R3812" s="706"/>
      <c r="S3812" s="707"/>
      <c r="T3812" s="708"/>
      <c r="U3812" s="472"/>
      <c r="V3812" s="167"/>
      <c r="W3812" s="446"/>
      <c r="X3812" s="456"/>
      <c r="Y3812" s="436"/>
      <c r="Z3812" s="437"/>
      <c r="AA3812" s="560"/>
      <c r="AB3812" s="561"/>
      <c r="AC3812" s="87"/>
      <c r="AD3812" s="466"/>
      <c r="AE3812" s="456"/>
      <c r="AF3812" s="467"/>
      <c r="AG3812" s="87"/>
      <c r="AH3812" s="87"/>
      <c r="AI3812" s="87"/>
    </row>
    <row r="3813" spans="1:35" ht="16.5" hidden="1" thickBot="1">
      <c r="A3813" s="44"/>
      <c r="B3813" s="89"/>
      <c r="C3813" s="90"/>
      <c r="D3813" s="90"/>
      <c r="E3813" s="90"/>
      <c r="F3813" s="90"/>
      <c r="G3813" s="90"/>
      <c r="H3813" s="90"/>
      <c r="I3813" s="90"/>
      <c r="J3813" s="90"/>
      <c r="K3813" s="90"/>
      <c r="L3813" s="90"/>
      <c r="M3813" s="90"/>
      <c r="N3813" s="90"/>
      <c r="O3813" s="90"/>
      <c r="P3813" s="90"/>
      <c r="Q3813" s="90"/>
      <c r="R3813" s="90"/>
      <c r="S3813" s="91"/>
      <c r="T3813" s="92"/>
      <c r="U3813" s="473"/>
      <c r="W3813" s="438"/>
      <c r="X3813" s="455"/>
      <c r="Y3813" s="439"/>
      <c r="Z3813" s="437"/>
      <c r="AA3813" s="530"/>
      <c r="AB3813" s="563"/>
      <c r="AC3813" s="87"/>
      <c r="AD3813" s="440"/>
      <c r="AE3813" s="441"/>
      <c r="AF3813" s="442"/>
      <c r="AG3813" s="49"/>
      <c r="AH3813" s="87"/>
      <c r="AI3813" s="87"/>
    </row>
    <row r="3814" spans="1:35" ht="16.5" hidden="1" thickBot="1">
      <c r="A3814" s="93"/>
      <c r="B3814" s="94"/>
      <c r="C3814" s="96"/>
      <c r="D3814" s="96"/>
      <c r="E3814" s="96"/>
      <c r="F3814" s="96"/>
      <c r="G3814" s="96"/>
      <c r="H3814" s="96"/>
      <c r="I3814" s="96"/>
      <c r="J3814" s="96"/>
      <c r="K3814" s="96"/>
      <c r="L3814" s="96"/>
      <c r="M3814" s="136"/>
      <c r="N3814" s="96"/>
      <c r="O3814" s="96"/>
      <c r="P3814" s="97"/>
      <c r="Q3814" s="97"/>
      <c r="R3814" s="98"/>
      <c r="S3814" s="95"/>
      <c r="T3814" s="99"/>
      <c r="U3814" s="469"/>
      <c r="AC3814" s="58"/>
      <c r="AG3814" s="58"/>
      <c r="AH3814" s="87"/>
      <c r="AI3814" s="87"/>
    </row>
    <row r="3815" spans="1:35" ht="16.5" hidden="1" thickBot="1">
      <c r="B3815" s="101"/>
      <c r="C3815" s="101"/>
      <c r="D3815" s="101"/>
      <c r="E3815" s="101"/>
      <c r="F3815" s="101"/>
      <c r="G3815" s="101"/>
      <c r="H3815" s="101"/>
      <c r="I3815" s="101"/>
      <c r="J3815" s="101"/>
      <c r="K3815" s="101"/>
      <c r="L3815" s="101"/>
      <c r="M3815" s="101"/>
      <c r="N3815" s="101"/>
      <c r="O3815" s="101"/>
      <c r="P3815" s="101"/>
      <c r="Q3815" s="101"/>
      <c r="R3815" s="101"/>
      <c r="S3815" s="101"/>
      <c r="U3815" s="50"/>
      <c r="AH3815" s="87"/>
      <c r="AI3815" s="87"/>
    </row>
    <row r="3816" spans="1:35" ht="16.5" hidden="1" customHeight="1" thickBot="1">
      <c r="A3816" s="44"/>
      <c r="B3816" s="705" t="s">
        <v>74</v>
      </c>
      <c r="C3816" s="705"/>
      <c r="D3816" s="705"/>
      <c r="E3816" s="705"/>
      <c r="F3816" s="705"/>
      <c r="G3816" s="705"/>
      <c r="H3816" s="705"/>
      <c r="I3816" s="705"/>
      <c r="J3816" s="705"/>
      <c r="K3816" s="705"/>
      <c r="L3816" s="705"/>
      <c r="M3816" s="705"/>
      <c r="N3816" s="705"/>
      <c r="O3816" s="705"/>
      <c r="P3816" s="705"/>
      <c r="Q3816" s="705"/>
      <c r="R3816" s="705"/>
      <c r="S3816" s="705"/>
      <c r="T3816" s="705"/>
      <c r="U3816" s="108"/>
      <c r="Y3816" s="532" t="s">
        <v>341</v>
      </c>
      <c r="AC3816" s="49"/>
      <c r="AD3816" s="687" t="s">
        <v>302</v>
      </c>
      <c r="AE3816" s="688"/>
      <c r="AF3816" s="689"/>
      <c r="AG3816" s="49"/>
      <c r="AH3816" s="87"/>
      <c r="AI3816" s="87"/>
    </row>
    <row r="3817" spans="1:35" ht="16.5" hidden="1" customHeight="1" thickBot="1">
      <c r="A3817" s="218" t="e">
        <f>"K"&amp;E3799</f>
        <v>#N/A</v>
      </c>
      <c r="B3817" s="701" t="s">
        <v>71</v>
      </c>
      <c r="C3817" s="751" t="s">
        <v>102</v>
      </c>
      <c r="D3817" s="751"/>
      <c r="E3817" s="751"/>
      <c r="F3817" s="751"/>
      <c r="G3817" s="751"/>
      <c r="H3817" s="751"/>
      <c r="I3817" s="751"/>
      <c r="J3817" s="751"/>
      <c r="K3817" s="751"/>
      <c r="L3817" s="722" t="s">
        <v>100</v>
      </c>
      <c r="M3817" s="747" t="s">
        <v>114</v>
      </c>
      <c r="N3817" s="747"/>
      <c r="O3817" s="747"/>
      <c r="P3817" s="747"/>
      <c r="Q3817" s="748"/>
      <c r="R3817" s="758" t="s">
        <v>280</v>
      </c>
      <c r="S3817" s="748"/>
      <c r="T3817" s="762" t="str">
        <f>IF(COUNTIF(AE3817:AF3817,"VERIFICAR")&gt;0,"VERIFICAR",IF(COUNTIF(AE3817:AF3817,"NO CUMPLE")&gt;0,"NO CUMPLE","CUMPLE"))</f>
        <v>VERIFICAR</v>
      </c>
      <c r="U3817" s="108"/>
      <c r="Y3817" s="533" t="e">
        <f>IF(F3818="","",IF(F3818=1,"INDIVIDUAL","ESTRUCTURA PLURAL"))</f>
        <v>#N/A</v>
      </c>
      <c r="AC3817" s="52"/>
      <c r="AD3817" s="475" t="s">
        <v>303</v>
      </c>
      <c r="AE3817" s="476" t="str">
        <f>IF(COUNTIF(AE3803:AE3812,"")=10,"VERIFICAR",IF(COUNTIF(AE3803:AE3812,"SI")&gt;0,"CUMPLE","NO CUMPLE"))</f>
        <v>VERIFICAR</v>
      </c>
      <c r="AF3817" s="477" t="str">
        <f>IF(COUNTIF(AF3803:AF3812,"")=10,"VERIFICAR",IF(COUNTIF(AF3803:AF3812,"SI")&gt;=$AI$22,"CUMPLE","NO CUMPLE"))</f>
        <v>VERIFICAR</v>
      </c>
      <c r="AG3817" s="52"/>
      <c r="AH3817" s="87"/>
      <c r="AI3817" s="87"/>
    </row>
    <row r="3818" spans="1:35" ht="15.75" hidden="1" customHeight="1" thickBot="1">
      <c r="A3818" s="218" t="e">
        <f>"L"&amp;E3799</f>
        <v>#N/A</v>
      </c>
      <c r="B3818" s="702"/>
      <c r="C3818" s="751" t="s">
        <v>103</v>
      </c>
      <c r="D3818" s="751"/>
      <c r="E3818" s="752"/>
      <c r="F3818" s="557" t="e">
        <f>IF(VLOOKUP(E3799,PROPONENTES!$C$19:$E$218,3,0)="","",VLOOKUP(E3799,PROPONENTES!$C$19:$E$218,3,0))</f>
        <v>#N/A</v>
      </c>
      <c r="G3818" s="753" t="s">
        <v>104</v>
      </c>
      <c r="H3818" s="751"/>
      <c r="I3818" s="715" t="e">
        <f>IF(OR(F3818="",F3818=1),"INTERESADO PERSONA NATURAL O JURIDICA","CONSORCIO O UNION TEMPORAL")</f>
        <v>#N/A</v>
      </c>
      <c r="J3818" s="725"/>
      <c r="K3818" s="728"/>
      <c r="L3818" s="723"/>
      <c r="M3818" s="749"/>
      <c r="N3818" s="749"/>
      <c r="O3818" s="749"/>
      <c r="P3818" s="749"/>
      <c r="Q3818" s="750"/>
      <c r="R3818" s="712"/>
      <c r="S3818" s="750"/>
      <c r="T3818" s="763"/>
      <c r="U3818" s="108"/>
      <c r="Y3818" s="534"/>
      <c r="AA3818" s="52"/>
      <c r="AB3818" s="52"/>
      <c r="AC3818" s="52"/>
      <c r="AG3818" s="52"/>
      <c r="AH3818" s="87"/>
      <c r="AI3818" s="87"/>
    </row>
    <row r="3819" spans="1:35" ht="56.25" hidden="1" customHeight="1" thickBot="1">
      <c r="A3819" s="218" t="e">
        <f>"M"&amp;E3799</f>
        <v>#N/A</v>
      </c>
      <c r="B3819" s="702"/>
      <c r="C3819" s="725" t="s">
        <v>101</v>
      </c>
      <c r="D3819" s="716"/>
      <c r="E3819" s="558" t="s">
        <v>105</v>
      </c>
      <c r="F3819" s="554" t="s">
        <v>87</v>
      </c>
      <c r="G3819" s="553" t="s">
        <v>86</v>
      </c>
      <c r="H3819" s="559" t="s">
        <v>85</v>
      </c>
      <c r="I3819" s="554" t="s">
        <v>252</v>
      </c>
      <c r="J3819" s="553" t="str">
        <f>"¿EL INTEGRANTE TIENE UNA PARTICIPACIÓN DEL "&amp;PORCREQUERIDOINT*100&amp;"%?"</f>
        <v>¿EL INTEGRANTE TIENE UNA PARTICIPACIÓN DEL 60%?</v>
      </c>
      <c r="K3819" s="554" t="s">
        <v>107</v>
      </c>
      <c r="L3819" s="724"/>
      <c r="M3819" s="717" t="s">
        <v>115</v>
      </c>
      <c r="N3819" s="718"/>
      <c r="O3819" s="718"/>
      <c r="P3819" s="718"/>
      <c r="Q3819" s="223">
        <f>IF(AND(H3803="SI",P3803&gt;=0),1,0)+IF(AND(H3804="SI",P3804&gt;=0),1,0)+IF(AND(H3805="SI",P3805&gt;=0),1,0)+IF(AND(H3806="SI",P3806&gt;=0),1,0)+IF(AND(H3807="SI",P3807&gt;=0),1,0)+IF(AND(H3808="SI",P3808&gt;=0),1,0)+IF(AND(H3809="SI",P3809&gt;=0),1,0)+IF(AND(H3810="SI",P3810&gt;=0),1,0)+IF(AND(H3811="SI",P3811&gt;=0),1,0)+IF(AND(H3812="SI",P3812&gt;=0),1,0)</f>
        <v>0</v>
      </c>
      <c r="R3819" s="759"/>
      <c r="S3819" s="761"/>
      <c r="T3819" s="764"/>
      <c r="U3819" s="219"/>
      <c r="V3819" s="464"/>
      <c r="Y3819" s="532" t="s">
        <v>342</v>
      </c>
      <c r="AA3819" s="550" t="s">
        <v>344</v>
      </c>
      <c r="AB3819" s="693" t="s">
        <v>345</v>
      </c>
      <c r="AC3819" s="693" t="s">
        <v>346</v>
      </c>
      <c r="AD3819" s="685" t="s">
        <v>347</v>
      </c>
      <c r="AE3819" s="52"/>
      <c r="AF3819" s="52"/>
      <c r="AG3819" s="52"/>
      <c r="AH3819" s="87"/>
      <c r="AI3819" s="87"/>
    </row>
    <row r="3820" spans="1:35" ht="15.75" hidden="1" customHeight="1" thickBot="1">
      <c r="A3820" s="218" t="e">
        <f>"N"&amp;E3799</f>
        <v>#N/A</v>
      </c>
      <c r="B3820" s="702"/>
      <c r="C3820" s="114">
        <v>1</v>
      </c>
      <c r="D3820" s="194" t="e">
        <f>IF(AND(C3820&lt;=F3818,F3818&gt;1,F3818&lt;&gt;""),VLOOKUP(VALUE(E3799&amp;","&amp;C3820),INTEGRANTES!$D$18:$F$235,2,0),"")</f>
        <v>#N/A</v>
      </c>
      <c r="E3820" s="211" t="e">
        <f>IF(D3820&lt;&gt;"",VLOOKUP(VALUE(E3799&amp;","&amp;C3820),INTEGRANTES!$D$18:$F$235,3,0),"")</f>
        <v>#N/A</v>
      </c>
      <c r="F3820" s="547" t="e">
        <f>IF(D3820="","",SUMIF($I3803:$I3812,D3820,$P3803:$P3812))</f>
        <v>#N/A</v>
      </c>
      <c r="G3820" s="333" t="e">
        <f>IF(D3820="","",SUMIF($I3803:$I3812,D3820,$M3803:$M3812))</f>
        <v>#N/A</v>
      </c>
      <c r="H3820" s="535" t="e">
        <f t="shared" ref="H3820:H3825" si="1127">IF(D3820="","",IF(OR(F3820=0,G3820=0),"NO APORTA",ROUND($F3820/$G3820,3)))</f>
        <v>#N/A</v>
      </c>
      <c r="I3820" s="212" t="e">
        <f>IF(D3820="","",IF(H3820="NO APORTA","NO",IF(H3820=MAX($H3820:$H3825),"SI","NO")))</f>
        <v>#N/A</v>
      </c>
      <c r="J3820" s="213" t="e">
        <f t="shared" ref="J3820:J3825" si="1128">IF(D3820="","",IF(E3820&gt;=PORCREQUERIDOINT,"SI","NO"))</f>
        <v>#N/A</v>
      </c>
      <c r="K3820" s="200" t="e">
        <f t="shared" ref="K3820:K3825" si="1129">IF(D3820="","",IF(AND(I3820="SI",J3820="SI"),"CUMPLE",IF(AND(I3820="NO",OR(J3820="SI",J3820="NO")),"","NO CUMPLE")))</f>
        <v>#N/A</v>
      </c>
      <c r="L3820" s="722" t="s">
        <v>108</v>
      </c>
      <c r="M3820" s="726" t="s">
        <v>119</v>
      </c>
      <c r="N3820" s="726"/>
      <c r="O3820" s="726"/>
      <c r="P3820" s="726"/>
      <c r="Q3820" s="727"/>
      <c r="R3820" s="758" t="s">
        <v>80</v>
      </c>
      <c r="S3820" s="747"/>
      <c r="T3820" s="748"/>
      <c r="U3820" s="219"/>
      <c r="V3820" s="464"/>
      <c r="Y3820" s="533" t="e">
        <f>IF(Y3817="","",IF(Y3817="INDIVIDUAL","NO APLICA","VERIFICAR CUADRO"))</f>
        <v>#N/A</v>
      </c>
      <c r="AA3820" s="551"/>
      <c r="AB3820" s="694"/>
      <c r="AC3820" s="694"/>
      <c r="AD3820" s="686"/>
      <c r="AE3820" s="52"/>
      <c r="AF3820" s="52"/>
      <c r="AG3820" s="52"/>
      <c r="AH3820" s="87"/>
      <c r="AI3820" s="87"/>
    </row>
    <row r="3821" spans="1:35" ht="27" hidden="1" customHeight="1" thickBot="1">
      <c r="A3821" s="218" t="e">
        <f>"O"&amp;E3799</f>
        <v>#N/A</v>
      </c>
      <c r="B3821" s="702"/>
      <c r="C3821" s="114">
        <v>2</v>
      </c>
      <c r="D3821" s="194" t="e">
        <f>IF(AND(C3821&lt;=F3818,F3818&lt;&gt;""),VLOOKUP(VALUE(E3799&amp;","&amp;C3821),INTEGRANTES!$D$18:$F$235,2,0),"")</f>
        <v>#N/A</v>
      </c>
      <c r="E3821" s="211" t="e">
        <f>IF(D3821&lt;&gt;"",VLOOKUP(VALUE(E3799&amp;","&amp;C3821),INTEGRANTES!$D$18:$F$235,3,0),"")</f>
        <v>#N/A</v>
      </c>
      <c r="F3821" s="547" t="e">
        <f>IF(D3821="","",SUMIF($I3803:$I3812,D3821,$P3803:$P3812))</f>
        <v>#N/A</v>
      </c>
      <c r="G3821" s="333" t="e">
        <f>IF(D3821="","",SUMIF($I3803:$I3812,D3821,$M3803:$M3812))</f>
        <v>#N/A</v>
      </c>
      <c r="H3821" s="535" t="e">
        <f t="shared" si="1127"/>
        <v>#N/A</v>
      </c>
      <c r="I3821" s="212" t="e">
        <f>IF(D3821="","",IF(H3821="NO APORTA","NO",IF(H3821=MAX($H3820:$H3825),"SI","NO")))</f>
        <v>#N/A</v>
      </c>
      <c r="J3821" s="213" t="e">
        <f t="shared" si="1128"/>
        <v>#N/A</v>
      </c>
      <c r="K3821" s="200" t="e">
        <f t="shared" si="1129"/>
        <v>#N/A</v>
      </c>
      <c r="L3821" s="723"/>
      <c r="M3821" s="715" t="s">
        <v>116</v>
      </c>
      <c r="N3821" s="716"/>
      <c r="O3821" s="556" t="s">
        <v>113</v>
      </c>
      <c r="P3821" s="715" t="s">
        <v>117</v>
      </c>
      <c r="Q3821" s="728"/>
      <c r="R3821" s="759"/>
      <c r="S3821" s="760"/>
      <c r="T3821" s="761"/>
      <c r="U3821" s="219"/>
      <c r="V3821" s="464"/>
      <c r="Y3821" s="414"/>
      <c r="AA3821" s="542" t="e">
        <f>IF(AND(C3820&lt;=F3818,F3818&gt;1,F3818&lt;&gt;""),VLOOKUP(VALUE(E3799&amp;","&amp;C3820),INTEGRANTES!$D$18:$F$235,2,0),"")</f>
        <v>#N/A</v>
      </c>
      <c r="AB3821" s="544" t="e">
        <f t="shared" ref="AB3821:AB3826" si="1130">IF(D3820="","",IF(OR(F3820=0,G3820=0),"NO APORTA",ROUND($F3820/$G3820,3)))</f>
        <v>#N/A</v>
      </c>
      <c r="AC3821" s="529"/>
      <c r="AD3821" s="200" t="e">
        <f t="shared" ref="AD3821:AD3826" si="1131">IF(OR(AA3821="",AB3821=""),"",IF(AND(AC3821="X",AB3821&gt;=EXPREQVTD),"CUMPLE","NO CUMPLE"))</f>
        <v>#N/A</v>
      </c>
      <c r="AE3821" s="52"/>
      <c r="AF3821" s="52"/>
      <c r="AG3821" s="52"/>
      <c r="AH3821" s="87"/>
      <c r="AI3821" s="87"/>
    </row>
    <row r="3822" spans="1:35" ht="16.5" hidden="1" thickBot="1">
      <c r="A3822" s="218" t="e">
        <f>"P"&amp;E3799</f>
        <v>#N/A</v>
      </c>
      <c r="B3822" s="702"/>
      <c r="C3822" s="114">
        <v>3</v>
      </c>
      <c r="D3822" s="194" t="e">
        <f>IF(AND(C3822&lt;=F3818,F3818&lt;&gt;""),VLOOKUP(VALUE(E3799&amp;","&amp;C3822),INTEGRANTES!$D$18:$F$235,2,0),"")</f>
        <v>#N/A</v>
      </c>
      <c r="E3822" s="211" t="e">
        <f>IF(D3822&lt;&gt;"",VLOOKUP(VALUE(E3799&amp;","&amp;C3822),INTEGRANTES!$D$18:$F$235,3,0),"")</f>
        <v>#N/A</v>
      </c>
      <c r="F3822" s="547" t="e">
        <f>IF(D3822="","",SUMIF($I3803:$I3812,D3822,$P3803:$P3812))</f>
        <v>#N/A</v>
      </c>
      <c r="G3822" s="333" t="e">
        <f>IF(D3822="","",SUMIF($I3803:$I3812,D3822,$M3803:$M3812))</f>
        <v>#N/A</v>
      </c>
      <c r="H3822" s="535" t="e">
        <f t="shared" si="1127"/>
        <v>#N/A</v>
      </c>
      <c r="I3822" s="212" t="e">
        <f>IF(D3822="","",IF(H3822="NO APORTA","NO",IF(H3822=MAX($H3820:$H3825),"SI","NO")))</f>
        <v>#N/A</v>
      </c>
      <c r="J3822" s="213" t="e">
        <f t="shared" si="1128"/>
        <v>#N/A</v>
      </c>
      <c r="K3822" s="200" t="e">
        <f t="shared" si="1129"/>
        <v>#N/A</v>
      </c>
      <c r="L3822" s="724"/>
      <c r="M3822" s="729">
        <f>NUMMOD</f>
        <v>1</v>
      </c>
      <c r="N3822" s="730"/>
      <c r="O3822" s="443">
        <f>IF(M3822="","",VLOOKUP(M3822,PRESUPUESTOS!$B$16:$H$16,5,FALSE))</f>
        <v>2</v>
      </c>
      <c r="P3822" s="713">
        <f>IF(OR(COUNTIF(M3803:M3812,"")&gt;=10,Q3819&lt;NUMMINCONT,OR(T3817="NO CUMPLE",T3817="VERIFICAR")),0,ROUND(AVERAGE(M3803:M3812),3))</f>
        <v>0</v>
      </c>
      <c r="Q3822" s="714"/>
      <c r="R3822" s="458"/>
      <c r="S3822" s="459"/>
      <c r="T3822" s="460"/>
      <c r="U3822" s="219"/>
      <c r="V3822" s="464"/>
      <c r="Y3822" s="532" t="str">
        <f>"40% * ("&amp;PRESUPUESTOS!$H$13&amp;")"</f>
        <v>40% * (50% PFMO)</v>
      </c>
      <c r="AA3822" s="540" t="e">
        <f>IF(AND(C3821&lt;=F3818,F3818&lt;&gt;""),VLOOKUP(VALUE(E3799&amp;","&amp;C3821),INTEGRANTES!$D$18:$F$235,2,0),"")</f>
        <v>#N/A</v>
      </c>
      <c r="AB3822" s="545" t="e">
        <f t="shared" si="1130"/>
        <v>#N/A</v>
      </c>
      <c r="AC3822" s="529"/>
      <c r="AD3822" s="200" t="e">
        <f t="shared" si="1131"/>
        <v>#N/A</v>
      </c>
      <c r="AE3822" s="52"/>
      <c r="AF3822" s="52"/>
      <c r="AG3822" s="52"/>
      <c r="AH3822" s="87"/>
      <c r="AI3822" s="87"/>
    </row>
    <row r="3823" spans="1:35" ht="15.75" hidden="1" customHeight="1" thickBot="1">
      <c r="A3823" s="218" t="e">
        <f>"Q"&amp;E3799</f>
        <v>#N/A</v>
      </c>
      <c r="B3823" s="702"/>
      <c r="C3823" s="114">
        <v>4</v>
      </c>
      <c r="D3823" s="194" t="e">
        <f>IF(AND(C3823&lt;=F3818,F3818&lt;&gt;""),VLOOKUP(VALUE(E3799&amp;","&amp;C3823),INTEGRANTES!$D$18:$F$235,2,0),"")</f>
        <v>#N/A</v>
      </c>
      <c r="E3823" s="211" t="e">
        <f>IF(D3823&lt;&gt;"",VLOOKUP(VALUE(E3799&amp;","&amp;C3823),INTEGRANTES!$D$18:$F$235,3,0),"")</f>
        <v>#N/A</v>
      </c>
      <c r="F3823" s="547" t="e">
        <f>IF(D3823="","",SUMIF($I3803:$I3812,D3823,$P3803:$P3812))</f>
        <v>#N/A</v>
      </c>
      <c r="G3823" s="333" t="e">
        <f>IF(D3823="","",SUMIF($I3803:$I3812,D3823,$M3803:$M3812))</f>
        <v>#N/A</v>
      </c>
      <c r="H3823" s="535" t="e">
        <f t="shared" si="1127"/>
        <v>#N/A</v>
      </c>
      <c r="I3823" s="212" t="e">
        <f>IF(D3823="","",IF(H3823="NO APORTA","NO",IF(H3823=MAX($H3820:$H3825),"SI","NO")))</f>
        <v>#N/A</v>
      </c>
      <c r="J3823" s="213" t="e">
        <f t="shared" si="1128"/>
        <v>#N/A</v>
      </c>
      <c r="K3823" s="200" t="e">
        <f t="shared" si="1129"/>
        <v>#N/A</v>
      </c>
      <c r="L3823" s="720" t="s">
        <v>109</v>
      </c>
      <c r="M3823" s="757" t="s">
        <v>120</v>
      </c>
      <c r="N3823" s="726"/>
      <c r="O3823" s="726"/>
      <c r="P3823" s="726"/>
      <c r="Q3823" s="727"/>
      <c r="R3823" s="458"/>
      <c r="S3823" s="459"/>
      <c r="T3823" s="460"/>
      <c r="U3823" s="219"/>
      <c r="V3823" s="464"/>
      <c r="Y3823" s="537">
        <f>0.4*PRESUPUESTOS!$H$16</f>
        <v>10.3124</v>
      </c>
      <c r="AA3823" s="540" t="e">
        <f>IF(AND(C3822&lt;=F3818,F3818&lt;&gt;""),VLOOKUP(VALUE(E3799&amp;","&amp;C3822),INTEGRANTES!$D$18:$F$235,2,0),"")</f>
        <v>#N/A</v>
      </c>
      <c r="AB3823" s="545" t="e">
        <f t="shared" si="1130"/>
        <v>#N/A</v>
      </c>
      <c r="AC3823" s="529"/>
      <c r="AD3823" s="200" t="e">
        <f t="shared" si="1131"/>
        <v>#N/A</v>
      </c>
      <c r="AE3823" s="52"/>
      <c r="AF3823" s="52"/>
      <c r="AG3823" s="52"/>
      <c r="AH3823" s="87"/>
      <c r="AI3823" s="87"/>
    </row>
    <row r="3824" spans="1:35" ht="27" hidden="1" customHeight="1" thickBot="1">
      <c r="A3824" s="218" t="e">
        <f>"R"&amp;E3799</f>
        <v>#N/A</v>
      </c>
      <c r="B3824" s="702"/>
      <c r="C3824" s="114">
        <v>5</v>
      </c>
      <c r="D3824" s="194" t="e">
        <f>IF(AND(C3824&lt;=F3818,F3818&lt;&gt;""),VLOOKUP(VALUE(E3799&amp;","&amp;C3824),INTEGRANTES!$D$18:$F$235,2,0),"")</f>
        <v>#N/A</v>
      </c>
      <c r="E3824" s="211" t="e">
        <f>IF(D3824&lt;&gt;"",VLOOKUP(VALUE(E3799&amp;","&amp;C3824),INTEGRANTES!$D$18:$F$235,3,0),"")</f>
        <v>#N/A</v>
      </c>
      <c r="F3824" s="547" t="e">
        <f>IF(D3824="","",SUMIF($I3803:$I3812,D3824,$P3803:$P3812))</f>
        <v>#N/A</v>
      </c>
      <c r="G3824" s="333" t="e">
        <f>IF(D3824="","",SUMIF($I3803:$I3812,D3824,$M3803:$M3812))</f>
        <v>#N/A</v>
      </c>
      <c r="H3824" s="535" t="e">
        <f t="shared" si="1127"/>
        <v>#N/A</v>
      </c>
      <c r="I3824" s="212" t="e">
        <f>IF(D3824="","",IF(H3824="NO APORTA","NO",IF(H3824=MAX($H3820:$H3825),"SI","NO")))</f>
        <v>#N/A</v>
      </c>
      <c r="J3824" s="213" t="e">
        <f t="shared" si="1128"/>
        <v>#N/A</v>
      </c>
      <c r="K3824" s="200" t="e">
        <f t="shared" si="1129"/>
        <v>#N/A</v>
      </c>
      <c r="L3824" s="721"/>
      <c r="M3824" s="715" t="s">
        <v>116</v>
      </c>
      <c r="N3824" s="716"/>
      <c r="O3824" s="556" t="str">
        <f>PORCREQUERIDO*100&amp;"% PMFO DEL MÓDULO"</f>
        <v>50% PMFO DEL MÓDULO</v>
      </c>
      <c r="P3824" s="715" t="s">
        <v>118</v>
      </c>
      <c r="Q3824" s="728"/>
      <c r="R3824" s="458"/>
      <c r="S3824" s="459"/>
      <c r="T3824" s="460"/>
      <c r="U3824" s="219"/>
      <c r="V3824" s="464"/>
      <c r="Y3824" s="414"/>
      <c r="AA3824" s="540" t="e">
        <f>IF(AND(C3823&lt;=F3818,F3818&lt;&gt;""),VLOOKUP(VALUE(E3799&amp;","&amp;C3823),INTEGRANTES!$D$18:$F$235,2,0),"")</f>
        <v>#N/A</v>
      </c>
      <c r="AB3824" s="545" t="e">
        <f t="shared" si="1130"/>
        <v>#N/A</v>
      </c>
      <c r="AC3824" s="529"/>
      <c r="AD3824" s="200" t="e">
        <f t="shared" si="1131"/>
        <v>#N/A</v>
      </c>
      <c r="AE3824" s="52"/>
      <c r="AF3824" s="52"/>
      <c r="AG3824" s="52"/>
      <c r="AH3824" s="87"/>
      <c r="AI3824" s="87"/>
    </row>
    <row r="3825" spans="1:35" ht="16.5" hidden="1" thickBot="1">
      <c r="A3825" s="218" t="e">
        <f>"S"&amp;E3799</f>
        <v>#N/A</v>
      </c>
      <c r="B3825" s="702"/>
      <c r="C3825" s="215">
        <v>6</v>
      </c>
      <c r="D3825" s="216" t="e">
        <f>IF(AND(C3825&lt;=F3818,F3818&lt;&gt;""),VLOOKUP(VALUE(E3799&amp;","&amp;C3825),INTEGRANTES!$D$18:$F$235,2,0),"")</f>
        <v>#N/A</v>
      </c>
      <c r="E3825" s="217" t="e">
        <f>IF(D3825&lt;&gt;"",VLOOKUP(VALUE(E3799&amp;","&amp;C3825),INTEGRANTES!$D$18:$F$235,3,0),"")</f>
        <v>#N/A</v>
      </c>
      <c r="F3825" s="548" t="e">
        <f>IF(D3825="","",SUMIF($I3803:$I3812,D3825,$P3803:$P3812))</f>
        <v>#N/A</v>
      </c>
      <c r="G3825" s="334" t="e">
        <f>IF(D3825="","",SUMIF($I3803:$I3812,D3825,$M3803:$M3812))</f>
        <v>#N/A</v>
      </c>
      <c r="H3825" s="536" t="e">
        <f t="shared" si="1127"/>
        <v>#N/A</v>
      </c>
      <c r="I3825" s="214" t="e">
        <f>IF(D3825="","",IF(H3825="NO APORTA","NO",IF(H3825=MAX($H3820:$H3825),"SI","NO")))</f>
        <v>#N/A</v>
      </c>
      <c r="J3825" s="213" t="e">
        <f t="shared" si="1128"/>
        <v>#N/A</v>
      </c>
      <c r="K3825" s="200" t="e">
        <f t="shared" si="1129"/>
        <v>#N/A</v>
      </c>
      <c r="L3825" s="721"/>
      <c r="M3825" s="729">
        <f>NUMMOD</f>
        <v>1</v>
      </c>
      <c r="N3825" s="730"/>
      <c r="O3825" s="443">
        <f>IF(M3825="","",ROUND(VLOOKUP(M3825,PRESUPUESTOS!$B$16:$H$16,7,FALSE),3))</f>
        <v>25.780999999999999</v>
      </c>
      <c r="P3825" s="713">
        <f>IF(OR(COUNTIF(P3803:P3812,"")&gt;=10,Q3819&lt;NUMMINCONT,OR(T3817="NO CUMPLE",T3817="VERIFICAR")),0,ROUND((SUM(P3803:P3812)/SUM(M3803:M3812)),3))</f>
        <v>0</v>
      </c>
      <c r="Q3825" s="714"/>
      <c r="R3825" s="458"/>
      <c r="S3825" s="459"/>
      <c r="T3825" s="460"/>
      <c r="U3825" s="219"/>
      <c r="V3825" s="464"/>
      <c r="Y3825" s="532" t="s">
        <v>343</v>
      </c>
      <c r="AA3825" s="540" t="e">
        <f>IF(AND(C3824&lt;=F3818,F3818&lt;&gt;""),VLOOKUP(VALUE(E3799&amp;","&amp;C3824),INTEGRANTES!$D$18:$F$235,2,0),"")</f>
        <v>#N/A</v>
      </c>
      <c r="AB3825" s="545" t="e">
        <f t="shared" si="1130"/>
        <v>#N/A</v>
      </c>
      <c r="AC3825" s="529"/>
      <c r="AD3825" s="200" t="e">
        <f t="shared" si="1131"/>
        <v>#N/A</v>
      </c>
      <c r="AE3825" s="52"/>
      <c r="AF3825" s="52"/>
      <c r="AG3825" s="52"/>
      <c r="AH3825" s="87"/>
      <c r="AI3825" s="87"/>
    </row>
    <row r="3826" spans="1:35" ht="16.5" hidden="1" customHeight="1" thickBot="1">
      <c r="A3826" s="218" t="e">
        <f>"T"&amp;E3799</f>
        <v>#N/A</v>
      </c>
      <c r="B3826" s="703"/>
      <c r="C3826" s="719"/>
      <c r="D3826" s="719"/>
      <c r="E3826" s="719"/>
      <c r="F3826" s="719"/>
      <c r="G3826" s="719"/>
      <c r="H3826" s="719" t="s">
        <v>110</v>
      </c>
      <c r="I3826" s="719"/>
      <c r="J3826" s="719"/>
      <c r="K3826" s="201" t="str">
        <f>IF(COUNTIF(K3820:K3825,"")=6,"",IF(COUNTIF(K3820:K3825,"CUMPLE")&gt;0,"CUMPLE","NO CUMPLE"))</f>
        <v>NO CUMPLE</v>
      </c>
      <c r="L3826" s="754"/>
      <c r="M3826" s="755"/>
      <c r="N3826" s="755"/>
      <c r="O3826" s="755"/>
      <c r="P3826" s="755"/>
      <c r="Q3826" s="756"/>
      <c r="R3826" s="461"/>
      <c r="S3826" s="462"/>
      <c r="T3826" s="463"/>
      <c r="U3826" s="219"/>
      <c r="V3826" s="464"/>
      <c r="Y3826" s="549" t="e">
        <f>IF(Y3820="NO APLICA","NO APLICA",IF(COUNTIF(AD3821:AD3826,"CUMPLE")&gt;0,"CUMPLE","NO CUMPLE"))</f>
        <v>#N/A</v>
      </c>
      <c r="AA3826" s="541" t="e">
        <f>IF(AND(C3825&lt;=F3818,F3818&lt;&gt;""),VLOOKUP(VALUE(E3799&amp;","&amp;C3825),INTEGRANTES!$D$18:$F$235,2,0),"")</f>
        <v>#N/A</v>
      </c>
      <c r="AB3826" s="546" t="e">
        <f t="shared" si="1130"/>
        <v>#N/A</v>
      </c>
      <c r="AC3826" s="543"/>
      <c r="AD3826" s="201" t="e">
        <f t="shared" si="1131"/>
        <v>#N/A</v>
      </c>
      <c r="AE3826" s="52"/>
      <c r="AF3826" s="52"/>
      <c r="AG3826" s="52"/>
      <c r="AH3826" s="87"/>
      <c r="AI3826" s="87"/>
    </row>
    <row r="3827" spans="1:35" hidden="1">
      <c r="AH3827" s="87"/>
      <c r="AI3827" s="87"/>
    </row>
    <row r="3828" spans="1:35" hidden="1">
      <c r="AH3828" s="87"/>
      <c r="AI3828" s="87"/>
    </row>
    <row r="3829" spans="1:35" ht="24" hidden="1" thickBot="1">
      <c r="A3829" s="61">
        <v>128</v>
      </c>
      <c r="B3829" s="704" t="s">
        <v>51</v>
      </c>
      <c r="C3829" s="704"/>
      <c r="D3829" s="704"/>
      <c r="E3829" s="62" t="e">
        <f>VLOOKUP(A3829,PROPONENTES!$B$19:$E$218,2,FALSE)</f>
        <v>#N/A</v>
      </c>
      <c r="F3829" s="63" t="e">
        <f>VLOOKUP(A3829,PROPONENTES!$B$19:$E$218,3,FALSE)</f>
        <v>#N/A</v>
      </c>
      <c r="G3829" s="64"/>
      <c r="H3829" s="64"/>
      <c r="I3829" s="63"/>
      <c r="J3829" s="63"/>
      <c r="K3829" s="65"/>
      <c r="L3829" s="65"/>
      <c r="M3829" s="64"/>
      <c r="N3829" s="64"/>
      <c r="O3829" s="66"/>
      <c r="P3829" s="66"/>
      <c r="Q3829" s="66"/>
      <c r="R3829" s="66"/>
      <c r="S3829" s="67"/>
      <c r="T3829" s="68"/>
      <c r="U3829" s="68"/>
      <c r="AC3829" s="68"/>
      <c r="AD3829" s="68"/>
      <c r="AE3829" s="68"/>
      <c r="AF3829" s="68"/>
      <c r="AG3829" s="68"/>
      <c r="AH3829" s="87"/>
      <c r="AI3829" s="87"/>
    </row>
    <row r="3830" spans="1:35" ht="15.75" hidden="1" customHeight="1">
      <c r="A3830" s="44"/>
      <c r="B3830" s="709" t="s">
        <v>59</v>
      </c>
      <c r="C3830" s="552" t="s">
        <v>60</v>
      </c>
      <c r="D3830" s="70" t="s">
        <v>17</v>
      </c>
      <c r="E3830" s="70"/>
      <c r="F3830" s="70" t="s">
        <v>61</v>
      </c>
      <c r="G3830" s="71"/>
      <c r="H3830" s="699" t="s">
        <v>62</v>
      </c>
      <c r="I3830" s="699" t="s">
        <v>18</v>
      </c>
      <c r="J3830" s="699" t="s">
        <v>63</v>
      </c>
      <c r="K3830" s="699" t="s">
        <v>64</v>
      </c>
      <c r="L3830" s="699" t="s">
        <v>65</v>
      </c>
      <c r="M3830" s="743" t="s">
        <v>66</v>
      </c>
      <c r="N3830" s="699" t="s">
        <v>282</v>
      </c>
      <c r="O3830" s="745" t="s">
        <v>67</v>
      </c>
      <c r="P3830" s="746"/>
      <c r="Q3830" s="102" t="s">
        <v>75</v>
      </c>
      <c r="R3830" s="731" t="s">
        <v>22</v>
      </c>
      <c r="S3830" s="732"/>
      <c r="T3830" s="733"/>
      <c r="U3830" s="712" t="s">
        <v>298</v>
      </c>
      <c r="W3830" s="690" t="s">
        <v>268</v>
      </c>
      <c r="X3830" s="691"/>
      <c r="Y3830" s="692"/>
      <c r="Z3830" s="428"/>
      <c r="AA3830" s="697" t="s">
        <v>315</v>
      </c>
      <c r="AB3830" s="695" t="s">
        <v>322</v>
      </c>
      <c r="AC3830" s="49"/>
      <c r="AD3830" s="690" t="s">
        <v>297</v>
      </c>
      <c r="AE3830" s="691"/>
      <c r="AF3830" s="692"/>
      <c r="AG3830" s="49"/>
      <c r="AH3830" s="87"/>
      <c r="AI3830" s="87"/>
    </row>
    <row r="3831" spans="1:35" ht="72" hidden="1">
      <c r="A3831" s="44"/>
      <c r="B3831" s="710"/>
      <c r="C3831" s="553" t="s">
        <v>68</v>
      </c>
      <c r="D3831" s="73" t="s">
        <v>3</v>
      </c>
      <c r="E3831" s="73" t="s">
        <v>19</v>
      </c>
      <c r="F3831" s="73" t="s">
        <v>69</v>
      </c>
      <c r="G3831" s="74" t="s">
        <v>70</v>
      </c>
      <c r="H3831" s="700"/>
      <c r="I3831" s="700"/>
      <c r="J3831" s="700"/>
      <c r="K3831" s="700"/>
      <c r="L3831" s="700"/>
      <c r="M3831" s="744"/>
      <c r="N3831" s="700"/>
      <c r="O3831" s="553" t="s">
        <v>279</v>
      </c>
      <c r="P3831" s="73" t="s">
        <v>88</v>
      </c>
      <c r="Q3831" s="555" t="s">
        <v>76</v>
      </c>
      <c r="R3831" s="734"/>
      <c r="S3831" s="735"/>
      <c r="T3831" s="736"/>
      <c r="U3831" s="712"/>
      <c r="W3831" s="429" t="s">
        <v>269</v>
      </c>
      <c r="X3831" s="457" t="s">
        <v>278</v>
      </c>
      <c r="Y3831" s="430" t="s">
        <v>324</v>
      </c>
      <c r="Z3831" s="428"/>
      <c r="AA3831" s="698"/>
      <c r="AB3831" s="696"/>
      <c r="AC3831" s="49"/>
      <c r="AD3831" s="429" t="s">
        <v>292</v>
      </c>
      <c r="AE3831" s="431" t="s">
        <v>300</v>
      </c>
      <c r="AF3831" s="468" t="s">
        <v>301</v>
      </c>
      <c r="AG3831" s="49"/>
      <c r="AH3831" s="87"/>
      <c r="AI3831" s="87"/>
    </row>
    <row r="3832" spans="1:35" hidden="1">
      <c r="A3832" s="44"/>
      <c r="B3832" s="76"/>
      <c r="C3832" s="77"/>
      <c r="D3832" s="77"/>
      <c r="E3832" s="77"/>
      <c r="F3832" s="77"/>
      <c r="G3832" s="77"/>
      <c r="H3832" s="77"/>
      <c r="I3832" s="77"/>
      <c r="J3832" s="77"/>
      <c r="K3832" s="77"/>
      <c r="L3832" s="77"/>
      <c r="M3832" s="77"/>
      <c r="N3832" s="77"/>
      <c r="O3832" s="77"/>
      <c r="P3832" s="77"/>
      <c r="Q3832" s="77"/>
      <c r="R3832" s="77"/>
      <c r="S3832" s="78"/>
      <c r="T3832" s="79"/>
      <c r="U3832" s="109"/>
      <c r="V3832" s="49"/>
      <c r="W3832" s="432"/>
      <c r="X3832" s="454"/>
      <c r="Y3832" s="433"/>
      <c r="Z3832" s="6"/>
      <c r="AA3832" s="500"/>
      <c r="AB3832" s="562"/>
      <c r="AC3832" s="49"/>
      <c r="AD3832" s="210"/>
      <c r="AE3832" s="434"/>
      <c r="AF3832" s="435"/>
      <c r="AG3832" s="49"/>
      <c r="AH3832" s="87"/>
      <c r="AI3832" s="87"/>
    </row>
    <row r="3833" spans="1:35" hidden="1">
      <c r="A3833" s="80" t="e">
        <f>"A"&amp;E3829</f>
        <v>#N/A</v>
      </c>
      <c r="B3833" s="81">
        <v>1</v>
      </c>
      <c r="C3833" s="82"/>
      <c r="D3833" s="82"/>
      <c r="E3833" s="82"/>
      <c r="F3833" s="82"/>
      <c r="G3833" s="83"/>
      <c r="H3833" s="83"/>
      <c r="I3833" s="84"/>
      <c r="J3833" s="85"/>
      <c r="K3833" s="382"/>
      <c r="L3833" s="85"/>
      <c r="M3833" s="332" t="str">
        <f t="shared" ref="M3833:M3842" si="1132">IF(OR(J3833="",L3833="",H3833="NO"),"",IF(OR(J3833&gt;$P$17,J3833&lt;$O$17,L3833&gt;$P$17,AND(J3833&lt;$O$17,L3833&lt;$O$17)),"FUERA DE RANGO",IF(OR(K3833="---",K3833=""),IF(J3833&gt;=$O$17,ROUND((L3833-J3833+1)/360*12,3),ROUND((L3833-$O$17+1)/360*12,3)),IF(J3833&gt;=$O$17,ROUND((L3833-J3833+1)/360*12-ROUND(K3833,3),3),ROUND((L3833-$O$17+1)/360*12-ROUND(K3833,3),3)))))</f>
        <v/>
      </c>
      <c r="N3833" s="86"/>
      <c r="O3833" s="453" t="str">
        <f>IF(OR(G3833="",N3833=""),"",N3833*G3833)</f>
        <v/>
      </c>
      <c r="P3833" s="538" t="str">
        <f>IF(OR(H3833="",M3833="FUERA DE RANGO"),"",IF(OR(L3833&lt;$O$17,L3833&gt;$P$17,L3833="",H3833="NO"),"",IF(OR(N3833="",O3833=""),"",ROUND(O3833,3))))</f>
        <v/>
      </c>
      <c r="Q3833" s="539" t="str">
        <f t="shared" ref="Q3833:Q3842" si="1133">IF(AND(H3833="SI",P3833&lt;&gt;""),ROUND(P3833/M3833,3),"")</f>
        <v/>
      </c>
      <c r="R3833" s="737"/>
      <c r="S3833" s="738"/>
      <c r="T3833" s="739"/>
      <c r="U3833" s="470"/>
      <c r="V3833" s="165"/>
      <c r="W3833" s="446"/>
      <c r="X3833" s="456"/>
      <c r="Y3833" s="436"/>
      <c r="Z3833" s="437"/>
      <c r="AA3833" s="560"/>
      <c r="AB3833" s="561"/>
      <c r="AC3833" s="87"/>
      <c r="AD3833" s="466"/>
      <c r="AE3833" s="456"/>
      <c r="AF3833" s="467"/>
      <c r="AG3833" s="87"/>
      <c r="AH3833" s="87"/>
      <c r="AI3833" s="87"/>
    </row>
    <row r="3834" spans="1:35" hidden="1">
      <c r="A3834" s="80" t="e">
        <f>"B"&amp;E3829</f>
        <v>#N/A</v>
      </c>
      <c r="B3834" s="81">
        <v>2</v>
      </c>
      <c r="C3834" s="106"/>
      <c r="D3834" s="106"/>
      <c r="E3834" s="106"/>
      <c r="F3834" s="106"/>
      <c r="G3834" s="83"/>
      <c r="H3834" s="83"/>
      <c r="I3834" s="84"/>
      <c r="J3834" s="85"/>
      <c r="K3834" s="382"/>
      <c r="L3834" s="85"/>
      <c r="M3834" s="332" t="str">
        <f t="shared" si="1132"/>
        <v/>
      </c>
      <c r="N3834" s="86"/>
      <c r="O3834" s="453" t="str">
        <f t="shared" ref="O3834:O3842" si="1134">IF(OR(G3834="",N3834=""),"",N3834*G3834)</f>
        <v/>
      </c>
      <c r="P3834" s="538" t="str">
        <f t="shared" ref="P3834:P3842" si="1135">IF(OR(H3834="",M3834="FUERA DE RANGO"),"",IF(OR(L3834&lt;$O$17,L3834&gt;$P$17,L3834="",H3834="NO"),"",IF(OR(N3834="",O3834=""),"",ROUND(O3834,3))))</f>
        <v/>
      </c>
      <c r="Q3834" s="539" t="str">
        <f t="shared" si="1133"/>
        <v/>
      </c>
      <c r="R3834" s="740"/>
      <c r="S3834" s="741"/>
      <c r="T3834" s="742"/>
      <c r="U3834" s="471"/>
      <c r="V3834" s="165"/>
      <c r="W3834" s="446"/>
      <c r="X3834" s="456"/>
      <c r="Y3834" s="436"/>
      <c r="Z3834" s="437"/>
      <c r="AA3834" s="560"/>
      <c r="AB3834" s="561"/>
      <c r="AC3834" s="87"/>
      <c r="AD3834" s="466"/>
      <c r="AE3834" s="456"/>
      <c r="AF3834" s="467"/>
      <c r="AG3834" s="87"/>
      <c r="AH3834" s="87"/>
      <c r="AI3834" s="87"/>
    </row>
    <row r="3835" spans="1:35" hidden="1">
      <c r="A3835" s="80" t="e">
        <f>"C"&amp;E3829</f>
        <v>#N/A</v>
      </c>
      <c r="B3835" s="88">
        <v>3</v>
      </c>
      <c r="C3835" s="82"/>
      <c r="D3835" s="82"/>
      <c r="E3835" s="82"/>
      <c r="F3835" s="82"/>
      <c r="G3835" s="83"/>
      <c r="H3835" s="83"/>
      <c r="I3835" s="84"/>
      <c r="J3835" s="85"/>
      <c r="K3835" s="382"/>
      <c r="L3835" s="85"/>
      <c r="M3835" s="332" t="str">
        <f t="shared" si="1132"/>
        <v/>
      </c>
      <c r="N3835" s="86"/>
      <c r="O3835" s="453" t="str">
        <f t="shared" si="1134"/>
        <v/>
      </c>
      <c r="P3835" s="538" t="str">
        <f t="shared" si="1135"/>
        <v/>
      </c>
      <c r="Q3835" s="539" t="str">
        <f t="shared" si="1133"/>
        <v/>
      </c>
      <c r="R3835" s="706"/>
      <c r="S3835" s="707"/>
      <c r="T3835" s="708"/>
      <c r="U3835" s="472"/>
      <c r="V3835" s="166"/>
      <c r="W3835" s="446"/>
      <c r="X3835" s="456"/>
      <c r="Y3835" s="436"/>
      <c r="Z3835" s="437"/>
      <c r="AA3835" s="560"/>
      <c r="AB3835" s="561"/>
      <c r="AC3835" s="87"/>
      <c r="AD3835" s="466"/>
      <c r="AE3835" s="456"/>
      <c r="AF3835" s="467"/>
      <c r="AG3835" s="87"/>
      <c r="AH3835" s="87"/>
      <c r="AI3835" s="87"/>
    </row>
    <row r="3836" spans="1:35" hidden="1">
      <c r="A3836" s="80" t="e">
        <f>"D"&amp;E3829</f>
        <v>#N/A</v>
      </c>
      <c r="B3836" s="105">
        <v>4</v>
      </c>
      <c r="C3836" s="107"/>
      <c r="D3836" s="107"/>
      <c r="E3836" s="107"/>
      <c r="F3836" s="107"/>
      <c r="G3836" s="83"/>
      <c r="H3836" s="83"/>
      <c r="I3836" s="84"/>
      <c r="J3836" s="85"/>
      <c r="K3836" s="382"/>
      <c r="L3836" s="85"/>
      <c r="M3836" s="332" t="str">
        <f t="shared" si="1132"/>
        <v/>
      </c>
      <c r="N3836" s="86"/>
      <c r="O3836" s="453" t="str">
        <f t="shared" si="1134"/>
        <v/>
      </c>
      <c r="P3836" s="538" t="str">
        <f t="shared" si="1135"/>
        <v/>
      </c>
      <c r="Q3836" s="539" t="str">
        <f t="shared" si="1133"/>
        <v/>
      </c>
      <c r="R3836" s="706"/>
      <c r="S3836" s="707"/>
      <c r="T3836" s="708"/>
      <c r="U3836" s="472"/>
      <c r="V3836" s="166"/>
      <c r="W3836" s="446"/>
      <c r="X3836" s="456"/>
      <c r="Y3836" s="436"/>
      <c r="Z3836" s="437"/>
      <c r="AA3836" s="560"/>
      <c r="AB3836" s="561"/>
      <c r="AC3836" s="87"/>
      <c r="AD3836" s="466"/>
      <c r="AE3836" s="456"/>
      <c r="AF3836" s="467"/>
      <c r="AG3836" s="87"/>
      <c r="AH3836" s="87"/>
      <c r="AI3836" s="87"/>
    </row>
    <row r="3837" spans="1:35" hidden="1">
      <c r="A3837" s="80" t="e">
        <f>"E"&amp;E3829</f>
        <v>#N/A</v>
      </c>
      <c r="B3837" s="105">
        <v>5</v>
      </c>
      <c r="C3837" s="107"/>
      <c r="D3837" s="107"/>
      <c r="E3837" s="107"/>
      <c r="F3837" s="107"/>
      <c r="G3837" s="83"/>
      <c r="H3837" s="83"/>
      <c r="I3837" s="84"/>
      <c r="J3837" s="85"/>
      <c r="K3837" s="382"/>
      <c r="L3837" s="85"/>
      <c r="M3837" s="332" t="str">
        <f t="shared" si="1132"/>
        <v/>
      </c>
      <c r="N3837" s="86"/>
      <c r="O3837" s="453" t="str">
        <f t="shared" si="1134"/>
        <v/>
      </c>
      <c r="P3837" s="538" t="str">
        <f t="shared" si="1135"/>
        <v/>
      </c>
      <c r="Q3837" s="539" t="str">
        <f t="shared" si="1133"/>
        <v/>
      </c>
      <c r="R3837" s="706"/>
      <c r="S3837" s="707"/>
      <c r="T3837" s="708"/>
      <c r="U3837" s="472"/>
      <c r="V3837" s="167"/>
      <c r="W3837" s="446"/>
      <c r="X3837" s="456"/>
      <c r="Y3837" s="436"/>
      <c r="Z3837" s="437"/>
      <c r="AA3837" s="560"/>
      <c r="AB3837" s="561"/>
      <c r="AC3837" s="87"/>
      <c r="AD3837" s="466"/>
      <c r="AE3837" s="456"/>
      <c r="AF3837" s="467"/>
      <c r="AG3837" s="87"/>
      <c r="AH3837" s="87"/>
      <c r="AI3837" s="87"/>
    </row>
    <row r="3838" spans="1:35" hidden="1">
      <c r="A3838" s="80" t="e">
        <f>"F"&amp;E3829</f>
        <v>#N/A</v>
      </c>
      <c r="B3838" s="105">
        <v>6</v>
      </c>
      <c r="C3838" s="107"/>
      <c r="D3838" s="107"/>
      <c r="E3838" s="107"/>
      <c r="F3838" s="107"/>
      <c r="G3838" s="83"/>
      <c r="H3838" s="83"/>
      <c r="I3838" s="84"/>
      <c r="J3838" s="85"/>
      <c r="K3838" s="382"/>
      <c r="L3838" s="85"/>
      <c r="M3838" s="332" t="str">
        <f t="shared" si="1132"/>
        <v/>
      </c>
      <c r="N3838" s="86"/>
      <c r="O3838" s="453" t="str">
        <f t="shared" si="1134"/>
        <v/>
      </c>
      <c r="P3838" s="538" t="str">
        <f t="shared" si="1135"/>
        <v/>
      </c>
      <c r="Q3838" s="539" t="str">
        <f t="shared" si="1133"/>
        <v/>
      </c>
      <c r="R3838" s="706"/>
      <c r="S3838" s="707"/>
      <c r="T3838" s="708"/>
      <c r="U3838" s="472"/>
      <c r="V3838" s="167"/>
      <c r="W3838" s="446"/>
      <c r="X3838" s="456"/>
      <c r="Y3838" s="436"/>
      <c r="Z3838" s="437"/>
      <c r="AA3838" s="560"/>
      <c r="AB3838" s="561"/>
      <c r="AC3838" s="87"/>
      <c r="AD3838" s="466"/>
      <c r="AE3838" s="456"/>
      <c r="AF3838" s="467"/>
      <c r="AG3838" s="87"/>
      <c r="AH3838" s="87"/>
      <c r="AI3838" s="87"/>
    </row>
    <row r="3839" spans="1:35" hidden="1">
      <c r="A3839" s="80" t="e">
        <f>"G"&amp;E3829</f>
        <v>#N/A</v>
      </c>
      <c r="B3839" s="105">
        <v>7</v>
      </c>
      <c r="C3839" s="107"/>
      <c r="D3839" s="107"/>
      <c r="E3839" s="107"/>
      <c r="F3839" s="107"/>
      <c r="G3839" s="83"/>
      <c r="H3839" s="83"/>
      <c r="I3839" s="84"/>
      <c r="J3839" s="85"/>
      <c r="K3839" s="382"/>
      <c r="L3839" s="85"/>
      <c r="M3839" s="332" t="str">
        <f t="shared" si="1132"/>
        <v/>
      </c>
      <c r="N3839" s="86"/>
      <c r="O3839" s="86" t="str">
        <f t="shared" si="1134"/>
        <v/>
      </c>
      <c r="P3839" s="538" t="str">
        <f t="shared" si="1135"/>
        <v/>
      </c>
      <c r="Q3839" s="539" t="str">
        <f t="shared" si="1133"/>
        <v/>
      </c>
      <c r="R3839" s="706"/>
      <c r="S3839" s="707"/>
      <c r="T3839" s="708"/>
      <c r="U3839" s="472"/>
      <c r="V3839" s="167"/>
      <c r="W3839" s="446"/>
      <c r="X3839" s="456"/>
      <c r="Y3839" s="436"/>
      <c r="Z3839" s="437"/>
      <c r="AA3839" s="560"/>
      <c r="AB3839" s="561"/>
      <c r="AC3839" s="87"/>
      <c r="AD3839" s="466"/>
      <c r="AE3839" s="456"/>
      <c r="AF3839" s="467"/>
      <c r="AG3839" s="87"/>
      <c r="AH3839" s="87"/>
      <c r="AI3839" s="87"/>
    </row>
    <row r="3840" spans="1:35" hidden="1">
      <c r="A3840" s="80" t="e">
        <f>"H"&amp;E3829</f>
        <v>#N/A</v>
      </c>
      <c r="B3840" s="105">
        <v>8</v>
      </c>
      <c r="C3840" s="107"/>
      <c r="D3840" s="107"/>
      <c r="E3840" s="107"/>
      <c r="F3840" s="107"/>
      <c r="G3840" s="83"/>
      <c r="H3840" s="83"/>
      <c r="I3840" s="84"/>
      <c r="J3840" s="85"/>
      <c r="K3840" s="382"/>
      <c r="L3840" s="85"/>
      <c r="M3840" s="332" t="str">
        <f t="shared" si="1132"/>
        <v/>
      </c>
      <c r="N3840" s="453"/>
      <c r="O3840" s="86" t="str">
        <f t="shared" si="1134"/>
        <v/>
      </c>
      <c r="P3840" s="538" t="str">
        <f t="shared" si="1135"/>
        <v/>
      </c>
      <c r="Q3840" s="539" t="str">
        <f t="shared" si="1133"/>
        <v/>
      </c>
      <c r="R3840" s="706"/>
      <c r="S3840" s="707"/>
      <c r="T3840" s="708"/>
      <c r="U3840" s="472"/>
      <c r="V3840" s="167"/>
      <c r="W3840" s="446"/>
      <c r="X3840" s="456"/>
      <c r="Y3840" s="436"/>
      <c r="Z3840" s="437"/>
      <c r="AA3840" s="560"/>
      <c r="AB3840" s="561"/>
      <c r="AC3840" s="87"/>
      <c r="AD3840" s="466"/>
      <c r="AE3840" s="456"/>
      <c r="AF3840" s="467"/>
      <c r="AG3840" s="87"/>
      <c r="AH3840" s="87"/>
      <c r="AI3840" s="87"/>
    </row>
    <row r="3841" spans="1:35" hidden="1">
      <c r="A3841" s="80" t="e">
        <f>"I"&amp;E3829</f>
        <v>#N/A</v>
      </c>
      <c r="B3841" s="105">
        <v>9</v>
      </c>
      <c r="C3841" s="107"/>
      <c r="D3841" s="107"/>
      <c r="E3841" s="107"/>
      <c r="F3841" s="107"/>
      <c r="G3841" s="83"/>
      <c r="H3841" s="83"/>
      <c r="I3841" s="84"/>
      <c r="J3841" s="85"/>
      <c r="K3841" s="382"/>
      <c r="L3841" s="85"/>
      <c r="M3841" s="332" t="str">
        <f t="shared" si="1132"/>
        <v/>
      </c>
      <c r="N3841" s="453"/>
      <c r="O3841" s="86" t="str">
        <f t="shared" si="1134"/>
        <v/>
      </c>
      <c r="P3841" s="538" t="str">
        <f t="shared" si="1135"/>
        <v/>
      </c>
      <c r="Q3841" s="539" t="str">
        <f t="shared" si="1133"/>
        <v/>
      </c>
      <c r="R3841" s="706"/>
      <c r="S3841" s="707"/>
      <c r="T3841" s="708"/>
      <c r="U3841" s="472"/>
      <c r="V3841" s="167"/>
      <c r="W3841" s="446"/>
      <c r="X3841" s="456"/>
      <c r="Y3841" s="436"/>
      <c r="Z3841" s="437"/>
      <c r="AA3841" s="560"/>
      <c r="AB3841" s="561"/>
      <c r="AC3841" s="87"/>
      <c r="AD3841" s="466"/>
      <c r="AE3841" s="456"/>
      <c r="AF3841" s="467"/>
      <c r="AG3841" s="87"/>
      <c r="AH3841" s="87"/>
      <c r="AI3841" s="87"/>
    </row>
    <row r="3842" spans="1:35" hidden="1">
      <c r="A3842" s="80" t="e">
        <f>"J"&amp;E3829</f>
        <v>#N/A</v>
      </c>
      <c r="B3842" s="105">
        <v>10</v>
      </c>
      <c r="C3842" s="107"/>
      <c r="D3842" s="107"/>
      <c r="E3842" s="107"/>
      <c r="F3842" s="107"/>
      <c r="G3842" s="83"/>
      <c r="H3842" s="83"/>
      <c r="I3842" s="84"/>
      <c r="J3842" s="85"/>
      <c r="K3842" s="382"/>
      <c r="L3842" s="85"/>
      <c r="M3842" s="332" t="str">
        <f t="shared" si="1132"/>
        <v/>
      </c>
      <c r="N3842" s="453"/>
      <c r="O3842" s="86" t="str">
        <f t="shared" si="1134"/>
        <v/>
      </c>
      <c r="P3842" s="538" t="str">
        <f t="shared" si="1135"/>
        <v/>
      </c>
      <c r="Q3842" s="539" t="str">
        <f t="shared" si="1133"/>
        <v/>
      </c>
      <c r="R3842" s="706"/>
      <c r="S3842" s="707"/>
      <c r="T3842" s="708"/>
      <c r="U3842" s="472"/>
      <c r="V3842" s="167"/>
      <c r="W3842" s="446"/>
      <c r="X3842" s="456"/>
      <c r="Y3842" s="436"/>
      <c r="Z3842" s="437"/>
      <c r="AA3842" s="560"/>
      <c r="AB3842" s="561"/>
      <c r="AC3842" s="87"/>
      <c r="AD3842" s="466"/>
      <c r="AE3842" s="456"/>
      <c r="AF3842" s="467"/>
      <c r="AG3842" s="87"/>
      <c r="AH3842" s="87"/>
      <c r="AI3842" s="87"/>
    </row>
    <row r="3843" spans="1:35" ht="16.5" hidden="1" thickBot="1">
      <c r="A3843" s="44"/>
      <c r="B3843" s="89"/>
      <c r="C3843" s="90"/>
      <c r="D3843" s="90"/>
      <c r="E3843" s="90"/>
      <c r="F3843" s="90"/>
      <c r="G3843" s="90"/>
      <c r="H3843" s="90"/>
      <c r="I3843" s="90"/>
      <c r="J3843" s="90"/>
      <c r="K3843" s="90"/>
      <c r="L3843" s="90"/>
      <c r="M3843" s="90"/>
      <c r="N3843" s="90"/>
      <c r="O3843" s="90"/>
      <c r="P3843" s="90"/>
      <c r="Q3843" s="90"/>
      <c r="R3843" s="90"/>
      <c r="S3843" s="91"/>
      <c r="T3843" s="92"/>
      <c r="U3843" s="473"/>
      <c r="W3843" s="438"/>
      <c r="X3843" s="455"/>
      <c r="Y3843" s="439"/>
      <c r="Z3843" s="437"/>
      <c r="AA3843" s="530"/>
      <c r="AB3843" s="563"/>
      <c r="AC3843" s="87"/>
      <c r="AD3843" s="440"/>
      <c r="AE3843" s="441"/>
      <c r="AF3843" s="442"/>
      <c r="AG3843" s="49"/>
      <c r="AH3843" s="87"/>
      <c r="AI3843" s="87"/>
    </row>
    <row r="3844" spans="1:35" ht="16.5" hidden="1" thickBot="1">
      <c r="A3844" s="93"/>
      <c r="B3844" s="94"/>
      <c r="C3844" s="96"/>
      <c r="D3844" s="96"/>
      <c r="E3844" s="96"/>
      <c r="F3844" s="96"/>
      <c r="G3844" s="96"/>
      <c r="H3844" s="96"/>
      <c r="I3844" s="96"/>
      <c r="J3844" s="96"/>
      <c r="K3844" s="96"/>
      <c r="L3844" s="96"/>
      <c r="M3844" s="136"/>
      <c r="N3844" s="96"/>
      <c r="O3844" s="96"/>
      <c r="P3844" s="97"/>
      <c r="Q3844" s="97"/>
      <c r="R3844" s="98"/>
      <c r="S3844" s="95"/>
      <c r="T3844" s="99"/>
      <c r="U3844" s="469"/>
      <c r="AC3844" s="58"/>
      <c r="AG3844" s="58"/>
      <c r="AH3844" s="87"/>
      <c r="AI3844" s="87"/>
    </row>
    <row r="3845" spans="1:35" ht="16.5" hidden="1" thickBot="1">
      <c r="B3845" s="101"/>
      <c r="C3845" s="101"/>
      <c r="D3845" s="101"/>
      <c r="E3845" s="101"/>
      <c r="F3845" s="101"/>
      <c r="G3845" s="101"/>
      <c r="H3845" s="101"/>
      <c r="I3845" s="101"/>
      <c r="J3845" s="101"/>
      <c r="K3845" s="101"/>
      <c r="L3845" s="101"/>
      <c r="M3845" s="101"/>
      <c r="N3845" s="101"/>
      <c r="O3845" s="101"/>
      <c r="P3845" s="101"/>
      <c r="Q3845" s="101"/>
      <c r="R3845" s="101"/>
      <c r="S3845" s="101"/>
      <c r="U3845" s="50"/>
      <c r="AH3845" s="87"/>
      <c r="AI3845" s="87"/>
    </row>
    <row r="3846" spans="1:35" ht="16.5" hidden="1" customHeight="1" thickBot="1">
      <c r="A3846" s="44"/>
      <c r="B3846" s="705" t="s">
        <v>74</v>
      </c>
      <c r="C3846" s="705"/>
      <c r="D3846" s="705"/>
      <c r="E3846" s="705"/>
      <c r="F3846" s="705"/>
      <c r="G3846" s="705"/>
      <c r="H3846" s="705"/>
      <c r="I3846" s="705"/>
      <c r="J3846" s="705"/>
      <c r="K3846" s="705"/>
      <c r="L3846" s="705"/>
      <c r="M3846" s="705"/>
      <c r="N3846" s="705"/>
      <c r="O3846" s="705"/>
      <c r="P3846" s="705"/>
      <c r="Q3846" s="705"/>
      <c r="R3846" s="705"/>
      <c r="S3846" s="705"/>
      <c r="T3846" s="705"/>
      <c r="U3846" s="108"/>
      <c r="Y3846" s="532" t="s">
        <v>341</v>
      </c>
      <c r="AC3846" s="49"/>
      <c r="AD3846" s="687" t="s">
        <v>302</v>
      </c>
      <c r="AE3846" s="688"/>
      <c r="AF3846" s="689"/>
      <c r="AG3846" s="49"/>
      <c r="AH3846" s="87"/>
      <c r="AI3846" s="87"/>
    </row>
    <row r="3847" spans="1:35" ht="16.5" hidden="1" customHeight="1" thickBot="1">
      <c r="A3847" s="218" t="e">
        <f>"K"&amp;E3829</f>
        <v>#N/A</v>
      </c>
      <c r="B3847" s="701" t="s">
        <v>71</v>
      </c>
      <c r="C3847" s="751" t="s">
        <v>102</v>
      </c>
      <c r="D3847" s="751"/>
      <c r="E3847" s="751"/>
      <c r="F3847" s="751"/>
      <c r="G3847" s="751"/>
      <c r="H3847" s="751"/>
      <c r="I3847" s="751"/>
      <c r="J3847" s="751"/>
      <c r="K3847" s="751"/>
      <c r="L3847" s="722" t="s">
        <v>100</v>
      </c>
      <c r="M3847" s="747" t="s">
        <v>114</v>
      </c>
      <c r="N3847" s="747"/>
      <c r="O3847" s="747"/>
      <c r="P3847" s="747"/>
      <c r="Q3847" s="748"/>
      <c r="R3847" s="758" t="s">
        <v>280</v>
      </c>
      <c r="S3847" s="748"/>
      <c r="T3847" s="762" t="str">
        <f>IF(COUNTIF(AE3847:AF3847,"VERIFICAR")&gt;0,"VERIFICAR",IF(COUNTIF(AE3847:AF3847,"NO CUMPLE")&gt;0,"NO CUMPLE","CUMPLE"))</f>
        <v>VERIFICAR</v>
      </c>
      <c r="U3847" s="108"/>
      <c r="Y3847" s="533" t="e">
        <f>IF(F3848="","",IF(F3848=1,"INDIVIDUAL","ESTRUCTURA PLURAL"))</f>
        <v>#N/A</v>
      </c>
      <c r="AC3847" s="52"/>
      <c r="AD3847" s="475" t="s">
        <v>303</v>
      </c>
      <c r="AE3847" s="476" t="str">
        <f>IF(COUNTIF(AE3833:AE3842,"")=10,"VERIFICAR",IF(COUNTIF(AE3833:AE3842,"SI")&gt;0,"CUMPLE","NO CUMPLE"))</f>
        <v>VERIFICAR</v>
      </c>
      <c r="AF3847" s="477" t="str">
        <f>IF(COUNTIF(AF3833:AF3842,"")=10,"VERIFICAR",IF(COUNTIF(AF3833:AF3842,"SI")&gt;=$AI$22,"CUMPLE","NO CUMPLE"))</f>
        <v>VERIFICAR</v>
      </c>
      <c r="AG3847" s="52"/>
      <c r="AH3847" s="87"/>
      <c r="AI3847" s="87"/>
    </row>
    <row r="3848" spans="1:35" ht="15.75" hidden="1" customHeight="1" thickBot="1">
      <c r="A3848" s="218" t="e">
        <f>"L"&amp;E3829</f>
        <v>#N/A</v>
      </c>
      <c r="B3848" s="702"/>
      <c r="C3848" s="751" t="s">
        <v>103</v>
      </c>
      <c r="D3848" s="751"/>
      <c r="E3848" s="752"/>
      <c r="F3848" s="557" t="e">
        <f>IF(VLOOKUP(E3829,PROPONENTES!$C$19:$E$218,3,0)="","",VLOOKUP(E3829,PROPONENTES!$C$19:$E$218,3,0))</f>
        <v>#N/A</v>
      </c>
      <c r="G3848" s="753" t="s">
        <v>104</v>
      </c>
      <c r="H3848" s="751"/>
      <c r="I3848" s="715" t="e">
        <f>IF(OR(F3848="",F3848=1),"INTERESADO PERSONA NATURAL O JURIDICA","CONSORCIO O UNION TEMPORAL")</f>
        <v>#N/A</v>
      </c>
      <c r="J3848" s="725"/>
      <c r="K3848" s="728"/>
      <c r="L3848" s="723"/>
      <c r="M3848" s="749"/>
      <c r="N3848" s="749"/>
      <c r="O3848" s="749"/>
      <c r="P3848" s="749"/>
      <c r="Q3848" s="750"/>
      <c r="R3848" s="712"/>
      <c r="S3848" s="750"/>
      <c r="T3848" s="763"/>
      <c r="U3848" s="108"/>
      <c r="Y3848" s="534"/>
      <c r="AA3848" s="52"/>
      <c r="AB3848" s="52"/>
      <c r="AC3848" s="52"/>
      <c r="AG3848" s="52"/>
      <c r="AH3848" s="87"/>
      <c r="AI3848" s="87"/>
    </row>
    <row r="3849" spans="1:35" ht="56.25" hidden="1" customHeight="1" thickBot="1">
      <c r="A3849" s="218" t="e">
        <f>"M"&amp;E3829</f>
        <v>#N/A</v>
      </c>
      <c r="B3849" s="702"/>
      <c r="C3849" s="725" t="s">
        <v>101</v>
      </c>
      <c r="D3849" s="716"/>
      <c r="E3849" s="558" t="s">
        <v>105</v>
      </c>
      <c r="F3849" s="554" t="s">
        <v>87</v>
      </c>
      <c r="G3849" s="553" t="s">
        <v>86</v>
      </c>
      <c r="H3849" s="559" t="s">
        <v>85</v>
      </c>
      <c r="I3849" s="554" t="s">
        <v>252</v>
      </c>
      <c r="J3849" s="553" t="str">
        <f>"¿EL INTEGRANTE TIENE UNA PARTICIPACIÓN DEL "&amp;PORCREQUERIDOINT*100&amp;"%?"</f>
        <v>¿EL INTEGRANTE TIENE UNA PARTICIPACIÓN DEL 60%?</v>
      </c>
      <c r="K3849" s="554" t="s">
        <v>107</v>
      </c>
      <c r="L3849" s="724"/>
      <c r="M3849" s="717" t="s">
        <v>115</v>
      </c>
      <c r="N3849" s="718"/>
      <c r="O3849" s="718"/>
      <c r="P3849" s="718"/>
      <c r="Q3849" s="223">
        <f>IF(AND(H3833="SI",P3833&gt;=0),1,0)+IF(AND(H3834="SI",P3834&gt;=0),1,0)+IF(AND(H3835="SI",P3835&gt;=0),1,0)+IF(AND(H3836="SI",P3836&gt;=0),1,0)+IF(AND(H3837="SI",P3837&gt;=0),1,0)+IF(AND(H3838="SI",P3838&gt;=0),1,0)+IF(AND(H3839="SI",P3839&gt;=0),1,0)+IF(AND(H3840="SI",P3840&gt;=0),1,0)+IF(AND(H3841="SI",P3841&gt;=0),1,0)+IF(AND(H3842="SI",P3842&gt;=0),1,0)</f>
        <v>0</v>
      </c>
      <c r="R3849" s="759"/>
      <c r="S3849" s="761"/>
      <c r="T3849" s="764"/>
      <c r="U3849" s="219"/>
      <c r="V3849" s="464"/>
      <c r="Y3849" s="532" t="s">
        <v>342</v>
      </c>
      <c r="AA3849" s="550" t="s">
        <v>344</v>
      </c>
      <c r="AB3849" s="693" t="s">
        <v>345</v>
      </c>
      <c r="AC3849" s="693" t="s">
        <v>346</v>
      </c>
      <c r="AD3849" s="685" t="s">
        <v>347</v>
      </c>
      <c r="AE3849" s="52"/>
      <c r="AF3849" s="52"/>
      <c r="AG3849" s="52"/>
      <c r="AH3849" s="87"/>
      <c r="AI3849" s="87"/>
    </row>
    <row r="3850" spans="1:35" ht="15.75" hidden="1" customHeight="1" thickBot="1">
      <c r="A3850" s="218" t="e">
        <f>"N"&amp;E3829</f>
        <v>#N/A</v>
      </c>
      <c r="B3850" s="702"/>
      <c r="C3850" s="114">
        <v>1</v>
      </c>
      <c r="D3850" s="194" t="e">
        <f>IF(AND(C3850&lt;=F3848,F3848&gt;1,F3848&lt;&gt;""),VLOOKUP(VALUE(E3829&amp;","&amp;C3850),INTEGRANTES!$D$18:$F$235,2,0),"")</f>
        <v>#N/A</v>
      </c>
      <c r="E3850" s="211" t="e">
        <f>IF(D3850&lt;&gt;"",VLOOKUP(VALUE(E3829&amp;","&amp;C3850),INTEGRANTES!$D$18:$F$235,3,0),"")</f>
        <v>#N/A</v>
      </c>
      <c r="F3850" s="547" t="e">
        <f>IF(D3850="","",SUMIF($I3833:$I3842,D3850,$P3833:$P3842))</f>
        <v>#N/A</v>
      </c>
      <c r="G3850" s="333" t="e">
        <f>IF(D3850="","",SUMIF($I3833:$I3842,D3850,$M3833:$M3842))</f>
        <v>#N/A</v>
      </c>
      <c r="H3850" s="535" t="e">
        <f t="shared" ref="H3850:H3855" si="1136">IF(D3850="","",IF(OR(F3850=0,G3850=0),"NO APORTA",ROUND($F3850/$G3850,3)))</f>
        <v>#N/A</v>
      </c>
      <c r="I3850" s="212" t="e">
        <f>IF(D3850="","",IF(H3850="NO APORTA","NO",IF(H3850=MAX($H3850:$H3855),"SI","NO")))</f>
        <v>#N/A</v>
      </c>
      <c r="J3850" s="213" t="e">
        <f t="shared" ref="J3850:J3855" si="1137">IF(D3850="","",IF(E3850&gt;=PORCREQUERIDOINT,"SI","NO"))</f>
        <v>#N/A</v>
      </c>
      <c r="K3850" s="200" t="e">
        <f t="shared" ref="K3850:K3855" si="1138">IF(D3850="","",IF(AND(I3850="SI",J3850="SI"),"CUMPLE",IF(AND(I3850="NO",OR(J3850="SI",J3850="NO")),"","NO CUMPLE")))</f>
        <v>#N/A</v>
      </c>
      <c r="L3850" s="722" t="s">
        <v>108</v>
      </c>
      <c r="M3850" s="726" t="s">
        <v>119</v>
      </c>
      <c r="N3850" s="726"/>
      <c r="O3850" s="726"/>
      <c r="P3850" s="726"/>
      <c r="Q3850" s="727"/>
      <c r="R3850" s="758" t="s">
        <v>80</v>
      </c>
      <c r="S3850" s="747"/>
      <c r="T3850" s="748"/>
      <c r="U3850" s="219"/>
      <c r="V3850" s="464"/>
      <c r="Y3850" s="533" t="e">
        <f>IF(Y3847="","",IF(Y3847="INDIVIDUAL","NO APLICA","VERIFICAR CUADRO"))</f>
        <v>#N/A</v>
      </c>
      <c r="AA3850" s="551"/>
      <c r="AB3850" s="694"/>
      <c r="AC3850" s="694"/>
      <c r="AD3850" s="686"/>
      <c r="AE3850" s="52"/>
      <c r="AF3850" s="52"/>
      <c r="AG3850" s="52"/>
      <c r="AH3850" s="87"/>
      <c r="AI3850" s="87"/>
    </row>
    <row r="3851" spans="1:35" ht="27" hidden="1" customHeight="1" thickBot="1">
      <c r="A3851" s="218" t="e">
        <f>"O"&amp;E3829</f>
        <v>#N/A</v>
      </c>
      <c r="B3851" s="702"/>
      <c r="C3851" s="114">
        <v>2</v>
      </c>
      <c r="D3851" s="194" t="e">
        <f>IF(AND(C3851&lt;=F3848,F3848&lt;&gt;""),VLOOKUP(VALUE(E3829&amp;","&amp;C3851),INTEGRANTES!$D$18:$F$235,2,0),"")</f>
        <v>#N/A</v>
      </c>
      <c r="E3851" s="211" t="e">
        <f>IF(D3851&lt;&gt;"",VLOOKUP(VALUE(E3829&amp;","&amp;C3851),INTEGRANTES!$D$18:$F$235,3,0),"")</f>
        <v>#N/A</v>
      </c>
      <c r="F3851" s="547" t="e">
        <f>IF(D3851="","",SUMIF($I3833:$I3842,D3851,$P3833:$P3842))</f>
        <v>#N/A</v>
      </c>
      <c r="G3851" s="333" t="e">
        <f>IF(D3851="","",SUMIF($I3833:$I3842,D3851,$M3833:$M3842))</f>
        <v>#N/A</v>
      </c>
      <c r="H3851" s="535" t="e">
        <f t="shared" si="1136"/>
        <v>#N/A</v>
      </c>
      <c r="I3851" s="212" t="e">
        <f>IF(D3851="","",IF(H3851="NO APORTA","NO",IF(H3851=MAX($H3850:$H3855),"SI","NO")))</f>
        <v>#N/A</v>
      </c>
      <c r="J3851" s="213" t="e">
        <f t="shared" si="1137"/>
        <v>#N/A</v>
      </c>
      <c r="K3851" s="200" t="e">
        <f t="shared" si="1138"/>
        <v>#N/A</v>
      </c>
      <c r="L3851" s="723"/>
      <c r="M3851" s="715" t="s">
        <v>116</v>
      </c>
      <c r="N3851" s="716"/>
      <c r="O3851" s="556" t="s">
        <v>113</v>
      </c>
      <c r="P3851" s="715" t="s">
        <v>117</v>
      </c>
      <c r="Q3851" s="728"/>
      <c r="R3851" s="759"/>
      <c r="S3851" s="760"/>
      <c r="T3851" s="761"/>
      <c r="U3851" s="219"/>
      <c r="V3851" s="464"/>
      <c r="Y3851" s="414"/>
      <c r="AA3851" s="542" t="e">
        <f>IF(AND(C3850&lt;=F3848,F3848&gt;1,F3848&lt;&gt;""),VLOOKUP(VALUE(E3829&amp;","&amp;C3850),INTEGRANTES!$D$18:$F$235,2,0),"")</f>
        <v>#N/A</v>
      </c>
      <c r="AB3851" s="544" t="e">
        <f t="shared" ref="AB3851:AB3856" si="1139">IF(D3850="","",IF(OR(F3850=0,G3850=0),"NO APORTA",ROUND($F3850/$G3850,3)))</f>
        <v>#N/A</v>
      </c>
      <c r="AC3851" s="529"/>
      <c r="AD3851" s="200" t="e">
        <f t="shared" ref="AD3851:AD3856" si="1140">IF(OR(AA3851="",AB3851=""),"",IF(AND(AC3851="X",AB3851&gt;=EXPREQVTD),"CUMPLE","NO CUMPLE"))</f>
        <v>#N/A</v>
      </c>
      <c r="AE3851" s="52"/>
      <c r="AF3851" s="52"/>
      <c r="AG3851" s="52"/>
      <c r="AH3851" s="87"/>
      <c r="AI3851" s="87"/>
    </row>
    <row r="3852" spans="1:35" ht="16.5" hidden="1" thickBot="1">
      <c r="A3852" s="218" t="e">
        <f>"P"&amp;E3829</f>
        <v>#N/A</v>
      </c>
      <c r="B3852" s="702"/>
      <c r="C3852" s="114">
        <v>3</v>
      </c>
      <c r="D3852" s="194" t="e">
        <f>IF(AND(C3852&lt;=F3848,F3848&lt;&gt;""),VLOOKUP(VALUE(E3829&amp;","&amp;C3852),INTEGRANTES!$D$18:$F$235,2,0),"")</f>
        <v>#N/A</v>
      </c>
      <c r="E3852" s="211" t="e">
        <f>IF(D3852&lt;&gt;"",VLOOKUP(VALUE(E3829&amp;","&amp;C3852),INTEGRANTES!$D$18:$F$235,3,0),"")</f>
        <v>#N/A</v>
      </c>
      <c r="F3852" s="547" t="e">
        <f>IF(D3852="","",SUMIF($I3833:$I3842,D3852,$P3833:$P3842))</f>
        <v>#N/A</v>
      </c>
      <c r="G3852" s="333" t="e">
        <f>IF(D3852="","",SUMIF($I3833:$I3842,D3852,$M3833:$M3842))</f>
        <v>#N/A</v>
      </c>
      <c r="H3852" s="535" t="e">
        <f t="shared" si="1136"/>
        <v>#N/A</v>
      </c>
      <c r="I3852" s="212" t="e">
        <f>IF(D3852="","",IF(H3852="NO APORTA","NO",IF(H3852=MAX($H3850:$H3855),"SI","NO")))</f>
        <v>#N/A</v>
      </c>
      <c r="J3852" s="213" t="e">
        <f t="shared" si="1137"/>
        <v>#N/A</v>
      </c>
      <c r="K3852" s="200" t="e">
        <f t="shared" si="1138"/>
        <v>#N/A</v>
      </c>
      <c r="L3852" s="724"/>
      <c r="M3852" s="729">
        <f>NUMMOD</f>
        <v>1</v>
      </c>
      <c r="N3852" s="730"/>
      <c r="O3852" s="443">
        <f>IF(M3852="","",VLOOKUP(M3852,PRESUPUESTOS!$B$16:$H$16,5,FALSE))</f>
        <v>2</v>
      </c>
      <c r="P3852" s="713">
        <f>IF(OR(COUNTIF(M3833:M3842,"")&gt;=10,Q3849&lt;NUMMINCONT,OR(T3847="NO CUMPLE",T3847="VERIFICAR")),0,ROUND(AVERAGE(M3833:M3842),3))</f>
        <v>0</v>
      </c>
      <c r="Q3852" s="714"/>
      <c r="R3852" s="458"/>
      <c r="S3852" s="459"/>
      <c r="T3852" s="460"/>
      <c r="U3852" s="219"/>
      <c r="V3852" s="464"/>
      <c r="Y3852" s="532" t="str">
        <f>"40% * ("&amp;PRESUPUESTOS!$H$13&amp;")"</f>
        <v>40% * (50% PFMO)</v>
      </c>
      <c r="AA3852" s="540" t="e">
        <f>IF(AND(C3851&lt;=F3848,F3848&lt;&gt;""),VLOOKUP(VALUE(E3829&amp;","&amp;C3851),INTEGRANTES!$D$18:$F$235,2,0),"")</f>
        <v>#N/A</v>
      </c>
      <c r="AB3852" s="545" t="e">
        <f t="shared" si="1139"/>
        <v>#N/A</v>
      </c>
      <c r="AC3852" s="529"/>
      <c r="AD3852" s="200" t="e">
        <f t="shared" si="1140"/>
        <v>#N/A</v>
      </c>
      <c r="AE3852" s="52"/>
      <c r="AF3852" s="52"/>
      <c r="AG3852" s="52"/>
      <c r="AH3852" s="87"/>
      <c r="AI3852" s="87"/>
    </row>
    <row r="3853" spans="1:35" ht="15.75" hidden="1" customHeight="1" thickBot="1">
      <c r="A3853" s="218" t="e">
        <f>"Q"&amp;E3829</f>
        <v>#N/A</v>
      </c>
      <c r="B3853" s="702"/>
      <c r="C3853" s="114">
        <v>4</v>
      </c>
      <c r="D3853" s="194" t="e">
        <f>IF(AND(C3853&lt;=F3848,F3848&lt;&gt;""),VLOOKUP(VALUE(E3829&amp;","&amp;C3853),INTEGRANTES!$D$18:$F$235,2,0),"")</f>
        <v>#N/A</v>
      </c>
      <c r="E3853" s="211" t="e">
        <f>IF(D3853&lt;&gt;"",VLOOKUP(VALUE(E3829&amp;","&amp;C3853),INTEGRANTES!$D$18:$F$235,3,0),"")</f>
        <v>#N/A</v>
      </c>
      <c r="F3853" s="547" t="e">
        <f>IF(D3853="","",SUMIF($I3833:$I3842,D3853,$P3833:$P3842))</f>
        <v>#N/A</v>
      </c>
      <c r="G3853" s="333" t="e">
        <f>IF(D3853="","",SUMIF($I3833:$I3842,D3853,$M3833:$M3842))</f>
        <v>#N/A</v>
      </c>
      <c r="H3853" s="535" t="e">
        <f t="shared" si="1136"/>
        <v>#N/A</v>
      </c>
      <c r="I3853" s="212" t="e">
        <f>IF(D3853="","",IF(H3853="NO APORTA","NO",IF(H3853=MAX($H3850:$H3855),"SI","NO")))</f>
        <v>#N/A</v>
      </c>
      <c r="J3853" s="213" t="e">
        <f t="shared" si="1137"/>
        <v>#N/A</v>
      </c>
      <c r="K3853" s="200" t="e">
        <f t="shared" si="1138"/>
        <v>#N/A</v>
      </c>
      <c r="L3853" s="720" t="s">
        <v>109</v>
      </c>
      <c r="M3853" s="757" t="s">
        <v>120</v>
      </c>
      <c r="N3853" s="726"/>
      <c r="O3853" s="726"/>
      <c r="P3853" s="726"/>
      <c r="Q3853" s="727"/>
      <c r="R3853" s="458"/>
      <c r="S3853" s="459"/>
      <c r="T3853" s="460"/>
      <c r="U3853" s="219"/>
      <c r="V3853" s="464"/>
      <c r="Y3853" s="537">
        <f>0.4*PRESUPUESTOS!$H$16</f>
        <v>10.3124</v>
      </c>
      <c r="AA3853" s="540" t="e">
        <f>IF(AND(C3852&lt;=F3848,F3848&lt;&gt;""),VLOOKUP(VALUE(E3829&amp;","&amp;C3852),INTEGRANTES!$D$18:$F$235,2,0),"")</f>
        <v>#N/A</v>
      </c>
      <c r="AB3853" s="545" t="e">
        <f t="shared" si="1139"/>
        <v>#N/A</v>
      </c>
      <c r="AC3853" s="529"/>
      <c r="AD3853" s="200" t="e">
        <f t="shared" si="1140"/>
        <v>#N/A</v>
      </c>
      <c r="AE3853" s="52"/>
      <c r="AF3853" s="52"/>
      <c r="AG3853" s="52"/>
      <c r="AH3853" s="87"/>
      <c r="AI3853" s="87"/>
    </row>
    <row r="3854" spans="1:35" ht="27" hidden="1" customHeight="1" thickBot="1">
      <c r="A3854" s="218" t="e">
        <f>"R"&amp;E3829</f>
        <v>#N/A</v>
      </c>
      <c r="B3854" s="702"/>
      <c r="C3854" s="114">
        <v>5</v>
      </c>
      <c r="D3854" s="194" t="e">
        <f>IF(AND(C3854&lt;=F3848,F3848&lt;&gt;""),VLOOKUP(VALUE(E3829&amp;","&amp;C3854),INTEGRANTES!$D$18:$F$235,2,0),"")</f>
        <v>#N/A</v>
      </c>
      <c r="E3854" s="211" t="e">
        <f>IF(D3854&lt;&gt;"",VLOOKUP(VALUE(E3829&amp;","&amp;C3854),INTEGRANTES!$D$18:$F$235,3,0),"")</f>
        <v>#N/A</v>
      </c>
      <c r="F3854" s="547" t="e">
        <f>IF(D3854="","",SUMIF($I3833:$I3842,D3854,$P3833:$P3842))</f>
        <v>#N/A</v>
      </c>
      <c r="G3854" s="333" t="e">
        <f>IF(D3854="","",SUMIF($I3833:$I3842,D3854,$M3833:$M3842))</f>
        <v>#N/A</v>
      </c>
      <c r="H3854" s="535" t="e">
        <f t="shared" si="1136"/>
        <v>#N/A</v>
      </c>
      <c r="I3854" s="212" t="e">
        <f>IF(D3854="","",IF(H3854="NO APORTA","NO",IF(H3854=MAX($H3850:$H3855),"SI","NO")))</f>
        <v>#N/A</v>
      </c>
      <c r="J3854" s="213" t="e">
        <f t="shared" si="1137"/>
        <v>#N/A</v>
      </c>
      <c r="K3854" s="200" t="e">
        <f t="shared" si="1138"/>
        <v>#N/A</v>
      </c>
      <c r="L3854" s="721"/>
      <c r="M3854" s="715" t="s">
        <v>116</v>
      </c>
      <c r="N3854" s="716"/>
      <c r="O3854" s="556" t="str">
        <f>PORCREQUERIDO*100&amp;"% PMFO DEL MÓDULO"</f>
        <v>50% PMFO DEL MÓDULO</v>
      </c>
      <c r="P3854" s="715" t="s">
        <v>118</v>
      </c>
      <c r="Q3854" s="728"/>
      <c r="R3854" s="458"/>
      <c r="S3854" s="459"/>
      <c r="T3854" s="460"/>
      <c r="U3854" s="219"/>
      <c r="V3854" s="464"/>
      <c r="Y3854" s="414"/>
      <c r="AA3854" s="540" t="e">
        <f>IF(AND(C3853&lt;=F3848,F3848&lt;&gt;""),VLOOKUP(VALUE(E3829&amp;","&amp;C3853),INTEGRANTES!$D$18:$F$235,2,0),"")</f>
        <v>#N/A</v>
      </c>
      <c r="AB3854" s="545" t="e">
        <f t="shared" si="1139"/>
        <v>#N/A</v>
      </c>
      <c r="AC3854" s="529"/>
      <c r="AD3854" s="200" t="e">
        <f t="shared" si="1140"/>
        <v>#N/A</v>
      </c>
      <c r="AE3854" s="52"/>
      <c r="AF3854" s="52"/>
      <c r="AG3854" s="52"/>
      <c r="AH3854" s="87"/>
      <c r="AI3854" s="87"/>
    </row>
    <row r="3855" spans="1:35" ht="16.5" hidden="1" thickBot="1">
      <c r="A3855" s="218" t="e">
        <f>"S"&amp;E3829</f>
        <v>#N/A</v>
      </c>
      <c r="B3855" s="702"/>
      <c r="C3855" s="215">
        <v>6</v>
      </c>
      <c r="D3855" s="216" t="e">
        <f>IF(AND(C3855&lt;=F3848,F3848&lt;&gt;""),VLOOKUP(VALUE(E3829&amp;","&amp;C3855),INTEGRANTES!$D$18:$F$235,2,0),"")</f>
        <v>#N/A</v>
      </c>
      <c r="E3855" s="217" t="e">
        <f>IF(D3855&lt;&gt;"",VLOOKUP(VALUE(E3829&amp;","&amp;C3855),INTEGRANTES!$D$18:$F$235,3,0),"")</f>
        <v>#N/A</v>
      </c>
      <c r="F3855" s="548" t="e">
        <f>IF(D3855="","",SUMIF($I3833:$I3842,D3855,$P3833:$P3842))</f>
        <v>#N/A</v>
      </c>
      <c r="G3855" s="334" t="e">
        <f>IF(D3855="","",SUMIF($I3833:$I3842,D3855,$M3833:$M3842))</f>
        <v>#N/A</v>
      </c>
      <c r="H3855" s="536" t="e">
        <f t="shared" si="1136"/>
        <v>#N/A</v>
      </c>
      <c r="I3855" s="214" t="e">
        <f>IF(D3855="","",IF(H3855="NO APORTA","NO",IF(H3855=MAX($H3850:$H3855),"SI","NO")))</f>
        <v>#N/A</v>
      </c>
      <c r="J3855" s="213" t="e">
        <f t="shared" si="1137"/>
        <v>#N/A</v>
      </c>
      <c r="K3855" s="200" t="e">
        <f t="shared" si="1138"/>
        <v>#N/A</v>
      </c>
      <c r="L3855" s="721"/>
      <c r="M3855" s="729">
        <f>NUMMOD</f>
        <v>1</v>
      </c>
      <c r="N3855" s="730"/>
      <c r="O3855" s="443">
        <f>IF(M3855="","",ROUND(VLOOKUP(M3855,PRESUPUESTOS!$B$16:$H$16,7,FALSE),3))</f>
        <v>25.780999999999999</v>
      </c>
      <c r="P3855" s="713">
        <f>IF(OR(COUNTIF(P3833:P3842,"")&gt;=10,Q3849&lt;NUMMINCONT,OR(T3847="NO CUMPLE",T3847="VERIFICAR")),0,ROUND((SUM(P3833:P3842)/SUM(M3833:M3842)),3))</f>
        <v>0</v>
      </c>
      <c r="Q3855" s="714"/>
      <c r="R3855" s="458"/>
      <c r="S3855" s="459"/>
      <c r="T3855" s="460"/>
      <c r="U3855" s="219"/>
      <c r="V3855" s="464"/>
      <c r="Y3855" s="532" t="s">
        <v>343</v>
      </c>
      <c r="AA3855" s="540" t="e">
        <f>IF(AND(C3854&lt;=F3848,F3848&lt;&gt;""),VLOOKUP(VALUE(E3829&amp;","&amp;C3854),INTEGRANTES!$D$18:$F$235,2,0),"")</f>
        <v>#N/A</v>
      </c>
      <c r="AB3855" s="545" t="e">
        <f t="shared" si="1139"/>
        <v>#N/A</v>
      </c>
      <c r="AC3855" s="529"/>
      <c r="AD3855" s="200" t="e">
        <f t="shared" si="1140"/>
        <v>#N/A</v>
      </c>
      <c r="AE3855" s="52"/>
      <c r="AF3855" s="52"/>
      <c r="AG3855" s="52"/>
      <c r="AH3855" s="87"/>
      <c r="AI3855" s="87"/>
    </row>
    <row r="3856" spans="1:35" ht="16.5" hidden="1" customHeight="1" thickBot="1">
      <c r="A3856" s="218" t="e">
        <f>"T"&amp;E3829</f>
        <v>#N/A</v>
      </c>
      <c r="B3856" s="703"/>
      <c r="C3856" s="719"/>
      <c r="D3856" s="719"/>
      <c r="E3856" s="719"/>
      <c r="F3856" s="719"/>
      <c r="G3856" s="719"/>
      <c r="H3856" s="719" t="s">
        <v>110</v>
      </c>
      <c r="I3856" s="719"/>
      <c r="J3856" s="719"/>
      <c r="K3856" s="201" t="str">
        <f>IF(COUNTIF(K3850:K3855,"")=6,"",IF(COUNTIF(K3850:K3855,"CUMPLE")&gt;0,"CUMPLE","NO CUMPLE"))</f>
        <v>NO CUMPLE</v>
      </c>
      <c r="L3856" s="754"/>
      <c r="M3856" s="755"/>
      <c r="N3856" s="755"/>
      <c r="O3856" s="755"/>
      <c r="P3856" s="755"/>
      <c r="Q3856" s="756"/>
      <c r="R3856" s="461"/>
      <c r="S3856" s="462"/>
      <c r="T3856" s="463"/>
      <c r="U3856" s="219"/>
      <c r="V3856" s="464"/>
      <c r="Y3856" s="549" t="e">
        <f>IF(Y3850="NO APLICA","NO APLICA",IF(COUNTIF(AD3851:AD3856,"CUMPLE")&gt;0,"CUMPLE","NO CUMPLE"))</f>
        <v>#N/A</v>
      </c>
      <c r="AA3856" s="541" t="e">
        <f>IF(AND(C3855&lt;=F3848,F3848&lt;&gt;""),VLOOKUP(VALUE(E3829&amp;","&amp;C3855),INTEGRANTES!$D$18:$F$235,2,0),"")</f>
        <v>#N/A</v>
      </c>
      <c r="AB3856" s="546" t="e">
        <f t="shared" si="1139"/>
        <v>#N/A</v>
      </c>
      <c r="AC3856" s="543"/>
      <c r="AD3856" s="201" t="e">
        <f t="shared" si="1140"/>
        <v>#N/A</v>
      </c>
      <c r="AE3856" s="52"/>
      <c r="AF3856" s="52"/>
      <c r="AG3856" s="52"/>
      <c r="AH3856" s="87"/>
      <c r="AI3856" s="87"/>
    </row>
    <row r="3857" spans="1:35" hidden="1">
      <c r="AH3857" s="87"/>
      <c r="AI3857" s="87"/>
    </row>
    <row r="3858" spans="1:35" hidden="1">
      <c r="AH3858" s="87"/>
      <c r="AI3858" s="87"/>
    </row>
    <row r="3859" spans="1:35" ht="24" hidden="1" thickBot="1">
      <c r="A3859" s="61">
        <v>129</v>
      </c>
      <c r="B3859" s="704" t="s">
        <v>51</v>
      </c>
      <c r="C3859" s="704"/>
      <c r="D3859" s="704"/>
      <c r="E3859" s="62" t="e">
        <f>VLOOKUP(A3859,PROPONENTES!$B$19:$E$218,2,FALSE)</f>
        <v>#N/A</v>
      </c>
      <c r="F3859" s="63" t="e">
        <f>VLOOKUP(A3859,PROPONENTES!$B$19:$E$218,3,FALSE)</f>
        <v>#N/A</v>
      </c>
      <c r="G3859" s="64"/>
      <c r="H3859" s="64"/>
      <c r="I3859" s="63"/>
      <c r="J3859" s="63"/>
      <c r="K3859" s="65"/>
      <c r="L3859" s="65"/>
      <c r="M3859" s="64"/>
      <c r="N3859" s="64"/>
      <c r="O3859" s="66"/>
      <c r="P3859" s="66"/>
      <c r="Q3859" s="66"/>
      <c r="R3859" s="66"/>
      <c r="S3859" s="67"/>
      <c r="T3859" s="68"/>
      <c r="U3859" s="68"/>
      <c r="AC3859" s="68"/>
      <c r="AD3859" s="68"/>
      <c r="AE3859" s="68"/>
      <c r="AF3859" s="68"/>
      <c r="AG3859" s="68"/>
      <c r="AH3859" s="87"/>
      <c r="AI3859" s="87"/>
    </row>
    <row r="3860" spans="1:35" ht="15.75" hidden="1" customHeight="1">
      <c r="A3860" s="44"/>
      <c r="B3860" s="709" t="s">
        <v>59</v>
      </c>
      <c r="C3860" s="552" t="s">
        <v>60</v>
      </c>
      <c r="D3860" s="70" t="s">
        <v>17</v>
      </c>
      <c r="E3860" s="70"/>
      <c r="F3860" s="70" t="s">
        <v>61</v>
      </c>
      <c r="G3860" s="71"/>
      <c r="H3860" s="699" t="s">
        <v>62</v>
      </c>
      <c r="I3860" s="699" t="s">
        <v>18</v>
      </c>
      <c r="J3860" s="699" t="s">
        <v>63</v>
      </c>
      <c r="K3860" s="699" t="s">
        <v>64</v>
      </c>
      <c r="L3860" s="699" t="s">
        <v>65</v>
      </c>
      <c r="M3860" s="743" t="s">
        <v>66</v>
      </c>
      <c r="N3860" s="699" t="s">
        <v>282</v>
      </c>
      <c r="O3860" s="745" t="s">
        <v>67</v>
      </c>
      <c r="P3860" s="746"/>
      <c r="Q3860" s="102" t="s">
        <v>75</v>
      </c>
      <c r="R3860" s="731" t="s">
        <v>22</v>
      </c>
      <c r="S3860" s="732"/>
      <c r="T3860" s="733"/>
      <c r="U3860" s="712" t="s">
        <v>298</v>
      </c>
      <c r="W3860" s="690" t="s">
        <v>268</v>
      </c>
      <c r="X3860" s="691"/>
      <c r="Y3860" s="692"/>
      <c r="Z3860" s="428"/>
      <c r="AA3860" s="697" t="s">
        <v>315</v>
      </c>
      <c r="AB3860" s="695" t="s">
        <v>322</v>
      </c>
      <c r="AC3860" s="49"/>
      <c r="AD3860" s="690" t="s">
        <v>297</v>
      </c>
      <c r="AE3860" s="691"/>
      <c r="AF3860" s="692"/>
      <c r="AG3860" s="49"/>
      <c r="AH3860" s="87"/>
      <c r="AI3860" s="87"/>
    </row>
    <row r="3861" spans="1:35" ht="72" hidden="1">
      <c r="A3861" s="44"/>
      <c r="B3861" s="710"/>
      <c r="C3861" s="553" t="s">
        <v>68</v>
      </c>
      <c r="D3861" s="73" t="s">
        <v>3</v>
      </c>
      <c r="E3861" s="73" t="s">
        <v>19</v>
      </c>
      <c r="F3861" s="73" t="s">
        <v>69</v>
      </c>
      <c r="G3861" s="74" t="s">
        <v>70</v>
      </c>
      <c r="H3861" s="700"/>
      <c r="I3861" s="700"/>
      <c r="J3861" s="700"/>
      <c r="K3861" s="700"/>
      <c r="L3861" s="700"/>
      <c r="M3861" s="744"/>
      <c r="N3861" s="700"/>
      <c r="O3861" s="553" t="s">
        <v>279</v>
      </c>
      <c r="P3861" s="73" t="s">
        <v>88</v>
      </c>
      <c r="Q3861" s="555" t="s">
        <v>76</v>
      </c>
      <c r="R3861" s="734"/>
      <c r="S3861" s="735"/>
      <c r="T3861" s="736"/>
      <c r="U3861" s="712"/>
      <c r="W3861" s="429" t="s">
        <v>269</v>
      </c>
      <c r="X3861" s="457" t="s">
        <v>278</v>
      </c>
      <c r="Y3861" s="430" t="s">
        <v>324</v>
      </c>
      <c r="Z3861" s="428"/>
      <c r="AA3861" s="698"/>
      <c r="AB3861" s="696"/>
      <c r="AC3861" s="49"/>
      <c r="AD3861" s="429" t="s">
        <v>292</v>
      </c>
      <c r="AE3861" s="431" t="s">
        <v>300</v>
      </c>
      <c r="AF3861" s="468" t="s">
        <v>301</v>
      </c>
      <c r="AG3861" s="49"/>
      <c r="AH3861" s="87"/>
      <c r="AI3861" s="87"/>
    </row>
    <row r="3862" spans="1:35" hidden="1">
      <c r="A3862" s="44"/>
      <c r="B3862" s="76"/>
      <c r="C3862" s="77"/>
      <c r="D3862" s="77"/>
      <c r="E3862" s="77"/>
      <c r="F3862" s="77"/>
      <c r="G3862" s="77"/>
      <c r="H3862" s="77"/>
      <c r="I3862" s="77"/>
      <c r="J3862" s="77"/>
      <c r="K3862" s="77"/>
      <c r="L3862" s="77"/>
      <c r="M3862" s="77"/>
      <c r="N3862" s="77"/>
      <c r="O3862" s="77"/>
      <c r="P3862" s="77"/>
      <c r="Q3862" s="77"/>
      <c r="R3862" s="77"/>
      <c r="S3862" s="78"/>
      <c r="T3862" s="79"/>
      <c r="U3862" s="109"/>
      <c r="V3862" s="49"/>
      <c r="W3862" s="432"/>
      <c r="X3862" s="454"/>
      <c r="Y3862" s="433"/>
      <c r="Z3862" s="6"/>
      <c r="AA3862" s="500"/>
      <c r="AB3862" s="562"/>
      <c r="AC3862" s="49"/>
      <c r="AD3862" s="210"/>
      <c r="AE3862" s="434"/>
      <c r="AF3862" s="435"/>
      <c r="AG3862" s="49"/>
      <c r="AH3862" s="87"/>
      <c r="AI3862" s="87"/>
    </row>
    <row r="3863" spans="1:35" hidden="1">
      <c r="A3863" s="80" t="e">
        <f>"A"&amp;E3859</f>
        <v>#N/A</v>
      </c>
      <c r="B3863" s="81">
        <v>1</v>
      </c>
      <c r="C3863" s="82"/>
      <c r="D3863" s="82"/>
      <c r="E3863" s="82"/>
      <c r="F3863" s="82"/>
      <c r="G3863" s="83"/>
      <c r="H3863" s="83"/>
      <c r="I3863" s="84"/>
      <c r="J3863" s="85"/>
      <c r="K3863" s="382"/>
      <c r="L3863" s="85"/>
      <c r="M3863" s="332" t="str">
        <f t="shared" ref="M3863:M3872" si="1141">IF(OR(J3863="",L3863="",H3863="NO"),"",IF(OR(J3863&gt;$P$17,J3863&lt;$O$17,L3863&gt;$P$17,AND(J3863&lt;$O$17,L3863&lt;$O$17)),"FUERA DE RANGO",IF(OR(K3863="---",K3863=""),IF(J3863&gt;=$O$17,ROUND((L3863-J3863+1)/360*12,3),ROUND((L3863-$O$17+1)/360*12,3)),IF(J3863&gt;=$O$17,ROUND((L3863-J3863+1)/360*12-ROUND(K3863,3),3),ROUND((L3863-$O$17+1)/360*12-ROUND(K3863,3),3)))))</f>
        <v/>
      </c>
      <c r="N3863" s="86"/>
      <c r="O3863" s="453" t="str">
        <f>IF(OR(G3863="",N3863=""),"",N3863*G3863)</f>
        <v/>
      </c>
      <c r="P3863" s="538" t="str">
        <f>IF(OR(H3863="",M3863="FUERA DE RANGO"),"",IF(OR(L3863&lt;$O$17,L3863&gt;$P$17,L3863="",H3863="NO"),"",IF(OR(N3863="",O3863=""),"",ROUND(O3863,3))))</f>
        <v/>
      </c>
      <c r="Q3863" s="539" t="str">
        <f t="shared" ref="Q3863:Q3872" si="1142">IF(AND(H3863="SI",P3863&lt;&gt;""),ROUND(P3863/M3863,3),"")</f>
        <v/>
      </c>
      <c r="R3863" s="737"/>
      <c r="S3863" s="738"/>
      <c r="T3863" s="739"/>
      <c r="U3863" s="470"/>
      <c r="V3863" s="165"/>
      <c r="W3863" s="446"/>
      <c r="X3863" s="456"/>
      <c r="Y3863" s="436"/>
      <c r="Z3863" s="437"/>
      <c r="AA3863" s="560"/>
      <c r="AB3863" s="561"/>
      <c r="AC3863" s="87"/>
      <c r="AD3863" s="466"/>
      <c r="AE3863" s="456"/>
      <c r="AF3863" s="467"/>
      <c r="AG3863" s="87"/>
      <c r="AH3863" s="87"/>
      <c r="AI3863" s="87"/>
    </row>
    <row r="3864" spans="1:35" hidden="1">
      <c r="A3864" s="80" t="e">
        <f>"B"&amp;E3859</f>
        <v>#N/A</v>
      </c>
      <c r="B3864" s="81">
        <v>2</v>
      </c>
      <c r="C3864" s="106"/>
      <c r="D3864" s="106"/>
      <c r="E3864" s="106"/>
      <c r="F3864" s="106"/>
      <c r="G3864" s="83"/>
      <c r="H3864" s="83"/>
      <c r="I3864" s="84"/>
      <c r="J3864" s="85"/>
      <c r="K3864" s="382"/>
      <c r="L3864" s="85"/>
      <c r="M3864" s="332" t="str">
        <f t="shared" si="1141"/>
        <v/>
      </c>
      <c r="N3864" s="86"/>
      <c r="O3864" s="453" t="str">
        <f t="shared" ref="O3864:O3872" si="1143">IF(OR(G3864="",N3864=""),"",N3864*G3864)</f>
        <v/>
      </c>
      <c r="P3864" s="538" t="str">
        <f t="shared" ref="P3864:P3872" si="1144">IF(OR(H3864="",M3864="FUERA DE RANGO"),"",IF(OR(L3864&lt;$O$17,L3864&gt;$P$17,L3864="",H3864="NO"),"",IF(OR(N3864="",O3864=""),"",ROUND(O3864,3))))</f>
        <v/>
      </c>
      <c r="Q3864" s="539" t="str">
        <f t="shared" si="1142"/>
        <v/>
      </c>
      <c r="R3864" s="740"/>
      <c r="S3864" s="741"/>
      <c r="T3864" s="742"/>
      <c r="U3864" s="471"/>
      <c r="V3864" s="165"/>
      <c r="W3864" s="446"/>
      <c r="X3864" s="456"/>
      <c r="Y3864" s="436"/>
      <c r="Z3864" s="437"/>
      <c r="AA3864" s="560"/>
      <c r="AB3864" s="561"/>
      <c r="AC3864" s="87"/>
      <c r="AD3864" s="466"/>
      <c r="AE3864" s="456"/>
      <c r="AF3864" s="467"/>
      <c r="AG3864" s="87"/>
      <c r="AH3864" s="87"/>
      <c r="AI3864" s="87"/>
    </row>
    <row r="3865" spans="1:35" hidden="1">
      <c r="A3865" s="80" t="e">
        <f>"C"&amp;E3859</f>
        <v>#N/A</v>
      </c>
      <c r="B3865" s="88">
        <v>3</v>
      </c>
      <c r="C3865" s="82"/>
      <c r="D3865" s="82"/>
      <c r="E3865" s="82"/>
      <c r="F3865" s="82"/>
      <c r="G3865" s="83"/>
      <c r="H3865" s="83"/>
      <c r="I3865" s="84"/>
      <c r="J3865" s="85"/>
      <c r="K3865" s="382"/>
      <c r="L3865" s="85"/>
      <c r="M3865" s="332" t="str">
        <f t="shared" si="1141"/>
        <v/>
      </c>
      <c r="N3865" s="86"/>
      <c r="O3865" s="453" t="str">
        <f t="shared" si="1143"/>
        <v/>
      </c>
      <c r="P3865" s="538" t="str">
        <f t="shared" si="1144"/>
        <v/>
      </c>
      <c r="Q3865" s="539" t="str">
        <f t="shared" si="1142"/>
        <v/>
      </c>
      <c r="R3865" s="706"/>
      <c r="S3865" s="707"/>
      <c r="T3865" s="708"/>
      <c r="U3865" s="472"/>
      <c r="V3865" s="166"/>
      <c r="W3865" s="446"/>
      <c r="X3865" s="456"/>
      <c r="Y3865" s="436"/>
      <c r="Z3865" s="437"/>
      <c r="AA3865" s="560"/>
      <c r="AB3865" s="561"/>
      <c r="AC3865" s="87"/>
      <c r="AD3865" s="466"/>
      <c r="AE3865" s="456"/>
      <c r="AF3865" s="467"/>
      <c r="AG3865" s="87"/>
      <c r="AH3865" s="87"/>
      <c r="AI3865" s="87"/>
    </row>
    <row r="3866" spans="1:35" hidden="1">
      <c r="A3866" s="80" t="e">
        <f>"D"&amp;E3859</f>
        <v>#N/A</v>
      </c>
      <c r="B3866" s="105">
        <v>4</v>
      </c>
      <c r="C3866" s="107"/>
      <c r="D3866" s="107"/>
      <c r="E3866" s="107"/>
      <c r="F3866" s="107"/>
      <c r="G3866" s="83"/>
      <c r="H3866" s="83"/>
      <c r="I3866" s="84"/>
      <c r="J3866" s="85"/>
      <c r="K3866" s="382"/>
      <c r="L3866" s="85"/>
      <c r="M3866" s="332" t="str">
        <f t="shared" si="1141"/>
        <v/>
      </c>
      <c r="N3866" s="86"/>
      <c r="O3866" s="453" t="str">
        <f t="shared" si="1143"/>
        <v/>
      </c>
      <c r="P3866" s="538" t="str">
        <f t="shared" si="1144"/>
        <v/>
      </c>
      <c r="Q3866" s="539" t="str">
        <f t="shared" si="1142"/>
        <v/>
      </c>
      <c r="R3866" s="706"/>
      <c r="S3866" s="707"/>
      <c r="T3866" s="708"/>
      <c r="U3866" s="472"/>
      <c r="V3866" s="166"/>
      <c r="W3866" s="446"/>
      <c r="X3866" s="456"/>
      <c r="Y3866" s="436"/>
      <c r="Z3866" s="437"/>
      <c r="AA3866" s="560"/>
      <c r="AB3866" s="561"/>
      <c r="AC3866" s="87"/>
      <c r="AD3866" s="466"/>
      <c r="AE3866" s="456"/>
      <c r="AF3866" s="467"/>
      <c r="AG3866" s="87"/>
      <c r="AH3866" s="87"/>
      <c r="AI3866" s="87"/>
    </row>
    <row r="3867" spans="1:35" hidden="1">
      <c r="A3867" s="80" t="e">
        <f>"E"&amp;E3859</f>
        <v>#N/A</v>
      </c>
      <c r="B3867" s="105">
        <v>5</v>
      </c>
      <c r="C3867" s="107"/>
      <c r="D3867" s="107"/>
      <c r="E3867" s="107"/>
      <c r="F3867" s="107"/>
      <c r="G3867" s="83"/>
      <c r="H3867" s="83"/>
      <c r="I3867" s="84"/>
      <c r="J3867" s="85"/>
      <c r="K3867" s="382"/>
      <c r="L3867" s="85"/>
      <c r="M3867" s="332" t="str">
        <f t="shared" si="1141"/>
        <v/>
      </c>
      <c r="N3867" s="86"/>
      <c r="O3867" s="453" t="str">
        <f t="shared" si="1143"/>
        <v/>
      </c>
      <c r="P3867" s="538" t="str">
        <f t="shared" si="1144"/>
        <v/>
      </c>
      <c r="Q3867" s="539" t="str">
        <f t="shared" si="1142"/>
        <v/>
      </c>
      <c r="R3867" s="706"/>
      <c r="S3867" s="707"/>
      <c r="T3867" s="708"/>
      <c r="U3867" s="472"/>
      <c r="V3867" s="167"/>
      <c r="W3867" s="446"/>
      <c r="X3867" s="456"/>
      <c r="Y3867" s="436"/>
      <c r="Z3867" s="437"/>
      <c r="AA3867" s="560"/>
      <c r="AB3867" s="561"/>
      <c r="AC3867" s="87"/>
      <c r="AD3867" s="466"/>
      <c r="AE3867" s="456"/>
      <c r="AF3867" s="467"/>
      <c r="AG3867" s="87"/>
      <c r="AH3867" s="87"/>
      <c r="AI3867" s="87"/>
    </row>
    <row r="3868" spans="1:35" hidden="1">
      <c r="A3868" s="80" t="e">
        <f>"F"&amp;E3859</f>
        <v>#N/A</v>
      </c>
      <c r="B3868" s="105">
        <v>6</v>
      </c>
      <c r="C3868" s="107"/>
      <c r="D3868" s="107"/>
      <c r="E3868" s="107"/>
      <c r="F3868" s="107"/>
      <c r="G3868" s="83"/>
      <c r="H3868" s="83"/>
      <c r="I3868" s="84"/>
      <c r="J3868" s="85"/>
      <c r="K3868" s="382"/>
      <c r="L3868" s="85"/>
      <c r="M3868" s="332" t="str">
        <f t="shared" si="1141"/>
        <v/>
      </c>
      <c r="N3868" s="86"/>
      <c r="O3868" s="453" t="str">
        <f t="shared" si="1143"/>
        <v/>
      </c>
      <c r="P3868" s="538" t="str">
        <f t="shared" si="1144"/>
        <v/>
      </c>
      <c r="Q3868" s="539" t="str">
        <f t="shared" si="1142"/>
        <v/>
      </c>
      <c r="R3868" s="706"/>
      <c r="S3868" s="707"/>
      <c r="T3868" s="708"/>
      <c r="U3868" s="472"/>
      <c r="V3868" s="167"/>
      <c r="W3868" s="446"/>
      <c r="X3868" s="456"/>
      <c r="Y3868" s="436"/>
      <c r="Z3868" s="437"/>
      <c r="AA3868" s="560"/>
      <c r="AB3868" s="561"/>
      <c r="AC3868" s="87"/>
      <c r="AD3868" s="466"/>
      <c r="AE3868" s="456"/>
      <c r="AF3868" s="467"/>
      <c r="AG3868" s="87"/>
      <c r="AH3868" s="87"/>
      <c r="AI3868" s="87"/>
    </row>
    <row r="3869" spans="1:35" hidden="1">
      <c r="A3869" s="80" t="e">
        <f>"G"&amp;E3859</f>
        <v>#N/A</v>
      </c>
      <c r="B3869" s="105">
        <v>7</v>
      </c>
      <c r="C3869" s="107"/>
      <c r="D3869" s="107"/>
      <c r="E3869" s="107"/>
      <c r="F3869" s="107"/>
      <c r="G3869" s="83"/>
      <c r="H3869" s="83"/>
      <c r="I3869" s="84"/>
      <c r="J3869" s="85"/>
      <c r="K3869" s="382"/>
      <c r="L3869" s="85"/>
      <c r="M3869" s="332" t="str">
        <f t="shared" si="1141"/>
        <v/>
      </c>
      <c r="N3869" s="86"/>
      <c r="O3869" s="86" t="str">
        <f t="shared" si="1143"/>
        <v/>
      </c>
      <c r="P3869" s="538" t="str">
        <f t="shared" si="1144"/>
        <v/>
      </c>
      <c r="Q3869" s="539" t="str">
        <f t="shared" si="1142"/>
        <v/>
      </c>
      <c r="R3869" s="706"/>
      <c r="S3869" s="707"/>
      <c r="T3869" s="708"/>
      <c r="U3869" s="472"/>
      <c r="V3869" s="167"/>
      <c r="W3869" s="446"/>
      <c r="X3869" s="456"/>
      <c r="Y3869" s="436"/>
      <c r="Z3869" s="437"/>
      <c r="AA3869" s="560"/>
      <c r="AB3869" s="561"/>
      <c r="AC3869" s="87"/>
      <c r="AD3869" s="466"/>
      <c r="AE3869" s="456"/>
      <c r="AF3869" s="467"/>
      <c r="AG3869" s="87"/>
      <c r="AH3869" s="87"/>
      <c r="AI3869" s="87"/>
    </row>
    <row r="3870" spans="1:35" hidden="1">
      <c r="A3870" s="80" t="e">
        <f>"H"&amp;E3859</f>
        <v>#N/A</v>
      </c>
      <c r="B3870" s="105">
        <v>8</v>
      </c>
      <c r="C3870" s="107"/>
      <c r="D3870" s="107"/>
      <c r="E3870" s="107"/>
      <c r="F3870" s="107"/>
      <c r="G3870" s="83"/>
      <c r="H3870" s="83"/>
      <c r="I3870" s="84"/>
      <c r="J3870" s="85"/>
      <c r="K3870" s="382"/>
      <c r="L3870" s="85"/>
      <c r="M3870" s="332" t="str">
        <f t="shared" si="1141"/>
        <v/>
      </c>
      <c r="N3870" s="453"/>
      <c r="O3870" s="86" t="str">
        <f t="shared" si="1143"/>
        <v/>
      </c>
      <c r="P3870" s="538" t="str">
        <f t="shared" si="1144"/>
        <v/>
      </c>
      <c r="Q3870" s="539" t="str">
        <f t="shared" si="1142"/>
        <v/>
      </c>
      <c r="R3870" s="706"/>
      <c r="S3870" s="707"/>
      <c r="T3870" s="708"/>
      <c r="U3870" s="472"/>
      <c r="V3870" s="167"/>
      <c r="W3870" s="446"/>
      <c r="X3870" s="456"/>
      <c r="Y3870" s="436"/>
      <c r="Z3870" s="437"/>
      <c r="AA3870" s="560"/>
      <c r="AB3870" s="561"/>
      <c r="AC3870" s="87"/>
      <c r="AD3870" s="466"/>
      <c r="AE3870" s="456"/>
      <c r="AF3870" s="467"/>
      <c r="AG3870" s="87"/>
      <c r="AH3870" s="87"/>
      <c r="AI3870" s="87"/>
    </row>
    <row r="3871" spans="1:35" hidden="1">
      <c r="A3871" s="80" t="e">
        <f>"I"&amp;E3859</f>
        <v>#N/A</v>
      </c>
      <c r="B3871" s="105">
        <v>9</v>
      </c>
      <c r="C3871" s="107"/>
      <c r="D3871" s="107"/>
      <c r="E3871" s="107"/>
      <c r="F3871" s="107"/>
      <c r="G3871" s="83"/>
      <c r="H3871" s="83"/>
      <c r="I3871" s="84"/>
      <c r="J3871" s="85"/>
      <c r="K3871" s="382"/>
      <c r="L3871" s="85"/>
      <c r="M3871" s="332" t="str">
        <f t="shared" si="1141"/>
        <v/>
      </c>
      <c r="N3871" s="453"/>
      <c r="O3871" s="86" t="str">
        <f t="shared" si="1143"/>
        <v/>
      </c>
      <c r="P3871" s="538" t="str">
        <f t="shared" si="1144"/>
        <v/>
      </c>
      <c r="Q3871" s="539" t="str">
        <f t="shared" si="1142"/>
        <v/>
      </c>
      <c r="R3871" s="706"/>
      <c r="S3871" s="707"/>
      <c r="T3871" s="708"/>
      <c r="U3871" s="472"/>
      <c r="V3871" s="167"/>
      <c r="W3871" s="446"/>
      <c r="X3871" s="456"/>
      <c r="Y3871" s="436"/>
      <c r="Z3871" s="437"/>
      <c r="AA3871" s="560"/>
      <c r="AB3871" s="561"/>
      <c r="AC3871" s="87"/>
      <c r="AD3871" s="466"/>
      <c r="AE3871" s="456"/>
      <c r="AF3871" s="467"/>
      <c r="AG3871" s="87"/>
      <c r="AH3871" s="87"/>
      <c r="AI3871" s="87"/>
    </row>
    <row r="3872" spans="1:35" hidden="1">
      <c r="A3872" s="80" t="e">
        <f>"J"&amp;E3859</f>
        <v>#N/A</v>
      </c>
      <c r="B3872" s="105">
        <v>10</v>
      </c>
      <c r="C3872" s="107"/>
      <c r="D3872" s="107"/>
      <c r="E3872" s="107"/>
      <c r="F3872" s="107"/>
      <c r="G3872" s="83"/>
      <c r="H3872" s="83"/>
      <c r="I3872" s="84"/>
      <c r="J3872" s="85"/>
      <c r="K3872" s="382"/>
      <c r="L3872" s="85"/>
      <c r="M3872" s="332" t="str">
        <f t="shared" si="1141"/>
        <v/>
      </c>
      <c r="N3872" s="453"/>
      <c r="O3872" s="86" t="str">
        <f t="shared" si="1143"/>
        <v/>
      </c>
      <c r="P3872" s="538" t="str">
        <f t="shared" si="1144"/>
        <v/>
      </c>
      <c r="Q3872" s="539" t="str">
        <f t="shared" si="1142"/>
        <v/>
      </c>
      <c r="R3872" s="706"/>
      <c r="S3872" s="707"/>
      <c r="T3872" s="708"/>
      <c r="U3872" s="472"/>
      <c r="V3872" s="167"/>
      <c r="W3872" s="446"/>
      <c r="X3872" s="456"/>
      <c r="Y3872" s="436"/>
      <c r="Z3872" s="437"/>
      <c r="AA3872" s="560"/>
      <c r="AB3872" s="561"/>
      <c r="AC3872" s="87"/>
      <c r="AD3872" s="466"/>
      <c r="AE3872" s="456"/>
      <c r="AF3872" s="467"/>
      <c r="AG3872" s="87"/>
      <c r="AH3872" s="87"/>
      <c r="AI3872" s="87"/>
    </row>
    <row r="3873" spans="1:35" ht="16.5" hidden="1" thickBot="1">
      <c r="A3873" s="44"/>
      <c r="B3873" s="89"/>
      <c r="C3873" s="90"/>
      <c r="D3873" s="90"/>
      <c r="E3873" s="90"/>
      <c r="F3873" s="90"/>
      <c r="G3873" s="90"/>
      <c r="H3873" s="90"/>
      <c r="I3873" s="90"/>
      <c r="J3873" s="90"/>
      <c r="K3873" s="90"/>
      <c r="L3873" s="90"/>
      <c r="M3873" s="90"/>
      <c r="N3873" s="90"/>
      <c r="O3873" s="90"/>
      <c r="P3873" s="90"/>
      <c r="Q3873" s="90"/>
      <c r="R3873" s="90"/>
      <c r="S3873" s="91"/>
      <c r="T3873" s="92"/>
      <c r="U3873" s="473"/>
      <c r="W3873" s="438"/>
      <c r="X3873" s="455"/>
      <c r="Y3873" s="439"/>
      <c r="Z3873" s="437"/>
      <c r="AA3873" s="530"/>
      <c r="AB3873" s="563"/>
      <c r="AC3873" s="87"/>
      <c r="AD3873" s="440"/>
      <c r="AE3873" s="441"/>
      <c r="AF3873" s="442"/>
      <c r="AG3873" s="49"/>
      <c r="AH3873" s="87"/>
      <c r="AI3873" s="87"/>
    </row>
    <row r="3874" spans="1:35" ht="16.5" hidden="1" thickBot="1">
      <c r="A3874" s="93"/>
      <c r="B3874" s="94"/>
      <c r="C3874" s="96"/>
      <c r="D3874" s="96"/>
      <c r="E3874" s="96"/>
      <c r="F3874" s="96"/>
      <c r="G3874" s="96"/>
      <c r="H3874" s="96"/>
      <c r="I3874" s="96"/>
      <c r="J3874" s="96"/>
      <c r="K3874" s="96"/>
      <c r="L3874" s="96"/>
      <c r="M3874" s="136"/>
      <c r="N3874" s="96"/>
      <c r="O3874" s="96"/>
      <c r="P3874" s="97"/>
      <c r="Q3874" s="97"/>
      <c r="R3874" s="98"/>
      <c r="S3874" s="95"/>
      <c r="T3874" s="99"/>
      <c r="U3874" s="469"/>
      <c r="AC3874" s="58"/>
      <c r="AG3874" s="58"/>
      <c r="AH3874" s="87"/>
      <c r="AI3874" s="87"/>
    </row>
    <row r="3875" spans="1:35" ht="16.5" hidden="1" thickBot="1">
      <c r="B3875" s="101"/>
      <c r="C3875" s="101"/>
      <c r="D3875" s="101"/>
      <c r="E3875" s="101"/>
      <c r="F3875" s="101"/>
      <c r="G3875" s="101"/>
      <c r="H3875" s="101"/>
      <c r="I3875" s="101"/>
      <c r="J3875" s="101"/>
      <c r="K3875" s="101"/>
      <c r="L3875" s="101"/>
      <c r="M3875" s="101"/>
      <c r="N3875" s="101"/>
      <c r="O3875" s="101"/>
      <c r="P3875" s="101"/>
      <c r="Q3875" s="101"/>
      <c r="R3875" s="101"/>
      <c r="S3875" s="101"/>
      <c r="U3875" s="50"/>
      <c r="AH3875" s="87"/>
      <c r="AI3875" s="87"/>
    </row>
    <row r="3876" spans="1:35" ht="16.5" hidden="1" customHeight="1" thickBot="1">
      <c r="A3876" s="44"/>
      <c r="B3876" s="705" t="s">
        <v>74</v>
      </c>
      <c r="C3876" s="705"/>
      <c r="D3876" s="705"/>
      <c r="E3876" s="705"/>
      <c r="F3876" s="705"/>
      <c r="G3876" s="705"/>
      <c r="H3876" s="705"/>
      <c r="I3876" s="705"/>
      <c r="J3876" s="705"/>
      <c r="K3876" s="705"/>
      <c r="L3876" s="705"/>
      <c r="M3876" s="705"/>
      <c r="N3876" s="705"/>
      <c r="O3876" s="705"/>
      <c r="P3876" s="705"/>
      <c r="Q3876" s="705"/>
      <c r="R3876" s="705"/>
      <c r="S3876" s="705"/>
      <c r="T3876" s="705"/>
      <c r="U3876" s="108"/>
      <c r="Y3876" s="532" t="s">
        <v>341</v>
      </c>
      <c r="AC3876" s="49"/>
      <c r="AD3876" s="687" t="s">
        <v>302</v>
      </c>
      <c r="AE3876" s="688"/>
      <c r="AF3876" s="689"/>
      <c r="AG3876" s="49"/>
      <c r="AH3876" s="87"/>
      <c r="AI3876" s="87"/>
    </row>
    <row r="3877" spans="1:35" ht="16.5" hidden="1" customHeight="1" thickBot="1">
      <c r="A3877" s="218" t="e">
        <f>"K"&amp;E3859</f>
        <v>#N/A</v>
      </c>
      <c r="B3877" s="701" t="s">
        <v>71</v>
      </c>
      <c r="C3877" s="751" t="s">
        <v>102</v>
      </c>
      <c r="D3877" s="751"/>
      <c r="E3877" s="751"/>
      <c r="F3877" s="751"/>
      <c r="G3877" s="751"/>
      <c r="H3877" s="751"/>
      <c r="I3877" s="751"/>
      <c r="J3877" s="751"/>
      <c r="K3877" s="751"/>
      <c r="L3877" s="722" t="s">
        <v>100</v>
      </c>
      <c r="M3877" s="747" t="s">
        <v>114</v>
      </c>
      <c r="N3877" s="747"/>
      <c r="O3877" s="747"/>
      <c r="P3877" s="747"/>
      <c r="Q3877" s="748"/>
      <c r="R3877" s="758" t="s">
        <v>280</v>
      </c>
      <c r="S3877" s="748"/>
      <c r="T3877" s="762" t="str">
        <f>IF(COUNTIF(AE3877:AF3877,"VERIFICAR")&gt;0,"VERIFICAR",IF(COUNTIF(AE3877:AF3877,"NO CUMPLE")&gt;0,"NO CUMPLE","CUMPLE"))</f>
        <v>VERIFICAR</v>
      </c>
      <c r="U3877" s="108"/>
      <c r="Y3877" s="533" t="e">
        <f>IF(F3878="","",IF(F3878=1,"INDIVIDUAL","ESTRUCTURA PLURAL"))</f>
        <v>#N/A</v>
      </c>
      <c r="AC3877" s="52"/>
      <c r="AD3877" s="475" t="s">
        <v>303</v>
      </c>
      <c r="AE3877" s="476" t="str">
        <f>IF(COUNTIF(AE3863:AE3872,"")=10,"VERIFICAR",IF(COUNTIF(AE3863:AE3872,"SI")&gt;0,"CUMPLE","NO CUMPLE"))</f>
        <v>VERIFICAR</v>
      </c>
      <c r="AF3877" s="477" t="str">
        <f>IF(COUNTIF(AF3863:AF3872,"")=10,"VERIFICAR",IF(COUNTIF(AF3863:AF3872,"SI")&gt;=$AI$22,"CUMPLE","NO CUMPLE"))</f>
        <v>VERIFICAR</v>
      </c>
      <c r="AG3877" s="52"/>
      <c r="AH3877" s="87"/>
      <c r="AI3877" s="87"/>
    </row>
    <row r="3878" spans="1:35" ht="15.75" hidden="1" customHeight="1" thickBot="1">
      <c r="A3878" s="218" t="e">
        <f>"L"&amp;E3859</f>
        <v>#N/A</v>
      </c>
      <c r="B3878" s="702"/>
      <c r="C3878" s="751" t="s">
        <v>103</v>
      </c>
      <c r="D3878" s="751"/>
      <c r="E3878" s="752"/>
      <c r="F3878" s="557" t="e">
        <f>IF(VLOOKUP(E3859,PROPONENTES!$C$19:$E$218,3,0)="","",VLOOKUP(E3859,PROPONENTES!$C$19:$E$218,3,0))</f>
        <v>#N/A</v>
      </c>
      <c r="G3878" s="753" t="s">
        <v>104</v>
      </c>
      <c r="H3878" s="751"/>
      <c r="I3878" s="715" t="e">
        <f>IF(OR(F3878="",F3878=1),"INTERESADO PERSONA NATURAL O JURIDICA","CONSORCIO O UNION TEMPORAL")</f>
        <v>#N/A</v>
      </c>
      <c r="J3878" s="725"/>
      <c r="K3878" s="728"/>
      <c r="L3878" s="723"/>
      <c r="M3878" s="749"/>
      <c r="N3878" s="749"/>
      <c r="O3878" s="749"/>
      <c r="P3878" s="749"/>
      <c r="Q3878" s="750"/>
      <c r="R3878" s="712"/>
      <c r="S3878" s="750"/>
      <c r="T3878" s="763"/>
      <c r="U3878" s="108"/>
      <c r="Y3878" s="534"/>
      <c r="AA3878" s="52"/>
      <c r="AB3878" s="52"/>
      <c r="AC3878" s="52"/>
      <c r="AG3878" s="52"/>
      <c r="AH3878" s="87"/>
      <c r="AI3878" s="87"/>
    </row>
    <row r="3879" spans="1:35" ht="56.25" hidden="1" customHeight="1" thickBot="1">
      <c r="A3879" s="218" t="e">
        <f>"M"&amp;E3859</f>
        <v>#N/A</v>
      </c>
      <c r="B3879" s="702"/>
      <c r="C3879" s="725" t="s">
        <v>101</v>
      </c>
      <c r="D3879" s="716"/>
      <c r="E3879" s="558" t="s">
        <v>105</v>
      </c>
      <c r="F3879" s="554" t="s">
        <v>87</v>
      </c>
      <c r="G3879" s="553" t="s">
        <v>86</v>
      </c>
      <c r="H3879" s="559" t="s">
        <v>85</v>
      </c>
      <c r="I3879" s="554" t="s">
        <v>252</v>
      </c>
      <c r="J3879" s="553" t="str">
        <f>"¿EL INTEGRANTE TIENE UNA PARTICIPACIÓN DEL "&amp;PORCREQUERIDOINT*100&amp;"%?"</f>
        <v>¿EL INTEGRANTE TIENE UNA PARTICIPACIÓN DEL 60%?</v>
      </c>
      <c r="K3879" s="554" t="s">
        <v>107</v>
      </c>
      <c r="L3879" s="724"/>
      <c r="M3879" s="717" t="s">
        <v>115</v>
      </c>
      <c r="N3879" s="718"/>
      <c r="O3879" s="718"/>
      <c r="P3879" s="718"/>
      <c r="Q3879" s="223">
        <f>IF(AND(H3863="SI",P3863&gt;=0),1,0)+IF(AND(H3864="SI",P3864&gt;=0),1,0)+IF(AND(H3865="SI",P3865&gt;=0),1,0)+IF(AND(H3866="SI",P3866&gt;=0),1,0)+IF(AND(H3867="SI",P3867&gt;=0),1,0)+IF(AND(H3868="SI",P3868&gt;=0),1,0)+IF(AND(H3869="SI",P3869&gt;=0),1,0)+IF(AND(H3870="SI",P3870&gt;=0),1,0)+IF(AND(H3871="SI",P3871&gt;=0),1,0)+IF(AND(H3872="SI",P3872&gt;=0),1,0)</f>
        <v>0</v>
      </c>
      <c r="R3879" s="759"/>
      <c r="S3879" s="761"/>
      <c r="T3879" s="764"/>
      <c r="U3879" s="219"/>
      <c r="V3879" s="464"/>
      <c r="Y3879" s="532" t="s">
        <v>342</v>
      </c>
      <c r="AA3879" s="550" t="s">
        <v>344</v>
      </c>
      <c r="AB3879" s="693" t="s">
        <v>345</v>
      </c>
      <c r="AC3879" s="693" t="s">
        <v>346</v>
      </c>
      <c r="AD3879" s="685" t="s">
        <v>347</v>
      </c>
      <c r="AE3879" s="52"/>
      <c r="AF3879" s="52"/>
      <c r="AG3879" s="52"/>
      <c r="AH3879" s="87"/>
      <c r="AI3879" s="87"/>
    </row>
    <row r="3880" spans="1:35" ht="15.75" hidden="1" customHeight="1" thickBot="1">
      <c r="A3880" s="218" t="e">
        <f>"N"&amp;E3859</f>
        <v>#N/A</v>
      </c>
      <c r="B3880" s="702"/>
      <c r="C3880" s="114">
        <v>1</v>
      </c>
      <c r="D3880" s="194" t="e">
        <f>IF(AND(C3880&lt;=F3878,F3878&gt;1,F3878&lt;&gt;""),VLOOKUP(VALUE(E3859&amp;","&amp;C3880),INTEGRANTES!$D$18:$F$235,2,0),"")</f>
        <v>#N/A</v>
      </c>
      <c r="E3880" s="211" t="e">
        <f>IF(D3880&lt;&gt;"",VLOOKUP(VALUE(E3859&amp;","&amp;C3880),INTEGRANTES!$D$18:$F$235,3,0),"")</f>
        <v>#N/A</v>
      </c>
      <c r="F3880" s="547" t="e">
        <f>IF(D3880="","",SUMIF($I3863:$I3872,D3880,$P3863:$P3872))</f>
        <v>#N/A</v>
      </c>
      <c r="G3880" s="333" t="e">
        <f>IF(D3880="","",SUMIF($I3863:$I3872,D3880,$M3863:$M3872))</f>
        <v>#N/A</v>
      </c>
      <c r="H3880" s="535" t="e">
        <f t="shared" ref="H3880:H3885" si="1145">IF(D3880="","",IF(OR(F3880=0,G3880=0),"NO APORTA",ROUND($F3880/$G3880,3)))</f>
        <v>#N/A</v>
      </c>
      <c r="I3880" s="212" t="e">
        <f>IF(D3880="","",IF(H3880="NO APORTA","NO",IF(H3880=MAX($H3880:$H3885),"SI","NO")))</f>
        <v>#N/A</v>
      </c>
      <c r="J3880" s="213" t="e">
        <f t="shared" ref="J3880:J3885" si="1146">IF(D3880="","",IF(E3880&gt;=PORCREQUERIDOINT,"SI","NO"))</f>
        <v>#N/A</v>
      </c>
      <c r="K3880" s="200" t="e">
        <f t="shared" ref="K3880:K3885" si="1147">IF(D3880="","",IF(AND(I3880="SI",J3880="SI"),"CUMPLE",IF(AND(I3880="NO",OR(J3880="SI",J3880="NO")),"","NO CUMPLE")))</f>
        <v>#N/A</v>
      </c>
      <c r="L3880" s="722" t="s">
        <v>108</v>
      </c>
      <c r="M3880" s="726" t="s">
        <v>119</v>
      </c>
      <c r="N3880" s="726"/>
      <c r="O3880" s="726"/>
      <c r="P3880" s="726"/>
      <c r="Q3880" s="727"/>
      <c r="R3880" s="758" t="s">
        <v>80</v>
      </c>
      <c r="S3880" s="747"/>
      <c r="T3880" s="748"/>
      <c r="U3880" s="219"/>
      <c r="V3880" s="464"/>
      <c r="Y3880" s="533" t="e">
        <f>IF(Y3877="","",IF(Y3877="INDIVIDUAL","NO APLICA","VERIFICAR CUADRO"))</f>
        <v>#N/A</v>
      </c>
      <c r="AA3880" s="551"/>
      <c r="AB3880" s="694"/>
      <c r="AC3880" s="694"/>
      <c r="AD3880" s="686"/>
      <c r="AE3880" s="52"/>
      <c r="AF3880" s="52"/>
      <c r="AG3880" s="52"/>
      <c r="AH3880" s="87"/>
      <c r="AI3880" s="87"/>
    </row>
    <row r="3881" spans="1:35" ht="27" hidden="1" customHeight="1" thickBot="1">
      <c r="A3881" s="218" t="e">
        <f>"O"&amp;E3859</f>
        <v>#N/A</v>
      </c>
      <c r="B3881" s="702"/>
      <c r="C3881" s="114">
        <v>2</v>
      </c>
      <c r="D3881" s="194" t="e">
        <f>IF(AND(C3881&lt;=F3878,F3878&lt;&gt;""),VLOOKUP(VALUE(E3859&amp;","&amp;C3881),INTEGRANTES!$D$18:$F$235,2,0),"")</f>
        <v>#N/A</v>
      </c>
      <c r="E3881" s="211" t="e">
        <f>IF(D3881&lt;&gt;"",VLOOKUP(VALUE(E3859&amp;","&amp;C3881),INTEGRANTES!$D$18:$F$235,3,0),"")</f>
        <v>#N/A</v>
      </c>
      <c r="F3881" s="547" t="e">
        <f>IF(D3881="","",SUMIF($I3863:$I3872,D3881,$P3863:$P3872))</f>
        <v>#N/A</v>
      </c>
      <c r="G3881" s="333" t="e">
        <f>IF(D3881="","",SUMIF($I3863:$I3872,D3881,$M3863:$M3872))</f>
        <v>#N/A</v>
      </c>
      <c r="H3881" s="535" t="e">
        <f t="shared" si="1145"/>
        <v>#N/A</v>
      </c>
      <c r="I3881" s="212" t="e">
        <f>IF(D3881="","",IF(H3881="NO APORTA","NO",IF(H3881=MAX($H3880:$H3885),"SI","NO")))</f>
        <v>#N/A</v>
      </c>
      <c r="J3881" s="213" t="e">
        <f t="shared" si="1146"/>
        <v>#N/A</v>
      </c>
      <c r="K3881" s="200" t="e">
        <f t="shared" si="1147"/>
        <v>#N/A</v>
      </c>
      <c r="L3881" s="723"/>
      <c r="M3881" s="715" t="s">
        <v>116</v>
      </c>
      <c r="N3881" s="716"/>
      <c r="O3881" s="556" t="s">
        <v>113</v>
      </c>
      <c r="P3881" s="715" t="s">
        <v>117</v>
      </c>
      <c r="Q3881" s="728"/>
      <c r="R3881" s="759"/>
      <c r="S3881" s="760"/>
      <c r="T3881" s="761"/>
      <c r="U3881" s="219"/>
      <c r="V3881" s="464"/>
      <c r="Y3881" s="414"/>
      <c r="AA3881" s="542" t="e">
        <f>IF(AND(C3880&lt;=F3878,F3878&gt;1,F3878&lt;&gt;""),VLOOKUP(VALUE(E3859&amp;","&amp;C3880),INTEGRANTES!$D$18:$F$235,2,0),"")</f>
        <v>#N/A</v>
      </c>
      <c r="AB3881" s="544" t="e">
        <f t="shared" ref="AB3881:AB3886" si="1148">IF(D3880="","",IF(OR(F3880=0,G3880=0),"NO APORTA",ROUND($F3880/$G3880,3)))</f>
        <v>#N/A</v>
      </c>
      <c r="AC3881" s="529"/>
      <c r="AD3881" s="200" t="e">
        <f t="shared" ref="AD3881:AD3886" si="1149">IF(OR(AA3881="",AB3881=""),"",IF(AND(AC3881="X",AB3881&gt;=EXPREQVTD),"CUMPLE","NO CUMPLE"))</f>
        <v>#N/A</v>
      </c>
      <c r="AE3881" s="52"/>
      <c r="AF3881" s="52"/>
      <c r="AG3881" s="52"/>
      <c r="AH3881" s="87"/>
      <c r="AI3881" s="87"/>
    </row>
    <row r="3882" spans="1:35" ht="16.5" hidden="1" thickBot="1">
      <c r="A3882" s="218" t="e">
        <f>"P"&amp;E3859</f>
        <v>#N/A</v>
      </c>
      <c r="B3882" s="702"/>
      <c r="C3882" s="114">
        <v>3</v>
      </c>
      <c r="D3882" s="194" t="e">
        <f>IF(AND(C3882&lt;=F3878,F3878&lt;&gt;""),VLOOKUP(VALUE(E3859&amp;","&amp;C3882),INTEGRANTES!$D$18:$F$235,2,0),"")</f>
        <v>#N/A</v>
      </c>
      <c r="E3882" s="211" t="e">
        <f>IF(D3882&lt;&gt;"",VLOOKUP(VALUE(E3859&amp;","&amp;C3882),INTEGRANTES!$D$18:$F$235,3,0),"")</f>
        <v>#N/A</v>
      </c>
      <c r="F3882" s="547" t="e">
        <f>IF(D3882="","",SUMIF($I3863:$I3872,D3882,$P3863:$P3872))</f>
        <v>#N/A</v>
      </c>
      <c r="G3882" s="333" t="e">
        <f>IF(D3882="","",SUMIF($I3863:$I3872,D3882,$M3863:$M3872))</f>
        <v>#N/A</v>
      </c>
      <c r="H3882" s="535" t="e">
        <f t="shared" si="1145"/>
        <v>#N/A</v>
      </c>
      <c r="I3882" s="212" t="e">
        <f>IF(D3882="","",IF(H3882="NO APORTA","NO",IF(H3882=MAX($H3880:$H3885),"SI","NO")))</f>
        <v>#N/A</v>
      </c>
      <c r="J3882" s="213" t="e">
        <f t="shared" si="1146"/>
        <v>#N/A</v>
      </c>
      <c r="K3882" s="200" t="e">
        <f t="shared" si="1147"/>
        <v>#N/A</v>
      </c>
      <c r="L3882" s="724"/>
      <c r="M3882" s="729">
        <f>NUMMOD</f>
        <v>1</v>
      </c>
      <c r="N3882" s="730"/>
      <c r="O3882" s="443">
        <f>IF(M3882="","",VLOOKUP(M3882,PRESUPUESTOS!$B$16:$H$16,5,FALSE))</f>
        <v>2</v>
      </c>
      <c r="P3882" s="713">
        <f>IF(OR(COUNTIF(M3863:M3872,"")&gt;=10,Q3879&lt;NUMMINCONT,OR(T3877="NO CUMPLE",T3877="VERIFICAR")),0,ROUND(AVERAGE(M3863:M3872),3))</f>
        <v>0</v>
      </c>
      <c r="Q3882" s="714"/>
      <c r="R3882" s="458"/>
      <c r="S3882" s="459"/>
      <c r="T3882" s="460"/>
      <c r="U3882" s="219"/>
      <c r="V3882" s="464"/>
      <c r="Y3882" s="532" t="str">
        <f>"40% * ("&amp;PRESUPUESTOS!$H$13&amp;")"</f>
        <v>40% * (50% PFMO)</v>
      </c>
      <c r="AA3882" s="540" t="e">
        <f>IF(AND(C3881&lt;=F3878,F3878&lt;&gt;""),VLOOKUP(VALUE(E3859&amp;","&amp;C3881),INTEGRANTES!$D$18:$F$235,2,0),"")</f>
        <v>#N/A</v>
      </c>
      <c r="AB3882" s="545" t="e">
        <f t="shared" si="1148"/>
        <v>#N/A</v>
      </c>
      <c r="AC3882" s="529"/>
      <c r="AD3882" s="200" t="e">
        <f t="shared" si="1149"/>
        <v>#N/A</v>
      </c>
      <c r="AE3882" s="52"/>
      <c r="AF3882" s="52"/>
      <c r="AG3882" s="52"/>
      <c r="AH3882" s="87"/>
      <c r="AI3882" s="87"/>
    </row>
    <row r="3883" spans="1:35" ht="15.75" hidden="1" customHeight="1" thickBot="1">
      <c r="A3883" s="218" t="e">
        <f>"Q"&amp;E3859</f>
        <v>#N/A</v>
      </c>
      <c r="B3883" s="702"/>
      <c r="C3883" s="114">
        <v>4</v>
      </c>
      <c r="D3883" s="194" t="e">
        <f>IF(AND(C3883&lt;=F3878,F3878&lt;&gt;""),VLOOKUP(VALUE(E3859&amp;","&amp;C3883),INTEGRANTES!$D$18:$F$235,2,0),"")</f>
        <v>#N/A</v>
      </c>
      <c r="E3883" s="211" t="e">
        <f>IF(D3883&lt;&gt;"",VLOOKUP(VALUE(E3859&amp;","&amp;C3883),INTEGRANTES!$D$18:$F$235,3,0),"")</f>
        <v>#N/A</v>
      </c>
      <c r="F3883" s="547" t="e">
        <f>IF(D3883="","",SUMIF($I3863:$I3872,D3883,$P3863:$P3872))</f>
        <v>#N/A</v>
      </c>
      <c r="G3883" s="333" t="e">
        <f>IF(D3883="","",SUMIF($I3863:$I3872,D3883,$M3863:$M3872))</f>
        <v>#N/A</v>
      </c>
      <c r="H3883" s="535" t="e">
        <f t="shared" si="1145"/>
        <v>#N/A</v>
      </c>
      <c r="I3883" s="212" t="e">
        <f>IF(D3883="","",IF(H3883="NO APORTA","NO",IF(H3883=MAX($H3880:$H3885),"SI","NO")))</f>
        <v>#N/A</v>
      </c>
      <c r="J3883" s="213" t="e">
        <f t="shared" si="1146"/>
        <v>#N/A</v>
      </c>
      <c r="K3883" s="200" t="e">
        <f t="shared" si="1147"/>
        <v>#N/A</v>
      </c>
      <c r="L3883" s="720" t="s">
        <v>109</v>
      </c>
      <c r="M3883" s="757" t="s">
        <v>120</v>
      </c>
      <c r="N3883" s="726"/>
      <c r="O3883" s="726"/>
      <c r="P3883" s="726"/>
      <c r="Q3883" s="727"/>
      <c r="R3883" s="458"/>
      <c r="S3883" s="459"/>
      <c r="T3883" s="460"/>
      <c r="U3883" s="219"/>
      <c r="V3883" s="464"/>
      <c r="Y3883" s="537">
        <f>0.4*PRESUPUESTOS!$H$16</f>
        <v>10.3124</v>
      </c>
      <c r="AA3883" s="540" t="e">
        <f>IF(AND(C3882&lt;=F3878,F3878&lt;&gt;""),VLOOKUP(VALUE(E3859&amp;","&amp;C3882),INTEGRANTES!$D$18:$F$235,2,0),"")</f>
        <v>#N/A</v>
      </c>
      <c r="AB3883" s="545" t="e">
        <f t="shared" si="1148"/>
        <v>#N/A</v>
      </c>
      <c r="AC3883" s="529"/>
      <c r="AD3883" s="200" t="e">
        <f t="shared" si="1149"/>
        <v>#N/A</v>
      </c>
      <c r="AE3883" s="52"/>
      <c r="AF3883" s="52"/>
      <c r="AG3883" s="52"/>
      <c r="AH3883" s="87"/>
      <c r="AI3883" s="87"/>
    </row>
    <row r="3884" spans="1:35" ht="27" hidden="1" customHeight="1" thickBot="1">
      <c r="A3884" s="218" t="e">
        <f>"R"&amp;E3859</f>
        <v>#N/A</v>
      </c>
      <c r="B3884" s="702"/>
      <c r="C3884" s="114">
        <v>5</v>
      </c>
      <c r="D3884" s="194" t="e">
        <f>IF(AND(C3884&lt;=F3878,F3878&lt;&gt;""),VLOOKUP(VALUE(E3859&amp;","&amp;C3884),INTEGRANTES!$D$18:$F$235,2,0),"")</f>
        <v>#N/A</v>
      </c>
      <c r="E3884" s="211" t="e">
        <f>IF(D3884&lt;&gt;"",VLOOKUP(VALUE(E3859&amp;","&amp;C3884),INTEGRANTES!$D$18:$F$235,3,0),"")</f>
        <v>#N/A</v>
      </c>
      <c r="F3884" s="547" t="e">
        <f>IF(D3884="","",SUMIF($I3863:$I3872,D3884,$P3863:$P3872))</f>
        <v>#N/A</v>
      </c>
      <c r="G3884" s="333" t="e">
        <f>IF(D3884="","",SUMIF($I3863:$I3872,D3884,$M3863:$M3872))</f>
        <v>#N/A</v>
      </c>
      <c r="H3884" s="535" t="e">
        <f t="shared" si="1145"/>
        <v>#N/A</v>
      </c>
      <c r="I3884" s="212" t="e">
        <f>IF(D3884="","",IF(H3884="NO APORTA","NO",IF(H3884=MAX($H3880:$H3885),"SI","NO")))</f>
        <v>#N/A</v>
      </c>
      <c r="J3884" s="213" t="e">
        <f t="shared" si="1146"/>
        <v>#N/A</v>
      </c>
      <c r="K3884" s="200" t="e">
        <f t="shared" si="1147"/>
        <v>#N/A</v>
      </c>
      <c r="L3884" s="721"/>
      <c r="M3884" s="715" t="s">
        <v>116</v>
      </c>
      <c r="N3884" s="716"/>
      <c r="O3884" s="556" t="str">
        <f>PORCREQUERIDO*100&amp;"% PMFO DEL MÓDULO"</f>
        <v>50% PMFO DEL MÓDULO</v>
      </c>
      <c r="P3884" s="715" t="s">
        <v>118</v>
      </c>
      <c r="Q3884" s="728"/>
      <c r="R3884" s="458"/>
      <c r="S3884" s="459"/>
      <c r="T3884" s="460"/>
      <c r="U3884" s="219"/>
      <c r="V3884" s="464"/>
      <c r="Y3884" s="414"/>
      <c r="AA3884" s="540" t="e">
        <f>IF(AND(C3883&lt;=F3878,F3878&lt;&gt;""),VLOOKUP(VALUE(E3859&amp;","&amp;C3883),INTEGRANTES!$D$18:$F$235,2,0),"")</f>
        <v>#N/A</v>
      </c>
      <c r="AB3884" s="545" t="e">
        <f t="shared" si="1148"/>
        <v>#N/A</v>
      </c>
      <c r="AC3884" s="529"/>
      <c r="AD3884" s="200" t="e">
        <f t="shared" si="1149"/>
        <v>#N/A</v>
      </c>
      <c r="AE3884" s="52"/>
      <c r="AF3884" s="52"/>
      <c r="AG3884" s="52"/>
      <c r="AH3884" s="87"/>
      <c r="AI3884" s="87"/>
    </row>
    <row r="3885" spans="1:35" ht="16.5" hidden="1" thickBot="1">
      <c r="A3885" s="218" t="e">
        <f>"S"&amp;E3859</f>
        <v>#N/A</v>
      </c>
      <c r="B3885" s="702"/>
      <c r="C3885" s="215">
        <v>6</v>
      </c>
      <c r="D3885" s="216" t="e">
        <f>IF(AND(C3885&lt;=F3878,F3878&lt;&gt;""),VLOOKUP(VALUE(E3859&amp;","&amp;C3885),INTEGRANTES!$D$18:$F$235,2,0),"")</f>
        <v>#N/A</v>
      </c>
      <c r="E3885" s="217" t="e">
        <f>IF(D3885&lt;&gt;"",VLOOKUP(VALUE(E3859&amp;","&amp;C3885),INTEGRANTES!$D$18:$F$235,3,0),"")</f>
        <v>#N/A</v>
      </c>
      <c r="F3885" s="548" t="e">
        <f>IF(D3885="","",SUMIF($I3863:$I3872,D3885,$P3863:$P3872))</f>
        <v>#N/A</v>
      </c>
      <c r="G3885" s="334" t="e">
        <f>IF(D3885="","",SUMIF($I3863:$I3872,D3885,$M3863:$M3872))</f>
        <v>#N/A</v>
      </c>
      <c r="H3885" s="536" t="e">
        <f t="shared" si="1145"/>
        <v>#N/A</v>
      </c>
      <c r="I3885" s="214" t="e">
        <f>IF(D3885="","",IF(H3885="NO APORTA","NO",IF(H3885=MAX($H3880:$H3885),"SI","NO")))</f>
        <v>#N/A</v>
      </c>
      <c r="J3885" s="213" t="e">
        <f t="shared" si="1146"/>
        <v>#N/A</v>
      </c>
      <c r="K3885" s="200" t="e">
        <f t="shared" si="1147"/>
        <v>#N/A</v>
      </c>
      <c r="L3885" s="721"/>
      <c r="M3885" s="729">
        <f>NUMMOD</f>
        <v>1</v>
      </c>
      <c r="N3885" s="730"/>
      <c r="O3885" s="443">
        <f>IF(M3885="","",ROUND(VLOOKUP(M3885,PRESUPUESTOS!$B$16:$H$16,7,FALSE),3))</f>
        <v>25.780999999999999</v>
      </c>
      <c r="P3885" s="713">
        <f>IF(OR(COUNTIF(P3863:P3872,"")&gt;=10,Q3879&lt;NUMMINCONT,OR(T3877="NO CUMPLE",T3877="VERIFICAR")),0,ROUND((SUM(P3863:P3872)/SUM(M3863:M3872)),3))</f>
        <v>0</v>
      </c>
      <c r="Q3885" s="714"/>
      <c r="R3885" s="458"/>
      <c r="S3885" s="459"/>
      <c r="T3885" s="460"/>
      <c r="U3885" s="219"/>
      <c r="V3885" s="464"/>
      <c r="Y3885" s="532" t="s">
        <v>343</v>
      </c>
      <c r="AA3885" s="540" t="e">
        <f>IF(AND(C3884&lt;=F3878,F3878&lt;&gt;""),VLOOKUP(VALUE(E3859&amp;","&amp;C3884),INTEGRANTES!$D$18:$F$235,2,0),"")</f>
        <v>#N/A</v>
      </c>
      <c r="AB3885" s="545" t="e">
        <f t="shared" si="1148"/>
        <v>#N/A</v>
      </c>
      <c r="AC3885" s="529"/>
      <c r="AD3885" s="200" t="e">
        <f t="shared" si="1149"/>
        <v>#N/A</v>
      </c>
      <c r="AE3885" s="52"/>
      <c r="AF3885" s="52"/>
      <c r="AG3885" s="52"/>
      <c r="AH3885" s="87"/>
      <c r="AI3885" s="87"/>
    </row>
    <row r="3886" spans="1:35" ht="16.5" hidden="1" customHeight="1" thickBot="1">
      <c r="A3886" s="218" t="e">
        <f>"T"&amp;E3859</f>
        <v>#N/A</v>
      </c>
      <c r="B3886" s="703"/>
      <c r="C3886" s="719"/>
      <c r="D3886" s="719"/>
      <c r="E3886" s="719"/>
      <c r="F3886" s="719"/>
      <c r="G3886" s="719"/>
      <c r="H3886" s="719" t="s">
        <v>110</v>
      </c>
      <c r="I3886" s="719"/>
      <c r="J3886" s="719"/>
      <c r="K3886" s="201" t="str">
        <f>IF(COUNTIF(K3880:K3885,"")=6,"",IF(COUNTIF(K3880:K3885,"CUMPLE")&gt;0,"CUMPLE","NO CUMPLE"))</f>
        <v>NO CUMPLE</v>
      </c>
      <c r="L3886" s="754"/>
      <c r="M3886" s="755"/>
      <c r="N3886" s="755"/>
      <c r="O3886" s="755"/>
      <c r="P3886" s="755"/>
      <c r="Q3886" s="756"/>
      <c r="R3886" s="461"/>
      <c r="S3886" s="462"/>
      <c r="T3886" s="463"/>
      <c r="U3886" s="219"/>
      <c r="V3886" s="464"/>
      <c r="Y3886" s="549" t="e">
        <f>IF(Y3880="NO APLICA","NO APLICA",IF(COUNTIF(AD3881:AD3886,"CUMPLE")&gt;0,"CUMPLE","NO CUMPLE"))</f>
        <v>#N/A</v>
      </c>
      <c r="AA3886" s="541" t="e">
        <f>IF(AND(C3885&lt;=F3878,F3878&lt;&gt;""),VLOOKUP(VALUE(E3859&amp;","&amp;C3885),INTEGRANTES!$D$18:$F$235,2,0),"")</f>
        <v>#N/A</v>
      </c>
      <c r="AB3886" s="546" t="e">
        <f t="shared" si="1148"/>
        <v>#N/A</v>
      </c>
      <c r="AC3886" s="543"/>
      <c r="AD3886" s="201" t="e">
        <f t="shared" si="1149"/>
        <v>#N/A</v>
      </c>
      <c r="AE3886" s="52"/>
      <c r="AF3886" s="52"/>
      <c r="AG3886" s="52"/>
      <c r="AH3886" s="87"/>
      <c r="AI3886" s="87"/>
    </row>
    <row r="3887" spans="1:35" hidden="1">
      <c r="AH3887" s="87"/>
      <c r="AI3887" s="87"/>
    </row>
    <row r="3888" spans="1:35" hidden="1">
      <c r="AH3888" s="87"/>
      <c r="AI3888" s="87"/>
    </row>
    <row r="3889" spans="1:35" ht="24" hidden="1" thickBot="1">
      <c r="A3889" s="61">
        <v>130</v>
      </c>
      <c r="B3889" s="704" t="s">
        <v>51</v>
      </c>
      <c r="C3889" s="704"/>
      <c r="D3889" s="704"/>
      <c r="E3889" s="62" t="e">
        <f>VLOOKUP(A3889,PROPONENTES!$B$19:$E$218,2,FALSE)</f>
        <v>#N/A</v>
      </c>
      <c r="F3889" s="63" t="e">
        <f>VLOOKUP(A3889,PROPONENTES!$B$19:$E$218,3,FALSE)</f>
        <v>#N/A</v>
      </c>
      <c r="G3889" s="64"/>
      <c r="H3889" s="64"/>
      <c r="I3889" s="63"/>
      <c r="J3889" s="63"/>
      <c r="K3889" s="65"/>
      <c r="L3889" s="65"/>
      <c r="M3889" s="64"/>
      <c r="N3889" s="64"/>
      <c r="O3889" s="66"/>
      <c r="P3889" s="66"/>
      <c r="Q3889" s="66"/>
      <c r="R3889" s="66"/>
      <c r="S3889" s="67"/>
      <c r="T3889" s="68"/>
      <c r="U3889" s="68"/>
      <c r="AC3889" s="68"/>
      <c r="AD3889" s="68"/>
      <c r="AE3889" s="68"/>
      <c r="AF3889" s="68"/>
      <c r="AG3889" s="68"/>
      <c r="AH3889" s="87"/>
      <c r="AI3889" s="87"/>
    </row>
    <row r="3890" spans="1:35" ht="15.75" hidden="1" customHeight="1">
      <c r="A3890" s="44"/>
      <c r="B3890" s="709" t="s">
        <v>59</v>
      </c>
      <c r="C3890" s="552" t="s">
        <v>60</v>
      </c>
      <c r="D3890" s="70" t="s">
        <v>17</v>
      </c>
      <c r="E3890" s="70"/>
      <c r="F3890" s="70" t="s">
        <v>61</v>
      </c>
      <c r="G3890" s="71"/>
      <c r="H3890" s="699" t="s">
        <v>62</v>
      </c>
      <c r="I3890" s="699" t="s">
        <v>18</v>
      </c>
      <c r="J3890" s="699" t="s">
        <v>63</v>
      </c>
      <c r="K3890" s="699" t="s">
        <v>64</v>
      </c>
      <c r="L3890" s="699" t="s">
        <v>65</v>
      </c>
      <c r="M3890" s="743" t="s">
        <v>66</v>
      </c>
      <c r="N3890" s="699" t="s">
        <v>282</v>
      </c>
      <c r="O3890" s="745" t="s">
        <v>67</v>
      </c>
      <c r="P3890" s="746"/>
      <c r="Q3890" s="102" t="s">
        <v>75</v>
      </c>
      <c r="R3890" s="731" t="s">
        <v>22</v>
      </c>
      <c r="S3890" s="732"/>
      <c r="T3890" s="733"/>
      <c r="U3890" s="712" t="s">
        <v>298</v>
      </c>
      <c r="W3890" s="690" t="s">
        <v>268</v>
      </c>
      <c r="X3890" s="691"/>
      <c r="Y3890" s="692"/>
      <c r="Z3890" s="428"/>
      <c r="AA3890" s="697" t="s">
        <v>315</v>
      </c>
      <c r="AB3890" s="695" t="s">
        <v>322</v>
      </c>
      <c r="AC3890" s="49"/>
      <c r="AD3890" s="690" t="s">
        <v>297</v>
      </c>
      <c r="AE3890" s="691"/>
      <c r="AF3890" s="692"/>
      <c r="AG3890" s="49"/>
      <c r="AH3890" s="87"/>
      <c r="AI3890" s="87"/>
    </row>
    <row r="3891" spans="1:35" ht="72" hidden="1">
      <c r="A3891" s="44"/>
      <c r="B3891" s="710"/>
      <c r="C3891" s="553" t="s">
        <v>68</v>
      </c>
      <c r="D3891" s="73" t="s">
        <v>3</v>
      </c>
      <c r="E3891" s="73" t="s">
        <v>19</v>
      </c>
      <c r="F3891" s="73" t="s">
        <v>69</v>
      </c>
      <c r="G3891" s="74" t="s">
        <v>70</v>
      </c>
      <c r="H3891" s="700"/>
      <c r="I3891" s="700"/>
      <c r="J3891" s="700"/>
      <c r="K3891" s="700"/>
      <c r="L3891" s="700"/>
      <c r="M3891" s="744"/>
      <c r="N3891" s="700"/>
      <c r="O3891" s="553" t="s">
        <v>279</v>
      </c>
      <c r="P3891" s="73" t="s">
        <v>88</v>
      </c>
      <c r="Q3891" s="555" t="s">
        <v>76</v>
      </c>
      <c r="R3891" s="734"/>
      <c r="S3891" s="735"/>
      <c r="T3891" s="736"/>
      <c r="U3891" s="712"/>
      <c r="W3891" s="429" t="s">
        <v>269</v>
      </c>
      <c r="X3891" s="457" t="s">
        <v>278</v>
      </c>
      <c r="Y3891" s="430" t="s">
        <v>324</v>
      </c>
      <c r="Z3891" s="428"/>
      <c r="AA3891" s="698"/>
      <c r="AB3891" s="696"/>
      <c r="AC3891" s="49"/>
      <c r="AD3891" s="429" t="s">
        <v>292</v>
      </c>
      <c r="AE3891" s="431" t="s">
        <v>300</v>
      </c>
      <c r="AF3891" s="468" t="s">
        <v>301</v>
      </c>
      <c r="AG3891" s="49"/>
      <c r="AH3891" s="87"/>
      <c r="AI3891" s="87"/>
    </row>
    <row r="3892" spans="1:35" hidden="1">
      <c r="A3892" s="44"/>
      <c r="B3892" s="76"/>
      <c r="C3892" s="77"/>
      <c r="D3892" s="77"/>
      <c r="E3892" s="77"/>
      <c r="F3892" s="77"/>
      <c r="G3892" s="77"/>
      <c r="H3892" s="77"/>
      <c r="I3892" s="77"/>
      <c r="J3892" s="77"/>
      <c r="K3892" s="77"/>
      <c r="L3892" s="77"/>
      <c r="M3892" s="77"/>
      <c r="N3892" s="77"/>
      <c r="O3892" s="77"/>
      <c r="P3892" s="77"/>
      <c r="Q3892" s="77"/>
      <c r="R3892" s="77"/>
      <c r="S3892" s="78"/>
      <c r="T3892" s="79"/>
      <c r="U3892" s="109"/>
      <c r="V3892" s="49"/>
      <c r="W3892" s="432"/>
      <c r="X3892" s="454"/>
      <c r="Y3892" s="433"/>
      <c r="Z3892" s="6"/>
      <c r="AA3892" s="500"/>
      <c r="AB3892" s="562"/>
      <c r="AC3892" s="49"/>
      <c r="AD3892" s="210"/>
      <c r="AE3892" s="434"/>
      <c r="AF3892" s="435"/>
      <c r="AG3892" s="49"/>
      <c r="AH3892" s="87"/>
      <c r="AI3892" s="87"/>
    </row>
    <row r="3893" spans="1:35" hidden="1">
      <c r="A3893" s="80" t="e">
        <f>"A"&amp;E3889</f>
        <v>#N/A</v>
      </c>
      <c r="B3893" s="81">
        <v>1</v>
      </c>
      <c r="C3893" s="82"/>
      <c r="D3893" s="82"/>
      <c r="E3893" s="82"/>
      <c r="F3893" s="82"/>
      <c r="G3893" s="83"/>
      <c r="H3893" s="83"/>
      <c r="I3893" s="84"/>
      <c r="J3893" s="85"/>
      <c r="K3893" s="382"/>
      <c r="L3893" s="85"/>
      <c r="M3893" s="332" t="str">
        <f t="shared" ref="M3893:M3902" si="1150">IF(OR(J3893="",L3893="",H3893="NO"),"",IF(OR(J3893&gt;$P$17,J3893&lt;$O$17,L3893&gt;$P$17,AND(J3893&lt;$O$17,L3893&lt;$O$17)),"FUERA DE RANGO",IF(OR(K3893="---",K3893=""),IF(J3893&gt;=$O$17,ROUND((L3893-J3893+1)/360*12,3),ROUND((L3893-$O$17+1)/360*12,3)),IF(J3893&gt;=$O$17,ROUND((L3893-J3893+1)/360*12-ROUND(K3893,3),3),ROUND((L3893-$O$17+1)/360*12-ROUND(K3893,3),3)))))</f>
        <v/>
      </c>
      <c r="N3893" s="86"/>
      <c r="O3893" s="453" t="str">
        <f>IF(OR(G3893="",N3893=""),"",N3893*G3893)</f>
        <v/>
      </c>
      <c r="P3893" s="538" t="str">
        <f>IF(OR(H3893="",M3893="FUERA DE RANGO"),"",IF(OR(L3893&lt;$O$17,L3893&gt;$P$17,L3893="",H3893="NO"),"",IF(OR(N3893="",O3893=""),"",ROUND(O3893,3))))</f>
        <v/>
      </c>
      <c r="Q3893" s="539" t="str">
        <f t="shared" ref="Q3893:Q3902" si="1151">IF(AND(H3893="SI",P3893&lt;&gt;""),ROUND(P3893/M3893,3),"")</f>
        <v/>
      </c>
      <c r="R3893" s="737"/>
      <c r="S3893" s="738"/>
      <c r="T3893" s="739"/>
      <c r="U3893" s="470"/>
      <c r="V3893" s="165"/>
      <c r="W3893" s="446"/>
      <c r="X3893" s="456"/>
      <c r="Y3893" s="436"/>
      <c r="Z3893" s="437"/>
      <c r="AA3893" s="560"/>
      <c r="AB3893" s="561"/>
      <c r="AC3893" s="87"/>
      <c r="AD3893" s="466"/>
      <c r="AE3893" s="456"/>
      <c r="AF3893" s="467"/>
      <c r="AG3893" s="87"/>
      <c r="AH3893" s="87"/>
      <c r="AI3893" s="87"/>
    </row>
    <row r="3894" spans="1:35" hidden="1">
      <c r="A3894" s="80" t="e">
        <f>"B"&amp;E3889</f>
        <v>#N/A</v>
      </c>
      <c r="B3894" s="81">
        <v>2</v>
      </c>
      <c r="C3894" s="106"/>
      <c r="D3894" s="106"/>
      <c r="E3894" s="106"/>
      <c r="F3894" s="106"/>
      <c r="G3894" s="83"/>
      <c r="H3894" s="83"/>
      <c r="I3894" s="84"/>
      <c r="J3894" s="85"/>
      <c r="K3894" s="382"/>
      <c r="L3894" s="85"/>
      <c r="M3894" s="332" t="str">
        <f t="shared" si="1150"/>
        <v/>
      </c>
      <c r="N3894" s="86"/>
      <c r="O3894" s="453" t="str">
        <f t="shared" ref="O3894:O3902" si="1152">IF(OR(G3894="",N3894=""),"",N3894*G3894)</f>
        <v/>
      </c>
      <c r="P3894" s="538" t="str">
        <f t="shared" ref="P3894:P3902" si="1153">IF(OR(H3894="",M3894="FUERA DE RANGO"),"",IF(OR(L3894&lt;$O$17,L3894&gt;$P$17,L3894="",H3894="NO"),"",IF(OR(N3894="",O3894=""),"",ROUND(O3894,3))))</f>
        <v/>
      </c>
      <c r="Q3894" s="539" t="str">
        <f t="shared" si="1151"/>
        <v/>
      </c>
      <c r="R3894" s="740"/>
      <c r="S3894" s="741"/>
      <c r="T3894" s="742"/>
      <c r="U3894" s="471"/>
      <c r="V3894" s="165"/>
      <c r="W3894" s="446"/>
      <c r="X3894" s="456"/>
      <c r="Y3894" s="436"/>
      <c r="Z3894" s="437"/>
      <c r="AA3894" s="560"/>
      <c r="AB3894" s="561"/>
      <c r="AC3894" s="87"/>
      <c r="AD3894" s="466"/>
      <c r="AE3894" s="456"/>
      <c r="AF3894" s="467"/>
      <c r="AG3894" s="87"/>
      <c r="AH3894" s="87"/>
      <c r="AI3894" s="87"/>
    </row>
    <row r="3895" spans="1:35" hidden="1">
      <c r="A3895" s="80" t="e">
        <f>"C"&amp;E3889</f>
        <v>#N/A</v>
      </c>
      <c r="B3895" s="88">
        <v>3</v>
      </c>
      <c r="C3895" s="82"/>
      <c r="D3895" s="82"/>
      <c r="E3895" s="82"/>
      <c r="F3895" s="82"/>
      <c r="G3895" s="83"/>
      <c r="H3895" s="83"/>
      <c r="I3895" s="84"/>
      <c r="J3895" s="85"/>
      <c r="K3895" s="382"/>
      <c r="L3895" s="85"/>
      <c r="M3895" s="332" t="str">
        <f t="shared" si="1150"/>
        <v/>
      </c>
      <c r="N3895" s="86"/>
      <c r="O3895" s="453" t="str">
        <f t="shared" si="1152"/>
        <v/>
      </c>
      <c r="P3895" s="538" t="str">
        <f t="shared" si="1153"/>
        <v/>
      </c>
      <c r="Q3895" s="539" t="str">
        <f t="shared" si="1151"/>
        <v/>
      </c>
      <c r="R3895" s="706"/>
      <c r="S3895" s="707"/>
      <c r="T3895" s="708"/>
      <c r="U3895" s="472"/>
      <c r="V3895" s="166"/>
      <c r="W3895" s="446"/>
      <c r="X3895" s="456"/>
      <c r="Y3895" s="436"/>
      <c r="Z3895" s="437"/>
      <c r="AA3895" s="560"/>
      <c r="AB3895" s="561"/>
      <c r="AC3895" s="87"/>
      <c r="AD3895" s="466"/>
      <c r="AE3895" s="456"/>
      <c r="AF3895" s="467"/>
      <c r="AG3895" s="87"/>
      <c r="AH3895" s="87"/>
      <c r="AI3895" s="87"/>
    </row>
    <row r="3896" spans="1:35" hidden="1">
      <c r="A3896" s="80" t="e">
        <f>"D"&amp;E3889</f>
        <v>#N/A</v>
      </c>
      <c r="B3896" s="105">
        <v>4</v>
      </c>
      <c r="C3896" s="107"/>
      <c r="D3896" s="107"/>
      <c r="E3896" s="107"/>
      <c r="F3896" s="107"/>
      <c r="G3896" s="83"/>
      <c r="H3896" s="83"/>
      <c r="I3896" s="84"/>
      <c r="J3896" s="85"/>
      <c r="K3896" s="382"/>
      <c r="L3896" s="85"/>
      <c r="M3896" s="332" t="str">
        <f t="shared" si="1150"/>
        <v/>
      </c>
      <c r="N3896" s="86"/>
      <c r="O3896" s="453" t="str">
        <f t="shared" si="1152"/>
        <v/>
      </c>
      <c r="P3896" s="538" t="str">
        <f t="shared" si="1153"/>
        <v/>
      </c>
      <c r="Q3896" s="539" t="str">
        <f t="shared" si="1151"/>
        <v/>
      </c>
      <c r="R3896" s="706"/>
      <c r="S3896" s="707"/>
      <c r="T3896" s="708"/>
      <c r="U3896" s="472"/>
      <c r="V3896" s="166"/>
      <c r="W3896" s="446"/>
      <c r="X3896" s="456"/>
      <c r="Y3896" s="436"/>
      <c r="Z3896" s="437"/>
      <c r="AA3896" s="560"/>
      <c r="AB3896" s="561"/>
      <c r="AC3896" s="87"/>
      <c r="AD3896" s="466"/>
      <c r="AE3896" s="456"/>
      <c r="AF3896" s="467"/>
      <c r="AG3896" s="87"/>
      <c r="AH3896" s="87"/>
      <c r="AI3896" s="87"/>
    </row>
    <row r="3897" spans="1:35" hidden="1">
      <c r="A3897" s="80" t="e">
        <f>"E"&amp;E3889</f>
        <v>#N/A</v>
      </c>
      <c r="B3897" s="105">
        <v>5</v>
      </c>
      <c r="C3897" s="107"/>
      <c r="D3897" s="107"/>
      <c r="E3897" s="107"/>
      <c r="F3897" s="107"/>
      <c r="G3897" s="83"/>
      <c r="H3897" s="83"/>
      <c r="I3897" s="84"/>
      <c r="J3897" s="85"/>
      <c r="K3897" s="382"/>
      <c r="L3897" s="85"/>
      <c r="M3897" s="332" t="str">
        <f t="shared" si="1150"/>
        <v/>
      </c>
      <c r="N3897" s="86"/>
      <c r="O3897" s="453" t="str">
        <f t="shared" si="1152"/>
        <v/>
      </c>
      <c r="P3897" s="538" t="str">
        <f t="shared" si="1153"/>
        <v/>
      </c>
      <c r="Q3897" s="539" t="str">
        <f t="shared" si="1151"/>
        <v/>
      </c>
      <c r="R3897" s="706"/>
      <c r="S3897" s="707"/>
      <c r="T3897" s="708"/>
      <c r="U3897" s="472"/>
      <c r="V3897" s="167"/>
      <c r="W3897" s="446"/>
      <c r="X3897" s="456"/>
      <c r="Y3897" s="436"/>
      <c r="Z3897" s="437"/>
      <c r="AA3897" s="560"/>
      <c r="AB3897" s="561"/>
      <c r="AC3897" s="87"/>
      <c r="AD3897" s="466"/>
      <c r="AE3897" s="456"/>
      <c r="AF3897" s="467"/>
      <c r="AG3897" s="87"/>
      <c r="AH3897" s="87"/>
      <c r="AI3897" s="87"/>
    </row>
    <row r="3898" spans="1:35" hidden="1">
      <c r="A3898" s="80" t="e">
        <f>"F"&amp;E3889</f>
        <v>#N/A</v>
      </c>
      <c r="B3898" s="105">
        <v>6</v>
      </c>
      <c r="C3898" s="107"/>
      <c r="D3898" s="107"/>
      <c r="E3898" s="107"/>
      <c r="F3898" s="107"/>
      <c r="G3898" s="83"/>
      <c r="H3898" s="83"/>
      <c r="I3898" s="84"/>
      <c r="J3898" s="85"/>
      <c r="K3898" s="382"/>
      <c r="L3898" s="85"/>
      <c r="M3898" s="332" t="str">
        <f t="shared" si="1150"/>
        <v/>
      </c>
      <c r="N3898" s="86"/>
      <c r="O3898" s="453" t="str">
        <f t="shared" si="1152"/>
        <v/>
      </c>
      <c r="P3898" s="538" t="str">
        <f t="shared" si="1153"/>
        <v/>
      </c>
      <c r="Q3898" s="539" t="str">
        <f t="shared" si="1151"/>
        <v/>
      </c>
      <c r="R3898" s="706"/>
      <c r="S3898" s="707"/>
      <c r="T3898" s="708"/>
      <c r="U3898" s="472"/>
      <c r="V3898" s="167"/>
      <c r="W3898" s="446"/>
      <c r="X3898" s="456"/>
      <c r="Y3898" s="436"/>
      <c r="Z3898" s="437"/>
      <c r="AA3898" s="560"/>
      <c r="AB3898" s="561"/>
      <c r="AC3898" s="87"/>
      <c r="AD3898" s="466"/>
      <c r="AE3898" s="456"/>
      <c r="AF3898" s="467"/>
      <c r="AG3898" s="87"/>
      <c r="AH3898" s="87"/>
      <c r="AI3898" s="87"/>
    </row>
    <row r="3899" spans="1:35" hidden="1">
      <c r="A3899" s="80" t="e">
        <f>"G"&amp;E3889</f>
        <v>#N/A</v>
      </c>
      <c r="B3899" s="105">
        <v>7</v>
      </c>
      <c r="C3899" s="107"/>
      <c r="D3899" s="107"/>
      <c r="E3899" s="107"/>
      <c r="F3899" s="107"/>
      <c r="G3899" s="83"/>
      <c r="H3899" s="83"/>
      <c r="I3899" s="84"/>
      <c r="J3899" s="85"/>
      <c r="K3899" s="382"/>
      <c r="L3899" s="85"/>
      <c r="M3899" s="332" t="str">
        <f t="shared" si="1150"/>
        <v/>
      </c>
      <c r="N3899" s="86"/>
      <c r="O3899" s="86" t="str">
        <f t="shared" si="1152"/>
        <v/>
      </c>
      <c r="P3899" s="538" t="str">
        <f t="shared" si="1153"/>
        <v/>
      </c>
      <c r="Q3899" s="539" t="str">
        <f t="shared" si="1151"/>
        <v/>
      </c>
      <c r="R3899" s="706"/>
      <c r="S3899" s="707"/>
      <c r="T3899" s="708"/>
      <c r="U3899" s="472"/>
      <c r="V3899" s="167"/>
      <c r="W3899" s="446"/>
      <c r="X3899" s="456"/>
      <c r="Y3899" s="436"/>
      <c r="Z3899" s="437"/>
      <c r="AA3899" s="560"/>
      <c r="AB3899" s="561"/>
      <c r="AC3899" s="87"/>
      <c r="AD3899" s="466"/>
      <c r="AE3899" s="456"/>
      <c r="AF3899" s="467"/>
      <c r="AG3899" s="87"/>
      <c r="AH3899" s="87"/>
      <c r="AI3899" s="87"/>
    </row>
    <row r="3900" spans="1:35" hidden="1">
      <c r="A3900" s="80" t="e">
        <f>"H"&amp;E3889</f>
        <v>#N/A</v>
      </c>
      <c r="B3900" s="105">
        <v>8</v>
      </c>
      <c r="C3900" s="107"/>
      <c r="D3900" s="107"/>
      <c r="E3900" s="107"/>
      <c r="F3900" s="107"/>
      <c r="G3900" s="83"/>
      <c r="H3900" s="83"/>
      <c r="I3900" s="84"/>
      <c r="J3900" s="85"/>
      <c r="K3900" s="382"/>
      <c r="L3900" s="85"/>
      <c r="M3900" s="332" t="str">
        <f t="shared" si="1150"/>
        <v/>
      </c>
      <c r="N3900" s="453"/>
      <c r="O3900" s="86" t="str">
        <f t="shared" si="1152"/>
        <v/>
      </c>
      <c r="P3900" s="538" t="str">
        <f t="shared" si="1153"/>
        <v/>
      </c>
      <c r="Q3900" s="539" t="str">
        <f t="shared" si="1151"/>
        <v/>
      </c>
      <c r="R3900" s="706"/>
      <c r="S3900" s="707"/>
      <c r="T3900" s="708"/>
      <c r="U3900" s="472"/>
      <c r="V3900" s="167"/>
      <c r="W3900" s="446"/>
      <c r="X3900" s="456"/>
      <c r="Y3900" s="436"/>
      <c r="Z3900" s="437"/>
      <c r="AA3900" s="560"/>
      <c r="AB3900" s="561"/>
      <c r="AC3900" s="87"/>
      <c r="AD3900" s="466"/>
      <c r="AE3900" s="456"/>
      <c r="AF3900" s="467"/>
      <c r="AG3900" s="87"/>
      <c r="AH3900" s="87"/>
      <c r="AI3900" s="87"/>
    </row>
    <row r="3901" spans="1:35" hidden="1">
      <c r="A3901" s="80" t="e">
        <f>"I"&amp;E3889</f>
        <v>#N/A</v>
      </c>
      <c r="B3901" s="105">
        <v>9</v>
      </c>
      <c r="C3901" s="107"/>
      <c r="D3901" s="107"/>
      <c r="E3901" s="107"/>
      <c r="F3901" s="107"/>
      <c r="G3901" s="83"/>
      <c r="H3901" s="83"/>
      <c r="I3901" s="84"/>
      <c r="J3901" s="85"/>
      <c r="K3901" s="382"/>
      <c r="L3901" s="85"/>
      <c r="M3901" s="332" t="str">
        <f t="shared" si="1150"/>
        <v/>
      </c>
      <c r="N3901" s="453"/>
      <c r="O3901" s="86" t="str">
        <f t="shared" si="1152"/>
        <v/>
      </c>
      <c r="P3901" s="538" t="str">
        <f t="shared" si="1153"/>
        <v/>
      </c>
      <c r="Q3901" s="539" t="str">
        <f t="shared" si="1151"/>
        <v/>
      </c>
      <c r="R3901" s="706"/>
      <c r="S3901" s="707"/>
      <c r="T3901" s="708"/>
      <c r="U3901" s="472"/>
      <c r="V3901" s="167"/>
      <c r="W3901" s="446"/>
      <c r="X3901" s="456"/>
      <c r="Y3901" s="436"/>
      <c r="Z3901" s="437"/>
      <c r="AA3901" s="560"/>
      <c r="AB3901" s="561"/>
      <c r="AC3901" s="87"/>
      <c r="AD3901" s="466"/>
      <c r="AE3901" s="456"/>
      <c r="AF3901" s="467"/>
      <c r="AG3901" s="87"/>
      <c r="AH3901" s="87"/>
      <c r="AI3901" s="87"/>
    </row>
    <row r="3902" spans="1:35" hidden="1">
      <c r="A3902" s="80" t="e">
        <f>"J"&amp;E3889</f>
        <v>#N/A</v>
      </c>
      <c r="B3902" s="105">
        <v>10</v>
      </c>
      <c r="C3902" s="107"/>
      <c r="D3902" s="107"/>
      <c r="E3902" s="107"/>
      <c r="F3902" s="107"/>
      <c r="G3902" s="83"/>
      <c r="H3902" s="83"/>
      <c r="I3902" s="84"/>
      <c r="J3902" s="85"/>
      <c r="K3902" s="382"/>
      <c r="L3902" s="85"/>
      <c r="M3902" s="332" t="str">
        <f t="shared" si="1150"/>
        <v/>
      </c>
      <c r="N3902" s="453"/>
      <c r="O3902" s="86" t="str">
        <f t="shared" si="1152"/>
        <v/>
      </c>
      <c r="P3902" s="538" t="str">
        <f t="shared" si="1153"/>
        <v/>
      </c>
      <c r="Q3902" s="539" t="str">
        <f t="shared" si="1151"/>
        <v/>
      </c>
      <c r="R3902" s="706"/>
      <c r="S3902" s="707"/>
      <c r="T3902" s="708"/>
      <c r="U3902" s="472"/>
      <c r="V3902" s="167"/>
      <c r="W3902" s="446"/>
      <c r="X3902" s="456"/>
      <c r="Y3902" s="436"/>
      <c r="Z3902" s="437"/>
      <c r="AA3902" s="560"/>
      <c r="AB3902" s="561"/>
      <c r="AC3902" s="87"/>
      <c r="AD3902" s="466"/>
      <c r="AE3902" s="456"/>
      <c r="AF3902" s="467"/>
      <c r="AG3902" s="87"/>
      <c r="AH3902" s="87"/>
      <c r="AI3902" s="87"/>
    </row>
    <row r="3903" spans="1:35" ht="16.5" hidden="1" thickBot="1">
      <c r="A3903" s="44"/>
      <c r="B3903" s="89"/>
      <c r="C3903" s="90"/>
      <c r="D3903" s="90"/>
      <c r="E3903" s="90"/>
      <c r="F3903" s="90"/>
      <c r="G3903" s="90"/>
      <c r="H3903" s="90"/>
      <c r="I3903" s="90"/>
      <c r="J3903" s="90"/>
      <c r="K3903" s="90"/>
      <c r="L3903" s="90"/>
      <c r="M3903" s="90"/>
      <c r="N3903" s="90"/>
      <c r="O3903" s="90"/>
      <c r="P3903" s="90"/>
      <c r="Q3903" s="90"/>
      <c r="R3903" s="90"/>
      <c r="S3903" s="91"/>
      <c r="T3903" s="92"/>
      <c r="U3903" s="473"/>
      <c r="W3903" s="438"/>
      <c r="X3903" s="455"/>
      <c r="Y3903" s="439"/>
      <c r="Z3903" s="437"/>
      <c r="AA3903" s="530"/>
      <c r="AB3903" s="563"/>
      <c r="AC3903" s="87"/>
      <c r="AD3903" s="440"/>
      <c r="AE3903" s="441"/>
      <c r="AF3903" s="442"/>
      <c r="AG3903" s="49"/>
      <c r="AH3903" s="87"/>
      <c r="AI3903" s="87"/>
    </row>
    <row r="3904" spans="1:35" ht="16.5" hidden="1" thickBot="1">
      <c r="A3904" s="93"/>
      <c r="B3904" s="94"/>
      <c r="C3904" s="96"/>
      <c r="D3904" s="96"/>
      <c r="E3904" s="96"/>
      <c r="F3904" s="96"/>
      <c r="G3904" s="96"/>
      <c r="H3904" s="96"/>
      <c r="I3904" s="96"/>
      <c r="J3904" s="96"/>
      <c r="K3904" s="96"/>
      <c r="L3904" s="96"/>
      <c r="M3904" s="136"/>
      <c r="N3904" s="96"/>
      <c r="O3904" s="96"/>
      <c r="P3904" s="97"/>
      <c r="Q3904" s="97"/>
      <c r="R3904" s="98"/>
      <c r="S3904" s="95"/>
      <c r="T3904" s="99"/>
      <c r="U3904" s="469"/>
      <c r="AC3904" s="58"/>
      <c r="AG3904" s="58"/>
      <c r="AH3904" s="87"/>
      <c r="AI3904" s="87"/>
    </row>
    <row r="3905" spans="1:35" ht="16.5" hidden="1" thickBot="1">
      <c r="B3905" s="101"/>
      <c r="C3905" s="101"/>
      <c r="D3905" s="101"/>
      <c r="E3905" s="101"/>
      <c r="F3905" s="101"/>
      <c r="G3905" s="101"/>
      <c r="H3905" s="101"/>
      <c r="I3905" s="101"/>
      <c r="J3905" s="101"/>
      <c r="K3905" s="101"/>
      <c r="L3905" s="101"/>
      <c r="M3905" s="101"/>
      <c r="N3905" s="101"/>
      <c r="O3905" s="101"/>
      <c r="P3905" s="101"/>
      <c r="Q3905" s="101"/>
      <c r="R3905" s="101"/>
      <c r="S3905" s="101"/>
      <c r="U3905" s="50"/>
      <c r="AH3905" s="87"/>
      <c r="AI3905" s="87"/>
    </row>
    <row r="3906" spans="1:35" ht="16.5" hidden="1" customHeight="1" thickBot="1">
      <c r="A3906" s="44"/>
      <c r="B3906" s="705" t="s">
        <v>74</v>
      </c>
      <c r="C3906" s="705"/>
      <c r="D3906" s="705"/>
      <c r="E3906" s="705"/>
      <c r="F3906" s="705"/>
      <c r="G3906" s="705"/>
      <c r="H3906" s="705"/>
      <c r="I3906" s="705"/>
      <c r="J3906" s="705"/>
      <c r="K3906" s="705"/>
      <c r="L3906" s="705"/>
      <c r="M3906" s="705"/>
      <c r="N3906" s="705"/>
      <c r="O3906" s="705"/>
      <c r="P3906" s="705"/>
      <c r="Q3906" s="705"/>
      <c r="R3906" s="705"/>
      <c r="S3906" s="705"/>
      <c r="T3906" s="705"/>
      <c r="U3906" s="108"/>
      <c r="Y3906" s="532" t="s">
        <v>341</v>
      </c>
      <c r="AC3906" s="49"/>
      <c r="AD3906" s="687" t="s">
        <v>302</v>
      </c>
      <c r="AE3906" s="688"/>
      <c r="AF3906" s="689"/>
      <c r="AG3906" s="49"/>
      <c r="AH3906" s="87"/>
      <c r="AI3906" s="87"/>
    </row>
    <row r="3907" spans="1:35" ht="16.5" hidden="1" customHeight="1" thickBot="1">
      <c r="A3907" s="218" t="e">
        <f>"K"&amp;E3889</f>
        <v>#N/A</v>
      </c>
      <c r="B3907" s="701" t="s">
        <v>71</v>
      </c>
      <c r="C3907" s="751" t="s">
        <v>102</v>
      </c>
      <c r="D3907" s="751"/>
      <c r="E3907" s="751"/>
      <c r="F3907" s="751"/>
      <c r="G3907" s="751"/>
      <c r="H3907" s="751"/>
      <c r="I3907" s="751"/>
      <c r="J3907" s="751"/>
      <c r="K3907" s="751"/>
      <c r="L3907" s="722" t="s">
        <v>100</v>
      </c>
      <c r="M3907" s="747" t="s">
        <v>114</v>
      </c>
      <c r="N3907" s="747"/>
      <c r="O3907" s="747"/>
      <c r="P3907" s="747"/>
      <c r="Q3907" s="748"/>
      <c r="R3907" s="758" t="s">
        <v>280</v>
      </c>
      <c r="S3907" s="748"/>
      <c r="T3907" s="762" t="str">
        <f>IF(COUNTIF(AE3907:AF3907,"VERIFICAR")&gt;0,"VERIFICAR",IF(COUNTIF(AE3907:AF3907,"NO CUMPLE")&gt;0,"NO CUMPLE","CUMPLE"))</f>
        <v>VERIFICAR</v>
      </c>
      <c r="U3907" s="108"/>
      <c r="Y3907" s="533" t="e">
        <f>IF(F3908="","",IF(F3908=1,"INDIVIDUAL","ESTRUCTURA PLURAL"))</f>
        <v>#N/A</v>
      </c>
      <c r="AC3907" s="52"/>
      <c r="AD3907" s="475" t="s">
        <v>303</v>
      </c>
      <c r="AE3907" s="476" t="str">
        <f>IF(COUNTIF(AE3893:AE3902,"")=10,"VERIFICAR",IF(COUNTIF(AE3893:AE3902,"SI")&gt;0,"CUMPLE","NO CUMPLE"))</f>
        <v>VERIFICAR</v>
      </c>
      <c r="AF3907" s="477" t="str">
        <f>IF(COUNTIF(AF3893:AF3902,"")=10,"VERIFICAR",IF(COUNTIF(AF3893:AF3902,"SI")&gt;=$AI$22,"CUMPLE","NO CUMPLE"))</f>
        <v>VERIFICAR</v>
      </c>
      <c r="AG3907" s="52"/>
      <c r="AH3907" s="87"/>
      <c r="AI3907" s="87"/>
    </row>
    <row r="3908" spans="1:35" ht="15.75" hidden="1" customHeight="1" thickBot="1">
      <c r="A3908" s="218" t="e">
        <f>"L"&amp;E3889</f>
        <v>#N/A</v>
      </c>
      <c r="B3908" s="702"/>
      <c r="C3908" s="751" t="s">
        <v>103</v>
      </c>
      <c r="D3908" s="751"/>
      <c r="E3908" s="752"/>
      <c r="F3908" s="557" t="e">
        <f>IF(VLOOKUP(E3889,PROPONENTES!$C$19:$E$218,3,0)="","",VLOOKUP(E3889,PROPONENTES!$C$19:$E$218,3,0))</f>
        <v>#N/A</v>
      </c>
      <c r="G3908" s="753" t="s">
        <v>104</v>
      </c>
      <c r="H3908" s="751"/>
      <c r="I3908" s="715" t="e">
        <f>IF(OR(F3908="",F3908=1),"INTERESADO PERSONA NATURAL O JURIDICA","CONSORCIO O UNION TEMPORAL")</f>
        <v>#N/A</v>
      </c>
      <c r="J3908" s="725"/>
      <c r="K3908" s="728"/>
      <c r="L3908" s="723"/>
      <c r="M3908" s="749"/>
      <c r="N3908" s="749"/>
      <c r="O3908" s="749"/>
      <c r="P3908" s="749"/>
      <c r="Q3908" s="750"/>
      <c r="R3908" s="712"/>
      <c r="S3908" s="750"/>
      <c r="T3908" s="763"/>
      <c r="U3908" s="108"/>
      <c r="Y3908" s="534"/>
      <c r="AA3908" s="52"/>
      <c r="AB3908" s="52"/>
      <c r="AC3908" s="52"/>
      <c r="AG3908" s="52"/>
      <c r="AH3908" s="87"/>
      <c r="AI3908" s="87"/>
    </row>
    <row r="3909" spans="1:35" ht="56.25" hidden="1" customHeight="1" thickBot="1">
      <c r="A3909" s="218" t="e">
        <f>"M"&amp;E3889</f>
        <v>#N/A</v>
      </c>
      <c r="B3909" s="702"/>
      <c r="C3909" s="725" t="s">
        <v>101</v>
      </c>
      <c r="D3909" s="716"/>
      <c r="E3909" s="558" t="s">
        <v>105</v>
      </c>
      <c r="F3909" s="554" t="s">
        <v>87</v>
      </c>
      <c r="G3909" s="553" t="s">
        <v>86</v>
      </c>
      <c r="H3909" s="559" t="s">
        <v>85</v>
      </c>
      <c r="I3909" s="554" t="s">
        <v>252</v>
      </c>
      <c r="J3909" s="553" t="str">
        <f>"¿EL INTEGRANTE TIENE UNA PARTICIPACIÓN DEL "&amp;PORCREQUERIDOINT*100&amp;"%?"</f>
        <v>¿EL INTEGRANTE TIENE UNA PARTICIPACIÓN DEL 60%?</v>
      </c>
      <c r="K3909" s="554" t="s">
        <v>107</v>
      </c>
      <c r="L3909" s="724"/>
      <c r="M3909" s="717" t="s">
        <v>115</v>
      </c>
      <c r="N3909" s="718"/>
      <c r="O3909" s="718"/>
      <c r="P3909" s="718"/>
      <c r="Q3909" s="223">
        <f>IF(AND(H3893="SI",P3893&gt;=0),1,0)+IF(AND(H3894="SI",P3894&gt;=0),1,0)+IF(AND(H3895="SI",P3895&gt;=0),1,0)+IF(AND(H3896="SI",P3896&gt;=0),1,0)+IF(AND(H3897="SI",P3897&gt;=0),1,0)+IF(AND(H3898="SI",P3898&gt;=0),1,0)+IF(AND(H3899="SI",P3899&gt;=0),1,0)+IF(AND(H3900="SI",P3900&gt;=0),1,0)+IF(AND(H3901="SI",P3901&gt;=0),1,0)+IF(AND(H3902="SI",P3902&gt;=0),1,0)</f>
        <v>0</v>
      </c>
      <c r="R3909" s="759"/>
      <c r="S3909" s="761"/>
      <c r="T3909" s="764"/>
      <c r="U3909" s="219"/>
      <c r="V3909" s="464"/>
      <c r="Y3909" s="532" t="s">
        <v>342</v>
      </c>
      <c r="AA3909" s="550" t="s">
        <v>344</v>
      </c>
      <c r="AB3909" s="693" t="s">
        <v>345</v>
      </c>
      <c r="AC3909" s="693" t="s">
        <v>346</v>
      </c>
      <c r="AD3909" s="685" t="s">
        <v>347</v>
      </c>
      <c r="AE3909" s="52"/>
      <c r="AF3909" s="52"/>
      <c r="AG3909" s="52"/>
      <c r="AH3909" s="87"/>
      <c r="AI3909" s="87"/>
    </row>
    <row r="3910" spans="1:35" ht="15.75" hidden="1" customHeight="1" thickBot="1">
      <c r="A3910" s="218" t="e">
        <f>"N"&amp;E3889</f>
        <v>#N/A</v>
      </c>
      <c r="B3910" s="702"/>
      <c r="C3910" s="114">
        <v>1</v>
      </c>
      <c r="D3910" s="194" t="e">
        <f>IF(AND(C3910&lt;=F3908,F3908&gt;1,F3908&lt;&gt;""),VLOOKUP(VALUE(E3889&amp;","&amp;C3910),INTEGRANTES!$D$18:$F$235,2,0),"")</f>
        <v>#N/A</v>
      </c>
      <c r="E3910" s="211" t="e">
        <f>IF(D3910&lt;&gt;"",VLOOKUP(VALUE(E3889&amp;","&amp;C3910),INTEGRANTES!$D$18:$F$235,3,0),"")</f>
        <v>#N/A</v>
      </c>
      <c r="F3910" s="547" t="e">
        <f>IF(D3910="","",SUMIF($I3893:$I3902,D3910,$P3893:$P3902))</f>
        <v>#N/A</v>
      </c>
      <c r="G3910" s="333" t="e">
        <f>IF(D3910="","",SUMIF($I3893:$I3902,D3910,$M3893:$M3902))</f>
        <v>#N/A</v>
      </c>
      <c r="H3910" s="535" t="e">
        <f t="shared" ref="H3910:H3915" si="1154">IF(D3910="","",IF(OR(F3910=0,G3910=0),"NO APORTA",ROUND($F3910/$G3910,3)))</f>
        <v>#N/A</v>
      </c>
      <c r="I3910" s="212" t="e">
        <f>IF(D3910="","",IF(H3910="NO APORTA","NO",IF(H3910=MAX($H3910:$H3915),"SI","NO")))</f>
        <v>#N/A</v>
      </c>
      <c r="J3910" s="213" t="e">
        <f t="shared" ref="J3910:J3915" si="1155">IF(D3910="","",IF(E3910&gt;=PORCREQUERIDOINT,"SI","NO"))</f>
        <v>#N/A</v>
      </c>
      <c r="K3910" s="200" t="e">
        <f t="shared" ref="K3910:K3915" si="1156">IF(D3910="","",IF(AND(I3910="SI",J3910="SI"),"CUMPLE",IF(AND(I3910="NO",OR(J3910="SI",J3910="NO")),"","NO CUMPLE")))</f>
        <v>#N/A</v>
      </c>
      <c r="L3910" s="722" t="s">
        <v>108</v>
      </c>
      <c r="M3910" s="726" t="s">
        <v>119</v>
      </c>
      <c r="N3910" s="726"/>
      <c r="O3910" s="726"/>
      <c r="P3910" s="726"/>
      <c r="Q3910" s="727"/>
      <c r="R3910" s="758" t="s">
        <v>80</v>
      </c>
      <c r="S3910" s="747"/>
      <c r="T3910" s="748"/>
      <c r="U3910" s="219"/>
      <c r="V3910" s="464"/>
      <c r="Y3910" s="533" t="e">
        <f>IF(Y3907="","",IF(Y3907="INDIVIDUAL","NO APLICA","VERIFICAR CUADRO"))</f>
        <v>#N/A</v>
      </c>
      <c r="AA3910" s="551"/>
      <c r="AB3910" s="694"/>
      <c r="AC3910" s="694"/>
      <c r="AD3910" s="686"/>
      <c r="AE3910" s="52"/>
      <c r="AF3910" s="52"/>
      <c r="AG3910" s="52"/>
      <c r="AH3910" s="87"/>
      <c r="AI3910" s="87"/>
    </row>
    <row r="3911" spans="1:35" ht="27" hidden="1" customHeight="1" thickBot="1">
      <c r="A3911" s="218" t="e">
        <f>"O"&amp;E3889</f>
        <v>#N/A</v>
      </c>
      <c r="B3911" s="702"/>
      <c r="C3911" s="114">
        <v>2</v>
      </c>
      <c r="D3911" s="194" t="e">
        <f>IF(AND(C3911&lt;=F3908,F3908&lt;&gt;""),VLOOKUP(VALUE(E3889&amp;","&amp;C3911),INTEGRANTES!$D$18:$F$235,2,0),"")</f>
        <v>#N/A</v>
      </c>
      <c r="E3911" s="211" t="e">
        <f>IF(D3911&lt;&gt;"",VLOOKUP(VALUE(E3889&amp;","&amp;C3911),INTEGRANTES!$D$18:$F$235,3,0),"")</f>
        <v>#N/A</v>
      </c>
      <c r="F3911" s="547" t="e">
        <f>IF(D3911="","",SUMIF($I3893:$I3902,D3911,$P3893:$P3902))</f>
        <v>#N/A</v>
      </c>
      <c r="G3911" s="333" t="e">
        <f>IF(D3911="","",SUMIF($I3893:$I3902,D3911,$M3893:$M3902))</f>
        <v>#N/A</v>
      </c>
      <c r="H3911" s="535" t="e">
        <f t="shared" si="1154"/>
        <v>#N/A</v>
      </c>
      <c r="I3911" s="212" t="e">
        <f>IF(D3911="","",IF(H3911="NO APORTA","NO",IF(H3911=MAX($H3910:$H3915),"SI","NO")))</f>
        <v>#N/A</v>
      </c>
      <c r="J3911" s="213" t="e">
        <f t="shared" si="1155"/>
        <v>#N/A</v>
      </c>
      <c r="K3911" s="200" t="e">
        <f t="shared" si="1156"/>
        <v>#N/A</v>
      </c>
      <c r="L3911" s="723"/>
      <c r="M3911" s="715" t="s">
        <v>116</v>
      </c>
      <c r="N3911" s="716"/>
      <c r="O3911" s="556" t="s">
        <v>113</v>
      </c>
      <c r="P3911" s="715" t="s">
        <v>117</v>
      </c>
      <c r="Q3911" s="728"/>
      <c r="R3911" s="759"/>
      <c r="S3911" s="760"/>
      <c r="T3911" s="761"/>
      <c r="U3911" s="219"/>
      <c r="V3911" s="464"/>
      <c r="Y3911" s="414"/>
      <c r="AA3911" s="542" t="e">
        <f>IF(AND(C3910&lt;=F3908,F3908&gt;1,F3908&lt;&gt;""),VLOOKUP(VALUE(E3889&amp;","&amp;C3910),INTEGRANTES!$D$18:$F$235,2,0),"")</f>
        <v>#N/A</v>
      </c>
      <c r="AB3911" s="544" t="e">
        <f t="shared" ref="AB3911:AB3916" si="1157">IF(D3910="","",IF(OR(F3910=0,G3910=0),"NO APORTA",ROUND($F3910/$G3910,3)))</f>
        <v>#N/A</v>
      </c>
      <c r="AC3911" s="529"/>
      <c r="AD3911" s="200" t="e">
        <f t="shared" ref="AD3911:AD3916" si="1158">IF(OR(AA3911="",AB3911=""),"",IF(AND(AC3911="X",AB3911&gt;=EXPREQVTD),"CUMPLE","NO CUMPLE"))</f>
        <v>#N/A</v>
      </c>
      <c r="AE3911" s="52"/>
      <c r="AF3911" s="52"/>
      <c r="AG3911" s="52"/>
      <c r="AH3911" s="87"/>
      <c r="AI3911" s="87"/>
    </row>
    <row r="3912" spans="1:35" ht="16.5" hidden="1" thickBot="1">
      <c r="A3912" s="218" t="e">
        <f>"P"&amp;E3889</f>
        <v>#N/A</v>
      </c>
      <c r="B3912" s="702"/>
      <c r="C3912" s="114">
        <v>3</v>
      </c>
      <c r="D3912" s="194" t="e">
        <f>IF(AND(C3912&lt;=F3908,F3908&lt;&gt;""),VLOOKUP(VALUE(E3889&amp;","&amp;C3912),INTEGRANTES!$D$18:$F$235,2,0),"")</f>
        <v>#N/A</v>
      </c>
      <c r="E3912" s="211" t="e">
        <f>IF(D3912&lt;&gt;"",VLOOKUP(VALUE(E3889&amp;","&amp;C3912),INTEGRANTES!$D$18:$F$235,3,0),"")</f>
        <v>#N/A</v>
      </c>
      <c r="F3912" s="547" t="e">
        <f>IF(D3912="","",SUMIF($I3893:$I3902,D3912,$P3893:$P3902))</f>
        <v>#N/A</v>
      </c>
      <c r="G3912" s="333" t="e">
        <f>IF(D3912="","",SUMIF($I3893:$I3902,D3912,$M3893:$M3902))</f>
        <v>#N/A</v>
      </c>
      <c r="H3912" s="535" t="e">
        <f t="shared" si="1154"/>
        <v>#N/A</v>
      </c>
      <c r="I3912" s="212" t="e">
        <f>IF(D3912="","",IF(H3912="NO APORTA","NO",IF(H3912=MAX($H3910:$H3915),"SI","NO")))</f>
        <v>#N/A</v>
      </c>
      <c r="J3912" s="213" t="e">
        <f t="shared" si="1155"/>
        <v>#N/A</v>
      </c>
      <c r="K3912" s="200" t="e">
        <f t="shared" si="1156"/>
        <v>#N/A</v>
      </c>
      <c r="L3912" s="724"/>
      <c r="M3912" s="729">
        <f>NUMMOD</f>
        <v>1</v>
      </c>
      <c r="N3912" s="730"/>
      <c r="O3912" s="443">
        <f>IF(M3912="","",VLOOKUP(M3912,PRESUPUESTOS!$B$16:$H$16,5,FALSE))</f>
        <v>2</v>
      </c>
      <c r="P3912" s="713">
        <f>IF(OR(COUNTIF(M3893:M3902,"")&gt;=10,Q3909&lt;NUMMINCONT,OR(T3907="NO CUMPLE",T3907="VERIFICAR")),0,ROUND(AVERAGE(M3893:M3902),3))</f>
        <v>0</v>
      </c>
      <c r="Q3912" s="714"/>
      <c r="R3912" s="458"/>
      <c r="S3912" s="459"/>
      <c r="T3912" s="460"/>
      <c r="U3912" s="219"/>
      <c r="V3912" s="464"/>
      <c r="Y3912" s="532" t="str">
        <f>"40% * ("&amp;PRESUPUESTOS!$H$13&amp;")"</f>
        <v>40% * (50% PFMO)</v>
      </c>
      <c r="AA3912" s="540" t="e">
        <f>IF(AND(C3911&lt;=F3908,F3908&lt;&gt;""),VLOOKUP(VALUE(E3889&amp;","&amp;C3911),INTEGRANTES!$D$18:$F$235,2,0),"")</f>
        <v>#N/A</v>
      </c>
      <c r="AB3912" s="545" t="e">
        <f t="shared" si="1157"/>
        <v>#N/A</v>
      </c>
      <c r="AC3912" s="529"/>
      <c r="AD3912" s="200" t="e">
        <f t="shared" si="1158"/>
        <v>#N/A</v>
      </c>
      <c r="AE3912" s="52"/>
      <c r="AF3912" s="52"/>
      <c r="AG3912" s="52"/>
      <c r="AH3912" s="87"/>
      <c r="AI3912" s="87"/>
    </row>
    <row r="3913" spans="1:35" ht="15.75" hidden="1" customHeight="1" thickBot="1">
      <c r="A3913" s="218" t="e">
        <f>"Q"&amp;E3889</f>
        <v>#N/A</v>
      </c>
      <c r="B3913" s="702"/>
      <c r="C3913" s="114">
        <v>4</v>
      </c>
      <c r="D3913" s="194" t="e">
        <f>IF(AND(C3913&lt;=F3908,F3908&lt;&gt;""),VLOOKUP(VALUE(E3889&amp;","&amp;C3913),INTEGRANTES!$D$18:$F$235,2,0),"")</f>
        <v>#N/A</v>
      </c>
      <c r="E3913" s="211" t="e">
        <f>IF(D3913&lt;&gt;"",VLOOKUP(VALUE(E3889&amp;","&amp;C3913),INTEGRANTES!$D$18:$F$235,3,0),"")</f>
        <v>#N/A</v>
      </c>
      <c r="F3913" s="547" t="e">
        <f>IF(D3913="","",SUMIF($I3893:$I3902,D3913,$P3893:$P3902))</f>
        <v>#N/A</v>
      </c>
      <c r="G3913" s="333" t="e">
        <f>IF(D3913="","",SUMIF($I3893:$I3902,D3913,$M3893:$M3902))</f>
        <v>#N/A</v>
      </c>
      <c r="H3913" s="535" t="e">
        <f t="shared" si="1154"/>
        <v>#N/A</v>
      </c>
      <c r="I3913" s="212" t="e">
        <f>IF(D3913="","",IF(H3913="NO APORTA","NO",IF(H3913=MAX($H3910:$H3915),"SI","NO")))</f>
        <v>#N/A</v>
      </c>
      <c r="J3913" s="213" t="e">
        <f t="shared" si="1155"/>
        <v>#N/A</v>
      </c>
      <c r="K3913" s="200" t="e">
        <f t="shared" si="1156"/>
        <v>#N/A</v>
      </c>
      <c r="L3913" s="720" t="s">
        <v>109</v>
      </c>
      <c r="M3913" s="757" t="s">
        <v>120</v>
      </c>
      <c r="N3913" s="726"/>
      <c r="O3913" s="726"/>
      <c r="P3913" s="726"/>
      <c r="Q3913" s="727"/>
      <c r="R3913" s="458"/>
      <c r="S3913" s="459"/>
      <c r="T3913" s="460"/>
      <c r="U3913" s="219"/>
      <c r="V3913" s="464"/>
      <c r="Y3913" s="537">
        <f>0.4*PRESUPUESTOS!$H$16</f>
        <v>10.3124</v>
      </c>
      <c r="AA3913" s="540" t="e">
        <f>IF(AND(C3912&lt;=F3908,F3908&lt;&gt;""),VLOOKUP(VALUE(E3889&amp;","&amp;C3912),INTEGRANTES!$D$18:$F$235,2,0),"")</f>
        <v>#N/A</v>
      </c>
      <c r="AB3913" s="545" t="e">
        <f t="shared" si="1157"/>
        <v>#N/A</v>
      </c>
      <c r="AC3913" s="529"/>
      <c r="AD3913" s="200" t="e">
        <f t="shared" si="1158"/>
        <v>#N/A</v>
      </c>
      <c r="AE3913" s="52"/>
      <c r="AF3913" s="52"/>
      <c r="AG3913" s="52"/>
      <c r="AH3913" s="87"/>
      <c r="AI3913" s="87"/>
    </row>
    <row r="3914" spans="1:35" ht="27" hidden="1" customHeight="1" thickBot="1">
      <c r="A3914" s="218" t="e">
        <f>"R"&amp;E3889</f>
        <v>#N/A</v>
      </c>
      <c r="B3914" s="702"/>
      <c r="C3914" s="114">
        <v>5</v>
      </c>
      <c r="D3914" s="194" t="e">
        <f>IF(AND(C3914&lt;=F3908,F3908&lt;&gt;""),VLOOKUP(VALUE(E3889&amp;","&amp;C3914),INTEGRANTES!$D$18:$F$235,2,0),"")</f>
        <v>#N/A</v>
      </c>
      <c r="E3914" s="211" t="e">
        <f>IF(D3914&lt;&gt;"",VLOOKUP(VALUE(E3889&amp;","&amp;C3914),INTEGRANTES!$D$18:$F$235,3,0),"")</f>
        <v>#N/A</v>
      </c>
      <c r="F3914" s="547" t="e">
        <f>IF(D3914="","",SUMIF($I3893:$I3902,D3914,$P3893:$P3902))</f>
        <v>#N/A</v>
      </c>
      <c r="G3914" s="333" t="e">
        <f>IF(D3914="","",SUMIF($I3893:$I3902,D3914,$M3893:$M3902))</f>
        <v>#N/A</v>
      </c>
      <c r="H3914" s="535" t="e">
        <f t="shared" si="1154"/>
        <v>#N/A</v>
      </c>
      <c r="I3914" s="212" t="e">
        <f>IF(D3914="","",IF(H3914="NO APORTA","NO",IF(H3914=MAX($H3910:$H3915),"SI","NO")))</f>
        <v>#N/A</v>
      </c>
      <c r="J3914" s="213" t="e">
        <f t="shared" si="1155"/>
        <v>#N/A</v>
      </c>
      <c r="K3914" s="200" t="e">
        <f t="shared" si="1156"/>
        <v>#N/A</v>
      </c>
      <c r="L3914" s="721"/>
      <c r="M3914" s="715" t="s">
        <v>116</v>
      </c>
      <c r="N3914" s="716"/>
      <c r="O3914" s="556" t="str">
        <f>PORCREQUERIDO*100&amp;"% PMFO DEL MÓDULO"</f>
        <v>50% PMFO DEL MÓDULO</v>
      </c>
      <c r="P3914" s="715" t="s">
        <v>118</v>
      </c>
      <c r="Q3914" s="728"/>
      <c r="R3914" s="458"/>
      <c r="S3914" s="459"/>
      <c r="T3914" s="460"/>
      <c r="U3914" s="219"/>
      <c r="V3914" s="464"/>
      <c r="Y3914" s="414"/>
      <c r="AA3914" s="540" t="e">
        <f>IF(AND(C3913&lt;=F3908,F3908&lt;&gt;""),VLOOKUP(VALUE(E3889&amp;","&amp;C3913),INTEGRANTES!$D$18:$F$235,2,0),"")</f>
        <v>#N/A</v>
      </c>
      <c r="AB3914" s="545" t="e">
        <f t="shared" si="1157"/>
        <v>#N/A</v>
      </c>
      <c r="AC3914" s="529"/>
      <c r="AD3914" s="200" t="e">
        <f t="shared" si="1158"/>
        <v>#N/A</v>
      </c>
      <c r="AE3914" s="52"/>
      <c r="AF3914" s="52"/>
      <c r="AG3914" s="52"/>
      <c r="AH3914" s="87"/>
      <c r="AI3914" s="87"/>
    </row>
    <row r="3915" spans="1:35" ht="16.5" hidden="1" thickBot="1">
      <c r="A3915" s="218" t="e">
        <f>"S"&amp;E3889</f>
        <v>#N/A</v>
      </c>
      <c r="B3915" s="702"/>
      <c r="C3915" s="215">
        <v>6</v>
      </c>
      <c r="D3915" s="216" t="e">
        <f>IF(AND(C3915&lt;=F3908,F3908&lt;&gt;""),VLOOKUP(VALUE(E3889&amp;","&amp;C3915),INTEGRANTES!$D$18:$F$235,2,0),"")</f>
        <v>#N/A</v>
      </c>
      <c r="E3915" s="217" t="e">
        <f>IF(D3915&lt;&gt;"",VLOOKUP(VALUE(E3889&amp;","&amp;C3915),INTEGRANTES!$D$18:$F$235,3,0),"")</f>
        <v>#N/A</v>
      </c>
      <c r="F3915" s="548" t="e">
        <f>IF(D3915="","",SUMIF($I3893:$I3902,D3915,$P3893:$P3902))</f>
        <v>#N/A</v>
      </c>
      <c r="G3915" s="334" t="e">
        <f>IF(D3915="","",SUMIF($I3893:$I3902,D3915,$M3893:$M3902))</f>
        <v>#N/A</v>
      </c>
      <c r="H3915" s="536" t="e">
        <f t="shared" si="1154"/>
        <v>#N/A</v>
      </c>
      <c r="I3915" s="214" t="e">
        <f>IF(D3915="","",IF(H3915="NO APORTA","NO",IF(H3915=MAX($H3910:$H3915),"SI","NO")))</f>
        <v>#N/A</v>
      </c>
      <c r="J3915" s="213" t="e">
        <f t="shared" si="1155"/>
        <v>#N/A</v>
      </c>
      <c r="K3915" s="200" t="e">
        <f t="shared" si="1156"/>
        <v>#N/A</v>
      </c>
      <c r="L3915" s="721"/>
      <c r="M3915" s="729">
        <f>NUMMOD</f>
        <v>1</v>
      </c>
      <c r="N3915" s="730"/>
      <c r="O3915" s="443">
        <f>IF(M3915="","",ROUND(VLOOKUP(M3915,PRESUPUESTOS!$B$16:$H$16,7,FALSE),3))</f>
        <v>25.780999999999999</v>
      </c>
      <c r="P3915" s="713">
        <f>IF(OR(COUNTIF(P3893:P3902,"")&gt;=10,Q3909&lt;NUMMINCONT,OR(T3907="NO CUMPLE",T3907="VERIFICAR")),0,ROUND((SUM(P3893:P3902)/SUM(M3893:M3902)),3))</f>
        <v>0</v>
      </c>
      <c r="Q3915" s="714"/>
      <c r="R3915" s="458"/>
      <c r="S3915" s="459"/>
      <c r="T3915" s="460"/>
      <c r="U3915" s="219"/>
      <c r="V3915" s="464"/>
      <c r="Y3915" s="532" t="s">
        <v>343</v>
      </c>
      <c r="AA3915" s="540" t="e">
        <f>IF(AND(C3914&lt;=F3908,F3908&lt;&gt;""),VLOOKUP(VALUE(E3889&amp;","&amp;C3914),INTEGRANTES!$D$18:$F$235,2,0),"")</f>
        <v>#N/A</v>
      </c>
      <c r="AB3915" s="545" t="e">
        <f t="shared" si="1157"/>
        <v>#N/A</v>
      </c>
      <c r="AC3915" s="529"/>
      <c r="AD3915" s="200" t="e">
        <f t="shared" si="1158"/>
        <v>#N/A</v>
      </c>
      <c r="AE3915" s="52"/>
      <c r="AF3915" s="52"/>
      <c r="AG3915" s="52"/>
      <c r="AH3915" s="87"/>
      <c r="AI3915" s="87"/>
    </row>
    <row r="3916" spans="1:35" ht="16.5" hidden="1" customHeight="1" thickBot="1">
      <c r="A3916" s="218" t="e">
        <f>"T"&amp;E3889</f>
        <v>#N/A</v>
      </c>
      <c r="B3916" s="703"/>
      <c r="C3916" s="719"/>
      <c r="D3916" s="719"/>
      <c r="E3916" s="719"/>
      <c r="F3916" s="719"/>
      <c r="G3916" s="719"/>
      <c r="H3916" s="719" t="s">
        <v>110</v>
      </c>
      <c r="I3916" s="719"/>
      <c r="J3916" s="719"/>
      <c r="K3916" s="201" t="str">
        <f>IF(COUNTIF(K3910:K3915,"")=6,"",IF(COUNTIF(K3910:K3915,"CUMPLE")&gt;0,"CUMPLE","NO CUMPLE"))</f>
        <v>NO CUMPLE</v>
      </c>
      <c r="L3916" s="754"/>
      <c r="M3916" s="755"/>
      <c r="N3916" s="755"/>
      <c r="O3916" s="755"/>
      <c r="P3916" s="755"/>
      <c r="Q3916" s="756"/>
      <c r="R3916" s="461"/>
      <c r="S3916" s="462"/>
      <c r="T3916" s="463"/>
      <c r="U3916" s="219"/>
      <c r="V3916" s="464"/>
      <c r="Y3916" s="549" t="e">
        <f>IF(Y3910="NO APLICA","NO APLICA",IF(COUNTIF(AD3911:AD3916,"CUMPLE")&gt;0,"CUMPLE","NO CUMPLE"))</f>
        <v>#N/A</v>
      </c>
      <c r="AA3916" s="541" t="e">
        <f>IF(AND(C3915&lt;=F3908,F3908&lt;&gt;""),VLOOKUP(VALUE(E3889&amp;","&amp;C3915),INTEGRANTES!$D$18:$F$235,2,0),"")</f>
        <v>#N/A</v>
      </c>
      <c r="AB3916" s="546" t="e">
        <f t="shared" si="1157"/>
        <v>#N/A</v>
      </c>
      <c r="AC3916" s="543"/>
      <c r="AD3916" s="201" t="e">
        <f t="shared" si="1158"/>
        <v>#N/A</v>
      </c>
      <c r="AE3916" s="52"/>
      <c r="AF3916" s="52"/>
      <c r="AG3916" s="52"/>
      <c r="AH3916" s="87"/>
      <c r="AI3916" s="87"/>
    </row>
    <row r="3917" spans="1:35" hidden="1">
      <c r="AH3917" s="87"/>
      <c r="AI3917" s="87"/>
    </row>
    <row r="3918" spans="1:35" hidden="1">
      <c r="AH3918" s="87"/>
      <c r="AI3918" s="87"/>
    </row>
    <row r="3919" spans="1:35" ht="24" hidden="1" thickBot="1">
      <c r="A3919" s="61">
        <v>131</v>
      </c>
      <c r="B3919" s="704" t="s">
        <v>51</v>
      </c>
      <c r="C3919" s="704"/>
      <c r="D3919" s="704"/>
      <c r="E3919" s="62" t="e">
        <f>VLOOKUP(A3919,PROPONENTES!$B$19:$E$218,2,FALSE)</f>
        <v>#N/A</v>
      </c>
      <c r="F3919" s="63" t="e">
        <f>VLOOKUP(A3919,PROPONENTES!$B$19:$E$218,3,FALSE)</f>
        <v>#N/A</v>
      </c>
      <c r="G3919" s="64"/>
      <c r="H3919" s="64"/>
      <c r="I3919" s="63"/>
      <c r="J3919" s="63"/>
      <c r="K3919" s="65"/>
      <c r="L3919" s="65"/>
      <c r="M3919" s="64"/>
      <c r="N3919" s="64"/>
      <c r="O3919" s="66"/>
      <c r="P3919" s="66"/>
      <c r="Q3919" s="66"/>
      <c r="R3919" s="66"/>
      <c r="S3919" s="67"/>
      <c r="T3919" s="68"/>
      <c r="U3919" s="68"/>
      <c r="AC3919" s="68"/>
      <c r="AD3919" s="68"/>
      <c r="AE3919" s="68"/>
      <c r="AF3919" s="68"/>
      <c r="AG3919" s="68"/>
      <c r="AH3919" s="87"/>
      <c r="AI3919" s="87"/>
    </row>
    <row r="3920" spans="1:35" ht="15.75" hidden="1" customHeight="1">
      <c r="A3920" s="44"/>
      <c r="B3920" s="709" t="s">
        <v>59</v>
      </c>
      <c r="C3920" s="552" t="s">
        <v>60</v>
      </c>
      <c r="D3920" s="70" t="s">
        <v>17</v>
      </c>
      <c r="E3920" s="70"/>
      <c r="F3920" s="70" t="s">
        <v>61</v>
      </c>
      <c r="G3920" s="71"/>
      <c r="H3920" s="699" t="s">
        <v>62</v>
      </c>
      <c r="I3920" s="699" t="s">
        <v>18</v>
      </c>
      <c r="J3920" s="699" t="s">
        <v>63</v>
      </c>
      <c r="K3920" s="699" t="s">
        <v>64</v>
      </c>
      <c r="L3920" s="699" t="s">
        <v>65</v>
      </c>
      <c r="M3920" s="743" t="s">
        <v>66</v>
      </c>
      <c r="N3920" s="699" t="s">
        <v>282</v>
      </c>
      <c r="O3920" s="745" t="s">
        <v>67</v>
      </c>
      <c r="P3920" s="746"/>
      <c r="Q3920" s="102" t="s">
        <v>75</v>
      </c>
      <c r="R3920" s="731" t="s">
        <v>22</v>
      </c>
      <c r="S3920" s="732"/>
      <c r="T3920" s="733"/>
      <c r="U3920" s="712" t="s">
        <v>298</v>
      </c>
      <c r="W3920" s="690" t="s">
        <v>268</v>
      </c>
      <c r="X3920" s="691"/>
      <c r="Y3920" s="692"/>
      <c r="Z3920" s="428"/>
      <c r="AA3920" s="697" t="s">
        <v>315</v>
      </c>
      <c r="AB3920" s="695" t="s">
        <v>322</v>
      </c>
      <c r="AC3920" s="49"/>
      <c r="AD3920" s="690" t="s">
        <v>297</v>
      </c>
      <c r="AE3920" s="691"/>
      <c r="AF3920" s="692"/>
      <c r="AG3920" s="49"/>
      <c r="AH3920" s="87"/>
      <c r="AI3920" s="87"/>
    </row>
    <row r="3921" spans="1:35" ht="72" hidden="1">
      <c r="A3921" s="44"/>
      <c r="B3921" s="710"/>
      <c r="C3921" s="553" t="s">
        <v>68</v>
      </c>
      <c r="D3921" s="73" t="s">
        <v>3</v>
      </c>
      <c r="E3921" s="73" t="s">
        <v>19</v>
      </c>
      <c r="F3921" s="73" t="s">
        <v>69</v>
      </c>
      <c r="G3921" s="74" t="s">
        <v>70</v>
      </c>
      <c r="H3921" s="700"/>
      <c r="I3921" s="700"/>
      <c r="J3921" s="700"/>
      <c r="K3921" s="700"/>
      <c r="L3921" s="700"/>
      <c r="M3921" s="744"/>
      <c r="N3921" s="700"/>
      <c r="O3921" s="553" t="s">
        <v>279</v>
      </c>
      <c r="P3921" s="73" t="s">
        <v>88</v>
      </c>
      <c r="Q3921" s="555" t="s">
        <v>76</v>
      </c>
      <c r="R3921" s="734"/>
      <c r="S3921" s="735"/>
      <c r="T3921" s="736"/>
      <c r="U3921" s="712"/>
      <c r="W3921" s="429" t="s">
        <v>269</v>
      </c>
      <c r="X3921" s="457" t="s">
        <v>278</v>
      </c>
      <c r="Y3921" s="430" t="s">
        <v>324</v>
      </c>
      <c r="Z3921" s="428"/>
      <c r="AA3921" s="698"/>
      <c r="AB3921" s="696"/>
      <c r="AC3921" s="49"/>
      <c r="AD3921" s="429" t="s">
        <v>292</v>
      </c>
      <c r="AE3921" s="431" t="s">
        <v>300</v>
      </c>
      <c r="AF3921" s="468" t="s">
        <v>301</v>
      </c>
      <c r="AG3921" s="49"/>
      <c r="AH3921" s="87"/>
      <c r="AI3921" s="87"/>
    </row>
    <row r="3922" spans="1:35" hidden="1">
      <c r="A3922" s="44"/>
      <c r="B3922" s="76"/>
      <c r="C3922" s="77"/>
      <c r="D3922" s="77"/>
      <c r="E3922" s="77"/>
      <c r="F3922" s="77"/>
      <c r="G3922" s="77"/>
      <c r="H3922" s="77"/>
      <c r="I3922" s="77"/>
      <c r="J3922" s="77"/>
      <c r="K3922" s="77"/>
      <c r="L3922" s="77"/>
      <c r="M3922" s="77"/>
      <c r="N3922" s="77"/>
      <c r="O3922" s="77"/>
      <c r="P3922" s="77"/>
      <c r="Q3922" s="77"/>
      <c r="R3922" s="77"/>
      <c r="S3922" s="78"/>
      <c r="T3922" s="79"/>
      <c r="U3922" s="109"/>
      <c r="V3922" s="49"/>
      <c r="W3922" s="432"/>
      <c r="X3922" s="454"/>
      <c r="Y3922" s="433"/>
      <c r="Z3922" s="6"/>
      <c r="AA3922" s="500"/>
      <c r="AB3922" s="562"/>
      <c r="AC3922" s="49"/>
      <c r="AD3922" s="210"/>
      <c r="AE3922" s="434"/>
      <c r="AF3922" s="435"/>
      <c r="AG3922" s="49"/>
      <c r="AH3922" s="87"/>
      <c r="AI3922" s="87"/>
    </row>
    <row r="3923" spans="1:35" hidden="1">
      <c r="A3923" s="80" t="e">
        <f>"A"&amp;E3919</f>
        <v>#N/A</v>
      </c>
      <c r="B3923" s="81">
        <v>1</v>
      </c>
      <c r="C3923" s="82"/>
      <c r="D3923" s="82"/>
      <c r="E3923" s="82"/>
      <c r="F3923" s="82"/>
      <c r="G3923" s="83"/>
      <c r="H3923" s="83"/>
      <c r="I3923" s="84"/>
      <c r="J3923" s="85"/>
      <c r="K3923" s="382"/>
      <c r="L3923" s="85"/>
      <c r="M3923" s="332" t="str">
        <f t="shared" ref="M3923:M3932" si="1159">IF(OR(J3923="",L3923="",H3923="NO"),"",IF(OR(J3923&gt;$P$17,J3923&lt;$O$17,L3923&gt;$P$17,AND(J3923&lt;$O$17,L3923&lt;$O$17)),"FUERA DE RANGO",IF(OR(K3923="---",K3923=""),IF(J3923&gt;=$O$17,ROUND((L3923-J3923+1)/360*12,3),ROUND((L3923-$O$17+1)/360*12,3)),IF(J3923&gt;=$O$17,ROUND((L3923-J3923+1)/360*12-ROUND(K3923,3),3),ROUND((L3923-$O$17+1)/360*12-ROUND(K3923,3),3)))))</f>
        <v/>
      </c>
      <c r="N3923" s="86"/>
      <c r="O3923" s="453" t="str">
        <f>IF(OR(G3923="",N3923=""),"",N3923*G3923)</f>
        <v/>
      </c>
      <c r="P3923" s="538" t="str">
        <f>IF(OR(H3923="",M3923="FUERA DE RANGO"),"",IF(OR(L3923&lt;$O$17,L3923&gt;$P$17,L3923="",H3923="NO"),"",IF(OR(N3923="",O3923=""),"",ROUND(O3923,3))))</f>
        <v/>
      </c>
      <c r="Q3923" s="539" t="str">
        <f t="shared" ref="Q3923:Q3932" si="1160">IF(AND(H3923="SI",P3923&lt;&gt;""),ROUND(P3923/M3923,3),"")</f>
        <v/>
      </c>
      <c r="R3923" s="737"/>
      <c r="S3923" s="738"/>
      <c r="T3923" s="739"/>
      <c r="U3923" s="470"/>
      <c r="V3923" s="165"/>
      <c r="W3923" s="446"/>
      <c r="X3923" s="456"/>
      <c r="Y3923" s="436"/>
      <c r="Z3923" s="437"/>
      <c r="AA3923" s="560"/>
      <c r="AB3923" s="561"/>
      <c r="AC3923" s="87"/>
      <c r="AD3923" s="466"/>
      <c r="AE3923" s="456"/>
      <c r="AF3923" s="467"/>
      <c r="AG3923" s="87"/>
      <c r="AH3923" s="87"/>
      <c r="AI3923" s="87"/>
    </row>
    <row r="3924" spans="1:35" hidden="1">
      <c r="A3924" s="80" t="e">
        <f>"B"&amp;E3919</f>
        <v>#N/A</v>
      </c>
      <c r="B3924" s="81">
        <v>2</v>
      </c>
      <c r="C3924" s="106"/>
      <c r="D3924" s="106"/>
      <c r="E3924" s="106"/>
      <c r="F3924" s="106"/>
      <c r="G3924" s="83"/>
      <c r="H3924" s="83"/>
      <c r="I3924" s="84"/>
      <c r="J3924" s="85"/>
      <c r="K3924" s="382"/>
      <c r="L3924" s="85"/>
      <c r="M3924" s="332" t="str">
        <f t="shared" si="1159"/>
        <v/>
      </c>
      <c r="N3924" s="86"/>
      <c r="O3924" s="453" t="str">
        <f t="shared" ref="O3924:O3932" si="1161">IF(OR(G3924="",N3924=""),"",N3924*G3924)</f>
        <v/>
      </c>
      <c r="P3924" s="538" t="str">
        <f t="shared" ref="P3924:P3932" si="1162">IF(OR(H3924="",M3924="FUERA DE RANGO"),"",IF(OR(L3924&lt;$O$17,L3924&gt;$P$17,L3924="",H3924="NO"),"",IF(OR(N3924="",O3924=""),"",ROUND(O3924,3))))</f>
        <v/>
      </c>
      <c r="Q3924" s="539" t="str">
        <f t="shared" si="1160"/>
        <v/>
      </c>
      <c r="R3924" s="740"/>
      <c r="S3924" s="741"/>
      <c r="T3924" s="742"/>
      <c r="U3924" s="471"/>
      <c r="V3924" s="165"/>
      <c r="W3924" s="446"/>
      <c r="X3924" s="456"/>
      <c r="Y3924" s="436"/>
      <c r="Z3924" s="437"/>
      <c r="AA3924" s="560"/>
      <c r="AB3924" s="561"/>
      <c r="AC3924" s="87"/>
      <c r="AD3924" s="466"/>
      <c r="AE3924" s="456"/>
      <c r="AF3924" s="467"/>
      <c r="AG3924" s="87"/>
      <c r="AH3924" s="87"/>
      <c r="AI3924" s="87"/>
    </row>
    <row r="3925" spans="1:35" hidden="1">
      <c r="A3925" s="80" t="e">
        <f>"C"&amp;E3919</f>
        <v>#N/A</v>
      </c>
      <c r="B3925" s="88">
        <v>3</v>
      </c>
      <c r="C3925" s="82"/>
      <c r="D3925" s="82"/>
      <c r="E3925" s="82"/>
      <c r="F3925" s="82"/>
      <c r="G3925" s="83"/>
      <c r="H3925" s="83"/>
      <c r="I3925" s="84"/>
      <c r="J3925" s="85"/>
      <c r="K3925" s="382"/>
      <c r="L3925" s="85"/>
      <c r="M3925" s="332" t="str">
        <f t="shared" si="1159"/>
        <v/>
      </c>
      <c r="N3925" s="86"/>
      <c r="O3925" s="453" t="str">
        <f t="shared" si="1161"/>
        <v/>
      </c>
      <c r="P3925" s="538" t="str">
        <f t="shared" si="1162"/>
        <v/>
      </c>
      <c r="Q3925" s="539" t="str">
        <f t="shared" si="1160"/>
        <v/>
      </c>
      <c r="R3925" s="706"/>
      <c r="S3925" s="707"/>
      <c r="T3925" s="708"/>
      <c r="U3925" s="472"/>
      <c r="V3925" s="166"/>
      <c r="W3925" s="446"/>
      <c r="X3925" s="456"/>
      <c r="Y3925" s="436"/>
      <c r="Z3925" s="437"/>
      <c r="AA3925" s="560"/>
      <c r="AB3925" s="561"/>
      <c r="AC3925" s="87"/>
      <c r="AD3925" s="466"/>
      <c r="AE3925" s="456"/>
      <c r="AF3925" s="467"/>
      <c r="AG3925" s="87"/>
      <c r="AH3925" s="87"/>
      <c r="AI3925" s="87"/>
    </row>
    <row r="3926" spans="1:35" hidden="1">
      <c r="A3926" s="80" t="e">
        <f>"D"&amp;E3919</f>
        <v>#N/A</v>
      </c>
      <c r="B3926" s="105">
        <v>4</v>
      </c>
      <c r="C3926" s="107"/>
      <c r="D3926" s="107"/>
      <c r="E3926" s="107"/>
      <c r="F3926" s="107"/>
      <c r="G3926" s="83"/>
      <c r="H3926" s="83"/>
      <c r="I3926" s="84"/>
      <c r="J3926" s="85"/>
      <c r="K3926" s="382"/>
      <c r="L3926" s="85"/>
      <c r="M3926" s="332" t="str">
        <f t="shared" si="1159"/>
        <v/>
      </c>
      <c r="N3926" s="86"/>
      <c r="O3926" s="453" t="str">
        <f t="shared" si="1161"/>
        <v/>
      </c>
      <c r="P3926" s="538" t="str">
        <f t="shared" si="1162"/>
        <v/>
      </c>
      <c r="Q3926" s="539" t="str">
        <f t="shared" si="1160"/>
        <v/>
      </c>
      <c r="R3926" s="706"/>
      <c r="S3926" s="707"/>
      <c r="T3926" s="708"/>
      <c r="U3926" s="472"/>
      <c r="V3926" s="166"/>
      <c r="W3926" s="446"/>
      <c r="X3926" s="456"/>
      <c r="Y3926" s="436"/>
      <c r="Z3926" s="437"/>
      <c r="AA3926" s="560"/>
      <c r="AB3926" s="561"/>
      <c r="AC3926" s="87"/>
      <c r="AD3926" s="466"/>
      <c r="AE3926" s="456"/>
      <c r="AF3926" s="467"/>
      <c r="AG3926" s="87"/>
      <c r="AH3926" s="87"/>
      <c r="AI3926" s="87"/>
    </row>
    <row r="3927" spans="1:35" hidden="1">
      <c r="A3927" s="80" t="e">
        <f>"E"&amp;E3919</f>
        <v>#N/A</v>
      </c>
      <c r="B3927" s="105">
        <v>5</v>
      </c>
      <c r="C3927" s="107"/>
      <c r="D3927" s="107"/>
      <c r="E3927" s="107"/>
      <c r="F3927" s="107"/>
      <c r="G3927" s="83"/>
      <c r="H3927" s="83"/>
      <c r="I3927" s="84"/>
      <c r="J3927" s="85"/>
      <c r="K3927" s="382"/>
      <c r="L3927" s="85"/>
      <c r="M3927" s="332" t="str">
        <f t="shared" si="1159"/>
        <v/>
      </c>
      <c r="N3927" s="86"/>
      <c r="O3927" s="453" t="str">
        <f t="shared" si="1161"/>
        <v/>
      </c>
      <c r="P3927" s="538" t="str">
        <f t="shared" si="1162"/>
        <v/>
      </c>
      <c r="Q3927" s="539" t="str">
        <f t="shared" si="1160"/>
        <v/>
      </c>
      <c r="R3927" s="706"/>
      <c r="S3927" s="707"/>
      <c r="T3927" s="708"/>
      <c r="U3927" s="472"/>
      <c r="V3927" s="167"/>
      <c r="W3927" s="446"/>
      <c r="X3927" s="456"/>
      <c r="Y3927" s="436"/>
      <c r="Z3927" s="437"/>
      <c r="AA3927" s="560"/>
      <c r="AB3927" s="561"/>
      <c r="AC3927" s="87"/>
      <c r="AD3927" s="466"/>
      <c r="AE3927" s="456"/>
      <c r="AF3927" s="467"/>
      <c r="AG3927" s="87"/>
      <c r="AH3927" s="87"/>
      <c r="AI3927" s="87"/>
    </row>
    <row r="3928" spans="1:35" hidden="1">
      <c r="A3928" s="80" t="e">
        <f>"F"&amp;E3919</f>
        <v>#N/A</v>
      </c>
      <c r="B3928" s="105">
        <v>6</v>
      </c>
      <c r="C3928" s="107"/>
      <c r="D3928" s="107"/>
      <c r="E3928" s="107"/>
      <c r="F3928" s="107"/>
      <c r="G3928" s="83"/>
      <c r="H3928" s="83"/>
      <c r="I3928" s="84"/>
      <c r="J3928" s="85"/>
      <c r="K3928" s="382"/>
      <c r="L3928" s="85"/>
      <c r="M3928" s="332" t="str">
        <f t="shared" si="1159"/>
        <v/>
      </c>
      <c r="N3928" s="86"/>
      <c r="O3928" s="453" t="str">
        <f t="shared" si="1161"/>
        <v/>
      </c>
      <c r="P3928" s="538" t="str">
        <f t="shared" si="1162"/>
        <v/>
      </c>
      <c r="Q3928" s="539" t="str">
        <f t="shared" si="1160"/>
        <v/>
      </c>
      <c r="R3928" s="706"/>
      <c r="S3928" s="707"/>
      <c r="T3928" s="708"/>
      <c r="U3928" s="472"/>
      <c r="V3928" s="167"/>
      <c r="W3928" s="446"/>
      <c r="X3928" s="456"/>
      <c r="Y3928" s="436"/>
      <c r="Z3928" s="437"/>
      <c r="AA3928" s="560"/>
      <c r="AB3928" s="561"/>
      <c r="AC3928" s="87"/>
      <c r="AD3928" s="466"/>
      <c r="AE3928" s="456"/>
      <c r="AF3928" s="467"/>
      <c r="AG3928" s="87"/>
      <c r="AH3928" s="87"/>
      <c r="AI3928" s="87"/>
    </row>
    <row r="3929" spans="1:35" hidden="1">
      <c r="A3929" s="80" t="e">
        <f>"G"&amp;E3919</f>
        <v>#N/A</v>
      </c>
      <c r="B3929" s="105">
        <v>7</v>
      </c>
      <c r="C3929" s="107"/>
      <c r="D3929" s="107"/>
      <c r="E3929" s="107"/>
      <c r="F3929" s="107"/>
      <c r="G3929" s="83"/>
      <c r="H3929" s="83"/>
      <c r="I3929" s="84"/>
      <c r="J3929" s="85"/>
      <c r="K3929" s="382"/>
      <c r="L3929" s="85"/>
      <c r="M3929" s="332" t="str">
        <f t="shared" si="1159"/>
        <v/>
      </c>
      <c r="N3929" s="86"/>
      <c r="O3929" s="86" t="str">
        <f t="shared" si="1161"/>
        <v/>
      </c>
      <c r="P3929" s="538" t="str">
        <f t="shared" si="1162"/>
        <v/>
      </c>
      <c r="Q3929" s="539" t="str">
        <f t="shared" si="1160"/>
        <v/>
      </c>
      <c r="R3929" s="706"/>
      <c r="S3929" s="707"/>
      <c r="T3929" s="708"/>
      <c r="U3929" s="472"/>
      <c r="V3929" s="167"/>
      <c r="W3929" s="446"/>
      <c r="X3929" s="456"/>
      <c r="Y3929" s="436"/>
      <c r="Z3929" s="437"/>
      <c r="AA3929" s="560"/>
      <c r="AB3929" s="561"/>
      <c r="AC3929" s="87"/>
      <c r="AD3929" s="466"/>
      <c r="AE3929" s="456"/>
      <c r="AF3929" s="467"/>
      <c r="AG3929" s="87"/>
      <c r="AH3929" s="87"/>
      <c r="AI3929" s="87"/>
    </row>
    <row r="3930" spans="1:35" hidden="1">
      <c r="A3930" s="80" t="e">
        <f>"H"&amp;E3919</f>
        <v>#N/A</v>
      </c>
      <c r="B3930" s="105">
        <v>8</v>
      </c>
      <c r="C3930" s="107"/>
      <c r="D3930" s="107"/>
      <c r="E3930" s="107"/>
      <c r="F3930" s="107"/>
      <c r="G3930" s="83"/>
      <c r="H3930" s="83"/>
      <c r="I3930" s="84"/>
      <c r="J3930" s="85"/>
      <c r="K3930" s="382"/>
      <c r="L3930" s="85"/>
      <c r="M3930" s="332" t="str">
        <f t="shared" si="1159"/>
        <v/>
      </c>
      <c r="N3930" s="453"/>
      <c r="O3930" s="86" t="str">
        <f t="shared" si="1161"/>
        <v/>
      </c>
      <c r="P3930" s="538" t="str">
        <f t="shared" si="1162"/>
        <v/>
      </c>
      <c r="Q3930" s="539" t="str">
        <f t="shared" si="1160"/>
        <v/>
      </c>
      <c r="R3930" s="706"/>
      <c r="S3930" s="707"/>
      <c r="T3930" s="708"/>
      <c r="U3930" s="472"/>
      <c r="V3930" s="167"/>
      <c r="W3930" s="446"/>
      <c r="X3930" s="456"/>
      <c r="Y3930" s="436"/>
      <c r="Z3930" s="437"/>
      <c r="AA3930" s="560"/>
      <c r="AB3930" s="561"/>
      <c r="AC3930" s="87"/>
      <c r="AD3930" s="466"/>
      <c r="AE3930" s="456"/>
      <c r="AF3930" s="467"/>
      <c r="AG3930" s="87"/>
      <c r="AH3930" s="87"/>
      <c r="AI3930" s="87"/>
    </row>
    <row r="3931" spans="1:35" hidden="1">
      <c r="A3931" s="80" t="e">
        <f>"I"&amp;E3919</f>
        <v>#N/A</v>
      </c>
      <c r="B3931" s="105">
        <v>9</v>
      </c>
      <c r="C3931" s="107"/>
      <c r="D3931" s="107"/>
      <c r="E3931" s="107"/>
      <c r="F3931" s="107"/>
      <c r="G3931" s="83"/>
      <c r="H3931" s="83"/>
      <c r="I3931" s="84"/>
      <c r="J3931" s="85"/>
      <c r="K3931" s="382"/>
      <c r="L3931" s="85"/>
      <c r="M3931" s="332" t="str">
        <f t="shared" si="1159"/>
        <v/>
      </c>
      <c r="N3931" s="453"/>
      <c r="O3931" s="86" t="str">
        <f t="shared" si="1161"/>
        <v/>
      </c>
      <c r="P3931" s="538" t="str">
        <f t="shared" si="1162"/>
        <v/>
      </c>
      <c r="Q3931" s="539" t="str">
        <f t="shared" si="1160"/>
        <v/>
      </c>
      <c r="R3931" s="706"/>
      <c r="S3931" s="707"/>
      <c r="T3931" s="708"/>
      <c r="U3931" s="472"/>
      <c r="V3931" s="167"/>
      <c r="W3931" s="446"/>
      <c r="X3931" s="456"/>
      <c r="Y3931" s="436"/>
      <c r="Z3931" s="437"/>
      <c r="AA3931" s="560"/>
      <c r="AB3931" s="561"/>
      <c r="AC3931" s="87"/>
      <c r="AD3931" s="466"/>
      <c r="AE3931" s="456"/>
      <c r="AF3931" s="467"/>
      <c r="AG3931" s="87"/>
      <c r="AH3931" s="87"/>
      <c r="AI3931" s="87"/>
    </row>
    <row r="3932" spans="1:35" hidden="1">
      <c r="A3932" s="80" t="e">
        <f>"J"&amp;E3919</f>
        <v>#N/A</v>
      </c>
      <c r="B3932" s="105">
        <v>10</v>
      </c>
      <c r="C3932" s="107"/>
      <c r="D3932" s="107"/>
      <c r="E3932" s="107"/>
      <c r="F3932" s="107"/>
      <c r="G3932" s="83"/>
      <c r="H3932" s="83"/>
      <c r="I3932" s="84"/>
      <c r="J3932" s="85"/>
      <c r="K3932" s="382"/>
      <c r="L3932" s="85"/>
      <c r="M3932" s="332" t="str">
        <f t="shared" si="1159"/>
        <v/>
      </c>
      <c r="N3932" s="453"/>
      <c r="O3932" s="86" t="str">
        <f t="shared" si="1161"/>
        <v/>
      </c>
      <c r="P3932" s="538" t="str">
        <f t="shared" si="1162"/>
        <v/>
      </c>
      <c r="Q3932" s="539" t="str">
        <f t="shared" si="1160"/>
        <v/>
      </c>
      <c r="R3932" s="706"/>
      <c r="S3932" s="707"/>
      <c r="T3932" s="708"/>
      <c r="U3932" s="472"/>
      <c r="V3932" s="167"/>
      <c r="W3932" s="446"/>
      <c r="X3932" s="456"/>
      <c r="Y3932" s="436"/>
      <c r="Z3932" s="437"/>
      <c r="AA3932" s="560"/>
      <c r="AB3932" s="561"/>
      <c r="AC3932" s="87"/>
      <c r="AD3932" s="466"/>
      <c r="AE3932" s="456"/>
      <c r="AF3932" s="467"/>
      <c r="AG3932" s="87"/>
      <c r="AH3932" s="87"/>
      <c r="AI3932" s="87"/>
    </row>
    <row r="3933" spans="1:35" ht="16.5" hidden="1" thickBot="1">
      <c r="A3933" s="44"/>
      <c r="B3933" s="89"/>
      <c r="C3933" s="90"/>
      <c r="D3933" s="90"/>
      <c r="E3933" s="90"/>
      <c r="F3933" s="90"/>
      <c r="G3933" s="90"/>
      <c r="H3933" s="90"/>
      <c r="I3933" s="90"/>
      <c r="J3933" s="90"/>
      <c r="K3933" s="90"/>
      <c r="L3933" s="90"/>
      <c r="M3933" s="90"/>
      <c r="N3933" s="90"/>
      <c r="O3933" s="90"/>
      <c r="P3933" s="90"/>
      <c r="Q3933" s="90"/>
      <c r="R3933" s="90"/>
      <c r="S3933" s="91"/>
      <c r="T3933" s="92"/>
      <c r="U3933" s="473"/>
      <c r="W3933" s="438"/>
      <c r="X3933" s="455"/>
      <c r="Y3933" s="439"/>
      <c r="Z3933" s="437"/>
      <c r="AA3933" s="530"/>
      <c r="AB3933" s="563"/>
      <c r="AC3933" s="87"/>
      <c r="AD3933" s="440"/>
      <c r="AE3933" s="441"/>
      <c r="AF3933" s="442"/>
      <c r="AG3933" s="49"/>
      <c r="AH3933" s="87"/>
      <c r="AI3933" s="87"/>
    </row>
    <row r="3934" spans="1:35" ht="16.5" hidden="1" thickBot="1">
      <c r="A3934" s="93"/>
      <c r="B3934" s="94"/>
      <c r="C3934" s="96"/>
      <c r="D3934" s="96"/>
      <c r="E3934" s="96"/>
      <c r="F3934" s="96"/>
      <c r="G3934" s="96"/>
      <c r="H3934" s="96"/>
      <c r="I3934" s="96"/>
      <c r="J3934" s="96"/>
      <c r="K3934" s="96"/>
      <c r="L3934" s="96"/>
      <c r="M3934" s="136"/>
      <c r="N3934" s="96"/>
      <c r="O3934" s="96"/>
      <c r="P3934" s="97"/>
      <c r="Q3934" s="97"/>
      <c r="R3934" s="98"/>
      <c r="S3934" s="95"/>
      <c r="T3934" s="99"/>
      <c r="U3934" s="469"/>
      <c r="AC3934" s="58"/>
      <c r="AG3934" s="58"/>
      <c r="AH3934" s="87"/>
      <c r="AI3934" s="87"/>
    </row>
    <row r="3935" spans="1:35" ht="16.5" hidden="1" thickBot="1">
      <c r="B3935" s="101"/>
      <c r="C3935" s="101"/>
      <c r="D3935" s="101"/>
      <c r="E3935" s="101"/>
      <c r="F3935" s="101"/>
      <c r="G3935" s="101"/>
      <c r="H3935" s="101"/>
      <c r="I3935" s="101"/>
      <c r="J3935" s="101"/>
      <c r="K3935" s="101"/>
      <c r="L3935" s="101"/>
      <c r="M3935" s="101"/>
      <c r="N3935" s="101"/>
      <c r="O3935" s="101"/>
      <c r="P3935" s="101"/>
      <c r="Q3935" s="101"/>
      <c r="R3935" s="101"/>
      <c r="S3935" s="101"/>
      <c r="U3935" s="50"/>
      <c r="AH3935" s="87"/>
      <c r="AI3935" s="87"/>
    </row>
    <row r="3936" spans="1:35" ht="16.5" hidden="1" customHeight="1" thickBot="1">
      <c r="A3936" s="44"/>
      <c r="B3936" s="705" t="s">
        <v>74</v>
      </c>
      <c r="C3936" s="705"/>
      <c r="D3936" s="705"/>
      <c r="E3936" s="705"/>
      <c r="F3936" s="705"/>
      <c r="G3936" s="705"/>
      <c r="H3936" s="705"/>
      <c r="I3936" s="705"/>
      <c r="J3936" s="705"/>
      <c r="K3936" s="705"/>
      <c r="L3936" s="705"/>
      <c r="M3936" s="705"/>
      <c r="N3936" s="705"/>
      <c r="O3936" s="705"/>
      <c r="P3936" s="705"/>
      <c r="Q3936" s="705"/>
      <c r="R3936" s="705"/>
      <c r="S3936" s="705"/>
      <c r="T3936" s="705"/>
      <c r="U3936" s="108"/>
      <c r="Y3936" s="532" t="s">
        <v>341</v>
      </c>
      <c r="AC3936" s="49"/>
      <c r="AD3936" s="687" t="s">
        <v>302</v>
      </c>
      <c r="AE3936" s="688"/>
      <c r="AF3936" s="689"/>
      <c r="AG3936" s="49"/>
      <c r="AH3936" s="87"/>
      <c r="AI3936" s="87"/>
    </row>
    <row r="3937" spans="1:35" ht="16.5" hidden="1" customHeight="1" thickBot="1">
      <c r="A3937" s="218" t="e">
        <f>"K"&amp;E3919</f>
        <v>#N/A</v>
      </c>
      <c r="B3937" s="701" t="s">
        <v>71</v>
      </c>
      <c r="C3937" s="751" t="s">
        <v>102</v>
      </c>
      <c r="D3937" s="751"/>
      <c r="E3937" s="751"/>
      <c r="F3937" s="751"/>
      <c r="G3937" s="751"/>
      <c r="H3937" s="751"/>
      <c r="I3937" s="751"/>
      <c r="J3937" s="751"/>
      <c r="K3937" s="751"/>
      <c r="L3937" s="722" t="s">
        <v>100</v>
      </c>
      <c r="M3937" s="747" t="s">
        <v>114</v>
      </c>
      <c r="N3937" s="747"/>
      <c r="O3937" s="747"/>
      <c r="P3937" s="747"/>
      <c r="Q3937" s="748"/>
      <c r="R3937" s="758" t="s">
        <v>280</v>
      </c>
      <c r="S3937" s="748"/>
      <c r="T3937" s="762" t="str">
        <f>IF(COUNTIF(AE3937:AF3937,"VERIFICAR")&gt;0,"VERIFICAR",IF(COUNTIF(AE3937:AF3937,"NO CUMPLE")&gt;0,"NO CUMPLE","CUMPLE"))</f>
        <v>VERIFICAR</v>
      </c>
      <c r="U3937" s="108"/>
      <c r="Y3937" s="533" t="e">
        <f>IF(F3938="","",IF(F3938=1,"INDIVIDUAL","ESTRUCTURA PLURAL"))</f>
        <v>#N/A</v>
      </c>
      <c r="AC3937" s="52"/>
      <c r="AD3937" s="475" t="s">
        <v>303</v>
      </c>
      <c r="AE3937" s="476" t="str">
        <f>IF(COUNTIF(AE3923:AE3932,"")=10,"VERIFICAR",IF(COUNTIF(AE3923:AE3932,"SI")&gt;0,"CUMPLE","NO CUMPLE"))</f>
        <v>VERIFICAR</v>
      </c>
      <c r="AF3937" s="477" t="str">
        <f>IF(COUNTIF(AF3923:AF3932,"")=10,"VERIFICAR",IF(COUNTIF(AF3923:AF3932,"SI")&gt;=$AI$22,"CUMPLE","NO CUMPLE"))</f>
        <v>VERIFICAR</v>
      </c>
      <c r="AG3937" s="52"/>
      <c r="AH3937" s="87"/>
      <c r="AI3937" s="87"/>
    </row>
    <row r="3938" spans="1:35" ht="15.75" hidden="1" customHeight="1" thickBot="1">
      <c r="A3938" s="218" t="e">
        <f>"L"&amp;E3919</f>
        <v>#N/A</v>
      </c>
      <c r="B3938" s="702"/>
      <c r="C3938" s="751" t="s">
        <v>103</v>
      </c>
      <c r="D3938" s="751"/>
      <c r="E3938" s="752"/>
      <c r="F3938" s="557" t="e">
        <f>IF(VLOOKUP(E3919,PROPONENTES!$C$19:$E$218,3,0)="","",VLOOKUP(E3919,PROPONENTES!$C$19:$E$218,3,0))</f>
        <v>#N/A</v>
      </c>
      <c r="G3938" s="753" t="s">
        <v>104</v>
      </c>
      <c r="H3938" s="751"/>
      <c r="I3938" s="715" t="e">
        <f>IF(OR(F3938="",F3938=1),"INTERESADO PERSONA NATURAL O JURIDICA","CONSORCIO O UNION TEMPORAL")</f>
        <v>#N/A</v>
      </c>
      <c r="J3938" s="725"/>
      <c r="K3938" s="728"/>
      <c r="L3938" s="723"/>
      <c r="M3938" s="749"/>
      <c r="N3938" s="749"/>
      <c r="O3938" s="749"/>
      <c r="P3938" s="749"/>
      <c r="Q3938" s="750"/>
      <c r="R3938" s="712"/>
      <c r="S3938" s="750"/>
      <c r="T3938" s="763"/>
      <c r="U3938" s="108"/>
      <c r="Y3938" s="534"/>
      <c r="AA3938" s="52"/>
      <c r="AB3938" s="52"/>
      <c r="AC3938" s="52"/>
      <c r="AG3938" s="52"/>
      <c r="AH3938" s="87"/>
      <c r="AI3938" s="87"/>
    </row>
    <row r="3939" spans="1:35" ht="56.25" hidden="1" customHeight="1" thickBot="1">
      <c r="A3939" s="218" t="e">
        <f>"M"&amp;E3919</f>
        <v>#N/A</v>
      </c>
      <c r="B3939" s="702"/>
      <c r="C3939" s="725" t="s">
        <v>101</v>
      </c>
      <c r="D3939" s="716"/>
      <c r="E3939" s="558" t="s">
        <v>105</v>
      </c>
      <c r="F3939" s="554" t="s">
        <v>87</v>
      </c>
      <c r="G3939" s="553" t="s">
        <v>86</v>
      </c>
      <c r="H3939" s="559" t="s">
        <v>85</v>
      </c>
      <c r="I3939" s="554" t="s">
        <v>252</v>
      </c>
      <c r="J3939" s="553" t="str">
        <f>"¿EL INTEGRANTE TIENE UNA PARTICIPACIÓN DEL "&amp;PORCREQUERIDOINT*100&amp;"%?"</f>
        <v>¿EL INTEGRANTE TIENE UNA PARTICIPACIÓN DEL 60%?</v>
      </c>
      <c r="K3939" s="554" t="s">
        <v>107</v>
      </c>
      <c r="L3939" s="724"/>
      <c r="M3939" s="717" t="s">
        <v>115</v>
      </c>
      <c r="N3939" s="718"/>
      <c r="O3939" s="718"/>
      <c r="P3939" s="718"/>
      <c r="Q3939" s="223">
        <f>IF(AND(H3923="SI",P3923&gt;=0),1,0)+IF(AND(H3924="SI",P3924&gt;=0),1,0)+IF(AND(H3925="SI",P3925&gt;=0),1,0)+IF(AND(H3926="SI",P3926&gt;=0),1,0)+IF(AND(H3927="SI",P3927&gt;=0),1,0)+IF(AND(H3928="SI",P3928&gt;=0),1,0)+IF(AND(H3929="SI",P3929&gt;=0),1,0)+IF(AND(H3930="SI",P3930&gt;=0),1,0)+IF(AND(H3931="SI",P3931&gt;=0),1,0)+IF(AND(H3932="SI",P3932&gt;=0),1,0)</f>
        <v>0</v>
      </c>
      <c r="R3939" s="759"/>
      <c r="S3939" s="761"/>
      <c r="T3939" s="764"/>
      <c r="U3939" s="219"/>
      <c r="V3939" s="464"/>
      <c r="Y3939" s="532" t="s">
        <v>342</v>
      </c>
      <c r="AA3939" s="550" t="s">
        <v>344</v>
      </c>
      <c r="AB3939" s="693" t="s">
        <v>345</v>
      </c>
      <c r="AC3939" s="693" t="s">
        <v>346</v>
      </c>
      <c r="AD3939" s="685" t="s">
        <v>347</v>
      </c>
      <c r="AE3939" s="52"/>
      <c r="AF3939" s="52"/>
      <c r="AG3939" s="52"/>
      <c r="AH3939" s="87"/>
      <c r="AI3939" s="87"/>
    </row>
    <row r="3940" spans="1:35" ht="15.75" hidden="1" customHeight="1" thickBot="1">
      <c r="A3940" s="218" t="e">
        <f>"N"&amp;E3919</f>
        <v>#N/A</v>
      </c>
      <c r="B3940" s="702"/>
      <c r="C3940" s="114">
        <v>1</v>
      </c>
      <c r="D3940" s="194" t="e">
        <f>IF(AND(C3940&lt;=F3938,F3938&gt;1,F3938&lt;&gt;""),VLOOKUP(VALUE(E3919&amp;","&amp;C3940),INTEGRANTES!$D$18:$F$235,2,0),"")</f>
        <v>#N/A</v>
      </c>
      <c r="E3940" s="211" t="e">
        <f>IF(D3940&lt;&gt;"",VLOOKUP(VALUE(E3919&amp;","&amp;C3940),INTEGRANTES!$D$18:$F$235,3,0),"")</f>
        <v>#N/A</v>
      </c>
      <c r="F3940" s="547" t="e">
        <f>IF(D3940="","",SUMIF($I3923:$I3932,D3940,$P3923:$P3932))</f>
        <v>#N/A</v>
      </c>
      <c r="G3940" s="333" t="e">
        <f>IF(D3940="","",SUMIF($I3923:$I3932,D3940,$M3923:$M3932))</f>
        <v>#N/A</v>
      </c>
      <c r="H3940" s="535" t="e">
        <f t="shared" ref="H3940:H3945" si="1163">IF(D3940="","",IF(OR(F3940=0,G3940=0),"NO APORTA",ROUND($F3940/$G3940,3)))</f>
        <v>#N/A</v>
      </c>
      <c r="I3940" s="212" t="e">
        <f>IF(D3940="","",IF(H3940="NO APORTA","NO",IF(H3940=MAX($H3940:$H3945),"SI","NO")))</f>
        <v>#N/A</v>
      </c>
      <c r="J3940" s="213" t="e">
        <f t="shared" ref="J3940:J3945" si="1164">IF(D3940="","",IF(E3940&gt;=PORCREQUERIDOINT,"SI","NO"))</f>
        <v>#N/A</v>
      </c>
      <c r="K3940" s="200" t="e">
        <f t="shared" ref="K3940:K3945" si="1165">IF(D3940="","",IF(AND(I3940="SI",J3940="SI"),"CUMPLE",IF(AND(I3940="NO",OR(J3940="SI",J3940="NO")),"","NO CUMPLE")))</f>
        <v>#N/A</v>
      </c>
      <c r="L3940" s="722" t="s">
        <v>108</v>
      </c>
      <c r="M3940" s="726" t="s">
        <v>119</v>
      </c>
      <c r="N3940" s="726"/>
      <c r="O3940" s="726"/>
      <c r="P3940" s="726"/>
      <c r="Q3940" s="727"/>
      <c r="R3940" s="758" t="s">
        <v>80</v>
      </c>
      <c r="S3940" s="747"/>
      <c r="T3940" s="748"/>
      <c r="U3940" s="219"/>
      <c r="V3940" s="464"/>
      <c r="Y3940" s="533" t="e">
        <f>IF(Y3937="","",IF(Y3937="INDIVIDUAL","NO APLICA","VERIFICAR CUADRO"))</f>
        <v>#N/A</v>
      </c>
      <c r="AA3940" s="551"/>
      <c r="AB3940" s="694"/>
      <c r="AC3940" s="694"/>
      <c r="AD3940" s="686"/>
      <c r="AE3940" s="52"/>
      <c r="AF3940" s="52"/>
      <c r="AG3940" s="52"/>
      <c r="AH3940" s="87"/>
      <c r="AI3940" s="87"/>
    </row>
    <row r="3941" spans="1:35" ht="27" hidden="1" customHeight="1" thickBot="1">
      <c r="A3941" s="218" t="e">
        <f>"O"&amp;E3919</f>
        <v>#N/A</v>
      </c>
      <c r="B3941" s="702"/>
      <c r="C3941" s="114">
        <v>2</v>
      </c>
      <c r="D3941" s="194" t="e">
        <f>IF(AND(C3941&lt;=F3938,F3938&lt;&gt;""),VLOOKUP(VALUE(E3919&amp;","&amp;C3941),INTEGRANTES!$D$18:$F$235,2,0),"")</f>
        <v>#N/A</v>
      </c>
      <c r="E3941" s="211" t="e">
        <f>IF(D3941&lt;&gt;"",VLOOKUP(VALUE(E3919&amp;","&amp;C3941),INTEGRANTES!$D$18:$F$235,3,0),"")</f>
        <v>#N/A</v>
      </c>
      <c r="F3941" s="547" t="e">
        <f>IF(D3941="","",SUMIF($I3923:$I3932,D3941,$P3923:$P3932))</f>
        <v>#N/A</v>
      </c>
      <c r="G3941" s="333" t="e">
        <f>IF(D3941="","",SUMIF($I3923:$I3932,D3941,$M3923:$M3932))</f>
        <v>#N/A</v>
      </c>
      <c r="H3941" s="535" t="e">
        <f t="shared" si="1163"/>
        <v>#N/A</v>
      </c>
      <c r="I3941" s="212" t="e">
        <f>IF(D3941="","",IF(H3941="NO APORTA","NO",IF(H3941=MAX($H3940:$H3945),"SI","NO")))</f>
        <v>#N/A</v>
      </c>
      <c r="J3941" s="213" t="e">
        <f t="shared" si="1164"/>
        <v>#N/A</v>
      </c>
      <c r="K3941" s="200" t="e">
        <f t="shared" si="1165"/>
        <v>#N/A</v>
      </c>
      <c r="L3941" s="723"/>
      <c r="M3941" s="715" t="s">
        <v>116</v>
      </c>
      <c r="N3941" s="716"/>
      <c r="O3941" s="556" t="s">
        <v>113</v>
      </c>
      <c r="P3941" s="715" t="s">
        <v>117</v>
      </c>
      <c r="Q3941" s="728"/>
      <c r="R3941" s="759"/>
      <c r="S3941" s="760"/>
      <c r="T3941" s="761"/>
      <c r="U3941" s="219"/>
      <c r="V3941" s="464"/>
      <c r="Y3941" s="414"/>
      <c r="AA3941" s="542" t="e">
        <f>IF(AND(C3940&lt;=F3938,F3938&gt;1,F3938&lt;&gt;""),VLOOKUP(VALUE(E3919&amp;","&amp;C3940),INTEGRANTES!$D$18:$F$235,2,0),"")</f>
        <v>#N/A</v>
      </c>
      <c r="AB3941" s="544" t="e">
        <f t="shared" ref="AB3941:AB3946" si="1166">IF(D3940="","",IF(OR(F3940=0,G3940=0),"NO APORTA",ROUND($F3940/$G3940,3)))</f>
        <v>#N/A</v>
      </c>
      <c r="AC3941" s="529"/>
      <c r="AD3941" s="200" t="e">
        <f t="shared" ref="AD3941:AD3946" si="1167">IF(OR(AA3941="",AB3941=""),"",IF(AND(AC3941="X",AB3941&gt;=EXPREQVTD),"CUMPLE","NO CUMPLE"))</f>
        <v>#N/A</v>
      </c>
      <c r="AE3941" s="52"/>
      <c r="AF3941" s="52"/>
      <c r="AG3941" s="52"/>
      <c r="AH3941" s="87"/>
      <c r="AI3941" s="87"/>
    </row>
    <row r="3942" spans="1:35" ht="16.5" hidden="1" thickBot="1">
      <c r="A3942" s="218" t="e">
        <f>"P"&amp;E3919</f>
        <v>#N/A</v>
      </c>
      <c r="B3942" s="702"/>
      <c r="C3942" s="114">
        <v>3</v>
      </c>
      <c r="D3942" s="194" t="e">
        <f>IF(AND(C3942&lt;=F3938,F3938&lt;&gt;""),VLOOKUP(VALUE(E3919&amp;","&amp;C3942),INTEGRANTES!$D$18:$F$235,2,0),"")</f>
        <v>#N/A</v>
      </c>
      <c r="E3942" s="211" t="e">
        <f>IF(D3942&lt;&gt;"",VLOOKUP(VALUE(E3919&amp;","&amp;C3942),INTEGRANTES!$D$18:$F$235,3,0),"")</f>
        <v>#N/A</v>
      </c>
      <c r="F3942" s="547" t="e">
        <f>IF(D3942="","",SUMIF($I3923:$I3932,D3942,$P3923:$P3932))</f>
        <v>#N/A</v>
      </c>
      <c r="G3942" s="333" t="e">
        <f>IF(D3942="","",SUMIF($I3923:$I3932,D3942,$M3923:$M3932))</f>
        <v>#N/A</v>
      </c>
      <c r="H3942" s="535" t="e">
        <f t="shared" si="1163"/>
        <v>#N/A</v>
      </c>
      <c r="I3942" s="212" t="e">
        <f>IF(D3942="","",IF(H3942="NO APORTA","NO",IF(H3942=MAX($H3940:$H3945),"SI","NO")))</f>
        <v>#N/A</v>
      </c>
      <c r="J3942" s="213" t="e">
        <f t="shared" si="1164"/>
        <v>#N/A</v>
      </c>
      <c r="K3942" s="200" t="e">
        <f t="shared" si="1165"/>
        <v>#N/A</v>
      </c>
      <c r="L3942" s="724"/>
      <c r="M3942" s="729">
        <f>NUMMOD</f>
        <v>1</v>
      </c>
      <c r="N3942" s="730"/>
      <c r="O3942" s="443">
        <f>IF(M3942="","",VLOOKUP(M3942,PRESUPUESTOS!$B$16:$H$16,5,FALSE))</f>
        <v>2</v>
      </c>
      <c r="P3942" s="713">
        <f>IF(OR(COUNTIF(M3923:M3932,"")&gt;=10,Q3939&lt;NUMMINCONT,OR(T3937="NO CUMPLE",T3937="VERIFICAR")),0,ROUND(AVERAGE(M3923:M3932),3))</f>
        <v>0</v>
      </c>
      <c r="Q3942" s="714"/>
      <c r="R3942" s="458"/>
      <c r="S3942" s="459"/>
      <c r="T3942" s="460"/>
      <c r="U3942" s="219"/>
      <c r="V3942" s="464"/>
      <c r="Y3942" s="532" t="str">
        <f>"40% * ("&amp;PRESUPUESTOS!$H$13&amp;")"</f>
        <v>40% * (50% PFMO)</v>
      </c>
      <c r="AA3942" s="540" t="e">
        <f>IF(AND(C3941&lt;=F3938,F3938&lt;&gt;""),VLOOKUP(VALUE(E3919&amp;","&amp;C3941),INTEGRANTES!$D$18:$F$235,2,0),"")</f>
        <v>#N/A</v>
      </c>
      <c r="AB3942" s="545" t="e">
        <f t="shared" si="1166"/>
        <v>#N/A</v>
      </c>
      <c r="AC3942" s="529"/>
      <c r="AD3942" s="200" t="e">
        <f t="shared" si="1167"/>
        <v>#N/A</v>
      </c>
      <c r="AE3942" s="52"/>
      <c r="AF3942" s="52"/>
      <c r="AG3942" s="52"/>
      <c r="AH3942" s="87"/>
      <c r="AI3942" s="87"/>
    </row>
    <row r="3943" spans="1:35" ht="15.75" hidden="1" customHeight="1" thickBot="1">
      <c r="A3943" s="218" t="e">
        <f>"Q"&amp;E3919</f>
        <v>#N/A</v>
      </c>
      <c r="B3943" s="702"/>
      <c r="C3943" s="114">
        <v>4</v>
      </c>
      <c r="D3943" s="194" t="e">
        <f>IF(AND(C3943&lt;=F3938,F3938&lt;&gt;""),VLOOKUP(VALUE(E3919&amp;","&amp;C3943),INTEGRANTES!$D$18:$F$235,2,0),"")</f>
        <v>#N/A</v>
      </c>
      <c r="E3943" s="211" t="e">
        <f>IF(D3943&lt;&gt;"",VLOOKUP(VALUE(E3919&amp;","&amp;C3943),INTEGRANTES!$D$18:$F$235,3,0),"")</f>
        <v>#N/A</v>
      </c>
      <c r="F3943" s="547" t="e">
        <f>IF(D3943="","",SUMIF($I3923:$I3932,D3943,$P3923:$P3932))</f>
        <v>#N/A</v>
      </c>
      <c r="G3943" s="333" t="e">
        <f>IF(D3943="","",SUMIF($I3923:$I3932,D3943,$M3923:$M3932))</f>
        <v>#N/A</v>
      </c>
      <c r="H3943" s="535" t="e">
        <f t="shared" si="1163"/>
        <v>#N/A</v>
      </c>
      <c r="I3943" s="212" t="e">
        <f>IF(D3943="","",IF(H3943="NO APORTA","NO",IF(H3943=MAX($H3940:$H3945),"SI","NO")))</f>
        <v>#N/A</v>
      </c>
      <c r="J3943" s="213" t="e">
        <f t="shared" si="1164"/>
        <v>#N/A</v>
      </c>
      <c r="K3943" s="200" t="e">
        <f t="shared" si="1165"/>
        <v>#N/A</v>
      </c>
      <c r="L3943" s="720" t="s">
        <v>109</v>
      </c>
      <c r="M3943" s="757" t="s">
        <v>120</v>
      </c>
      <c r="N3943" s="726"/>
      <c r="O3943" s="726"/>
      <c r="P3943" s="726"/>
      <c r="Q3943" s="727"/>
      <c r="R3943" s="458"/>
      <c r="S3943" s="459"/>
      <c r="T3943" s="460"/>
      <c r="U3943" s="219"/>
      <c r="V3943" s="464"/>
      <c r="Y3943" s="537">
        <f>0.4*PRESUPUESTOS!$H$16</f>
        <v>10.3124</v>
      </c>
      <c r="AA3943" s="540" t="e">
        <f>IF(AND(C3942&lt;=F3938,F3938&lt;&gt;""),VLOOKUP(VALUE(E3919&amp;","&amp;C3942),INTEGRANTES!$D$18:$F$235,2,0),"")</f>
        <v>#N/A</v>
      </c>
      <c r="AB3943" s="545" t="e">
        <f t="shared" si="1166"/>
        <v>#N/A</v>
      </c>
      <c r="AC3943" s="529"/>
      <c r="AD3943" s="200" t="e">
        <f t="shared" si="1167"/>
        <v>#N/A</v>
      </c>
      <c r="AE3943" s="52"/>
      <c r="AF3943" s="52"/>
      <c r="AG3943" s="52"/>
      <c r="AH3943" s="87"/>
      <c r="AI3943" s="87"/>
    </row>
    <row r="3944" spans="1:35" ht="27" hidden="1" customHeight="1" thickBot="1">
      <c r="A3944" s="218" t="e">
        <f>"R"&amp;E3919</f>
        <v>#N/A</v>
      </c>
      <c r="B3944" s="702"/>
      <c r="C3944" s="114">
        <v>5</v>
      </c>
      <c r="D3944" s="194" t="e">
        <f>IF(AND(C3944&lt;=F3938,F3938&lt;&gt;""),VLOOKUP(VALUE(E3919&amp;","&amp;C3944),INTEGRANTES!$D$18:$F$235,2,0),"")</f>
        <v>#N/A</v>
      </c>
      <c r="E3944" s="211" t="e">
        <f>IF(D3944&lt;&gt;"",VLOOKUP(VALUE(E3919&amp;","&amp;C3944),INTEGRANTES!$D$18:$F$235,3,0),"")</f>
        <v>#N/A</v>
      </c>
      <c r="F3944" s="547" t="e">
        <f>IF(D3944="","",SUMIF($I3923:$I3932,D3944,$P3923:$P3932))</f>
        <v>#N/A</v>
      </c>
      <c r="G3944" s="333" t="e">
        <f>IF(D3944="","",SUMIF($I3923:$I3932,D3944,$M3923:$M3932))</f>
        <v>#N/A</v>
      </c>
      <c r="H3944" s="535" t="e">
        <f t="shared" si="1163"/>
        <v>#N/A</v>
      </c>
      <c r="I3944" s="212" t="e">
        <f>IF(D3944="","",IF(H3944="NO APORTA","NO",IF(H3944=MAX($H3940:$H3945),"SI","NO")))</f>
        <v>#N/A</v>
      </c>
      <c r="J3944" s="213" t="e">
        <f t="shared" si="1164"/>
        <v>#N/A</v>
      </c>
      <c r="K3944" s="200" t="e">
        <f t="shared" si="1165"/>
        <v>#N/A</v>
      </c>
      <c r="L3944" s="721"/>
      <c r="M3944" s="715" t="s">
        <v>116</v>
      </c>
      <c r="N3944" s="716"/>
      <c r="O3944" s="556" t="str">
        <f>PORCREQUERIDO*100&amp;"% PMFO DEL MÓDULO"</f>
        <v>50% PMFO DEL MÓDULO</v>
      </c>
      <c r="P3944" s="715" t="s">
        <v>118</v>
      </c>
      <c r="Q3944" s="728"/>
      <c r="R3944" s="458"/>
      <c r="S3944" s="459"/>
      <c r="T3944" s="460"/>
      <c r="U3944" s="219"/>
      <c r="V3944" s="464"/>
      <c r="Y3944" s="414"/>
      <c r="AA3944" s="540" t="e">
        <f>IF(AND(C3943&lt;=F3938,F3938&lt;&gt;""),VLOOKUP(VALUE(E3919&amp;","&amp;C3943),INTEGRANTES!$D$18:$F$235,2,0),"")</f>
        <v>#N/A</v>
      </c>
      <c r="AB3944" s="545" t="e">
        <f t="shared" si="1166"/>
        <v>#N/A</v>
      </c>
      <c r="AC3944" s="529"/>
      <c r="AD3944" s="200" t="e">
        <f t="shared" si="1167"/>
        <v>#N/A</v>
      </c>
      <c r="AE3944" s="52"/>
      <c r="AF3944" s="52"/>
      <c r="AG3944" s="52"/>
      <c r="AH3944" s="87"/>
      <c r="AI3944" s="87"/>
    </row>
    <row r="3945" spans="1:35" ht="16.5" hidden="1" thickBot="1">
      <c r="A3945" s="218" t="e">
        <f>"S"&amp;E3919</f>
        <v>#N/A</v>
      </c>
      <c r="B3945" s="702"/>
      <c r="C3945" s="215">
        <v>6</v>
      </c>
      <c r="D3945" s="216" t="e">
        <f>IF(AND(C3945&lt;=F3938,F3938&lt;&gt;""),VLOOKUP(VALUE(E3919&amp;","&amp;C3945),INTEGRANTES!$D$18:$F$235,2,0),"")</f>
        <v>#N/A</v>
      </c>
      <c r="E3945" s="217" t="e">
        <f>IF(D3945&lt;&gt;"",VLOOKUP(VALUE(E3919&amp;","&amp;C3945),INTEGRANTES!$D$18:$F$235,3,0),"")</f>
        <v>#N/A</v>
      </c>
      <c r="F3945" s="548" t="e">
        <f>IF(D3945="","",SUMIF($I3923:$I3932,D3945,$P3923:$P3932))</f>
        <v>#N/A</v>
      </c>
      <c r="G3945" s="334" t="e">
        <f>IF(D3945="","",SUMIF($I3923:$I3932,D3945,$M3923:$M3932))</f>
        <v>#N/A</v>
      </c>
      <c r="H3945" s="536" t="e">
        <f t="shared" si="1163"/>
        <v>#N/A</v>
      </c>
      <c r="I3945" s="214" t="e">
        <f>IF(D3945="","",IF(H3945="NO APORTA","NO",IF(H3945=MAX($H3940:$H3945),"SI","NO")))</f>
        <v>#N/A</v>
      </c>
      <c r="J3945" s="213" t="e">
        <f t="shared" si="1164"/>
        <v>#N/A</v>
      </c>
      <c r="K3945" s="200" t="e">
        <f t="shared" si="1165"/>
        <v>#N/A</v>
      </c>
      <c r="L3945" s="721"/>
      <c r="M3945" s="729">
        <f>NUMMOD</f>
        <v>1</v>
      </c>
      <c r="N3945" s="730"/>
      <c r="O3945" s="443">
        <f>IF(M3945="","",ROUND(VLOOKUP(M3945,PRESUPUESTOS!$B$16:$H$16,7,FALSE),3))</f>
        <v>25.780999999999999</v>
      </c>
      <c r="P3945" s="713">
        <f>IF(OR(COUNTIF(P3923:P3932,"")&gt;=10,Q3939&lt;NUMMINCONT,OR(T3937="NO CUMPLE",T3937="VERIFICAR")),0,ROUND((SUM(P3923:P3932)/SUM(M3923:M3932)),3))</f>
        <v>0</v>
      </c>
      <c r="Q3945" s="714"/>
      <c r="R3945" s="458"/>
      <c r="S3945" s="459"/>
      <c r="T3945" s="460"/>
      <c r="U3945" s="219"/>
      <c r="V3945" s="464"/>
      <c r="Y3945" s="532" t="s">
        <v>343</v>
      </c>
      <c r="AA3945" s="540" t="e">
        <f>IF(AND(C3944&lt;=F3938,F3938&lt;&gt;""),VLOOKUP(VALUE(E3919&amp;","&amp;C3944),INTEGRANTES!$D$18:$F$235,2,0),"")</f>
        <v>#N/A</v>
      </c>
      <c r="AB3945" s="545" t="e">
        <f t="shared" si="1166"/>
        <v>#N/A</v>
      </c>
      <c r="AC3945" s="529"/>
      <c r="AD3945" s="200" t="e">
        <f t="shared" si="1167"/>
        <v>#N/A</v>
      </c>
      <c r="AE3945" s="52"/>
      <c r="AF3945" s="52"/>
      <c r="AG3945" s="52"/>
      <c r="AH3945" s="87"/>
      <c r="AI3945" s="87"/>
    </row>
    <row r="3946" spans="1:35" ht="16.5" hidden="1" customHeight="1" thickBot="1">
      <c r="A3946" s="218" t="e">
        <f>"T"&amp;E3919</f>
        <v>#N/A</v>
      </c>
      <c r="B3946" s="703"/>
      <c r="C3946" s="719"/>
      <c r="D3946" s="719"/>
      <c r="E3946" s="719"/>
      <c r="F3946" s="719"/>
      <c r="G3946" s="719"/>
      <c r="H3946" s="719" t="s">
        <v>110</v>
      </c>
      <c r="I3946" s="719"/>
      <c r="J3946" s="719"/>
      <c r="K3946" s="201" t="str">
        <f>IF(COUNTIF(K3940:K3945,"")=6,"",IF(COUNTIF(K3940:K3945,"CUMPLE")&gt;0,"CUMPLE","NO CUMPLE"))</f>
        <v>NO CUMPLE</v>
      </c>
      <c r="L3946" s="754"/>
      <c r="M3946" s="755"/>
      <c r="N3946" s="755"/>
      <c r="O3946" s="755"/>
      <c r="P3946" s="755"/>
      <c r="Q3946" s="756"/>
      <c r="R3946" s="461"/>
      <c r="S3946" s="462"/>
      <c r="T3946" s="463"/>
      <c r="U3946" s="219"/>
      <c r="V3946" s="464"/>
      <c r="Y3946" s="549" t="e">
        <f>IF(Y3940="NO APLICA","NO APLICA",IF(COUNTIF(AD3941:AD3946,"CUMPLE")&gt;0,"CUMPLE","NO CUMPLE"))</f>
        <v>#N/A</v>
      </c>
      <c r="AA3946" s="541" t="e">
        <f>IF(AND(C3945&lt;=F3938,F3938&lt;&gt;""),VLOOKUP(VALUE(E3919&amp;","&amp;C3945),INTEGRANTES!$D$18:$F$235,2,0),"")</f>
        <v>#N/A</v>
      </c>
      <c r="AB3946" s="546" t="e">
        <f t="shared" si="1166"/>
        <v>#N/A</v>
      </c>
      <c r="AC3946" s="543"/>
      <c r="AD3946" s="201" t="e">
        <f t="shared" si="1167"/>
        <v>#N/A</v>
      </c>
      <c r="AE3946" s="52"/>
      <c r="AF3946" s="52"/>
      <c r="AG3946" s="52"/>
      <c r="AH3946" s="87"/>
      <c r="AI3946" s="87"/>
    </row>
    <row r="3947" spans="1:35" hidden="1">
      <c r="AH3947" s="87"/>
      <c r="AI3947" s="87"/>
    </row>
    <row r="3948" spans="1:35" hidden="1">
      <c r="AH3948" s="87"/>
      <c r="AI3948" s="87"/>
    </row>
    <row r="3949" spans="1:35" ht="24" hidden="1" thickBot="1">
      <c r="A3949" s="61">
        <v>132</v>
      </c>
      <c r="B3949" s="704" t="s">
        <v>51</v>
      </c>
      <c r="C3949" s="704"/>
      <c r="D3949" s="704"/>
      <c r="E3949" s="62" t="e">
        <f>VLOOKUP(A3949,PROPONENTES!$B$19:$E$218,2,FALSE)</f>
        <v>#N/A</v>
      </c>
      <c r="F3949" s="63" t="e">
        <f>VLOOKUP(A3949,PROPONENTES!$B$19:$E$218,3,FALSE)</f>
        <v>#N/A</v>
      </c>
      <c r="G3949" s="64"/>
      <c r="H3949" s="64"/>
      <c r="I3949" s="63"/>
      <c r="J3949" s="63"/>
      <c r="K3949" s="65"/>
      <c r="L3949" s="65"/>
      <c r="M3949" s="64"/>
      <c r="N3949" s="64"/>
      <c r="O3949" s="66"/>
      <c r="P3949" s="66"/>
      <c r="Q3949" s="66"/>
      <c r="R3949" s="66"/>
      <c r="S3949" s="67"/>
      <c r="T3949" s="68"/>
      <c r="U3949" s="68"/>
      <c r="AC3949" s="68"/>
      <c r="AD3949" s="68"/>
      <c r="AE3949" s="68"/>
      <c r="AF3949" s="68"/>
      <c r="AG3949" s="68"/>
      <c r="AH3949" s="87"/>
      <c r="AI3949" s="87"/>
    </row>
    <row r="3950" spans="1:35" ht="15.75" hidden="1" customHeight="1">
      <c r="A3950" s="44"/>
      <c r="B3950" s="709" t="s">
        <v>59</v>
      </c>
      <c r="C3950" s="552" t="s">
        <v>60</v>
      </c>
      <c r="D3950" s="70" t="s">
        <v>17</v>
      </c>
      <c r="E3950" s="70"/>
      <c r="F3950" s="70" t="s">
        <v>61</v>
      </c>
      <c r="G3950" s="71"/>
      <c r="H3950" s="699" t="s">
        <v>62</v>
      </c>
      <c r="I3950" s="699" t="s">
        <v>18</v>
      </c>
      <c r="J3950" s="699" t="s">
        <v>63</v>
      </c>
      <c r="K3950" s="699" t="s">
        <v>64</v>
      </c>
      <c r="L3950" s="699" t="s">
        <v>65</v>
      </c>
      <c r="M3950" s="743" t="s">
        <v>66</v>
      </c>
      <c r="N3950" s="699" t="s">
        <v>282</v>
      </c>
      <c r="O3950" s="745" t="s">
        <v>67</v>
      </c>
      <c r="P3950" s="746"/>
      <c r="Q3950" s="102" t="s">
        <v>75</v>
      </c>
      <c r="R3950" s="731" t="s">
        <v>22</v>
      </c>
      <c r="S3950" s="732"/>
      <c r="T3950" s="733"/>
      <c r="U3950" s="712" t="s">
        <v>298</v>
      </c>
      <c r="W3950" s="690" t="s">
        <v>268</v>
      </c>
      <c r="X3950" s="691"/>
      <c r="Y3950" s="692"/>
      <c r="Z3950" s="428"/>
      <c r="AA3950" s="697" t="s">
        <v>315</v>
      </c>
      <c r="AB3950" s="695" t="s">
        <v>322</v>
      </c>
      <c r="AC3950" s="49"/>
      <c r="AD3950" s="690" t="s">
        <v>297</v>
      </c>
      <c r="AE3950" s="691"/>
      <c r="AF3950" s="692"/>
      <c r="AG3950" s="49"/>
      <c r="AH3950" s="87"/>
      <c r="AI3950" s="87"/>
    </row>
    <row r="3951" spans="1:35" ht="72" hidden="1">
      <c r="A3951" s="44"/>
      <c r="B3951" s="710"/>
      <c r="C3951" s="553" t="s">
        <v>68</v>
      </c>
      <c r="D3951" s="73" t="s">
        <v>3</v>
      </c>
      <c r="E3951" s="73" t="s">
        <v>19</v>
      </c>
      <c r="F3951" s="73" t="s">
        <v>69</v>
      </c>
      <c r="G3951" s="74" t="s">
        <v>70</v>
      </c>
      <c r="H3951" s="700"/>
      <c r="I3951" s="700"/>
      <c r="J3951" s="700"/>
      <c r="K3951" s="700"/>
      <c r="L3951" s="700"/>
      <c r="M3951" s="744"/>
      <c r="N3951" s="700"/>
      <c r="O3951" s="553" t="s">
        <v>279</v>
      </c>
      <c r="P3951" s="73" t="s">
        <v>88</v>
      </c>
      <c r="Q3951" s="555" t="s">
        <v>76</v>
      </c>
      <c r="R3951" s="734"/>
      <c r="S3951" s="735"/>
      <c r="T3951" s="736"/>
      <c r="U3951" s="712"/>
      <c r="W3951" s="429" t="s">
        <v>269</v>
      </c>
      <c r="X3951" s="457" t="s">
        <v>278</v>
      </c>
      <c r="Y3951" s="430" t="s">
        <v>324</v>
      </c>
      <c r="Z3951" s="428"/>
      <c r="AA3951" s="698"/>
      <c r="AB3951" s="696"/>
      <c r="AC3951" s="49"/>
      <c r="AD3951" s="429" t="s">
        <v>292</v>
      </c>
      <c r="AE3951" s="431" t="s">
        <v>300</v>
      </c>
      <c r="AF3951" s="468" t="s">
        <v>301</v>
      </c>
      <c r="AG3951" s="49"/>
      <c r="AH3951" s="87"/>
      <c r="AI3951" s="87"/>
    </row>
    <row r="3952" spans="1:35" hidden="1">
      <c r="A3952" s="44"/>
      <c r="B3952" s="76"/>
      <c r="C3952" s="77"/>
      <c r="D3952" s="77"/>
      <c r="E3952" s="77"/>
      <c r="F3952" s="77"/>
      <c r="G3952" s="77"/>
      <c r="H3952" s="77"/>
      <c r="I3952" s="77"/>
      <c r="J3952" s="77"/>
      <c r="K3952" s="77"/>
      <c r="L3952" s="77"/>
      <c r="M3952" s="77"/>
      <c r="N3952" s="77"/>
      <c r="O3952" s="77"/>
      <c r="P3952" s="77"/>
      <c r="Q3952" s="77"/>
      <c r="R3952" s="77"/>
      <c r="S3952" s="78"/>
      <c r="T3952" s="79"/>
      <c r="U3952" s="109"/>
      <c r="V3952" s="49"/>
      <c r="W3952" s="432"/>
      <c r="X3952" s="454"/>
      <c r="Y3952" s="433"/>
      <c r="Z3952" s="6"/>
      <c r="AA3952" s="500"/>
      <c r="AB3952" s="562"/>
      <c r="AC3952" s="49"/>
      <c r="AD3952" s="210"/>
      <c r="AE3952" s="434"/>
      <c r="AF3952" s="435"/>
      <c r="AG3952" s="49"/>
      <c r="AH3952" s="87"/>
      <c r="AI3952" s="87"/>
    </row>
    <row r="3953" spans="1:35" hidden="1">
      <c r="A3953" s="80" t="e">
        <f>"A"&amp;E3949</f>
        <v>#N/A</v>
      </c>
      <c r="B3953" s="81">
        <v>1</v>
      </c>
      <c r="C3953" s="82"/>
      <c r="D3953" s="82"/>
      <c r="E3953" s="82"/>
      <c r="F3953" s="82"/>
      <c r="G3953" s="83"/>
      <c r="H3953" s="83"/>
      <c r="I3953" s="84"/>
      <c r="J3953" s="85"/>
      <c r="K3953" s="382"/>
      <c r="L3953" s="85"/>
      <c r="M3953" s="332" t="str">
        <f t="shared" ref="M3953:M3962" si="1168">IF(OR(J3953="",L3953="",H3953="NO"),"",IF(OR(J3953&gt;$P$17,J3953&lt;$O$17,L3953&gt;$P$17,AND(J3953&lt;$O$17,L3953&lt;$O$17)),"FUERA DE RANGO",IF(OR(K3953="---",K3953=""),IF(J3953&gt;=$O$17,ROUND((L3953-J3953+1)/360*12,3),ROUND((L3953-$O$17+1)/360*12,3)),IF(J3953&gt;=$O$17,ROUND((L3953-J3953+1)/360*12-ROUND(K3953,3),3),ROUND((L3953-$O$17+1)/360*12-ROUND(K3953,3),3)))))</f>
        <v/>
      </c>
      <c r="N3953" s="86"/>
      <c r="O3953" s="453" t="str">
        <f>IF(OR(G3953="",N3953=""),"",N3953*G3953)</f>
        <v/>
      </c>
      <c r="P3953" s="538" t="str">
        <f>IF(OR(H3953="",M3953="FUERA DE RANGO"),"",IF(OR(L3953&lt;$O$17,L3953&gt;$P$17,L3953="",H3953="NO"),"",IF(OR(N3953="",O3953=""),"",ROUND(O3953,3))))</f>
        <v/>
      </c>
      <c r="Q3953" s="539" t="str">
        <f t="shared" ref="Q3953:Q3962" si="1169">IF(AND(H3953="SI",P3953&lt;&gt;""),ROUND(P3953/M3953,3),"")</f>
        <v/>
      </c>
      <c r="R3953" s="737"/>
      <c r="S3953" s="738"/>
      <c r="T3953" s="739"/>
      <c r="U3953" s="470"/>
      <c r="V3953" s="165"/>
      <c r="W3953" s="446"/>
      <c r="X3953" s="456"/>
      <c r="Y3953" s="436"/>
      <c r="Z3953" s="437"/>
      <c r="AA3953" s="560"/>
      <c r="AB3953" s="561"/>
      <c r="AC3953" s="87"/>
      <c r="AD3953" s="466"/>
      <c r="AE3953" s="456"/>
      <c r="AF3953" s="467"/>
      <c r="AG3953" s="87"/>
      <c r="AH3953" s="87"/>
      <c r="AI3953" s="87"/>
    </row>
    <row r="3954" spans="1:35" hidden="1">
      <c r="A3954" s="80" t="e">
        <f>"B"&amp;E3949</f>
        <v>#N/A</v>
      </c>
      <c r="B3954" s="81">
        <v>2</v>
      </c>
      <c r="C3954" s="106"/>
      <c r="D3954" s="106"/>
      <c r="E3954" s="106"/>
      <c r="F3954" s="106"/>
      <c r="G3954" s="83"/>
      <c r="H3954" s="83"/>
      <c r="I3954" s="84"/>
      <c r="J3954" s="85"/>
      <c r="K3954" s="382"/>
      <c r="L3954" s="85"/>
      <c r="M3954" s="332" t="str">
        <f t="shared" si="1168"/>
        <v/>
      </c>
      <c r="N3954" s="86"/>
      <c r="O3954" s="453" t="str">
        <f t="shared" ref="O3954:O3962" si="1170">IF(OR(G3954="",N3954=""),"",N3954*G3954)</f>
        <v/>
      </c>
      <c r="P3954" s="538" t="str">
        <f t="shared" ref="P3954:P3962" si="1171">IF(OR(H3954="",M3954="FUERA DE RANGO"),"",IF(OR(L3954&lt;$O$17,L3954&gt;$P$17,L3954="",H3954="NO"),"",IF(OR(N3954="",O3954=""),"",ROUND(O3954,3))))</f>
        <v/>
      </c>
      <c r="Q3954" s="539" t="str">
        <f t="shared" si="1169"/>
        <v/>
      </c>
      <c r="R3954" s="740"/>
      <c r="S3954" s="741"/>
      <c r="T3954" s="742"/>
      <c r="U3954" s="471"/>
      <c r="V3954" s="165"/>
      <c r="W3954" s="446"/>
      <c r="X3954" s="456"/>
      <c r="Y3954" s="436"/>
      <c r="Z3954" s="437"/>
      <c r="AA3954" s="560"/>
      <c r="AB3954" s="561"/>
      <c r="AC3954" s="87"/>
      <c r="AD3954" s="466"/>
      <c r="AE3954" s="456"/>
      <c r="AF3954" s="467"/>
      <c r="AG3954" s="87"/>
      <c r="AH3954" s="87"/>
      <c r="AI3954" s="87"/>
    </row>
    <row r="3955" spans="1:35" hidden="1">
      <c r="A3955" s="80" t="e">
        <f>"C"&amp;E3949</f>
        <v>#N/A</v>
      </c>
      <c r="B3955" s="88">
        <v>3</v>
      </c>
      <c r="C3955" s="82"/>
      <c r="D3955" s="82"/>
      <c r="E3955" s="82"/>
      <c r="F3955" s="82"/>
      <c r="G3955" s="83"/>
      <c r="H3955" s="83"/>
      <c r="I3955" s="84"/>
      <c r="J3955" s="85"/>
      <c r="K3955" s="382"/>
      <c r="L3955" s="85"/>
      <c r="M3955" s="332" t="str">
        <f t="shared" si="1168"/>
        <v/>
      </c>
      <c r="N3955" s="86"/>
      <c r="O3955" s="453" t="str">
        <f t="shared" si="1170"/>
        <v/>
      </c>
      <c r="P3955" s="538" t="str">
        <f t="shared" si="1171"/>
        <v/>
      </c>
      <c r="Q3955" s="539" t="str">
        <f t="shared" si="1169"/>
        <v/>
      </c>
      <c r="R3955" s="706"/>
      <c r="S3955" s="707"/>
      <c r="T3955" s="708"/>
      <c r="U3955" s="472"/>
      <c r="V3955" s="166"/>
      <c r="W3955" s="446"/>
      <c r="X3955" s="456"/>
      <c r="Y3955" s="436"/>
      <c r="Z3955" s="437"/>
      <c r="AA3955" s="560"/>
      <c r="AB3955" s="561"/>
      <c r="AC3955" s="87"/>
      <c r="AD3955" s="466"/>
      <c r="AE3955" s="456"/>
      <c r="AF3955" s="467"/>
      <c r="AG3955" s="87"/>
      <c r="AH3955" s="87"/>
      <c r="AI3955" s="87"/>
    </row>
    <row r="3956" spans="1:35" hidden="1">
      <c r="A3956" s="80" t="e">
        <f>"D"&amp;E3949</f>
        <v>#N/A</v>
      </c>
      <c r="B3956" s="105">
        <v>4</v>
      </c>
      <c r="C3956" s="107"/>
      <c r="D3956" s="107"/>
      <c r="E3956" s="107"/>
      <c r="F3956" s="107"/>
      <c r="G3956" s="83"/>
      <c r="H3956" s="83"/>
      <c r="I3956" s="84"/>
      <c r="J3956" s="85"/>
      <c r="K3956" s="382"/>
      <c r="L3956" s="85"/>
      <c r="M3956" s="332" t="str">
        <f t="shared" si="1168"/>
        <v/>
      </c>
      <c r="N3956" s="86"/>
      <c r="O3956" s="453" t="str">
        <f t="shared" si="1170"/>
        <v/>
      </c>
      <c r="P3956" s="538" t="str">
        <f t="shared" si="1171"/>
        <v/>
      </c>
      <c r="Q3956" s="539" t="str">
        <f t="shared" si="1169"/>
        <v/>
      </c>
      <c r="R3956" s="706"/>
      <c r="S3956" s="707"/>
      <c r="T3956" s="708"/>
      <c r="U3956" s="472"/>
      <c r="V3956" s="166"/>
      <c r="W3956" s="446"/>
      <c r="X3956" s="456"/>
      <c r="Y3956" s="436"/>
      <c r="Z3956" s="437"/>
      <c r="AA3956" s="560"/>
      <c r="AB3956" s="561"/>
      <c r="AC3956" s="87"/>
      <c r="AD3956" s="466"/>
      <c r="AE3956" s="456"/>
      <c r="AF3956" s="467"/>
      <c r="AG3956" s="87"/>
      <c r="AH3956" s="87"/>
      <c r="AI3956" s="87"/>
    </row>
    <row r="3957" spans="1:35" hidden="1">
      <c r="A3957" s="80" t="e">
        <f>"E"&amp;E3949</f>
        <v>#N/A</v>
      </c>
      <c r="B3957" s="105">
        <v>5</v>
      </c>
      <c r="C3957" s="107"/>
      <c r="D3957" s="107"/>
      <c r="E3957" s="107"/>
      <c r="F3957" s="107"/>
      <c r="G3957" s="83"/>
      <c r="H3957" s="83"/>
      <c r="I3957" s="84"/>
      <c r="J3957" s="85"/>
      <c r="K3957" s="382"/>
      <c r="L3957" s="85"/>
      <c r="M3957" s="332" t="str">
        <f t="shared" si="1168"/>
        <v/>
      </c>
      <c r="N3957" s="86"/>
      <c r="O3957" s="453" t="str">
        <f t="shared" si="1170"/>
        <v/>
      </c>
      <c r="P3957" s="538" t="str">
        <f t="shared" si="1171"/>
        <v/>
      </c>
      <c r="Q3957" s="539" t="str">
        <f t="shared" si="1169"/>
        <v/>
      </c>
      <c r="R3957" s="706"/>
      <c r="S3957" s="707"/>
      <c r="T3957" s="708"/>
      <c r="U3957" s="472"/>
      <c r="V3957" s="167"/>
      <c r="W3957" s="446"/>
      <c r="X3957" s="456"/>
      <c r="Y3957" s="436"/>
      <c r="Z3957" s="437"/>
      <c r="AA3957" s="560"/>
      <c r="AB3957" s="561"/>
      <c r="AC3957" s="87"/>
      <c r="AD3957" s="466"/>
      <c r="AE3957" s="456"/>
      <c r="AF3957" s="467"/>
      <c r="AG3957" s="87"/>
      <c r="AH3957" s="87"/>
      <c r="AI3957" s="87"/>
    </row>
    <row r="3958" spans="1:35" hidden="1">
      <c r="A3958" s="80" t="e">
        <f>"F"&amp;E3949</f>
        <v>#N/A</v>
      </c>
      <c r="B3958" s="105">
        <v>6</v>
      </c>
      <c r="C3958" s="107"/>
      <c r="D3958" s="107"/>
      <c r="E3958" s="107"/>
      <c r="F3958" s="107"/>
      <c r="G3958" s="83"/>
      <c r="H3958" s="83"/>
      <c r="I3958" s="84"/>
      <c r="J3958" s="85"/>
      <c r="K3958" s="382"/>
      <c r="L3958" s="85"/>
      <c r="M3958" s="332" t="str">
        <f t="shared" si="1168"/>
        <v/>
      </c>
      <c r="N3958" s="86"/>
      <c r="O3958" s="453" t="str">
        <f t="shared" si="1170"/>
        <v/>
      </c>
      <c r="P3958" s="538" t="str">
        <f t="shared" si="1171"/>
        <v/>
      </c>
      <c r="Q3958" s="539" t="str">
        <f t="shared" si="1169"/>
        <v/>
      </c>
      <c r="R3958" s="706"/>
      <c r="S3958" s="707"/>
      <c r="T3958" s="708"/>
      <c r="U3958" s="472"/>
      <c r="V3958" s="167"/>
      <c r="W3958" s="446"/>
      <c r="X3958" s="456"/>
      <c r="Y3958" s="436"/>
      <c r="Z3958" s="437"/>
      <c r="AA3958" s="560"/>
      <c r="AB3958" s="561"/>
      <c r="AC3958" s="87"/>
      <c r="AD3958" s="466"/>
      <c r="AE3958" s="456"/>
      <c r="AF3958" s="467"/>
      <c r="AG3958" s="87"/>
      <c r="AH3958" s="87"/>
      <c r="AI3958" s="87"/>
    </row>
    <row r="3959" spans="1:35" hidden="1">
      <c r="A3959" s="80" t="e">
        <f>"G"&amp;E3949</f>
        <v>#N/A</v>
      </c>
      <c r="B3959" s="105">
        <v>7</v>
      </c>
      <c r="C3959" s="107"/>
      <c r="D3959" s="107"/>
      <c r="E3959" s="107"/>
      <c r="F3959" s="107"/>
      <c r="G3959" s="83"/>
      <c r="H3959" s="83"/>
      <c r="I3959" s="84"/>
      <c r="J3959" s="85"/>
      <c r="K3959" s="382"/>
      <c r="L3959" s="85"/>
      <c r="M3959" s="332" t="str">
        <f t="shared" si="1168"/>
        <v/>
      </c>
      <c r="N3959" s="86"/>
      <c r="O3959" s="86" t="str">
        <f t="shared" si="1170"/>
        <v/>
      </c>
      <c r="P3959" s="538" t="str">
        <f t="shared" si="1171"/>
        <v/>
      </c>
      <c r="Q3959" s="539" t="str">
        <f t="shared" si="1169"/>
        <v/>
      </c>
      <c r="R3959" s="706"/>
      <c r="S3959" s="707"/>
      <c r="T3959" s="708"/>
      <c r="U3959" s="472"/>
      <c r="V3959" s="167"/>
      <c r="W3959" s="446"/>
      <c r="X3959" s="456"/>
      <c r="Y3959" s="436"/>
      <c r="Z3959" s="437"/>
      <c r="AA3959" s="560"/>
      <c r="AB3959" s="561"/>
      <c r="AC3959" s="87"/>
      <c r="AD3959" s="466"/>
      <c r="AE3959" s="456"/>
      <c r="AF3959" s="467"/>
      <c r="AG3959" s="87"/>
      <c r="AH3959" s="87"/>
      <c r="AI3959" s="87"/>
    </row>
    <row r="3960" spans="1:35" hidden="1">
      <c r="A3960" s="80" t="e">
        <f>"H"&amp;E3949</f>
        <v>#N/A</v>
      </c>
      <c r="B3960" s="105">
        <v>8</v>
      </c>
      <c r="C3960" s="107"/>
      <c r="D3960" s="107"/>
      <c r="E3960" s="107"/>
      <c r="F3960" s="107"/>
      <c r="G3960" s="83"/>
      <c r="H3960" s="83"/>
      <c r="I3960" s="84"/>
      <c r="J3960" s="85"/>
      <c r="K3960" s="382"/>
      <c r="L3960" s="85"/>
      <c r="M3960" s="332" t="str">
        <f t="shared" si="1168"/>
        <v/>
      </c>
      <c r="N3960" s="453"/>
      <c r="O3960" s="86" t="str">
        <f t="shared" si="1170"/>
        <v/>
      </c>
      <c r="P3960" s="538" t="str">
        <f t="shared" si="1171"/>
        <v/>
      </c>
      <c r="Q3960" s="539" t="str">
        <f t="shared" si="1169"/>
        <v/>
      </c>
      <c r="R3960" s="706"/>
      <c r="S3960" s="707"/>
      <c r="T3960" s="708"/>
      <c r="U3960" s="472"/>
      <c r="V3960" s="167"/>
      <c r="W3960" s="446"/>
      <c r="X3960" s="456"/>
      <c r="Y3960" s="436"/>
      <c r="Z3960" s="437"/>
      <c r="AA3960" s="560"/>
      <c r="AB3960" s="561"/>
      <c r="AC3960" s="87"/>
      <c r="AD3960" s="466"/>
      <c r="AE3960" s="456"/>
      <c r="AF3960" s="467"/>
      <c r="AG3960" s="87"/>
      <c r="AH3960" s="87"/>
      <c r="AI3960" s="87"/>
    </row>
    <row r="3961" spans="1:35" hidden="1">
      <c r="A3961" s="80" t="e">
        <f>"I"&amp;E3949</f>
        <v>#N/A</v>
      </c>
      <c r="B3961" s="105">
        <v>9</v>
      </c>
      <c r="C3961" s="107"/>
      <c r="D3961" s="107"/>
      <c r="E3961" s="107"/>
      <c r="F3961" s="107"/>
      <c r="G3961" s="83"/>
      <c r="H3961" s="83"/>
      <c r="I3961" s="84"/>
      <c r="J3961" s="85"/>
      <c r="K3961" s="382"/>
      <c r="L3961" s="85"/>
      <c r="M3961" s="332" t="str">
        <f t="shared" si="1168"/>
        <v/>
      </c>
      <c r="N3961" s="453"/>
      <c r="O3961" s="86" t="str">
        <f t="shared" si="1170"/>
        <v/>
      </c>
      <c r="P3961" s="538" t="str">
        <f t="shared" si="1171"/>
        <v/>
      </c>
      <c r="Q3961" s="539" t="str">
        <f t="shared" si="1169"/>
        <v/>
      </c>
      <c r="R3961" s="706"/>
      <c r="S3961" s="707"/>
      <c r="T3961" s="708"/>
      <c r="U3961" s="472"/>
      <c r="V3961" s="167"/>
      <c r="W3961" s="446"/>
      <c r="X3961" s="456"/>
      <c r="Y3961" s="436"/>
      <c r="Z3961" s="437"/>
      <c r="AA3961" s="560"/>
      <c r="AB3961" s="561"/>
      <c r="AC3961" s="87"/>
      <c r="AD3961" s="466"/>
      <c r="AE3961" s="456"/>
      <c r="AF3961" s="467"/>
      <c r="AG3961" s="87"/>
      <c r="AH3961" s="87"/>
      <c r="AI3961" s="87"/>
    </row>
    <row r="3962" spans="1:35" hidden="1">
      <c r="A3962" s="80" t="e">
        <f>"J"&amp;E3949</f>
        <v>#N/A</v>
      </c>
      <c r="B3962" s="105">
        <v>10</v>
      </c>
      <c r="C3962" s="107"/>
      <c r="D3962" s="107"/>
      <c r="E3962" s="107"/>
      <c r="F3962" s="107"/>
      <c r="G3962" s="83"/>
      <c r="H3962" s="83"/>
      <c r="I3962" s="84"/>
      <c r="J3962" s="85"/>
      <c r="K3962" s="382"/>
      <c r="L3962" s="85"/>
      <c r="M3962" s="332" t="str">
        <f t="shared" si="1168"/>
        <v/>
      </c>
      <c r="N3962" s="453"/>
      <c r="O3962" s="86" t="str">
        <f t="shared" si="1170"/>
        <v/>
      </c>
      <c r="P3962" s="538" t="str">
        <f t="shared" si="1171"/>
        <v/>
      </c>
      <c r="Q3962" s="539" t="str">
        <f t="shared" si="1169"/>
        <v/>
      </c>
      <c r="R3962" s="706"/>
      <c r="S3962" s="707"/>
      <c r="T3962" s="708"/>
      <c r="U3962" s="472"/>
      <c r="V3962" s="167"/>
      <c r="W3962" s="446"/>
      <c r="X3962" s="456"/>
      <c r="Y3962" s="436"/>
      <c r="Z3962" s="437"/>
      <c r="AA3962" s="560"/>
      <c r="AB3962" s="561"/>
      <c r="AC3962" s="87"/>
      <c r="AD3962" s="466"/>
      <c r="AE3962" s="456"/>
      <c r="AF3962" s="467"/>
      <c r="AG3962" s="87"/>
      <c r="AH3962" s="87"/>
      <c r="AI3962" s="87"/>
    </row>
    <row r="3963" spans="1:35" ht="16.5" hidden="1" thickBot="1">
      <c r="A3963" s="44"/>
      <c r="B3963" s="89"/>
      <c r="C3963" s="90"/>
      <c r="D3963" s="90"/>
      <c r="E3963" s="90"/>
      <c r="F3963" s="90"/>
      <c r="G3963" s="90"/>
      <c r="H3963" s="90"/>
      <c r="I3963" s="90"/>
      <c r="J3963" s="90"/>
      <c r="K3963" s="90"/>
      <c r="L3963" s="90"/>
      <c r="M3963" s="90"/>
      <c r="N3963" s="90"/>
      <c r="O3963" s="90"/>
      <c r="P3963" s="90"/>
      <c r="Q3963" s="90"/>
      <c r="R3963" s="90"/>
      <c r="S3963" s="91"/>
      <c r="T3963" s="92"/>
      <c r="U3963" s="473"/>
      <c r="W3963" s="438"/>
      <c r="X3963" s="455"/>
      <c r="Y3963" s="439"/>
      <c r="Z3963" s="437"/>
      <c r="AA3963" s="530"/>
      <c r="AB3963" s="563"/>
      <c r="AC3963" s="87"/>
      <c r="AD3963" s="440"/>
      <c r="AE3963" s="441"/>
      <c r="AF3963" s="442"/>
      <c r="AG3963" s="49"/>
      <c r="AH3963" s="87"/>
      <c r="AI3963" s="87"/>
    </row>
    <row r="3964" spans="1:35" ht="16.5" hidden="1" thickBot="1">
      <c r="A3964" s="93"/>
      <c r="B3964" s="94"/>
      <c r="C3964" s="96"/>
      <c r="D3964" s="96"/>
      <c r="E3964" s="96"/>
      <c r="F3964" s="96"/>
      <c r="G3964" s="96"/>
      <c r="H3964" s="96"/>
      <c r="I3964" s="96"/>
      <c r="J3964" s="96"/>
      <c r="K3964" s="96"/>
      <c r="L3964" s="96"/>
      <c r="M3964" s="136"/>
      <c r="N3964" s="96"/>
      <c r="O3964" s="96"/>
      <c r="P3964" s="97"/>
      <c r="Q3964" s="97"/>
      <c r="R3964" s="98"/>
      <c r="S3964" s="95"/>
      <c r="T3964" s="99"/>
      <c r="U3964" s="469"/>
      <c r="AC3964" s="58"/>
      <c r="AG3964" s="58"/>
      <c r="AH3964" s="87"/>
      <c r="AI3964" s="87"/>
    </row>
    <row r="3965" spans="1:35" ht="16.5" hidden="1" thickBot="1">
      <c r="B3965" s="101"/>
      <c r="C3965" s="101"/>
      <c r="D3965" s="101"/>
      <c r="E3965" s="101"/>
      <c r="F3965" s="101"/>
      <c r="G3965" s="101"/>
      <c r="H3965" s="101"/>
      <c r="I3965" s="101"/>
      <c r="J3965" s="101"/>
      <c r="K3965" s="101"/>
      <c r="L3965" s="101"/>
      <c r="M3965" s="101"/>
      <c r="N3965" s="101"/>
      <c r="O3965" s="101"/>
      <c r="P3965" s="101"/>
      <c r="Q3965" s="101"/>
      <c r="R3965" s="101"/>
      <c r="S3965" s="101"/>
      <c r="U3965" s="50"/>
      <c r="AH3965" s="87"/>
      <c r="AI3965" s="87"/>
    </row>
    <row r="3966" spans="1:35" ht="16.5" hidden="1" customHeight="1" thickBot="1">
      <c r="A3966" s="44"/>
      <c r="B3966" s="705" t="s">
        <v>74</v>
      </c>
      <c r="C3966" s="705"/>
      <c r="D3966" s="705"/>
      <c r="E3966" s="705"/>
      <c r="F3966" s="705"/>
      <c r="G3966" s="705"/>
      <c r="H3966" s="705"/>
      <c r="I3966" s="705"/>
      <c r="J3966" s="705"/>
      <c r="K3966" s="705"/>
      <c r="L3966" s="705"/>
      <c r="M3966" s="705"/>
      <c r="N3966" s="705"/>
      <c r="O3966" s="705"/>
      <c r="P3966" s="705"/>
      <c r="Q3966" s="705"/>
      <c r="R3966" s="705"/>
      <c r="S3966" s="705"/>
      <c r="T3966" s="705"/>
      <c r="U3966" s="108"/>
      <c r="Y3966" s="532" t="s">
        <v>341</v>
      </c>
      <c r="AC3966" s="49"/>
      <c r="AD3966" s="687" t="s">
        <v>302</v>
      </c>
      <c r="AE3966" s="688"/>
      <c r="AF3966" s="689"/>
      <c r="AG3966" s="49"/>
      <c r="AH3966" s="87"/>
      <c r="AI3966" s="87"/>
    </row>
    <row r="3967" spans="1:35" ht="16.5" hidden="1" customHeight="1" thickBot="1">
      <c r="A3967" s="218" t="e">
        <f>"K"&amp;E3949</f>
        <v>#N/A</v>
      </c>
      <c r="B3967" s="701" t="s">
        <v>71</v>
      </c>
      <c r="C3967" s="751" t="s">
        <v>102</v>
      </c>
      <c r="D3967" s="751"/>
      <c r="E3967" s="751"/>
      <c r="F3967" s="751"/>
      <c r="G3967" s="751"/>
      <c r="H3967" s="751"/>
      <c r="I3967" s="751"/>
      <c r="J3967" s="751"/>
      <c r="K3967" s="751"/>
      <c r="L3967" s="722" t="s">
        <v>100</v>
      </c>
      <c r="M3967" s="747" t="s">
        <v>114</v>
      </c>
      <c r="N3967" s="747"/>
      <c r="O3967" s="747"/>
      <c r="P3967" s="747"/>
      <c r="Q3967" s="748"/>
      <c r="R3967" s="758" t="s">
        <v>280</v>
      </c>
      <c r="S3967" s="748"/>
      <c r="T3967" s="762" t="str">
        <f>IF(COUNTIF(AE3967:AF3967,"VERIFICAR")&gt;0,"VERIFICAR",IF(COUNTIF(AE3967:AF3967,"NO CUMPLE")&gt;0,"NO CUMPLE","CUMPLE"))</f>
        <v>VERIFICAR</v>
      </c>
      <c r="U3967" s="108"/>
      <c r="Y3967" s="533" t="e">
        <f>IF(F3968="","",IF(F3968=1,"INDIVIDUAL","ESTRUCTURA PLURAL"))</f>
        <v>#N/A</v>
      </c>
      <c r="AC3967" s="52"/>
      <c r="AD3967" s="475" t="s">
        <v>303</v>
      </c>
      <c r="AE3967" s="476" t="str">
        <f>IF(COUNTIF(AE3953:AE3962,"")=10,"VERIFICAR",IF(COUNTIF(AE3953:AE3962,"SI")&gt;0,"CUMPLE","NO CUMPLE"))</f>
        <v>VERIFICAR</v>
      </c>
      <c r="AF3967" s="477" t="str">
        <f>IF(COUNTIF(AF3953:AF3962,"")=10,"VERIFICAR",IF(COUNTIF(AF3953:AF3962,"SI")&gt;=$AI$22,"CUMPLE","NO CUMPLE"))</f>
        <v>VERIFICAR</v>
      </c>
      <c r="AG3967" s="52"/>
      <c r="AH3967" s="87"/>
      <c r="AI3967" s="87"/>
    </row>
    <row r="3968" spans="1:35" ht="15.75" hidden="1" customHeight="1" thickBot="1">
      <c r="A3968" s="218" t="e">
        <f>"L"&amp;E3949</f>
        <v>#N/A</v>
      </c>
      <c r="B3968" s="702"/>
      <c r="C3968" s="751" t="s">
        <v>103</v>
      </c>
      <c r="D3968" s="751"/>
      <c r="E3968" s="752"/>
      <c r="F3968" s="557" t="e">
        <f>IF(VLOOKUP(E3949,PROPONENTES!$C$19:$E$218,3,0)="","",VLOOKUP(E3949,PROPONENTES!$C$19:$E$218,3,0))</f>
        <v>#N/A</v>
      </c>
      <c r="G3968" s="753" t="s">
        <v>104</v>
      </c>
      <c r="H3968" s="751"/>
      <c r="I3968" s="715" t="e">
        <f>IF(OR(F3968="",F3968=1),"INTERESADO PERSONA NATURAL O JURIDICA","CONSORCIO O UNION TEMPORAL")</f>
        <v>#N/A</v>
      </c>
      <c r="J3968" s="725"/>
      <c r="K3968" s="728"/>
      <c r="L3968" s="723"/>
      <c r="M3968" s="749"/>
      <c r="N3968" s="749"/>
      <c r="O3968" s="749"/>
      <c r="P3968" s="749"/>
      <c r="Q3968" s="750"/>
      <c r="R3968" s="712"/>
      <c r="S3968" s="750"/>
      <c r="T3968" s="763"/>
      <c r="U3968" s="108"/>
      <c r="Y3968" s="534"/>
      <c r="AA3968" s="52"/>
      <c r="AB3968" s="52"/>
      <c r="AC3968" s="52"/>
      <c r="AG3968" s="52"/>
      <c r="AH3968" s="87"/>
      <c r="AI3968" s="87"/>
    </row>
    <row r="3969" spans="1:35" ht="56.25" hidden="1" customHeight="1" thickBot="1">
      <c r="A3969" s="218" t="e">
        <f>"M"&amp;E3949</f>
        <v>#N/A</v>
      </c>
      <c r="B3969" s="702"/>
      <c r="C3969" s="725" t="s">
        <v>101</v>
      </c>
      <c r="D3969" s="716"/>
      <c r="E3969" s="558" t="s">
        <v>105</v>
      </c>
      <c r="F3969" s="554" t="s">
        <v>87</v>
      </c>
      <c r="G3969" s="553" t="s">
        <v>86</v>
      </c>
      <c r="H3969" s="559" t="s">
        <v>85</v>
      </c>
      <c r="I3969" s="554" t="s">
        <v>252</v>
      </c>
      <c r="J3969" s="553" t="str">
        <f>"¿EL INTEGRANTE TIENE UNA PARTICIPACIÓN DEL "&amp;PORCREQUERIDOINT*100&amp;"%?"</f>
        <v>¿EL INTEGRANTE TIENE UNA PARTICIPACIÓN DEL 60%?</v>
      </c>
      <c r="K3969" s="554" t="s">
        <v>107</v>
      </c>
      <c r="L3969" s="724"/>
      <c r="M3969" s="717" t="s">
        <v>115</v>
      </c>
      <c r="N3969" s="718"/>
      <c r="O3969" s="718"/>
      <c r="P3969" s="718"/>
      <c r="Q3969" s="223">
        <f>IF(AND(H3953="SI",P3953&gt;=0),1,0)+IF(AND(H3954="SI",P3954&gt;=0),1,0)+IF(AND(H3955="SI",P3955&gt;=0),1,0)+IF(AND(H3956="SI",P3956&gt;=0),1,0)+IF(AND(H3957="SI",P3957&gt;=0),1,0)+IF(AND(H3958="SI",P3958&gt;=0),1,0)+IF(AND(H3959="SI",P3959&gt;=0),1,0)+IF(AND(H3960="SI",P3960&gt;=0),1,0)+IF(AND(H3961="SI",P3961&gt;=0),1,0)+IF(AND(H3962="SI",P3962&gt;=0),1,0)</f>
        <v>0</v>
      </c>
      <c r="R3969" s="759"/>
      <c r="S3969" s="761"/>
      <c r="T3969" s="764"/>
      <c r="U3969" s="219"/>
      <c r="V3969" s="464"/>
      <c r="Y3969" s="532" t="s">
        <v>342</v>
      </c>
      <c r="AA3969" s="550" t="s">
        <v>344</v>
      </c>
      <c r="AB3969" s="693" t="s">
        <v>345</v>
      </c>
      <c r="AC3969" s="693" t="s">
        <v>346</v>
      </c>
      <c r="AD3969" s="685" t="s">
        <v>347</v>
      </c>
      <c r="AE3969" s="52"/>
      <c r="AF3969" s="52"/>
      <c r="AG3969" s="52"/>
      <c r="AH3969" s="87"/>
      <c r="AI3969" s="87"/>
    </row>
    <row r="3970" spans="1:35" ht="15.75" hidden="1" customHeight="1" thickBot="1">
      <c r="A3970" s="218" t="e">
        <f>"N"&amp;E3949</f>
        <v>#N/A</v>
      </c>
      <c r="B3970" s="702"/>
      <c r="C3970" s="114">
        <v>1</v>
      </c>
      <c r="D3970" s="194" t="e">
        <f>IF(AND(C3970&lt;=F3968,F3968&gt;1,F3968&lt;&gt;""),VLOOKUP(VALUE(E3949&amp;","&amp;C3970),INTEGRANTES!$D$18:$F$235,2,0),"")</f>
        <v>#N/A</v>
      </c>
      <c r="E3970" s="211" t="e">
        <f>IF(D3970&lt;&gt;"",VLOOKUP(VALUE(E3949&amp;","&amp;C3970),INTEGRANTES!$D$18:$F$235,3,0),"")</f>
        <v>#N/A</v>
      </c>
      <c r="F3970" s="547" t="e">
        <f>IF(D3970="","",SUMIF($I3953:$I3962,D3970,$P3953:$P3962))</f>
        <v>#N/A</v>
      </c>
      <c r="G3970" s="333" t="e">
        <f>IF(D3970="","",SUMIF($I3953:$I3962,D3970,$M3953:$M3962))</f>
        <v>#N/A</v>
      </c>
      <c r="H3970" s="535" t="e">
        <f t="shared" ref="H3970:H3975" si="1172">IF(D3970="","",IF(OR(F3970=0,G3970=0),"NO APORTA",ROUND($F3970/$G3970,3)))</f>
        <v>#N/A</v>
      </c>
      <c r="I3970" s="212" t="e">
        <f>IF(D3970="","",IF(H3970="NO APORTA","NO",IF(H3970=MAX($H3970:$H3975),"SI","NO")))</f>
        <v>#N/A</v>
      </c>
      <c r="J3970" s="213" t="e">
        <f t="shared" ref="J3970:J3975" si="1173">IF(D3970="","",IF(E3970&gt;=PORCREQUERIDOINT,"SI","NO"))</f>
        <v>#N/A</v>
      </c>
      <c r="K3970" s="200" t="e">
        <f t="shared" ref="K3970:K3975" si="1174">IF(D3970="","",IF(AND(I3970="SI",J3970="SI"),"CUMPLE",IF(AND(I3970="NO",OR(J3970="SI",J3970="NO")),"","NO CUMPLE")))</f>
        <v>#N/A</v>
      </c>
      <c r="L3970" s="722" t="s">
        <v>108</v>
      </c>
      <c r="M3970" s="726" t="s">
        <v>119</v>
      </c>
      <c r="N3970" s="726"/>
      <c r="O3970" s="726"/>
      <c r="P3970" s="726"/>
      <c r="Q3970" s="727"/>
      <c r="R3970" s="758" t="s">
        <v>80</v>
      </c>
      <c r="S3970" s="747"/>
      <c r="T3970" s="748"/>
      <c r="U3970" s="219"/>
      <c r="V3970" s="464"/>
      <c r="Y3970" s="533" t="e">
        <f>IF(Y3967="","",IF(Y3967="INDIVIDUAL","NO APLICA","VERIFICAR CUADRO"))</f>
        <v>#N/A</v>
      </c>
      <c r="AA3970" s="551"/>
      <c r="AB3970" s="694"/>
      <c r="AC3970" s="694"/>
      <c r="AD3970" s="686"/>
      <c r="AE3970" s="52"/>
      <c r="AF3970" s="52"/>
      <c r="AG3970" s="52"/>
      <c r="AH3970" s="87"/>
      <c r="AI3970" s="87"/>
    </row>
    <row r="3971" spans="1:35" ht="27" hidden="1" customHeight="1" thickBot="1">
      <c r="A3971" s="218" t="e">
        <f>"O"&amp;E3949</f>
        <v>#N/A</v>
      </c>
      <c r="B3971" s="702"/>
      <c r="C3971" s="114">
        <v>2</v>
      </c>
      <c r="D3971" s="194" t="e">
        <f>IF(AND(C3971&lt;=F3968,F3968&lt;&gt;""),VLOOKUP(VALUE(E3949&amp;","&amp;C3971),INTEGRANTES!$D$18:$F$235,2,0),"")</f>
        <v>#N/A</v>
      </c>
      <c r="E3971" s="211" t="e">
        <f>IF(D3971&lt;&gt;"",VLOOKUP(VALUE(E3949&amp;","&amp;C3971),INTEGRANTES!$D$18:$F$235,3,0),"")</f>
        <v>#N/A</v>
      </c>
      <c r="F3971" s="547" t="e">
        <f>IF(D3971="","",SUMIF($I3953:$I3962,D3971,$P3953:$P3962))</f>
        <v>#N/A</v>
      </c>
      <c r="G3971" s="333" t="e">
        <f>IF(D3971="","",SUMIF($I3953:$I3962,D3971,$M3953:$M3962))</f>
        <v>#N/A</v>
      </c>
      <c r="H3971" s="535" t="e">
        <f t="shared" si="1172"/>
        <v>#N/A</v>
      </c>
      <c r="I3971" s="212" t="e">
        <f>IF(D3971="","",IF(H3971="NO APORTA","NO",IF(H3971=MAX($H3970:$H3975),"SI","NO")))</f>
        <v>#N/A</v>
      </c>
      <c r="J3971" s="213" t="e">
        <f t="shared" si="1173"/>
        <v>#N/A</v>
      </c>
      <c r="K3971" s="200" t="e">
        <f t="shared" si="1174"/>
        <v>#N/A</v>
      </c>
      <c r="L3971" s="723"/>
      <c r="M3971" s="715" t="s">
        <v>116</v>
      </c>
      <c r="N3971" s="716"/>
      <c r="O3971" s="556" t="s">
        <v>113</v>
      </c>
      <c r="P3971" s="715" t="s">
        <v>117</v>
      </c>
      <c r="Q3971" s="728"/>
      <c r="R3971" s="759"/>
      <c r="S3971" s="760"/>
      <c r="T3971" s="761"/>
      <c r="U3971" s="219"/>
      <c r="V3971" s="464"/>
      <c r="Y3971" s="414"/>
      <c r="AA3971" s="542" t="e">
        <f>IF(AND(C3970&lt;=F3968,F3968&gt;1,F3968&lt;&gt;""),VLOOKUP(VALUE(E3949&amp;","&amp;C3970),INTEGRANTES!$D$18:$F$235,2,0),"")</f>
        <v>#N/A</v>
      </c>
      <c r="AB3971" s="544" t="e">
        <f t="shared" ref="AB3971:AB3976" si="1175">IF(D3970="","",IF(OR(F3970=0,G3970=0),"NO APORTA",ROUND($F3970/$G3970,3)))</f>
        <v>#N/A</v>
      </c>
      <c r="AC3971" s="529"/>
      <c r="AD3971" s="200" t="e">
        <f t="shared" ref="AD3971:AD3976" si="1176">IF(OR(AA3971="",AB3971=""),"",IF(AND(AC3971="X",AB3971&gt;=EXPREQVTD),"CUMPLE","NO CUMPLE"))</f>
        <v>#N/A</v>
      </c>
      <c r="AE3971" s="52"/>
      <c r="AF3971" s="52"/>
      <c r="AG3971" s="52"/>
      <c r="AH3971" s="87"/>
      <c r="AI3971" s="87"/>
    </row>
    <row r="3972" spans="1:35" ht="16.5" hidden="1" thickBot="1">
      <c r="A3972" s="218" t="e">
        <f>"P"&amp;E3949</f>
        <v>#N/A</v>
      </c>
      <c r="B3972" s="702"/>
      <c r="C3972" s="114">
        <v>3</v>
      </c>
      <c r="D3972" s="194" t="e">
        <f>IF(AND(C3972&lt;=F3968,F3968&lt;&gt;""),VLOOKUP(VALUE(E3949&amp;","&amp;C3972),INTEGRANTES!$D$18:$F$235,2,0),"")</f>
        <v>#N/A</v>
      </c>
      <c r="E3972" s="211" t="e">
        <f>IF(D3972&lt;&gt;"",VLOOKUP(VALUE(E3949&amp;","&amp;C3972),INTEGRANTES!$D$18:$F$235,3,0),"")</f>
        <v>#N/A</v>
      </c>
      <c r="F3972" s="547" t="e">
        <f>IF(D3972="","",SUMIF($I3953:$I3962,D3972,$P3953:$P3962))</f>
        <v>#N/A</v>
      </c>
      <c r="G3972" s="333" t="e">
        <f>IF(D3972="","",SUMIF($I3953:$I3962,D3972,$M3953:$M3962))</f>
        <v>#N/A</v>
      </c>
      <c r="H3972" s="535" t="e">
        <f t="shared" si="1172"/>
        <v>#N/A</v>
      </c>
      <c r="I3972" s="212" t="e">
        <f>IF(D3972="","",IF(H3972="NO APORTA","NO",IF(H3972=MAX($H3970:$H3975),"SI","NO")))</f>
        <v>#N/A</v>
      </c>
      <c r="J3972" s="213" t="e">
        <f t="shared" si="1173"/>
        <v>#N/A</v>
      </c>
      <c r="K3972" s="200" t="e">
        <f t="shared" si="1174"/>
        <v>#N/A</v>
      </c>
      <c r="L3972" s="724"/>
      <c r="M3972" s="729">
        <f>NUMMOD</f>
        <v>1</v>
      </c>
      <c r="N3972" s="730"/>
      <c r="O3972" s="443">
        <f>IF(M3972="","",VLOOKUP(M3972,PRESUPUESTOS!$B$16:$H$16,5,FALSE))</f>
        <v>2</v>
      </c>
      <c r="P3972" s="713">
        <f>IF(OR(COUNTIF(M3953:M3962,"")&gt;=10,Q3969&lt;NUMMINCONT,OR(T3967="NO CUMPLE",T3967="VERIFICAR")),0,ROUND(AVERAGE(M3953:M3962),3))</f>
        <v>0</v>
      </c>
      <c r="Q3972" s="714"/>
      <c r="R3972" s="458"/>
      <c r="S3972" s="459"/>
      <c r="T3972" s="460"/>
      <c r="U3972" s="219"/>
      <c r="V3972" s="464"/>
      <c r="Y3972" s="532" t="str">
        <f>"40% * ("&amp;PRESUPUESTOS!$H$13&amp;")"</f>
        <v>40% * (50% PFMO)</v>
      </c>
      <c r="AA3972" s="540" t="e">
        <f>IF(AND(C3971&lt;=F3968,F3968&lt;&gt;""),VLOOKUP(VALUE(E3949&amp;","&amp;C3971),INTEGRANTES!$D$18:$F$235,2,0),"")</f>
        <v>#N/A</v>
      </c>
      <c r="AB3972" s="545" t="e">
        <f t="shared" si="1175"/>
        <v>#N/A</v>
      </c>
      <c r="AC3972" s="529"/>
      <c r="AD3972" s="200" t="e">
        <f t="shared" si="1176"/>
        <v>#N/A</v>
      </c>
      <c r="AE3972" s="52"/>
      <c r="AF3972" s="52"/>
      <c r="AG3972" s="52"/>
      <c r="AH3972" s="87"/>
      <c r="AI3972" s="87"/>
    </row>
    <row r="3973" spans="1:35" ht="15.75" hidden="1" customHeight="1" thickBot="1">
      <c r="A3973" s="218" t="e">
        <f>"Q"&amp;E3949</f>
        <v>#N/A</v>
      </c>
      <c r="B3973" s="702"/>
      <c r="C3973" s="114">
        <v>4</v>
      </c>
      <c r="D3973" s="194" t="e">
        <f>IF(AND(C3973&lt;=F3968,F3968&lt;&gt;""),VLOOKUP(VALUE(E3949&amp;","&amp;C3973),INTEGRANTES!$D$18:$F$235,2,0),"")</f>
        <v>#N/A</v>
      </c>
      <c r="E3973" s="211" t="e">
        <f>IF(D3973&lt;&gt;"",VLOOKUP(VALUE(E3949&amp;","&amp;C3973),INTEGRANTES!$D$18:$F$235,3,0),"")</f>
        <v>#N/A</v>
      </c>
      <c r="F3973" s="547" t="e">
        <f>IF(D3973="","",SUMIF($I3953:$I3962,D3973,$P3953:$P3962))</f>
        <v>#N/A</v>
      </c>
      <c r="G3973" s="333" t="e">
        <f>IF(D3973="","",SUMIF($I3953:$I3962,D3973,$M3953:$M3962))</f>
        <v>#N/A</v>
      </c>
      <c r="H3973" s="535" t="e">
        <f t="shared" si="1172"/>
        <v>#N/A</v>
      </c>
      <c r="I3973" s="212" t="e">
        <f>IF(D3973="","",IF(H3973="NO APORTA","NO",IF(H3973=MAX($H3970:$H3975),"SI","NO")))</f>
        <v>#N/A</v>
      </c>
      <c r="J3973" s="213" t="e">
        <f t="shared" si="1173"/>
        <v>#N/A</v>
      </c>
      <c r="K3973" s="200" t="e">
        <f t="shared" si="1174"/>
        <v>#N/A</v>
      </c>
      <c r="L3973" s="720" t="s">
        <v>109</v>
      </c>
      <c r="M3973" s="757" t="s">
        <v>120</v>
      </c>
      <c r="N3973" s="726"/>
      <c r="O3973" s="726"/>
      <c r="P3973" s="726"/>
      <c r="Q3973" s="727"/>
      <c r="R3973" s="458"/>
      <c r="S3973" s="459"/>
      <c r="T3973" s="460"/>
      <c r="U3973" s="219"/>
      <c r="V3973" s="464"/>
      <c r="Y3973" s="537">
        <f>0.4*PRESUPUESTOS!$H$16</f>
        <v>10.3124</v>
      </c>
      <c r="AA3973" s="540" t="e">
        <f>IF(AND(C3972&lt;=F3968,F3968&lt;&gt;""),VLOOKUP(VALUE(E3949&amp;","&amp;C3972),INTEGRANTES!$D$18:$F$235,2,0),"")</f>
        <v>#N/A</v>
      </c>
      <c r="AB3973" s="545" t="e">
        <f t="shared" si="1175"/>
        <v>#N/A</v>
      </c>
      <c r="AC3973" s="529"/>
      <c r="AD3973" s="200" t="e">
        <f t="shared" si="1176"/>
        <v>#N/A</v>
      </c>
      <c r="AE3973" s="52"/>
      <c r="AF3973" s="52"/>
      <c r="AG3973" s="52"/>
      <c r="AH3973" s="87"/>
      <c r="AI3973" s="87"/>
    </row>
    <row r="3974" spans="1:35" ht="27" hidden="1" customHeight="1" thickBot="1">
      <c r="A3974" s="218" t="e">
        <f>"R"&amp;E3949</f>
        <v>#N/A</v>
      </c>
      <c r="B3974" s="702"/>
      <c r="C3974" s="114">
        <v>5</v>
      </c>
      <c r="D3974" s="194" t="e">
        <f>IF(AND(C3974&lt;=F3968,F3968&lt;&gt;""),VLOOKUP(VALUE(E3949&amp;","&amp;C3974),INTEGRANTES!$D$18:$F$235,2,0),"")</f>
        <v>#N/A</v>
      </c>
      <c r="E3974" s="211" t="e">
        <f>IF(D3974&lt;&gt;"",VLOOKUP(VALUE(E3949&amp;","&amp;C3974),INTEGRANTES!$D$18:$F$235,3,0),"")</f>
        <v>#N/A</v>
      </c>
      <c r="F3974" s="547" t="e">
        <f>IF(D3974="","",SUMIF($I3953:$I3962,D3974,$P3953:$P3962))</f>
        <v>#N/A</v>
      </c>
      <c r="G3974" s="333" t="e">
        <f>IF(D3974="","",SUMIF($I3953:$I3962,D3974,$M3953:$M3962))</f>
        <v>#N/A</v>
      </c>
      <c r="H3974" s="535" t="e">
        <f t="shared" si="1172"/>
        <v>#N/A</v>
      </c>
      <c r="I3974" s="212" t="e">
        <f>IF(D3974="","",IF(H3974="NO APORTA","NO",IF(H3974=MAX($H3970:$H3975),"SI","NO")))</f>
        <v>#N/A</v>
      </c>
      <c r="J3974" s="213" t="e">
        <f t="shared" si="1173"/>
        <v>#N/A</v>
      </c>
      <c r="K3974" s="200" t="e">
        <f t="shared" si="1174"/>
        <v>#N/A</v>
      </c>
      <c r="L3974" s="721"/>
      <c r="M3974" s="715" t="s">
        <v>116</v>
      </c>
      <c r="N3974" s="716"/>
      <c r="O3974" s="556" t="str">
        <f>PORCREQUERIDO*100&amp;"% PMFO DEL MÓDULO"</f>
        <v>50% PMFO DEL MÓDULO</v>
      </c>
      <c r="P3974" s="715" t="s">
        <v>118</v>
      </c>
      <c r="Q3974" s="728"/>
      <c r="R3974" s="458"/>
      <c r="S3974" s="459"/>
      <c r="T3974" s="460"/>
      <c r="U3974" s="219"/>
      <c r="V3974" s="464"/>
      <c r="Y3974" s="414"/>
      <c r="AA3974" s="540" t="e">
        <f>IF(AND(C3973&lt;=F3968,F3968&lt;&gt;""),VLOOKUP(VALUE(E3949&amp;","&amp;C3973),INTEGRANTES!$D$18:$F$235,2,0),"")</f>
        <v>#N/A</v>
      </c>
      <c r="AB3974" s="545" t="e">
        <f t="shared" si="1175"/>
        <v>#N/A</v>
      </c>
      <c r="AC3974" s="529"/>
      <c r="AD3974" s="200" t="e">
        <f t="shared" si="1176"/>
        <v>#N/A</v>
      </c>
      <c r="AE3974" s="52"/>
      <c r="AF3974" s="52"/>
      <c r="AG3974" s="52"/>
      <c r="AH3974" s="87"/>
      <c r="AI3974" s="87"/>
    </row>
    <row r="3975" spans="1:35" ht="16.5" hidden="1" thickBot="1">
      <c r="A3975" s="218" t="e">
        <f>"S"&amp;E3949</f>
        <v>#N/A</v>
      </c>
      <c r="B3975" s="702"/>
      <c r="C3975" s="215">
        <v>6</v>
      </c>
      <c r="D3975" s="216" t="e">
        <f>IF(AND(C3975&lt;=F3968,F3968&lt;&gt;""),VLOOKUP(VALUE(E3949&amp;","&amp;C3975),INTEGRANTES!$D$18:$F$235,2,0),"")</f>
        <v>#N/A</v>
      </c>
      <c r="E3975" s="217" t="e">
        <f>IF(D3975&lt;&gt;"",VLOOKUP(VALUE(E3949&amp;","&amp;C3975),INTEGRANTES!$D$18:$F$235,3,0),"")</f>
        <v>#N/A</v>
      </c>
      <c r="F3975" s="548" t="e">
        <f>IF(D3975="","",SUMIF($I3953:$I3962,D3975,$P3953:$P3962))</f>
        <v>#N/A</v>
      </c>
      <c r="G3975" s="334" t="e">
        <f>IF(D3975="","",SUMIF($I3953:$I3962,D3975,$M3953:$M3962))</f>
        <v>#N/A</v>
      </c>
      <c r="H3975" s="536" t="e">
        <f t="shared" si="1172"/>
        <v>#N/A</v>
      </c>
      <c r="I3975" s="214" t="e">
        <f>IF(D3975="","",IF(H3975="NO APORTA","NO",IF(H3975=MAX($H3970:$H3975),"SI","NO")))</f>
        <v>#N/A</v>
      </c>
      <c r="J3975" s="213" t="e">
        <f t="shared" si="1173"/>
        <v>#N/A</v>
      </c>
      <c r="K3975" s="200" t="e">
        <f t="shared" si="1174"/>
        <v>#N/A</v>
      </c>
      <c r="L3975" s="721"/>
      <c r="M3975" s="729">
        <f>NUMMOD</f>
        <v>1</v>
      </c>
      <c r="N3975" s="730"/>
      <c r="O3975" s="443">
        <f>IF(M3975="","",ROUND(VLOOKUP(M3975,PRESUPUESTOS!$B$16:$H$16,7,FALSE),3))</f>
        <v>25.780999999999999</v>
      </c>
      <c r="P3975" s="713">
        <f>IF(OR(COUNTIF(P3953:P3962,"")&gt;=10,Q3969&lt;NUMMINCONT,OR(T3967="NO CUMPLE",T3967="VERIFICAR")),0,ROUND((SUM(P3953:P3962)/SUM(M3953:M3962)),3))</f>
        <v>0</v>
      </c>
      <c r="Q3975" s="714"/>
      <c r="R3975" s="458"/>
      <c r="S3975" s="459"/>
      <c r="T3975" s="460"/>
      <c r="U3975" s="219"/>
      <c r="V3975" s="464"/>
      <c r="Y3975" s="532" t="s">
        <v>343</v>
      </c>
      <c r="AA3975" s="540" t="e">
        <f>IF(AND(C3974&lt;=F3968,F3968&lt;&gt;""),VLOOKUP(VALUE(E3949&amp;","&amp;C3974),INTEGRANTES!$D$18:$F$235,2,0),"")</f>
        <v>#N/A</v>
      </c>
      <c r="AB3975" s="545" t="e">
        <f t="shared" si="1175"/>
        <v>#N/A</v>
      </c>
      <c r="AC3975" s="529"/>
      <c r="AD3975" s="200" t="e">
        <f t="shared" si="1176"/>
        <v>#N/A</v>
      </c>
      <c r="AE3975" s="52"/>
      <c r="AF3975" s="52"/>
      <c r="AG3975" s="52"/>
      <c r="AH3975" s="87"/>
      <c r="AI3975" s="87"/>
    </row>
    <row r="3976" spans="1:35" ht="16.5" hidden="1" customHeight="1" thickBot="1">
      <c r="A3976" s="218" t="e">
        <f>"T"&amp;E3949</f>
        <v>#N/A</v>
      </c>
      <c r="B3976" s="703"/>
      <c r="C3976" s="719"/>
      <c r="D3976" s="719"/>
      <c r="E3976" s="719"/>
      <c r="F3976" s="719"/>
      <c r="G3976" s="719"/>
      <c r="H3976" s="719" t="s">
        <v>110</v>
      </c>
      <c r="I3976" s="719"/>
      <c r="J3976" s="719"/>
      <c r="K3976" s="201" t="str">
        <f>IF(COUNTIF(K3970:K3975,"")=6,"",IF(COUNTIF(K3970:K3975,"CUMPLE")&gt;0,"CUMPLE","NO CUMPLE"))</f>
        <v>NO CUMPLE</v>
      </c>
      <c r="L3976" s="754"/>
      <c r="M3976" s="755"/>
      <c r="N3976" s="755"/>
      <c r="O3976" s="755"/>
      <c r="P3976" s="755"/>
      <c r="Q3976" s="756"/>
      <c r="R3976" s="461"/>
      <c r="S3976" s="462"/>
      <c r="T3976" s="463"/>
      <c r="U3976" s="219"/>
      <c r="V3976" s="464"/>
      <c r="Y3976" s="549" t="e">
        <f>IF(Y3970="NO APLICA","NO APLICA",IF(COUNTIF(AD3971:AD3976,"CUMPLE")&gt;0,"CUMPLE","NO CUMPLE"))</f>
        <v>#N/A</v>
      </c>
      <c r="AA3976" s="541" t="e">
        <f>IF(AND(C3975&lt;=F3968,F3968&lt;&gt;""),VLOOKUP(VALUE(E3949&amp;","&amp;C3975),INTEGRANTES!$D$18:$F$235,2,0),"")</f>
        <v>#N/A</v>
      </c>
      <c r="AB3976" s="546" t="e">
        <f t="shared" si="1175"/>
        <v>#N/A</v>
      </c>
      <c r="AC3976" s="543"/>
      <c r="AD3976" s="201" t="e">
        <f t="shared" si="1176"/>
        <v>#N/A</v>
      </c>
      <c r="AE3976" s="52"/>
      <c r="AF3976" s="52"/>
      <c r="AG3976" s="52"/>
      <c r="AH3976" s="87"/>
      <c r="AI3976" s="87"/>
    </row>
    <row r="3977" spans="1:35" hidden="1">
      <c r="AH3977" s="87"/>
      <c r="AI3977" s="87"/>
    </row>
    <row r="3978" spans="1:35" hidden="1">
      <c r="AH3978" s="87"/>
      <c r="AI3978" s="87"/>
    </row>
    <row r="3979" spans="1:35" ht="24" hidden="1" thickBot="1">
      <c r="A3979" s="61">
        <v>133</v>
      </c>
      <c r="B3979" s="704" t="s">
        <v>51</v>
      </c>
      <c r="C3979" s="704"/>
      <c r="D3979" s="704"/>
      <c r="E3979" s="62" t="e">
        <f>VLOOKUP(A3979,PROPONENTES!$B$19:$E$218,2,FALSE)</f>
        <v>#N/A</v>
      </c>
      <c r="F3979" s="63" t="e">
        <f>VLOOKUP(A3979,PROPONENTES!$B$19:$E$218,3,FALSE)</f>
        <v>#N/A</v>
      </c>
      <c r="G3979" s="64"/>
      <c r="H3979" s="64"/>
      <c r="I3979" s="63"/>
      <c r="J3979" s="63"/>
      <c r="K3979" s="65"/>
      <c r="L3979" s="65"/>
      <c r="M3979" s="64"/>
      <c r="N3979" s="64"/>
      <c r="O3979" s="66"/>
      <c r="P3979" s="66"/>
      <c r="Q3979" s="66"/>
      <c r="R3979" s="66"/>
      <c r="S3979" s="67"/>
      <c r="T3979" s="68"/>
      <c r="U3979" s="68"/>
      <c r="AC3979" s="68"/>
      <c r="AD3979" s="68"/>
      <c r="AE3979" s="68"/>
      <c r="AF3979" s="68"/>
      <c r="AG3979" s="68"/>
      <c r="AH3979" s="87"/>
      <c r="AI3979" s="87"/>
    </row>
    <row r="3980" spans="1:35" ht="15.75" hidden="1" customHeight="1">
      <c r="A3980" s="44"/>
      <c r="B3980" s="709" t="s">
        <v>59</v>
      </c>
      <c r="C3980" s="552" t="s">
        <v>60</v>
      </c>
      <c r="D3980" s="70" t="s">
        <v>17</v>
      </c>
      <c r="E3980" s="70"/>
      <c r="F3980" s="70" t="s">
        <v>61</v>
      </c>
      <c r="G3980" s="71"/>
      <c r="H3980" s="699" t="s">
        <v>62</v>
      </c>
      <c r="I3980" s="699" t="s">
        <v>18</v>
      </c>
      <c r="J3980" s="699" t="s">
        <v>63</v>
      </c>
      <c r="K3980" s="699" t="s">
        <v>64</v>
      </c>
      <c r="L3980" s="699" t="s">
        <v>65</v>
      </c>
      <c r="M3980" s="743" t="s">
        <v>66</v>
      </c>
      <c r="N3980" s="699" t="s">
        <v>282</v>
      </c>
      <c r="O3980" s="745" t="s">
        <v>67</v>
      </c>
      <c r="P3980" s="746"/>
      <c r="Q3980" s="102" t="s">
        <v>75</v>
      </c>
      <c r="R3980" s="731" t="s">
        <v>22</v>
      </c>
      <c r="S3980" s="732"/>
      <c r="T3980" s="733"/>
      <c r="U3980" s="712" t="s">
        <v>298</v>
      </c>
      <c r="W3980" s="690" t="s">
        <v>268</v>
      </c>
      <c r="X3980" s="691"/>
      <c r="Y3980" s="692"/>
      <c r="Z3980" s="428"/>
      <c r="AA3980" s="697" t="s">
        <v>315</v>
      </c>
      <c r="AB3980" s="695" t="s">
        <v>322</v>
      </c>
      <c r="AC3980" s="49"/>
      <c r="AD3980" s="690" t="s">
        <v>297</v>
      </c>
      <c r="AE3980" s="691"/>
      <c r="AF3980" s="692"/>
      <c r="AG3980" s="49"/>
      <c r="AH3980" s="87"/>
      <c r="AI3980" s="87"/>
    </row>
    <row r="3981" spans="1:35" ht="72" hidden="1">
      <c r="A3981" s="44"/>
      <c r="B3981" s="710"/>
      <c r="C3981" s="553" t="s">
        <v>68</v>
      </c>
      <c r="D3981" s="73" t="s">
        <v>3</v>
      </c>
      <c r="E3981" s="73" t="s">
        <v>19</v>
      </c>
      <c r="F3981" s="73" t="s">
        <v>69</v>
      </c>
      <c r="G3981" s="74" t="s">
        <v>70</v>
      </c>
      <c r="H3981" s="700"/>
      <c r="I3981" s="700"/>
      <c r="J3981" s="700"/>
      <c r="K3981" s="700"/>
      <c r="L3981" s="700"/>
      <c r="M3981" s="744"/>
      <c r="N3981" s="700"/>
      <c r="O3981" s="553" t="s">
        <v>279</v>
      </c>
      <c r="P3981" s="73" t="s">
        <v>88</v>
      </c>
      <c r="Q3981" s="555" t="s">
        <v>76</v>
      </c>
      <c r="R3981" s="734"/>
      <c r="S3981" s="735"/>
      <c r="T3981" s="736"/>
      <c r="U3981" s="712"/>
      <c r="W3981" s="429" t="s">
        <v>269</v>
      </c>
      <c r="X3981" s="457" t="s">
        <v>278</v>
      </c>
      <c r="Y3981" s="430" t="s">
        <v>324</v>
      </c>
      <c r="Z3981" s="428"/>
      <c r="AA3981" s="698"/>
      <c r="AB3981" s="696"/>
      <c r="AC3981" s="49"/>
      <c r="AD3981" s="429" t="s">
        <v>292</v>
      </c>
      <c r="AE3981" s="431" t="s">
        <v>300</v>
      </c>
      <c r="AF3981" s="468" t="s">
        <v>301</v>
      </c>
      <c r="AG3981" s="49"/>
      <c r="AH3981" s="87"/>
      <c r="AI3981" s="87"/>
    </row>
    <row r="3982" spans="1:35" hidden="1">
      <c r="A3982" s="44"/>
      <c r="B3982" s="76"/>
      <c r="C3982" s="77"/>
      <c r="D3982" s="77"/>
      <c r="E3982" s="77"/>
      <c r="F3982" s="77"/>
      <c r="G3982" s="77"/>
      <c r="H3982" s="77"/>
      <c r="I3982" s="77"/>
      <c r="J3982" s="77"/>
      <c r="K3982" s="77"/>
      <c r="L3982" s="77"/>
      <c r="M3982" s="77"/>
      <c r="N3982" s="77"/>
      <c r="O3982" s="77"/>
      <c r="P3982" s="77"/>
      <c r="Q3982" s="77"/>
      <c r="R3982" s="77"/>
      <c r="S3982" s="78"/>
      <c r="T3982" s="79"/>
      <c r="U3982" s="109"/>
      <c r="V3982" s="49"/>
      <c r="W3982" s="432"/>
      <c r="X3982" s="454"/>
      <c r="Y3982" s="433"/>
      <c r="Z3982" s="6"/>
      <c r="AA3982" s="500"/>
      <c r="AB3982" s="562"/>
      <c r="AC3982" s="49"/>
      <c r="AD3982" s="210"/>
      <c r="AE3982" s="434"/>
      <c r="AF3982" s="435"/>
      <c r="AG3982" s="49"/>
      <c r="AH3982" s="87"/>
      <c r="AI3982" s="87"/>
    </row>
    <row r="3983" spans="1:35" hidden="1">
      <c r="A3983" s="80" t="e">
        <f>"A"&amp;E3979</f>
        <v>#N/A</v>
      </c>
      <c r="B3983" s="81">
        <v>1</v>
      </c>
      <c r="C3983" s="82"/>
      <c r="D3983" s="82"/>
      <c r="E3983" s="82"/>
      <c r="F3983" s="82"/>
      <c r="G3983" s="83"/>
      <c r="H3983" s="83"/>
      <c r="I3983" s="84"/>
      <c r="J3983" s="85"/>
      <c r="K3983" s="382"/>
      <c r="L3983" s="85"/>
      <c r="M3983" s="332" t="str">
        <f t="shared" ref="M3983:M3992" si="1177">IF(OR(J3983="",L3983="",H3983="NO"),"",IF(OR(J3983&gt;$P$17,J3983&lt;$O$17,L3983&gt;$P$17,AND(J3983&lt;$O$17,L3983&lt;$O$17)),"FUERA DE RANGO",IF(OR(K3983="---",K3983=""),IF(J3983&gt;=$O$17,ROUND((L3983-J3983+1)/360*12,3),ROUND((L3983-$O$17+1)/360*12,3)),IF(J3983&gt;=$O$17,ROUND((L3983-J3983+1)/360*12-ROUND(K3983,3),3),ROUND((L3983-$O$17+1)/360*12-ROUND(K3983,3),3)))))</f>
        <v/>
      </c>
      <c r="N3983" s="86"/>
      <c r="O3983" s="453" t="str">
        <f>IF(OR(G3983="",N3983=""),"",N3983*G3983)</f>
        <v/>
      </c>
      <c r="P3983" s="538" t="str">
        <f>IF(OR(H3983="",M3983="FUERA DE RANGO"),"",IF(OR(L3983&lt;$O$17,L3983&gt;$P$17,L3983="",H3983="NO"),"",IF(OR(N3983="",O3983=""),"",ROUND(O3983,3))))</f>
        <v/>
      </c>
      <c r="Q3983" s="539" t="str">
        <f t="shared" ref="Q3983:Q3992" si="1178">IF(AND(H3983="SI",P3983&lt;&gt;""),ROUND(P3983/M3983,3),"")</f>
        <v/>
      </c>
      <c r="R3983" s="737"/>
      <c r="S3983" s="738"/>
      <c r="T3983" s="739"/>
      <c r="U3983" s="470"/>
      <c r="V3983" s="165"/>
      <c r="W3983" s="446"/>
      <c r="X3983" s="456"/>
      <c r="Y3983" s="436"/>
      <c r="Z3983" s="437"/>
      <c r="AA3983" s="560"/>
      <c r="AB3983" s="561"/>
      <c r="AC3983" s="87"/>
      <c r="AD3983" s="466"/>
      <c r="AE3983" s="456"/>
      <c r="AF3983" s="467"/>
      <c r="AG3983" s="87"/>
      <c r="AH3983" s="87"/>
      <c r="AI3983" s="87"/>
    </row>
    <row r="3984" spans="1:35" hidden="1">
      <c r="A3984" s="80" t="e">
        <f>"B"&amp;E3979</f>
        <v>#N/A</v>
      </c>
      <c r="B3984" s="81">
        <v>2</v>
      </c>
      <c r="C3984" s="106"/>
      <c r="D3984" s="106"/>
      <c r="E3984" s="106"/>
      <c r="F3984" s="106"/>
      <c r="G3984" s="83"/>
      <c r="H3984" s="83"/>
      <c r="I3984" s="84"/>
      <c r="J3984" s="85"/>
      <c r="K3984" s="382"/>
      <c r="L3984" s="85"/>
      <c r="M3984" s="332" t="str">
        <f t="shared" si="1177"/>
        <v/>
      </c>
      <c r="N3984" s="86"/>
      <c r="O3984" s="453" t="str">
        <f t="shared" ref="O3984:O3992" si="1179">IF(OR(G3984="",N3984=""),"",N3984*G3984)</f>
        <v/>
      </c>
      <c r="P3984" s="538" t="str">
        <f t="shared" ref="P3984:P3992" si="1180">IF(OR(H3984="",M3984="FUERA DE RANGO"),"",IF(OR(L3984&lt;$O$17,L3984&gt;$P$17,L3984="",H3984="NO"),"",IF(OR(N3984="",O3984=""),"",ROUND(O3984,3))))</f>
        <v/>
      </c>
      <c r="Q3984" s="539" t="str">
        <f t="shared" si="1178"/>
        <v/>
      </c>
      <c r="R3984" s="740"/>
      <c r="S3984" s="741"/>
      <c r="T3984" s="742"/>
      <c r="U3984" s="471"/>
      <c r="V3984" s="165"/>
      <c r="W3984" s="446"/>
      <c r="X3984" s="456"/>
      <c r="Y3984" s="436"/>
      <c r="Z3984" s="437"/>
      <c r="AA3984" s="560"/>
      <c r="AB3984" s="561"/>
      <c r="AC3984" s="87"/>
      <c r="AD3984" s="466"/>
      <c r="AE3984" s="456"/>
      <c r="AF3984" s="467"/>
      <c r="AG3984" s="87"/>
      <c r="AH3984" s="87"/>
      <c r="AI3984" s="87"/>
    </row>
    <row r="3985" spans="1:35" hidden="1">
      <c r="A3985" s="80" t="e">
        <f>"C"&amp;E3979</f>
        <v>#N/A</v>
      </c>
      <c r="B3985" s="88">
        <v>3</v>
      </c>
      <c r="C3985" s="82"/>
      <c r="D3985" s="82"/>
      <c r="E3985" s="82"/>
      <c r="F3985" s="82"/>
      <c r="G3985" s="83"/>
      <c r="H3985" s="83"/>
      <c r="I3985" s="84"/>
      <c r="J3985" s="85"/>
      <c r="K3985" s="382"/>
      <c r="L3985" s="85"/>
      <c r="M3985" s="332" t="str">
        <f t="shared" si="1177"/>
        <v/>
      </c>
      <c r="N3985" s="86"/>
      <c r="O3985" s="453" t="str">
        <f t="shared" si="1179"/>
        <v/>
      </c>
      <c r="P3985" s="538" t="str">
        <f t="shared" si="1180"/>
        <v/>
      </c>
      <c r="Q3985" s="539" t="str">
        <f t="shared" si="1178"/>
        <v/>
      </c>
      <c r="R3985" s="706"/>
      <c r="S3985" s="707"/>
      <c r="T3985" s="708"/>
      <c r="U3985" s="472"/>
      <c r="V3985" s="166"/>
      <c r="W3985" s="446"/>
      <c r="X3985" s="456"/>
      <c r="Y3985" s="436"/>
      <c r="Z3985" s="437"/>
      <c r="AA3985" s="560"/>
      <c r="AB3985" s="561"/>
      <c r="AC3985" s="87"/>
      <c r="AD3985" s="466"/>
      <c r="AE3985" s="456"/>
      <c r="AF3985" s="467"/>
      <c r="AG3985" s="87"/>
      <c r="AH3985" s="87"/>
      <c r="AI3985" s="87"/>
    </row>
    <row r="3986" spans="1:35" hidden="1">
      <c r="A3986" s="80" t="e">
        <f>"D"&amp;E3979</f>
        <v>#N/A</v>
      </c>
      <c r="B3986" s="105">
        <v>4</v>
      </c>
      <c r="C3986" s="107"/>
      <c r="D3986" s="107"/>
      <c r="E3986" s="107"/>
      <c r="F3986" s="107"/>
      <c r="G3986" s="83"/>
      <c r="H3986" s="83"/>
      <c r="I3986" s="84"/>
      <c r="J3986" s="85"/>
      <c r="K3986" s="382"/>
      <c r="L3986" s="85"/>
      <c r="M3986" s="332" t="str">
        <f t="shared" si="1177"/>
        <v/>
      </c>
      <c r="N3986" s="86"/>
      <c r="O3986" s="453" t="str">
        <f t="shared" si="1179"/>
        <v/>
      </c>
      <c r="P3986" s="538" t="str">
        <f t="shared" si="1180"/>
        <v/>
      </c>
      <c r="Q3986" s="539" t="str">
        <f t="shared" si="1178"/>
        <v/>
      </c>
      <c r="R3986" s="706"/>
      <c r="S3986" s="707"/>
      <c r="T3986" s="708"/>
      <c r="U3986" s="472"/>
      <c r="V3986" s="166"/>
      <c r="W3986" s="446"/>
      <c r="X3986" s="456"/>
      <c r="Y3986" s="436"/>
      <c r="Z3986" s="437"/>
      <c r="AA3986" s="560"/>
      <c r="AB3986" s="561"/>
      <c r="AC3986" s="87"/>
      <c r="AD3986" s="466"/>
      <c r="AE3986" s="456"/>
      <c r="AF3986" s="467"/>
      <c r="AG3986" s="87"/>
      <c r="AH3986" s="87"/>
      <c r="AI3986" s="87"/>
    </row>
    <row r="3987" spans="1:35" hidden="1">
      <c r="A3987" s="80" t="e">
        <f>"E"&amp;E3979</f>
        <v>#N/A</v>
      </c>
      <c r="B3987" s="105">
        <v>5</v>
      </c>
      <c r="C3987" s="107"/>
      <c r="D3987" s="107"/>
      <c r="E3987" s="107"/>
      <c r="F3987" s="107"/>
      <c r="G3987" s="83"/>
      <c r="H3987" s="83"/>
      <c r="I3987" s="84"/>
      <c r="J3987" s="85"/>
      <c r="K3987" s="382"/>
      <c r="L3987" s="85"/>
      <c r="M3987" s="332" t="str">
        <f t="shared" si="1177"/>
        <v/>
      </c>
      <c r="N3987" s="86"/>
      <c r="O3987" s="453" t="str">
        <f t="shared" si="1179"/>
        <v/>
      </c>
      <c r="P3987" s="538" t="str">
        <f t="shared" si="1180"/>
        <v/>
      </c>
      <c r="Q3987" s="539" t="str">
        <f t="shared" si="1178"/>
        <v/>
      </c>
      <c r="R3987" s="706"/>
      <c r="S3987" s="707"/>
      <c r="T3987" s="708"/>
      <c r="U3987" s="472"/>
      <c r="V3987" s="167"/>
      <c r="W3987" s="446"/>
      <c r="X3987" s="456"/>
      <c r="Y3987" s="436"/>
      <c r="Z3987" s="437"/>
      <c r="AA3987" s="560"/>
      <c r="AB3987" s="561"/>
      <c r="AC3987" s="87"/>
      <c r="AD3987" s="466"/>
      <c r="AE3987" s="456"/>
      <c r="AF3987" s="467"/>
      <c r="AG3987" s="87"/>
      <c r="AH3987" s="87"/>
      <c r="AI3987" s="87"/>
    </row>
    <row r="3988" spans="1:35" hidden="1">
      <c r="A3988" s="80" t="e">
        <f>"F"&amp;E3979</f>
        <v>#N/A</v>
      </c>
      <c r="B3988" s="105">
        <v>6</v>
      </c>
      <c r="C3988" s="107"/>
      <c r="D3988" s="107"/>
      <c r="E3988" s="107"/>
      <c r="F3988" s="107"/>
      <c r="G3988" s="83"/>
      <c r="H3988" s="83"/>
      <c r="I3988" s="84"/>
      <c r="J3988" s="85"/>
      <c r="K3988" s="382"/>
      <c r="L3988" s="85"/>
      <c r="M3988" s="332" t="str">
        <f t="shared" si="1177"/>
        <v/>
      </c>
      <c r="N3988" s="86"/>
      <c r="O3988" s="453" t="str">
        <f t="shared" si="1179"/>
        <v/>
      </c>
      <c r="P3988" s="538" t="str">
        <f t="shared" si="1180"/>
        <v/>
      </c>
      <c r="Q3988" s="539" t="str">
        <f t="shared" si="1178"/>
        <v/>
      </c>
      <c r="R3988" s="706"/>
      <c r="S3988" s="707"/>
      <c r="T3988" s="708"/>
      <c r="U3988" s="472"/>
      <c r="V3988" s="167"/>
      <c r="W3988" s="446"/>
      <c r="X3988" s="456"/>
      <c r="Y3988" s="436"/>
      <c r="Z3988" s="437"/>
      <c r="AA3988" s="560"/>
      <c r="AB3988" s="561"/>
      <c r="AC3988" s="87"/>
      <c r="AD3988" s="466"/>
      <c r="AE3988" s="456"/>
      <c r="AF3988" s="467"/>
      <c r="AG3988" s="87"/>
      <c r="AH3988" s="87"/>
      <c r="AI3988" s="87"/>
    </row>
    <row r="3989" spans="1:35" hidden="1">
      <c r="A3989" s="80" t="e">
        <f>"G"&amp;E3979</f>
        <v>#N/A</v>
      </c>
      <c r="B3989" s="105">
        <v>7</v>
      </c>
      <c r="C3989" s="107"/>
      <c r="D3989" s="107"/>
      <c r="E3989" s="107"/>
      <c r="F3989" s="107"/>
      <c r="G3989" s="83"/>
      <c r="H3989" s="83"/>
      <c r="I3989" s="84"/>
      <c r="J3989" s="85"/>
      <c r="K3989" s="382"/>
      <c r="L3989" s="85"/>
      <c r="M3989" s="332" t="str">
        <f t="shared" si="1177"/>
        <v/>
      </c>
      <c r="N3989" s="86"/>
      <c r="O3989" s="86" t="str">
        <f t="shared" si="1179"/>
        <v/>
      </c>
      <c r="P3989" s="538" t="str">
        <f t="shared" si="1180"/>
        <v/>
      </c>
      <c r="Q3989" s="539" t="str">
        <f t="shared" si="1178"/>
        <v/>
      </c>
      <c r="R3989" s="706"/>
      <c r="S3989" s="707"/>
      <c r="T3989" s="708"/>
      <c r="U3989" s="472"/>
      <c r="V3989" s="167"/>
      <c r="W3989" s="446"/>
      <c r="X3989" s="456"/>
      <c r="Y3989" s="436"/>
      <c r="Z3989" s="437"/>
      <c r="AA3989" s="560"/>
      <c r="AB3989" s="561"/>
      <c r="AC3989" s="87"/>
      <c r="AD3989" s="466"/>
      <c r="AE3989" s="456"/>
      <c r="AF3989" s="467"/>
      <c r="AG3989" s="87"/>
      <c r="AH3989" s="87"/>
      <c r="AI3989" s="87"/>
    </row>
    <row r="3990" spans="1:35" hidden="1">
      <c r="A3990" s="80" t="e">
        <f>"H"&amp;E3979</f>
        <v>#N/A</v>
      </c>
      <c r="B3990" s="105">
        <v>8</v>
      </c>
      <c r="C3990" s="107"/>
      <c r="D3990" s="107"/>
      <c r="E3990" s="107"/>
      <c r="F3990" s="107"/>
      <c r="G3990" s="83"/>
      <c r="H3990" s="83"/>
      <c r="I3990" s="84"/>
      <c r="J3990" s="85"/>
      <c r="K3990" s="382"/>
      <c r="L3990" s="85"/>
      <c r="M3990" s="332" t="str">
        <f t="shared" si="1177"/>
        <v/>
      </c>
      <c r="N3990" s="453"/>
      <c r="O3990" s="86" t="str">
        <f t="shared" si="1179"/>
        <v/>
      </c>
      <c r="P3990" s="538" t="str">
        <f t="shared" si="1180"/>
        <v/>
      </c>
      <c r="Q3990" s="539" t="str">
        <f t="shared" si="1178"/>
        <v/>
      </c>
      <c r="R3990" s="706"/>
      <c r="S3990" s="707"/>
      <c r="T3990" s="708"/>
      <c r="U3990" s="472"/>
      <c r="V3990" s="167"/>
      <c r="W3990" s="446"/>
      <c r="X3990" s="456"/>
      <c r="Y3990" s="436"/>
      <c r="Z3990" s="437"/>
      <c r="AA3990" s="560"/>
      <c r="AB3990" s="561"/>
      <c r="AC3990" s="87"/>
      <c r="AD3990" s="466"/>
      <c r="AE3990" s="456"/>
      <c r="AF3990" s="467"/>
      <c r="AG3990" s="87"/>
      <c r="AH3990" s="87"/>
      <c r="AI3990" s="87"/>
    </row>
    <row r="3991" spans="1:35" hidden="1">
      <c r="A3991" s="80" t="e">
        <f>"I"&amp;E3979</f>
        <v>#N/A</v>
      </c>
      <c r="B3991" s="105">
        <v>9</v>
      </c>
      <c r="C3991" s="107"/>
      <c r="D3991" s="107"/>
      <c r="E3991" s="107"/>
      <c r="F3991" s="107"/>
      <c r="G3991" s="83"/>
      <c r="H3991" s="83"/>
      <c r="I3991" s="84"/>
      <c r="J3991" s="85"/>
      <c r="K3991" s="382"/>
      <c r="L3991" s="85"/>
      <c r="M3991" s="332" t="str">
        <f t="shared" si="1177"/>
        <v/>
      </c>
      <c r="N3991" s="453"/>
      <c r="O3991" s="86" t="str">
        <f t="shared" si="1179"/>
        <v/>
      </c>
      <c r="P3991" s="538" t="str">
        <f t="shared" si="1180"/>
        <v/>
      </c>
      <c r="Q3991" s="539" t="str">
        <f t="shared" si="1178"/>
        <v/>
      </c>
      <c r="R3991" s="706"/>
      <c r="S3991" s="707"/>
      <c r="T3991" s="708"/>
      <c r="U3991" s="472"/>
      <c r="V3991" s="167"/>
      <c r="W3991" s="446"/>
      <c r="X3991" s="456"/>
      <c r="Y3991" s="436"/>
      <c r="Z3991" s="437"/>
      <c r="AA3991" s="560"/>
      <c r="AB3991" s="561"/>
      <c r="AC3991" s="87"/>
      <c r="AD3991" s="466"/>
      <c r="AE3991" s="456"/>
      <c r="AF3991" s="467"/>
      <c r="AG3991" s="87"/>
      <c r="AH3991" s="87"/>
      <c r="AI3991" s="87"/>
    </row>
    <row r="3992" spans="1:35" hidden="1">
      <c r="A3992" s="80" t="e">
        <f>"J"&amp;E3979</f>
        <v>#N/A</v>
      </c>
      <c r="B3992" s="105">
        <v>10</v>
      </c>
      <c r="C3992" s="107"/>
      <c r="D3992" s="107"/>
      <c r="E3992" s="107"/>
      <c r="F3992" s="107"/>
      <c r="G3992" s="83"/>
      <c r="H3992" s="83"/>
      <c r="I3992" s="84"/>
      <c r="J3992" s="85"/>
      <c r="K3992" s="382"/>
      <c r="L3992" s="85"/>
      <c r="M3992" s="332" t="str">
        <f t="shared" si="1177"/>
        <v/>
      </c>
      <c r="N3992" s="453"/>
      <c r="O3992" s="86" t="str">
        <f t="shared" si="1179"/>
        <v/>
      </c>
      <c r="P3992" s="538" t="str">
        <f t="shared" si="1180"/>
        <v/>
      </c>
      <c r="Q3992" s="539" t="str">
        <f t="shared" si="1178"/>
        <v/>
      </c>
      <c r="R3992" s="706"/>
      <c r="S3992" s="707"/>
      <c r="T3992" s="708"/>
      <c r="U3992" s="472"/>
      <c r="V3992" s="167"/>
      <c r="W3992" s="446"/>
      <c r="X3992" s="456"/>
      <c r="Y3992" s="436"/>
      <c r="Z3992" s="437"/>
      <c r="AA3992" s="560"/>
      <c r="AB3992" s="561"/>
      <c r="AC3992" s="87"/>
      <c r="AD3992" s="466"/>
      <c r="AE3992" s="456"/>
      <c r="AF3992" s="467"/>
      <c r="AG3992" s="87"/>
      <c r="AH3992" s="87"/>
      <c r="AI3992" s="87"/>
    </row>
    <row r="3993" spans="1:35" ht="16.5" hidden="1" thickBot="1">
      <c r="A3993" s="44"/>
      <c r="B3993" s="89"/>
      <c r="C3993" s="90"/>
      <c r="D3993" s="90"/>
      <c r="E3993" s="90"/>
      <c r="F3993" s="90"/>
      <c r="G3993" s="90"/>
      <c r="H3993" s="90"/>
      <c r="I3993" s="90"/>
      <c r="J3993" s="90"/>
      <c r="K3993" s="90"/>
      <c r="L3993" s="90"/>
      <c r="M3993" s="90"/>
      <c r="N3993" s="90"/>
      <c r="O3993" s="90"/>
      <c r="P3993" s="90"/>
      <c r="Q3993" s="90"/>
      <c r="R3993" s="90"/>
      <c r="S3993" s="91"/>
      <c r="T3993" s="92"/>
      <c r="U3993" s="473"/>
      <c r="W3993" s="438"/>
      <c r="X3993" s="455"/>
      <c r="Y3993" s="439"/>
      <c r="Z3993" s="437"/>
      <c r="AA3993" s="530"/>
      <c r="AB3993" s="563"/>
      <c r="AC3993" s="87"/>
      <c r="AD3993" s="440"/>
      <c r="AE3993" s="441"/>
      <c r="AF3993" s="442"/>
      <c r="AG3993" s="49"/>
      <c r="AH3993" s="87"/>
      <c r="AI3993" s="87"/>
    </row>
    <row r="3994" spans="1:35" ht="16.5" hidden="1" thickBot="1">
      <c r="A3994" s="93"/>
      <c r="B3994" s="94"/>
      <c r="C3994" s="96"/>
      <c r="D3994" s="96"/>
      <c r="E3994" s="96"/>
      <c r="F3994" s="96"/>
      <c r="G3994" s="96"/>
      <c r="H3994" s="96"/>
      <c r="I3994" s="96"/>
      <c r="J3994" s="96"/>
      <c r="K3994" s="96"/>
      <c r="L3994" s="96"/>
      <c r="M3994" s="136"/>
      <c r="N3994" s="96"/>
      <c r="O3994" s="96"/>
      <c r="P3994" s="97"/>
      <c r="Q3994" s="97"/>
      <c r="R3994" s="98"/>
      <c r="S3994" s="95"/>
      <c r="T3994" s="99"/>
      <c r="U3994" s="469"/>
      <c r="AC3994" s="58"/>
      <c r="AG3994" s="58"/>
      <c r="AH3994" s="87"/>
      <c r="AI3994" s="87"/>
    </row>
    <row r="3995" spans="1:35" ht="16.5" hidden="1" thickBot="1">
      <c r="B3995" s="101"/>
      <c r="C3995" s="101"/>
      <c r="D3995" s="101"/>
      <c r="E3995" s="101"/>
      <c r="F3995" s="101"/>
      <c r="G3995" s="101"/>
      <c r="H3995" s="101"/>
      <c r="I3995" s="101"/>
      <c r="J3995" s="101"/>
      <c r="K3995" s="101"/>
      <c r="L3995" s="101"/>
      <c r="M3995" s="101"/>
      <c r="N3995" s="101"/>
      <c r="O3995" s="101"/>
      <c r="P3995" s="101"/>
      <c r="Q3995" s="101"/>
      <c r="R3995" s="101"/>
      <c r="S3995" s="101"/>
      <c r="U3995" s="50"/>
      <c r="AH3995" s="87"/>
      <c r="AI3995" s="87"/>
    </row>
    <row r="3996" spans="1:35" ht="16.5" hidden="1" customHeight="1" thickBot="1">
      <c r="A3996" s="44"/>
      <c r="B3996" s="705" t="s">
        <v>74</v>
      </c>
      <c r="C3996" s="705"/>
      <c r="D3996" s="705"/>
      <c r="E3996" s="705"/>
      <c r="F3996" s="705"/>
      <c r="G3996" s="705"/>
      <c r="H3996" s="705"/>
      <c r="I3996" s="705"/>
      <c r="J3996" s="705"/>
      <c r="K3996" s="705"/>
      <c r="L3996" s="705"/>
      <c r="M3996" s="705"/>
      <c r="N3996" s="705"/>
      <c r="O3996" s="705"/>
      <c r="P3996" s="705"/>
      <c r="Q3996" s="705"/>
      <c r="R3996" s="705"/>
      <c r="S3996" s="705"/>
      <c r="T3996" s="705"/>
      <c r="U3996" s="108"/>
      <c r="Y3996" s="532" t="s">
        <v>341</v>
      </c>
      <c r="AC3996" s="49"/>
      <c r="AD3996" s="687" t="s">
        <v>302</v>
      </c>
      <c r="AE3996" s="688"/>
      <c r="AF3996" s="689"/>
      <c r="AG3996" s="49"/>
      <c r="AH3996" s="87"/>
      <c r="AI3996" s="87"/>
    </row>
    <row r="3997" spans="1:35" ht="16.5" hidden="1" customHeight="1" thickBot="1">
      <c r="A3997" s="218" t="e">
        <f>"K"&amp;E3979</f>
        <v>#N/A</v>
      </c>
      <c r="B3997" s="701" t="s">
        <v>71</v>
      </c>
      <c r="C3997" s="751" t="s">
        <v>102</v>
      </c>
      <c r="D3997" s="751"/>
      <c r="E3997" s="751"/>
      <c r="F3997" s="751"/>
      <c r="G3997" s="751"/>
      <c r="H3997" s="751"/>
      <c r="I3997" s="751"/>
      <c r="J3997" s="751"/>
      <c r="K3997" s="751"/>
      <c r="L3997" s="722" t="s">
        <v>100</v>
      </c>
      <c r="M3997" s="747" t="s">
        <v>114</v>
      </c>
      <c r="N3997" s="747"/>
      <c r="O3997" s="747"/>
      <c r="P3997" s="747"/>
      <c r="Q3997" s="748"/>
      <c r="R3997" s="758" t="s">
        <v>280</v>
      </c>
      <c r="S3997" s="748"/>
      <c r="T3997" s="762" t="str">
        <f>IF(COUNTIF(AE3997:AF3997,"VERIFICAR")&gt;0,"VERIFICAR",IF(COUNTIF(AE3997:AF3997,"NO CUMPLE")&gt;0,"NO CUMPLE","CUMPLE"))</f>
        <v>VERIFICAR</v>
      </c>
      <c r="U3997" s="108"/>
      <c r="Y3997" s="533" t="e">
        <f>IF(F3998="","",IF(F3998=1,"INDIVIDUAL","ESTRUCTURA PLURAL"))</f>
        <v>#N/A</v>
      </c>
      <c r="AC3997" s="52"/>
      <c r="AD3997" s="475" t="s">
        <v>303</v>
      </c>
      <c r="AE3997" s="476" t="str">
        <f>IF(COUNTIF(AE3983:AE3992,"")=10,"VERIFICAR",IF(COUNTIF(AE3983:AE3992,"SI")&gt;0,"CUMPLE","NO CUMPLE"))</f>
        <v>VERIFICAR</v>
      </c>
      <c r="AF3997" s="477" t="str">
        <f>IF(COUNTIF(AF3983:AF3992,"")=10,"VERIFICAR",IF(COUNTIF(AF3983:AF3992,"SI")&gt;=$AI$22,"CUMPLE","NO CUMPLE"))</f>
        <v>VERIFICAR</v>
      </c>
      <c r="AG3997" s="52"/>
      <c r="AH3997" s="87"/>
      <c r="AI3997" s="87"/>
    </row>
    <row r="3998" spans="1:35" ht="15.75" hidden="1" customHeight="1" thickBot="1">
      <c r="A3998" s="218" t="e">
        <f>"L"&amp;E3979</f>
        <v>#N/A</v>
      </c>
      <c r="B3998" s="702"/>
      <c r="C3998" s="751" t="s">
        <v>103</v>
      </c>
      <c r="D3998" s="751"/>
      <c r="E3998" s="752"/>
      <c r="F3998" s="557" t="e">
        <f>IF(VLOOKUP(E3979,PROPONENTES!$C$19:$E$218,3,0)="","",VLOOKUP(E3979,PROPONENTES!$C$19:$E$218,3,0))</f>
        <v>#N/A</v>
      </c>
      <c r="G3998" s="753" t="s">
        <v>104</v>
      </c>
      <c r="H3998" s="751"/>
      <c r="I3998" s="715" t="e">
        <f>IF(OR(F3998="",F3998=1),"INTERESADO PERSONA NATURAL O JURIDICA","CONSORCIO O UNION TEMPORAL")</f>
        <v>#N/A</v>
      </c>
      <c r="J3998" s="725"/>
      <c r="K3998" s="728"/>
      <c r="L3998" s="723"/>
      <c r="M3998" s="749"/>
      <c r="N3998" s="749"/>
      <c r="O3998" s="749"/>
      <c r="P3998" s="749"/>
      <c r="Q3998" s="750"/>
      <c r="R3998" s="712"/>
      <c r="S3998" s="750"/>
      <c r="T3998" s="763"/>
      <c r="U3998" s="108"/>
      <c r="Y3998" s="534"/>
      <c r="AA3998" s="52"/>
      <c r="AB3998" s="52"/>
      <c r="AC3998" s="52"/>
      <c r="AG3998" s="52"/>
      <c r="AH3998" s="87"/>
      <c r="AI3998" s="87"/>
    </row>
    <row r="3999" spans="1:35" ht="56.25" hidden="1" customHeight="1" thickBot="1">
      <c r="A3999" s="218" t="e">
        <f>"M"&amp;E3979</f>
        <v>#N/A</v>
      </c>
      <c r="B3999" s="702"/>
      <c r="C3999" s="725" t="s">
        <v>101</v>
      </c>
      <c r="D3999" s="716"/>
      <c r="E3999" s="558" t="s">
        <v>105</v>
      </c>
      <c r="F3999" s="554" t="s">
        <v>87</v>
      </c>
      <c r="G3999" s="553" t="s">
        <v>86</v>
      </c>
      <c r="H3999" s="559" t="s">
        <v>85</v>
      </c>
      <c r="I3999" s="554" t="s">
        <v>252</v>
      </c>
      <c r="J3999" s="553" t="str">
        <f>"¿EL INTEGRANTE TIENE UNA PARTICIPACIÓN DEL "&amp;PORCREQUERIDOINT*100&amp;"%?"</f>
        <v>¿EL INTEGRANTE TIENE UNA PARTICIPACIÓN DEL 60%?</v>
      </c>
      <c r="K3999" s="554" t="s">
        <v>107</v>
      </c>
      <c r="L3999" s="724"/>
      <c r="M3999" s="717" t="s">
        <v>115</v>
      </c>
      <c r="N3999" s="718"/>
      <c r="O3999" s="718"/>
      <c r="P3999" s="718"/>
      <c r="Q3999" s="223">
        <f>IF(AND(H3983="SI",P3983&gt;=0),1,0)+IF(AND(H3984="SI",P3984&gt;=0),1,0)+IF(AND(H3985="SI",P3985&gt;=0),1,0)+IF(AND(H3986="SI",P3986&gt;=0),1,0)+IF(AND(H3987="SI",P3987&gt;=0),1,0)+IF(AND(H3988="SI",P3988&gt;=0),1,0)+IF(AND(H3989="SI",P3989&gt;=0),1,0)+IF(AND(H3990="SI",P3990&gt;=0),1,0)+IF(AND(H3991="SI",P3991&gt;=0),1,0)+IF(AND(H3992="SI",P3992&gt;=0),1,0)</f>
        <v>0</v>
      </c>
      <c r="R3999" s="759"/>
      <c r="S3999" s="761"/>
      <c r="T3999" s="764"/>
      <c r="U3999" s="219"/>
      <c r="V3999" s="464"/>
      <c r="Y3999" s="532" t="s">
        <v>342</v>
      </c>
      <c r="AA3999" s="550" t="s">
        <v>344</v>
      </c>
      <c r="AB3999" s="693" t="s">
        <v>345</v>
      </c>
      <c r="AC3999" s="693" t="s">
        <v>346</v>
      </c>
      <c r="AD3999" s="685" t="s">
        <v>347</v>
      </c>
      <c r="AE3999" s="52"/>
      <c r="AF3999" s="52"/>
      <c r="AG3999" s="52"/>
      <c r="AH3999" s="87"/>
      <c r="AI3999" s="87"/>
    </row>
    <row r="4000" spans="1:35" ht="15.75" hidden="1" customHeight="1" thickBot="1">
      <c r="A4000" s="218" t="e">
        <f>"N"&amp;E3979</f>
        <v>#N/A</v>
      </c>
      <c r="B4000" s="702"/>
      <c r="C4000" s="114">
        <v>1</v>
      </c>
      <c r="D4000" s="194" t="e">
        <f>IF(AND(C4000&lt;=F3998,F3998&gt;1,F3998&lt;&gt;""),VLOOKUP(VALUE(E3979&amp;","&amp;C4000),INTEGRANTES!$D$18:$F$235,2,0),"")</f>
        <v>#N/A</v>
      </c>
      <c r="E4000" s="211" t="e">
        <f>IF(D4000&lt;&gt;"",VLOOKUP(VALUE(E3979&amp;","&amp;C4000),INTEGRANTES!$D$18:$F$235,3,0),"")</f>
        <v>#N/A</v>
      </c>
      <c r="F4000" s="547" t="e">
        <f>IF(D4000="","",SUMIF($I3983:$I3992,D4000,$P3983:$P3992))</f>
        <v>#N/A</v>
      </c>
      <c r="G4000" s="333" t="e">
        <f>IF(D4000="","",SUMIF($I3983:$I3992,D4000,$M3983:$M3992))</f>
        <v>#N/A</v>
      </c>
      <c r="H4000" s="535" t="e">
        <f t="shared" ref="H4000:H4005" si="1181">IF(D4000="","",IF(OR(F4000=0,G4000=0),"NO APORTA",ROUND($F4000/$G4000,3)))</f>
        <v>#N/A</v>
      </c>
      <c r="I4000" s="212" t="e">
        <f>IF(D4000="","",IF(H4000="NO APORTA","NO",IF(H4000=MAX($H4000:$H4005),"SI","NO")))</f>
        <v>#N/A</v>
      </c>
      <c r="J4000" s="213" t="e">
        <f t="shared" ref="J4000:J4005" si="1182">IF(D4000="","",IF(E4000&gt;=PORCREQUERIDOINT,"SI","NO"))</f>
        <v>#N/A</v>
      </c>
      <c r="K4000" s="200" t="e">
        <f t="shared" ref="K4000:K4005" si="1183">IF(D4000="","",IF(AND(I4000="SI",J4000="SI"),"CUMPLE",IF(AND(I4000="NO",OR(J4000="SI",J4000="NO")),"","NO CUMPLE")))</f>
        <v>#N/A</v>
      </c>
      <c r="L4000" s="722" t="s">
        <v>108</v>
      </c>
      <c r="M4000" s="726" t="s">
        <v>119</v>
      </c>
      <c r="N4000" s="726"/>
      <c r="O4000" s="726"/>
      <c r="P4000" s="726"/>
      <c r="Q4000" s="727"/>
      <c r="R4000" s="758" t="s">
        <v>80</v>
      </c>
      <c r="S4000" s="747"/>
      <c r="T4000" s="748"/>
      <c r="U4000" s="219"/>
      <c r="V4000" s="464"/>
      <c r="Y4000" s="533" t="e">
        <f>IF(Y3997="","",IF(Y3997="INDIVIDUAL","NO APLICA","VERIFICAR CUADRO"))</f>
        <v>#N/A</v>
      </c>
      <c r="AA4000" s="551"/>
      <c r="AB4000" s="694"/>
      <c r="AC4000" s="694"/>
      <c r="AD4000" s="686"/>
      <c r="AE4000" s="52"/>
      <c r="AF4000" s="52"/>
      <c r="AG4000" s="52"/>
      <c r="AH4000" s="87"/>
      <c r="AI4000" s="87"/>
    </row>
    <row r="4001" spans="1:35" ht="27" hidden="1" customHeight="1" thickBot="1">
      <c r="A4001" s="218" t="e">
        <f>"O"&amp;E3979</f>
        <v>#N/A</v>
      </c>
      <c r="B4001" s="702"/>
      <c r="C4001" s="114">
        <v>2</v>
      </c>
      <c r="D4001" s="194" t="e">
        <f>IF(AND(C4001&lt;=F3998,F3998&lt;&gt;""),VLOOKUP(VALUE(E3979&amp;","&amp;C4001),INTEGRANTES!$D$18:$F$235,2,0),"")</f>
        <v>#N/A</v>
      </c>
      <c r="E4001" s="211" t="e">
        <f>IF(D4001&lt;&gt;"",VLOOKUP(VALUE(E3979&amp;","&amp;C4001),INTEGRANTES!$D$18:$F$235,3,0),"")</f>
        <v>#N/A</v>
      </c>
      <c r="F4001" s="547" t="e">
        <f>IF(D4001="","",SUMIF($I3983:$I3992,D4001,$P3983:$P3992))</f>
        <v>#N/A</v>
      </c>
      <c r="G4001" s="333" t="e">
        <f>IF(D4001="","",SUMIF($I3983:$I3992,D4001,$M3983:$M3992))</f>
        <v>#N/A</v>
      </c>
      <c r="H4001" s="535" t="e">
        <f t="shared" si="1181"/>
        <v>#N/A</v>
      </c>
      <c r="I4001" s="212" t="e">
        <f>IF(D4001="","",IF(H4001="NO APORTA","NO",IF(H4001=MAX($H4000:$H4005),"SI","NO")))</f>
        <v>#N/A</v>
      </c>
      <c r="J4001" s="213" t="e">
        <f t="shared" si="1182"/>
        <v>#N/A</v>
      </c>
      <c r="K4001" s="200" t="e">
        <f t="shared" si="1183"/>
        <v>#N/A</v>
      </c>
      <c r="L4001" s="723"/>
      <c r="M4001" s="715" t="s">
        <v>116</v>
      </c>
      <c r="N4001" s="716"/>
      <c r="O4001" s="556" t="s">
        <v>113</v>
      </c>
      <c r="P4001" s="715" t="s">
        <v>117</v>
      </c>
      <c r="Q4001" s="728"/>
      <c r="R4001" s="759"/>
      <c r="S4001" s="760"/>
      <c r="T4001" s="761"/>
      <c r="U4001" s="219"/>
      <c r="V4001" s="464"/>
      <c r="Y4001" s="414"/>
      <c r="AA4001" s="542" t="e">
        <f>IF(AND(C4000&lt;=F3998,F3998&gt;1,F3998&lt;&gt;""),VLOOKUP(VALUE(E3979&amp;","&amp;C4000),INTEGRANTES!$D$18:$F$235,2,0),"")</f>
        <v>#N/A</v>
      </c>
      <c r="AB4001" s="544" t="e">
        <f t="shared" ref="AB4001:AB4006" si="1184">IF(D4000="","",IF(OR(F4000=0,G4000=0),"NO APORTA",ROUND($F4000/$G4000,3)))</f>
        <v>#N/A</v>
      </c>
      <c r="AC4001" s="529"/>
      <c r="AD4001" s="200" t="e">
        <f t="shared" ref="AD4001:AD4006" si="1185">IF(OR(AA4001="",AB4001=""),"",IF(AND(AC4001="X",AB4001&gt;=EXPREQVTD),"CUMPLE","NO CUMPLE"))</f>
        <v>#N/A</v>
      </c>
      <c r="AE4001" s="52"/>
      <c r="AF4001" s="52"/>
      <c r="AG4001" s="52"/>
      <c r="AH4001" s="87"/>
      <c r="AI4001" s="87"/>
    </row>
    <row r="4002" spans="1:35" ht="16.5" hidden="1" thickBot="1">
      <c r="A4002" s="218" t="e">
        <f>"P"&amp;E3979</f>
        <v>#N/A</v>
      </c>
      <c r="B4002" s="702"/>
      <c r="C4002" s="114">
        <v>3</v>
      </c>
      <c r="D4002" s="194" t="e">
        <f>IF(AND(C4002&lt;=F3998,F3998&lt;&gt;""),VLOOKUP(VALUE(E3979&amp;","&amp;C4002),INTEGRANTES!$D$18:$F$235,2,0),"")</f>
        <v>#N/A</v>
      </c>
      <c r="E4002" s="211" t="e">
        <f>IF(D4002&lt;&gt;"",VLOOKUP(VALUE(E3979&amp;","&amp;C4002),INTEGRANTES!$D$18:$F$235,3,0),"")</f>
        <v>#N/A</v>
      </c>
      <c r="F4002" s="547" t="e">
        <f>IF(D4002="","",SUMIF($I3983:$I3992,D4002,$P3983:$P3992))</f>
        <v>#N/A</v>
      </c>
      <c r="G4002" s="333" t="e">
        <f>IF(D4002="","",SUMIF($I3983:$I3992,D4002,$M3983:$M3992))</f>
        <v>#N/A</v>
      </c>
      <c r="H4002" s="535" t="e">
        <f t="shared" si="1181"/>
        <v>#N/A</v>
      </c>
      <c r="I4002" s="212" t="e">
        <f>IF(D4002="","",IF(H4002="NO APORTA","NO",IF(H4002=MAX($H4000:$H4005),"SI","NO")))</f>
        <v>#N/A</v>
      </c>
      <c r="J4002" s="213" t="e">
        <f t="shared" si="1182"/>
        <v>#N/A</v>
      </c>
      <c r="K4002" s="200" t="e">
        <f t="shared" si="1183"/>
        <v>#N/A</v>
      </c>
      <c r="L4002" s="724"/>
      <c r="M4002" s="729">
        <f>NUMMOD</f>
        <v>1</v>
      </c>
      <c r="N4002" s="730"/>
      <c r="O4002" s="443">
        <f>IF(M4002="","",VLOOKUP(M4002,PRESUPUESTOS!$B$16:$H$16,5,FALSE))</f>
        <v>2</v>
      </c>
      <c r="P4002" s="713">
        <f>IF(OR(COUNTIF(M3983:M3992,"")&gt;=10,Q3999&lt;NUMMINCONT,OR(T3997="NO CUMPLE",T3997="VERIFICAR")),0,ROUND(AVERAGE(M3983:M3992),3))</f>
        <v>0</v>
      </c>
      <c r="Q4002" s="714"/>
      <c r="R4002" s="458"/>
      <c r="S4002" s="459"/>
      <c r="T4002" s="460"/>
      <c r="U4002" s="219"/>
      <c r="V4002" s="464"/>
      <c r="Y4002" s="532" t="str">
        <f>"40% * ("&amp;PRESUPUESTOS!$H$13&amp;")"</f>
        <v>40% * (50% PFMO)</v>
      </c>
      <c r="AA4002" s="540" t="e">
        <f>IF(AND(C4001&lt;=F3998,F3998&lt;&gt;""),VLOOKUP(VALUE(E3979&amp;","&amp;C4001),INTEGRANTES!$D$18:$F$235,2,0),"")</f>
        <v>#N/A</v>
      </c>
      <c r="AB4002" s="545" t="e">
        <f t="shared" si="1184"/>
        <v>#N/A</v>
      </c>
      <c r="AC4002" s="529"/>
      <c r="AD4002" s="200" t="e">
        <f t="shared" si="1185"/>
        <v>#N/A</v>
      </c>
      <c r="AE4002" s="52"/>
      <c r="AF4002" s="52"/>
      <c r="AG4002" s="52"/>
      <c r="AH4002" s="87"/>
      <c r="AI4002" s="87"/>
    </row>
    <row r="4003" spans="1:35" ht="15.75" hidden="1" customHeight="1" thickBot="1">
      <c r="A4003" s="218" t="e">
        <f>"Q"&amp;E3979</f>
        <v>#N/A</v>
      </c>
      <c r="B4003" s="702"/>
      <c r="C4003" s="114">
        <v>4</v>
      </c>
      <c r="D4003" s="194" t="e">
        <f>IF(AND(C4003&lt;=F3998,F3998&lt;&gt;""),VLOOKUP(VALUE(E3979&amp;","&amp;C4003),INTEGRANTES!$D$18:$F$235,2,0),"")</f>
        <v>#N/A</v>
      </c>
      <c r="E4003" s="211" t="e">
        <f>IF(D4003&lt;&gt;"",VLOOKUP(VALUE(E3979&amp;","&amp;C4003),INTEGRANTES!$D$18:$F$235,3,0),"")</f>
        <v>#N/A</v>
      </c>
      <c r="F4003" s="547" t="e">
        <f>IF(D4003="","",SUMIF($I3983:$I3992,D4003,$P3983:$P3992))</f>
        <v>#N/A</v>
      </c>
      <c r="G4003" s="333" t="e">
        <f>IF(D4003="","",SUMIF($I3983:$I3992,D4003,$M3983:$M3992))</f>
        <v>#N/A</v>
      </c>
      <c r="H4003" s="535" t="e">
        <f t="shared" si="1181"/>
        <v>#N/A</v>
      </c>
      <c r="I4003" s="212" t="e">
        <f>IF(D4003="","",IF(H4003="NO APORTA","NO",IF(H4003=MAX($H4000:$H4005),"SI","NO")))</f>
        <v>#N/A</v>
      </c>
      <c r="J4003" s="213" t="e">
        <f t="shared" si="1182"/>
        <v>#N/A</v>
      </c>
      <c r="K4003" s="200" t="e">
        <f t="shared" si="1183"/>
        <v>#N/A</v>
      </c>
      <c r="L4003" s="720" t="s">
        <v>109</v>
      </c>
      <c r="M4003" s="757" t="s">
        <v>120</v>
      </c>
      <c r="N4003" s="726"/>
      <c r="O4003" s="726"/>
      <c r="P4003" s="726"/>
      <c r="Q4003" s="727"/>
      <c r="R4003" s="458"/>
      <c r="S4003" s="459"/>
      <c r="T4003" s="460"/>
      <c r="U4003" s="219"/>
      <c r="V4003" s="464"/>
      <c r="Y4003" s="537">
        <f>0.4*PRESUPUESTOS!$H$16</f>
        <v>10.3124</v>
      </c>
      <c r="AA4003" s="540" t="e">
        <f>IF(AND(C4002&lt;=F3998,F3998&lt;&gt;""),VLOOKUP(VALUE(E3979&amp;","&amp;C4002),INTEGRANTES!$D$18:$F$235,2,0),"")</f>
        <v>#N/A</v>
      </c>
      <c r="AB4003" s="545" t="e">
        <f t="shared" si="1184"/>
        <v>#N/A</v>
      </c>
      <c r="AC4003" s="529"/>
      <c r="AD4003" s="200" t="e">
        <f t="shared" si="1185"/>
        <v>#N/A</v>
      </c>
      <c r="AE4003" s="52"/>
      <c r="AF4003" s="52"/>
      <c r="AG4003" s="52"/>
      <c r="AH4003" s="87"/>
      <c r="AI4003" s="87"/>
    </row>
    <row r="4004" spans="1:35" ht="27" hidden="1" customHeight="1" thickBot="1">
      <c r="A4004" s="218" t="e">
        <f>"R"&amp;E3979</f>
        <v>#N/A</v>
      </c>
      <c r="B4004" s="702"/>
      <c r="C4004" s="114">
        <v>5</v>
      </c>
      <c r="D4004" s="194" t="e">
        <f>IF(AND(C4004&lt;=F3998,F3998&lt;&gt;""),VLOOKUP(VALUE(E3979&amp;","&amp;C4004),INTEGRANTES!$D$18:$F$235,2,0),"")</f>
        <v>#N/A</v>
      </c>
      <c r="E4004" s="211" t="e">
        <f>IF(D4004&lt;&gt;"",VLOOKUP(VALUE(E3979&amp;","&amp;C4004),INTEGRANTES!$D$18:$F$235,3,0),"")</f>
        <v>#N/A</v>
      </c>
      <c r="F4004" s="547" t="e">
        <f>IF(D4004="","",SUMIF($I3983:$I3992,D4004,$P3983:$P3992))</f>
        <v>#N/A</v>
      </c>
      <c r="G4004" s="333" t="e">
        <f>IF(D4004="","",SUMIF($I3983:$I3992,D4004,$M3983:$M3992))</f>
        <v>#N/A</v>
      </c>
      <c r="H4004" s="535" t="e">
        <f t="shared" si="1181"/>
        <v>#N/A</v>
      </c>
      <c r="I4004" s="212" t="e">
        <f>IF(D4004="","",IF(H4004="NO APORTA","NO",IF(H4004=MAX($H4000:$H4005),"SI","NO")))</f>
        <v>#N/A</v>
      </c>
      <c r="J4004" s="213" t="e">
        <f t="shared" si="1182"/>
        <v>#N/A</v>
      </c>
      <c r="K4004" s="200" t="e">
        <f t="shared" si="1183"/>
        <v>#N/A</v>
      </c>
      <c r="L4004" s="721"/>
      <c r="M4004" s="715" t="s">
        <v>116</v>
      </c>
      <c r="N4004" s="716"/>
      <c r="O4004" s="556" t="str">
        <f>PORCREQUERIDO*100&amp;"% PMFO DEL MÓDULO"</f>
        <v>50% PMFO DEL MÓDULO</v>
      </c>
      <c r="P4004" s="715" t="s">
        <v>118</v>
      </c>
      <c r="Q4004" s="728"/>
      <c r="R4004" s="458"/>
      <c r="S4004" s="459"/>
      <c r="T4004" s="460"/>
      <c r="U4004" s="219"/>
      <c r="V4004" s="464"/>
      <c r="Y4004" s="414"/>
      <c r="AA4004" s="540" t="e">
        <f>IF(AND(C4003&lt;=F3998,F3998&lt;&gt;""),VLOOKUP(VALUE(E3979&amp;","&amp;C4003),INTEGRANTES!$D$18:$F$235,2,0),"")</f>
        <v>#N/A</v>
      </c>
      <c r="AB4004" s="545" t="e">
        <f t="shared" si="1184"/>
        <v>#N/A</v>
      </c>
      <c r="AC4004" s="529"/>
      <c r="AD4004" s="200" t="e">
        <f t="shared" si="1185"/>
        <v>#N/A</v>
      </c>
      <c r="AE4004" s="52"/>
      <c r="AF4004" s="52"/>
      <c r="AG4004" s="52"/>
      <c r="AH4004" s="87"/>
      <c r="AI4004" s="87"/>
    </row>
    <row r="4005" spans="1:35" ht="16.5" hidden="1" thickBot="1">
      <c r="A4005" s="218" t="e">
        <f>"S"&amp;E3979</f>
        <v>#N/A</v>
      </c>
      <c r="B4005" s="702"/>
      <c r="C4005" s="215">
        <v>6</v>
      </c>
      <c r="D4005" s="216" t="e">
        <f>IF(AND(C4005&lt;=F3998,F3998&lt;&gt;""),VLOOKUP(VALUE(E3979&amp;","&amp;C4005),INTEGRANTES!$D$18:$F$235,2,0),"")</f>
        <v>#N/A</v>
      </c>
      <c r="E4005" s="217" t="e">
        <f>IF(D4005&lt;&gt;"",VLOOKUP(VALUE(E3979&amp;","&amp;C4005),INTEGRANTES!$D$18:$F$235,3,0),"")</f>
        <v>#N/A</v>
      </c>
      <c r="F4005" s="548" t="e">
        <f>IF(D4005="","",SUMIF($I3983:$I3992,D4005,$P3983:$P3992))</f>
        <v>#N/A</v>
      </c>
      <c r="G4005" s="334" t="e">
        <f>IF(D4005="","",SUMIF($I3983:$I3992,D4005,$M3983:$M3992))</f>
        <v>#N/A</v>
      </c>
      <c r="H4005" s="536" t="e">
        <f t="shared" si="1181"/>
        <v>#N/A</v>
      </c>
      <c r="I4005" s="214" t="e">
        <f>IF(D4005="","",IF(H4005="NO APORTA","NO",IF(H4005=MAX($H4000:$H4005),"SI","NO")))</f>
        <v>#N/A</v>
      </c>
      <c r="J4005" s="213" t="e">
        <f t="shared" si="1182"/>
        <v>#N/A</v>
      </c>
      <c r="K4005" s="200" t="e">
        <f t="shared" si="1183"/>
        <v>#N/A</v>
      </c>
      <c r="L4005" s="721"/>
      <c r="M4005" s="729">
        <f>NUMMOD</f>
        <v>1</v>
      </c>
      <c r="N4005" s="730"/>
      <c r="O4005" s="443">
        <f>IF(M4005="","",ROUND(VLOOKUP(M4005,PRESUPUESTOS!$B$16:$H$16,7,FALSE),3))</f>
        <v>25.780999999999999</v>
      </c>
      <c r="P4005" s="713">
        <f>IF(OR(COUNTIF(P3983:P3992,"")&gt;=10,Q3999&lt;NUMMINCONT,OR(T3997="NO CUMPLE",T3997="VERIFICAR")),0,ROUND((SUM(P3983:P3992)/SUM(M3983:M3992)),3))</f>
        <v>0</v>
      </c>
      <c r="Q4005" s="714"/>
      <c r="R4005" s="458"/>
      <c r="S4005" s="459"/>
      <c r="T4005" s="460"/>
      <c r="U4005" s="219"/>
      <c r="V4005" s="464"/>
      <c r="Y4005" s="532" t="s">
        <v>343</v>
      </c>
      <c r="AA4005" s="540" t="e">
        <f>IF(AND(C4004&lt;=F3998,F3998&lt;&gt;""),VLOOKUP(VALUE(E3979&amp;","&amp;C4004),INTEGRANTES!$D$18:$F$235,2,0),"")</f>
        <v>#N/A</v>
      </c>
      <c r="AB4005" s="545" t="e">
        <f t="shared" si="1184"/>
        <v>#N/A</v>
      </c>
      <c r="AC4005" s="529"/>
      <c r="AD4005" s="200" t="e">
        <f t="shared" si="1185"/>
        <v>#N/A</v>
      </c>
      <c r="AE4005" s="52"/>
      <c r="AF4005" s="52"/>
      <c r="AG4005" s="52"/>
      <c r="AH4005" s="87"/>
      <c r="AI4005" s="87"/>
    </row>
    <row r="4006" spans="1:35" ht="16.5" hidden="1" customHeight="1" thickBot="1">
      <c r="A4006" s="218" t="e">
        <f>"T"&amp;E3979</f>
        <v>#N/A</v>
      </c>
      <c r="B4006" s="703"/>
      <c r="C4006" s="719"/>
      <c r="D4006" s="719"/>
      <c r="E4006" s="719"/>
      <c r="F4006" s="719"/>
      <c r="G4006" s="719"/>
      <c r="H4006" s="719" t="s">
        <v>110</v>
      </c>
      <c r="I4006" s="719"/>
      <c r="J4006" s="719"/>
      <c r="K4006" s="201" t="str">
        <f>IF(COUNTIF(K4000:K4005,"")=6,"",IF(COUNTIF(K4000:K4005,"CUMPLE")&gt;0,"CUMPLE","NO CUMPLE"))</f>
        <v>NO CUMPLE</v>
      </c>
      <c r="L4006" s="754"/>
      <c r="M4006" s="755"/>
      <c r="N4006" s="755"/>
      <c r="O4006" s="755"/>
      <c r="P4006" s="755"/>
      <c r="Q4006" s="756"/>
      <c r="R4006" s="461"/>
      <c r="S4006" s="462"/>
      <c r="T4006" s="463"/>
      <c r="U4006" s="219"/>
      <c r="V4006" s="464"/>
      <c r="Y4006" s="549" t="e">
        <f>IF(Y4000="NO APLICA","NO APLICA",IF(COUNTIF(AD4001:AD4006,"CUMPLE")&gt;0,"CUMPLE","NO CUMPLE"))</f>
        <v>#N/A</v>
      </c>
      <c r="AA4006" s="541" t="e">
        <f>IF(AND(C4005&lt;=F3998,F3998&lt;&gt;""),VLOOKUP(VALUE(E3979&amp;","&amp;C4005),INTEGRANTES!$D$18:$F$235,2,0),"")</f>
        <v>#N/A</v>
      </c>
      <c r="AB4006" s="546" t="e">
        <f t="shared" si="1184"/>
        <v>#N/A</v>
      </c>
      <c r="AC4006" s="543"/>
      <c r="AD4006" s="201" t="e">
        <f t="shared" si="1185"/>
        <v>#N/A</v>
      </c>
      <c r="AE4006" s="52"/>
      <c r="AF4006" s="52"/>
      <c r="AG4006" s="52"/>
      <c r="AH4006" s="87"/>
      <c r="AI4006" s="87"/>
    </row>
    <row r="4007" spans="1:35" hidden="1">
      <c r="AH4007" s="87"/>
      <c r="AI4007" s="87"/>
    </row>
    <row r="4008" spans="1:35" hidden="1">
      <c r="AH4008" s="87"/>
      <c r="AI4008" s="87"/>
    </row>
    <row r="4009" spans="1:35" ht="24" hidden="1" thickBot="1">
      <c r="A4009" s="61">
        <v>134</v>
      </c>
      <c r="B4009" s="704" t="s">
        <v>51</v>
      </c>
      <c r="C4009" s="704"/>
      <c r="D4009" s="704"/>
      <c r="E4009" s="62" t="e">
        <f>VLOOKUP(A4009,PROPONENTES!$B$19:$E$218,2,FALSE)</f>
        <v>#N/A</v>
      </c>
      <c r="F4009" s="63" t="e">
        <f>VLOOKUP(A4009,PROPONENTES!$B$19:$E$218,3,FALSE)</f>
        <v>#N/A</v>
      </c>
      <c r="G4009" s="64"/>
      <c r="H4009" s="64"/>
      <c r="I4009" s="63"/>
      <c r="J4009" s="63"/>
      <c r="K4009" s="65"/>
      <c r="L4009" s="65"/>
      <c r="M4009" s="64"/>
      <c r="N4009" s="64"/>
      <c r="O4009" s="66"/>
      <c r="P4009" s="66"/>
      <c r="Q4009" s="66"/>
      <c r="R4009" s="66"/>
      <c r="S4009" s="67"/>
      <c r="T4009" s="68"/>
      <c r="U4009" s="68"/>
      <c r="AC4009" s="68"/>
      <c r="AD4009" s="68"/>
      <c r="AE4009" s="68"/>
      <c r="AF4009" s="68"/>
      <c r="AG4009" s="68"/>
      <c r="AH4009" s="87"/>
      <c r="AI4009" s="87"/>
    </row>
    <row r="4010" spans="1:35" ht="15.75" hidden="1" customHeight="1">
      <c r="A4010" s="44"/>
      <c r="B4010" s="709" t="s">
        <v>59</v>
      </c>
      <c r="C4010" s="552" t="s">
        <v>60</v>
      </c>
      <c r="D4010" s="70" t="s">
        <v>17</v>
      </c>
      <c r="E4010" s="70"/>
      <c r="F4010" s="70" t="s">
        <v>61</v>
      </c>
      <c r="G4010" s="71"/>
      <c r="H4010" s="699" t="s">
        <v>62</v>
      </c>
      <c r="I4010" s="699" t="s">
        <v>18</v>
      </c>
      <c r="J4010" s="699" t="s">
        <v>63</v>
      </c>
      <c r="K4010" s="699" t="s">
        <v>64</v>
      </c>
      <c r="L4010" s="699" t="s">
        <v>65</v>
      </c>
      <c r="M4010" s="743" t="s">
        <v>66</v>
      </c>
      <c r="N4010" s="699" t="s">
        <v>282</v>
      </c>
      <c r="O4010" s="745" t="s">
        <v>67</v>
      </c>
      <c r="P4010" s="746"/>
      <c r="Q4010" s="102" t="s">
        <v>75</v>
      </c>
      <c r="R4010" s="731" t="s">
        <v>22</v>
      </c>
      <c r="S4010" s="732"/>
      <c r="T4010" s="733"/>
      <c r="U4010" s="712" t="s">
        <v>298</v>
      </c>
      <c r="W4010" s="690" t="s">
        <v>268</v>
      </c>
      <c r="X4010" s="691"/>
      <c r="Y4010" s="692"/>
      <c r="Z4010" s="428"/>
      <c r="AA4010" s="697" t="s">
        <v>315</v>
      </c>
      <c r="AB4010" s="695" t="s">
        <v>322</v>
      </c>
      <c r="AC4010" s="49"/>
      <c r="AD4010" s="690" t="s">
        <v>297</v>
      </c>
      <c r="AE4010" s="691"/>
      <c r="AF4010" s="692"/>
      <c r="AG4010" s="49"/>
      <c r="AH4010" s="87"/>
      <c r="AI4010" s="87"/>
    </row>
    <row r="4011" spans="1:35" ht="72" hidden="1">
      <c r="A4011" s="44"/>
      <c r="B4011" s="710"/>
      <c r="C4011" s="553" t="s">
        <v>68</v>
      </c>
      <c r="D4011" s="73" t="s">
        <v>3</v>
      </c>
      <c r="E4011" s="73" t="s">
        <v>19</v>
      </c>
      <c r="F4011" s="73" t="s">
        <v>69</v>
      </c>
      <c r="G4011" s="74" t="s">
        <v>70</v>
      </c>
      <c r="H4011" s="700"/>
      <c r="I4011" s="700"/>
      <c r="J4011" s="700"/>
      <c r="K4011" s="700"/>
      <c r="L4011" s="700"/>
      <c r="M4011" s="744"/>
      <c r="N4011" s="700"/>
      <c r="O4011" s="553" t="s">
        <v>279</v>
      </c>
      <c r="P4011" s="73" t="s">
        <v>88</v>
      </c>
      <c r="Q4011" s="555" t="s">
        <v>76</v>
      </c>
      <c r="R4011" s="734"/>
      <c r="S4011" s="735"/>
      <c r="T4011" s="736"/>
      <c r="U4011" s="712"/>
      <c r="W4011" s="429" t="s">
        <v>269</v>
      </c>
      <c r="X4011" s="457" t="s">
        <v>278</v>
      </c>
      <c r="Y4011" s="430" t="s">
        <v>324</v>
      </c>
      <c r="Z4011" s="428"/>
      <c r="AA4011" s="698"/>
      <c r="AB4011" s="696"/>
      <c r="AC4011" s="49"/>
      <c r="AD4011" s="429" t="s">
        <v>292</v>
      </c>
      <c r="AE4011" s="431" t="s">
        <v>300</v>
      </c>
      <c r="AF4011" s="468" t="s">
        <v>301</v>
      </c>
      <c r="AG4011" s="49"/>
      <c r="AH4011" s="87"/>
      <c r="AI4011" s="87"/>
    </row>
    <row r="4012" spans="1:35" hidden="1">
      <c r="A4012" s="44"/>
      <c r="B4012" s="76"/>
      <c r="C4012" s="77"/>
      <c r="D4012" s="77"/>
      <c r="E4012" s="77"/>
      <c r="F4012" s="77"/>
      <c r="G4012" s="77"/>
      <c r="H4012" s="77"/>
      <c r="I4012" s="77"/>
      <c r="J4012" s="77"/>
      <c r="K4012" s="77"/>
      <c r="L4012" s="77"/>
      <c r="M4012" s="77"/>
      <c r="N4012" s="77"/>
      <c r="O4012" s="77"/>
      <c r="P4012" s="77"/>
      <c r="Q4012" s="77"/>
      <c r="R4012" s="77"/>
      <c r="S4012" s="78"/>
      <c r="T4012" s="79"/>
      <c r="U4012" s="109"/>
      <c r="V4012" s="49"/>
      <c r="W4012" s="432"/>
      <c r="X4012" s="454"/>
      <c r="Y4012" s="433"/>
      <c r="Z4012" s="6"/>
      <c r="AA4012" s="500"/>
      <c r="AB4012" s="562"/>
      <c r="AC4012" s="49"/>
      <c r="AD4012" s="210"/>
      <c r="AE4012" s="434"/>
      <c r="AF4012" s="435"/>
      <c r="AG4012" s="49"/>
      <c r="AH4012" s="87"/>
      <c r="AI4012" s="87"/>
    </row>
    <row r="4013" spans="1:35" hidden="1">
      <c r="A4013" s="80" t="e">
        <f>"A"&amp;E4009</f>
        <v>#N/A</v>
      </c>
      <c r="B4013" s="81">
        <v>1</v>
      </c>
      <c r="C4013" s="82"/>
      <c r="D4013" s="82"/>
      <c r="E4013" s="82"/>
      <c r="F4013" s="82"/>
      <c r="G4013" s="83"/>
      <c r="H4013" s="83"/>
      <c r="I4013" s="84"/>
      <c r="J4013" s="85"/>
      <c r="K4013" s="382"/>
      <c r="L4013" s="85"/>
      <c r="M4013" s="332" t="str">
        <f t="shared" ref="M4013:M4022" si="1186">IF(OR(J4013="",L4013="",H4013="NO"),"",IF(OR(J4013&gt;$P$17,J4013&lt;$O$17,L4013&gt;$P$17,AND(J4013&lt;$O$17,L4013&lt;$O$17)),"FUERA DE RANGO",IF(OR(K4013="---",K4013=""),IF(J4013&gt;=$O$17,ROUND((L4013-J4013+1)/360*12,3),ROUND((L4013-$O$17+1)/360*12,3)),IF(J4013&gt;=$O$17,ROUND((L4013-J4013+1)/360*12-ROUND(K4013,3),3),ROUND((L4013-$O$17+1)/360*12-ROUND(K4013,3),3)))))</f>
        <v/>
      </c>
      <c r="N4013" s="86"/>
      <c r="O4013" s="453" t="str">
        <f>IF(OR(G4013="",N4013=""),"",N4013*G4013)</f>
        <v/>
      </c>
      <c r="P4013" s="538" t="str">
        <f>IF(OR(H4013="",M4013="FUERA DE RANGO"),"",IF(OR(L4013&lt;$O$17,L4013&gt;$P$17,L4013="",H4013="NO"),"",IF(OR(N4013="",O4013=""),"",ROUND(O4013,3))))</f>
        <v/>
      </c>
      <c r="Q4013" s="539" t="str">
        <f t="shared" ref="Q4013:Q4022" si="1187">IF(AND(H4013="SI",P4013&lt;&gt;""),ROUND(P4013/M4013,3),"")</f>
        <v/>
      </c>
      <c r="R4013" s="737"/>
      <c r="S4013" s="738"/>
      <c r="T4013" s="739"/>
      <c r="U4013" s="470"/>
      <c r="V4013" s="165"/>
      <c r="W4013" s="446"/>
      <c r="X4013" s="456"/>
      <c r="Y4013" s="436"/>
      <c r="Z4013" s="437"/>
      <c r="AA4013" s="560"/>
      <c r="AB4013" s="561"/>
      <c r="AC4013" s="87"/>
      <c r="AD4013" s="466"/>
      <c r="AE4013" s="456"/>
      <c r="AF4013" s="467"/>
      <c r="AG4013" s="87"/>
      <c r="AH4013" s="87"/>
      <c r="AI4013" s="87"/>
    </row>
    <row r="4014" spans="1:35" hidden="1">
      <c r="A4014" s="80" t="e">
        <f>"B"&amp;E4009</f>
        <v>#N/A</v>
      </c>
      <c r="B4014" s="81">
        <v>2</v>
      </c>
      <c r="C4014" s="106"/>
      <c r="D4014" s="106"/>
      <c r="E4014" s="106"/>
      <c r="F4014" s="106"/>
      <c r="G4014" s="83"/>
      <c r="H4014" s="83"/>
      <c r="I4014" s="84"/>
      <c r="J4014" s="85"/>
      <c r="K4014" s="382"/>
      <c r="L4014" s="85"/>
      <c r="M4014" s="332" t="str">
        <f t="shared" si="1186"/>
        <v/>
      </c>
      <c r="N4014" s="86"/>
      <c r="O4014" s="453" t="str">
        <f t="shared" ref="O4014:O4022" si="1188">IF(OR(G4014="",N4014=""),"",N4014*G4014)</f>
        <v/>
      </c>
      <c r="P4014" s="538" t="str">
        <f t="shared" ref="P4014:P4022" si="1189">IF(OR(H4014="",M4014="FUERA DE RANGO"),"",IF(OR(L4014&lt;$O$17,L4014&gt;$P$17,L4014="",H4014="NO"),"",IF(OR(N4014="",O4014=""),"",ROUND(O4014,3))))</f>
        <v/>
      </c>
      <c r="Q4014" s="539" t="str">
        <f t="shared" si="1187"/>
        <v/>
      </c>
      <c r="R4014" s="740"/>
      <c r="S4014" s="741"/>
      <c r="T4014" s="742"/>
      <c r="U4014" s="471"/>
      <c r="V4014" s="165"/>
      <c r="W4014" s="446"/>
      <c r="X4014" s="456"/>
      <c r="Y4014" s="436"/>
      <c r="Z4014" s="437"/>
      <c r="AA4014" s="560"/>
      <c r="AB4014" s="561"/>
      <c r="AC4014" s="87"/>
      <c r="AD4014" s="466"/>
      <c r="AE4014" s="456"/>
      <c r="AF4014" s="467"/>
      <c r="AG4014" s="87"/>
      <c r="AH4014" s="87"/>
      <c r="AI4014" s="87"/>
    </row>
    <row r="4015" spans="1:35" hidden="1">
      <c r="A4015" s="80" t="e">
        <f>"C"&amp;E4009</f>
        <v>#N/A</v>
      </c>
      <c r="B4015" s="88">
        <v>3</v>
      </c>
      <c r="C4015" s="82"/>
      <c r="D4015" s="82"/>
      <c r="E4015" s="82"/>
      <c r="F4015" s="82"/>
      <c r="G4015" s="83"/>
      <c r="H4015" s="83"/>
      <c r="I4015" s="84"/>
      <c r="J4015" s="85"/>
      <c r="K4015" s="382"/>
      <c r="L4015" s="85"/>
      <c r="M4015" s="332" t="str">
        <f t="shared" si="1186"/>
        <v/>
      </c>
      <c r="N4015" s="86"/>
      <c r="O4015" s="453" t="str">
        <f t="shared" si="1188"/>
        <v/>
      </c>
      <c r="P4015" s="538" t="str">
        <f t="shared" si="1189"/>
        <v/>
      </c>
      <c r="Q4015" s="539" t="str">
        <f t="shared" si="1187"/>
        <v/>
      </c>
      <c r="R4015" s="706"/>
      <c r="S4015" s="707"/>
      <c r="T4015" s="708"/>
      <c r="U4015" s="472"/>
      <c r="V4015" s="166"/>
      <c r="W4015" s="446"/>
      <c r="X4015" s="456"/>
      <c r="Y4015" s="436"/>
      <c r="Z4015" s="437"/>
      <c r="AA4015" s="560"/>
      <c r="AB4015" s="561"/>
      <c r="AC4015" s="87"/>
      <c r="AD4015" s="466"/>
      <c r="AE4015" s="456"/>
      <c r="AF4015" s="467"/>
      <c r="AG4015" s="87"/>
      <c r="AH4015" s="87"/>
      <c r="AI4015" s="87"/>
    </row>
    <row r="4016" spans="1:35" hidden="1">
      <c r="A4016" s="80" t="e">
        <f>"D"&amp;E4009</f>
        <v>#N/A</v>
      </c>
      <c r="B4016" s="105">
        <v>4</v>
      </c>
      <c r="C4016" s="107"/>
      <c r="D4016" s="107"/>
      <c r="E4016" s="107"/>
      <c r="F4016" s="107"/>
      <c r="G4016" s="83"/>
      <c r="H4016" s="83"/>
      <c r="I4016" s="84"/>
      <c r="J4016" s="85"/>
      <c r="K4016" s="382"/>
      <c r="L4016" s="85"/>
      <c r="M4016" s="332" t="str">
        <f t="shared" si="1186"/>
        <v/>
      </c>
      <c r="N4016" s="86"/>
      <c r="O4016" s="453" t="str">
        <f t="shared" si="1188"/>
        <v/>
      </c>
      <c r="P4016" s="538" t="str">
        <f t="shared" si="1189"/>
        <v/>
      </c>
      <c r="Q4016" s="539" t="str">
        <f t="shared" si="1187"/>
        <v/>
      </c>
      <c r="R4016" s="706"/>
      <c r="S4016" s="707"/>
      <c r="T4016" s="708"/>
      <c r="U4016" s="472"/>
      <c r="V4016" s="166"/>
      <c r="W4016" s="446"/>
      <c r="X4016" s="456"/>
      <c r="Y4016" s="436"/>
      <c r="Z4016" s="437"/>
      <c r="AA4016" s="560"/>
      <c r="AB4016" s="561"/>
      <c r="AC4016" s="87"/>
      <c r="AD4016" s="466"/>
      <c r="AE4016" s="456"/>
      <c r="AF4016" s="467"/>
      <c r="AG4016" s="87"/>
      <c r="AH4016" s="87"/>
      <c r="AI4016" s="87"/>
    </row>
    <row r="4017" spans="1:35" hidden="1">
      <c r="A4017" s="80" t="e">
        <f>"E"&amp;E4009</f>
        <v>#N/A</v>
      </c>
      <c r="B4017" s="105">
        <v>5</v>
      </c>
      <c r="C4017" s="107"/>
      <c r="D4017" s="107"/>
      <c r="E4017" s="107"/>
      <c r="F4017" s="107"/>
      <c r="G4017" s="83"/>
      <c r="H4017" s="83"/>
      <c r="I4017" s="84"/>
      <c r="J4017" s="85"/>
      <c r="K4017" s="382"/>
      <c r="L4017" s="85"/>
      <c r="M4017" s="332" t="str">
        <f t="shared" si="1186"/>
        <v/>
      </c>
      <c r="N4017" s="86"/>
      <c r="O4017" s="453" t="str">
        <f t="shared" si="1188"/>
        <v/>
      </c>
      <c r="P4017" s="538" t="str">
        <f t="shared" si="1189"/>
        <v/>
      </c>
      <c r="Q4017" s="539" t="str">
        <f t="shared" si="1187"/>
        <v/>
      </c>
      <c r="R4017" s="706"/>
      <c r="S4017" s="707"/>
      <c r="T4017" s="708"/>
      <c r="U4017" s="472"/>
      <c r="V4017" s="167"/>
      <c r="W4017" s="446"/>
      <c r="X4017" s="456"/>
      <c r="Y4017" s="436"/>
      <c r="Z4017" s="437"/>
      <c r="AA4017" s="560"/>
      <c r="AB4017" s="561"/>
      <c r="AC4017" s="87"/>
      <c r="AD4017" s="466"/>
      <c r="AE4017" s="456"/>
      <c r="AF4017" s="467"/>
      <c r="AG4017" s="87"/>
      <c r="AH4017" s="87"/>
      <c r="AI4017" s="87"/>
    </row>
    <row r="4018" spans="1:35" hidden="1">
      <c r="A4018" s="80" t="e">
        <f>"F"&amp;E4009</f>
        <v>#N/A</v>
      </c>
      <c r="B4018" s="105">
        <v>6</v>
      </c>
      <c r="C4018" s="107"/>
      <c r="D4018" s="107"/>
      <c r="E4018" s="107"/>
      <c r="F4018" s="107"/>
      <c r="G4018" s="83"/>
      <c r="H4018" s="83"/>
      <c r="I4018" s="84"/>
      <c r="J4018" s="85"/>
      <c r="K4018" s="382"/>
      <c r="L4018" s="85"/>
      <c r="M4018" s="332" t="str">
        <f t="shared" si="1186"/>
        <v/>
      </c>
      <c r="N4018" s="86"/>
      <c r="O4018" s="453" t="str">
        <f t="shared" si="1188"/>
        <v/>
      </c>
      <c r="P4018" s="538" t="str">
        <f t="shared" si="1189"/>
        <v/>
      </c>
      <c r="Q4018" s="539" t="str">
        <f t="shared" si="1187"/>
        <v/>
      </c>
      <c r="R4018" s="706"/>
      <c r="S4018" s="707"/>
      <c r="T4018" s="708"/>
      <c r="U4018" s="472"/>
      <c r="V4018" s="167"/>
      <c r="W4018" s="446"/>
      <c r="X4018" s="456"/>
      <c r="Y4018" s="436"/>
      <c r="Z4018" s="437"/>
      <c r="AA4018" s="560"/>
      <c r="AB4018" s="561"/>
      <c r="AC4018" s="87"/>
      <c r="AD4018" s="466"/>
      <c r="AE4018" s="456"/>
      <c r="AF4018" s="467"/>
      <c r="AG4018" s="87"/>
      <c r="AH4018" s="87"/>
      <c r="AI4018" s="87"/>
    </row>
    <row r="4019" spans="1:35" hidden="1">
      <c r="A4019" s="80" t="e">
        <f>"G"&amp;E4009</f>
        <v>#N/A</v>
      </c>
      <c r="B4019" s="105">
        <v>7</v>
      </c>
      <c r="C4019" s="107"/>
      <c r="D4019" s="107"/>
      <c r="E4019" s="107"/>
      <c r="F4019" s="107"/>
      <c r="G4019" s="83"/>
      <c r="H4019" s="83"/>
      <c r="I4019" s="84"/>
      <c r="J4019" s="85"/>
      <c r="K4019" s="382"/>
      <c r="L4019" s="85"/>
      <c r="M4019" s="332" t="str">
        <f t="shared" si="1186"/>
        <v/>
      </c>
      <c r="N4019" s="86"/>
      <c r="O4019" s="86" t="str">
        <f t="shared" si="1188"/>
        <v/>
      </c>
      <c r="P4019" s="538" t="str">
        <f t="shared" si="1189"/>
        <v/>
      </c>
      <c r="Q4019" s="539" t="str">
        <f t="shared" si="1187"/>
        <v/>
      </c>
      <c r="R4019" s="706"/>
      <c r="S4019" s="707"/>
      <c r="T4019" s="708"/>
      <c r="U4019" s="472"/>
      <c r="V4019" s="167"/>
      <c r="W4019" s="446"/>
      <c r="X4019" s="456"/>
      <c r="Y4019" s="436"/>
      <c r="Z4019" s="437"/>
      <c r="AA4019" s="560"/>
      <c r="AB4019" s="561"/>
      <c r="AC4019" s="87"/>
      <c r="AD4019" s="466"/>
      <c r="AE4019" s="456"/>
      <c r="AF4019" s="467"/>
      <c r="AG4019" s="87"/>
      <c r="AH4019" s="87"/>
      <c r="AI4019" s="87"/>
    </row>
    <row r="4020" spans="1:35" hidden="1">
      <c r="A4020" s="80" t="e">
        <f>"H"&amp;E4009</f>
        <v>#N/A</v>
      </c>
      <c r="B4020" s="105">
        <v>8</v>
      </c>
      <c r="C4020" s="107"/>
      <c r="D4020" s="107"/>
      <c r="E4020" s="107"/>
      <c r="F4020" s="107"/>
      <c r="G4020" s="83"/>
      <c r="H4020" s="83"/>
      <c r="I4020" s="84"/>
      <c r="J4020" s="85"/>
      <c r="K4020" s="382"/>
      <c r="L4020" s="85"/>
      <c r="M4020" s="332" t="str">
        <f t="shared" si="1186"/>
        <v/>
      </c>
      <c r="N4020" s="453"/>
      <c r="O4020" s="86" t="str">
        <f t="shared" si="1188"/>
        <v/>
      </c>
      <c r="P4020" s="538" t="str">
        <f t="shared" si="1189"/>
        <v/>
      </c>
      <c r="Q4020" s="539" t="str">
        <f t="shared" si="1187"/>
        <v/>
      </c>
      <c r="R4020" s="706"/>
      <c r="S4020" s="707"/>
      <c r="T4020" s="708"/>
      <c r="U4020" s="472"/>
      <c r="V4020" s="167"/>
      <c r="W4020" s="446"/>
      <c r="X4020" s="456"/>
      <c r="Y4020" s="436"/>
      <c r="Z4020" s="437"/>
      <c r="AA4020" s="560"/>
      <c r="AB4020" s="561"/>
      <c r="AC4020" s="87"/>
      <c r="AD4020" s="466"/>
      <c r="AE4020" s="456"/>
      <c r="AF4020" s="467"/>
      <c r="AG4020" s="87"/>
      <c r="AH4020" s="87"/>
      <c r="AI4020" s="87"/>
    </row>
    <row r="4021" spans="1:35" hidden="1">
      <c r="A4021" s="80" t="e">
        <f>"I"&amp;E4009</f>
        <v>#N/A</v>
      </c>
      <c r="B4021" s="105">
        <v>9</v>
      </c>
      <c r="C4021" s="107"/>
      <c r="D4021" s="107"/>
      <c r="E4021" s="107"/>
      <c r="F4021" s="107"/>
      <c r="G4021" s="83"/>
      <c r="H4021" s="83"/>
      <c r="I4021" s="84"/>
      <c r="J4021" s="85"/>
      <c r="K4021" s="382"/>
      <c r="L4021" s="85"/>
      <c r="M4021" s="332" t="str">
        <f t="shared" si="1186"/>
        <v/>
      </c>
      <c r="N4021" s="453"/>
      <c r="O4021" s="86" t="str">
        <f t="shared" si="1188"/>
        <v/>
      </c>
      <c r="P4021" s="538" t="str">
        <f t="shared" si="1189"/>
        <v/>
      </c>
      <c r="Q4021" s="539" t="str">
        <f t="shared" si="1187"/>
        <v/>
      </c>
      <c r="R4021" s="706"/>
      <c r="S4021" s="707"/>
      <c r="T4021" s="708"/>
      <c r="U4021" s="472"/>
      <c r="V4021" s="167"/>
      <c r="W4021" s="446"/>
      <c r="X4021" s="456"/>
      <c r="Y4021" s="436"/>
      <c r="Z4021" s="437"/>
      <c r="AA4021" s="560"/>
      <c r="AB4021" s="561"/>
      <c r="AC4021" s="87"/>
      <c r="AD4021" s="466"/>
      <c r="AE4021" s="456"/>
      <c r="AF4021" s="467"/>
      <c r="AG4021" s="87"/>
      <c r="AH4021" s="87"/>
      <c r="AI4021" s="87"/>
    </row>
    <row r="4022" spans="1:35" hidden="1">
      <c r="A4022" s="80" t="e">
        <f>"J"&amp;E4009</f>
        <v>#N/A</v>
      </c>
      <c r="B4022" s="105">
        <v>10</v>
      </c>
      <c r="C4022" s="107"/>
      <c r="D4022" s="107"/>
      <c r="E4022" s="107"/>
      <c r="F4022" s="107"/>
      <c r="G4022" s="83"/>
      <c r="H4022" s="83"/>
      <c r="I4022" s="84"/>
      <c r="J4022" s="85"/>
      <c r="K4022" s="382"/>
      <c r="L4022" s="85"/>
      <c r="M4022" s="332" t="str">
        <f t="shared" si="1186"/>
        <v/>
      </c>
      <c r="N4022" s="453"/>
      <c r="O4022" s="86" t="str">
        <f t="shared" si="1188"/>
        <v/>
      </c>
      <c r="P4022" s="538" t="str">
        <f t="shared" si="1189"/>
        <v/>
      </c>
      <c r="Q4022" s="539" t="str">
        <f t="shared" si="1187"/>
        <v/>
      </c>
      <c r="R4022" s="706"/>
      <c r="S4022" s="707"/>
      <c r="T4022" s="708"/>
      <c r="U4022" s="472"/>
      <c r="V4022" s="167"/>
      <c r="W4022" s="446"/>
      <c r="X4022" s="456"/>
      <c r="Y4022" s="436"/>
      <c r="Z4022" s="437"/>
      <c r="AA4022" s="560"/>
      <c r="AB4022" s="561"/>
      <c r="AC4022" s="87"/>
      <c r="AD4022" s="466"/>
      <c r="AE4022" s="456"/>
      <c r="AF4022" s="467"/>
      <c r="AG4022" s="87"/>
      <c r="AH4022" s="87"/>
      <c r="AI4022" s="87"/>
    </row>
    <row r="4023" spans="1:35" ht="16.5" hidden="1" thickBot="1">
      <c r="A4023" s="44"/>
      <c r="B4023" s="89"/>
      <c r="C4023" s="90"/>
      <c r="D4023" s="90"/>
      <c r="E4023" s="90"/>
      <c r="F4023" s="90"/>
      <c r="G4023" s="90"/>
      <c r="H4023" s="90"/>
      <c r="I4023" s="90"/>
      <c r="J4023" s="90"/>
      <c r="K4023" s="90"/>
      <c r="L4023" s="90"/>
      <c r="M4023" s="90"/>
      <c r="N4023" s="90"/>
      <c r="O4023" s="90"/>
      <c r="P4023" s="90"/>
      <c r="Q4023" s="90"/>
      <c r="R4023" s="90"/>
      <c r="S4023" s="91"/>
      <c r="T4023" s="92"/>
      <c r="U4023" s="473"/>
      <c r="W4023" s="438"/>
      <c r="X4023" s="455"/>
      <c r="Y4023" s="439"/>
      <c r="Z4023" s="437"/>
      <c r="AA4023" s="530"/>
      <c r="AB4023" s="563"/>
      <c r="AC4023" s="87"/>
      <c r="AD4023" s="440"/>
      <c r="AE4023" s="441"/>
      <c r="AF4023" s="442"/>
      <c r="AG4023" s="49"/>
      <c r="AH4023" s="87"/>
      <c r="AI4023" s="87"/>
    </row>
    <row r="4024" spans="1:35" ht="16.5" hidden="1" thickBot="1">
      <c r="A4024" s="93"/>
      <c r="B4024" s="94"/>
      <c r="C4024" s="96"/>
      <c r="D4024" s="96"/>
      <c r="E4024" s="96"/>
      <c r="F4024" s="96"/>
      <c r="G4024" s="96"/>
      <c r="H4024" s="96"/>
      <c r="I4024" s="96"/>
      <c r="J4024" s="96"/>
      <c r="K4024" s="96"/>
      <c r="L4024" s="96"/>
      <c r="M4024" s="136"/>
      <c r="N4024" s="96"/>
      <c r="O4024" s="96"/>
      <c r="P4024" s="97"/>
      <c r="Q4024" s="97"/>
      <c r="R4024" s="98"/>
      <c r="S4024" s="95"/>
      <c r="T4024" s="99"/>
      <c r="U4024" s="469"/>
      <c r="AC4024" s="58"/>
      <c r="AG4024" s="58"/>
      <c r="AH4024" s="87"/>
      <c r="AI4024" s="87"/>
    </row>
    <row r="4025" spans="1:35" ht="16.5" hidden="1" thickBot="1">
      <c r="B4025" s="101"/>
      <c r="C4025" s="101"/>
      <c r="D4025" s="101"/>
      <c r="E4025" s="101"/>
      <c r="F4025" s="101"/>
      <c r="G4025" s="101"/>
      <c r="H4025" s="101"/>
      <c r="I4025" s="101"/>
      <c r="J4025" s="101"/>
      <c r="K4025" s="101"/>
      <c r="L4025" s="101"/>
      <c r="M4025" s="101"/>
      <c r="N4025" s="101"/>
      <c r="O4025" s="101"/>
      <c r="P4025" s="101"/>
      <c r="Q4025" s="101"/>
      <c r="R4025" s="101"/>
      <c r="S4025" s="101"/>
      <c r="U4025" s="50"/>
      <c r="AH4025" s="87"/>
      <c r="AI4025" s="87"/>
    </row>
    <row r="4026" spans="1:35" ht="16.5" hidden="1" customHeight="1" thickBot="1">
      <c r="A4026" s="44"/>
      <c r="B4026" s="705" t="s">
        <v>74</v>
      </c>
      <c r="C4026" s="705"/>
      <c r="D4026" s="705"/>
      <c r="E4026" s="705"/>
      <c r="F4026" s="705"/>
      <c r="G4026" s="705"/>
      <c r="H4026" s="705"/>
      <c r="I4026" s="705"/>
      <c r="J4026" s="705"/>
      <c r="K4026" s="705"/>
      <c r="L4026" s="705"/>
      <c r="M4026" s="705"/>
      <c r="N4026" s="705"/>
      <c r="O4026" s="705"/>
      <c r="P4026" s="705"/>
      <c r="Q4026" s="705"/>
      <c r="R4026" s="705"/>
      <c r="S4026" s="705"/>
      <c r="T4026" s="705"/>
      <c r="U4026" s="108"/>
      <c r="Y4026" s="532" t="s">
        <v>341</v>
      </c>
      <c r="AC4026" s="49"/>
      <c r="AD4026" s="687" t="s">
        <v>302</v>
      </c>
      <c r="AE4026" s="688"/>
      <c r="AF4026" s="689"/>
      <c r="AG4026" s="49"/>
      <c r="AH4026" s="87"/>
      <c r="AI4026" s="87"/>
    </row>
    <row r="4027" spans="1:35" ht="16.5" hidden="1" customHeight="1" thickBot="1">
      <c r="A4027" s="218" t="e">
        <f>"K"&amp;E4009</f>
        <v>#N/A</v>
      </c>
      <c r="B4027" s="701" t="s">
        <v>71</v>
      </c>
      <c r="C4027" s="751" t="s">
        <v>102</v>
      </c>
      <c r="D4027" s="751"/>
      <c r="E4027" s="751"/>
      <c r="F4027" s="751"/>
      <c r="G4027" s="751"/>
      <c r="H4027" s="751"/>
      <c r="I4027" s="751"/>
      <c r="J4027" s="751"/>
      <c r="K4027" s="751"/>
      <c r="L4027" s="722" t="s">
        <v>100</v>
      </c>
      <c r="M4027" s="747" t="s">
        <v>114</v>
      </c>
      <c r="N4027" s="747"/>
      <c r="O4027" s="747"/>
      <c r="P4027" s="747"/>
      <c r="Q4027" s="748"/>
      <c r="R4027" s="758" t="s">
        <v>280</v>
      </c>
      <c r="S4027" s="748"/>
      <c r="T4027" s="762" t="str">
        <f>IF(COUNTIF(AE4027:AF4027,"VERIFICAR")&gt;0,"VERIFICAR",IF(COUNTIF(AE4027:AF4027,"NO CUMPLE")&gt;0,"NO CUMPLE","CUMPLE"))</f>
        <v>VERIFICAR</v>
      </c>
      <c r="U4027" s="108"/>
      <c r="Y4027" s="533" t="e">
        <f>IF(F4028="","",IF(F4028=1,"INDIVIDUAL","ESTRUCTURA PLURAL"))</f>
        <v>#N/A</v>
      </c>
      <c r="AC4027" s="52"/>
      <c r="AD4027" s="475" t="s">
        <v>303</v>
      </c>
      <c r="AE4027" s="476" t="str">
        <f>IF(COUNTIF(AE4013:AE4022,"")=10,"VERIFICAR",IF(COUNTIF(AE4013:AE4022,"SI")&gt;0,"CUMPLE","NO CUMPLE"))</f>
        <v>VERIFICAR</v>
      </c>
      <c r="AF4027" s="477" t="str">
        <f>IF(COUNTIF(AF4013:AF4022,"")=10,"VERIFICAR",IF(COUNTIF(AF4013:AF4022,"SI")&gt;=$AI$22,"CUMPLE","NO CUMPLE"))</f>
        <v>VERIFICAR</v>
      </c>
      <c r="AG4027" s="52"/>
      <c r="AH4027" s="87"/>
      <c r="AI4027" s="87"/>
    </row>
    <row r="4028" spans="1:35" ht="15.75" hidden="1" customHeight="1" thickBot="1">
      <c r="A4028" s="218" t="e">
        <f>"L"&amp;E4009</f>
        <v>#N/A</v>
      </c>
      <c r="B4028" s="702"/>
      <c r="C4028" s="751" t="s">
        <v>103</v>
      </c>
      <c r="D4028" s="751"/>
      <c r="E4028" s="752"/>
      <c r="F4028" s="557" t="e">
        <f>IF(VLOOKUP(E4009,PROPONENTES!$C$19:$E$218,3,0)="","",VLOOKUP(E4009,PROPONENTES!$C$19:$E$218,3,0))</f>
        <v>#N/A</v>
      </c>
      <c r="G4028" s="753" t="s">
        <v>104</v>
      </c>
      <c r="H4028" s="751"/>
      <c r="I4028" s="715" t="e">
        <f>IF(OR(F4028="",F4028=1),"INTERESADO PERSONA NATURAL O JURIDICA","CONSORCIO O UNION TEMPORAL")</f>
        <v>#N/A</v>
      </c>
      <c r="J4028" s="725"/>
      <c r="K4028" s="728"/>
      <c r="L4028" s="723"/>
      <c r="M4028" s="749"/>
      <c r="N4028" s="749"/>
      <c r="O4028" s="749"/>
      <c r="P4028" s="749"/>
      <c r="Q4028" s="750"/>
      <c r="R4028" s="712"/>
      <c r="S4028" s="750"/>
      <c r="T4028" s="763"/>
      <c r="U4028" s="108"/>
      <c r="Y4028" s="534"/>
      <c r="AA4028" s="52"/>
      <c r="AB4028" s="52"/>
      <c r="AC4028" s="52"/>
      <c r="AG4028" s="52"/>
      <c r="AH4028" s="87"/>
      <c r="AI4028" s="87"/>
    </row>
    <row r="4029" spans="1:35" ht="56.25" hidden="1" customHeight="1" thickBot="1">
      <c r="A4029" s="218" t="e">
        <f>"M"&amp;E4009</f>
        <v>#N/A</v>
      </c>
      <c r="B4029" s="702"/>
      <c r="C4029" s="725" t="s">
        <v>101</v>
      </c>
      <c r="D4029" s="716"/>
      <c r="E4029" s="558" t="s">
        <v>105</v>
      </c>
      <c r="F4029" s="554" t="s">
        <v>87</v>
      </c>
      <c r="G4029" s="553" t="s">
        <v>86</v>
      </c>
      <c r="H4029" s="559" t="s">
        <v>85</v>
      </c>
      <c r="I4029" s="554" t="s">
        <v>252</v>
      </c>
      <c r="J4029" s="553" t="str">
        <f>"¿EL INTEGRANTE TIENE UNA PARTICIPACIÓN DEL "&amp;PORCREQUERIDOINT*100&amp;"%?"</f>
        <v>¿EL INTEGRANTE TIENE UNA PARTICIPACIÓN DEL 60%?</v>
      </c>
      <c r="K4029" s="554" t="s">
        <v>107</v>
      </c>
      <c r="L4029" s="724"/>
      <c r="M4029" s="717" t="s">
        <v>115</v>
      </c>
      <c r="N4029" s="718"/>
      <c r="O4029" s="718"/>
      <c r="P4029" s="718"/>
      <c r="Q4029" s="223">
        <f>IF(AND(H4013="SI",P4013&gt;=0),1,0)+IF(AND(H4014="SI",P4014&gt;=0),1,0)+IF(AND(H4015="SI",P4015&gt;=0),1,0)+IF(AND(H4016="SI",P4016&gt;=0),1,0)+IF(AND(H4017="SI",P4017&gt;=0),1,0)+IF(AND(H4018="SI",P4018&gt;=0),1,0)+IF(AND(H4019="SI",P4019&gt;=0),1,0)+IF(AND(H4020="SI",P4020&gt;=0),1,0)+IF(AND(H4021="SI",P4021&gt;=0),1,0)+IF(AND(H4022="SI",P4022&gt;=0),1,0)</f>
        <v>0</v>
      </c>
      <c r="R4029" s="759"/>
      <c r="S4029" s="761"/>
      <c r="T4029" s="764"/>
      <c r="U4029" s="219"/>
      <c r="V4029" s="464"/>
      <c r="Y4029" s="532" t="s">
        <v>342</v>
      </c>
      <c r="AA4029" s="550" t="s">
        <v>344</v>
      </c>
      <c r="AB4029" s="693" t="s">
        <v>345</v>
      </c>
      <c r="AC4029" s="693" t="s">
        <v>346</v>
      </c>
      <c r="AD4029" s="685" t="s">
        <v>347</v>
      </c>
      <c r="AE4029" s="52"/>
      <c r="AF4029" s="52"/>
      <c r="AG4029" s="52"/>
      <c r="AH4029" s="87"/>
      <c r="AI4029" s="87"/>
    </row>
    <row r="4030" spans="1:35" ht="15.75" hidden="1" customHeight="1" thickBot="1">
      <c r="A4030" s="218" t="e">
        <f>"N"&amp;E4009</f>
        <v>#N/A</v>
      </c>
      <c r="B4030" s="702"/>
      <c r="C4030" s="114">
        <v>1</v>
      </c>
      <c r="D4030" s="194" t="e">
        <f>IF(AND(C4030&lt;=F4028,F4028&gt;1,F4028&lt;&gt;""),VLOOKUP(VALUE(E4009&amp;","&amp;C4030),INTEGRANTES!$D$18:$F$235,2,0),"")</f>
        <v>#N/A</v>
      </c>
      <c r="E4030" s="211" t="e">
        <f>IF(D4030&lt;&gt;"",VLOOKUP(VALUE(E4009&amp;","&amp;C4030),INTEGRANTES!$D$18:$F$235,3,0),"")</f>
        <v>#N/A</v>
      </c>
      <c r="F4030" s="547" t="e">
        <f>IF(D4030="","",SUMIF($I4013:$I4022,D4030,$P4013:$P4022))</f>
        <v>#N/A</v>
      </c>
      <c r="G4030" s="333" t="e">
        <f>IF(D4030="","",SUMIF($I4013:$I4022,D4030,$M4013:$M4022))</f>
        <v>#N/A</v>
      </c>
      <c r="H4030" s="535" t="e">
        <f t="shared" ref="H4030:H4035" si="1190">IF(D4030="","",IF(OR(F4030=0,G4030=0),"NO APORTA",ROUND($F4030/$G4030,3)))</f>
        <v>#N/A</v>
      </c>
      <c r="I4030" s="212" t="e">
        <f>IF(D4030="","",IF(H4030="NO APORTA","NO",IF(H4030=MAX($H4030:$H4035),"SI","NO")))</f>
        <v>#N/A</v>
      </c>
      <c r="J4030" s="213" t="e">
        <f t="shared" ref="J4030:J4035" si="1191">IF(D4030="","",IF(E4030&gt;=PORCREQUERIDOINT,"SI","NO"))</f>
        <v>#N/A</v>
      </c>
      <c r="K4030" s="200" t="e">
        <f t="shared" ref="K4030:K4035" si="1192">IF(D4030="","",IF(AND(I4030="SI",J4030="SI"),"CUMPLE",IF(AND(I4030="NO",OR(J4030="SI",J4030="NO")),"","NO CUMPLE")))</f>
        <v>#N/A</v>
      </c>
      <c r="L4030" s="722" t="s">
        <v>108</v>
      </c>
      <c r="M4030" s="726" t="s">
        <v>119</v>
      </c>
      <c r="N4030" s="726"/>
      <c r="O4030" s="726"/>
      <c r="P4030" s="726"/>
      <c r="Q4030" s="727"/>
      <c r="R4030" s="758" t="s">
        <v>80</v>
      </c>
      <c r="S4030" s="747"/>
      <c r="T4030" s="748"/>
      <c r="U4030" s="219"/>
      <c r="V4030" s="464"/>
      <c r="Y4030" s="533" t="e">
        <f>IF(Y4027="","",IF(Y4027="INDIVIDUAL","NO APLICA","VERIFICAR CUADRO"))</f>
        <v>#N/A</v>
      </c>
      <c r="AA4030" s="551"/>
      <c r="AB4030" s="694"/>
      <c r="AC4030" s="694"/>
      <c r="AD4030" s="686"/>
      <c r="AE4030" s="52"/>
      <c r="AF4030" s="52"/>
      <c r="AG4030" s="52"/>
      <c r="AH4030" s="87"/>
      <c r="AI4030" s="87"/>
    </row>
    <row r="4031" spans="1:35" ht="27" hidden="1" customHeight="1" thickBot="1">
      <c r="A4031" s="218" t="e">
        <f>"O"&amp;E4009</f>
        <v>#N/A</v>
      </c>
      <c r="B4031" s="702"/>
      <c r="C4031" s="114">
        <v>2</v>
      </c>
      <c r="D4031" s="194" t="e">
        <f>IF(AND(C4031&lt;=F4028,F4028&lt;&gt;""),VLOOKUP(VALUE(E4009&amp;","&amp;C4031),INTEGRANTES!$D$18:$F$235,2,0),"")</f>
        <v>#N/A</v>
      </c>
      <c r="E4031" s="211" t="e">
        <f>IF(D4031&lt;&gt;"",VLOOKUP(VALUE(E4009&amp;","&amp;C4031),INTEGRANTES!$D$18:$F$235,3,0),"")</f>
        <v>#N/A</v>
      </c>
      <c r="F4031" s="547" t="e">
        <f>IF(D4031="","",SUMIF($I4013:$I4022,D4031,$P4013:$P4022))</f>
        <v>#N/A</v>
      </c>
      <c r="G4031" s="333" t="e">
        <f>IF(D4031="","",SUMIF($I4013:$I4022,D4031,$M4013:$M4022))</f>
        <v>#N/A</v>
      </c>
      <c r="H4031" s="535" t="e">
        <f t="shared" si="1190"/>
        <v>#N/A</v>
      </c>
      <c r="I4031" s="212" t="e">
        <f>IF(D4031="","",IF(H4031="NO APORTA","NO",IF(H4031=MAX($H4030:$H4035),"SI","NO")))</f>
        <v>#N/A</v>
      </c>
      <c r="J4031" s="213" t="e">
        <f t="shared" si="1191"/>
        <v>#N/A</v>
      </c>
      <c r="K4031" s="200" t="e">
        <f t="shared" si="1192"/>
        <v>#N/A</v>
      </c>
      <c r="L4031" s="723"/>
      <c r="M4031" s="715" t="s">
        <v>116</v>
      </c>
      <c r="N4031" s="716"/>
      <c r="O4031" s="556" t="s">
        <v>113</v>
      </c>
      <c r="P4031" s="715" t="s">
        <v>117</v>
      </c>
      <c r="Q4031" s="728"/>
      <c r="R4031" s="759"/>
      <c r="S4031" s="760"/>
      <c r="T4031" s="761"/>
      <c r="U4031" s="219"/>
      <c r="V4031" s="464"/>
      <c r="Y4031" s="414"/>
      <c r="AA4031" s="542" t="e">
        <f>IF(AND(C4030&lt;=F4028,F4028&gt;1,F4028&lt;&gt;""),VLOOKUP(VALUE(E4009&amp;","&amp;C4030),INTEGRANTES!$D$18:$F$235,2,0),"")</f>
        <v>#N/A</v>
      </c>
      <c r="AB4031" s="544" t="e">
        <f t="shared" ref="AB4031:AB4036" si="1193">IF(D4030="","",IF(OR(F4030=0,G4030=0),"NO APORTA",ROUND($F4030/$G4030,3)))</f>
        <v>#N/A</v>
      </c>
      <c r="AC4031" s="529"/>
      <c r="AD4031" s="200" t="e">
        <f t="shared" ref="AD4031:AD4036" si="1194">IF(OR(AA4031="",AB4031=""),"",IF(AND(AC4031="X",AB4031&gt;=EXPREQVTD),"CUMPLE","NO CUMPLE"))</f>
        <v>#N/A</v>
      </c>
      <c r="AE4031" s="52"/>
      <c r="AF4031" s="52"/>
      <c r="AG4031" s="52"/>
      <c r="AH4031" s="87"/>
      <c r="AI4031" s="87"/>
    </row>
    <row r="4032" spans="1:35" ht="16.5" hidden="1" thickBot="1">
      <c r="A4032" s="218" t="e">
        <f>"P"&amp;E4009</f>
        <v>#N/A</v>
      </c>
      <c r="B4032" s="702"/>
      <c r="C4032" s="114">
        <v>3</v>
      </c>
      <c r="D4032" s="194" t="e">
        <f>IF(AND(C4032&lt;=F4028,F4028&lt;&gt;""),VLOOKUP(VALUE(E4009&amp;","&amp;C4032),INTEGRANTES!$D$18:$F$235,2,0),"")</f>
        <v>#N/A</v>
      </c>
      <c r="E4032" s="211" t="e">
        <f>IF(D4032&lt;&gt;"",VLOOKUP(VALUE(E4009&amp;","&amp;C4032),INTEGRANTES!$D$18:$F$235,3,0),"")</f>
        <v>#N/A</v>
      </c>
      <c r="F4032" s="547" t="e">
        <f>IF(D4032="","",SUMIF($I4013:$I4022,D4032,$P4013:$P4022))</f>
        <v>#N/A</v>
      </c>
      <c r="G4032" s="333" t="e">
        <f>IF(D4032="","",SUMIF($I4013:$I4022,D4032,$M4013:$M4022))</f>
        <v>#N/A</v>
      </c>
      <c r="H4032" s="535" t="e">
        <f t="shared" si="1190"/>
        <v>#N/A</v>
      </c>
      <c r="I4032" s="212" t="e">
        <f>IF(D4032="","",IF(H4032="NO APORTA","NO",IF(H4032=MAX($H4030:$H4035),"SI","NO")))</f>
        <v>#N/A</v>
      </c>
      <c r="J4032" s="213" t="e">
        <f t="shared" si="1191"/>
        <v>#N/A</v>
      </c>
      <c r="K4032" s="200" t="e">
        <f t="shared" si="1192"/>
        <v>#N/A</v>
      </c>
      <c r="L4032" s="724"/>
      <c r="M4032" s="729">
        <f>NUMMOD</f>
        <v>1</v>
      </c>
      <c r="N4032" s="730"/>
      <c r="O4032" s="443">
        <f>IF(M4032="","",VLOOKUP(M4032,PRESUPUESTOS!$B$16:$H$16,5,FALSE))</f>
        <v>2</v>
      </c>
      <c r="P4032" s="713">
        <f>IF(OR(COUNTIF(M4013:M4022,"")&gt;=10,Q4029&lt;NUMMINCONT,OR(T4027="NO CUMPLE",T4027="VERIFICAR")),0,ROUND(AVERAGE(M4013:M4022),3))</f>
        <v>0</v>
      </c>
      <c r="Q4032" s="714"/>
      <c r="R4032" s="458"/>
      <c r="S4032" s="459"/>
      <c r="T4032" s="460"/>
      <c r="U4032" s="219"/>
      <c r="V4032" s="464"/>
      <c r="Y4032" s="532" t="str">
        <f>"40% * ("&amp;PRESUPUESTOS!$H$13&amp;")"</f>
        <v>40% * (50% PFMO)</v>
      </c>
      <c r="AA4032" s="540" t="e">
        <f>IF(AND(C4031&lt;=F4028,F4028&lt;&gt;""),VLOOKUP(VALUE(E4009&amp;","&amp;C4031),INTEGRANTES!$D$18:$F$235,2,0),"")</f>
        <v>#N/A</v>
      </c>
      <c r="AB4032" s="545" t="e">
        <f t="shared" si="1193"/>
        <v>#N/A</v>
      </c>
      <c r="AC4032" s="529"/>
      <c r="AD4032" s="200" t="e">
        <f t="shared" si="1194"/>
        <v>#N/A</v>
      </c>
      <c r="AE4032" s="52"/>
      <c r="AF4032" s="52"/>
      <c r="AG4032" s="52"/>
      <c r="AH4032" s="87"/>
      <c r="AI4032" s="87"/>
    </row>
    <row r="4033" spans="1:35" ht="15.75" hidden="1" customHeight="1" thickBot="1">
      <c r="A4033" s="218" t="e">
        <f>"Q"&amp;E4009</f>
        <v>#N/A</v>
      </c>
      <c r="B4033" s="702"/>
      <c r="C4033" s="114">
        <v>4</v>
      </c>
      <c r="D4033" s="194" t="e">
        <f>IF(AND(C4033&lt;=F4028,F4028&lt;&gt;""),VLOOKUP(VALUE(E4009&amp;","&amp;C4033),INTEGRANTES!$D$18:$F$235,2,0),"")</f>
        <v>#N/A</v>
      </c>
      <c r="E4033" s="211" t="e">
        <f>IF(D4033&lt;&gt;"",VLOOKUP(VALUE(E4009&amp;","&amp;C4033),INTEGRANTES!$D$18:$F$235,3,0),"")</f>
        <v>#N/A</v>
      </c>
      <c r="F4033" s="547" t="e">
        <f>IF(D4033="","",SUMIF($I4013:$I4022,D4033,$P4013:$P4022))</f>
        <v>#N/A</v>
      </c>
      <c r="G4033" s="333" t="e">
        <f>IF(D4033="","",SUMIF($I4013:$I4022,D4033,$M4013:$M4022))</f>
        <v>#N/A</v>
      </c>
      <c r="H4033" s="535" t="e">
        <f t="shared" si="1190"/>
        <v>#N/A</v>
      </c>
      <c r="I4033" s="212" t="e">
        <f>IF(D4033="","",IF(H4033="NO APORTA","NO",IF(H4033=MAX($H4030:$H4035),"SI","NO")))</f>
        <v>#N/A</v>
      </c>
      <c r="J4033" s="213" t="e">
        <f t="shared" si="1191"/>
        <v>#N/A</v>
      </c>
      <c r="K4033" s="200" t="e">
        <f t="shared" si="1192"/>
        <v>#N/A</v>
      </c>
      <c r="L4033" s="720" t="s">
        <v>109</v>
      </c>
      <c r="M4033" s="757" t="s">
        <v>120</v>
      </c>
      <c r="N4033" s="726"/>
      <c r="O4033" s="726"/>
      <c r="P4033" s="726"/>
      <c r="Q4033" s="727"/>
      <c r="R4033" s="458"/>
      <c r="S4033" s="459"/>
      <c r="T4033" s="460"/>
      <c r="U4033" s="219"/>
      <c r="V4033" s="464"/>
      <c r="Y4033" s="537">
        <f>0.4*PRESUPUESTOS!$H$16</f>
        <v>10.3124</v>
      </c>
      <c r="AA4033" s="540" t="e">
        <f>IF(AND(C4032&lt;=F4028,F4028&lt;&gt;""),VLOOKUP(VALUE(E4009&amp;","&amp;C4032),INTEGRANTES!$D$18:$F$235,2,0),"")</f>
        <v>#N/A</v>
      </c>
      <c r="AB4033" s="545" t="e">
        <f t="shared" si="1193"/>
        <v>#N/A</v>
      </c>
      <c r="AC4033" s="529"/>
      <c r="AD4033" s="200" t="e">
        <f t="shared" si="1194"/>
        <v>#N/A</v>
      </c>
      <c r="AE4033" s="52"/>
      <c r="AF4033" s="52"/>
      <c r="AG4033" s="52"/>
      <c r="AH4033" s="87"/>
      <c r="AI4033" s="87"/>
    </row>
    <row r="4034" spans="1:35" ht="27" hidden="1" customHeight="1" thickBot="1">
      <c r="A4034" s="218" t="e">
        <f>"R"&amp;E4009</f>
        <v>#N/A</v>
      </c>
      <c r="B4034" s="702"/>
      <c r="C4034" s="114">
        <v>5</v>
      </c>
      <c r="D4034" s="194" t="e">
        <f>IF(AND(C4034&lt;=F4028,F4028&lt;&gt;""),VLOOKUP(VALUE(E4009&amp;","&amp;C4034),INTEGRANTES!$D$18:$F$235,2,0),"")</f>
        <v>#N/A</v>
      </c>
      <c r="E4034" s="211" t="e">
        <f>IF(D4034&lt;&gt;"",VLOOKUP(VALUE(E4009&amp;","&amp;C4034),INTEGRANTES!$D$18:$F$235,3,0),"")</f>
        <v>#N/A</v>
      </c>
      <c r="F4034" s="547" t="e">
        <f>IF(D4034="","",SUMIF($I4013:$I4022,D4034,$P4013:$P4022))</f>
        <v>#N/A</v>
      </c>
      <c r="G4034" s="333" t="e">
        <f>IF(D4034="","",SUMIF($I4013:$I4022,D4034,$M4013:$M4022))</f>
        <v>#N/A</v>
      </c>
      <c r="H4034" s="535" t="e">
        <f t="shared" si="1190"/>
        <v>#N/A</v>
      </c>
      <c r="I4034" s="212" t="e">
        <f>IF(D4034="","",IF(H4034="NO APORTA","NO",IF(H4034=MAX($H4030:$H4035),"SI","NO")))</f>
        <v>#N/A</v>
      </c>
      <c r="J4034" s="213" t="e">
        <f t="shared" si="1191"/>
        <v>#N/A</v>
      </c>
      <c r="K4034" s="200" t="e">
        <f t="shared" si="1192"/>
        <v>#N/A</v>
      </c>
      <c r="L4034" s="721"/>
      <c r="M4034" s="715" t="s">
        <v>116</v>
      </c>
      <c r="N4034" s="716"/>
      <c r="O4034" s="556" t="str">
        <f>PORCREQUERIDO*100&amp;"% PMFO DEL MÓDULO"</f>
        <v>50% PMFO DEL MÓDULO</v>
      </c>
      <c r="P4034" s="715" t="s">
        <v>118</v>
      </c>
      <c r="Q4034" s="728"/>
      <c r="R4034" s="458"/>
      <c r="S4034" s="459"/>
      <c r="T4034" s="460"/>
      <c r="U4034" s="219"/>
      <c r="V4034" s="464"/>
      <c r="Y4034" s="414"/>
      <c r="AA4034" s="540" t="e">
        <f>IF(AND(C4033&lt;=F4028,F4028&lt;&gt;""),VLOOKUP(VALUE(E4009&amp;","&amp;C4033),INTEGRANTES!$D$18:$F$235,2,0),"")</f>
        <v>#N/A</v>
      </c>
      <c r="AB4034" s="545" t="e">
        <f t="shared" si="1193"/>
        <v>#N/A</v>
      </c>
      <c r="AC4034" s="529"/>
      <c r="AD4034" s="200" t="e">
        <f t="shared" si="1194"/>
        <v>#N/A</v>
      </c>
      <c r="AE4034" s="52"/>
      <c r="AF4034" s="52"/>
      <c r="AG4034" s="52"/>
      <c r="AH4034" s="87"/>
      <c r="AI4034" s="87"/>
    </row>
    <row r="4035" spans="1:35" ht="16.5" hidden="1" thickBot="1">
      <c r="A4035" s="218" t="e">
        <f>"S"&amp;E4009</f>
        <v>#N/A</v>
      </c>
      <c r="B4035" s="702"/>
      <c r="C4035" s="215">
        <v>6</v>
      </c>
      <c r="D4035" s="216" t="e">
        <f>IF(AND(C4035&lt;=F4028,F4028&lt;&gt;""),VLOOKUP(VALUE(E4009&amp;","&amp;C4035),INTEGRANTES!$D$18:$F$235,2,0),"")</f>
        <v>#N/A</v>
      </c>
      <c r="E4035" s="217" t="e">
        <f>IF(D4035&lt;&gt;"",VLOOKUP(VALUE(E4009&amp;","&amp;C4035),INTEGRANTES!$D$18:$F$235,3,0),"")</f>
        <v>#N/A</v>
      </c>
      <c r="F4035" s="548" t="e">
        <f>IF(D4035="","",SUMIF($I4013:$I4022,D4035,$P4013:$P4022))</f>
        <v>#N/A</v>
      </c>
      <c r="G4035" s="334" t="e">
        <f>IF(D4035="","",SUMIF($I4013:$I4022,D4035,$M4013:$M4022))</f>
        <v>#N/A</v>
      </c>
      <c r="H4035" s="536" t="e">
        <f t="shared" si="1190"/>
        <v>#N/A</v>
      </c>
      <c r="I4035" s="214" t="e">
        <f>IF(D4035="","",IF(H4035="NO APORTA","NO",IF(H4035=MAX($H4030:$H4035),"SI","NO")))</f>
        <v>#N/A</v>
      </c>
      <c r="J4035" s="213" t="e">
        <f t="shared" si="1191"/>
        <v>#N/A</v>
      </c>
      <c r="K4035" s="200" t="e">
        <f t="shared" si="1192"/>
        <v>#N/A</v>
      </c>
      <c r="L4035" s="721"/>
      <c r="M4035" s="729">
        <f>NUMMOD</f>
        <v>1</v>
      </c>
      <c r="N4035" s="730"/>
      <c r="O4035" s="443">
        <f>IF(M4035="","",ROUND(VLOOKUP(M4035,PRESUPUESTOS!$B$16:$H$16,7,FALSE),3))</f>
        <v>25.780999999999999</v>
      </c>
      <c r="P4035" s="713">
        <f>IF(OR(COUNTIF(P4013:P4022,"")&gt;=10,Q4029&lt;NUMMINCONT,OR(T4027="NO CUMPLE",T4027="VERIFICAR")),0,ROUND((SUM(P4013:P4022)/SUM(M4013:M4022)),3))</f>
        <v>0</v>
      </c>
      <c r="Q4035" s="714"/>
      <c r="R4035" s="458"/>
      <c r="S4035" s="459"/>
      <c r="T4035" s="460"/>
      <c r="U4035" s="219"/>
      <c r="V4035" s="464"/>
      <c r="Y4035" s="532" t="s">
        <v>343</v>
      </c>
      <c r="AA4035" s="540" t="e">
        <f>IF(AND(C4034&lt;=F4028,F4028&lt;&gt;""),VLOOKUP(VALUE(E4009&amp;","&amp;C4034),INTEGRANTES!$D$18:$F$235,2,0),"")</f>
        <v>#N/A</v>
      </c>
      <c r="AB4035" s="545" t="e">
        <f t="shared" si="1193"/>
        <v>#N/A</v>
      </c>
      <c r="AC4035" s="529"/>
      <c r="AD4035" s="200" t="e">
        <f t="shared" si="1194"/>
        <v>#N/A</v>
      </c>
      <c r="AE4035" s="52"/>
      <c r="AF4035" s="52"/>
      <c r="AG4035" s="52"/>
      <c r="AH4035" s="87"/>
      <c r="AI4035" s="87"/>
    </row>
    <row r="4036" spans="1:35" ht="16.5" hidden="1" customHeight="1" thickBot="1">
      <c r="A4036" s="218" t="e">
        <f>"T"&amp;E4009</f>
        <v>#N/A</v>
      </c>
      <c r="B4036" s="703"/>
      <c r="C4036" s="719"/>
      <c r="D4036" s="719"/>
      <c r="E4036" s="719"/>
      <c r="F4036" s="719"/>
      <c r="G4036" s="719"/>
      <c r="H4036" s="719" t="s">
        <v>110</v>
      </c>
      <c r="I4036" s="719"/>
      <c r="J4036" s="719"/>
      <c r="K4036" s="201" t="str">
        <f>IF(COUNTIF(K4030:K4035,"")=6,"",IF(COUNTIF(K4030:K4035,"CUMPLE")&gt;0,"CUMPLE","NO CUMPLE"))</f>
        <v>NO CUMPLE</v>
      </c>
      <c r="L4036" s="754"/>
      <c r="M4036" s="755"/>
      <c r="N4036" s="755"/>
      <c r="O4036" s="755"/>
      <c r="P4036" s="755"/>
      <c r="Q4036" s="756"/>
      <c r="R4036" s="461"/>
      <c r="S4036" s="462"/>
      <c r="T4036" s="463"/>
      <c r="U4036" s="219"/>
      <c r="V4036" s="464"/>
      <c r="Y4036" s="549" t="e">
        <f>IF(Y4030="NO APLICA","NO APLICA",IF(COUNTIF(AD4031:AD4036,"CUMPLE")&gt;0,"CUMPLE","NO CUMPLE"))</f>
        <v>#N/A</v>
      </c>
      <c r="AA4036" s="541" t="e">
        <f>IF(AND(C4035&lt;=F4028,F4028&lt;&gt;""),VLOOKUP(VALUE(E4009&amp;","&amp;C4035),INTEGRANTES!$D$18:$F$235,2,0),"")</f>
        <v>#N/A</v>
      </c>
      <c r="AB4036" s="546" t="e">
        <f t="shared" si="1193"/>
        <v>#N/A</v>
      </c>
      <c r="AC4036" s="543"/>
      <c r="AD4036" s="201" t="e">
        <f t="shared" si="1194"/>
        <v>#N/A</v>
      </c>
      <c r="AE4036" s="52"/>
      <c r="AF4036" s="52"/>
      <c r="AG4036" s="52"/>
      <c r="AH4036" s="87"/>
      <c r="AI4036" s="87"/>
    </row>
    <row r="4037" spans="1:35" hidden="1">
      <c r="AH4037" s="87"/>
      <c r="AI4037" s="87"/>
    </row>
    <row r="4038" spans="1:35" hidden="1">
      <c r="AH4038" s="87"/>
      <c r="AI4038" s="87"/>
    </row>
    <row r="4039" spans="1:35" ht="24" hidden="1" thickBot="1">
      <c r="A4039" s="61">
        <v>135</v>
      </c>
      <c r="B4039" s="704" t="s">
        <v>51</v>
      </c>
      <c r="C4039" s="704"/>
      <c r="D4039" s="704"/>
      <c r="E4039" s="62" t="e">
        <f>VLOOKUP(A4039,PROPONENTES!$B$19:$E$218,2,FALSE)</f>
        <v>#N/A</v>
      </c>
      <c r="F4039" s="63" t="e">
        <f>VLOOKUP(A4039,PROPONENTES!$B$19:$E$218,3,FALSE)</f>
        <v>#N/A</v>
      </c>
      <c r="G4039" s="64"/>
      <c r="H4039" s="64"/>
      <c r="I4039" s="63"/>
      <c r="J4039" s="63"/>
      <c r="K4039" s="65"/>
      <c r="L4039" s="65"/>
      <c r="M4039" s="64"/>
      <c r="N4039" s="64"/>
      <c r="O4039" s="66"/>
      <c r="P4039" s="66"/>
      <c r="Q4039" s="66"/>
      <c r="R4039" s="66"/>
      <c r="S4039" s="67"/>
      <c r="T4039" s="68"/>
      <c r="U4039" s="68"/>
      <c r="AC4039" s="68"/>
      <c r="AD4039" s="68"/>
      <c r="AE4039" s="68"/>
      <c r="AF4039" s="68"/>
      <c r="AG4039" s="68"/>
      <c r="AH4039" s="87"/>
      <c r="AI4039" s="87"/>
    </row>
    <row r="4040" spans="1:35" ht="15.75" hidden="1" customHeight="1">
      <c r="A4040" s="44"/>
      <c r="B4040" s="709" t="s">
        <v>59</v>
      </c>
      <c r="C4040" s="552" t="s">
        <v>60</v>
      </c>
      <c r="D4040" s="70" t="s">
        <v>17</v>
      </c>
      <c r="E4040" s="70"/>
      <c r="F4040" s="70" t="s">
        <v>61</v>
      </c>
      <c r="G4040" s="71"/>
      <c r="H4040" s="699" t="s">
        <v>62</v>
      </c>
      <c r="I4040" s="699" t="s">
        <v>18</v>
      </c>
      <c r="J4040" s="699" t="s">
        <v>63</v>
      </c>
      <c r="K4040" s="699" t="s">
        <v>64</v>
      </c>
      <c r="L4040" s="699" t="s">
        <v>65</v>
      </c>
      <c r="M4040" s="743" t="s">
        <v>66</v>
      </c>
      <c r="N4040" s="699" t="s">
        <v>282</v>
      </c>
      <c r="O4040" s="745" t="s">
        <v>67</v>
      </c>
      <c r="P4040" s="746"/>
      <c r="Q4040" s="102" t="s">
        <v>75</v>
      </c>
      <c r="R4040" s="731" t="s">
        <v>22</v>
      </c>
      <c r="S4040" s="732"/>
      <c r="T4040" s="733"/>
      <c r="U4040" s="712" t="s">
        <v>298</v>
      </c>
      <c r="W4040" s="690" t="s">
        <v>268</v>
      </c>
      <c r="X4040" s="691"/>
      <c r="Y4040" s="692"/>
      <c r="Z4040" s="428"/>
      <c r="AA4040" s="697" t="s">
        <v>315</v>
      </c>
      <c r="AB4040" s="695" t="s">
        <v>322</v>
      </c>
      <c r="AC4040" s="49"/>
      <c r="AD4040" s="690" t="s">
        <v>297</v>
      </c>
      <c r="AE4040" s="691"/>
      <c r="AF4040" s="692"/>
      <c r="AG4040" s="49"/>
      <c r="AH4040" s="87"/>
      <c r="AI4040" s="87"/>
    </row>
    <row r="4041" spans="1:35" ht="72" hidden="1">
      <c r="A4041" s="44"/>
      <c r="B4041" s="710"/>
      <c r="C4041" s="553" t="s">
        <v>68</v>
      </c>
      <c r="D4041" s="73" t="s">
        <v>3</v>
      </c>
      <c r="E4041" s="73" t="s">
        <v>19</v>
      </c>
      <c r="F4041" s="73" t="s">
        <v>69</v>
      </c>
      <c r="G4041" s="74" t="s">
        <v>70</v>
      </c>
      <c r="H4041" s="700"/>
      <c r="I4041" s="700"/>
      <c r="J4041" s="700"/>
      <c r="K4041" s="700"/>
      <c r="L4041" s="700"/>
      <c r="M4041" s="744"/>
      <c r="N4041" s="700"/>
      <c r="O4041" s="553" t="s">
        <v>279</v>
      </c>
      <c r="P4041" s="73" t="s">
        <v>88</v>
      </c>
      <c r="Q4041" s="555" t="s">
        <v>76</v>
      </c>
      <c r="R4041" s="734"/>
      <c r="S4041" s="735"/>
      <c r="T4041" s="736"/>
      <c r="U4041" s="712"/>
      <c r="W4041" s="429" t="s">
        <v>269</v>
      </c>
      <c r="X4041" s="457" t="s">
        <v>278</v>
      </c>
      <c r="Y4041" s="430" t="s">
        <v>324</v>
      </c>
      <c r="Z4041" s="428"/>
      <c r="AA4041" s="698"/>
      <c r="AB4041" s="696"/>
      <c r="AC4041" s="49"/>
      <c r="AD4041" s="429" t="s">
        <v>292</v>
      </c>
      <c r="AE4041" s="431" t="s">
        <v>300</v>
      </c>
      <c r="AF4041" s="468" t="s">
        <v>301</v>
      </c>
      <c r="AG4041" s="49"/>
      <c r="AH4041" s="87"/>
      <c r="AI4041" s="87"/>
    </row>
    <row r="4042" spans="1:35" hidden="1">
      <c r="A4042" s="44"/>
      <c r="B4042" s="76"/>
      <c r="C4042" s="77"/>
      <c r="D4042" s="77"/>
      <c r="E4042" s="77"/>
      <c r="F4042" s="77"/>
      <c r="G4042" s="77"/>
      <c r="H4042" s="77"/>
      <c r="I4042" s="77"/>
      <c r="J4042" s="77"/>
      <c r="K4042" s="77"/>
      <c r="L4042" s="77"/>
      <c r="M4042" s="77"/>
      <c r="N4042" s="77"/>
      <c r="O4042" s="77"/>
      <c r="P4042" s="77"/>
      <c r="Q4042" s="77"/>
      <c r="R4042" s="77"/>
      <c r="S4042" s="78"/>
      <c r="T4042" s="79"/>
      <c r="U4042" s="109"/>
      <c r="V4042" s="49"/>
      <c r="W4042" s="432"/>
      <c r="X4042" s="454"/>
      <c r="Y4042" s="433"/>
      <c r="Z4042" s="6"/>
      <c r="AA4042" s="500"/>
      <c r="AB4042" s="562"/>
      <c r="AC4042" s="49"/>
      <c r="AD4042" s="210"/>
      <c r="AE4042" s="434"/>
      <c r="AF4042" s="435"/>
      <c r="AG4042" s="49"/>
      <c r="AH4042" s="87"/>
      <c r="AI4042" s="87"/>
    </row>
    <row r="4043" spans="1:35" hidden="1">
      <c r="A4043" s="80" t="e">
        <f>"A"&amp;E4039</f>
        <v>#N/A</v>
      </c>
      <c r="B4043" s="81">
        <v>1</v>
      </c>
      <c r="C4043" s="82"/>
      <c r="D4043" s="82"/>
      <c r="E4043" s="82"/>
      <c r="F4043" s="82"/>
      <c r="G4043" s="83"/>
      <c r="H4043" s="83"/>
      <c r="I4043" s="84"/>
      <c r="J4043" s="85"/>
      <c r="K4043" s="382"/>
      <c r="L4043" s="85"/>
      <c r="M4043" s="332" t="str">
        <f t="shared" ref="M4043:M4052" si="1195">IF(OR(J4043="",L4043="",H4043="NO"),"",IF(OR(J4043&gt;$P$17,J4043&lt;$O$17,L4043&gt;$P$17,AND(J4043&lt;$O$17,L4043&lt;$O$17)),"FUERA DE RANGO",IF(OR(K4043="---",K4043=""),IF(J4043&gt;=$O$17,ROUND((L4043-J4043+1)/360*12,3),ROUND((L4043-$O$17+1)/360*12,3)),IF(J4043&gt;=$O$17,ROUND((L4043-J4043+1)/360*12-ROUND(K4043,3),3),ROUND((L4043-$O$17+1)/360*12-ROUND(K4043,3),3)))))</f>
        <v/>
      </c>
      <c r="N4043" s="86"/>
      <c r="O4043" s="453" t="str">
        <f>IF(OR(G4043="",N4043=""),"",N4043*G4043)</f>
        <v/>
      </c>
      <c r="P4043" s="538" t="str">
        <f>IF(OR(H4043="",M4043="FUERA DE RANGO"),"",IF(OR(L4043&lt;$O$17,L4043&gt;$P$17,L4043="",H4043="NO"),"",IF(OR(N4043="",O4043=""),"",ROUND(O4043,3))))</f>
        <v/>
      </c>
      <c r="Q4043" s="539" t="str">
        <f t="shared" ref="Q4043:Q4052" si="1196">IF(AND(H4043="SI",P4043&lt;&gt;""),ROUND(P4043/M4043,3),"")</f>
        <v/>
      </c>
      <c r="R4043" s="737"/>
      <c r="S4043" s="738"/>
      <c r="T4043" s="739"/>
      <c r="U4043" s="470"/>
      <c r="V4043" s="165"/>
      <c r="W4043" s="446"/>
      <c r="X4043" s="456"/>
      <c r="Y4043" s="436"/>
      <c r="Z4043" s="437"/>
      <c r="AA4043" s="560"/>
      <c r="AB4043" s="561"/>
      <c r="AC4043" s="87"/>
      <c r="AD4043" s="466"/>
      <c r="AE4043" s="456"/>
      <c r="AF4043" s="467"/>
      <c r="AG4043" s="87"/>
      <c r="AH4043" s="87"/>
      <c r="AI4043" s="87"/>
    </row>
    <row r="4044" spans="1:35" hidden="1">
      <c r="A4044" s="80" t="e">
        <f>"B"&amp;E4039</f>
        <v>#N/A</v>
      </c>
      <c r="B4044" s="81">
        <v>2</v>
      </c>
      <c r="C4044" s="106"/>
      <c r="D4044" s="106"/>
      <c r="E4044" s="106"/>
      <c r="F4044" s="106"/>
      <c r="G4044" s="83"/>
      <c r="H4044" s="83"/>
      <c r="I4044" s="84"/>
      <c r="J4044" s="85"/>
      <c r="K4044" s="382"/>
      <c r="L4044" s="85"/>
      <c r="M4044" s="332" t="str">
        <f t="shared" si="1195"/>
        <v/>
      </c>
      <c r="N4044" s="86"/>
      <c r="O4044" s="453" t="str">
        <f t="shared" ref="O4044:O4052" si="1197">IF(OR(G4044="",N4044=""),"",N4044*G4044)</f>
        <v/>
      </c>
      <c r="P4044" s="538" t="str">
        <f t="shared" ref="P4044:P4052" si="1198">IF(OR(H4044="",M4044="FUERA DE RANGO"),"",IF(OR(L4044&lt;$O$17,L4044&gt;$P$17,L4044="",H4044="NO"),"",IF(OR(N4044="",O4044=""),"",ROUND(O4044,3))))</f>
        <v/>
      </c>
      <c r="Q4044" s="539" t="str">
        <f t="shared" si="1196"/>
        <v/>
      </c>
      <c r="R4044" s="740"/>
      <c r="S4044" s="741"/>
      <c r="T4044" s="742"/>
      <c r="U4044" s="471"/>
      <c r="V4044" s="165"/>
      <c r="W4044" s="446"/>
      <c r="X4044" s="456"/>
      <c r="Y4044" s="436"/>
      <c r="Z4044" s="437"/>
      <c r="AA4044" s="560"/>
      <c r="AB4044" s="561"/>
      <c r="AC4044" s="87"/>
      <c r="AD4044" s="466"/>
      <c r="AE4044" s="456"/>
      <c r="AF4044" s="467"/>
      <c r="AG4044" s="87"/>
      <c r="AH4044" s="87"/>
      <c r="AI4044" s="87"/>
    </row>
    <row r="4045" spans="1:35" hidden="1">
      <c r="A4045" s="80" t="e">
        <f>"C"&amp;E4039</f>
        <v>#N/A</v>
      </c>
      <c r="B4045" s="88">
        <v>3</v>
      </c>
      <c r="C4045" s="82"/>
      <c r="D4045" s="82"/>
      <c r="E4045" s="82"/>
      <c r="F4045" s="82"/>
      <c r="G4045" s="83"/>
      <c r="H4045" s="83"/>
      <c r="I4045" s="84"/>
      <c r="J4045" s="85"/>
      <c r="K4045" s="382"/>
      <c r="L4045" s="85"/>
      <c r="M4045" s="332" t="str">
        <f t="shared" si="1195"/>
        <v/>
      </c>
      <c r="N4045" s="86"/>
      <c r="O4045" s="453" t="str">
        <f t="shared" si="1197"/>
        <v/>
      </c>
      <c r="P4045" s="538" t="str">
        <f t="shared" si="1198"/>
        <v/>
      </c>
      <c r="Q4045" s="539" t="str">
        <f t="shared" si="1196"/>
        <v/>
      </c>
      <c r="R4045" s="706"/>
      <c r="S4045" s="707"/>
      <c r="T4045" s="708"/>
      <c r="U4045" s="472"/>
      <c r="V4045" s="166"/>
      <c r="W4045" s="446"/>
      <c r="X4045" s="456"/>
      <c r="Y4045" s="436"/>
      <c r="Z4045" s="437"/>
      <c r="AA4045" s="560"/>
      <c r="AB4045" s="561"/>
      <c r="AC4045" s="87"/>
      <c r="AD4045" s="466"/>
      <c r="AE4045" s="456"/>
      <c r="AF4045" s="467"/>
      <c r="AG4045" s="87"/>
      <c r="AH4045" s="87"/>
      <c r="AI4045" s="87"/>
    </row>
    <row r="4046" spans="1:35" hidden="1">
      <c r="A4046" s="80" t="e">
        <f>"D"&amp;E4039</f>
        <v>#N/A</v>
      </c>
      <c r="B4046" s="105">
        <v>4</v>
      </c>
      <c r="C4046" s="107"/>
      <c r="D4046" s="107"/>
      <c r="E4046" s="107"/>
      <c r="F4046" s="107"/>
      <c r="G4046" s="83"/>
      <c r="H4046" s="83"/>
      <c r="I4046" s="84"/>
      <c r="J4046" s="85"/>
      <c r="K4046" s="382"/>
      <c r="L4046" s="85"/>
      <c r="M4046" s="332" t="str">
        <f t="shared" si="1195"/>
        <v/>
      </c>
      <c r="N4046" s="86"/>
      <c r="O4046" s="453" t="str">
        <f t="shared" si="1197"/>
        <v/>
      </c>
      <c r="P4046" s="538" t="str">
        <f t="shared" si="1198"/>
        <v/>
      </c>
      <c r="Q4046" s="539" t="str">
        <f t="shared" si="1196"/>
        <v/>
      </c>
      <c r="R4046" s="706"/>
      <c r="S4046" s="707"/>
      <c r="T4046" s="708"/>
      <c r="U4046" s="472"/>
      <c r="V4046" s="166"/>
      <c r="W4046" s="446"/>
      <c r="X4046" s="456"/>
      <c r="Y4046" s="436"/>
      <c r="Z4046" s="437"/>
      <c r="AA4046" s="560"/>
      <c r="AB4046" s="561"/>
      <c r="AC4046" s="87"/>
      <c r="AD4046" s="466"/>
      <c r="AE4046" s="456"/>
      <c r="AF4046" s="467"/>
      <c r="AG4046" s="87"/>
      <c r="AH4046" s="87"/>
      <c r="AI4046" s="87"/>
    </row>
    <row r="4047" spans="1:35" hidden="1">
      <c r="A4047" s="80" t="e">
        <f>"E"&amp;E4039</f>
        <v>#N/A</v>
      </c>
      <c r="B4047" s="105">
        <v>5</v>
      </c>
      <c r="C4047" s="107"/>
      <c r="D4047" s="107"/>
      <c r="E4047" s="107"/>
      <c r="F4047" s="107"/>
      <c r="G4047" s="83"/>
      <c r="H4047" s="83"/>
      <c r="I4047" s="84"/>
      <c r="J4047" s="85"/>
      <c r="K4047" s="382"/>
      <c r="L4047" s="85"/>
      <c r="M4047" s="332" t="str">
        <f t="shared" si="1195"/>
        <v/>
      </c>
      <c r="N4047" s="86"/>
      <c r="O4047" s="453" t="str">
        <f t="shared" si="1197"/>
        <v/>
      </c>
      <c r="P4047" s="538" t="str">
        <f t="shared" si="1198"/>
        <v/>
      </c>
      <c r="Q4047" s="539" t="str">
        <f t="shared" si="1196"/>
        <v/>
      </c>
      <c r="R4047" s="706"/>
      <c r="S4047" s="707"/>
      <c r="T4047" s="708"/>
      <c r="U4047" s="472"/>
      <c r="V4047" s="167"/>
      <c r="W4047" s="446"/>
      <c r="X4047" s="456"/>
      <c r="Y4047" s="436"/>
      <c r="Z4047" s="437"/>
      <c r="AA4047" s="560"/>
      <c r="AB4047" s="561"/>
      <c r="AC4047" s="87"/>
      <c r="AD4047" s="466"/>
      <c r="AE4047" s="456"/>
      <c r="AF4047" s="467"/>
      <c r="AG4047" s="87"/>
      <c r="AH4047" s="87"/>
      <c r="AI4047" s="87"/>
    </row>
    <row r="4048" spans="1:35" hidden="1">
      <c r="A4048" s="80" t="e">
        <f>"F"&amp;E4039</f>
        <v>#N/A</v>
      </c>
      <c r="B4048" s="105">
        <v>6</v>
      </c>
      <c r="C4048" s="107"/>
      <c r="D4048" s="107"/>
      <c r="E4048" s="107"/>
      <c r="F4048" s="107"/>
      <c r="G4048" s="83"/>
      <c r="H4048" s="83"/>
      <c r="I4048" s="84"/>
      <c r="J4048" s="85"/>
      <c r="K4048" s="382"/>
      <c r="L4048" s="85"/>
      <c r="M4048" s="332" t="str">
        <f t="shared" si="1195"/>
        <v/>
      </c>
      <c r="N4048" s="86"/>
      <c r="O4048" s="453" t="str">
        <f t="shared" si="1197"/>
        <v/>
      </c>
      <c r="P4048" s="538" t="str">
        <f t="shared" si="1198"/>
        <v/>
      </c>
      <c r="Q4048" s="539" t="str">
        <f t="shared" si="1196"/>
        <v/>
      </c>
      <c r="R4048" s="706"/>
      <c r="S4048" s="707"/>
      <c r="T4048" s="708"/>
      <c r="U4048" s="472"/>
      <c r="V4048" s="167"/>
      <c r="W4048" s="446"/>
      <c r="X4048" s="456"/>
      <c r="Y4048" s="436"/>
      <c r="Z4048" s="437"/>
      <c r="AA4048" s="560"/>
      <c r="AB4048" s="561"/>
      <c r="AC4048" s="87"/>
      <c r="AD4048" s="466"/>
      <c r="AE4048" s="456"/>
      <c r="AF4048" s="467"/>
      <c r="AG4048" s="87"/>
      <c r="AH4048" s="87"/>
      <c r="AI4048" s="87"/>
    </row>
    <row r="4049" spans="1:35" hidden="1">
      <c r="A4049" s="80" t="e">
        <f>"G"&amp;E4039</f>
        <v>#N/A</v>
      </c>
      <c r="B4049" s="105">
        <v>7</v>
      </c>
      <c r="C4049" s="107"/>
      <c r="D4049" s="107"/>
      <c r="E4049" s="107"/>
      <c r="F4049" s="107"/>
      <c r="G4049" s="83"/>
      <c r="H4049" s="83"/>
      <c r="I4049" s="84"/>
      <c r="J4049" s="85"/>
      <c r="K4049" s="382"/>
      <c r="L4049" s="85"/>
      <c r="M4049" s="332" t="str">
        <f t="shared" si="1195"/>
        <v/>
      </c>
      <c r="N4049" s="86"/>
      <c r="O4049" s="86" t="str">
        <f t="shared" si="1197"/>
        <v/>
      </c>
      <c r="P4049" s="538" t="str">
        <f t="shared" si="1198"/>
        <v/>
      </c>
      <c r="Q4049" s="539" t="str">
        <f t="shared" si="1196"/>
        <v/>
      </c>
      <c r="R4049" s="706"/>
      <c r="S4049" s="707"/>
      <c r="T4049" s="708"/>
      <c r="U4049" s="472"/>
      <c r="V4049" s="167"/>
      <c r="W4049" s="446"/>
      <c r="X4049" s="456"/>
      <c r="Y4049" s="436"/>
      <c r="Z4049" s="437"/>
      <c r="AA4049" s="560"/>
      <c r="AB4049" s="561"/>
      <c r="AC4049" s="87"/>
      <c r="AD4049" s="466"/>
      <c r="AE4049" s="456"/>
      <c r="AF4049" s="467"/>
      <c r="AG4049" s="87"/>
      <c r="AH4049" s="87"/>
      <c r="AI4049" s="87"/>
    </row>
    <row r="4050" spans="1:35" hidden="1">
      <c r="A4050" s="80" t="e">
        <f>"H"&amp;E4039</f>
        <v>#N/A</v>
      </c>
      <c r="B4050" s="105">
        <v>8</v>
      </c>
      <c r="C4050" s="107"/>
      <c r="D4050" s="107"/>
      <c r="E4050" s="107"/>
      <c r="F4050" s="107"/>
      <c r="G4050" s="83"/>
      <c r="H4050" s="83"/>
      <c r="I4050" s="84"/>
      <c r="J4050" s="85"/>
      <c r="K4050" s="382"/>
      <c r="L4050" s="85"/>
      <c r="M4050" s="332" t="str">
        <f t="shared" si="1195"/>
        <v/>
      </c>
      <c r="N4050" s="453"/>
      <c r="O4050" s="86" t="str">
        <f t="shared" si="1197"/>
        <v/>
      </c>
      <c r="P4050" s="538" t="str">
        <f t="shared" si="1198"/>
        <v/>
      </c>
      <c r="Q4050" s="539" t="str">
        <f t="shared" si="1196"/>
        <v/>
      </c>
      <c r="R4050" s="706"/>
      <c r="S4050" s="707"/>
      <c r="T4050" s="708"/>
      <c r="U4050" s="472"/>
      <c r="V4050" s="167"/>
      <c r="W4050" s="446"/>
      <c r="X4050" s="456"/>
      <c r="Y4050" s="436"/>
      <c r="Z4050" s="437"/>
      <c r="AA4050" s="560"/>
      <c r="AB4050" s="561"/>
      <c r="AC4050" s="87"/>
      <c r="AD4050" s="466"/>
      <c r="AE4050" s="456"/>
      <c r="AF4050" s="467"/>
      <c r="AG4050" s="87"/>
      <c r="AH4050" s="87"/>
      <c r="AI4050" s="87"/>
    </row>
    <row r="4051" spans="1:35" hidden="1">
      <c r="A4051" s="80" t="e">
        <f>"I"&amp;E4039</f>
        <v>#N/A</v>
      </c>
      <c r="B4051" s="105">
        <v>9</v>
      </c>
      <c r="C4051" s="107"/>
      <c r="D4051" s="107"/>
      <c r="E4051" s="107"/>
      <c r="F4051" s="107"/>
      <c r="G4051" s="83"/>
      <c r="H4051" s="83"/>
      <c r="I4051" s="84"/>
      <c r="J4051" s="85"/>
      <c r="K4051" s="382"/>
      <c r="L4051" s="85"/>
      <c r="M4051" s="332" t="str">
        <f t="shared" si="1195"/>
        <v/>
      </c>
      <c r="N4051" s="453"/>
      <c r="O4051" s="86" t="str">
        <f t="shared" si="1197"/>
        <v/>
      </c>
      <c r="P4051" s="538" t="str">
        <f t="shared" si="1198"/>
        <v/>
      </c>
      <c r="Q4051" s="539" t="str">
        <f t="shared" si="1196"/>
        <v/>
      </c>
      <c r="R4051" s="706"/>
      <c r="S4051" s="707"/>
      <c r="T4051" s="708"/>
      <c r="U4051" s="472"/>
      <c r="V4051" s="167"/>
      <c r="W4051" s="446"/>
      <c r="X4051" s="456"/>
      <c r="Y4051" s="436"/>
      <c r="Z4051" s="437"/>
      <c r="AA4051" s="560"/>
      <c r="AB4051" s="561"/>
      <c r="AC4051" s="87"/>
      <c r="AD4051" s="466"/>
      <c r="AE4051" s="456"/>
      <c r="AF4051" s="467"/>
      <c r="AG4051" s="87"/>
      <c r="AH4051" s="87"/>
      <c r="AI4051" s="87"/>
    </row>
    <row r="4052" spans="1:35" hidden="1">
      <c r="A4052" s="80" t="e">
        <f>"J"&amp;E4039</f>
        <v>#N/A</v>
      </c>
      <c r="B4052" s="105">
        <v>10</v>
      </c>
      <c r="C4052" s="107"/>
      <c r="D4052" s="107"/>
      <c r="E4052" s="107"/>
      <c r="F4052" s="107"/>
      <c r="G4052" s="83"/>
      <c r="H4052" s="83"/>
      <c r="I4052" s="84"/>
      <c r="J4052" s="85"/>
      <c r="K4052" s="382"/>
      <c r="L4052" s="85"/>
      <c r="M4052" s="332" t="str">
        <f t="shared" si="1195"/>
        <v/>
      </c>
      <c r="N4052" s="453"/>
      <c r="O4052" s="86" t="str">
        <f t="shared" si="1197"/>
        <v/>
      </c>
      <c r="P4052" s="538" t="str">
        <f t="shared" si="1198"/>
        <v/>
      </c>
      <c r="Q4052" s="539" t="str">
        <f t="shared" si="1196"/>
        <v/>
      </c>
      <c r="R4052" s="706"/>
      <c r="S4052" s="707"/>
      <c r="T4052" s="708"/>
      <c r="U4052" s="472"/>
      <c r="V4052" s="167"/>
      <c r="W4052" s="446"/>
      <c r="X4052" s="456"/>
      <c r="Y4052" s="436"/>
      <c r="Z4052" s="437"/>
      <c r="AA4052" s="560"/>
      <c r="AB4052" s="561"/>
      <c r="AC4052" s="87"/>
      <c r="AD4052" s="466"/>
      <c r="AE4052" s="456"/>
      <c r="AF4052" s="467"/>
      <c r="AG4052" s="87"/>
      <c r="AH4052" s="87"/>
      <c r="AI4052" s="87"/>
    </row>
    <row r="4053" spans="1:35" ht="16.5" hidden="1" thickBot="1">
      <c r="A4053" s="44"/>
      <c r="B4053" s="89"/>
      <c r="C4053" s="90"/>
      <c r="D4053" s="90"/>
      <c r="E4053" s="90"/>
      <c r="F4053" s="90"/>
      <c r="G4053" s="90"/>
      <c r="H4053" s="90"/>
      <c r="I4053" s="90"/>
      <c r="J4053" s="90"/>
      <c r="K4053" s="90"/>
      <c r="L4053" s="90"/>
      <c r="M4053" s="90"/>
      <c r="N4053" s="90"/>
      <c r="O4053" s="90"/>
      <c r="P4053" s="90"/>
      <c r="Q4053" s="90"/>
      <c r="R4053" s="90"/>
      <c r="S4053" s="91"/>
      <c r="T4053" s="92"/>
      <c r="U4053" s="473"/>
      <c r="W4053" s="438"/>
      <c r="X4053" s="455"/>
      <c r="Y4053" s="439"/>
      <c r="Z4053" s="437"/>
      <c r="AA4053" s="530"/>
      <c r="AB4053" s="563"/>
      <c r="AC4053" s="87"/>
      <c r="AD4053" s="440"/>
      <c r="AE4053" s="441"/>
      <c r="AF4053" s="442"/>
      <c r="AG4053" s="49"/>
      <c r="AH4053" s="87"/>
      <c r="AI4053" s="87"/>
    </row>
    <row r="4054" spans="1:35" ht="16.5" hidden="1" thickBot="1">
      <c r="A4054" s="93"/>
      <c r="B4054" s="94"/>
      <c r="C4054" s="96"/>
      <c r="D4054" s="96"/>
      <c r="E4054" s="96"/>
      <c r="F4054" s="96"/>
      <c r="G4054" s="96"/>
      <c r="H4054" s="96"/>
      <c r="I4054" s="96"/>
      <c r="J4054" s="96"/>
      <c r="K4054" s="96"/>
      <c r="L4054" s="96"/>
      <c r="M4054" s="136"/>
      <c r="N4054" s="96"/>
      <c r="O4054" s="96"/>
      <c r="P4054" s="97"/>
      <c r="Q4054" s="97"/>
      <c r="R4054" s="98"/>
      <c r="S4054" s="95"/>
      <c r="T4054" s="99"/>
      <c r="U4054" s="469"/>
      <c r="AC4054" s="58"/>
      <c r="AG4054" s="58"/>
      <c r="AH4054" s="87"/>
      <c r="AI4054" s="87"/>
    </row>
    <row r="4055" spans="1:35" ht="16.5" hidden="1" thickBot="1">
      <c r="B4055" s="101"/>
      <c r="C4055" s="101"/>
      <c r="D4055" s="101"/>
      <c r="E4055" s="101"/>
      <c r="F4055" s="101"/>
      <c r="G4055" s="101"/>
      <c r="H4055" s="101"/>
      <c r="I4055" s="101"/>
      <c r="J4055" s="101"/>
      <c r="K4055" s="101"/>
      <c r="L4055" s="101"/>
      <c r="M4055" s="101"/>
      <c r="N4055" s="101"/>
      <c r="O4055" s="101"/>
      <c r="P4055" s="101"/>
      <c r="Q4055" s="101"/>
      <c r="R4055" s="101"/>
      <c r="S4055" s="101"/>
      <c r="U4055" s="50"/>
      <c r="AH4055" s="87"/>
      <c r="AI4055" s="87"/>
    </row>
    <row r="4056" spans="1:35" ht="16.5" hidden="1" customHeight="1" thickBot="1">
      <c r="A4056" s="44"/>
      <c r="B4056" s="705" t="s">
        <v>74</v>
      </c>
      <c r="C4056" s="705"/>
      <c r="D4056" s="705"/>
      <c r="E4056" s="705"/>
      <c r="F4056" s="705"/>
      <c r="G4056" s="705"/>
      <c r="H4056" s="705"/>
      <c r="I4056" s="705"/>
      <c r="J4056" s="705"/>
      <c r="K4056" s="705"/>
      <c r="L4056" s="705"/>
      <c r="M4056" s="705"/>
      <c r="N4056" s="705"/>
      <c r="O4056" s="705"/>
      <c r="P4056" s="705"/>
      <c r="Q4056" s="705"/>
      <c r="R4056" s="705"/>
      <c r="S4056" s="705"/>
      <c r="T4056" s="705"/>
      <c r="U4056" s="108"/>
      <c r="Y4056" s="532" t="s">
        <v>341</v>
      </c>
      <c r="AC4056" s="49"/>
      <c r="AD4056" s="687" t="s">
        <v>302</v>
      </c>
      <c r="AE4056" s="688"/>
      <c r="AF4056" s="689"/>
      <c r="AG4056" s="49"/>
      <c r="AH4056" s="87"/>
      <c r="AI4056" s="87"/>
    </row>
    <row r="4057" spans="1:35" ht="16.5" hidden="1" customHeight="1" thickBot="1">
      <c r="A4057" s="218" t="e">
        <f>"K"&amp;E4039</f>
        <v>#N/A</v>
      </c>
      <c r="B4057" s="701" t="s">
        <v>71</v>
      </c>
      <c r="C4057" s="751" t="s">
        <v>102</v>
      </c>
      <c r="D4057" s="751"/>
      <c r="E4057" s="751"/>
      <c r="F4057" s="751"/>
      <c r="G4057" s="751"/>
      <c r="H4057" s="751"/>
      <c r="I4057" s="751"/>
      <c r="J4057" s="751"/>
      <c r="K4057" s="751"/>
      <c r="L4057" s="722" t="s">
        <v>100</v>
      </c>
      <c r="M4057" s="747" t="s">
        <v>114</v>
      </c>
      <c r="N4057" s="747"/>
      <c r="O4057" s="747"/>
      <c r="P4057" s="747"/>
      <c r="Q4057" s="748"/>
      <c r="R4057" s="758" t="s">
        <v>280</v>
      </c>
      <c r="S4057" s="748"/>
      <c r="T4057" s="762" t="str">
        <f>IF(COUNTIF(AE4057:AF4057,"VERIFICAR")&gt;0,"VERIFICAR",IF(COUNTIF(AE4057:AF4057,"NO CUMPLE")&gt;0,"NO CUMPLE","CUMPLE"))</f>
        <v>VERIFICAR</v>
      </c>
      <c r="U4057" s="108"/>
      <c r="Y4057" s="533" t="e">
        <f>IF(F4058="","",IF(F4058=1,"INDIVIDUAL","ESTRUCTURA PLURAL"))</f>
        <v>#N/A</v>
      </c>
      <c r="AC4057" s="52"/>
      <c r="AD4057" s="475" t="s">
        <v>303</v>
      </c>
      <c r="AE4057" s="476" t="str">
        <f>IF(COUNTIF(AE4043:AE4052,"")=10,"VERIFICAR",IF(COUNTIF(AE4043:AE4052,"SI")&gt;0,"CUMPLE","NO CUMPLE"))</f>
        <v>VERIFICAR</v>
      </c>
      <c r="AF4057" s="477" t="str">
        <f>IF(COUNTIF(AF4043:AF4052,"")=10,"VERIFICAR",IF(COUNTIF(AF4043:AF4052,"SI")&gt;=$AI$22,"CUMPLE","NO CUMPLE"))</f>
        <v>VERIFICAR</v>
      </c>
      <c r="AG4057" s="52"/>
      <c r="AH4057" s="87"/>
      <c r="AI4057" s="87"/>
    </row>
    <row r="4058" spans="1:35" ht="15.75" hidden="1" customHeight="1" thickBot="1">
      <c r="A4058" s="218" t="e">
        <f>"L"&amp;E4039</f>
        <v>#N/A</v>
      </c>
      <c r="B4058" s="702"/>
      <c r="C4058" s="751" t="s">
        <v>103</v>
      </c>
      <c r="D4058" s="751"/>
      <c r="E4058" s="752"/>
      <c r="F4058" s="557" t="e">
        <f>IF(VLOOKUP(E4039,PROPONENTES!$C$19:$E$218,3,0)="","",VLOOKUP(E4039,PROPONENTES!$C$19:$E$218,3,0))</f>
        <v>#N/A</v>
      </c>
      <c r="G4058" s="753" t="s">
        <v>104</v>
      </c>
      <c r="H4058" s="751"/>
      <c r="I4058" s="715" t="e">
        <f>IF(OR(F4058="",F4058=1),"INTERESADO PERSONA NATURAL O JURIDICA","CONSORCIO O UNION TEMPORAL")</f>
        <v>#N/A</v>
      </c>
      <c r="J4058" s="725"/>
      <c r="K4058" s="728"/>
      <c r="L4058" s="723"/>
      <c r="M4058" s="749"/>
      <c r="N4058" s="749"/>
      <c r="O4058" s="749"/>
      <c r="P4058" s="749"/>
      <c r="Q4058" s="750"/>
      <c r="R4058" s="712"/>
      <c r="S4058" s="750"/>
      <c r="T4058" s="763"/>
      <c r="U4058" s="108"/>
      <c r="Y4058" s="534"/>
      <c r="AA4058" s="52"/>
      <c r="AB4058" s="52"/>
      <c r="AC4058" s="52"/>
      <c r="AG4058" s="52"/>
      <c r="AH4058" s="87"/>
      <c r="AI4058" s="87"/>
    </row>
    <row r="4059" spans="1:35" ht="56.25" hidden="1" customHeight="1" thickBot="1">
      <c r="A4059" s="218" t="e">
        <f>"M"&amp;E4039</f>
        <v>#N/A</v>
      </c>
      <c r="B4059" s="702"/>
      <c r="C4059" s="725" t="s">
        <v>101</v>
      </c>
      <c r="D4059" s="716"/>
      <c r="E4059" s="558" t="s">
        <v>105</v>
      </c>
      <c r="F4059" s="554" t="s">
        <v>87</v>
      </c>
      <c r="G4059" s="553" t="s">
        <v>86</v>
      </c>
      <c r="H4059" s="559" t="s">
        <v>85</v>
      </c>
      <c r="I4059" s="554" t="s">
        <v>252</v>
      </c>
      <c r="J4059" s="553" t="str">
        <f>"¿EL INTEGRANTE TIENE UNA PARTICIPACIÓN DEL "&amp;PORCREQUERIDOINT*100&amp;"%?"</f>
        <v>¿EL INTEGRANTE TIENE UNA PARTICIPACIÓN DEL 60%?</v>
      </c>
      <c r="K4059" s="554" t="s">
        <v>107</v>
      </c>
      <c r="L4059" s="724"/>
      <c r="M4059" s="717" t="s">
        <v>115</v>
      </c>
      <c r="N4059" s="718"/>
      <c r="O4059" s="718"/>
      <c r="P4059" s="718"/>
      <c r="Q4059" s="223">
        <f>IF(AND(H4043="SI",P4043&gt;=0),1,0)+IF(AND(H4044="SI",P4044&gt;=0),1,0)+IF(AND(H4045="SI",P4045&gt;=0),1,0)+IF(AND(H4046="SI",P4046&gt;=0),1,0)+IF(AND(H4047="SI",P4047&gt;=0),1,0)+IF(AND(H4048="SI",P4048&gt;=0),1,0)+IF(AND(H4049="SI",P4049&gt;=0),1,0)+IF(AND(H4050="SI",P4050&gt;=0),1,0)+IF(AND(H4051="SI",P4051&gt;=0),1,0)+IF(AND(H4052="SI",P4052&gt;=0),1,0)</f>
        <v>0</v>
      </c>
      <c r="R4059" s="759"/>
      <c r="S4059" s="761"/>
      <c r="T4059" s="764"/>
      <c r="U4059" s="219"/>
      <c r="V4059" s="464"/>
      <c r="Y4059" s="532" t="s">
        <v>342</v>
      </c>
      <c r="AA4059" s="550" t="s">
        <v>344</v>
      </c>
      <c r="AB4059" s="693" t="s">
        <v>345</v>
      </c>
      <c r="AC4059" s="693" t="s">
        <v>346</v>
      </c>
      <c r="AD4059" s="685" t="s">
        <v>347</v>
      </c>
      <c r="AE4059" s="52"/>
      <c r="AF4059" s="52"/>
      <c r="AG4059" s="52"/>
      <c r="AH4059" s="87"/>
      <c r="AI4059" s="87"/>
    </row>
    <row r="4060" spans="1:35" ht="15.75" hidden="1" customHeight="1" thickBot="1">
      <c r="A4060" s="218" t="e">
        <f>"N"&amp;E4039</f>
        <v>#N/A</v>
      </c>
      <c r="B4060" s="702"/>
      <c r="C4060" s="114">
        <v>1</v>
      </c>
      <c r="D4060" s="194" t="e">
        <f>IF(AND(C4060&lt;=F4058,F4058&gt;1,F4058&lt;&gt;""),VLOOKUP(VALUE(E4039&amp;","&amp;C4060),INTEGRANTES!$D$18:$F$235,2,0),"")</f>
        <v>#N/A</v>
      </c>
      <c r="E4060" s="211" t="e">
        <f>IF(D4060&lt;&gt;"",VLOOKUP(VALUE(E4039&amp;","&amp;C4060),INTEGRANTES!$D$18:$F$235,3,0),"")</f>
        <v>#N/A</v>
      </c>
      <c r="F4060" s="547" t="e">
        <f>IF(D4060="","",SUMIF($I4043:$I4052,D4060,$P4043:$P4052))</f>
        <v>#N/A</v>
      </c>
      <c r="G4060" s="333" t="e">
        <f>IF(D4060="","",SUMIF($I4043:$I4052,D4060,$M4043:$M4052))</f>
        <v>#N/A</v>
      </c>
      <c r="H4060" s="535" t="e">
        <f t="shared" ref="H4060:H4065" si="1199">IF(D4060="","",IF(OR(F4060=0,G4060=0),"NO APORTA",ROUND($F4060/$G4060,3)))</f>
        <v>#N/A</v>
      </c>
      <c r="I4060" s="212" t="e">
        <f>IF(D4060="","",IF(H4060="NO APORTA","NO",IF(H4060=MAX($H4060:$H4065),"SI","NO")))</f>
        <v>#N/A</v>
      </c>
      <c r="J4060" s="213" t="e">
        <f t="shared" ref="J4060:J4065" si="1200">IF(D4060="","",IF(E4060&gt;=PORCREQUERIDOINT,"SI","NO"))</f>
        <v>#N/A</v>
      </c>
      <c r="K4060" s="200" t="e">
        <f t="shared" ref="K4060:K4065" si="1201">IF(D4060="","",IF(AND(I4060="SI",J4060="SI"),"CUMPLE",IF(AND(I4060="NO",OR(J4060="SI",J4060="NO")),"","NO CUMPLE")))</f>
        <v>#N/A</v>
      </c>
      <c r="L4060" s="722" t="s">
        <v>108</v>
      </c>
      <c r="M4060" s="726" t="s">
        <v>119</v>
      </c>
      <c r="N4060" s="726"/>
      <c r="O4060" s="726"/>
      <c r="P4060" s="726"/>
      <c r="Q4060" s="727"/>
      <c r="R4060" s="758" t="s">
        <v>80</v>
      </c>
      <c r="S4060" s="747"/>
      <c r="T4060" s="748"/>
      <c r="U4060" s="219"/>
      <c r="V4060" s="464"/>
      <c r="Y4060" s="533" t="e">
        <f>IF(Y4057="","",IF(Y4057="INDIVIDUAL","NO APLICA","VERIFICAR CUADRO"))</f>
        <v>#N/A</v>
      </c>
      <c r="AA4060" s="551"/>
      <c r="AB4060" s="694"/>
      <c r="AC4060" s="694"/>
      <c r="AD4060" s="686"/>
      <c r="AE4060" s="52"/>
      <c r="AF4060" s="52"/>
      <c r="AG4060" s="52"/>
      <c r="AH4060" s="87"/>
      <c r="AI4060" s="87"/>
    </row>
    <row r="4061" spans="1:35" ht="27" hidden="1" customHeight="1" thickBot="1">
      <c r="A4061" s="218" t="e">
        <f>"O"&amp;E4039</f>
        <v>#N/A</v>
      </c>
      <c r="B4061" s="702"/>
      <c r="C4061" s="114">
        <v>2</v>
      </c>
      <c r="D4061" s="194" t="e">
        <f>IF(AND(C4061&lt;=F4058,F4058&lt;&gt;""),VLOOKUP(VALUE(E4039&amp;","&amp;C4061),INTEGRANTES!$D$18:$F$235,2,0),"")</f>
        <v>#N/A</v>
      </c>
      <c r="E4061" s="211" t="e">
        <f>IF(D4061&lt;&gt;"",VLOOKUP(VALUE(E4039&amp;","&amp;C4061),INTEGRANTES!$D$18:$F$235,3,0),"")</f>
        <v>#N/A</v>
      </c>
      <c r="F4061" s="547" t="e">
        <f>IF(D4061="","",SUMIF($I4043:$I4052,D4061,$P4043:$P4052))</f>
        <v>#N/A</v>
      </c>
      <c r="G4061" s="333" t="e">
        <f>IF(D4061="","",SUMIF($I4043:$I4052,D4061,$M4043:$M4052))</f>
        <v>#N/A</v>
      </c>
      <c r="H4061" s="535" t="e">
        <f t="shared" si="1199"/>
        <v>#N/A</v>
      </c>
      <c r="I4061" s="212" t="e">
        <f>IF(D4061="","",IF(H4061="NO APORTA","NO",IF(H4061=MAX($H4060:$H4065),"SI","NO")))</f>
        <v>#N/A</v>
      </c>
      <c r="J4061" s="213" t="e">
        <f t="shared" si="1200"/>
        <v>#N/A</v>
      </c>
      <c r="K4061" s="200" t="e">
        <f t="shared" si="1201"/>
        <v>#N/A</v>
      </c>
      <c r="L4061" s="723"/>
      <c r="M4061" s="715" t="s">
        <v>116</v>
      </c>
      <c r="N4061" s="716"/>
      <c r="O4061" s="556" t="s">
        <v>113</v>
      </c>
      <c r="P4061" s="715" t="s">
        <v>117</v>
      </c>
      <c r="Q4061" s="728"/>
      <c r="R4061" s="759"/>
      <c r="S4061" s="760"/>
      <c r="T4061" s="761"/>
      <c r="U4061" s="219"/>
      <c r="V4061" s="464"/>
      <c r="Y4061" s="414"/>
      <c r="AA4061" s="542" t="e">
        <f>IF(AND(C4060&lt;=F4058,F4058&gt;1,F4058&lt;&gt;""),VLOOKUP(VALUE(E4039&amp;","&amp;C4060),INTEGRANTES!$D$18:$F$235,2,0),"")</f>
        <v>#N/A</v>
      </c>
      <c r="AB4061" s="544" t="e">
        <f t="shared" ref="AB4061:AB4066" si="1202">IF(D4060="","",IF(OR(F4060=0,G4060=0),"NO APORTA",ROUND($F4060/$G4060,3)))</f>
        <v>#N/A</v>
      </c>
      <c r="AC4061" s="529"/>
      <c r="AD4061" s="200" t="e">
        <f t="shared" ref="AD4061:AD4066" si="1203">IF(OR(AA4061="",AB4061=""),"",IF(AND(AC4061="X",AB4061&gt;=EXPREQVTD),"CUMPLE","NO CUMPLE"))</f>
        <v>#N/A</v>
      </c>
      <c r="AE4061" s="52"/>
      <c r="AF4061" s="52"/>
      <c r="AG4061" s="52"/>
      <c r="AH4061" s="87"/>
      <c r="AI4061" s="87"/>
    </row>
    <row r="4062" spans="1:35" ht="16.5" hidden="1" thickBot="1">
      <c r="A4062" s="218" t="e">
        <f>"P"&amp;E4039</f>
        <v>#N/A</v>
      </c>
      <c r="B4062" s="702"/>
      <c r="C4062" s="114">
        <v>3</v>
      </c>
      <c r="D4062" s="194" t="e">
        <f>IF(AND(C4062&lt;=F4058,F4058&lt;&gt;""),VLOOKUP(VALUE(E4039&amp;","&amp;C4062),INTEGRANTES!$D$18:$F$235,2,0),"")</f>
        <v>#N/A</v>
      </c>
      <c r="E4062" s="211" t="e">
        <f>IF(D4062&lt;&gt;"",VLOOKUP(VALUE(E4039&amp;","&amp;C4062),INTEGRANTES!$D$18:$F$235,3,0),"")</f>
        <v>#N/A</v>
      </c>
      <c r="F4062" s="547" t="e">
        <f>IF(D4062="","",SUMIF($I4043:$I4052,D4062,$P4043:$P4052))</f>
        <v>#N/A</v>
      </c>
      <c r="G4062" s="333" t="e">
        <f>IF(D4062="","",SUMIF($I4043:$I4052,D4062,$M4043:$M4052))</f>
        <v>#N/A</v>
      </c>
      <c r="H4062" s="535" t="e">
        <f t="shared" si="1199"/>
        <v>#N/A</v>
      </c>
      <c r="I4062" s="212" t="e">
        <f>IF(D4062="","",IF(H4062="NO APORTA","NO",IF(H4062=MAX($H4060:$H4065),"SI","NO")))</f>
        <v>#N/A</v>
      </c>
      <c r="J4062" s="213" t="e">
        <f t="shared" si="1200"/>
        <v>#N/A</v>
      </c>
      <c r="K4062" s="200" t="e">
        <f t="shared" si="1201"/>
        <v>#N/A</v>
      </c>
      <c r="L4062" s="724"/>
      <c r="M4062" s="729">
        <f>NUMMOD</f>
        <v>1</v>
      </c>
      <c r="N4062" s="730"/>
      <c r="O4062" s="443">
        <f>IF(M4062="","",VLOOKUP(M4062,PRESUPUESTOS!$B$16:$H$16,5,FALSE))</f>
        <v>2</v>
      </c>
      <c r="P4062" s="713">
        <f>IF(OR(COUNTIF(M4043:M4052,"")&gt;=10,Q4059&lt;NUMMINCONT,OR(T4057="NO CUMPLE",T4057="VERIFICAR")),0,ROUND(AVERAGE(M4043:M4052),3))</f>
        <v>0</v>
      </c>
      <c r="Q4062" s="714"/>
      <c r="R4062" s="458"/>
      <c r="S4062" s="459"/>
      <c r="T4062" s="460"/>
      <c r="U4062" s="219"/>
      <c r="V4062" s="464"/>
      <c r="Y4062" s="532" t="str">
        <f>"40% * ("&amp;PRESUPUESTOS!$H$13&amp;")"</f>
        <v>40% * (50% PFMO)</v>
      </c>
      <c r="AA4062" s="540" t="e">
        <f>IF(AND(C4061&lt;=F4058,F4058&lt;&gt;""),VLOOKUP(VALUE(E4039&amp;","&amp;C4061),INTEGRANTES!$D$18:$F$235,2,0),"")</f>
        <v>#N/A</v>
      </c>
      <c r="AB4062" s="545" t="e">
        <f t="shared" si="1202"/>
        <v>#N/A</v>
      </c>
      <c r="AC4062" s="529"/>
      <c r="AD4062" s="200" t="e">
        <f t="shared" si="1203"/>
        <v>#N/A</v>
      </c>
      <c r="AE4062" s="52"/>
      <c r="AF4062" s="52"/>
      <c r="AG4062" s="52"/>
      <c r="AH4062" s="87"/>
      <c r="AI4062" s="87"/>
    </row>
    <row r="4063" spans="1:35" ht="15.75" hidden="1" customHeight="1" thickBot="1">
      <c r="A4063" s="218" t="e">
        <f>"Q"&amp;E4039</f>
        <v>#N/A</v>
      </c>
      <c r="B4063" s="702"/>
      <c r="C4063" s="114">
        <v>4</v>
      </c>
      <c r="D4063" s="194" t="e">
        <f>IF(AND(C4063&lt;=F4058,F4058&lt;&gt;""),VLOOKUP(VALUE(E4039&amp;","&amp;C4063),INTEGRANTES!$D$18:$F$235,2,0),"")</f>
        <v>#N/A</v>
      </c>
      <c r="E4063" s="211" t="e">
        <f>IF(D4063&lt;&gt;"",VLOOKUP(VALUE(E4039&amp;","&amp;C4063),INTEGRANTES!$D$18:$F$235,3,0),"")</f>
        <v>#N/A</v>
      </c>
      <c r="F4063" s="547" t="e">
        <f>IF(D4063="","",SUMIF($I4043:$I4052,D4063,$P4043:$P4052))</f>
        <v>#N/A</v>
      </c>
      <c r="G4063" s="333" t="e">
        <f>IF(D4063="","",SUMIF($I4043:$I4052,D4063,$M4043:$M4052))</f>
        <v>#N/A</v>
      </c>
      <c r="H4063" s="535" t="e">
        <f t="shared" si="1199"/>
        <v>#N/A</v>
      </c>
      <c r="I4063" s="212" t="e">
        <f>IF(D4063="","",IF(H4063="NO APORTA","NO",IF(H4063=MAX($H4060:$H4065),"SI","NO")))</f>
        <v>#N/A</v>
      </c>
      <c r="J4063" s="213" t="e">
        <f t="shared" si="1200"/>
        <v>#N/A</v>
      </c>
      <c r="K4063" s="200" t="e">
        <f t="shared" si="1201"/>
        <v>#N/A</v>
      </c>
      <c r="L4063" s="720" t="s">
        <v>109</v>
      </c>
      <c r="M4063" s="757" t="s">
        <v>120</v>
      </c>
      <c r="N4063" s="726"/>
      <c r="O4063" s="726"/>
      <c r="P4063" s="726"/>
      <c r="Q4063" s="727"/>
      <c r="R4063" s="458"/>
      <c r="S4063" s="459"/>
      <c r="T4063" s="460"/>
      <c r="U4063" s="219"/>
      <c r="V4063" s="464"/>
      <c r="Y4063" s="537">
        <f>0.4*PRESUPUESTOS!$H$16</f>
        <v>10.3124</v>
      </c>
      <c r="AA4063" s="540" t="e">
        <f>IF(AND(C4062&lt;=F4058,F4058&lt;&gt;""),VLOOKUP(VALUE(E4039&amp;","&amp;C4062),INTEGRANTES!$D$18:$F$235,2,0),"")</f>
        <v>#N/A</v>
      </c>
      <c r="AB4063" s="545" t="e">
        <f t="shared" si="1202"/>
        <v>#N/A</v>
      </c>
      <c r="AC4063" s="529"/>
      <c r="AD4063" s="200" t="e">
        <f t="shared" si="1203"/>
        <v>#N/A</v>
      </c>
      <c r="AE4063" s="52"/>
      <c r="AF4063" s="52"/>
      <c r="AG4063" s="52"/>
      <c r="AH4063" s="87"/>
      <c r="AI4063" s="87"/>
    </row>
    <row r="4064" spans="1:35" ht="27" hidden="1" customHeight="1" thickBot="1">
      <c r="A4064" s="218" t="e">
        <f>"R"&amp;E4039</f>
        <v>#N/A</v>
      </c>
      <c r="B4064" s="702"/>
      <c r="C4064" s="114">
        <v>5</v>
      </c>
      <c r="D4064" s="194" t="e">
        <f>IF(AND(C4064&lt;=F4058,F4058&lt;&gt;""),VLOOKUP(VALUE(E4039&amp;","&amp;C4064),INTEGRANTES!$D$18:$F$235,2,0),"")</f>
        <v>#N/A</v>
      </c>
      <c r="E4064" s="211" t="e">
        <f>IF(D4064&lt;&gt;"",VLOOKUP(VALUE(E4039&amp;","&amp;C4064),INTEGRANTES!$D$18:$F$235,3,0),"")</f>
        <v>#N/A</v>
      </c>
      <c r="F4064" s="547" t="e">
        <f>IF(D4064="","",SUMIF($I4043:$I4052,D4064,$P4043:$P4052))</f>
        <v>#N/A</v>
      </c>
      <c r="G4064" s="333" t="e">
        <f>IF(D4064="","",SUMIF($I4043:$I4052,D4064,$M4043:$M4052))</f>
        <v>#N/A</v>
      </c>
      <c r="H4064" s="535" t="e">
        <f t="shared" si="1199"/>
        <v>#N/A</v>
      </c>
      <c r="I4064" s="212" t="e">
        <f>IF(D4064="","",IF(H4064="NO APORTA","NO",IF(H4064=MAX($H4060:$H4065),"SI","NO")))</f>
        <v>#N/A</v>
      </c>
      <c r="J4064" s="213" t="e">
        <f t="shared" si="1200"/>
        <v>#N/A</v>
      </c>
      <c r="K4064" s="200" t="e">
        <f t="shared" si="1201"/>
        <v>#N/A</v>
      </c>
      <c r="L4064" s="721"/>
      <c r="M4064" s="715" t="s">
        <v>116</v>
      </c>
      <c r="N4064" s="716"/>
      <c r="O4064" s="556" t="str">
        <f>PORCREQUERIDO*100&amp;"% PMFO DEL MÓDULO"</f>
        <v>50% PMFO DEL MÓDULO</v>
      </c>
      <c r="P4064" s="715" t="s">
        <v>118</v>
      </c>
      <c r="Q4064" s="728"/>
      <c r="R4064" s="458"/>
      <c r="S4064" s="459"/>
      <c r="T4064" s="460"/>
      <c r="U4064" s="219"/>
      <c r="V4064" s="464"/>
      <c r="Y4064" s="414"/>
      <c r="AA4064" s="540" t="e">
        <f>IF(AND(C4063&lt;=F4058,F4058&lt;&gt;""),VLOOKUP(VALUE(E4039&amp;","&amp;C4063),INTEGRANTES!$D$18:$F$235,2,0),"")</f>
        <v>#N/A</v>
      </c>
      <c r="AB4064" s="545" t="e">
        <f t="shared" si="1202"/>
        <v>#N/A</v>
      </c>
      <c r="AC4064" s="529"/>
      <c r="AD4064" s="200" t="e">
        <f t="shared" si="1203"/>
        <v>#N/A</v>
      </c>
      <c r="AE4064" s="52"/>
      <c r="AF4064" s="52"/>
      <c r="AG4064" s="52"/>
      <c r="AH4064" s="87"/>
      <c r="AI4064" s="87"/>
    </row>
    <row r="4065" spans="1:35" ht="16.5" hidden="1" thickBot="1">
      <c r="A4065" s="218" t="e">
        <f>"S"&amp;E4039</f>
        <v>#N/A</v>
      </c>
      <c r="B4065" s="702"/>
      <c r="C4065" s="215">
        <v>6</v>
      </c>
      <c r="D4065" s="216" t="e">
        <f>IF(AND(C4065&lt;=F4058,F4058&lt;&gt;""),VLOOKUP(VALUE(E4039&amp;","&amp;C4065),INTEGRANTES!$D$18:$F$235,2,0),"")</f>
        <v>#N/A</v>
      </c>
      <c r="E4065" s="217" t="e">
        <f>IF(D4065&lt;&gt;"",VLOOKUP(VALUE(E4039&amp;","&amp;C4065),INTEGRANTES!$D$18:$F$235,3,0),"")</f>
        <v>#N/A</v>
      </c>
      <c r="F4065" s="548" t="e">
        <f>IF(D4065="","",SUMIF($I4043:$I4052,D4065,$P4043:$P4052))</f>
        <v>#N/A</v>
      </c>
      <c r="G4065" s="334" t="e">
        <f>IF(D4065="","",SUMIF($I4043:$I4052,D4065,$M4043:$M4052))</f>
        <v>#N/A</v>
      </c>
      <c r="H4065" s="536" t="e">
        <f t="shared" si="1199"/>
        <v>#N/A</v>
      </c>
      <c r="I4065" s="214" t="e">
        <f>IF(D4065="","",IF(H4065="NO APORTA","NO",IF(H4065=MAX($H4060:$H4065),"SI","NO")))</f>
        <v>#N/A</v>
      </c>
      <c r="J4065" s="213" t="e">
        <f t="shared" si="1200"/>
        <v>#N/A</v>
      </c>
      <c r="K4065" s="200" t="e">
        <f t="shared" si="1201"/>
        <v>#N/A</v>
      </c>
      <c r="L4065" s="721"/>
      <c r="M4065" s="729">
        <f>NUMMOD</f>
        <v>1</v>
      </c>
      <c r="N4065" s="730"/>
      <c r="O4065" s="443">
        <f>IF(M4065="","",ROUND(VLOOKUP(M4065,PRESUPUESTOS!$B$16:$H$16,7,FALSE),3))</f>
        <v>25.780999999999999</v>
      </c>
      <c r="P4065" s="713">
        <f>IF(OR(COUNTIF(P4043:P4052,"")&gt;=10,Q4059&lt;NUMMINCONT,OR(T4057="NO CUMPLE",T4057="VERIFICAR")),0,ROUND((SUM(P4043:P4052)/SUM(M4043:M4052)),3))</f>
        <v>0</v>
      </c>
      <c r="Q4065" s="714"/>
      <c r="R4065" s="458"/>
      <c r="S4065" s="459"/>
      <c r="T4065" s="460"/>
      <c r="U4065" s="219"/>
      <c r="V4065" s="464"/>
      <c r="Y4065" s="532" t="s">
        <v>343</v>
      </c>
      <c r="AA4065" s="540" t="e">
        <f>IF(AND(C4064&lt;=F4058,F4058&lt;&gt;""),VLOOKUP(VALUE(E4039&amp;","&amp;C4064),INTEGRANTES!$D$18:$F$235,2,0),"")</f>
        <v>#N/A</v>
      </c>
      <c r="AB4065" s="545" t="e">
        <f t="shared" si="1202"/>
        <v>#N/A</v>
      </c>
      <c r="AC4065" s="529"/>
      <c r="AD4065" s="200" t="e">
        <f t="shared" si="1203"/>
        <v>#N/A</v>
      </c>
      <c r="AE4065" s="52"/>
      <c r="AF4065" s="52"/>
      <c r="AG4065" s="52"/>
      <c r="AH4065" s="87"/>
      <c r="AI4065" s="87"/>
    </row>
    <row r="4066" spans="1:35" ht="16.5" hidden="1" customHeight="1" thickBot="1">
      <c r="A4066" s="218" t="e">
        <f>"T"&amp;E4039</f>
        <v>#N/A</v>
      </c>
      <c r="B4066" s="703"/>
      <c r="C4066" s="719"/>
      <c r="D4066" s="719"/>
      <c r="E4066" s="719"/>
      <c r="F4066" s="719"/>
      <c r="G4066" s="719"/>
      <c r="H4066" s="719" t="s">
        <v>110</v>
      </c>
      <c r="I4066" s="719"/>
      <c r="J4066" s="719"/>
      <c r="K4066" s="201" t="str">
        <f>IF(COUNTIF(K4060:K4065,"")=6,"",IF(COUNTIF(K4060:K4065,"CUMPLE")&gt;0,"CUMPLE","NO CUMPLE"))</f>
        <v>NO CUMPLE</v>
      </c>
      <c r="L4066" s="754"/>
      <c r="M4066" s="755"/>
      <c r="N4066" s="755"/>
      <c r="O4066" s="755"/>
      <c r="P4066" s="755"/>
      <c r="Q4066" s="756"/>
      <c r="R4066" s="461"/>
      <c r="S4066" s="462"/>
      <c r="T4066" s="463"/>
      <c r="U4066" s="219"/>
      <c r="V4066" s="464"/>
      <c r="Y4066" s="549" t="e">
        <f>IF(Y4060="NO APLICA","NO APLICA",IF(COUNTIF(AD4061:AD4066,"CUMPLE")&gt;0,"CUMPLE","NO CUMPLE"))</f>
        <v>#N/A</v>
      </c>
      <c r="AA4066" s="541" t="e">
        <f>IF(AND(C4065&lt;=F4058,F4058&lt;&gt;""),VLOOKUP(VALUE(E4039&amp;","&amp;C4065),INTEGRANTES!$D$18:$F$235,2,0),"")</f>
        <v>#N/A</v>
      </c>
      <c r="AB4066" s="546" t="e">
        <f t="shared" si="1202"/>
        <v>#N/A</v>
      </c>
      <c r="AC4066" s="543"/>
      <c r="AD4066" s="201" t="e">
        <f t="shared" si="1203"/>
        <v>#N/A</v>
      </c>
      <c r="AE4066" s="52"/>
      <c r="AF4066" s="52"/>
      <c r="AG4066" s="52"/>
      <c r="AH4066" s="87"/>
      <c r="AI4066" s="87"/>
    </row>
    <row r="4067" spans="1:35" hidden="1">
      <c r="AH4067" s="87"/>
      <c r="AI4067" s="87"/>
    </row>
    <row r="4068" spans="1:35" hidden="1">
      <c r="AH4068" s="87"/>
      <c r="AI4068" s="87"/>
    </row>
    <row r="4069" spans="1:35" ht="24" hidden="1" thickBot="1">
      <c r="A4069" s="61">
        <v>136</v>
      </c>
      <c r="B4069" s="704" t="s">
        <v>51</v>
      </c>
      <c r="C4069" s="704"/>
      <c r="D4069" s="704"/>
      <c r="E4069" s="62" t="e">
        <f>VLOOKUP(A4069,PROPONENTES!$B$19:$E$218,2,FALSE)</f>
        <v>#N/A</v>
      </c>
      <c r="F4069" s="63" t="e">
        <f>VLOOKUP(A4069,PROPONENTES!$B$19:$E$218,3,FALSE)</f>
        <v>#N/A</v>
      </c>
      <c r="G4069" s="64"/>
      <c r="H4069" s="64"/>
      <c r="I4069" s="63"/>
      <c r="J4069" s="63"/>
      <c r="K4069" s="65"/>
      <c r="L4069" s="65"/>
      <c r="M4069" s="64"/>
      <c r="N4069" s="64"/>
      <c r="O4069" s="66"/>
      <c r="P4069" s="66"/>
      <c r="Q4069" s="66"/>
      <c r="R4069" s="66"/>
      <c r="S4069" s="67"/>
      <c r="T4069" s="68"/>
      <c r="U4069" s="68"/>
      <c r="AC4069" s="68"/>
      <c r="AD4069" s="68"/>
      <c r="AE4069" s="68"/>
      <c r="AF4069" s="68"/>
      <c r="AG4069" s="68"/>
      <c r="AH4069" s="87"/>
      <c r="AI4069" s="87"/>
    </row>
    <row r="4070" spans="1:35" ht="15.75" hidden="1" customHeight="1">
      <c r="A4070" s="44"/>
      <c r="B4070" s="709" t="s">
        <v>59</v>
      </c>
      <c r="C4070" s="552" t="s">
        <v>60</v>
      </c>
      <c r="D4070" s="70" t="s">
        <v>17</v>
      </c>
      <c r="E4070" s="70"/>
      <c r="F4070" s="70" t="s">
        <v>61</v>
      </c>
      <c r="G4070" s="71"/>
      <c r="H4070" s="699" t="s">
        <v>62</v>
      </c>
      <c r="I4070" s="699" t="s">
        <v>18</v>
      </c>
      <c r="J4070" s="699" t="s">
        <v>63</v>
      </c>
      <c r="K4070" s="699" t="s">
        <v>64</v>
      </c>
      <c r="L4070" s="699" t="s">
        <v>65</v>
      </c>
      <c r="M4070" s="743" t="s">
        <v>66</v>
      </c>
      <c r="N4070" s="699" t="s">
        <v>282</v>
      </c>
      <c r="O4070" s="745" t="s">
        <v>67</v>
      </c>
      <c r="P4070" s="746"/>
      <c r="Q4070" s="102" t="s">
        <v>75</v>
      </c>
      <c r="R4070" s="731" t="s">
        <v>22</v>
      </c>
      <c r="S4070" s="732"/>
      <c r="T4070" s="733"/>
      <c r="U4070" s="712" t="s">
        <v>298</v>
      </c>
      <c r="W4070" s="690" t="s">
        <v>268</v>
      </c>
      <c r="X4070" s="691"/>
      <c r="Y4070" s="692"/>
      <c r="Z4070" s="428"/>
      <c r="AA4070" s="697" t="s">
        <v>315</v>
      </c>
      <c r="AB4070" s="695" t="s">
        <v>322</v>
      </c>
      <c r="AC4070" s="49"/>
      <c r="AD4070" s="690" t="s">
        <v>297</v>
      </c>
      <c r="AE4070" s="691"/>
      <c r="AF4070" s="692"/>
      <c r="AG4070" s="49"/>
      <c r="AH4070" s="87"/>
      <c r="AI4070" s="87"/>
    </row>
    <row r="4071" spans="1:35" ht="72" hidden="1">
      <c r="A4071" s="44"/>
      <c r="B4071" s="710"/>
      <c r="C4071" s="553" t="s">
        <v>68</v>
      </c>
      <c r="D4071" s="73" t="s">
        <v>3</v>
      </c>
      <c r="E4071" s="73" t="s">
        <v>19</v>
      </c>
      <c r="F4071" s="73" t="s">
        <v>69</v>
      </c>
      <c r="G4071" s="74" t="s">
        <v>70</v>
      </c>
      <c r="H4071" s="700"/>
      <c r="I4071" s="700"/>
      <c r="J4071" s="700"/>
      <c r="K4071" s="700"/>
      <c r="L4071" s="700"/>
      <c r="M4071" s="744"/>
      <c r="N4071" s="700"/>
      <c r="O4071" s="553" t="s">
        <v>279</v>
      </c>
      <c r="P4071" s="73" t="s">
        <v>88</v>
      </c>
      <c r="Q4071" s="555" t="s">
        <v>76</v>
      </c>
      <c r="R4071" s="734"/>
      <c r="S4071" s="735"/>
      <c r="T4071" s="736"/>
      <c r="U4071" s="712"/>
      <c r="W4071" s="429" t="s">
        <v>269</v>
      </c>
      <c r="X4071" s="457" t="s">
        <v>278</v>
      </c>
      <c r="Y4071" s="430" t="s">
        <v>324</v>
      </c>
      <c r="Z4071" s="428"/>
      <c r="AA4071" s="698"/>
      <c r="AB4071" s="696"/>
      <c r="AC4071" s="49"/>
      <c r="AD4071" s="429" t="s">
        <v>292</v>
      </c>
      <c r="AE4071" s="431" t="s">
        <v>300</v>
      </c>
      <c r="AF4071" s="468" t="s">
        <v>301</v>
      </c>
      <c r="AG4071" s="49"/>
      <c r="AH4071" s="87"/>
      <c r="AI4071" s="87"/>
    </row>
    <row r="4072" spans="1:35" hidden="1">
      <c r="A4072" s="44"/>
      <c r="B4072" s="76"/>
      <c r="C4072" s="77"/>
      <c r="D4072" s="77"/>
      <c r="E4072" s="77"/>
      <c r="F4072" s="77"/>
      <c r="G4072" s="77"/>
      <c r="H4072" s="77"/>
      <c r="I4072" s="77"/>
      <c r="J4072" s="77"/>
      <c r="K4072" s="77"/>
      <c r="L4072" s="77"/>
      <c r="M4072" s="77"/>
      <c r="N4072" s="77"/>
      <c r="O4072" s="77"/>
      <c r="P4072" s="77"/>
      <c r="Q4072" s="77"/>
      <c r="R4072" s="77"/>
      <c r="S4072" s="78"/>
      <c r="T4072" s="79"/>
      <c r="U4072" s="109"/>
      <c r="V4072" s="49"/>
      <c r="W4072" s="432"/>
      <c r="X4072" s="454"/>
      <c r="Y4072" s="433"/>
      <c r="Z4072" s="6"/>
      <c r="AA4072" s="500"/>
      <c r="AB4072" s="562"/>
      <c r="AC4072" s="49"/>
      <c r="AD4072" s="210"/>
      <c r="AE4072" s="434"/>
      <c r="AF4072" s="435"/>
      <c r="AG4072" s="49"/>
      <c r="AH4072" s="87"/>
      <c r="AI4072" s="87"/>
    </row>
    <row r="4073" spans="1:35" hidden="1">
      <c r="A4073" s="80" t="e">
        <f>"A"&amp;E4069</f>
        <v>#N/A</v>
      </c>
      <c r="B4073" s="81">
        <v>1</v>
      </c>
      <c r="C4073" s="82"/>
      <c r="D4073" s="82"/>
      <c r="E4073" s="82"/>
      <c r="F4073" s="82"/>
      <c r="G4073" s="83"/>
      <c r="H4073" s="83"/>
      <c r="I4073" s="84"/>
      <c r="J4073" s="85"/>
      <c r="K4073" s="382"/>
      <c r="L4073" s="85"/>
      <c r="M4073" s="332" t="str">
        <f t="shared" ref="M4073:M4082" si="1204">IF(OR(J4073="",L4073="",H4073="NO"),"",IF(OR(J4073&gt;$P$17,J4073&lt;$O$17,L4073&gt;$P$17,AND(J4073&lt;$O$17,L4073&lt;$O$17)),"FUERA DE RANGO",IF(OR(K4073="---",K4073=""),IF(J4073&gt;=$O$17,ROUND((L4073-J4073+1)/360*12,3),ROUND((L4073-$O$17+1)/360*12,3)),IF(J4073&gt;=$O$17,ROUND((L4073-J4073+1)/360*12-ROUND(K4073,3),3),ROUND((L4073-$O$17+1)/360*12-ROUND(K4073,3),3)))))</f>
        <v/>
      </c>
      <c r="N4073" s="86"/>
      <c r="O4073" s="453" t="str">
        <f>IF(OR(G4073="",N4073=""),"",N4073*G4073)</f>
        <v/>
      </c>
      <c r="P4073" s="538" t="str">
        <f>IF(OR(H4073="",M4073="FUERA DE RANGO"),"",IF(OR(L4073&lt;$O$17,L4073&gt;$P$17,L4073="",H4073="NO"),"",IF(OR(N4073="",O4073=""),"",ROUND(O4073,3))))</f>
        <v/>
      </c>
      <c r="Q4073" s="539" t="str">
        <f t="shared" ref="Q4073:Q4082" si="1205">IF(AND(H4073="SI",P4073&lt;&gt;""),ROUND(P4073/M4073,3),"")</f>
        <v/>
      </c>
      <c r="R4073" s="737"/>
      <c r="S4073" s="738"/>
      <c r="T4073" s="739"/>
      <c r="U4073" s="470"/>
      <c r="V4073" s="165"/>
      <c r="W4073" s="446"/>
      <c r="X4073" s="456"/>
      <c r="Y4073" s="436"/>
      <c r="Z4073" s="437"/>
      <c r="AA4073" s="560"/>
      <c r="AB4073" s="561"/>
      <c r="AC4073" s="87"/>
      <c r="AD4073" s="466"/>
      <c r="AE4073" s="456"/>
      <c r="AF4073" s="467"/>
      <c r="AG4073" s="87"/>
      <c r="AH4073" s="87"/>
      <c r="AI4073" s="87"/>
    </row>
    <row r="4074" spans="1:35" hidden="1">
      <c r="A4074" s="80" t="e">
        <f>"B"&amp;E4069</f>
        <v>#N/A</v>
      </c>
      <c r="B4074" s="81">
        <v>2</v>
      </c>
      <c r="C4074" s="106"/>
      <c r="D4074" s="106"/>
      <c r="E4074" s="106"/>
      <c r="F4074" s="106"/>
      <c r="G4074" s="83"/>
      <c r="H4074" s="83"/>
      <c r="I4074" s="84"/>
      <c r="J4074" s="85"/>
      <c r="K4074" s="382"/>
      <c r="L4074" s="85"/>
      <c r="M4074" s="332" t="str">
        <f t="shared" si="1204"/>
        <v/>
      </c>
      <c r="N4074" s="86"/>
      <c r="O4074" s="453" t="str">
        <f t="shared" ref="O4074:O4082" si="1206">IF(OR(G4074="",N4074=""),"",N4074*G4074)</f>
        <v/>
      </c>
      <c r="P4074" s="538" t="str">
        <f t="shared" ref="P4074:P4082" si="1207">IF(OR(H4074="",M4074="FUERA DE RANGO"),"",IF(OR(L4074&lt;$O$17,L4074&gt;$P$17,L4074="",H4074="NO"),"",IF(OR(N4074="",O4074=""),"",ROUND(O4074,3))))</f>
        <v/>
      </c>
      <c r="Q4074" s="539" t="str">
        <f t="shared" si="1205"/>
        <v/>
      </c>
      <c r="R4074" s="740"/>
      <c r="S4074" s="741"/>
      <c r="T4074" s="742"/>
      <c r="U4074" s="471"/>
      <c r="V4074" s="165"/>
      <c r="W4074" s="446"/>
      <c r="X4074" s="456"/>
      <c r="Y4074" s="436"/>
      <c r="Z4074" s="437"/>
      <c r="AA4074" s="560"/>
      <c r="AB4074" s="561"/>
      <c r="AC4074" s="87"/>
      <c r="AD4074" s="466"/>
      <c r="AE4074" s="456"/>
      <c r="AF4074" s="467"/>
      <c r="AG4074" s="87"/>
      <c r="AH4074" s="87"/>
      <c r="AI4074" s="87"/>
    </row>
    <row r="4075" spans="1:35" hidden="1">
      <c r="A4075" s="80" t="e">
        <f>"C"&amp;E4069</f>
        <v>#N/A</v>
      </c>
      <c r="B4075" s="88">
        <v>3</v>
      </c>
      <c r="C4075" s="82"/>
      <c r="D4075" s="82"/>
      <c r="E4075" s="82"/>
      <c r="F4075" s="82"/>
      <c r="G4075" s="83"/>
      <c r="H4075" s="83"/>
      <c r="I4075" s="84"/>
      <c r="J4075" s="85"/>
      <c r="K4075" s="382"/>
      <c r="L4075" s="85"/>
      <c r="M4075" s="332" t="str">
        <f t="shared" si="1204"/>
        <v/>
      </c>
      <c r="N4075" s="86"/>
      <c r="O4075" s="453" t="str">
        <f t="shared" si="1206"/>
        <v/>
      </c>
      <c r="P4075" s="538" t="str">
        <f t="shared" si="1207"/>
        <v/>
      </c>
      <c r="Q4075" s="539" t="str">
        <f t="shared" si="1205"/>
        <v/>
      </c>
      <c r="R4075" s="706"/>
      <c r="S4075" s="707"/>
      <c r="T4075" s="708"/>
      <c r="U4075" s="472"/>
      <c r="V4075" s="166"/>
      <c r="W4075" s="446"/>
      <c r="X4075" s="456"/>
      <c r="Y4075" s="436"/>
      <c r="Z4075" s="437"/>
      <c r="AA4075" s="560"/>
      <c r="AB4075" s="561"/>
      <c r="AC4075" s="87"/>
      <c r="AD4075" s="466"/>
      <c r="AE4075" s="456"/>
      <c r="AF4075" s="467"/>
      <c r="AG4075" s="87"/>
      <c r="AH4075" s="87"/>
      <c r="AI4075" s="87"/>
    </row>
    <row r="4076" spans="1:35" hidden="1">
      <c r="A4076" s="80" t="e">
        <f>"D"&amp;E4069</f>
        <v>#N/A</v>
      </c>
      <c r="B4076" s="105">
        <v>4</v>
      </c>
      <c r="C4076" s="107"/>
      <c r="D4076" s="107"/>
      <c r="E4076" s="107"/>
      <c r="F4076" s="107"/>
      <c r="G4076" s="83"/>
      <c r="H4076" s="83"/>
      <c r="I4076" s="84"/>
      <c r="J4076" s="85"/>
      <c r="K4076" s="382"/>
      <c r="L4076" s="85"/>
      <c r="M4076" s="332" t="str">
        <f t="shared" si="1204"/>
        <v/>
      </c>
      <c r="N4076" s="86"/>
      <c r="O4076" s="453" t="str">
        <f t="shared" si="1206"/>
        <v/>
      </c>
      <c r="P4076" s="538" t="str">
        <f t="shared" si="1207"/>
        <v/>
      </c>
      <c r="Q4076" s="539" t="str">
        <f t="shared" si="1205"/>
        <v/>
      </c>
      <c r="R4076" s="706"/>
      <c r="S4076" s="707"/>
      <c r="T4076" s="708"/>
      <c r="U4076" s="472"/>
      <c r="V4076" s="166"/>
      <c r="W4076" s="446"/>
      <c r="X4076" s="456"/>
      <c r="Y4076" s="436"/>
      <c r="Z4076" s="437"/>
      <c r="AA4076" s="560"/>
      <c r="AB4076" s="561"/>
      <c r="AC4076" s="87"/>
      <c r="AD4076" s="466"/>
      <c r="AE4076" s="456"/>
      <c r="AF4076" s="467"/>
      <c r="AG4076" s="87"/>
      <c r="AH4076" s="87"/>
      <c r="AI4076" s="87"/>
    </row>
    <row r="4077" spans="1:35" hidden="1">
      <c r="A4077" s="80" t="e">
        <f>"E"&amp;E4069</f>
        <v>#N/A</v>
      </c>
      <c r="B4077" s="105">
        <v>5</v>
      </c>
      <c r="C4077" s="107"/>
      <c r="D4077" s="107"/>
      <c r="E4077" s="107"/>
      <c r="F4077" s="107"/>
      <c r="G4077" s="83"/>
      <c r="H4077" s="83"/>
      <c r="I4077" s="84"/>
      <c r="J4077" s="85"/>
      <c r="K4077" s="382"/>
      <c r="L4077" s="85"/>
      <c r="M4077" s="332" t="str">
        <f t="shared" si="1204"/>
        <v/>
      </c>
      <c r="N4077" s="86"/>
      <c r="O4077" s="453" t="str">
        <f t="shared" si="1206"/>
        <v/>
      </c>
      <c r="P4077" s="538" t="str">
        <f t="shared" si="1207"/>
        <v/>
      </c>
      <c r="Q4077" s="539" t="str">
        <f t="shared" si="1205"/>
        <v/>
      </c>
      <c r="R4077" s="706"/>
      <c r="S4077" s="707"/>
      <c r="T4077" s="708"/>
      <c r="U4077" s="472"/>
      <c r="V4077" s="167"/>
      <c r="W4077" s="446"/>
      <c r="X4077" s="456"/>
      <c r="Y4077" s="436"/>
      <c r="Z4077" s="437"/>
      <c r="AA4077" s="560"/>
      <c r="AB4077" s="561"/>
      <c r="AC4077" s="87"/>
      <c r="AD4077" s="466"/>
      <c r="AE4077" s="456"/>
      <c r="AF4077" s="467"/>
      <c r="AG4077" s="87"/>
      <c r="AH4077" s="87"/>
      <c r="AI4077" s="87"/>
    </row>
    <row r="4078" spans="1:35" hidden="1">
      <c r="A4078" s="80" t="e">
        <f>"F"&amp;E4069</f>
        <v>#N/A</v>
      </c>
      <c r="B4078" s="105">
        <v>6</v>
      </c>
      <c r="C4078" s="107"/>
      <c r="D4078" s="107"/>
      <c r="E4078" s="107"/>
      <c r="F4078" s="107"/>
      <c r="G4078" s="83"/>
      <c r="H4078" s="83"/>
      <c r="I4078" s="84"/>
      <c r="J4078" s="85"/>
      <c r="K4078" s="382"/>
      <c r="L4078" s="85"/>
      <c r="M4078" s="332" t="str">
        <f t="shared" si="1204"/>
        <v/>
      </c>
      <c r="N4078" s="86"/>
      <c r="O4078" s="453" t="str">
        <f t="shared" si="1206"/>
        <v/>
      </c>
      <c r="P4078" s="538" t="str">
        <f t="shared" si="1207"/>
        <v/>
      </c>
      <c r="Q4078" s="539" t="str">
        <f t="shared" si="1205"/>
        <v/>
      </c>
      <c r="R4078" s="706"/>
      <c r="S4078" s="707"/>
      <c r="T4078" s="708"/>
      <c r="U4078" s="472"/>
      <c r="V4078" s="167"/>
      <c r="W4078" s="446"/>
      <c r="X4078" s="456"/>
      <c r="Y4078" s="436"/>
      <c r="Z4078" s="437"/>
      <c r="AA4078" s="560"/>
      <c r="AB4078" s="561"/>
      <c r="AC4078" s="87"/>
      <c r="AD4078" s="466"/>
      <c r="AE4078" s="456"/>
      <c r="AF4078" s="467"/>
      <c r="AG4078" s="87"/>
      <c r="AH4078" s="87"/>
      <c r="AI4078" s="87"/>
    </row>
    <row r="4079" spans="1:35" hidden="1">
      <c r="A4079" s="80" t="e">
        <f>"G"&amp;E4069</f>
        <v>#N/A</v>
      </c>
      <c r="B4079" s="105">
        <v>7</v>
      </c>
      <c r="C4079" s="107"/>
      <c r="D4079" s="107"/>
      <c r="E4079" s="107"/>
      <c r="F4079" s="107"/>
      <c r="G4079" s="83"/>
      <c r="H4079" s="83"/>
      <c r="I4079" s="84"/>
      <c r="J4079" s="85"/>
      <c r="K4079" s="382"/>
      <c r="L4079" s="85"/>
      <c r="M4079" s="332" t="str">
        <f t="shared" si="1204"/>
        <v/>
      </c>
      <c r="N4079" s="86"/>
      <c r="O4079" s="86" t="str">
        <f t="shared" si="1206"/>
        <v/>
      </c>
      <c r="P4079" s="538" t="str">
        <f t="shared" si="1207"/>
        <v/>
      </c>
      <c r="Q4079" s="539" t="str">
        <f t="shared" si="1205"/>
        <v/>
      </c>
      <c r="R4079" s="706"/>
      <c r="S4079" s="707"/>
      <c r="T4079" s="708"/>
      <c r="U4079" s="472"/>
      <c r="V4079" s="167"/>
      <c r="W4079" s="446"/>
      <c r="X4079" s="456"/>
      <c r="Y4079" s="436"/>
      <c r="Z4079" s="437"/>
      <c r="AA4079" s="560"/>
      <c r="AB4079" s="561"/>
      <c r="AC4079" s="87"/>
      <c r="AD4079" s="466"/>
      <c r="AE4079" s="456"/>
      <c r="AF4079" s="467"/>
      <c r="AG4079" s="87"/>
      <c r="AH4079" s="87"/>
      <c r="AI4079" s="87"/>
    </row>
    <row r="4080" spans="1:35" hidden="1">
      <c r="A4080" s="80" t="e">
        <f>"H"&amp;E4069</f>
        <v>#N/A</v>
      </c>
      <c r="B4080" s="105">
        <v>8</v>
      </c>
      <c r="C4080" s="107"/>
      <c r="D4080" s="107"/>
      <c r="E4080" s="107"/>
      <c r="F4080" s="107"/>
      <c r="G4080" s="83"/>
      <c r="H4080" s="83"/>
      <c r="I4080" s="84"/>
      <c r="J4080" s="85"/>
      <c r="K4080" s="382"/>
      <c r="L4080" s="85"/>
      <c r="M4080" s="332" t="str">
        <f t="shared" si="1204"/>
        <v/>
      </c>
      <c r="N4080" s="453"/>
      <c r="O4080" s="86" t="str">
        <f t="shared" si="1206"/>
        <v/>
      </c>
      <c r="P4080" s="538" t="str">
        <f t="shared" si="1207"/>
        <v/>
      </c>
      <c r="Q4080" s="539" t="str">
        <f t="shared" si="1205"/>
        <v/>
      </c>
      <c r="R4080" s="706"/>
      <c r="S4080" s="707"/>
      <c r="T4080" s="708"/>
      <c r="U4080" s="472"/>
      <c r="V4080" s="167"/>
      <c r="W4080" s="446"/>
      <c r="X4080" s="456"/>
      <c r="Y4080" s="436"/>
      <c r="Z4080" s="437"/>
      <c r="AA4080" s="560"/>
      <c r="AB4080" s="561"/>
      <c r="AC4080" s="87"/>
      <c r="AD4080" s="466"/>
      <c r="AE4080" s="456"/>
      <c r="AF4080" s="467"/>
      <c r="AG4080" s="87"/>
      <c r="AH4080" s="87"/>
      <c r="AI4080" s="87"/>
    </row>
    <row r="4081" spans="1:35" hidden="1">
      <c r="A4081" s="80" t="e">
        <f>"I"&amp;E4069</f>
        <v>#N/A</v>
      </c>
      <c r="B4081" s="105">
        <v>9</v>
      </c>
      <c r="C4081" s="107"/>
      <c r="D4081" s="107"/>
      <c r="E4081" s="107"/>
      <c r="F4081" s="107"/>
      <c r="G4081" s="83"/>
      <c r="H4081" s="83"/>
      <c r="I4081" s="84"/>
      <c r="J4081" s="85"/>
      <c r="K4081" s="382"/>
      <c r="L4081" s="85"/>
      <c r="M4081" s="332" t="str">
        <f t="shared" si="1204"/>
        <v/>
      </c>
      <c r="N4081" s="453"/>
      <c r="O4081" s="86" t="str">
        <f t="shared" si="1206"/>
        <v/>
      </c>
      <c r="P4081" s="538" t="str">
        <f t="shared" si="1207"/>
        <v/>
      </c>
      <c r="Q4081" s="539" t="str">
        <f t="shared" si="1205"/>
        <v/>
      </c>
      <c r="R4081" s="706"/>
      <c r="S4081" s="707"/>
      <c r="T4081" s="708"/>
      <c r="U4081" s="472"/>
      <c r="V4081" s="167"/>
      <c r="W4081" s="446"/>
      <c r="X4081" s="456"/>
      <c r="Y4081" s="436"/>
      <c r="Z4081" s="437"/>
      <c r="AA4081" s="560"/>
      <c r="AB4081" s="561"/>
      <c r="AC4081" s="87"/>
      <c r="AD4081" s="466"/>
      <c r="AE4081" s="456"/>
      <c r="AF4081" s="467"/>
      <c r="AG4081" s="87"/>
      <c r="AH4081" s="87"/>
      <c r="AI4081" s="87"/>
    </row>
    <row r="4082" spans="1:35" hidden="1">
      <c r="A4082" s="80" t="e">
        <f>"J"&amp;E4069</f>
        <v>#N/A</v>
      </c>
      <c r="B4082" s="105">
        <v>10</v>
      </c>
      <c r="C4082" s="107"/>
      <c r="D4082" s="107"/>
      <c r="E4082" s="107"/>
      <c r="F4082" s="107"/>
      <c r="G4082" s="83"/>
      <c r="H4082" s="83"/>
      <c r="I4082" s="84"/>
      <c r="J4082" s="85"/>
      <c r="K4082" s="382"/>
      <c r="L4082" s="85"/>
      <c r="M4082" s="332" t="str">
        <f t="shared" si="1204"/>
        <v/>
      </c>
      <c r="N4082" s="453"/>
      <c r="O4082" s="86" t="str">
        <f t="shared" si="1206"/>
        <v/>
      </c>
      <c r="P4082" s="538" t="str">
        <f t="shared" si="1207"/>
        <v/>
      </c>
      <c r="Q4082" s="539" t="str">
        <f t="shared" si="1205"/>
        <v/>
      </c>
      <c r="R4082" s="706"/>
      <c r="S4082" s="707"/>
      <c r="T4082" s="708"/>
      <c r="U4082" s="472"/>
      <c r="V4082" s="167"/>
      <c r="W4082" s="446"/>
      <c r="X4082" s="456"/>
      <c r="Y4082" s="436"/>
      <c r="Z4082" s="437"/>
      <c r="AA4082" s="560"/>
      <c r="AB4082" s="561"/>
      <c r="AC4082" s="87"/>
      <c r="AD4082" s="466"/>
      <c r="AE4082" s="456"/>
      <c r="AF4082" s="467"/>
      <c r="AG4082" s="87"/>
      <c r="AH4082" s="87"/>
      <c r="AI4082" s="87"/>
    </row>
    <row r="4083" spans="1:35" ht="16.5" hidden="1" thickBot="1">
      <c r="A4083" s="44"/>
      <c r="B4083" s="89"/>
      <c r="C4083" s="90"/>
      <c r="D4083" s="90"/>
      <c r="E4083" s="90"/>
      <c r="F4083" s="90"/>
      <c r="G4083" s="90"/>
      <c r="H4083" s="90"/>
      <c r="I4083" s="90"/>
      <c r="J4083" s="90"/>
      <c r="K4083" s="90"/>
      <c r="L4083" s="90"/>
      <c r="M4083" s="90"/>
      <c r="N4083" s="90"/>
      <c r="O4083" s="90"/>
      <c r="P4083" s="90"/>
      <c r="Q4083" s="90"/>
      <c r="R4083" s="90"/>
      <c r="S4083" s="91"/>
      <c r="T4083" s="92"/>
      <c r="U4083" s="473"/>
      <c r="W4083" s="438"/>
      <c r="X4083" s="455"/>
      <c r="Y4083" s="439"/>
      <c r="Z4083" s="437"/>
      <c r="AA4083" s="530"/>
      <c r="AB4083" s="563"/>
      <c r="AC4083" s="87"/>
      <c r="AD4083" s="440"/>
      <c r="AE4083" s="441"/>
      <c r="AF4083" s="442"/>
      <c r="AG4083" s="49"/>
      <c r="AH4083" s="87"/>
      <c r="AI4083" s="87"/>
    </row>
    <row r="4084" spans="1:35" ht="16.5" hidden="1" thickBot="1">
      <c r="A4084" s="93"/>
      <c r="B4084" s="94"/>
      <c r="C4084" s="96"/>
      <c r="D4084" s="96"/>
      <c r="E4084" s="96"/>
      <c r="F4084" s="96"/>
      <c r="G4084" s="96"/>
      <c r="H4084" s="96"/>
      <c r="I4084" s="96"/>
      <c r="J4084" s="96"/>
      <c r="K4084" s="96"/>
      <c r="L4084" s="96"/>
      <c r="M4084" s="136"/>
      <c r="N4084" s="96"/>
      <c r="O4084" s="96"/>
      <c r="P4084" s="97"/>
      <c r="Q4084" s="97"/>
      <c r="R4084" s="98"/>
      <c r="S4084" s="95"/>
      <c r="T4084" s="99"/>
      <c r="U4084" s="469"/>
      <c r="AC4084" s="58"/>
      <c r="AG4084" s="58"/>
      <c r="AH4084" s="87"/>
      <c r="AI4084" s="87"/>
    </row>
    <row r="4085" spans="1:35" ht="16.5" hidden="1" thickBot="1">
      <c r="B4085" s="101"/>
      <c r="C4085" s="101"/>
      <c r="D4085" s="101"/>
      <c r="E4085" s="101"/>
      <c r="F4085" s="101"/>
      <c r="G4085" s="101"/>
      <c r="H4085" s="101"/>
      <c r="I4085" s="101"/>
      <c r="J4085" s="101"/>
      <c r="K4085" s="101"/>
      <c r="L4085" s="101"/>
      <c r="M4085" s="101"/>
      <c r="N4085" s="101"/>
      <c r="O4085" s="101"/>
      <c r="P4085" s="101"/>
      <c r="Q4085" s="101"/>
      <c r="R4085" s="101"/>
      <c r="S4085" s="101"/>
      <c r="U4085" s="50"/>
      <c r="AH4085" s="87"/>
      <c r="AI4085" s="87"/>
    </row>
    <row r="4086" spans="1:35" ht="16.5" hidden="1" customHeight="1" thickBot="1">
      <c r="A4086" s="44"/>
      <c r="B4086" s="705" t="s">
        <v>74</v>
      </c>
      <c r="C4086" s="705"/>
      <c r="D4086" s="705"/>
      <c r="E4086" s="705"/>
      <c r="F4086" s="705"/>
      <c r="G4086" s="705"/>
      <c r="H4086" s="705"/>
      <c r="I4086" s="705"/>
      <c r="J4086" s="705"/>
      <c r="K4086" s="705"/>
      <c r="L4086" s="705"/>
      <c r="M4086" s="705"/>
      <c r="N4086" s="705"/>
      <c r="O4086" s="705"/>
      <c r="P4086" s="705"/>
      <c r="Q4086" s="705"/>
      <c r="R4086" s="705"/>
      <c r="S4086" s="705"/>
      <c r="T4086" s="705"/>
      <c r="U4086" s="108"/>
      <c r="Y4086" s="532" t="s">
        <v>341</v>
      </c>
      <c r="AC4086" s="49"/>
      <c r="AD4086" s="687" t="s">
        <v>302</v>
      </c>
      <c r="AE4086" s="688"/>
      <c r="AF4086" s="689"/>
      <c r="AG4086" s="49"/>
      <c r="AH4086" s="87"/>
      <c r="AI4086" s="87"/>
    </row>
    <row r="4087" spans="1:35" ht="16.5" hidden="1" customHeight="1" thickBot="1">
      <c r="A4087" s="218" t="e">
        <f>"K"&amp;E4069</f>
        <v>#N/A</v>
      </c>
      <c r="B4087" s="701" t="s">
        <v>71</v>
      </c>
      <c r="C4087" s="751" t="s">
        <v>102</v>
      </c>
      <c r="D4087" s="751"/>
      <c r="E4087" s="751"/>
      <c r="F4087" s="751"/>
      <c r="G4087" s="751"/>
      <c r="H4087" s="751"/>
      <c r="I4087" s="751"/>
      <c r="J4087" s="751"/>
      <c r="K4087" s="751"/>
      <c r="L4087" s="722" t="s">
        <v>100</v>
      </c>
      <c r="M4087" s="747" t="s">
        <v>114</v>
      </c>
      <c r="N4087" s="747"/>
      <c r="O4087" s="747"/>
      <c r="P4087" s="747"/>
      <c r="Q4087" s="748"/>
      <c r="R4087" s="758" t="s">
        <v>280</v>
      </c>
      <c r="S4087" s="748"/>
      <c r="T4087" s="762" t="str">
        <f>IF(COUNTIF(AE4087:AF4087,"VERIFICAR")&gt;0,"VERIFICAR",IF(COUNTIF(AE4087:AF4087,"NO CUMPLE")&gt;0,"NO CUMPLE","CUMPLE"))</f>
        <v>VERIFICAR</v>
      </c>
      <c r="U4087" s="108"/>
      <c r="Y4087" s="533" t="e">
        <f>IF(F4088="","",IF(F4088=1,"INDIVIDUAL","ESTRUCTURA PLURAL"))</f>
        <v>#N/A</v>
      </c>
      <c r="AC4087" s="52"/>
      <c r="AD4087" s="475" t="s">
        <v>303</v>
      </c>
      <c r="AE4087" s="476" t="str">
        <f>IF(COUNTIF(AE4073:AE4082,"")=10,"VERIFICAR",IF(COUNTIF(AE4073:AE4082,"SI")&gt;0,"CUMPLE","NO CUMPLE"))</f>
        <v>VERIFICAR</v>
      </c>
      <c r="AF4087" s="477" t="str">
        <f>IF(COUNTIF(AF4073:AF4082,"")=10,"VERIFICAR",IF(COUNTIF(AF4073:AF4082,"SI")&gt;=$AI$22,"CUMPLE","NO CUMPLE"))</f>
        <v>VERIFICAR</v>
      </c>
      <c r="AG4087" s="52"/>
      <c r="AH4087" s="87"/>
      <c r="AI4087" s="87"/>
    </row>
    <row r="4088" spans="1:35" ht="15.75" hidden="1" customHeight="1" thickBot="1">
      <c r="A4088" s="218" t="e">
        <f>"L"&amp;E4069</f>
        <v>#N/A</v>
      </c>
      <c r="B4088" s="702"/>
      <c r="C4088" s="751" t="s">
        <v>103</v>
      </c>
      <c r="D4088" s="751"/>
      <c r="E4088" s="752"/>
      <c r="F4088" s="557" t="e">
        <f>IF(VLOOKUP(E4069,PROPONENTES!$C$19:$E$218,3,0)="","",VLOOKUP(E4069,PROPONENTES!$C$19:$E$218,3,0))</f>
        <v>#N/A</v>
      </c>
      <c r="G4088" s="753" t="s">
        <v>104</v>
      </c>
      <c r="H4088" s="751"/>
      <c r="I4088" s="715" t="e">
        <f>IF(OR(F4088="",F4088=1),"INTERESADO PERSONA NATURAL O JURIDICA","CONSORCIO O UNION TEMPORAL")</f>
        <v>#N/A</v>
      </c>
      <c r="J4088" s="725"/>
      <c r="K4088" s="728"/>
      <c r="L4088" s="723"/>
      <c r="M4088" s="749"/>
      <c r="N4088" s="749"/>
      <c r="O4088" s="749"/>
      <c r="P4088" s="749"/>
      <c r="Q4088" s="750"/>
      <c r="R4088" s="712"/>
      <c r="S4088" s="750"/>
      <c r="T4088" s="763"/>
      <c r="U4088" s="108"/>
      <c r="Y4088" s="534"/>
      <c r="AA4088" s="52"/>
      <c r="AB4088" s="52"/>
      <c r="AC4088" s="52"/>
      <c r="AG4088" s="52"/>
      <c r="AH4088" s="87"/>
      <c r="AI4088" s="87"/>
    </row>
    <row r="4089" spans="1:35" ht="56.25" hidden="1" customHeight="1" thickBot="1">
      <c r="A4089" s="218" t="e">
        <f>"M"&amp;E4069</f>
        <v>#N/A</v>
      </c>
      <c r="B4089" s="702"/>
      <c r="C4089" s="725" t="s">
        <v>101</v>
      </c>
      <c r="D4089" s="716"/>
      <c r="E4089" s="558" t="s">
        <v>105</v>
      </c>
      <c r="F4089" s="554" t="s">
        <v>87</v>
      </c>
      <c r="G4089" s="553" t="s">
        <v>86</v>
      </c>
      <c r="H4089" s="559" t="s">
        <v>85</v>
      </c>
      <c r="I4089" s="554" t="s">
        <v>252</v>
      </c>
      <c r="J4089" s="553" t="str">
        <f>"¿EL INTEGRANTE TIENE UNA PARTICIPACIÓN DEL "&amp;PORCREQUERIDOINT*100&amp;"%?"</f>
        <v>¿EL INTEGRANTE TIENE UNA PARTICIPACIÓN DEL 60%?</v>
      </c>
      <c r="K4089" s="554" t="s">
        <v>107</v>
      </c>
      <c r="L4089" s="724"/>
      <c r="M4089" s="717" t="s">
        <v>115</v>
      </c>
      <c r="N4089" s="718"/>
      <c r="O4089" s="718"/>
      <c r="P4089" s="718"/>
      <c r="Q4089" s="223">
        <f>IF(AND(H4073="SI",P4073&gt;=0),1,0)+IF(AND(H4074="SI",P4074&gt;=0),1,0)+IF(AND(H4075="SI",P4075&gt;=0),1,0)+IF(AND(H4076="SI",P4076&gt;=0),1,0)+IF(AND(H4077="SI",P4077&gt;=0),1,0)+IF(AND(H4078="SI",P4078&gt;=0),1,0)+IF(AND(H4079="SI",P4079&gt;=0),1,0)+IF(AND(H4080="SI",P4080&gt;=0),1,0)+IF(AND(H4081="SI",P4081&gt;=0),1,0)+IF(AND(H4082="SI",P4082&gt;=0),1,0)</f>
        <v>0</v>
      </c>
      <c r="R4089" s="759"/>
      <c r="S4089" s="761"/>
      <c r="T4089" s="764"/>
      <c r="U4089" s="219"/>
      <c r="V4089" s="464"/>
      <c r="Y4089" s="532" t="s">
        <v>342</v>
      </c>
      <c r="AA4089" s="550" t="s">
        <v>344</v>
      </c>
      <c r="AB4089" s="693" t="s">
        <v>345</v>
      </c>
      <c r="AC4089" s="693" t="s">
        <v>346</v>
      </c>
      <c r="AD4089" s="685" t="s">
        <v>347</v>
      </c>
      <c r="AE4089" s="52"/>
      <c r="AF4089" s="52"/>
      <c r="AG4089" s="52"/>
      <c r="AH4089" s="87"/>
      <c r="AI4089" s="87"/>
    </row>
    <row r="4090" spans="1:35" ht="15.75" hidden="1" customHeight="1" thickBot="1">
      <c r="A4090" s="218" t="e">
        <f>"N"&amp;E4069</f>
        <v>#N/A</v>
      </c>
      <c r="B4090" s="702"/>
      <c r="C4090" s="114">
        <v>1</v>
      </c>
      <c r="D4090" s="194" t="e">
        <f>IF(AND(C4090&lt;=F4088,F4088&gt;1,F4088&lt;&gt;""),VLOOKUP(VALUE(E4069&amp;","&amp;C4090),INTEGRANTES!$D$18:$F$235,2,0),"")</f>
        <v>#N/A</v>
      </c>
      <c r="E4090" s="211" t="e">
        <f>IF(D4090&lt;&gt;"",VLOOKUP(VALUE(E4069&amp;","&amp;C4090),INTEGRANTES!$D$18:$F$235,3,0),"")</f>
        <v>#N/A</v>
      </c>
      <c r="F4090" s="547" t="e">
        <f>IF(D4090="","",SUMIF($I4073:$I4082,D4090,$P4073:$P4082))</f>
        <v>#N/A</v>
      </c>
      <c r="G4090" s="333" t="e">
        <f>IF(D4090="","",SUMIF($I4073:$I4082,D4090,$M4073:$M4082))</f>
        <v>#N/A</v>
      </c>
      <c r="H4090" s="535" t="e">
        <f t="shared" ref="H4090:H4095" si="1208">IF(D4090="","",IF(OR(F4090=0,G4090=0),"NO APORTA",ROUND($F4090/$G4090,3)))</f>
        <v>#N/A</v>
      </c>
      <c r="I4090" s="212" t="e">
        <f>IF(D4090="","",IF(H4090="NO APORTA","NO",IF(H4090=MAX($H4090:$H4095),"SI","NO")))</f>
        <v>#N/A</v>
      </c>
      <c r="J4090" s="213" t="e">
        <f t="shared" ref="J4090:J4095" si="1209">IF(D4090="","",IF(E4090&gt;=PORCREQUERIDOINT,"SI","NO"))</f>
        <v>#N/A</v>
      </c>
      <c r="K4090" s="200" t="e">
        <f t="shared" ref="K4090:K4095" si="1210">IF(D4090="","",IF(AND(I4090="SI",J4090="SI"),"CUMPLE",IF(AND(I4090="NO",OR(J4090="SI",J4090="NO")),"","NO CUMPLE")))</f>
        <v>#N/A</v>
      </c>
      <c r="L4090" s="722" t="s">
        <v>108</v>
      </c>
      <c r="M4090" s="726" t="s">
        <v>119</v>
      </c>
      <c r="N4090" s="726"/>
      <c r="O4090" s="726"/>
      <c r="P4090" s="726"/>
      <c r="Q4090" s="727"/>
      <c r="R4090" s="758" t="s">
        <v>80</v>
      </c>
      <c r="S4090" s="747"/>
      <c r="T4090" s="748"/>
      <c r="U4090" s="219"/>
      <c r="V4090" s="464"/>
      <c r="Y4090" s="533" t="e">
        <f>IF(Y4087="","",IF(Y4087="INDIVIDUAL","NO APLICA","VERIFICAR CUADRO"))</f>
        <v>#N/A</v>
      </c>
      <c r="AA4090" s="551"/>
      <c r="AB4090" s="694"/>
      <c r="AC4090" s="694"/>
      <c r="AD4090" s="686"/>
      <c r="AE4090" s="52"/>
      <c r="AF4090" s="52"/>
      <c r="AG4090" s="52"/>
      <c r="AH4090" s="87"/>
      <c r="AI4090" s="87"/>
    </row>
    <row r="4091" spans="1:35" ht="27" hidden="1" customHeight="1" thickBot="1">
      <c r="A4091" s="218" t="e">
        <f>"O"&amp;E4069</f>
        <v>#N/A</v>
      </c>
      <c r="B4091" s="702"/>
      <c r="C4091" s="114">
        <v>2</v>
      </c>
      <c r="D4091" s="194" t="e">
        <f>IF(AND(C4091&lt;=F4088,F4088&lt;&gt;""),VLOOKUP(VALUE(E4069&amp;","&amp;C4091),INTEGRANTES!$D$18:$F$235,2,0),"")</f>
        <v>#N/A</v>
      </c>
      <c r="E4091" s="211" t="e">
        <f>IF(D4091&lt;&gt;"",VLOOKUP(VALUE(E4069&amp;","&amp;C4091),INTEGRANTES!$D$18:$F$235,3,0),"")</f>
        <v>#N/A</v>
      </c>
      <c r="F4091" s="547" t="e">
        <f>IF(D4091="","",SUMIF($I4073:$I4082,D4091,$P4073:$P4082))</f>
        <v>#N/A</v>
      </c>
      <c r="G4091" s="333" t="e">
        <f>IF(D4091="","",SUMIF($I4073:$I4082,D4091,$M4073:$M4082))</f>
        <v>#N/A</v>
      </c>
      <c r="H4091" s="535" t="e">
        <f t="shared" si="1208"/>
        <v>#N/A</v>
      </c>
      <c r="I4091" s="212" t="e">
        <f>IF(D4091="","",IF(H4091="NO APORTA","NO",IF(H4091=MAX($H4090:$H4095),"SI","NO")))</f>
        <v>#N/A</v>
      </c>
      <c r="J4091" s="213" t="e">
        <f t="shared" si="1209"/>
        <v>#N/A</v>
      </c>
      <c r="K4091" s="200" t="e">
        <f t="shared" si="1210"/>
        <v>#N/A</v>
      </c>
      <c r="L4091" s="723"/>
      <c r="M4091" s="715" t="s">
        <v>116</v>
      </c>
      <c r="N4091" s="716"/>
      <c r="O4091" s="556" t="s">
        <v>113</v>
      </c>
      <c r="P4091" s="715" t="s">
        <v>117</v>
      </c>
      <c r="Q4091" s="728"/>
      <c r="R4091" s="759"/>
      <c r="S4091" s="760"/>
      <c r="T4091" s="761"/>
      <c r="U4091" s="219"/>
      <c r="V4091" s="464"/>
      <c r="Y4091" s="414"/>
      <c r="AA4091" s="542" t="e">
        <f>IF(AND(C4090&lt;=F4088,F4088&gt;1,F4088&lt;&gt;""),VLOOKUP(VALUE(E4069&amp;","&amp;C4090),INTEGRANTES!$D$18:$F$235,2,0),"")</f>
        <v>#N/A</v>
      </c>
      <c r="AB4091" s="544" t="e">
        <f t="shared" ref="AB4091:AB4096" si="1211">IF(D4090="","",IF(OR(F4090=0,G4090=0),"NO APORTA",ROUND($F4090/$G4090,3)))</f>
        <v>#N/A</v>
      </c>
      <c r="AC4091" s="529"/>
      <c r="AD4091" s="200" t="e">
        <f t="shared" ref="AD4091:AD4096" si="1212">IF(OR(AA4091="",AB4091=""),"",IF(AND(AC4091="X",AB4091&gt;=EXPREQVTD),"CUMPLE","NO CUMPLE"))</f>
        <v>#N/A</v>
      </c>
      <c r="AE4091" s="52"/>
      <c r="AF4091" s="52"/>
      <c r="AG4091" s="52"/>
      <c r="AH4091" s="87"/>
      <c r="AI4091" s="87"/>
    </row>
    <row r="4092" spans="1:35" ht="16.5" hidden="1" thickBot="1">
      <c r="A4092" s="218" t="e">
        <f>"P"&amp;E4069</f>
        <v>#N/A</v>
      </c>
      <c r="B4092" s="702"/>
      <c r="C4092" s="114">
        <v>3</v>
      </c>
      <c r="D4092" s="194" t="e">
        <f>IF(AND(C4092&lt;=F4088,F4088&lt;&gt;""),VLOOKUP(VALUE(E4069&amp;","&amp;C4092),INTEGRANTES!$D$18:$F$235,2,0),"")</f>
        <v>#N/A</v>
      </c>
      <c r="E4092" s="211" t="e">
        <f>IF(D4092&lt;&gt;"",VLOOKUP(VALUE(E4069&amp;","&amp;C4092),INTEGRANTES!$D$18:$F$235,3,0),"")</f>
        <v>#N/A</v>
      </c>
      <c r="F4092" s="547" t="e">
        <f>IF(D4092="","",SUMIF($I4073:$I4082,D4092,$P4073:$P4082))</f>
        <v>#N/A</v>
      </c>
      <c r="G4092" s="333" t="e">
        <f>IF(D4092="","",SUMIF($I4073:$I4082,D4092,$M4073:$M4082))</f>
        <v>#N/A</v>
      </c>
      <c r="H4092" s="535" t="e">
        <f t="shared" si="1208"/>
        <v>#N/A</v>
      </c>
      <c r="I4092" s="212" t="e">
        <f>IF(D4092="","",IF(H4092="NO APORTA","NO",IF(H4092=MAX($H4090:$H4095),"SI","NO")))</f>
        <v>#N/A</v>
      </c>
      <c r="J4092" s="213" t="e">
        <f t="shared" si="1209"/>
        <v>#N/A</v>
      </c>
      <c r="K4092" s="200" t="e">
        <f t="shared" si="1210"/>
        <v>#N/A</v>
      </c>
      <c r="L4092" s="724"/>
      <c r="M4092" s="729">
        <f>NUMMOD</f>
        <v>1</v>
      </c>
      <c r="N4092" s="730"/>
      <c r="O4092" s="443">
        <f>IF(M4092="","",VLOOKUP(M4092,PRESUPUESTOS!$B$16:$H$16,5,FALSE))</f>
        <v>2</v>
      </c>
      <c r="P4092" s="713">
        <f>IF(OR(COUNTIF(M4073:M4082,"")&gt;=10,Q4089&lt;NUMMINCONT,OR(T4087="NO CUMPLE",T4087="VERIFICAR")),0,ROUND(AVERAGE(M4073:M4082),3))</f>
        <v>0</v>
      </c>
      <c r="Q4092" s="714"/>
      <c r="R4092" s="458"/>
      <c r="S4092" s="459"/>
      <c r="T4092" s="460"/>
      <c r="U4092" s="219"/>
      <c r="V4092" s="464"/>
      <c r="Y4092" s="532" t="str">
        <f>"40% * ("&amp;PRESUPUESTOS!$H$13&amp;")"</f>
        <v>40% * (50% PFMO)</v>
      </c>
      <c r="AA4092" s="540" t="e">
        <f>IF(AND(C4091&lt;=F4088,F4088&lt;&gt;""),VLOOKUP(VALUE(E4069&amp;","&amp;C4091),INTEGRANTES!$D$18:$F$235,2,0),"")</f>
        <v>#N/A</v>
      </c>
      <c r="AB4092" s="545" t="e">
        <f t="shared" si="1211"/>
        <v>#N/A</v>
      </c>
      <c r="AC4092" s="529"/>
      <c r="AD4092" s="200" t="e">
        <f t="shared" si="1212"/>
        <v>#N/A</v>
      </c>
      <c r="AE4092" s="52"/>
      <c r="AF4092" s="52"/>
      <c r="AG4092" s="52"/>
      <c r="AH4092" s="87"/>
      <c r="AI4092" s="87"/>
    </row>
    <row r="4093" spans="1:35" ht="15.75" hidden="1" customHeight="1" thickBot="1">
      <c r="A4093" s="218" t="e">
        <f>"Q"&amp;E4069</f>
        <v>#N/A</v>
      </c>
      <c r="B4093" s="702"/>
      <c r="C4093" s="114">
        <v>4</v>
      </c>
      <c r="D4093" s="194" t="e">
        <f>IF(AND(C4093&lt;=F4088,F4088&lt;&gt;""),VLOOKUP(VALUE(E4069&amp;","&amp;C4093),INTEGRANTES!$D$18:$F$235,2,0),"")</f>
        <v>#N/A</v>
      </c>
      <c r="E4093" s="211" t="e">
        <f>IF(D4093&lt;&gt;"",VLOOKUP(VALUE(E4069&amp;","&amp;C4093),INTEGRANTES!$D$18:$F$235,3,0),"")</f>
        <v>#N/A</v>
      </c>
      <c r="F4093" s="547" t="e">
        <f>IF(D4093="","",SUMIF($I4073:$I4082,D4093,$P4073:$P4082))</f>
        <v>#N/A</v>
      </c>
      <c r="G4093" s="333" t="e">
        <f>IF(D4093="","",SUMIF($I4073:$I4082,D4093,$M4073:$M4082))</f>
        <v>#N/A</v>
      </c>
      <c r="H4093" s="535" t="e">
        <f t="shared" si="1208"/>
        <v>#N/A</v>
      </c>
      <c r="I4093" s="212" t="e">
        <f>IF(D4093="","",IF(H4093="NO APORTA","NO",IF(H4093=MAX($H4090:$H4095),"SI","NO")))</f>
        <v>#N/A</v>
      </c>
      <c r="J4093" s="213" t="e">
        <f t="shared" si="1209"/>
        <v>#N/A</v>
      </c>
      <c r="K4093" s="200" t="e">
        <f t="shared" si="1210"/>
        <v>#N/A</v>
      </c>
      <c r="L4093" s="720" t="s">
        <v>109</v>
      </c>
      <c r="M4093" s="757" t="s">
        <v>120</v>
      </c>
      <c r="N4093" s="726"/>
      <c r="O4093" s="726"/>
      <c r="P4093" s="726"/>
      <c r="Q4093" s="727"/>
      <c r="R4093" s="458"/>
      <c r="S4093" s="459"/>
      <c r="T4093" s="460"/>
      <c r="U4093" s="219"/>
      <c r="V4093" s="464"/>
      <c r="Y4093" s="537">
        <f>0.4*PRESUPUESTOS!$H$16</f>
        <v>10.3124</v>
      </c>
      <c r="AA4093" s="540" t="e">
        <f>IF(AND(C4092&lt;=F4088,F4088&lt;&gt;""),VLOOKUP(VALUE(E4069&amp;","&amp;C4092),INTEGRANTES!$D$18:$F$235,2,0),"")</f>
        <v>#N/A</v>
      </c>
      <c r="AB4093" s="545" t="e">
        <f t="shared" si="1211"/>
        <v>#N/A</v>
      </c>
      <c r="AC4093" s="529"/>
      <c r="AD4093" s="200" t="e">
        <f t="shared" si="1212"/>
        <v>#N/A</v>
      </c>
      <c r="AE4093" s="52"/>
      <c r="AF4093" s="52"/>
      <c r="AG4093" s="52"/>
      <c r="AH4093" s="87"/>
      <c r="AI4093" s="87"/>
    </row>
    <row r="4094" spans="1:35" ht="27" hidden="1" customHeight="1" thickBot="1">
      <c r="A4094" s="218" t="e">
        <f>"R"&amp;E4069</f>
        <v>#N/A</v>
      </c>
      <c r="B4094" s="702"/>
      <c r="C4094" s="114">
        <v>5</v>
      </c>
      <c r="D4094" s="194" t="e">
        <f>IF(AND(C4094&lt;=F4088,F4088&lt;&gt;""),VLOOKUP(VALUE(E4069&amp;","&amp;C4094),INTEGRANTES!$D$18:$F$235,2,0),"")</f>
        <v>#N/A</v>
      </c>
      <c r="E4094" s="211" t="e">
        <f>IF(D4094&lt;&gt;"",VLOOKUP(VALUE(E4069&amp;","&amp;C4094),INTEGRANTES!$D$18:$F$235,3,0),"")</f>
        <v>#N/A</v>
      </c>
      <c r="F4094" s="547" t="e">
        <f>IF(D4094="","",SUMIF($I4073:$I4082,D4094,$P4073:$P4082))</f>
        <v>#N/A</v>
      </c>
      <c r="G4094" s="333" t="e">
        <f>IF(D4094="","",SUMIF($I4073:$I4082,D4094,$M4073:$M4082))</f>
        <v>#N/A</v>
      </c>
      <c r="H4094" s="535" t="e">
        <f t="shared" si="1208"/>
        <v>#N/A</v>
      </c>
      <c r="I4094" s="212" t="e">
        <f>IF(D4094="","",IF(H4094="NO APORTA","NO",IF(H4094=MAX($H4090:$H4095),"SI","NO")))</f>
        <v>#N/A</v>
      </c>
      <c r="J4094" s="213" t="e">
        <f t="shared" si="1209"/>
        <v>#N/A</v>
      </c>
      <c r="K4094" s="200" t="e">
        <f t="shared" si="1210"/>
        <v>#N/A</v>
      </c>
      <c r="L4094" s="721"/>
      <c r="M4094" s="715" t="s">
        <v>116</v>
      </c>
      <c r="N4094" s="716"/>
      <c r="O4094" s="556" t="str">
        <f>PORCREQUERIDO*100&amp;"% PMFO DEL MÓDULO"</f>
        <v>50% PMFO DEL MÓDULO</v>
      </c>
      <c r="P4094" s="715" t="s">
        <v>118</v>
      </c>
      <c r="Q4094" s="728"/>
      <c r="R4094" s="458"/>
      <c r="S4094" s="459"/>
      <c r="T4094" s="460"/>
      <c r="U4094" s="219"/>
      <c r="V4094" s="464"/>
      <c r="Y4094" s="414"/>
      <c r="AA4094" s="540" t="e">
        <f>IF(AND(C4093&lt;=F4088,F4088&lt;&gt;""),VLOOKUP(VALUE(E4069&amp;","&amp;C4093),INTEGRANTES!$D$18:$F$235,2,0),"")</f>
        <v>#N/A</v>
      </c>
      <c r="AB4094" s="545" t="e">
        <f t="shared" si="1211"/>
        <v>#N/A</v>
      </c>
      <c r="AC4094" s="529"/>
      <c r="AD4094" s="200" t="e">
        <f t="shared" si="1212"/>
        <v>#N/A</v>
      </c>
      <c r="AE4094" s="52"/>
      <c r="AF4094" s="52"/>
      <c r="AG4094" s="52"/>
      <c r="AH4094" s="87"/>
      <c r="AI4094" s="87"/>
    </row>
    <row r="4095" spans="1:35" ht="16.5" hidden="1" thickBot="1">
      <c r="A4095" s="218" t="e">
        <f>"S"&amp;E4069</f>
        <v>#N/A</v>
      </c>
      <c r="B4095" s="702"/>
      <c r="C4095" s="215">
        <v>6</v>
      </c>
      <c r="D4095" s="216" t="e">
        <f>IF(AND(C4095&lt;=F4088,F4088&lt;&gt;""),VLOOKUP(VALUE(E4069&amp;","&amp;C4095),INTEGRANTES!$D$18:$F$235,2,0),"")</f>
        <v>#N/A</v>
      </c>
      <c r="E4095" s="217" t="e">
        <f>IF(D4095&lt;&gt;"",VLOOKUP(VALUE(E4069&amp;","&amp;C4095),INTEGRANTES!$D$18:$F$235,3,0),"")</f>
        <v>#N/A</v>
      </c>
      <c r="F4095" s="548" t="e">
        <f>IF(D4095="","",SUMIF($I4073:$I4082,D4095,$P4073:$P4082))</f>
        <v>#N/A</v>
      </c>
      <c r="G4095" s="334" t="e">
        <f>IF(D4095="","",SUMIF($I4073:$I4082,D4095,$M4073:$M4082))</f>
        <v>#N/A</v>
      </c>
      <c r="H4095" s="536" t="e">
        <f t="shared" si="1208"/>
        <v>#N/A</v>
      </c>
      <c r="I4095" s="214" t="e">
        <f>IF(D4095="","",IF(H4095="NO APORTA","NO",IF(H4095=MAX($H4090:$H4095),"SI","NO")))</f>
        <v>#N/A</v>
      </c>
      <c r="J4095" s="213" t="e">
        <f t="shared" si="1209"/>
        <v>#N/A</v>
      </c>
      <c r="K4095" s="200" t="e">
        <f t="shared" si="1210"/>
        <v>#N/A</v>
      </c>
      <c r="L4095" s="721"/>
      <c r="M4095" s="729">
        <f>NUMMOD</f>
        <v>1</v>
      </c>
      <c r="N4095" s="730"/>
      <c r="O4095" s="443">
        <f>IF(M4095="","",ROUND(VLOOKUP(M4095,PRESUPUESTOS!$B$16:$H$16,7,FALSE),3))</f>
        <v>25.780999999999999</v>
      </c>
      <c r="P4095" s="713">
        <f>IF(OR(COUNTIF(P4073:P4082,"")&gt;=10,Q4089&lt;NUMMINCONT,OR(T4087="NO CUMPLE",T4087="VERIFICAR")),0,ROUND((SUM(P4073:P4082)/SUM(M4073:M4082)),3))</f>
        <v>0</v>
      </c>
      <c r="Q4095" s="714"/>
      <c r="R4095" s="458"/>
      <c r="S4095" s="459"/>
      <c r="T4095" s="460"/>
      <c r="U4095" s="219"/>
      <c r="V4095" s="464"/>
      <c r="Y4095" s="532" t="s">
        <v>343</v>
      </c>
      <c r="AA4095" s="540" t="e">
        <f>IF(AND(C4094&lt;=F4088,F4088&lt;&gt;""),VLOOKUP(VALUE(E4069&amp;","&amp;C4094),INTEGRANTES!$D$18:$F$235,2,0),"")</f>
        <v>#N/A</v>
      </c>
      <c r="AB4095" s="545" t="e">
        <f t="shared" si="1211"/>
        <v>#N/A</v>
      </c>
      <c r="AC4095" s="529"/>
      <c r="AD4095" s="200" t="e">
        <f t="shared" si="1212"/>
        <v>#N/A</v>
      </c>
      <c r="AE4095" s="52"/>
      <c r="AF4095" s="52"/>
      <c r="AG4095" s="52"/>
      <c r="AH4095" s="87"/>
      <c r="AI4095" s="87"/>
    </row>
    <row r="4096" spans="1:35" ht="16.5" hidden="1" customHeight="1" thickBot="1">
      <c r="A4096" s="218" t="e">
        <f>"T"&amp;E4069</f>
        <v>#N/A</v>
      </c>
      <c r="B4096" s="703"/>
      <c r="C4096" s="719"/>
      <c r="D4096" s="719"/>
      <c r="E4096" s="719"/>
      <c r="F4096" s="719"/>
      <c r="G4096" s="719"/>
      <c r="H4096" s="719" t="s">
        <v>110</v>
      </c>
      <c r="I4096" s="719"/>
      <c r="J4096" s="719"/>
      <c r="K4096" s="201" t="str">
        <f>IF(COUNTIF(K4090:K4095,"")=6,"",IF(COUNTIF(K4090:K4095,"CUMPLE")&gt;0,"CUMPLE","NO CUMPLE"))</f>
        <v>NO CUMPLE</v>
      </c>
      <c r="L4096" s="754"/>
      <c r="M4096" s="755"/>
      <c r="N4096" s="755"/>
      <c r="O4096" s="755"/>
      <c r="P4096" s="755"/>
      <c r="Q4096" s="756"/>
      <c r="R4096" s="461"/>
      <c r="S4096" s="462"/>
      <c r="T4096" s="463"/>
      <c r="U4096" s="219"/>
      <c r="V4096" s="464"/>
      <c r="Y4096" s="549" t="e">
        <f>IF(Y4090="NO APLICA","NO APLICA",IF(COUNTIF(AD4091:AD4096,"CUMPLE")&gt;0,"CUMPLE","NO CUMPLE"))</f>
        <v>#N/A</v>
      </c>
      <c r="AA4096" s="541" t="e">
        <f>IF(AND(C4095&lt;=F4088,F4088&lt;&gt;""),VLOOKUP(VALUE(E4069&amp;","&amp;C4095),INTEGRANTES!$D$18:$F$235,2,0),"")</f>
        <v>#N/A</v>
      </c>
      <c r="AB4096" s="546" t="e">
        <f t="shared" si="1211"/>
        <v>#N/A</v>
      </c>
      <c r="AC4096" s="543"/>
      <c r="AD4096" s="201" t="e">
        <f t="shared" si="1212"/>
        <v>#N/A</v>
      </c>
      <c r="AE4096" s="52"/>
      <c r="AF4096" s="52"/>
      <c r="AG4096" s="52"/>
      <c r="AH4096" s="87"/>
      <c r="AI4096" s="87"/>
    </row>
    <row r="4097" spans="1:35" hidden="1">
      <c r="AH4097" s="87"/>
      <c r="AI4097" s="87"/>
    </row>
    <row r="4098" spans="1:35" hidden="1">
      <c r="AH4098" s="87"/>
      <c r="AI4098" s="87"/>
    </row>
    <row r="4099" spans="1:35" ht="24" hidden="1" thickBot="1">
      <c r="A4099" s="61">
        <v>137</v>
      </c>
      <c r="B4099" s="704" t="s">
        <v>51</v>
      </c>
      <c r="C4099" s="704"/>
      <c r="D4099" s="704"/>
      <c r="E4099" s="62" t="e">
        <f>VLOOKUP(A4099,PROPONENTES!$B$19:$E$218,2,FALSE)</f>
        <v>#N/A</v>
      </c>
      <c r="F4099" s="63" t="e">
        <f>VLOOKUP(A4099,PROPONENTES!$B$19:$E$218,3,FALSE)</f>
        <v>#N/A</v>
      </c>
      <c r="G4099" s="64"/>
      <c r="H4099" s="64"/>
      <c r="I4099" s="63"/>
      <c r="J4099" s="63"/>
      <c r="K4099" s="65"/>
      <c r="L4099" s="65"/>
      <c r="M4099" s="64"/>
      <c r="N4099" s="64"/>
      <c r="O4099" s="66"/>
      <c r="P4099" s="66"/>
      <c r="Q4099" s="66"/>
      <c r="R4099" s="66"/>
      <c r="S4099" s="67"/>
      <c r="T4099" s="68"/>
      <c r="U4099" s="68"/>
      <c r="AC4099" s="68"/>
      <c r="AD4099" s="68"/>
      <c r="AE4099" s="68"/>
      <c r="AF4099" s="68"/>
      <c r="AG4099" s="68"/>
      <c r="AH4099" s="87"/>
      <c r="AI4099" s="87"/>
    </row>
    <row r="4100" spans="1:35" ht="15.75" hidden="1" customHeight="1">
      <c r="A4100" s="44"/>
      <c r="B4100" s="709" t="s">
        <v>59</v>
      </c>
      <c r="C4100" s="552" t="s">
        <v>60</v>
      </c>
      <c r="D4100" s="70" t="s">
        <v>17</v>
      </c>
      <c r="E4100" s="70"/>
      <c r="F4100" s="70" t="s">
        <v>61</v>
      </c>
      <c r="G4100" s="71"/>
      <c r="H4100" s="699" t="s">
        <v>62</v>
      </c>
      <c r="I4100" s="699" t="s">
        <v>18</v>
      </c>
      <c r="J4100" s="699" t="s">
        <v>63</v>
      </c>
      <c r="K4100" s="699" t="s">
        <v>64</v>
      </c>
      <c r="L4100" s="699" t="s">
        <v>65</v>
      </c>
      <c r="M4100" s="743" t="s">
        <v>66</v>
      </c>
      <c r="N4100" s="699" t="s">
        <v>282</v>
      </c>
      <c r="O4100" s="745" t="s">
        <v>67</v>
      </c>
      <c r="P4100" s="746"/>
      <c r="Q4100" s="102" t="s">
        <v>75</v>
      </c>
      <c r="R4100" s="731" t="s">
        <v>22</v>
      </c>
      <c r="S4100" s="732"/>
      <c r="T4100" s="733"/>
      <c r="U4100" s="712" t="s">
        <v>298</v>
      </c>
      <c r="W4100" s="690" t="s">
        <v>268</v>
      </c>
      <c r="X4100" s="691"/>
      <c r="Y4100" s="692"/>
      <c r="Z4100" s="428"/>
      <c r="AA4100" s="697" t="s">
        <v>315</v>
      </c>
      <c r="AB4100" s="695" t="s">
        <v>322</v>
      </c>
      <c r="AC4100" s="49"/>
      <c r="AD4100" s="690" t="s">
        <v>297</v>
      </c>
      <c r="AE4100" s="691"/>
      <c r="AF4100" s="692"/>
      <c r="AG4100" s="49"/>
      <c r="AH4100" s="87"/>
      <c r="AI4100" s="87"/>
    </row>
    <row r="4101" spans="1:35" ht="72" hidden="1">
      <c r="A4101" s="44"/>
      <c r="B4101" s="710"/>
      <c r="C4101" s="553" t="s">
        <v>68</v>
      </c>
      <c r="D4101" s="73" t="s">
        <v>3</v>
      </c>
      <c r="E4101" s="73" t="s">
        <v>19</v>
      </c>
      <c r="F4101" s="73" t="s">
        <v>69</v>
      </c>
      <c r="G4101" s="74" t="s">
        <v>70</v>
      </c>
      <c r="H4101" s="700"/>
      <c r="I4101" s="700"/>
      <c r="J4101" s="700"/>
      <c r="K4101" s="700"/>
      <c r="L4101" s="700"/>
      <c r="M4101" s="744"/>
      <c r="N4101" s="700"/>
      <c r="O4101" s="553" t="s">
        <v>279</v>
      </c>
      <c r="P4101" s="73" t="s">
        <v>88</v>
      </c>
      <c r="Q4101" s="555" t="s">
        <v>76</v>
      </c>
      <c r="R4101" s="734"/>
      <c r="S4101" s="735"/>
      <c r="T4101" s="736"/>
      <c r="U4101" s="712"/>
      <c r="W4101" s="429" t="s">
        <v>269</v>
      </c>
      <c r="X4101" s="457" t="s">
        <v>278</v>
      </c>
      <c r="Y4101" s="430" t="s">
        <v>324</v>
      </c>
      <c r="Z4101" s="428"/>
      <c r="AA4101" s="698"/>
      <c r="AB4101" s="696"/>
      <c r="AC4101" s="49"/>
      <c r="AD4101" s="429" t="s">
        <v>292</v>
      </c>
      <c r="AE4101" s="431" t="s">
        <v>300</v>
      </c>
      <c r="AF4101" s="468" t="s">
        <v>301</v>
      </c>
      <c r="AG4101" s="49"/>
      <c r="AH4101" s="87"/>
      <c r="AI4101" s="87"/>
    </row>
    <row r="4102" spans="1:35" hidden="1">
      <c r="A4102" s="44"/>
      <c r="B4102" s="76"/>
      <c r="C4102" s="77"/>
      <c r="D4102" s="77"/>
      <c r="E4102" s="77"/>
      <c r="F4102" s="77"/>
      <c r="G4102" s="77"/>
      <c r="H4102" s="77"/>
      <c r="I4102" s="77"/>
      <c r="J4102" s="77"/>
      <c r="K4102" s="77"/>
      <c r="L4102" s="77"/>
      <c r="M4102" s="77"/>
      <c r="N4102" s="77"/>
      <c r="O4102" s="77"/>
      <c r="P4102" s="77"/>
      <c r="Q4102" s="77"/>
      <c r="R4102" s="77"/>
      <c r="S4102" s="78"/>
      <c r="T4102" s="79"/>
      <c r="U4102" s="109"/>
      <c r="V4102" s="49"/>
      <c r="W4102" s="432"/>
      <c r="X4102" s="454"/>
      <c r="Y4102" s="433"/>
      <c r="Z4102" s="6"/>
      <c r="AA4102" s="500"/>
      <c r="AB4102" s="562"/>
      <c r="AC4102" s="49"/>
      <c r="AD4102" s="210"/>
      <c r="AE4102" s="434"/>
      <c r="AF4102" s="435"/>
      <c r="AG4102" s="49"/>
      <c r="AH4102" s="87"/>
      <c r="AI4102" s="87"/>
    </row>
    <row r="4103" spans="1:35" hidden="1">
      <c r="A4103" s="80" t="e">
        <f>"A"&amp;E4099</f>
        <v>#N/A</v>
      </c>
      <c r="B4103" s="81">
        <v>1</v>
      </c>
      <c r="C4103" s="82"/>
      <c r="D4103" s="82"/>
      <c r="E4103" s="82"/>
      <c r="F4103" s="82"/>
      <c r="G4103" s="83"/>
      <c r="H4103" s="83"/>
      <c r="I4103" s="84"/>
      <c r="J4103" s="85"/>
      <c r="K4103" s="382"/>
      <c r="L4103" s="85"/>
      <c r="M4103" s="332" t="str">
        <f t="shared" ref="M4103:M4112" si="1213">IF(OR(J4103="",L4103="",H4103="NO"),"",IF(OR(J4103&gt;$P$17,J4103&lt;$O$17,L4103&gt;$P$17,AND(J4103&lt;$O$17,L4103&lt;$O$17)),"FUERA DE RANGO",IF(OR(K4103="---",K4103=""),IF(J4103&gt;=$O$17,ROUND((L4103-J4103+1)/360*12,3),ROUND((L4103-$O$17+1)/360*12,3)),IF(J4103&gt;=$O$17,ROUND((L4103-J4103+1)/360*12-ROUND(K4103,3),3),ROUND((L4103-$O$17+1)/360*12-ROUND(K4103,3),3)))))</f>
        <v/>
      </c>
      <c r="N4103" s="86"/>
      <c r="O4103" s="453" t="str">
        <f>IF(OR(G4103="",N4103=""),"",N4103*G4103)</f>
        <v/>
      </c>
      <c r="P4103" s="538" t="str">
        <f>IF(OR(H4103="",M4103="FUERA DE RANGO"),"",IF(OR(L4103&lt;$O$17,L4103&gt;$P$17,L4103="",H4103="NO"),"",IF(OR(N4103="",O4103=""),"",ROUND(O4103,3))))</f>
        <v/>
      </c>
      <c r="Q4103" s="539" t="str">
        <f t="shared" ref="Q4103:Q4112" si="1214">IF(AND(H4103="SI",P4103&lt;&gt;""),ROUND(P4103/M4103,3),"")</f>
        <v/>
      </c>
      <c r="R4103" s="737"/>
      <c r="S4103" s="738"/>
      <c r="T4103" s="739"/>
      <c r="U4103" s="470"/>
      <c r="V4103" s="165"/>
      <c r="W4103" s="446"/>
      <c r="X4103" s="456"/>
      <c r="Y4103" s="436"/>
      <c r="Z4103" s="437"/>
      <c r="AA4103" s="560"/>
      <c r="AB4103" s="561"/>
      <c r="AC4103" s="87"/>
      <c r="AD4103" s="466"/>
      <c r="AE4103" s="456"/>
      <c r="AF4103" s="467"/>
      <c r="AG4103" s="87"/>
      <c r="AH4103" s="87"/>
      <c r="AI4103" s="87"/>
    </row>
    <row r="4104" spans="1:35" hidden="1">
      <c r="A4104" s="80" t="e">
        <f>"B"&amp;E4099</f>
        <v>#N/A</v>
      </c>
      <c r="B4104" s="81">
        <v>2</v>
      </c>
      <c r="C4104" s="106"/>
      <c r="D4104" s="106"/>
      <c r="E4104" s="106"/>
      <c r="F4104" s="106"/>
      <c r="G4104" s="83"/>
      <c r="H4104" s="83"/>
      <c r="I4104" s="84"/>
      <c r="J4104" s="85"/>
      <c r="K4104" s="382"/>
      <c r="L4104" s="85"/>
      <c r="M4104" s="332" t="str">
        <f t="shared" si="1213"/>
        <v/>
      </c>
      <c r="N4104" s="86"/>
      <c r="O4104" s="453" t="str">
        <f t="shared" ref="O4104:O4112" si="1215">IF(OR(G4104="",N4104=""),"",N4104*G4104)</f>
        <v/>
      </c>
      <c r="P4104" s="538" t="str">
        <f t="shared" ref="P4104:P4112" si="1216">IF(OR(H4104="",M4104="FUERA DE RANGO"),"",IF(OR(L4104&lt;$O$17,L4104&gt;$P$17,L4104="",H4104="NO"),"",IF(OR(N4104="",O4104=""),"",ROUND(O4104,3))))</f>
        <v/>
      </c>
      <c r="Q4104" s="539" t="str">
        <f t="shared" si="1214"/>
        <v/>
      </c>
      <c r="R4104" s="740"/>
      <c r="S4104" s="741"/>
      <c r="T4104" s="742"/>
      <c r="U4104" s="471"/>
      <c r="V4104" s="165"/>
      <c r="W4104" s="446"/>
      <c r="X4104" s="456"/>
      <c r="Y4104" s="436"/>
      <c r="Z4104" s="437"/>
      <c r="AA4104" s="560"/>
      <c r="AB4104" s="561"/>
      <c r="AC4104" s="87"/>
      <c r="AD4104" s="466"/>
      <c r="AE4104" s="456"/>
      <c r="AF4104" s="467"/>
      <c r="AG4104" s="87"/>
      <c r="AH4104" s="87"/>
      <c r="AI4104" s="87"/>
    </row>
    <row r="4105" spans="1:35" hidden="1">
      <c r="A4105" s="80" t="e">
        <f>"C"&amp;E4099</f>
        <v>#N/A</v>
      </c>
      <c r="B4105" s="88">
        <v>3</v>
      </c>
      <c r="C4105" s="82"/>
      <c r="D4105" s="82"/>
      <c r="E4105" s="82"/>
      <c r="F4105" s="82"/>
      <c r="G4105" s="83"/>
      <c r="H4105" s="83"/>
      <c r="I4105" s="84"/>
      <c r="J4105" s="85"/>
      <c r="K4105" s="382"/>
      <c r="L4105" s="85"/>
      <c r="M4105" s="332" t="str">
        <f t="shared" si="1213"/>
        <v/>
      </c>
      <c r="N4105" s="86"/>
      <c r="O4105" s="453" t="str">
        <f t="shared" si="1215"/>
        <v/>
      </c>
      <c r="P4105" s="538" t="str">
        <f t="shared" si="1216"/>
        <v/>
      </c>
      <c r="Q4105" s="539" t="str">
        <f t="shared" si="1214"/>
        <v/>
      </c>
      <c r="R4105" s="706"/>
      <c r="S4105" s="707"/>
      <c r="T4105" s="708"/>
      <c r="U4105" s="472"/>
      <c r="V4105" s="166"/>
      <c r="W4105" s="446"/>
      <c r="X4105" s="456"/>
      <c r="Y4105" s="436"/>
      <c r="Z4105" s="437"/>
      <c r="AA4105" s="560"/>
      <c r="AB4105" s="561"/>
      <c r="AC4105" s="87"/>
      <c r="AD4105" s="466"/>
      <c r="AE4105" s="456"/>
      <c r="AF4105" s="467"/>
      <c r="AG4105" s="87"/>
      <c r="AH4105" s="87"/>
      <c r="AI4105" s="87"/>
    </row>
    <row r="4106" spans="1:35" hidden="1">
      <c r="A4106" s="80" t="e">
        <f>"D"&amp;E4099</f>
        <v>#N/A</v>
      </c>
      <c r="B4106" s="105">
        <v>4</v>
      </c>
      <c r="C4106" s="107"/>
      <c r="D4106" s="107"/>
      <c r="E4106" s="107"/>
      <c r="F4106" s="107"/>
      <c r="G4106" s="83"/>
      <c r="H4106" s="83"/>
      <c r="I4106" s="84"/>
      <c r="J4106" s="85"/>
      <c r="K4106" s="382"/>
      <c r="L4106" s="85"/>
      <c r="M4106" s="332" t="str">
        <f t="shared" si="1213"/>
        <v/>
      </c>
      <c r="N4106" s="86"/>
      <c r="O4106" s="453" t="str">
        <f t="shared" si="1215"/>
        <v/>
      </c>
      <c r="P4106" s="538" t="str">
        <f t="shared" si="1216"/>
        <v/>
      </c>
      <c r="Q4106" s="539" t="str">
        <f t="shared" si="1214"/>
        <v/>
      </c>
      <c r="R4106" s="706"/>
      <c r="S4106" s="707"/>
      <c r="T4106" s="708"/>
      <c r="U4106" s="472"/>
      <c r="V4106" s="166"/>
      <c r="W4106" s="446"/>
      <c r="X4106" s="456"/>
      <c r="Y4106" s="436"/>
      <c r="Z4106" s="437"/>
      <c r="AA4106" s="560"/>
      <c r="AB4106" s="561"/>
      <c r="AC4106" s="87"/>
      <c r="AD4106" s="466"/>
      <c r="AE4106" s="456"/>
      <c r="AF4106" s="467"/>
      <c r="AG4106" s="87"/>
      <c r="AH4106" s="87"/>
      <c r="AI4106" s="87"/>
    </row>
    <row r="4107" spans="1:35" hidden="1">
      <c r="A4107" s="80" t="e">
        <f>"E"&amp;E4099</f>
        <v>#N/A</v>
      </c>
      <c r="B4107" s="105">
        <v>5</v>
      </c>
      <c r="C4107" s="107"/>
      <c r="D4107" s="107"/>
      <c r="E4107" s="107"/>
      <c r="F4107" s="107"/>
      <c r="G4107" s="83"/>
      <c r="H4107" s="83"/>
      <c r="I4107" s="84"/>
      <c r="J4107" s="85"/>
      <c r="K4107" s="382"/>
      <c r="L4107" s="85"/>
      <c r="M4107" s="332" t="str">
        <f t="shared" si="1213"/>
        <v/>
      </c>
      <c r="N4107" s="86"/>
      <c r="O4107" s="453" t="str">
        <f t="shared" si="1215"/>
        <v/>
      </c>
      <c r="P4107" s="538" t="str">
        <f t="shared" si="1216"/>
        <v/>
      </c>
      <c r="Q4107" s="539" t="str">
        <f t="shared" si="1214"/>
        <v/>
      </c>
      <c r="R4107" s="706"/>
      <c r="S4107" s="707"/>
      <c r="T4107" s="708"/>
      <c r="U4107" s="472"/>
      <c r="V4107" s="167"/>
      <c r="W4107" s="446"/>
      <c r="X4107" s="456"/>
      <c r="Y4107" s="436"/>
      <c r="Z4107" s="437"/>
      <c r="AA4107" s="560"/>
      <c r="AB4107" s="561"/>
      <c r="AC4107" s="87"/>
      <c r="AD4107" s="466"/>
      <c r="AE4107" s="456"/>
      <c r="AF4107" s="467"/>
      <c r="AG4107" s="87"/>
      <c r="AH4107" s="87"/>
      <c r="AI4107" s="87"/>
    </row>
    <row r="4108" spans="1:35" hidden="1">
      <c r="A4108" s="80" t="e">
        <f>"F"&amp;E4099</f>
        <v>#N/A</v>
      </c>
      <c r="B4108" s="105">
        <v>6</v>
      </c>
      <c r="C4108" s="107"/>
      <c r="D4108" s="107"/>
      <c r="E4108" s="107"/>
      <c r="F4108" s="107"/>
      <c r="G4108" s="83"/>
      <c r="H4108" s="83"/>
      <c r="I4108" s="84"/>
      <c r="J4108" s="85"/>
      <c r="K4108" s="382"/>
      <c r="L4108" s="85"/>
      <c r="M4108" s="332" t="str">
        <f t="shared" si="1213"/>
        <v/>
      </c>
      <c r="N4108" s="86"/>
      <c r="O4108" s="453" t="str">
        <f t="shared" si="1215"/>
        <v/>
      </c>
      <c r="P4108" s="538" t="str">
        <f t="shared" si="1216"/>
        <v/>
      </c>
      <c r="Q4108" s="539" t="str">
        <f t="shared" si="1214"/>
        <v/>
      </c>
      <c r="R4108" s="706"/>
      <c r="S4108" s="707"/>
      <c r="T4108" s="708"/>
      <c r="U4108" s="472"/>
      <c r="V4108" s="167"/>
      <c r="W4108" s="446"/>
      <c r="X4108" s="456"/>
      <c r="Y4108" s="436"/>
      <c r="Z4108" s="437"/>
      <c r="AA4108" s="560"/>
      <c r="AB4108" s="561"/>
      <c r="AC4108" s="87"/>
      <c r="AD4108" s="466"/>
      <c r="AE4108" s="456"/>
      <c r="AF4108" s="467"/>
      <c r="AG4108" s="87"/>
      <c r="AH4108" s="87"/>
      <c r="AI4108" s="87"/>
    </row>
    <row r="4109" spans="1:35" hidden="1">
      <c r="A4109" s="80" t="e">
        <f>"G"&amp;E4099</f>
        <v>#N/A</v>
      </c>
      <c r="B4109" s="105">
        <v>7</v>
      </c>
      <c r="C4109" s="107"/>
      <c r="D4109" s="107"/>
      <c r="E4109" s="107"/>
      <c r="F4109" s="107"/>
      <c r="G4109" s="83"/>
      <c r="H4109" s="83"/>
      <c r="I4109" s="84"/>
      <c r="J4109" s="85"/>
      <c r="K4109" s="382"/>
      <c r="L4109" s="85"/>
      <c r="M4109" s="332" t="str">
        <f t="shared" si="1213"/>
        <v/>
      </c>
      <c r="N4109" s="86"/>
      <c r="O4109" s="86" t="str">
        <f t="shared" si="1215"/>
        <v/>
      </c>
      <c r="P4109" s="538" t="str">
        <f t="shared" si="1216"/>
        <v/>
      </c>
      <c r="Q4109" s="539" t="str">
        <f t="shared" si="1214"/>
        <v/>
      </c>
      <c r="R4109" s="706"/>
      <c r="S4109" s="707"/>
      <c r="T4109" s="708"/>
      <c r="U4109" s="472"/>
      <c r="V4109" s="167"/>
      <c r="W4109" s="446"/>
      <c r="X4109" s="456"/>
      <c r="Y4109" s="436"/>
      <c r="Z4109" s="437"/>
      <c r="AA4109" s="560"/>
      <c r="AB4109" s="561"/>
      <c r="AC4109" s="87"/>
      <c r="AD4109" s="466"/>
      <c r="AE4109" s="456"/>
      <c r="AF4109" s="467"/>
      <c r="AG4109" s="87"/>
      <c r="AH4109" s="87"/>
      <c r="AI4109" s="87"/>
    </row>
    <row r="4110" spans="1:35" hidden="1">
      <c r="A4110" s="80" t="e">
        <f>"H"&amp;E4099</f>
        <v>#N/A</v>
      </c>
      <c r="B4110" s="105">
        <v>8</v>
      </c>
      <c r="C4110" s="107"/>
      <c r="D4110" s="107"/>
      <c r="E4110" s="107"/>
      <c r="F4110" s="107"/>
      <c r="G4110" s="83"/>
      <c r="H4110" s="83"/>
      <c r="I4110" s="84"/>
      <c r="J4110" s="85"/>
      <c r="K4110" s="382"/>
      <c r="L4110" s="85"/>
      <c r="M4110" s="332" t="str">
        <f t="shared" si="1213"/>
        <v/>
      </c>
      <c r="N4110" s="453"/>
      <c r="O4110" s="86" t="str">
        <f t="shared" si="1215"/>
        <v/>
      </c>
      <c r="P4110" s="538" t="str">
        <f t="shared" si="1216"/>
        <v/>
      </c>
      <c r="Q4110" s="539" t="str">
        <f t="shared" si="1214"/>
        <v/>
      </c>
      <c r="R4110" s="706"/>
      <c r="S4110" s="707"/>
      <c r="T4110" s="708"/>
      <c r="U4110" s="472"/>
      <c r="V4110" s="167"/>
      <c r="W4110" s="446"/>
      <c r="X4110" s="456"/>
      <c r="Y4110" s="436"/>
      <c r="Z4110" s="437"/>
      <c r="AA4110" s="560"/>
      <c r="AB4110" s="561"/>
      <c r="AC4110" s="87"/>
      <c r="AD4110" s="466"/>
      <c r="AE4110" s="456"/>
      <c r="AF4110" s="467"/>
      <c r="AG4110" s="87"/>
      <c r="AH4110" s="87"/>
      <c r="AI4110" s="87"/>
    </row>
    <row r="4111" spans="1:35" hidden="1">
      <c r="A4111" s="80" t="e">
        <f>"I"&amp;E4099</f>
        <v>#N/A</v>
      </c>
      <c r="B4111" s="105">
        <v>9</v>
      </c>
      <c r="C4111" s="107"/>
      <c r="D4111" s="107"/>
      <c r="E4111" s="107"/>
      <c r="F4111" s="107"/>
      <c r="G4111" s="83"/>
      <c r="H4111" s="83"/>
      <c r="I4111" s="84"/>
      <c r="J4111" s="85"/>
      <c r="K4111" s="382"/>
      <c r="L4111" s="85"/>
      <c r="M4111" s="332" t="str">
        <f t="shared" si="1213"/>
        <v/>
      </c>
      <c r="N4111" s="453"/>
      <c r="O4111" s="86" t="str">
        <f t="shared" si="1215"/>
        <v/>
      </c>
      <c r="P4111" s="538" t="str">
        <f t="shared" si="1216"/>
        <v/>
      </c>
      <c r="Q4111" s="539" t="str">
        <f t="shared" si="1214"/>
        <v/>
      </c>
      <c r="R4111" s="706"/>
      <c r="S4111" s="707"/>
      <c r="T4111" s="708"/>
      <c r="U4111" s="472"/>
      <c r="V4111" s="167"/>
      <c r="W4111" s="446"/>
      <c r="X4111" s="456"/>
      <c r="Y4111" s="436"/>
      <c r="Z4111" s="437"/>
      <c r="AA4111" s="560"/>
      <c r="AB4111" s="561"/>
      <c r="AC4111" s="87"/>
      <c r="AD4111" s="466"/>
      <c r="AE4111" s="456"/>
      <c r="AF4111" s="467"/>
      <c r="AG4111" s="87"/>
      <c r="AH4111" s="87"/>
      <c r="AI4111" s="87"/>
    </row>
    <row r="4112" spans="1:35" hidden="1">
      <c r="A4112" s="80" t="e">
        <f>"J"&amp;E4099</f>
        <v>#N/A</v>
      </c>
      <c r="B4112" s="105">
        <v>10</v>
      </c>
      <c r="C4112" s="107"/>
      <c r="D4112" s="107"/>
      <c r="E4112" s="107"/>
      <c r="F4112" s="107"/>
      <c r="G4112" s="83"/>
      <c r="H4112" s="83"/>
      <c r="I4112" s="84"/>
      <c r="J4112" s="85"/>
      <c r="K4112" s="382"/>
      <c r="L4112" s="85"/>
      <c r="M4112" s="332" t="str">
        <f t="shared" si="1213"/>
        <v/>
      </c>
      <c r="N4112" s="453"/>
      <c r="O4112" s="86" t="str">
        <f t="shared" si="1215"/>
        <v/>
      </c>
      <c r="P4112" s="538" t="str">
        <f t="shared" si="1216"/>
        <v/>
      </c>
      <c r="Q4112" s="539" t="str">
        <f t="shared" si="1214"/>
        <v/>
      </c>
      <c r="R4112" s="706"/>
      <c r="S4112" s="707"/>
      <c r="T4112" s="708"/>
      <c r="U4112" s="472"/>
      <c r="V4112" s="167"/>
      <c r="W4112" s="446"/>
      <c r="X4112" s="456"/>
      <c r="Y4112" s="436"/>
      <c r="Z4112" s="437"/>
      <c r="AA4112" s="560"/>
      <c r="AB4112" s="561"/>
      <c r="AC4112" s="87"/>
      <c r="AD4112" s="466"/>
      <c r="AE4112" s="456"/>
      <c r="AF4112" s="467"/>
      <c r="AG4112" s="87"/>
      <c r="AH4112" s="87"/>
      <c r="AI4112" s="87"/>
    </row>
    <row r="4113" spans="1:35" ht="16.5" hidden="1" thickBot="1">
      <c r="A4113" s="44"/>
      <c r="B4113" s="89"/>
      <c r="C4113" s="90"/>
      <c r="D4113" s="90"/>
      <c r="E4113" s="90"/>
      <c r="F4113" s="90"/>
      <c r="G4113" s="90"/>
      <c r="H4113" s="90"/>
      <c r="I4113" s="90"/>
      <c r="J4113" s="90"/>
      <c r="K4113" s="90"/>
      <c r="L4113" s="90"/>
      <c r="M4113" s="90"/>
      <c r="N4113" s="90"/>
      <c r="O4113" s="90"/>
      <c r="P4113" s="90"/>
      <c r="Q4113" s="90"/>
      <c r="R4113" s="90"/>
      <c r="S4113" s="91"/>
      <c r="T4113" s="92"/>
      <c r="U4113" s="473"/>
      <c r="W4113" s="438"/>
      <c r="X4113" s="455"/>
      <c r="Y4113" s="439"/>
      <c r="Z4113" s="437"/>
      <c r="AA4113" s="530"/>
      <c r="AB4113" s="563"/>
      <c r="AC4113" s="87"/>
      <c r="AD4113" s="440"/>
      <c r="AE4113" s="441"/>
      <c r="AF4113" s="442"/>
      <c r="AG4113" s="49"/>
      <c r="AH4113" s="87"/>
      <c r="AI4113" s="87"/>
    </row>
    <row r="4114" spans="1:35" ht="16.5" hidden="1" thickBot="1">
      <c r="A4114" s="93"/>
      <c r="B4114" s="94"/>
      <c r="C4114" s="96"/>
      <c r="D4114" s="96"/>
      <c r="E4114" s="96"/>
      <c r="F4114" s="96"/>
      <c r="G4114" s="96"/>
      <c r="H4114" s="96"/>
      <c r="I4114" s="96"/>
      <c r="J4114" s="96"/>
      <c r="K4114" s="96"/>
      <c r="L4114" s="96"/>
      <c r="M4114" s="136"/>
      <c r="N4114" s="96"/>
      <c r="O4114" s="96"/>
      <c r="P4114" s="97"/>
      <c r="Q4114" s="97"/>
      <c r="R4114" s="98"/>
      <c r="S4114" s="95"/>
      <c r="T4114" s="99"/>
      <c r="U4114" s="469"/>
      <c r="AC4114" s="58"/>
      <c r="AG4114" s="58"/>
      <c r="AH4114" s="87"/>
      <c r="AI4114" s="87"/>
    </row>
    <row r="4115" spans="1:35" ht="16.5" hidden="1" thickBot="1">
      <c r="B4115" s="101"/>
      <c r="C4115" s="101"/>
      <c r="D4115" s="101"/>
      <c r="E4115" s="101"/>
      <c r="F4115" s="101"/>
      <c r="G4115" s="101"/>
      <c r="H4115" s="101"/>
      <c r="I4115" s="101"/>
      <c r="J4115" s="101"/>
      <c r="K4115" s="101"/>
      <c r="L4115" s="101"/>
      <c r="M4115" s="101"/>
      <c r="N4115" s="101"/>
      <c r="O4115" s="101"/>
      <c r="P4115" s="101"/>
      <c r="Q4115" s="101"/>
      <c r="R4115" s="101"/>
      <c r="S4115" s="101"/>
      <c r="U4115" s="50"/>
      <c r="AH4115" s="87"/>
      <c r="AI4115" s="87"/>
    </row>
    <row r="4116" spans="1:35" ht="16.5" hidden="1" customHeight="1" thickBot="1">
      <c r="A4116" s="44"/>
      <c r="B4116" s="705" t="s">
        <v>74</v>
      </c>
      <c r="C4116" s="705"/>
      <c r="D4116" s="705"/>
      <c r="E4116" s="705"/>
      <c r="F4116" s="705"/>
      <c r="G4116" s="705"/>
      <c r="H4116" s="705"/>
      <c r="I4116" s="705"/>
      <c r="J4116" s="705"/>
      <c r="K4116" s="705"/>
      <c r="L4116" s="705"/>
      <c r="M4116" s="705"/>
      <c r="N4116" s="705"/>
      <c r="O4116" s="705"/>
      <c r="P4116" s="705"/>
      <c r="Q4116" s="705"/>
      <c r="R4116" s="705"/>
      <c r="S4116" s="705"/>
      <c r="T4116" s="705"/>
      <c r="U4116" s="108"/>
      <c r="Y4116" s="532" t="s">
        <v>341</v>
      </c>
      <c r="AC4116" s="49"/>
      <c r="AD4116" s="687" t="s">
        <v>302</v>
      </c>
      <c r="AE4116" s="688"/>
      <c r="AF4116" s="689"/>
      <c r="AG4116" s="49"/>
      <c r="AH4116" s="87"/>
      <c r="AI4116" s="87"/>
    </row>
    <row r="4117" spans="1:35" ht="16.5" hidden="1" customHeight="1" thickBot="1">
      <c r="A4117" s="218" t="e">
        <f>"K"&amp;E4099</f>
        <v>#N/A</v>
      </c>
      <c r="B4117" s="701" t="s">
        <v>71</v>
      </c>
      <c r="C4117" s="751" t="s">
        <v>102</v>
      </c>
      <c r="D4117" s="751"/>
      <c r="E4117" s="751"/>
      <c r="F4117" s="751"/>
      <c r="G4117" s="751"/>
      <c r="H4117" s="751"/>
      <c r="I4117" s="751"/>
      <c r="J4117" s="751"/>
      <c r="K4117" s="751"/>
      <c r="L4117" s="722" t="s">
        <v>100</v>
      </c>
      <c r="M4117" s="747" t="s">
        <v>114</v>
      </c>
      <c r="N4117" s="747"/>
      <c r="O4117" s="747"/>
      <c r="P4117" s="747"/>
      <c r="Q4117" s="748"/>
      <c r="R4117" s="758" t="s">
        <v>280</v>
      </c>
      <c r="S4117" s="748"/>
      <c r="T4117" s="762" t="str">
        <f>IF(COUNTIF(AE4117:AF4117,"VERIFICAR")&gt;0,"VERIFICAR",IF(COUNTIF(AE4117:AF4117,"NO CUMPLE")&gt;0,"NO CUMPLE","CUMPLE"))</f>
        <v>VERIFICAR</v>
      </c>
      <c r="U4117" s="108"/>
      <c r="Y4117" s="533" t="e">
        <f>IF(F4118="","",IF(F4118=1,"INDIVIDUAL","ESTRUCTURA PLURAL"))</f>
        <v>#N/A</v>
      </c>
      <c r="AC4117" s="52"/>
      <c r="AD4117" s="475" t="s">
        <v>303</v>
      </c>
      <c r="AE4117" s="476" t="str">
        <f>IF(COUNTIF(AE4103:AE4112,"")=10,"VERIFICAR",IF(COUNTIF(AE4103:AE4112,"SI")&gt;0,"CUMPLE","NO CUMPLE"))</f>
        <v>VERIFICAR</v>
      </c>
      <c r="AF4117" s="477" t="str">
        <f>IF(COUNTIF(AF4103:AF4112,"")=10,"VERIFICAR",IF(COUNTIF(AF4103:AF4112,"SI")&gt;=$AI$22,"CUMPLE","NO CUMPLE"))</f>
        <v>VERIFICAR</v>
      </c>
      <c r="AG4117" s="52"/>
      <c r="AH4117" s="87"/>
      <c r="AI4117" s="87"/>
    </row>
    <row r="4118" spans="1:35" ht="15.75" hidden="1" customHeight="1" thickBot="1">
      <c r="A4118" s="218" t="e">
        <f>"L"&amp;E4099</f>
        <v>#N/A</v>
      </c>
      <c r="B4118" s="702"/>
      <c r="C4118" s="751" t="s">
        <v>103</v>
      </c>
      <c r="D4118" s="751"/>
      <c r="E4118" s="752"/>
      <c r="F4118" s="557" t="e">
        <f>IF(VLOOKUP(E4099,PROPONENTES!$C$19:$E$218,3,0)="","",VLOOKUP(E4099,PROPONENTES!$C$19:$E$218,3,0))</f>
        <v>#N/A</v>
      </c>
      <c r="G4118" s="753" t="s">
        <v>104</v>
      </c>
      <c r="H4118" s="751"/>
      <c r="I4118" s="715" t="e">
        <f>IF(OR(F4118="",F4118=1),"INTERESADO PERSONA NATURAL O JURIDICA","CONSORCIO O UNION TEMPORAL")</f>
        <v>#N/A</v>
      </c>
      <c r="J4118" s="725"/>
      <c r="K4118" s="728"/>
      <c r="L4118" s="723"/>
      <c r="M4118" s="749"/>
      <c r="N4118" s="749"/>
      <c r="O4118" s="749"/>
      <c r="P4118" s="749"/>
      <c r="Q4118" s="750"/>
      <c r="R4118" s="712"/>
      <c r="S4118" s="750"/>
      <c r="T4118" s="763"/>
      <c r="U4118" s="108"/>
      <c r="Y4118" s="534"/>
      <c r="AA4118" s="52"/>
      <c r="AB4118" s="52"/>
      <c r="AC4118" s="52"/>
      <c r="AG4118" s="52"/>
      <c r="AH4118" s="87"/>
      <c r="AI4118" s="87"/>
    </row>
    <row r="4119" spans="1:35" ht="56.25" hidden="1" customHeight="1" thickBot="1">
      <c r="A4119" s="218" t="e">
        <f>"M"&amp;E4099</f>
        <v>#N/A</v>
      </c>
      <c r="B4119" s="702"/>
      <c r="C4119" s="725" t="s">
        <v>101</v>
      </c>
      <c r="D4119" s="716"/>
      <c r="E4119" s="558" t="s">
        <v>105</v>
      </c>
      <c r="F4119" s="554" t="s">
        <v>87</v>
      </c>
      <c r="G4119" s="553" t="s">
        <v>86</v>
      </c>
      <c r="H4119" s="559" t="s">
        <v>85</v>
      </c>
      <c r="I4119" s="554" t="s">
        <v>252</v>
      </c>
      <c r="J4119" s="553" t="str">
        <f>"¿EL INTEGRANTE TIENE UNA PARTICIPACIÓN DEL "&amp;PORCREQUERIDOINT*100&amp;"%?"</f>
        <v>¿EL INTEGRANTE TIENE UNA PARTICIPACIÓN DEL 60%?</v>
      </c>
      <c r="K4119" s="554" t="s">
        <v>107</v>
      </c>
      <c r="L4119" s="724"/>
      <c r="M4119" s="717" t="s">
        <v>115</v>
      </c>
      <c r="N4119" s="718"/>
      <c r="O4119" s="718"/>
      <c r="P4119" s="718"/>
      <c r="Q4119" s="223">
        <f>IF(AND(H4103="SI",P4103&gt;=0),1,0)+IF(AND(H4104="SI",P4104&gt;=0),1,0)+IF(AND(H4105="SI",P4105&gt;=0),1,0)+IF(AND(H4106="SI",P4106&gt;=0),1,0)+IF(AND(H4107="SI",P4107&gt;=0),1,0)+IF(AND(H4108="SI",P4108&gt;=0),1,0)+IF(AND(H4109="SI",P4109&gt;=0),1,0)+IF(AND(H4110="SI",P4110&gt;=0),1,0)+IF(AND(H4111="SI",P4111&gt;=0),1,0)+IF(AND(H4112="SI",P4112&gt;=0),1,0)</f>
        <v>0</v>
      </c>
      <c r="R4119" s="759"/>
      <c r="S4119" s="761"/>
      <c r="T4119" s="764"/>
      <c r="U4119" s="219"/>
      <c r="V4119" s="464"/>
      <c r="Y4119" s="532" t="s">
        <v>342</v>
      </c>
      <c r="AA4119" s="550" t="s">
        <v>344</v>
      </c>
      <c r="AB4119" s="693" t="s">
        <v>345</v>
      </c>
      <c r="AC4119" s="693" t="s">
        <v>346</v>
      </c>
      <c r="AD4119" s="685" t="s">
        <v>347</v>
      </c>
      <c r="AE4119" s="52"/>
      <c r="AF4119" s="52"/>
      <c r="AG4119" s="52"/>
      <c r="AH4119" s="87"/>
      <c r="AI4119" s="87"/>
    </row>
    <row r="4120" spans="1:35" ht="15.75" hidden="1" customHeight="1" thickBot="1">
      <c r="A4120" s="218" t="e">
        <f>"N"&amp;E4099</f>
        <v>#N/A</v>
      </c>
      <c r="B4120" s="702"/>
      <c r="C4120" s="114">
        <v>1</v>
      </c>
      <c r="D4120" s="194" t="e">
        <f>IF(AND(C4120&lt;=F4118,F4118&gt;1,F4118&lt;&gt;""),VLOOKUP(VALUE(E4099&amp;","&amp;C4120),INTEGRANTES!$D$18:$F$235,2,0),"")</f>
        <v>#N/A</v>
      </c>
      <c r="E4120" s="211" t="e">
        <f>IF(D4120&lt;&gt;"",VLOOKUP(VALUE(E4099&amp;","&amp;C4120),INTEGRANTES!$D$18:$F$235,3,0),"")</f>
        <v>#N/A</v>
      </c>
      <c r="F4120" s="547" t="e">
        <f>IF(D4120="","",SUMIF($I4103:$I4112,D4120,$P4103:$P4112))</f>
        <v>#N/A</v>
      </c>
      <c r="G4120" s="333" t="e">
        <f>IF(D4120="","",SUMIF($I4103:$I4112,D4120,$M4103:$M4112))</f>
        <v>#N/A</v>
      </c>
      <c r="H4120" s="535" t="e">
        <f t="shared" ref="H4120:H4125" si="1217">IF(D4120="","",IF(OR(F4120=0,G4120=0),"NO APORTA",ROUND($F4120/$G4120,3)))</f>
        <v>#N/A</v>
      </c>
      <c r="I4120" s="212" t="e">
        <f>IF(D4120="","",IF(H4120="NO APORTA","NO",IF(H4120=MAX($H4120:$H4125),"SI","NO")))</f>
        <v>#N/A</v>
      </c>
      <c r="J4120" s="213" t="e">
        <f t="shared" ref="J4120:J4125" si="1218">IF(D4120="","",IF(E4120&gt;=PORCREQUERIDOINT,"SI","NO"))</f>
        <v>#N/A</v>
      </c>
      <c r="K4120" s="200" t="e">
        <f t="shared" ref="K4120:K4125" si="1219">IF(D4120="","",IF(AND(I4120="SI",J4120="SI"),"CUMPLE",IF(AND(I4120="NO",OR(J4120="SI",J4120="NO")),"","NO CUMPLE")))</f>
        <v>#N/A</v>
      </c>
      <c r="L4120" s="722" t="s">
        <v>108</v>
      </c>
      <c r="M4120" s="726" t="s">
        <v>119</v>
      </c>
      <c r="N4120" s="726"/>
      <c r="O4120" s="726"/>
      <c r="P4120" s="726"/>
      <c r="Q4120" s="727"/>
      <c r="R4120" s="758" t="s">
        <v>80</v>
      </c>
      <c r="S4120" s="747"/>
      <c r="T4120" s="748"/>
      <c r="U4120" s="219"/>
      <c r="V4120" s="464"/>
      <c r="Y4120" s="533" t="e">
        <f>IF(Y4117="","",IF(Y4117="INDIVIDUAL","NO APLICA","VERIFICAR CUADRO"))</f>
        <v>#N/A</v>
      </c>
      <c r="AA4120" s="551"/>
      <c r="AB4120" s="694"/>
      <c r="AC4120" s="694"/>
      <c r="AD4120" s="686"/>
      <c r="AE4120" s="52"/>
      <c r="AF4120" s="52"/>
      <c r="AG4120" s="52"/>
      <c r="AH4120" s="87"/>
      <c r="AI4120" s="87"/>
    </row>
    <row r="4121" spans="1:35" ht="27" hidden="1" customHeight="1" thickBot="1">
      <c r="A4121" s="218" t="e">
        <f>"O"&amp;E4099</f>
        <v>#N/A</v>
      </c>
      <c r="B4121" s="702"/>
      <c r="C4121" s="114">
        <v>2</v>
      </c>
      <c r="D4121" s="194" t="e">
        <f>IF(AND(C4121&lt;=F4118,F4118&lt;&gt;""),VLOOKUP(VALUE(E4099&amp;","&amp;C4121),INTEGRANTES!$D$18:$F$235,2,0),"")</f>
        <v>#N/A</v>
      </c>
      <c r="E4121" s="211" t="e">
        <f>IF(D4121&lt;&gt;"",VLOOKUP(VALUE(E4099&amp;","&amp;C4121),INTEGRANTES!$D$18:$F$235,3,0),"")</f>
        <v>#N/A</v>
      </c>
      <c r="F4121" s="547" t="e">
        <f>IF(D4121="","",SUMIF($I4103:$I4112,D4121,$P4103:$P4112))</f>
        <v>#N/A</v>
      </c>
      <c r="G4121" s="333" t="e">
        <f>IF(D4121="","",SUMIF($I4103:$I4112,D4121,$M4103:$M4112))</f>
        <v>#N/A</v>
      </c>
      <c r="H4121" s="535" t="e">
        <f t="shared" si="1217"/>
        <v>#N/A</v>
      </c>
      <c r="I4121" s="212" t="e">
        <f>IF(D4121="","",IF(H4121="NO APORTA","NO",IF(H4121=MAX($H4120:$H4125),"SI","NO")))</f>
        <v>#N/A</v>
      </c>
      <c r="J4121" s="213" t="e">
        <f t="shared" si="1218"/>
        <v>#N/A</v>
      </c>
      <c r="K4121" s="200" t="e">
        <f t="shared" si="1219"/>
        <v>#N/A</v>
      </c>
      <c r="L4121" s="723"/>
      <c r="M4121" s="715" t="s">
        <v>116</v>
      </c>
      <c r="N4121" s="716"/>
      <c r="O4121" s="556" t="s">
        <v>113</v>
      </c>
      <c r="P4121" s="715" t="s">
        <v>117</v>
      </c>
      <c r="Q4121" s="728"/>
      <c r="R4121" s="759"/>
      <c r="S4121" s="760"/>
      <c r="T4121" s="761"/>
      <c r="U4121" s="219"/>
      <c r="V4121" s="464"/>
      <c r="Y4121" s="414"/>
      <c r="AA4121" s="542" t="e">
        <f>IF(AND(C4120&lt;=F4118,F4118&gt;1,F4118&lt;&gt;""),VLOOKUP(VALUE(E4099&amp;","&amp;C4120),INTEGRANTES!$D$18:$F$235,2,0),"")</f>
        <v>#N/A</v>
      </c>
      <c r="AB4121" s="544" t="e">
        <f t="shared" ref="AB4121:AB4126" si="1220">IF(D4120="","",IF(OR(F4120=0,G4120=0),"NO APORTA",ROUND($F4120/$G4120,3)))</f>
        <v>#N/A</v>
      </c>
      <c r="AC4121" s="529"/>
      <c r="AD4121" s="200" t="e">
        <f t="shared" ref="AD4121:AD4126" si="1221">IF(OR(AA4121="",AB4121=""),"",IF(AND(AC4121="X",AB4121&gt;=EXPREQVTD),"CUMPLE","NO CUMPLE"))</f>
        <v>#N/A</v>
      </c>
      <c r="AE4121" s="52"/>
      <c r="AF4121" s="52"/>
      <c r="AG4121" s="52"/>
      <c r="AH4121" s="87"/>
      <c r="AI4121" s="87"/>
    </row>
    <row r="4122" spans="1:35" ht="16.5" hidden="1" thickBot="1">
      <c r="A4122" s="218" t="e">
        <f>"P"&amp;E4099</f>
        <v>#N/A</v>
      </c>
      <c r="B4122" s="702"/>
      <c r="C4122" s="114">
        <v>3</v>
      </c>
      <c r="D4122" s="194" t="e">
        <f>IF(AND(C4122&lt;=F4118,F4118&lt;&gt;""),VLOOKUP(VALUE(E4099&amp;","&amp;C4122),INTEGRANTES!$D$18:$F$235,2,0),"")</f>
        <v>#N/A</v>
      </c>
      <c r="E4122" s="211" t="e">
        <f>IF(D4122&lt;&gt;"",VLOOKUP(VALUE(E4099&amp;","&amp;C4122),INTEGRANTES!$D$18:$F$235,3,0),"")</f>
        <v>#N/A</v>
      </c>
      <c r="F4122" s="547" t="e">
        <f>IF(D4122="","",SUMIF($I4103:$I4112,D4122,$P4103:$P4112))</f>
        <v>#N/A</v>
      </c>
      <c r="G4122" s="333" t="e">
        <f>IF(D4122="","",SUMIF($I4103:$I4112,D4122,$M4103:$M4112))</f>
        <v>#N/A</v>
      </c>
      <c r="H4122" s="535" t="e">
        <f t="shared" si="1217"/>
        <v>#N/A</v>
      </c>
      <c r="I4122" s="212" t="e">
        <f>IF(D4122="","",IF(H4122="NO APORTA","NO",IF(H4122=MAX($H4120:$H4125),"SI","NO")))</f>
        <v>#N/A</v>
      </c>
      <c r="J4122" s="213" t="e">
        <f t="shared" si="1218"/>
        <v>#N/A</v>
      </c>
      <c r="K4122" s="200" t="e">
        <f t="shared" si="1219"/>
        <v>#N/A</v>
      </c>
      <c r="L4122" s="724"/>
      <c r="M4122" s="729">
        <f>NUMMOD</f>
        <v>1</v>
      </c>
      <c r="N4122" s="730"/>
      <c r="O4122" s="443">
        <f>IF(M4122="","",VLOOKUP(M4122,PRESUPUESTOS!$B$16:$H$16,5,FALSE))</f>
        <v>2</v>
      </c>
      <c r="P4122" s="713">
        <f>IF(OR(COUNTIF(M4103:M4112,"")&gt;=10,Q4119&lt;NUMMINCONT,OR(T4117="NO CUMPLE",T4117="VERIFICAR")),0,ROUND(AVERAGE(M4103:M4112),3))</f>
        <v>0</v>
      </c>
      <c r="Q4122" s="714"/>
      <c r="R4122" s="458"/>
      <c r="S4122" s="459"/>
      <c r="T4122" s="460"/>
      <c r="U4122" s="219"/>
      <c r="V4122" s="464"/>
      <c r="Y4122" s="532" t="str">
        <f>"40% * ("&amp;PRESUPUESTOS!$H$13&amp;")"</f>
        <v>40% * (50% PFMO)</v>
      </c>
      <c r="AA4122" s="540" t="e">
        <f>IF(AND(C4121&lt;=F4118,F4118&lt;&gt;""),VLOOKUP(VALUE(E4099&amp;","&amp;C4121),INTEGRANTES!$D$18:$F$235,2,0),"")</f>
        <v>#N/A</v>
      </c>
      <c r="AB4122" s="545" t="e">
        <f t="shared" si="1220"/>
        <v>#N/A</v>
      </c>
      <c r="AC4122" s="529"/>
      <c r="AD4122" s="200" t="e">
        <f t="shared" si="1221"/>
        <v>#N/A</v>
      </c>
      <c r="AE4122" s="52"/>
      <c r="AF4122" s="52"/>
      <c r="AG4122" s="52"/>
      <c r="AH4122" s="87"/>
      <c r="AI4122" s="87"/>
    </row>
    <row r="4123" spans="1:35" ht="15.75" hidden="1" customHeight="1" thickBot="1">
      <c r="A4123" s="218" t="e">
        <f>"Q"&amp;E4099</f>
        <v>#N/A</v>
      </c>
      <c r="B4123" s="702"/>
      <c r="C4123" s="114">
        <v>4</v>
      </c>
      <c r="D4123" s="194" t="e">
        <f>IF(AND(C4123&lt;=F4118,F4118&lt;&gt;""),VLOOKUP(VALUE(E4099&amp;","&amp;C4123),INTEGRANTES!$D$18:$F$235,2,0),"")</f>
        <v>#N/A</v>
      </c>
      <c r="E4123" s="211" t="e">
        <f>IF(D4123&lt;&gt;"",VLOOKUP(VALUE(E4099&amp;","&amp;C4123),INTEGRANTES!$D$18:$F$235,3,0),"")</f>
        <v>#N/A</v>
      </c>
      <c r="F4123" s="547" t="e">
        <f>IF(D4123="","",SUMIF($I4103:$I4112,D4123,$P4103:$P4112))</f>
        <v>#N/A</v>
      </c>
      <c r="G4123" s="333" t="e">
        <f>IF(D4123="","",SUMIF($I4103:$I4112,D4123,$M4103:$M4112))</f>
        <v>#N/A</v>
      </c>
      <c r="H4123" s="535" t="e">
        <f t="shared" si="1217"/>
        <v>#N/A</v>
      </c>
      <c r="I4123" s="212" t="e">
        <f>IF(D4123="","",IF(H4123="NO APORTA","NO",IF(H4123=MAX($H4120:$H4125),"SI","NO")))</f>
        <v>#N/A</v>
      </c>
      <c r="J4123" s="213" t="e">
        <f t="shared" si="1218"/>
        <v>#N/A</v>
      </c>
      <c r="K4123" s="200" t="e">
        <f t="shared" si="1219"/>
        <v>#N/A</v>
      </c>
      <c r="L4123" s="720" t="s">
        <v>109</v>
      </c>
      <c r="M4123" s="757" t="s">
        <v>120</v>
      </c>
      <c r="N4123" s="726"/>
      <c r="O4123" s="726"/>
      <c r="P4123" s="726"/>
      <c r="Q4123" s="727"/>
      <c r="R4123" s="458"/>
      <c r="S4123" s="459"/>
      <c r="T4123" s="460"/>
      <c r="U4123" s="219"/>
      <c r="V4123" s="464"/>
      <c r="Y4123" s="537">
        <f>0.4*PRESUPUESTOS!$H$16</f>
        <v>10.3124</v>
      </c>
      <c r="AA4123" s="540" t="e">
        <f>IF(AND(C4122&lt;=F4118,F4118&lt;&gt;""),VLOOKUP(VALUE(E4099&amp;","&amp;C4122),INTEGRANTES!$D$18:$F$235,2,0),"")</f>
        <v>#N/A</v>
      </c>
      <c r="AB4123" s="545" t="e">
        <f t="shared" si="1220"/>
        <v>#N/A</v>
      </c>
      <c r="AC4123" s="529"/>
      <c r="AD4123" s="200" t="e">
        <f t="shared" si="1221"/>
        <v>#N/A</v>
      </c>
      <c r="AE4123" s="52"/>
      <c r="AF4123" s="52"/>
      <c r="AG4123" s="52"/>
      <c r="AH4123" s="87"/>
      <c r="AI4123" s="87"/>
    </row>
    <row r="4124" spans="1:35" ht="27" hidden="1" customHeight="1" thickBot="1">
      <c r="A4124" s="218" t="e">
        <f>"R"&amp;E4099</f>
        <v>#N/A</v>
      </c>
      <c r="B4124" s="702"/>
      <c r="C4124" s="114">
        <v>5</v>
      </c>
      <c r="D4124" s="194" t="e">
        <f>IF(AND(C4124&lt;=F4118,F4118&lt;&gt;""),VLOOKUP(VALUE(E4099&amp;","&amp;C4124),INTEGRANTES!$D$18:$F$235,2,0),"")</f>
        <v>#N/A</v>
      </c>
      <c r="E4124" s="211" t="e">
        <f>IF(D4124&lt;&gt;"",VLOOKUP(VALUE(E4099&amp;","&amp;C4124),INTEGRANTES!$D$18:$F$235,3,0),"")</f>
        <v>#N/A</v>
      </c>
      <c r="F4124" s="547" t="e">
        <f>IF(D4124="","",SUMIF($I4103:$I4112,D4124,$P4103:$P4112))</f>
        <v>#N/A</v>
      </c>
      <c r="G4124" s="333" t="e">
        <f>IF(D4124="","",SUMIF($I4103:$I4112,D4124,$M4103:$M4112))</f>
        <v>#N/A</v>
      </c>
      <c r="H4124" s="535" t="e">
        <f t="shared" si="1217"/>
        <v>#N/A</v>
      </c>
      <c r="I4124" s="212" t="e">
        <f>IF(D4124="","",IF(H4124="NO APORTA","NO",IF(H4124=MAX($H4120:$H4125),"SI","NO")))</f>
        <v>#N/A</v>
      </c>
      <c r="J4124" s="213" t="e">
        <f t="shared" si="1218"/>
        <v>#N/A</v>
      </c>
      <c r="K4124" s="200" t="e">
        <f t="shared" si="1219"/>
        <v>#N/A</v>
      </c>
      <c r="L4124" s="721"/>
      <c r="M4124" s="715" t="s">
        <v>116</v>
      </c>
      <c r="N4124" s="716"/>
      <c r="O4124" s="556" t="str">
        <f>PORCREQUERIDO*100&amp;"% PMFO DEL MÓDULO"</f>
        <v>50% PMFO DEL MÓDULO</v>
      </c>
      <c r="P4124" s="715" t="s">
        <v>118</v>
      </c>
      <c r="Q4124" s="728"/>
      <c r="R4124" s="458"/>
      <c r="S4124" s="459"/>
      <c r="T4124" s="460"/>
      <c r="U4124" s="219"/>
      <c r="V4124" s="464"/>
      <c r="Y4124" s="414"/>
      <c r="AA4124" s="540" t="e">
        <f>IF(AND(C4123&lt;=F4118,F4118&lt;&gt;""),VLOOKUP(VALUE(E4099&amp;","&amp;C4123),INTEGRANTES!$D$18:$F$235,2,0),"")</f>
        <v>#N/A</v>
      </c>
      <c r="AB4124" s="545" t="e">
        <f t="shared" si="1220"/>
        <v>#N/A</v>
      </c>
      <c r="AC4124" s="529"/>
      <c r="AD4124" s="200" t="e">
        <f t="shared" si="1221"/>
        <v>#N/A</v>
      </c>
      <c r="AE4124" s="52"/>
      <c r="AF4124" s="52"/>
      <c r="AG4124" s="52"/>
      <c r="AH4124" s="87"/>
      <c r="AI4124" s="87"/>
    </row>
    <row r="4125" spans="1:35" ht="16.5" hidden="1" thickBot="1">
      <c r="A4125" s="218" t="e">
        <f>"S"&amp;E4099</f>
        <v>#N/A</v>
      </c>
      <c r="B4125" s="702"/>
      <c r="C4125" s="215">
        <v>6</v>
      </c>
      <c r="D4125" s="216" t="e">
        <f>IF(AND(C4125&lt;=F4118,F4118&lt;&gt;""),VLOOKUP(VALUE(E4099&amp;","&amp;C4125),INTEGRANTES!$D$18:$F$235,2,0),"")</f>
        <v>#N/A</v>
      </c>
      <c r="E4125" s="217" t="e">
        <f>IF(D4125&lt;&gt;"",VLOOKUP(VALUE(E4099&amp;","&amp;C4125),INTEGRANTES!$D$18:$F$235,3,0),"")</f>
        <v>#N/A</v>
      </c>
      <c r="F4125" s="548" t="e">
        <f>IF(D4125="","",SUMIF($I4103:$I4112,D4125,$P4103:$P4112))</f>
        <v>#N/A</v>
      </c>
      <c r="G4125" s="334" t="e">
        <f>IF(D4125="","",SUMIF($I4103:$I4112,D4125,$M4103:$M4112))</f>
        <v>#N/A</v>
      </c>
      <c r="H4125" s="536" t="e">
        <f t="shared" si="1217"/>
        <v>#N/A</v>
      </c>
      <c r="I4125" s="214" t="e">
        <f>IF(D4125="","",IF(H4125="NO APORTA","NO",IF(H4125=MAX($H4120:$H4125),"SI","NO")))</f>
        <v>#N/A</v>
      </c>
      <c r="J4125" s="213" t="e">
        <f t="shared" si="1218"/>
        <v>#N/A</v>
      </c>
      <c r="K4125" s="200" t="e">
        <f t="shared" si="1219"/>
        <v>#N/A</v>
      </c>
      <c r="L4125" s="721"/>
      <c r="M4125" s="729">
        <f>NUMMOD</f>
        <v>1</v>
      </c>
      <c r="N4125" s="730"/>
      <c r="O4125" s="443">
        <f>IF(M4125="","",ROUND(VLOOKUP(M4125,PRESUPUESTOS!$B$16:$H$16,7,FALSE),3))</f>
        <v>25.780999999999999</v>
      </c>
      <c r="P4125" s="713">
        <f>IF(OR(COUNTIF(P4103:P4112,"")&gt;=10,Q4119&lt;NUMMINCONT,OR(T4117="NO CUMPLE",T4117="VERIFICAR")),0,ROUND((SUM(P4103:P4112)/SUM(M4103:M4112)),3))</f>
        <v>0</v>
      </c>
      <c r="Q4125" s="714"/>
      <c r="R4125" s="458"/>
      <c r="S4125" s="459"/>
      <c r="T4125" s="460"/>
      <c r="U4125" s="219"/>
      <c r="V4125" s="464"/>
      <c r="Y4125" s="532" t="s">
        <v>343</v>
      </c>
      <c r="AA4125" s="540" t="e">
        <f>IF(AND(C4124&lt;=F4118,F4118&lt;&gt;""),VLOOKUP(VALUE(E4099&amp;","&amp;C4124),INTEGRANTES!$D$18:$F$235,2,0),"")</f>
        <v>#N/A</v>
      </c>
      <c r="AB4125" s="545" t="e">
        <f t="shared" si="1220"/>
        <v>#N/A</v>
      </c>
      <c r="AC4125" s="529"/>
      <c r="AD4125" s="200" t="e">
        <f t="shared" si="1221"/>
        <v>#N/A</v>
      </c>
      <c r="AE4125" s="52"/>
      <c r="AF4125" s="52"/>
      <c r="AG4125" s="52"/>
      <c r="AH4125" s="87"/>
      <c r="AI4125" s="87"/>
    </row>
    <row r="4126" spans="1:35" ht="16.5" hidden="1" customHeight="1" thickBot="1">
      <c r="A4126" s="218" t="e">
        <f>"T"&amp;E4099</f>
        <v>#N/A</v>
      </c>
      <c r="B4126" s="703"/>
      <c r="C4126" s="719"/>
      <c r="D4126" s="719"/>
      <c r="E4126" s="719"/>
      <c r="F4126" s="719"/>
      <c r="G4126" s="719"/>
      <c r="H4126" s="719" t="s">
        <v>110</v>
      </c>
      <c r="I4126" s="719"/>
      <c r="J4126" s="719"/>
      <c r="K4126" s="201" t="str">
        <f>IF(COUNTIF(K4120:K4125,"")=6,"",IF(COUNTIF(K4120:K4125,"CUMPLE")&gt;0,"CUMPLE","NO CUMPLE"))</f>
        <v>NO CUMPLE</v>
      </c>
      <c r="L4126" s="754"/>
      <c r="M4126" s="755"/>
      <c r="N4126" s="755"/>
      <c r="O4126" s="755"/>
      <c r="P4126" s="755"/>
      <c r="Q4126" s="756"/>
      <c r="R4126" s="461"/>
      <c r="S4126" s="462"/>
      <c r="T4126" s="463"/>
      <c r="U4126" s="219"/>
      <c r="V4126" s="464"/>
      <c r="Y4126" s="549" t="e">
        <f>IF(Y4120="NO APLICA","NO APLICA",IF(COUNTIF(AD4121:AD4126,"CUMPLE")&gt;0,"CUMPLE","NO CUMPLE"))</f>
        <v>#N/A</v>
      </c>
      <c r="AA4126" s="541" t="e">
        <f>IF(AND(C4125&lt;=F4118,F4118&lt;&gt;""),VLOOKUP(VALUE(E4099&amp;","&amp;C4125),INTEGRANTES!$D$18:$F$235,2,0),"")</f>
        <v>#N/A</v>
      </c>
      <c r="AB4126" s="546" t="e">
        <f t="shared" si="1220"/>
        <v>#N/A</v>
      </c>
      <c r="AC4126" s="543"/>
      <c r="AD4126" s="201" t="e">
        <f t="shared" si="1221"/>
        <v>#N/A</v>
      </c>
      <c r="AE4126" s="52"/>
      <c r="AF4126" s="52"/>
      <c r="AG4126" s="52"/>
      <c r="AH4126" s="87"/>
      <c r="AI4126" s="87"/>
    </row>
    <row r="4127" spans="1:35" hidden="1">
      <c r="AH4127" s="87"/>
      <c r="AI4127" s="87"/>
    </row>
    <row r="4128" spans="1:35" hidden="1">
      <c r="AH4128" s="87"/>
      <c r="AI4128" s="87"/>
    </row>
    <row r="4129" spans="1:35" ht="24" hidden="1" thickBot="1">
      <c r="A4129" s="61">
        <v>138</v>
      </c>
      <c r="B4129" s="704" t="s">
        <v>51</v>
      </c>
      <c r="C4129" s="704"/>
      <c r="D4129" s="704"/>
      <c r="E4129" s="62" t="e">
        <f>VLOOKUP(A4129,PROPONENTES!$B$19:$E$218,2,FALSE)</f>
        <v>#N/A</v>
      </c>
      <c r="F4129" s="63" t="e">
        <f>VLOOKUP(A4129,PROPONENTES!$B$19:$E$218,3,FALSE)</f>
        <v>#N/A</v>
      </c>
      <c r="G4129" s="64"/>
      <c r="H4129" s="64"/>
      <c r="I4129" s="63"/>
      <c r="J4129" s="63"/>
      <c r="K4129" s="65"/>
      <c r="L4129" s="65"/>
      <c r="M4129" s="64"/>
      <c r="N4129" s="64"/>
      <c r="O4129" s="66"/>
      <c r="P4129" s="66"/>
      <c r="Q4129" s="66"/>
      <c r="R4129" s="66"/>
      <c r="S4129" s="67"/>
      <c r="T4129" s="68"/>
      <c r="U4129" s="68"/>
      <c r="AC4129" s="68"/>
      <c r="AD4129" s="68"/>
      <c r="AE4129" s="68"/>
      <c r="AF4129" s="68"/>
      <c r="AG4129" s="68"/>
      <c r="AH4129" s="87"/>
      <c r="AI4129" s="87"/>
    </row>
    <row r="4130" spans="1:35" ht="15.75" hidden="1" customHeight="1">
      <c r="A4130" s="44"/>
      <c r="B4130" s="709" t="s">
        <v>59</v>
      </c>
      <c r="C4130" s="552" t="s">
        <v>60</v>
      </c>
      <c r="D4130" s="70" t="s">
        <v>17</v>
      </c>
      <c r="E4130" s="70"/>
      <c r="F4130" s="70" t="s">
        <v>61</v>
      </c>
      <c r="G4130" s="71"/>
      <c r="H4130" s="699" t="s">
        <v>62</v>
      </c>
      <c r="I4130" s="699" t="s">
        <v>18</v>
      </c>
      <c r="J4130" s="699" t="s">
        <v>63</v>
      </c>
      <c r="K4130" s="699" t="s">
        <v>64</v>
      </c>
      <c r="L4130" s="699" t="s">
        <v>65</v>
      </c>
      <c r="M4130" s="743" t="s">
        <v>66</v>
      </c>
      <c r="N4130" s="699" t="s">
        <v>282</v>
      </c>
      <c r="O4130" s="745" t="s">
        <v>67</v>
      </c>
      <c r="P4130" s="746"/>
      <c r="Q4130" s="102" t="s">
        <v>75</v>
      </c>
      <c r="R4130" s="731" t="s">
        <v>22</v>
      </c>
      <c r="S4130" s="732"/>
      <c r="T4130" s="733"/>
      <c r="U4130" s="712" t="s">
        <v>298</v>
      </c>
      <c r="W4130" s="690" t="s">
        <v>268</v>
      </c>
      <c r="X4130" s="691"/>
      <c r="Y4130" s="692"/>
      <c r="Z4130" s="428"/>
      <c r="AA4130" s="697" t="s">
        <v>315</v>
      </c>
      <c r="AB4130" s="695" t="s">
        <v>322</v>
      </c>
      <c r="AC4130" s="49"/>
      <c r="AD4130" s="690" t="s">
        <v>297</v>
      </c>
      <c r="AE4130" s="691"/>
      <c r="AF4130" s="692"/>
      <c r="AG4130" s="49"/>
      <c r="AH4130" s="87"/>
      <c r="AI4130" s="87"/>
    </row>
    <row r="4131" spans="1:35" ht="72" hidden="1">
      <c r="A4131" s="44"/>
      <c r="B4131" s="710"/>
      <c r="C4131" s="553" t="s">
        <v>68</v>
      </c>
      <c r="D4131" s="73" t="s">
        <v>3</v>
      </c>
      <c r="E4131" s="73" t="s">
        <v>19</v>
      </c>
      <c r="F4131" s="73" t="s">
        <v>69</v>
      </c>
      <c r="G4131" s="74" t="s">
        <v>70</v>
      </c>
      <c r="H4131" s="700"/>
      <c r="I4131" s="700"/>
      <c r="J4131" s="700"/>
      <c r="K4131" s="700"/>
      <c r="L4131" s="700"/>
      <c r="M4131" s="744"/>
      <c r="N4131" s="700"/>
      <c r="O4131" s="553" t="s">
        <v>279</v>
      </c>
      <c r="P4131" s="73" t="s">
        <v>88</v>
      </c>
      <c r="Q4131" s="555" t="s">
        <v>76</v>
      </c>
      <c r="R4131" s="734"/>
      <c r="S4131" s="735"/>
      <c r="T4131" s="736"/>
      <c r="U4131" s="712"/>
      <c r="W4131" s="429" t="s">
        <v>269</v>
      </c>
      <c r="X4131" s="457" t="s">
        <v>278</v>
      </c>
      <c r="Y4131" s="430" t="s">
        <v>324</v>
      </c>
      <c r="Z4131" s="428"/>
      <c r="AA4131" s="698"/>
      <c r="AB4131" s="696"/>
      <c r="AC4131" s="49"/>
      <c r="AD4131" s="429" t="s">
        <v>292</v>
      </c>
      <c r="AE4131" s="431" t="s">
        <v>300</v>
      </c>
      <c r="AF4131" s="468" t="s">
        <v>301</v>
      </c>
      <c r="AG4131" s="49"/>
      <c r="AH4131" s="87"/>
      <c r="AI4131" s="87"/>
    </row>
    <row r="4132" spans="1:35" hidden="1">
      <c r="A4132" s="44"/>
      <c r="B4132" s="76"/>
      <c r="C4132" s="77"/>
      <c r="D4132" s="77"/>
      <c r="E4132" s="77"/>
      <c r="F4132" s="77"/>
      <c r="G4132" s="77"/>
      <c r="H4132" s="77"/>
      <c r="I4132" s="77"/>
      <c r="J4132" s="77"/>
      <c r="K4132" s="77"/>
      <c r="L4132" s="77"/>
      <c r="M4132" s="77"/>
      <c r="N4132" s="77"/>
      <c r="O4132" s="77"/>
      <c r="P4132" s="77"/>
      <c r="Q4132" s="77"/>
      <c r="R4132" s="77"/>
      <c r="S4132" s="78"/>
      <c r="T4132" s="79"/>
      <c r="U4132" s="109"/>
      <c r="V4132" s="49"/>
      <c r="W4132" s="432"/>
      <c r="X4132" s="454"/>
      <c r="Y4132" s="433"/>
      <c r="Z4132" s="6"/>
      <c r="AA4132" s="500"/>
      <c r="AB4132" s="562"/>
      <c r="AC4132" s="49"/>
      <c r="AD4132" s="210"/>
      <c r="AE4132" s="434"/>
      <c r="AF4132" s="435"/>
      <c r="AG4132" s="49"/>
      <c r="AH4132" s="87"/>
      <c r="AI4132" s="87"/>
    </row>
    <row r="4133" spans="1:35" hidden="1">
      <c r="A4133" s="80" t="e">
        <f>"A"&amp;E4129</f>
        <v>#N/A</v>
      </c>
      <c r="B4133" s="81">
        <v>1</v>
      </c>
      <c r="C4133" s="82"/>
      <c r="D4133" s="82"/>
      <c r="E4133" s="82"/>
      <c r="F4133" s="82"/>
      <c r="G4133" s="83"/>
      <c r="H4133" s="83"/>
      <c r="I4133" s="84"/>
      <c r="J4133" s="85"/>
      <c r="K4133" s="382"/>
      <c r="L4133" s="85"/>
      <c r="M4133" s="332" t="str">
        <f t="shared" ref="M4133:M4142" si="1222">IF(OR(J4133="",L4133="",H4133="NO"),"",IF(OR(J4133&gt;$P$17,J4133&lt;$O$17,L4133&gt;$P$17,AND(J4133&lt;$O$17,L4133&lt;$O$17)),"FUERA DE RANGO",IF(OR(K4133="---",K4133=""),IF(J4133&gt;=$O$17,ROUND((L4133-J4133+1)/360*12,3),ROUND((L4133-$O$17+1)/360*12,3)),IF(J4133&gt;=$O$17,ROUND((L4133-J4133+1)/360*12-ROUND(K4133,3),3),ROUND((L4133-$O$17+1)/360*12-ROUND(K4133,3),3)))))</f>
        <v/>
      </c>
      <c r="N4133" s="86"/>
      <c r="O4133" s="453" t="str">
        <f>IF(OR(G4133="",N4133=""),"",N4133*G4133)</f>
        <v/>
      </c>
      <c r="P4133" s="538" t="str">
        <f>IF(OR(H4133="",M4133="FUERA DE RANGO"),"",IF(OR(L4133&lt;$O$17,L4133&gt;$P$17,L4133="",H4133="NO"),"",IF(OR(N4133="",O4133=""),"",ROUND(O4133,3))))</f>
        <v/>
      </c>
      <c r="Q4133" s="539" t="str">
        <f t="shared" ref="Q4133:Q4142" si="1223">IF(AND(H4133="SI",P4133&lt;&gt;""),ROUND(P4133/M4133,3),"")</f>
        <v/>
      </c>
      <c r="R4133" s="737"/>
      <c r="S4133" s="738"/>
      <c r="T4133" s="739"/>
      <c r="U4133" s="470"/>
      <c r="V4133" s="165"/>
      <c r="W4133" s="446"/>
      <c r="X4133" s="456"/>
      <c r="Y4133" s="436"/>
      <c r="Z4133" s="437"/>
      <c r="AA4133" s="560"/>
      <c r="AB4133" s="561"/>
      <c r="AC4133" s="87"/>
      <c r="AD4133" s="466"/>
      <c r="AE4133" s="456"/>
      <c r="AF4133" s="467"/>
      <c r="AG4133" s="87"/>
      <c r="AH4133" s="87"/>
      <c r="AI4133" s="87"/>
    </row>
    <row r="4134" spans="1:35" hidden="1">
      <c r="A4134" s="80" t="e">
        <f>"B"&amp;E4129</f>
        <v>#N/A</v>
      </c>
      <c r="B4134" s="81">
        <v>2</v>
      </c>
      <c r="C4134" s="106"/>
      <c r="D4134" s="106"/>
      <c r="E4134" s="106"/>
      <c r="F4134" s="106"/>
      <c r="G4134" s="83"/>
      <c r="H4134" s="83"/>
      <c r="I4134" s="84"/>
      <c r="J4134" s="85"/>
      <c r="K4134" s="382"/>
      <c r="L4134" s="85"/>
      <c r="M4134" s="332" t="str">
        <f t="shared" si="1222"/>
        <v/>
      </c>
      <c r="N4134" s="86"/>
      <c r="O4134" s="453" t="str">
        <f t="shared" ref="O4134:O4142" si="1224">IF(OR(G4134="",N4134=""),"",N4134*G4134)</f>
        <v/>
      </c>
      <c r="P4134" s="538" t="str">
        <f t="shared" ref="P4134:P4142" si="1225">IF(OR(H4134="",M4134="FUERA DE RANGO"),"",IF(OR(L4134&lt;$O$17,L4134&gt;$P$17,L4134="",H4134="NO"),"",IF(OR(N4134="",O4134=""),"",ROUND(O4134,3))))</f>
        <v/>
      </c>
      <c r="Q4134" s="539" t="str">
        <f t="shared" si="1223"/>
        <v/>
      </c>
      <c r="R4134" s="740"/>
      <c r="S4134" s="741"/>
      <c r="T4134" s="742"/>
      <c r="U4134" s="471"/>
      <c r="V4134" s="165"/>
      <c r="W4134" s="446"/>
      <c r="X4134" s="456"/>
      <c r="Y4134" s="436"/>
      <c r="Z4134" s="437"/>
      <c r="AA4134" s="560"/>
      <c r="AB4134" s="561"/>
      <c r="AC4134" s="87"/>
      <c r="AD4134" s="466"/>
      <c r="AE4134" s="456"/>
      <c r="AF4134" s="467"/>
      <c r="AG4134" s="87"/>
      <c r="AH4134" s="87"/>
      <c r="AI4134" s="87"/>
    </row>
    <row r="4135" spans="1:35" hidden="1">
      <c r="A4135" s="80" t="e">
        <f>"C"&amp;E4129</f>
        <v>#N/A</v>
      </c>
      <c r="B4135" s="88">
        <v>3</v>
      </c>
      <c r="C4135" s="82"/>
      <c r="D4135" s="82"/>
      <c r="E4135" s="82"/>
      <c r="F4135" s="82"/>
      <c r="G4135" s="83"/>
      <c r="H4135" s="83"/>
      <c r="I4135" s="84"/>
      <c r="J4135" s="85"/>
      <c r="K4135" s="382"/>
      <c r="L4135" s="85"/>
      <c r="M4135" s="332" t="str">
        <f t="shared" si="1222"/>
        <v/>
      </c>
      <c r="N4135" s="86"/>
      <c r="O4135" s="453" t="str">
        <f t="shared" si="1224"/>
        <v/>
      </c>
      <c r="P4135" s="538" t="str">
        <f t="shared" si="1225"/>
        <v/>
      </c>
      <c r="Q4135" s="539" t="str">
        <f t="shared" si="1223"/>
        <v/>
      </c>
      <c r="R4135" s="706"/>
      <c r="S4135" s="707"/>
      <c r="T4135" s="708"/>
      <c r="U4135" s="472"/>
      <c r="V4135" s="166"/>
      <c r="W4135" s="446"/>
      <c r="X4135" s="456"/>
      <c r="Y4135" s="436"/>
      <c r="Z4135" s="437"/>
      <c r="AA4135" s="560"/>
      <c r="AB4135" s="561"/>
      <c r="AC4135" s="87"/>
      <c r="AD4135" s="466"/>
      <c r="AE4135" s="456"/>
      <c r="AF4135" s="467"/>
      <c r="AG4135" s="87"/>
      <c r="AH4135" s="87"/>
      <c r="AI4135" s="87"/>
    </row>
    <row r="4136" spans="1:35" hidden="1">
      <c r="A4136" s="80" t="e">
        <f>"D"&amp;E4129</f>
        <v>#N/A</v>
      </c>
      <c r="B4136" s="105">
        <v>4</v>
      </c>
      <c r="C4136" s="107"/>
      <c r="D4136" s="107"/>
      <c r="E4136" s="107"/>
      <c r="F4136" s="107"/>
      <c r="G4136" s="83"/>
      <c r="H4136" s="83"/>
      <c r="I4136" s="84"/>
      <c r="J4136" s="85"/>
      <c r="K4136" s="382"/>
      <c r="L4136" s="85"/>
      <c r="M4136" s="332" t="str">
        <f t="shared" si="1222"/>
        <v/>
      </c>
      <c r="N4136" s="86"/>
      <c r="O4136" s="453" t="str">
        <f t="shared" si="1224"/>
        <v/>
      </c>
      <c r="P4136" s="538" t="str">
        <f t="shared" si="1225"/>
        <v/>
      </c>
      <c r="Q4136" s="539" t="str">
        <f t="shared" si="1223"/>
        <v/>
      </c>
      <c r="R4136" s="706"/>
      <c r="S4136" s="707"/>
      <c r="T4136" s="708"/>
      <c r="U4136" s="472"/>
      <c r="V4136" s="166"/>
      <c r="W4136" s="446"/>
      <c r="X4136" s="456"/>
      <c r="Y4136" s="436"/>
      <c r="Z4136" s="437"/>
      <c r="AA4136" s="560"/>
      <c r="AB4136" s="561"/>
      <c r="AC4136" s="87"/>
      <c r="AD4136" s="466"/>
      <c r="AE4136" s="456"/>
      <c r="AF4136" s="467"/>
      <c r="AG4136" s="87"/>
      <c r="AH4136" s="87"/>
      <c r="AI4136" s="87"/>
    </row>
    <row r="4137" spans="1:35" hidden="1">
      <c r="A4137" s="80" t="e">
        <f>"E"&amp;E4129</f>
        <v>#N/A</v>
      </c>
      <c r="B4137" s="105">
        <v>5</v>
      </c>
      <c r="C4137" s="107"/>
      <c r="D4137" s="107"/>
      <c r="E4137" s="107"/>
      <c r="F4137" s="107"/>
      <c r="G4137" s="83"/>
      <c r="H4137" s="83"/>
      <c r="I4137" s="84"/>
      <c r="J4137" s="85"/>
      <c r="K4137" s="382"/>
      <c r="L4137" s="85"/>
      <c r="M4137" s="332" t="str">
        <f t="shared" si="1222"/>
        <v/>
      </c>
      <c r="N4137" s="86"/>
      <c r="O4137" s="453" t="str">
        <f t="shared" si="1224"/>
        <v/>
      </c>
      <c r="P4137" s="538" t="str">
        <f t="shared" si="1225"/>
        <v/>
      </c>
      <c r="Q4137" s="539" t="str">
        <f t="shared" si="1223"/>
        <v/>
      </c>
      <c r="R4137" s="706"/>
      <c r="S4137" s="707"/>
      <c r="T4137" s="708"/>
      <c r="U4137" s="472"/>
      <c r="V4137" s="167"/>
      <c r="W4137" s="446"/>
      <c r="X4137" s="456"/>
      <c r="Y4137" s="436"/>
      <c r="Z4137" s="437"/>
      <c r="AA4137" s="560"/>
      <c r="AB4137" s="561"/>
      <c r="AC4137" s="87"/>
      <c r="AD4137" s="466"/>
      <c r="AE4137" s="456"/>
      <c r="AF4137" s="467"/>
      <c r="AG4137" s="87"/>
      <c r="AH4137" s="87"/>
      <c r="AI4137" s="87"/>
    </row>
    <row r="4138" spans="1:35" hidden="1">
      <c r="A4138" s="80" t="e">
        <f>"F"&amp;E4129</f>
        <v>#N/A</v>
      </c>
      <c r="B4138" s="105">
        <v>6</v>
      </c>
      <c r="C4138" s="107"/>
      <c r="D4138" s="107"/>
      <c r="E4138" s="107"/>
      <c r="F4138" s="107"/>
      <c r="G4138" s="83"/>
      <c r="H4138" s="83"/>
      <c r="I4138" s="84"/>
      <c r="J4138" s="85"/>
      <c r="K4138" s="382"/>
      <c r="L4138" s="85"/>
      <c r="M4138" s="332" t="str">
        <f t="shared" si="1222"/>
        <v/>
      </c>
      <c r="N4138" s="86"/>
      <c r="O4138" s="453" t="str">
        <f t="shared" si="1224"/>
        <v/>
      </c>
      <c r="P4138" s="538" t="str">
        <f t="shared" si="1225"/>
        <v/>
      </c>
      <c r="Q4138" s="539" t="str">
        <f t="shared" si="1223"/>
        <v/>
      </c>
      <c r="R4138" s="706"/>
      <c r="S4138" s="707"/>
      <c r="T4138" s="708"/>
      <c r="U4138" s="472"/>
      <c r="V4138" s="167"/>
      <c r="W4138" s="446"/>
      <c r="X4138" s="456"/>
      <c r="Y4138" s="436"/>
      <c r="Z4138" s="437"/>
      <c r="AA4138" s="560"/>
      <c r="AB4138" s="561"/>
      <c r="AC4138" s="87"/>
      <c r="AD4138" s="466"/>
      <c r="AE4138" s="456"/>
      <c r="AF4138" s="467"/>
      <c r="AG4138" s="87"/>
      <c r="AH4138" s="87"/>
      <c r="AI4138" s="87"/>
    </row>
    <row r="4139" spans="1:35" hidden="1">
      <c r="A4139" s="80" t="e">
        <f>"G"&amp;E4129</f>
        <v>#N/A</v>
      </c>
      <c r="B4139" s="105">
        <v>7</v>
      </c>
      <c r="C4139" s="107"/>
      <c r="D4139" s="107"/>
      <c r="E4139" s="107"/>
      <c r="F4139" s="107"/>
      <c r="G4139" s="83"/>
      <c r="H4139" s="83"/>
      <c r="I4139" s="84"/>
      <c r="J4139" s="85"/>
      <c r="K4139" s="382"/>
      <c r="L4139" s="85"/>
      <c r="M4139" s="332" t="str">
        <f t="shared" si="1222"/>
        <v/>
      </c>
      <c r="N4139" s="86"/>
      <c r="O4139" s="86" t="str">
        <f t="shared" si="1224"/>
        <v/>
      </c>
      <c r="P4139" s="538" t="str">
        <f t="shared" si="1225"/>
        <v/>
      </c>
      <c r="Q4139" s="539" t="str">
        <f t="shared" si="1223"/>
        <v/>
      </c>
      <c r="R4139" s="706"/>
      <c r="S4139" s="707"/>
      <c r="T4139" s="708"/>
      <c r="U4139" s="472"/>
      <c r="V4139" s="167"/>
      <c r="W4139" s="446"/>
      <c r="X4139" s="456"/>
      <c r="Y4139" s="436"/>
      <c r="Z4139" s="437"/>
      <c r="AA4139" s="560"/>
      <c r="AB4139" s="561"/>
      <c r="AC4139" s="87"/>
      <c r="AD4139" s="466"/>
      <c r="AE4139" s="456"/>
      <c r="AF4139" s="467"/>
      <c r="AG4139" s="87"/>
      <c r="AH4139" s="87"/>
      <c r="AI4139" s="87"/>
    </row>
    <row r="4140" spans="1:35" hidden="1">
      <c r="A4140" s="80" t="e">
        <f>"H"&amp;E4129</f>
        <v>#N/A</v>
      </c>
      <c r="B4140" s="105">
        <v>8</v>
      </c>
      <c r="C4140" s="107"/>
      <c r="D4140" s="107"/>
      <c r="E4140" s="107"/>
      <c r="F4140" s="107"/>
      <c r="G4140" s="83"/>
      <c r="H4140" s="83"/>
      <c r="I4140" s="84"/>
      <c r="J4140" s="85"/>
      <c r="K4140" s="382"/>
      <c r="L4140" s="85"/>
      <c r="M4140" s="332" t="str">
        <f t="shared" si="1222"/>
        <v/>
      </c>
      <c r="N4140" s="453"/>
      <c r="O4140" s="86" t="str">
        <f t="shared" si="1224"/>
        <v/>
      </c>
      <c r="P4140" s="538" t="str">
        <f t="shared" si="1225"/>
        <v/>
      </c>
      <c r="Q4140" s="539" t="str">
        <f t="shared" si="1223"/>
        <v/>
      </c>
      <c r="R4140" s="706"/>
      <c r="S4140" s="707"/>
      <c r="T4140" s="708"/>
      <c r="U4140" s="472"/>
      <c r="V4140" s="167"/>
      <c r="W4140" s="446"/>
      <c r="X4140" s="456"/>
      <c r="Y4140" s="436"/>
      <c r="Z4140" s="437"/>
      <c r="AA4140" s="560"/>
      <c r="AB4140" s="561"/>
      <c r="AC4140" s="87"/>
      <c r="AD4140" s="466"/>
      <c r="AE4140" s="456"/>
      <c r="AF4140" s="467"/>
      <c r="AG4140" s="87"/>
      <c r="AH4140" s="87"/>
      <c r="AI4140" s="87"/>
    </row>
    <row r="4141" spans="1:35" hidden="1">
      <c r="A4141" s="80" t="e">
        <f>"I"&amp;E4129</f>
        <v>#N/A</v>
      </c>
      <c r="B4141" s="105">
        <v>9</v>
      </c>
      <c r="C4141" s="107"/>
      <c r="D4141" s="107"/>
      <c r="E4141" s="107"/>
      <c r="F4141" s="107"/>
      <c r="G4141" s="83"/>
      <c r="H4141" s="83"/>
      <c r="I4141" s="84"/>
      <c r="J4141" s="85"/>
      <c r="K4141" s="382"/>
      <c r="L4141" s="85"/>
      <c r="M4141" s="332" t="str">
        <f t="shared" si="1222"/>
        <v/>
      </c>
      <c r="N4141" s="453"/>
      <c r="O4141" s="86" t="str">
        <f t="shared" si="1224"/>
        <v/>
      </c>
      <c r="P4141" s="538" t="str">
        <f t="shared" si="1225"/>
        <v/>
      </c>
      <c r="Q4141" s="539" t="str">
        <f t="shared" si="1223"/>
        <v/>
      </c>
      <c r="R4141" s="706"/>
      <c r="S4141" s="707"/>
      <c r="T4141" s="708"/>
      <c r="U4141" s="472"/>
      <c r="V4141" s="167"/>
      <c r="W4141" s="446"/>
      <c r="X4141" s="456"/>
      <c r="Y4141" s="436"/>
      <c r="Z4141" s="437"/>
      <c r="AA4141" s="560"/>
      <c r="AB4141" s="561"/>
      <c r="AC4141" s="87"/>
      <c r="AD4141" s="466"/>
      <c r="AE4141" s="456"/>
      <c r="AF4141" s="467"/>
      <c r="AG4141" s="87"/>
      <c r="AH4141" s="87"/>
      <c r="AI4141" s="87"/>
    </row>
    <row r="4142" spans="1:35" hidden="1">
      <c r="A4142" s="80" t="e">
        <f>"J"&amp;E4129</f>
        <v>#N/A</v>
      </c>
      <c r="B4142" s="105">
        <v>10</v>
      </c>
      <c r="C4142" s="107"/>
      <c r="D4142" s="107"/>
      <c r="E4142" s="107"/>
      <c r="F4142" s="107"/>
      <c r="G4142" s="83"/>
      <c r="H4142" s="83"/>
      <c r="I4142" s="84"/>
      <c r="J4142" s="85"/>
      <c r="K4142" s="382"/>
      <c r="L4142" s="85"/>
      <c r="M4142" s="332" t="str">
        <f t="shared" si="1222"/>
        <v/>
      </c>
      <c r="N4142" s="453"/>
      <c r="O4142" s="86" t="str">
        <f t="shared" si="1224"/>
        <v/>
      </c>
      <c r="P4142" s="538" t="str">
        <f t="shared" si="1225"/>
        <v/>
      </c>
      <c r="Q4142" s="539" t="str">
        <f t="shared" si="1223"/>
        <v/>
      </c>
      <c r="R4142" s="706"/>
      <c r="S4142" s="707"/>
      <c r="T4142" s="708"/>
      <c r="U4142" s="472"/>
      <c r="V4142" s="167"/>
      <c r="W4142" s="446"/>
      <c r="X4142" s="456"/>
      <c r="Y4142" s="436"/>
      <c r="Z4142" s="437"/>
      <c r="AA4142" s="560"/>
      <c r="AB4142" s="561"/>
      <c r="AC4142" s="87"/>
      <c r="AD4142" s="466"/>
      <c r="AE4142" s="456"/>
      <c r="AF4142" s="467"/>
      <c r="AG4142" s="87"/>
      <c r="AH4142" s="87"/>
      <c r="AI4142" s="87"/>
    </row>
    <row r="4143" spans="1:35" ht="16.5" hidden="1" thickBot="1">
      <c r="A4143" s="44"/>
      <c r="B4143" s="89"/>
      <c r="C4143" s="90"/>
      <c r="D4143" s="90"/>
      <c r="E4143" s="90"/>
      <c r="F4143" s="90"/>
      <c r="G4143" s="90"/>
      <c r="H4143" s="90"/>
      <c r="I4143" s="90"/>
      <c r="J4143" s="90"/>
      <c r="K4143" s="90"/>
      <c r="L4143" s="90"/>
      <c r="M4143" s="90"/>
      <c r="N4143" s="90"/>
      <c r="O4143" s="90"/>
      <c r="P4143" s="90"/>
      <c r="Q4143" s="90"/>
      <c r="R4143" s="90"/>
      <c r="S4143" s="91"/>
      <c r="T4143" s="92"/>
      <c r="U4143" s="473"/>
      <c r="W4143" s="438"/>
      <c r="X4143" s="455"/>
      <c r="Y4143" s="439"/>
      <c r="Z4143" s="437"/>
      <c r="AA4143" s="530"/>
      <c r="AB4143" s="563"/>
      <c r="AC4143" s="87"/>
      <c r="AD4143" s="440"/>
      <c r="AE4143" s="441"/>
      <c r="AF4143" s="442"/>
      <c r="AG4143" s="49"/>
      <c r="AH4143" s="87"/>
      <c r="AI4143" s="87"/>
    </row>
    <row r="4144" spans="1:35" ht="16.5" hidden="1" thickBot="1">
      <c r="A4144" s="93"/>
      <c r="B4144" s="94"/>
      <c r="C4144" s="96"/>
      <c r="D4144" s="96"/>
      <c r="E4144" s="96"/>
      <c r="F4144" s="96"/>
      <c r="G4144" s="96"/>
      <c r="H4144" s="96"/>
      <c r="I4144" s="96"/>
      <c r="J4144" s="96"/>
      <c r="K4144" s="96"/>
      <c r="L4144" s="96"/>
      <c r="M4144" s="136"/>
      <c r="N4144" s="96"/>
      <c r="O4144" s="96"/>
      <c r="P4144" s="97"/>
      <c r="Q4144" s="97"/>
      <c r="R4144" s="98"/>
      <c r="S4144" s="95"/>
      <c r="T4144" s="99"/>
      <c r="U4144" s="469"/>
      <c r="AC4144" s="58"/>
      <c r="AG4144" s="58"/>
      <c r="AH4144" s="87"/>
      <c r="AI4144" s="87"/>
    </row>
    <row r="4145" spans="1:35" ht="16.5" hidden="1" thickBot="1">
      <c r="B4145" s="101"/>
      <c r="C4145" s="101"/>
      <c r="D4145" s="101"/>
      <c r="E4145" s="101"/>
      <c r="F4145" s="101"/>
      <c r="G4145" s="101"/>
      <c r="H4145" s="101"/>
      <c r="I4145" s="101"/>
      <c r="J4145" s="101"/>
      <c r="K4145" s="101"/>
      <c r="L4145" s="101"/>
      <c r="M4145" s="101"/>
      <c r="N4145" s="101"/>
      <c r="O4145" s="101"/>
      <c r="P4145" s="101"/>
      <c r="Q4145" s="101"/>
      <c r="R4145" s="101"/>
      <c r="S4145" s="101"/>
      <c r="U4145" s="50"/>
      <c r="AH4145" s="87"/>
      <c r="AI4145" s="87"/>
    </row>
    <row r="4146" spans="1:35" ht="16.5" hidden="1" customHeight="1" thickBot="1">
      <c r="A4146" s="44"/>
      <c r="B4146" s="705" t="s">
        <v>74</v>
      </c>
      <c r="C4146" s="705"/>
      <c r="D4146" s="705"/>
      <c r="E4146" s="705"/>
      <c r="F4146" s="705"/>
      <c r="G4146" s="705"/>
      <c r="H4146" s="705"/>
      <c r="I4146" s="705"/>
      <c r="J4146" s="705"/>
      <c r="K4146" s="705"/>
      <c r="L4146" s="705"/>
      <c r="M4146" s="705"/>
      <c r="N4146" s="705"/>
      <c r="O4146" s="705"/>
      <c r="P4146" s="705"/>
      <c r="Q4146" s="705"/>
      <c r="R4146" s="705"/>
      <c r="S4146" s="705"/>
      <c r="T4146" s="705"/>
      <c r="U4146" s="108"/>
      <c r="Y4146" s="532" t="s">
        <v>341</v>
      </c>
      <c r="AC4146" s="49"/>
      <c r="AD4146" s="687" t="s">
        <v>302</v>
      </c>
      <c r="AE4146" s="688"/>
      <c r="AF4146" s="689"/>
      <c r="AG4146" s="49"/>
      <c r="AH4146" s="87"/>
      <c r="AI4146" s="87"/>
    </row>
    <row r="4147" spans="1:35" ht="16.5" hidden="1" customHeight="1" thickBot="1">
      <c r="A4147" s="218" t="e">
        <f>"K"&amp;E4129</f>
        <v>#N/A</v>
      </c>
      <c r="B4147" s="701" t="s">
        <v>71</v>
      </c>
      <c r="C4147" s="751" t="s">
        <v>102</v>
      </c>
      <c r="D4147" s="751"/>
      <c r="E4147" s="751"/>
      <c r="F4147" s="751"/>
      <c r="G4147" s="751"/>
      <c r="H4147" s="751"/>
      <c r="I4147" s="751"/>
      <c r="J4147" s="751"/>
      <c r="K4147" s="751"/>
      <c r="L4147" s="722" t="s">
        <v>100</v>
      </c>
      <c r="M4147" s="747" t="s">
        <v>114</v>
      </c>
      <c r="N4147" s="747"/>
      <c r="O4147" s="747"/>
      <c r="P4147" s="747"/>
      <c r="Q4147" s="748"/>
      <c r="R4147" s="758" t="s">
        <v>280</v>
      </c>
      <c r="S4147" s="748"/>
      <c r="T4147" s="762" t="str">
        <f>IF(COUNTIF(AE4147:AF4147,"VERIFICAR")&gt;0,"VERIFICAR",IF(COUNTIF(AE4147:AF4147,"NO CUMPLE")&gt;0,"NO CUMPLE","CUMPLE"))</f>
        <v>VERIFICAR</v>
      </c>
      <c r="U4147" s="108"/>
      <c r="Y4147" s="533" t="e">
        <f>IF(F4148="","",IF(F4148=1,"INDIVIDUAL","ESTRUCTURA PLURAL"))</f>
        <v>#N/A</v>
      </c>
      <c r="AC4147" s="52"/>
      <c r="AD4147" s="475" t="s">
        <v>303</v>
      </c>
      <c r="AE4147" s="476" t="str">
        <f>IF(COUNTIF(AE4133:AE4142,"")=10,"VERIFICAR",IF(COUNTIF(AE4133:AE4142,"SI")&gt;0,"CUMPLE","NO CUMPLE"))</f>
        <v>VERIFICAR</v>
      </c>
      <c r="AF4147" s="477" t="str">
        <f>IF(COUNTIF(AF4133:AF4142,"")=10,"VERIFICAR",IF(COUNTIF(AF4133:AF4142,"SI")&gt;=$AI$22,"CUMPLE","NO CUMPLE"))</f>
        <v>VERIFICAR</v>
      </c>
      <c r="AG4147" s="52"/>
      <c r="AH4147" s="87"/>
      <c r="AI4147" s="87"/>
    </row>
    <row r="4148" spans="1:35" ht="15.75" hidden="1" customHeight="1" thickBot="1">
      <c r="A4148" s="218" t="e">
        <f>"L"&amp;E4129</f>
        <v>#N/A</v>
      </c>
      <c r="B4148" s="702"/>
      <c r="C4148" s="751" t="s">
        <v>103</v>
      </c>
      <c r="D4148" s="751"/>
      <c r="E4148" s="752"/>
      <c r="F4148" s="557" t="e">
        <f>IF(VLOOKUP(E4129,PROPONENTES!$C$19:$E$218,3,0)="","",VLOOKUP(E4129,PROPONENTES!$C$19:$E$218,3,0))</f>
        <v>#N/A</v>
      </c>
      <c r="G4148" s="753" t="s">
        <v>104</v>
      </c>
      <c r="H4148" s="751"/>
      <c r="I4148" s="715" t="e">
        <f>IF(OR(F4148="",F4148=1),"INTERESADO PERSONA NATURAL O JURIDICA","CONSORCIO O UNION TEMPORAL")</f>
        <v>#N/A</v>
      </c>
      <c r="J4148" s="725"/>
      <c r="K4148" s="728"/>
      <c r="L4148" s="723"/>
      <c r="M4148" s="749"/>
      <c r="N4148" s="749"/>
      <c r="O4148" s="749"/>
      <c r="P4148" s="749"/>
      <c r="Q4148" s="750"/>
      <c r="R4148" s="712"/>
      <c r="S4148" s="750"/>
      <c r="T4148" s="763"/>
      <c r="U4148" s="108"/>
      <c r="Y4148" s="534"/>
      <c r="AA4148" s="52"/>
      <c r="AB4148" s="52"/>
      <c r="AC4148" s="52"/>
      <c r="AG4148" s="52"/>
      <c r="AH4148" s="87"/>
      <c r="AI4148" s="87"/>
    </row>
    <row r="4149" spans="1:35" ht="56.25" hidden="1" customHeight="1" thickBot="1">
      <c r="A4149" s="218" t="e">
        <f>"M"&amp;E4129</f>
        <v>#N/A</v>
      </c>
      <c r="B4149" s="702"/>
      <c r="C4149" s="725" t="s">
        <v>101</v>
      </c>
      <c r="D4149" s="716"/>
      <c r="E4149" s="558" t="s">
        <v>105</v>
      </c>
      <c r="F4149" s="554" t="s">
        <v>87</v>
      </c>
      <c r="G4149" s="553" t="s">
        <v>86</v>
      </c>
      <c r="H4149" s="559" t="s">
        <v>85</v>
      </c>
      <c r="I4149" s="554" t="s">
        <v>252</v>
      </c>
      <c r="J4149" s="553" t="str">
        <f>"¿EL INTEGRANTE TIENE UNA PARTICIPACIÓN DEL "&amp;PORCREQUERIDOINT*100&amp;"%?"</f>
        <v>¿EL INTEGRANTE TIENE UNA PARTICIPACIÓN DEL 60%?</v>
      </c>
      <c r="K4149" s="554" t="s">
        <v>107</v>
      </c>
      <c r="L4149" s="724"/>
      <c r="M4149" s="717" t="s">
        <v>115</v>
      </c>
      <c r="N4149" s="718"/>
      <c r="O4149" s="718"/>
      <c r="P4149" s="718"/>
      <c r="Q4149" s="223">
        <f>IF(AND(H4133="SI",P4133&gt;=0),1,0)+IF(AND(H4134="SI",P4134&gt;=0),1,0)+IF(AND(H4135="SI",P4135&gt;=0),1,0)+IF(AND(H4136="SI",P4136&gt;=0),1,0)+IF(AND(H4137="SI",P4137&gt;=0),1,0)+IF(AND(H4138="SI",P4138&gt;=0),1,0)+IF(AND(H4139="SI",P4139&gt;=0),1,0)+IF(AND(H4140="SI",P4140&gt;=0),1,0)+IF(AND(H4141="SI",P4141&gt;=0),1,0)+IF(AND(H4142="SI",P4142&gt;=0),1,0)</f>
        <v>0</v>
      </c>
      <c r="R4149" s="759"/>
      <c r="S4149" s="761"/>
      <c r="T4149" s="764"/>
      <c r="U4149" s="219"/>
      <c r="V4149" s="464"/>
      <c r="Y4149" s="532" t="s">
        <v>342</v>
      </c>
      <c r="AA4149" s="550" t="s">
        <v>344</v>
      </c>
      <c r="AB4149" s="693" t="s">
        <v>345</v>
      </c>
      <c r="AC4149" s="693" t="s">
        <v>346</v>
      </c>
      <c r="AD4149" s="685" t="s">
        <v>347</v>
      </c>
      <c r="AE4149" s="52"/>
      <c r="AF4149" s="52"/>
      <c r="AG4149" s="52"/>
      <c r="AH4149" s="87"/>
      <c r="AI4149" s="87"/>
    </row>
    <row r="4150" spans="1:35" ht="15.75" hidden="1" customHeight="1" thickBot="1">
      <c r="A4150" s="218" t="e">
        <f>"N"&amp;E4129</f>
        <v>#N/A</v>
      </c>
      <c r="B4150" s="702"/>
      <c r="C4150" s="114">
        <v>1</v>
      </c>
      <c r="D4150" s="194" t="e">
        <f>IF(AND(C4150&lt;=F4148,F4148&gt;1,F4148&lt;&gt;""),VLOOKUP(VALUE(E4129&amp;","&amp;C4150),INTEGRANTES!$D$18:$F$235,2,0),"")</f>
        <v>#N/A</v>
      </c>
      <c r="E4150" s="211" t="e">
        <f>IF(D4150&lt;&gt;"",VLOOKUP(VALUE(E4129&amp;","&amp;C4150),INTEGRANTES!$D$18:$F$235,3,0),"")</f>
        <v>#N/A</v>
      </c>
      <c r="F4150" s="547" t="e">
        <f>IF(D4150="","",SUMIF($I4133:$I4142,D4150,$P4133:$P4142))</f>
        <v>#N/A</v>
      </c>
      <c r="G4150" s="333" t="e">
        <f>IF(D4150="","",SUMIF($I4133:$I4142,D4150,$M4133:$M4142))</f>
        <v>#N/A</v>
      </c>
      <c r="H4150" s="535" t="e">
        <f t="shared" ref="H4150:H4155" si="1226">IF(D4150="","",IF(OR(F4150=0,G4150=0),"NO APORTA",ROUND($F4150/$G4150,3)))</f>
        <v>#N/A</v>
      </c>
      <c r="I4150" s="212" t="e">
        <f>IF(D4150="","",IF(H4150="NO APORTA","NO",IF(H4150=MAX($H4150:$H4155),"SI","NO")))</f>
        <v>#N/A</v>
      </c>
      <c r="J4150" s="213" t="e">
        <f t="shared" ref="J4150:J4155" si="1227">IF(D4150="","",IF(E4150&gt;=PORCREQUERIDOINT,"SI","NO"))</f>
        <v>#N/A</v>
      </c>
      <c r="K4150" s="200" t="e">
        <f t="shared" ref="K4150:K4155" si="1228">IF(D4150="","",IF(AND(I4150="SI",J4150="SI"),"CUMPLE",IF(AND(I4150="NO",OR(J4150="SI",J4150="NO")),"","NO CUMPLE")))</f>
        <v>#N/A</v>
      </c>
      <c r="L4150" s="722" t="s">
        <v>108</v>
      </c>
      <c r="M4150" s="726" t="s">
        <v>119</v>
      </c>
      <c r="N4150" s="726"/>
      <c r="O4150" s="726"/>
      <c r="P4150" s="726"/>
      <c r="Q4150" s="727"/>
      <c r="R4150" s="758" t="s">
        <v>80</v>
      </c>
      <c r="S4150" s="747"/>
      <c r="T4150" s="748"/>
      <c r="U4150" s="219"/>
      <c r="V4150" s="464"/>
      <c r="Y4150" s="533" t="e">
        <f>IF(Y4147="","",IF(Y4147="INDIVIDUAL","NO APLICA","VERIFICAR CUADRO"))</f>
        <v>#N/A</v>
      </c>
      <c r="AA4150" s="551"/>
      <c r="AB4150" s="694"/>
      <c r="AC4150" s="694"/>
      <c r="AD4150" s="686"/>
      <c r="AE4150" s="52"/>
      <c r="AF4150" s="52"/>
      <c r="AG4150" s="52"/>
      <c r="AH4150" s="87"/>
      <c r="AI4150" s="87"/>
    </row>
    <row r="4151" spans="1:35" ht="27" hidden="1" customHeight="1" thickBot="1">
      <c r="A4151" s="218" t="e">
        <f>"O"&amp;E4129</f>
        <v>#N/A</v>
      </c>
      <c r="B4151" s="702"/>
      <c r="C4151" s="114">
        <v>2</v>
      </c>
      <c r="D4151" s="194" t="e">
        <f>IF(AND(C4151&lt;=F4148,F4148&lt;&gt;""),VLOOKUP(VALUE(E4129&amp;","&amp;C4151),INTEGRANTES!$D$18:$F$235,2,0),"")</f>
        <v>#N/A</v>
      </c>
      <c r="E4151" s="211" t="e">
        <f>IF(D4151&lt;&gt;"",VLOOKUP(VALUE(E4129&amp;","&amp;C4151),INTEGRANTES!$D$18:$F$235,3,0),"")</f>
        <v>#N/A</v>
      </c>
      <c r="F4151" s="547" t="e">
        <f>IF(D4151="","",SUMIF($I4133:$I4142,D4151,$P4133:$P4142))</f>
        <v>#N/A</v>
      </c>
      <c r="G4151" s="333" t="e">
        <f>IF(D4151="","",SUMIF($I4133:$I4142,D4151,$M4133:$M4142))</f>
        <v>#N/A</v>
      </c>
      <c r="H4151" s="535" t="e">
        <f t="shared" si="1226"/>
        <v>#N/A</v>
      </c>
      <c r="I4151" s="212" t="e">
        <f>IF(D4151="","",IF(H4151="NO APORTA","NO",IF(H4151=MAX($H4150:$H4155),"SI","NO")))</f>
        <v>#N/A</v>
      </c>
      <c r="J4151" s="213" t="e">
        <f t="shared" si="1227"/>
        <v>#N/A</v>
      </c>
      <c r="K4151" s="200" t="e">
        <f t="shared" si="1228"/>
        <v>#N/A</v>
      </c>
      <c r="L4151" s="723"/>
      <c r="M4151" s="715" t="s">
        <v>116</v>
      </c>
      <c r="N4151" s="716"/>
      <c r="O4151" s="556" t="s">
        <v>113</v>
      </c>
      <c r="P4151" s="715" t="s">
        <v>117</v>
      </c>
      <c r="Q4151" s="728"/>
      <c r="R4151" s="759"/>
      <c r="S4151" s="760"/>
      <c r="T4151" s="761"/>
      <c r="U4151" s="219"/>
      <c r="V4151" s="464"/>
      <c r="Y4151" s="414"/>
      <c r="AA4151" s="542" t="e">
        <f>IF(AND(C4150&lt;=F4148,F4148&gt;1,F4148&lt;&gt;""),VLOOKUP(VALUE(E4129&amp;","&amp;C4150),INTEGRANTES!$D$18:$F$235,2,0),"")</f>
        <v>#N/A</v>
      </c>
      <c r="AB4151" s="544" t="e">
        <f t="shared" ref="AB4151:AB4156" si="1229">IF(D4150="","",IF(OR(F4150=0,G4150=0),"NO APORTA",ROUND($F4150/$G4150,3)))</f>
        <v>#N/A</v>
      </c>
      <c r="AC4151" s="529"/>
      <c r="AD4151" s="200" t="e">
        <f t="shared" ref="AD4151:AD4156" si="1230">IF(OR(AA4151="",AB4151=""),"",IF(AND(AC4151="X",AB4151&gt;=EXPREQVTD),"CUMPLE","NO CUMPLE"))</f>
        <v>#N/A</v>
      </c>
      <c r="AE4151" s="52"/>
      <c r="AF4151" s="52"/>
      <c r="AG4151" s="52"/>
      <c r="AH4151" s="87"/>
      <c r="AI4151" s="87"/>
    </row>
    <row r="4152" spans="1:35" ht="16.5" hidden="1" thickBot="1">
      <c r="A4152" s="218" t="e">
        <f>"P"&amp;E4129</f>
        <v>#N/A</v>
      </c>
      <c r="B4152" s="702"/>
      <c r="C4152" s="114">
        <v>3</v>
      </c>
      <c r="D4152" s="194" t="e">
        <f>IF(AND(C4152&lt;=F4148,F4148&lt;&gt;""),VLOOKUP(VALUE(E4129&amp;","&amp;C4152),INTEGRANTES!$D$18:$F$235,2,0),"")</f>
        <v>#N/A</v>
      </c>
      <c r="E4152" s="211" t="e">
        <f>IF(D4152&lt;&gt;"",VLOOKUP(VALUE(E4129&amp;","&amp;C4152),INTEGRANTES!$D$18:$F$235,3,0),"")</f>
        <v>#N/A</v>
      </c>
      <c r="F4152" s="547" t="e">
        <f>IF(D4152="","",SUMIF($I4133:$I4142,D4152,$P4133:$P4142))</f>
        <v>#N/A</v>
      </c>
      <c r="G4152" s="333" t="e">
        <f>IF(D4152="","",SUMIF($I4133:$I4142,D4152,$M4133:$M4142))</f>
        <v>#N/A</v>
      </c>
      <c r="H4152" s="535" t="e">
        <f t="shared" si="1226"/>
        <v>#N/A</v>
      </c>
      <c r="I4152" s="212" t="e">
        <f>IF(D4152="","",IF(H4152="NO APORTA","NO",IF(H4152=MAX($H4150:$H4155),"SI","NO")))</f>
        <v>#N/A</v>
      </c>
      <c r="J4152" s="213" t="e">
        <f t="shared" si="1227"/>
        <v>#N/A</v>
      </c>
      <c r="K4152" s="200" t="e">
        <f t="shared" si="1228"/>
        <v>#N/A</v>
      </c>
      <c r="L4152" s="724"/>
      <c r="M4152" s="729">
        <f>NUMMOD</f>
        <v>1</v>
      </c>
      <c r="N4152" s="730"/>
      <c r="O4152" s="443">
        <f>IF(M4152="","",VLOOKUP(M4152,PRESUPUESTOS!$B$16:$H$16,5,FALSE))</f>
        <v>2</v>
      </c>
      <c r="P4152" s="713">
        <f>IF(OR(COUNTIF(M4133:M4142,"")&gt;=10,Q4149&lt;NUMMINCONT,OR(T4147="NO CUMPLE",T4147="VERIFICAR")),0,ROUND(AVERAGE(M4133:M4142),3))</f>
        <v>0</v>
      </c>
      <c r="Q4152" s="714"/>
      <c r="R4152" s="458"/>
      <c r="S4152" s="459"/>
      <c r="T4152" s="460"/>
      <c r="U4152" s="219"/>
      <c r="V4152" s="464"/>
      <c r="Y4152" s="532" t="str">
        <f>"40% * ("&amp;PRESUPUESTOS!$H$13&amp;")"</f>
        <v>40% * (50% PFMO)</v>
      </c>
      <c r="AA4152" s="540" t="e">
        <f>IF(AND(C4151&lt;=F4148,F4148&lt;&gt;""),VLOOKUP(VALUE(E4129&amp;","&amp;C4151),INTEGRANTES!$D$18:$F$235,2,0),"")</f>
        <v>#N/A</v>
      </c>
      <c r="AB4152" s="545" t="e">
        <f t="shared" si="1229"/>
        <v>#N/A</v>
      </c>
      <c r="AC4152" s="529"/>
      <c r="AD4152" s="200" t="e">
        <f t="shared" si="1230"/>
        <v>#N/A</v>
      </c>
      <c r="AE4152" s="52"/>
      <c r="AF4152" s="52"/>
      <c r="AG4152" s="52"/>
      <c r="AH4152" s="87"/>
      <c r="AI4152" s="87"/>
    </row>
    <row r="4153" spans="1:35" ht="15.75" hidden="1" customHeight="1" thickBot="1">
      <c r="A4153" s="218" t="e">
        <f>"Q"&amp;E4129</f>
        <v>#N/A</v>
      </c>
      <c r="B4153" s="702"/>
      <c r="C4153" s="114">
        <v>4</v>
      </c>
      <c r="D4153" s="194" t="e">
        <f>IF(AND(C4153&lt;=F4148,F4148&lt;&gt;""),VLOOKUP(VALUE(E4129&amp;","&amp;C4153),INTEGRANTES!$D$18:$F$235,2,0),"")</f>
        <v>#N/A</v>
      </c>
      <c r="E4153" s="211" t="e">
        <f>IF(D4153&lt;&gt;"",VLOOKUP(VALUE(E4129&amp;","&amp;C4153),INTEGRANTES!$D$18:$F$235,3,0),"")</f>
        <v>#N/A</v>
      </c>
      <c r="F4153" s="547" t="e">
        <f>IF(D4153="","",SUMIF($I4133:$I4142,D4153,$P4133:$P4142))</f>
        <v>#N/A</v>
      </c>
      <c r="G4153" s="333" t="e">
        <f>IF(D4153="","",SUMIF($I4133:$I4142,D4153,$M4133:$M4142))</f>
        <v>#N/A</v>
      </c>
      <c r="H4153" s="535" t="e">
        <f t="shared" si="1226"/>
        <v>#N/A</v>
      </c>
      <c r="I4153" s="212" t="e">
        <f>IF(D4153="","",IF(H4153="NO APORTA","NO",IF(H4153=MAX($H4150:$H4155),"SI","NO")))</f>
        <v>#N/A</v>
      </c>
      <c r="J4153" s="213" t="e">
        <f t="shared" si="1227"/>
        <v>#N/A</v>
      </c>
      <c r="K4153" s="200" t="e">
        <f t="shared" si="1228"/>
        <v>#N/A</v>
      </c>
      <c r="L4153" s="720" t="s">
        <v>109</v>
      </c>
      <c r="M4153" s="757" t="s">
        <v>120</v>
      </c>
      <c r="N4153" s="726"/>
      <c r="O4153" s="726"/>
      <c r="P4153" s="726"/>
      <c r="Q4153" s="727"/>
      <c r="R4153" s="458"/>
      <c r="S4153" s="459"/>
      <c r="T4153" s="460"/>
      <c r="U4153" s="219"/>
      <c r="V4153" s="464"/>
      <c r="Y4153" s="537">
        <f>0.4*PRESUPUESTOS!$H$16</f>
        <v>10.3124</v>
      </c>
      <c r="AA4153" s="540" t="e">
        <f>IF(AND(C4152&lt;=F4148,F4148&lt;&gt;""),VLOOKUP(VALUE(E4129&amp;","&amp;C4152),INTEGRANTES!$D$18:$F$235,2,0),"")</f>
        <v>#N/A</v>
      </c>
      <c r="AB4153" s="545" t="e">
        <f t="shared" si="1229"/>
        <v>#N/A</v>
      </c>
      <c r="AC4153" s="529"/>
      <c r="AD4153" s="200" t="e">
        <f t="shared" si="1230"/>
        <v>#N/A</v>
      </c>
      <c r="AE4153" s="52"/>
      <c r="AF4153" s="52"/>
      <c r="AG4153" s="52"/>
      <c r="AH4153" s="87"/>
      <c r="AI4153" s="87"/>
    </row>
    <row r="4154" spans="1:35" ht="27" hidden="1" customHeight="1" thickBot="1">
      <c r="A4154" s="218" t="e">
        <f>"R"&amp;E4129</f>
        <v>#N/A</v>
      </c>
      <c r="B4154" s="702"/>
      <c r="C4154" s="114">
        <v>5</v>
      </c>
      <c r="D4154" s="194" t="e">
        <f>IF(AND(C4154&lt;=F4148,F4148&lt;&gt;""),VLOOKUP(VALUE(E4129&amp;","&amp;C4154),INTEGRANTES!$D$18:$F$235,2,0),"")</f>
        <v>#N/A</v>
      </c>
      <c r="E4154" s="211" t="e">
        <f>IF(D4154&lt;&gt;"",VLOOKUP(VALUE(E4129&amp;","&amp;C4154),INTEGRANTES!$D$18:$F$235,3,0),"")</f>
        <v>#N/A</v>
      </c>
      <c r="F4154" s="547" t="e">
        <f>IF(D4154="","",SUMIF($I4133:$I4142,D4154,$P4133:$P4142))</f>
        <v>#N/A</v>
      </c>
      <c r="G4154" s="333" t="e">
        <f>IF(D4154="","",SUMIF($I4133:$I4142,D4154,$M4133:$M4142))</f>
        <v>#N/A</v>
      </c>
      <c r="H4154" s="535" t="e">
        <f t="shared" si="1226"/>
        <v>#N/A</v>
      </c>
      <c r="I4154" s="212" t="e">
        <f>IF(D4154="","",IF(H4154="NO APORTA","NO",IF(H4154=MAX($H4150:$H4155),"SI","NO")))</f>
        <v>#N/A</v>
      </c>
      <c r="J4154" s="213" t="e">
        <f t="shared" si="1227"/>
        <v>#N/A</v>
      </c>
      <c r="K4154" s="200" t="e">
        <f t="shared" si="1228"/>
        <v>#N/A</v>
      </c>
      <c r="L4154" s="721"/>
      <c r="M4154" s="715" t="s">
        <v>116</v>
      </c>
      <c r="N4154" s="716"/>
      <c r="O4154" s="556" t="str">
        <f>PORCREQUERIDO*100&amp;"% PMFO DEL MÓDULO"</f>
        <v>50% PMFO DEL MÓDULO</v>
      </c>
      <c r="P4154" s="715" t="s">
        <v>118</v>
      </c>
      <c r="Q4154" s="728"/>
      <c r="R4154" s="458"/>
      <c r="S4154" s="459"/>
      <c r="T4154" s="460"/>
      <c r="U4154" s="219"/>
      <c r="V4154" s="464"/>
      <c r="Y4154" s="414"/>
      <c r="AA4154" s="540" t="e">
        <f>IF(AND(C4153&lt;=F4148,F4148&lt;&gt;""),VLOOKUP(VALUE(E4129&amp;","&amp;C4153),INTEGRANTES!$D$18:$F$235,2,0),"")</f>
        <v>#N/A</v>
      </c>
      <c r="AB4154" s="545" t="e">
        <f t="shared" si="1229"/>
        <v>#N/A</v>
      </c>
      <c r="AC4154" s="529"/>
      <c r="AD4154" s="200" t="e">
        <f t="shared" si="1230"/>
        <v>#N/A</v>
      </c>
      <c r="AE4154" s="52"/>
      <c r="AF4154" s="52"/>
      <c r="AG4154" s="52"/>
      <c r="AH4154" s="87"/>
      <c r="AI4154" s="87"/>
    </row>
    <row r="4155" spans="1:35" ht="16.5" hidden="1" thickBot="1">
      <c r="A4155" s="218" t="e">
        <f>"S"&amp;E4129</f>
        <v>#N/A</v>
      </c>
      <c r="B4155" s="702"/>
      <c r="C4155" s="215">
        <v>6</v>
      </c>
      <c r="D4155" s="216" t="e">
        <f>IF(AND(C4155&lt;=F4148,F4148&lt;&gt;""),VLOOKUP(VALUE(E4129&amp;","&amp;C4155),INTEGRANTES!$D$18:$F$235,2,0),"")</f>
        <v>#N/A</v>
      </c>
      <c r="E4155" s="217" t="e">
        <f>IF(D4155&lt;&gt;"",VLOOKUP(VALUE(E4129&amp;","&amp;C4155),INTEGRANTES!$D$18:$F$235,3,0),"")</f>
        <v>#N/A</v>
      </c>
      <c r="F4155" s="548" t="e">
        <f>IF(D4155="","",SUMIF($I4133:$I4142,D4155,$P4133:$P4142))</f>
        <v>#N/A</v>
      </c>
      <c r="G4155" s="334" t="e">
        <f>IF(D4155="","",SUMIF($I4133:$I4142,D4155,$M4133:$M4142))</f>
        <v>#N/A</v>
      </c>
      <c r="H4155" s="536" t="e">
        <f t="shared" si="1226"/>
        <v>#N/A</v>
      </c>
      <c r="I4155" s="214" t="e">
        <f>IF(D4155="","",IF(H4155="NO APORTA","NO",IF(H4155=MAX($H4150:$H4155),"SI","NO")))</f>
        <v>#N/A</v>
      </c>
      <c r="J4155" s="213" t="e">
        <f t="shared" si="1227"/>
        <v>#N/A</v>
      </c>
      <c r="K4155" s="200" t="e">
        <f t="shared" si="1228"/>
        <v>#N/A</v>
      </c>
      <c r="L4155" s="721"/>
      <c r="M4155" s="729">
        <f>NUMMOD</f>
        <v>1</v>
      </c>
      <c r="N4155" s="730"/>
      <c r="O4155" s="443">
        <f>IF(M4155="","",ROUND(VLOOKUP(M4155,PRESUPUESTOS!$B$16:$H$16,7,FALSE),3))</f>
        <v>25.780999999999999</v>
      </c>
      <c r="P4155" s="713">
        <f>IF(OR(COUNTIF(P4133:P4142,"")&gt;=10,Q4149&lt;NUMMINCONT,OR(T4147="NO CUMPLE",T4147="VERIFICAR")),0,ROUND((SUM(P4133:P4142)/SUM(M4133:M4142)),3))</f>
        <v>0</v>
      </c>
      <c r="Q4155" s="714"/>
      <c r="R4155" s="458"/>
      <c r="S4155" s="459"/>
      <c r="T4155" s="460"/>
      <c r="U4155" s="219"/>
      <c r="V4155" s="464"/>
      <c r="Y4155" s="532" t="s">
        <v>343</v>
      </c>
      <c r="AA4155" s="540" t="e">
        <f>IF(AND(C4154&lt;=F4148,F4148&lt;&gt;""),VLOOKUP(VALUE(E4129&amp;","&amp;C4154),INTEGRANTES!$D$18:$F$235,2,0),"")</f>
        <v>#N/A</v>
      </c>
      <c r="AB4155" s="545" t="e">
        <f t="shared" si="1229"/>
        <v>#N/A</v>
      </c>
      <c r="AC4155" s="529"/>
      <c r="AD4155" s="200" t="e">
        <f t="shared" si="1230"/>
        <v>#N/A</v>
      </c>
      <c r="AE4155" s="52"/>
      <c r="AF4155" s="52"/>
      <c r="AG4155" s="52"/>
      <c r="AH4155" s="87"/>
      <c r="AI4155" s="87"/>
    </row>
    <row r="4156" spans="1:35" ht="16.5" hidden="1" customHeight="1" thickBot="1">
      <c r="A4156" s="218" t="e">
        <f>"T"&amp;E4129</f>
        <v>#N/A</v>
      </c>
      <c r="B4156" s="703"/>
      <c r="C4156" s="719"/>
      <c r="D4156" s="719"/>
      <c r="E4156" s="719"/>
      <c r="F4156" s="719"/>
      <c r="G4156" s="719"/>
      <c r="H4156" s="719" t="s">
        <v>110</v>
      </c>
      <c r="I4156" s="719"/>
      <c r="J4156" s="719"/>
      <c r="K4156" s="201" t="str">
        <f>IF(COUNTIF(K4150:K4155,"")=6,"",IF(COUNTIF(K4150:K4155,"CUMPLE")&gt;0,"CUMPLE","NO CUMPLE"))</f>
        <v>NO CUMPLE</v>
      </c>
      <c r="L4156" s="754"/>
      <c r="M4156" s="755"/>
      <c r="N4156" s="755"/>
      <c r="O4156" s="755"/>
      <c r="P4156" s="755"/>
      <c r="Q4156" s="756"/>
      <c r="R4156" s="461"/>
      <c r="S4156" s="462"/>
      <c r="T4156" s="463"/>
      <c r="U4156" s="219"/>
      <c r="V4156" s="464"/>
      <c r="Y4156" s="549" t="e">
        <f>IF(Y4150="NO APLICA","NO APLICA",IF(COUNTIF(AD4151:AD4156,"CUMPLE")&gt;0,"CUMPLE","NO CUMPLE"))</f>
        <v>#N/A</v>
      </c>
      <c r="AA4156" s="541" t="e">
        <f>IF(AND(C4155&lt;=F4148,F4148&lt;&gt;""),VLOOKUP(VALUE(E4129&amp;","&amp;C4155),INTEGRANTES!$D$18:$F$235,2,0),"")</f>
        <v>#N/A</v>
      </c>
      <c r="AB4156" s="546" t="e">
        <f t="shared" si="1229"/>
        <v>#N/A</v>
      </c>
      <c r="AC4156" s="543"/>
      <c r="AD4156" s="201" t="e">
        <f t="shared" si="1230"/>
        <v>#N/A</v>
      </c>
      <c r="AE4156" s="52"/>
      <c r="AF4156" s="52"/>
      <c r="AG4156" s="52"/>
      <c r="AH4156" s="87"/>
      <c r="AI4156" s="87"/>
    </row>
    <row r="4157" spans="1:35" hidden="1">
      <c r="AH4157" s="87"/>
      <c r="AI4157" s="87"/>
    </row>
    <row r="4158" spans="1:35" hidden="1">
      <c r="AH4158" s="87"/>
      <c r="AI4158" s="87"/>
    </row>
    <row r="4159" spans="1:35" ht="24" hidden="1" thickBot="1">
      <c r="A4159" s="61">
        <v>139</v>
      </c>
      <c r="B4159" s="704" t="s">
        <v>51</v>
      </c>
      <c r="C4159" s="704"/>
      <c r="D4159" s="704"/>
      <c r="E4159" s="62" t="e">
        <f>VLOOKUP(A4159,PROPONENTES!$B$19:$E$218,2,FALSE)</f>
        <v>#N/A</v>
      </c>
      <c r="F4159" s="63" t="e">
        <f>VLOOKUP(A4159,PROPONENTES!$B$19:$E$218,3,FALSE)</f>
        <v>#N/A</v>
      </c>
      <c r="G4159" s="64"/>
      <c r="H4159" s="64"/>
      <c r="I4159" s="63"/>
      <c r="J4159" s="63"/>
      <c r="K4159" s="65"/>
      <c r="L4159" s="65"/>
      <c r="M4159" s="64"/>
      <c r="N4159" s="64"/>
      <c r="O4159" s="66"/>
      <c r="P4159" s="66"/>
      <c r="Q4159" s="66"/>
      <c r="R4159" s="66"/>
      <c r="S4159" s="67"/>
      <c r="T4159" s="68"/>
      <c r="U4159" s="68"/>
      <c r="AC4159" s="68"/>
      <c r="AD4159" s="68"/>
      <c r="AE4159" s="68"/>
      <c r="AF4159" s="68"/>
      <c r="AG4159" s="68"/>
      <c r="AH4159" s="87"/>
      <c r="AI4159" s="87"/>
    </row>
    <row r="4160" spans="1:35" ht="15.75" hidden="1" customHeight="1">
      <c r="A4160" s="44"/>
      <c r="B4160" s="709" t="s">
        <v>59</v>
      </c>
      <c r="C4160" s="552" t="s">
        <v>60</v>
      </c>
      <c r="D4160" s="70" t="s">
        <v>17</v>
      </c>
      <c r="E4160" s="70"/>
      <c r="F4160" s="70" t="s">
        <v>61</v>
      </c>
      <c r="G4160" s="71"/>
      <c r="H4160" s="699" t="s">
        <v>62</v>
      </c>
      <c r="I4160" s="699" t="s">
        <v>18</v>
      </c>
      <c r="J4160" s="699" t="s">
        <v>63</v>
      </c>
      <c r="K4160" s="699" t="s">
        <v>64</v>
      </c>
      <c r="L4160" s="699" t="s">
        <v>65</v>
      </c>
      <c r="M4160" s="743" t="s">
        <v>66</v>
      </c>
      <c r="N4160" s="699" t="s">
        <v>282</v>
      </c>
      <c r="O4160" s="745" t="s">
        <v>67</v>
      </c>
      <c r="P4160" s="746"/>
      <c r="Q4160" s="102" t="s">
        <v>75</v>
      </c>
      <c r="R4160" s="731" t="s">
        <v>22</v>
      </c>
      <c r="S4160" s="732"/>
      <c r="T4160" s="733"/>
      <c r="U4160" s="712" t="s">
        <v>298</v>
      </c>
      <c r="W4160" s="690" t="s">
        <v>268</v>
      </c>
      <c r="X4160" s="691"/>
      <c r="Y4160" s="692"/>
      <c r="Z4160" s="428"/>
      <c r="AA4160" s="697" t="s">
        <v>315</v>
      </c>
      <c r="AB4160" s="695" t="s">
        <v>322</v>
      </c>
      <c r="AC4160" s="49"/>
      <c r="AD4160" s="690" t="s">
        <v>297</v>
      </c>
      <c r="AE4160" s="691"/>
      <c r="AF4160" s="692"/>
      <c r="AG4160" s="49"/>
      <c r="AH4160" s="87"/>
      <c r="AI4160" s="87"/>
    </row>
    <row r="4161" spans="1:35" ht="72" hidden="1">
      <c r="A4161" s="44"/>
      <c r="B4161" s="710"/>
      <c r="C4161" s="553" t="s">
        <v>68</v>
      </c>
      <c r="D4161" s="73" t="s">
        <v>3</v>
      </c>
      <c r="E4161" s="73" t="s">
        <v>19</v>
      </c>
      <c r="F4161" s="73" t="s">
        <v>69</v>
      </c>
      <c r="G4161" s="74" t="s">
        <v>70</v>
      </c>
      <c r="H4161" s="700"/>
      <c r="I4161" s="700"/>
      <c r="J4161" s="700"/>
      <c r="K4161" s="700"/>
      <c r="L4161" s="700"/>
      <c r="M4161" s="744"/>
      <c r="N4161" s="700"/>
      <c r="O4161" s="553" t="s">
        <v>279</v>
      </c>
      <c r="P4161" s="73" t="s">
        <v>88</v>
      </c>
      <c r="Q4161" s="555" t="s">
        <v>76</v>
      </c>
      <c r="R4161" s="734"/>
      <c r="S4161" s="735"/>
      <c r="T4161" s="736"/>
      <c r="U4161" s="712"/>
      <c r="W4161" s="429" t="s">
        <v>269</v>
      </c>
      <c r="X4161" s="457" t="s">
        <v>278</v>
      </c>
      <c r="Y4161" s="430" t="s">
        <v>324</v>
      </c>
      <c r="Z4161" s="428"/>
      <c r="AA4161" s="698"/>
      <c r="AB4161" s="696"/>
      <c r="AC4161" s="49"/>
      <c r="AD4161" s="429" t="s">
        <v>292</v>
      </c>
      <c r="AE4161" s="431" t="s">
        <v>300</v>
      </c>
      <c r="AF4161" s="468" t="s">
        <v>301</v>
      </c>
      <c r="AG4161" s="49"/>
      <c r="AH4161" s="87"/>
      <c r="AI4161" s="87"/>
    </row>
    <row r="4162" spans="1:35" hidden="1">
      <c r="A4162" s="44"/>
      <c r="B4162" s="76"/>
      <c r="C4162" s="77"/>
      <c r="D4162" s="77"/>
      <c r="E4162" s="77"/>
      <c r="F4162" s="77"/>
      <c r="G4162" s="77"/>
      <c r="H4162" s="77"/>
      <c r="I4162" s="77"/>
      <c r="J4162" s="77"/>
      <c r="K4162" s="77"/>
      <c r="L4162" s="77"/>
      <c r="M4162" s="77"/>
      <c r="N4162" s="77"/>
      <c r="O4162" s="77"/>
      <c r="P4162" s="77"/>
      <c r="Q4162" s="77"/>
      <c r="R4162" s="77"/>
      <c r="S4162" s="78"/>
      <c r="T4162" s="79"/>
      <c r="U4162" s="109"/>
      <c r="V4162" s="49"/>
      <c r="W4162" s="432"/>
      <c r="X4162" s="454"/>
      <c r="Y4162" s="433"/>
      <c r="Z4162" s="6"/>
      <c r="AA4162" s="500"/>
      <c r="AB4162" s="562"/>
      <c r="AC4162" s="49"/>
      <c r="AD4162" s="210"/>
      <c r="AE4162" s="434"/>
      <c r="AF4162" s="435"/>
      <c r="AG4162" s="49"/>
      <c r="AH4162" s="87"/>
      <c r="AI4162" s="87"/>
    </row>
    <row r="4163" spans="1:35" hidden="1">
      <c r="A4163" s="80" t="e">
        <f>"A"&amp;E4159</f>
        <v>#N/A</v>
      </c>
      <c r="B4163" s="81">
        <v>1</v>
      </c>
      <c r="C4163" s="82"/>
      <c r="D4163" s="82"/>
      <c r="E4163" s="82"/>
      <c r="F4163" s="82"/>
      <c r="G4163" s="83"/>
      <c r="H4163" s="83"/>
      <c r="I4163" s="84"/>
      <c r="J4163" s="85"/>
      <c r="K4163" s="382"/>
      <c r="L4163" s="85"/>
      <c r="M4163" s="332" t="str">
        <f t="shared" ref="M4163:M4172" si="1231">IF(OR(J4163="",L4163="",H4163="NO"),"",IF(OR(J4163&gt;$P$17,J4163&lt;$O$17,L4163&gt;$P$17,AND(J4163&lt;$O$17,L4163&lt;$O$17)),"FUERA DE RANGO",IF(OR(K4163="---",K4163=""),IF(J4163&gt;=$O$17,ROUND((L4163-J4163+1)/360*12,3),ROUND((L4163-$O$17+1)/360*12,3)),IF(J4163&gt;=$O$17,ROUND((L4163-J4163+1)/360*12-ROUND(K4163,3),3),ROUND((L4163-$O$17+1)/360*12-ROUND(K4163,3),3)))))</f>
        <v/>
      </c>
      <c r="N4163" s="86"/>
      <c r="O4163" s="453" t="str">
        <f>IF(OR(G4163="",N4163=""),"",N4163*G4163)</f>
        <v/>
      </c>
      <c r="P4163" s="538" t="str">
        <f>IF(OR(H4163="",M4163="FUERA DE RANGO"),"",IF(OR(L4163&lt;$O$17,L4163&gt;$P$17,L4163="",H4163="NO"),"",IF(OR(N4163="",O4163=""),"",ROUND(O4163,3))))</f>
        <v/>
      </c>
      <c r="Q4163" s="539" t="str">
        <f t="shared" ref="Q4163:Q4172" si="1232">IF(AND(H4163="SI",P4163&lt;&gt;""),ROUND(P4163/M4163,3),"")</f>
        <v/>
      </c>
      <c r="R4163" s="737"/>
      <c r="S4163" s="738"/>
      <c r="T4163" s="739"/>
      <c r="U4163" s="470"/>
      <c r="V4163" s="165"/>
      <c r="W4163" s="446"/>
      <c r="X4163" s="456"/>
      <c r="Y4163" s="436"/>
      <c r="Z4163" s="437"/>
      <c r="AA4163" s="560"/>
      <c r="AB4163" s="561"/>
      <c r="AC4163" s="87"/>
      <c r="AD4163" s="466"/>
      <c r="AE4163" s="456"/>
      <c r="AF4163" s="467"/>
      <c r="AG4163" s="87"/>
      <c r="AH4163" s="87"/>
      <c r="AI4163" s="87"/>
    </row>
    <row r="4164" spans="1:35" hidden="1">
      <c r="A4164" s="80" t="e">
        <f>"B"&amp;E4159</f>
        <v>#N/A</v>
      </c>
      <c r="B4164" s="81">
        <v>2</v>
      </c>
      <c r="C4164" s="106"/>
      <c r="D4164" s="106"/>
      <c r="E4164" s="106"/>
      <c r="F4164" s="106"/>
      <c r="G4164" s="83"/>
      <c r="H4164" s="83"/>
      <c r="I4164" s="84"/>
      <c r="J4164" s="85"/>
      <c r="K4164" s="382"/>
      <c r="L4164" s="85"/>
      <c r="M4164" s="332" t="str">
        <f t="shared" si="1231"/>
        <v/>
      </c>
      <c r="N4164" s="86"/>
      <c r="O4164" s="453" t="str">
        <f t="shared" ref="O4164:O4172" si="1233">IF(OR(G4164="",N4164=""),"",N4164*G4164)</f>
        <v/>
      </c>
      <c r="P4164" s="538" t="str">
        <f t="shared" ref="P4164:P4172" si="1234">IF(OR(H4164="",M4164="FUERA DE RANGO"),"",IF(OR(L4164&lt;$O$17,L4164&gt;$P$17,L4164="",H4164="NO"),"",IF(OR(N4164="",O4164=""),"",ROUND(O4164,3))))</f>
        <v/>
      </c>
      <c r="Q4164" s="539" t="str">
        <f t="shared" si="1232"/>
        <v/>
      </c>
      <c r="R4164" s="740"/>
      <c r="S4164" s="741"/>
      <c r="T4164" s="742"/>
      <c r="U4164" s="471"/>
      <c r="V4164" s="165"/>
      <c r="W4164" s="446"/>
      <c r="X4164" s="456"/>
      <c r="Y4164" s="436"/>
      <c r="Z4164" s="437"/>
      <c r="AA4164" s="560"/>
      <c r="AB4164" s="561"/>
      <c r="AC4164" s="87"/>
      <c r="AD4164" s="466"/>
      <c r="AE4164" s="456"/>
      <c r="AF4164" s="467"/>
      <c r="AG4164" s="87"/>
      <c r="AH4164" s="87"/>
      <c r="AI4164" s="87"/>
    </row>
    <row r="4165" spans="1:35" hidden="1">
      <c r="A4165" s="80" t="e">
        <f>"C"&amp;E4159</f>
        <v>#N/A</v>
      </c>
      <c r="B4165" s="88">
        <v>3</v>
      </c>
      <c r="C4165" s="82"/>
      <c r="D4165" s="82"/>
      <c r="E4165" s="82"/>
      <c r="F4165" s="82"/>
      <c r="G4165" s="83"/>
      <c r="H4165" s="83"/>
      <c r="I4165" s="84"/>
      <c r="J4165" s="85"/>
      <c r="K4165" s="382"/>
      <c r="L4165" s="85"/>
      <c r="M4165" s="332" t="str">
        <f t="shared" si="1231"/>
        <v/>
      </c>
      <c r="N4165" s="86"/>
      <c r="O4165" s="453" t="str">
        <f t="shared" si="1233"/>
        <v/>
      </c>
      <c r="P4165" s="538" t="str">
        <f t="shared" si="1234"/>
        <v/>
      </c>
      <c r="Q4165" s="539" t="str">
        <f t="shared" si="1232"/>
        <v/>
      </c>
      <c r="R4165" s="706"/>
      <c r="S4165" s="707"/>
      <c r="T4165" s="708"/>
      <c r="U4165" s="472"/>
      <c r="V4165" s="166"/>
      <c r="W4165" s="446"/>
      <c r="X4165" s="456"/>
      <c r="Y4165" s="436"/>
      <c r="Z4165" s="437"/>
      <c r="AA4165" s="560"/>
      <c r="AB4165" s="561"/>
      <c r="AC4165" s="87"/>
      <c r="AD4165" s="466"/>
      <c r="AE4165" s="456"/>
      <c r="AF4165" s="467"/>
      <c r="AG4165" s="87"/>
      <c r="AH4165" s="87"/>
      <c r="AI4165" s="87"/>
    </row>
    <row r="4166" spans="1:35" hidden="1">
      <c r="A4166" s="80" t="e">
        <f>"D"&amp;E4159</f>
        <v>#N/A</v>
      </c>
      <c r="B4166" s="105">
        <v>4</v>
      </c>
      <c r="C4166" s="107"/>
      <c r="D4166" s="107"/>
      <c r="E4166" s="107"/>
      <c r="F4166" s="107"/>
      <c r="G4166" s="83"/>
      <c r="H4166" s="83"/>
      <c r="I4166" s="84"/>
      <c r="J4166" s="85"/>
      <c r="K4166" s="382"/>
      <c r="L4166" s="85"/>
      <c r="M4166" s="332" t="str">
        <f t="shared" si="1231"/>
        <v/>
      </c>
      <c r="N4166" s="86"/>
      <c r="O4166" s="453" t="str">
        <f t="shared" si="1233"/>
        <v/>
      </c>
      <c r="P4166" s="538" t="str">
        <f t="shared" si="1234"/>
        <v/>
      </c>
      <c r="Q4166" s="539" t="str">
        <f t="shared" si="1232"/>
        <v/>
      </c>
      <c r="R4166" s="706"/>
      <c r="S4166" s="707"/>
      <c r="T4166" s="708"/>
      <c r="U4166" s="472"/>
      <c r="V4166" s="166"/>
      <c r="W4166" s="446"/>
      <c r="X4166" s="456"/>
      <c r="Y4166" s="436"/>
      <c r="Z4166" s="437"/>
      <c r="AA4166" s="560"/>
      <c r="AB4166" s="561"/>
      <c r="AC4166" s="87"/>
      <c r="AD4166" s="466"/>
      <c r="AE4166" s="456"/>
      <c r="AF4166" s="467"/>
      <c r="AG4166" s="87"/>
      <c r="AH4166" s="87"/>
      <c r="AI4166" s="87"/>
    </row>
    <row r="4167" spans="1:35" hidden="1">
      <c r="A4167" s="80" t="e">
        <f>"E"&amp;E4159</f>
        <v>#N/A</v>
      </c>
      <c r="B4167" s="105">
        <v>5</v>
      </c>
      <c r="C4167" s="107"/>
      <c r="D4167" s="107"/>
      <c r="E4167" s="107"/>
      <c r="F4167" s="107"/>
      <c r="G4167" s="83"/>
      <c r="H4167" s="83"/>
      <c r="I4167" s="84"/>
      <c r="J4167" s="85"/>
      <c r="K4167" s="382"/>
      <c r="L4167" s="85"/>
      <c r="M4167" s="332" t="str">
        <f t="shared" si="1231"/>
        <v/>
      </c>
      <c r="N4167" s="86"/>
      <c r="O4167" s="453" t="str">
        <f t="shared" si="1233"/>
        <v/>
      </c>
      <c r="P4167" s="538" t="str">
        <f t="shared" si="1234"/>
        <v/>
      </c>
      <c r="Q4167" s="539" t="str">
        <f t="shared" si="1232"/>
        <v/>
      </c>
      <c r="R4167" s="706"/>
      <c r="S4167" s="707"/>
      <c r="T4167" s="708"/>
      <c r="U4167" s="472"/>
      <c r="V4167" s="167"/>
      <c r="W4167" s="446"/>
      <c r="X4167" s="456"/>
      <c r="Y4167" s="436"/>
      <c r="Z4167" s="437"/>
      <c r="AA4167" s="560"/>
      <c r="AB4167" s="561"/>
      <c r="AC4167" s="87"/>
      <c r="AD4167" s="466"/>
      <c r="AE4167" s="456"/>
      <c r="AF4167" s="467"/>
      <c r="AG4167" s="87"/>
      <c r="AH4167" s="87"/>
      <c r="AI4167" s="87"/>
    </row>
    <row r="4168" spans="1:35" hidden="1">
      <c r="A4168" s="80" t="e">
        <f>"F"&amp;E4159</f>
        <v>#N/A</v>
      </c>
      <c r="B4168" s="105">
        <v>6</v>
      </c>
      <c r="C4168" s="107"/>
      <c r="D4168" s="107"/>
      <c r="E4168" s="107"/>
      <c r="F4168" s="107"/>
      <c r="G4168" s="83"/>
      <c r="H4168" s="83"/>
      <c r="I4168" s="84"/>
      <c r="J4168" s="85"/>
      <c r="K4168" s="382"/>
      <c r="L4168" s="85"/>
      <c r="M4168" s="332" t="str">
        <f t="shared" si="1231"/>
        <v/>
      </c>
      <c r="N4168" s="86"/>
      <c r="O4168" s="453" t="str">
        <f t="shared" si="1233"/>
        <v/>
      </c>
      <c r="P4168" s="538" t="str">
        <f t="shared" si="1234"/>
        <v/>
      </c>
      <c r="Q4168" s="539" t="str">
        <f t="shared" si="1232"/>
        <v/>
      </c>
      <c r="R4168" s="706"/>
      <c r="S4168" s="707"/>
      <c r="T4168" s="708"/>
      <c r="U4168" s="472"/>
      <c r="V4168" s="167"/>
      <c r="W4168" s="446"/>
      <c r="X4168" s="456"/>
      <c r="Y4168" s="436"/>
      <c r="Z4168" s="437"/>
      <c r="AA4168" s="560"/>
      <c r="AB4168" s="561"/>
      <c r="AC4168" s="87"/>
      <c r="AD4168" s="466"/>
      <c r="AE4168" s="456"/>
      <c r="AF4168" s="467"/>
      <c r="AG4168" s="87"/>
      <c r="AH4168" s="87"/>
      <c r="AI4168" s="87"/>
    </row>
    <row r="4169" spans="1:35" hidden="1">
      <c r="A4169" s="80" t="e">
        <f>"G"&amp;E4159</f>
        <v>#N/A</v>
      </c>
      <c r="B4169" s="105">
        <v>7</v>
      </c>
      <c r="C4169" s="107"/>
      <c r="D4169" s="107"/>
      <c r="E4169" s="107"/>
      <c r="F4169" s="107"/>
      <c r="G4169" s="83"/>
      <c r="H4169" s="83"/>
      <c r="I4169" s="84"/>
      <c r="J4169" s="85"/>
      <c r="K4169" s="382"/>
      <c r="L4169" s="85"/>
      <c r="M4169" s="332" t="str">
        <f t="shared" si="1231"/>
        <v/>
      </c>
      <c r="N4169" s="86"/>
      <c r="O4169" s="86" t="str">
        <f t="shared" si="1233"/>
        <v/>
      </c>
      <c r="P4169" s="538" t="str">
        <f t="shared" si="1234"/>
        <v/>
      </c>
      <c r="Q4169" s="539" t="str">
        <f t="shared" si="1232"/>
        <v/>
      </c>
      <c r="R4169" s="706"/>
      <c r="S4169" s="707"/>
      <c r="T4169" s="708"/>
      <c r="U4169" s="472"/>
      <c r="V4169" s="167"/>
      <c r="W4169" s="446"/>
      <c r="X4169" s="456"/>
      <c r="Y4169" s="436"/>
      <c r="Z4169" s="437"/>
      <c r="AA4169" s="560"/>
      <c r="AB4169" s="561"/>
      <c r="AC4169" s="87"/>
      <c r="AD4169" s="466"/>
      <c r="AE4169" s="456"/>
      <c r="AF4169" s="467"/>
      <c r="AG4169" s="87"/>
      <c r="AH4169" s="87"/>
      <c r="AI4169" s="87"/>
    </row>
    <row r="4170" spans="1:35" hidden="1">
      <c r="A4170" s="80" t="e">
        <f>"H"&amp;E4159</f>
        <v>#N/A</v>
      </c>
      <c r="B4170" s="105">
        <v>8</v>
      </c>
      <c r="C4170" s="107"/>
      <c r="D4170" s="107"/>
      <c r="E4170" s="107"/>
      <c r="F4170" s="107"/>
      <c r="G4170" s="83"/>
      <c r="H4170" s="83"/>
      <c r="I4170" s="84"/>
      <c r="J4170" s="85"/>
      <c r="K4170" s="382"/>
      <c r="L4170" s="85"/>
      <c r="M4170" s="332" t="str">
        <f t="shared" si="1231"/>
        <v/>
      </c>
      <c r="N4170" s="453"/>
      <c r="O4170" s="86" t="str">
        <f t="shared" si="1233"/>
        <v/>
      </c>
      <c r="P4170" s="538" t="str">
        <f t="shared" si="1234"/>
        <v/>
      </c>
      <c r="Q4170" s="539" t="str">
        <f t="shared" si="1232"/>
        <v/>
      </c>
      <c r="R4170" s="706"/>
      <c r="S4170" s="707"/>
      <c r="T4170" s="708"/>
      <c r="U4170" s="472"/>
      <c r="V4170" s="167"/>
      <c r="W4170" s="446"/>
      <c r="X4170" s="456"/>
      <c r="Y4170" s="436"/>
      <c r="Z4170" s="437"/>
      <c r="AA4170" s="560"/>
      <c r="AB4170" s="561"/>
      <c r="AC4170" s="87"/>
      <c r="AD4170" s="466"/>
      <c r="AE4170" s="456"/>
      <c r="AF4170" s="467"/>
      <c r="AG4170" s="87"/>
      <c r="AH4170" s="87"/>
      <c r="AI4170" s="87"/>
    </row>
    <row r="4171" spans="1:35" hidden="1">
      <c r="A4171" s="80" t="e">
        <f>"I"&amp;E4159</f>
        <v>#N/A</v>
      </c>
      <c r="B4171" s="105">
        <v>9</v>
      </c>
      <c r="C4171" s="107"/>
      <c r="D4171" s="107"/>
      <c r="E4171" s="107"/>
      <c r="F4171" s="107"/>
      <c r="G4171" s="83"/>
      <c r="H4171" s="83"/>
      <c r="I4171" s="84"/>
      <c r="J4171" s="85"/>
      <c r="K4171" s="382"/>
      <c r="L4171" s="85"/>
      <c r="M4171" s="332" t="str">
        <f t="shared" si="1231"/>
        <v/>
      </c>
      <c r="N4171" s="453"/>
      <c r="O4171" s="86" t="str">
        <f t="shared" si="1233"/>
        <v/>
      </c>
      <c r="P4171" s="538" t="str">
        <f t="shared" si="1234"/>
        <v/>
      </c>
      <c r="Q4171" s="539" t="str">
        <f t="shared" si="1232"/>
        <v/>
      </c>
      <c r="R4171" s="706"/>
      <c r="S4171" s="707"/>
      <c r="T4171" s="708"/>
      <c r="U4171" s="472"/>
      <c r="V4171" s="167"/>
      <c r="W4171" s="446"/>
      <c r="X4171" s="456"/>
      <c r="Y4171" s="436"/>
      <c r="Z4171" s="437"/>
      <c r="AA4171" s="560"/>
      <c r="AB4171" s="561"/>
      <c r="AC4171" s="87"/>
      <c r="AD4171" s="466"/>
      <c r="AE4171" s="456"/>
      <c r="AF4171" s="467"/>
      <c r="AG4171" s="87"/>
      <c r="AH4171" s="87"/>
      <c r="AI4171" s="87"/>
    </row>
    <row r="4172" spans="1:35" hidden="1">
      <c r="A4172" s="80" t="e">
        <f>"J"&amp;E4159</f>
        <v>#N/A</v>
      </c>
      <c r="B4172" s="105">
        <v>10</v>
      </c>
      <c r="C4172" s="107"/>
      <c r="D4172" s="107"/>
      <c r="E4172" s="107"/>
      <c r="F4172" s="107"/>
      <c r="G4172" s="83"/>
      <c r="H4172" s="83"/>
      <c r="I4172" s="84"/>
      <c r="J4172" s="85"/>
      <c r="K4172" s="382"/>
      <c r="L4172" s="85"/>
      <c r="M4172" s="332" t="str">
        <f t="shared" si="1231"/>
        <v/>
      </c>
      <c r="N4172" s="453"/>
      <c r="O4172" s="86" t="str">
        <f t="shared" si="1233"/>
        <v/>
      </c>
      <c r="P4172" s="538" t="str">
        <f t="shared" si="1234"/>
        <v/>
      </c>
      <c r="Q4172" s="539" t="str">
        <f t="shared" si="1232"/>
        <v/>
      </c>
      <c r="R4172" s="706"/>
      <c r="S4172" s="707"/>
      <c r="T4172" s="708"/>
      <c r="U4172" s="472"/>
      <c r="V4172" s="167"/>
      <c r="W4172" s="446"/>
      <c r="X4172" s="456"/>
      <c r="Y4172" s="436"/>
      <c r="Z4172" s="437"/>
      <c r="AA4172" s="560"/>
      <c r="AB4172" s="561"/>
      <c r="AC4172" s="87"/>
      <c r="AD4172" s="466"/>
      <c r="AE4172" s="456"/>
      <c r="AF4172" s="467"/>
      <c r="AG4172" s="87"/>
      <c r="AH4172" s="87"/>
      <c r="AI4172" s="87"/>
    </row>
    <row r="4173" spans="1:35" ht="16.5" hidden="1" thickBot="1">
      <c r="A4173" s="44"/>
      <c r="B4173" s="89"/>
      <c r="C4173" s="90"/>
      <c r="D4173" s="90"/>
      <c r="E4173" s="90"/>
      <c r="F4173" s="90"/>
      <c r="G4173" s="90"/>
      <c r="H4173" s="90"/>
      <c r="I4173" s="90"/>
      <c r="J4173" s="90"/>
      <c r="K4173" s="90"/>
      <c r="L4173" s="90"/>
      <c r="M4173" s="90"/>
      <c r="N4173" s="90"/>
      <c r="O4173" s="90"/>
      <c r="P4173" s="90"/>
      <c r="Q4173" s="90"/>
      <c r="R4173" s="90"/>
      <c r="S4173" s="91"/>
      <c r="T4173" s="92"/>
      <c r="U4173" s="473"/>
      <c r="W4173" s="438"/>
      <c r="X4173" s="455"/>
      <c r="Y4173" s="439"/>
      <c r="Z4173" s="437"/>
      <c r="AA4173" s="530"/>
      <c r="AB4173" s="563"/>
      <c r="AC4173" s="87"/>
      <c r="AD4173" s="440"/>
      <c r="AE4173" s="441"/>
      <c r="AF4173" s="442"/>
      <c r="AG4173" s="49"/>
      <c r="AH4173" s="87"/>
      <c r="AI4173" s="87"/>
    </row>
    <row r="4174" spans="1:35" ht="16.5" hidden="1" thickBot="1">
      <c r="A4174" s="93"/>
      <c r="B4174" s="94"/>
      <c r="C4174" s="96"/>
      <c r="D4174" s="96"/>
      <c r="E4174" s="96"/>
      <c r="F4174" s="96"/>
      <c r="G4174" s="96"/>
      <c r="H4174" s="96"/>
      <c r="I4174" s="96"/>
      <c r="J4174" s="96"/>
      <c r="K4174" s="96"/>
      <c r="L4174" s="96"/>
      <c r="M4174" s="136"/>
      <c r="N4174" s="96"/>
      <c r="O4174" s="96"/>
      <c r="P4174" s="97"/>
      <c r="Q4174" s="97"/>
      <c r="R4174" s="98"/>
      <c r="S4174" s="95"/>
      <c r="T4174" s="99"/>
      <c r="U4174" s="469"/>
      <c r="AC4174" s="58"/>
      <c r="AG4174" s="58"/>
      <c r="AH4174" s="87"/>
      <c r="AI4174" s="87"/>
    </row>
    <row r="4175" spans="1:35" ht="16.5" hidden="1" thickBot="1">
      <c r="B4175" s="101"/>
      <c r="C4175" s="101"/>
      <c r="D4175" s="101"/>
      <c r="E4175" s="101"/>
      <c r="F4175" s="101"/>
      <c r="G4175" s="101"/>
      <c r="H4175" s="101"/>
      <c r="I4175" s="101"/>
      <c r="J4175" s="101"/>
      <c r="K4175" s="101"/>
      <c r="L4175" s="101"/>
      <c r="M4175" s="101"/>
      <c r="N4175" s="101"/>
      <c r="O4175" s="101"/>
      <c r="P4175" s="101"/>
      <c r="Q4175" s="101"/>
      <c r="R4175" s="101"/>
      <c r="S4175" s="101"/>
      <c r="U4175" s="50"/>
      <c r="AH4175" s="87"/>
      <c r="AI4175" s="87"/>
    </row>
    <row r="4176" spans="1:35" ht="16.5" hidden="1" customHeight="1" thickBot="1">
      <c r="A4176" s="44"/>
      <c r="B4176" s="705" t="s">
        <v>74</v>
      </c>
      <c r="C4176" s="705"/>
      <c r="D4176" s="705"/>
      <c r="E4176" s="705"/>
      <c r="F4176" s="705"/>
      <c r="G4176" s="705"/>
      <c r="H4176" s="705"/>
      <c r="I4176" s="705"/>
      <c r="J4176" s="705"/>
      <c r="K4176" s="705"/>
      <c r="L4176" s="705"/>
      <c r="M4176" s="705"/>
      <c r="N4176" s="705"/>
      <c r="O4176" s="705"/>
      <c r="P4176" s="705"/>
      <c r="Q4176" s="705"/>
      <c r="R4176" s="705"/>
      <c r="S4176" s="705"/>
      <c r="T4176" s="705"/>
      <c r="U4176" s="108"/>
      <c r="Y4176" s="532" t="s">
        <v>341</v>
      </c>
      <c r="AC4176" s="49"/>
      <c r="AD4176" s="687" t="s">
        <v>302</v>
      </c>
      <c r="AE4176" s="688"/>
      <c r="AF4176" s="689"/>
      <c r="AG4176" s="49"/>
      <c r="AH4176" s="87"/>
      <c r="AI4176" s="87"/>
    </row>
    <row r="4177" spans="1:35" ht="16.5" hidden="1" customHeight="1" thickBot="1">
      <c r="A4177" s="218" t="e">
        <f>"K"&amp;E4159</f>
        <v>#N/A</v>
      </c>
      <c r="B4177" s="701" t="s">
        <v>71</v>
      </c>
      <c r="C4177" s="751" t="s">
        <v>102</v>
      </c>
      <c r="D4177" s="751"/>
      <c r="E4177" s="751"/>
      <c r="F4177" s="751"/>
      <c r="G4177" s="751"/>
      <c r="H4177" s="751"/>
      <c r="I4177" s="751"/>
      <c r="J4177" s="751"/>
      <c r="K4177" s="751"/>
      <c r="L4177" s="722" t="s">
        <v>100</v>
      </c>
      <c r="M4177" s="747" t="s">
        <v>114</v>
      </c>
      <c r="N4177" s="747"/>
      <c r="O4177" s="747"/>
      <c r="P4177" s="747"/>
      <c r="Q4177" s="748"/>
      <c r="R4177" s="758" t="s">
        <v>280</v>
      </c>
      <c r="S4177" s="748"/>
      <c r="T4177" s="762" t="str">
        <f>IF(COUNTIF(AE4177:AF4177,"VERIFICAR")&gt;0,"VERIFICAR",IF(COUNTIF(AE4177:AF4177,"NO CUMPLE")&gt;0,"NO CUMPLE","CUMPLE"))</f>
        <v>VERIFICAR</v>
      </c>
      <c r="U4177" s="108"/>
      <c r="Y4177" s="533" t="e">
        <f>IF(F4178="","",IF(F4178=1,"INDIVIDUAL","ESTRUCTURA PLURAL"))</f>
        <v>#N/A</v>
      </c>
      <c r="AC4177" s="52"/>
      <c r="AD4177" s="475" t="s">
        <v>303</v>
      </c>
      <c r="AE4177" s="476" t="str">
        <f>IF(COUNTIF(AE4163:AE4172,"")=10,"VERIFICAR",IF(COUNTIF(AE4163:AE4172,"SI")&gt;0,"CUMPLE","NO CUMPLE"))</f>
        <v>VERIFICAR</v>
      </c>
      <c r="AF4177" s="477" t="str">
        <f>IF(COUNTIF(AF4163:AF4172,"")=10,"VERIFICAR",IF(COUNTIF(AF4163:AF4172,"SI")&gt;=$AI$22,"CUMPLE","NO CUMPLE"))</f>
        <v>VERIFICAR</v>
      </c>
      <c r="AG4177" s="52"/>
      <c r="AH4177" s="87"/>
      <c r="AI4177" s="87"/>
    </row>
    <row r="4178" spans="1:35" ht="15.75" hidden="1" customHeight="1" thickBot="1">
      <c r="A4178" s="218" t="e">
        <f>"L"&amp;E4159</f>
        <v>#N/A</v>
      </c>
      <c r="B4178" s="702"/>
      <c r="C4178" s="751" t="s">
        <v>103</v>
      </c>
      <c r="D4178" s="751"/>
      <c r="E4178" s="752"/>
      <c r="F4178" s="557" t="e">
        <f>IF(VLOOKUP(E4159,PROPONENTES!$C$19:$E$218,3,0)="","",VLOOKUP(E4159,PROPONENTES!$C$19:$E$218,3,0))</f>
        <v>#N/A</v>
      </c>
      <c r="G4178" s="753" t="s">
        <v>104</v>
      </c>
      <c r="H4178" s="751"/>
      <c r="I4178" s="715" t="e">
        <f>IF(OR(F4178="",F4178=1),"INTERESADO PERSONA NATURAL O JURIDICA","CONSORCIO O UNION TEMPORAL")</f>
        <v>#N/A</v>
      </c>
      <c r="J4178" s="725"/>
      <c r="K4178" s="728"/>
      <c r="L4178" s="723"/>
      <c r="M4178" s="749"/>
      <c r="N4178" s="749"/>
      <c r="O4178" s="749"/>
      <c r="P4178" s="749"/>
      <c r="Q4178" s="750"/>
      <c r="R4178" s="712"/>
      <c r="S4178" s="750"/>
      <c r="T4178" s="763"/>
      <c r="U4178" s="108"/>
      <c r="Y4178" s="534"/>
      <c r="AA4178" s="52"/>
      <c r="AB4178" s="52"/>
      <c r="AC4178" s="52"/>
      <c r="AG4178" s="52"/>
      <c r="AH4178" s="87"/>
      <c r="AI4178" s="87"/>
    </row>
    <row r="4179" spans="1:35" ht="56.25" hidden="1" customHeight="1" thickBot="1">
      <c r="A4179" s="218" t="e">
        <f>"M"&amp;E4159</f>
        <v>#N/A</v>
      </c>
      <c r="B4179" s="702"/>
      <c r="C4179" s="725" t="s">
        <v>101</v>
      </c>
      <c r="D4179" s="716"/>
      <c r="E4179" s="558" t="s">
        <v>105</v>
      </c>
      <c r="F4179" s="554" t="s">
        <v>87</v>
      </c>
      <c r="G4179" s="553" t="s">
        <v>86</v>
      </c>
      <c r="H4179" s="559" t="s">
        <v>85</v>
      </c>
      <c r="I4179" s="554" t="s">
        <v>252</v>
      </c>
      <c r="J4179" s="553" t="str">
        <f>"¿EL INTEGRANTE TIENE UNA PARTICIPACIÓN DEL "&amp;PORCREQUERIDOINT*100&amp;"%?"</f>
        <v>¿EL INTEGRANTE TIENE UNA PARTICIPACIÓN DEL 60%?</v>
      </c>
      <c r="K4179" s="554" t="s">
        <v>107</v>
      </c>
      <c r="L4179" s="724"/>
      <c r="M4179" s="717" t="s">
        <v>115</v>
      </c>
      <c r="N4179" s="718"/>
      <c r="O4179" s="718"/>
      <c r="P4179" s="718"/>
      <c r="Q4179" s="223">
        <f>IF(AND(H4163="SI",P4163&gt;=0),1,0)+IF(AND(H4164="SI",P4164&gt;=0),1,0)+IF(AND(H4165="SI",P4165&gt;=0),1,0)+IF(AND(H4166="SI",P4166&gt;=0),1,0)+IF(AND(H4167="SI",P4167&gt;=0),1,0)+IF(AND(H4168="SI",P4168&gt;=0),1,0)+IF(AND(H4169="SI",P4169&gt;=0),1,0)+IF(AND(H4170="SI",P4170&gt;=0),1,0)+IF(AND(H4171="SI",P4171&gt;=0),1,0)+IF(AND(H4172="SI",P4172&gt;=0),1,0)</f>
        <v>0</v>
      </c>
      <c r="R4179" s="759"/>
      <c r="S4179" s="761"/>
      <c r="T4179" s="764"/>
      <c r="U4179" s="219"/>
      <c r="V4179" s="464"/>
      <c r="Y4179" s="532" t="s">
        <v>342</v>
      </c>
      <c r="AA4179" s="550" t="s">
        <v>344</v>
      </c>
      <c r="AB4179" s="693" t="s">
        <v>345</v>
      </c>
      <c r="AC4179" s="693" t="s">
        <v>346</v>
      </c>
      <c r="AD4179" s="685" t="s">
        <v>347</v>
      </c>
      <c r="AE4179" s="52"/>
      <c r="AF4179" s="52"/>
      <c r="AG4179" s="52"/>
      <c r="AH4179" s="87"/>
      <c r="AI4179" s="87"/>
    </row>
    <row r="4180" spans="1:35" ht="15.75" hidden="1" customHeight="1" thickBot="1">
      <c r="A4180" s="218" t="e">
        <f>"N"&amp;E4159</f>
        <v>#N/A</v>
      </c>
      <c r="B4180" s="702"/>
      <c r="C4180" s="114">
        <v>1</v>
      </c>
      <c r="D4180" s="194" t="e">
        <f>IF(AND(C4180&lt;=F4178,F4178&gt;1,F4178&lt;&gt;""),VLOOKUP(VALUE(E4159&amp;","&amp;C4180),INTEGRANTES!$D$18:$F$235,2,0),"")</f>
        <v>#N/A</v>
      </c>
      <c r="E4180" s="211" t="e">
        <f>IF(D4180&lt;&gt;"",VLOOKUP(VALUE(E4159&amp;","&amp;C4180),INTEGRANTES!$D$18:$F$235,3,0),"")</f>
        <v>#N/A</v>
      </c>
      <c r="F4180" s="547" t="e">
        <f>IF(D4180="","",SUMIF($I4163:$I4172,D4180,$P4163:$P4172))</f>
        <v>#N/A</v>
      </c>
      <c r="G4180" s="333" t="e">
        <f>IF(D4180="","",SUMIF($I4163:$I4172,D4180,$M4163:$M4172))</f>
        <v>#N/A</v>
      </c>
      <c r="H4180" s="535" t="e">
        <f t="shared" ref="H4180:H4185" si="1235">IF(D4180="","",IF(OR(F4180=0,G4180=0),"NO APORTA",ROUND($F4180/$G4180,3)))</f>
        <v>#N/A</v>
      </c>
      <c r="I4180" s="212" t="e">
        <f>IF(D4180="","",IF(H4180="NO APORTA","NO",IF(H4180=MAX($H4180:$H4185),"SI","NO")))</f>
        <v>#N/A</v>
      </c>
      <c r="J4180" s="213" t="e">
        <f t="shared" ref="J4180:J4185" si="1236">IF(D4180="","",IF(E4180&gt;=PORCREQUERIDOINT,"SI","NO"))</f>
        <v>#N/A</v>
      </c>
      <c r="K4180" s="200" t="e">
        <f t="shared" ref="K4180:K4185" si="1237">IF(D4180="","",IF(AND(I4180="SI",J4180="SI"),"CUMPLE",IF(AND(I4180="NO",OR(J4180="SI",J4180="NO")),"","NO CUMPLE")))</f>
        <v>#N/A</v>
      </c>
      <c r="L4180" s="722" t="s">
        <v>108</v>
      </c>
      <c r="M4180" s="726" t="s">
        <v>119</v>
      </c>
      <c r="N4180" s="726"/>
      <c r="O4180" s="726"/>
      <c r="P4180" s="726"/>
      <c r="Q4180" s="727"/>
      <c r="R4180" s="758" t="s">
        <v>80</v>
      </c>
      <c r="S4180" s="747"/>
      <c r="T4180" s="748"/>
      <c r="U4180" s="219"/>
      <c r="V4180" s="464"/>
      <c r="Y4180" s="533" t="e">
        <f>IF(Y4177="","",IF(Y4177="INDIVIDUAL","NO APLICA","VERIFICAR CUADRO"))</f>
        <v>#N/A</v>
      </c>
      <c r="AA4180" s="551"/>
      <c r="AB4180" s="694"/>
      <c r="AC4180" s="694"/>
      <c r="AD4180" s="686"/>
      <c r="AE4180" s="52"/>
      <c r="AF4180" s="52"/>
      <c r="AG4180" s="52"/>
      <c r="AH4180" s="87"/>
      <c r="AI4180" s="87"/>
    </row>
    <row r="4181" spans="1:35" ht="27" hidden="1" customHeight="1" thickBot="1">
      <c r="A4181" s="218" t="e">
        <f>"O"&amp;E4159</f>
        <v>#N/A</v>
      </c>
      <c r="B4181" s="702"/>
      <c r="C4181" s="114">
        <v>2</v>
      </c>
      <c r="D4181" s="194" t="e">
        <f>IF(AND(C4181&lt;=F4178,F4178&lt;&gt;""),VLOOKUP(VALUE(E4159&amp;","&amp;C4181),INTEGRANTES!$D$18:$F$235,2,0),"")</f>
        <v>#N/A</v>
      </c>
      <c r="E4181" s="211" t="e">
        <f>IF(D4181&lt;&gt;"",VLOOKUP(VALUE(E4159&amp;","&amp;C4181),INTEGRANTES!$D$18:$F$235,3,0),"")</f>
        <v>#N/A</v>
      </c>
      <c r="F4181" s="547" t="e">
        <f>IF(D4181="","",SUMIF($I4163:$I4172,D4181,$P4163:$P4172))</f>
        <v>#N/A</v>
      </c>
      <c r="G4181" s="333" t="e">
        <f>IF(D4181="","",SUMIF($I4163:$I4172,D4181,$M4163:$M4172))</f>
        <v>#N/A</v>
      </c>
      <c r="H4181" s="535" t="e">
        <f t="shared" si="1235"/>
        <v>#N/A</v>
      </c>
      <c r="I4181" s="212" t="e">
        <f>IF(D4181="","",IF(H4181="NO APORTA","NO",IF(H4181=MAX($H4180:$H4185),"SI","NO")))</f>
        <v>#N/A</v>
      </c>
      <c r="J4181" s="213" t="e">
        <f t="shared" si="1236"/>
        <v>#N/A</v>
      </c>
      <c r="K4181" s="200" t="e">
        <f t="shared" si="1237"/>
        <v>#N/A</v>
      </c>
      <c r="L4181" s="723"/>
      <c r="M4181" s="715" t="s">
        <v>116</v>
      </c>
      <c r="N4181" s="716"/>
      <c r="O4181" s="556" t="s">
        <v>113</v>
      </c>
      <c r="P4181" s="715" t="s">
        <v>117</v>
      </c>
      <c r="Q4181" s="728"/>
      <c r="R4181" s="759"/>
      <c r="S4181" s="760"/>
      <c r="T4181" s="761"/>
      <c r="U4181" s="219"/>
      <c r="V4181" s="464"/>
      <c r="Y4181" s="414"/>
      <c r="AA4181" s="542" t="e">
        <f>IF(AND(C4180&lt;=F4178,F4178&gt;1,F4178&lt;&gt;""),VLOOKUP(VALUE(E4159&amp;","&amp;C4180),INTEGRANTES!$D$18:$F$235,2,0),"")</f>
        <v>#N/A</v>
      </c>
      <c r="AB4181" s="544" t="e">
        <f t="shared" ref="AB4181:AB4186" si="1238">IF(D4180="","",IF(OR(F4180=0,G4180=0),"NO APORTA",ROUND($F4180/$G4180,3)))</f>
        <v>#N/A</v>
      </c>
      <c r="AC4181" s="529"/>
      <c r="AD4181" s="200" t="e">
        <f t="shared" ref="AD4181:AD4186" si="1239">IF(OR(AA4181="",AB4181=""),"",IF(AND(AC4181="X",AB4181&gt;=EXPREQVTD),"CUMPLE","NO CUMPLE"))</f>
        <v>#N/A</v>
      </c>
      <c r="AE4181" s="52"/>
      <c r="AF4181" s="52"/>
      <c r="AG4181" s="52"/>
      <c r="AH4181" s="87"/>
      <c r="AI4181" s="87"/>
    </row>
    <row r="4182" spans="1:35" ht="16.5" hidden="1" thickBot="1">
      <c r="A4182" s="218" t="e">
        <f>"P"&amp;E4159</f>
        <v>#N/A</v>
      </c>
      <c r="B4182" s="702"/>
      <c r="C4182" s="114">
        <v>3</v>
      </c>
      <c r="D4182" s="194" t="e">
        <f>IF(AND(C4182&lt;=F4178,F4178&lt;&gt;""),VLOOKUP(VALUE(E4159&amp;","&amp;C4182),INTEGRANTES!$D$18:$F$235,2,0),"")</f>
        <v>#N/A</v>
      </c>
      <c r="E4182" s="211" t="e">
        <f>IF(D4182&lt;&gt;"",VLOOKUP(VALUE(E4159&amp;","&amp;C4182),INTEGRANTES!$D$18:$F$235,3,0),"")</f>
        <v>#N/A</v>
      </c>
      <c r="F4182" s="547" t="e">
        <f>IF(D4182="","",SUMIF($I4163:$I4172,D4182,$P4163:$P4172))</f>
        <v>#N/A</v>
      </c>
      <c r="G4182" s="333" t="e">
        <f>IF(D4182="","",SUMIF($I4163:$I4172,D4182,$M4163:$M4172))</f>
        <v>#N/A</v>
      </c>
      <c r="H4182" s="535" t="e">
        <f t="shared" si="1235"/>
        <v>#N/A</v>
      </c>
      <c r="I4182" s="212" t="e">
        <f>IF(D4182="","",IF(H4182="NO APORTA","NO",IF(H4182=MAX($H4180:$H4185),"SI","NO")))</f>
        <v>#N/A</v>
      </c>
      <c r="J4182" s="213" t="e">
        <f t="shared" si="1236"/>
        <v>#N/A</v>
      </c>
      <c r="K4182" s="200" t="e">
        <f t="shared" si="1237"/>
        <v>#N/A</v>
      </c>
      <c r="L4182" s="724"/>
      <c r="M4182" s="729">
        <f>NUMMOD</f>
        <v>1</v>
      </c>
      <c r="N4182" s="730"/>
      <c r="O4182" s="443">
        <f>IF(M4182="","",VLOOKUP(M4182,PRESUPUESTOS!$B$16:$H$16,5,FALSE))</f>
        <v>2</v>
      </c>
      <c r="P4182" s="713">
        <f>IF(OR(COUNTIF(M4163:M4172,"")&gt;=10,Q4179&lt;NUMMINCONT,OR(T4177="NO CUMPLE",T4177="VERIFICAR")),0,ROUND(AVERAGE(M4163:M4172),3))</f>
        <v>0</v>
      </c>
      <c r="Q4182" s="714"/>
      <c r="R4182" s="458"/>
      <c r="S4182" s="459"/>
      <c r="T4182" s="460"/>
      <c r="U4182" s="219"/>
      <c r="V4182" s="464"/>
      <c r="Y4182" s="532" t="str">
        <f>"40% * ("&amp;PRESUPUESTOS!$H$13&amp;")"</f>
        <v>40% * (50% PFMO)</v>
      </c>
      <c r="AA4182" s="540" t="e">
        <f>IF(AND(C4181&lt;=F4178,F4178&lt;&gt;""),VLOOKUP(VALUE(E4159&amp;","&amp;C4181),INTEGRANTES!$D$18:$F$235,2,0),"")</f>
        <v>#N/A</v>
      </c>
      <c r="AB4182" s="545" t="e">
        <f t="shared" si="1238"/>
        <v>#N/A</v>
      </c>
      <c r="AC4182" s="529"/>
      <c r="AD4182" s="200" t="e">
        <f t="shared" si="1239"/>
        <v>#N/A</v>
      </c>
      <c r="AE4182" s="52"/>
      <c r="AF4182" s="52"/>
      <c r="AG4182" s="52"/>
      <c r="AH4182" s="87"/>
      <c r="AI4182" s="87"/>
    </row>
    <row r="4183" spans="1:35" ht="15.75" hidden="1" customHeight="1" thickBot="1">
      <c r="A4183" s="218" t="e">
        <f>"Q"&amp;E4159</f>
        <v>#N/A</v>
      </c>
      <c r="B4183" s="702"/>
      <c r="C4183" s="114">
        <v>4</v>
      </c>
      <c r="D4183" s="194" t="e">
        <f>IF(AND(C4183&lt;=F4178,F4178&lt;&gt;""),VLOOKUP(VALUE(E4159&amp;","&amp;C4183),INTEGRANTES!$D$18:$F$235,2,0),"")</f>
        <v>#N/A</v>
      </c>
      <c r="E4183" s="211" t="e">
        <f>IF(D4183&lt;&gt;"",VLOOKUP(VALUE(E4159&amp;","&amp;C4183),INTEGRANTES!$D$18:$F$235,3,0),"")</f>
        <v>#N/A</v>
      </c>
      <c r="F4183" s="547" t="e">
        <f>IF(D4183="","",SUMIF($I4163:$I4172,D4183,$P4163:$P4172))</f>
        <v>#N/A</v>
      </c>
      <c r="G4183" s="333" t="e">
        <f>IF(D4183="","",SUMIF($I4163:$I4172,D4183,$M4163:$M4172))</f>
        <v>#N/A</v>
      </c>
      <c r="H4183" s="535" t="e">
        <f t="shared" si="1235"/>
        <v>#N/A</v>
      </c>
      <c r="I4183" s="212" t="e">
        <f>IF(D4183="","",IF(H4183="NO APORTA","NO",IF(H4183=MAX($H4180:$H4185),"SI","NO")))</f>
        <v>#N/A</v>
      </c>
      <c r="J4183" s="213" t="e">
        <f t="shared" si="1236"/>
        <v>#N/A</v>
      </c>
      <c r="K4183" s="200" t="e">
        <f t="shared" si="1237"/>
        <v>#N/A</v>
      </c>
      <c r="L4183" s="720" t="s">
        <v>109</v>
      </c>
      <c r="M4183" s="757" t="s">
        <v>120</v>
      </c>
      <c r="N4183" s="726"/>
      <c r="O4183" s="726"/>
      <c r="P4183" s="726"/>
      <c r="Q4183" s="727"/>
      <c r="R4183" s="458"/>
      <c r="S4183" s="459"/>
      <c r="T4183" s="460"/>
      <c r="U4183" s="219"/>
      <c r="V4183" s="464"/>
      <c r="Y4183" s="537">
        <f>0.4*PRESUPUESTOS!$H$16</f>
        <v>10.3124</v>
      </c>
      <c r="AA4183" s="540" t="e">
        <f>IF(AND(C4182&lt;=F4178,F4178&lt;&gt;""),VLOOKUP(VALUE(E4159&amp;","&amp;C4182),INTEGRANTES!$D$18:$F$235,2,0),"")</f>
        <v>#N/A</v>
      </c>
      <c r="AB4183" s="545" t="e">
        <f t="shared" si="1238"/>
        <v>#N/A</v>
      </c>
      <c r="AC4183" s="529"/>
      <c r="AD4183" s="200" t="e">
        <f t="shared" si="1239"/>
        <v>#N/A</v>
      </c>
      <c r="AE4183" s="52"/>
      <c r="AF4183" s="52"/>
      <c r="AG4183" s="52"/>
      <c r="AH4183" s="87"/>
      <c r="AI4183" s="87"/>
    </row>
    <row r="4184" spans="1:35" ht="27" hidden="1" customHeight="1" thickBot="1">
      <c r="A4184" s="218" t="e">
        <f>"R"&amp;E4159</f>
        <v>#N/A</v>
      </c>
      <c r="B4184" s="702"/>
      <c r="C4184" s="114">
        <v>5</v>
      </c>
      <c r="D4184" s="194" t="e">
        <f>IF(AND(C4184&lt;=F4178,F4178&lt;&gt;""),VLOOKUP(VALUE(E4159&amp;","&amp;C4184),INTEGRANTES!$D$18:$F$235,2,0),"")</f>
        <v>#N/A</v>
      </c>
      <c r="E4184" s="211" t="e">
        <f>IF(D4184&lt;&gt;"",VLOOKUP(VALUE(E4159&amp;","&amp;C4184),INTEGRANTES!$D$18:$F$235,3,0),"")</f>
        <v>#N/A</v>
      </c>
      <c r="F4184" s="547" t="e">
        <f>IF(D4184="","",SUMIF($I4163:$I4172,D4184,$P4163:$P4172))</f>
        <v>#N/A</v>
      </c>
      <c r="G4184" s="333" t="e">
        <f>IF(D4184="","",SUMIF($I4163:$I4172,D4184,$M4163:$M4172))</f>
        <v>#N/A</v>
      </c>
      <c r="H4184" s="535" t="e">
        <f t="shared" si="1235"/>
        <v>#N/A</v>
      </c>
      <c r="I4184" s="212" t="e">
        <f>IF(D4184="","",IF(H4184="NO APORTA","NO",IF(H4184=MAX($H4180:$H4185),"SI","NO")))</f>
        <v>#N/A</v>
      </c>
      <c r="J4184" s="213" t="e">
        <f t="shared" si="1236"/>
        <v>#N/A</v>
      </c>
      <c r="K4184" s="200" t="e">
        <f t="shared" si="1237"/>
        <v>#N/A</v>
      </c>
      <c r="L4184" s="721"/>
      <c r="M4184" s="715" t="s">
        <v>116</v>
      </c>
      <c r="N4184" s="716"/>
      <c r="O4184" s="556" t="str">
        <f>PORCREQUERIDO*100&amp;"% PMFO DEL MÓDULO"</f>
        <v>50% PMFO DEL MÓDULO</v>
      </c>
      <c r="P4184" s="715" t="s">
        <v>118</v>
      </c>
      <c r="Q4184" s="728"/>
      <c r="R4184" s="458"/>
      <c r="S4184" s="459"/>
      <c r="T4184" s="460"/>
      <c r="U4184" s="219"/>
      <c r="V4184" s="464"/>
      <c r="Y4184" s="414"/>
      <c r="AA4184" s="540" t="e">
        <f>IF(AND(C4183&lt;=F4178,F4178&lt;&gt;""),VLOOKUP(VALUE(E4159&amp;","&amp;C4183),INTEGRANTES!$D$18:$F$235,2,0),"")</f>
        <v>#N/A</v>
      </c>
      <c r="AB4184" s="545" t="e">
        <f t="shared" si="1238"/>
        <v>#N/A</v>
      </c>
      <c r="AC4184" s="529"/>
      <c r="AD4184" s="200" t="e">
        <f t="shared" si="1239"/>
        <v>#N/A</v>
      </c>
      <c r="AE4184" s="52"/>
      <c r="AF4184" s="52"/>
      <c r="AG4184" s="52"/>
      <c r="AH4184" s="87"/>
      <c r="AI4184" s="87"/>
    </row>
    <row r="4185" spans="1:35" ht="16.5" hidden="1" thickBot="1">
      <c r="A4185" s="218" t="e">
        <f>"S"&amp;E4159</f>
        <v>#N/A</v>
      </c>
      <c r="B4185" s="702"/>
      <c r="C4185" s="215">
        <v>6</v>
      </c>
      <c r="D4185" s="216" t="e">
        <f>IF(AND(C4185&lt;=F4178,F4178&lt;&gt;""),VLOOKUP(VALUE(E4159&amp;","&amp;C4185),INTEGRANTES!$D$18:$F$235,2,0),"")</f>
        <v>#N/A</v>
      </c>
      <c r="E4185" s="217" t="e">
        <f>IF(D4185&lt;&gt;"",VLOOKUP(VALUE(E4159&amp;","&amp;C4185),INTEGRANTES!$D$18:$F$235,3,0),"")</f>
        <v>#N/A</v>
      </c>
      <c r="F4185" s="548" t="e">
        <f>IF(D4185="","",SUMIF($I4163:$I4172,D4185,$P4163:$P4172))</f>
        <v>#N/A</v>
      </c>
      <c r="G4185" s="334" t="e">
        <f>IF(D4185="","",SUMIF($I4163:$I4172,D4185,$M4163:$M4172))</f>
        <v>#N/A</v>
      </c>
      <c r="H4185" s="536" t="e">
        <f t="shared" si="1235"/>
        <v>#N/A</v>
      </c>
      <c r="I4185" s="214" t="e">
        <f>IF(D4185="","",IF(H4185="NO APORTA","NO",IF(H4185=MAX($H4180:$H4185),"SI","NO")))</f>
        <v>#N/A</v>
      </c>
      <c r="J4185" s="213" t="e">
        <f t="shared" si="1236"/>
        <v>#N/A</v>
      </c>
      <c r="K4185" s="200" t="e">
        <f t="shared" si="1237"/>
        <v>#N/A</v>
      </c>
      <c r="L4185" s="721"/>
      <c r="M4185" s="729">
        <f>NUMMOD</f>
        <v>1</v>
      </c>
      <c r="N4185" s="730"/>
      <c r="O4185" s="443">
        <f>IF(M4185="","",ROUND(VLOOKUP(M4185,PRESUPUESTOS!$B$16:$H$16,7,FALSE),3))</f>
        <v>25.780999999999999</v>
      </c>
      <c r="P4185" s="713">
        <f>IF(OR(COUNTIF(P4163:P4172,"")&gt;=10,Q4179&lt;NUMMINCONT,OR(T4177="NO CUMPLE",T4177="VERIFICAR")),0,ROUND((SUM(P4163:P4172)/SUM(M4163:M4172)),3))</f>
        <v>0</v>
      </c>
      <c r="Q4185" s="714"/>
      <c r="R4185" s="458"/>
      <c r="S4185" s="459"/>
      <c r="T4185" s="460"/>
      <c r="U4185" s="219"/>
      <c r="V4185" s="464"/>
      <c r="Y4185" s="532" t="s">
        <v>343</v>
      </c>
      <c r="AA4185" s="540" t="e">
        <f>IF(AND(C4184&lt;=F4178,F4178&lt;&gt;""),VLOOKUP(VALUE(E4159&amp;","&amp;C4184),INTEGRANTES!$D$18:$F$235,2,0),"")</f>
        <v>#N/A</v>
      </c>
      <c r="AB4185" s="545" t="e">
        <f t="shared" si="1238"/>
        <v>#N/A</v>
      </c>
      <c r="AC4185" s="529"/>
      <c r="AD4185" s="200" t="e">
        <f t="shared" si="1239"/>
        <v>#N/A</v>
      </c>
      <c r="AE4185" s="52"/>
      <c r="AF4185" s="52"/>
      <c r="AG4185" s="52"/>
      <c r="AH4185" s="87"/>
      <c r="AI4185" s="87"/>
    </row>
    <row r="4186" spans="1:35" ht="16.5" hidden="1" customHeight="1" thickBot="1">
      <c r="A4186" s="218" t="e">
        <f>"T"&amp;E4159</f>
        <v>#N/A</v>
      </c>
      <c r="B4186" s="703"/>
      <c r="C4186" s="719"/>
      <c r="D4186" s="719"/>
      <c r="E4186" s="719"/>
      <c r="F4186" s="719"/>
      <c r="G4186" s="719"/>
      <c r="H4186" s="719" t="s">
        <v>110</v>
      </c>
      <c r="I4186" s="719"/>
      <c r="J4186" s="719"/>
      <c r="K4186" s="201" t="str">
        <f>IF(COUNTIF(K4180:K4185,"")=6,"",IF(COUNTIF(K4180:K4185,"CUMPLE")&gt;0,"CUMPLE","NO CUMPLE"))</f>
        <v>NO CUMPLE</v>
      </c>
      <c r="L4186" s="754"/>
      <c r="M4186" s="755"/>
      <c r="N4186" s="755"/>
      <c r="O4186" s="755"/>
      <c r="P4186" s="755"/>
      <c r="Q4186" s="756"/>
      <c r="R4186" s="461"/>
      <c r="S4186" s="462"/>
      <c r="T4186" s="463"/>
      <c r="U4186" s="219"/>
      <c r="V4186" s="464"/>
      <c r="Y4186" s="549" t="e">
        <f>IF(Y4180="NO APLICA","NO APLICA",IF(COUNTIF(AD4181:AD4186,"CUMPLE")&gt;0,"CUMPLE","NO CUMPLE"))</f>
        <v>#N/A</v>
      </c>
      <c r="AA4186" s="541" t="e">
        <f>IF(AND(C4185&lt;=F4178,F4178&lt;&gt;""),VLOOKUP(VALUE(E4159&amp;","&amp;C4185),INTEGRANTES!$D$18:$F$235,2,0),"")</f>
        <v>#N/A</v>
      </c>
      <c r="AB4186" s="546" t="e">
        <f t="shared" si="1238"/>
        <v>#N/A</v>
      </c>
      <c r="AC4186" s="543"/>
      <c r="AD4186" s="201" t="e">
        <f t="shared" si="1239"/>
        <v>#N/A</v>
      </c>
      <c r="AE4186" s="52"/>
      <c r="AF4186" s="52"/>
      <c r="AG4186" s="52"/>
      <c r="AH4186" s="87"/>
      <c r="AI4186" s="87"/>
    </row>
    <row r="4187" spans="1:35" hidden="1">
      <c r="AH4187" s="87"/>
      <c r="AI4187" s="87"/>
    </row>
    <row r="4188" spans="1:35" hidden="1">
      <c r="AH4188" s="87"/>
      <c r="AI4188" s="87"/>
    </row>
    <row r="4189" spans="1:35" ht="24" hidden="1" thickBot="1">
      <c r="A4189" s="61">
        <v>140</v>
      </c>
      <c r="B4189" s="704" t="s">
        <v>51</v>
      </c>
      <c r="C4189" s="704"/>
      <c r="D4189" s="704"/>
      <c r="E4189" s="62" t="e">
        <f>VLOOKUP(A4189,PROPONENTES!$B$19:$E$218,2,FALSE)</f>
        <v>#N/A</v>
      </c>
      <c r="F4189" s="63" t="e">
        <f>VLOOKUP(A4189,PROPONENTES!$B$19:$E$218,3,FALSE)</f>
        <v>#N/A</v>
      </c>
      <c r="G4189" s="64"/>
      <c r="H4189" s="64"/>
      <c r="I4189" s="63"/>
      <c r="J4189" s="63"/>
      <c r="K4189" s="65"/>
      <c r="L4189" s="65"/>
      <c r="M4189" s="64"/>
      <c r="N4189" s="64"/>
      <c r="O4189" s="66"/>
      <c r="P4189" s="66"/>
      <c r="Q4189" s="66"/>
      <c r="R4189" s="66"/>
      <c r="S4189" s="67"/>
      <c r="T4189" s="68"/>
      <c r="U4189" s="68"/>
      <c r="AC4189" s="68"/>
      <c r="AD4189" s="68"/>
      <c r="AE4189" s="68"/>
      <c r="AF4189" s="68"/>
      <c r="AG4189" s="68"/>
      <c r="AH4189" s="87"/>
      <c r="AI4189" s="87"/>
    </row>
    <row r="4190" spans="1:35" ht="15.75" hidden="1" customHeight="1">
      <c r="A4190" s="44"/>
      <c r="B4190" s="709" t="s">
        <v>59</v>
      </c>
      <c r="C4190" s="552" t="s">
        <v>60</v>
      </c>
      <c r="D4190" s="70" t="s">
        <v>17</v>
      </c>
      <c r="E4190" s="70"/>
      <c r="F4190" s="70" t="s">
        <v>61</v>
      </c>
      <c r="G4190" s="71"/>
      <c r="H4190" s="699" t="s">
        <v>62</v>
      </c>
      <c r="I4190" s="699" t="s">
        <v>18</v>
      </c>
      <c r="J4190" s="699" t="s">
        <v>63</v>
      </c>
      <c r="K4190" s="699" t="s">
        <v>64</v>
      </c>
      <c r="L4190" s="699" t="s">
        <v>65</v>
      </c>
      <c r="M4190" s="743" t="s">
        <v>66</v>
      </c>
      <c r="N4190" s="699" t="s">
        <v>282</v>
      </c>
      <c r="O4190" s="745" t="s">
        <v>67</v>
      </c>
      <c r="P4190" s="746"/>
      <c r="Q4190" s="102" t="s">
        <v>75</v>
      </c>
      <c r="R4190" s="731" t="s">
        <v>22</v>
      </c>
      <c r="S4190" s="732"/>
      <c r="T4190" s="733"/>
      <c r="U4190" s="712" t="s">
        <v>298</v>
      </c>
      <c r="W4190" s="690" t="s">
        <v>268</v>
      </c>
      <c r="X4190" s="691"/>
      <c r="Y4190" s="692"/>
      <c r="Z4190" s="428"/>
      <c r="AA4190" s="697" t="s">
        <v>315</v>
      </c>
      <c r="AB4190" s="695" t="s">
        <v>322</v>
      </c>
      <c r="AC4190" s="49"/>
      <c r="AD4190" s="690" t="s">
        <v>297</v>
      </c>
      <c r="AE4190" s="691"/>
      <c r="AF4190" s="692"/>
      <c r="AG4190" s="49"/>
      <c r="AH4190" s="87"/>
      <c r="AI4190" s="87"/>
    </row>
    <row r="4191" spans="1:35" ht="72" hidden="1">
      <c r="A4191" s="44"/>
      <c r="B4191" s="710"/>
      <c r="C4191" s="553" t="s">
        <v>68</v>
      </c>
      <c r="D4191" s="73" t="s">
        <v>3</v>
      </c>
      <c r="E4191" s="73" t="s">
        <v>19</v>
      </c>
      <c r="F4191" s="73" t="s">
        <v>69</v>
      </c>
      <c r="G4191" s="74" t="s">
        <v>70</v>
      </c>
      <c r="H4191" s="700"/>
      <c r="I4191" s="700"/>
      <c r="J4191" s="700"/>
      <c r="K4191" s="700"/>
      <c r="L4191" s="700"/>
      <c r="M4191" s="744"/>
      <c r="N4191" s="700"/>
      <c r="O4191" s="553" t="s">
        <v>279</v>
      </c>
      <c r="P4191" s="73" t="s">
        <v>88</v>
      </c>
      <c r="Q4191" s="555" t="s">
        <v>76</v>
      </c>
      <c r="R4191" s="734"/>
      <c r="S4191" s="735"/>
      <c r="T4191" s="736"/>
      <c r="U4191" s="712"/>
      <c r="W4191" s="429" t="s">
        <v>269</v>
      </c>
      <c r="X4191" s="457" t="s">
        <v>278</v>
      </c>
      <c r="Y4191" s="430" t="s">
        <v>324</v>
      </c>
      <c r="Z4191" s="428"/>
      <c r="AA4191" s="698"/>
      <c r="AB4191" s="696"/>
      <c r="AC4191" s="49"/>
      <c r="AD4191" s="429" t="s">
        <v>292</v>
      </c>
      <c r="AE4191" s="431" t="s">
        <v>300</v>
      </c>
      <c r="AF4191" s="468" t="s">
        <v>301</v>
      </c>
      <c r="AG4191" s="49"/>
      <c r="AH4191" s="87"/>
      <c r="AI4191" s="87"/>
    </row>
    <row r="4192" spans="1:35" hidden="1">
      <c r="A4192" s="44"/>
      <c r="B4192" s="76"/>
      <c r="C4192" s="77"/>
      <c r="D4192" s="77"/>
      <c r="E4192" s="77"/>
      <c r="F4192" s="77"/>
      <c r="G4192" s="77"/>
      <c r="H4192" s="77"/>
      <c r="I4192" s="77"/>
      <c r="J4192" s="77"/>
      <c r="K4192" s="77"/>
      <c r="L4192" s="77"/>
      <c r="M4192" s="77"/>
      <c r="N4192" s="77"/>
      <c r="O4192" s="77"/>
      <c r="P4192" s="77"/>
      <c r="Q4192" s="77"/>
      <c r="R4192" s="77"/>
      <c r="S4192" s="78"/>
      <c r="T4192" s="79"/>
      <c r="U4192" s="109"/>
      <c r="V4192" s="49"/>
      <c r="W4192" s="432"/>
      <c r="X4192" s="454"/>
      <c r="Y4192" s="433"/>
      <c r="Z4192" s="6"/>
      <c r="AA4192" s="500"/>
      <c r="AB4192" s="562"/>
      <c r="AC4192" s="49"/>
      <c r="AD4192" s="210"/>
      <c r="AE4192" s="434"/>
      <c r="AF4192" s="435"/>
      <c r="AG4192" s="49"/>
      <c r="AH4192" s="87"/>
      <c r="AI4192" s="87"/>
    </row>
    <row r="4193" spans="1:35" hidden="1">
      <c r="A4193" s="80" t="e">
        <f>"A"&amp;E4189</f>
        <v>#N/A</v>
      </c>
      <c r="B4193" s="81">
        <v>1</v>
      </c>
      <c r="C4193" s="82"/>
      <c r="D4193" s="82"/>
      <c r="E4193" s="82"/>
      <c r="F4193" s="82"/>
      <c r="G4193" s="83"/>
      <c r="H4193" s="83"/>
      <c r="I4193" s="84"/>
      <c r="J4193" s="85"/>
      <c r="K4193" s="382"/>
      <c r="L4193" s="85"/>
      <c r="M4193" s="332" t="str">
        <f t="shared" ref="M4193:M4202" si="1240">IF(OR(J4193="",L4193="",H4193="NO"),"",IF(OR(J4193&gt;$P$17,J4193&lt;$O$17,L4193&gt;$P$17,AND(J4193&lt;$O$17,L4193&lt;$O$17)),"FUERA DE RANGO",IF(OR(K4193="---",K4193=""),IF(J4193&gt;=$O$17,ROUND((L4193-J4193+1)/360*12,3),ROUND((L4193-$O$17+1)/360*12,3)),IF(J4193&gt;=$O$17,ROUND((L4193-J4193+1)/360*12-ROUND(K4193,3),3),ROUND((L4193-$O$17+1)/360*12-ROUND(K4193,3),3)))))</f>
        <v/>
      </c>
      <c r="N4193" s="86"/>
      <c r="O4193" s="453" t="str">
        <f>IF(OR(G4193="",N4193=""),"",N4193*G4193)</f>
        <v/>
      </c>
      <c r="P4193" s="538" t="str">
        <f>IF(OR(H4193="",M4193="FUERA DE RANGO"),"",IF(OR(L4193&lt;$O$17,L4193&gt;$P$17,L4193="",H4193="NO"),"",IF(OR(N4193="",O4193=""),"",ROUND(O4193,3))))</f>
        <v/>
      </c>
      <c r="Q4193" s="539" t="str">
        <f t="shared" ref="Q4193:Q4202" si="1241">IF(AND(H4193="SI",P4193&lt;&gt;""),ROUND(P4193/M4193,3),"")</f>
        <v/>
      </c>
      <c r="R4193" s="737"/>
      <c r="S4193" s="738"/>
      <c r="T4193" s="739"/>
      <c r="U4193" s="470"/>
      <c r="V4193" s="165"/>
      <c r="W4193" s="446"/>
      <c r="X4193" s="456"/>
      <c r="Y4193" s="436"/>
      <c r="Z4193" s="437"/>
      <c r="AA4193" s="560"/>
      <c r="AB4193" s="561"/>
      <c r="AC4193" s="87"/>
      <c r="AD4193" s="466"/>
      <c r="AE4193" s="456"/>
      <c r="AF4193" s="467"/>
      <c r="AG4193" s="87"/>
      <c r="AH4193" s="87"/>
      <c r="AI4193" s="87"/>
    </row>
    <row r="4194" spans="1:35" hidden="1">
      <c r="A4194" s="80" t="e">
        <f>"B"&amp;E4189</f>
        <v>#N/A</v>
      </c>
      <c r="B4194" s="81">
        <v>2</v>
      </c>
      <c r="C4194" s="106"/>
      <c r="D4194" s="106"/>
      <c r="E4194" s="106"/>
      <c r="F4194" s="106"/>
      <c r="G4194" s="83"/>
      <c r="H4194" s="83"/>
      <c r="I4194" s="84"/>
      <c r="J4194" s="85"/>
      <c r="K4194" s="382"/>
      <c r="L4194" s="85"/>
      <c r="M4194" s="332" t="str">
        <f t="shared" si="1240"/>
        <v/>
      </c>
      <c r="N4194" s="86"/>
      <c r="O4194" s="453" t="str">
        <f t="shared" ref="O4194:O4202" si="1242">IF(OR(G4194="",N4194=""),"",N4194*G4194)</f>
        <v/>
      </c>
      <c r="P4194" s="538" t="str">
        <f t="shared" ref="P4194:P4202" si="1243">IF(OR(H4194="",M4194="FUERA DE RANGO"),"",IF(OR(L4194&lt;$O$17,L4194&gt;$P$17,L4194="",H4194="NO"),"",IF(OR(N4194="",O4194=""),"",ROUND(O4194,3))))</f>
        <v/>
      </c>
      <c r="Q4194" s="539" t="str">
        <f t="shared" si="1241"/>
        <v/>
      </c>
      <c r="R4194" s="740"/>
      <c r="S4194" s="741"/>
      <c r="T4194" s="742"/>
      <c r="U4194" s="471"/>
      <c r="V4194" s="165"/>
      <c r="W4194" s="446"/>
      <c r="X4194" s="456"/>
      <c r="Y4194" s="436"/>
      <c r="Z4194" s="437"/>
      <c r="AA4194" s="560"/>
      <c r="AB4194" s="561"/>
      <c r="AC4194" s="87"/>
      <c r="AD4194" s="466"/>
      <c r="AE4194" s="456"/>
      <c r="AF4194" s="467"/>
      <c r="AG4194" s="87"/>
      <c r="AH4194" s="87"/>
      <c r="AI4194" s="87"/>
    </row>
    <row r="4195" spans="1:35" hidden="1">
      <c r="A4195" s="80" t="e">
        <f>"C"&amp;E4189</f>
        <v>#N/A</v>
      </c>
      <c r="B4195" s="88">
        <v>3</v>
      </c>
      <c r="C4195" s="82"/>
      <c r="D4195" s="82"/>
      <c r="E4195" s="82"/>
      <c r="F4195" s="82"/>
      <c r="G4195" s="83"/>
      <c r="H4195" s="83"/>
      <c r="I4195" s="84"/>
      <c r="J4195" s="85"/>
      <c r="K4195" s="382"/>
      <c r="L4195" s="85"/>
      <c r="M4195" s="332" t="str">
        <f t="shared" si="1240"/>
        <v/>
      </c>
      <c r="N4195" s="86"/>
      <c r="O4195" s="453" t="str">
        <f t="shared" si="1242"/>
        <v/>
      </c>
      <c r="P4195" s="538" t="str">
        <f t="shared" si="1243"/>
        <v/>
      </c>
      <c r="Q4195" s="539" t="str">
        <f t="shared" si="1241"/>
        <v/>
      </c>
      <c r="R4195" s="706"/>
      <c r="S4195" s="707"/>
      <c r="T4195" s="708"/>
      <c r="U4195" s="472"/>
      <c r="V4195" s="166"/>
      <c r="W4195" s="446"/>
      <c r="X4195" s="456"/>
      <c r="Y4195" s="436"/>
      <c r="Z4195" s="437"/>
      <c r="AA4195" s="560"/>
      <c r="AB4195" s="561"/>
      <c r="AC4195" s="87"/>
      <c r="AD4195" s="466"/>
      <c r="AE4195" s="456"/>
      <c r="AF4195" s="467"/>
      <c r="AG4195" s="87"/>
      <c r="AH4195" s="87"/>
      <c r="AI4195" s="87"/>
    </row>
    <row r="4196" spans="1:35" hidden="1">
      <c r="A4196" s="80" t="e">
        <f>"D"&amp;E4189</f>
        <v>#N/A</v>
      </c>
      <c r="B4196" s="105">
        <v>4</v>
      </c>
      <c r="C4196" s="107"/>
      <c r="D4196" s="107"/>
      <c r="E4196" s="107"/>
      <c r="F4196" s="107"/>
      <c r="G4196" s="83"/>
      <c r="H4196" s="83"/>
      <c r="I4196" s="84"/>
      <c r="J4196" s="85"/>
      <c r="K4196" s="382"/>
      <c r="L4196" s="85"/>
      <c r="M4196" s="332" t="str">
        <f t="shared" si="1240"/>
        <v/>
      </c>
      <c r="N4196" s="86"/>
      <c r="O4196" s="453" t="str">
        <f t="shared" si="1242"/>
        <v/>
      </c>
      <c r="P4196" s="538" t="str">
        <f t="shared" si="1243"/>
        <v/>
      </c>
      <c r="Q4196" s="539" t="str">
        <f t="shared" si="1241"/>
        <v/>
      </c>
      <c r="R4196" s="706"/>
      <c r="S4196" s="707"/>
      <c r="T4196" s="708"/>
      <c r="U4196" s="472"/>
      <c r="V4196" s="166"/>
      <c r="W4196" s="446"/>
      <c r="X4196" s="456"/>
      <c r="Y4196" s="436"/>
      <c r="Z4196" s="437"/>
      <c r="AA4196" s="560"/>
      <c r="AB4196" s="561"/>
      <c r="AC4196" s="87"/>
      <c r="AD4196" s="466"/>
      <c r="AE4196" s="456"/>
      <c r="AF4196" s="467"/>
      <c r="AG4196" s="87"/>
      <c r="AH4196" s="87"/>
      <c r="AI4196" s="87"/>
    </row>
    <row r="4197" spans="1:35" hidden="1">
      <c r="A4197" s="80" t="e">
        <f>"E"&amp;E4189</f>
        <v>#N/A</v>
      </c>
      <c r="B4197" s="105">
        <v>5</v>
      </c>
      <c r="C4197" s="107"/>
      <c r="D4197" s="107"/>
      <c r="E4197" s="107"/>
      <c r="F4197" s="107"/>
      <c r="G4197" s="83"/>
      <c r="H4197" s="83"/>
      <c r="I4197" s="84"/>
      <c r="J4197" s="85"/>
      <c r="K4197" s="382"/>
      <c r="L4197" s="85"/>
      <c r="M4197" s="332" t="str">
        <f t="shared" si="1240"/>
        <v/>
      </c>
      <c r="N4197" s="86"/>
      <c r="O4197" s="453" t="str">
        <f t="shared" si="1242"/>
        <v/>
      </c>
      <c r="P4197" s="538" t="str">
        <f t="shared" si="1243"/>
        <v/>
      </c>
      <c r="Q4197" s="539" t="str">
        <f t="shared" si="1241"/>
        <v/>
      </c>
      <c r="R4197" s="706"/>
      <c r="S4197" s="707"/>
      <c r="T4197" s="708"/>
      <c r="U4197" s="472"/>
      <c r="V4197" s="167"/>
      <c r="W4197" s="446"/>
      <c r="X4197" s="456"/>
      <c r="Y4197" s="436"/>
      <c r="Z4197" s="437"/>
      <c r="AA4197" s="560"/>
      <c r="AB4197" s="561"/>
      <c r="AC4197" s="87"/>
      <c r="AD4197" s="466"/>
      <c r="AE4197" s="456"/>
      <c r="AF4197" s="467"/>
      <c r="AG4197" s="87"/>
      <c r="AH4197" s="87"/>
      <c r="AI4197" s="87"/>
    </row>
    <row r="4198" spans="1:35" hidden="1">
      <c r="A4198" s="80" t="e">
        <f>"F"&amp;E4189</f>
        <v>#N/A</v>
      </c>
      <c r="B4198" s="105">
        <v>6</v>
      </c>
      <c r="C4198" s="107"/>
      <c r="D4198" s="107"/>
      <c r="E4198" s="107"/>
      <c r="F4198" s="107"/>
      <c r="G4198" s="83"/>
      <c r="H4198" s="83"/>
      <c r="I4198" s="84"/>
      <c r="J4198" s="85"/>
      <c r="K4198" s="382"/>
      <c r="L4198" s="85"/>
      <c r="M4198" s="332" t="str">
        <f t="shared" si="1240"/>
        <v/>
      </c>
      <c r="N4198" s="86"/>
      <c r="O4198" s="453" t="str">
        <f t="shared" si="1242"/>
        <v/>
      </c>
      <c r="P4198" s="538" t="str">
        <f t="shared" si="1243"/>
        <v/>
      </c>
      <c r="Q4198" s="539" t="str">
        <f t="shared" si="1241"/>
        <v/>
      </c>
      <c r="R4198" s="706"/>
      <c r="S4198" s="707"/>
      <c r="T4198" s="708"/>
      <c r="U4198" s="472"/>
      <c r="V4198" s="167"/>
      <c r="W4198" s="446"/>
      <c r="X4198" s="456"/>
      <c r="Y4198" s="436"/>
      <c r="Z4198" s="437"/>
      <c r="AA4198" s="560"/>
      <c r="AB4198" s="561"/>
      <c r="AC4198" s="87"/>
      <c r="AD4198" s="466"/>
      <c r="AE4198" s="456"/>
      <c r="AF4198" s="467"/>
      <c r="AG4198" s="87"/>
      <c r="AH4198" s="87"/>
      <c r="AI4198" s="87"/>
    </row>
    <row r="4199" spans="1:35" hidden="1">
      <c r="A4199" s="80" t="e">
        <f>"G"&amp;E4189</f>
        <v>#N/A</v>
      </c>
      <c r="B4199" s="105">
        <v>7</v>
      </c>
      <c r="C4199" s="107"/>
      <c r="D4199" s="107"/>
      <c r="E4199" s="107"/>
      <c r="F4199" s="107"/>
      <c r="G4199" s="83"/>
      <c r="H4199" s="83"/>
      <c r="I4199" s="84"/>
      <c r="J4199" s="85"/>
      <c r="K4199" s="382"/>
      <c r="L4199" s="85"/>
      <c r="M4199" s="332" t="str">
        <f t="shared" si="1240"/>
        <v/>
      </c>
      <c r="N4199" s="86"/>
      <c r="O4199" s="86" t="str">
        <f t="shared" si="1242"/>
        <v/>
      </c>
      <c r="P4199" s="538" t="str">
        <f t="shared" si="1243"/>
        <v/>
      </c>
      <c r="Q4199" s="539" t="str">
        <f t="shared" si="1241"/>
        <v/>
      </c>
      <c r="R4199" s="706"/>
      <c r="S4199" s="707"/>
      <c r="T4199" s="708"/>
      <c r="U4199" s="472"/>
      <c r="V4199" s="167"/>
      <c r="W4199" s="446"/>
      <c r="X4199" s="456"/>
      <c r="Y4199" s="436"/>
      <c r="Z4199" s="437"/>
      <c r="AA4199" s="560"/>
      <c r="AB4199" s="561"/>
      <c r="AC4199" s="87"/>
      <c r="AD4199" s="466"/>
      <c r="AE4199" s="456"/>
      <c r="AF4199" s="467"/>
      <c r="AG4199" s="87"/>
      <c r="AH4199" s="87"/>
      <c r="AI4199" s="87"/>
    </row>
    <row r="4200" spans="1:35" hidden="1">
      <c r="A4200" s="80" t="e">
        <f>"H"&amp;E4189</f>
        <v>#N/A</v>
      </c>
      <c r="B4200" s="105">
        <v>8</v>
      </c>
      <c r="C4200" s="107"/>
      <c r="D4200" s="107"/>
      <c r="E4200" s="107"/>
      <c r="F4200" s="107"/>
      <c r="G4200" s="83"/>
      <c r="H4200" s="83"/>
      <c r="I4200" s="84"/>
      <c r="J4200" s="85"/>
      <c r="K4200" s="382"/>
      <c r="L4200" s="85"/>
      <c r="M4200" s="332" t="str">
        <f t="shared" si="1240"/>
        <v/>
      </c>
      <c r="N4200" s="453"/>
      <c r="O4200" s="86" t="str">
        <f t="shared" si="1242"/>
        <v/>
      </c>
      <c r="P4200" s="538" t="str">
        <f t="shared" si="1243"/>
        <v/>
      </c>
      <c r="Q4200" s="539" t="str">
        <f t="shared" si="1241"/>
        <v/>
      </c>
      <c r="R4200" s="706"/>
      <c r="S4200" s="707"/>
      <c r="T4200" s="708"/>
      <c r="U4200" s="472"/>
      <c r="V4200" s="167"/>
      <c r="W4200" s="446"/>
      <c r="X4200" s="456"/>
      <c r="Y4200" s="436"/>
      <c r="Z4200" s="437"/>
      <c r="AA4200" s="560"/>
      <c r="AB4200" s="561"/>
      <c r="AC4200" s="87"/>
      <c r="AD4200" s="466"/>
      <c r="AE4200" s="456"/>
      <c r="AF4200" s="467"/>
      <c r="AG4200" s="87"/>
      <c r="AH4200" s="87"/>
      <c r="AI4200" s="87"/>
    </row>
    <row r="4201" spans="1:35" hidden="1">
      <c r="A4201" s="80" t="e">
        <f>"I"&amp;E4189</f>
        <v>#N/A</v>
      </c>
      <c r="B4201" s="105">
        <v>9</v>
      </c>
      <c r="C4201" s="107"/>
      <c r="D4201" s="107"/>
      <c r="E4201" s="107"/>
      <c r="F4201" s="107"/>
      <c r="G4201" s="83"/>
      <c r="H4201" s="83"/>
      <c r="I4201" s="84"/>
      <c r="J4201" s="85"/>
      <c r="K4201" s="382"/>
      <c r="L4201" s="85"/>
      <c r="M4201" s="332" t="str">
        <f t="shared" si="1240"/>
        <v/>
      </c>
      <c r="N4201" s="453"/>
      <c r="O4201" s="86" t="str">
        <f t="shared" si="1242"/>
        <v/>
      </c>
      <c r="P4201" s="538" t="str">
        <f t="shared" si="1243"/>
        <v/>
      </c>
      <c r="Q4201" s="539" t="str">
        <f t="shared" si="1241"/>
        <v/>
      </c>
      <c r="R4201" s="706"/>
      <c r="S4201" s="707"/>
      <c r="T4201" s="708"/>
      <c r="U4201" s="472"/>
      <c r="V4201" s="167"/>
      <c r="W4201" s="446"/>
      <c r="X4201" s="456"/>
      <c r="Y4201" s="436"/>
      <c r="Z4201" s="437"/>
      <c r="AA4201" s="560"/>
      <c r="AB4201" s="561"/>
      <c r="AC4201" s="87"/>
      <c r="AD4201" s="466"/>
      <c r="AE4201" s="456"/>
      <c r="AF4201" s="467"/>
      <c r="AG4201" s="87"/>
      <c r="AH4201" s="87"/>
      <c r="AI4201" s="87"/>
    </row>
    <row r="4202" spans="1:35" hidden="1">
      <c r="A4202" s="80" t="e">
        <f>"J"&amp;E4189</f>
        <v>#N/A</v>
      </c>
      <c r="B4202" s="105">
        <v>10</v>
      </c>
      <c r="C4202" s="107"/>
      <c r="D4202" s="107"/>
      <c r="E4202" s="107"/>
      <c r="F4202" s="107"/>
      <c r="G4202" s="83"/>
      <c r="H4202" s="83"/>
      <c r="I4202" s="84"/>
      <c r="J4202" s="85"/>
      <c r="K4202" s="382"/>
      <c r="L4202" s="85"/>
      <c r="M4202" s="332" t="str">
        <f t="shared" si="1240"/>
        <v/>
      </c>
      <c r="N4202" s="453"/>
      <c r="O4202" s="86" t="str">
        <f t="shared" si="1242"/>
        <v/>
      </c>
      <c r="P4202" s="538" t="str">
        <f t="shared" si="1243"/>
        <v/>
      </c>
      <c r="Q4202" s="539" t="str">
        <f t="shared" si="1241"/>
        <v/>
      </c>
      <c r="R4202" s="706"/>
      <c r="S4202" s="707"/>
      <c r="T4202" s="708"/>
      <c r="U4202" s="472"/>
      <c r="V4202" s="167"/>
      <c r="W4202" s="446"/>
      <c r="X4202" s="456"/>
      <c r="Y4202" s="436"/>
      <c r="Z4202" s="437"/>
      <c r="AA4202" s="560"/>
      <c r="AB4202" s="561"/>
      <c r="AC4202" s="87"/>
      <c r="AD4202" s="466"/>
      <c r="AE4202" s="456"/>
      <c r="AF4202" s="467"/>
      <c r="AG4202" s="87"/>
      <c r="AH4202" s="87"/>
      <c r="AI4202" s="87"/>
    </row>
    <row r="4203" spans="1:35" ht="16.5" hidden="1" thickBot="1">
      <c r="A4203" s="44"/>
      <c r="B4203" s="89"/>
      <c r="C4203" s="90"/>
      <c r="D4203" s="90"/>
      <c r="E4203" s="90"/>
      <c r="F4203" s="90"/>
      <c r="G4203" s="90"/>
      <c r="H4203" s="90"/>
      <c r="I4203" s="90"/>
      <c r="J4203" s="90"/>
      <c r="K4203" s="90"/>
      <c r="L4203" s="90"/>
      <c r="M4203" s="90"/>
      <c r="N4203" s="90"/>
      <c r="O4203" s="90"/>
      <c r="P4203" s="90"/>
      <c r="Q4203" s="90"/>
      <c r="R4203" s="90"/>
      <c r="S4203" s="91"/>
      <c r="T4203" s="92"/>
      <c r="U4203" s="473"/>
      <c r="W4203" s="438"/>
      <c r="X4203" s="455"/>
      <c r="Y4203" s="439"/>
      <c r="Z4203" s="437"/>
      <c r="AA4203" s="530"/>
      <c r="AB4203" s="563"/>
      <c r="AC4203" s="87"/>
      <c r="AD4203" s="440"/>
      <c r="AE4203" s="441"/>
      <c r="AF4203" s="442"/>
      <c r="AG4203" s="49"/>
      <c r="AH4203" s="87"/>
      <c r="AI4203" s="87"/>
    </row>
    <row r="4204" spans="1:35" ht="16.5" hidden="1" thickBot="1">
      <c r="A4204" s="93"/>
      <c r="B4204" s="94"/>
      <c r="C4204" s="96"/>
      <c r="D4204" s="96"/>
      <c r="E4204" s="96"/>
      <c r="F4204" s="96"/>
      <c r="G4204" s="96"/>
      <c r="H4204" s="96"/>
      <c r="I4204" s="96"/>
      <c r="J4204" s="96"/>
      <c r="K4204" s="96"/>
      <c r="L4204" s="96"/>
      <c r="M4204" s="136"/>
      <c r="N4204" s="96"/>
      <c r="O4204" s="96"/>
      <c r="P4204" s="97"/>
      <c r="Q4204" s="97"/>
      <c r="R4204" s="98"/>
      <c r="S4204" s="95"/>
      <c r="T4204" s="99"/>
      <c r="U4204" s="469"/>
      <c r="AC4204" s="58"/>
      <c r="AG4204" s="58"/>
      <c r="AH4204" s="87"/>
      <c r="AI4204" s="87"/>
    </row>
    <row r="4205" spans="1:35" ht="16.5" hidden="1" thickBot="1">
      <c r="B4205" s="101"/>
      <c r="C4205" s="101"/>
      <c r="D4205" s="101"/>
      <c r="E4205" s="101"/>
      <c r="F4205" s="101"/>
      <c r="G4205" s="101"/>
      <c r="H4205" s="101"/>
      <c r="I4205" s="101"/>
      <c r="J4205" s="101"/>
      <c r="K4205" s="101"/>
      <c r="L4205" s="101"/>
      <c r="M4205" s="101"/>
      <c r="N4205" s="101"/>
      <c r="O4205" s="101"/>
      <c r="P4205" s="101"/>
      <c r="Q4205" s="101"/>
      <c r="R4205" s="101"/>
      <c r="S4205" s="101"/>
      <c r="U4205" s="50"/>
      <c r="AH4205" s="87"/>
      <c r="AI4205" s="87"/>
    </row>
    <row r="4206" spans="1:35" ht="16.5" hidden="1" customHeight="1" thickBot="1">
      <c r="A4206" s="44"/>
      <c r="B4206" s="705" t="s">
        <v>74</v>
      </c>
      <c r="C4206" s="705"/>
      <c r="D4206" s="705"/>
      <c r="E4206" s="705"/>
      <c r="F4206" s="705"/>
      <c r="G4206" s="705"/>
      <c r="H4206" s="705"/>
      <c r="I4206" s="705"/>
      <c r="J4206" s="705"/>
      <c r="K4206" s="705"/>
      <c r="L4206" s="705"/>
      <c r="M4206" s="705"/>
      <c r="N4206" s="705"/>
      <c r="O4206" s="705"/>
      <c r="P4206" s="705"/>
      <c r="Q4206" s="705"/>
      <c r="R4206" s="705"/>
      <c r="S4206" s="705"/>
      <c r="T4206" s="705"/>
      <c r="U4206" s="108"/>
      <c r="Y4206" s="532" t="s">
        <v>341</v>
      </c>
      <c r="AC4206" s="49"/>
      <c r="AD4206" s="687" t="s">
        <v>302</v>
      </c>
      <c r="AE4206" s="688"/>
      <c r="AF4206" s="689"/>
      <c r="AG4206" s="49"/>
      <c r="AH4206" s="87"/>
      <c r="AI4206" s="87"/>
    </row>
    <row r="4207" spans="1:35" ht="16.5" hidden="1" customHeight="1" thickBot="1">
      <c r="A4207" s="218" t="e">
        <f>"K"&amp;E4189</f>
        <v>#N/A</v>
      </c>
      <c r="B4207" s="701" t="s">
        <v>71</v>
      </c>
      <c r="C4207" s="751" t="s">
        <v>102</v>
      </c>
      <c r="D4207" s="751"/>
      <c r="E4207" s="751"/>
      <c r="F4207" s="751"/>
      <c r="G4207" s="751"/>
      <c r="H4207" s="751"/>
      <c r="I4207" s="751"/>
      <c r="J4207" s="751"/>
      <c r="K4207" s="751"/>
      <c r="L4207" s="722" t="s">
        <v>100</v>
      </c>
      <c r="M4207" s="747" t="s">
        <v>114</v>
      </c>
      <c r="N4207" s="747"/>
      <c r="O4207" s="747"/>
      <c r="P4207" s="747"/>
      <c r="Q4207" s="748"/>
      <c r="R4207" s="758" t="s">
        <v>280</v>
      </c>
      <c r="S4207" s="748"/>
      <c r="T4207" s="762" t="str">
        <f>IF(COUNTIF(AE4207:AF4207,"VERIFICAR")&gt;0,"VERIFICAR",IF(COUNTIF(AE4207:AF4207,"NO CUMPLE")&gt;0,"NO CUMPLE","CUMPLE"))</f>
        <v>VERIFICAR</v>
      </c>
      <c r="U4207" s="108"/>
      <c r="Y4207" s="533" t="e">
        <f>IF(F4208="","",IF(F4208=1,"INDIVIDUAL","ESTRUCTURA PLURAL"))</f>
        <v>#N/A</v>
      </c>
      <c r="AC4207" s="52"/>
      <c r="AD4207" s="475" t="s">
        <v>303</v>
      </c>
      <c r="AE4207" s="476" t="str">
        <f>IF(COUNTIF(AE4193:AE4202,"")=10,"VERIFICAR",IF(COUNTIF(AE4193:AE4202,"SI")&gt;0,"CUMPLE","NO CUMPLE"))</f>
        <v>VERIFICAR</v>
      </c>
      <c r="AF4207" s="477" t="str">
        <f>IF(COUNTIF(AF4193:AF4202,"")=10,"VERIFICAR",IF(COUNTIF(AF4193:AF4202,"SI")&gt;=$AI$22,"CUMPLE","NO CUMPLE"))</f>
        <v>VERIFICAR</v>
      </c>
      <c r="AG4207" s="52"/>
      <c r="AH4207" s="87"/>
      <c r="AI4207" s="87"/>
    </row>
    <row r="4208" spans="1:35" ht="15.75" hidden="1" customHeight="1" thickBot="1">
      <c r="A4208" s="218" t="e">
        <f>"L"&amp;E4189</f>
        <v>#N/A</v>
      </c>
      <c r="B4208" s="702"/>
      <c r="C4208" s="751" t="s">
        <v>103</v>
      </c>
      <c r="D4208" s="751"/>
      <c r="E4208" s="752"/>
      <c r="F4208" s="557" t="e">
        <f>IF(VLOOKUP(E4189,PROPONENTES!$C$19:$E$218,3,0)="","",VLOOKUP(E4189,PROPONENTES!$C$19:$E$218,3,0))</f>
        <v>#N/A</v>
      </c>
      <c r="G4208" s="753" t="s">
        <v>104</v>
      </c>
      <c r="H4208" s="751"/>
      <c r="I4208" s="715" t="e">
        <f>IF(OR(F4208="",F4208=1),"INTERESADO PERSONA NATURAL O JURIDICA","CONSORCIO O UNION TEMPORAL")</f>
        <v>#N/A</v>
      </c>
      <c r="J4208" s="725"/>
      <c r="K4208" s="728"/>
      <c r="L4208" s="723"/>
      <c r="M4208" s="749"/>
      <c r="N4208" s="749"/>
      <c r="O4208" s="749"/>
      <c r="P4208" s="749"/>
      <c r="Q4208" s="750"/>
      <c r="R4208" s="712"/>
      <c r="S4208" s="750"/>
      <c r="T4208" s="763"/>
      <c r="U4208" s="108"/>
      <c r="Y4208" s="534"/>
      <c r="AA4208" s="52"/>
      <c r="AB4208" s="52"/>
      <c r="AC4208" s="52"/>
      <c r="AG4208" s="52"/>
      <c r="AH4208" s="87"/>
      <c r="AI4208" s="87"/>
    </row>
    <row r="4209" spans="1:35" ht="56.25" hidden="1" customHeight="1" thickBot="1">
      <c r="A4209" s="218" t="e">
        <f>"M"&amp;E4189</f>
        <v>#N/A</v>
      </c>
      <c r="B4209" s="702"/>
      <c r="C4209" s="725" t="s">
        <v>101</v>
      </c>
      <c r="D4209" s="716"/>
      <c r="E4209" s="558" t="s">
        <v>105</v>
      </c>
      <c r="F4209" s="554" t="s">
        <v>87</v>
      </c>
      <c r="G4209" s="553" t="s">
        <v>86</v>
      </c>
      <c r="H4209" s="559" t="s">
        <v>85</v>
      </c>
      <c r="I4209" s="554" t="s">
        <v>252</v>
      </c>
      <c r="J4209" s="553" t="str">
        <f>"¿EL INTEGRANTE TIENE UNA PARTICIPACIÓN DEL "&amp;PORCREQUERIDOINT*100&amp;"%?"</f>
        <v>¿EL INTEGRANTE TIENE UNA PARTICIPACIÓN DEL 60%?</v>
      </c>
      <c r="K4209" s="554" t="s">
        <v>107</v>
      </c>
      <c r="L4209" s="724"/>
      <c r="M4209" s="717" t="s">
        <v>115</v>
      </c>
      <c r="N4209" s="718"/>
      <c r="O4209" s="718"/>
      <c r="P4209" s="718"/>
      <c r="Q4209" s="223">
        <f>IF(AND(H4193="SI",P4193&gt;=0),1,0)+IF(AND(H4194="SI",P4194&gt;=0),1,0)+IF(AND(H4195="SI",P4195&gt;=0),1,0)+IF(AND(H4196="SI",P4196&gt;=0),1,0)+IF(AND(H4197="SI",P4197&gt;=0),1,0)+IF(AND(H4198="SI",P4198&gt;=0),1,0)+IF(AND(H4199="SI",P4199&gt;=0),1,0)+IF(AND(H4200="SI",P4200&gt;=0),1,0)+IF(AND(H4201="SI",P4201&gt;=0),1,0)+IF(AND(H4202="SI",P4202&gt;=0),1,0)</f>
        <v>0</v>
      </c>
      <c r="R4209" s="759"/>
      <c r="S4209" s="761"/>
      <c r="T4209" s="764"/>
      <c r="U4209" s="219"/>
      <c r="V4209" s="464"/>
      <c r="Y4209" s="532" t="s">
        <v>342</v>
      </c>
      <c r="AA4209" s="550" t="s">
        <v>344</v>
      </c>
      <c r="AB4209" s="693" t="s">
        <v>345</v>
      </c>
      <c r="AC4209" s="693" t="s">
        <v>346</v>
      </c>
      <c r="AD4209" s="685" t="s">
        <v>347</v>
      </c>
      <c r="AE4209" s="52"/>
      <c r="AF4209" s="52"/>
      <c r="AG4209" s="52"/>
      <c r="AH4209" s="87"/>
      <c r="AI4209" s="87"/>
    </row>
    <row r="4210" spans="1:35" ht="15.75" hidden="1" customHeight="1" thickBot="1">
      <c r="A4210" s="218" t="e">
        <f>"N"&amp;E4189</f>
        <v>#N/A</v>
      </c>
      <c r="B4210" s="702"/>
      <c r="C4210" s="114">
        <v>1</v>
      </c>
      <c r="D4210" s="194" t="e">
        <f>IF(AND(C4210&lt;=F4208,F4208&gt;1,F4208&lt;&gt;""),VLOOKUP(VALUE(E4189&amp;","&amp;C4210),INTEGRANTES!$D$18:$F$235,2,0),"")</f>
        <v>#N/A</v>
      </c>
      <c r="E4210" s="211" t="e">
        <f>IF(D4210&lt;&gt;"",VLOOKUP(VALUE(E4189&amp;","&amp;C4210),INTEGRANTES!$D$18:$F$235,3,0),"")</f>
        <v>#N/A</v>
      </c>
      <c r="F4210" s="547" t="e">
        <f>IF(D4210="","",SUMIF($I4193:$I4202,D4210,$P4193:$P4202))</f>
        <v>#N/A</v>
      </c>
      <c r="G4210" s="333" t="e">
        <f>IF(D4210="","",SUMIF($I4193:$I4202,D4210,$M4193:$M4202))</f>
        <v>#N/A</v>
      </c>
      <c r="H4210" s="535" t="e">
        <f t="shared" ref="H4210:H4215" si="1244">IF(D4210="","",IF(OR(F4210=0,G4210=0),"NO APORTA",ROUND($F4210/$G4210,3)))</f>
        <v>#N/A</v>
      </c>
      <c r="I4210" s="212" t="e">
        <f>IF(D4210="","",IF(H4210="NO APORTA","NO",IF(H4210=MAX($H4210:$H4215),"SI","NO")))</f>
        <v>#N/A</v>
      </c>
      <c r="J4210" s="213" t="e">
        <f t="shared" ref="J4210:J4215" si="1245">IF(D4210="","",IF(E4210&gt;=PORCREQUERIDOINT,"SI","NO"))</f>
        <v>#N/A</v>
      </c>
      <c r="K4210" s="200" t="e">
        <f t="shared" ref="K4210:K4215" si="1246">IF(D4210="","",IF(AND(I4210="SI",J4210="SI"),"CUMPLE",IF(AND(I4210="NO",OR(J4210="SI",J4210="NO")),"","NO CUMPLE")))</f>
        <v>#N/A</v>
      </c>
      <c r="L4210" s="722" t="s">
        <v>108</v>
      </c>
      <c r="M4210" s="726" t="s">
        <v>119</v>
      </c>
      <c r="N4210" s="726"/>
      <c r="O4210" s="726"/>
      <c r="P4210" s="726"/>
      <c r="Q4210" s="727"/>
      <c r="R4210" s="758" t="s">
        <v>80</v>
      </c>
      <c r="S4210" s="747"/>
      <c r="T4210" s="748"/>
      <c r="U4210" s="219"/>
      <c r="V4210" s="464"/>
      <c r="Y4210" s="533" t="e">
        <f>IF(Y4207="","",IF(Y4207="INDIVIDUAL","NO APLICA","VERIFICAR CUADRO"))</f>
        <v>#N/A</v>
      </c>
      <c r="AA4210" s="551"/>
      <c r="AB4210" s="694"/>
      <c r="AC4210" s="694"/>
      <c r="AD4210" s="686"/>
      <c r="AE4210" s="52"/>
      <c r="AF4210" s="52"/>
      <c r="AG4210" s="52"/>
      <c r="AH4210" s="87"/>
      <c r="AI4210" s="87"/>
    </row>
    <row r="4211" spans="1:35" ht="27" hidden="1" customHeight="1" thickBot="1">
      <c r="A4211" s="218" t="e">
        <f>"O"&amp;E4189</f>
        <v>#N/A</v>
      </c>
      <c r="B4211" s="702"/>
      <c r="C4211" s="114">
        <v>2</v>
      </c>
      <c r="D4211" s="194" t="e">
        <f>IF(AND(C4211&lt;=F4208,F4208&lt;&gt;""),VLOOKUP(VALUE(E4189&amp;","&amp;C4211),INTEGRANTES!$D$18:$F$235,2,0),"")</f>
        <v>#N/A</v>
      </c>
      <c r="E4211" s="211" t="e">
        <f>IF(D4211&lt;&gt;"",VLOOKUP(VALUE(E4189&amp;","&amp;C4211),INTEGRANTES!$D$18:$F$235,3,0),"")</f>
        <v>#N/A</v>
      </c>
      <c r="F4211" s="547" t="e">
        <f>IF(D4211="","",SUMIF($I4193:$I4202,D4211,$P4193:$P4202))</f>
        <v>#N/A</v>
      </c>
      <c r="G4211" s="333" t="e">
        <f>IF(D4211="","",SUMIF($I4193:$I4202,D4211,$M4193:$M4202))</f>
        <v>#N/A</v>
      </c>
      <c r="H4211" s="535" t="e">
        <f t="shared" si="1244"/>
        <v>#N/A</v>
      </c>
      <c r="I4211" s="212" t="e">
        <f>IF(D4211="","",IF(H4211="NO APORTA","NO",IF(H4211=MAX($H4210:$H4215),"SI","NO")))</f>
        <v>#N/A</v>
      </c>
      <c r="J4211" s="213" t="e">
        <f t="shared" si="1245"/>
        <v>#N/A</v>
      </c>
      <c r="K4211" s="200" t="e">
        <f t="shared" si="1246"/>
        <v>#N/A</v>
      </c>
      <c r="L4211" s="723"/>
      <c r="M4211" s="715" t="s">
        <v>116</v>
      </c>
      <c r="N4211" s="716"/>
      <c r="O4211" s="556" t="s">
        <v>113</v>
      </c>
      <c r="P4211" s="715" t="s">
        <v>117</v>
      </c>
      <c r="Q4211" s="728"/>
      <c r="R4211" s="759"/>
      <c r="S4211" s="760"/>
      <c r="T4211" s="761"/>
      <c r="U4211" s="219"/>
      <c r="V4211" s="464"/>
      <c r="Y4211" s="414"/>
      <c r="AA4211" s="542" t="e">
        <f>IF(AND(C4210&lt;=F4208,F4208&gt;1,F4208&lt;&gt;""),VLOOKUP(VALUE(E4189&amp;","&amp;C4210),INTEGRANTES!$D$18:$F$235,2,0),"")</f>
        <v>#N/A</v>
      </c>
      <c r="AB4211" s="544" t="e">
        <f t="shared" ref="AB4211:AB4216" si="1247">IF(D4210="","",IF(OR(F4210=0,G4210=0),"NO APORTA",ROUND($F4210/$G4210,3)))</f>
        <v>#N/A</v>
      </c>
      <c r="AC4211" s="529"/>
      <c r="AD4211" s="200" t="e">
        <f t="shared" ref="AD4211:AD4216" si="1248">IF(OR(AA4211="",AB4211=""),"",IF(AND(AC4211="X",AB4211&gt;=EXPREQVTD),"CUMPLE","NO CUMPLE"))</f>
        <v>#N/A</v>
      </c>
      <c r="AE4211" s="52"/>
      <c r="AF4211" s="52"/>
      <c r="AG4211" s="52"/>
      <c r="AH4211" s="87"/>
      <c r="AI4211" s="87"/>
    </row>
    <row r="4212" spans="1:35" ht="16.5" hidden="1" thickBot="1">
      <c r="A4212" s="218" t="e">
        <f>"P"&amp;E4189</f>
        <v>#N/A</v>
      </c>
      <c r="B4212" s="702"/>
      <c r="C4212" s="114">
        <v>3</v>
      </c>
      <c r="D4212" s="194" t="e">
        <f>IF(AND(C4212&lt;=F4208,F4208&lt;&gt;""),VLOOKUP(VALUE(E4189&amp;","&amp;C4212),INTEGRANTES!$D$18:$F$235,2,0),"")</f>
        <v>#N/A</v>
      </c>
      <c r="E4212" s="211" t="e">
        <f>IF(D4212&lt;&gt;"",VLOOKUP(VALUE(E4189&amp;","&amp;C4212),INTEGRANTES!$D$18:$F$235,3,0),"")</f>
        <v>#N/A</v>
      </c>
      <c r="F4212" s="547" t="e">
        <f>IF(D4212="","",SUMIF($I4193:$I4202,D4212,$P4193:$P4202))</f>
        <v>#N/A</v>
      </c>
      <c r="G4212" s="333" t="e">
        <f>IF(D4212="","",SUMIF($I4193:$I4202,D4212,$M4193:$M4202))</f>
        <v>#N/A</v>
      </c>
      <c r="H4212" s="535" t="e">
        <f t="shared" si="1244"/>
        <v>#N/A</v>
      </c>
      <c r="I4212" s="212" t="e">
        <f>IF(D4212="","",IF(H4212="NO APORTA","NO",IF(H4212=MAX($H4210:$H4215),"SI","NO")))</f>
        <v>#N/A</v>
      </c>
      <c r="J4212" s="213" t="e">
        <f t="shared" si="1245"/>
        <v>#N/A</v>
      </c>
      <c r="K4212" s="200" t="e">
        <f t="shared" si="1246"/>
        <v>#N/A</v>
      </c>
      <c r="L4212" s="724"/>
      <c r="M4212" s="729">
        <f>NUMMOD</f>
        <v>1</v>
      </c>
      <c r="N4212" s="730"/>
      <c r="O4212" s="443">
        <f>IF(M4212="","",VLOOKUP(M4212,PRESUPUESTOS!$B$16:$H$16,5,FALSE))</f>
        <v>2</v>
      </c>
      <c r="P4212" s="713">
        <f>IF(OR(COUNTIF(M4193:M4202,"")&gt;=10,Q4209&lt;NUMMINCONT,OR(T4207="NO CUMPLE",T4207="VERIFICAR")),0,ROUND(AVERAGE(M4193:M4202),3))</f>
        <v>0</v>
      </c>
      <c r="Q4212" s="714"/>
      <c r="R4212" s="458"/>
      <c r="S4212" s="459"/>
      <c r="T4212" s="460"/>
      <c r="U4212" s="219"/>
      <c r="V4212" s="464"/>
      <c r="Y4212" s="532" t="str">
        <f>"40% * ("&amp;PRESUPUESTOS!$H$13&amp;")"</f>
        <v>40% * (50% PFMO)</v>
      </c>
      <c r="AA4212" s="540" t="e">
        <f>IF(AND(C4211&lt;=F4208,F4208&lt;&gt;""),VLOOKUP(VALUE(E4189&amp;","&amp;C4211),INTEGRANTES!$D$18:$F$235,2,0),"")</f>
        <v>#N/A</v>
      </c>
      <c r="AB4212" s="545" t="e">
        <f t="shared" si="1247"/>
        <v>#N/A</v>
      </c>
      <c r="AC4212" s="529"/>
      <c r="AD4212" s="200" t="e">
        <f t="shared" si="1248"/>
        <v>#N/A</v>
      </c>
      <c r="AE4212" s="52"/>
      <c r="AF4212" s="52"/>
      <c r="AG4212" s="52"/>
      <c r="AH4212" s="87"/>
      <c r="AI4212" s="87"/>
    </row>
    <row r="4213" spans="1:35" ht="15.75" hidden="1" customHeight="1" thickBot="1">
      <c r="A4213" s="218" t="e">
        <f>"Q"&amp;E4189</f>
        <v>#N/A</v>
      </c>
      <c r="B4213" s="702"/>
      <c r="C4213" s="114">
        <v>4</v>
      </c>
      <c r="D4213" s="194" t="e">
        <f>IF(AND(C4213&lt;=F4208,F4208&lt;&gt;""),VLOOKUP(VALUE(E4189&amp;","&amp;C4213),INTEGRANTES!$D$18:$F$235,2,0),"")</f>
        <v>#N/A</v>
      </c>
      <c r="E4213" s="211" t="e">
        <f>IF(D4213&lt;&gt;"",VLOOKUP(VALUE(E4189&amp;","&amp;C4213),INTEGRANTES!$D$18:$F$235,3,0),"")</f>
        <v>#N/A</v>
      </c>
      <c r="F4213" s="547" t="e">
        <f>IF(D4213="","",SUMIF($I4193:$I4202,D4213,$P4193:$P4202))</f>
        <v>#N/A</v>
      </c>
      <c r="G4213" s="333" t="e">
        <f>IF(D4213="","",SUMIF($I4193:$I4202,D4213,$M4193:$M4202))</f>
        <v>#N/A</v>
      </c>
      <c r="H4213" s="535" t="e">
        <f t="shared" si="1244"/>
        <v>#N/A</v>
      </c>
      <c r="I4213" s="212" t="e">
        <f>IF(D4213="","",IF(H4213="NO APORTA","NO",IF(H4213=MAX($H4210:$H4215),"SI","NO")))</f>
        <v>#N/A</v>
      </c>
      <c r="J4213" s="213" t="e">
        <f t="shared" si="1245"/>
        <v>#N/A</v>
      </c>
      <c r="K4213" s="200" t="e">
        <f t="shared" si="1246"/>
        <v>#N/A</v>
      </c>
      <c r="L4213" s="720" t="s">
        <v>109</v>
      </c>
      <c r="M4213" s="757" t="s">
        <v>120</v>
      </c>
      <c r="N4213" s="726"/>
      <c r="O4213" s="726"/>
      <c r="P4213" s="726"/>
      <c r="Q4213" s="727"/>
      <c r="R4213" s="458"/>
      <c r="S4213" s="459"/>
      <c r="T4213" s="460"/>
      <c r="U4213" s="219"/>
      <c r="V4213" s="464"/>
      <c r="Y4213" s="537">
        <f>0.4*PRESUPUESTOS!$H$16</f>
        <v>10.3124</v>
      </c>
      <c r="AA4213" s="540" t="e">
        <f>IF(AND(C4212&lt;=F4208,F4208&lt;&gt;""),VLOOKUP(VALUE(E4189&amp;","&amp;C4212),INTEGRANTES!$D$18:$F$235,2,0),"")</f>
        <v>#N/A</v>
      </c>
      <c r="AB4213" s="545" t="e">
        <f t="shared" si="1247"/>
        <v>#N/A</v>
      </c>
      <c r="AC4213" s="529"/>
      <c r="AD4213" s="200" t="e">
        <f t="shared" si="1248"/>
        <v>#N/A</v>
      </c>
      <c r="AE4213" s="52"/>
      <c r="AF4213" s="52"/>
      <c r="AG4213" s="52"/>
      <c r="AH4213" s="87"/>
      <c r="AI4213" s="87"/>
    </row>
    <row r="4214" spans="1:35" ht="27" hidden="1" customHeight="1" thickBot="1">
      <c r="A4214" s="218" t="e">
        <f>"R"&amp;E4189</f>
        <v>#N/A</v>
      </c>
      <c r="B4214" s="702"/>
      <c r="C4214" s="114">
        <v>5</v>
      </c>
      <c r="D4214" s="194" t="e">
        <f>IF(AND(C4214&lt;=F4208,F4208&lt;&gt;""),VLOOKUP(VALUE(E4189&amp;","&amp;C4214),INTEGRANTES!$D$18:$F$235,2,0),"")</f>
        <v>#N/A</v>
      </c>
      <c r="E4214" s="211" t="e">
        <f>IF(D4214&lt;&gt;"",VLOOKUP(VALUE(E4189&amp;","&amp;C4214),INTEGRANTES!$D$18:$F$235,3,0),"")</f>
        <v>#N/A</v>
      </c>
      <c r="F4214" s="547" t="e">
        <f>IF(D4214="","",SUMIF($I4193:$I4202,D4214,$P4193:$P4202))</f>
        <v>#N/A</v>
      </c>
      <c r="G4214" s="333" t="e">
        <f>IF(D4214="","",SUMIF($I4193:$I4202,D4214,$M4193:$M4202))</f>
        <v>#N/A</v>
      </c>
      <c r="H4214" s="535" t="e">
        <f t="shared" si="1244"/>
        <v>#N/A</v>
      </c>
      <c r="I4214" s="212" t="e">
        <f>IF(D4214="","",IF(H4214="NO APORTA","NO",IF(H4214=MAX($H4210:$H4215),"SI","NO")))</f>
        <v>#N/A</v>
      </c>
      <c r="J4214" s="213" t="e">
        <f t="shared" si="1245"/>
        <v>#N/A</v>
      </c>
      <c r="K4214" s="200" t="e">
        <f t="shared" si="1246"/>
        <v>#N/A</v>
      </c>
      <c r="L4214" s="721"/>
      <c r="M4214" s="715" t="s">
        <v>116</v>
      </c>
      <c r="N4214" s="716"/>
      <c r="O4214" s="556" t="str">
        <f>PORCREQUERIDO*100&amp;"% PMFO DEL MÓDULO"</f>
        <v>50% PMFO DEL MÓDULO</v>
      </c>
      <c r="P4214" s="715" t="s">
        <v>118</v>
      </c>
      <c r="Q4214" s="728"/>
      <c r="R4214" s="458"/>
      <c r="S4214" s="459"/>
      <c r="T4214" s="460"/>
      <c r="U4214" s="219"/>
      <c r="V4214" s="464"/>
      <c r="Y4214" s="414"/>
      <c r="AA4214" s="540" t="e">
        <f>IF(AND(C4213&lt;=F4208,F4208&lt;&gt;""),VLOOKUP(VALUE(E4189&amp;","&amp;C4213),INTEGRANTES!$D$18:$F$235,2,0),"")</f>
        <v>#N/A</v>
      </c>
      <c r="AB4214" s="545" t="e">
        <f t="shared" si="1247"/>
        <v>#N/A</v>
      </c>
      <c r="AC4214" s="529"/>
      <c r="AD4214" s="200" t="e">
        <f t="shared" si="1248"/>
        <v>#N/A</v>
      </c>
      <c r="AE4214" s="52"/>
      <c r="AF4214" s="52"/>
      <c r="AG4214" s="52"/>
      <c r="AH4214" s="87"/>
      <c r="AI4214" s="87"/>
    </row>
    <row r="4215" spans="1:35" ht="16.5" hidden="1" thickBot="1">
      <c r="A4215" s="218" t="e">
        <f>"S"&amp;E4189</f>
        <v>#N/A</v>
      </c>
      <c r="B4215" s="702"/>
      <c r="C4215" s="215">
        <v>6</v>
      </c>
      <c r="D4215" s="216" t="e">
        <f>IF(AND(C4215&lt;=F4208,F4208&lt;&gt;""),VLOOKUP(VALUE(E4189&amp;","&amp;C4215),INTEGRANTES!$D$18:$F$235,2,0),"")</f>
        <v>#N/A</v>
      </c>
      <c r="E4215" s="217" t="e">
        <f>IF(D4215&lt;&gt;"",VLOOKUP(VALUE(E4189&amp;","&amp;C4215),INTEGRANTES!$D$18:$F$235,3,0),"")</f>
        <v>#N/A</v>
      </c>
      <c r="F4215" s="548" t="e">
        <f>IF(D4215="","",SUMIF($I4193:$I4202,D4215,$P4193:$P4202))</f>
        <v>#N/A</v>
      </c>
      <c r="G4215" s="334" t="e">
        <f>IF(D4215="","",SUMIF($I4193:$I4202,D4215,$M4193:$M4202))</f>
        <v>#N/A</v>
      </c>
      <c r="H4215" s="536" t="e">
        <f t="shared" si="1244"/>
        <v>#N/A</v>
      </c>
      <c r="I4215" s="214" t="e">
        <f>IF(D4215="","",IF(H4215="NO APORTA","NO",IF(H4215=MAX($H4210:$H4215),"SI","NO")))</f>
        <v>#N/A</v>
      </c>
      <c r="J4215" s="213" t="e">
        <f t="shared" si="1245"/>
        <v>#N/A</v>
      </c>
      <c r="K4215" s="200" t="e">
        <f t="shared" si="1246"/>
        <v>#N/A</v>
      </c>
      <c r="L4215" s="721"/>
      <c r="M4215" s="729">
        <f>NUMMOD</f>
        <v>1</v>
      </c>
      <c r="N4215" s="730"/>
      <c r="O4215" s="443">
        <f>IF(M4215="","",ROUND(VLOOKUP(M4215,PRESUPUESTOS!$B$16:$H$16,7,FALSE),3))</f>
        <v>25.780999999999999</v>
      </c>
      <c r="P4215" s="713">
        <f>IF(OR(COUNTIF(P4193:P4202,"")&gt;=10,Q4209&lt;NUMMINCONT,OR(T4207="NO CUMPLE",T4207="VERIFICAR")),0,ROUND((SUM(P4193:P4202)/SUM(M4193:M4202)),3))</f>
        <v>0</v>
      </c>
      <c r="Q4215" s="714"/>
      <c r="R4215" s="458"/>
      <c r="S4215" s="459"/>
      <c r="T4215" s="460"/>
      <c r="U4215" s="219"/>
      <c r="V4215" s="464"/>
      <c r="Y4215" s="532" t="s">
        <v>343</v>
      </c>
      <c r="AA4215" s="540" t="e">
        <f>IF(AND(C4214&lt;=F4208,F4208&lt;&gt;""),VLOOKUP(VALUE(E4189&amp;","&amp;C4214),INTEGRANTES!$D$18:$F$235,2,0),"")</f>
        <v>#N/A</v>
      </c>
      <c r="AB4215" s="545" t="e">
        <f t="shared" si="1247"/>
        <v>#N/A</v>
      </c>
      <c r="AC4215" s="529"/>
      <c r="AD4215" s="200" t="e">
        <f t="shared" si="1248"/>
        <v>#N/A</v>
      </c>
      <c r="AE4215" s="52"/>
      <c r="AF4215" s="52"/>
      <c r="AG4215" s="52"/>
      <c r="AH4215" s="87"/>
      <c r="AI4215" s="87"/>
    </row>
    <row r="4216" spans="1:35" ht="16.5" hidden="1" customHeight="1" thickBot="1">
      <c r="A4216" s="218" t="e">
        <f>"T"&amp;E4189</f>
        <v>#N/A</v>
      </c>
      <c r="B4216" s="703"/>
      <c r="C4216" s="719"/>
      <c r="D4216" s="719"/>
      <c r="E4216" s="719"/>
      <c r="F4216" s="719"/>
      <c r="G4216" s="719"/>
      <c r="H4216" s="719" t="s">
        <v>110</v>
      </c>
      <c r="I4216" s="719"/>
      <c r="J4216" s="719"/>
      <c r="K4216" s="201" t="str">
        <f>IF(COUNTIF(K4210:K4215,"")=6,"",IF(COUNTIF(K4210:K4215,"CUMPLE")&gt;0,"CUMPLE","NO CUMPLE"))</f>
        <v>NO CUMPLE</v>
      </c>
      <c r="L4216" s="754"/>
      <c r="M4216" s="755"/>
      <c r="N4216" s="755"/>
      <c r="O4216" s="755"/>
      <c r="P4216" s="755"/>
      <c r="Q4216" s="756"/>
      <c r="R4216" s="461"/>
      <c r="S4216" s="462"/>
      <c r="T4216" s="463"/>
      <c r="U4216" s="219"/>
      <c r="V4216" s="464"/>
      <c r="Y4216" s="549" t="e">
        <f>IF(Y4210="NO APLICA","NO APLICA",IF(COUNTIF(AD4211:AD4216,"CUMPLE")&gt;0,"CUMPLE","NO CUMPLE"))</f>
        <v>#N/A</v>
      </c>
      <c r="AA4216" s="541" t="e">
        <f>IF(AND(C4215&lt;=F4208,F4208&lt;&gt;""),VLOOKUP(VALUE(E4189&amp;","&amp;C4215),INTEGRANTES!$D$18:$F$235,2,0),"")</f>
        <v>#N/A</v>
      </c>
      <c r="AB4216" s="546" t="e">
        <f t="shared" si="1247"/>
        <v>#N/A</v>
      </c>
      <c r="AC4216" s="543"/>
      <c r="AD4216" s="201" t="e">
        <f t="shared" si="1248"/>
        <v>#N/A</v>
      </c>
      <c r="AE4216" s="52"/>
      <c r="AF4216" s="52"/>
      <c r="AG4216" s="52"/>
      <c r="AH4216" s="87"/>
      <c r="AI4216" s="87"/>
    </row>
    <row r="4217" spans="1:35" hidden="1">
      <c r="AH4217" s="87"/>
      <c r="AI4217" s="87"/>
    </row>
    <row r="4218" spans="1:35" hidden="1">
      <c r="AH4218" s="87"/>
      <c r="AI4218" s="87"/>
    </row>
    <row r="4219" spans="1:35" ht="24" hidden="1" thickBot="1">
      <c r="A4219" s="61">
        <v>141</v>
      </c>
      <c r="B4219" s="704" t="s">
        <v>51</v>
      </c>
      <c r="C4219" s="704"/>
      <c r="D4219" s="704"/>
      <c r="E4219" s="62" t="e">
        <f>VLOOKUP(A4219,PROPONENTES!$B$19:$E$218,2,FALSE)</f>
        <v>#N/A</v>
      </c>
      <c r="F4219" s="63" t="e">
        <f>VLOOKUP(A4219,PROPONENTES!$B$19:$E$218,3,FALSE)</f>
        <v>#N/A</v>
      </c>
      <c r="G4219" s="64"/>
      <c r="H4219" s="64"/>
      <c r="I4219" s="63"/>
      <c r="J4219" s="63"/>
      <c r="K4219" s="65"/>
      <c r="L4219" s="65"/>
      <c r="M4219" s="64"/>
      <c r="N4219" s="64"/>
      <c r="O4219" s="66"/>
      <c r="P4219" s="66"/>
      <c r="Q4219" s="66"/>
      <c r="R4219" s="66"/>
      <c r="S4219" s="67"/>
      <c r="T4219" s="68"/>
      <c r="U4219" s="68"/>
      <c r="AC4219" s="68"/>
      <c r="AD4219" s="68"/>
      <c r="AE4219" s="68"/>
      <c r="AF4219" s="68"/>
      <c r="AG4219" s="68"/>
      <c r="AH4219" s="87"/>
      <c r="AI4219" s="87"/>
    </row>
    <row r="4220" spans="1:35" ht="15.75" hidden="1" customHeight="1">
      <c r="A4220" s="44"/>
      <c r="B4220" s="709" t="s">
        <v>59</v>
      </c>
      <c r="C4220" s="552" t="s">
        <v>60</v>
      </c>
      <c r="D4220" s="70" t="s">
        <v>17</v>
      </c>
      <c r="E4220" s="70"/>
      <c r="F4220" s="70" t="s">
        <v>61</v>
      </c>
      <c r="G4220" s="71"/>
      <c r="H4220" s="699" t="s">
        <v>62</v>
      </c>
      <c r="I4220" s="699" t="s">
        <v>18</v>
      </c>
      <c r="J4220" s="699" t="s">
        <v>63</v>
      </c>
      <c r="K4220" s="699" t="s">
        <v>64</v>
      </c>
      <c r="L4220" s="699" t="s">
        <v>65</v>
      </c>
      <c r="M4220" s="743" t="s">
        <v>66</v>
      </c>
      <c r="N4220" s="699" t="s">
        <v>282</v>
      </c>
      <c r="O4220" s="745" t="s">
        <v>67</v>
      </c>
      <c r="P4220" s="746"/>
      <c r="Q4220" s="102" t="s">
        <v>75</v>
      </c>
      <c r="R4220" s="731" t="s">
        <v>22</v>
      </c>
      <c r="S4220" s="732"/>
      <c r="T4220" s="733"/>
      <c r="U4220" s="712" t="s">
        <v>298</v>
      </c>
      <c r="W4220" s="690" t="s">
        <v>268</v>
      </c>
      <c r="X4220" s="691"/>
      <c r="Y4220" s="692"/>
      <c r="Z4220" s="428"/>
      <c r="AA4220" s="697" t="s">
        <v>315</v>
      </c>
      <c r="AB4220" s="695" t="s">
        <v>322</v>
      </c>
      <c r="AC4220" s="49"/>
      <c r="AD4220" s="690" t="s">
        <v>297</v>
      </c>
      <c r="AE4220" s="691"/>
      <c r="AF4220" s="692"/>
      <c r="AG4220" s="49"/>
      <c r="AH4220" s="87"/>
      <c r="AI4220" s="87"/>
    </row>
    <row r="4221" spans="1:35" ht="72" hidden="1">
      <c r="A4221" s="44"/>
      <c r="B4221" s="710"/>
      <c r="C4221" s="553" t="s">
        <v>68</v>
      </c>
      <c r="D4221" s="73" t="s">
        <v>3</v>
      </c>
      <c r="E4221" s="73" t="s">
        <v>19</v>
      </c>
      <c r="F4221" s="73" t="s">
        <v>69</v>
      </c>
      <c r="G4221" s="74" t="s">
        <v>70</v>
      </c>
      <c r="H4221" s="700"/>
      <c r="I4221" s="700"/>
      <c r="J4221" s="700"/>
      <c r="K4221" s="700"/>
      <c r="L4221" s="700"/>
      <c r="M4221" s="744"/>
      <c r="N4221" s="700"/>
      <c r="O4221" s="553" t="s">
        <v>279</v>
      </c>
      <c r="P4221" s="73" t="s">
        <v>88</v>
      </c>
      <c r="Q4221" s="555" t="s">
        <v>76</v>
      </c>
      <c r="R4221" s="734"/>
      <c r="S4221" s="735"/>
      <c r="T4221" s="736"/>
      <c r="U4221" s="712"/>
      <c r="W4221" s="429" t="s">
        <v>269</v>
      </c>
      <c r="X4221" s="457" t="s">
        <v>278</v>
      </c>
      <c r="Y4221" s="430" t="s">
        <v>324</v>
      </c>
      <c r="Z4221" s="428"/>
      <c r="AA4221" s="698"/>
      <c r="AB4221" s="696"/>
      <c r="AC4221" s="49"/>
      <c r="AD4221" s="429" t="s">
        <v>292</v>
      </c>
      <c r="AE4221" s="431" t="s">
        <v>300</v>
      </c>
      <c r="AF4221" s="468" t="s">
        <v>301</v>
      </c>
      <c r="AG4221" s="49"/>
      <c r="AH4221" s="87"/>
      <c r="AI4221" s="87"/>
    </row>
    <row r="4222" spans="1:35" hidden="1">
      <c r="A4222" s="44"/>
      <c r="B4222" s="76"/>
      <c r="C4222" s="77"/>
      <c r="D4222" s="77"/>
      <c r="E4222" s="77"/>
      <c r="F4222" s="77"/>
      <c r="G4222" s="77"/>
      <c r="H4222" s="77"/>
      <c r="I4222" s="77"/>
      <c r="J4222" s="77"/>
      <c r="K4222" s="77"/>
      <c r="L4222" s="77"/>
      <c r="M4222" s="77"/>
      <c r="N4222" s="77"/>
      <c r="O4222" s="77"/>
      <c r="P4222" s="77"/>
      <c r="Q4222" s="77"/>
      <c r="R4222" s="77"/>
      <c r="S4222" s="78"/>
      <c r="T4222" s="79"/>
      <c r="U4222" s="109"/>
      <c r="V4222" s="49"/>
      <c r="W4222" s="432"/>
      <c r="X4222" s="454"/>
      <c r="Y4222" s="433"/>
      <c r="Z4222" s="6"/>
      <c r="AA4222" s="500"/>
      <c r="AB4222" s="562"/>
      <c r="AC4222" s="49"/>
      <c r="AD4222" s="210"/>
      <c r="AE4222" s="434"/>
      <c r="AF4222" s="435"/>
      <c r="AG4222" s="49"/>
      <c r="AH4222" s="87"/>
      <c r="AI4222" s="87"/>
    </row>
    <row r="4223" spans="1:35" hidden="1">
      <c r="A4223" s="80" t="e">
        <f>"A"&amp;E4219</f>
        <v>#N/A</v>
      </c>
      <c r="B4223" s="81">
        <v>1</v>
      </c>
      <c r="C4223" s="82"/>
      <c r="D4223" s="82"/>
      <c r="E4223" s="82"/>
      <c r="F4223" s="82"/>
      <c r="G4223" s="83"/>
      <c r="H4223" s="83"/>
      <c r="I4223" s="84"/>
      <c r="J4223" s="85"/>
      <c r="K4223" s="382"/>
      <c r="L4223" s="85"/>
      <c r="M4223" s="332" t="str">
        <f t="shared" ref="M4223:M4232" si="1249">IF(OR(J4223="",L4223="",H4223="NO"),"",IF(OR(J4223&gt;$P$17,J4223&lt;$O$17,L4223&gt;$P$17,AND(J4223&lt;$O$17,L4223&lt;$O$17)),"FUERA DE RANGO",IF(OR(K4223="---",K4223=""),IF(J4223&gt;=$O$17,ROUND((L4223-J4223+1)/360*12,3),ROUND((L4223-$O$17+1)/360*12,3)),IF(J4223&gt;=$O$17,ROUND((L4223-J4223+1)/360*12-ROUND(K4223,3),3),ROUND((L4223-$O$17+1)/360*12-ROUND(K4223,3),3)))))</f>
        <v/>
      </c>
      <c r="N4223" s="86"/>
      <c r="O4223" s="453" t="str">
        <f>IF(OR(G4223="",N4223=""),"",N4223*G4223)</f>
        <v/>
      </c>
      <c r="P4223" s="538" t="str">
        <f>IF(OR(H4223="",M4223="FUERA DE RANGO"),"",IF(OR(L4223&lt;$O$17,L4223&gt;$P$17,L4223="",H4223="NO"),"",IF(OR(N4223="",O4223=""),"",ROUND(O4223,3))))</f>
        <v/>
      </c>
      <c r="Q4223" s="539" t="str">
        <f t="shared" ref="Q4223:Q4232" si="1250">IF(AND(H4223="SI",P4223&lt;&gt;""),ROUND(P4223/M4223,3),"")</f>
        <v/>
      </c>
      <c r="R4223" s="737"/>
      <c r="S4223" s="738"/>
      <c r="T4223" s="739"/>
      <c r="U4223" s="470"/>
      <c r="V4223" s="165"/>
      <c r="W4223" s="446"/>
      <c r="X4223" s="456"/>
      <c r="Y4223" s="436"/>
      <c r="Z4223" s="437"/>
      <c r="AA4223" s="560"/>
      <c r="AB4223" s="561"/>
      <c r="AC4223" s="87"/>
      <c r="AD4223" s="466"/>
      <c r="AE4223" s="456"/>
      <c r="AF4223" s="467"/>
      <c r="AG4223" s="87"/>
      <c r="AH4223" s="87"/>
      <c r="AI4223" s="87"/>
    </row>
    <row r="4224" spans="1:35" hidden="1">
      <c r="A4224" s="80" t="e">
        <f>"B"&amp;E4219</f>
        <v>#N/A</v>
      </c>
      <c r="B4224" s="81">
        <v>2</v>
      </c>
      <c r="C4224" s="106"/>
      <c r="D4224" s="106"/>
      <c r="E4224" s="106"/>
      <c r="F4224" s="106"/>
      <c r="G4224" s="83"/>
      <c r="H4224" s="83"/>
      <c r="I4224" s="84"/>
      <c r="J4224" s="85"/>
      <c r="K4224" s="382"/>
      <c r="L4224" s="85"/>
      <c r="M4224" s="332" t="str">
        <f t="shared" si="1249"/>
        <v/>
      </c>
      <c r="N4224" s="86"/>
      <c r="O4224" s="453" t="str">
        <f t="shared" ref="O4224:O4232" si="1251">IF(OR(G4224="",N4224=""),"",N4224*G4224)</f>
        <v/>
      </c>
      <c r="P4224" s="538" t="str">
        <f t="shared" ref="P4224:P4232" si="1252">IF(OR(H4224="",M4224="FUERA DE RANGO"),"",IF(OR(L4224&lt;$O$17,L4224&gt;$P$17,L4224="",H4224="NO"),"",IF(OR(N4224="",O4224=""),"",ROUND(O4224,3))))</f>
        <v/>
      </c>
      <c r="Q4224" s="539" t="str">
        <f t="shared" si="1250"/>
        <v/>
      </c>
      <c r="R4224" s="740"/>
      <c r="S4224" s="741"/>
      <c r="T4224" s="742"/>
      <c r="U4224" s="471"/>
      <c r="V4224" s="165"/>
      <c r="W4224" s="446"/>
      <c r="X4224" s="456"/>
      <c r="Y4224" s="436"/>
      <c r="Z4224" s="437"/>
      <c r="AA4224" s="560"/>
      <c r="AB4224" s="561"/>
      <c r="AC4224" s="87"/>
      <c r="AD4224" s="466"/>
      <c r="AE4224" s="456"/>
      <c r="AF4224" s="467"/>
      <c r="AG4224" s="87"/>
      <c r="AH4224" s="87"/>
      <c r="AI4224" s="87"/>
    </row>
    <row r="4225" spans="1:35" hidden="1">
      <c r="A4225" s="80" t="e">
        <f>"C"&amp;E4219</f>
        <v>#N/A</v>
      </c>
      <c r="B4225" s="88">
        <v>3</v>
      </c>
      <c r="C4225" s="82"/>
      <c r="D4225" s="82"/>
      <c r="E4225" s="82"/>
      <c r="F4225" s="82"/>
      <c r="G4225" s="83"/>
      <c r="H4225" s="83"/>
      <c r="I4225" s="84"/>
      <c r="J4225" s="85"/>
      <c r="K4225" s="382"/>
      <c r="L4225" s="85"/>
      <c r="M4225" s="332" t="str">
        <f t="shared" si="1249"/>
        <v/>
      </c>
      <c r="N4225" s="86"/>
      <c r="O4225" s="453" t="str">
        <f t="shared" si="1251"/>
        <v/>
      </c>
      <c r="P4225" s="538" t="str">
        <f t="shared" si="1252"/>
        <v/>
      </c>
      <c r="Q4225" s="539" t="str">
        <f t="shared" si="1250"/>
        <v/>
      </c>
      <c r="R4225" s="706"/>
      <c r="S4225" s="707"/>
      <c r="T4225" s="708"/>
      <c r="U4225" s="472"/>
      <c r="V4225" s="166"/>
      <c r="W4225" s="446"/>
      <c r="X4225" s="456"/>
      <c r="Y4225" s="436"/>
      <c r="Z4225" s="437"/>
      <c r="AA4225" s="560"/>
      <c r="AB4225" s="561"/>
      <c r="AC4225" s="87"/>
      <c r="AD4225" s="466"/>
      <c r="AE4225" s="456"/>
      <c r="AF4225" s="467"/>
      <c r="AG4225" s="87"/>
      <c r="AH4225" s="87"/>
      <c r="AI4225" s="87"/>
    </row>
    <row r="4226" spans="1:35" hidden="1">
      <c r="A4226" s="80" t="e">
        <f>"D"&amp;E4219</f>
        <v>#N/A</v>
      </c>
      <c r="B4226" s="105">
        <v>4</v>
      </c>
      <c r="C4226" s="107"/>
      <c r="D4226" s="107"/>
      <c r="E4226" s="107"/>
      <c r="F4226" s="107"/>
      <c r="G4226" s="83"/>
      <c r="H4226" s="83"/>
      <c r="I4226" s="84"/>
      <c r="J4226" s="85"/>
      <c r="K4226" s="382"/>
      <c r="L4226" s="85"/>
      <c r="M4226" s="332" t="str">
        <f t="shared" si="1249"/>
        <v/>
      </c>
      <c r="N4226" s="86"/>
      <c r="O4226" s="453" t="str">
        <f t="shared" si="1251"/>
        <v/>
      </c>
      <c r="P4226" s="538" t="str">
        <f t="shared" si="1252"/>
        <v/>
      </c>
      <c r="Q4226" s="539" t="str">
        <f t="shared" si="1250"/>
        <v/>
      </c>
      <c r="R4226" s="706"/>
      <c r="S4226" s="707"/>
      <c r="T4226" s="708"/>
      <c r="U4226" s="472"/>
      <c r="V4226" s="166"/>
      <c r="W4226" s="446"/>
      <c r="X4226" s="456"/>
      <c r="Y4226" s="436"/>
      <c r="Z4226" s="437"/>
      <c r="AA4226" s="560"/>
      <c r="AB4226" s="561"/>
      <c r="AC4226" s="87"/>
      <c r="AD4226" s="466"/>
      <c r="AE4226" s="456"/>
      <c r="AF4226" s="467"/>
      <c r="AG4226" s="87"/>
      <c r="AH4226" s="87"/>
      <c r="AI4226" s="87"/>
    </row>
    <row r="4227" spans="1:35" hidden="1">
      <c r="A4227" s="80" t="e">
        <f>"E"&amp;E4219</f>
        <v>#N/A</v>
      </c>
      <c r="B4227" s="105">
        <v>5</v>
      </c>
      <c r="C4227" s="107"/>
      <c r="D4227" s="107"/>
      <c r="E4227" s="107"/>
      <c r="F4227" s="107"/>
      <c r="G4227" s="83"/>
      <c r="H4227" s="83"/>
      <c r="I4227" s="84"/>
      <c r="J4227" s="85"/>
      <c r="K4227" s="382"/>
      <c r="L4227" s="85"/>
      <c r="M4227" s="332" t="str">
        <f t="shared" si="1249"/>
        <v/>
      </c>
      <c r="N4227" s="86"/>
      <c r="O4227" s="453" t="str">
        <f t="shared" si="1251"/>
        <v/>
      </c>
      <c r="P4227" s="538" t="str">
        <f t="shared" si="1252"/>
        <v/>
      </c>
      <c r="Q4227" s="539" t="str">
        <f t="shared" si="1250"/>
        <v/>
      </c>
      <c r="R4227" s="706"/>
      <c r="S4227" s="707"/>
      <c r="T4227" s="708"/>
      <c r="U4227" s="472"/>
      <c r="V4227" s="167"/>
      <c r="W4227" s="446"/>
      <c r="X4227" s="456"/>
      <c r="Y4227" s="436"/>
      <c r="Z4227" s="437"/>
      <c r="AA4227" s="560"/>
      <c r="AB4227" s="561"/>
      <c r="AC4227" s="87"/>
      <c r="AD4227" s="466"/>
      <c r="AE4227" s="456"/>
      <c r="AF4227" s="467"/>
      <c r="AG4227" s="87"/>
      <c r="AH4227" s="87"/>
      <c r="AI4227" s="87"/>
    </row>
    <row r="4228" spans="1:35" hidden="1">
      <c r="A4228" s="80" t="e">
        <f>"F"&amp;E4219</f>
        <v>#N/A</v>
      </c>
      <c r="B4228" s="105">
        <v>6</v>
      </c>
      <c r="C4228" s="107"/>
      <c r="D4228" s="107"/>
      <c r="E4228" s="107"/>
      <c r="F4228" s="107"/>
      <c r="G4228" s="83"/>
      <c r="H4228" s="83"/>
      <c r="I4228" s="84"/>
      <c r="J4228" s="85"/>
      <c r="K4228" s="382"/>
      <c r="L4228" s="85"/>
      <c r="M4228" s="332" t="str">
        <f t="shared" si="1249"/>
        <v/>
      </c>
      <c r="N4228" s="86"/>
      <c r="O4228" s="453" t="str">
        <f t="shared" si="1251"/>
        <v/>
      </c>
      <c r="P4228" s="538" t="str">
        <f t="shared" si="1252"/>
        <v/>
      </c>
      <c r="Q4228" s="539" t="str">
        <f t="shared" si="1250"/>
        <v/>
      </c>
      <c r="R4228" s="706"/>
      <c r="S4228" s="707"/>
      <c r="T4228" s="708"/>
      <c r="U4228" s="472"/>
      <c r="V4228" s="167"/>
      <c r="W4228" s="446"/>
      <c r="X4228" s="456"/>
      <c r="Y4228" s="436"/>
      <c r="Z4228" s="437"/>
      <c r="AA4228" s="560"/>
      <c r="AB4228" s="561"/>
      <c r="AC4228" s="87"/>
      <c r="AD4228" s="466"/>
      <c r="AE4228" s="456"/>
      <c r="AF4228" s="467"/>
      <c r="AG4228" s="87"/>
      <c r="AH4228" s="87"/>
      <c r="AI4228" s="87"/>
    </row>
    <row r="4229" spans="1:35" hidden="1">
      <c r="A4229" s="80" t="e">
        <f>"G"&amp;E4219</f>
        <v>#N/A</v>
      </c>
      <c r="B4229" s="105">
        <v>7</v>
      </c>
      <c r="C4229" s="107"/>
      <c r="D4229" s="107"/>
      <c r="E4229" s="107"/>
      <c r="F4229" s="107"/>
      <c r="G4229" s="83"/>
      <c r="H4229" s="83"/>
      <c r="I4229" s="84"/>
      <c r="J4229" s="85"/>
      <c r="K4229" s="382"/>
      <c r="L4229" s="85"/>
      <c r="M4229" s="332" t="str">
        <f t="shared" si="1249"/>
        <v/>
      </c>
      <c r="N4229" s="86"/>
      <c r="O4229" s="86" t="str">
        <f t="shared" si="1251"/>
        <v/>
      </c>
      <c r="P4229" s="538" t="str">
        <f t="shared" si="1252"/>
        <v/>
      </c>
      <c r="Q4229" s="539" t="str">
        <f t="shared" si="1250"/>
        <v/>
      </c>
      <c r="R4229" s="706"/>
      <c r="S4229" s="707"/>
      <c r="T4229" s="708"/>
      <c r="U4229" s="472"/>
      <c r="V4229" s="167"/>
      <c r="W4229" s="446"/>
      <c r="X4229" s="456"/>
      <c r="Y4229" s="436"/>
      <c r="Z4229" s="437"/>
      <c r="AA4229" s="560"/>
      <c r="AB4229" s="561"/>
      <c r="AC4229" s="87"/>
      <c r="AD4229" s="466"/>
      <c r="AE4229" s="456"/>
      <c r="AF4229" s="467"/>
      <c r="AG4229" s="87"/>
      <c r="AH4229" s="87"/>
      <c r="AI4229" s="87"/>
    </row>
    <row r="4230" spans="1:35" hidden="1">
      <c r="A4230" s="80" t="e">
        <f>"H"&amp;E4219</f>
        <v>#N/A</v>
      </c>
      <c r="B4230" s="105">
        <v>8</v>
      </c>
      <c r="C4230" s="107"/>
      <c r="D4230" s="107"/>
      <c r="E4230" s="107"/>
      <c r="F4230" s="107"/>
      <c r="G4230" s="83"/>
      <c r="H4230" s="83"/>
      <c r="I4230" s="84"/>
      <c r="J4230" s="85"/>
      <c r="K4230" s="382"/>
      <c r="L4230" s="85"/>
      <c r="M4230" s="332" t="str">
        <f t="shared" si="1249"/>
        <v/>
      </c>
      <c r="N4230" s="453"/>
      <c r="O4230" s="86" t="str">
        <f t="shared" si="1251"/>
        <v/>
      </c>
      <c r="P4230" s="538" t="str">
        <f t="shared" si="1252"/>
        <v/>
      </c>
      <c r="Q4230" s="539" t="str">
        <f t="shared" si="1250"/>
        <v/>
      </c>
      <c r="R4230" s="706"/>
      <c r="S4230" s="707"/>
      <c r="T4230" s="708"/>
      <c r="U4230" s="472"/>
      <c r="V4230" s="167"/>
      <c r="W4230" s="446"/>
      <c r="X4230" s="456"/>
      <c r="Y4230" s="436"/>
      <c r="Z4230" s="437"/>
      <c r="AA4230" s="560"/>
      <c r="AB4230" s="561"/>
      <c r="AC4230" s="87"/>
      <c r="AD4230" s="466"/>
      <c r="AE4230" s="456"/>
      <c r="AF4230" s="467"/>
      <c r="AG4230" s="87"/>
      <c r="AH4230" s="87"/>
      <c r="AI4230" s="87"/>
    </row>
    <row r="4231" spans="1:35" hidden="1">
      <c r="A4231" s="80" t="e">
        <f>"I"&amp;E4219</f>
        <v>#N/A</v>
      </c>
      <c r="B4231" s="105">
        <v>9</v>
      </c>
      <c r="C4231" s="107"/>
      <c r="D4231" s="107"/>
      <c r="E4231" s="107"/>
      <c r="F4231" s="107"/>
      <c r="G4231" s="83"/>
      <c r="H4231" s="83"/>
      <c r="I4231" s="84"/>
      <c r="J4231" s="85"/>
      <c r="K4231" s="382"/>
      <c r="L4231" s="85"/>
      <c r="M4231" s="332" t="str">
        <f t="shared" si="1249"/>
        <v/>
      </c>
      <c r="N4231" s="453"/>
      <c r="O4231" s="86" t="str">
        <f t="shared" si="1251"/>
        <v/>
      </c>
      <c r="P4231" s="538" t="str">
        <f t="shared" si="1252"/>
        <v/>
      </c>
      <c r="Q4231" s="539" t="str">
        <f t="shared" si="1250"/>
        <v/>
      </c>
      <c r="R4231" s="706"/>
      <c r="S4231" s="707"/>
      <c r="T4231" s="708"/>
      <c r="U4231" s="472"/>
      <c r="V4231" s="167"/>
      <c r="W4231" s="446"/>
      <c r="X4231" s="456"/>
      <c r="Y4231" s="436"/>
      <c r="Z4231" s="437"/>
      <c r="AA4231" s="560"/>
      <c r="AB4231" s="561"/>
      <c r="AC4231" s="87"/>
      <c r="AD4231" s="466"/>
      <c r="AE4231" s="456"/>
      <c r="AF4231" s="467"/>
      <c r="AG4231" s="87"/>
      <c r="AH4231" s="87"/>
      <c r="AI4231" s="87"/>
    </row>
    <row r="4232" spans="1:35" hidden="1">
      <c r="A4232" s="80" t="e">
        <f>"J"&amp;E4219</f>
        <v>#N/A</v>
      </c>
      <c r="B4232" s="105">
        <v>10</v>
      </c>
      <c r="C4232" s="107"/>
      <c r="D4232" s="107"/>
      <c r="E4232" s="107"/>
      <c r="F4232" s="107"/>
      <c r="G4232" s="83"/>
      <c r="H4232" s="83"/>
      <c r="I4232" s="84"/>
      <c r="J4232" s="85"/>
      <c r="K4232" s="382"/>
      <c r="L4232" s="85"/>
      <c r="M4232" s="332" t="str">
        <f t="shared" si="1249"/>
        <v/>
      </c>
      <c r="N4232" s="453"/>
      <c r="O4232" s="86" t="str">
        <f t="shared" si="1251"/>
        <v/>
      </c>
      <c r="P4232" s="538" t="str">
        <f t="shared" si="1252"/>
        <v/>
      </c>
      <c r="Q4232" s="539" t="str">
        <f t="shared" si="1250"/>
        <v/>
      </c>
      <c r="R4232" s="706"/>
      <c r="S4232" s="707"/>
      <c r="T4232" s="708"/>
      <c r="U4232" s="472"/>
      <c r="V4232" s="167"/>
      <c r="W4232" s="446"/>
      <c r="X4232" s="456"/>
      <c r="Y4232" s="436"/>
      <c r="Z4232" s="437"/>
      <c r="AA4232" s="560"/>
      <c r="AB4232" s="561"/>
      <c r="AC4232" s="87"/>
      <c r="AD4232" s="466"/>
      <c r="AE4232" s="456"/>
      <c r="AF4232" s="467"/>
      <c r="AG4232" s="87"/>
      <c r="AH4232" s="87"/>
      <c r="AI4232" s="87"/>
    </row>
    <row r="4233" spans="1:35" ht="16.5" hidden="1" thickBot="1">
      <c r="A4233" s="44"/>
      <c r="B4233" s="89"/>
      <c r="C4233" s="90"/>
      <c r="D4233" s="90"/>
      <c r="E4233" s="90"/>
      <c r="F4233" s="90"/>
      <c r="G4233" s="90"/>
      <c r="H4233" s="90"/>
      <c r="I4233" s="90"/>
      <c r="J4233" s="90"/>
      <c r="K4233" s="90"/>
      <c r="L4233" s="90"/>
      <c r="M4233" s="90"/>
      <c r="N4233" s="90"/>
      <c r="O4233" s="90"/>
      <c r="P4233" s="90"/>
      <c r="Q4233" s="90"/>
      <c r="R4233" s="90"/>
      <c r="S4233" s="91"/>
      <c r="T4233" s="92"/>
      <c r="U4233" s="473"/>
      <c r="W4233" s="438"/>
      <c r="X4233" s="455"/>
      <c r="Y4233" s="439"/>
      <c r="Z4233" s="437"/>
      <c r="AA4233" s="530"/>
      <c r="AB4233" s="563"/>
      <c r="AC4233" s="87"/>
      <c r="AD4233" s="440"/>
      <c r="AE4233" s="441"/>
      <c r="AF4233" s="442"/>
      <c r="AG4233" s="49"/>
      <c r="AH4233" s="87"/>
      <c r="AI4233" s="87"/>
    </row>
    <row r="4234" spans="1:35" ht="16.5" hidden="1" thickBot="1">
      <c r="A4234" s="93"/>
      <c r="B4234" s="94"/>
      <c r="C4234" s="96"/>
      <c r="D4234" s="96"/>
      <c r="E4234" s="96"/>
      <c r="F4234" s="96"/>
      <c r="G4234" s="96"/>
      <c r="H4234" s="96"/>
      <c r="I4234" s="96"/>
      <c r="J4234" s="96"/>
      <c r="K4234" s="96"/>
      <c r="L4234" s="96"/>
      <c r="M4234" s="136"/>
      <c r="N4234" s="96"/>
      <c r="O4234" s="96"/>
      <c r="P4234" s="97"/>
      <c r="Q4234" s="97"/>
      <c r="R4234" s="98"/>
      <c r="S4234" s="95"/>
      <c r="T4234" s="99"/>
      <c r="U4234" s="469"/>
      <c r="AC4234" s="58"/>
      <c r="AG4234" s="58"/>
      <c r="AH4234" s="87"/>
      <c r="AI4234" s="87"/>
    </row>
    <row r="4235" spans="1:35" ht="16.5" hidden="1" thickBot="1">
      <c r="B4235" s="101"/>
      <c r="C4235" s="101"/>
      <c r="D4235" s="101"/>
      <c r="E4235" s="101"/>
      <c r="F4235" s="101"/>
      <c r="G4235" s="101"/>
      <c r="H4235" s="101"/>
      <c r="I4235" s="101"/>
      <c r="J4235" s="101"/>
      <c r="K4235" s="101"/>
      <c r="L4235" s="101"/>
      <c r="M4235" s="101"/>
      <c r="N4235" s="101"/>
      <c r="O4235" s="101"/>
      <c r="P4235" s="101"/>
      <c r="Q4235" s="101"/>
      <c r="R4235" s="101"/>
      <c r="S4235" s="101"/>
      <c r="U4235" s="50"/>
      <c r="AH4235" s="87"/>
      <c r="AI4235" s="87"/>
    </row>
    <row r="4236" spans="1:35" ht="16.5" hidden="1" customHeight="1" thickBot="1">
      <c r="A4236" s="44"/>
      <c r="B4236" s="705" t="s">
        <v>74</v>
      </c>
      <c r="C4236" s="705"/>
      <c r="D4236" s="705"/>
      <c r="E4236" s="705"/>
      <c r="F4236" s="705"/>
      <c r="G4236" s="705"/>
      <c r="H4236" s="705"/>
      <c r="I4236" s="705"/>
      <c r="J4236" s="705"/>
      <c r="K4236" s="705"/>
      <c r="L4236" s="705"/>
      <c r="M4236" s="705"/>
      <c r="N4236" s="705"/>
      <c r="O4236" s="705"/>
      <c r="P4236" s="705"/>
      <c r="Q4236" s="705"/>
      <c r="R4236" s="705"/>
      <c r="S4236" s="705"/>
      <c r="T4236" s="705"/>
      <c r="U4236" s="108"/>
      <c r="Y4236" s="532" t="s">
        <v>341</v>
      </c>
      <c r="AC4236" s="49"/>
      <c r="AD4236" s="687" t="s">
        <v>302</v>
      </c>
      <c r="AE4236" s="688"/>
      <c r="AF4236" s="689"/>
      <c r="AG4236" s="49"/>
      <c r="AH4236" s="87"/>
      <c r="AI4236" s="87"/>
    </row>
    <row r="4237" spans="1:35" ht="16.5" hidden="1" customHeight="1" thickBot="1">
      <c r="A4237" s="218" t="e">
        <f>"K"&amp;E4219</f>
        <v>#N/A</v>
      </c>
      <c r="B4237" s="701" t="s">
        <v>71</v>
      </c>
      <c r="C4237" s="751" t="s">
        <v>102</v>
      </c>
      <c r="D4237" s="751"/>
      <c r="E4237" s="751"/>
      <c r="F4237" s="751"/>
      <c r="G4237" s="751"/>
      <c r="H4237" s="751"/>
      <c r="I4237" s="751"/>
      <c r="J4237" s="751"/>
      <c r="K4237" s="751"/>
      <c r="L4237" s="722" t="s">
        <v>100</v>
      </c>
      <c r="M4237" s="747" t="s">
        <v>114</v>
      </c>
      <c r="N4237" s="747"/>
      <c r="O4237" s="747"/>
      <c r="P4237" s="747"/>
      <c r="Q4237" s="748"/>
      <c r="R4237" s="758" t="s">
        <v>280</v>
      </c>
      <c r="S4237" s="748"/>
      <c r="T4237" s="762" t="str">
        <f>IF(COUNTIF(AE4237:AF4237,"VERIFICAR")&gt;0,"VERIFICAR",IF(COUNTIF(AE4237:AF4237,"NO CUMPLE")&gt;0,"NO CUMPLE","CUMPLE"))</f>
        <v>VERIFICAR</v>
      </c>
      <c r="U4237" s="108"/>
      <c r="Y4237" s="533" t="e">
        <f>IF(F4238="","",IF(F4238=1,"INDIVIDUAL","ESTRUCTURA PLURAL"))</f>
        <v>#N/A</v>
      </c>
      <c r="AC4237" s="52"/>
      <c r="AD4237" s="475" t="s">
        <v>303</v>
      </c>
      <c r="AE4237" s="476" t="str">
        <f>IF(COUNTIF(AE4223:AE4232,"")=10,"VERIFICAR",IF(COUNTIF(AE4223:AE4232,"SI")&gt;0,"CUMPLE","NO CUMPLE"))</f>
        <v>VERIFICAR</v>
      </c>
      <c r="AF4237" s="477" t="str">
        <f>IF(COUNTIF(AF4223:AF4232,"")=10,"VERIFICAR",IF(COUNTIF(AF4223:AF4232,"SI")&gt;=$AI$22,"CUMPLE","NO CUMPLE"))</f>
        <v>VERIFICAR</v>
      </c>
      <c r="AG4237" s="52"/>
      <c r="AH4237" s="87"/>
      <c r="AI4237" s="87"/>
    </row>
    <row r="4238" spans="1:35" ht="15.75" hidden="1" customHeight="1" thickBot="1">
      <c r="A4238" s="218" t="e">
        <f>"L"&amp;E4219</f>
        <v>#N/A</v>
      </c>
      <c r="B4238" s="702"/>
      <c r="C4238" s="751" t="s">
        <v>103</v>
      </c>
      <c r="D4238" s="751"/>
      <c r="E4238" s="752"/>
      <c r="F4238" s="557" t="e">
        <f>IF(VLOOKUP(E4219,PROPONENTES!$C$19:$E$218,3,0)="","",VLOOKUP(E4219,PROPONENTES!$C$19:$E$218,3,0))</f>
        <v>#N/A</v>
      </c>
      <c r="G4238" s="753" t="s">
        <v>104</v>
      </c>
      <c r="H4238" s="751"/>
      <c r="I4238" s="715" t="e">
        <f>IF(OR(F4238="",F4238=1),"INTERESADO PERSONA NATURAL O JURIDICA","CONSORCIO O UNION TEMPORAL")</f>
        <v>#N/A</v>
      </c>
      <c r="J4238" s="725"/>
      <c r="K4238" s="728"/>
      <c r="L4238" s="723"/>
      <c r="M4238" s="749"/>
      <c r="N4238" s="749"/>
      <c r="O4238" s="749"/>
      <c r="P4238" s="749"/>
      <c r="Q4238" s="750"/>
      <c r="R4238" s="712"/>
      <c r="S4238" s="750"/>
      <c r="T4238" s="763"/>
      <c r="U4238" s="108"/>
      <c r="Y4238" s="534"/>
      <c r="AA4238" s="52"/>
      <c r="AB4238" s="52"/>
      <c r="AC4238" s="52"/>
      <c r="AG4238" s="52"/>
      <c r="AH4238" s="87"/>
      <c r="AI4238" s="87"/>
    </row>
    <row r="4239" spans="1:35" ht="56.25" hidden="1" customHeight="1" thickBot="1">
      <c r="A4239" s="218" t="e">
        <f>"M"&amp;E4219</f>
        <v>#N/A</v>
      </c>
      <c r="B4239" s="702"/>
      <c r="C4239" s="725" t="s">
        <v>101</v>
      </c>
      <c r="D4239" s="716"/>
      <c r="E4239" s="558" t="s">
        <v>105</v>
      </c>
      <c r="F4239" s="554" t="s">
        <v>87</v>
      </c>
      <c r="G4239" s="553" t="s">
        <v>86</v>
      </c>
      <c r="H4239" s="559" t="s">
        <v>85</v>
      </c>
      <c r="I4239" s="554" t="s">
        <v>252</v>
      </c>
      <c r="J4239" s="553" t="str">
        <f>"¿EL INTEGRANTE TIENE UNA PARTICIPACIÓN DEL "&amp;PORCREQUERIDOINT*100&amp;"%?"</f>
        <v>¿EL INTEGRANTE TIENE UNA PARTICIPACIÓN DEL 60%?</v>
      </c>
      <c r="K4239" s="554" t="s">
        <v>107</v>
      </c>
      <c r="L4239" s="724"/>
      <c r="M4239" s="717" t="s">
        <v>115</v>
      </c>
      <c r="N4239" s="718"/>
      <c r="O4239" s="718"/>
      <c r="P4239" s="718"/>
      <c r="Q4239" s="223">
        <f>IF(AND(H4223="SI",P4223&gt;=0),1,0)+IF(AND(H4224="SI",P4224&gt;=0),1,0)+IF(AND(H4225="SI",P4225&gt;=0),1,0)+IF(AND(H4226="SI",P4226&gt;=0),1,0)+IF(AND(H4227="SI",P4227&gt;=0),1,0)+IF(AND(H4228="SI",P4228&gt;=0),1,0)+IF(AND(H4229="SI",P4229&gt;=0),1,0)+IF(AND(H4230="SI",P4230&gt;=0),1,0)+IF(AND(H4231="SI",P4231&gt;=0),1,0)+IF(AND(H4232="SI",P4232&gt;=0),1,0)</f>
        <v>0</v>
      </c>
      <c r="R4239" s="759"/>
      <c r="S4239" s="761"/>
      <c r="T4239" s="764"/>
      <c r="U4239" s="219"/>
      <c r="V4239" s="464"/>
      <c r="Y4239" s="532" t="s">
        <v>342</v>
      </c>
      <c r="AA4239" s="550" t="s">
        <v>344</v>
      </c>
      <c r="AB4239" s="693" t="s">
        <v>345</v>
      </c>
      <c r="AC4239" s="693" t="s">
        <v>346</v>
      </c>
      <c r="AD4239" s="685" t="s">
        <v>347</v>
      </c>
      <c r="AE4239" s="52"/>
      <c r="AF4239" s="52"/>
      <c r="AG4239" s="52"/>
      <c r="AH4239" s="87"/>
      <c r="AI4239" s="87"/>
    </row>
    <row r="4240" spans="1:35" ht="15.75" hidden="1" customHeight="1" thickBot="1">
      <c r="A4240" s="218" t="e">
        <f>"N"&amp;E4219</f>
        <v>#N/A</v>
      </c>
      <c r="B4240" s="702"/>
      <c r="C4240" s="114">
        <v>1</v>
      </c>
      <c r="D4240" s="194" t="e">
        <f>IF(AND(C4240&lt;=F4238,F4238&gt;1,F4238&lt;&gt;""),VLOOKUP(VALUE(E4219&amp;","&amp;C4240),INTEGRANTES!$D$18:$F$235,2,0),"")</f>
        <v>#N/A</v>
      </c>
      <c r="E4240" s="211" t="e">
        <f>IF(D4240&lt;&gt;"",VLOOKUP(VALUE(E4219&amp;","&amp;C4240),INTEGRANTES!$D$18:$F$235,3,0),"")</f>
        <v>#N/A</v>
      </c>
      <c r="F4240" s="547" t="e">
        <f>IF(D4240="","",SUMIF($I4223:$I4232,D4240,$P4223:$P4232))</f>
        <v>#N/A</v>
      </c>
      <c r="G4240" s="333" t="e">
        <f>IF(D4240="","",SUMIF($I4223:$I4232,D4240,$M4223:$M4232))</f>
        <v>#N/A</v>
      </c>
      <c r="H4240" s="535" t="e">
        <f t="shared" ref="H4240:H4245" si="1253">IF(D4240="","",IF(OR(F4240=0,G4240=0),"NO APORTA",ROUND($F4240/$G4240,3)))</f>
        <v>#N/A</v>
      </c>
      <c r="I4240" s="212" t="e">
        <f>IF(D4240="","",IF(H4240="NO APORTA","NO",IF(H4240=MAX($H4240:$H4245),"SI","NO")))</f>
        <v>#N/A</v>
      </c>
      <c r="J4240" s="213" t="e">
        <f t="shared" ref="J4240:J4245" si="1254">IF(D4240="","",IF(E4240&gt;=PORCREQUERIDOINT,"SI","NO"))</f>
        <v>#N/A</v>
      </c>
      <c r="K4240" s="200" t="e">
        <f t="shared" ref="K4240:K4245" si="1255">IF(D4240="","",IF(AND(I4240="SI",J4240="SI"),"CUMPLE",IF(AND(I4240="NO",OR(J4240="SI",J4240="NO")),"","NO CUMPLE")))</f>
        <v>#N/A</v>
      </c>
      <c r="L4240" s="722" t="s">
        <v>108</v>
      </c>
      <c r="M4240" s="726" t="s">
        <v>119</v>
      </c>
      <c r="N4240" s="726"/>
      <c r="O4240" s="726"/>
      <c r="P4240" s="726"/>
      <c r="Q4240" s="727"/>
      <c r="R4240" s="758" t="s">
        <v>80</v>
      </c>
      <c r="S4240" s="747"/>
      <c r="T4240" s="748"/>
      <c r="U4240" s="219"/>
      <c r="V4240" s="464"/>
      <c r="Y4240" s="533" t="e">
        <f>IF(Y4237="","",IF(Y4237="INDIVIDUAL","NO APLICA","VERIFICAR CUADRO"))</f>
        <v>#N/A</v>
      </c>
      <c r="AA4240" s="551"/>
      <c r="AB4240" s="694"/>
      <c r="AC4240" s="694"/>
      <c r="AD4240" s="686"/>
      <c r="AE4240" s="52"/>
      <c r="AF4240" s="52"/>
      <c r="AG4240" s="52"/>
      <c r="AH4240" s="87"/>
      <c r="AI4240" s="87"/>
    </row>
    <row r="4241" spans="1:35" ht="27" hidden="1" customHeight="1" thickBot="1">
      <c r="A4241" s="218" t="e">
        <f>"O"&amp;E4219</f>
        <v>#N/A</v>
      </c>
      <c r="B4241" s="702"/>
      <c r="C4241" s="114">
        <v>2</v>
      </c>
      <c r="D4241" s="194" t="e">
        <f>IF(AND(C4241&lt;=F4238,F4238&lt;&gt;""),VLOOKUP(VALUE(E4219&amp;","&amp;C4241),INTEGRANTES!$D$18:$F$235,2,0),"")</f>
        <v>#N/A</v>
      </c>
      <c r="E4241" s="211" t="e">
        <f>IF(D4241&lt;&gt;"",VLOOKUP(VALUE(E4219&amp;","&amp;C4241),INTEGRANTES!$D$18:$F$235,3,0),"")</f>
        <v>#N/A</v>
      </c>
      <c r="F4241" s="547" t="e">
        <f>IF(D4241="","",SUMIF($I4223:$I4232,D4241,$P4223:$P4232))</f>
        <v>#N/A</v>
      </c>
      <c r="G4241" s="333" t="e">
        <f>IF(D4241="","",SUMIF($I4223:$I4232,D4241,$M4223:$M4232))</f>
        <v>#N/A</v>
      </c>
      <c r="H4241" s="535" t="e">
        <f t="shared" si="1253"/>
        <v>#N/A</v>
      </c>
      <c r="I4241" s="212" t="e">
        <f>IF(D4241="","",IF(H4241="NO APORTA","NO",IF(H4241=MAX($H4240:$H4245),"SI","NO")))</f>
        <v>#N/A</v>
      </c>
      <c r="J4241" s="213" t="e">
        <f t="shared" si="1254"/>
        <v>#N/A</v>
      </c>
      <c r="K4241" s="200" t="e">
        <f t="shared" si="1255"/>
        <v>#N/A</v>
      </c>
      <c r="L4241" s="723"/>
      <c r="M4241" s="715" t="s">
        <v>116</v>
      </c>
      <c r="N4241" s="716"/>
      <c r="O4241" s="556" t="s">
        <v>113</v>
      </c>
      <c r="P4241" s="715" t="s">
        <v>117</v>
      </c>
      <c r="Q4241" s="728"/>
      <c r="R4241" s="759"/>
      <c r="S4241" s="760"/>
      <c r="T4241" s="761"/>
      <c r="U4241" s="219"/>
      <c r="V4241" s="464"/>
      <c r="Y4241" s="414"/>
      <c r="AA4241" s="542" t="e">
        <f>IF(AND(C4240&lt;=F4238,F4238&gt;1,F4238&lt;&gt;""),VLOOKUP(VALUE(E4219&amp;","&amp;C4240),INTEGRANTES!$D$18:$F$235,2,0),"")</f>
        <v>#N/A</v>
      </c>
      <c r="AB4241" s="544" t="e">
        <f t="shared" ref="AB4241:AB4246" si="1256">IF(D4240="","",IF(OR(F4240=0,G4240=0),"NO APORTA",ROUND($F4240/$G4240,3)))</f>
        <v>#N/A</v>
      </c>
      <c r="AC4241" s="529"/>
      <c r="AD4241" s="200" t="e">
        <f t="shared" ref="AD4241:AD4246" si="1257">IF(OR(AA4241="",AB4241=""),"",IF(AND(AC4241="X",AB4241&gt;=EXPREQVTD),"CUMPLE","NO CUMPLE"))</f>
        <v>#N/A</v>
      </c>
      <c r="AE4241" s="52"/>
      <c r="AF4241" s="52"/>
      <c r="AG4241" s="52"/>
      <c r="AH4241" s="87"/>
      <c r="AI4241" s="87"/>
    </row>
    <row r="4242" spans="1:35" ht="16.5" hidden="1" thickBot="1">
      <c r="A4242" s="218" t="e">
        <f>"P"&amp;E4219</f>
        <v>#N/A</v>
      </c>
      <c r="B4242" s="702"/>
      <c r="C4242" s="114">
        <v>3</v>
      </c>
      <c r="D4242" s="194" t="e">
        <f>IF(AND(C4242&lt;=F4238,F4238&lt;&gt;""),VLOOKUP(VALUE(E4219&amp;","&amp;C4242),INTEGRANTES!$D$18:$F$235,2,0),"")</f>
        <v>#N/A</v>
      </c>
      <c r="E4242" s="211" t="e">
        <f>IF(D4242&lt;&gt;"",VLOOKUP(VALUE(E4219&amp;","&amp;C4242),INTEGRANTES!$D$18:$F$235,3,0),"")</f>
        <v>#N/A</v>
      </c>
      <c r="F4242" s="547" t="e">
        <f>IF(D4242="","",SUMIF($I4223:$I4232,D4242,$P4223:$P4232))</f>
        <v>#N/A</v>
      </c>
      <c r="G4242" s="333" t="e">
        <f>IF(D4242="","",SUMIF($I4223:$I4232,D4242,$M4223:$M4232))</f>
        <v>#N/A</v>
      </c>
      <c r="H4242" s="535" t="e">
        <f t="shared" si="1253"/>
        <v>#N/A</v>
      </c>
      <c r="I4242" s="212" t="e">
        <f>IF(D4242="","",IF(H4242="NO APORTA","NO",IF(H4242=MAX($H4240:$H4245),"SI","NO")))</f>
        <v>#N/A</v>
      </c>
      <c r="J4242" s="213" t="e">
        <f t="shared" si="1254"/>
        <v>#N/A</v>
      </c>
      <c r="K4242" s="200" t="e">
        <f t="shared" si="1255"/>
        <v>#N/A</v>
      </c>
      <c r="L4242" s="724"/>
      <c r="M4242" s="729">
        <f>NUMMOD</f>
        <v>1</v>
      </c>
      <c r="N4242" s="730"/>
      <c r="O4242" s="443">
        <f>IF(M4242="","",VLOOKUP(M4242,PRESUPUESTOS!$B$16:$H$16,5,FALSE))</f>
        <v>2</v>
      </c>
      <c r="P4242" s="713">
        <f>IF(OR(COUNTIF(M4223:M4232,"")&gt;=10,Q4239&lt;NUMMINCONT,OR(T4237="NO CUMPLE",T4237="VERIFICAR")),0,ROUND(AVERAGE(M4223:M4232),3))</f>
        <v>0</v>
      </c>
      <c r="Q4242" s="714"/>
      <c r="R4242" s="458"/>
      <c r="S4242" s="459"/>
      <c r="T4242" s="460"/>
      <c r="U4242" s="219"/>
      <c r="V4242" s="464"/>
      <c r="Y4242" s="532" t="str">
        <f>"40% * ("&amp;PRESUPUESTOS!$H$13&amp;")"</f>
        <v>40% * (50% PFMO)</v>
      </c>
      <c r="AA4242" s="540" t="e">
        <f>IF(AND(C4241&lt;=F4238,F4238&lt;&gt;""),VLOOKUP(VALUE(E4219&amp;","&amp;C4241),INTEGRANTES!$D$18:$F$235,2,0),"")</f>
        <v>#N/A</v>
      </c>
      <c r="AB4242" s="545" t="e">
        <f t="shared" si="1256"/>
        <v>#N/A</v>
      </c>
      <c r="AC4242" s="529"/>
      <c r="AD4242" s="200" t="e">
        <f t="shared" si="1257"/>
        <v>#N/A</v>
      </c>
      <c r="AE4242" s="52"/>
      <c r="AF4242" s="52"/>
      <c r="AG4242" s="52"/>
      <c r="AH4242" s="87"/>
      <c r="AI4242" s="87"/>
    </row>
    <row r="4243" spans="1:35" ht="15.75" hidden="1" customHeight="1" thickBot="1">
      <c r="A4243" s="218" t="e">
        <f>"Q"&amp;E4219</f>
        <v>#N/A</v>
      </c>
      <c r="B4243" s="702"/>
      <c r="C4243" s="114">
        <v>4</v>
      </c>
      <c r="D4243" s="194" t="e">
        <f>IF(AND(C4243&lt;=F4238,F4238&lt;&gt;""),VLOOKUP(VALUE(E4219&amp;","&amp;C4243),INTEGRANTES!$D$18:$F$235,2,0),"")</f>
        <v>#N/A</v>
      </c>
      <c r="E4243" s="211" t="e">
        <f>IF(D4243&lt;&gt;"",VLOOKUP(VALUE(E4219&amp;","&amp;C4243),INTEGRANTES!$D$18:$F$235,3,0),"")</f>
        <v>#N/A</v>
      </c>
      <c r="F4243" s="547" t="e">
        <f>IF(D4243="","",SUMIF($I4223:$I4232,D4243,$P4223:$P4232))</f>
        <v>#N/A</v>
      </c>
      <c r="G4243" s="333" t="e">
        <f>IF(D4243="","",SUMIF($I4223:$I4232,D4243,$M4223:$M4232))</f>
        <v>#N/A</v>
      </c>
      <c r="H4243" s="535" t="e">
        <f t="shared" si="1253"/>
        <v>#N/A</v>
      </c>
      <c r="I4243" s="212" t="e">
        <f>IF(D4243="","",IF(H4243="NO APORTA","NO",IF(H4243=MAX($H4240:$H4245),"SI","NO")))</f>
        <v>#N/A</v>
      </c>
      <c r="J4243" s="213" t="e">
        <f t="shared" si="1254"/>
        <v>#N/A</v>
      </c>
      <c r="K4243" s="200" t="e">
        <f t="shared" si="1255"/>
        <v>#N/A</v>
      </c>
      <c r="L4243" s="720" t="s">
        <v>109</v>
      </c>
      <c r="M4243" s="757" t="s">
        <v>120</v>
      </c>
      <c r="N4243" s="726"/>
      <c r="O4243" s="726"/>
      <c r="P4243" s="726"/>
      <c r="Q4243" s="727"/>
      <c r="R4243" s="458"/>
      <c r="S4243" s="459"/>
      <c r="T4243" s="460"/>
      <c r="U4243" s="219"/>
      <c r="V4243" s="464"/>
      <c r="Y4243" s="537">
        <f>0.4*PRESUPUESTOS!$H$16</f>
        <v>10.3124</v>
      </c>
      <c r="AA4243" s="540" t="e">
        <f>IF(AND(C4242&lt;=F4238,F4238&lt;&gt;""),VLOOKUP(VALUE(E4219&amp;","&amp;C4242),INTEGRANTES!$D$18:$F$235,2,0),"")</f>
        <v>#N/A</v>
      </c>
      <c r="AB4243" s="545" t="e">
        <f t="shared" si="1256"/>
        <v>#N/A</v>
      </c>
      <c r="AC4243" s="529"/>
      <c r="AD4243" s="200" t="e">
        <f t="shared" si="1257"/>
        <v>#N/A</v>
      </c>
      <c r="AE4243" s="52"/>
      <c r="AF4243" s="52"/>
      <c r="AG4243" s="52"/>
      <c r="AH4243" s="87"/>
      <c r="AI4243" s="87"/>
    </row>
    <row r="4244" spans="1:35" ht="27" hidden="1" customHeight="1" thickBot="1">
      <c r="A4244" s="218" t="e">
        <f>"R"&amp;E4219</f>
        <v>#N/A</v>
      </c>
      <c r="B4244" s="702"/>
      <c r="C4244" s="114">
        <v>5</v>
      </c>
      <c r="D4244" s="194" t="e">
        <f>IF(AND(C4244&lt;=F4238,F4238&lt;&gt;""),VLOOKUP(VALUE(E4219&amp;","&amp;C4244),INTEGRANTES!$D$18:$F$235,2,0),"")</f>
        <v>#N/A</v>
      </c>
      <c r="E4244" s="211" t="e">
        <f>IF(D4244&lt;&gt;"",VLOOKUP(VALUE(E4219&amp;","&amp;C4244),INTEGRANTES!$D$18:$F$235,3,0),"")</f>
        <v>#N/A</v>
      </c>
      <c r="F4244" s="547" t="e">
        <f>IF(D4244="","",SUMIF($I4223:$I4232,D4244,$P4223:$P4232))</f>
        <v>#N/A</v>
      </c>
      <c r="G4244" s="333" t="e">
        <f>IF(D4244="","",SUMIF($I4223:$I4232,D4244,$M4223:$M4232))</f>
        <v>#N/A</v>
      </c>
      <c r="H4244" s="535" t="e">
        <f t="shared" si="1253"/>
        <v>#N/A</v>
      </c>
      <c r="I4244" s="212" t="e">
        <f>IF(D4244="","",IF(H4244="NO APORTA","NO",IF(H4244=MAX($H4240:$H4245),"SI","NO")))</f>
        <v>#N/A</v>
      </c>
      <c r="J4244" s="213" t="e">
        <f t="shared" si="1254"/>
        <v>#N/A</v>
      </c>
      <c r="K4244" s="200" t="e">
        <f t="shared" si="1255"/>
        <v>#N/A</v>
      </c>
      <c r="L4244" s="721"/>
      <c r="M4244" s="715" t="s">
        <v>116</v>
      </c>
      <c r="N4244" s="716"/>
      <c r="O4244" s="556" t="str">
        <f>PORCREQUERIDO*100&amp;"% PMFO DEL MÓDULO"</f>
        <v>50% PMFO DEL MÓDULO</v>
      </c>
      <c r="P4244" s="715" t="s">
        <v>118</v>
      </c>
      <c r="Q4244" s="728"/>
      <c r="R4244" s="458"/>
      <c r="S4244" s="459"/>
      <c r="T4244" s="460"/>
      <c r="U4244" s="219"/>
      <c r="V4244" s="464"/>
      <c r="Y4244" s="414"/>
      <c r="AA4244" s="540" t="e">
        <f>IF(AND(C4243&lt;=F4238,F4238&lt;&gt;""),VLOOKUP(VALUE(E4219&amp;","&amp;C4243),INTEGRANTES!$D$18:$F$235,2,0),"")</f>
        <v>#N/A</v>
      </c>
      <c r="AB4244" s="545" t="e">
        <f t="shared" si="1256"/>
        <v>#N/A</v>
      </c>
      <c r="AC4244" s="529"/>
      <c r="AD4244" s="200" t="e">
        <f t="shared" si="1257"/>
        <v>#N/A</v>
      </c>
      <c r="AE4244" s="52"/>
      <c r="AF4244" s="52"/>
      <c r="AG4244" s="52"/>
      <c r="AH4244" s="87"/>
      <c r="AI4244" s="87"/>
    </row>
    <row r="4245" spans="1:35" ht="16.5" hidden="1" thickBot="1">
      <c r="A4245" s="218" t="e">
        <f>"S"&amp;E4219</f>
        <v>#N/A</v>
      </c>
      <c r="B4245" s="702"/>
      <c r="C4245" s="215">
        <v>6</v>
      </c>
      <c r="D4245" s="216" t="e">
        <f>IF(AND(C4245&lt;=F4238,F4238&lt;&gt;""),VLOOKUP(VALUE(E4219&amp;","&amp;C4245),INTEGRANTES!$D$18:$F$235,2,0),"")</f>
        <v>#N/A</v>
      </c>
      <c r="E4245" s="217" t="e">
        <f>IF(D4245&lt;&gt;"",VLOOKUP(VALUE(E4219&amp;","&amp;C4245),INTEGRANTES!$D$18:$F$235,3,0),"")</f>
        <v>#N/A</v>
      </c>
      <c r="F4245" s="548" t="e">
        <f>IF(D4245="","",SUMIF($I4223:$I4232,D4245,$P4223:$P4232))</f>
        <v>#N/A</v>
      </c>
      <c r="G4245" s="334" t="e">
        <f>IF(D4245="","",SUMIF($I4223:$I4232,D4245,$M4223:$M4232))</f>
        <v>#N/A</v>
      </c>
      <c r="H4245" s="536" t="e">
        <f t="shared" si="1253"/>
        <v>#N/A</v>
      </c>
      <c r="I4245" s="214" t="e">
        <f>IF(D4245="","",IF(H4245="NO APORTA","NO",IF(H4245=MAX($H4240:$H4245),"SI","NO")))</f>
        <v>#N/A</v>
      </c>
      <c r="J4245" s="213" t="e">
        <f t="shared" si="1254"/>
        <v>#N/A</v>
      </c>
      <c r="K4245" s="200" t="e">
        <f t="shared" si="1255"/>
        <v>#N/A</v>
      </c>
      <c r="L4245" s="721"/>
      <c r="M4245" s="729">
        <f>NUMMOD</f>
        <v>1</v>
      </c>
      <c r="N4245" s="730"/>
      <c r="O4245" s="443">
        <f>IF(M4245="","",ROUND(VLOOKUP(M4245,PRESUPUESTOS!$B$16:$H$16,7,FALSE),3))</f>
        <v>25.780999999999999</v>
      </c>
      <c r="P4245" s="713">
        <f>IF(OR(COUNTIF(P4223:P4232,"")&gt;=10,Q4239&lt;NUMMINCONT,OR(T4237="NO CUMPLE",T4237="VERIFICAR")),0,ROUND((SUM(P4223:P4232)/SUM(M4223:M4232)),3))</f>
        <v>0</v>
      </c>
      <c r="Q4245" s="714"/>
      <c r="R4245" s="458"/>
      <c r="S4245" s="459"/>
      <c r="T4245" s="460"/>
      <c r="U4245" s="219"/>
      <c r="V4245" s="464"/>
      <c r="Y4245" s="532" t="s">
        <v>343</v>
      </c>
      <c r="AA4245" s="540" t="e">
        <f>IF(AND(C4244&lt;=F4238,F4238&lt;&gt;""),VLOOKUP(VALUE(E4219&amp;","&amp;C4244),INTEGRANTES!$D$18:$F$235,2,0),"")</f>
        <v>#N/A</v>
      </c>
      <c r="AB4245" s="545" t="e">
        <f t="shared" si="1256"/>
        <v>#N/A</v>
      </c>
      <c r="AC4245" s="529"/>
      <c r="AD4245" s="200" t="e">
        <f t="shared" si="1257"/>
        <v>#N/A</v>
      </c>
      <c r="AE4245" s="52"/>
      <c r="AF4245" s="52"/>
      <c r="AG4245" s="52"/>
      <c r="AH4245" s="87"/>
      <c r="AI4245" s="87"/>
    </row>
    <row r="4246" spans="1:35" ht="16.5" hidden="1" customHeight="1" thickBot="1">
      <c r="A4246" s="218" t="e">
        <f>"T"&amp;E4219</f>
        <v>#N/A</v>
      </c>
      <c r="B4246" s="703"/>
      <c r="C4246" s="719"/>
      <c r="D4246" s="719"/>
      <c r="E4246" s="719"/>
      <c r="F4246" s="719"/>
      <c r="G4246" s="719"/>
      <c r="H4246" s="719" t="s">
        <v>110</v>
      </c>
      <c r="I4246" s="719"/>
      <c r="J4246" s="719"/>
      <c r="K4246" s="201" t="str">
        <f>IF(COUNTIF(K4240:K4245,"")=6,"",IF(COUNTIF(K4240:K4245,"CUMPLE")&gt;0,"CUMPLE","NO CUMPLE"))</f>
        <v>NO CUMPLE</v>
      </c>
      <c r="L4246" s="754"/>
      <c r="M4246" s="755"/>
      <c r="N4246" s="755"/>
      <c r="O4246" s="755"/>
      <c r="P4246" s="755"/>
      <c r="Q4246" s="756"/>
      <c r="R4246" s="461"/>
      <c r="S4246" s="462"/>
      <c r="T4246" s="463"/>
      <c r="U4246" s="219"/>
      <c r="V4246" s="464"/>
      <c r="Y4246" s="549" t="e">
        <f>IF(Y4240="NO APLICA","NO APLICA",IF(COUNTIF(AD4241:AD4246,"CUMPLE")&gt;0,"CUMPLE","NO CUMPLE"))</f>
        <v>#N/A</v>
      </c>
      <c r="AA4246" s="541" t="e">
        <f>IF(AND(C4245&lt;=F4238,F4238&lt;&gt;""),VLOOKUP(VALUE(E4219&amp;","&amp;C4245),INTEGRANTES!$D$18:$F$235,2,0),"")</f>
        <v>#N/A</v>
      </c>
      <c r="AB4246" s="546" t="e">
        <f t="shared" si="1256"/>
        <v>#N/A</v>
      </c>
      <c r="AC4246" s="543"/>
      <c r="AD4246" s="201" t="e">
        <f t="shared" si="1257"/>
        <v>#N/A</v>
      </c>
      <c r="AE4246" s="52"/>
      <c r="AF4246" s="52"/>
      <c r="AG4246" s="52"/>
      <c r="AH4246" s="87"/>
      <c r="AI4246" s="87"/>
    </row>
    <row r="4247" spans="1:35" hidden="1">
      <c r="AH4247" s="87"/>
      <c r="AI4247" s="87"/>
    </row>
    <row r="4248" spans="1:35" hidden="1">
      <c r="AH4248" s="87"/>
      <c r="AI4248" s="87"/>
    </row>
    <row r="4249" spans="1:35" ht="24" hidden="1" thickBot="1">
      <c r="A4249" s="61">
        <v>142</v>
      </c>
      <c r="B4249" s="704" t="s">
        <v>51</v>
      </c>
      <c r="C4249" s="704"/>
      <c r="D4249" s="704"/>
      <c r="E4249" s="62" t="e">
        <f>VLOOKUP(A4249,PROPONENTES!$B$19:$E$218,2,FALSE)</f>
        <v>#N/A</v>
      </c>
      <c r="F4249" s="63" t="e">
        <f>VLOOKUP(A4249,PROPONENTES!$B$19:$E$218,3,FALSE)</f>
        <v>#N/A</v>
      </c>
      <c r="G4249" s="64"/>
      <c r="H4249" s="64"/>
      <c r="I4249" s="63"/>
      <c r="J4249" s="63"/>
      <c r="K4249" s="65"/>
      <c r="L4249" s="65"/>
      <c r="M4249" s="64"/>
      <c r="N4249" s="64"/>
      <c r="O4249" s="66"/>
      <c r="P4249" s="66"/>
      <c r="Q4249" s="66"/>
      <c r="R4249" s="66"/>
      <c r="S4249" s="67"/>
      <c r="T4249" s="68"/>
      <c r="U4249" s="68"/>
      <c r="AC4249" s="68"/>
      <c r="AD4249" s="68"/>
      <c r="AE4249" s="68"/>
      <c r="AF4249" s="68"/>
      <c r="AG4249" s="68"/>
      <c r="AH4249" s="87"/>
      <c r="AI4249" s="87"/>
    </row>
    <row r="4250" spans="1:35" ht="15.75" hidden="1" customHeight="1">
      <c r="A4250" s="44"/>
      <c r="B4250" s="709" t="s">
        <v>59</v>
      </c>
      <c r="C4250" s="552" t="s">
        <v>60</v>
      </c>
      <c r="D4250" s="70" t="s">
        <v>17</v>
      </c>
      <c r="E4250" s="70"/>
      <c r="F4250" s="70" t="s">
        <v>61</v>
      </c>
      <c r="G4250" s="71"/>
      <c r="H4250" s="699" t="s">
        <v>62</v>
      </c>
      <c r="I4250" s="699" t="s">
        <v>18</v>
      </c>
      <c r="J4250" s="699" t="s">
        <v>63</v>
      </c>
      <c r="K4250" s="699" t="s">
        <v>64</v>
      </c>
      <c r="L4250" s="699" t="s">
        <v>65</v>
      </c>
      <c r="M4250" s="743" t="s">
        <v>66</v>
      </c>
      <c r="N4250" s="699" t="s">
        <v>282</v>
      </c>
      <c r="O4250" s="745" t="s">
        <v>67</v>
      </c>
      <c r="P4250" s="746"/>
      <c r="Q4250" s="102" t="s">
        <v>75</v>
      </c>
      <c r="R4250" s="731" t="s">
        <v>22</v>
      </c>
      <c r="S4250" s="732"/>
      <c r="T4250" s="733"/>
      <c r="U4250" s="712" t="s">
        <v>298</v>
      </c>
      <c r="W4250" s="690" t="s">
        <v>268</v>
      </c>
      <c r="X4250" s="691"/>
      <c r="Y4250" s="692"/>
      <c r="Z4250" s="428"/>
      <c r="AA4250" s="697" t="s">
        <v>315</v>
      </c>
      <c r="AB4250" s="695" t="s">
        <v>322</v>
      </c>
      <c r="AC4250" s="49"/>
      <c r="AD4250" s="690" t="s">
        <v>297</v>
      </c>
      <c r="AE4250" s="691"/>
      <c r="AF4250" s="692"/>
      <c r="AG4250" s="49"/>
      <c r="AH4250" s="87"/>
      <c r="AI4250" s="87"/>
    </row>
    <row r="4251" spans="1:35" ht="72" hidden="1">
      <c r="A4251" s="44"/>
      <c r="B4251" s="710"/>
      <c r="C4251" s="553" t="s">
        <v>68</v>
      </c>
      <c r="D4251" s="73" t="s">
        <v>3</v>
      </c>
      <c r="E4251" s="73" t="s">
        <v>19</v>
      </c>
      <c r="F4251" s="73" t="s">
        <v>69</v>
      </c>
      <c r="G4251" s="74" t="s">
        <v>70</v>
      </c>
      <c r="H4251" s="700"/>
      <c r="I4251" s="700"/>
      <c r="J4251" s="700"/>
      <c r="K4251" s="700"/>
      <c r="L4251" s="700"/>
      <c r="M4251" s="744"/>
      <c r="N4251" s="700"/>
      <c r="O4251" s="553" t="s">
        <v>279</v>
      </c>
      <c r="P4251" s="73" t="s">
        <v>88</v>
      </c>
      <c r="Q4251" s="555" t="s">
        <v>76</v>
      </c>
      <c r="R4251" s="734"/>
      <c r="S4251" s="735"/>
      <c r="T4251" s="736"/>
      <c r="U4251" s="712"/>
      <c r="W4251" s="429" t="s">
        <v>269</v>
      </c>
      <c r="X4251" s="457" t="s">
        <v>278</v>
      </c>
      <c r="Y4251" s="430" t="s">
        <v>324</v>
      </c>
      <c r="Z4251" s="428"/>
      <c r="AA4251" s="698"/>
      <c r="AB4251" s="696"/>
      <c r="AC4251" s="49"/>
      <c r="AD4251" s="429" t="s">
        <v>292</v>
      </c>
      <c r="AE4251" s="431" t="s">
        <v>300</v>
      </c>
      <c r="AF4251" s="468" t="s">
        <v>301</v>
      </c>
      <c r="AG4251" s="49"/>
      <c r="AH4251" s="87"/>
      <c r="AI4251" s="87"/>
    </row>
    <row r="4252" spans="1:35" hidden="1">
      <c r="A4252" s="44"/>
      <c r="B4252" s="76"/>
      <c r="C4252" s="77"/>
      <c r="D4252" s="77"/>
      <c r="E4252" s="77"/>
      <c r="F4252" s="77"/>
      <c r="G4252" s="77"/>
      <c r="H4252" s="77"/>
      <c r="I4252" s="77"/>
      <c r="J4252" s="77"/>
      <c r="K4252" s="77"/>
      <c r="L4252" s="77"/>
      <c r="M4252" s="77"/>
      <c r="N4252" s="77"/>
      <c r="O4252" s="77"/>
      <c r="P4252" s="77"/>
      <c r="Q4252" s="77"/>
      <c r="R4252" s="77"/>
      <c r="S4252" s="78"/>
      <c r="T4252" s="79"/>
      <c r="U4252" s="109"/>
      <c r="V4252" s="49"/>
      <c r="W4252" s="432"/>
      <c r="X4252" s="454"/>
      <c r="Y4252" s="433"/>
      <c r="Z4252" s="6"/>
      <c r="AA4252" s="500"/>
      <c r="AB4252" s="562"/>
      <c r="AC4252" s="49"/>
      <c r="AD4252" s="210"/>
      <c r="AE4252" s="434"/>
      <c r="AF4252" s="435"/>
      <c r="AG4252" s="49"/>
      <c r="AH4252" s="87"/>
      <c r="AI4252" s="87"/>
    </row>
    <row r="4253" spans="1:35" hidden="1">
      <c r="A4253" s="80" t="e">
        <f>"A"&amp;E4249</f>
        <v>#N/A</v>
      </c>
      <c r="B4253" s="81">
        <v>1</v>
      </c>
      <c r="C4253" s="82"/>
      <c r="D4253" s="82"/>
      <c r="E4253" s="82"/>
      <c r="F4253" s="82"/>
      <c r="G4253" s="83"/>
      <c r="H4253" s="83"/>
      <c r="I4253" s="84"/>
      <c r="J4253" s="85"/>
      <c r="K4253" s="382"/>
      <c r="L4253" s="85"/>
      <c r="M4253" s="332" t="str">
        <f t="shared" ref="M4253:M4262" si="1258">IF(OR(J4253="",L4253="",H4253="NO"),"",IF(OR(J4253&gt;$P$17,J4253&lt;$O$17,L4253&gt;$P$17,AND(J4253&lt;$O$17,L4253&lt;$O$17)),"FUERA DE RANGO",IF(OR(K4253="---",K4253=""),IF(J4253&gt;=$O$17,ROUND((L4253-J4253+1)/360*12,3),ROUND((L4253-$O$17+1)/360*12,3)),IF(J4253&gt;=$O$17,ROUND((L4253-J4253+1)/360*12-ROUND(K4253,3),3),ROUND((L4253-$O$17+1)/360*12-ROUND(K4253,3),3)))))</f>
        <v/>
      </c>
      <c r="N4253" s="86"/>
      <c r="O4253" s="453" t="str">
        <f>IF(OR(G4253="",N4253=""),"",N4253*G4253)</f>
        <v/>
      </c>
      <c r="P4253" s="538" t="str">
        <f>IF(OR(H4253="",M4253="FUERA DE RANGO"),"",IF(OR(L4253&lt;$O$17,L4253&gt;$P$17,L4253="",H4253="NO"),"",IF(OR(N4253="",O4253=""),"",ROUND(O4253,3))))</f>
        <v/>
      </c>
      <c r="Q4253" s="539" t="str">
        <f t="shared" ref="Q4253:Q4262" si="1259">IF(AND(H4253="SI",P4253&lt;&gt;""),ROUND(P4253/M4253,3),"")</f>
        <v/>
      </c>
      <c r="R4253" s="737"/>
      <c r="S4253" s="738"/>
      <c r="T4253" s="739"/>
      <c r="U4253" s="470"/>
      <c r="V4253" s="165"/>
      <c r="W4253" s="446"/>
      <c r="X4253" s="456"/>
      <c r="Y4253" s="436"/>
      <c r="Z4253" s="437"/>
      <c r="AA4253" s="560"/>
      <c r="AB4253" s="561"/>
      <c r="AC4253" s="87"/>
      <c r="AD4253" s="466"/>
      <c r="AE4253" s="456"/>
      <c r="AF4253" s="467"/>
      <c r="AG4253" s="87"/>
      <c r="AH4253" s="87"/>
      <c r="AI4253" s="87"/>
    </row>
    <row r="4254" spans="1:35" hidden="1">
      <c r="A4254" s="80" t="e">
        <f>"B"&amp;E4249</f>
        <v>#N/A</v>
      </c>
      <c r="B4254" s="81">
        <v>2</v>
      </c>
      <c r="C4254" s="106"/>
      <c r="D4254" s="106"/>
      <c r="E4254" s="106"/>
      <c r="F4254" s="106"/>
      <c r="G4254" s="83"/>
      <c r="H4254" s="83"/>
      <c r="I4254" s="84"/>
      <c r="J4254" s="85"/>
      <c r="K4254" s="382"/>
      <c r="L4254" s="85"/>
      <c r="M4254" s="332" t="str">
        <f t="shared" si="1258"/>
        <v/>
      </c>
      <c r="N4254" s="86"/>
      <c r="O4254" s="453" t="str">
        <f t="shared" ref="O4254:O4262" si="1260">IF(OR(G4254="",N4254=""),"",N4254*G4254)</f>
        <v/>
      </c>
      <c r="P4254" s="538" t="str">
        <f t="shared" ref="P4254:P4262" si="1261">IF(OR(H4254="",M4254="FUERA DE RANGO"),"",IF(OR(L4254&lt;$O$17,L4254&gt;$P$17,L4254="",H4254="NO"),"",IF(OR(N4254="",O4254=""),"",ROUND(O4254,3))))</f>
        <v/>
      </c>
      <c r="Q4254" s="539" t="str">
        <f t="shared" si="1259"/>
        <v/>
      </c>
      <c r="R4254" s="740"/>
      <c r="S4254" s="741"/>
      <c r="T4254" s="742"/>
      <c r="U4254" s="471"/>
      <c r="V4254" s="165"/>
      <c r="W4254" s="446"/>
      <c r="X4254" s="456"/>
      <c r="Y4254" s="436"/>
      <c r="Z4254" s="437"/>
      <c r="AA4254" s="560"/>
      <c r="AB4254" s="561"/>
      <c r="AC4254" s="87"/>
      <c r="AD4254" s="466"/>
      <c r="AE4254" s="456"/>
      <c r="AF4254" s="467"/>
      <c r="AG4254" s="87"/>
      <c r="AH4254" s="87"/>
      <c r="AI4254" s="87"/>
    </row>
    <row r="4255" spans="1:35" hidden="1">
      <c r="A4255" s="80" t="e">
        <f>"C"&amp;E4249</f>
        <v>#N/A</v>
      </c>
      <c r="B4255" s="88">
        <v>3</v>
      </c>
      <c r="C4255" s="82"/>
      <c r="D4255" s="82"/>
      <c r="E4255" s="82"/>
      <c r="F4255" s="82"/>
      <c r="G4255" s="83"/>
      <c r="H4255" s="83"/>
      <c r="I4255" s="84"/>
      <c r="J4255" s="85"/>
      <c r="K4255" s="382"/>
      <c r="L4255" s="85"/>
      <c r="M4255" s="332" t="str">
        <f t="shared" si="1258"/>
        <v/>
      </c>
      <c r="N4255" s="86"/>
      <c r="O4255" s="453" t="str">
        <f t="shared" si="1260"/>
        <v/>
      </c>
      <c r="P4255" s="538" t="str">
        <f t="shared" si="1261"/>
        <v/>
      </c>
      <c r="Q4255" s="539" t="str">
        <f t="shared" si="1259"/>
        <v/>
      </c>
      <c r="R4255" s="706"/>
      <c r="S4255" s="707"/>
      <c r="T4255" s="708"/>
      <c r="U4255" s="472"/>
      <c r="V4255" s="166"/>
      <c r="W4255" s="446"/>
      <c r="X4255" s="456"/>
      <c r="Y4255" s="436"/>
      <c r="Z4255" s="437"/>
      <c r="AA4255" s="560"/>
      <c r="AB4255" s="561"/>
      <c r="AC4255" s="87"/>
      <c r="AD4255" s="466"/>
      <c r="AE4255" s="456"/>
      <c r="AF4255" s="467"/>
      <c r="AG4255" s="87"/>
      <c r="AH4255" s="87"/>
      <c r="AI4255" s="87"/>
    </row>
    <row r="4256" spans="1:35" hidden="1">
      <c r="A4256" s="80" t="e">
        <f>"D"&amp;E4249</f>
        <v>#N/A</v>
      </c>
      <c r="B4256" s="105">
        <v>4</v>
      </c>
      <c r="C4256" s="107"/>
      <c r="D4256" s="107"/>
      <c r="E4256" s="107"/>
      <c r="F4256" s="107"/>
      <c r="G4256" s="83"/>
      <c r="H4256" s="83"/>
      <c r="I4256" s="84"/>
      <c r="J4256" s="85"/>
      <c r="K4256" s="382"/>
      <c r="L4256" s="85"/>
      <c r="M4256" s="332" t="str">
        <f t="shared" si="1258"/>
        <v/>
      </c>
      <c r="N4256" s="86"/>
      <c r="O4256" s="453" t="str">
        <f t="shared" si="1260"/>
        <v/>
      </c>
      <c r="P4256" s="538" t="str">
        <f t="shared" si="1261"/>
        <v/>
      </c>
      <c r="Q4256" s="539" t="str">
        <f t="shared" si="1259"/>
        <v/>
      </c>
      <c r="R4256" s="706"/>
      <c r="S4256" s="707"/>
      <c r="T4256" s="708"/>
      <c r="U4256" s="472"/>
      <c r="V4256" s="166"/>
      <c r="W4256" s="446"/>
      <c r="X4256" s="456"/>
      <c r="Y4256" s="436"/>
      <c r="Z4256" s="437"/>
      <c r="AA4256" s="560"/>
      <c r="AB4256" s="561"/>
      <c r="AC4256" s="87"/>
      <c r="AD4256" s="466"/>
      <c r="AE4256" s="456"/>
      <c r="AF4256" s="467"/>
      <c r="AG4256" s="87"/>
      <c r="AH4256" s="87"/>
      <c r="AI4256" s="87"/>
    </row>
    <row r="4257" spans="1:35" hidden="1">
      <c r="A4257" s="80" t="e">
        <f>"E"&amp;E4249</f>
        <v>#N/A</v>
      </c>
      <c r="B4257" s="105">
        <v>5</v>
      </c>
      <c r="C4257" s="107"/>
      <c r="D4257" s="107"/>
      <c r="E4257" s="107"/>
      <c r="F4257" s="107"/>
      <c r="G4257" s="83"/>
      <c r="H4257" s="83"/>
      <c r="I4257" s="84"/>
      <c r="J4257" s="85"/>
      <c r="K4257" s="382"/>
      <c r="L4257" s="85"/>
      <c r="M4257" s="332" t="str">
        <f t="shared" si="1258"/>
        <v/>
      </c>
      <c r="N4257" s="86"/>
      <c r="O4257" s="453" t="str">
        <f t="shared" si="1260"/>
        <v/>
      </c>
      <c r="P4257" s="538" t="str">
        <f t="shared" si="1261"/>
        <v/>
      </c>
      <c r="Q4257" s="539" t="str">
        <f t="shared" si="1259"/>
        <v/>
      </c>
      <c r="R4257" s="706"/>
      <c r="S4257" s="707"/>
      <c r="T4257" s="708"/>
      <c r="U4257" s="472"/>
      <c r="V4257" s="167"/>
      <c r="W4257" s="446"/>
      <c r="X4257" s="456"/>
      <c r="Y4257" s="436"/>
      <c r="Z4257" s="437"/>
      <c r="AA4257" s="560"/>
      <c r="AB4257" s="561"/>
      <c r="AC4257" s="87"/>
      <c r="AD4257" s="466"/>
      <c r="AE4257" s="456"/>
      <c r="AF4257" s="467"/>
      <c r="AG4257" s="87"/>
      <c r="AH4257" s="87"/>
      <c r="AI4257" s="87"/>
    </row>
    <row r="4258" spans="1:35" hidden="1">
      <c r="A4258" s="80" t="e">
        <f>"F"&amp;E4249</f>
        <v>#N/A</v>
      </c>
      <c r="B4258" s="105">
        <v>6</v>
      </c>
      <c r="C4258" s="107"/>
      <c r="D4258" s="107"/>
      <c r="E4258" s="107"/>
      <c r="F4258" s="107"/>
      <c r="G4258" s="83"/>
      <c r="H4258" s="83"/>
      <c r="I4258" s="84"/>
      <c r="J4258" s="85"/>
      <c r="K4258" s="382"/>
      <c r="L4258" s="85"/>
      <c r="M4258" s="332" t="str">
        <f t="shared" si="1258"/>
        <v/>
      </c>
      <c r="N4258" s="86"/>
      <c r="O4258" s="453" t="str">
        <f t="shared" si="1260"/>
        <v/>
      </c>
      <c r="P4258" s="538" t="str">
        <f t="shared" si="1261"/>
        <v/>
      </c>
      <c r="Q4258" s="539" t="str">
        <f t="shared" si="1259"/>
        <v/>
      </c>
      <c r="R4258" s="706"/>
      <c r="S4258" s="707"/>
      <c r="T4258" s="708"/>
      <c r="U4258" s="472"/>
      <c r="V4258" s="167"/>
      <c r="W4258" s="446"/>
      <c r="X4258" s="456"/>
      <c r="Y4258" s="436"/>
      <c r="Z4258" s="437"/>
      <c r="AA4258" s="560"/>
      <c r="AB4258" s="561"/>
      <c r="AC4258" s="87"/>
      <c r="AD4258" s="466"/>
      <c r="AE4258" s="456"/>
      <c r="AF4258" s="467"/>
      <c r="AG4258" s="87"/>
      <c r="AH4258" s="87"/>
      <c r="AI4258" s="87"/>
    </row>
    <row r="4259" spans="1:35" hidden="1">
      <c r="A4259" s="80" t="e">
        <f>"G"&amp;E4249</f>
        <v>#N/A</v>
      </c>
      <c r="B4259" s="105">
        <v>7</v>
      </c>
      <c r="C4259" s="107"/>
      <c r="D4259" s="107"/>
      <c r="E4259" s="107"/>
      <c r="F4259" s="107"/>
      <c r="G4259" s="83"/>
      <c r="H4259" s="83"/>
      <c r="I4259" s="84"/>
      <c r="J4259" s="85"/>
      <c r="K4259" s="382"/>
      <c r="L4259" s="85"/>
      <c r="M4259" s="332" t="str">
        <f t="shared" si="1258"/>
        <v/>
      </c>
      <c r="N4259" s="86"/>
      <c r="O4259" s="86" t="str">
        <f t="shared" si="1260"/>
        <v/>
      </c>
      <c r="P4259" s="538" t="str">
        <f t="shared" si="1261"/>
        <v/>
      </c>
      <c r="Q4259" s="539" t="str">
        <f t="shared" si="1259"/>
        <v/>
      </c>
      <c r="R4259" s="706"/>
      <c r="S4259" s="707"/>
      <c r="T4259" s="708"/>
      <c r="U4259" s="472"/>
      <c r="V4259" s="167"/>
      <c r="W4259" s="446"/>
      <c r="X4259" s="456"/>
      <c r="Y4259" s="436"/>
      <c r="Z4259" s="437"/>
      <c r="AA4259" s="560"/>
      <c r="AB4259" s="561"/>
      <c r="AC4259" s="87"/>
      <c r="AD4259" s="466"/>
      <c r="AE4259" s="456"/>
      <c r="AF4259" s="467"/>
      <c r="AG4259" s="87"/>
      <c r="AH4259" s="87"/>
      <c r="AI4259" s="87"/>
    </row>
    <row r="4260" spans="1:35" hidden="1">
      <c r="A4260" s="80" t="e">
        <f>"H"&amp;E4249</f>
        <v>#N/A</v>
      </c>
      <c r="B4260" s="105">
        <v>8</v>
      </c>
      <c r="C4260" s="107"/>
      <c r="D4260" s="107"/>
      <c r="E4260" s="107"/>
      <c r="F4260" s="107"/>
      <c r="G4260" s="83"/>
      <c r="H4260" s="83"/>
      <c r="I4260" s="84"/>
      <c r="J4260" s="85"/>
      <c r="K4260" s="382"/>
      <c r="L4260" s="85"/>
      <c r="M4260" s="332" t="str">
        <f t="shared" si="1258"/>
        <v/>
      </c>
      <c r="N4260" s="453"/>
      <c r="O4260" s="86" t="str">
        <f t="shared" si="1260"/>
        <v/>
      </c>
      <c r="P4260" s="538" t="str">
        <f t="shared" si="1261"/>
        <v/>
      </c>
      <c r="Q4260" s="539" t="str">
        <f t="shared" si="1259"/>
        <v/>
      </c>
      <c r="R4260" s="706"/>
      <c r="S4260" s="707"/>
      <c r="T4260" s="708"/>
      <c r="U4260" s="472"/>
      <c r="V4260" s="167"/>
      <c r="W4260" s="446"/>
      <c r="X4260" s="456"/>
      <c r="Y4260" s="436"/>
      <c r="Z4260" s="437"/>
      <c r="AA4260" s="560"/>
      <c r="AB4260" s="561"/>
      <c r="AC4260" s="87"/>
      <c r="AD4260" s="466"/>
      <c r="AE4260" s="456"/>
      <c r="AF4260" s="467"/>
      <c r="AG4260" s="87"/>
      <c r="AH4260" s="87"/>
      <c r="AI4260" s="87"/>
    </row>
    <row r="4261" spans="1:35" hidden="1">
      <c r="A4261" s="80" t="e">
        <f>"I"&amp;E4249</f>
        <v>#N/A</v>
      </c>
      <c r="B4261" s="105">
        <v>9</v>
      </c>
      <c r="C4261" s="107"/>
      <c r="D4261" s="107"/>
      <c r="E4261" s="107"/>
      <c r="F4261" s="107"/>
      <c r="G4261" s="83"/>
      <c r="H4261" s="83"/>
      <c r="I4261" s="84"/>
      <c r="J4261" s="85"/>
      <c r="K4261" s="382"/>
      <c r="L4261" s="85"/>
      <c r="M4261" s="332" t="str">
        <f t="shared" si="1258"/>
        <v/>
      </c>
      <c r="N4261" s="453"/>
      <c r="O4261" s="86" t="str">
        <f t="shared" si="1260"/>
        <v/>
      </c>
      <c r="P4261" s="538" t="str">
        <f t="shared" si="1261"/>
        <v/>
      </c>
      <c r="Q4261" s="539" t="str">
        <f t="shared" si="1259"/>
        <v/>
      </c>
      <c r="R4261" s="706"/>
      <c r="S4261" s="707"/>
      <c r="T4261" s="708"/>
      <c r="U4261" s="472"/>
      <c r="V4261" s="167"/>
      <c r="W4261" s="446"/>
      <c r="X4261" s="456"/>
      <c r="Y4261" s="436"/>
      <c r="Z4261" s="437"/>
      <c r="AA4261" s="560"/>
      <c r="AB4261" s="561"/>
      <c r="AC4261" s="87"/>
      <c r="AD4261" s="466"/>
      <c r="AE4261" s="456"/>
      <c r="AF4261" s="467"/>
      <c r="AG4261" s="87"/>
      <c r="AH4261" s="87"/>
      <c r="AI4261" s="87"/>
    </row>
    <row r="4262" spans="1:35" hidden="1">
      <c r="A4262" s="80" t="e">
        <f>"J"&amp;E4249</f>
        <v>#N/A</v>
      </c>
      <c r="B4262" s="105">
        <v>10</v>
      </c>
      <c r="C4262" s="107"/>
      <c r="D4262" s="107"/>
      <c r="E4262" s="107"/>
      <c r="F4262" s="107"/>
      <c r="G4262" s="83"/>
      <c r="H4262" s="83"/>
      <c r="I4262" s="84"/>
      <c r="J4262" s="85"/>
      <c r="K4262" s="382"/>
      <c r="L4262" s="85"/>
      <c r="M4262" s="332" t="str">
        <f t="shared" si="1258"/>
        <v/>
      </c>
      <c r="N4262" s="453"/>
      <c r="O4262" s="86" t="str">
        <f t="shared" si="1260"/>
        <v/>
      </c>
      <c r="P4262" s="538" t="str">
        <f t="shared" si="1261"/>
        <v/>
      </c>
      <c r="Q4262" s="539" t="str">
        <f t="shared" si="1259"/>
        <v/>
      </c>
      <c r="R4262" s="706"/>
      <c r="S4262" s="707"/>
      <c r="T4262" s="708"/>
      <c r="U4262" s="472"/>
      <c r="V4262" s="167"/>
      <c r="W4262" s="446"/>
      <c r="X4262" s="456"/>
      <c r="Y4262" s="436"/>
      <c r="Z4262" s="437"/>
      <c r="AA4262" s="560"/>
      <c r="AB4262" s="561"/>
      <c r="AC4262" s="87"/>
      <c r="AD4262" s="466"/>
      <c r="AE4262" s="456"/>
      <c r="AF4262" s="467"/>
      <c r="AG4262" s="87"/>
      <c r="AH4262" s="87"/>
      <c r="AI4262" s="87"/>
    </row>
    <row r="4263" spans="1:35" ht="16.5" hidden="1" thickBot="1">
      <c r="A4263" s="44"/>
      <c r="B4263" s="89"/>
      <c r="C4263" s="90"/>
      <c r="D4263" s="90"/>
      <c r="E4263" s="90"/>
      <c r="F4263" s="90"/>
      <c r="G4263" s="90"/>
      <c r="H4263" s="90"/>
      <c r="I4263" s="90"/>
      <c r="J4263" s="90"/>
      <c r="K4263" s="90"/>
      <c r="L4263" s="90"/>
      <c r="M4263" s="90"/>
      <c r="N4263" s="90"/>
      <c r="O4263" s="90"/>
      <c r="P4263" s="90"/>
      <c r="Q4263" s="90"/>
      <c r="R4263" s="90"/>
      <c r="S4263" s="91"/>
      <c r="T4263" s="92"/>
      <c r="U4263" s="473"/>
      <c r="W4263" s="438"/>
      <c r="X4263" s="455"/>
      <c r="Y4263" s="439"/>
      <c r="Z4263" s="437"/>
      <c r="AA4263" s="530"/>
      <c r="AB4263" s="563"/>
      <c r="AC4263" s="87"/>
      <c r="AD4263" s="440"/>
      <c r="AE4263" s="441"/>
      <c r="AF4263" s="442"/>
      <c r="AG4263" s="49"/>
      <c r="AH4263" s="87"/>
      <c r="AI4263" s="87"/>
    </row>
    <row r="4264" spans="1:35" ht="16.5" hidden="1" thickBot="1">
      <c r="A4264" s="93"/>
      <c r="B4264" s="94"/>
      <c r="C4264" s="96"/>
      <c r="D4264" s="96"/>
      <c r="E4264" s="96"/>
      <c r="F4264" s="96"/>
      <c r="G4264" s="96"/>
      <c r="H4264" s="96"/>
      <c r="I4264" s="96"/>
      <c r="J4264" s="96"/>
      <c r="K4264" s="96"/>
      <c r="L4264" s="96"/>
      <c r="M4264" s="136"/>
      <c r="N4264" s="96"/>
      <c r="O4264" s="96"/>
      <c r="P4264" s="97"/>
      <c r="Q4264" s="97"/>
      <c r="R4264" s="98"/>
      <c r="S4264" s="95"/>
      <c r="T4264" s="99"/>
      <c r="U4264" s="469"/>
      <c r="AC4264" s="58"/>
      <c r="AG4264" s="58"/>
      <c r="AH4264" s="87"/>
      <c r="AI4264" s="87"/>
    </row>
    <row r="4265" spans="1:35" ht="16.5" hidden="1" thickBot="1">
      <c r="B4265" s="101"/>
      <c r="C4265" s="101"/>
      <c r="D4265" s="101"/>
      <c r="E4265" s="101"/>
      <c r="F4265" s="101"/>
      <c r="G4265" s="101"/>
      <c r="H4265" s="101"/>
      <c r="I4265" s="101"/>
      <c r="J4265" s="101"/>
      <c r="K4265" s="101"/>
      <c r="L4265" s="101"/>
      <c r="M4265" s="101"/>
      <c r="N4265" s="101"/>
      <c r="O4265" s="101"/>
      <c r="P4265" s="101"/>
      <c r="Q4265" s="101"/>
      <c r="R4265" s="101"/>
      <c r="S4265" s="101"/>
      <c r="U4265" s="50"/>
      <c r="AH4265" s="87"/>
      <c r="AI4265" s="87"/>
    </row>
    <row r="4266" spans="1:35" ht="16.5" hidden="1" customHeight="1" thickBot="1">
      <c r="A4266" s="44"/>
      <c r="B4266" s="705" t="s">
        <v>74</v>
      </c>
      <c r="C4266" s="705"/>
      <c r="D4266" s="705"/>
      <c r="E4266" s="705"/>
      <c r="F4266" s="705"/>
      <c r="G4266" s="705"/>
      <c r="H4266" s="705"/>
      <c r="I4266" s="705"/>
      <c r="J4266" s="705"/>
      <c r="K4266" s="705"/>
      <c r="L4266" s="705"/>
      <c r="M4266" s="705"/>
      <c r="N4266" s="705"/>
      <c r="O4266" s="705"/>
      <c r="P4266" s="705"/>
      <c r="Q4266" s="705"/>
      <c r="R4266" s="705"/>
      <c r="S4266" s="705"/>
      <c r="T4266" s="705"/>
      <c r="U4266" s="108"/>
      <c r="Y4266" s="532" t="s">
        <v>341</v>
      </c>
      <c r="AC4266" s="49"/>
      <c r="AD4266" s="687" t="s">
        <v>302</v>
      </c>
      <c r="AE4266" s="688"/>
      <c r="AF4266" s="689"/>
      <c r="AG4266" s="49"/>
      <c r="AH4266" s="87"/>
      <c r="AI4266" s="87"/>
    </row>
    <row r="4267" spans="1:35" ht="16.5" hidden="1" customHeight="1" thickBot="1">
      <c r="A4267" s="218" t="e">
        <f>"K"&amp;E4249</f>
        <v>#N/A</v>
      </c>
      <c r="B4267" s="701" t="s">
        <v>71</v>
      </c>
      <c r="C4267" s="751" t="s">
        <v>102</v>
      </c>
      <c r="D4267" s="751"/>
      <c r="E4267" s="751"/>
      <c r="F4267" s="751"/>
      <c r="G4267" s="751"/>
      <c r="H4267" s="751"/>
      <c r="I4267" s="751"/>
      <c r="J4267" s="751"/>
      <c r="K4267" s="751"/>
      <c r="L4267" s="722" t="s">
        <v>100</v>
      </c>
      <c r="M4267" s="747" t="s">
        <v>114</v>
      </c>
      <c r="N4267" s="747"/>
      <c r="O4267" s="747"/>
      <c r="P4267" s="747"/>
      <c r="Q4267" s="748"/>
      <c r="R4267" s="758" t="s">
        <v>280</v>
      </c>
      <c r="S4267" s="748"/>
      <c r="T4267" s="762" t="str">
        <f>IF(COUNTIF(AE4267:AF4267,"VERIFICAR")&gt;0,"VERIFICAR",IF(COUNTIF(AE4267:AF4267,"NO CUMPLE")&gt;0,"NO CUMPLE","CUMPLE"))</f>
        <v>VERIFICAR</v>
      </c>
      <c r="U4267" s="108"/>
      <c r="Y4267" s="533" t="e">
        <f>IF(F4268="","",IF(F4268=1,"INDIVIDUAL","ESTRUCTURA PLURAL"))</f>
        <v>#N/A</v>
      </c>
      <c r="AC4267" s="52"/>
      <c r="AD4267" s="475" t="s">
        <v>303</v>
      </c>
      <c r="AE4267" s="476" t="str">
        <f>IF(COUNTIF(AE4253:AE4262,"")=10,"VERIFICAR",IF(COUNTIF(AE4253:AE4262,"SI")&gt;0,"CUMPLE","NO CUMPLE"))</f>
        <v>VERIFICAR</v>
      </c>
      <c r="AF4267" s="477" t="str">
        <f>IF(COUNTIF(AF4253:AF4262,"")=10,"VERIFICAR",IF(COUNTIF(AF4253:AF4262,"SI")&gt;=$AI$22,"CUMPLE","NO CUMPLE"))</f>
        <v>VERIFICAR</v>
      </c>
      <c r="AG4267" s="52"/>
      <c r="AH4267" s="87"/>
      <c r="AI4267" s="87"/>
    </row>
    <row r="4268" spans="1:35" ht="15.75" hidden="1" customHeight="1" thickBot="1">
      <c r="A4268" s="218" t="e">
        <f>"L"&amp;E4249</f>
        <v>#N/A</v>
      </c>
      <c r="B4268" s="702"/>
      <c r="C4268" s="751" t="s">
        <v>103</v>
      </c>
      <c r="D4268" s="751"/>
      <c r="E4268" s="752"/>
      <c r="F4268" s="557" t="e">
        <f>IF(VLOOKUP(E4249,PROPONENTES!$C$19:$E$218,3,0)="","",VLOOKUP(E4249,PROPONENTES!$C$19:$E$218,3,0))</f>
        <v>#N/A</v>
      </c>
      <c r="G4268" s="753" t="s">
        <v>104</v>
      </c>
      <c r="H4268" s="751"/>
      <c r="I4268" s="715" t="e">
        <f>IF(OR(F4268="",F4268=1),"INTERESADO PERSONA NATURAL O JURIDICA","CONSORCIO O UNION TEMPORAL")</f>
        <v>#N/A</v>
      </c>
      <c r="J4268" s="725"/>
      <c r="K4268" s="728"/>
      <c r="L4268" s="723"/>
      <c r="M4268" s="749"/>
      <c r="N4268" s="749"/>
      <c r="O4268" s="749"/>
      <c r="P4268" s="749"/>
      <c r="Q4268" s="750"/>
      <c r="R4268" s="712"/>
      <c r="S4268" s="750"/>
      <c r="T4268" s="763"/>
      <c r="U4268" s="108"/>
      <c r="Y4268" s="534"/>
      <c r="AA4268" s="52"/>
      <c r="AB4268" s="52"/>
      <c r="AC4268" s="52"/>
      <c r="AG4268" s="52"/>
      <c r="AH4268" s="87"/>
      <c r="AI4268" s="87"/>
    </row>
    <row r="4269" spans="1:35" ht="56.25" hidden="1" customHeight="1" thickBot="1">
      <c r="A4269" s="218" t="e">
        <f>"M"&amp;E4249</f>
        <v>#N/A</v>
      </c>
      <c r="B4269" s="702"/>
      <c r="C4269" s="725" t="s">
        <v>101</v>
      </c>
      <c r="D4269" s="716"/>
      <c r="E4269" s="558" t="s">
        <v>105</v>
      </c>
      <c r="F4269" s="554" t="s">
        <v>87</v>
      </c>
      <c r="G4269" s="553" t="s">
        <v>86</v>
      </c>
      <c r="H4269" s="559" t="s">
        <v>85</v>
      </c>
      <c r="I4269" s="554" t="s">
        <v>252</v>
      </c>
      <c r="J4269" s="553" t="str">
        <f>"¿EL INTEGRANTE TIENE UNA PARTICIPACIÓN DEL "&amp;PORCREQUERIDOINT*100&amp;"%?"</f>
        <v>¿EL INTEGRANTE TIENE UNA PARTICIPACIÓN DEL 60%?</v>
      </c>
      <c r="K4269" s="554" t="s">
        <v>107</v>
      </c>
      <c r="L4269" s="724"/>
      <c r="M4269" s="717" t="s">
        <v>115</v>
      </c>
      <c r="N4269" s="718"/>
      <c r="O4269" s="718"/>
      <c r="P4269" s="718"/>
      <c r="Q4269" s="223">
        <f>IF(AND(H4253="SI",P4253&gt;=0),1,0)+IF(AND(H4254="SI",P4254&gt;=0),1,0)+IF(AND(H4255="SI",P4255&gt;=0),1,0)+IF(AND(H4256="SI",P4256&gt;=0),1,0)+IF(AND(H4257="SI",P4257&gt;=0),1,0)+IF(AND(H4258="SI",P4258&gt;=0),1,0)+IF(AND(H4259="SI",P4259&gt;=0),1,0)+IF(AND(H4260="SI",P4260&gt;=0),1,0)+IF(AND(H4261="SI",P4261&gt;=0),1,0)+IF(AND(H4262="SI",P4262&gt;=0),1,0)</f>
        <v>0</v>
      </c>
      <c r="R4269" s="759"/>
      <c r="S4269" s="761"/>
      <c r="T4269" s="764"/>
      <c r="U4269" s="219"/>
      <c r="V4269" s="464"/>
      <c r="Y4269" s="532" t="s">
        <v>342</v>
      </c>
      <c r="AA4269" s="550" t="s">
        <v>344</v>
      </c>
      <c r="AB4269" s="693" t="s">
        <v>345</v>
      </c>
      <c r="AC4269" s="693" t="s">
        <v>346</v>
      </c>
      <c r="AD4269" s="685" t="s">
        <v>347</v>
      </c>
      <c r="AE4269" s="52"/>
      <c r="AF4269" s="52"/>
      <c r="AG4269" s="52"/>
      <c r="AH4269" s="87"/>
      <c r="AI4269" s="87"/>
    </row>
    <row r="4270" spans="1:35" ht="15.75" hidden="1" customHeight="1" thickBot="1">
      <c r="A4270" s="218" t="e">
        <f>"N"&amp;E4249</f>
        <v>#N/A</v>
      </c>
      <c r="B4270" s="702"/>
      <c r="C4270" s="114">
        <v>1</v>
      </c>
      <c r="D4270" s="194" t="e">
        <f>IF(AND(C4270&lt;=F4268,F4268&gt;1,F4268&lt;&gt;""),VLOOKUP(VALUE(E4249&amp;","&amp;C4270),INTEGRANTES!$D$18:$F$235,2,0),"")</f>
        <v>#N/A</v>
      </c>
      <c r="E4270" s="211" t="e">
        <f>IF(D4270&lt;&gt;"",VLOOKUP(VALUE(E4249&amp;","&amp;C4270),INTEGRANTES!$D$18:$F$235,3,0),"")</f>
        <v>#N/A</v>
      </c>
      <c r="F4270" s="547" t="e">
        <f>IF(D4270="","",SUMIF($I4253:$I4262,D4270,$P4253:$P4262))</f>
        <v>#N/A</v>
      </c>
      <c r="G4270" s="333" t="e">
        <f>IF(D4270="","",SUMIF($I4253:$I4262,D4270,$M4253:$M4262))</f>
        <v>#N/A</v>
      </c>
      <c r="H4270" s="535" t="e">
        <f t="shared" ref="H4270:H4275" si="1262">IF(D4270="","",IF(OR(F4270=0,G4270=0),"NO APORTA",ROUND($F4270/$G4270,3)))</f>
        <v>#N/A</v>
      </c>
      <c r="I4270" s="212" t="e">
        <f>IF(D4270="","",IF(H4270="NO APORTA","NO",IF(H4270=MAX($H4270:$H4275),"SI","NO")))</f>
        <v>#N/A</v>
      </c>
      <c r="J4270" s="213" t="e">
        <f t="shared" ref="J4270:J4275" si="1263">IF(D4270="","",IF(E4270&gt;=PORCREQUERIDOINT,"SI","NO"))</f>
        <v>#N/A</v>
      </c>
      <c r="K4270" s="200" t="e">
        <f t="shared" ref="K4270:K4275" si="1264">IF(D4270="","",IF(AND(I4270="SI",J4270="SI"),"CUMPLE",IF(AND(I4270="NO",OR(J4270="SI",J4270="NO")),"","NO CUMPLE")))</f>
        <v>#N/A</v>
      </c>
      <c r="L4270" s="722" t="s">
        <v>108</v>
      </c>
      <c r="M4270" s="726" t="s">
        <v>119</v>
      </c>
      <c r="N4270" s="726"/>
      <c r="O4270" s="726"/>
      <c r="P4270" s="726"/>
      <c r="Q4270" s="727"/>
      <c r="R4270" s="758" t="s">
        <v>80</v>
      </c>
      <c r="S4270" s="747"/>
      <c r="T4270" s="748"/>
      <c r="U4270" s="219"/>
      <c r="V4270" s="464"/>
      <c r="Y4270" s="533" t="e">
        <f>IF(Y4267="","",IF(Y4267="INDIVIDUAL","NO APLICA","VERIFICAR CUADRO"))</f>
        <v>#N/A</v>
      </c>
      <c r="AA4270" s="551"/>
      <c r="AB4270" s="694"/>
      <c r="AC4270" s="694"/>
      <c r="AD4270" s="686"/>
      <c r="AE4270" s="52"/>
      <c r="AF4270" s="52"/>
      <c r="AG4270" s="52"/>
      <c r="AH4270" s="87"/>
      <c r="AI4270" s="87"/>
    </row>
    <row r="4271" spans="1:35" ht="27" hidden="1" customHeight="1" thickBot="1">
      <c r="A4271" s="218" t="e">
        <f>"O"&amp;E4249</f>
        <v>#N/A</v>
      </c>
      <c r="B4271" s="702"/>
      <c r="C4271" s="114">
        <v>2</v>
      </c>
      <c r="D4271" s="194" t="e">
        <f>IF(AND(C4271&lt;=F4268,F4268&lt;&gt;""),VLOOKUP(VALUE(E4249&amp;","&amp;C4271),INTEGRANTES!$D$18:$F$235,2,0),"")</f>
        <v>#N/A</v>
      </c>
      <c r="E4271" s="211" t="e">
        <f>IF(D4271&lt;&gt;"",VLOOKUP(VALUE(E4249&amp;","&amp;C4271),INTEGRANTES!$D$18:$F$235,3,0),"")</f>
        <v>#N/A</v>
      </c>
      <c r="F4271" s="547" t="e">
        <f>IF(D4271="","",SUMIF($I4253:$I4262,D4271,$P4253:$P4262))</f>
        <v>#N/A</v>
      </c>
      <c r="G4271" s="333" t="e">
        <f>IF(D4271="","",SUMIF($I4253:$I4262,D4271,$M4253:$M4262))</f>
        <v>#N/A</v>
      </c>
      <c r="H4271" s="535" t="e">
        <f t="shared" si="1262"/>
        <v>#N/A</v>
      </c>
      <c r="I4271" s="212" t="e">
        <f>IF(D4271="","",IF(H4271="NO APORTA","NO",IF(H4271=MAX($H4270:$H4275),"SI","NO")))</f>
        <v>#N/A</v>
      </c>
      <c r="J4271" s="213" t="e">
        <f t="shared" si="1263"/>
        <v>#N/A</v>
      </c>
      <c r="K4271" s="200" t="e">
        <f t="shared" si="1264"/>
        <v>#N/A</v>
      </c>
      <c r="L4271" s="723"/>
      <c r="M4271" s="715" t="s">
        <v>116</v>
      </c>
      <c r="N4271" s="716"/>
      <c r="O4271" s="556" t="s">
        <v>113</v>
      </c>
      <c r="P4271" s="715" t="s">
        <v>117</v>
      </c>
      <c r="Q4271" s="728"/>
      <c r="R4271" s="759"/>
      <c r="S4271" s="760"/>
      <c r="T4271" s="761"/>
      <c r="U4271" s="219"/>
      <c r="V4271" s="464"/>
      <c r="Y4271" s="414"/>
      <c r="AA4271" s="542" t="e">
        <f>IF(AND(C4270&lt;=F4268,F4268&gt;1,F4268&lt;&gt;""),VLOOKUP(VALUE(E4249&amp;","&amp;C4270),INTEGRANTES!$D$18:$F$235,2,0),"")</f>
        <v>#N/A</v>
      </c>
      <c r="AB4271" s="544" t="e">
        <f t="shared" ref="AB4271:AB4276" si="1265">IF(D4270="","",IF(OR(F4270=0,G4270=0),"NO APORTA",ROUND($F4270/$G4270,3)))</f>
        <v>#N/A</v>
      </c>
      <c r="AC4271" s="529"/>
      <c r="AD4271" s="200" t="e">
        <f t="shared" ref="AD4271:AD4276" si="1266">IF(OR(AA4271="",AB4271=""),"",IF(AND(AC4271="X",AB4271&gt;=EXPREQVTD),"CUMPLE","NO CUMPLE"))</f>
        <v>#N/A</v>
      </c>
      <c r="AE4271" s="52"/>
      <c r="AF4271" s="52"/>
      <c r="AG4271" s="52"/>
      <c r="AH4271" s="87"/>
      <c r="AI4271" s="87"/>
    </row>
    <row r="4272" spans="1:35" ht="16.5" hidden="1" thickBot="1">
      <c r="A4272" s="218" t="e">
        <f>"P"&amp;E4249</f>
        <v>#N/A</v>
      </c>
      <c r="B4272" s="702"/>
      <c r="C4272" s="114">
        <v>3</v>
      </c>
      <c r="D4272" s="194" t="e">
        <f>IF(AND(C4272&lt;=F4268,F4268&lt;&gt;""),VLOOKUP(VALUE(E4249&amp;","&amp;C4272),INTEGRANTES!$D$18:$F$235,2,0),"")</f>
        <v>#N/A</v>
      </c>
      <c r="E4272" s="211" t="e">
        <f>IF(D4272&lt;&gt;"",VLOOKUP(VALUE(E4249&amp;","&amp;C4272),INTEGRANTES!$D$18:$F$235,3,0),"")</f>
        <v>#N/A</v>
      </c>
      <c r="F4272" s="547" t="e">
        <f>IF(D4272="","",SUMIF($I4253:$I4262,D4272,$P4253:$P4262))</f>
        <v>#N/A</v>
      </c>
      <c r="G4272" s="333" t="e">
        <f>IF(D4272="","",SUMIF($I4253:$I4262,D4272,$M4253:$M4262))</f>
        <v>#N/A</v>
      </c>
      <c r="H4272" s="535" t="e">
        <f t="shared" si="1262"/>
        <v>#N/A</v>
      </c>
      <c r="I4272" s="212" t="e">
        <f>IF(D4272="","",IF(H4272="NO APORTA","NO",IF(H4272=MAX($H4270:$H4275),"SI","NO")))</f>
        <v>#N/A</v>
      </c>
      <c r="J4272" s="213" t="e">
        <f t="shared" si="1263"/>
        <v>#N/A</v>
      </c>
      <c r="K4272" s="200" t="e">
        <f t="shared" si="1264"/>
        <v>#N/A</v>
      </c>
      <c r="L4272" s="724"/>
      <c r="M4272" s="729">
        <f>NUMMOD</f>
        <v>1</v>
      </c>
      <c r="N4272" s="730"/>
      <c r="O4272" s="443">
        <f>IF(M4272="","",VLOOKUP(M4272,PRESUPUESTOS!$B$16:$H$16,5,FALSE))</f>
        <v>2</v>
      </c>
      <c r="P4272" s="713">
        <f>IF(OR(COUNTIF(M4253:M4262,"")&gt;=10,Q4269&lt;NUMMINCONT,OR(T4267="NO CUMPLE",T4267="VERIFICAR")),0,ROUND(AVERAGE(M4253:M4262),3))</f>
        <v>0</v>
      </c>
      <c r="Q4272" s="714"/>
      <c r="R4272" s="458"/>
      <c r="S4272" s="459"/>
      <c r="T4272" s="460"/>
      <c r="U4272" s="219"/>
      <c r="V4272" s="464"/>
      <c r="Y4272" s="532" t="str">
        <f>"40% * ("&amp;PRESUPUESTOS!$H$13&amp;")"</f>
        <v>40% * (50% PFMO)</v>
      </c>
      <c r="AA4272" s="540" t="e">
        <f>IF(AND(C4271&lt;=F4268,F4268&lt;&gt;""),VLOOKUP(VALUE(E4249&amp;","&amp;C4271),INTEGRANTES!$D$18:$F$235,2,0),"")</f>
        <v>#N/A</v>
      </c>
      <c r="AB4272" s="545" t="e">
        <f t="shared" si="1265"/>
        <v>#N/A</v>
      </c>
      <c r="AC4272" s="529"/>
      <c r="AD4272" s="200" t="e">
        <f t="shared" si="1266"/>
        <v>#N/A</v>
      </c>
      <c r="AE4272" s="52"/>
      <c r="AF4272" s="52"/>
      <c r="AG4272" s="52"/>
      <c r="AH4272" s="87"/>
      <c r="AI4272" s="87"/>
    </row>
    <row r="4273" spans="1:35" ht="15.75" hidden="1" customHeight="1" thickBot="1">
      <c r="A4273" s="218" t="e">
        <f>"Q"&amp;E4249</f>
        <v>#N/A</v>
      </c>
      <c r="B4273" s="702"/>
      <c r="C4273" s="114">
        <v>4</v>
      </c>
      <c r="D4273" s="194" t="e">
        <f>IF(AND(C4273&lt;=F4268,F4268&lt;&gt;""),VLOOKUP(VALUE(E4249&amp;","&amp;C4273),INTEGRANTES!$D$18:$F$235,2,0),"")</f>
        <v>#N/A</v>
      </c>
      <c r="E4273" s="211" t="e">
        <f>IF(D4273&lt;&gt;"",VLOOKUP(VALUE(E4249&amp;","&amp;C4273),INTEGRANTES!$D$18:$F$235,3,0),"")</f>
        <v>#N/A</v>
      </c>
      <c r="F4273" s="547" t="e">
        <f>IF(D4273="","",SUMIF($I4253:$I4262,D4273,$P4253:$P4262))</f>
        <v>#N/A</v>
      </c>
      <c r="G4273" s="333" t="e">
        <f>IF(D4273="","",SUMIF($I4253:$I4262,D4273,$M4253:$M4262))</f>
        <v>#N/A</v>
      </c>
      <c r="H4273" s="535" t="e">
        <f t="shared" si="1262"/>
        <v>#N/A</v>
      </c>
      <c r="I4273" s="212" t="e">
        <f>IF(D4273="","",IF(H4273="NO APORTA","NO",IF(H4273=MAX($H4270:$H4275),"SI","NO")))</f>
        <v>#N/A</v>
      </c>
      <c r="J4273" s="213" t="e">
        <f t="shared" si="1263"/>
        <v>#N/A</v>
      </c>
      <c r="K4273" s="200" t="e">
        <f t="shared" si="1264"/>
        <v>#N/A</v>
      </c>
      <c r="L4273" s="720" t="s">
        <v>109</v>
      </c>
      <c r="M4273" s="757" t="s">
        <v>120</v>
      </c>
      <c r="N4273" s="726"/>
      <c r="O4273" s="726"/>
      <c r="P4273" s="726"/>
      <c r="Q4273" s="727"/>
      <c r="R4273" s="458"/>
      <c r="S4273" s="459"/>
      <c r="T4273" s="460"/>
      <c r="U4273" s="219"/>
      <c r="V4273" s="464"/>
      <c r="Y4273" s="537">
        <f>0.4*PRESUPUESTOS!$H$16</f>
        <v>10.3124</v>
      </c>
      <c r="AA4273" s="540" t="e">
        <f>IF(AND(C4272&lt;=F4268,F4268&lt;&gt;""),VLOOKUP(VALUE(E4249&amp;","&amp;C4272),INTEGRANTES!$D$18:$F$235,2,0),"")</f>
        <v>#N/A</v>
      </c>
      <c r="AB4273" s="545" t="e">
        <f t="shared" si="1265"/>
        <v>#N/A</v>
      </c>
      <c r="AC4273" s="529"/>
      <c r="AD4273" s="200" t="e">
        <f t="shared" si="1266"/>
        <v>#N/A</v>
      </c>
      <c r="AE4273" s="52"/>
      <c r="AF4273" s="52"/>
      <c r="AG4273" s="52"/>
      <c r="AH4273" s="87"/>
      <c r="AI4273" s="87"/>
    </row>
    <row r="4274" spans="1:35" ht="27" hidden="1" customHeight="1" thickBot="1">
      <c r="A4274" s="218" t="e">
        <f>"R"&amp;E4249</f>
        <v>#N/A</v>
      </c>
      <c r="B4274" s="702"/>
      <c r="C4274" s="114">
        <v>5</v>
      </c>
      <c r="D4274" s="194" t="e">
        <f>IF(AND(C4274&lt;=F4268,F4268&lt;&gt;""),VLOOKUP(VALUE(E4249&amp;","&amp;C4274),INTEGRANTES!$D$18:$F$235,2,0),"")</f>
        <v>#N/A</v>
      </c>
      <c r="E4274" s="211" t="e">
        <f>IF(D4274&lt;&gt;"",VLOOKUP(VALUE(E4249&amp;","&amp;C4274),INTEGRANTES!$D$18:$F$235,3,0),"")</f>
        <v>#N/A</v>
      </c>
      <c r="F4274" s="547" t="e">
        <f>IF(D4274="","",SUMIF($I4253:$I4262,D4274,$P4253:$P4262))</f>
        <v>#N/A</v>
      </c>
      <c r="G4274" s="333" t="e">
        <f>IF(D4274="","",SUMIF($I4253:$I4262,D4274,$M4253:$M4262))</f>
        <v>#N/A</v>
      </c>
      <c r="H4274" s="535" t="e">
        <f t="shared" si="1262"/>
        <v>#N/A</v>
      </c>
      <c r="I4274" s="212" t="e">
        <f>IF(D4274="","",IF(H4274="NO APORTA","NO",IF(H4274=MAX($H4270:$H4275),"SI","NO")))</f>
        <v>#N/A</v>
      </c>
      <c r="J4274" s="213" t="e">
        <f t="shared" si="1263"/>
        <v>#N/A</v>
      </c>
      <c r="K4274" s="200" t="e">
        <f t="shared" si="1264"/>
        <v>#N/A</v>
      </c>
      <c r="L4274" s="721"/>
      <c r="M4274" s="715" t="s">
        <v>116</v>
      </c>
      <c r="N4274" s="716"/>
      <c r="O4274" s="556" t="str">
        <f>PORCREQUERIDO*100&amp;"% PMFO DEL MÓDULO"</f>
        <v>50% PMFO DEL MÓDULO</v>
      </c>
      <c r="P4274" s="715" t="s">
        <v>118</v>
      </c>
      <c r="Q4274" s="728"/>
      <c r="R4274" s="458"/>
      <c r="S4274" s="459"/>
      <c r="T4274" s="460"/>
      <c r="U4274" s="219"/>
      <c r="V4274" s="464"/>
      <c r="Y4274" s="414"/>
      <c r="AA4274" s="540" t="e">
        <f>IF(AND(C4273&lt;=F4268,F4268&lt;&gt;""),VLOOKUP(VALUE(E4249&amp;","&amp;C4273),INTEGRANTES!$D$18:$F$235,2,0),"")</f>
        <v>#N/A</v>
      </c>
      <c r="AB4274" s="545" t="e">
        <f t="shared" si="1265"/>
        <v>#N/A</v>
      </c>
      <c r="AC4274" s="529"/>
      <c r="AD4274" s="200" t="e">
        <f t="shared" si="1266"/>
        <v>#N/A</v>
      </c>
      <c r="AE4274" s="52"/>
      <c r="AF4274" s="52"/>
      <c r="AG4274" s="52"/>
      <c r="AH4274" s="87"/>
      <c r="AI4274" s="87"/>
    </row>
    <row r="4275" spans="1:35" ht="16.5" hidden="1" thickBot="1">
      <c r="A4275" s="218" t="e">
        <f>"S"&amp;E4249</f>
        <v>#N/A</v>
      </c>
      <c r="B4275" s="702"/>
      <c r="C4275" s="215">
        <v>6</v>
      </c>
      <c r="D4275" s="216" t="e">
        <f>IF(AND(C4275&lt;=F4268,F4268&lt;&gt;""),VLOOKUP(VALUE(E4249&amp;","&amp;C4275),INTEGRANTES!$D$18:$F$235,2,0),"")</f>
        <v>#N/A</v>
      </c>
      <c r="E4275" s="217" t="e">
        <f>IF(D4275&lt;&gt;"",VLOOKUP(VALUE(E4249&amp;","&amp;C4275),INTEGRANTES!$D$18:$F$235,3,0),"")</f>
        <v>#N/A</v>
      </c>
      <c r="F4275" s="548" t="e">
        <f>IF(D4275="","",SUMIF($I4253:$I4262,D4275,$P4253:$P4262))</f>
        <v>#N/A</v>
      </c>
      <c r="G4275" s="334" t="e">
        <f>IF(D4275="","",SUMIF($I4253:$I4262,D4275,$M4253:$M4262))</f>
        <v>#N/A</v>
      </c>
      <c r="H4275" s="536" t="e">
        <f t="shared" si="1262"/>
        <v>#N/A</v>
      </c>
      <c r="I4275" s="214" t="e">
        <f>IF(D4275="","",IF(H4275="NO APORTA","NO",IF(H4275=MAX($H4270:$H4275),"SI","NO")))</f>
        <v>#N/A</v>
      </c>
      <c r="J4275" s="213" t="e">
        <f t="shared" si="1263"/>
        <v>#N/A</v>
      </c>
      <c r="K4275" s="200" t="e">
        <f t="shared" si="1264"/>
        <v>#N/A</v>
      </c>
      <c r="L4275" s="721"/>
      <c r="M4275" s="729">
        <f>NUMMOD</f>
        <v>1</v>
      </c>
      <c r="N4275" s="730"/>
      <c r="O4275" s="443">
        <f>IF(M4275="","",ROUND(VLOOKUP(M4275,PRESUPUESTOS!$B$16:$H$16,7,FALSE),3))</f>
        <v>25.780999999999999</v>
      </c>
      <c r="P4275" s="713">
        <f>IF(OR(COUNTIF(P4253:P4262,"")&gt;=10,Q4269&lt;NUMMINCONT,OR(T4267="NO CUMPLE",T4267="VERIFICAR")),0,ROUND((SUM(P4253:P4262)/SUM(M4253:M4262)),3))</f>
        <v>0</v>
      </c>
      <c r="Q4275" s="714"/>
      <c r="R4275" s="458"/>
      <c r="S4275" s="459"/>
      <c r="T4275" s="460"/>
      <c r="U4275" s="219"/>
      <c r="V4275" s="464"/>
      <c r="Y4275" s="532" t="s">
        <v>343</v>
      </c>
      <c r="AA4275" s="540" t="e">
        <f>IF(AND(C4274&lt;=F4268,F4268&lt;&gt;""),VLOOKUP(VALUE(E4249&amp;","&amp;C4274),INTEGRANTES!$D$18:$F$235,2,0),"")</f>
        <v>#N/A</v>
      </c>
      <c r="AB4275" s="545" t="e">
        <f t="shared" si="1265"/>
        <v>#N/A</v>
      </c>
      <c r="AC4275" s="529"/>
      <c r="AD4275" s="200" t="e">
        <f t="shared" si="1266"/>
        <v>#N/A</v>
      </c>
      <c r="AE4275" s="52"/>
      <c r="AF4275" s="52"/>
      <c r="AG4275" s="52"/>
      <c r="AH4275" s="87"/>
      <c r="AI4275" s="87"/>
    </row>
    <row r="4276" spans="1:35" ht="16.5" hidden="1" customHeight="1" thickBot="1">
      <c r="A4276" s="218" t="e">
        <f>"T"&amp;E4249</f>
        <v>#N/A</v>
      </c>
      <c r="B4276" s="703"/>
      <c r="C4276" s="719"/>
      <c r="D4276" s="719"/>
      <c r="E4276" s="719"/>
      <c r="F4276" s="719"/>
      <c r="G4276" s="719"/>
      <c r="H4276" s="719" t="s">
        <v>110</v>
      </c>
      <c r="I4276" s="719"/>
      <c r="J4276" s="719"/>
      <c r="K4276" s="201" t="str">
        <f>IF(COUNTIF(K4270:K4275,"")=6,"",IF(COUNTIF(K4270:K4275,"CUMPLE")&gt;0,"CUMPLE","NO CUMPLE"))</f>
        <v>NO CUMPLE</v>
      </c>
      <c r="L4276" s="754"/>
      <c r="M4276" s="755"/>
      <c r="N4276" s="755"/>
      <c r="O4276" s="755"/>
      <c r="P4276" s="755"/>
      <c r="Q4276" s="756"/>
      <c r="R4276" s="461"/>
      <c r="S4276" s="462"/>
      <c r="T4276" s="463"/>
      <c r="U4276" s="219"/>
      <c r="V4276" s="464"/>
      <c r="Y4276" s="549" t="e">
        <f>IF(Y4270="NO APLICA","NO APLICA",IF(COUNTIF(AD4271:AD4276,"CUMPLE")&gt;0,"CUMPLE","NO CUMPLE"))</f>
        <v>#N/A</v>
      </c>
      <c r="AA4276" s="541" t="e">
        <f>IF(AND(C4275&lt;=F4268,F4268&lt;&gt;""),VLOOKUP(VALUE(E4249&amp;","&amp;C4275),INTEGRANTES!$D$18:$F$235,2,0),"")</f>
        <v>#N/A</v>
      </c>
      <c r="AB4276" s="546" t="e">
        <f t="shared" si="1265"/>
        <v>#N/A</v>
      </c>
      <c r="AC4276" s="543"/>
      <c r="AD4276" s="201" t="e">
        <f t="shared" si="1266"/>
        <v>#N/A</v>
      </c>
      <c r="AE4276" s="52"/>
      <c r="AF4276" s="52"/>
      <c r="AG4276" s="52"/>
      <c r="AH4276" s="87"/>
      <c r="AI4276" s="87"/>
    </row>
    <row r="4277" spans="1:35" hidden="1">
      <c r="AH4277" s="87"/>
      <c r="AI4277" s="87"/>
    </row>
    <row r="4278" spans="1:35" hidden="1">
      <c r="AH4278" s="87"/>
      <c r="AI4278" s="87"/>
    </row>
    <row r="4279" spans="1:35" ht="24" hidden="1" thickBot="1">
      <c r="A4279" s="61">
        <v>143</v>
      </c>
      <c r="B4279" s="704" t="s">
        <v>51</v>
      </c>
      <c r="C4279" s="704"/>
      <c r="D4279" s="704"/>
      <c r="E4279" s="62" t="e">
        <f>VLOOKUP(A4279,PROPONENTES!$B$19:$E$218,2,FALSE)</f>
        <v>#N/A</v>
      </c>
      <c r="F4279" s="63" t="e">
        <f>VLOOKUP(A4279,PROPONENTES!$B$19:$E$218,3,FALSE)</f>
        <v>#N/A</v>
      </c>
      <c r="G4279" s="64"/>
      <c r="H4279" s="64"/>
      <c r="I4279" s="63"/>
      <c r="J4279" s="63"/>
      <c r="K4279" s="65"/>
      <c r="L4279" s="65"/>
      <c r="M4279" s="64"/>
      <c r="N4279" s="64"/>
      <c r="O4279" s="66"/>
      <c r="P4279" s="66"/>
      <c r="Q4279" s="66"/>
      <c r="R4279" s="66"/>
      <c r="S4279" s="67"/>
      <c r="T4279" s="68"/>
      <c r="U4279" s="68"/>
      <c r="AC4279" s="68"/>
      <c r="AD4279" s="68"/>
      <c r="AE4279" s="68"/>
      <c r="AF4279" s="68"/>
      <c r="AG4279" s="68"/>
      <c r="AH4279" s="87"/>
      <c r="AI4279" s="87"/>
    </row>
    <row r="4280" spans="1:35" ht="15.75" hidden="1" customHeight="1">
      <c r="A4280" s="44"/>
      <c r="B4280" s="709" t="s">
        <v>59</v>
      </c>
      <c r="C4280" s="552" t="s">
        <v>60</v>
      </c>
      <c r="D4280" s="70" t="s">
        <v>17</v>
      </c>
      <c r="E4280" s="70"/>
      <c r="F4280" s="70" t="s">
        <v>61</v>
      </c>
      <c r="G4280" s="71"/>
      <c r="H4280" s="699" t="s">
        <v>62</v>
      </c>
      <c r="I4280" s="699" t="s">
        <v>18</v>
      </c>
      <c r="J4280" s="699" t="s">
        <v>63</v>
      </c>
      <c r="K4280" s="699" t="s">
        <v>64</v>
      </c>
      <c r="L4280" s="699" t="s">
        <v>65</v>
      </c>
      <c r="M4280" s="743" t="s">
        <v>66</v>
      </c>
      <c r="N4280" s="699" t="s">
        <v>282</v>
      </c>
      <c r="O4280" s="745" t="s">
        <v>67</v>
      </c>
      <c r="P4280" s="746"/>
      <c r="Q4280" s="102" t="s">
        <v>75</v>
      </c>
      <c r="R4280" s="731" t="s">
        <v>22</v>
      </c>
      <c r="S4280" s="732"/>
      <c r="T4280" s="733"/>
      <c r="U4280" s="712" t="s">
        <v>298</v>
      </c>
      <c r="W4280" s="690" t="s">
        <v>268</v>
      </c>
      <c r="X4280" s="691"/>
      <c r="Y4280" s="692"/>
      <c r="Z4280" s="428"/>
      <c r="AA4280" s="697" t="s">
        <v>315</v>
      </c>
      <c r="AB4280" s="695" t="s">
        <v>322</v>
      </c>
      <c r="AC4280" s="49"/>
      <c r="AD4280" s="690" t="s">
        <v>297</v>
      </c>
      <c r="AE4280" s="691"/>
      <c r="AF4280" s="692"/>
      <c r="AG4280" s="49"/>
      <c r="AH4280" s="87"/>
      <c r="AI4280" s="87"/>
    </row>
    <row r="4281" spans="1:35" ht="72" hidden="1">
      <c r="A4281" s="44"/>
      <c r="B4281" s="710"/>
      <c r="C4281" s="553" t="s">
        <v>68</v>
      </c>
      <c r="D4281" s="73" t="s">
        <v>3</v>
      </c>
      <c r="E4281" s="73" t="s">
        <v>19</v>
      </c>
      <c r="F4281" s="73" t="s">
        <v>69</v>
      </c>
      <c r="G4281" s="74" t="s">
        <v>70</v>
      </c>
      <c r="H4281" s="700"/>
      <c r="I4281" s="700"/>
      <c r="J4281" s="700"/>
      <c r="K4281" s="700"/>
      <c r="L4281" s="700"/>
      <c r="M4281" s="744"/>
      <c r="N4281" s="700"/>
      <c r="O4281" s="553" t="s">
        <v>279</v>
      </c>
      <c r="P4281" s="73" t="s">
        <v>88</v>
      </c>
      <c r="Q4281" s="555" t="s">
        <v>76</v>
      </c>
      <c r="R4281" s="734"/>
      <c r="S4281" s="735"/>
      <c r="T4281" s="736"/>
      <c r="U4281" s="712"/>
      <c r="W4281" s="429" t="s">
        <v>269</v>
      </c>
      <c r="X4281" s="457" t="s">
        <v>278</v>
      </c>
      <c r="Y4281" s="430" t="s">
        <v>324</v>
      </c>
      <c r="Z4281" s="428"/>
      <c r="AA4281" s="698"/>
      <c r="AB4281" s="696"/>
      <c r="AC4281" s="49"/>
      <c r="AD4281" s="429" t="s">
        <v>292</v>
      </c>
      <c r="AE4281" s="431" t="s">
        <v>300</v>
      </c>
      <c r="AF4281" s="468" t="s">
        <v>301</v>
      </c>
      <c r="AG4281" s="49"/>
      <c r="AH4281" s="87"/>
      <c r="AI4281" s="87"/>
    </row>
    <row r="4282" spans="1:35" hidden="1">
      <c r="A4282" s="44"/>
      <c r="B4282" s="76"/>
      <c r="C4282" s="77"/>
      <c r="D4282" s="77"/>
      <c r="E4282" s="77"/>
      <c r="F4282" s="77"/>
      <c r="G4282" s="77"/>
      <c r="H4282" s="77"/>
      <c r="I4282" s="77"/>
      <c r="J4282" s="77"/>
      <c r="K4282" s="77"/>
      <c r="L4282" s="77"/>
      <c r="M4282" s="77"/>
      <c r="N4282" s="77"/>
      <c r="O4282" s="77"/>
      <c r="P4282" s="77"/>
      <c r="Q4282" s="77"/>
      <c r="R4282" s="77"/>
      <c r="S4282" s="78"/>
      <c r="T4282" s="79"/>
      <c r="U4282" s="109"/>
      <c r="V4282" s="49"/>
      <c r="W4282" s="432"/>
      <c r="X4282" s="454"/>
      <c r="Y4282" s="433"/>
      <c r="Z4282" s="6"/>
      <c r="AA4282" s="500"/>
      <c r="AB4282" s="562"/>
      <c r="AC4282" s="49"/>
      <c r="AD4282" s="210"/>
      <c r="AE4282" s="434"/>
      <c r="AF4282" s="435"/>
      <c r="AG4282" s="49"/>
      <c r="AH4282" s="87"/>
      <c r="AI4282" s="87"/>
    </row>
    <row r="4283" spans="1:35" hidden="1">
      <c r="A4283" s="80" t="e">
        <f>"A"&amp;E4279</f>
        <v>#N/A</v>
      </c>
      <c r="B4283" s="81">
        <v>1</v>
      </c>
      <c r="C4283" s="82"/>
      <c r="D4283" s="82"/>
      <c r="E4283" s="82"/>
      <c r="F4283" s="82"/>
      <c r="G4283" s="83"/>
      <c r="H4283" s="83"/>
      <c r="I4283" s="84"/>
      <c r="J4283" s="85"/>
      <c r="K4283" s="382"/>
      <c r="L4283" s="85"/>
      <c r="M4283" s="332" t="str">
        <f t="shared" ref="M4283:M4292" si="1267">IF(OR(J4283="",L4283="",H4283="NO"),"",IF(OR(J4283&gt;$P$17,J4283&lt;$O$17,L4283&gt;$P$17,AND(J4283&lt;$O$17,L4283&lt;$O$17)),"FUERA DE RANGO",IF(OR(K4283="---",K4283=""),IF(J4283&gt;=$O$17,ROUND((L4283-J4283+1)/360*12,3),ROUND((L4283-$O$17+1)/360*12,3)),IF(J4283&gt;=$O$17,ROUND((L4283-J4283+1)/360*12-ROUND(K4283,3),3),ROUND((L4283-$O$17+1)/360*12-ROUND(K4283,3),3)))))</f>
        <v/>
      </c>
      <c r="N4283" s="86"/>
      <c r="O4283" s="453" t="str">
        <f>IF(OR(G4283="",N4283=""),"",N4283*G4283)</f>
        <v/>
      </c>
      <c r="P4283" s="538" t="str">
        <f>IF(OR(H4283="",M4283="FUERA DE RANGO"),"",IF(OR(L4283&lt;$O$17,L4283&gt;$P$17,L4283="",H4283="NO"),"",IF(OR(N4283="",O4283=""),"",ROUND(O4283,3))))</f>
        <v/>
      </c>
      <c r="Q4283" s="539" t="str">
        <f t="shared" ref="Q4283:Q4292" si="1268">IF(AND(H4283="SI",P4283&lt;&gt;""),ROUND(P4283/M4283,3),"")</f>
        <v/>
      </c>
      <c r="R4283" s="737"/>
      <c r="S4283" s="738"/>
      <c r="T4283" s="739"/>
      <c r="U4283" s="470"/>
      <c r="V4283" s="165"/>
      <c r="W4283" s="446"/>
      <c r="X4283" s="456"/>
      <c r="Y4283" s="436"/>
      <c r="Z4283" s="437"/>
      <c r="AA4283" s="560"/>
      <c r="AB4283" s="561"/>
      <c r="AC4283" s="87"/>
      <c r="AD4283" s="466"/>
      <c r="AE4283" s="456"/>
      <c r="AF4283" s="467"/>
      <c r="AG4283" s="87"/>
      <c r="AH4283" s="87"/>
      <c r="AI4283" s="87"/>
    </row>
    <row r="4284" spans="1:35" hidden="1">
      <c r="A4284" s="80" t="e">
        <f>"B"&amp;E4279</f>
        <v>#N/A</v>
      </c>
      <c r="B4284" s="81">
        <v>2</v>
      </c>
      <c r="C4284" s="106"/>
      <c r="D4284" s="106"/>
      <c r="E4284" s="106"/>
      <c r="F4284" s="106"/>
      <c r="G4284" s="83"/>
      <c r="H4284" s="83"/>
      <c r="I4284" s="84"/>
      <c r="J4284" s="85"/>
      <c r="K4284" s="382"/>
      <c r="L4284" s="85"/>
      <c r="M4284" s="332" t="str">
        <f t="shared" si="1267"/>
        <v/>
      </c>
      <c r="N4284" s="86"/>
      <c r="O4284" s="453" t="str">
        <f t="shared" ref="O4284:O4292" si="1269">IF(OR(G4284="",N4284=""),"",N4284*G4284)</f>
        <v/>
      </c>
      <c r="P4284" s="538" t="str">
        <f t="shared" ref="P4284:P4292" si="1270">IF(OR(H4284="",M4284="FUERA DE RANGO"),"",IF(OR(L4284&lt;$O$17,L4284&gt;$P$17,L4284="",H4284="NO"),"",IF(OR(N4284="",O4284=""),"",ROUND(O4284,3))))</f>
        <v/>
      </c>
      <c r="Q4284" s="539" t="str">
        <f t="shared" si="1268"/>
        <v/>
      </c>
      <c r="R4284" s="740"/>
      <c r="S4284" s="741"/>
      <c r="T4284" s="742"/>
      <c r="U4284" s="471"/>
      <c r="V4284" s="165"/>
      <c r="W4284" s="446"/>
      <c r="X4284" s="456"/>
      <c r="Y4284" s="436"/>
      <c r="Z4284" s="437"/>
      <c r="AA4284" s="560"/>
      <c r="AB4284" s="561"/>
      <c r="AC4284" s="87"/>
      <c r="AD4284" s="466"/>
      <c r="AE4284" s="456"/>
      <c r="AF4284" s="467"/>
      <c r="AG4284" s="87"/>
      <c r="AH4284" s="87"/>
      <c r="AI4284" s="87"/>
    </row>
    <row r="4285" spans="1:35" hidden="1">
      <c r="A4285" s="80" t="e">
        <f>"C"&amp;E4279</f>
        <v>#N/A</v>
      </c>
      <c r="B4285" s="88">
        <v>3</v>
      </c>
      <c r="C4285" s="82"/>
      <c r="D4285" s="82"/>
      <c r="E4285" s="82"/>
      <c r="F4285" s="82"/>
      <c r="G4285" s="83"/>
      <c r="H4285" s="83"/>
      <c r="I4285" s="84"/>
      <c r="J4285" s="85"/>
      <c r="K4285" s="382"/>
      <c r="L4285" s="85"/>
      <c r="M4285" s="332" t="str">
        <f t="shared" si="1267"/>
        <v/>
      </c>
      <c r="N4285" s="86"/>
      <c r="O4285" s="453" t="str">
        <f t="shared" si="1269"/>
        <v/>
      </c>
      <c r="P4285" s="538" t="str">
        <f t="shared" si="1270"/>
        <v/>
      </c>
      <c r="Q4285" s="539" t="str">
        <f t="shared" si="1268"/>
        <v/>
      </c>
      <c r="R4285" s="706"/>
      <c r="S4285" s="707"/>
      <c r="T4285" s="708"/>
      <c r="U4285" s="472"/>
      <c r="V4285" s="166"/>
      <c r="W4285" s="446"/>
      <c r="X4285" s="456"/>
      <c r="Y4285" s="436"/>
      <c r="Z4285" s="437"/>
      <c r="AA4285" s="560"/>
      <c r="AB4285" s="561"/>
      <c r="AC4285" s="87"/>
      <c r="AD4285" s="466"/>
      <c r="AE4285" s="456"/>
      <c r="AF4285" s="467"/>
      <c r="AG4285" s="87"/>
      <c r="AH4285" s="87"/>
      <c r="AI4285" s="87"/>
    </row>
    <row r="4286" spans="1:35" hidden="1">
      <c r="A4286" s="80" t="e">
        <f>"D"&amp;E4279</f>
        <v>#N/A</v>
      </c>
      <c r="B4286" s="105">
        <v>4</v>
      </c>
      <c r="C4286" s="107"/>
      <c r="D4286" s="107"/>
      <c r="E4286" s="107"/>
      <c r="F4286" s="107"/>
      <c r="G4286" s="83"/>
      <c r="H4286" s="83"/>
      <c r="I4286" s="84"/>
      <c r="J4286" s="85"/>
      <c r="K4286" s="382"/>
      <c r="L4286" s="85"/>
      <c r="M4286" s="332" t="str">
        <f t="shared" si="1267"/>
        <v/>
      </c>
      <c r="N4286" s="86"/>
      <c r="O4286" s="453" t="str">
        <f t="shared" si="1269"/>
        <v/>
      </c>
      <c r="P4286" s="538" t="str">
        <f t="shared" si="1270"/>
        <v/>
      </c>
      <c r="Q4286" s="539" t="str">
        <f t="shared" si="1268"/>
        <v/>
      </c>
      <c r="R4286" s="706"/>
      <c r="S4286" s="707"/>
      <c r="T4286" s="708"/>
      <c r="U4286" s="472"/>
      <c r="V4286" s="166"/>
      <c r="W4286" s="446"/>
      <c r="X4286" s="456"/>
      <c r="Y4286" s="436"/>
      <c r="Z4286" s="437"/>
      <c r="AA4286" s="560"/>
      <c r="AB4286" s="561"/>
      <c r="AC4286" s="87"/>
      <c r="AD4286" s="466"/>
      <c r="AE4286" s="456"/>
      <c r="AF4286" s="467"/>
      <c r="AG4286" s="87"/>
      <c r="AH4286" s="87"/>
      <c r="AI4286" s="87"/>
    </row>
    <row r="4287" spans="1:35" hidden="1">
      <c r="A4287" s="80" t="e">
        <f>"E"&amp;E4279</f>
        <v>#N/A</v>
      </c>
      <c r="B4287" s="105">
        <v>5</v>
      </c>
      <c r="C4287" s="107"/>
      <c r="D4287" s="107"/>
      <c r="E4287" s="107"/>
      <c r="F4287" s="107"/>
      <c r="G4287" s="83"/>
      <c r="H4287" s="83"/>
      <c r="I4287" s="84"/>
      <c r="J4287" s="85"/>
      <c r="K4287" s="382"/>
      <c r="L4287" s="85"/>
      <c r="M4287" s="332" t="str">
        <f t="shared" si="1267"/>
        <v/>
      </c>
      <c r="N4287" s="86"/>
      <c r="O4287" s="453" t="str">
        <f t="shared" si="1269"/>
        <v/>
      </c>
      <c r="P4287" s="538" t="str">
        <f t="shared" si="1270"/>
        <v/>
      </c>
      <c r="Q4287" s="539" t="str">
        <f t="shared" si="1268"/>
        <v/>
      </c>
      <c r="R4287" s="706"/>
      <c r="S4287" s="707"/>
      <c r="T4287" s="708"/>
      <c r="U4287" s="472"/>
      <c r="V4287" s="167"/>
      <c r="W4287" s="446"/>
      <c r="X4287" s="456"/>
      <c r="Y4287" s="436"/>
      <c r="Z4287" s="437"/>
      <c r="AA4287" s="560"/>
      <c r="AB4287" s="561"/>
      <c r="AC4287" s="87"/>
      <c r="AD4287" s="466"/>
      <c r="AE4287" s="456"/>
      <c r="AF4287" s="467"/>
      <c r="AG4287" s="87"/>
      <c r="AH4287" s="87"/>
      <c r="AI4287" s="87"/>
    </row>
    <row r="4288" spans="1:35" hidden="1">
      <c r="A4288" s="80" t="e">
        <f>"F"&amp;E4279</f>
        <v>#N/A</v>
      </c>
      <c r="B4288" s="105">
        <v>6</v>
      </c>
      <c r="C4288" s="107"/>
      <c r="D4288" s="107"/>
      <c r="E4288" s="107"/>
      <c r="F4288" s="107"/>
      <c r="G4288" s="83"/>
      <c r="H4288" s="83"/>
      <c r="I4288" s="84"/>
      <c r="J4288" s="85"/>
      <c r="K4288" s="382"/>
      <c r="L4288" s="85"/>
      <c r="M4288" s="332" t="str">
        <f t="shared" si="1267"/>
        <v/>
      </c>
      <c r="N4288" s="86"/>
      <c r="O4288" s="453" t="str">
        <f t="shared" si="1269"/>
        <v/>
      </c>
      <c r="P4288" s="538" t="str">
        <f t="shared" si="1270"/>
        <v/>
      </c>
      <c r="Q4288" s="539" t="str">
        <f t="shared" si="1268"/>
        <v/>
      </c>
      <c r="R4288" s="706"/>
      <c r="S4288" s="707"/>
      <c r="T4288" s="708"/>
      <c r="U4288" s="472"/>
      <c r="V4288" s="167"/>
      <c r="W4288" s="446"/>
      <c r="X4288" s="456"/>
      <c r="Y4288" s="436"/>
      <c r="Z4288" s="437"/>
      <c r="AA4288" s="560"/>
      <c r="AB4288" s="561"/>
      <c r="AC4288" s="87"/>
      <c r="AD4288" s="466"/>
      <c r="AE4288" s="456"/>
      <c r="AF4288" s="467"/>
      <c r="AG4288" s="87"/>
      <c r="AH4288" s="87"/>
      <c r="AI4288" s="87"/>
    </row>
    <row r="4289" spans="1:35" hidden="1">
      <c r="A4289" s="80" t="e">
        <f>"G"&amp;E4279</f>
        <v>#N/A</v>
      </c>
      <c r="B4289" s="105">
        <v>7</v>
      </c>
      <c r="C4289" s="107"/>
      <c r="D4289" s="107"/>
      <c r="E4289" s="107"/>
      <c r="F4289" s="107"/>
      <c r="G4289" s="83"/>
      <c r="H4289" s="83"/>
      <c r="I4289" s="84"/>
      <c r="J4289" s="85"/>
      <c r="K4289" s="382"/>
      <c r="L4289" s="85"/>
      <c r="M4289" s="332" t="str">
        <f t="shared" si="1267"/>
        <v/>
      </c>
      <c r="N4289" s="86"/>
      <c r="O4289" s="86" t="str">
        <f t="shared" si="1269"/>
        <v/>
      </c>
      <c r="P4289" s="538" t="str">
        <f t="shared" si="1270"/>
        <v/>
      </c>
      <c r="Q4289" s="539" t="str">
        <f t="shared" si="1268"/>
        <v/>
      </c>
      <c r="R4289" s="706"/>
      <c r="S4289" s="707"/>
      <c r="T4289" s="708"/>
      <c r="U4289" s="472"/>
      <c r="V4289" s="167"/>
      <c r="W4289" s="446"/>
      <c r="X4289" s="456"/>
      <c r="Y4289" s="436"/>
      <c r="Z4289" s="437"/>
      <c r="AA4289" s="560"/>
      <c r="AB4289" s="561"/>
      <c r="AC4289" s="87"/>
      <c r="AD4289" s="466"/>
      <c r="AE4289" s="456"/>
      <c r="AF4289" s="467"/>
      <c r="AG4289" s="87"/>
      <c r="AH4289" s="87"/>
      <c r="AI4289" s="87"/>
    </row>
    <row r="4290" spans="1:35" hidden="1">
      <c r="A4290" s="80" t="e">
        <f>"H"&amp;E4279</f>
        <v>#N/A</v>
      </c>
      <c r="B4290" s="105">
        <v>8</v>
      </c>
      <c r="C4290" s="107"/>
      <c r="D4290" s="107"/>
      <c r="E4290" s="107"/>
      <c r="F4290" s="107"/>
      <c r="G4290" s="83"/>
      <c r="H4290" s="83"/>
      <c r="I4290" s="84"/>
      <c r="J4290" s="85"/>
      <c r="K4290" s="382"/>
      <c r="L4290" s="85"/>
      <c r="M4290" s="332" t="str">
        <f t="shared" si="1267"/>
        <v/>
      </c>
      <c r="N4290" s="453"/>
      <c r="O4290" s="86" t="str">
        <f t="shared" si="1269"/>
        <v/>
      </c>
      <c r="P4290" s="538" t="str">
        <f t="shared" si="1270"/>
        <v/>
      </c>
      <c r="Q4290" s="539" t="str">
        <f t="shared" si="1268"/>
        <v/>
      </c>
      <c r="R4290" s="706"/>
      <c r="S4290" s="707"/>
      <c r="T4290" s="708"/>
      <c r="U4290" s="472"/>
      <c r="V4290" s="167"/>
      <c r="W4290" s="446"/>
      <c r="X4290" s="456"/>
      <c r="Y4290" s="436"/>
      <c r="Z4290" s="437"/>
      <c r="AA4290" s="560"/>
      <c r="AB4290" s="561"/>
      <c r="AC4290" s="87"/>
      <c r="AD4290" s="466"/>
      <c r="AE4290" s="456"/>
      <c r="AF4290" s="467"/>
      <c r="AG4290" s="87"/>
      <c r="AH4290" s="87"/>
      <c r="AI4290" s="87"/>
    </row>
    <row r="4291" spans="1:35" hidden="1">
      <c r="A4291" s="80" t="e">
        <f>"I"&amp;E4279</f>
        <v>#N/A</v>
      </c>
      <c r="B4291" s="105">
        <v>9</v>
      </c>
      <c r="C4291" s="107"/>
      <c r="D4291" s="107"/>
      <c r="E4291" s="107"/>
      <c r="F4291" s="107"/>
      <c r="G4291" s="83"/>
      <c r="H4291" s="83"/>
      <c r="I4291" s="84"/>
      <c r="J4291" s="85"/>
      <c r="K4291" s="382"/>
      <c r="L4291" s="85"/>
      <c r="M4291" s="332" t="str">
        <f t="shared" si="1267"/>
        <v/>
      </c>
      <c r="N4291" s="453"/>
      <c r="O4291" s="86" t="str">
        <f t="shared" si="1269"/>
        <v/>
      </c>
      <c r="P4291" s="538" t="str">
        <f t="shared" si="1270"/>
        <v/>
      </c>
      <c r="Q4291" s="539" t="str">
        <f t="shared" si="1268"/>
        <v/>
      </c>
      <c r="R4291" s="706"/>
      <c r="S4291" s="707"/>
      <c r="T4291" s="708"/>
      <c r="U4291" s="472"/>
      <c r="V4291" s="167"/>
      <c r="W4291" s="446"/>
      <c r="X4291" s="456"/>
      <c r="Y4291" s="436"/>
      <c r="Z4291" s="437"/>
      <c r="AA4291" s="560"/>
      <c r="AB4291" s="561"/>
      <c r="AC4291" s="87"/>
      <c r="AD4291" s="466"/>
      <c r="AE4291" s="456"/>
      <c r="AF4291" s="467"/>
      <c r="AG4291" s="87"/>
      <c r="AH4291" s="87"/>
      <c r="AI4291" s="87"/>
    </row>
    <row r="4292" spans="1:35" hidden="1">
      <c r="A4292" s="80" t="e">
        <f>"J"&amp;E4279</f>
        <v>#N/A</v>
      </c>
      <c r="B4292" s="105">
        <v>10</v>
      </c>
      <c r="C4292" s="107"/>
      <c r="D4292" s="107"/>
      <c r="E4292" s="107"/>
      <c r="F4292" s="107"/>
      <c r="G4292" s="83"/>
      <c r="H4292" s="83"/>
      <c r="I4292" s="84"/>
      <c r="J4292" s="85"/>
      <c r="K4292" s="382"/>
      <c r="L4292" s="85"/>
      <c r="M4292" s="332" t="str">
        <f t="shared" si="1267"/>
        <v/>
      </c>
      <c r="N4292" s="453"/>
      <c r="O4292" s="86" t="str">
        <f t="shared" si="1269"/>
        <v/>
      </c>
      <c r="P4292" s="538" t="str">
        <f t="shared" si="1270"/>
        <v/>
      </c>
      <c r="Q4292" s="539" t="str">
        <f t="shared" si="1268"/>
        <v/>
      </c>
      <c r="R4292" s="706"/>
      <c r="S4292" s="707"/>
      <c r="T4292" s="708"/>
      <c r="U4292" s="472"/>
      <c r="V4292" s="167"/>
      <c r="W4292" s="446"/>
      <c r="X4292" s="456"/>
      <c r="Y4292" s="436"/>
      <c r="Z4292" s="437"/>
      <c r="AA4292" s="560"/>
      <c r="AB4292" s="561"/>
      <c r="AC4292" s="87"/>
      <c r="AD4292" s="466"/>
      <c r="AE4292" s="456"/>
      <c r="AF4292" s="467"/>
      <c r="AG4292" s="87"/>
      <c r="AH4292" s="87"/>
      <c r="AI4292" s="87"/>
    </row>
    <row r="4293" spans="1:35" ht="16.5" hidden="1" thickBot="1">
      <c r="A4293" s="44"/>
      <c r="B4293" s="89"/>
      <c r="C4293" s="90"/>
      <c r="D4293" s="90"/>
      <c r="E4293" s="90"/>
      <c r="F4293" s="90"/>
      <c r="G4293" s="90"/>
      <c r="H4293" s="90"/>
      <c r="I4293" s="90"/>
      <c r="J4293" s="90"/>
      <c r="K4293" s="90"/>
      <c r="L4293" s="90"/>
      <c r="M4293" s="90"/>
      <c r="N4293" s="90"/>
      <c r="O4293" s="90"/>
      <c r="P4293" s="90"/>
      <c r="Q4293" s="90"/>
      <c r="R4293" s="90"/>
      <c r="S4293" s="91"/>
      <c r="T4293" s="92"/>
      <c r="U4293" s="473"/>
      <c r="W4293" s="438"/>
      <c r="X4293" s="455"/>
      <c r="Y4293" s="439"/>
      <c r="Z4293" s="437"/>
      <c r="AA4293" s="530"/>
      <c r="AB4293" s="563"/>
      <c r="AC4293" s="87"/>
      <c r="AD4293" s="440"/>
      <c r="AE4293" s="441"/>
      <c r="AF4293" s="442"/>
      <c r="AG4293" s="49"/>
      <c r="AH4293" s="87"/>
      <c r="AI4293" s="87"/>
    </row>
    <row r="4294" spans="1:35" ht="16.5" hidden="1" thickBot="1">
      <c r="A4294" s="93"/>
      <c r="B4294" s="94"/>
      <c r="C4294" s="96"/>
      <c r="D4294" s="96"/>
      <c r="E4294" s="96"/>
      <c r="F4294" s="96"/>
      <c r="G4294" s="96"/>
      <c r="H4294" s="96"/>
      <c r="I4294" s="96"/>
      <c r="J4294" s="96"/>
      <c r="K4294" s="96"/>
      <c r="L4294" s="96"/>
      <c r="M4294" s="136"/>
      <c r="N4294" s="96"/>
      <c r="O4294" s="96"/>
      <c r="P4294" s="97"/>
      <c r="Q4294" s="97"/>
      <c r="R4294" s="98"/>
      <c r="S4294" s="95"/>
      <c r="T4294" s="99"/>
      <c r="U4294" s="469"/>
      <c r="AC4294" s="58"/>
      <c r="AG4294" s="58"/>
      <c r="AH4294" s="87"/>
      <c r="AI4294" s="87"/>
    </row>
    <row r="4295" spans="1:35" ht="16.5" hidden="1" thickBot="1">
      <c r="B4295" s="101"/>
      <c r="C4295" s="101"/>
      <c r="D4295" s="101"/>
      <c r="E4295" s="101"/>
      <c r="F4295" s="101"/>
      <c r="G4295" s="101"/>
      <c r="H4295" s="101"/>
      <c r="I4295" s="101"/>
      <c r="J4295" s="101"/>
      <c r="K4295" s="101"/>
      <c r="L4295" s="101"/>
      <c r="M4295" s="101"/>
      <c r="N4295" s="101"/>
      <c r="O4295" s="101"/>
      <c r="P4295" s="101"/>
      <c r="Q4295" s="101"/>
      <c r="R4295" s="101"/>
      <c r="S4295" s="101"/>
      <c r="U4295" s="50"/>
      <c r="AH4295" s="87"/>
      <c r="AI4295" s="87"/>
    </row>
    <row r="4296" spans="1:35" ht="16.5" hidden="1" customHeight="1" thickBot="1">
      <c r="A4296" s="44"/>
      <c r="B4296" s="705" t="s">
        <v>74</v>
      </c>
      <c r="C4296" s="705"/>
      <c r="D4296" s="705"/>
      <c r="E4296" s="705"/>
      <c r="F4296" s="705"/>
      <c r="G4296" s="705"/>
      <c r="H4296" s="705"/>
      <c r="I4296" s="705"/>
      <c r="J4296" s="705"/>
      <c r="K4296" s="705"/>
      <c r="L4296" s="705"/>
      <c r="M4296" s="705"/>
      <c r="N4296" s="705"/>
      <c r="O4296" s="705"/>
      <c r="P4296" s="705"/>
      <c r="Q4296" s="705"/>
      <c r="R4296" s="705"/>
      <c r="S4296" s="705"/>
      <c r="T4296" s="705"/>
      <c r="U4296" s="108"/>
      <c r="Y4296" s="532" t="s">
        <v>341</v>
      </c>
      <c r="AC4296" s="49"/>
      <c r="AD4296" s="687" t="s">
        <v>302</v>
      </c>
      <c r="AE4296" s="688"/>
      <c r="AF4296" s="689"/>
      <c r="AG4296" s="49"/>
      <c r="AH4296" s="87"/>
      <c r="AI4296" s="87"/>
    </row>
    <row r="4297" spans="1:35" ht="16.5" hidden="1" customHeight="1" thickBot="1">
      <c r="A4297" s="218" t="e">
        <f>"K"&amp;E4279</f>
        <v>#N/A</v>
      </c>
      <c r="B4297" s="701" t="s">
        <v>71</v>
      </c>
      <c r="C4297" s="751" t="s">
        <v>102</v>
      </c>
      <c r="D4297" s="751"/>
      <c r="E4297" s="751"/>
      <c r="F4297" s="751"/>
      <c r="G4297" s="751"/>
      <c r="H4297" s="751"/>
      <c r="I4297" s="751"/>
      <c r="J4297" s="751"/>
      <c r="K4297" s="751"/>
      <c r="L4297" s="722" t="s">
        <v>100</v>
      </c>
      <c r="M4297" s="747" t="s">
        <v>114</v>
      </c>
      <c r="N4297" s="747"/>
      <c r="O4297" s="747"/>
      <c r="P4297" s="747"/>
      <c r="Q4297" s="748"/>
      <c r="R4297" s="758" t="s">
        <v>280</v>
      </c>
      <c r="S4297" s="748"/>
      <c r="T4297" s="762" t="str">
        <f>IF(COUNTIF(AE4297:AF4297,"VERIFICAR")&gt;0,"VERIFICAR",IF(COUNTIF(AE4297:AF4297,"NO CUMPLE")&gt;0,"NO CUMPLE","CUMPLE"))</f>
        <v>VERIFICAR</v>
      </c>
      <c r="U4297" s="108"/>
      <c r="Y4297" s="533" t="e">
        <f>IF(F4298="","",IF(F4298=1,"INDIVIDUAL","ESTRUCTURA PLURAL"))</f>
        <v>#N/A</v>
      </c>
      <c r="AC4297" s="52"/>
      <c r="AD4297" s="475" t="s">
        <v>303</v>
      </c>
      <c r="AE4297" s="476" t="str">
        <f>IF(COUNTIF(AE4283:AE4292,"")=10,"VERIFICAR",IF(COUNTIF(AE4283:AE4292,"SI")&gt;0,"CUMPLE","NO CUMPLE"))</f>
        <v>VERIFICAR</v>
      </c>
      <c r="AF4297" s="477" t="str">
        <f>IF(COUNTIF(AF4283:AF4292,"")=10,"VERIFICAR",IF(COUNTIF(AF4283:AF4292,"SI")&gt;=$AI$22,"CUMPLE","NO CUMPLE"))</f>
        <v>VERIFICAR</v>
      </c>
      <c r="AG4297" s="52"/>
      <c r="AH4297" s="87"/>
      <c r="AI4297" s="87"/>
    </row>
    <row r="4298" spans="1:35" ht="15.75" hidden="1" customHeight="1" thickBot="1">
      <c r="A4298" s="218" t="e">
        <f>"L"&amp;E4279</f>
        <v>#N/A</v>
      </c>
      <c r="B4298" s="702"/>
      <c r="C4298" s="751" t="s">
        <v>103</v>
      </c>
      <c r="D4298" s="751"/>
      <c r="E4298" s="752"/>
      <c r="F4298" s="557" t="e">
        <f>IF(VLOOKUP(E4279,PROPONENTES!$C$19:$E$218,3,0)="","",VLOOKUP(E4279,PROPONENTES!$C$19:$E$218,3,0))</f>
        <v>#N/A</v>
      </c>
      <c r="G4298" s="753" t="s">
        <v>104</v>
      </c>
      <c r="H4298" s="751"/>
      <c r="I4298" s="715" t="e">
        <f>IF(OR(F4298="",F4298=1),"INTERESADO PERSONA NATURAL O JURIDICA","CONSORCIO O UNION TEMPORAL")</f>
        <v>#N/A</v>
      </c>
      <c r="J4298" s="725"/>
      <c r="K4298" s="728"/>
      <c r="L4298" s="723"/>
      <c r="M4298" s="749"/>
      <c r="N4298" s="749"/>
      <c r="O4298" s="749"/>
      <c r="P4298" s="749"/>
      <c r="Q4298" s="750"/>
      <c r="R4298" s="712"/>
      <c r="S4298" s="750"/>
      <c r="T4298" s="763"/>
      <c r="U4298" s="108"/>
      <c r="Y4298" s="534"/>
      <c r="AA4298" s="52"/>
      <c r="AB4298" s="52"/>
      <c r="AC4298" s="52"/>
      <c r="AG4298" s="52"/>
      <c r="AH4298" s="87"/>
      <c r="AI4298" s="87"/>
    </row>
    <row r="4299" spans="1:35" ht="56.25" hidden="1" customHeight="1" thickBot="1">
      <c r="A4299" s="218" t="e">
        <f>"M"&amp;E4279</f>
        <v>#N/A</v>
      </c>
      <c r="B4299" s="702"/>
      <c r="C4299" s="725" t="s">
        <v>101</v>
      </c>
      <c r="D4299" s="716"/>
      <c r="E4299" s="558" t="s">
        <v>105</v>
      </c>
      <c r="F4299" s="554" t="s">
        <v>87</v>
      </c>
      <c r="G4299" s="553" t="s">
        <v>86</v>
      </c>
      <c r="H4299" s="559" t="s">
        <v>85</v>
      </c>
      <c r="I4299" s="554" t="s">
        <v>252</v>
      </c>
      <c r="J4299" s="553" t="str">
        <f>"¿EL INTEGRANTE TIENE UNA PARTICIPACIÓN DEL "&amp;PORCREQUERIDOINT*100&amp;"%?"</f>
        <v>¿EL INTEGRANTE TIENE UNA PARTICIPACIÓN DEL 60%?</v>
      </c>
      <c r="K4299" s="554" t="s">
        <v>107</v>
      </c>
      <c r="L4299" s="724"/>
      <c r="M4299" s="717" t="s">
        <v>115</v>
      </c>
      <c r="N4299" s="718"/>
      <c r="O4299" s="718"/>
      <c r="P4299" s="718"/>
      <c r="Q4299" s="223">
        <f>IF(AND(H4283="SI",P4283&gt;=0),1,0)+IF(AND(H4284="SI",P4284&gt;=0),1,0)+IF(AND(H4285="SI",P4285&gt;=0),1,0)+IF(AND(H4286="SI",P4286&gt;=0),1,0)+IF(AND(H4287="SI",P4287&gt;=0),1,0)+IF(AND(H4288="SI",P4288&gt;=0),1,0)+IF(AND(H4289="SI",P4289&gt;=0),1,0)+IF(AND(H4290="SI",P4290&gt;=0),1,0)+IF(AND(H4291="SI",P4291&gt;=0),1,0)+IF(AND(H4292="SI",P4292&gt;=0),1,0)</f>
        <v>0</v>
      </c>
      <c r="R4299" s="759"/>
      <c r="S4299" s="761"/>
      <c r="T4299" s="764"/>
      <c r="U4299" s="219"/>
      <c r="V4299" s="464"/>
      <c r="Y4299" s="532" t="s">
        <v>342</v>
      </c>
      <c r="AA4299" s="550" t="s">
        <v>344</v>
      </c>
      <c r="AB4299" s="693" t="s">
        <v>345</v>
      </c>
      <c r="AC4299" s="693" t="s">
        <v>346</v>
      </c>
      <c r="AD4299" s="685" t="s">
        <v>347</v>
      </c>
      <c r="AE4299" s="52"/>
      <c r="AF4299" s="52"/>
      <c r="AG4299" s="52"/>
      <c r="AH4299" s="87"/>
      <c r="AI4299" s="87"/>
    </row>
    <row r="4300" spans="1:35" ht="15.75" hidden="1" customHeight="1" thickBot="1">
      <c r="A4300" s="218" t="e">
        <f>"N"&amp;E4279</f>
        <v>#N/A</v>
      </c>
      <c r="B4300" s="702"/>
      <c r="C4300" s="114">
        <v>1</v>
      </c>
      <c r="D4300" s="194" t="e">
        <f>IF(AND(C4300&lt;=F4298,F4298&gt;1,F4298&lt;&gt;""),VLOOKUP(VALUE(E4279&amp;","&amp;C4300),INTEGRANTES!$D$18:$F$235,2,0),"")</f>
        <v>#N/A</v>
      </c>
      <c r="E4300" s="211" t="e">
        <f>IF(D4300&lt;&gt;"",VLOOKUP(VALUE(E4279&amp;","&amp;C4300),INTEGRANTES!$D$18:$F$235,3,0),"")</f>
        <v>#N/A</v>
      </c>
      <c r="F4300" s="547" t="e">
        <f>IF(D4300="","",SUMIF($I4283:$I4292,D4300,$P4283:$P4292))</f>
        <v>#N/A</v>
      </c>
      <c r="G4300" s="333" t="e">
        <f>IF(D4300="","",SUMIF($I4283:$I4292,D4300,$M4283:$M4292))</f>
        <v>#N/A</v>
      </c>
      <c r="H4300" s="535" t="e">
        <f t="shared" ref="H4300:H4305" si="1271">IF(D4300="","",IF(OR(F4300=0,G4300=0),"NO APORTA",ROUND($F4300/$G4300,3)))</f>
        <v>#N/A</v>
      </c>
      <c r="I4300" s="212" t="e">
        <f>IF(D4300="","",IF(H4300="NO APORTA","NO",IF(H4300=MAX($H4300:$H4305),"SI","NO")))</f>
        <v>#N/A</v>
      </c>
      <c r="J4300" s="213" t="e">
        <f t="shared" ref="J4300:J4305" si="1272">IF(D4300="","",IF(E4300&gt;=PORCREQUERIDOINT,"SI","NO"))</f>
        <v>#N/A</v>
      </c>
      <c r="K4300" s="200" t="e">
        <f t="shared" ref="K4300:K4305" si="1273">IF(D4300="","",IF(AND(I4300="SI",J4300="SI"),"CUMPLE",IF(AND(I4300="NO",OR(J4300="SI",J4300="NO")),"","NO CUMPLE")))</f>
        <v>#N/A</v>
      </c>
      <c r="L4300" s="722" t="s">
        <v>108</v>
      </c>
      <c r="M4300" s="726" t="s">
        <v>119</v>
      </c>
      <c r="N4300" s="726"/>
      <c r="O4300" s="726"/>
      <c r="P4300" s="726"/>
      <c r="Q4300" s="727"/>
      <c r="R4300" s="758" t="s">
        <v>80</v>
      </c>
      <c r="S4300" s="747"/>
      <c r="T4300" s="748"/>
      <c r="U4300" s="219"/>
      <c r="V4300" s="464"/>
      <c r="Y4300" s="533" t="e">
        <f>IF(Y4297="","",IF(Y4297="INDIVIDUAL","NO APLICA","VERIFICAR CUADRO"))</f>
        <v>#N/A</v>
      </c>
      <c r="AA4300" s="551"/>
      <c r="AB4300" s="694"/>
      <c r="AC4300" s="694"/>
      <c r="AD4300" s="686"/>
      <c r="AE4300" s="52"/>
      <c r="AF4300" s="52"/>
      <c r="AG4300" s="52"/>
      <c r="AH4300" s="87"/>
      <c r="AI4300" s="87"/>
    </row>
    <row r="4301" spans="1:35" ht="27" hidden="1" customHeight="1" thickBot="1">
      <c r="A4301" s="218" t="e">
        <f>"O"&amp;E4279</f>
        <v>#N/A</v>
      </c>
      <c r="B4301" s="702"/>
      <c r="C4301" s="114">
        <v>2</v>
      </c>
      <c r="D4301" s="194" t="e">
        <f>IF(AND(C4301&lt;=F4298,F4298&lt;&gt;""),VLOOKUP(VALUE(E4279&amp;","&amp;C4301),INTEGRANTES!$D$18:$F$235,2,0),"")</f>
        <v>#N/A</v>
      </c>
      <c r="E4301" s="211" t="e">
        <f>IF(D4301&lt;&gt;"",VLOOKUP(VALUE(E4279&amp;","&amp;C4301),INTEGRANTES!$D$18:$F$235,3,0),"")</f>
        <v>#N/A</v>
      </c>
      <c r="F4301" s="547" t="e">
        <f>IF(D4301="","",SUMIF($I4283:$I4292,D4301,$P4283:$P4292))</f>
        <v>#N/A</v>
      </c>
      <c r="G4301" s="333" t="e">
        <f>IF(D4301="","",SUMIF($I4283:$I4292,D4301,$M4283:$M4292))</f>
        <v>#N/A</v>
      </c>
      <c r="H4301" s="535" t="e">
        <f t="shared" si="1271"/>
        <v>#N/A</v>
      </c>
      <c r="I4301" s="212" t="e">
        <f>IF(D4301="","",IF(H4301="NO APORTA","NO",IF(H4301=MAX($H4300:$H4305),"SI","NO")))</f>
        <v>#N/A</v>
      </c>
      <c r="J4301" s="213" t="e">
        <f t="shared" si="1272"/>
        <v>#N/A</v>
      </c>
      <c r="K4301" s="200" t="e">
        <f t="shared" si="1273"/>
        <v>#N/A</v>
      </c>
      <c r="L4301" s="723"/>
      <c r="M4301" s="715" t="s">
        <v>116</v>
      </c>
      <c r="N4301" s="716"/>
      <c r="O4301" s="556" t="s">
        <v>113</v>
      </c>
      <c r="P4301" s="715" t="s">
        <v>117</v>
      </c>
      <c r="Q4301" s="728"/>
      <c r="R4301" s="759"/>
      <c r="S4301" s="760"/>
      <c r="T4301" s="761"/>
      <c r="U4301" s="219"/>
      <c r="V4301" s="464"/>
      <c r="Y4301" s="414"/>
      <c r="AA4301" s="542" t="e">
        <f>IF(AND(C4300&lt;=F4298,F4298&gt;1,F4298&lt;&gt;""),VLOOKUP(VALUE(E4279&amp;","&amp;C4300),INTEGRANTES!$D$18:$F$235,2,0),"")</f>
        <v>#N/A</v>
      </c>
      <c r="AB4301" s="544" t="e">
        <f t="shared" ref="AB4301:AB4306" si="1274">IF(D4300="","",IF(OR(F4300=0,G4300=0),"NO APORTA",ROUND($F4300/$G4300,3)))</f>
        <v>#N/A</v>
      </c>
      <c r="AC4301" s="529"/>
      <c r="AD4301" s="200" t="e">
        <f t="shared" ref="AD4301:AD4306" si="1275">IF(OR(AA4301="",AB4301=""),"",IF(AND(AC4301="X",AB4301&gt;=EXPREQVTD),"CUMPLE","NO CUMPLE"))</f>
        <v>#N/A</v>
      </c>
      <c r="AE4301" s="52"/>
      <c r="AF4301" s="52"/>
      <c r="AG4301" s="52"/>
      <c r="AH4301" s="87"/>
      <c r="AI4301" s="87"/>
    </row>
    <row r="4302" spans="1:35" ht="16.5" hidden="1" thickBot="1">
      <c r="A4302" s="218" t="e">
        <f>"P"&amp;E4279</f>
        <v>#N/A</v>
      </c>
      <c r="B4302" s="702"/>
      <c r="C4302" s="114">
        <v>3</v>
      </c>
      <c r="D4302" s="194" t="e">
        <f>IF(AND(C4302&lt;=F4298,F4298&lt;&gt;""),VLOOKUP(VALUE(E4279&amp;","&amp;C4302),INTEGRANTES!$D$18:$F$235,2,0),"")</f>
        <v>#N/A</v>
      </c>
      <c r="E4302" s="211" t="e">
        <f>IF(D4302&lt;&gt;"",VLOOKUP(VALUE(E4279&amp;","&amp;C4302),INTEGRANTES!$D$18:$F$235,3,0),"")</f>
        <v>#N/A</v>
      </c>
      <c r="F4302" s="547" t="e">
        <f>IF(D4302="","",SUMIF($I4283:$I4292,D4302,$P4283:$P4292))</f>
        <v>#N/A</v>
      </c>
      <c r="G4302" s="333" t="e">
        <f>IF(D4302="","",SUMIF($I4283:$I4292,D4302,$M4283:$M4292))</f>
        <v>#N/A</v>
      </c>
      <c r="H4302" s="535" t="e">
        <f t="shared" si="1271"/>
        <v>#N/A</v>
      </c>
      <c r="I4302" s="212" t="e">
        <f>IF(D4302="","",IF(H4302="NO APORTA","NO",IF(H4302=MAX($H4300:$H4305),"SI","NO")))</f>
        <v>#N/A</v>
      </c>
      <c r="J4302" s="213" t="e">
        <f t="shared" si="1272"/>
        <v>#N/A</v>
      </c>
      <c r="K4302" s="200" t="e">
        <f t="shared" si="1273"/>
        <v>#N/A</v>
      </c>
      <c r="L4302" s="724"/>
      <c r="M4302" s="729">
        <f>NUMMOD</f>
        <v>1</v>
      </c>
      <c r="N4302" s="730"/>
      <c r="O4302" s="443">
        <f>IF(M4302="","",VLOOKUP(M4302,PRESUPUESTOS!$B$16:$H$16,5,FALSE))</f>
        <v>2</v>
      </c>
      <c r="P4302" s="713">
        <f>IF(OR(COUNTIF(M4283:M4292,"")&gt;=10,Q4299&lt;NUMMINCONT,OR(T4297="NO CUMPLE",T4297="VERIFICAR")),0,ROUND(AVERAGE(M4283:M4292),3))</f>
        <v>0</v>
      </c>
      <c r="Q4302" s="714"/>
      <c r="R4302" s="458"/>
      <c r="S4302" s="459"/>
      <c r="T4302" s="460"/>
      <c r="U4302" s="219"/>
      <c r="V4302" s="464"/>
      <c r="Y4302" s="532" t="str">
        <f>"40% * ("&amp;PRESUPUESTOS!$H$13&amp;")"</f>
        <v>40% * (50% PFMO)</v>
      </c>
      <c r="AA4302" s="540" t="e">
        <f>IF(AND(C4301&lt;=F4298,F4298&lt;&gt;""),VLOOKUP(VALUE(E4279&amp;","&amp;C4301),INTEGRANTES!$D$18:$F$235,2,0),"")</f>
        <v>#N/A</v>
      </c>
      <c r="AB4302" s="545" t="e">
        <f t="shared" si="1274"/>
        <v>#N/A</v>
      </c>
      <c r="AC4302" s="529"/>
      <c r="AD4302" s="200" t="e">
        <f t="shared" si="1275"/>
        <v>#N/A</v>
      </c>
      <c r="AE4302" s="52"/>
      <c r="AF4302" s="52"/>
      <c r="AG4302" s="52"/>
      <c r="AH4302" s="87"/>
      <c r="AI4302" s="87"/>
    </row>
    <row r="4303" spans="1:35" ht="15.75" hidden="1" customHeight="1" thickBot="1">
      <c r="A4303" s="218" t="e">
        <f>"Q"&amp;E4279</f>
        <v>#N/A</v>
      </c>
      <c r="B4303" s="702"/>
      <c r="C4303" s="114">
        <v>4</v>
      </c>
      <c r="D4303" s="194" t="e">
        <f>IF(AND(C4303&lt;=F4298,F4298&lt;&gt;""),VLOOKUP(VALUE(E4279&amp;","&amp;C4303),INTEGRANTES!$D$18:$F$235,2,0),"")</f>
        <v>#N/A</v>
      </c>
      <c r="E4303" s="211" t="e">
        <f>IF(D4303&lt;&gt;"",VLOOKUP(VALUE(E4279&amp;","&amp;C4303),INTEGRANTES!$D$18:$F$235,3,0),"")</f>
        <v>#N/A</v>
      </c>
      <c r="F4303" s="547" t="e">
        <f>IF(D4303="","",SUMIF($I4283:$I4292,D4303,$P4283:$P4292))</f>
        <v>#N/A</v>
      </c>
      <c r="G4303" s="333" t="e">
        <f>IF(D4303="","",SUMIF($I4283:$I4292,D4303,$M4283:$M4292))</f>
        <v>#N/A</v>
      </c>
      <c r="H4303" s="535" t="e">
        <f t="shared" si="1271"/>
        <v>#N/A</v>
      </c>
      <c r="I4303" s="212" t="e">
        <f>IF(D4303="","",IF(H4303="NO APORTA","NO",IF(H4303=MAX($H4300:$H4305),"SI","NO")))</f>
        <v>#N/A</v>
      </c>
      <c r="J4303" s="213" t="e">
        <f t="shared" si="1272"/>
        <v>#N/A</v>
      </c>
      <c r="K4303" s="200" t="e">
        <f t="shared" si="1273"/>
        <v>#N/A</v>
      </c>
      <c r="L4303" s="720" t="s">
        <v>109</v>
      </c>
      <c r="M4303" s="757" t="s">
        <v>120</v>
      </c>
      <c r="N4303" s="726"/>
      <c r="O4303" s="726"/>
      <c r="P4303" s="726"/>
      <c r="Q4303" s="727"/>
      <c r="R4303" s="458"/>
      <c r="S4303" s="459"/>
      <c r="T4303" s="460"/>
      <c r="U4303" s="219"/>
      <c r="V4303" s="464"/>
      <c r="Y4303" s="537">
        <f>0.4*PRESUPUESTOS!$H$16</f>
        <v>10.3124</v>
      </c>
      <c r="AA4303" s="540" t="e">
        <f>IF(AND(C4302&lt;=F4298,F4298&lt;&gt;""),VLOOKUP(VALUE(E4279&amp;","&amp;C4302),INTEGRANTES!$D$18:$F$235,2,0),"")</f>
        <v>#N/A</v>
      </c>
      <c r="AB4303" s="545" t="e">
        <f t="shared" si="1274"/>
        <v>#N/A</v>
      </c>
      <c r="AC4303" s="529"/>
      <c r="AD4303" s="200" t="e">
        <f t="shared" si="1275"/>
        <v>#N/A</v>
      </c>
      <c r="AE4303" s="52"/>
      <c r="AF4303" s="52"/>
      <c r="AG4303" s="52"/>
      <c r="AH4303" s="87"/>
      <c r="AI4303" s="87"/>
    </row>
    <row r="4304" spans="1:35" ht="27" hidden="1" customHeight="1" thickBot="1">
      <c r="A4304" s="218" t="e">
        <f>"R"&amp;E4279</f>
        <v>#N/A</v>
      </c>
      <c r="B4304" s="702"/>
      <c r="C4304" s="114">
        <v>5</v>
      </c>
      <c r="D4304" s="194" t="e">
        <f>IF(AND(C4304&lt;=F4298,F4298&lt;&gt;""),VLOOKUP(VALUE(E4279&amp;","&amp;C4304),INTEGRANTES!$D$18:$F$235,2,0),"")</f>
        <v>#N/A</v>
      </c>
      <c r="E4304" s="211" t="e">
        <f>IF(D4304&lt;&gt;"",VLOOKUP(VALUE(E4279&amp;","&amp;C4304),INTEGRANTES!$D$18:$F$235,3,0),"")</f>
        <v>#N/A</v>
      </c>
      <c r="F4304" s="547" t="e">
        <f>IF(D4304="","",SUMIF($I4283:$I4292,D4304,$P4283:$P4292))</f>
        <v>#N/A</v>
      </c>
      <c r="G4304" s="333" t="e">
        <f>IF(D4304="","",SUMIF($I4283:$I4292,D4304,$M4283:$M4292))</f>
        <v>#N/A</v>
      </c>
      <c r="H4304" s="535" t="e">
        <f t="shared" si="1271"/>
        <v>#N/A</v>
      </c>
      <c r="I4304" s="212" t="e">
        <f>IF(D4304="","",IF(H4304="NO APORTA","NO",IF(H4304=MAX($H4300:$H4305),"SI","NO")))</f>
        <v>#N/A</v>
      </c>
      <c r="J4304" s="213" t="e">
        <f t="shared" si="1272"/>
        <v>#N/A</v>
      </c>
      <c r="K4304" s="200" t="e">
        <f t="shared" si="1273"/>
        <v>#N/A</v>
      </c>
      <c r="L4304" s="721"/>
      <c r="M4304" s="715" t="s">
        <v>116</v>
      </c>
      <c r="N4304" s="716"/>
      <c r="O4304" s="556" t="str">
        <f>PORCREQUERIDO*100&amp;"% PMFO DEL MÓDULO"</f>
        <v>50% PMFO DEL MÓDULO</v>
      </c>
      <c r="P4304" s="715" t="s">
        <v>118</v>
      </c>
      <c r="Q4304" s="728"/>
      <c r="R4304" s="458"/>
      <c r="S4304" s="459"/>
      <c r="T4304" s="460"/>
      <c r="U4304" s="219"/>
      <c r="V4304" s="464"/>
      <c r="Y4304" s="414"/>
      <c r="AA4304" s="540" t="e">
        <f>IF(AND(C4303&lt;=F4298,F4298&lt;&gt;""),VLOOKUP(VALUE(E4279&amp;","&amp;C4303),INTEGRANTES!$D$18:$F$235,2,0),"")</f>
        <v>#N/A</v>
      </c>
      <c r="AB4304" s="545" t="e">
        <f t="shared" si="1274"/>
        <v>#N/A</v>
      </c>
      <c r="AC4304" s="529"/>
      <c r="AD4304" s="200" t="e">
        <f t="shared" si="1275"/>
        <v>#N/A</v>
      </c>
      <c r="AE4304" s="52"/>
      <c r="AF4304" s="52"/>
      <c r="AG4304" s="52"/>
      <c r="AH4304" s="87"/>
      <c r="AI4304" s="87"/>
    </row>
    <row r="4305" spans="1:35" ht="16.5" hidden="1" thickBot="1">
      <c r="A4305" s="218" t="e">
        <f>"S"&amp;E4279</f>
        <v>#N/A</v>
      </c>
      <c r="B4305" s="702"/>
      <c r="C4305" s="215">
        <v>6</v>
      </c>
      <c r="D4305" s="216" t="e">
        <f>IF(AND(C4305&lt;=F4298,F4298&lt;&gt;""),VLOOKUP(VALUE(E4279&amp;","&amp;C4305),INTEGRANTES!$D$18:$F$235,2,0),"")</f>
        <v>#N/A</v>
      </c>
      <c r="E4305" s="217" t="e">
        <f>IF(D4305&lt;&gt;"",VLOOKUP(VALUE(E4279&amp;","&amp;C4305),INTEGRANTES!$D$18:$F$235,3,0),"")</f>
        <v>#N/A</v>
      </c>
      <c r="F4305" s="548" t="e">
        <f>IF(D4305="","",SUMIF($I4283:$I4292,D4305,$P4283:$P4292))</f>
        <v>#N/A</v>
      </c>
      <c r="G4305" s="334" t="e">
        <f>IF(D4305="","",SUMIF($I4283:$I4292,D4305,$M4283:$M4292))</f>
        <v>#N/A</v>
      </c>
      <c r="H4305" s="536" t="e">
        <f t="shared" si="1271"/>
        <v>#N/A</v>
      </c>
      <c r="I4305" s="214" t="e">
        <f>IF(D4305="","",IF(H4305="NO APORTA","NO",IF(H4305=MAX($H4300:$H4305),"SI","NO")))</f>
        <v>#N/A</v>
      </c>
      <c r="J4305" s="213" t="e">
        <f t="shared" si="1272"/>
        <v>#N/A</v>
      </c>
      <c r="K4305" s="200" t="e">
        <f t="shared" si="1273"/>
        <v>#N/A</v>
      </c>
      <c r="L4305" s="721"/>
      <c r="M4305" s="729">
        <f>NUMMOD</f>
        <v>1</v>
      </c>
      <c r="N4305" s="730"/>
      <c r="O4305" s="443">
        <f>IF(M4305="","",ROUND(VLOOKUP(M4305,PRESUPUESTOS!$B$16:$H$16,7,FALSE),3))</f>
        <v>25.780999999999999</v>
      </c>
      <c r="P4305" s="713">
        <f>IF(OR(COUNTIF(P4283:P4292,"")&gt;=10,Q4299&lt;NUMMINCONT,OR(T4297="NO CUMPLE",T4297="VERIFICAR")),0,ROUND((SUM(P4283:P4292)/SUM(M4283:M4292)),3))</f>
        <v>0</v>
      </c>
      <c r="Q4305" s="714"/>
      <c r="R4305" s="458"/>
      <c r="S4305" s="459"/>
      <c r="T4305" s="460"/>
      <c r="U4305" s="219"/>
      <c r="V4305" s="464"/>
      <c r="Y4305" s="532" t="s">
        <v>343</v>
      </c>
      <c r="AA4305" s="540" t="e">
        <f>IF(AND(C4304&lt;=F4298,F4298&lt;&gt;""),VLOOKUP(VALUE(E4279&amp;","&amp;C4304),INTEGRANTES!$D$18:$F$235,2,0),"")</f>
        <v>#N/A</v>
      </c>
      <c r="AB4305" s="545" t="e">
        <f t="shared" si="1274"/>
        <v>#N/A</v>
      </c>
      <c r="AC4305" s="529"/>
      <c r="AD4305" s="200" t="e">
        <f t="shared" si="1275"/>
        <v>#N/A</v>
      </c>
      <c r="AE4305" s="52"/>
      <c r="AF4305" s="52"/>
      <c r="AG4305" s="52"/>
      <c r="AH4305" s="87"/>
      <c r="AI4305" s="87"/>
    </row>
    <row r="4306" spans="1:35" ht="16.5" hidden="1" customHeight="1" thickBot="1">
      <c r="A4306" s="218" t="e">
        <f>"T"&amp;E4279</f>
        <v>#N/A</v>
      </c>
      <c r="B4306" s="703"/>
      <c r="C4306" s="719"/>
      <c r="D4306" s="719"/>
      <c r="E4306" s="719"/>
      <c r="F4306" s="719"/>
      <c r="G4306" s="719"/>
      <c r="H4306" s="719" t="s">
        <v>110</v>
      </c>
      <c r="I4306" s="719"/>
      <c r="J4306" s="719"/>
      <c r="K4306" s="201" t="str">
        <f>IF(COUNTIF(K4300:K4305,"")=6,"",IF(COUNTIF(K4300:K4305,"CUMPLE")&gt;0,"CUMPLE","NO CUMPLE"))</f>
        <v>NO CUMPLE</v>
      </c>
      <c r="L4306" s="754"/>
      <c r="M4306" s="755"/>
      <c r="N4306" s="755"/>
      <c r="O4306" s="755"/>
      <c r="P4306" s="755"/>
      <c r="Q4306" s="756"/>
      <c r="R4306" s="461"/>
      <c r="S4306" s="462"/>
      <c r="T4306" s="463"/>
      <c r="U4306" s="219"/>
      <c r="V4306" s="464"/>
      <c r="Y4306" s="549" t="e">
        <f>IF(Y4300="NO APLICA","NO APLICA",IF(COUNTIF(AD4301:AD4306,"CUMPLE")&gt;0,"CUMPLE","NO CUMPLE"))</f>
        <v>#N/A</v>
      </c>
      <c r="AA4306" s="541" t="e">
        <f>IF(AND(C4305&lt;=F4298,F4298&lt;&gt;""),VLOOKUP(VALUE(E4279&amp;","&amp;C4305),INTEGRANTES!$D$18:$F$235,2,0),"")</f>
        <v>#N/A</v>
      </c>
      <c r="AB4306" s="546" t="e">
        <f t="shared" si="1274"/>
        <v>#N/A</v>
      </c>
      <c r="AC4306" s="543"/>
      <c r="AD4306" s="201" t="e">
        <f t="shared" si="1275"/>
        <v>#N/A</v>
      </c>
      <c r="AE4306" s="52"/>
      <c r="AF4306" s="52"/>
      <c r="AG4306" s="52"/>
      <c r="AH4306" s="87"/>
      <c r="AI4306" s="87"/>
    </row>
    <row r="4307" spans="1:35" hidden="1">
      <c r="AH4307" s="87"/>
      <c r="AI4307" s="87"/>
    </row>
    <row r="4308" spans="1:35" hidden="1">
      <c r="AH4308" s="87"/>
      <c r="AI4308" s="87"/>
    </row>
    <row r="4309" spans="1:35" ht="24" hidden="1" thickBot="1">
      <c r="A4309" s="61">
        <v>144</v>
      </c>
      <c r="B4309" s="704" t="s">
        <v>51</v>
      </c>
      <c r="C4309" s="704"/>
      <c r="D4309" s="704"/>
      <c r="E4309" s="62" t="e">
        <f>VLOOKUP(A4309,PROPONENTES!$B$19:$E$218,2,FALSE)</f>
        <v>#N/A</v>
      </c>
      <c r="F4309" s="63" t="e">
        <f>VLOOKUP(A4309,PROPONENTES!$B$19:$E$218,3,FALSE)</f>
        <v>#N/A</v>
      </c>
      <c r="G4309" s="64"/>
      <c r="H4309" s="64"/>
      <c r="I4309" s="63"/>
      <c r="J4309" s="63"/>
      <c r="K4309" s="65"/>
      <c r="L4309" s="65"/>
      <c r="M4309" s="64"/>
      <c r="N4309" s="64"/>
      <c r="O4309" s="66"/>
      <c r="P4309" s="66"/>
      <c r="Q4309" s="66"/>
      <c r="R4309" s="66"/>
      <c r="S4309" s="67"/>
      <c r="T4309" s="68"/>
      <c r="U4309" s="68"/>
      <c r="AC4309" s="68"/>
      <c r="AD4309" s="68"/>
      <c r="AE4309" s="68"/>
      <c r="AF4309" s="68"/>
      <c r="AG4309" s="68"/>
      <c r="AH4309" s="87"/>
      <c r="AI4309" s="87"/>
    </row>
    <row r="4310" spans="1:35" ht="15.75" hidden="1" customHeight="1">
      <c r="A4310" s="44"/>
      <c r="B4310" s="709" t="s">
        <v>59</v>
      </c>
      <c r="C4310" s="552" t="s">
        <v>60</v>
      </c>
      <c r="D4310" s="70" t="s">
        <v>17</v>
      </c>
      <c r="E4310" s="70"/>
      <c r="F4310" s="70" t="s">
        <v>61</v>
      </c>
      <c r="G4310" s="71"/>
      <c r="H4310" s="699" t="s">
        <v>62</v>
      </c>
      <c r="I4310" s="699" t="s">
        <v>18</v>
      </c>
      <c r="J4310" s="699" t="s">
        <v>63</v>
      </c>
      <c r="K4310" s="699" t="s">
        <v>64</v>
      </c>
      <c r="L4310" s="699" t="s">
        <v>65</v>
      </c>
      <c r="M4310" s="743" t="s">
        <v>66</v>
      </c>
      <c r="N4310" s="699" t="s">
        <v>282</v>
      </c>
      <c r="O4310" s="745" t="s">
        <v>67</v>
      </c>
      <c r="P4310" s="746"/>
      <c r="Q4310" s="102" t="s">
        <v>75</v>
      </c>
      <c r="R4310" s="731" t="s">
        <v>22</v>
      </c>
      <c r="S4310" s="732"/>
      <c r="T4310" s="733"/>
      <c r="U4310" s="712" t="s">
        <v>298</v>
      </c>
      <c r="W4310" s="690" t="s">
        <v>268</v>
      </c>
      <c r="X4310" s="691"/>
      <c r="Y4310" s="692"/>
      <c r="Z4310" s="428"/>
      <c r="AA4310" s="697" t="s">
        <v>315</v>
      </c>
      <c r="AB4310" s="695" t="s">
        <v>322</v>
      </c>
      <c r="AC4310" s="49"/>
      <c r="AD4310" s="690" t="s">
        <v>297</v>
      </c>
      <c r="AE4310" s="691"/>
      <c r="AF4310" s="692"/>
      <c r="AG4310" s="49"/>
      <c r="AH4310" s="87"/>
      <c r="AI4310" s="87"/>
    </row>
    <row r="4311" spans="1:35" ht="72" hidden="1">
      <c r="A4311" s="44"/>
      <c r="B4311" s="710"/>
      <c r="C4311" s="553" t="s">
        <v>68</v>
      </c>
      <c r="D4311" s="73" t="s">
        <v>3</v>
      </c>
      <c r="E4311" s="73" t="s">
        <v>19</v>
      </c>
      <c r="F4311" s="73" t="s">
        <v>69</v>
      </c>
      <c r="G4311" s="74" t="s">
        <v>70</v>
      </c>
      <c r="H4311" s="700"/>
      <c r="I4311" s="700"/>
      <c r="J4311" s="700"/>
      <c r="K4311" s="700"/>
      <c r="L4311" s="700"/>
      <c r="M4311" s="744"/>
      <c r="N4311" s="700"/>
      <c r="O4311" s="553" t="s">
        <v>279</v>
      </c>
      <c r="P4311" s="73" t="s">
        <v>88</v>
      </c>
      <c r="Q4311" s="555" t="s">
        <v>76</v>
      </c>
      <c r="R4311" s="734"/>
      <c r="S4311" s="735"/>
      <c r="T4311" s="736"/>
      <c r="U4311" s="712"/>
      <c r="W4311" s="429" t="s">
        <v>269</v>
      </c>
      <c r="X4311" s="457" t="s">
        <v>278</v>
      </c>
      <c r="Y4311" s="430" t="s">
        <v>324</v>
      </c>
      <c r="Z4311" s="428"/>
      <c r="AA4311" s="698"/>
      <c r="AB4311" s="696"/>
      <c r="AC4311" s="49"/>
      <c r="AD4311" s="429" t="s">
        <v>292</v>
      </c>
      <c r="AE4311" s="431" t="s">
        <v>300</v>
      </c>
      <c r="AF4311" s="468" t="s">
        <v>301</v>
      </c>
      <c r="AG4311" s="49"/>
      <c r="AH4311" s="87"/>
      <c r="AI4311" s="87"/>
    </row>
    <row r="4312" spans="1:35" hidden="1">
      <c r="A4312" s="44"/>
      <c r="B4312" s="76"/>
      <c r="C4312" s="77"/>
      <c r="D4312" s="77"/>
      <c r="E4312" s="77"/>
      <c r="F4312" s="77"/>
      <c r="G4312" s="77"/>
      <c r="H4312" s="77"/>
      <c r="I4312" s="77"/>
      <c r="J4312" s="77"/>
      <c r="K4312" s="77"/>
      <c r="L4312" s="77"/>
      <c r="M4312" s="77"/>
      <c r="N4312" s="77"/>
      <c r="O4312" s="77"/>
      <c r="P4312" s="77"/>
      <c r="Q4312" s="77"/>
      <c r="R4312" s="77"/>
      <c r="S4312" s="78"/>
      <c r="T4312" s="79"/>
      <c r="U4312" s="109"/>
      <c r="V4312" s="49"/>
      <c r="W4312" s="432"/>
      <c r="X4312" s="454"/>
      <c r="Y4312" s="433"/>
      <c r="Z4312" s="6"/>
      <c r="AA4312" s="500"/>
      <c r="AB4312" s="562"/>
      <c r="AC4312" s="49"/>
      <c r="AD4312" s="210"/>
      <c r="AE4312" s="434"/>
      <c r="AF4312" s="435"/>
      <c r="AG4312" s="49"/>
      <c r="AH4312" s="87"/>
      <c r="AI4312" s="87"/>
    </row>
    <row r="4313" spans="1:35" hidden="1">
      <c r="A4313" s="80" t="e">
        <f>"A"&amp;E4309</f>
        <v>#N/A</v>
      </c>
      <c r="B4313" s="81">
        <v>1</v>
      </c>
      <c r="C4313" s="82"/>
      <c r="D4313" s="82"/>
      <c r="E4313" s="82"/>
      <c r="F4313" s="82"/>
      <c r="G4313" s="83"/>
      <c r="H4313" s="83"/>
      <c r="I4313" s="84"/>
      <c r="J4313" s="85"/>
      <c r="K4313" s="382"/>
      <c r="L4313" s="85"/>
      <c r="M4313" s="332" t="str">
        <f t="shared" ref="M4313:M4322" si="1276">IF(OR(J4313="",L4313="",H4313="NO"),"",IF(OR(J4313&gt;$P$17,J4313&lt;$O$17,L4313&gt;$P$17,AND(J4313&lt;$O$17,L4313&lt;$O$17)),"FUERA DE RANGO",IF(OR(K4313="---",K4313=""),IF(J4313&gt;=$O$17,ROUND((L4313-J4313+1)/360*12,3),ROUND((L4313-$O$17+1)/360*12,3)),IF(J4313&gt;=$O$17,ROUND((L4313-J4313+1)/360*12-ROUND(K4313,3),3),ROUND((L4313-$O$17+1)/360*12-ROUND(K4313,3),3)))))</f>
        <v/>
      </c>
      <c r="N4313" s="86"/>
      <c r="O4313" s="453" t="str">
        <f>IF(OR(G4313="",N4313=""),"",N4313*G4313)</f>
        <v/>
      </c>
      <c r="P4313" s="538" t="str">
        <f>IF(OR(H4313="",M4313="FUERA DE RANGO"),"",IF(OR(L4313&lt;$O$17,L4313&gt;$P$17,L4313="",H4313="NO"),"",IF(OR(N4313="",O4313=""),"",ROUND(O4313,3))))</f>
        <v/>
      </c>
      <c r="Q4313" s="539" t="str">
        <f t="shared" ref="Q4313:Q4322" si="1277">IF(AND(H4313="SI",P4313&lt;&gt;""),ROUND(P4313/M4313,3),"")</f>
        <v/>
      </c>
      <c r="R4313" s="737"/>
      <c r="S4313" s="738"/>
      <c r="T4313" s="739"/>
      <c r="U4313" s="470"/>
      <c r="V4313" s="165"/>
      <c r="W4313" s="446"/>
      <c r="X4313" s="456"/>
      <c r="Y4313" s="436"/>
      <c r="Z4313" s="437"/>
      <c r="AA4313" s="560"/>
      <c r="AB4313" s="561"/>
      <c r="AC4313" s="87"/>
      <c r="AD4313" s="466"/>
      <c r="AE4313" s="456"/>
      <c r="AF4313" s="467"/>
      <c r="AG4313" s="87"/>
      <c r="AH4313" s="87"/>
      <c r="AI4313" s="87"/>
    </row>
    <row r="4314" spans="1:35" hidden="1">
      <c r="A4314" s="80" t="e">
        <f>"B"&amp;E4309</f>
        <v>#N/A</v>
      </c>
      <c r="B4314" s="81">
        <v>2</v>
      </c>
      <c r="C4314" s="106"/>
      <c r="D4314" s="106"/>
      <c r="E4314" s="106"/>
      <c r="F4314" s="106"/>
      <c r="G4314" s="83"/>
      <c r="H4314" s="83"/>
      <c r="I4314" s="84"/>
      <c r="J4314" s="85"/>
      <c r="K4314" s="382"/>
      <c r="L4314" s="85"/>
      <c r="M4314" s="332" t="str">
        <f t="shared" si="1276"/>
        <v/>
      </c>
      <c r="N4314" s="86"/>
      <c r="O4314" s="453" t="str">
        <f t="shared" ref="O4314:O4322" si="1278">IF(OR(G4314="",N4314=""),"",N4314*G4314)</f>
        <v/>
      </c>
      <c r="P4314" s="538" t="str">
        <f t="shared" ref="P4314:P4322" si="1279">IF(OR(H4314="",M4314="FUERA DE RANGO"),"",IF(OR(L4314&lt;$O$17,L4314&gt;$P$17,L4314="",H4314="NO"),"",IF(OR(N4314="",O4314=""),"",ROUND(O4314,3))))</f>
        <v/>
      </c>
      <c r="Q4314" s="539" t="str">
        <f t="shared" si="1277"/>
        <v/>
      </c>
      <c r="R4314" s="740"/>
      <c r="S4314" s="741"/>
      <c r="T4314" s="742"/>
      <c r="U4314" s="471"/>
      <c r="V4314" s="165"/>
      <c r="W4314" s="446"/>
      <c r="X4314" s="456"/>
      <c r="Y4314" s="436"/>
      <c r="Z4314" s="437"/>
      <c r="AA4314" s="560"/>
      <c r="AB4314" s="561"/>
      <c r="AC4314" s="87"/>
      <c r="AD4314" s="466"/>
      <c r="AE4314" s="456"/>
      <c r="AF4314" s="467"/>
      <c r="AG4314" s="87"/>
      <c r="AH4314" s="87"/>
      <c r="AI4314" s="87"/>
    </row>
    <row r="4315" spans="1:35" hidden="1">
      <c r="A4315" s="80" t="e">
        <f>"C"&amp;E4309</f>
        <v>#N/A</v>
      </c>
      <c r="B4315" s="88">
        <v>3</v>
      </c>
      <c r="C4315" s="82"/>
      <c r="D4315" s="82"/>
      <c r="E4315" s="82"/>
      <c r="F4315" s="82"/>
      <c r="G4315" s="83"/>
      <c r="H4315" s="83"/>
      <c r="I4315" s="84"/>
      <c r="J4315" s="85"/>
      <c r="K4315" s="382"/>
      <c r="L4315" s="85"/>
      <c r="M4315" s="332" t="str">
        <f t="shared" si="1276"/>
        <v/>
      </c>
      <c r="N4315" s="86"/>
      <c r="O4315" s="453" t="str">
        <f t="shared" si="1278"/>
        <v/>
      </c>
      <c r="P4315" s="538" t="str">
        <f t="shared" si="1279"/>
        <v/>
      </c>
      <c r="Q4315" s="539" t="str">
        <f t="shared" si="1277"/>
        <v/>
      </c>
      <c r="R4315" s="706"/>
      <c r="S4315" s="707"/>
      <c r="T4315" s="708"/>
      <c r="U4315" s="472"/>
      <c r="V4315" s="166"/>
      <c r="W4315" s="446"/>
      <c r="X4315" s="456"/>
      <c r="Y4315" s="436"/>
      <c r="Z4315" s="437"/>
      <c r="AA4315" s="560"/>
      <c r="AB4315" s="561"/>
      <c r="AC4315" s="87"/>
      <c r="AD4315" s="466"/>
      <c r="AE4315" s="456"/>
      <c r="AF4315" s="467"/>
      <c r="AG4315" s="87"/>
      <c r="AH4315" s="87"/>
      <c r="AI4315" s="87"/>
    </row>
    <row r="4316" spans="1:35" hidden="1">
      <c r="A4316" s="80" t="e">
        <f>"D"&amp;E4309</f>
        <v>#N/A</v>
      </c>
      <c r="B4316" s="105">
        <v>4</v>
      </c>
      <c r="C4316" s="107"/>
      <c r="D4316" s="107"/>
      <c r="E4316" s="107"/>
      <c r="F4316" s="107"/>
      <c r="G4316" s="83"/>
      <c r="H4316" s="83"/>
      <c r="I4316" s="84"/>
      <c r="J4316" s="85"/>
      <c r="K4316" s="382"/>
      <c r="L4316" s="85"/>
      <c r="M4316" s="332" t="str">
        <f t="shared" si="1276"/>
        <v/>
      </c>
      <c r="N4316" s="86"/>
      <c r="O4316" s="453" t="str">
        <f t="shared" si="1278"/>
        <v/>
      </c>
      <c r="P4316" s="538" t="str">
        <f t="shared" si="1279"/>
        <v/>
      </c>
      <c r="Q4316" s="539" t="str">
        <f t="shared" si="1277"/>
        <v/>
      </c>
      <c r="R4316" s="706"/>
      <c r="S4316" s="707"/>
      <c r="T4316" s="708"/>
      <c r="U4316" s="472"/>
      <c r="V4316" s="166"/>
      <c r="W4316" s="446"/>
      <c r="X4316" s="456"/>
      <c r="Y4316" s="436"/>
      <c r="Z4316" s="437"/>
      <c r="AA4316" s="560"/>
      <c r="AB4316" s="561"/>
      <c r="AC4316" s="87"/>
      <c r="AD4316" s="466"/>
      <c r="AE4316" s="456"/>
      <c r="AF4316" s="467"/>
      <c r="AG4316" s="87"/>
      <c r="AH4316" s="87"/>
      <c r="AI4316" s="87"/>
    </row>
    <row r="4317" spans="1:35" hidden="1">
      <c r="A4317" s="80" t="e">
        <f>"E"&amp;E4309</f>
        <v>#N/A</v>
      </c>
      <c r="B4317" s="105">
        <v>5</v>
      </c>
      <c r="C4317" s="107"/>
      <c r="D4317" s="107"/>
      <c r="E4317" s="107"/>
      <c r="F4317" s="107"/>
      <c r="G4317" s="83"/>
      <c r="H4317" s="83"/>
      <c r="I4317" s="84"/>
      <c r="J4317" s="85"/>
      <c r="K4317" s="382"/>
      <c r="L4317" s="85"/>
      <c r="M4317" s="332" t="str">
        <f t="shared" si="1276"/>
        <v/>
      </c>
      <c r="N4317" s="86"/>
      <c r="O4317" s="453" t="str">
        <f t="shared" si="1278"/>
        <v/>
      </c>
      <c r="P4317" s="538" t="str">
        <f t="shared" si="1279"/>
        <v/>
      </c>
      <c r="Q4317" s="539" t="str">
        <f t="shared" si="1277"/>
        <v/>
      </c>
      <c r="R4317" s="706"/>
      <c r="S4317" s="707"/>
      <c r="T4317" s="708"/>
      <c r="U4317" s="472"/>
      <c r="V4317" s="167"/>
      <c r="W4317" s="446"/>
      <c r="X4317" s="456"/>
      <c r="Y4317" s="436"/>
      <c r="Z4317" s="437"/>
      <c r="AA4317" s="560"/>
      <c r="AB4317" s="561"/>
      <c r="AC4317" s="87"/>
      <c r="AD4317" s="466"/>
      <c r="AE4317" s="456"/>
      <c r="AF4317" s="467"/>
      <c r="AG4317" s="87"/>
      <c r="AH4317" s="87"/>
      <c r="AI4317" s="87"/>
    </row>
    <row r="4318" spans="1:35" hidden="1">
      <c r="A4318" s="80" t="e">
        <f>"F"&amp;E4309</f>
        <v>#N/A</v>
      </c>
      <c r="B4318" s="105">
        <v>6</v>
      </c>
      <c r="C4318" s="107"/>
      <c r="D4318" s="107"/>
      <c r="E4318" s="107"/>
      <c r="F4318" s="107"/>
      <c r="G4318" s="83"/>
      <c r="H4318" s="83"/>
      <c r="I4318" s="84"/>
      <c r="J4318" s="85"/>
      <c r="K4318" s="382"/>
      <c r="L4318" s="85"/>
      <c r="M4318" s="332" t="str">
        <f t="shared" si="1276"/>
        <v/>
      </c>
      <c r="N4318" s="86"/>
      <c r="O4318" s="453" t="str">
        <f t="shared" si="1278"/>
        <v/>
      </c>
      <c r="P4318" s="538" t="str">
        <f t="shared" si="1279"/>
        <v/>
      </c>
      <c r="Q4318" s="539" t="str">
        <f t="shared" si="1277"/>
        <v/>
      </c>
      <c r="R4318" s="706"/>
      <c r="S4318" s="707"/>
      <c r="T4318" s="708"/>
      <c r="U4318" s="472"/>
      <c r="V4318" s="167"/>
      <c r="W4318" s="446"/>
      <c r="X4318" s="456"/>
      <c r="Y4318" s="436"/>
      <c r="Z4318" s="437"/>
      <c r="AA4318" s="560"/>
      <c r="AB4318" s="561"/>
      <c r="AC4318" s="87"/>
      <c r="AD4318" s="466"/>
      <c r="AE4318" s="456"/>
      <c r="AF4318" s="467"/>
      <c r="AG4318" s="87"/>
      <c r="AH4318" s="87"/>
      <c r="AI4318" s="87"/>
    </row>
    <row r="4319" spans="1:35" hidden="1">
      <c r="A4319" s="80" t="e">
        <f>"G"&amp;E4309</f>
        <v>#N/A</v>
      </c>
      <c r="B4319" s="105">
        <v>7</v>
      </c>
      <c r="C4319" s="107"/>
      <c r="D4319" s="107"/>
      <c r="E4319" s="107"/>
      <c r="F4319" s="107"/>
      <c r="G4319" s="83"/>
      <c r="H4319" s="83"/>
      <c r="I4319" s="84"/>
      <c r="J4319" s="85"/>
      <c r="K4319" s="382"/>
      <c r="L4319" s="85"/>
      <c r="M4319" s="332" t="str">
        <f t="shared" si="1276"/>
        <v/>
      </c>
      <c r="N4319" s="86"/>
      <c r="O4319" s="86" t="str">
        <f t="shared" si="1278"/>
        <v/>
      </c>
      <c r="P4319" s="538" t="str">
        <f t="shared" si="1279"/>
        <v/>
      </c>
      <c r="Q4319" s="539" t="str">
        <f t="shared" si="1277"/>
        <v/>
      </c>
      <c r="R4319" s="706"/>
      <c r="S4319" s="707"/>
      <c r="T4319" s="708"/>
      <c r="U4319" s="472"/>
      <c r="V4319" s="167"/>
      <c r="W4319" s="446"/>
      <c r="X4319" s="456"/>
      <c r="Y4319" s="436"/>
      <c r="Z4319" s="437"/>
      <c r="AA4319" s="560"/>
      <c r="AB4319" s="561"/>
      <c r="AC4319" s="87"/>
      <c r="AD4319" s="466"/>
      <c r="AE4319" s="456"/>
      <c r="AF4319" s="467"/>
      <c r="AG4319" s="87"/>
      <c r="AH4319" s="87"/>
      <c r="AI4319" s="87"/>
    </row>
    <row r="4320" spans="1:35" hidden="1">
      <c r="A4320" s="80" t="e">
        <f>"H"&amp;E4309</f>
        <v>#N/A</v>
      </c>
      <c r="B4320" s="105">
        <v>8</v>
      </c>
      <c r="C4320" s="107"/>
      <c r="D4320" s="107"/>
      <c r="E4320" s="107"/>
      <c r="F4320" s="107"/>
      <c r="G4320" s="83"/>
      <c r="H4320" s="83"/>
      <c r="I4320" s="84"/>
      <c r="J4320" s="85"/>
      <c r="K4320" s="382"/>
      <c r="L4320" s="85"/>
      <c r="M4320" s="332" t="str">
        <f t="shared" si="1276"/>
        <v/>
      </c>
      <c r="N4320" s="453"/>
      <c r="O4320" s="86" t="str">
        <f t="shared" si="1278"/>
        <v/>
      </c>
      <c r="P4320" s="538" t="str">
        <f t="shared" si="1279"/>
        <v/>
      </c>
      <c r="Q4320" s="539" t="str">
        <f t="shared" si="1277"/>
        <v/>
      </c>
      <c r="R4320" s="706"/>
      <c r="S4320" s="707"/>
      <c r="T4320" s="708"/>
      <c r="U4320" s="472"/>
      <c r="V4320" s="167"/>
      <c r="W4320" s="446"/>
      <c r="X4320" s="456"/>
      <c r="Y4320" s="436"/>
      <c r="Z4320" s="437"/>
      <c r="AA4320" s="560"/>
      <c r="AB4320" s="561"/>
      <c r="AC4320" s="87"/>
      <c r="AD4320" s="466"/>
      <c r="AE4320" s="456"/>
      <c r="AF4320" s="467"/>
      <c r="AG4320" s="87"/>
      <c r="AH4320" s="87"/>
      <c r="AI4320" s="87"/>
    </row>
    <row r="4321" spans="1:35" hidden="1">
      <c r="A4321" s="80" t="e">
        <f>"I"&amp;E4309</f>
        <v>#N/A</v>
      </c>
      <c r="B4321" s="105">
        <v>9</v>
      </c>
      <c r="C4321" s="107"/>
      <c r="D4321" s="107"/>
      <c r="E4321" s="107"/>
      <c r="F4321" s="107"/>
      <c r="G4321" s="83"/>
      <c r="H4321" s="83"/>
      <c r="I4321" s="84"/>
      <c r="J4321" s="85"/>
      <c r="K4321" s="382"/>
      <c r="L4321" s="85"/>
      <c r="M4321" s="332" t="str">
        <f t="shared" si="1276"/>
        <v/>
      </c>
      <c r="N4321" s="453"/>
      <c r="O4321" s="86" t="str">
        <f t="shared" si="1278"/>
        <v/>
      </c>
      <c r="P4321" s="538" t="str">
        <f t="shared" si="1279"/>
        <v/>
      </c>
      <c r="Q4321" s="539" t="str">
        <f t="shared" si="1277"/>
        <v/>
      </c>
      <c r="R4321" s="706"/>
      <c r="S4321" s="707"/>
      <c r="T4321" s="708"/>
      <c r="U4321" s="472"/>
      <c r="V4321" s="167"/>
      <c r="W4321" s="446"/>
      <c r="X4321" s="456"/>
      <c r="Y4321" s="436"/>
      <c r="Z4321" s="437"/>
      <c r="AA4321" s="560"/>
      <c r="AB4321" s="561"/>
      <c r="AC4321" s="87"/>
      <c r="AD4321" s="466"/>
      <c r="AE4321" s="456"/>
      <c r="AF4321" s="467"/>
      <c r="AG4321" s="87"/>
      <c r="AH4321" s="87"/>
      <c r="AI4321" s="87"/>
    </row>
    <row r="4322" spans="1:35" hidden="1">
      <c r="A4322" s="80" t="e">
        <f>"J"&amp;E4309</f>
        <v>#N/A</v>
      </c>
      <c r="B4322" s="105">
        <v>10</v>
      </c>
      <c r="C4322" s="107"/>
      <c r="D4322" s="107"/>
      <c r="E4322" s="107"/>
      <c r="F4322" s="107"/>
      <c r="G4322" s="83"/>
      <c r="H4322" s="83"/>
      <c r="I4322" s="84"/>
      <c r="J4322" s="85"/>
      <c r="K4322" s="382"/>
      <c r="L4322" s="85"/>
      <c r="M4322" s="332" t="str">
        <f t="shared" si="1276"/>
        <v/>
      </c>
      <c r="N4322" s="453"/>
      <c r="O4322" s="86" t="str">
        <f t="shared" si="1278"/>
        <v/>
      </c>
      <c r="P4322" s="538" t="str">
        <f t="shared" si="1279"/>
        <v/>
      </c>
      <c r="Q4322" s="539" t="str">
        <f t="shared" si="1277"/>
        <v/>
      </c>
      <c r="R4322" s="706"/>
      <c r="S4322" s="707"/>
      <c r="T4322" s="708"/>
      <c r="U4322" s="472"/>
      <c r="V4322" s="167"/>
      <c r="W4322" s="446"/>
      <c r="X4322" s="456"/>
      <c r="Y4322" s="436"/>
      <c r="Z4322" s="437"/>
      <c r="AA4322" s="560"/>
      <c r="AB4322" s="561"/>
      <c r="AC4322" s="87"/>
      <c r="AD4322" s="466"/>
      <c r="AE4322" s="456"/>
      <c r="AF4322" s="467"/>
      <c r="AG4322" s="87"/>
      <c r="AH4322" s="87"/>
      <c r="AI4322" s="87"/>
    </row>
    <row r="4323" spans="1:35" ht="16.5" hidden="1" thickBot="1">
      <c r="A4323" s="44"/>
      <c r="B4323" s="89"/>
      <c r="C4323" s="90"/>
      <c r="D4323" s="90"/>
      <c r="E4323" s="90"/>
      <c r="F4323" s="90"/>
      <c r="G4323" s="90"/>
      <c r="H4323" s="90"/>
      <c r="I4323" s="90"/>
      <c r="J4323" s="90"/>
      <c r="K4323" s="90"/>
      <c r="L4323" s="90"/>
      <c r="M4323" s="90"/>
      <c r="N4323" s="90"/>
      <c r="O4323" s="90"/>
      <c r="P4323" s="90"/>
      <c r="Q4323" s="90"/>
      <c r="R4323" s="90"/>
      <c r="S4323" s="91"/>
      <c r="T4323" s="92"/>
      <c r="U4323" s="473"/>
      <c r="W4323" s="438"/>
      <c r="X4323" s="455"/>
      <c r="Y4323" s="439"/>
      <c r="Z4323" s="437"/>
      <c r="AA4323" s="530"/>
      <c r="AB4323" s="563"/>
      <c r="AC4323" s="87"/>
      <c r="AD4323" s="440"/>
      <c r="AE4323" s="441"/>
      <c r="AF4323" s="442"/>
      <c r="AG4323" s="49"/>
      <c r="AH4323" s="87"/>
      <c r="AI4323" s="87"/>
    </row>
    <row r="4324" spans="1:35" ht="16.5" hidden="1" thickBot="1">
      <c r="A4324" s="93"/>
      <c r="B4324" s="94"/>
      <c r="C4324" s="96"/>
      <c r="D4324" s="96"/>
      <c r="E4324" s="96"/>
      <c r="F4324" s="96"/>
      <c r="G4324" s="96"/>
      <c r="H4324" s="96"/>
      <c r="I4324" s="96"/>
      <c r="J4324" s="96"/>
      <c r="K4324" s="96"/>
      <c r="L4324" s="96"/>
      <c r="M4324" s="136"/>
      <c r="N4324" s="96"/>
      <c r="O4324" s="96"/>
      <c r="P4324" s="97"/>
      <c r="Q4324" s="97"/>
      <c r="R4324" s="98"/>
      <c r="S4324" s="95"/>
      <c r="T4324" s="99"/>
      <c r="U4324" s="469"/>
      <c r="AC4324" s="58"/>
      <c r="AG4324" s="58"/>
      <c r="AH4324" s="87"/>
      <c r="AI4324" s="87"/>
    </row>
    <row r="4325" spans="1:35" ht="16.5" hidden="1" thickBot="1">
      <c r="B4325" s="101"/>
      <c r="C4325" s="101"/>
      <c r="D4325" s="101"/>
      <c r="E4325" s="101"/>
      <c r="F4325" s="101"/>
      <c r="G4325" s="101"/>
      <c r="H4325" s="101"/>
      <c r="I4325" s="101"/>
      <c r="J4325" s="101"/>
      <c r="K4325" s="101"/>
      <c r="L4325" s="101"/>
      <c r="M4325" s="101"/>
      <c r="N4325" s="101"/>
      <c r="O4325" s="101"/>
      <c r="P4325" s="101"/>
      <c r="Q4325" s="101"/>
      <c r="R4325" s="101"/>
      <c r="S4325" s="101"/>
      <c r="U4325" s="50"/>
      <c r="AH4325" s="87"/>
      <c r="AI4325" s="87"/>
    </row>
    <row r="4326" spans="1:35" ht="16.5" hidden="1" customHeight="1" thickBot="1">
      <c r="A4326" s="44"/>
      <c r="B4326" s="705" t="s">
        <v>74</v>
      </c>
      <c r="C4326" s="705"/>
      <c r="D4326" s="705"/>
      <c r="E4326" s="705"/>
      <c r="F4326" s="705"/>
      <c r="G4326" s="705"/>
      <c r="H4326" s="705"/>
      <c r="I4326" s="705"/>
      <c r="J4326" s="705"/>
      <c r="K4326" s="705"/>
      <c r="L4326" s="705"/>
      <c r="M4326" s="705"/>
      <c r="N4326" s="705"/>
      <c r="O4326" s="705"/>
      <c r="P4326" s="705"/>
      <c r="Q4326" s="705"/>
      <c r="R4326" s="705"/>
      <c r="S4326" s="705"/>
      <c r="T4326" s="705"/>
      <c r="U4326" s="108"/>
      <c r="Y4326" s="532" t="s">
        <v>341</v>
      </c>
      <c r="AC4326" s="49"/>
      <c r="AD4326" s="687" t="s">
        <v>302</v>
      </c>
      <c r="AE4326" s="688"/>
      <c r="AF4326" s="689"/>
      <c r="AG4326" s="49"/>
      <c r="AH4326" s="87"/>
      <c r="AI4326" s="87"/>
    </row>
    <row r="4327" spans="1:35" ht="16.5" hidden="1" customHeight="1" thickBot="1">
      <c r="A4327" s="218" t="e">
        <f>"K"&amp;E4309</f>
        <v>#N/A</v>
      </c>
      <c r="B4327" s="701" t="s">
        <v>71</v>
      </c>
      <c r="C4327" s="751" t="s">
        <v>102</v>
      </c>
      <c r="D4327" s="751"/>
      <c r="E4327" s="751"/>
      <c r="F4327" s="751"/>
      <c r="G4327" s="751"/>
      <c r="H4327" s="751"/>
      <c r="I4327" s="751"/>
      <c r="J4327" s="751"/>
      <c r="K4327" s="751"/>
      <c r="L4327" s="722" t="s">
        <v>100</v>
      </c>
      <c r="M4327" s="747" t="s">
        <v>114</v>
      </c>
      <c r="N4327" s="747"/>
      <c r="O4327" s="747"/>
      <c r="P4327" s="747"/>
      <c r="Q4327" s="748"/>
      <c r="R4327" s="758" t="s">
        <v>280</v>
      </c>
      <c r="S4327" s="748"/>
      <c r="T4327" s="762" t="str">
        <f>IF(COUNTIF(AE4327:AF4327,"VERIFICAR")&gt;0,"VERIFICAR",IF(COUNTIF(AE4327:AF4327,"NO CUMPLE")&gt;0,"NO CUMPLE","CUMPLE"))</f>
        <v>VERIFICAR</v>
      </c>
      <c r="U4327" s="108"/>
      <c r="Y4327" s="533" t="e">
        <f>IF(F4328="","",IF(F4328=1,"INDIVIDUAL","ESTRUCTURA PLURAL"))</f>
        <v>#N/A</v>
      </c>
      <c r="AC4327" s="52"/>
      <c r="AD4327" s="475" t="s">
        <v>303</v>
      </c>
      <c r="AE4327" s="476" t="str">
        <f>IF(COUNTIF(AE4313:AE4322,"")=10,"VERIFICAR",IF(COUNTIF(AE4313:AE4322,"SI")&gt;0,"CUMPLE","NO CUMPLE"))</f>
        <v>VERIFICAR</v>
      </c>
      <c r="AF4327" s="477" t="str">
        <f>IF(COUNTIF(AF4313:AF4322,"")=10,"VERIFICAR",IF(COUNTIF(AF4313:AF4322,"SI")&gt;=$AI$22,"CUMPLE","NO CUMPLE"))</f>
        <v>VERIFICAR</v>
      </c>
      <c r="AG4327" s="52"/>
      <c r="AH4327" s="87"/>
      <c r="AI4327" s="87"/>
    </row>
    <row r="4328" spans="1:35" ht="15.75" hidden="1" customHeight="1" thickBot="1">
      <c r="A4328" s="218" t="e">
        <f>"L"&amp;E4309</f>
        <v>#N/A</v>
      </c>
      <c r="B4328" s="702"/>
      <c r="C4328" s="751" t="s">
        <v>103</v>
      </c>
      <c r="D4328" s="751"/>
      <c r="E4328" s="752"/>
      <c r="F4328" s="557" t="e">
        <f>IF(VLOOKUP(E4309,PROPONENTES!$C$19:$E$218,3,0)="","",VLOOKUP(E4309,PROPONENTES!$C$19:$E$218,3,0))</f>
        <v>#N/A</v>
      </c>
      <c r="G4328" s="753" t="s">
        <v>104</v>
      </c>
      <c r="H4328" s="751"/>
      <c r="I4328" s="715" t="e">
        <f>IF(OR(F4328="",F4328=1),"INTERESADO PERSONA NATURAL O JURIDICA","CONSORCIO O UNION TEMPORAL")</f>
        <v>#N/A</v>
      </c>
      <c r="J4328" s="725"/>
      <c r="K4328" s="728"/>
      <c r="L4328" s="723"/>
      <c r="M4328" s="749"/>
      <c r="N4328" s="749"/>
      <c r="O4328" s="749"/>
      <c r="P4328" s="749"/>
      <c r="Q4328" s="750"/>
      <c r="R4328" s="712"/>
      <c r="S4328" s="750"/>
      <c r="T4328" s="763"/>
      <c r="U4328" s="108"/>
      <c r="Y4328" s="534"/>
      <c r="AA4328" s="52"/>
      <c r="AB4328" s="52"/>
      <c r="AC4328" s="52"/>
      <c r="AG4328" s="52"/>
      <c r="AH4328" s="87"/>
      <c r="AI4328" s="87"/>
    </row>
    <row r="4329" spans="1:35" ht="56.25" hidden="1" customHeight="1" thickBot="1">
      <c r="A4329" s="218" t="e">
        <f>"M"&amp;E4309</f>
        <v>#N/A</v>
      </c>
      <c r="B4329" s="702"/>
      <c r="C4329" s="725" t="s">
        <v>101</v>
      </c>
      <c r="D4329" s="716"/>
      <c r="E4329" s="558" t="s">
        <v>105</v>
      </c>
      <c r="F4329" s="554" t="s">
        <v>87</v>
      </c>
      <c r="G4329" s="553" t="s">
        <v>86</v>
      </c>
      <c r="H4329" s="559" t="s">
        <v>85</v>
      </c>
      <c r="I4329" s="554" t="s">
        <v>252</v>
      </c>
      <c r="J4329" s="553" t="str">
        <f>"¿EL INTEGRANTE TIENE UNA PARTICIPACIÓN DEL "&amp;PORCREQUERIDOINT*100&amp;"%?"</f>
        <v>¿EL INTEGRANTE TIENE UNA PARTICIPACIÓN DEL 60%?</v>
      </c>
      <c r="K4329" s="554" t="s">
        <v>107</v>
      </c>
      <c r="L4329" s="724"/>
      <c r="M4329" s="717" t="s">
        <v>115</v>
      </c>
      <c r="N4329" s="718"/>
      <c r="O4329" s="718"/>
      <c r="P4329" s="718"/>
      <c r="Q4329" s="223">
        <f>IF(AND(H4313="SI",P4313&gt;=0),1,0)+IF(AND(H4314="SI",P4314&gt;=0),1,0)+IF(AND(H4315="SI",P4315&gt;=0),1,0)+IF(AND(H4316="SI",P4316&gt;=0),1,0)+IF(AND(H4317="SI",P4317&gt;=0),1,0)+IF(AND(H4318="SI",P4318&gt;=0),1,0)+IF(AND(H4319="SI",P4319&gt;=0),1,0)+IF(AND(H4320="SI",P4320&gt;=0),1,0)+IF(AND(H4321="SI",P4321&gt;=0),1,0)+IF(AND(H4322="SI",P4322&gt;=0),1,0)</f>
        <v>0</v>
      </c>
      <c r="R4329" s="759"/>
      <c r="S4329" s="761"/>
      <c r="T4329" s="764"/>
      <c r="U4329" s="219"/>
      <c r="V4329" s="464"/>
      <c r="Y4329" s="532" t="s">
        <v>342</v>
      </c>
      <c r="AA4329" s="550" t="s">
        <v>344</v>
      </c>
      <c r="AB4329" s="693" t="s">
        <v>345</v>
      </c>
      <c r="AC4329" s="693" t="s">
        <v>346</v>
      </c>
      <c r="AD4329" s="685" t="s">
        <v>347</v>
      </c>
      <c r="AE4329" s="52"/>
      <c r="AF4329" s="52"/>
      <c r="AG4329" s="52"/>
      <c r="AH4329" s="87"/>
      <c r="AI4329" s="87"/>
    </row>
    <row r="4330" spans="1:35" ht="15.75" hidden="1" customHeight="1" thickBot="1">
      <c r="A4330" s="218" t="e">
        <f>"N"&amp;E4309</f>
        <v>#N/A</v>
      </c>
      <c r="B4330" s="702"/>
      <c r="C4330" s="114">
        <v>1</v>
      </c>
      <c r="D4330" s="194" t="e">
        <f>IF(AND(C4330&lt;=F4328,F4328&gt;1,F4328&lt;&gt;""),VLOOKUP(VALUE(E4309&amp;","&amp;C4330),INTEGRANTES!$D$18:$F$235,2,0),"")</f>
        <v>#N/A</v>
      </c>
      <c r="E4330" s="211" t="e">
        <f>IF(D4330&lt;&gt;"",VLOOKUP(VALUE(E4309&amp;","&amp;C4330),INTEGRANTES!$D$18:$F$235,3,0),"")</f>
        <v>#N/A</v>
      </c>
      <c r="F4330" s="547" t="e">
        <f>IF(D4330="","",SUMIF($I4313:$I4322,D4330,$P4313:$P4322))</f>
        <v>#N/A</v>
      </c>
      <c r="G4330" s="333" t="e">
        <f>IF(D4330="","",SUMIF($I4313:$I4322,D4330,$M4313:$M4322))</f>
        <v>#N/A</v>
      </c>
      <c r="H4330" s="535" t="e">
        <f t="shared" ref="H4330:H4335" si="1280">IF(D4330="","",IF(OR(F4330=0,G4330=0),"NO APORTA",ROUND($F4330/$G4330,3)))</f>
        <v>#N/A</v>
      </c>
      <c r="I4330" s="212" t="e">
        <f>IF(D4330="","",IF(H4330="NO APORTA","NO",IF(H4330=MAX($H4330:$H4335),"SI","NO")))</f>
        <v>#N/A</v>
      </c>
      <c r="J4330" s="213" t="e">
        <f t="shared" ref="J4330:J4335" si="1281">IF(D4330="","",IF(E4330&gt;=PORCREQUERIDOINT,"SI","NO"))</f>
        <v>#N/A</v>
      </c>
      <c r="K4330" s="200" t="e">
        <f t="shared" ref="K4330:K4335" si="1282">IF(D4330="","",IF(AND(I4330="SI",J4330="SI"),"CUMPLE",IF(AND(I4330="NO",OR(J4330="SI",J4330="NO")),"","NO CUMPLE")))</f>
        <v>#N/A</v>
      </c>
      <c r="L4330" s="722" t="s">
        <v>108</v>
      </c>
      <c r="M4330" s="726" t="s">
        <v>119</v>
      </c>
      <c r="N4330" s="726"/>
      <c r="O4330" s="726"/>
      <c r="P4330" s="726"/>
      <c r="Q4330" s="727"/>
      <c r="R4330" s="758" t="s">
        <v>80</v>
      </c>
      <c r="S4330" s="747"/>
      <c r="T4330" s="748"/>
      <c r="U4330" s="219"/>
      <c r="V4330" s="464"/>
      <c r="Y4330" s="533" t="e">
        <f>IF(Y4327="","",IF(Y4327="INDIVIDUAL","NO APLICA","VERIFICAR CUADRO"))</f>
        <v>#N/A</v>
      </c>
      <c r="AA4330" s="551"/>
      <c r="AB4330" s="694"/>
      <c r="AC4330" s="694"/>
      <c r="AD4330" s="686"/>
      <c r="AE4330" s="52"/>
      <c r="AF4330" s="52"/>
      <c r="AG4330" s="52"/>
      <c r="AH4330" s="87"/>
      <c r="AI4330" s="87"/>
    </row>
    <row r="4331" spans="1:35" ht="27" hidden="1" customHeight="1" thickBot="1">
      <c r="A4331" s="218" t="e">
        <f>"O"&amp;E4309</f>
        <v>#N/A</v>
      </c>
      <c r="B4331" s="702"/>
      <c r="C4331" s="114">
        <v>2</v>
      </c>
      <c r="D4331" s="194" t="e">
        <f>IF(AND(C4331&lt;=F4328,F4328&lt;&gt;""),VLOOKUP(VALUE(E4309&amp;","&amp;C4331),INTEGRANTES!$D$18:$F$235,2,0),"")</f>
        <v>#N/A</v>
      </c>
      <c r="E4331" s="211" t="e">
        <f>IF(D4331&lt;&gt;"",VLOOKUP(VALUE(E4309&amp;","&amp;C4331),INTEGRANTES!$D$18:$F$235,3,0),"")</f>
        <v>#N/A</v>
      </c>
      <c r="F4331" s="547" t="e">
        <f>IF(D4331="","",SUMIF($I4313:$I4322,D4331,$P4313:$P4322))</f>
        <v>#N/A</v>
      </c>
      <c r="G4331" s="333" t="e">
        <f>IF(D4331="","",SUMIF($I4313:$I4322,D4331,$M4313:$M4322))</f>
        <v>#N/A</v>
      </c>
      <c r="H4331" s="535" t="e">
        <f t="shared" si="1280"/>
        <v>#N/A</v>
      </c>
      <c r="I4331" s="212" t="e">
        <f>IF(D4331="","",IF(H4331="NO APORTA","NO",IF(H4331=MAX($H4330:$H4335),"SI","NO")))</f>
        <v>#N/A</v>
      </c>
      <c r="J4331" s="213" t="e">
        <f t="shared" si="1281"/>
        <v>#N/A</v>
      </c>
      <c r="K4331" s="200" t="e">
        <f t="shared" si="1282"/>
        <v>#N/A</v>
      </c>
      <c r="L4331" s="723"/>
      <c r="M4331" s="715" t="s">
        <v>116</v>
      </c>
      <c r="N4331" s="716"/>
      <c r="O4331" s="556" t="s">
        <v>113</v>
      </c>
      <c r="P4331" s="715" t="s">
        <v>117</v>
      </c>
      <c r="Q4331" s="728"/>
      <c r="R4331" s="759"/>
      <c r="S4331" s="760"/>
      <c r="T4331" s="761"/>
      <c r="U4331" s="219"/>
      <c r="V4331" s="464"/>
      <c r="Y4331" s="414"/>
      <c r="AA4331" s="542" t="e">
        <f>IF(AND(C4330&lt;=F4328,F4328&gt;1,F4328&lt;&gt;""),VLOOKUP(VALUE(E4309&amp;","&amp;C4330),INTEGRANTES!$D$18:$F$235,2,0),"")</f>
        <v>#N/A</v>
      </c>
      <c r="AB4331" s="544" t="e">
        <f t="shared" ref="AB4331:AB4336" si="1283">IF(D4330="","",IF(OR(F4330=0,G4330=0),"NO APORTA",ROUND($F4330/$G4330,3)))</f>
        <v>#N/A</v>
      </c>
      <c r="AC4331" s="529"/>
      <c r="AD4331" s="200" t="e">
        <f t="shared" ref="AD4331:AD4336" si="1284">IF(OR(AA4331="",AB4331=""),"",IF(AND(AC4331="X",AB4331&gt;=EXPREQVTD),"CUMPLE","NO CUMPLE"))</f>
        <v>#N/A</v>
      </c>
      <c r="AE4331" s="52"/>
      <c r="AF4331" s="52"/>
      <c r="AG4331" s="52"/>
      <c r="AH4331" s="87"/>
      <c r="AI4331" s="87"/>
    </row>
    <row r="4332" spans="1:35" ht="16.5" hidden="1" thickBot="1">
      <c r="A4332" s="218" t="e">
        <f>"P"&amp;E4309</f>
        <v>#N/A</v>
      </c>
      <c r="B4332" s="702"/>
      <c r="C4332" s="114">
        <v>3</v>
      </c>
      <c r="D4332" s="194" t="e">
        <f>IF(AND(C4332&lt;=F4328,F4328&lt;&gt;""),VLOOKUP(VALUE(E4309&amp;","&amp;C4332),INTEGRANTES!$D$18:$F$235,2,0),"")</f>
        <v>#N/A</v>
      </c>
      <c r="E4332" s="211" t="e">
        <f>IF(D4332&lt;&gt;"",VLOOKUP(VALUE(E4309&amp;","&amp;C4332),INTEGRANTES!$D$18:$F$235,3,0),"")</f>
        <v>#N/A</v>
      </c>
      <c r="F4332" s="547" t="e">
        <f>IF(D4332="","",SUMIF($I4313:$I4322,D4332,$P4313:$P4322))</f>
        <v>#N/A</v>
      </c>
      <c r="G4332" s="333" t="e">
        <f>IF(D4332="","",SUMIF($I4313:$I4322,D4332,$M4313:$M4322))</f>
        <v>#N/A</v>
      </c>
      <c r="H4332" s="535" t="e">
        <f t="shared" si="1280"/>
        <v>#N/A</v>
      </c>
      <c r="I4332" s="212" t="e">
        <f>IF(D4332="","",IF(H4332="NO APORTA","NO",IF(H4332=MAX($H4330:$H4335),"SI","NO")))</f>
        <v>#N/A</v>
      </c>
      <c r="J4332" s="213" t="e">
        <f t="shared" si="1281"/>
        <v>#N/A</v>
      </c>
      <c r="K4332" s="200" t="e">
        <f t="shared" si="1282"/>
        <v>#N/A</v>
      </c>
      <c r="L4332" s="724"/>
      <c r="M4332" s="729">
        <f>NUMMOD</f>
        <v>1</v>
      </c>
      <c r="N4332" s="730"/>
      <c r="O4332" s="443">
        <f>IF(M4332="","",VLOOKUP(M4332,PRESUPUESTOS!$B$16:$H$16,5,FALSE))</f>
        <v>2</v>
      </c>
      <c r="P4332" s="713">
        <f>IF(OR(COUNTIF(M4313:M4322,"")&gt;=10,Q4329&lt;NUMMINCONT,OR(T4327="NO CUMPLE",T4327="VERIFICAR")),0,ROUND(AVERAGE(M4313:M4322),3))</f>
        <v>0</v>
      </c>
      <c r="Q4332" s="714"/>
      <c r="R4332" s="458"/>
      <c r="S4332" s="459"/>
      <c r="T4332" s="460"/>
      <c r="U4332" s="219"/>
      <c r="V4332" s="464"/>
      <c r="Y4332" s="532" t="str">
        <f>"40% * ("&amp;PRESUPUESTOS!$H$13&amp;")"</f>
        <v>40% * (50% PFMO)</v>
      </c>
      <c r="AA4332" s="540" t="e">
        <f>IF(AND(C4331&lt;=F4328,F4328&lt;&gt;""),VLOOKUP(VALUE(E4309&amp;","&amp;C4331),INTEGRANTES!$D$18:$F$235,2,0),"")</f>
        <v>#N/A</v>
      </c>
      <c r="AB4332" s="545" t="e">
        <f t="shared" si="1283"/>
        <v>#N/A</v>
      </c>
      <c r="AC4332" s="529"/>
      <c r="AD4332" s="200" t="e">
        <f t="shared" si="1284"/>
        <v>#N/A</v>
      </c>
      <c r="AE4332" s="52"/>
      <c r="AF4332" s="52"/>
      <c r="AG4332" s="52"/>
      <c r="AH4332" s="87"/>
      <c r="AI4332" s="87"/>
    </row>
    <row r="4333" spans="1:35" ht="15.75" hidden="1" customHeight="1" thickBot="1">
      <c r="A4333" s="218" t="e">
        <f>"Q"&amp;E4309</f>
        <v>#N/A</v>
      </c>
      <c r="B4333" s="702"/>
      <c r="C4333" s="114">
        <v>4</v>
      </c>
      <c r="D4333" s="194" t="e">
        <f>IF(AND(C4333&lt;=F4328,F4328&lt;&gt;""),VLOOKUP(VALUE(E4309&amp;","&amp;C4333),INTEGRANTES!$D$18:$F$235,2,0),"")</f>
        <v>#N/A</v>
      </c>
      <c r="E4333" s="211" t="e">
        <f>IF(D4333&lt;&gt;"",VLOOKUP(VALUE(E4309&amp;","&amp;C4333),INTEGRANTES!$D$18:$F$235,3,0),"")</f>
        <v>#N/A</v>
      </c>
      <c r="F4333" s="547" t="e">
        <f>IF(D4333="","",SUMIF($I4313:$I4322,D4333,$P4313:$P4322))</f>
        <v>#N/A</v>
      </c>
      <c r="G4333" s="333" t="e">
        <f>IF(D4333="","",SUMIF($I4313:$I4322,D4333,$M4313:$M4322))</f>
        <v>#N/A</v>
      </c>
      <c r="H4333" s="535" t="e">
        <f t="shared" si="1280"/>
        <v>#N/A</v>
      </c>
      <c r="I4333" s="212" t="e">
        <f>IF(D4333="","",IF(H4333="NO APORTA","NO",IF(H4333=MAX($H4330:$H4335),"SI","NO")))</f>
        <v>#N/A</v>
      </c>
      <c r="J4333" s="213" t="e">
        <f t="shared" si="1281"/>
        <v>#N/A</v>
      </c>
      <c r="K4333" s="200" t="e">
        <f t="shared" si="1282"/>
        <v>#N/A</v>
      </c>
      <c r="L4333" s="720" t="s">
        <v>109</v>
      </c>
      <c r="M4333" s="757" t="s">
        <v>120</v>
      </c>
      <c r="N4333" s="726"/>
      <c r="O4333" s="726"/>
      <c r="P4333" s="726"/>
      <c r="Q4333" s="727"/>
      <c r="R4333" s="458"/>
      <c r="S4333" s="459"/>
      <c r="T4333" s="460"/>
      <c r="U4333" s="219"/>
      <c r="V4333" s="464"/>
      <c r="Y4333" s="537">
        <f>0.4*PRESUPUESTOS!$H$16</f>
        <v>10.3124</v>
      </c>
      <c r="AA4333" s="540" t="e">
        <f>IF(AND(C4332&lt;=F4328,F4328&lt;&gt;""),VLOOKUP(VALUE(E4309&amp;","&amp;C4332),INTEGRANTES!$D$18:$F$235,2,0),"")</f>
        <v>#N/A</v>
      </c>
      <c r="AB4333" s="545" t="e">
        <f t="shared" si="1283"/>
        <v>#N/A</v>
      </c>
      <c r="AC4333" s="529"/>
      <c r="AD4333" s="200" t="e">
        <f t="shared" si="1284"/>
        <v>#N/A</v>
      </c>
      <c r="AE4333" s="52"/>
      <c r="AF4333" s="52"/>
      <c r="AG4333" s="52"/>
      <c r="AH4333" s="87"/>
      <c r="AI4333" s="87"/>
    </row>
    <row r="4334" spans="1:35" ht="27" hidden="1" customHeight="1" thickBot="1">
      <c r="A4334" s="218" t="e">
        <f>"R"&amp;E4309</f>
        <v>#N/A</v>
      </c>
      <c r="B4334" s="702"/>
      <c r="C4334" s="114">
        <v>5</v>
      </c>
      <c r="D4334" s="194" t="e">
        <f>IF(AND(C4334&lt;=F4328,F4328&lt;&gt;""),VLOOKUP(VALUE(E4309&amp;","&amp;C4334),INTEGRANTES!$D$18:$F$235,2,0),"")</f>
        <v>#N/A</v>
      </c>
      <c r="E4334" s="211" t="e">
        <f>IF(D4334&lt;&gt;"",VLOOKUP(VALUE(E4309&amp;","&amp;C4334),INTEGRANTES!$D$18:$F$235,3,0),"")</f>
        <v>#N/A</v>
      </c>
      <c r="F4334" s="547" t="e">
        <f>IF(D4334="","",SUMIF($I4313:$I4322,D4334,$P4313:$P4322))</f>
        <v>#N/A</v>
      </c>
      <c r="G4334" s="333" t="e">
        <f>IF(D4334="","",SUMIF($I4313:$I4322,D4334,$M4313:$M4322))</f>
        <v>#N/A</v>
      </c>
      <c r="H4334" s="535" t="e">
        <f t="shared" si="1280"/>
        <v>#N/A</v>
      </c>
      <c r="I4334" s="212" t="e">
        <f>IF(D4334="","",IF(H4334="NO APORTA","NO",IF(H4334=MAX($H4330:$H4335),"SI","NO")))</f>
        <v>#N/A</v>
      </c>
      <c r="J4334" s="213" t="e">
        <f t="shared" si="1281"/>
        <v>#N/A</v>
      </c>
      <c r="K4334" s="200" t="e">
        <f t="shared" si="1282"/>
        <v>#N/A</v>
      </c>
      <c r="L4334" s="721"/>
      <c r="M4334" s="715" t="s">
        <v>116</v>
      </c>
      <c r="N4334" s="716"/>
      <c r="O4334" s="556" t="str">
        <f>PORCREQUERIDO*100&amp;"% PMFO DEL MÓDULO"</f>
        <v>50% PMFO DEL MÓDULO</v>
      </c>
      <c r="P4334" s="715" t="s">
        <v>118</v>
      </c>
      <c r="Q4334" s="728"/>
      <c r="R4334" s="458"/>
      <c r="S4334" s="459"/>
      <c r="T4334" s="460"/>
      <c r="U4334" s="219"/>
      <c r="V4334" s="464"/>
      <c r="Y4334" s="414"/>
      <c r="AA4334" s="540" t="e">
        <f>IF(AND(C4333&lt;=F4328,F4328&lt;&gt;""),VLOOKUP(VALUE(E4309&amp;","&amp;C4333),INTEGRANTES!$D$18:$F$235,2,0),"")</f>
        <v>#N/A</v>
      </c>
      <c r="AB4334" s="545" t="e">
        <f t="shared" si="1283"/>
        <v>#N/A</v>
      </c>
      <c r="AC4334" s="529"/>
      <c r="AD4334" s="200" t="e">
        <f t="shared" si="1284"/>
        <v>#N/A</v>
      </c>
      <c r="AE4334" s="52"/>
      <c r="AF4334" s="52"/>
      <c r="AG4334" s="52"/>
      <c r="AH4334" s="87"/>
      <c r="AI4334" s="87"/>
    </row>
    <row r="4335" spans="1:35" ht="16.5" hidden="1" thickBot="1">
      <c r="A4335" s="218" t="e">
        <f>"S"&amp;E4309</f>
        <v>#N/A</v>
      </c>
      <c r="B4335" s="702"/>
      <c r="C4335" s="215">
        <v>6</v>
      </c>
      <c r="D4335" s="216" t="e">
        <f>IF(AND(C4335&lt;=F4328,F4328&lt;&gt;""),VLOOKUP(VALUE(E4309&amp;","&amp;C4335),INTEGRANTES!$D$18:$F$235,2,0),"")</f>
        <v>#N/A</v>
      </c>
      <c r="E4335" s="217" t="e">
        <f>IF(D4335&lt;&gt;"",VLOOKUP(VALUE(E4309&amp;","&amp;C4335),INTEGRANTES!$D$18:$F$235,3,0),"")</f>
        <v>#N/A</v>
      </c>
      <c r="F4335" s="548" t="e">
        <f>IF(D4335="","",SUMIF($I4313:$I4322,D4335,$P4313:$P4322))</f>
        <v>#N/A</v>
      </c>
      <c r="G4335" s="334" t="e">
        <f>IF(D4335="","",SUMIF($I4313:$I4322,D4335,$M4313:$M4322))</f>
        <v>#N/A</v>
      </c>
      <c r="H4335" s="536" t="e">
        <f t="shared" si="1280"/>
        <v>#N/A</v>
      </c>
      <c r="I4335" s="214" t="e">
        <f>IF(D4335="","",IF(H4335="NO APORTA","NO",IF(H4335=MAX($H4330:$H4335),"SI","NO")))</f>
        <v>#N/A</v>
      </c>
      <c r="J4335" s="213" t="e">
        <f t="shared" si="1281"/>
        <v>#N/A</v>
      </c>
      <c r="K4335" s="200" t="e">
        <f t="shared" si="1282"/>
        <v>#N/A</v>
      </c>
      <c r="L4335" s="721"/>
      <c r="M4335" s="729">
        <f>NUMMOD</f>
        <v>1</v>
      </c>
      <c r="N4335" s="730"/>
      <c r="O4335" s="443">
        <f>IF(M4335="","",ROUND(VLOOKUP(M4335,PRESUPUESTOS!$B$16:$H$16,7,FALSE),3))</f>
        <v>25.780999999999999</v>
      </c>
      <c r="P4335" s="713">
        <f>IF(OR(COUNTIF(P4313:P4322,"")&gt;=10,Q4329&lt;NUMMINCONT,OR(T4327="NO CUMPLE",T4327="VERIFICAR")),0,ROUND((SUM(P4313:P4322)/SUM(M4313:M4322)),3))</f>
        <v>0</v>
      </c>
      <c r="Q4335" s="714"/>
      <c r="R4335" s="458"/>
      <c r="S4335" s="459"/>
      <c r="T4335" s="460"/>
      <c r="U4335" s="219"/>
      <c r="V4335" s="464"/>
      <c r="Y4335" s="532" t="s">
        <v>343</v>
      </c>
      <c r="AA4335" s="540" t="e">
        <f>IF(AND(C4334&lt;=F4328,F4328&lt;&gt;""),VLOOKUP(VALUE(E4309&amp;","&amp;C4334),INTEGRANTES!$D$18:$F$235,2,0),"")</f>
        <v>#N/A</v>
      </c>
      <c r="AB4335" s="545" t="e">
        <f t="shared" si="1283"/>
        <v>#N/A</v>
      </c>
      <c r="AC4335" s="529"/>
      <c r="AD4335" s="200" t="e">
        <f t="shared" si="1284"/>
        <v>#N/A</v>
      </c>
      <c r="AE4335" s="52"/>
      <c r="AF4335" s="52"/>
      <c r="AG4335" s="52"/>
      <c r="AH4335" s="87"/>
      <c r="AI4335" s="87"/>
    </row>
    <row r="4336" spans="1:35" ht="16.5" hidden="1" customHeight="1" thickBot="1">
      <c r="A4336" s="218" t="e">
        <f>"T"&amp;E4309</f>
        <v>#N/A</v>
      </c>
      <c r="B4336" s="703"/>
      <c r="C4336" s="719"/>
      <c r="D4336" s="719"/>
      <c r="E4336" s="719"/>
      <c r="F4336" s="719"/>
      <c r="G4336" s="719"/>
      <c r="H4336" s="719" t="s">
        <v>110</v>
      </c>
      <c r="I4336" s="719"/>
      <c r="J4336" s="719"/>
      <c r="K4336" s="201" t="str">
        <f>IF(COUNTIF(K4330:K4335,"")=6,"",IF(COUNTIF(K4330:K4335,"CUMPLE")&gt;0,"CUMPLE","NO CUMPLE"))</f>
        <v>NO CUMPLE</v>
      </c>
      <c r="L4336" s="754"/>
      <c r="M4336" s="755"/>
      <c r="N4336" s="755"/>
      <c r="O4336" s="755"/>
      <c r="P4336" s="755"/>
      <c r="Q4336" s="756"/>
      <c r="R4336" s="461"/>
      <c r="S4336" s="462"/>
      <c r="T4336" s="463"/>
      <c r="U4336" s="219"/>
      <c r="V4336" s="464"/>
      <c r="Y4336" s="549" t="e">
        <f>IF(Y4330="NO APLICA","NO APLICA",IF(COUNTIF(AD4331:AD4336,"CUMPLE")&gt;0,"CUMPLE","NO CUMPLE"))</f>
        <v>#N/A</v>
      </c>
      <c r="AA4336" s="541" t="e">
        <f>IF(AND(C4335&lt;=F4328,F4328&lt;&gt;""),VLOOKUP(VALUE(E4309&amp;","&amp;C4335),INTEGRANTES!$D$18:$F$235,2,0),"")</f>
        <v>#N/A</v>
      </c>
      <c r="AB4336" s="546" t="e">
        <f t="shared" si="1283"/>
        <v>#N/A</v>
      </c>
      <c r="AC4336" s="543"/>
      <c r="AD4336" s="201" t="e">
        <f t="shared" si="1284"/>
        <v>#N/A</v>
      </c>
      <c r="AE4336" s="52"/>
      <c r="AF4336" s="52"/>
      <c r="AG4336" s="52"/>
      <c r="AH4336" s="87"/>
      <c r="AI4336" s="87"/>
    </row>
    <row r="4337" spans="1:35" hidden="1">
      <c r="AH4337" s="87"/>
      <c r="AI4337" s="87"/>
    </row>
    <row r="4338" spans="1:35" hidden="1">
      <c r="AH4338" s="87"/>
      <c r="AI4338" s="87"/>
    </row>
    <row r="4339" spans="1:35" ht="24" hidden="1" thickBot="1">
      <c r="A4339" s="61">
        <v>145</v>
      </c>
      <c r="B4339" s="704" t="s">
        <v>51</v>
      </c>
      <c r="C4339" s="704"/>
      <c r="D4339" s="704"/>
      <c r="E4339" s="62" t="e">
        <f>VLOOKUP(A4339,PROPONENTES!$B$19:$E$218,2,FALSE)</f>
        <v>#N/A</v>
      </c>
      <c r="F4339" s="63" t="e">
        <f>VLOOKUP(A4339,PROPONENTES!$B$19:$E$218,3,FALSE)</f>
        <v>#N/A</v>
      </c>
      <c r="G4339" s="64"/>
      <c r="H4339" s="64"/>
      <c r="I4339" s="63"/>
      <c r="J4339" s="63"/>
      <c r="K4339" s="65"/>
      <c r="L4339" s="65"/>
      <c r="M4339" s="64"/>
      <c r="N4339" s="64"/>
      <c r="O4339" s="66"/>
      <c r="P4339" s="66"/>
      <c r="Q4339" s="66"/>
      <c r="R4339" s="66"/>
      <c r="S4339" s="67"/>
      <c r="T4339" s="68"/>
      <c r="U4339" s="68"/>
      <c r="AC4339" s="68"/>
      <c r="AD4339" s="68"/>
      <c r="AE4339" s="68"/>
      <c r="AF4339" s="68"/>
      <c r="AG4339" s="68"/>
      <c r="AH4339" s="87"/>
      <c r="AI4339" s="87"/>
    </row>
    <row r="4340" spans="1:35" ht="15.75" hidden="1" customHeight="1">
      <c r="A4340" s="44"/>
      <c r="B4340" s="709" t="s">
        <v>59</v>
      </c>
      <c r="C4340" s="552" t="s">
        <v>60</v>
      </c>
      <c r="D4340" s="70" t="s">
        <v>17</v>
      </c>
      <c r="E4340" s="70"/>
      <c r="F4340" s="70" t="s">
        <v>61</v>
      </c>
      <c r="G4340" s="71"/>
      <c r="H4340" s="699" t="s">
        <v>62</v>
      </c>
      <c r="I4340" s="699" t="s">
        <v>18</v>
      </c>
      <c r="J4340" s="699" t="s">
        <v>63</v>
      </c>
      <c r="K4340" s="699" t="s">
        <v>64</v>
      </c>
      <c r="L4340" s="699" t="s">
        <v>65</v>
      </c>
      <c r="M4340" s="743" t="s">
        <v>66</v>
      </c>
      <c r="N4340" s="699" t="s">
        <v>282</v>
      </c>
      <c r="O4340" s="745" t="s">
        <v>67</v>
      </c>
      <c r="P4340" s="746"/>
      <c r="Q4340" s="102" t="s">
        <v>75</v>
      </c>
      <c r="R4340" s="731" t="s">
        <v>22</v>
      </c>
      <c r="S4340" s="732"/>
      <c r="T4340" s="733"/>
      <c r="U4340" s="712" t="s">
        <v>298</v>
      </c>
      <c r="W4340" s="690" t="s">
        <v>268</v>
      </c>
      <c r="X4340" s="691"/>
      <c r="Y4340" s="692"/>
      <c r="Z4340" s="428"/>
      <c r="AA4340" s="697" t="s">
        <v>315</v>
      </c>
      <c r="AB4340" s="695" t="s">
        <v>322</v>
      </c>
      <c r="AC4340" s="49"/>
      <c r="AD4340" s="690" t="s">
        <v>297</v>
      </c>
      <c r="AE4340" s="691"/>
      <c r="AF4340" s="692"/>
      <c r="AG4340" s="49"/>
      <c r="AH4340" s="87"/>
      <c r="AI4340" s="87"/>
    </row>
    <row r="4341" spans="1:35" ht="72" hidden="1">
      <c r="A4341" s="44"/>
      <c r="B4341" s="710"/>
      <c r="C4341" s="553" t="s">
        <v>68</v>
      </c>
      <c r="D4341" s="73" t="s">
        <v>3</v>
      </c>
      <c r="E4341" s="73" t="s">
        <v>19</v>
      </c>
      <c r="F4341" s="73" t="s">
        <v>69</v>
      </c>
      <c r="G4341" s="74" t="s">
        <v>70</v>
      </c>
      <c r="H4341" s="700"/>
      <c r="I4341" s="700"/>
      <c r="J4341" s="700"/>
      <c r="K4341" s="700"/>
      <c r="L4341" s="700"/>
      <c r="M4341" s="744"/>
      <c r="N4341" s="700"/>
      <c r="O4341" s="553" t="s">
        <v>279</v>
      </c>
      <c r="P4341" s="73" t="s">
        <v>88</v>
      </c>
      <c r="Q4341" s="555" t="s">
        <v>76</v>
      </c>
      <c r="R4341" s="734"/>
      <c r="S4341" s="735"/>
      <c r="T4341" s="736"/>
      <c r="U4341" s="712"/>
      <c r="W4341" s="429" t="s">
        <v>269</v>
      </c>
      <c r="X4341" s="457" t="s">
        <v>278</v>
      </c>
      <c r="Y4341" s="430" t="s">
        <v>324</v>
      </c>
      <c r="Z4341" s="428"/>
      <c r="AA4341" s="698"/>
      <c r="AB4341" s="696"/>
      <c r="AC4341" s="49"/>
      <c r="AD4341" s="429" t="s">
        <v>292</v>
      </c>
      <c r="AE4341" s="431" t="s">
        <v>300</v>
      </c>
      <c r="AF4341" s="468" t="s">
        <v>301</v>
      </c>
      <c r="AG4341" s="49"/>
      <c r="AH4341" s="87"/>
      <c r="AI4341" s="87"/>
    </row>
    <row r="4342" spans="1:35" hidden="1">
      <c r="A4342" s="44"/>
      <c r="B4342" s="76"/>
      <c r="C4342" s="77"/>
      <c r="D4342" s="77"/>
      <c r="E4342" s="77"/>
      <c r="F4342" s="77"/>
      <c r="G4342" s="77"/>
      <c r="H4342" s="77"/>
      <c r="I4342" s="77"/>
      <c r="J4342" s="77"/>
      <c r="K4342" s="77"/>
      <c r="L4342" s="77"/>
      <c r="M4342" s="77"/>
      <c r="N4342" s="77"/>
      <c r="O4342" s="77"/>
      <c r="P4342" s="77"/>
      <c r="Q4342" s="77"/>
      <c r="R4342" s="77"/>
      <c r="S4342" s="78"/>
      <c r="T4342" s="79"/>
      <c r="U4342" s="109"/>
      <c r="V4342" s="49"/>
      <c r="W4342" s="432"/>
      <c r="X4342" s="454"/>
      <c r="Y4342" s="433"/>
      <c r="Z4342" s="6"/>
      <c r="AA4342" s="500"/>
      <c r="AB4342" s="562"/>
      <c r="AC4342" s="49"/>
      <c r="AD4342" s="210"/>
      <c r="AE4342" s="434"/>
      <c r="AF4342" s="435"/>
      <c r="AG4342" s="49"/>
      <c r="AH4342" s="87"/>
      <c r="AI4342" s="87"/>
    </row>
    <row r="4343" spans="1:35" hidden="1">
      <c r="A4343" s="80" t="e">
        <f>"A"&amp;E4339</f>
        <v>#N/A</v>
      </c>
      <c r="B4343" s="81">
        <v>1</v>
      </c>
      <c r="C4343" s="82"/>
      <c r="D4343" s="82"/>
      <c r="E4343" s="82"/>
      <c r="F4343" s="82"/>
      <c r="G4343" s="83"/>
      <c r="H4343" s="83"/>
      <c r="I4343" s="84"/>
      <c r="J4343" s="85"/>
      <c r="K4343" s="382"/>
      <c r="L4343" s="85"/>
      <c r="M4343" s="332" t="str">
        <f t="shared" ref="M4343:M4352" si="1285">IF(OR(J4343="",L4343="",H4343="NO"),"",IF(OR(J4343&gt;$P$17,J4343&lt;$O$17,L4343&gt;$P$17,AND(J4343&lt;$O$17,L4343&lt;$O$17)),"FUERA DE RANGO",IF(OR(K4343="---",K4343=""),IF(J4343&gt;=$O$17,ROUND((L4343-J4343+1)/360*12,3),ROUND((L4343-$O$17+1)/360*12,3)),IF(J4343&gt;=$O$17,ROUND((L4343-J4343+1)/360*12-ROUND(K4343,3),3),ROUND((L4343-$O$17+1)/360*12-ROUND(K4343,3),3)))))</f>
        <v/>
      </c>
      <c r="N4343" s="86"/>
      <c r="O4343" s="453" t="str">
        <f>IF(OR(G4343="",N4343=""),"",N4343*G4343)</f>
        <v/>
      </c>
      <c r="P4343" s="538" t="str">
        <f>IF(OR(H4343="",M4343="FUERA DE RANGO"),"",IF(OR(L4343&lt;$O$17,L4343&gt;$P$17,L4343="",H4343="NO"),"",IF(OR(N4343="",O4343=""),"",ROUND(O4343,3))))</f>
        <v/>
      </c>
      <c r="Q4343" s="539" t="str">
        <f t="shared" ref="Q4343:Q4352" si="1286">IF(AND(H4343="SI",P4343&lt;&gt;""),ROUND(P4343/M4343,3),"")</f>
        <v/>
      </c>
      <c r="R4343" s="737"/>
      <c r="S4343" s="738"/>
      <c r="T4343" s="739"/>
      <c r="U4343" s="470"/>
      <c r="V4343" s="165"/>
      <c r="W4343" s="446"/>
      <c r="X4343" s="456"/>
      <c r="Y4343" s="436"/>
      <c r="Z4343" s="437"/>
      <c r="AA4343" s="560"/>
      <c r="AB4343" s="561"/>
      <c r="AC4343" s="87"/>
      <c r="AD4343" s="466"/>
      <c r="AE4343" s="456"/>
      <c r="AF4343" s="467"/>
      <c r="AG4343" s="87"/>
      <c r="AH4343" s="87"/>
      <c r="AI4343" s="87"/>
    </row>
    <row r="4344" spans="1:35" hidden="1">
      <c r="A4344" s="80" t="e">
        <f>"B"&amp;E4339</f>
        <v>#N/A</v>
      </c>
      <c r="B4344" s="81">
        <v>2</v>
      </c>
      <c r="C4344" s="106"/>
      <c r="D4344" s="106"/>
      <c r="E4344" s="106"/>
      <c r="F4344" s="106"/>
      <c r="G4344" s="83"/>
      <c r="H4344" s="83"/>
      <c r="I4344" s="84"/>
      <c r="J4344" s="85"/>
      <c r="K4344" s="382"/>
      <c r="L4344" s="85"/>
      <c r="M4344" s="332" t="str">
        <f t="shared" si="1285"/>
        <v/>
      </c>
      <c r="N4344" s="86"/>
      <c r="O4344" s="453" t="str">
        <f t="shared" ref="O4344:O4352" si="1287">IF(OR(G4344="",N4344=""),"",N4344*G4344)</f>
        <v/>
      </c>
      <c r="P4344" s="538" t="str">
        <f t="shared" ref="P4344:P4352" si="1288">IF(OR(H4344="",M4344="FUERA DE RANGO"),"",IF(OR(L4344&lt;$O$17,L4344&gt;$P$17,L4344="",H4344="NO"),"",IF(OR(N4344="",O4344=""),"",ROUND(O4344,3))))</f>
        <v/>
      </c>
      <c r="Q4344" s="539" t="str">
        <f t="shared" si="1286"/>
        <v/>
      </c>
      <c r="R4344" s="740"/>
      <c r="S4344" s="741"/>
      <c r="T4344" s="742"/>
      <c r="U4344" s="471"/>
      <c r="V4344" s="165"/>
      <c r="W4344" s="446"/>
      <c r="X4344" s="456"/>
      <c r="Y4344" s="436"/>
      <c r="Z4344" s="437"/>
      <c r="AA4344" s="560"/>
      <c r="AB4344" s="561"/>
      <c r="AC4344" s="87"/>
      <c r="AD4344" s="466"/>
      <c r="AE4344" s="456"/>
      <c r="AF4344" s="467"/>
      <c r="AG4344" s="87"/>
      <c r="AH4344" s="87"/>
      <c r="AI4344" s="87"/>
    </row>
    <row r="4345" spans="1:35" hidden="1">
      <c r="A4345" s="80" t="e">
        <f>"C"&amp;E4339</f>
        <v>#N/A</v>
      </c>
      <c r="B4345" s="88">
        <v>3</v>
      </c>
      <c r="C4345" s="82"/>
      <c r="D4345" s="82"/>
      <c r="E4345" s="82"/>
      <c r="F4345" s="82"/>
      <c r="G4345" s="83"/>
      <c r="H4345" s="83"/>
      <c r="I4345" s="84"/>
      <c r="J4345" s="85"/>
      <c r="K4345" s="382"/>
      <c r="L4345" s="85"/>
      <c r="M4345" s="332" t="str">
        <f t="shared" si="1285"/>
        <v/>
      </c>
      <c r="N4345" s="86"/>
      <c r="O4345" s="453" t="str">
        <f t="shared" si="1287"/>
        <v/>
      </c>
      <c r="P4345" s="538" t="str">
        <f t="shared" si="1288"/>
        <v/>
      </c>
      <c r="Q4345" s="539" t="str">
        <f t="shared" si="1286"/>
        <v/>
      </c>
      <c r="R4345" s="706"/>
      <c r="S4345" s="707"/>
      <c r="T4345" s="708"/>
      <c r="U4345" s="472"/>
      <c r="V4345" s="166"/>
      <c r="W4345" s="446"/>
      <c r="X4345" s="456"/>
      <c r="Y4345" s="436"/>
      <c r="Z4345" s="437"/>
      <c r="AA4345" s="560"/>
      <c r="AB4345" s="561"/>
      <c r="AC4345" s="87"/>
      <c r="AD4345" s="466"/>
      <c r="AE4345" s="456"/>
      <c r="AF4345" s="467"/>
      <c r="AG4345" s="87"/>
      <c r="AH4345" s="87"/>
      <c r="AI4345" s="87"/>
    </row>
    <row r="4346" spans="1:35" hidden="1">
      <c r="A4346" s="80" t="e">
        <f>"D"&amp;E4339</f>
        <v>#N/A</v>
      </c>
      <c r="B4346" s="105">
        <v>4</v>
      </c>
      <c r="C4346" s="107"/>
      <c r="D4346" s="107"/>
      <c r="E4346" s="107"/>
      <c r="F4346" s="107"/>
      <c r="G4346" s="83"/>
      <c r="H4346" s="83"/>
      <c r="I4346" s="84"/>
      <c r="J4346" s="85"/>
      <c r="K4346" s="382"/>
      <c r="L4346" s="85"/>
      <c r="M4346" s="332" t="str">
        <f t="shared" si="1285"/>
        <v/>
      </c>
      <c r="N4346" s="86"/>
      <c r="O4346" s="453" t="str">
        <f t="shared" si="1287"/>
        <v/>
      </c>
      <c r="P4346" s="538" t="str">
        <f t="shared" si="1288"/>
        <v/>
      </c>
      <c r="Q4346" s="539" t="str">
        <f t="shared" si="1286"/>
        <v/>
      </c>
      <c r="R4346" s="706"/>
      <c r="S4346" s="707"/>
      <c r="T4346" s="708"/>
      <c r="U4346" s="472"/>
      <c r="V4346" s="166"/>
      <c r="W4346" s="446"/>
      <c r="X4346" s="456"/>
      <c r="Y4346" s="436"/>
      <c r="Z4346" s="437"/>
      <c r="AA4346" s="560"/>
      <c r="AB4346" s="561"/>
      <c r="AC4346" s="87"/>
      <c r="AD4346" s="466"/>
      <c r="AE4346" s="456"/>
      <c r="AF4346" s="467"/>
      <c r="AG4346" s="87"/>
      <c r="AH4346" s="87"/>
      <c r="AI4346" s="87"/>
    </row>
    <row r="4347" spans="1:35" hidden="1">
      <c r="A4347" s="80" t="e">
        <f>"E"&amp;E4339</f>
        <v>#N/A</v>
      </c>
      <c r="B4347" s="105">
        <v>5</v>
      </c>
      <c r="C4347" s="107"/>
      <c r="D4347" s="107"/>
      <c r="E4347" s="107"/>
      <c r="F4347" s="107"/>
      <c r="G4347" s="83"/>
      <c r="H4347" s="83"/>
      <c r="I4347" s="84"/>
      <c r="J4347" s="85"/>
      <c r="K4347" s="382"/>
      <c r="L4347" s="85"/>
      <c r="M4347" s="332" t="str">
        <f t="shared" si="1285"/>
        <v/>
      </c>
      <c r="N4347" s="86"/>
      <c r="O4347" s="453" t="str">
        <f t="shared" si="1287"/>
        <v/>
      </c>
      <c r="P4347" s="538" t="str">
        <f t="shared" si="1288"/>
        <v/>
      </c>
      <c r="Q4347" s="539" t="str">
        <f t="shared" si="1286"/>
        <v/>
      </c>
      <c r="R4347" s="706"/>
      <c r="S4347" s="707"/>
      <c r="T4347" s="708"/>
      <c r="U4347" s="472"/>
      <c r="V4347" s="167"/>
      <c r="W4347" s="446"/>
      <c r="X4347" s="456"/>
      <c r="Y4347" s="436"/>
      <c r="Z4347" s="437"/>
      <c r="AA4347" s="560"/>
      <c r="AB4347" s="561"/>
      <c r="AC4347" s="87"/>
      <c r="AD4347" s="466"/>
      <c r="AE4347" s="456"/>
      <c r="AF4347" s="467"/>
      <c r="AG4347" s="87"/>
      <c r="AH4347" s="87"/>
      <c r="AI4347" s="87"/>
    </row>
    <row r="4348" spans="1:35" hidden="1">
      <c r="A4348" s="80" t="e">
        <f>"F"&amp;E4339</f>
        <v>#N/A</v>
      </c>
      <c r="B4348" s="105">
        <v>6</v>
      </c>
      <c r="C4348" s="107"/>
      <c r="D4348" s="107"/>
      <c r="E4348" s="107"/>
      <c r="F4348" s="107"/>
      <c r="G4348" s="83"/>
      <c r="H4348" s="83"/>
      <c r="I4348" s="84"/>
      <c r="J4348" s="85"/>
      <c r="K4348" s="382"/>
      <c r="L4348" s="85"/>
      <c r="M4348" s="332" t="str">
        <f t="shared" si="1285"/>
        <v/>
      </c>
      <c r="N4348" s="86"/>
      <c r="O4348" s="453" t="str">
        <f t="shared" si="1287"/>
        <v/>
      </c>
      <c r="P4348" s="538" t="str">
        <f t="shared" si="1288"/>
        <v/>
      </c>
      <c r="Q4348" s="539" t="str">
        <f t="shared" si="1286"/>
        <v/>
      </c>
      <c r="R4348" s="706"/>
      <c r="S4348" s="707"/>
      <c r="T4348" s="708"/>
      <c r="U4348" s="472"/>
      <c r="V4348" s="167"/>
      <c r="W4348" s="446"/>
      <c r="X4348" s="456"/>
      <c r="Y4348" s="436"/>
      <c r="Z4348" s="437"/>
      <c r="AA4348" s="560"/>
      <c r="AB4348" s="561"/>
      <c r="AC4348" s="87"/>
      <c r="AD4348" s="466"/>
      <c r="AE4348" s="456"/>
      <c r="AF4348" s="467"/>
      <c r="AG4348" s="87"/>
      <c r="AH4348" s="87"/>
      <c r="AI4348" s="87"/>
    </row>
    <row r="4349" spans="1:35" hidden="1">
      <c r="A4349" s="80" t="e">
        <f>"G"&amp;E4339</f>
        <v>#N/A</v>
      </c>
      <c r="B4349" s="105">
        <v>7</v>
      </c>
      <c r="C4349" s="107"/>
      <c r="D4349" s="107"/>
      <c r="E4349" s="107"/>
      <c r="F4349" s="107"/>
      <c r="G4349" s="83"/>
      <c r="H4349" s="83"/>
      <c r="I4349" s="84"/>
      <c r="J4349" s="85"/>
      <c r="K4349" s="382"/>
      <c r="L4349" s="85"/>
      <c r="M4349" s="332" t="str">
        <f t="shared" si="1285"/>
        <v/>
      </c>
      <c r="N4349" s="86"/>
      <c r="O4349" s="86" t="str">
        <f t="shared" si="1287"/>
        <v/>
      </c>
      <c r="P4349" s="538" t="str">
        <f t="shared" si="1288"/>
        <v/>
      </c>
      <c r="Q4349" s="539" t="str">
        <f t="shared" si="1286"/>
        <v/>
      </c>
      <c r="R4349" s="706"/>
      <c r="S4349" s="707"/>
      <c r="T4349" s="708"/>
      <c r="U4349" s="472"/>
      <c r="V4349" s="167"/>
      <c r="W4349" s="446"/>
      <c r="X4349" s="456"/>
      <c r="Y4349" s="436"/>
      <c r="Z4349" s="437"/>
      <c r="AA4349" s="560"/>
      <c r="AB4349" s="561"/>
      <c r="AC4349" s="87"/>
      <c r="AD4349" s="466"/>
      <c r="AE4349" s="456"/>
      <c r="AF4349" s="467"/>
      <c r="AG4349" s="87"/>
      <c r="AH4349" s="87"/>
      <c r="AI4349" s="87"/>
    </row>
    <row r="4350" spans="1:35" hidden="1">
      <c r="A4350" s="80" t="e">
        <f>"H"&amp;E4339</f>
        <v>#N/A</v>
      </c>
      <c r="B4350" s="105">
        <v>8</v>
      </c>
      <c r="C4350" s="107"/>
      <c r="D4350" s="107"/>
      <c r="E4350" s="107"/>
      <c r="F4350" s="107"/>
      <c r="G4350" s="83"/>
      <c r="H4350" s="83"/>
      <c r="I4350" s="84"/>
      <c r="J4350" s="85"/>
      <c r="K4350" s="382"/>
      <c r="L4350" s="85"/>
      <c r="M4350" s="332" t="str">
        <f t="shared" si="1285"/>
        <v/>
      </c>
      <c r="N4350" s="453"/>
      <c r="O4350" s="86" t="str">
        <f t="shared" si="1287"/>
        <v/>
      </c>
      <c r="P4350" s="538" t="str">
        <f t="shared" si="1288"/>
        <v/>
      </c>
      <c r="Q4350" s="539" t="str">
        <f t="shared" si="1286"/>
        <v/>
      </c>
      <c r="R4350" s="706"/>
      <c r="S4350" s="707"/>
      <c r="T4350" s="708"/>
      <c r="U4350" s="472"/>
      <c r="V4350" s="167"/>
      <c r="W4350" s="446"/>
      <c r="X4350" s="456"/>
      <c r="Y4350" s="436"/>
      <c r="Z4350" s="437"/>
      <c r="AA4350" s="560"/>
      <c r="AB4350" s="561"/>
      <c r="AC4350" s="87"/>
      <c r="AD4350" s="466"/>
      <c r="AE4350" s="456"/>
      <c r="AF4350" s="467"/>
      <c r="AG4350" s="87"/>
      <c r="AH4350" s="87"/>
      <c r="AI4350" s="87"/>
    </row>
    <row r="4351" spans="1:35" hidden="1">
      <c r="A4351" s="80" t="e">
        <f>"I"&amp;E4339</f>
        <v>#N/A</v>
      </c>
      <c r="B4351" s="105">
        <v>9</v>
      </c>
      <c r="C4351" s="107"/>
      <c r="D4351" s="107"/>
      <c r="E4351" s="107"/>
      <c r="F4351" s="107"/>
      <c r="G4351" s="83"/>
      <c r="H4351" s="83"/>
      <c r="I4351" s="84"/>
      <c r="J4351" s="85"/>
      <c r="K4351" s="382"/>
      <c r="L4351" s="85"/>
      <c r="M4351" s="332" t="str">
        <f t="shared" si="1285"/>
        <v/>
      </c>
      <c r="N4351" s="453"/>
      <c r="O4351" s="86" t="str">
        <f t="shared" si="1287"/>
        <v/>
      </c>
      <c r="P4351" s="538" t="str">
        <f t="shared" si="1288"/>
        <v/>
      </c>
      <c r="Q4351" s="539" t="str">
        <f t="shared" si="1286"/>
        <v/>
      </c>
      <c r="R4351" s="706"/>
      <c r="S4351" s="707"/>
      <c r="T4351" s="708"/>
      <c r="U4351" s="472"/>
      <c r="V4351" s="167"/>
      <c r="W4351" s="446"/>
      <c r="X4351" s="456"/>
      <c r="Y4351" s="436"/>
      <c r="Z4351" s="437"/>
      <c r="AA4351" s="560"/>
      <c r="AB4351" s="561"/>
      <c r="AC4351" s="87"/>
      <c r="AD4351" s="466"/>
      <c r="AE4351" s="456"/>
      <c r="AF4351" s="467"/>
      <c r="AG4351" s="87"/>
      <c r="AH4351" s="87"/>
      <c r="AI4351" s="87"/>
    </row>
    <row r="4352" spans="1:35" hidden="1">
      <c r="A4352" s="80" t="e">
        <f>"J"&amp;E4339</f>
        <v>#N/A</v>
      </c>
      <c r="B4352" s="105">
        <v>10</v>
      </c>
      <c r="C4352" s="107"/>
      <c r="D4352" s="107"/>
      <c r="E4352" s="107"/>
      <c r="F4352" s="107"/>
      <c r="G4352" s="83"/>
      <c r="H4352" s="83"/>
      <c r="I4352" s="84"/>
      <c r="J4352" s="85"/>
      <c r="K4352" s="382"/>
      <c r="L4352" s="85"/>
      <c r="M4352" s="332" t="str">
        <f t="shared" si="1285"/>
        <v/>
      </c>
      <c r="N4352" s="453"/>
      <c r="O4352" s="86" t="str">
        <f t="shared" si="1287"/>
        <v/>
      </c>
      <c r="P4352" s="538" t="str">
        <f t="shared" si="1288"/>
        <v/>
      </c>
      <c r="Q4352" s="539" t="str">
        <f t="shared" si="1286"/>
        <v/>
      </c>
      <c r="R4352" s="706"/>
      <c r="S4352" s="707"/>
      <c r="T4352" s="708"/>
      <c r="U4352" s="472"/>
      <c r="V4352" s="167"/>
      <c r="W4352" s="446"/>
      <c r="X4352" s="456"/>
      <c r="Y4352" s="436"/>
      <c r="Z4352" s="437"/>
      <c r="AA4352" s="560"/>
      <c r="AB4352" s="561"/>
      <c r="AC4352" s="87"/>
      <c r="AD4352" s="466"/>
      <c r="AE4352" s="456"/>
      <c r="AF4352" s="467"/>
      <c r="AG4352" s="87"/>
      <c r="AH4352" s="87"/>
      <c r="AI4352" s="87"/>
    </row>
    <row r="4353" spans="1:35" ht="16.5" hidden="1" thickBot="1">
      <c r="A4353" s="44"/>
      <c r="B4353" s="89"/>
      <c r="C4353" s="90"/>
      <c r="D4353" s="90"/>
      <c r="E4353" s="90"/>
      <c r="F4353" s="90"/>
      <c r="G4353" s="90"/>
      <c r="H4353" s="90"/>
      <c r="I4353" s="90"/>
      <c r="J4353" s="90"/>
      <c r="K4353" s="90"/>
      <c r="L4353" s="90"/>
      <c r="M4353" s="90"/>
      <c r="N4353" s="90"/>
      <c r="O4353" s="90"/>
      <c r="P4353" s="90"/>
      <c r="Q4353" s="90"/>
      <c r="R4353" s="90"/>
      <c r="S4353" s="91"/>
      <c r="T4353" s="92"/>
      <c r="U4353" s="473"/>
      <c r="W4353" s="438"/>
      <c r="X4353" s="455"/>
      <c r="Y4353" s="439"/>
      <c r="Z4353" s="437"/>
      <c r="AA4353" s="530"/>
      <c r="AB4353" s="563"/>
      <c r="AC4353" s="87"/>
      <c r="AD4353" s="440"/>
      <c r="AE4353" s="441"/>
      <c r="AF4353" s="442"/>
      <c r="AG4353" s="49"/>
      <c r="AH4353" s="87"/>
      <c r="AI4353" s="87"/>
    </row>
    <row r="4354" spans="1:35" ht="16.5" hidden="1" thickBot="1">
      <c r="A4354" s="93"/>
      <c r="B4354" s="94"/>
      <c r="C4354" s="96"/>
      <c r="D4354" s="96"/>
      <c r="E4354" s="96"/>
      <c r="F4354" s="96"/>
      <c r="G4354" s="96"/>
      <c r="H4354" s="96"/>
      <c r="I4354" s="96"/>
      <c r="J4354" s="96"/>
      <c r="K4354" s="96"/>
      <c r="L4354" s="96"/>
      <c r="M4354" s="136"/>
      <c r="N4354" s="96"/>
      <c r="O4354" s="96"/>
      <c r="P4354" s="97"/>
      <c r="Q4354" s="97"/>
      <c r="R4354" s="98"/>
      <c r="S4354" s="95"/>
      <c r="T4354" s="99"/>
      <c r="U4354" s="469"/>
      <c r="AC4354" s="58"/>
      <c r="AG4354" s="58"/>
      <c r="AH4354" s="87"/>
      <c r="AI4354" s="87"/>
    </row>
    <row r="4355" spans="1:35" ht="16.5" hidden="1" thickBot="1">
      <c r="B4355" s="101"/>
      <c r="C4355" s="101"/>
      <c r="D4355" s="101"/>
      <c r="E4355" s="101"/>
      <c r="F4355" s="101"/>
      <c r="G4355" s="101"/>
      <c r="H4355" s="101"/>
      <c r="I4355" s="101"/>
      <c r="J4355" s="101"/>
      <c r="K4355" s="101"/>
      <c r="L4355" s="101"/>
      <c r="M4355" s="101"/>
      <c r="N4355" s="101"/>
      <c r="O4355" s="101"/>
      <c r="P4355" s="101"/>
      <c r="Q4355" s="101"/>
      <c r="R4355" s="101"/>
      <c r="S4355" s="101"/>
      <c r="U4355" s="50"/>
      <c r="AH4355" s="87"/>
      <c r="AI4355" s="87"/>
    </row>
    <row r="4356" spans="1:35" ht="16.5" hidden="1" customHeight="1" thickBot="1">
      <c r="A4356" s="44"/>
      <c r="B4356" s="705" t="s">
        <v>74</v>
      </c>
      <c r="C4356" s="705"/>
      <c r="D4356" s="705"/>
      <c r="E4356" s="705"/>
      <c r="F4356" s="705"/>
      <c r="G4356" s="705"/>
      <c r="H4356" s="705"/>
      <c r="I4356" s="705"/>
      <c r="J4356" s="705"/>
      <c r="K4356" s="705"/>
      <c r="L4356" s="705"/>
      <c r="M4356" s="705"/>
      <c r="N4356" s="705"/>
      <c r="O4356" s="705"/>
      <c r="P4356" s="705"/>
      <c r="Q4356" s="705"/>
      <c r="R4356" s="705"/>
      <c r="S4356" s="705"/>
      <c r="T4356" s="705"/>
      <c r="U4356" s="108"/>
      <c r="Y4356" s="532" t="s">
        <v>341</v>
      </c>
      <c r="AC4356" s="49"/>
      <c r="AD4356" s="687" t="s">
        <v>302</v>
      </c>
      <c r="AE4356" s="688"/>
      <c r="AF4356" s="689"/>
      <c r="AG4356" s="49"/>
      <c r="AH4356" s="87"/>
      <c r="AI4356" s="87"/>
    </row>
    <row r="4357" spans="1:35" ht="16.5" hidden="1" customHeight="1" thickBot="1">
      <c r="A4357" s="218" t="e">
        <f>"K"&amp;E4339</f>
        <v>#N/A</v>
      </c>
      <c r="B4357" s="701" t="s">
        <v>71</v>
      </c>
      <c r="C4357" s="751" t="s">
        <v>102</v>
      </c>
      <c r="D4357" s="751"/>
      <c r="E4357" s="751"/>
      <c r="F4357" s="751"/>
      <c r="G4357" s="751"/>
      <c r="H4357" s="751"/>
      <c r="I4357" s="751"/>
      <c r="J4357" s="751"/>
      <c r="K4357" s="751"/>
      <c r="L4357" s="722" t="s">
        <v>100</v>
      </c>
      <c r="M4357" s="747" t="s">
        <v>114</v>
      </c>
      <c r="N4357" s="747"/>
      <c r="O4357" s="747"/>
      <c r="P4357" s="747"/>
      <c r="Q4357" s="748"/>
      <c r="R4357" s="758" t="s">
        <v>280</v>
      </c>
      <c r="S4357" s="748"/>
      <c r="T4357" s="762" t="str">
        <f>IF(COUNTIF(AE4357:AF4357,"VERIFICAR")&gt;0,"VERIFICAR",IF(COUNTIF(AE4357:AF4357,"NO CUMPLE")&gt;0,"NO CUMPLE","CUMPLE"))</f>
        <v>VERIFICAR</v>
      </c>
      <c r="U4357" s="108"/>
      <c r="Y4357" s="533" t="e">
        <f>IF(F4358="","",IF(F4358=1,"INDIVIDUAL","ESTRUCTURA PLURAL"))</f>
        <v>#N/A</v>
      </c>
      <c r="AC4357" s="52"/>
      <c r="AD4357" s="475" t="s">
        <v>303</v>
      </c>
      <c r="AE4357" s="476" t="str">
        <f>IF(COUNTIF(AE4343:AE4352,"")=10,"VERIFICAR",IF(COUNTIF(AE4343:AE4352,"SI")&gt;0,"CUMPLE","NO CUMPLE"))</f>
        <v>VERIFICAR</v>
      </c>
      <c r="AF4357" s="477" t="str">
        <f>IF(COUNTIF(AF4343:AF4352,"")=10,"VERIFICAR",IF(COUNTIF(AF4343:AF4352,"SI")&gt;=$AI$22,"CUMPLE","NO CUMPLE"))</f>
        <v>VERIFICAR</v>
      </c>
      <c r="AG4357" s="52"/>
      <c r="AH4357" s="87"/>
      <c r="AI4357" s="87"/>
    </row>
    <row r="4358" spans="1:35" ht="15.75" hidden="1" customHeight="1" thickBot="1">
      <c r="A4358" s="218" t="e">
        <f>"L"&amp;E4339</f>
        <v>#N/A</v>
      </c>
      <c r="B4358" s="702"/>
      <c r="C4358" s="751" t="s">
        <v>103</v>
      </c>
      <c r="D4358" s="751"/>
      <c r="E4358" s="752"/>
      <c r="F4358" s="557" t="e">
        <f>IF(VLOOKUP(E4339,PROPONENTES!$C$19:$E$218,3,0)="","",VLOOKUP(E4339,PROPONENTES!$C$19:$E$218,3,0))</f>
        <v>#N/A</v>
      </c>
      <c r="G4358" s="753" t="s">
        <v>104</v>
      </c>
      <c r="H4358" s="751"/>
      <c r="I4358" s="715" t="e">
        <f>IF(OR(F4358="",F4358=1),"INTERESADO PERSONA NATURAL O JURIDICA","CONSORCIO O UNION TEMPORAL")</f>
        <v>#N/A</v>
      </c>
      <c r="J4358" s="725"/>
      <c r="K4358" s="728"/>
      <c r="L4358" s="723"/>
      <c r="M4358" s="749"/>
      <c r="N4358" s="749"/>
      <c r="O4358" s="749"/>
      <c r="P4358" s="749"/>
      <c r="Q4358" s="750"/>
      <c r="R4358" s="712"/>
      <c r="S4358" s="750"/>
      <c r="T4358" s="763"/>
      <c r="U4358" s="108"/>
      <c r="Y4358" s="534"/>
      <c r="AA4358" s="52"/>
      <c r="AB4358" s="52"/>
      <c r="AC4358" s="52"/>
      <c r="AG4358" s="52"/>
      <c r="AH4358" s="87"/>
      <c r="AI4358" s="87"/>
    </row>
    <row r="4359" spans="1:35" ht="56.25" hidden="1" customHeight="1" thickBot="1">
      <c r="A4359" s="218" t="e">
        <f>"M"&amp;E4339</f>
        <v>#N/A</v>
      </c>
      <c r="B4359" s="702"/>
      <c r="C4359" s="725" t="s">
        <v>101</v>
      </c>
      <c r="D4359" s="716"/>
      <c r="E4359" s="558" t="s">
        <v>105</v>
      </c>
      <c r="F4359" s="554" t="s">
        <v>87</v>
      </c>
      <c r="G4359" s="553" t="s">
        <v>86</v>
      </c>
      <c r="H4359" s="559" t="s">
        <v>85</v>
      </c>
      <c r="I4359" s="554" t="s">
        <v>252</v>
      </c>
      <c r="J4359" s="553" t="str">
        <f>"¿EL INTEGRANTE TIENE UNA PARTICIPACIÓN DEL "&amp;PORCREQUERIDOINT*100&amp;"%?"</f>
        <v>¿EL INTEGRANTE TIENE UNA PARTICIPACIÓN DEL 60%?</v>
      </c>
      <c r="K4359" s="554" t="s">
        <v>107</v>
      </c>
      <c r="L4359" s="724"/>
      <c r="M4359" s="717" t="s">
        <v>115</v>
      </c>
      <c r="N4359" s="718"/>
      <c r="O4359" s="718"/>
      <c r="P4359" s="718"/>
      <c r="Q4359" s="223">
        <f>IF(AND(H4343="SI",P4343&gt;=0),1,0)+IF(AND(H4344="SI",P4344&gt;=0),1,0)+IF(AND(H4345="SI",P4345&gt;=0),1,0)+IF(AND(H4346="SI",P4346&gt;=0),1,0)+IF(AND(H4347="SI",P4347&gt;=0),1,0)+IF(AND(H4348="SI",P4348&gt;=0),1,0)+IF(AND(H4349="SI",P4349&gt;=0),1,0)+IF(AND(H4350="SI",P4350&gt;=0),1,0)+IF(AND(H4351="SI",P4351&gt;=0),1,0)+IF(AND(H4352="SI",P4352&gt;=0),1,0)</f>
        <v>0</v>
      </c>
      <c r="R4359" s="759"/>
      <c r="S4359" s="761"/>
      <c r="T4359" s="764"/>
      <c r="U4359" s="219"/>
      <c r="V4359" s="464"/>
      <c r="Y4359" s="532" t="s">
        <v>342</v>
      </c>
      <c r="AA4359" s="550" t="s">
        <v>344</v>
      </c>
      <c r="AB4359" s="693" t="s">
        <v>345</v>
      </c>
      <c r="AC4359" s="693" t="s">
        <v>346</v>
      </c>
      <c r="AD4359" s="685" t="s">
        <v>347</v>
      </c>
      <c r="AE4359" s="52"/>
      <c r="AF4359" s="52"/>
      <c r="AG4359" s="52"/>
      <c r="AH4359" s="87"/>
      <c r="AI4359" s="87"/>
    </row>
    <row r="4360" spans="1:35" ht="15.75" hidden="1" customHeight="1" thickBot="1">
      <c r="A4360" s="218" t="e">
        <f>"N"&amp;E4339</f>
        <v>#N/A</v>
      </c>
      <c r="B4360" s="702"/>
      <c r="C4360" s="114">
        <v>1</v>
      </c>
      <c r="D4360" s="194" t="e">
        <f>IF(AND(C4360&lt;=F4358,F4358&gt;1,F4358&lt;&gt;""),VLOOKUP(VALUE(E4339&amp;","&amp;C4360),INTEGRANTES!$D$18:$F$235,2,0),"")</f>
        <v>#N/A</v>
      </c>
      <c r="E4360" s="211" t="e">
        <f>IF(D4360&lt;&gt;"",VLOOKUP(VALUE(E4339&amp;","&amp;C4360),INTEGRANTES!$D$18:$F$235,3,0),"")</f>
        <v>#N/A</v>
      </c>
      <c r="F4360" s="547" t="e">
        <f>IF(D4360="","",SUMIF($I4343:$I4352,D4360,$P4343:$P4352))</f>
        <v>#N/A</v>
      </c>
      <c r="G4360" s="333" t="e">
        <f>IF(D4360="","",SUMIF($I4343:$I4352,D4360,$M4343:$M4352))</f>
        <v>#N/A</v>
      </c>
      <c r="H4360" s="535" t="e">
        <f t="shared" ref="H4360:H4365" si="1289">IF(D4360="","",IF(OR(F4360=0,G4360=0),"NO APORTA",ROUND($F4360/$G4360,3)))</f>
        <v>#N/A</v>
      </c>
      <c r="I4360" s="212" t="e">
        <f>IF(D4360="","",IF(H4360="NO APORTA","NO",IF(H4360=MAX($H4360:$H4365),"SI","NO")))</f>
        <v>#N/A</v>
      </c>
      <c r="J4360" s="213" t="e">
        <f t="shared" ref="J4360:J4365" si="1290">IF(D4360="","",IF(E4360&gt;=PORCREQUERIDOINT,"SI","NO"))</f>
        <v>#N/A</v>
      </c>
      <c r="K4360" s="200" t="e">
        <f t="shared" ref="K4360:K4365" si="1291">IF(D4360="","",IF(AND(I4360="SI",J4360="SI"),"CUMPLE",IF(AND(I4360="NO",OR(J4360="SI",J4360="NO")),"","NO CUMPLE")))</f>
        <v>#N/A</v>
      </c>
      <c r="L4360" s="722" t="s">
        <v>108</v>
      </c>
      <c r="M4360" s="726" t="s">
        <v>119</v>
      </c>
      <c r="N4360" s="726"/>
      <c r="O4360" s="726"/>
      <c r="P4360" s="726"/>
      <c r="Q4360" s="727"/>
      <c r="R4360" s="758" t="s">
        <v>80</v>
      </c>
      <c r="S4360" s="747"/>
      <c r="T4360" s="748"/>
      <c r="U4360" s="219"/>
      <c r="V4360" s="464"/>
      <c r="Y4360" s="533" t="e">
        <f>IF(Y4357="","",IF(Y4357="INDIVIDUAL","NO APLICA","VERIFICAR CUADRO"))</f>
        <v>#N/A</v>
      </c>
      <c r="AA4360" s="551"/>
      <c r="AB4360" s="694"/>
      <c r="AC4360" s="694"/>
      <c r="AD4360" s="686"/>
      <c r="AE4360" s="52"/>
      <c r="AF4360" s="52"/>
      <c r="AG4360" s="52"/>
      <c r="AH4360" s="87"/>
      <c r="AI4360" s="87"/>
    </row>
    <row r="4361" spans="1:35" ht="27" hidden="1" customHeight="1" thickBot="1">
      <c r="A4361" s="218" t="e">
        <f>"O"&amp;E4339</f>
        <v>#N/A</v>
      </c>
      <c r="B4361" s="702"/>
      <c r="C4361" s="114">
        <v>2</v>
      </c>
      <c r="D4361" s="194" t="e">
        <f>IF(AND(C4361&lt;=F4358,F4358&lt;&gt;""),VLOOKUP(VALUE(E4339&amp;","&amp;C4361),INTEGRANTES!$D$18:$F$235,2,0),"")</f>
        <v>#N/A</v>
      </c>
      <c r="E4361" s="211" t="e">
        <f>IF(D4361&lt;&gt;"",VLOOKUP(VALUE(E4339&amp;","&amp;C4361),INTEGRANTES!$D$18:$F$235,3,0),"")</f>
        <v>#N/A</v>
      </c>
      <c r="F4361" s="547" t="e">
        <f>IF(D4361="","",SUMIF($I4343:$I4352,D4361,$P4343:$P4352))</f>
        <v>#N/A</v>
      </c>
      <c r="G4361" s="333" t="e">
        <f>IF(D4361="","",SUMIF($I4343:$I4352,D4361,$M4343:$M4352))</f>
        <v>#N/A</v>
      </c>
      <c r="H4361" s="535" t="e">
        <f t="shared" si="1289"/>
        <v>#N/A</v>
      </c>
      <c r="I4361" s="212" t="e">
        <f>IF(D4361="","",IF(H4361="NO APORTA","NO",IF(H4361=MAX($H4360:$H4365),"SI","NO")))</f>
        <v>#N/A</v>
      </c>
      <c r="J4361" s="213" t="e">
        <f t="shared" si="1290"/>
        <v>#N/A</v>
      </c>
      <c r="K4361" s="200" t="e">
        <f t="shared" si="1291"/>
        <v>#N/A</v>
      </c>
      <c r="L4361" s="723"/>
      <c r="M4361" s="715" t="s">
        <v>116</v>
      </c>
      <c r="N4361" s="716"/>
      <c r="O4361" s="556" t="s">
        <v>113</v>
      </c>
      <c r="P4361" s="715" t="s">
        <v>117</v>
      </c>
      <c r="Q4361" s="728"/>
      <c r="R4361" s="759"/>
      <c r="S4361" s="760"/>
      <c r="T4361" s="761"/>
      <c r="U4361" s="219"/>
      <c r="V4361" s="464"/>
      <c r="Y4361" s="414"/>
      <c r="AA4361" s="542" t="e">
        <f>IF(AND(C4360&lt;=F4358,F4358&gt;1,F4358&lt;&gt;""),VLOOKUP(VALUE(E4339&amp;","&amp;C4360),INTEGRANTES!$D$18:$F$235,2,0),"")</f>
        <v>#N/A</v>
      </c>
      <c r="AB4361" s="544" t="e">
        <f t="shared" ref="AB4361:AB4366" si="1292">IF(D4360="","",IF(OR(F4360=0,G4360=0),"NO APORTA",ROUND($F4360/$G4360,3)))</f>
        <v>#N/A</v>
      </c>
      <c r="AC4361" s="529"/>
      <c r="AD4361" s="200" t="e">
        <f t="shared" ref="AD4361:AD4366" si="1293">IF(OR(AA4361="",AB4361=""),"",IF(AND(AC4361="X",AB4361&gt;=EXPREQVTD),"CUMPLE","NO CUMPLE"))</f>
        <v>#N/A</v>
      </c>
      <c r="AE4361" s="52"/>
      <c r="AF4361" s="52"/>
      <c r="AG4361" s="52"/>
      <c r="AH4361" s="87"/>
      <c r="AI4361" s="87"/>
    </row>
    <row r="4362" spans="1:35" ht="16.5" hidden="1" thickBot="1">
      <c r="A4362" s="218" t="e">
        <f>"P"&amp;E4339</f>
        <v>#N/A</v>
      </c>
      <c r="B4362" s="702"/>
      <c r="C4362" s="114">
        <v>3</v>
      </c>
      <c r="D4362" s="194" t="e">
        <f>IF(AND(C4362&lt;=F4358,F4358&lt;&gt;""),VLOOKUP(VALUE(E4339&amp;","&amp;C4362),INTEGRANTES!$D$18:$F$235,2,0),"")</f>
        <v>#N/A</v>
      </c>
      <c r="E4362" s="211" t="e">
        <f>IF(D4362&lt;&gt;"",VLOOKUP(VALUE(E4339&amp;","&amp;C4362),INTEGRANTES!$D$18:$F$235,3,0),"")</f>
        <v>#N/A</v>
      </c>
      <c r="F4362" s="547" t="e">
        <f>IF(D4362="","",SUMIF($I4343:$I4352,D4362,$P4343:$P4352))</f>
        <v>#N/A</v>
      </c>
      <c r="G4362" s="333" t="e">
        <f>IF(D4362="","",SUMIF($I4343:$I4352,D4362,$M4343:$M4352))</f>
        <v>#N/A</v>
      </c>
      <c r="H4362" s="535" t="e">
        <f t="shared" si="1289"/>
        <v>#N/A</v>
      </c>
      <c r="I4362" s="212" t="e">
        <f>IF(D4362="","",IF(H4362="NO APORTA","NO",IF(H4362=MAX($H4360:$H4365),"SI","NO")))</f>
        <v>#N/A</v>
      </c>
      <c r="J4362" s="213" t="e">
        <f t="shared" si="1290"/>
        <v>#N/A</v>
      </c>
      <c r="K4362" s="200" t="e">
        <f t="shared" si="1291"/>
        <v>#N/A</v>
      </c>
      <c r="L4362" s="724"/>
      <c r="M4362" s="729">
        <f>NUMMOD</f>
        <v>1</v>
      </c>
      <c r="N4362" s="730"/>
      <c r="O4362" s="443">
        <f>IF(M4362="","",VLOOKUP(M4362,PRESUPUESTOS!$B$16:$H$16,5,FALSE))</f>
        <v>2</v>
      </c>
      <c r="P4362" s="713">
        <f>IF(OR(COUNTIF(M4343:M4352,"")&gt;=10,Q4359&lt;NUMMINCONT,OR(T4357="NO CUMPLE",T4357="VERIFICAR")),0,ROUND(AVERAGE(M4343:M4352),3))</f>
        <v>0</v>
      </c>
      <c r="Q4362" s="714"/>
      <c r="R4362" s="458"/>
      <c r="S4362" s="459"/>
      <c r="T4362" s="460"/>
      <c r="U4362" s="219"/>
      <c r="V4362" s="464"/>
      <c r="Y4362" s="532" t="str">
        <f>"40% * ("&amp;PRESUPUESTOS!$H$13&amp;")"</f>
        <v>40% * (50% PFMO)</v>
      </c>
      <c r="AA4362" s="540" t="e">
        <f>IF(AND(C4361&lt;=F4358,F4358&lt;&gt;""),VLOOKUP(VALUE(E4339&amp;","&amp;C4361),INTEGRANTES!$D$18:$F$235,2,0),"")</f>
        <v>#N/A</v>
      </c>
      <c r="AB4362" s="545" t="e">
        <f t="shared" si="1292"/>
        <v>#N/A</v>
      </c>
      <c r="AC4362" s="529"/>
      <c r="AD4362" s="200" t="e">
        <f t="shared" si="1293"/>
        <v>#N/A</v>
      </c>
      <c r="AE4362" s="52"/>
      <c r="AF4362" s="52"/>
      <c r="AG4362" s="52"/>
      <c r="AH4362" s="87"/>
      <c r="AI4362" s="87"/>
    </row>
    <row r="4363" spans="1:35" ht="15.75" hidden="1" customHeight="1" thickBot="1">
      <c r="A4363" s="218" t="e">
        <f>"Q"&amp;E4339</f>
        <v>#N/A</v>
      </c>
      <c r="B4363" s="702"/>
      <c r="C4363" s="114">
        <v>4</v>
      </c>
      <c r="D4363" s="194" t="e">
        <f>IF(AND(C4363&lt;=F4358,F4358&lt;&gt;""),VLOOKUP(VALUE(E4339&amp;","&amp;C4363),INTEGRANTES!$D$18:$F$235,2,0),"")</f>
        <v>#N/A</v>
      </c>
      <c r="E4363" s="211" t="e">
        <f>IF(D4363&lt;&gt;"",VLOOKUP(VALUE(E4339&amp;","&amp;C4363),INTEGRANTES!$D$18:$F$235,3,0),"")</f>
        <v>#N/A</v>
      </c>
      <c r="F4363" s="547" t="e">
        <f>IF(D4363="","",SUMIF($I4343:$I4352,D4363,$P4343:$P4352))</f>
        <v>#N/A</v>
      </c>
      <c r="G4363" s="333" t="e">
        <f>IF(D4363="","",SUMIF($I4343:$I4352,D4363,$M4343:$M4352))</f>
        <v>#N/A</v>
      </c>
      <c r="H4363" s="535" t="e">
        <f t="shared" si="1289"/>
        <v>#N/A</v>
      </c>
      <c r="I4363" s="212" t="e">
        <f>IF(D4363="","",IF(H4363="NO APORTA","NO",IF(H4363=MAX($H4360:$H4365),"SI","NO")))</f>
        <v>#N/A</v>
      </c>
      <c r="J4363" s="213" t="e">
        <f t="shared" si="1290"/>
        <v>#N/A</v>
      </c>
      <c r="K4363" s="200" t="e">
        <f t="shared" si="1291"/>
        <v>#N/A</v>
      </c>
      <c r="L4363" s="720" t="s">
        <v>109</v>
      </c>
      <c r="M4363" s="757" t="s">
        <v>120</v>
      </c>
      <c r="N4363" s="726"/>
      <c r="O4363" s="726"/>
      <c r="P4363" s="726"/>
      <c r="Q4363" s="727"/>
      <c r="R4363" s="458"/>
      <c r="S4363" s="459"/>
      <c r="T4363" s="460"/>
      <c r="U4363" s="219"/>
      <c r="V4363" s="464"/>
      <c r="Y4363" s="537">
        <f>0.4*PRESUPUESTOS!$H$16</f>
        <v>10.3124</v>
      </c>
      <c r="AA4363" s="540" t="e">
        <f>IF(AND(C4362&lt;=F4358,F4358&lt;&gt;""),VLOOKUP(VALUE(E4339&amp;","&amp;C4362),INTEGRANTES!$D$18:$F$235,2,0),"")</f>
        <v>#N/A</v>
      </c>
      <c r="AB4363" s="545" t="e">
        <f t="shared" si="1292"/>
        <v>#N/A</v>
      </c>
      <c r="AC4363" s="529"/>
      <c r="AD4363" s="200" t="e">
        <f t="shared" si="1293"/>
        <v>#N/A</v>
      </c>
      <c r="AE4363" s="52"/>
      <c r="AF4363" s="52"/>
      <c r="AG4363" s="52"/>
      <c r="AH4363" s="87"/>
      <c r="AI4363" s="87"/>
    </row>
    <row r="4364" spans="1:35" ht="27" hidden="1" customHeight="1" thickBot="1">
      <c r="A4364" s="218" t="e">
        <f>"R"&amp;E4339</f>
        <v>#N/A</v>
      </c>
      <c r="B4364" s="702"/>
      <c r="C4364" s="114">
        <v>5</v>
      </c>
      <c r="D4364" s="194" t="e">
        <f>IF(AND(C4364&lt;=F4358,F4358&lt;&gt;""),VLOOKUP(VALUE(E4339&amp;","&amp;C4364),INTEGRANTES!$D$18:$F$235,2,0),"")</f>
        <v>#N/A</v>
      </c>
      <c r="E4364" s="211" t="e">
        <f>IF(D4364&lt;&gt;"",VLOOKUP(VALUE(E4339&amp;","&amp;C4364),INTEGRANTES!$D$18:$F$235,3,0),"")</f>
        <v>#N/A</v>
      </c>
      <c r="F4364" s="547" t="e">
        <f>IF(D4364="","",SUMIF($I4343:$I4352,D4364,$P4343:$P4352))</f>
        <v>#N/A</v>
      </c>
      <c r="G4364" s="333" t="e">
        <f>IF(D4364="","",SUMIF($I4343:$I4352,D4364,$M4343:$M4352))</f>
        <v>#N/A</v>
      </c>
      <c r="H4364" s="535" t="e">
        <f t="shared" si="1289"/>
        <v>#N/A</v>
      </c>
      <c r="I4364" s="212" t="e">
        <f>IF(D4364="","",IF(H4364="NO APORTA","NO",IF(H4364=MAX($H4360:$H4365),"SI","NO")))</f>
        <v>#N/A</v>
      </c>
      <c r="J4364" s="213" t="e">
        <f t="shared" si="1290"/>
        <v>#N/A</v>
      </c>
      <c r="K4364" s="200" t="e">
        <f t="shared" si="1291"/>
        <v>#N/A</v>
      </c>
      <c r="L4364" s="721"/>
      <c r="M4364" s="715" t="s">
        <v>116</v>
      </c>
      <c r="N4364" s="716"/>
      <c r="O4364" s="556" t="str">
        <f>PORCREQUERIDO*100&amp;"% PMFO DEL MÓDULO"</f>
        <v>50% PMFO DEL MÓDULO</v>
      </c>
      <c r="P4364" s="715" t="s">
        <v>118</v>
      </c>
      <c r="Q4364" s="728"/>
      <c r="R4364" s="458"/>
      <c r="S4364" s="459"/>
      <c r="T4364" s="460"/>
      <c r="U4364" s="219"/>
      <c r="V4364" s="464"/>
      <c r="Y4364" s="414"/>
      <c r="AA4364" s="540" t="e">
        <f>IF(AND(C4363&lt;=F4358,F4358&lt;&gt;""),VLOOKUP(VALUE(E4339&amp;","&amp;C4363),INTEGRANTES!$D$18:$F$235,2,0),"")</f>
        <v>#N/A</v>
      </c>
      <c r="AB4364" s="545" t="e">
        <f t="shared" si="1292"/>
        <v>#N/A</v>
      </c>
      <c r="AC4364" s="529"/>
      <c r="AD4364" s="200" t="e">
        <f t="shared" si="1293"/>
        <v>#N/A</v>
      </c>
      <c r="AE4364" s="52"/>
      <c r="AF4364" s="52"/>
      <c r="AG4364" s="52"/>
      <c r="AH4364" s="87"/>
      <c r="AI4364" s="87"/>
    </row>
    <row r="4365" spans="1:35" ht="16.5" hidden="1" thickBot="1">
      <c r="A4365" s="218" t="e">
        <f>"S"&amp;E4339</f>
        <v>#N/A</v>
      </c>
      <c r="B4365" s="702"/>
      <c r="C4365" s="215">
        <v>6</v>
      </c>
      <c r="D4365" s="216" t="e">
        <f>IF(AND(C4365&lt;=F4358,F4358&lt;&gt;""),VLOOKUP(VALUE(E4339&amp;","&amp;C4365),INTEGRANTES!$D$18:$F$235,2,0),"")</f>
        <v>#N/A</v>
      </c>
      <c r="E4365" s="217" t="e">
        <f>IF(D4365&lt;&gt;"",VLOOKUP(VALUE(E4339&amp;","&amp;C4365),INTEGRANTES!$D$18:$F$235,3,0),"")</f>
        <v>#N/A</v>
      </c>
      <c r="F4365" s="548" t="e">
        <f>IF(D4365="","",SUMIF($I4343:$I4352,D4365,$P4343:$P4352))</f>
        <v>#N/A</v>
      </c>
      <c r="G4365" s="334" t="e">
        <f>IF(D4365="","",SUMIF($I4343:$I4352,D4365,$M4343:$M4352))</f>
        <v>#N/A</v>
      </c>
      <c r="H4365" s="536" t="e">
        <f t="shared" si="1289"/>
        <v>#N/A</v>
      </c>
      <c r="I4365" s="214" t="e">
        <f>IF(D4365="","",IF(H4365="NO APORTA","NO",IF(H4365=MAX($H4360:$H4365),"SI","NO")))</f>
        <v>#N/A</v>
      </c>
      <c r="J4365" s="213" t="e">
        <f t="shared" si="1290"/>
        <v>#N/A</v>
      </c>
      <c r="K4365" s="200" t="e">
        <f t="shared" si="1291"/>
        <v>#N/A</v>
      </c>
      <c r="L4365" s="721"/>
      <c r="M4365" s="729">
        <f>NUMMOD</f>
        <v>1</v>
      </c>
      <c r="N4365" s="730"/>
      <c r="O4365" s="443">
        <f>IF(M4365="","",ROUND(VLOOKUP(M4365,PRESUPUESTOS!$B$16:$H$16,7,FALSE),3))</f>
        <v>25.780999999999999</v>
      </c>
      <c r="P4365" s="713">
        <f>IF(OR(COUNTIF(P4343:P4352,"")&gt;=10,Q4359&lt;NUMMINCONT,OR(T4357="NO CUMPLE",T4357="VERIFICAR")),0,ROUND((SUM(P4343:P4352)/SUM(M4343:M4352)),3))</f>
        <v>0</v>
      </c>
      <c r="Q4365" s="714"/>
      <c r="R4365" s="458"/>
      <c r="S4365" s="459"/>
      <c r="T4365" s="460"/>
      <c r="U4365" s="219"/>
      <c r="V4365" s="464"/>
      <c r="Y4365" s="532" t="s">
        <v>343</v>
      </c>
      <c r="AA4365" s="540" t="e">
        <f>IF(AND(C4364&lt;=F4358,F4358&lt;&gt;""),VLOOKUP(VALUE(E4339&amp;","&amp;C4364),INTEGRANTES!$D$18:$F$235,2,0),"")</f>
        <v>#N/A</v>
      </c>
      <c r="AB4365" s="545" t="e">
        <f t="shared" si="1292"/>
        <v>#N/A</v>
      </c>
      <c r="AC4365" s="529"/>
      <c r="AD4365" s="200" t="e">
        <f t="shared" si="1293"/>
        <v>#N/A</v>
      </c>
      <c r="AE4365" s="52"/>
      <c r="AF4365" s="52"/>
      <c r="AG4365" s="52"/>
      <c r="AH4365" s="87"/>
      <c r="AI4365" s="87"/>
    </row>
    <row r="4366" spans="1:35" ht="16.5" hidden="1" customHeight="1" thickBot="1">
      <c r="A4366" s="218" t="e">
        <f>"T"&amp;E4339</f>
        <v>#N/A</v>
      </c>
      <c r="B4366" s="703"/>
      <c r="C4366" s="719"/>
      <c r="D4366" s="719"/>
      <c r="E4366" s="719"/>
      <c r="F4366" s="719"/>
      <c r="G4366" s="719"/>
      <c r="H4366" s="719" t="s">
        <v>110</v>
      </c>
      <c r="I4366" s="719"/>
      <c r="J4366" s="719"/>
      <c r="K4366" s="201" t="str">
        <f>IF(COUNTIF(K4360:K4365,"")=6,"",IF(COUNTIF(K4360:K4365,"CUMPLE")&gt;0,"CUMPLE","NO CUMPLE"))</f>
        <v>NO CUMPLE</v>
      </c>
      <c r="L4366" s="754"/>
      <c r="M4366" s="755"/>
      <c r="N4366" s="755"/>
      <c r="O4366" s="755"/>
      <c r="P4366" s="755"/>
      <c r="Q4366" s="756"/>
      <c r="R4366" s="461"/>
      <c r="S4366" s="462"/>
      <c r="T4366" s="463"/>
      <c r="U4366" s="219"/>
      <c r="V4366" s="464"/>
      <c r="Y4366" s="549" t="e">
        <f>IF(Y4360="NO APLICA","NO APLICA",IF(COUNTIF(AD4361:AD4366,"CUMPLE")&gt;0,"CUMPLE","NO CUMPLE"))</f>
        <v>#N/A</v>
      </c>
      <c r="AA4366" s="541" t="e">
        <f>IF(AND(C4365&lt;=F4358,F4358&lt;&gt;""),VLOOKUP(VALUE(E4339&amp;","&amp;C4365),INTEGRANTES!$D$18:$F$235,2,0),"")</f>
        <v>#N/A</v>
      </c>
      <c r="AB4366" s="546" t="e">
        <f t="shared" si="1292"/>
        <v>#N/A</v>
      </c>
      <c r="AC4366" s="543"/>
      <c r="AD4366" s="201" t="e">
        <f t="shared" si="1293"/>
        <v>#N/A</v>
      </c>
      <c r="AE4366" s="52"/>
      <c r="AF4366" s="52"/>
      <c r="AG4366" s="52"/>
      <c r="AH4366" s="87"/>
      <c r="AI4366" s="87"/>
    </row>
    <row r="4367" spans="1:35" hidden="1">
      <c r="AH4367" s="87"/>
      <c r="AI4367" s="87"/>
    </row>
    <row r="4368" spans="1:35" hidden="1">
      <c r="AH4368" s="87"/>
      <c r="AI4368" s="87"/>
    </row>
    <row r="4369" spans="1:35" ht="24" hidden="1" thickBot="1">
      <c r="A4369" s="61">
        <v>146</v>
      </c>
      <c r="B4369" s="704" t="s">
        <v>51</v>
      </c>
      <c r="C4369" s="704"/>
      <c r="D4369" s="704"/>
      <c r="E4369" s="62" t="e">
        <f>VLOOKUP(A4369,PROPONENTES!$B$19:$E$218,2,FALSE)</f>
        <v>#N/A</v>
      </c>
      <c r="F4369" s="63" t="e">
        <f>VLOOKUP(A4369,PROPONENTES!$B$19:$E$218,3,FALSE)</f>
        <v>#N/A</v>
      </c>
      <c r="G4369" s="64"/>
      <c r="H4369" s="64"/>
      <c r="I4369" s="63"/>
      <c r="J4369" s="63"/>
      <c r="K4369" s="65"/>
      <c r="L4369" s="65"/>
      <c r="M4369" s="64"/>
      <c r="N4369" s="64"/>
      <c r="O4369" s="66"/>
      <c r="P4369" s="66"/>
      <c r="Q4369" s="66"/>
      <c r="R4369" s="66"/>
      <c r="S4369" s="67"/>
      <c r="T4369" s="68"/>
      <c r="U4369" s="68"/>
      <c r="AC4369" s="68"/>
      <c r="AD4369" s="68"/>
      <c r="AE4369" s="68"/>
      <c r="AF4369" s="68"/>
      <c r="AG4369" s="68"/>
      <c r="AH4369" s="87"/>
      <c r="AI4369" s="87"/>
    </row>
    <row r="4370" spans="1:35" ht="15.75" hidden="1" customHeight="1">
      <c r="A4370" s="44"/>
      <c r="B4370" s="709" t="s">
        <v>59</v>
      </c>
      <c r="C4370" s="552" t="s">
        <v>60</v>
      </c>
      <c r="D4370" s="70" t="s">
        <v>17</v>
      </c>
      <c r="E4370" s="70"/>
      <c r="F4370" s="70" t="s">
        <v>61</v>
      </c>
      <c r="G4370" s="71"/>
      <c r="H4370" s="699" t="s">
        <v>62</v>
      </c>
      <c r="I4370" s="699" t="s">
        <v>18</v>
      </c>
      <c r="J4370" s="699" t="s">
        <v>63</v>
      </c>
      <c r="K4370" s="699" t="s">
        <v>64</v>
      </c>
      <c r="L4370" s="699" t="s">
        <v>65</v>
      </c>
      <c r="M4370" s="743" t="s">
        <v>66</v>
      </c>
      <c r="N4370" s="699" t="s">
        <v>282</v>
      </c>
      <c r="O4370" s="745" t="s">
        <v>67</v>
      </c>
      <c r="P4370" s="746"/>
      <c r="Q4370" s="102" t="s">
        <v>75</v>
      </c>
      <c r="R4370" s="731" t="s">
        <v>22</v>
      </c>
      <c r="S4370" s="732"/>
      <c r="T4370" s="733"/>
      <c r="U4370" s="712" t="s">
        <v>298</v>
      </c>
      <c r="W4370" s="690" t="s">
        <v>268</v>
      </c>
      <c r="X4370" s="691"/>
      <c r="Y4370" s="692"/>
      <c r="Z4370" s="428"/>
      <c r="AA4370" s="697" t="s">
        <v>315</v>
      </c>
      <c r="AB4370" s="695" t="s">
        <v>322</v>
      </c>
      <c r="AC4370" s="49"/>
      <c r="AD4370" s="690" t="s">
        <v>297</v>
      </c>
      <c r="AE4370" s="691"/>
      <c r="AF4370" s="692"/>
      <c r="AG4370" s="49"/>
      <c r="AH4370" s="87"/>
      <c r="AI4370" s="87"/>
    </row>
    <row r="4371" spans="1:35" ht="72" hidden="1">
      <c r="A4371" s="44"/>
      <c r="B4371" s="710"/>
      <c r="C4371" s="553" t="s">
        <v>68</v>
      </c>
      <c r="D4371" s="73" t="s">
        <v>3</v>
      </c>
      <c r="E4371" s="73" t="s">
        <v>19</v>
      </c>
      <c r="F4371" s="73" t="s">
        <v>69</v>
      </c>
      <c r="G4371" s="74" t="s">
        <v>70</v>
      </c>
      <c r="H4371" s="700"/>
      <c r="I4371" s="700"/>
      <c r="J4371" s="700"/>
      <c r="K4371" s="700"/>
      <c r="L4371" s="700"/>
      <c r="M4371" s="744"/>
      <c r="N4371" s="700"/>
      <c r="O4371" s="553" t="s">
        <v>279</v>
      </c>
      <c r="P4371" s="73" t="s">
        <v>88</v>
      </c>
      <c r="Q4371" s="555" t="s">
        <v>76</v>
      </c>
      <c r="R4371" s="734"/>
      <c r="S4371" s="735"/>
      <c r="T4371" s="736"/>
      <c r="U4371" s="712"/>
      <c r="W4371" s="429" t="s">
        <v>269</v>
      </c>
      <c r="X4371" s="457" t="s">
        <v>278</v>
      </c>
      <c r="Y4371" s="430" t="s">
        <v>324</v>
      </c>
      <c r="Z4371" s="428"/>
      <c r="AA4371" s="698"/>
      <c r="AB4371" s="696"/>
      <c r="AC4371" s="49"/>
      <c r="AD4371" s="429" t="s">
        <v>292</v>
      </c>
      <c r="AE4371" s="431" t="s">
        <v>300</v>
      </c>
      <c r="AF4371" s="468" t="s">
        <v>301</v>
      </c>
      <c r="AG4371" s="49"/>
      <c r="AH4371" s="87"/>
      <c r="AI4371" s="87"/>
    </row>
    <row r="4372" spans="1:35" hidden="1">
      <c r="A4372" s="44"/>
      <c r="B4372" s="76"/>
      <c r="C4372" s="77"/>
      <c r="D4372" s="77"/>
      <c r="E4372" s="77"/>
      <c r="F4372" s="77"/>
      <c r="G4372" s="77"/>
      <c r="H4372" s="77"/>
      <c r="I4372" s="77"/>
      <c r="J4372" s="77"/>
      <c r="K4372" s="77"/>
      <c r="L4372" s="77"/>
      <c r="M4372" s="77"/>
      <c r="N4372" s="77"/>
      <c r="O4372" s="77"/>
      <c r="P4372" s="77"/>
      <c r="Q4372" s="77"/>
      <c r="R4372" s="77"/>
      <c r="S4372" s="78"/>
      <c r="T4372" s="79"/>
      <c r="U4372" s="109"/>
      <c r="V4372" s="49"/>
      <c r="W4372" s="432"/>
      <c r="X4372" s="454"/>
      <c r="Y4372" s="433"/>
      <c r="Z4372" s="6"/>
      <c r="AA4372" s="500"/>
      <c r="AB4372" s="562"/>
      <c r="AC4372" s="49"/>
      <c r="AD4372" s="210"/>
      <c r="AE4372" s="434"/>
      <c r="AF4372" s="435"/>
      <c r="AG4372" s="49"/>
      <c r="AH4372" s="87"/>
      <c r="AI4372" s="87"/>
    </row>
    <row r="4373" spans="1:35" hidden="1">
      <c r="A4373" s="80" t="e">
        <f>"A"&amp;E4369</f>
        <v>#N/A</v>
      </c>
      <c r="B4373" s="81">
        <v>1</v>
      </c>
      <c r="C4373" s="82"/>
      <c r="D4373" s="82"/>
      <c r="E4373" s="82"/>
      <c r="F4373" s="82"/>
      <c r="G4373" s="83"/>
      <c r="H4373" s="83"/>
      <c r="I4373" s="84"/>
      <c r="J4373" s="85"/>
      <c r="K4373" s="382"/>
      <c r="L4373" s="85"/>
      <c r="M4373" s="332" t="str">
        <f t="shared" ref="M4373:M4382" si="1294">IF(OR(J4373="",L4373="",H4373="NO"),"",IF(OR(J4373&gt;$P$17,J4373&lt;$O$17,L4373&gt;$P$17,AND(J4373&lt;$O$17,L4373&lt;$O$17)),"FUERA DE RANGO",IF(OR(K4373="---",K4373=""),IF(J4373&gt;=$O$17,ROUND((L4373-J4373+1)/360*12,3),ROUND((L4373-$O$17+1)/360*12,3)),IF(J4373&gt;=$O$17,ROUND((L4373-J4373+1)/360*12-ROUND(K4373,3),3),ROUND((L4373-$O$17+1)/360*12-ROUND(K4373,3),3)))))</f>
        <v/>
      </c>
      <c r="N4373" s="86"/>
      <c r="O4373" s="453" t="str">
        <f>IF(OR(G4373="",N4373=""),"",N4373*G4373)</f>
        <v/>
      </c>
      <c r="P4373" s="538" t="str">
        <f>IF(OR(H4373="",M4373="FUERA DE RANGO"),"",IF(OR(L4373&lt;$O$17,L4373&gt;$P$17,L4373="",H4373="NO"),"",IF(OR(N4373="",O4373=""),"",ROUND(O4373,3))))</f>
        <v/>
      </c>
      <c r="Q4373" s="539" t="str">
        <f t="shared" ref="Q4373:Q4382" si="1295">IF(AND(H4373="SI",P4373&lt;&gt;""),ROUND(P4373/M4373,3),"")</f>
        <v/>
      </c>
      <c r="R4373" s="737"/>
      <c r="S4373" s="738"/>
      <c r="T4373" s="739"/>
      <c r="U4373" s="470"/>
      <c r="V4373" s="165"/>
      <c r="W4373" s="446"/>
      <c r="X4373" s="456"/>
      <c r="Y4373" s="436"/>
      <c r="Z4373" s="437"/>
      <c r="AA4373" s="560"/>
      <c r="AB4373" s="561"/>
      <c r="AC4373" s="87"/>
      <c r="AD4373" s="466"/>
      <c r="AE4373" s="456"/>
      <c r="AF4373" s="467"/>
      <c r="AG4373" s="87"/>
      <c r="AH4373" s="87"/>
      <c r="AI4373" s="87"/>
    </row>
    <row r="4374" spans="1:35" hidden="1">
      <c r="A4374" s="80" t="e">
        <f>"B"&amp;E4369</f>
        <v>#N/A</v>
      </c>
      <c r="B4374" s="81">
        <v>2</v>
      </c>
      <c r="C4374" s="106"/>
      <c r="D4374" s="106"/>
      <c r="E4374" s="106"/>
      <c r="F4374" s="106"/>
      <c r="G4374" s="83"/>
      <c r="H4374" s="83"/>
      <c r="I4374" s="84"/>
      <c r="J4374" s="85"/>
      <c r="K4374" s="382"/>
      <c r="L4374" s="85"/>
      <c r="M4374" s="332" t="str">
        <f t="shared" si="1294"/>
        <v/>
      </c>
      <c r="N4374" s="86"/>
      <c r="O4374" s="453" t="str">
        <f t="shared" ref="O4374:O4382" si="1296">IF(OR(G4374="",N4374=""),"",N4374*G4374)</f>
        <v/>
      </c>
      <c r="P4374" s="538" t="str">
        <f t="shared" ref="P4374:P4382" si="1297">IF(OR(H4374="",M4374="FUERA DE RANGO"),"",IF(OR(L4374&lt;$O$17,L4374&gt;$P$17,L4374="",H4374="NO"),"",IF(OR(N4374="",O4374=""),"",ROUND(O4374,3))))</f>
        <v/>
      </c>
      <c r="Q4374" s="539" t="str">
        <f t="shared" si="1295"/>
        <v/>
      </c>
      <c r="R4374" s="740"/>
      <c r="S4374" s="741"/>
      <c r="T4374" s="742"/>
      <c r="U4374" s="471"/>
      <c r="V4374" s="165"/>
      <c r="W4374" s="446"/>
      <c r="X4374" s="456"/>
      <c r="Y4374" s="436"/>
      <c r="Z4374" s="437"/>
      <c r="AA4374" s="560"/>
      <c r="AB4374" s="561"/>
      <c r="AC4374" s="87"/>
      <c r="AD4374" s="466"/>
      <c r="AE4374" s="456"/>
      <c r="AF4374" s="467"/>
      <c r="AG4374" s="87"/>
      <c r="AH4374" s="87"/>
      <c r="AI4374" s="87"/>
    </row>
    <row r="4375" spans="1:35" hidden="1">
      <c r="A4375" s="80" t="e">
        <f>"C"&amp;E4369</f>
        <v>#N/A</v>
      </c>
      <c r="B4375" s="88">
        <v>3</v>
      </c>
      <c r="C4375" s="82"/>
      <c r="D4375" s="82"/>
      <c r="E4375" s="82"/>
      <c r="F4375" s="82"/>
      <c r="G4375" s="83"/>
      <c r="H4375" s="83"/>
      <c r="I4375" s="84"/>
      <c r="J4375" s="85"/>
      <c r="K4375" s="382"/>
      <c r="L4375" s="85"/>
      <c r="M4375" s="332" t="str">
        <f t="shared" si="1294"/>
        <v/>
      </c>
      <c r="N4375" s="86"/>
      <c r="O4375" s="453" t="str">
        <f t="shared" si="1296"/>
        <v/>
      </c>
      <c r="P4375" s="538" t="str">
        <f t="shared" si="1297"/>
        <v/>
      </c>
      <c r="Q4375" s="539" t="str">
        <f t="shared" si="1295"/>
        <v/>
      </c>
      <c r="R4375" s="706"/>
      <c r="S4375" s="707"/>
      <c r="T4375" s="708"/>
      <c r="U4375" s="472"/>
      <c r="V4375" s="166"/>
      <c r="W4375" s="446"/>
      <c r="X4375" s="456"/>
      <c r="Y4375" s="436"/>
      <c r="Z4375" s="437"/>
      <c r="AA4375" s="560"/>
      <c r="AB4375" s="561"/>
      <c r="AC4375" s="87"/>
      <c r="AD4375" s="466"/>
      <c r="AE4375" s="456"/>
      <c r="AF4375" s="467"/>
      <c r="AG4375" s="87"/>
      <c r="AH4375" s="87"/>
      <c r="AI4375" s="87"/>
    </row>
    <row r="4376" spans="1:35" hidden="1">
      <c r="A4376" s="80" t="e">
        <f>"D"&amp;E4369</f>
        <v>#N/A</v>
      </c>
      <c r="B4376" s="105">
        <v>4</v>
      </c>
      <c r="C4376" s="107"/>
      <c r="D4376" s="107"/>
      <c r="E4376" s="107"/>
      <c r="F4376" s="107"/>
      <c r="G4376" s="83"/>
      <c r="H4376" s="83"/>
      <c r="I4376" s="84"/>
      <c r="J4376" s="85"/>
      <c r="K4376" s="382"/>
      <c r="L4376" s="85"/>
      <c r="M4376" s="332" t="str">
        <f t="shared" si="1294"/>
        <v/>
      </c>
      <c r="N4376" s="86"/>
      <c r="O4376" s="453" t="str">
        <f t="shared" si="1296"/>
        <v/>
      </c>
      <c r="P4376" s="538" t="str">
        <f t="shared" si="1297"/>
        <v/>
      </c>
      <c r="Q4376" s="539" t="str">
        <f t="shared" si="1295"/>
        <v/>
      </c>
      <c r="R4376" s="706"/>
      <c r="S4376" s="707"/>
      <c r="T4376" s="708"/>
      <c r="U4376" s="472"/>
      <c r="V4376" s="166"/>
      <c r="W4376" s="446"/>
      <c r="X4376" s="456"/>
      <c r="Y4376" s="436"/>
      <c r="Z4376" s="437"/>
      <c r="AA4376" s="560"/>
      <c r="AB4376" s="561"/>
      <c r="AC4376" s="87"/>
      <c r="AD4376" s="466"/>
      <c r="AE4376" s="456"/>
      <c r="AF4376" s="467"/>
      <c r="AG4376" s="87"/>
      <c r="AH4376" s="87"/>
      <c r="AI4376" s="87"/>
    </row>
    <row r="4377" spans="1:35" hidden="1">
      <c r="A4377" s="80" t="e">
        <f>"E"&amp;E4369</f>
        <v>#N/A</v>
      </c>
      <c r="B4377" s="105">
        <v>5</v>
      </c>
      <c r="C4377" s="107"/>
      <c r="D4377" s="107"/>
      <c r="E4377" s="107"/>
      <c r="F4377" s="107"/>
      <c r="G4377" s="83"/>
      <c r="H4377" s="83"/>
      <c r="I4377" s="84"/>
      <c r="J4377" s="85"/>
      <c r="K4377" s="382"/>
      <c r="L4377" s="85"/>
      <c r="M4377" s="332" t="str">
        <f t="shared" si="1294"/>
        <v/>
      </c>
      <c r="N4377" s="86"/>
      <c r="O4377" s="453" t="str">
        <f t="shared" si="1296"/>
        <v/>
      </c>
      <c r="P4377" s="538" t="str">
        <f t="shared" si="1297"/>
        <v/>
      </c>
      <c r="Q4377" s="539" t="str">
        <f t="shared" si="1295"/>
        <v/>
      </c>
      <c r="R4377" s="706"/>
      <c r="S4377" s="707"/>
      <c r="T4377" s="708"/>
      <c r="U4377" s="472"/>
      <c r="V4377" s="167"/>
      <c r="W4377" s="446"/>
      <c r="X4377" s="456"/>
      <c r="Y4377" s="436"/>
      <c r="Z4377" s="437"/>
      <c r="AA4377" s="560"/>
      <c r="AB4377" s="561"/>
      <c r="AC4377" s="87"/>
      <c r="AD4377" s="466"/>
      <c r="AE4377" s="456"/>
      <c r="AF4377" s="467"/>
      <c r="AG4377" s="87"/>
      <c r="AH4377" s="87"/>
      <c r="AI4377" s="87"/>
    </row>
    <row r="4378" spans="1:35" hidden="1">
      <c r="A4378" s="80" t="e">
        <f>"F"&amp;E4369</f>
        <v>#N/A</v>
      </c>
      <c r="B4378" s="105">
        <v>6</v>
      </c>
      <c r="C4378" s="107"/>
      <c r="D4378" s="107"/>
      <c r="E4378" s="107"/>
      <c r="F4378" s="107"/>
      <c r="G4378" s="83"/>
      <c r="H4378" s="83"/>
      <c r="I4378" s="84"/>
      <c r="J4378" s="85"/>
      <c r="K4378" s="382"/>
      <c r="L4378" s="85"/>
      <c r="M4378" s="332" t="str">
        <f t="shared" si="1294"/>
        <v/>
      </c>
      <c r="N4378" s="86"/>
      <c r="O4378" s="453" t="str">
        <f t="shared" si="1296"/>
        <v/>
      </c>
      <c r="P4378" s="538" t="str">
        <f t="shared" si="1297"/>
        <v/>
      </c>
      <c r="Q4378" s="539" t="str">
        <f t="shared" si="1295"/>
        <v/>
      </c>
      <c r="R4378" s="706"/>
      <c r="S4378" s="707"/>
      <c r="T4378" s="708"/>
      <c r="U4378" s="472"/>
      <c r="V4378" s="167"/>
      <c r="W4378" s="446"/>
      <c r="X4378" s="456"/>
      <c r="Y4378" s="436"/>
      <c r="Z4378" s="437"/>
      <c r="AA4378" s="560"/>
      <c r="AB4378" s="561"/>
      <c r="AC4378" s="87"/>
      <c r="AD4378" s="466"/>
      <c r="AE4378" s="456"/>
      <c r="AF4378" s="467"/>
      <c r="AG4378" s="87"/>
      <c r="AH4378" s="87"/>
      <c r="AI4378" s="87"/>
    </row>
    <row r="4379" spans="1:35" hidden="1">
      <c r="A4379" s="80" t="e">
        <f>"G"&amp;E4369</f>
        <v>#N/A</v>
      </c>
      <c r="B4379" s="105">
        <v>7</v>
      </c>
      <c r="C4379" s="107"/>
      <c r="D4379" s="107"/>
      <c r="E4379" s="107"/>
      <c r="F4379" s="107"/>
      <c r="G4379" s="83"/>
      <c r="H4379" s="83"/>
      <c r="I4379" s="84"/>
      <c r="J4379" s="85"/>
      <c r="K4379" s="382"/>
      <c r="L4379" s="85"/>
      <c r="M4379" s="332" t="str">
        <f t="shared" si="1294"/>
        <v/>
      </c>
      <c r="N4379" s="86"/>
      <c r="O4379" s="86" t="str">
        <f t="shared" si="1296"/>
        <v/>
      </c>
      <c r="P4379" s="538" t="str">
        <f t="shared" si="1297"/>
        <v/>
      </c>
      <c r="Q4379" s="539" t="str">
        <f t="shared" si="1295"/>
        <v/>
      </c>
      <c r="R4379" s="706"/>
      <c r="S4379" s="707"/>
      <c r="T4379" s="708"/>
      <c r="U4379" s="472"/>
      <c r="V4379" s="167"/>
      <c r="W4379" s="446"/>
      <c r="X4379" s="456"/>
      <c r="Y4379" s="436"/>
      <c r="Z4379" s="437"/>
      <c r="AA4379" s="560"/>
      <c r="AB4379" s="561"/>
      <c r="AC4379" s="87"/>
      <c r="AD4379" s="466"/>
      <c r="AE4379" s="456"/>
      <c r="AF4379" s="467"/>
      <c r="AG4379" s="87"/>
      <c r="AH4379" s="87"/>
      <c r="AI4379" s="87"/>
    </row>
    <row r="4380" spans="1:35" hidden="1">
      <c r="A4380" s="80" t="e">
        <f>"H"&amp;E4369</f>
        <v>#N/A</v>
      </c>
      <c r="B4380" s="105">
        <v>8</v>
      </c>
      <c r="C4380" s="107"/>
      <c r="D4380" s="107"/>
      <c r="E4380" s="107"/>
      <c r="F4380" s="107"/>
      <c r="G4380" s="83"/>
      <c r="H4380" s="83"/>
      <c r="I4380" s="84"/>
      <c r="J4380" s="85"/>
      <c r="K4380" s="382"/>
      <c r="L4380" s="85"/>
      <c r="M4380" s="332" t="str">
        <f t="shared" si="1294"/>
        <v/>
      </c>
      <c r="N4380" s="453"/>
      <c r="O4380" s="86" t="str">
        <f t="shared" si="1296"/>
        <v/>
      </c>
      <c r="P4380" s="538" t="str">
        <f t="shared" si="1297"/>
        <v/>
      </c>
      <c r="Q4380" s="539" t="str">
        <f t="shared" si="1295"/>
        <v/>
      </c>
      <c r="R4380" s="706"/>
      <c r="S4380" s="707"/>
      <c r="T4380" s="708"/>
      <c r="U4380" s="472"/>
      <c r="V4380" s="167"/>
      <c r="W4380" s="446"/>
      <c r="X4380" s="456"/>
      <c r="Y4380" s="436"/>
      <c r="Z4380" s="437"/>
      <c r="AA4380" s="560"/>
      <c r="AB4380" s="561"/>
      <c r="AC4380" s="87"/>
      <c r="AD4380" s="466"/>
      <c r="AE4380" s="456"/>
      <c r="AF4380" s="467"/>
      <c r="AG4380" s="87"/>
      <c r="AH4380" s="87"/>
      <c r="AI4380" s="87"/>
    </row>
    <row r="4381" spans="1:35" hidden="1">
      <c r="A4381" s="80" t="e">
        <f>"I"&amp;E4369</f>
        <v>#N/A</v>
      </c>
      <c r="B4381" s="105">
        <v>9</v>
      </c>
      <c r="C4381" s="107"/>
      <c r="D4381" s="107"/>
      <c r="E4381" s="107"/>
      <c r="F4381" s="107"/>
      <c r="G4381" s="83"/>
      <c r="H4381" s="83"/>
      <c r="I4381" s="84"/>
      <c r="J4381" s="85"/>
      <c r="K4381" s="382"/>
      <c r="L4381" s="85"/>
      <c r="M4381" s="332" t="str">
        <f t="shared" si="1294"/>
        <v/>
      </c>
      <c r="N4381" s="453"/>
      <c r="O4381" s="86" t="str">
        <f t="shared" si="1296"/>
        <v/>
      </c>
      <c r="P4381" s="538" t="str">
        <f t="shared" si="1297"/>
        <v/>
      </c>
      <c r="Q4381" s="539" t="str">
        <f t="shared" si="1295"/>
        <v/>
      </c>
      <c r="R4381" s="706"/>
      <c r="S4381" s="707"/>
      <c r="T4381" s="708"/>
      <c r="U4381" s="472"/>
      <c r="V4381" s="167"/>
      <c r="W4381" s="446"/>
      <c r="X4381" s="456"/>
      <c r="Y4381" s="436"/>
      <c r="Z4381" s="437"/>
      <c r="AA4381" s="560"/>
      <c r="AB4381" s="561"/>
      <c r="AC4381" s="87"/>
      <c r="AD4381" s="466"/>
      <c r="AE4381" s="456"/>
      <c r="AF4381" s="467"/>
      <c r="AG4381" s="87"/>
      <c r="AH4381" s="87"/>
      <c r="AI4381" s="87"/>
    </row>
    <row r="4382" spans="1:35" hidden="1">
      <c r="A4382" s="80" t="e">
        <f>"J"&amp;E4369</f>
        <v>#N/A</v>
      </c>
      <c r="B4382" s="105">
        <v>10</v>
      </c>
      <c r="C4382" s="107"/>
      <c r="D4382" s="107"/>
      <c r="E4382" s="107"/>
      <c r="F4382" s="107"/>
      <c r="G4382" s="83"/>
      <c r="H4382" s="83"/>
      <c r="I4382" s="84"/>
      <c r="J4382" s="85"/>
      <c r="K4382" s="382"/>
      <c r="L4382" s="85"/>
      <c r="M4382" s="332" t="str">
        <f t="shared" si="1294"/>
        <v/>
      </c>
      <c r="N4382" s="453"/>
      <c r="O4382" s="86" t="str">
        <f t="shared" si="1296"/>
        <v/>
      </c>
      <c r="P4382" s="538" t="str">
        <f t="shared" si="1297"/>
        <v/>
      </c>
      <c r="Q4382" s="539" t="str">
        <f t="shared" si="1295"/>
        <v/>
      </c>
      <c r="R4382" s="706"/>
      <c r="S4382" s="707"/>
      <c r="T4382" s="708"/>
      <c r="U4382" s="472"/>
      <c r="V4382" s="167"/>
      <c r="W4382" s="446"/>
      <c r="X4382" s="456"/>
      <c r="Y4382" s="436"/>
      <c r="Z4382" s="437"/>
      <c r="AA4382" s="560"/>
      <c r="AB4382" s="561"/>
      <c r="AC4382" s="87"/>
      <c r="AD4382" s="466"/>
      <c r="AE4382" s="456"/>
      <c r="AF4382" s="467"/>
      <c r="AG4382" s="87"/>
      <c r="AH4382" s="87"/>
      <c r="AI4382" s="87"/>
    </row>
    <row r="4383" spans="1:35" ht="16.5" hidden="1" thickBot="1">
      <c r="A4383" s="44"/>
      <c r="B4383" s="89"/>
      <c r="C4383" s="90"/>
      <c r="D4383" s="90"/>
      <c r="E4383" s="90"/>
      <c r="F4383" s="90"/>
      <c r="G4383" s="90"/>
      <c r="H4383" s="90"/>
      <c r="I4383" s="90"/>
      <c r="J4383" s="90"/>
      <c r="K4383" s="90"/>
      <c r="L4383" s="90"/>
      <c r="M4383" s="90"/>
      <c r="N4383" s="90"/>
      <c r="O4383" s="90"/>
      <c r="P4383" s="90"/>
      <c r="Q4383" s="90"/>
      <c r="R4383" s="90"/>
      <c r="S4383" s="91"/>
      <c r="T4383" s="92"/>
      <c r="U4383" s="473"/>
      <c r="W4383" s="438"/>
      <c r="X4383" s="455"/>
      <c r="Y4383" s="439"/>
      <c r="Z4383" s="437"/>
      <c r="AA4383" s="530"/>
      <c r="AB4383" s="563"/>
      <c r="AC4383" s="87"/>
      <c r="AD4383" s="440"/>
      <c r="AE4383" s="441"/>
      <c r="AF4383" s="442"/>
      <c r="AG4383" s="49"/>
      <c r="AH4383" s="87"/>
      <c r="AI4383" s="87"/>
    </row>
    <row r="4384" spans="1:35" ht="16.5" hidden="1" thickBot="1">
      <c r="A4384" s="93"/>
      <c r="B4384" s="94"/>
      <c r="C4384" s="96"/>
      <c r="D4384" s="96"/>
      <c r="E4384" s="96"/>
      <c r="F4384" s="96"/>
      <c r="G4384" s="96"/>
      <c r="H4384" s="96"/>
      <c r="I4384" s="96"/>
      <c r="J4384" s="96"/>
      <c r="K4384" s="96"/>
      <c r="L4384" s="96"/>
      <c r="M4384" s="136"/>
      <c r="N4384" s="96"/>
      <c r="O4384" s="96"/>
      <c r="P4384" s="97"/>
      <c r="Q4384" s="97"/>
      <c r="R4384" s="98"/>
      <c r="S4384" s="95"/>
      <c r="T4384" s="99"/>
      <c r="U4384" s="469"/>
      <c r="AC4384" s="58"/>
      <c r="AG4384" s="58"/>
      <c r="AH4384" s="87"/>
      <c r="AI4384" s="87"/>
    </row>
    <row r="4385" spans="1:35" ht="16.5" hidden="1" thickBot="1">
      <c r="B4385" s="101"/>
      <c r="C4385" s="101"/>
      <c r="D4385" s="101"/>
      <c r="E4385" s="101"/>
      <c r="F4385" s="101"/>
      <c r="G4385" s="101"/>
      <c r="H4385" s="101"/>
      <c r="I4385" s="101"/>
      <c r="J4385" s="101"/>
      <c r="K4385" s="101"/>
      <c r="L4385" s="101"/>
      <c r="M4385" s="101"/>
      <c r="N4385" s="101"/>
      <c r="O4385" s="101"/>
      <c r="P4385" s="101"/>
      <c r="Q4385" s="101"/>
      <c r="R4385" s="101"/>
      <c r="S4385" s="101"/>
      <c r="U4385" s="50"/>
      <c r="AH4385" s="87"/>
      <c r="AI4385" s="87"/>
    </row>
    <row r="4386" spans="1:35" ht="16.5" hidden="1" customHeight="1" thickBot="1">
      <c r="A4386" s="44"/>
      <c r="B4386" s="705" t="s">
        <v>74</v>
      </c>
      <c r="C4386" s="705"/>
      <c r="D4386" s="705"/>
      <c r="E4386" s="705"/>
      <c r="F4386" s="705"/>
      <c r="G4386" s="705"/>
      <c r="H4386" s="705"/>
      <c r="I4386" s="705"/>
      <c r="J4386" s="705"/>
      <c r="K4386" s="705"/>
      <c r="L4386" s="705"/>
      <c r="M4386" s="705"/>
      <c r="N4386" s="705"/>
      <c r="O4386" s="705"/>
      <c r="P4386" s="705"/>
      <c r="Q4386" s="705"/>
      <c r="R4386" s="705"/>
      <c r="S4386" s="705"/>
      <c r="T4386" s="705"/>
      <c r="U4386" s="108"/>
      <c r="Y4386" s="532" t="s">
        <v>341</v>
      </c>
      <c r="AC4386" s="49"/>
      <c r="AD4386" s="687" t="s">
        <v>302</v>
      </c>
      <c r="AE4386" s="688"/>
      <c r="AF4386" s="689"/>
      <c r="AG4386" s="49"/>
      <c r="AH4386" s="87"/>
      <c r="AI4386" s="87"/>
    </row>
    <row r="4387" spans="1:35" ht="16.5" hidden="1" customHeight="1" thickBot="1">
      <c r="A4387" s="218" t="e">
        <f>"K"&amp;E4369</f>
        <v>#N/A</v>
      </c>
      <c r="B4387" s="701" t="s">
        <v>71</v>
      </c>
      <c r="C4387" s="751" t="s">
        <v>102</v>
      </c>
      <c r="D4387" s="751"/>
      <c r="E4387" s="751"/>
      <c r="F4387" s="751"/>
      <c r="G4387" s="751"/>
      <c r="H4387" s="751"/>
      <c r="I4387" s="751"/>
      <c r="J4387" s="751"/>
      <c r="K4387" s="751"/>
      <c r="L4387" s="722" t="s">
        <v>100</v>
      </c>
      <c r="M4387" s="747" t="s">
        <v>114</v>
      </c>
      <c r="N4387" s="747"/>
      <c r="O4387" s="747"/>
      <c r="P4387" s="747"/>
      <c r="Q4387" s="748"/>
      <c r="R4387" s="758" t="s">
        <v>280</v>
      </c>
      <c r="S4387" s="748"/>
      <c r="T4387" s="762" t="str">
        <f>IF(COUNTIF(AE4387:AF4387,"VERIFICAR")&gt;0,"VERIFICAR",IF(COUNTIF(AE4387:AF4387,"NO CUMPLE")&gt;0,"NO CUMPLE","CUMPLE"))</f>
        <v>VERIFICAR</v>
      </c>
      <c r="U4387" s="108"/>
      <c r="Y4387" s="533" t="e">
        <f>IF(F4388="","",IF(F4388=1,"INDIVIDUAL","ESTRUCTURA PLURAL"))</f>
        <v>#N/A</v>
      </c>
      <c r="AC4387" s="52"/>
      <c r="AD4387" s="475" t="s">
        <v>303</v>
      </c>
      <c r="AE4387" s="476" t="str">
        <f>IF(COUNTIF(AE4373:AE4382,"")=10,"VERIFICAR",IF(COUNTIF(AE4373:AE4382,"SI")&gt;0,"CUMPLE","NO CUMPLE"))</f>
        <v>VERIFICAR</v>
      </c>
      <c r="AF4387" s="477" t="str">
        <f>IF(COUNTIF(AF4373:AF4382,"")=10,"VERIFICAR",IF(COUNTIF(AF4373:AF4382,"SI")&gt;=$AI$22,"CUMPLE","NO CUMPLE"))</f>
        <v>VERIFICAR</v>
      </c>
      <c r="AG4387" s="52"/>
      <c r="AH4387" s="87"/>
      <c r="AI4387" s="87"/>
    </row>
    <row r="4388" spans="1:35" ht="15.75" hidden="1" customHeight="1" thickBot="1">
      <c r="A4388" s="218" t="e">
        <f>"L"&amp;E4369</f>
        <v>#N/A</v>
      </c>
      <c r="B4388" s="702"/>
      <c r="C4388" s="751" t="s">
        <v>103</v>
      </c>
      <c r="D4388" s="751"/>
      <c r="E4388" s="752"/>
      <c r="F4388" s="557" t="e">
        <f>IF(VLOOKUP(E4369,PROPONENTES!$C$19:$E$218,3,0)="","",VLOOKUP(E4369,PROPONENTES!$C$19:$E$218,3,0))</f>
        <v>#N/A</v>
      </c>
      <c r="G4388" s="753" t="s">
        <v>104</v>
      </c>
      <c r="H4388" s="751"/>
      <c r="I4388" s="715" t="e">
        <f>IF(OR(F4388="",F4388=1),"INTERESADO PERSONA NATURAL O JURIDICA","CONSORCIO O UNION TEMPORAL")</f>
        <v>#N/A</v>
      </c>
      <c r="J4388" s="725"/>
      <c r="K4388" s="728"/>
      <c r="L4388" s="723"/>
      <c r="M4388" s="749"/>
      <c r="N4388" s="749"/>
      <c r="O4388" s="749"/>
      <c r="P4388" s="749"/>
      <c r="Q4388" s="750"/>
      <c r="R4388" s="712"/>
      <c r="S4388" s="750"/>
      <c r="T4388" s="763"/>
      <c r="U4388" s="108"/>
      <c r="Y4388" s="534"/>
      <c r="AA4388" s="52"/>
      <c r="AB4388" s="52"/>
      <c r="AC4388" s="52"/>
      <c r="AG4388" s="52"/>
      <c r="AH4388" s="87"/>
      <c r="AI4388" s="87"/>
    </row>
    <row r="4389" spans="1:35" ht="56.25" hidden="1" customHeight="1" thickBot="1">
      <c r="A4389" s="218" t="e">
        <f>"M"&amp;E4369</f>
        <v>#N/A</v>
      </c>
      <c r="B4389" s="702"/>
      <c r="C4389" s="725" t="s">
        <v>101</v>
      </c>
      <c r="D4389" s="716"/>
      <c r="E4389" s="558" t="s">
        <v>105</v>
      </c>
      <c r="F4389" s="554" t="s">
        <v>87</v>
      </c>
      <c r="G4389" s="553" t="s">
        <v>86</v>
      </c>
      <c r="H4389" s="559" t="s">
        <v>85</v>
      </c>
      <c r="I4389" s="554" t="s">
        <v>252</v>
      </c>
      <c r="J4389" s="553" t="str">
        <f>"¿EL INTEGRANTE TIENE UNA PARTICIPACIÓN DEL "&amp;PORCREQUERIDOINT*100&amp;"%?"</f>
        <v>¿EL INTEGRANTE TIENE UNA PARTICIPACIÓN DEL 60%?</v>
      </c>
      <c r="K4389" s="554" t="s">
        <v>107</v>
      </c>
      <c r="L4389" s="724"/>
      <c r="M4389" s="717" t="s">
        <v>115</v>
      </c>
      <c r="N4389" s="718"/>
      <c r="O4389" s="718"/>
      <c r="P4389" s="718"/>
      <c r="Q4389" s="223">
        <f>IF(AND(H4373="SI",P4373&gt;=0),1,0)+IF(AND(H4374="SI",P4374&gt;=0),1,0)+IF(AND(H4375="SI",P4375&gt;=0),1,0)+IF(AND(H4376="SI",P4376&gt;=0),1,0)+IF(AND(H4377="SI",P4377&gt;=0),1,0)+IF(AND(H4378="SI",P4378&gt;=0),1,0)+IF(AND(H4379="SI",P4379&gt;=0),1,0)+IF(AND(H4380="SI",P4380&gt;=0),1,0)+IF(AND(H4381="SI",P4381&gt;=0),1,0)+IF(AND(H4382="SI",P4382&gt;=0),1,0)</f>
        <v>0</v>
      </c>
      <c r="R4389" s="759"/>
      <c r="S4389" s="761"/>
      <c r="T4389" s="764"/>
      <c r="U4389" s="219"/>
      <c r="V4389" s="464"/>
      <c r="Y4389" s="532" t="s">
        <v>342</v>
      </c>
      <c r="AA4389" s="550" t="s">
        <v>344</v>
      </c>
      <c r="AB4389" s="693" t="s">
        <v>345</v>
      </c>
      <c r="AC4389" s="693" t="s">
        <v>346</v>
      </c>
      <c r="AD4389" s="685" t="s">
        <v>347</v>
      </c>
      <c r="AE4389" s="52"/>
      <c r="AF4389" s="52"/>
      <c r="AG4389" s="52"/>
      <c r="AH4389" s="87"/>
      <c r="AI4389" s="87"/>
    </row>
    <row r="4390" spans="1:35" ht="15.75" hidden="1" customHeight="1" thickBot="1">
      <c r="A4390" s="218" t="e">
        <f>"N"&amp;E4369</f>
        <v>#N/A</v>
      </c>
      <c r="B4390" s="702"/>
      <c r="C4390" s="114">
        <v>1</v>
      </c>
      <c r="D4390" s="194" t="e">
        <f>IF(AND(C4390&lt;=F4388,F4388&gt;1,F4388&lt;&gt;""),VLOOKUP(VALUE(E4369&amp;","&amp;C4390),INTEGRANTES!$D$18:$F$235,2,0),"")</f>
        <v>#N/A</v>
      </c>
      <c r="E4390" s="211" t="e">
        <f>IF(D4390&lt;&gt;"",VLOOKUP(VALUE(E4369&amp;","&amp;C4390),INTEGRANTES!$D$18:$F$235,3,0),"")</f>
        <v>#N/A</v>
      </c>
      <c r="F4390" s="547" t="e">
        <f>IF(D4390="","",SUMIF($I4373:$I4382,D4390,$P4373:$P4382))</f>
        <v>#N/A</v>
      </c>
      <c r="G4390" s="333" t="e">
        <f>IF(D4390="","",SUMIF($I4373:$I4382,D4390,$M4373:$M4382))</f>
        <v>#N/A</v>
      </c>
      <c r="H4390" s="535" t="e">
        <f t="shared" ref="H4390:H4395" si="1298">IF(D4390="","",IF(OR(F4390=0,G4390=0),"NO APORTA",ROUND($F4390/$G4390,3)))</f>
        <v>#N/A</v>
      </c>
      <c r="I4390" s="212" t="e">
        <f>IF(D4390="","",IF(H4390="NO APORTA","NO",IF(H4390=MAX($H4390:$H4395),"SI","NO")))</f>
        <v>#N/A</v>
      </c>
      <c r="J4390" s="213" t="e">
        <f t="shared" ref="J4390:J4395" si="1299">IF(D4390="","",IF(E4390&gt;=PORCREQUERIDOINT,"SI","NO"))</f>
        <v>#N/A</v>
      </c>
      <c r="K4390" s="200" t="e">
        <f t="shared" ref="K4390:K4395" si="1300">IF(D4390="","",IF(AND(I4390="SI",J4390="SI"),"CUMPLE",IF(AND(I4390="NO",OR(J4390="SI",J4390="NO")),"","NO CUMPLE")))</f>
        <v>#N/A</v>
      </c>
      <c r="L4390" s="722" t="s">
        <v>108</v>
      </c>
      <c r="M4390" s="726" t="s">
        <v>119</v>
      </c>
      <c r="N4390" s="726"/>
      <c r="O4390" s="726"/>
      <c r="P4390" s="726"/>
      <c r="Q4390" s="727"/>
      <c r="R4390" s="758" t="s">
        <v>80</v>
      </c>
      <c r="S4390" s="747"/>
      <c r="T4390" s="748"/>
      <c r="U4390" s="219"/>
      <c r="V4390" s="464"/>
      <c r="Y4390" s="533" t="e">
        <f>IF(Y4387="","",IF(Y4387="INDIVIDUAL","NO APLICA","VERIFICAR CUADRO"))</f>
        <v>#N/A</v>
      </c>
      <c r="AA4390" s="551"/>
      <c r="AB4390" s="694"/>
      <c r="AC4390" s="694"/>
      <c r="AD4390" s="686"/>
      <c r="AE4390" s="52"/>
      <c r="AF4390" s="52"/>
      <c r="AG4390" s="52"/>
      <c r="AH4390" s="87"/>
      <c r="AI4390" s="87"/>
    </row>
    <row r="4391" spans="1:35" ht="27" hidden="1" customHeight="1" thickBot="1">
      <c r="A4391" s="218" t="e">
        <f>"O"&amp;E4369</f>
        <v>#N/A</v>
      </c>
      <c r="B4391" s="702"/>
      <c r="C4391" s="114">
        <v>2</v>
      </c>
      <c r="D4391" s="194" t="e">
        <f>IF(AND(C4391&lt;=F4388,F4388&lt;&gt;""),VLOOKUP(VALUE(E4369&amp;","&amp;C4391),INTEGRANTES!$D$18:$F$235,2,0),"")</f>
        <v>#N/A</v>
      </c>
      <c r="E4391" s="211" t="e">
        <f>IF(D4391&lt;&gt;"",VLOOKUP(VALUE(E4369&amp;","&amp;C4391),INTEGRANTES!$D$18:$F$235,3,0),"")</f>
        <v>#N/A</v>
      </c>
      <c r="F4391" s="547" t="e">
        <f>IF(D4391="","",SUMIF($I4373:$I4382,D4391,$P4373:$P4382))</f>
        <v>#N/A</v>
      </c>
      <c r="G4391" s="333" t="e">
        <f>IF(D4391="","",SUMIF($I4373:$I4382,D4391,$M4373:$M4382))</f>
        <v>#N/A</v>
      </c>
      <c r="H4391" s="535" t="e">
        <f t="shared" si="1298"/>
        <v>#N/A</v>
      </c>
      <c r="I4391" s="212" t="e">
        <f>IF(D4391="","",IF(H4391="NO APORTA","NO",IF(H4391=MAX($H4390:$H4395),"SI","NO")))</f>
        <v>#N/A</v>
      </c>
      <c r="J4391" s="213" t="e">
        <f t="shared" si="1299"/>
        <v>#N/A</v>
      </c>
      <c r="K4391" s="200" t="e">
        <f t="shared" si="1300"/>
        <v>#N/A</v>
      </c>
      <c r="L4391" s="723"/>
      <c r="M4391" s="715" t="s">
        <v>116</v>
      </c>
      <c r="N4391" s="716"/>
      <c r="O4391" s="556" t="s">
        <v>113</v>
      </c>
      <c r="P4391" s="715" t="s">
        <v>117</v>
      </c>
      <c r="Q4391" s="728"/>
      <c r="R4391" s="759"/>
      <c r="S4391" s="760"/>
      <c r="T4391" s="761"/>
      <c r="U4391" s="219"/>
      <c r="V4391" s="464"/>
      <c r="Y4391" s="414"/>
      <c r="AA4391" s="542" t="e">
        <f>IF(AND(C4390&lt;=F4388,F4388&gt;1,F4388&lt;&gt;""),VLOOKUP(VALUE(E4369&amp;","&amp;C4390),INTEGRANTES!$D$18:$F$235,2,0),"")</f>
        <v>#N/A</v>
      </c>
      <c r="AB4391" s="544" t="e">
        <f t="shared" ref="AB4391:AB4396" si="1301">IF(D4390="","",IF(OR(F4390=0,G4390=0),"NO APORTA",ROUND($F4390/$G4390,3)))</f>
        <v>#N/A</v>
      </c>
      <c r="AC4391" s="529"/>
      <c r="AD4391" s="200" t="e">
        <f t="shared" ref="AD4391:AD4396" si="1302">IF(OR(AA4391="",AB4391=""),"",IF(AND(AC4391="X",AB4391&gt;=EXPREQVTD),"CUMPLE","NO CUMPLE"))</f>
        <v>#N/A</v>
      </c>
      <c r="AE4391" s="52"/>
      <c r="AF4391" s="52"/>
      <c r="AG4391" s="52"/>
      <c r="AH4391" s="87"/>
      <c r="AI4391" s="87"/>
    </row>
    <row r="4392" spans="1:35" ht="16.5" hidden="1" thickBot="1">
      <c r="A4392" s="218" t="e">
        <f>"P"&amp;E4369</f>
        <v>#N/A</v>
      </c>
      <c r="B4392" s="702"/>
      <c r="C4392" s="114">
        <v>3</v>
      </c>
      <c r="D4392" s="194" t="e">
        <f>IF(AND(C4392&lt;=F4388,F4388&lt;&gt;""),VLOOKUP(VALUE(E4369&amp;","&amp;C4392),INTEGRANTES!$D$18:$F$235,2,0),"")</f>
        <v>#N/A</v>
      </c>
      <c r="E4392" s="211" t="e">
        <f>IF(D4392&lt;&gt;"",VLOOKUP(VALUE(E4369&amp;","&amp;C4392),INTEGRANTES!$D$18:$F$235,3,0),"")</f>
        <v>#N/A</v>
      </c>
      <c r="F4392" s="547" t="e">
        <f>IF(D4392="","",SUMIF($I4373:$I4382,D4392,$P4373:$P4382))</f>
        <v>#N/A</v>
      </c>
      <c r="G4392" s="333" t="e">
        <f>IF(D4392="","",SUMIF($I4373:$I4382,D4392,$M4373:$M4382))</f>
        <v>#N/A</v>
      </c>
      <c r="H4392" s="535" t="e">
        <f t="shared" si="1298"/>
        <v>#N/A</v>
      </c>
      <c r="I4392" s="212" t="e">
        <f>IF(D4392="","",IF(H4392="NO APORTA","NO",IF(H4392=MAX($H4390:$H4395),"SI","NO")))</f>
        <v>#N/A</v>
      </c>
      <c r="J4392" s="213" t="e">
        <f t="shared" si="1299"/>
        <v>#N/A</v>
      </c>
      <c r="K4392" s="200" t="e">
        <f t="shared" si="1300"/>
        <v>#N/A</v>
      </c>
      <c r="L4392" s="724"/>
      <c r="M4392" s="729">
        <f>NUMMOD</f>
        <v>1</v>
      </c>
      <c r="N4392" s="730"/>
      <c r="O4392" s="443">
        <f>IF(M4392="","",VLOOKUP(M4392,PRESUPUESTOS!$B$16:$H$16,5,FALSE))</f>
        <v>2</v>
      </c>
      <c r="P4392" s="713">
        <f>IF(OR(COUNTIF(M4373:M4382,"")&gt;=10,Q4389&lt;NUMMINCONT,OR(T4387="NO CUMPLE",T4387="VERIFICAR")),0,ROUND(AVERAGE(M4373:M4382),3))</f>
        <v>0</v>
      </c>
      <c r="Q4392" s="714"/>
      <c r="R4392" s="458"/>
      <c r="S4392" s="459"/>
      <c r="T4392" s="460"/>
      <c r="U4392" s="219"/>
      <c r="V4392" s="464"/>
      <c r="Y4392" s="532" t="str">
        <f>"40% * ("&amp;PRESUPUESTOS!$H$13&amp;")"</f>
        <v>40% * (50% PFMO)</v>
      </c>
      <c r="AA4392" s="540" t="e">
        <f>IF(AND(C4391&lt;=F4388,F4388&lt;&gt;""),VLOOKUP(VALUE(E4369&amp;","&amp;C4391),INTEGRANTES!$D$18:$F$235,2,0),"")</f>
        <v>#N/A</v>
      </c>
      <c r="AB4392" s="545" t="e">
        <f t="shared" si="1301"/>
        <v>#N/A</v>
      </c>
      <c r="AC4392" s="529"/>
      <c r="AD4392" s="200" t="e">
        <f t="shared" si="1302"/>
        <v>#N/A</v>
      </c>
      <c r="AE4392" s="52"/>
      <c r="AF4392" s="52"/>
      <c r="AG4392" s="52"/>
      <c r="AH4392" s="87"/>
      <c r="AI4392" s="87"/>
    </row>
    <row r="4393" spans="1:35" ht="15.75" hidden="1" customHeight="1" thickBot="1">
      <c r="A4393" s="218" t="e">
        <f>"Q"&amp;E4369</f>
        <v>#N/A</v>
      </c>
      <c r="B4393" s="702"/>
      <c r="C4393" s="114">
        <v>4</v>
      </c>
      <c r="D4393" s="194" t="e">
        <f>IF(AND(C4393&lt;=F4388,F4388&lt;&gt;""),VLOOKUP(VALUE(E4369&amp;","&amp;C4393),INTEGRANTES!$D$18:$F$235,2,0),"")</f>
        <v>#N/A</v>
      </c>
      <c r="E4393" s="211" t="e">
        <f>IF(D4393&lt;&gt;"",VLOOKUP(VALUE(E4369&amp;","&amp;C4393),INTEGRANTES!$D$18:$F$235,3,0),"")</f>
        <v>#N/A</v>
      </c>
      <c r="F4393" s="547" t="e">
        <f>IF(D4393="","",SUMIF($I4373:$I4382,D4393,$P4373:$P4382))</f>
        <v>#N/A</v>
      </c>
      <c r="G4393" s="333" t="e">
        <f>IF(D4393="","",SUMIF($I4373:$I4382,D4393,$M4373:$M4382))</f>
        <v>#N/A</v>
      </c>
      <c r="H4393" s="535" t="e">
        <f t="shared" si="1298"/>
        <v>#N/A</v>
      </c>
      <c r="I4393" s="212" t="e">
        <f>IF(D4393="","",IF(H4393="NO APORTA","NO",IF(H4393=MAX($H4390:$H4395),"SI","NO")))</f>
        <v>#N/A</v>
      </c>
      <c r="J4393" s="213" t="e">
        <f t="shared" si="1299"/>
        <v>#N/A</v>
      </c>
      <c r="K4393" s="200" t="e">
        <f t="shared" si="1300"/>
        <v>#N/A</v>
      </c>
      <c r="L4393" s="720" t="s">
        <v>109</v>
      </c>
      <c r="M4393" s="757" t="s">
        <v>120</v>
      </c>
      <c r="N4393" s="726"/>
      <c r="O4393" s="726"/>
      <c r="P4393" s="726"/>
      <c r="Q4393" s="727"/>
      <c r="R4393" s="458"/>
      <c r="S4393" s="459"/>
      <c r="T4393" s="460"/>
      <c r="U4393" s="219"/>
      <c r="V4393" s="464"/>
      <c r="Y4393" s="537">
        <f>0.4*PRESUPUESTOS!$H$16</f>
        <v>10.3124</v>
      </c>
      <c r="AA4393" s="540" t="e">
        <f>IF(AND(C4392&lt;=F4388,F4388&lt;&gt;""),VLOOKUP(VALUE(E4369&amp;","&amp;C4392),INTEGRANTES!$D$18:$F$235,2,0),"")</f>
        <v>#N/A</v>
      </c>
      <c r="AB4393" s="545" t="e">
        <f t="shared" si="1301"/>
        <v>#N/A</v>
      </c>
      <c r="AC4393" s="529"/>
      <c r="AD4393" s="200" t="e">
        <f t="shared" si="1302"/>
        <v>#N/A</v>
      </c>
      <c r="AE4393" s="52"/>
      <c r="AF4393" s="52"/>
      <c r="AG4393" s="52"/>
      <c r="AH4393" s="87"/>
      <c r="AI4393" s="87"/>
    </row>
    <row r="4394" spans="1:35" ht="27" hidden="1" customHeight="1" thickBot="1">
      <c r="A4394" s="218" t="e">
        <f>"R"&amp;E4369</f>
        <v>#N/A</v>
      </c>
      <c r="B4394" s="702"/>
      <c r="C4394" s="114">
        <v>5</v>
      </c>
      <c r="D4394" s="194" t="e">
        <f>IF(AND(C4394&lt;=F4388,F4388&lt;&gt;""),VLOOKUP(VALUE(E4369&amp;","&amp;C4394),INTEGRANTES!$D$18:$F$235,2,0),"")</f>
        <v>#N/A</v>
      </c>
      <c r="E4394" s="211" t="e">
        <f>IF(D4394&lt;&gt;"",VLOOKUP(VALUE(E4369&amp;","&amp;C4394),INTEGRANTES!$D$18:$F$235,3,0),"")</f>
        <v>#N/A</v>
      </c>
      <c r="F4394" s="547" t="e">
        <f>IF(D4394="","",SUMIF($I4373:$I4382,D4394,$P4373:$P4382))</f>
        <v>#N/A</v>
      </c>
      <c r="G4394" s="333" t="e">
        <f>IF(D4394="","",SUMIF($I4373:$I4382,D4394,$M4373:$M4382))</f>
        <v>#N/A</v>
      </c>
      <c r="H4394" s="535" t="e">
        <f t="shared" si="1298"/>
        <v>#N/A</v>
      </c>
      <c r="I4394" s="212" t="e">
        <f>IF(D4394="","",IF(H4394="NO APORTA","NO",IF(H4394=MAX($H4390:$H4395),"SI","NO")))</f>
        <v>#N/A</v>
      </c>
      <c r="J4394" s="213" t="e">
        <f t="shared" si="1299"/>
        <v>#N/A</v>
      </c>
      <c r="K4394" s="200" t="e">
        <f t="shared" si="1300"/>
        <v>#N/A</v>
      </c>
      <c r="L4394" s="721"/>
      <c r="M4394" s="715" t="s">
        <v>116</v>
      </c>
      <c r="N4394" s="716"/>
      <c r="O4394" s="556" t="str">
        <f>PORCREQUERIDO*100&amp;"% PMFO DEL MÓDULO"</f>
        <v>50% PMFO DEL MÓDULO</v>
      </c>
      <c r="P4394" s="715" t="s">
        <v>118</v>
      </c>
      <c r="Q4394" s="728"/>
      <c r="R4394" s="458"/>
      <c r="S4394" s="459"/>
      <c r="T4394" s="460"/>
      <c r="U4394" s="219"/>
      <c r="V4394" s="464"/>
      <c r="Y4394" s="414"/>
      <c r="AA4394" s="540" t="e">
        <f>IF(AND(C4393&lt;=F4388,F4388&lt;&gt;""),VLOOKUP(VALUE(E4369&amp;","&amp;C4393),INTEGRANTES!$D$18:$F$235,2,0),"")</f>
        <v>#N/A</v>
      </c>
      <c r="AB4394" s="545" t="e">
        <f t="shared" si="1301"/>
        <v>#N/A</v>
      </c>
      <c r="AC4394" s="529"/>
      <c r="AD4394" s="200" t="e">
        <f t="shared" si="1302"/>
        <v>#N/A</v>
      </c>
      <c r="AE4394" s="52"/>
      <c r="AF4394" s="52"/>
      <c r="AG4394" s="52"/>
      <c r="AH4394" s="87"/>
      <c r="AI4394" s="87"/>
    </row>
    <row r="4395" spans="1:35" ht="16.5" hidden="1" thickBot="1">
      <c r="A4395" s="218" t="e">
        <f>"S"&amp;E4369</f>
        <v>#N/A</v>
      </c>
      <c r="B4395" s="702"/>
      <c r="C4395" s="215">
        <v>6</v>
      </c>
      <c r="D4395" s="216" t="e">
        <f>IF(AND(C4395&lt;=F4388,F4388&lt;&gt;""),VLOOKUP(VALUE(E4369&amp;","&amp;C4395),INTEGRANTES!$D$18:$F$235,2,0),"")</f>
        <v>#N/A</v>
      </c>
      <c r="E4395" s="217" t="e">
        <f>IF(D4395&lt;&gt;"",VLOOKUP(VALUE(E4369&amp;","&amp;C4395),INTEGRANTES!$D$18:$F$235,3,0),"")</f>
        <v>#N/A</v>
      </c>
      <c r="F4395" s="548" t="e">
        <f>IF(D4395="","",SUMIF($I4373:$I4382,D4395,$P4373:$P4382))</f>
        <v>#N/A</v>
      </c>
      <c r="G4395" s="334" t="e">
        <f>IF(D4395="","",SUMIF($I4373:$I4382,D4395,$M4373:$M4382))</f>
        <v>#N/A</v>
      </c>
      <c r="H4395" s="536" t="e">
        <f t="shared" si="1298"/>
        <v>#N/A</v>
      </c>
      <c r="I4395" s="214" t="e">
        <f>IF(D4395="","",IF(H4395="NO APORTA","NO",IF(H4395=MAX($H4390:$H4395),"SI","NO")))</f>
        <v>#N/A</v>
      </c>
      <c r="J4395" s="213" t="e">
        <f t="shared" si="1299"/>
        <v>#N/A</v>
      </c>
      <c r="K4395" s="200" t="e">
        <f t="shared" si="1300"/>
        <v>#N/A</v>
      </c>
      <c r="L4395" s="721"/>
      <c r="M4395" s="729">
        <f>NUMMOD</f>
        <v>1</v>
      </c>
      <c r="N4395" s="730"/>
      <c r="O4395" s="443">
        <f>IF(M4395="","",ROUND(VLOOKUP(M4395,PRESUPUESTOS!$B$16:$H$16,7,FALSE),3))</f>
        <v>25.780999999999999</v>
      </c>
      <c r="P4395" s="713">
        <f>IF(OR(COUNTIF(P4373:P4382,"")&gt;=10,Q4389&lt;NUMMINCONT,OR(T4387="NO CUMPLE",T4387="VERIFICAR")),0,ROUND((SUM(P4373:P4382)/SUM(M4373:M4382)),3))</f>
        <v>0</v>
      </c>
      <c r="Q4395" s="714"/>
      <c r="R4395" s="458"/>
      <c r="S4395" s="459"/>
      <c r="T4395" s="460"/>
      <c r="U4395" s="219"/>
      <c r="V4395" s="464"/>
      <c r="Y4395" s="532" t="s">
        <v>343</v>
      </c>
      <c r="AA4395" s="540" t="e">
        <f>IF(AND(C4394&lt;=F4388,F4388&lt;&gt;""),VLOOKUP(VALUE(E4369&amp;","&amp;C4394),INTEGRANTES!$D$18:$F$235,2,0),"")</f>
        <v>#N/A</v>
      </c>
      <c r="AB4395" s="545" t="e">
        <f t="shared" si="1301"/>
        <v>#N/A</v>
      </c>
      <c r="AC4395" s="529"/>
      <c r="AD4395" s="200" t="e">
        <f t="shared" si="1302"/>
        <v>#N/A</v>
      </c>
      <c r="AE4395" s="52"/>
      <c r="AF4395" s="52"/>
      <c r="AG4395" s="52"/>
      <c r="AH4395" s="87"/>
      <c r="AI4395" s="87"/>
    </row>
    <row r="4396" spans="1:35" ht="16.5" hidden="1" customHeight="1" thickBot="1">
      <c r="A4396" s="218" t="e">
        <f>"T"&amp;E4369</f>
        <v>#N/A</v>
      </c>
      <c r="B4396" s="703"/>
      <c r="C4396" s="719"/>
      <c r="D4396" s="719"/>
      <c r="E4396" s="719"/>
      <c r="F4396" s="719"/>
      <c r="G4396" s="719"/>
      <c r="H4396" s="719" t="s">
        <v>110</v>
      </c>
      <c r="I4396" s="719"/>
      <c r="J4396" s="719"/>
      <c r="K4396" s="201" t="str">
        <f>IF(COUNTIF(K4390:K4395,"")=6,"",IF(COUNTIF(K4390:K4395,"CUMPLE")&gt;0,"CUMPLE","NO CUMPLE"))</f>
        <v>NO CUMPLE</v>
      </c>
      <c r="L4396" s="754"/>
      <c r="M4396" s="755"/>
      <c r="N4396" s="755"/>
      <c r="O4396" s="755"/>
      <c r="P4396" s="755"/>
      <c r="Q4396" s="756"/>
      <c r="R4396" s="461"/>
      <c r="S4396" s="462"/>
      <c r="T4396" s="463"/>
      <c r="U4396" s="219"/>
      <c r="V4396" s="464"/>
      <c r="Y4396" s="549" t="e">
        <f>IF(Y4390="NO APLICA","NO APLICA",IF(COUNTIF(AD4391:AD4396,"CUMPLE")&gt;0,"CUMPLE","NO CUMPLE"))</f>
        <v>#N/A</v>
      </c>
      <c r="AA4396" s="541" t="e">
        <f>IF(AND(C4395&lt;=F4388,F4388&lt;&gt;""),VLOOKUP(VALUE(E4369&amp;","&amp;C4395),INTEGRANTES!$D$18:$F$235,2,0),"")</f>
        <v>#N/A</v>
      </c>
      <c r="AB4396" s="546" t="e">
        <f t="shared" si="1301"/>
        <v>#N/A</v>
      </c>
      <c r="AC4396" s="543"/>
      <c r="AD4396" s="201" t="e">
        <f t="shared" si="1302"/>
        <v>#N/A</v>
      </c>
      <c r="AE4396" s="52"/>
      <c r="AF4396" s="52"/>
      <c r="AG4396" s="52"/>
      <c r="AH4396" s="87"/>
      <c r="AI4396" s="87"/>
    </row>
    <row r="4397" spans="1:35" hidden="1">
      <c r="AH4397" s="87"/>
      <c r="AI4397" s="87"/>
    </row>
    <row r="4398" spans="1:35" hidden="1">
      <c r="AH4398" s="87"/>
      <c r="AI4398" s="87"/>
    </row>
    <row r="4399" spans="1:35" ht="24" hidden="1" thickBot="1">
      <c r="A4399" s="61">
        <v>147</v>
      </c>
      <c r="B4399" s="704" t="s">
        <v>51</v>
      </c>
      <c r="C4399" s="704"/>
      <c r="D4399" s="704"/>
      <c r="E4399" s="62" t="e">
        <f>VLOOKUP(A4399,PROPONENTES!$B$19:$E$218,2,FALSE)</f>
        <v>#N/A</v>
      </c>
      <c r="F4399" s="63" t="e">
        <f>VLOOKUP(A4399,PROPONENTES!$B$19:$E$218,3,FALSE)</f>
        <v>#N/A</v>
      </c>
      <c r="G4399" s="64"/>
      <c r="H4399" s="64"/>
      <c r="I4399" s="63"/>
      <c r="J4399" s="63"/>
      <c r="K4399" s="65"/>
      <c r="L4399" s="65"/>
      <c r="M4399" s="64"/>
      <c r="N4399" s="64"/>
      <c r="O4399" s="66"/>
      <c r="P4399" s="66"/>
      <c r="Q4399" s="66"/>
      <c r="R4399" s="66"/>
      <c r="S4399" s="67"/>
      <c r="T4399" s="68"/>
      <c r="U4399" s="68"/>
      <c r="AC4399" s="68"/>
      <c r="AD4399" s="68"/>
      <c r="AE4399" s="68"/>
      <c r="AF4399" s="68"/>
      <c r="AG4399" s="68"/>
      <c r="AH4399" s="87"/>
      <c r="AI4399" s="87"/>
    </row>
    <row r="4400" spans="1:35" ht="15.75" hidden="1" customHeight="1">
      <c r="A4400" s="44"/>
      <c r="B4400" s="709" t="s">
        <v>59</v>
      </c>
      <c r="C4400" s="552" t="s">
        <v>60</v>
      </c>
      <c r="D4400" s="70" t="s">
        <v>17</v>
      </c>
      <c r="E4400" s="70"/>
      <c r="F4400" s="70" t="s">
        <v>61</v>
      </c>
      <c r="G4400" s="71"/>
      <c r="H4400" s="699" t="s">
        <v>62</v>
      </c>
      <c r="I4400" s="699" t="s">
        <v>18</v>
      </c>
      <c r="J4400" s="699" t="s">
        <v>63</v>
      </c>
      <c r="K4400" s="699" t="s">
        <v>64</v>
      </c>
      <c r="L4400" s="699" t="s">
        <v>65</v>
      </c>
      <c r="M4400" s="743" t="s">
        <v>66</v>
      </c>
      <c r="N4400" s="699" t="s">
        <v>282</v>
      </c>
      <c r="O4400" s="745" t="s">
        <v>67</v>
      </c>
      <c r="P4400" s="746"/>
      <c r="Q4400" s="102" t="s">
        <v>75</v>
      </c>
      <c r="R4400" s="731" t="s">
        <v>22</v>
      </c>
      <c r="S4400" s="732"/>
      <c r="T4400" s="733"/>
      <c r="U4400" s="712" t="s">
        <v>298</v>
      </c>
      <c r="W4400" s="690" t="s">
        <v>268</v>
      </c>
      <c r="X4400" s="691"/>
      <c r="Y4400" s="692"/>
      <c r="Z4400" s="428"/>
      <c r="AA4400" s="697" t="s">
        <v>315</v>
      </c>
      <c r="AB4400" s="695" t="s">
        <v>322</v>
      </c>
      <c r="AC4400" s="49"/>
      <c r="AD4400" s="690" t="s">
        <v>297</v>
      </c>
      <c r="AE4400" s="691"/>
      <c r="AF4400" s="692"/>
      <c r="AG4400" s="49"/>
      <c r="AH4400" s="87"/>
      <c r="AI4400" s="87"/>
    </row>
    <row r="4401" spans="1:35" ht="72" hidden="1">
      <c r="A4401" s="44"/>
      <c r="B4401" s="710"/>
      <c r="C4401" s="553" t="s">
        <v>68</v>
      </c>
      <c r="D4401" s="73" t="s">
        <v>3</v>
      </c>
      <c r="E4401" s="73" t="s">
        <v>19</v>
      </c>
      <c r="F4401" s="73" t="s">
        <v>69</v>
      </c>
      <c r="G4401" s="74" t="s">
        <v>70</v>
      </c>
      <c r="H4401" s="700"/>
      <c r="I4401" s="700"/>
      <c r="J4401" s="700"/>
      <c r="K4401" s="700"/>
      <c r="L4401" s="700"/>
      <c r="M4401" s="744"/>
      <c r="N4401" s="700"/>
      <c r="O4401" s="553" t="s">
        <v>279</v>
      </c>
      <c r="P4401" s="73" t="s">
        <v>88</v>
      </c>
      <c r="Q4401" s="555" t="s">
        <v>76</v>
      </c>
      <c r="R4401" s="734"/>
      <c r="S4401" s="735"/>
      <c r="T4401" s="736"/>
      <c r="U4401" s="712"/>
      <c r="W4401" s="429" t="s">
        <v>269</v>
      </c>
      <c r="X4401" s="457" t="s">
        <v>278</v>
      </c>
      <c r="Y4401" s="430" t="s">
        <v>324</v>
      </c>
      <c r="Z4401" s="428"/>
      <c r="AA4401" s="698"/>
      <c r="AB4401" s="696"/>
      <c r="AC4401" s="49"/>
      <c r="AD4401" s="429" t="s">
        <v>292</v>
      </c>
      <c r="AE4401" s="431" t="s">
        <v>300</v>
      </c>
      <c r="AF4401" s="468" t="s">
        <v>301</v>
      </c>
      <c r="AG4401" s="49"/>
      <c r="AH4401" s="87"/>
      <c r="AI4401" s="87"/>
    </row>
    <row r="4402" spans="1:35" hidden="1">
      <c r="A4402" s="44"/>
      <c r="B4402" s="76"/>
      <c r="C4402" s="77"/>
      <c r="D4402" s="77"/>
      <c r="E4402" s="77"/>
      <c r="F4402" s="77"/>
      <c r="G4402" s="77"/>
      <c r="H4402" s="77"/>
      <c r="I4402" s="77"/>
      <c r="J4402" s="77"/>
      <c r="K4402" s="77"/>
      <c r="L4402" s="77"/>
      <c r="M4402" s="77"/>
      <c r="N4402" s="77"/>
      <c r="O4402" s="77"/>
      <c r="P4402" s="77"/>
      <c r="Q4402" s="77"/>
      <c r="R4402" s="77"/>
      <c r="S4402" s="78"/>
      <c r="T4402" s="79"/>
      <c r="U4402" s="109"/>
      <c r="V4402" s="49"/>
      <c r="W4402" s="432"/>
      <c r="X4402" s="454"/>
      <c r="Y4402" s="433"/>
      <c r="Z4402" s="6"/>
      <c r="AA4402" s="500"/>
      <c r="AB4402" s="562"/>
      <c r="AC4402" s="49"/>
      <c r="AD4402" s="210"/>
      <c r="AE4402" s="434"/>
      <c r="AF4402" s="435"/>
      <c r="AG4402" s="49"/>
      <c r="AH4402" s="87"/>
      <c r="AI4402" s="87"/>
    </row>
    <row r="4403" spans="1:35" hidden="1">
      <c r="A4403" s="80" t="e">
        <f>"A"&amp;E4399</f>
        <v>#N/A</v>
      </c>
      <c r="B4403" s="81">
        <v>1</v>
      </c>
      <c r="C4403" s="82"/>
      <c r="D4403" s="82"/>
      <c r="E4403" s="82"/>
      <c r="F4403" s="82"/>
      <c r="G4403" s="83"/>
      <c r="H4403" s="83"/>
      <c r="I4403" s="84"/>
      <c r="J4403" s="85"/>
      <c r="K4403" s="382"/>
      <c r="L4403" s="85"/>
      <c r="M4403" s="332" t="str">
        <f t="shared" ref="M4403:M4412" si="1303">IF(OR(J4403="",L4403="",H4403="NO"),"",IF(OR(J4403&gt;$P$17,J4403&lt;$O$17,L4403&gt;$P$17,AND(J4403&lt;$O$17,L4403&lt;$O$17)),"FUERA DE RANGO",IF(OR(K4403="---",K4403=""),IF(J4403&gt;=$O$17,ROUND((L4403-J4403+1)/360*12,3),ROUND((L4403-$O$17+1)/360*12,3)),IF(J4403&gt;=$O$17,ROUND((L4403-J4403+1)/360*12-ROUND(K4403,3),3),ROUND((L4403-$O$17+1)/360*12-ROUND(K4403,3),3)))))</f>
        <v/>
      </c>
      <c r="N4403" s="86"/>
      <c r="O4403" s="453" t="str">
        <f>IF(OR(G4403="",N4403=""),"",N4403*G4403)</f>
        <v/>
      </c>
      <c r="P4403" s="538" t="str">
        <f>IF(OR(H4403="",M4403="FUERA DE RANGO"),"",IF(OR(L4403&lt;$O$17,L4403&gt;$P$17,L4403="",H4403="NO"),"",IF(OR(N4403="",O4403=""),"",ROUND(O4403,3))))</f>
        <v/>
      </c>
      <c r="Q4403" s="539" t="str">
        <f t="shared" ref="Q4403:Q4412" si="1304">IF(AND(H4403="SI",P4403&lt;&gt;""),ROUND(P4403/M4403,3),"")</f>
        <v/>
      </c>
      <c r="R4403" s="737"/>
      <c r="S4403" s="738"/>
      <c r="T4403" s="739"/>
      <c r="U4403" s="470"/>
      <c r="V4403" s="165"/>
      <c r="W4403" s="446"/>
      <c r="X4403" s="456"/>
      <c r="Y4403" s="436"/>
      <c r="Z4403" s="437"/>
      <c r="AA4403" s="560"/>
      <c r="AB4403" s="561"/>
      <c r="AC4403" s="87"/>
      <c r="AD4403" s="466"/>
      <c r="AE4403" s="456"/>
      <c r="AF4403" s="467"/>
      <c r="AG4403" s="87"/>
      <c r="AH4403" s="87"/>
      <c r="AI4403" s="87"/>
    </row>
    <row r="4404" spans="1:35" hidden="1">
      <c r="A4404" s="80" t="e">
        <f>"B"&amp;E4399</f>
        <v>#N/A</v>
      </c>
      <c r="B4404" s="81">
        <v>2</v>
      </c>
      <c r="C4404" s="106"/>
      <c r="D4404" s="106"/>
      <c r="E4404" s="106"/>
      <c r="F4404" s="106"/>
      <c r="G4404" s="83"/>
      <c r="H4404" s="83"/>
      <c r="I4404" s="84"/>
      <c r="J4404" s="85"/>
      <c r="K4404" s="382"/>
      <c r="L4404" s="85"/>
      <c r="M4404" s="332" t="str">
        <f t="shared" si="1303"/>
        <v/>
      </c>
      <c r="N4404" s="86"/>
      <c r="O4404" s="453" t="str">
        <f t="shared" ref="O4404:O4412" si="1305">IF(OR(G4404="",N4404=""),"",N4404*G4404)</f>
        <v/>
      </c>
      <c r="P4404" s="538" t="str">
        <f t="shared" ref="P4404:P4412" si="1306">IF(OR(H4404="",M4404="FUERA DE RANGO"),"",IF(OR(L4404&lt;$O$17,L4404&gt;$P$17,L4404="",H4404="NO"),"",IF(OR(N4404="",O4404=""),"",ROUND(O4404,3))))</f>
        <v/>
      </c>
      <c r="Q4404" s="539" t="str">
        <f t="shared" si="1304"/>
        <v/>
      </c>
      <c r="R4404" s="740"/>
      <c r="S4404" s="741"/>
      <c r="T4404" s="742"/>
      <c r="U4404" s="471"/>
      <c r="V4404" s="165"/>
      <c r="W4404" s="446"/>
      <c r="X4404" s="456"/>
      <c r="Y4404" s="436"/>
      <c r="Z4404" s="437"/>
      <c r="AA4404" s="560"/>
      <c r="AB4404" s="561"/>
      <c r="AC4404" s="87"/>
      <c r="AD4404" s="466"/>
      <c r="AE4404" s="456"/>
      <c r="AF4404" s="467"/>
      <c r="AG4404" s="87"/>
      <c r="AH4404" s="87"/>
      <c r="AI4404" s="87"/>
    </row>
    <row r="4405" spans="1:35" hidden="1">
      <c r="A4405" s="80" t="e">
        <f>"C"&amp;E4399</f>
        <v>#N/A</v>
      </c>
      <c r="B4405" s="88">
        <v>3</v>
      </c>
      <c r="C4405" s="82"/>
      <c r="D4405" s="82"/>
      <c r="E4405" s="82"/>
      <c r="F4405" s="82"/>
      <c r="G4405" s="83"/>
      <c r="H4405" s="83"/>
      <c r="I4405" s="84"/>
      <c r="J4405" s="85"/>
      <c r="K4405" s="382"/>
      <c r="L4405" s="85"/>
      <c r="M4405" s="332" t="str">
        <f t="shared" si="1303"/>
        <v/>
      </c>
      <c r="N4405" s="86"/>
      <c r="O4405" s="453" t="str">
        <f t="shared" si="1305"/>
        <v/>
      </c>
      <c r="P4405" s="538" t="str">
        <f t="shared" si="1306"/>
        <v/>
      </c>
      <c r="Q4405" s="539" t="str">
        <f t="shared" si="1304"/>
        <v/>
      </c>
      <c r="R4405" s="706"/>
      <c r="S4405" s="707"/>
      <c r="T4405" s="708"/>
      <c r="U4405" s="472"/>
      <c r="V4405" s="166"/>
      <c r="W4405" s="446"/>
      <c r="X4405" s="456"/>
      <c r="Y4405" s="436"/>
      <c r="Z4405" s="437"/>
      <c r="AA4405" s="560"/>
      <c r="AB4405" s="561"/>
      <c r="AC4405" s="87"/>
      <c r="AD4405" s="466"/>
      <c r="AE4405" s="456"/>
      <c r="AF4405" s="467"/>
      <c r="AG4405" s="87"/>
      <c r="AH4405" s="87"/>
      <c r="AI4405" s="87"/>
    </row>
    <row r="4406" spans="1:35" hidden="1">
      <c r="A4406" s="80" t="e">
        <f>"D"&amp;E4399</f>
        <v>#N/A</v>
      </c>
      <c r="B4406" s="105">
        <v>4</v>
      </c>
      <c r="C4406" s="107"/>
      <c r="D4406" s="107"/>
      <c r="E4406" s="107"/>
      <c r="F4406" s="107"/>
      <c r="G4406" s="83"/>
      <c r="H4406" s="83"/>
      <c r="I4406" s="84"/>
      <c r="J4406" s="85"/>
      <c r="K4406" s="382"/>
      <c r="L4406" s="85"/>
      <c r="M4406" s="332" t="str">
        <f t="shared" si="1303"/>
        <v/>
      </c>
      <c r="N4406" s="86"/>
      <c r="O4406" s="453" t="str">
        <f t="shared" si="1305"/>
        <v/>
      </c>
      <c r="P4406" s="538" t="str">
        <f t="shared" si="1306"/>
        <v/>
      </c>
      <c r="Q4406" s="539" t="str">
        <f t="shared" si="1304"/>
        <v/>
      </c>
      <c r="R4406" s="706"/>
      <c r="S4406" s="707"/>
      <c r="T4406" s="708"/>
      <c r="U4406" s="472"/>
      <c r="V4406" s="166"/>
      <c r="W4406" s="446"/>
      <c r="X4406" s="456"/>
      <c r="Y4406" s="436"/>
      <c r="Z4406" s="437"/>
      <c r="AA4406" s="560"/>
      <c r="AB4406" s="561"/>
      <c r="AC4406" s="87"/>
      <c r="AD4406" s="466"/>
      <c r="AE4406" s="456"/>
      <c r="AF4406" s="467"/>
      <c r="AG4406" s="87"/>
      <c r="AH4406" s="87"/>
      <c r="AI4406" s="87"/>
    </row>
    <row r="4407" spans="1:35" hidden="1">
      <c r="A4407" s="80" t="e">
        <f>"E"&amp;E4399</f>
        <v>#N/A</v>
      </c>
      <c r="B4407" s="105">
        <v>5</v>
      </c>
      <c r="C4407" s="107"/>
      <c r="D4407" s="107"/>
      <c r="E4407" s="107"/>
      <c r="F4407" s="107"/>
      <c r="G4407" s="83"/>
      <c r="H4407" s="83"/>
      <c r="I4407" s="84"/>
      <c r="J4407" s="85"/>
      <c r="K4407" s="382"/>
      <c r="L4407" s="85"/>
      <c r="M4407" s="332" t="str">
        <f t="shared" si="1303"/>
        <v/>
      </c>
      <c r="N4407" s="86"/>
      <c r="O4407" s="453" t="str">
        <f t="shared" si="1305"/>
        <v/>
      </c>
      <c r="P4407" s="538" t="str">
        <f t="shared" si="1306"/>
        <v/>
      </c>
      <c r="Q4407" s="539" t="str">
        <f t="shared" si="1304"/>
        <v/>
      </c>
      <c r="R4407" s="706"/>
      <c r="S4407" s="707"/>
      <c r="T4407" s="708"/>
      <c r="U4407" s="472"/>
      <c r="V4407" s="167"/>
      <c r="W4407" s="446"/>
      <c r="X4407" s="456"/>
      <c r="Y4407" s="436"/>
      <c r="Z4407" s="437"/>
      <c r="AA4407" s="560"/>
      <c r="AB4407" s="561"/>
      <c r="AC4407" s="87"/>
      <c r="AD4407" s="466"/>
      <c r="AE4407" s="456"/>
      <c r="AF4407" s="467"/>
      <c r="AG4407" s="87"/>
      <c r="AH4407" s="87"/>
      <c r="AI4407" s="87"/>
    </row>
    <row r="4408" spans="1:35" hidden="1">
      <c r="A4408" s="80" t="e">
        <f>"F"&amp;E4399</f>
        <v>#N/A</v>
      </c>
      <c r="B4408" s="105">
        <v>6</v>
      </c>
      <c r="C4408" s="107"/>
      <c r="D4408" s="107"/>
      <c r="E4408" s="107"/>
      <c r="F4408" s="107"/>
      <c r="G4408" s="83"/>
      <c r="H4408" s="83"/>
      <c r="I4408" s="84"/>
      <c r="J4408" s="85"/>
      <c r="K4408" s="382"/>
      <c r="L4408" s="85"/>
      <c r="M4408" s="332" t="str">
        <f t="shared" si="1303"/>
        <v/>
      </c>
      <c r="N4408" s="86"/>
      <c r="O4408" s="453" t="str">
        <f t="shared" si="1305"/>
        <v/>
      </c>
      <c r="P4408" s="538" t="str">
        <f t="shared" si="1306"/>
        <v/>
      </c>
      <c r="Q4408" s="539" t="str">
        <f t="shared" si="1304"/>
        <v/>
      </c>
      <c r="R4408" s="706"/>
      <c r="S4408" s="707"/>
      <c r="T4408" s="708"/>
      <c r="U4408" s="472"/>
      <c r="V4408" s="167"/>
      <c r="W4408" s="446"/>
      <c r="X4408" s="456"/>
      <c r="Y4408" s="436"/>
      <c r="Z4408" s="437"/>
      <c r="AA4408" s="560"/>
      <c r="AB4408" s="561"/>
      <c r="AC4408" s="87"/>
      <c r="AD4408" s="466"/>
      <c r="AE4408" s="456"/>
      <c r="AF4408" s="467"/>
      <c r="AG4408" s="87"/>
      <c r="AH4408" s="87"/>
      <c r="AI4408" s="87"/>
    </row>
    <row r="4409" spans="1:35" hidden="1">
      <c r="A4409" s="80" t="e">
        <f>"G"&amp;E4399</f>
        <v>#N/A</v>
      </c>
      <c r="B4409" s="105">
        <v>7</v>
      </c>
      <c r="C4409" s="107"/>
      <c r="D4409" s="107"/>
      <c r="E4409" s="107"/>
      <c r="F4409" s="107"/>
      <c r="G4409" s="83"/>
      <c r="H4409" s="83"/>
      <c r="I4409" s="84"/>
      <c r="J4409" s="85"/>
      <c r="K4409" s="382"/>
      <c r="L4409" s="85"/>
      <c r="M4409" s="332" t="str">
        <f t="shared" si="1303"/>
        <v/>
      </c>
      <c r="N4409" s="86"/>
      <c r="O4409" s="86" t="str">
        <f t="shared" si="1305"/>
        <v/>
      </c>
      <c r="P4409" s="538" t="str">
        <f t="shared" si="1306"/>
        <v/>
      </c>
      <c r="Q4409" s="539" t="str">
        <f t="shared" si="1304"/>
        <v/>
      </c>
      <c r="R4409" s="706"/>
      <c r="S4409" s="707"/>
      <c r="T4409" s="708"/>
      <c r="U4409" s="472"/>
      <c r="V4409" s="167"/>
      <c r="W4409" s="446"/>
      <c r="X4409" s="456"/>
      <c r="Y4409" s="436"/>
      <c r="Z4409" s="437"/>
      <c r="AA4409" s="560"/>
      <c r="AB4409" s="561"/>
      <c r="AC4409" s="87"/>
      <c r="AD4409" s="466"/>
      <c r="AE4409" s="456"/>
      <c r="AF4409" s="467"/>
      <c r="AG4409" s="87"/>
      <c r="AH4409" s="87"/>
      <c r="AI4409" s="87"/>
    </row>
    <row r="4410" spans="1:35" hidden="1">
      <c r="A4410" s="80" t="e">
        <f>"H"&amp;E4399</f>
        <v>#N/A</v>
      </c>
      <c r="B4410" s="105">
        <v>8</v>
      </c>
      <c r="C4410" s="107"/>
      <c r="D4410" s="107"/>
      <c r="E4410" s="107"/>
      <c r="F4410" s="107"/>
      <c r="G4410" s="83"/>
      <c r="H4410" s="83"/>
      <c r="I4410" s="84"/>
      <c r="J4410" s="85"/>
      <c r="K4410" s="382"/>
      <c r="L4410" s="85"/>
      <c r="M4410" s="332" t="str">
        <f t="shared" si="1303"/>
        <v/>
      </c>
      <c r="N4410" s="453"/>
      <c r="O4410" s="86" t="str">
        <f t="shared" si="1305"/>
        <v/>
      </c>
      <c r="P4410" s="538" t="str">
        <f t="shared" si="1306"/>
        <v/>
      </c>
      <c r="Q4410" s="539" t="str">
        <f t="shared" si="1304"/>
        <v/>
      </c>
      <c r="R4410" s="706"/>
      <c r="S4410" s="707"/>
      <c r="T4410" s="708"/>
      <c r="U4410" s="472"/>
      <c r="V4410" s="167"/>
      <c r="W4410" s="446"/>
      <c r="X4410" s="456"/>
      <c r="Y4410" s="436"/>
      <c r="Z4410" s="437"/>
      <c r="AA4410" s="560"/>
      <c r="AB4410" s="561"/>
      <c r="AC4410" s="87"/>
      <c r="AD4410" s="466"/>
      <c r="AE4410" s="456"/>
      <c r="AF4410" s="467"/>
      <c r="AG4410" s="87"/>
      <c r="AH4410" s="87"/>
      <c r="AI4410" s="87"/>
    </row>
    <row r="4411" spans="1:35" hidden="1">
      <c r="A4411" s="80" t="e">
        <f>"I"&amp;E4399</f>
        <v>#N/A</v>
      </c>
      <c r="B4411" s="105">
        <v>9</v>
      </c>
      <c r="C4411" s="107"/>
      <c r="D4411" s="107"/>
      <c r="E4411" s="107"/>
      <c r="F4411" s="107"/>
      <c r="G4411" s="83"/>
      <c r="H4411" s="83"/>
      <c r="I4411" s="84"/>
      <c r="J4411" s="85"/>
      <c r="K4411" s="382"/>
      <c r="L4411" s="85"/>
      <c r="M4411" s="332" t="str">
        <f t="shared" si="1303"/>
        <v/>
      </c>
      <c r="N4411" s="453"/>
      <c r="O4411" s="86" t="str">
        <f t="shared" si="1305"/>
        <v/>
      </c>
      <c r="P4411" s="538" t="str">
        <f t="shared" si="1306"/>
        <v/>
      </c>
      <c r="Q4411" s="539" t="str">
        <f t="shared" si="1304"/>
        <v/>
      </c>
      <c r="R4411" s="706"/>
      <c r="S4411" s="707"/>
      <c r="T4411" s="708"/>
      <c r="U4411" s="472"/>
      <c r="V4411" s="167"/>
      <c r="W4411" s="446"/>
      <c r="X4411" s="456"/>
      <c r="Y4411" s="436"/>
      <c r="Z4411" s="437"/>
      <c r="AA4411" s="560"/>
      <c r="AB4411" s="561"/>
      <c r="AC4411" s="87"/>
      <c r="AD4411" s="466"/>
      <c r="AE4411" s="456"/>
      <c r="AF4411" s="467"/>
      <c r="AG4411" s="87"/>
      <c r="AH4411" s="87"/>
      <c r="AI4411" s="87"/>
    </row>
    <row r="4412" spans="1:35" hidden="1">
      <c r="A4412" s="80" t="e">
        <f>"J"&amp;E4399</f>
        <v>#N/A</v>
      </c>
      <c r="B4412" s="105">
        <v>10</v>
      </c>
      <c r="C4412" s="107"/>
      <c r="D4412" s="107"/>
      <c r="E4412" s="107"/>
      <c r="F4412" s="107"/>
      <c r="G4412" s="83"/>
      <c r="H4412" s="83"/>
      <c r="I4412" s="84"/>
      <c r="J4412" s="85"/>
      <c r="K4412" s="382"/>
      <c r="L4412" s="85"/>
      <c r="M4412" s="332" t="str">
        <f t="shared" si="1303"/>
        <v/>
      </c>
      <c r="N4412" s="453"/>
      <c r="O4412" s="86" t="str">
        <f t="shared" si="1305"/>
        <v/>
      </c>
      <c r="P4412" s="538" t="str">
        <f t="shared" si="1306"/>
        <v/>
      </c>
      <c r="Q4412" s="539" t="str">
        <f t="shared" si="1304"/>
        <v/>
      </c>
      <c r="R4412" s="706"/>
      <c r="S4412" s="707"/>
      <c r="T4412" s="708"/>
      <c r="U4412" s="472"/>
      <c r="V4412" s="167"/>
      <c r="W4412" s="446"/>
      <c r="X4412" s="456"/>
      <c r="Y4412" s="436"/>
      <c r="Z4412" s="437"/>
      <c r="AA4412" s="560"/>
      <c r="AB4412" s="561"/>
      <c r="AC4412" s="87"/>
      <c r="AD4412" s="466"/>
      <c r="AE4412" s="456"/>
      <c r="AF4412" s="467"/>
      <c r="AG4412" s="87"/>
      <c r="AH4412" s="87"/>
      <c r="AI4412" s="87"/>
    </row>
    <row r="4413" spans="1:35" ht="16.5" hidden="1" thickBot="1">
      <c r="A4413" s="44"/>
      <c r="B4413" s="89"/>
      <c r="C4413" s="90"/>
      <c r="D4413" s="90"/>
      <c r="E4413" s="90"/>
      <c r="F4413" s="90"/>
      <c r="G4413" s="90"/>
      <c r="H4413" s="90"/>
      <c r="I4413" s="90"/>
      <c r="J4413" s="90"/>
      <c r="K4413" s="90"/>
      <c r="L4413" s="90"/>
      <c r="M4413" s="90"/>
      <c r="N4413" s="90"/>
      <c r="O4413" s="90"/>
      <c r="P4413" s="90"/>
      <c r="Q4413" s="90"/>
      <c r="R4413" s="90"/>
      <c r="S4413" s="91"/>
      <c r="T4413" s="92"/>
      <c r="U4413" s="473"/>
      <c r="W4413" s="438"/>
      <c r="X4413" s="455"/>
      <c r="Y4413" s="439"/>
      <c r="Z4413" s="437"/>
      <c r="AA4413" s="530"/>
      <c r="AB4413" s="563"/>
      <c r="AC4413" s="87"/>
      <c r="AD4413" s="440"/>
      <c r="AE4413" s="441"/>
      <c r="AF4413" s="442"/>
      <c r="AG4413" s="49"/>
      <c r="AH4413" s="87"/>
      <c r="AI4413" s="87"/>
    </row>
    <row r="4414" spans="1:35" ht="16.5" hidden="1" thickBot="1">
      <c r="A4414" s="93"/>
      <c r="B4414" s="94"/>
      <c r="C4414" s="96"/>
      <c r="D4414" s="96"/>
      <c r="E4414" s="96"/>
      <c r="F4414" s="96"/>
      <c r="G4414" s="96"/>
      <c r="H4414" s="96"/>
      <c r="I4414" s="96"/>
      <c r="J4414" s="96"/>
      <c r="K4414" s="96"/>
      <c r="L4414" s="96"/>
      <c r="M4414" s="136"/>
      <c r="N4414" s="96"/>
      <c r="O4414" s="96"/>
      <c r="P4414" s="97"/>
      <c r="Q4414" s="97"/>
      <c r="R4414" s="98"/>
      <c r="S4414" s="95"/>
      <c r="T4414" s="99"/>
      <c r="U4414" s="469"/>
      <c r="AC4414" s="58"/>
      <c r="AG4414" s="58"/>
      <c r="AH4414" s="87"/>
      <c r="AI4414" s="87"/>
    </row>
    <row r="4415" spans="1:35" ht="16.5" hidden="1" thickBot="1">
      <c r="B4415" s="101"/>
      <c r="C4415" s="101"/>
      <c r="D4415" s="101"/>
      <c r="E4415" s="101"/>
      <c r="F4415" s="101"/>
      <c r="G4415" s="101"/>
      <c r="H4415" s="101"/>
      <c r="I4415" s="101"/>
      <c r="J4415" s="101"/>
      <c r="K4415" s="101"/>
      <c r="L4415" s="101"/>
      <c r="M4415" s="101"/>
      <c r="N4415" s="101"/>
      <c r="O4415" s="101"/>
      <c r="P4415" s="101"/>
      <c r="Q4415" s="101"/>
      <c r="R4415" s="101"/>
      <c r="S4415" s="101"/>
      <c r="U4415" s="50"/>
      <c r="AH4415" s="87"/>
      <c r="AI4415" s="87"/>
    </row>
    <row r="4416" spans="1:35" ht="16.5" hidden="1" customHeight="1" thickBot="1">
      <c r="A4416" s="44"/>
      <c r="B4416" s="705" t="s">
        <v>74</v>
      </c>
      <c r="C4416" s="705"/>
      <c r="D4416" s="705"/>
      <c r="E4416" s="705"/>
      <c r="F4416" s="705"/>
      <c r="G4416" s="705"/>
      <c r="H4416" s="705"/>
      <c r="I4416" s="705"/>
      <c r="J4416" s="705"/>
      <c r="K4416" s="705"/>
      <c r="L4416" s="705"/>
      <c r="M4416" s="705"/>
      <c r="N4416" s="705"/>
      <c r="O4416" s="705"/>
      <c r="P4416" s="705"/>
      <c r="Q4416" s="705"/>
      <c r="R4416" s="705"/>
      <c r="S4416" s="705"/>
      <c r="T4416" s="705"/>
      <c r="U4416" s="108"/>
      <c r="Y4416" s="532" t="s">
        <v>341</v>
      </c>
      <c r="AC4416" s="49"/>
      <c r="AD4416" s="687" t="s">
        <v>302</v>
      </c>
      <c r="AE4416" s="688"/>
      <c r="AF4416" s="689"/>
      <c r="AG4416" s="49"/>
      <c r="AH4416" s="87"/>
      <c r="AI4416" s="87"/>
    </row>
    <row r="4417" spans="1:35" ht="16.5" hidden="1" customHeight="1" thickBot="1">
      <c r="A4417" s="218" t="e">
        <f>"K"&amp;E4399</f>
        <v>#N/A</v>
      </c>
      <c r="B4417" s="701" t="s">
        <v>71</v>
      </c>
      <c r="C4417" s="751" t="s">
        <v>102</v>
      </c>
      <c r="D4417" s="751"/>
      <c r="E4417" s="751"/>
      <c r="F4417" s="751"/>
      <c r="G4417" s="751"/>
      <c r="H4417" s="751"/>
      <c r="I4417" s="751"/>
      <c r="J4417" s="751"/>
      <c r="K4417" s="751"/>
      <c r="L4417" s="722" t="s">
        <v>100</v>
      </c>
      <c r="M4417" s="747" t="s">
        <v>114</v>
      </c>
      <c r="N4417" s="747"/>
      <c r="O4417" s="747"/>
      <c r="P4417" s="747"/>
      <c r="Q4417" s="748"/>
      <c r="R4417" s="758" t="s">
        <v>280</v>
      </c>
      <c r="S4417" s="748"/>
      <c r="T4417" s="762" t="str">
        <f>IF(COUNTIF(AE4417:AF4417,"VERIFICAR")&gt;0,"VERIFICAR",IF(COUNTIF(AE4417:AF4417,"NO CUMPLE")&gt;0,"NO CUMPLE","CUMPLE"))</f>
        <v>VERIFICAR</v>
      </c>
      <c r="U4417" s="108"/>
      <c r="Y4417" s="533" t="e">
        <f>IF(F4418="","",IF(F4418=1,"INDIVIDUAL","ESTRUCTURA PLURAL"))</f>
        <v>#N/A</v>
      </c>
      <c r="AC4417" s="52"/>
      <c r="AD4417" s="475" t="s">
        <v>303</v>
      </c>
      <c r="AE4417" s="476" t="str">
        <f>IF(COUNTIF(AE4403:AE4412,"")=10,"VERIFICAR",IF(COUNTIF(AE4403:AE4412,"SI")&gt;0,"CUMPLE","NO CUMPLE"))</f>
        <v>VERIFICAR</v>
      </c>
      <c r="AF4417" s="477" t="str">
        <f>IF(COUNTIF(AF4403:AF4412,"")=10,"VERIFICAR",IF(COUNTIF(AF4403:AF4412,"SI")&gt;=$AI$22,"CUMPLE","NO CUMPLE"))</f>
        <v>VERIFICAR</v>
      </c>
      <c r="AG4417" s="52"/>
      <c r="AH4417" s="87"/>
      <c r="AI4417" s="87"/>
    </row>
    <row r="4418" spans="1:35" ht="15.75" hidden="1" customHeight="1" thickBot="1">
      <c r="A4418" s="218" t="e">
        <f>"L"&amp;E4399</f>
        <v>#N/A</v>
      </c>
      <c r="B4418" s="702"/>
      <c r="C4418" s="751" t="s">
        <v>103</v>
      </c>
      <c r="D4418" s="751"/>
      <c r="E4418" s="752"/>
      <c r="F4418" s="557" t="e">
        <f>IF(VLOOKUP(E4399,PROPONENTES!$C$19:$E$218,3,0)="","",VLOOKUP(E4399,PROPONENTES!$C$19:$E$218,3,0))</f>
        <v>#N/A</v>
      </c>
      <c r="G4418" s="753" t="s">
        <v>104</v>
      </c>
      <c r="H4418" s="751"/>
      <c r="I4418" s="715" t="e">
        <f>IF(OR(F4418="",F4418=1),"INTERESADO PERSONA NATURAL O JURIDICA","CONSORCIO O UNION TEMPORAL")</f>
        <v>#N/A</v>
      </c>
      <c r="J4418" s="725"/>
      <c r="K4418" s="728"/>
      <c r="L4418" s="723"/>
      <c r="M4418" s="749"/>
      <c r="N4418" s="749"/>
      <c r="O4418" s="749"/>
      <c r="P4418" s="749"/>
      <c r="Q4418" s="750"/>
      <c r="R4418" s="712"/>
      <c r="S4418" s="750"/>
      <c r="T4418" s="763"/>
      <c r="U4418" s="108"/>
      <c r="Y4418" s="534"/>
      <c r="AA4418" s="52"/>
      <c r="AB4418" s="52"/>
      <c r="AC4418" s="52"/>
      <c r="AG4418" s="52"/>
      <c r="AH4418" s="87"/>
      <c r="AI4418" s="87"/>
    </row>
    <row r="4419" spans="1:35" ht="56.25" hidden="1" customHeight="1" thickBot="1">
      <c r="A4419" s="218" t="e">
        <f>"M"&amp;E4399</f>
        <v>#N/A</v>
      </c>
      <c r="B4419" s="702"/>
      <c r="C4419" s="725" t="s">
        <v>101</v>
      </c>
      <c r="D4419" s="716"/>
      <c r="E4419" s="558" t="s">
        <v>105</v>
      </c>
      <c r="F4419" s="554" t="s">
        <v>87</v>
      </c>
      <c r="G4419" s="553" t="s">
        <v>86</v>
      </c>
      <c r="H4419" s="559" t="s">
        <v>85</v>
      </c>
      <c r="I4419" s="554" t="s">
        <v>252</v>
      </c>
      <c r="J4419" s="553" t="str">
        <f>"¿EL INTEGRANTE TIENE UNA PARTICIPACIÓN DEL "&amp;PORCREQUERIDOINT*100&amp;"%?"</f>
        <v>¿EL INTEGRANTE TIENE UNA PARTICIPACIÓN DEL 60%?</v>
      </c>
      <c r="K4419" s="554" t="s">
        <v>107</v>
      </c>
      <c r="L4419" s="724"/>
      <c r="M4419" s="717" t="s">
        <v>115</v>
      </c>
      <c r="N4419" s="718"/>
      <c r="O4419" s="718"/>
      <c r="P4419" s="718"/>
      <c r="Q4419" s="223">
        <f>IF(AND(H4403="SI",P4403&gt;=0),1,0)+IF(AND(H4404="SI",P4404&gt;=0),1,0)+IF(AND(H4405="SI",P4405&gt;=0),1,0)+IF(AND(H4406="SI",P4406&gt;=0),1,0)+IF(AND(H4407="SI",P4407&gt;=0),1,0)+IF(AND(H4408="SI",P4408&gt;=0),1,0)+IF(AND(H4409="SI",P4409&gt;=0),1,0)+IF(AND(H4410="SI",P4410&gt;=0),1,0)+IF(AND(H4411="SI",P4411&gt;=0),1,0)+IF(AND(H4412="SI",P4412&gt;=0),1,0)</f>
        <v>0</v>
      </c>
      <c r="R4419" s="759"/>
      <c r="S4419" s="761"/>
      <c r="T4419" s="764"/>
      <c r="U4419" s="219"/>
      <c r="V4419" s="464"/>
      <c r="Y4419" s="532" t="s">
        <v>342</v>
      </c>
      <c r="AA4419" s="550" t="s">
        <v>344</v>
      </c>
      <c r="AB4419" s="693" t="s">
        <v>345</v>
      </c>
      <c r="AC4419" s="693" t="s">
        <v>346</v>
      </c>
      <c r="AD4419" s="685" t="s">
        <v>347</v>
      </c>
      <c r="AE4419" s="52"/>
      <c r="AF4419" s="52"/>
      <c r="AG4419" s="52"/>
      <c r="AH4419" s="87"/>
      <c r="AI4419" s="87"/>
    </row>
    <row r="4420" spans="1:35" ht="15.75" hidden="1" customHeight="1" thickBot="1">
      <c r="A4420" s="218" t="e">
        <f>"N"&amp;E4399</f>
        <v>#N/A</v>
      </c>
      <c r="B4420" s="702"/>
      <c r="C4420" s="114">
        <v>1</v>
      </c>
      <c r="D4420" s="194" t="e">
        <f>IF(AND(C4420&lt;=F4418,F4418&gt;1,F4418&lt;&gt;""),VLOOKUP(VALUE(E4399&amp;","&amp;C4420),INTEGRANTES!$D$18:$F$235,2,0),"")</f>
        <v>#N/A</v>
      </c>
      <c r="E4420" s="211" t="e">
        <f>IF(D4420&lt;&gt;"",VLOOKUP(VALUE(E4399&amp;","&amp;C4420),INTEGRANTES!$D$18:$F$235,3,0),"")</f>
        <v>#N/A</v>
      </c>
      <c r="F4420" s="547" t="e">
        <f>IF(D4420="","",SUMIF($I4403:$I4412,D4420,$P4403:$P4412))</f>
        <v>#N/A</v>
      </c>
      <c r="G4420" s="333" t="e">
        <f>IF(D4420="","",SUMIF($I4403:$I4412,D4420,$M4403:$M4412))</f>
        <v>#N/A</v>
      </c>
      <c r="H4420" s="535" t="e">
        <f t="shared" ref="H4420:H4425" si="1307">IF(D4420="","",IF(OR(F4420=0,G4420=0),"NO APORTA",ROUND($F4420/$G4420,3)))</f>
        <v>#N/A</v>
      </c>
      <c r="I4420" s="212" t="e">
        <f>IF(D4420="","",IF(H4420="NO APORTA","NO",IF(H4420=MAX($H4420:$H4425),"SI","NO")))</f>
        <v>#N/A</v>
      </c>
      <c r="J4420" s="213" t="e">
        <f t="shared" ref="J4420:J4425" si="1308">IF(D4420="","",IF(E4420&gt;=PORCREQUERIDOINT,"SI","NO"))</f>
        <v>#N/A</v>
      </c>
      <c r="K4420" s="200" t="e">
        <f t="shared" ref="K4420:K4425" si="1309">IF(D4420="","",IF(AND(I4420="SI",J4420="SI"),"CUMPLE",IF(AND(I4420="NO",OR(J4420="SI",J4420="NO")),"","NO CUMPLE")))</f>
        <v>#N/A</v>
      </c>
      <c r="L4420" s="722" t="s">
        <v>108</v>
      </c>
      <c r="M4420" s="726" t="s">
        <v>119</v>
      </c>
      <c r="N4420" s="726"/>
      <c r="O4420" s="726"/>
      <c r="P4420" s="726"/>
      <c r="Q4420" s="727"/>
      <c r="R4420" s="758" t="s">
        <v>80</v>
      </c>
      <c r="S4420" s="747"/>
      <c r="T4420" s="748"/>
      <c r="U4420" s="219"/>
      <c r="V4420" s="464"/>
      <c r="Y4420" s="533" t="e">
        <f>IF(Y4417="","",IF(Y4417="INDIVIDUAL","NO APLICA","VERIFICAR CUADRO"))</f>
        <v>#N/A</v>
      </c>
      <c r="AA4420" s="551"/>
      <c r="AB4420" s="694"/>
      <c r="AC4420" s="694"/>
      <c r="AD4420" s="686"/>
      <c r="AE4420" s="52"/>
      <c r="AF4420" s="52"/>
      <c r="AG4420" s="52"/>
      <c r="AH4420" s="87"/>
      <c r="AI4420" s="87"/>
    </row>
    <row r="4421" spans="1:35" ht="27" hidden="1" customHeight="1" thickBot="1">
      <c r="A4421" s="218" t="e">
        <f>"O"&amp;E4399</f>
        <v>#N/A</v>
      </c>
      <c r="B4421" s="702"/>
      <c r="C4421" s="114">
        <v>2</v>
      </c>
      <c r="D4421" s="194" t="e">
        <f>IF(AND(C4421&lt;=F4418,F4418&lt;&gt;""),VLOOKUP(VALUE(E4399&amp;","&amp;C4421),INTEGRANTES!$D$18:$F$235,2,0),"")</f>
        <v>#N/A</v>
      </c>
      <c r="E4421" s="211" t="e">
        <f>IF(D4421&lt;&gt;"",VLOOKUP(VALUE(E4399&amp;","&amp;C4421),INTEGRANTES!$D$18:$F$235,3,0),"")</f>
        <v>#N/A</v>
      </c>
      <c r="F4421" s="547" t="e">
        <f>IF(D4421="","",SUMIF($I4403:$I4412,D4421,$P4403:$P4412))</f>
        <v>#N/A</v>
      </c>
      <c r="G4421" s="333" t="e">
        <f>IF(D4421="","",SUMIF($I4403:$I4412,D4421,$M4403:$M4412))</f>
        <v>#N/A</v>
      </c>
      <c r="H4421" s="535" t="e">
        <f t="shared" si="1307"/>
        <v>#N/A</v>
      </c>
      <c r="I4421" s="212" t="e">
        <f>IF(D4421="","",IF(H4421="NO APORTA","NO",IF(H4421=MAX($H4420:$H4425),"SI","NO")))</f>
        <v>#N/A</v>
      </c>
      <c r="J4421" s="213" t="e">
        <f t="shared" si="1308"/>
        <v>#N/A</v>
      </c>
      <c r="K4421" s="200" t="e">
        <f t="shared" si="1309"/>
        <v>#N/A</v>
      </c>
      <c r="L4421" s="723"/>
      <c r="M4421" s="715" t="s">
        <v>116</v>
      </c>
      <c r="N4421" s="716"/>
      <c r="O4421" s="556" t="s">
        <v>113</v>
      </c>
      <c r="P4421" s="715" t="s">
        <v>117</v>
      </c>
      <c r="Q4421" s="728"/>
      <c r="R4421" s="759"/>
      <c r="S4421" s="760"/>
      <c r="T4421" s="761"/>
      <c r="U4421" s="219"/>
      <c r="V4421" s="464"/>
      <c r="Y4421" s="414"/>
      <c r="AA4421" s="542" t="e">
        <f>IF(AND(C4420&lt;=F4418,F4418&gt;1,F4418&lt;&gt;""),VLOOKUP(VALUE(E4399&amp;","&amp;C4420),INTEGRANTES!$D$18:$F$235,2,0),"")</f>
        <v>#N/A</v>
      </c>
      <c r="AB4421" s="544" t="e">
        <f t="shared" ref="AB4421:AB4426" si="1310">IF(D4420="","",IF(OR(F4420=0,G4420=0),"NO APORTA",ROUND($F4420/$G4420,3)))</f>
        <v>#N/A</v>
      </c>
      <c r="AC4421" s="529"/>
      <c r="AD4421" s="200" t="e">
        <f t="shared" ref="AD4421:AD4426" si="1311">IF(OR(AA4421="",AB4421=""),"",IF(AND(AC4421="X",AB4421&gt;=EXPREQVTD),"CUMPLE","NO CUMPLE"))</f>
        <v>#N/A</v>
      </c>
      <c r="AE4421" s="52"/>
      <c r="AF4421" s="52"/>
      <c r="AG4421" s="52"/>
      <c r="AH4421" s="87"/>
      <c r="AI4421" s="87"/>
    </row>
    <row r="4422" spans="1:35" ht="16.5" hidden="1" thickBot="1">
      <c r="A4422" s="218" t="e">
        <f>"P"&amp;E4399</f>
        <v>#N/A</v>
      </c>
      <c r="B4422" s="702"/>
      <c r="C4422" s="114">
        <v>3</v>
      </c>
      <c r="D4422" s="194" t="e">
        <f>IF(AND(C4422&lt;=F4418,F4418&lt;&gt;""),VLOOKUP(VALUE(E4399&amp;","&amp;C4422),INTEGRANTES!$D$18:$F$235,2,0),"")</f>
        <v>#N/A</v>
      </c>
      <c r="E4422" s="211" t="e">
        <f>IF(D4422&lt;&gt;"",VLOOKUP(VALUE(E4399&amp;","&amp;C4422),INTEGRANTES!$D$18:$F$235,3,0),"")</f>
        <v>#N/A</v>
      </c>
      <c r="F4422" s="547" t="e">
        <f>IF(D4422="","",SUMIF($I4403:$I4412,D4422,$P4403:$P4412))</f>
        <v>#N/A</v>
      </c>
      <c r="G4422" s="333" t="e">
        <f>IF(D4422="","",SUMIF($I4403:$I4412,D4422,$M4403:$M4412))</f>
        <v>#N/A</v>
      </c>
      <c r="H4422" s="535" t="e">
        <f t="shared" si="1307"/>
        <v>#N/A</v>
      </c>
      <c r="I4422" s="212" t="e">
        <f>IF(D4422="","",IF(H4422="NO APORTA","NO",IF(H4422=MAX($H4420:$H4425),"SI","NO")))</f>
        <v>#N/A</v>
      </c>
      <c r="J4422" s="213" t="e">
        <f t="shared" si="1308"/>
        <v>#N/A</v>
      </c>
      <c r="K4422" s="200" t="e">
        <f t="shared" si="1309"/>
        <v>#N/A</v>
      </c>
      <c r="L4422" s="724"/>
      <c r="M4422" s="729">
        <f>NUMMOD</f>
        <v>1</v>
      </c>
      <c r="N4422" s="730"/>
      <c r="O4422" s="443">
        <f>IF(M4422="","",VLOOKUP(M4422,PRESUPUESTOS!$B$16:$H$16,5,FALSE))</f>
        <v>2</v>
      </c>
      <c r="P4422" s="713">
        <f>IF(OR(COUNTIF(M4403:M4412,"")&gt;=10,Q4419&lt;NUMMINCONT,OR(T4417="NO CUMPLE",T4417="VERIFICAR")),0,ROUND(AVERAGE(M4403:M4412),3))</f>
        <v>0</v>
      </c>
      <c r="Q4422" s="714"/>
      <c r="R4422" s="458"/>
      <c r="S4422" s="459"/>
      <c r="T4422" s="460"/>
      <c r="U4422" s="219"/>
      <c r="V4422" s="464"/>
      <c r="Y4422" s="532" t="str">
        <f>"40% * ("&amp;PRESUPUESTOS!$H$13&amp;")"</f>
        <v>40% * (50% PFMO)</v>
      </c>
      <c r="AA4422" s="540" t="e">
        <f>IF(AND(C4421&lt;=F4418,F4418&lt;&gt;""),VLOOKUP(VALUE(E4399&amp;","&amp;C4421),INTEGRANTES!$D$18:$F$235,2,0),"")</f>
        <v>#N/A</v>
      </c>
      <c r="AB4422" s="545" t="e">
        <f t="shared" si="1310"/>
        <v>#N/A</v>
      </c>
      <c r="AC4422" s="529"/>
      <c r="AD4422" s="200" t="e">
        <f t="shared" si="1311"/>
        <v>#N/A</v>
      </c>
      <c r="AE4422" s="52"/>
      <c r="AF4422" s="52"/>
      <c r="AG4422" s="52"/>
      <c r="AH4422" s="87"/>
      <c r="AI4422" s="87"/>
    </row>
    <row r="4423" spans="1:35" ht="15.75" hidden="1" customHeight="1" thickBot="1">
      <c r="A4423" s="218" t="e">
        <f>"Q"&amp;E4399</f>
        <v>#N/A</v>
      </c>
      <c r="B4423" s="702"/>
      <c r="C4423" s="114">
        <v>4</v>
      </c>
      <c r="D4423" s="194" t="e">
        <f>IF(AND(C4423&lt;=F4418,F4418&lt;&gt;""),VLOOKUP(VALUE(E4399&amp;","&amp;C4423),INTEGRANTES!$D$18:$F$235,2,0),"")</f>
        <v>#N/A</v>
      </c>
      <c r="E4423" s="211" t="e">
        <f>IF(D4423&lt;&gt;"",VLOOKUP(VALUE(E4399&amp;","&amp;C4423),INTEGRANTES!$D$18:$F$235,3,0),"")</f>
        <v>#N/A</v>
      </c>
      <c r="F4423" s="547" t="e">
        <f>IF(D4423="","",SUMIF($I4403:$I4412,D4423,$P4403:$P4412))</f>
        <v>#N/A</v>
      </c>
      <c r="G4423" s="333" t="e">
        <f>IF(D4423="","",SUMIF($I4403:$I4412,D4423,$M4403:$M4412))</f>
        <v>#N/A</v>
      </c>
      <c r="H4423" s="535" t="e">
        <f t="shared" si="1307"/>
        <v>#N/A</v>
      </c>
      <c r="I4423" s="212" t="e">
        <f>IF(D4423="","",IF(H4423="NO APORTA","NO",IF(H4423=MAX($H4420:$H4425),"SI","NO")))</f>
        <v>#N/A</v>
      </c>
      <c r="J4423" s="213" t="e">
        <f t="shared" si="1308"/>
        <v>#N/A</v>
      </c>
      <c r="K4423" s="200" t="e">
        <f t="shared" si="1309"/>
        <v>#N/A</v>
      </c>
      <c r="L4423" s="720" t="s">
        <v>109</v>
      </c>
      <c r="M4423" s="757" t="s">
        <v>120</v>
      </c>
      <c r="N4423" s="726"/>
      <c r="O4423" s="726"/>
      <c r="P4423" s="726"/>
      <c r="Q4423" s="727"/>
      <c r="R4423" s="458"/>
      <c r="S4423" s="459"/>
      <c r="T4423" s="460"/>
      <c r="U4423" s="219"/>
      <c r="V4423" s="464"/>
      <c r="Y4423" s="537">
        <f>0.4*PRESUPUESTOS!$H$16</f>
        <v>10.3124</v>
      </c>
      <c r="AA4423" s="540" t="e">
        <f>IF(AND(C4422&lt;=F4418,F4418&lt;&gt;""),VLOOKUP(VALUE(E4399&amp;","&amp;C4422),INTEGRANTES!$D$18:$F$235,2,0),"")</f>
        <v>#N/A</v>
      </c>
      <c r="AB4423" s="545" t="e">
        <f t="shared" si="1310"/>
        <v>#N/A</v>
      </c>
      <c r="AC4423" s="529"/>
      <c r="AD4423" s="200" t="e">
        <f t="shared" si="1311"/>
        <v>#N/A</v>
      </c>
      <c r="AE4423" s="52"/>
      <c r="AF4423" s="52"/>
      <c r="AG4423" s="52"/>
      <c r="AH4423" s="87"/>
      <c r="AI4423" s="87"/>
    </row>
    <row r="4424" spans="1:35" ht="27" hidden="1" customHeight="1" thickBot="1">
      <c r="A4424" s="218" t="e">
        <f>"R"&amp;E4399</f>
        <v>#N/A</v>
      </c>
      <c r="B4424" s="702"/>
      <c r="C4424" s="114">
        <v>5</v>
      </c>
      <c r="D4424" s="194" t="e">
        <f>IF(AND(C4424&lt;=F4418,F4418&lt;&gt;""),VLOOKUP(VALUE(E4399&amp;","&amp;C4424),INTEGRANTES!$D$18:$F$235,2,0),"")</f>
        <v>#N/A</v>
      </c>
      <c r="E4424" s="211" t="e">
        <f>IF(D4424&lt;&gt;"",VLOOKUP(VALUE(E4399&amp;","&amp;C4424),INTEGRANTES!$D$18:$F$235,3,0),"")</f>
        <v>#N/A</v>
      </c>
      <c r="F4424" s="547" t="e">
        <f>IF(D4424="","",SUMIF($I4403:$I4412,D4424,$P4403:$P4412))</f>
        <v>#N/A</v>
      </c>
      <c r="G4424" s="333" t="e">
        <f>IF(D4424="","",SUMIF($I4403:$I4412,D4424,$M4403:$M4412))</f>
        <v>#N/A</v>
      </c>
      <c r="H4424" s="535" t="e">
        <f t="shared" si="1307"/>
        <v>#N/A</v>
      </c>
      <c r="I4424" s="212" t="e">
        <f>IF(D4424="","",IF(H4424="NO APORTA","NO",IF(H4424=MAX($H4420:$H4425),"SI","NO")))</f>
        <v>#N/A</v>
      </c>
      <c r="J4424" s="213" t="e">
        <f t="shared" si="1308"/>
        <v>#N/A</v>
      </c>
      <c r="K4424" s="200" t="e">
        <f t="shared" si="1309"/>
        <v>#N/A</v>
      </c>
      <c r="L4424" s="721"/>
      <c r="M4424" s="715" t="s">
        <v>116</v>
      </c>
      <c r="N4424" s="716"/>
      <c r="O4424" s="556" t="str">
        <f>PORCREQUERIDO*100&amp;"% PMFO DEL MÓDULO"</f>
        <v>50% PMFO DEL MÓDULO</v>
      </c>
      <c r="P4424" s="715" t="s">
        <v>118</v>
      </c>
      <c r="Q4424" s="728"/>
      <c r="R4424" s="458"/>
      <c r="S4424" s="459"/>
      <c r="T4424" s="460"/>
      <c r="U4424" s="219"/>
      <c r="V4424" s="464"/>
      <c r="Y4424" s="414"/>
      <c r="AA4424" s="540" t="e">
        <f>IF(AND(C4423&lt;=F4418,F4418&lt;&gt;""),VLOOKUP(VALUE(E4399&amp;","&amp;C4423),INTEGRANTES!$D$18:$F$235,2,0),"")</f>
        <v>#N/A</v>
      </c>
      <c r="AB4424" s="545" t="e">
        <f t="shared" si="1310"/>
        <v>#N/A</v>
      </c>
      <c r="AC4424" s="529"/>
      <c r="AD4424" s="200" t="e">
        <f t="shared" si="1311"/>
        <v>#N/A</v>
      </c>
      <c r="AE4424" s="52"/>
      <c r="AF4424" s="52"/>
      <c r="AG4424" s="52"/>
      <c r="AH4424" s="87"/>
      <c r="AI4424" s="87"/>
    </row>
    <row r="4425" spans="1:35" ht="16.5" hidden="1" thickBot="1">
      <c r="A4425" s="218" t="e">
        <f>"S"&amp;E4399</f>
        <v>#N/A</v>
      </c>
      <c r="B4425" s="702"/>
      <c r="C4425" s="215">
        <v>6</v>
      </c>
      <c r="D4425" s="216" t="e">
        <f>IF(AND(C4425&lt;=F4418,F4418&lt;&gt;""),VLOOKUP(VALUE(E4399&amp;","&amp;C4425),INTEGRANTES!$D$18:$F$235,2,0),"")</f>
        <v>#N/A</v>
      </c>
      <c r="E4425" s="217" t="e">
        <f>IF(D4425&lt;&gt;"",VLOOKUP(VALUE(E4399&amp;","&amp;C4425),INTEGRANTES!$D$18:$F$235,3,0),"")</f>
        <v>#N/A</v>
      </c>
      <c r="F4425" s="548" t="e">
        <f>IF(D4425="","",SUMIF($I4403:$I4412,D4425,$P4403:$P4412))</f>
        <v>#N/A</v>
      </c>
      <c r="G4425" s="334" t="e">
        <f>IF(D4425="","",SUMIF($I4403:$I4412,D4425,$M4403:$M4412))</f>
        <v>#N/A</v>
      </c>
      <c r="H4425" s="536" t="e">
        <f t="shared" si="1307"/>
        <v>#N/A</v>
      </c>
      <c r="I4425" s="214" t="e">
        <f>IF(D4425="","",IF(H4425="NO APORTA","NO",IF(H4425=MAX($H4420:$H4425),"SI","NO")))</f>
        <v>#N/A</v>
      </c>
      <c r="J4425" s="213" t="e">
        <f t="shared" si="1308"/>
        <v>#N/A</v>
      </c>
      <c r="K4425" s="200" t="e">
        <f t="shared" si="1309"/>
        <v>#N/A</v>
      </c>
      <c r="L4425" s="721"/>
      <c r="M4425" s="729">
        <f>NUMMOD</f>
        <v>1</v>
      </c>
      <c r="N4425" s="730"/>
      <c r="O4425" s="443">
        <f>IF(M4425="","",ROUND(VLOOKUP(M4425,PRESUPUESTOS!$B$16:$H$16,7,FALSE),3))</f>
        <v>25.780999999999999</v>
      </c>
      <c r="P4425" s="713">
        <f>IF(OR(COUNTIF(P4403:P4412,"")&gt;=10,Q4419&lt;NUMMINCONT,OR(T4417="NO CUMPLE",T4417="VERIFICAR")),0,ROUND((SUM(P4403:P4412)/SUM(M4403:M4412)),3))</f>
        <v>0</v>
      </c>
      <c r="Q4425" s="714"/>
      <c r="R4425" s="458"/>
      <c r="S4425" s="459"/>
      <c r="T4425" s="460"/>
      <c r="U4425" s="219"/>
      <c r="V4425" s="464"/>
      <c r="Y4425" s="532" t="s">
        <v>343</v>
      </c>
      <c r="AA4425" s="540" t="e">
        <f>IF(AND(C4424&lt;=F4418,F4418&lt;&gt;""),VLOOKUP(VALUE(E4399&amp;","&amp;C4424),INTEGRANTES!$D$18:$F$235,2,0),"")</f>
        <v>#N/A</v>
      </c>
      <c r="AB4425" s="545" t="e">
        <f t="shared" si="1310"/>
        <v>#N/A</v>
      </c>
      <c r="AC4425" s="529"/>
      <c r="AD4425" s="200" t="e">
        <f t="shared" si="1311"/>
        <v>#N/A</v>
      </c>
      <c r="AE4425" s="52"/>
      <c r="AF4425" s="52"/>
      <c r="AG4425" s="52"/>
      <c r="AH4425" s="87"/>
      <c r="AI4425" s="87"/>
    </row>
    <row r="4426" spans="1:35" ht="16.5" hidden="1" customHeight="1" thickBot="1">
      <c r="A4426" s="218" t="e">
        <f>"T"&amp;E4399</f>
        <v>#N/A</v>
      </c>
      <c r="B4426" s="703"/>
      <c r="C4426" s="719"/>
      <c r="D4426" s="719"/>
      <c r="E4426" s="719"/>
      <c r="F4426" s="719"/>
      <c r="G4426" s="719"/>
      <c r="H4426" s="719" t="s">
        <v>110</v>
      </c>
      <c r="I4426" s="719"/>
      <c r="J4426" s="719"/>
      <c r="K4426" s="201" t="str">
        <f>IF(COUNTIF(K4420:K4425,"")=6,"",IF(COUNTIF(K4420:K4425,"CUMPLE")&gt;0,"CUMPLE","NO CUMPLE"))</f>
        <v>NO CUMPLE</v>
      </c>
      <c r="L4426" s="754"/>
      <c r="M4426" s="755"/>
      <c r="N4426" s="755"/>
      <c r="O4426" s="755"/>
      <c r="P4426" s="755"/>
      <c r="Q4426" s="756"/>
      <c r="R4426" s="461"/>
      <c r="S4426" s="462"/>
      <c r="T4426" s="463"/>
      <c r="U4426" s="219"/>
      <c r="V4426" s="464"/>
      <c r="Y4426" s="549" t="e">
        <f>IF(Y4420="NO APLICA","NO APLICA",IF(COUNTIF(AD4421:AD4426,"CUMPLE")&gt;0,"CUMPLE","NO CUMPLE"))</f>
        <v>#N/A</v>
      </c>
      <c r="AA4426" s="541" t="e">
        <f>IF(AND(C4425&lt;=F4418,F4418&lt;&gt;""),VLOOKUP(VALUE(E4399&amp;","&amp;C4425),INTEGRANTES!$D$18:$F$235,2,0),"")</f>
        <v>#N/A</v>
      </c>
      <c r="AB4426" s="546" t="e">
        <f t="shared" si="1310"/>
        <v>#N/A</v>
      </c>
      <c r="AC4426" s="543"/>
      <c r="AD4426" s="201" t="e">
        <f t="shared" si="1311"/>
        <v>#N/A</v>
      </c>
      <c r="AE4426" s="52"/>
      <c r="AF4426" s="52"/>
      <c r="AG4426" s="52"/>
      <c r="AH4426" s="87"/>
      <c r="AI4426" s="87"/>
    </row>
    <row r="4427" spans="1:35" hidden="1">
      <c r="AH4427" s="87"/>
      <c r="AI4427" s="87"/>
    </row>
    <row r="4428" spans="1:35" hidden="1">
      <c r="AH4428" s="87"/>
      <c r="AI4428" s="87"/>
    </row>
    <row r="4429" spans="1:35" ht="24" hidden="1" thickBot="1">
      <c r="A4429" s="61">
        <v>148</v>
      </c>
      <c r="B4429" s="704" t="s">
        <v>51</v>
      </c>
      <c r="C4429" s="704"/>
      <c r="D4429" s="704"/>
      <c r="E4429" s="62" t="e">
        <f>VLOOKUP(A4429,PROPONENTES!$B$19:$E$218,2,FALSE)</f>
        <v>#N/A</v>
      </c>
      <c r="F4429" s="63" t="e">
        <f>VLOOKUP(A4429,PROPONENTES!$B$19:$E$218,3,FALSE)</f>
        <v>#N/A</v>
      </c>
      <c r="G4429" s="64"/>
      <c r="H4429" s="64"/>
      <c r="I4429" s="63"/>
      <c r="J4429" s="63"/>
      <c r="K4429" s="65"/>
      <c r="L4429" s="65"/>
      <c r="M4429" s="64"/>
      <c r="N4429" s="64"/>
      <c r="O4429" s="66"/>
      <c r="P4429" s="66"/>
      <c r="Q4429" s="66"/>
      <c r="R4429" s="66"/>
      <c r="S4429" s="67"/>
      <c r="T4429" s="68"/>
      <c r="U4429" s="68"/>
      <c r="AC4429" s="68"/>
      <c r="AD4429" s="68"/>
      <c r="AE4429" s="68"/>
      <c r="AF4429" s="68"/>
      <c r="AG4429" s="68"/>
      <c r="AH4429" s="87"/>
      <c r="AI4429" s="87"/>
    </row>
    <row r="4430" spans="1:35" ht="15.75" hidden="1" customHeight="1">
      <c r="A4430" s="44"/>
      <c r="B4430" s="709" t="s">
        <v>59</v>
      </c>
      <c r="C4430" s="552" t="s">
        <v>60</v>
      </c>
      <c r="D4430" s="70" t="s">
        <v>17</v>
      </c>
      <c r="E4430" s="70"/>
      <c r="F4430" s="70" t="s">
        <v>61</v>
      </c>
      <c r="G4430" s="71"/>
      <c r="H4430" s="699" t="s">
        <v>62</v>
      </c>
      <c r="I4430" s="699" t="s">
        <v>18</v>
      </c>
      <c r="J4430" s="699" t="s">
        <v>63</v>
      </c>
      <c r="K4430" s="699" t="s">
        <v>64</v>
      </c>
      <c r="L4430" s="699" t="s">
        <v>65</v>
      </c>
      <c r="M4430" s="743" t="s">
        <v>66</v>
      </c>
      <c r="N4430" s="699" t="s">
        <v>282</v>
      </c>
      <c r="O4430" s="745" t="s">
        <v>67</v>
      </c>
      <c r="P4430" s="746"/>
      <c r="Q4430" s="102" t="s">
        <v>75</v>
      </c>
      <c r="R4430" s="731" t="s">
        <v>22</v>
      </c>
      <c r="S4430" s="732"/>
      <c r="T4430" s="733"/>
      <c r="U4430" s="712" t="s">
        <v>298</v>
      </c>
      <c r="W4430" s="690" t="s">
        <v>268</v>
      </c>
      <c r="X4430" s="691"/>
      <c r="Y4430" s="692"/>
      <c r="Z4430" s="428"/>
      <c r="AA4430" s="697" t="s">
        <v>315</v>
      </c>
      <c r="AB4430" s="695" t="s">
        <v>322</v>
      </c>
      <c r="AC4430" s="49"/>
      <c r="AD4430" s="690" t="s">
        <v>297</v>
      </c>
      <c r="AE4430" s="691"/>
      <c r="AF4430" s="692"/>
      <c r="AG4430" s="49"/>
      <c r="AH4430" s="87"/>
      <c r="AI4430" s="87"/>
    </row>
    <row r="4431" spans="1:35" ht="72" hidden="1">
      <c r="A4431" s="44"/>
      <c r="B4431" s="710"/>
      <c r="C4431" s="553" t="s">
        <v>68</v>
      </c>
      <c r="D4431" s="73" t="s">
        <v>3</v>
      </c>
      <c r="E4431" s="73" t="s">
        <v>19</v>
      </c>
      <c r="F4431" s="73" t="s">
        <v>69</v>
      </c>
      <c r="G4431" s="74" t="s">
        <v>70</v>
      </c>
      <c r="H4431" s="700"/>
      <c r="I4431" s="700"/>
      <c r="J4431" s="700"/>
      <c r="K4431" s="700"/>
      <c r="L4431" s="700"/>
      <c r="M4431" s="744"/>
      <c r="N4431" s="700"/>
      <c r="O4431" s="553" t="s">
        <v>279</v>
      </c>
      <c r="P4431" s="73" t="s">
        <v>88</v>
      </c>
      <c r="Q4431" s="555" t="s">
        <v>76</v>
      </c>
      <c r="R4431" s="734"/>
      <c r="S4431" s="735"/>
      <c r="T4431" s="736"/>
      <c r="U4431" s="712"/>
      <c r="W4431" s="429" t="s">
        <v>269</v>
      </c>
      <c r="X4431" s="457" t="s">
        <v>278</v>
      </c>
      <c r="Y4431" s="430" t="s">
        <v>324</v>
      </c>
      <c r="Z4431" s="428"/>
      <c r="AA4431" s="698"/>
      <c r="AB4431" s="696"/>
      <c r="AC4431" s="49"/>
      <c r="AD4431" s="429" t="s">
        <v>292</v>
      </c>
      <c r="AE4431" s="431" t="s">
        <v>300</v>
      </c>
      <c r="AF4431" s="468" t="s">
        <v>301</v>
      </c>
      <c r="AG4431" s="49"/>
      <c r="AH4431" s="87"/>
      <c r="AI4431" s="87"/>
    </row>
    <row r="4432" spans="1:35" hidden="1">
      <c r="A4432" s="44"/>
      <c r="B4432" s="76"/>
      <c r="C4432" s="77"/>
      <c r="D4432" s="77"/>
      <c r="E4432" s="77"/>
      <c r="F4432" s="77"/>
      <c r="G4432" s="77"/>
      <c r="H4432" s="77"/>
      <c r="I4432" s="77"/>
      <c r="J4432" s="77"/>
      <c r="K4432" s="77"/>
      <c r="L4432" s="77"/>
      <c r="M4432" s="77"/>
      <c r="N4432" s="77"/>
      <c r="O4432" s="77"/>
      <c r="P4432" s="77"/>
      <c r="Q4432" s="77"/>
      <c r="R4432" s="77"/>
      <c r="S4432" s="78"/>
      <c r="T4432" s="79"/>
      <c r="U4432" s="109"/>
      <c r="V4432" s="49"/>
      <c r="W4432" s="432"/>
      <c r="X4432" s="454"/>
      <c r="Y4432" s="433"/>
      <c r="Z4432" s="6"/>
      <c r="AA4432" s="500"/>
      <c r="AB4432" s="562"/>
      <c r="AC4432" s="49"/>
      <c r="AD4432" s="210"/>
      <c r="AE4432" s="434"/>
      <c r="AF4432" s="435"/>
      <c r="AG4432" s="49"/>
      <c r="AH4432" s="87"/>
      <c r="AI4432" s="87"/>
    </row>
    <row r="4433" spans="1:35" hidden="1">
      <c r="A4433" s="80" t="e">
        <f>"A"&amp;E4429</f>
        <v>#N/A</v>
      </c>
      <c r="B4433" s="81">
        <v>1</v>
      </c>
      <c r="C4433" s="82"/>
      <c r="D4433" s="82"/>
      <c r="E4433" s="82"/>
      <c r="F4433" s="82"/>
      <c r="G4433" s="83"/>
      <c r="H4433" s="83"/>
      <c r="I4433" s="84"/>
      <c r="J4433" s="85"/>
      <c r="K4433" s="382"/>
      <c r="L4433" s="85"/>
      <c r="M4433" s="332" t="str">
        <f t="shared" ref="M4433:M4442" si="1312">IF(OR(J4433="",L4433="",H4433="NO"),"",IF(OR(J4433&gt;$P$17,J4433&lt;$O$17,L4433&gt;$P$17,AND(J4433&lt;$O$17,L4433&lt;$O$17)),"FUERA DE RANGO",IF(OR(K4433="---",K4433=""),IF(J4433&gt;=$O$17,ROUND((L4433-J4433+1)/360*12,3),ROUND((L4433-$O$17+1)/360*12,3)),IF(J4433&gt;=$O$17,ROUND((L4433-J4433+1)/360*12-ROUND(K4433,3),3),ROUND((L4433-$O$17+1)/360*12-ROUND(K4433,3),3)))))</f>
        <v/>
      </c>
      <c r="N4433" s="86"/>
      <c r="O4433" s="453" t="str">
        <f>IF(OR(G4433="",N4433=""),"",N4433*G4433)</f>
        <v/>
      </c>
      <c r="P4433" s="538" t="str">
        <f>IF(OR(H4433="",M4433="FUERA DE RANGO"),"",IF(OR(L4433&lt;$O$17,L4433&gt;$P$17,L4433="",H4433="NO"),"",IF(OR(N4433="",O4433=""),"",ROUND(O4433,3))))</f>
        <v/>
      </c>
      <c r="Q4433" s="539" t="str">
        <f t="shared" ref="Q4433:Q4442" si="1313">IF(AND(H4433="SI",P4433&lt;&gt;""),ROUND(P4433/M4433,3),"")</f>
        <v/>
      </c>
      <c r="R4433" s="737"/>
      <c r="S4433" s="738"/>
      <c r="T4433" s="739"/>
      <c r="U4433" s="470"/>
      <c r="V4433" s="165"/>
      <c r="W4433" s="446"/>
      <c r="X4433" s="456"/>
      <c r="Y4433" s="436"/>
      <c r="Z4433" s="437"/>
      <c r="AA4433" s="560"/>
      <c r="AB4433" s="561"/>
      <c r="AC4433" s="87"/>
      <c r="AD4433" s="466"/>
      <c r="AE4433" s="456"/>
      <c r="AF4433" s="467"/>
      <c r="AG4433" s="87"/>
      <c r="AH4433" s="87"/>
      <c r="AI4433" s="87"/>
    </row>
    <row r="4434" spans="1:35" hidden="1">
      <c r="A4434" s="80" t="e">
        <f>"B"&amp;E4429</f>
        <v>#N/A</v>
      </c>
      <c r="B4434" s="81">
        <v>2</v>
      </c>
      <c r="C4434" s="106"/>
      <c r="D4434" s="106"/>
      <c r="E4434" s="106"/>
      <c r="F4434" s="106"/>
      <c r="G4434" s="83"/>
      <c r="H4434" s="83"/>
      <c r="I4434" s="84"/>
      <c r="J4434" s="85"/>
      <c r="K4434" s="382"/>
      <c r="L4434" s="85"/>
      <c r="M4434" s="332" t="str">
        <f t="shared" si="1312"/>
        <v/>
      </c>
      <c r="N4434" s="86"/>
      <c r="O4434" s="453" t="str">
        <f t="shared" ref="O4434:O4442" si="1314">IF(OR(G4434="",N4434=""),"",N4434*G4434)</f>
        <v/>
      </c>
      <c r="P4434" s="538" t="str">
        <f t="shared" ref="P4434:P4442" si="1315">IF(OR(H4434="",M4434="FUERA DE RANGO"),"",IF(OR(L4434&lt;$O$17,L4434&gt;$P$17,L4434="",H4434="NO"),"",IF(OR(N4434="",O4434=""),"",ROUND(O4434,3))))</f>
        <v/>
      </c>
      <c r="Q4434" s="539" t="str">
        <f t="shared" si="1313"/>
        <v/>
      </c>
      <c r="R4434" s="740"/>
      <c r="S4434" s="741"/>
      <c r="T4434" s="742"/>
      <c r="U4434" s="471"/>
      <c r="V4434" s="165"/>
      <c r="W4434" s="446"/>
      <c r="X4434" s="456"/>
      <c r="Y4434" s="436"/>
      <c r="Z4434" s="437"/>
      <c r="AA4434" s="560"/>
      <c r="AB4434" s="561"/>
      <c r="AC4434" s="87"/>
      <c r="AD4434" s="466"/>
      <c r="AE4434" s="456"/>
      <c r="AF4434" s="467"/>
      <c r="AG4434" s="87"/>
      <c r="AH4434" s="87"/>
      <c r="AI4434" s="87"/>
    </row>
    <row r="4435" spans="1:35" hidden="1">
      <c r="A4435" s="80" t="e">
        <f>"C"&amp;E4429</f>
        <v>#N/A</v>
      </c>
      <c r="B4435" s="88">
        <v>3</v>
      </c>
      <c r="C4435" s="82"/>
      <c r="D4435" s="82"/>
      <c r="E4435" s="82"/>
      <c r="F4435" s="82"/>
      <c r="G4435" s="83"/>
      <c r="H4435" s="83"/>
      <c r="I4435" s="84"/>
      <c r="J4435" s="85"/>
      <c r="K4435" s="382"/>
      <c r="L4435" s="85"/>
      <c r="M4435" s="332" t="str">
        <f t="shared" si="1312"/>
        <v/>
      </c>
      <c r="N4435" s="86"/>
      <c r="O4435" s="453" t="str">
        <f t="shared" si="1314"/>
        <v/>
      </c>
      <c r="P4435" s="538" t="str">
        <f t="shared" si="1315"/>
        <v/>
      </c>
      <c r="Q4435" s="539" t="str">
        <f t="shared" si="1313"/>
        <v/>
      </c>
      <c r="R4435" s="706"/>
      <c r="S4435" s="707"/>
      <c r="T4435" s="708"/>
      <c r="U4435" s="472"/>
      <c r="V4435" s="166"/>
      <c r="W4435" s="446"/>
      <c r="X4435" s="456"/>
      <c r="Y4435" s="436"/>
      <c r="Z4435" s="437"/>
      <c r="AA4435" s="560"/>
      <c r="AB4435" s="561"/>
      <c r="AC4435" s="87"/>
      <c r="AD4435" s="466"/>
      <c r="AE4435" s="456"/>
      <c r="AF4435" s="467"/>
      <c r="AG4435" s="87"/>
      <c r="AH4435" s="87"/>
      <c r="AI4435" s="87"/>
    </row>
    <row r="4436" spans="1:35" hidden="1">
      <c r="A4436" s="80" t="e">
        <f>"D"&amp;E4429</f>
        <v>#N/A</v>
      </c>
      <c r="B4436" s="105">
        <v>4</v>
      </c>
      <c r="C4436" s="107"/>
      <c r="D4436" s="107"/>
      <c r="E4436" s="107"/>
      <c r="F4436" s="107"/>
      <c r="G4436" s="83"/>
      <c r="H4436" s="83"/>
      <c r="I4436" s="84"/>
      <c r="J4436" s="85"/>
      <c r="K4436" s="382"/>
      <c r="L4436" s="85"/>
      <c r="M4436" s="332" t="str">
        <f t="shared" si="1312"/>
        <v/>
      </c>
      <c r="N4436" s="86"/>
      <c r="O4436" s="453" t="str">
        <f t="shared" si="1314"/>
        <v/>
      </c>
      <c r="P4436" s="538" t="str">
        <f t="shared" si="1315"/>
        <v/>
      </c>
      <c r="Q4436" s="539" t="str">
        <f t="shared" si="1313"/>
        <v/>
      </c>
      <c r="R4436" s="706"/>
      <c r="S4436" s="707"/>
      <c r="T4436" s="708"/>
      <c r="U4436" s="472"/>
      <c r="V4436" s="166"/>
      <c r="W4436" s="446"/>
      <c r="X4436" s="456"/>
      <c r="Y4436" s="436"/>
      <c r="Z4436" s="437"/>
      <c r="AA4436" s="560"/>
      <c r="AB4436" s="561"/>
      <c r="AC4436" s="87"/>
      <c r="AD4436" s="466"/>
      <c r="AE4436" s="456"/>
      <c r="AF4436" s="467"/>
      <c r="AG4436" s="87"/>
      <c r="AH4436" s="87"/>
      <c r="AI4436" s="87"/>
    </row>
    <row r="4437" spans="1:35" hidden="1">
      <c r="A4437" s="80" t="e">
        <f>"E"&amp;E4429</f>
        <v>#N/A</v>
      </c>
      <c r="B4437" s="105">
        <v>5</v>
      </c>
      <c r="C4437" s="107"/>
      <c r="D4437" s="107"/>
      <c r="E4437" s="107"/>
      <c r="F4437" s="107"/>
      <c r="G4437" s="83"/>
      <c r="H4437" s="83"/>
      <c r="I4437" s="84"/>
      <c r="J4437" s="85"/>
      <c r="K4437" s="382"/>
      <c r="L4437" s="85"/>
      <c r="M4437" s="332" t="str">
        <f t="shared" si="1312"/>
        <v/>
      </c>
      <c r="N4437" s="86"/>
      <c r="O4437" s="453" t="str">
        <f t="shared" si="1314"/>
        <v/>
      </c>
      <c r="P4437" s="538" t="str">
        <f t="shared" si="1315"/>
        <v/>
      </c>
      <c r="Q4437" s="539" t="str">
        <f t="shared" si="1313"/>
        <v/>
      </c>
      <c r="R4437" s="706"/>
      <c r="S4437" s="707"/>
      <c r="T4437" s="708"/>
      <c r="U4437" s="472"/>
      <c r="V4437" s="167"/>
      <c r="W4437" s="446"/>
      <c r="X4437" s="456"/>
      <c r="Y4437" s="436"/>
      <c r="Z4437" s="437"/>
      <c r="AA4437" s="560"/>
      <c r="AB4437" s="561"/>
      <c r="AC4437" s="87"/>
      <c r="AD4437" s="466"/>
      <c r="AE4437" s="456"/>
      <c r="AF4437" s="467"/>
      <c r="AG4437" s="87"/>
      <c r="AH4437" s="87"/>
      <c r="AI4437" s="87"/>
    </row>
    <row r="4438" spans="1:35" hidden="1">
      <c r="A4438" s="80" t="e">
        <f>"F"&amp;E4429</f>
        <v>#N/A</v>
      </c>
      <c r="B4438" s="105">
        <v>6</v>
      </c>
      <c r="C4438" s="107"/>
      <c r="D4438" s="107"/>
      <c r="E4438" s="107"/>
      <c r="F4438" s="107"/>
      <c r="G4438" s="83"/>
      <c r="H4438" s="83"/>
      <c r="I4438" s="84"/>
      <c r="J4438" s="85"/>
      <c r="K4438" s="382"/>
      <c r="L4438" s="85"/>
      <c r="M4438" s="332" t="str">
        <f t="shared" si="1312"/>
        <v/>
      </c>
      <c r="N4438" s="86"/>
      <c r="O4438" s="453" t="str">
        <f t="shared" si="1314"/>
        <v/>
      </c>
      <c r="P4438" s="538" t="str">
        <f t="shared" si="1315"/>
        <v/>
      </c>
      <c r="Q4438" s="539" t="str">
        <f t="shared" si="1313"/>
        <v/>
      </c>
      <c r="R4438" s="706"/>
      <c r="S4438" s="707"/>
      <c r="T4438" s="708"/>
      <c r="U4438" s="472"/>
      <c r="V4438" s="167"/>
      <c r="W4438" s="446"/>
      <c r="X4438" s="456"/>
      <c r="Y4438" s="436"/>
      <c r="Z4438" s="437"/>
      <c r="AA4438" s="560"/>
      <c r="AB4438" s="561"/>
      <c r="AC4438" s="87"/>
      <c r="AD4438" s="466"/>
      <c r="AE4438" s="456"/>
      <c r="AF4438" s="467"/>
      <c r="AG4438" s="87"/>
      <c r="AH4438" s="87"/>
      <c r="AI4438" s="87"/>
    </row>
    <row r="4439" spans="1:35" hidden="1">
      <c r="A4439" s="80" t="e">
        <f>"G"&amp;E4429</f>
        <v>#N/A</v>
      </c>
      <c r="B4439" s="105">
        <v>7</v>
      </c>
      <c r="C4439" s="107"/>
      <c r="D4439" s="107"/>
      <c r="E4439" s="107"/>
      <c r="F4439" s="107"/>
      <c r="G4439" s="83"/>
      <c r="H4439" s="83"/>
      <c r="I4439" s="84"/>
      <c r="J4439" s="85"/>
      <c r="K4439" s="382"/>
      <c r="L4439" s="85"/>
      <c r="M4439" s="332" t="str">
        <f t="shared" si="1312"/>
        <v/>
      </c>
      <c r="N4439" s="86"/>
      <c r="O4439" s="86" t="str">
        <f t="shared" si="1314"/>
        <v/>
      </c>
      <c r="P4439" s="538" t="str">
        <f t="shared" si="1315"/>
        <v/>
      </c>
      <c r="Q4439" s="539" t="str">
        <f t="shared" si="1313"/>
        <v/>
      </c>
      <c r="R4439" s="706"/>
      <c r="S4439" s="707"/>
      <c r="T4439" s="708"/>
      <c r="U4439" s="472"/>
      <c r="V4439" s="167"/>
      <c r="W4439" s="446"/>
      <c r="X4439" s="456"/>
      <c r="Y4439" s="436"/>
      <c r="Z4439" s="437"/>
      <c r="AA4439" s="560"/>
      <c r="AB4439" s="561"/>
      <c r="AC4439" s="87"/>
      <c r="AD4439" s="466"/>
      <c r="AE4439" s="456"/>
      <c r="AF4439" s="467"/>
      <c r="AG4439" s="87"/>
      <c r="AH4439" s="87"/>
      <c r="AI4439" s="87"/>
    </row>
    <row r="4440" spans="1:35" hidden="1">
      <c r="A4440" s="80" t="e">
        <f>"H"&amp;E4429</f>
        <v>#N/A</v>
      </c>
      <c r="B4440" s="105">
        <v>8</v>
      </c>
      <c r="C4440" s="107"/>
      <c r="D4440" s="107"/>
      <c r="E4440" s="107"/>
      <c r="F4440" s="107"/>
      <c r="G4440" s="83"/>
      <c r="H4440" s="83"/>
      <c r="I4440" s="84"/>
      <c r="J4440" s="85"/>
      <c r="K4440" s="382"/>
      <c r="L4440" s="85"/>
      <c r="M4440" s="332" t="str">
        <f t="shared" si="1312"/>
        <v/>
      </c>
      <c r="N4440" s="453"/>
      <c r="O4440" s="86" t="str">
        <f t="shared" si="1314"/>
        <v/>
      </c>
      <c r="P4440" s="538" t="str">
        <f t="shared" si="1315"/>
        <v/>
      </c>
      <c r="Q4440" s="539" t="str">
        <f t="shared" si="1313"/>
        <v/>
      </c>
      <c r="R4440" s="706"/>
      <c r="S4440" s="707"/>
      <c r="T4440" s="708"/>
      <c r="U4440" s="472"/>
      <c r="V4440" s="167"/>
      <c r="W4440" s="446"/>
      <c r="X4440" s="456"/>
      <c r="Y4440" s="436"/>
      <c r="Z4440" s="437"/>
      <c r="AA4440" s="560"/>
      <c r="AB4440" s="561"/>
      <c r="AC4440" s="87"/>
      <c r="AD4440" s="466"/>
      <c r="AE4440" s="456"/>
      <c r="AF4440" s="467"/>
      <c r="AG4440" s="87"/>
      <c r="AH4440" s="87"/>
      <c r="AI4440" s="87"/>
    </row>
    <row r="4441" spans="1:35" hidden="1">
      <c r="A4441" s="80" t="e">
        <f>"I"&amp;E4429</f>
        <v>#N/A</v>
      </c>
      <c r="B4441" s="105">
        <v>9</v>
      </c>
      <c r="C4441" s="107"/>
      <c r="D4441" s="107"/>
      <c r="E4441" s="107"/>
      <c r="F4441" s="107"/>
      <c r="G4441" s="83"/>
      <c r="H4441" s="83"/>
      <c r="I4441" s="84"/>
      <c r="J4441" s="85"/>
      <c r="K4441" s="382"/>
      <c r="L4441" s="85"/>
      <c r="M4441" s="332" t="str">
        <f t="shared" si="1312"/>
        <v/>
      </c>
      <c r="N4441" s="453"/>
      <c r="O4441" s="86" t="str">
        <f t="shared" si="1314"/>
        <v/>
      </c>
      <c r="P4441" s="538" t="str">
        <f t="shared" si="1315"/>
        <v/>
      </c>
      <c r="Q4441" s="539" t="str">
        <f t="shared" si="1313"/>
        <v/>
      </c>
      <c r="R4441" s="706"/>
      <c r="S4441" s="707"/>
      <c r="T4441" s="708"/>
      <c r="U4441" s="472"/>
      <c r="V4441" s="167"/>
      <c r="W4441" s="446"/>
      <c r="X4441" s="456"/>
      <c r="Y4441" s="436"/>
      <c r="Z4441" s="437"/>
      <c r="AA4441" s="560"/>
      <c r="AB4441" s="561"/>
      <c r="AC4441" s="87"/>
      <c r="AD4441" s="466"/>
      <c r="AE4441" s="456"/>
      <c r="AF4441" s="467"/>
      <c r="AG4441" s="87"/>
      <c r="AH4441" s="87"/>
      <c r="AI4441" s="87"/>
    </row>
    <row r="4442" spans="1:35" hidden="1">
      <c r="A4442" s="80" t="e">
        <f>"J"&amp;E4429</f>
        <v>#N/A</v>
      </c>
      <c r="B4442" s="105">
        <v>10</v>
      </c>
      <c r="C4442" s="107"/>
      <c r="D4442" s="107"/>
      <c r="E4442" s="107"/>
      <c r="F4442" s="107"/>
      <c r="G4442" s="83"/>
      <c r="H4442" s="83"/>
      <c r="I4442" s="84"/>
      <c r="J4442" s="85"/>
      <c r="K4442" s="382"/>
      <c r="L4442" s="85"/>
      <c r="M4442" s="332" t="str">
        <f t="shared" si="1312"/>
        <v/>
      </c>
      <c r="N4442" s="453"/>
      <c r="O4442" s="86" t="str">
        <f t="shared" si="1314"/>
        <v/>
      </c>
      <c r="P4442" s="538" t="str">
        <f t="shared" si="1315"/>
        <v/>
      </c>
      <c r="Q4442" s="539" t="str">
        <f t="shared" si="1313"/>
        <v/>
      </c>
      <c r="R4442" s="706"/>
      <c r="S4442" s="707"/>
      <c r="T4442" s="708"/>
      <c r="U4442" s="472"/>
      <c r="V4442" s="167"/>
      <c r="W4442" s="446"/>
      <c r="X4442" s="456"/>
      <c r="Y4442" s="436"/>
      <c r="Z4442" s="437"/>
      <c r="AA4442" s="560"/>
      <c r="AB4442" s="561"/>
      <c r="AC4442" s="87"/>
      <c r="AD4442" s="466"/>
      <c r="AE4442" s="456"/>
      <c r="AF4442" s="467"/>
      <c r="AG4442" s="87"/>
      <c r="AH4442" s="87"/>
      <c r="AI4442" s="87"/>
    </row>
    <row r="4443" spans="1:35" ht="16.5" hidden="1" thickBot="1">
      <c r="A4443" s="44"/>
      <c r="B4443" s="89"/>
      <c r="C4443" s="90"/>
      <c r="D4443" s="90"/>
      <c r="E4443" s="90"/>
      <c r="F4443" s="90"/>
      <c r="G4443" s="90"/>
      <c r="H4443" s="90"/>
      <c r="I4443" s="90"/>
      <c r="J4443" s="90"/>
      <c r="K4443" s="90"/>
      <c r="L4443" s="90"/>
      <c r="M4443" s="90"/>
      <c r="N4443" s="90"/>
      <c r="O4443" s="90"/>
      <c r="P4443" s="90"/>
      <c r="Q4443" s="90"/>
      <c r="R4443" s="90"/>
      <c r="S4443" s="91"/>
      <c r="T4443" s="92"/>
      <c r="U4443" s="473"/>
      <c r="W4443" s="438"/>
      <c r="X4443" s="455"/>
      <c r="Y4443" s="439"/>
      <c r="Z4443" s="437"/>
      <c r="AA4443" s="530"/>
      <c r="AB4443" s="563"/>
      <c r="AC4443" s="87"/>
      <c r="AD4443" s="440"/>
      <c r="AE4443" s="441"/>
      <c r="AF4443" s="442"/>
      <c r="AG4443" s="49"/>
      <c r="AH4443" s="87"/>
      <c r="AI4443" s="87"/>
    </row>
    <row r="4444" spans="1:35" ht="16.5" hidden="1" thickBot="1">
      <c r="A4444" s="93"/>
      <c r="B4444" s="94"/>
      <c r="C4444" s="96"/>
      <c r="D4444" s="96"/>
      <c r="E4444" s="96"/>
      <c r="F4444" s="96"/>
      <c r="G4444" s="96"/>
      <c r="H4444" s="96"/>
      <c r="I4444" s="96"/>
      <c r="J4444" s="96"/>
      <c r="K4444" s="96"/>
      <c r="L4444" s="96"/>
      <c r="M4444" s="136"/>
      <c r="N4444" s="96"/>
      <c r="O4444" s="96"/>
      <c r="P4444" s="97"/>
      <c r="Q4444" s="97"/>
      <c r="R4444" s="98"/>
      <c r="S4444" s="95"/>
      <c r="T4444" s="99"/>
      <c r="U4444" s="469"/>
      <c r="AC4444" s="58"/>
      <c r="AG4444" s="58"/>
      <c r="AH4444" s="87"/>
      <c r="AI4444" s="87"/>
    </row>
    <row r="4445" spans="1:35" ht="16.5" hidden="1" thickBot="1">
      <c r="B4445" s="101"/>
      <c r="C4445" s="101"/>
      <c r="D4445" s="101"/>
      <c r="E4445" s="101"/>
      <c r="F4445" s="101"/>
      <c r="G4445" s="101"/>
      <c r="H4445" s="101"/>
      <c r="I4445" s="101"/>
      <c r="J4445" s="101"/>
      <c r="K4445" s="101"/>
      <c r="L4445" s="101"/>
      <c r="M4445" s="101"/>
      <c r="N4445" s="101"/>
      <c r="O4445" s="101"/>
      <c r="P4445" s="101"/>
      <c r="Q4445" s="101"/>
      <c r="R4445" s="101"/>
      <c r="S4445" s="101"/>
      <c r="U4445" s="50"/>
      <c r="AH4445" s="87"/>
      <c r="AI4445" s="87"/>
    </row>
    <row r="4446" spans="1:35" ht="16.5" hidden="1" customHeight="1" thickBot="1">
      <c r="A4446" s="44"/>
      <c r="B4446" s="705" t="s">
        <v>74</v>
      </c>
      <c r="C4446" s="705"/>
      <c r="D4446" s="705"/>
      <c r="E4446" s="705"/>
      <c r="F4446" s="705"/>
      <c r="G4446" s="705"/>
      <c r="H4446" s="705"/>
      <c r="I4446" s="705"/>
      <c r="J4446" s="705"/>
      <c r="K4446" s="705"/>
      <c r="L4446" s="705"/>
      <c r="M4446" s="705"/>
      <c r="N4446" s="705"/>
      <c r="O4446" s="705"/>
      <c r="P4446" s="705"/>
      <c r="Q4446" s="705"/>
      <c r="R4446" s="705"/>
      <c r="S4446" s="705"/>
      <c r="T4446" s="705"/>
      <c r="U4446" s="108"/>
      <c r="Y4446" s="532" t="s">
        <v>341</v>
      </c>
      <c r="AC4446" s="49"/>
      <c r="AD4446" s="687" t="s">
        <v>302</v>
      </c>
      <c r="AE4446" s="688"/>
      <c r="AF4446" s="689"/>
      <c r="AG4446" s="49"/>
      <c r="AH4446" s="87"/>
      <c r="AI4446" s="87"/>
    </row>
    <row r="4447" spans="1:35" ht="16.5" hidden="1" customHeight="1" thickBot="1">
      <c r="A4447" s="218" t="e">
        <f>"K"&amp;E4429</f>
        <v>#N/A</v>
      </c>
      <c r="B4447" s="701" t="s">
        <v>71</v>
      </c>
      <c r="C4447" s="751" t="s">
        <v>102</v>
      </c>
      <c r="D4447" s="751"/>
      <c r="E4447" s="751"/>
      <c r="F4447" s="751"/>
      <c r="G4447" s="751"/>
      <c r="H4447" s="751"/>
      <c r="I4447" s="751"/>
      <c r="J4447" s="751"/>
      <c r="K4447" s="751"/>
      <c r="L4447" s="722" t="s">
        <v>100</v>
      </c>
      <c r="M4447" s="747" t="s">
        <v>114</v>
      </c>
      <c r="N4447" s="747"/>
      <c r="O4447" s="747"/>
      <c r="P4447" s="747"/>
      <c r="Q4447" s="748"/>
      <c r="R4447" s="758" t="s">
        <v>280</v>
      </c>
      <c r="S4447" s="748"/>
      <c r="T4447" s="762" t="str">
        <f>IF(COUNTIF(AE4447:AF4447,"VERIFICAR")&gt;0,"VERIFICAR",IF(COUNTIF(AE4447:AF4447,"NO CUMPLE")&gt;0,"NO CUMPLE","CUMPLE"))</f>
        <v>VERIFICAR</v>
      </c>
      <c r="U4447" s="108"/>
      <c r="Y4447" s="533" t="e">
        <f>IF(F4448="","",IF(F4448=1,"INDIVIDUAL","ESTRUCTURA PLURAL"))</f>
        <v>#N/A</v>
      </c>
      <c r="AC4447" s="52"/>
      <c r="AD4447" s="475" t="s">
        <v>303</v>
      </c>
      <c r="AE4447" s="476" t="str">
        <f>IF(COUNTIF(AE4433:AE4442,"")=10,"VERIFICAR",IF(COUNTIF(AE4433:AE4442,"SI")&gt;0,"CUMPLE","NO CUMPLE"))</f>
        <v>VERIFICAR</v>
      </c>
      <c r="AF4447" s="477" t="str">
        <f>IF(COUNTIF(AF4433:AF4442,"")=10,"VERIFICAR",IF(COUNTIF(AF4433:AF4442,"SI")&gt;=$AI$22,"CUMPLE","NO CUMPLE"))</f>
        <v>VERIFICAR</v>
      </c>
      <c r="AG4447" s="52"/>
      <c r="AH4447" s="87"/>
      <c r="AI4447" s="87"/>
    </row>
    <row r="4448" spans="1:35" ht="15.75" hidden="1" customHeight="1" thickBot="1">
      <c r="A4448" s="218" t="e">
        <f>"L"&amp;E4429</f>
        <v>#N/A</v>
      </c>
      <c r="B4448" s="702"/>
      <c r="C4448" s="751" t="s">
        <v>103</v>
      </c>
      <c r="D4448" s="751"/>
      <c r="E4448" s="752"/>
      <c r="F4448" s="557" t="e">
        <f>IF(VLOOKUP(E4429,PROPONENTES!$C$19:$E$218,3,0)="","",VLOOKUP(E4429,PROPONENTES!$C$19:$E$218,3,0))</f>
        <v>#N/A</v>
      </c>
      <c r="G4448" s="753" t="s">
        <v>104</v>
      </c>
      <c r="H4448" s="751"/>
      <c r="I4448" s="715" t="e">
        <f>IF(OR(F4448="",F4448=1),"INTERESADO PERSONA NATURAL O JURIDICA","CONSORCIO O UNION TEMPORAL")</f>
        <v>#N/A</v>
      </c>
      <c r="J4448" s="725"/>
      <c r="K4448" s="728"/>
      <c r="L4448" s="723"/>
      <c r="M4448" s="749"/>
      <c r="N4448" s="749"/>
      <c r="O4448" s="749"/>
      <c r="P4448" s="749"/>
      <c r="Q4448" s="750"/>
      <c r="R4448" s="712"/>
      <c r="S4448" s="750"/>
      <c r="T4448" s="763"/>
      <c r="U4448" s="108"/>
      <c r="Y4448" s="534"/>
      <c r="AA4448" s="52"/>
      <c r="AB4448" s="52"/>
      <c r="AC4448" s="52"/>
      <c r="AG4448" s="52"/>
      <c r="AH4448" s="87"/>
      <c r="AI4448" s="87"/>
    </row>
    <row r="4449" spans="1:35" ht="56.25" hidden="1" customHeight="1" thickBot="1">
      <c r="A4449" s="218" t="e">
        <f>"M"&amp;E4429</f>
        <v>#N/A</v>
      </c>
      <c r="B4449" s="702"/>
      <c r="C4449" s="725" t="s">
        <v>101</v>
      </c>
      <c r="D4449" s="716"/>
      <c r="E4449" s="558" t="s">
        <v>105</v>
      </c>
      <c r="F4449" s="554" t="s">
        <v>87</v>
      </c>
      <c r="G4449" s="553" t="s">
        <v>86</v>
      </c>
      <c r="H4449" s="559" t="s">
        <v>85</v>
      </c>
      <c r="I4449" s="554" t="s">
        <v>252</v>
      </c>
      <c r="J4449" s="553" t="str">
        <f>"¿EL INTEGRANTE TIENE UNA PARTICIPACIÓN DEL "&amp;PORCREQUERIDOINT*100&amp;"%?"</f>
        <v>¿EL INTEGRANTE TIENE UNA PARTICIPACIÓN DEL 60%?</v>
      </c>
      <c r="K4449" s="554" t="s">
        <v>107</v>
      </c>
      <c r="L4449" s="724"/>
      <c r="M4449" s="717" t="s">
        <v>115</v>
      </c>
      <c r="N4449" s="718"/>
      <c r="O4449" s="718"/>
      <c r="P4449" s="718"/>
      <c r="Q4449" s="223">
        <f>IF(AND(H4433="SI",P4433&gt;=0),1,0)+IF(AND(H4434="SI",P4434&gt;=0),1,0)+IF(AND(H4435="SI",P4435&gt;=0),1,0)+IF(AND(H4436="SI",P4436&gt;=0),1,0)+IF(AND(H4437="SI",P4437&gt;=0),1,0)+IF(AND(H4438="SI",P4438&gt;=0),1,0)+IF(AND(H4439="SI",P4439&gt;=0),1,0)+IF(AND(H4440="SI",P4440&gt;=0),1,0)+IF(AND(H4441="SI",P4441&gt;=0),1,0)+IF(AND(H4442="SI",P4442&gt;=0),1,0)</f>
        <v>0</v>
      </c>
      <c r="R4449" s="759"/>
      <c r="S4449" s="761"/>
      <c r="T4449" s="764"/>
      <c r="U4449" s="219"/>
      <c r="V4449" s="464"/>
      <c r="Y4449" s="532" t="s">
        <v>342</v>
      </c>
      <c r="AA4449" s="550" t="s">
        <v>344</v>
      </c>
      <c r="AB4449" s="693" t="s">
        <v>345</v>
      </c>
      <c r="AC4449" s="693" t="s">
        <v>346</v>
      </c>
      <c r="AD4449" s="685" t="s">
        <v>347</v>
      </c>
      <c r="AE4449" s="52"/>
      <c r="AF4449" s="52"/>
      <c r="AG4449" s="52"/>
      <c r="AH4449" s="87"/>
      <c r="AI4449" s="87"/>
    </row>
    <row r="4450" spans="1:35" ht="15.75" hidden="1" customHeight="1" thickBot="1">
      <c r="A4450" s="218" t="e">
        <f>"N"&amp;E4429</f>
        <v>#N/A</v>
      </c>
      <c r="B4450" s="702"/>
      <c r="C4450" s="114">
        <v>1</v>
      </c>
      <c r="D4450" s="194" t="e">
        <f>IF(AND(C4450&lt;=F4448,F4448&gt;1,F4448&lt;&gt;""),VLOOKUP(VALUE(E4429&amp;","&amp;C4450),INTEGRANTES!$D$18:$F$235,2,0),"")</f>
        <v>#N/A</v>
      </c>
      <c r="E4450" s="211" t="e">
        <f>IF(D4450&lt;&gt;"",VLOOKUP(VALUE(E4429&amp;","&amp;C4450),INTEGRANTES!$D$18:$F$235,3,0),"")</f>
        <v>#N/A</v>
      </c>
      <c r="F4450" s="547" t="e">
        <f>IF(D4450="","",SUMIF($I4433:$I4442,D4450,$P4433:$P4442))</f>
        <v>#N/A</v>
      </c>
      <c r="G4450" s="333" t="e">
        <f>IF(D4450="","",SUMIF($I4433:$I4442,D4450,$M4433:$M4442))</f>
        <v>#N/A</v>
      </c>
      <c r="H4450" s="535" t="e">
        <f t="shared" ref="H4450:H4455" si="1316">IF(D4450="","",IF(OR(F4450=0,G4450=0),"NO APORTA",ROUND($F4450/$G4450,3)))</f>
        <v>#N/A</v>
      </c>
      <c r="I4450" s="212" t="e">
        <f>IF(D4450="","",IF(H4450="NO APORTA","NO",IF(H4450=MAX($H4450:$H4455),"SI","NO")))</f>
        <v>#N/A</v>
      </c>
      <c r="J4450" s="213" t="e">
        <f t="shared" ref="J4450:J4455" si="1317">IF(D4450="","",IF(E4450&gt;=PORCREQUERIDOINT,"SI","NO"))</f>
        <v>#N/A</v>
      </c>
      <c r="K4450" s="200" t="e">
        <f t="shared" ref="K4450:K4455" si="1318">IF(D4450="","",IF(AND(I4450="SI",J4450="SI"),"CUMPLE",IF(AND(I4450="NO",OR(J4450="SI",J4450="NO")),"","NO CUMPLE")))</f>
        <v>#N/A</v>
      </c>
      <c r="L4450" s="722" t="s">
        <v>108</v>
      </c>
      <c r="M4450" s="726" t="s">
        <v>119</v>
      </c>
      <c r="N4450" s="726"/>
      <c r="O4450" s="726"/>
      <c r="P4450" s="726"/>
      <c r="Q4450" s="727"/>
      <c r="R4450" s="758" t="s">
        <v>80</v>
      </c>
      <c r="S4450" s="747"/>
      <c r="T4450" s="748"/>
      <c r="U4450" s="219"/>
      <c r="V4450" s="464"/>
      <c r="Y4450" s="533" t="e">
        <f>IF(Y4447="","",IF(Y4447="INDIVIDUAL","NO APLICA","VERIFICAR CUADRO"))</f>
        <v>#N/A</v>
      </c>
      <c r="AA4450" s="551"/>
      <c r="AB4450" s="694"/>
      <c r="AC4450" s="694"/>
      <c r="AD4450" s="686"/>
      <c r="AE4450" s="52"/>
      <c r="AF4450" s="52"/>
      <c r="AG4450" s="52"/>
      <c r="AH4450" s="87"/>
      <c r="AI4450" s="87"/>
    </row>
    <row r="4451" spans="1:35" ht="27" hidden="1" customHeight="1" thickBot="1">
      <c r="A4451" s="218" t="e">
        <f>"O"&amp;E4429</f>
        <v>#N/A</v>
      </c>
      <c r="B4451" s="702"/>
      <c r="C4451" s="114">
        <v>2</v>
      </c>
      <c r="D4451" s="194" t="e">
        <f>IF(AND(C4451&lt;=F4448,F4448&lt;&gt;""),VLOOKUP(VALUE(E4429&amp;","&amp;C4451),INTEGRANTES!$D$18:$F$235,2,0),"")</f>
        <v>#N/A</v>
      </c>
      <c r="E4451" s="211" t="e">
        <f>IF(D4451&lt;&gt;"",VLOOKUP(VALUE(E4429&amp;","&amp;C4451),INTEGRANTES!$D$18:$F$235,3,0),"")</f>
        <v>#N/A</v>
      </c>
      <c r="F4451" s="547" t="e">
        <f>IF(D4451="","",SUMIF($I4433:$I4442,D4451,$P4433:$P4442))</f>
        <v>#N/A</v>
      </c>
      <c r="G4451" s="333" t="e">
        <f>IF(D4451="","",SUMIF($I4433:$I4442,D4451,$M4433:$M4442))</f>
        <v>#N/A</v>
      </c>
      <c r="H4451" s="535" t="e">
        <f t="shared" si="1316"/>
        <v>#N/A</v>
      </c>
      <c r="I4451" s="212" t="e">
        <f>IF(D4451="","",IF(H4451="NO APORTA","NO",IF(H4451=MAX($H4450:$H4455),"SI","NO")))</f>
        <v>#N/A</v>
      </c>
      <c r="J4451" s="213" t="e">
        <f t="shared" si="1317"/>
        <v>#N/A</v>
      </c>
      <c r="K4451" s="200" t="e">
        <f t="shared" si="1318"/>
        <v>#N/A</v>
      </c>
      <c r="L4451" s="723"/>
      <c r="M4451" s="715" t="s">
        <v>116</v>
      </c>
      <c r="N4451" s="716"/>
      <c r="O4451" s="556" t="s">
        <v>113</v>
      </c>
      <c r="P4451" s="715" t="s">
        <v>117</v>
      </c>
      <c r="Q4451" s="728"/>
      <c r="R4451" s="759"/>
      <c r="S4451" s="760"/>
      <c r="T4451" s="761"/>
      <c r="U4451" s="219"/>
      <c r="V4451" s="464"/>
      <c r="Y4451" s="414"/>
      <c r="AA4451" s="542" t="e">
        <f>IF(AND(C4450&lt;=F4448,F4448&gt;1,F4448&lt;&gt;""),VLOOKUP(VALUE(E4429&amp;","&amp;C4450),INTEGRANTES!$D$18:$F$235,2,0),"")</f>
        <v>#N/A</v>
      </c>
      <c r="AB4451" s="544" t="e">
        <f t="shared" ref="AB4451:AB4456" si="1319">IF(D4450="","",IF(OR(F4450=0,G4450=0),"NO APORTA",ROUND($F4450/$G4450,3)))</f>
        <v>#N/A</v>
      </c>
      <c r="AC4451" s="529"/>
      <c r="AD4451" s="200" t="e">
        <f t="shared" ref="AD4451:AD4456" si="1320">IF(OR(AA4451="",AB4451=""),"",IF(AND(AC4451="X",AB4451&gt;=EXPREQVTD),"CUMPLE","NO CUMPLE"))</f>
        <v>#N/A</v>
      </c>
      <c r="AE4451" s="52"/>
      <c r="AF4451" s="52"/>
      <c r="AG4451" s="52"/>
      <c r="AH4451" s="87"/>
      <c r="AI4451" s="87"/>
    </row>
    <row r="4452" spans="1:35" ht="16.5" hidden="1" thickBot="1">
      <c r="A4452" s="218" t="e">
        <f>"P"&amp;E4429</f>
        <v>#N/A</v>
      </c>
      <c r="B4452" s="702"/>
      <c r="C4452" s="114">
        <v>3</v>
      </c>
      <c r="D4452" s="194" t="e">
        <f>IF(AND(C4452&lt;=F4448,F4448&lt;&gt;""),VLOOKUP(VALUE(E4429&amp;","&amp;C4452),INTEGRANTES!$D$18:$F$235,2,0),"")</f>
        <v>#N/A</v>
      </c>
      <c r="E4452" s="211" t="e">
        <f>IF(D4452&lt;&gt;"",VLOOKUP(VALUE(E4429&amp;","&amp;C4452),INTEGRANTES!$D$18:$F$235,3,0),"")</f>
        <v>#N/A</v>
      </c>
      <c r="F4452" s="547" t="e">
        <f>IF(D4452="","",SUMIF($I4433:$I4442,D4452,$P4433:$P4442))</f>
        <v>#N/A</v>
      </c>
      <c r="G4452" s="333" t="e">
        <f>IF(D4452="","",SUMIF($I4433:$I4442,D4452,$M4433:$M4442))</f>
        <v>#N/A</v>
      </c>
      <c r="H4452" s="535" t="e">
        <f t="shared" si="1316"/>
        <v>#N/A</v>
      </c>
      <c r="I4452" s="212" t="e">
        <f>IF(D4452="","",IF(H4452="NO APORTA","NO",IF(H4452=MAX($H4450:$H4455),"SI","NO")))</f>
        <v>#N/A</v>
      </c>
      <c r="J4452" s="213" t="e">
        <f t="shared" si="1317"/>
        <v>#N/A</v>
      </c>
      <c r="K4452" s="200" t="e">
        <f t="shared" si="1318"/>
        <v>#N/A</v>
      </c>
      <c r="L4452" s="724"/>
      <c r="M4452" s="729">
        <f>NUMMOD</f>
        <v>1</v>
      </c>
      <c r="N4452" s="730"/>
      <c r="O4452" s="443">
        <f>IF(M4452="","",VLOOKUP(M4452,PRESUPUESTOS!$B$16:$H$16,5,FALSE))</f>
        <v>2</v>
      </c>
      <c r="P4452" s="713">
        <f>IF(OR(COUNTIF(M4433:M4442,"")&gt;=10,Q4449&lt;NUMMINCONT,OR(T4447="NO CUMPLE",T4447="VERIFICAR")),0,ROUND(AVERAGE(M4433:M4442),3))</f>
        <v>0</v>
      </c>
      <c r="Q4452" s="714"/>
      <c r="R4452" s="458"/>
      <c r="S4452" s="459"/>
      <c r="T4452" s="460"/>
      <c r="U4452" s="219"/>
      <c r="V4452" s="464"/>
      <c r="Y4452" s="532" t="str">
        <f>"40% * ("&amp;PRESUPUESTOS!$H$13&amp;")"</f>
        <v>40% * (50% PFMO)</v>
      </c>
      <c r="AA4452" s="540" t="e">
        <f>IF(AND(C4451&lt;=F4448,F4448&lt;&gt;""),VLOOKUP(VALUE(E4429&amp;","&amp;C4451),INTEGRANTES!$D$18:$F$235,2,0),"")</f>
        <v>#N/A</v>
      </c>
      <c r="AB4452" s="545" t="e">
        <f t="shared" si="1319"/>
        <v>#N/A</v>
      </c>
      <c r="AC4452" s="529"/>
      <c r="AD4452" s="200" t="e">
        <f t="shared" si="1320"/>
        <v>#N/A</v>
      </c>
      <c r="AE4452" s="52"/>
      <c r="AF4452" s="52"/>
      <c r="AG4452" s="52"/>
      <c r="AH4452" s="87"/>
      <c r="AI4452" s="87"/>
    </row>
    <row r="4453" spans="1:35" ht="15.75" hidden="1" customHeight="1" thickBot="1">
      <c r="A4453" s="218" t="e">
        <f>"Q"&amp;E4429</f>
        <v>#N/A</v>
      </c>
      <c r="B4453" s="702"/>
      <c r="C4453" s="114">
        <v>4</v>
      </c>
      <c r="D4453" s="194" t="e">
        <f>IF(AND(C4453&lt;=F4448,F4448&lt;&gt;""),VLOOKUP(VALUE(E4429&amp;","&amp;C4453),INTEGRANTES!$D$18:$F$235,2,0),"")</f>
        <v>#N/A</v>
      </c>
      <c r="E4453" s="211" t="e">
        <f>IF(D4453&lt;&gt;"",VLOOKUP(VALUE(E4429&amp;","&amp;C4453),INTEGRANTES!$D$18:$F$235,3,0),"")</f>
        <v>#N/A</v>
      </c>
      <c r="F4453" s="547" t="e">
        <f>IF(D4453="","",SUMIF($I4433:$I4442,D4453,$P4433:$P4442))</f>
        <v>#N/A</v>
      </c>
      <c r="G4453" s="333" t="e">
        <f>IF(D4453="","",SUMIF($I4433:$I4442,D4453,$M4433:$M4442))</f>
        <v>#N/A</v>
      </c>
      <c r="H4453" s="535" t="e">
        <f t="shared" si="1316"/>
        <v>#N/A</v>
      </c>
      <c r="I4453" s="212" t="e">
        <f>IF(D4453="","",IF(H4453="NO APORTA","NO",IF(H4453=MAX($H4450:$H4455),"SI","NO")))</f>
        <v>#N/A</v>
      </c>
      <c r="J4453" s="213" t="e">
        <f t="shared" si="1317"/>
        <v>#N/A</v>
      </c>
      <c r="K4453" s="200" t="e">
        <f t="shared" si="1318"/>
        <v>#N/A</v>
      </c>
      <c r="L4453" s="720" t="s">
        <v>109</v>
      </c>
      <c r="M4453" s="757" t="s">
        <v>120</v>
      </c>
      <c r="N4453" s="726"/>
      <c r="O4453" s="726"/>
      <c r="P4453" s="726"/>
      <c r="Q4453" s="727"/>
      <c r="R4453" s="458"/>
      <c r="S4453" s="459"/>
      <c r="T4453" s="460"/>
      <c r="U4453" s="219"/>
      <c r="V4453" s="464"/>
      <c r="Y4453" s="537">
        <f>0.4*PRESUPUESTOS!$H$16</f>
        <v>10.3124</v>
      </c>
      <c r="AA4453" s="540" t="e">
        <f>IF(AND(C4452&lt;=F4448,F4448&lt;&gt;""),VLOOKUP(VALUE(E4429&amp;","&amp;C4452),INTEGRANTES!$D$18:$F$235,2,0),"")</f>
        <v>#N/A</v>
      </c>
      <c r="AB4453" s="545" t="e">
        <f t="shared" si="1319"/>
        <v>#N/A</v>
      </c>
      <c r="AC4453" s="529"/>
      <c r="AD4453" s="200" t="e">
        <f t="shared" si="1320"/>
        <v>#N/A</v>
      </c>
      <c r="AE4453" s="52"/>
      <c r="AF4453" s="52"/>
      <c r="AG4453" s="52"/>
      <c r="AH4453" s="87"/>
      <c r="AI4453" s="87"/>
    </row>
    <row r="4454" spans="1:35" ht="27" hidden="1" customHeight="1" thickBot="1">
      <c r="A4454" s="218" t="e">
        <f>"R"&amp;E4429</f>
        <v>#N/A</v>
      </c>
      <c r="B4454" s="702"/>
      <c r="C4454" s="114">
        <v>5</v>
      </c>
      <c r="D4454" s="194" t="e">
        <f>IF(AND(C4454&lt;=F4448,F4448&lt;&gt;""),VLOOKUP(VALUE(E4429&amp;","&amp;C4454),INTEGRANTES!$D$18:$F$235,2,0),"")</f>
        <v>#N/A</v>
      </c>
      <c r="E4454" s="211" t="e">
        <f>IF(D4454&lt;&gt;"",VLOOKUP(VALUE(E4429&amp;","&amp;C4454),INTEGRANTES!$D$18:$F$235,3,0),"")</f>
        <v>#N/A</v>
      </c>
      <c r="F4454" s="547" t="e">
        <f>IF(D4454="","",SUMIF($I4433:$I4442,D4454,$P4433:$P4442))</f>
        <v>#N/A</v>
      </c>
      <c r="G4454" s="333" t="e">
        <f>IF(D4454="","",SUMIF($I4433:$I4442,D4454,$M4433:$M4442))</f>
        <v>#N/A</v>
      </c>
      <c r="H4454" s="535" t="e">
        <f t="shared" si="1316"/>
        <v>#N/A</v>
      </c>
      <c r="I4454" s="212" t="e">
        <f>IF(D4454="","",IF(H4454="NO APORTA","NO",IF(H4454=MAX($H4450:$H4455),"SI","NO")))</f>
        <v>#N/A</v>
      </c>
      <c r="J4454" s="213" t="e">
        <f t="shared" si="1317"/>
        <v>#N/A</v>
      </c>
      <c r="K4454" s="200" t="e">
        <f t="shared" si="1318"/>
        <v>#N/A</v>
      </c>
      <c r="L4454" s="721"/>
      <c r="M4454" s="715" t="s">
        <v>116</v>
      </c>
      <c r="N4454" s="716"/>
      <c r="O4454" s="556" t="str">
        <f>PORCREQUERIDO*100&amp;"% PMFO DEL MÓDULO"</f>
        <v>50% PMFO DEL MÓDULO</v>
      </c>
      <c r="P4454" s="715" t="s">
        <v>118</v>
      </c>
      <c r="Q4454" s="728"/>
      <c r="R4454" s="458"/>
      <c r="S4454" s="459"/>
      <c r="T4454" s="460"/>
      <c r="U4454" s="219"/>
      <c r="V4454" s="464"/>
      <c r="Y4454" s="414"/>
      <c r="AA4454" s="540" t="e">
        <f>IF(AND(C4453&lt;=F4448,F4448&lt;&gt;""),VLOOKUP(VALUE(E4429&amp;","&amp;C4453),INTEGRANTES!$D$18:$F$235,2,0),"")</f>
        <v>#N/A</v>
      </c>
      <c r="AB4454" s="545" t="e">
        <f t="shared" si="1319"/>
        <v>#N/A</v>
      </c>
      <c r="AC4454" s="529"/>
      <c r="AD4454" s="200" t="e">
        <f t="shared" si="1320"/>
        <v>#N/A</v>
      </c>
      <c r="AE4454" s="52"/>
      <c r="AF4454" s="52"/>
      <c r="AG4454" s="52"/>
      <c r="AH4454" s="87"/>
      <c r="AI4454" s="87"/>
    </row>
    <row r="4455" spans="1:35" ht="16.5" hidden="1" thickBot="1">
      <c r="A4455" s="218" t="e">
        <f>"S"&amp;E4429</f>
        <v>#N/A</v>
      </c>
      <c r="B4455" s="702"/>
      <c r="C4455" s="215">
        <v>6</v>
      </c>
      <c r="D4455" s="216" t="e">
        <f>IF(AND(C4455&lt;=F4448,F4448&lt;&gt;""),VLOOKUP(VALUE(E4429&amp;","&amp;C4455),INTEGRANTES!$D$18:$F$235,2,0),"")</f>
        <v>#N/A</v>
      </c>
      <c r="E4455" s="217" t="e">
        <f>IF(D4455&lt;&gt;"",VLOOKUP(VALUE(E4429&amp;","&amp;C4455),INTEGRANTES!$D$18:$F$235,3,0),"")</f>
        <v>#N/A</v>
      </c>
      <c r="F4455" s="548" t="e">
        <f>IF(D4455="","",SUMIF($I4433:$I4442,D4455,$P4433:$P4442))</f>
        <v>#N/A</v>
      </c>
      <c r="G4455" s="334" t="e">
        <f>IF(D4455="","",SUMIF($I4433:$I4442,D4455,$M4433:$M4442))</f>
        <v>#N/A</v>
      </c>
      <c r="H4455" s="536" t="e">
        <f t="shared" si="1316"/>
        <v>#N/A</v>
      </c>
      <c r="I4455" s="214" t="e">
        <f>IF(D4455="","",IF(H4455="NO APORTA","NO",IF(H4455=MAX($H4450:$H4455),"SI","NO")))</f>
        <v>#N/A</v>
      </c>
      <c r="J4455" s="213" t="e">
        <f t="shared" si="1317"/>
        <v>#N/A</v>
      </c>
      <c r="K4455" s="200" t="e">
        <f t="shared" si="1318"/>
        <v>#N/A</v>
      </c>
      <c r="L4455" s="721"/>
      <c r="M4455" s="729">
        <f>NUMMOD</f>
        <v>1</v>
      </c>
      <c r="N4455" s="730"/>
      <c r="O4455" s="443">
        <f>IF(M4455="","",ROUND(VLOOKUP(M4455,PRESUPUESTOS!$B$16:$H$16,7,FALSE),3))</f>
        <v>25.780999999999999</v>
      </c>
      <c r="P4455" s="713">
        <f>IF(OR(COUNTIF(P4433:P4442,"")&gt;=10,Q4449&lt;NUMMINCONT,OR(T4447="NO CUMPLE",T4447="VERIFICAR")),0,ROUND((SUM(P4433:P4442)/SUM(M4433:M4442)),3))</f>
        <v>0</v>
      </c>
      <c r="Q4455" s="714"/>
      <c r="R4455" s="458"/>
      <c r="S4455" s="459"/>
      <c r="T4455" s="460"/>
      <c r="U4455" s="219"/>
      <c r="V4455" s="464"/>
      <c r="Y4455" s="532" t="s">
        <v>343</v>
      </c>
      <c r="AA4455" s="540" t="e">
        <f>IF(AND(C4454&lt;=F4448,F4448&lt;&gt;""),VLOOKUP(VALUE(E4429&amp;","&amp;C4454),INTEGRANTES!$D$18:$F$235,2,0),"")</f>
        <v>#N/A</v>
      </c>
      <c r="AB4455" s="545" t="e">
        <f t="shared" si="1319"/>
        <v>#N/A</v>
      </c>
      <c r="AC4455" s="529"/>
      <c r="AD4455" s="200" t="e">
        <f t="shared" si="1320"/>
        <v>#N/A</v>
      </c>
      <c r="AE4455" s="52"/>
      <c r="AF4455" s="52"/>
      <c r="AG4455" s="52"/>
      <c r="AH4455" s="87"/>
      <c r="AI4455" s="87"/>
    </row>
    <row r="4456" spans="1:35" ht="16.5" hidden="1" customHeight="1" thickBot="1">
      <c r="A4456" s="218" t="e">
        <f>"T"&amp;E4429</f>
        <v>#N/A</v>
      </c>
      <c r="B4456" s="703"/>
      <c r="C4456" s="719"/>
      <c r="D4456" s="719"/>
      <c r="E4456" s="719"/>
      <c r="F4456" s="719"/>
      <c r="G4456" s="719"/>
      <c r="H4456" s="719" t="s">
        <v>110</v>
      </c>
      <c r="I4456" s="719"/>
      <c r="J4456" s="719"/>
      <c r="K4456" s="201" t="str">
        <f>IF(COUNTIF(K4450:K4455,"")=6,"",IF(COUNTIF(K4450:K4455,"CUMPLE")&gt;0,"CUMPLE","NO CUMPLE"))</f>
        <v>NO CUMPLE</v>
      </c>
      <c r="L4456" s="754"/>
      <c r="M4456" s="755"/>
      <c r="N4456" s="755"/>
      <c r="O4456" s="755"/>
      <c r="P4456" s="755"/>
      <c r="Q4456" s="756"/>
      <c r="R4456" s="461"/>
      <c r="S4456" s="462"/>
      <c r="T4456" s="463"/>
      <c r="U4456" s="219"/>
      <c r="V4456" s="464"/>
      <c r="Y4456" s="549" t="e">
        <f>IF(Y4450="NO APLICA","NO APLICA",IF(COUNTIF(AD4451:AD4456,"CUMPLE")&gt;0,"CUMPLE","NO CUMPLE"))</f>
        <v>#N/A</v>
      </c>
      <c r="AA4456" s="541" t="e">
        <f>IF(AND(C4455&lt;=F4448,F4448&lt;&gt;""),VLOOKUP(VALUE(E4429&amp;","&amp;C4455),INTEGRANTES!$D$18:$F$235,2,0),"")</f>
        <v>#N/A</v>
      </c>
      <c r="AB4456" s="546" t="e">
        <f t="shared" si="1319"/>
        <v>#N/A</v>
      </c>
      <c r="AC4456" s="543"/>
      <c r="AD4456" s="201" t="e">
        <f t="shared" si="1320"/>
        <v>#N/A</v>
      </c>
      <c r="AE4456" s="52"/>
      <c r="AF4456" s="52"/>
      <c r="AG4456" s="52"/>
      <c r="AH4456" s="87"/>
      <c r="AI4456" s="87"/>
    </row>
    <row r="4457" spans="1:35" hidden="1">
      <c r="AH4457" s="87"/>
      <c r="AI4457" s="87"/>
    </row>
    <row r="4458" spans="1:35" hidden="1">
      <c r="AH4458" s="87"/>
      <c r="AI4458" s="87"/>
    </row>
    <row r="4459" spans="1:35" ht="24" hidden="1" thickBot="1">
      <c r="A4459" s="61">
        <v>149</v>
      </c>
      <c r="B4459" s="704" t="s">
        <v>51</v>
      </c>
      <c r="C4459" s="704"/>
      <c r="D4459" s="704"/>
      <c r="E4459" s="62" t="e">
        <f>VLOOKUP(A4459,PROPONENTES!$B$19:$E$218,2,FALSE)</f>
        <v>#N/A</v>
      </c>
      <c r="F4459" s="63" t="e">
        <f>VLOOKUP(A4459,PROPONENTES!$B$19:$E$218,3,FALSE)</f>
        <v>#N/A</v>
      </c>
      <c r="G4459" s="64"/>
      <c r="H4459" s="64"/>
      <c r="I4459" s="63"/>
      <c r="J4459" s="63"/>
      <c r="K4459" s="65"/>
      <c r="L4459" s="65"/>
      <c r="M4459" s="64"/>
      <c r="N4459" s="64"/>
      <c r="O4459" s="66"/>
      <c r="P4459" s="66"/>
      <c r="Q4459" s="66"/>
      <c r="R4459" s="66"/>
      <c r="S4459" s="67"/>
      <c r="T4459" s="68"/>
      <c r="U4459" s="68"/>
      <c r="AC4459" s="68"/>
      <c r="AD4459" s="68"/>
      <c r="AE4459" s="68"/>
      <c r="AF4459" s="68"/>
      <c r="AG4459" s="68"/>
      <c r="AH4459" s="87"/>
      <c r="AI4459" s="87"/>
    </row>
    <row r="4460" spans="1:35" ht="15.75" hidden="1" customHeight="1">
      <c r="A4460" s="44"/>
      <c r="B4460" s="709" t="s">
        <v>59</v>
      </c>
      <c r="C4460" s="552" t="s">
        <v>60</v>
      </c>
      <c r="D4460" s="70" t="s">
        <v>17</v>
      </c>
      <c r="E4460" s="70"/>
      <c r="F4460" s="70" t="s">
        <v>61</v>
      </c>
      <c r="G4460" s="71"/>
      <c r="H4460" s="699" t="s">
        <v>62</v>
      </c>
      <c r="I4460" s="699" t="s">
        <v>18</v>
      </c>
      <c r="J4460" s="699" t="s">
        <v>63</v>
      </c>
      <c r="K4460" s="699" t="s">
        <v>64</v>
      </c>
      <c r="L4460" s="699" t="s">
        <v>65</v>
      </c>
      <c r="M4460" s="743" t="s">
        <v>66</v>
      </c>
      <c r="N4460" s="699" t="s">
        <v>282</v>
      </c>
      <c r="O4460" s="745" t="s">
        <v>67</v>
      </c>
      <c r="P4460" s="746"/>
      <c r="Q4460" s="102" t="s">
        <v>75</v>
      </c>
      <c r="R4460" s="731" t="s">
        <v>22</v>
      </c>
      <c r="S4460" s="732"/>
      <c r="T4460" s="733"/>
      <c r="U4460" s="712" t="s">
        <v>298</v>
      </c>
      <c r="W4460" s="690" t="s">
        <v>268</v>
      </c>
      <c r="X4460" s="691"/>
      <c r="Y4460" s="692"/>
      <c r="Z4460" s="428"/>
      <c r="AA4460" s="697" t="s">
        <v>315</v>
      </c>
      <c r="AB4460" s="695" t="s">
        <v>322</v>
      </c>
      <c r="AC4460" s="49"/>
      <c r="AD4460" s="690" t="s">
        <v>297</v>
      </c>
      <c r="AE4460" s="691"/>
      <c r="AF4460" s="692"/>
      <c r="AG4460" s="49"/>
      <c r="AH4460" s="87"/>
      <c r="AI4460" s="87"/>
    </row>
    <row r="4461" spans="1:35" ht="72" hidden="1">
      <c r="A4461" s="44"/>
      <c r="B4461" s="710"/>
      <c r="C4461" s="553" t="s">
        <v>68</v>
      </c>
      <c r="D4461" s="73" t="s">
        <v>3</v>
      </c>
      <c r="E4461" s="73" t="s">
        <v>19</v>
      </c>
      <c r="F4461" s="73" t="s">
        <v>69</v>
      </c>
      <c r="G4461" s="74" t="s">
        <v>70</v>
      </c>
      <c r="H4461" s="700"/>
      <c r="I4461" s="700"/>
      <c r="J4461" s="700"/>
      <c r="K4461" s="700"/>
      <c r="L4461" s="700"/>
      <c r="M4461" s="744"/>
      <c r="N4461" s="700"/>
      <c r="O4461" s="553" t="s">
        <v>279</v>
      </c>
      <c r="P4461" s="73" t="s">
        <v>88</v>
      </c>
      <c r="Q4461" s="555" t="s">
        <v>76</v>
      </c>
      <c r="R4461" s="734"/>
      <c r="S4461" s="735"/>
      <c r="T4461" s="736"/>
      <c r="U4461" s="712"/>
      <c r="W4461" s="429" t="s">
        <v>269</v>
      </c>
      <c r="X4461" s="457" t="s">
        <v>278</v>
      </c>
      <c r="Y4461" s="430" t="s">
        <v>324</v>
      </c>
      <c r="Z4461" s="428"/>
      <c r="AA4461" s="698"/>
      <c r="AB4461" s="696"/>
      <c r="AC4461" s="49"/>
      <c r="AD4461" s="429" t="s">
        <v>292</v>
      </c>
      <c r="AE4461" s="431" t="s">
        <v>300</v>
      </c>
      <c r="AF4461" s="468" t="s">
        <v>301</v>
      </c>
      <c r="AG4461" s="49"/>
      <c r="AH4461" s="87"/>
      <c r="AI4461" s="87"/>
    </row>
    <row r="4462" spans="1:35" hidden="1">
      <c r="A4462" s="44"/>
      <c r="B4462" s="76"/>
      <c r="C4462" s="77"/>
      <c r="D4462" s="77"/>
      <c r="E4462" s="77"/>
      <c r="F4462" s="77"/>
      <c r="G4462" s="77"/>
      <c r="H4462" s="77"/>
      <c r="I4462" s="77"/>
      <c r="J4462" s="77"/>
      <c r="K4462" s="77"/>
      <c r="L4462" s="77"/>
      <c r="M4462" s="77"/>
      <c r="N4462" s="77"/>
      <c r="O4462" s="77"/>
      <c r="P4462" s="77"/>
      <c r="Q4462" s="77"/>
      <c r="R4462" s="77"/>
      <c r="S4462" s="78"/>
      <c r="T4462" s="79"/>
      <c r="U4462" s="109"/>
      <c r="V4462" s="49"/>
      <c r="W4462" s="432"/>
      <c r="X4462" s="454"/>
      <c r="Y4462" s="433"/>
      <c r="Z4462" s="6"/>
      <c r="AA4462" s="500"/>
      <c r="AB4462" s="562"/>
      <c r="AC4462" s="49"/>
      <c r="AD4462" s="210"/>
      <c r="AE4462" s="434"/>
      <c r="AF4462" s="435"/>
      <c r="AG4462" s="49"/>
      <c r="AH4462" s="87"/>
      <c r="AI4462" s="87"/>
    </row>
    <row r="4463" spans="1:35" hidden="1">
      <c r="A4463" s="80" t="e">
        <f>"A"&amp;E4459</f>
        <v>#N/A</v>
      </c>
      <c r="B4463" s="81">
        <v>1</v>
      </c>
      <c r="C4463" s="82"/>
      <c r="D4463" s="82"/>
      <c r="E4463" s="82"/>
      <c r="F4463" s="82"/>
      <c r="G4463" s="83"/>
      <c r="H4463" s="83"/>
      <c r="I4463" s="84"/>
      <c r="J4463" s="85"/>
      <c r="K4463" s="382"/>
      <c r="L4463" s="85"/>
      <c r="M4463" s="332" t="str">
        <f t="shared" ref="M4463:M4472" si="1321">IF(OR(J4463="",L4463="",H4463="NO"),"",IF(OR(J4463&gt;$P$17,J4463&lt;$O$17,L4463&gt;$P$17,AND(J4463&lt;$O$17,L4463&lt;$O$17)),"FUERA DE RANGO",IF(OR(K4463="---",K4463=""),IF(J4463&gt;=$O$17,ROUND((L4463-J4463+1)/360*12,3),ROUND((L4463-$O$17+1)/360*12,3)),IF(J4463&gt;=$O$17,ROUND((L4463-J4463+1)/360*12-ROUND(K4463,3),3),ROUND((L4463-$O$17+1)/360*12-ROUND(K4463,3),3)))))</f>
        <v/>
      </c>
      <c r="N4463" s="86"/>
      <c r="O4463" s="453" t="str">
        <f>IF(OR(G4463="",N4463=""),"",N4463*G4463)</f>
        <v/>
      </c>
      <c r="P4463" s="538" t="str">
        <f>IF(OR(H4463="",M4463="FUERA DE RANGO"),"",IF(OR(L4463&lt;$O$17,L4463&gt;$P$17,L4463="",H4463="NO"),"",IF(OR(N4463="",O4463=""),"",ROUND(O4463,3))))</f>
        <v/>
      </c>
      <c r="Q4463" s="539" t="str">
        <f t="shared" ref="Q4463:Q4472" si="1322">IF(AND(H4463="SI",P4463&lt;&gt;""),ROUND(P4463/M4463,3),"")</f>
        <v/>
      </c>
      <c r="R4463" s="737"/>
      <c r="S4463" s="738"/>
      <c r="T4463" s="739"/>
      <c r="U4463" s="470"/>
      <c r="V4463" s="165"/>
      <c r="W4463" s="446"/>
      <c r="X4463" s="456"/>
      <c r="Y4463" s="436"/>
      <c r="Z4463" s="437"/>
      <c r="AA4463" s="560"/>
      <c r="AB4463" s="561"/>
      <c r="AC4463" s="87"/>
      <c r="AD4463" s="466"/>
      <c r="AE4463" s="456"/>
      <c r="AF4463" s="467"/>
      <c r="AG4463" s="87"/>
      <c r="AH4463" s="87"/>
      <c r="AI4463" s="87"/>
    </row>
    <row r="4464" spans="1:35" hidden="1">
      <c r="A4464" s="80" t="e">
        <f>"B"&amp;E4459</f>
        <v>#N/A</v>
      </c>
      <c r="B4464" s="81">
        <v>2</v>
      </c>
      <c r="C4464" s="106"/>
      <c r="D4464" s="106"/>
      <c r="E4464" s="106"/>
      <c r="F4464" s="106"/>
      <c r="G4464" s="83"/>
      <c r="H4464" s="83"/>
      <c r="I4464" s="84"/>
      <c r="J4464" s="85"/>
      <c r="K4464" s="382"/>
      <c r="L4464" s="85"/>
      <c r="M4464" s="332" t="str">
        <f t="shared" si="1321"/>
        <v/>
      </c>
      <c r="N4464" s="86"/>
      <c r="O4464" s="453" t="str">
        <f t="shared" ref="O4464:O4472" si="1323">IF(OR(G4464="",N4464=""),"",N4464*G4464)</f>
        <v/>
      </c>
      <c r="P4464" s="538" t="str">
        <f t="shared" ref="P4464:P4472" si="1324">IF(OR(H4464="",M4464="FUERA DE RANGO"),"",IF(OR(L4464&lt;$O$17,L4464&gt;$P$17,L4464="",H4464="NO"),"",IF(OR(N4464="",O4464=""),"",ROUND(O4464,3))))</f>
        <v/>
      </c>
      <c r="Q4464" s="539" t="str">
        <f t="shared" si="1322"/>
        <v/>
      </c>
      <c r="R4464" s="740"/>
      <c r="S4464" s="741"/>
      <c r="T4464" s="742"/>
      <c r="U4464" s="471"/>
      <c r="V4464" s="165"/>
      <c r="W4464" s="446"/>
      <c r="X4464" s="456"/>
      <c r="Y4464" s="436"/>
      <c r="Z4464" s="437"/>
      <c r="AA4464" s="560"/>
      <c r="AB4464" s="561"/>
      <c r="AC4464" s="87"/>
      <c r="AD4464" s="466"/>
      <c r="AE4464" s="456"/>
      <c r="AF4464" s="467"/>
      <c r="AG4464" s="87"/>
      <c r="AH4464" s="87"/>
      <c r="AI4464" s="87"/>
    </row>
    <row r="4465" spans="1:35" hidden="1">
      <c r="A4465" s="80" t="e">
        <f>"C"&amp;E4459</f>
        <v>#N/A</v>
      </c>
      <c r="B4465" s="88">
        <v>3</v>
      </c>
      <c r="C4465" s="82"/>
      <c r="D4465" s="82"/>
      <c r="E4465" s="82"/>
      <c r="F4465" s="82"/>
      <c r="G4465" s="83"/>
      <c r="H4465" s="83"/>
      <c r="I4465" s="84"/>
      <c r="J4465" s="85"/>
      <c r="K4465" s="382"/>
      <c r="L4465" s="85"/>
      <c r="M4465" s="332" t="str">
        <f t="shared" si="1321"/>
        <v/>
      </c>
      <c r="N4465" s="86"/>
      <c r="O4465" s="453" t="str">
        <f t="shared" si="1323"/>
        <v/>
      </c>
      <c r="P4465" s="538" t="str">
        <f t="shared" si="1324"/>
        <v/>
      </c>
      <c r="Q4465" s="539" t="str">
        <f t="shared" si="1322"/>
        <v/>
      </c>
      <c r="R4465" s="706"/>
      <c r="S4465" s="707"/>
      <c r="T4465" s="708"/>
      <c r="U4465" s="472"/>
      <c r="V4465" s="166"/>
      <c r="W4465" s="446"/>
      <c r="X4465" s="456"/>
      <c r="Y4465" s="436"/>
      <c r="Z4465" s="437"/>
      <c r="AA4465" s="560"/>
      <c r="AB4465" s="561"/>
      <c r="AC4465" s="87"/>
      <c r="AD4465" s="466"/>
      <c r="AE4465" s="456"/>
      <c r="AF4465" s="467"/>
      <c r="AG4465" s="87"/>
      <c r="AH4465" s="87"/>
      <c r="AI4465" s="87"/>
    </row>
    <row r="4466" spans="1:35" hidden="1">
      <c r="A4466" s="80" t="e">
        <f>"D"&amp;E4459</f>
        <v>#N/A</v>
      </c>
      <c r="B4466" s="105">
        <v>4</v>
      </c>
      <c r="C4466" s="107"/>
      <c r="D4466" s="107"/>
      <c r="E4466" s="107"/>
      <c r="F4466" s="107"/>
      <c r="G4466" s="83"/>
      <c r="H4466" s="83"/>
      <c r="I4466" s="84"/>
      <c r="J4466" s="85"/>
      <c r="K4466" s="382"/>
      <c r="L4466" s="85"/>
      <c r="M4466" s="332" t="str">
        <f t="shared" si="1321"/>
        <v/>
      </c>
      <c r="N4466" s="86"/>
      <c r="O4466" s="453" t="str">
        <f t="shared" si="1323"/>
        <v/>
      </c>
      <c r="P4466" s="538" t="str">
        <f t="shared" si="1324"/>
        <v/>
      </c>
      <c r="Q4466" s="539" t="str">
        <f t="shared" si="1322"/>
        <v/>
      </c>
      <c r="R4466" s="706"/>
      <c r="S4466" s="707"/>
      <c r="T4466" s="708"/>
      <c r="U4466" s="472"/>
      <c r="V4466" s="166"/>
      <c r="W4466" s="446"/>
      <c r="X4466" s="456"/>
      <c r="Y4466" s="436"/>
      <c r="Z4466" s="437"/>
      <c r="AA4466" s="560"/>
      <c r="AB4466" s="561"/>
      <c r="AC4466" s="87"/>
      <c r="AD4466" s="466"/>
      <c r="AE4466" s="456"/>
      <c r="AF4466" s="467"/>
      <c r="AG4466" s="87"/>
      <c r="AH4466" s="87"/>
      <c r="AI4466" s="87"/>
    </row>
    <row r="4467" spans="1:35" hidden="1">
      <c r="A4467" s="80" t="e">
        <f>"E"&amp;E4459</f>
        <v>#N/A</v>
      </c>
      <c r="B4467" s="105">
        <v>5</v>
      </c>
      <c r="C4467" s="107"/>
      <c r="D4467" s="107"/>
      <c r="E4467" s="107"/>
      <c r="F4467" s="107"/>
      <c r="G4467" s="83"/>
      <c r="H4467" s="83"/>
      <c r="I4467" s="84"/>
      <c r="J4467" s="85"/>
      <c r="K4467" s="382"/>
      <c r="L4467" s="85"/>
      <c r="M4467" s="332" t="str">
        <f t="shared" si="1321"/>
        <v/>
      </c>
      <c r="N4467" s="86"/>
      <c r="O4467" s="453" t="str">
        <f t="shared" si="1323"/>
        <v/>
      </c>
      <c r="P4467" s="538" t="str">
        <f t="shared" si="1324"/>
        <v/>
      </c>
      <c r="Q4467" s="539" t="str">
        <f t="shared" si="1322"/>
        <v/>
      </c>
      <c r="R4467" s="706"/>
      <c r="S4467" s="707"/>
      <c r="T4467" s="708"/>
      <c r="U4467" s="472"/>
      <c r="V4467" s="167"/>
      <c r="W4467" s="446"/>
      <c r="X4467" s="456"/>
      <c r="Y4467" s="436"/>
      <c r="Z4467" s="437"/>
      <c r="AA4467" s="560"/>
      <c r="AB4467" s="561"/>
      <c r="AC4467" s="87"/>
      <c r="AD4467" s="466"/>
      <c r="AE4467" s="456"/>
      <c r="AF4467" s="467"/>
      <c r="AG4467" s="87"/>
      <c r="AH4467" s="87"/>
      <c r="AI4467" s="87"/>
    </row>
    <row r="4468" spans="1:35" hidden="1">
      <c r="A4468" s="80" t="e">
        <f>"F"&amp;E4459</f>
        <v>#N/A</v>
      </c>
      <c r="B4468" s="105">
        <v>6</v>
      </c>
      <c r="C4468" s="107"/>
      <c r="D4468" s="107"/>
      <c r="E4468" s="107"/>
      <c r="F4468" s="107"/>
      <c r="G4468" s="83"/>
      <c r="H4468" s="83"/>
      <c r="I4468" s="84"/>
      <c r="J4468" s="85"/>
      <c r="K4468" s="382"/>
      <c r="L4468" s="85"/>
      <c r="M4468" s="332" t="str">
        <f t="shared" si="1321"/>
        <v/>
      </c>
      <c r="N4468" s="86"/>
      <c r="O4468" s="453" t="str">
        <f t="shared" si="1323"/>
        <v/>
      </c>
      <c r="P4468" s="538" t="str">
        <f t="shared" si="1324"/>
        <v/>
      </c>
      <c r="Q4468" s="539" t="str">
        <f t="shared" si="1322"/>
        <v/>
      </c>
      <c r="R4468" s="706"/>
      <c r="S4468" s="707"/>
      <c r="T4468" s="708"/>
      <c r="U4468" s="472"/>
      <c r="V4468" s="167"/>
      <c r="W4468" s="446"/>
      <c r="X4468" s="456"/>
      <c r="Y4468" s="436"/>
      <c r="Z4468" s="437"/>
      <c r="AA4468" s="560"/>
      <c r="AB4468" s="561"/>
      <c r="AC4468" s="87"/>
      <c r="AD4468" s="466"/>
      <c r="AE4468" s="456"/>
      <c r="AF4468" s="467"/>
      <c r="AG4468" s="87"/>
      <c r="AH4468" s="87"/>
      <c r="AI4468" s="87"/>
    </row>
    <row r="4469" spans="1:35" hidden="1">
      <c r="A4469" s="80" t="e">
        <f>"G"&amp;E4459</f>
        <v>#N/A</v>
      </c>
      <c r="B4469" s="105">
        <v>7</v>
      </c>
      <c r="C4469" s="107"/>
      <c r="D4469" s="107"/>
      <c r="E4469" s="107"/>
      <c r="F4469" s="107"/>
      <c r="G4469" s="83"/>
      <c r="H4469" s="83"/>
      <c r="I4469" s="84"/>
      <c r="J4469" s="85"/>
      <c r="K4469" s="382"/>
      <c r="L4469" s="85"/>
      <c r="M4469" s="332" t="str">
        <f t="shared" si="1321"/>
        <v/>
      </c>
      <c r="N4469" s="86"/>
      <c r="O4469" s="86" t="str">
        <f t="shared" si="1323"/>
        <v/>
      </c>
      <c r="P4469" s="538" t="str">
        <f t="shared" si="1324"/>
        <v/>
      </c>
      <c r="Q4469" s="539" t="str">
        <f t="shared" si="1322"/>
        <v/>
      </c>
      <c r="R4469" s="706"/>
      <c r="S4469" s="707"/>
      <c r="T4469" s="708"/>
      <c r="U4469" s="472"/>
      <c r="V4469" s="167"/>
      <c r="W4469" s="446"/>
      <c r="X4469" s="456"/>
      <c r="Y4469" s="436"/>
      <c r="Z4469" s="437"/>
      <c r="AA4469" s="560"/>
      <c r="AB4469" s="561"/>
      <c r="AC4469" s="87"/>
      <c r="AD4469" s="466"/>
      <c r="AE4469" s="456"/>
      <c r="AF4469" s="467"/>
      <c r="AG4469" s="87"/>
      <c r="AH4469" s="87"/>
      <c r="AI4469" s="87"/>
    </row>
    <row r="4470" spans="1:35" hidden="1">
      <c r="A4470" s="80" t="e">
        <f>"H"&amp;E4459</f>
        <v>#N/A</v>
      </c>
      <c r="B4470" s="105">
        <v>8</v>
      </c>
      <c r="C4470" s="107"/>
      <c r="D4470" s="107"/>
      <c r="E4470" s="107"/>
      <c r="F4470" s="107"/>
      <c r="G4470" s="83"/>
      <c r="H4470" s="83"/>
      <c r="I4470" s="84"/>
      <c r="J4470" s="85"/>
      <c r="K4470" s="382"/>
      <c r="L4470" s="85"/>
      <c r="M4470" s="332" t="str">
        <f t="shared" si="1321"/>
        <v/>
      </c>
      <c r="N4470" s="453"/>
      <c r="O4470" s="86" t="str">
        <f t="shared" si="1323"/>
        <v/>
      </c>
      <c r="P4470" s="538" t="str">
        <f t="shared" si="1324"/>
        <v/>
      </c>
      <c r="Q4470" s="539" t="str">
        <f t="shared" si="1322"/>
        <v/>
      </c>
      <c r="R4470" s="706"/>
      <c r="S4470" s="707"/>
      <c r="T4470" s="708"/>
      <c r="U4470" s="472"/>
      <c r="V4470" s="167"/>
      <c r="W4470" s="446"/>
      <c r="X4470" s="456"/>
      <c r="Y4470" s="436"/>
      <c r="Z4470" s="437"/>
      <c r="AA4470" s="560"/>
      <c r="AB4470" s="561"/>
      <c r="AC4470" s="87"/>
      <c r="AD4470" s="466"/>
      <c r="AE4470" s="456"/>
      <c r="AF4470" s="467"/>
      <c r="AG4470" s="87"/>
      <c r="AH4470" s="87"/>
      <c r="AI4470" s="87"/>
    </row>
    <row r="4471" spans="1:35" hidden="1">
      <c r="A4471" s="80" t="e">
        <f>"I"&amp;E4459</f>
        <v>#N/A</v>
      </c>
      <c r="B4471" s="105">
        <v>9</v>
      </c>
      <c r="C4471" s="107"/>
      <c r="D4471" s="107"/>
      <c r="E4471" s="107"/>
      <c r="F4471" s="107"/>
      <c r="G4471" s="83"/>
      <c r="H4471" s="83"/>
      <c r="I4471" s="84"/>
      <c r="J4471" s="85"/>
      <c r="K4471" s="382"/>
      <c r="L4471" s="85"/>
      <c r="M4471" s="332" t="str">
        <f t="shared" si="1321"/>
        <v/>
      </c>
      <c r="N4471" s="453"/>
      <c r="O4471" s="86" t="str">
        <f t="shared" si="1323"/>
        <v/>
      </c>
      <c r="P4471" s="538" t="str">
        <f t="shared" si="1324"/>
        <v/>
      </c>
      <c r="Q4471" s="539" t="str">
        <f t="shared" si="1322"/>
        <v/>
      </c>
      <c r="R4471" s="706"/>
      <c r="S4471" s="707"/>
      <c r="T4471" s="708"/>
      <c r="U4471" s="472"/>
      <c r="V4471" s="167"/>
      <c r="W4471" s="446"/>
      <c r="X4471" s="456"/>
      <c r="Y4471" s="436"/>
      <c r="Z4471" s="437"/>
      <c r="AA4471" s="560"/>
      <c r="AB4471" s="561"/>
      <c r="AC4471" s="87"/>
      <c r="AD4471" s="466"/>
      <c r="AE4471" s="456"/>
      <c r="AF4471" s="467"/>
      <c r="AG4471" s="87"/>
      <c r="AH4471" s="87"/>
      <c r="AI4471" s="87"/>
    </row>
    <row r="4472" spans="1:35" hidden="1">
      <c r="A4472" s="80" t="e">
        <f>"J"&amp;E4459</f>
        <v>#N/A</v>
      </c>
      <c r="B4472" s="105">
        <v>10</v>
      </c>
      <c r="C4472" s="107"/>
      <c r="D4472" s="107"/>
      <c r="E4472" s="107"/>
      <c r="F4472" s="107"/>
      <c r="G4472" s="83"/>
      <c r="H4472" s="83"/>
      <c r="I4472" s="84"/>
      <c r="J4472" s="85"/>
      <c r="K4472" s="382"/>
      <c r="L4472" s="85"/>
      <c r="M4472" s="332" t="str">
        <f t="shared" si="1321"/>
        <v/>
      </c>
      <c r="N4472" s="453"/>
      <c r="O4472" s="86" t="str">
        <f t="shared" si="1323"/>
        <v/>
      </c>
      <c r="P4472" s="538" t="str">
        <f t="shared" si="1324"/>
        <v/>
      </c>
      <c r="Q4472" s="539" t="str">
        <f t="shared" si="1322"/>
        <v/>
      </c>
      <c r="R4472" s="706"/>
      <c r="S4472" s="707"/>
      <c r="T4472" s="708"/>
      <c r="U4472" s="472"/>
      <c r="V4472" s="167"/>
      <c r="W4472" s="446"/>
      <c r="X4472" s="456"/>
      <c r="Y4472" s="436"/>
      <c r="Z4472" s="437"/>
      <c r="AA4472" s="560"/>
      <c r="AB4472" s="561"/>
      <c r="AC4472" s="87"/>
      <c r="AD4472" s="466"/>
      <c r="AE4472" s="456"/>
      <c r="AF4472" s="467"/>
      <c r="AG4472" s="87"/>
      <c r="AH4472" s="87"/>
      <c r="AI4472" s="87"/>
    </row>
    <row r="4473" spans="1:35" ht="16.5" hidden="1" thickBot="1">
      <c r="A4473" s="44"/>
      <c r="B4473" s="89"/>
      <c r="C4473" s="90"/>
      <c r="D4473" s="90"/>
      <c r="E4473" s="90"/>
      <c r="F4473" s="90"/>
      <c r="G4473" s="90"/>
      <c r="H4473" s="90"/>
      <c r="I4473" s="90"/>
      <c r="J4473" s="90"/>
      <c r="K4473" s="90"/>
      <c r="L4473" s="90"/>
      <c r="M4473" s="90"/>
      <c r="N4473" s="90"/>
      <c r="O4473" s="90"/>
      <c r="P4473" s="90"/>
      <c r="Q4473" s="90"/>
      <c r="R4473" s="90"/>
      <c r="S4473" s="91"/>
      <c r="T4473" s="92"/>
      <c r="U4473" s="473"/>
      <c r="W4473" s="438"/>
      <c r="X4473" s="455"/>
      <c r="Y4473" s="439"/>
      <c r="Z4473" s="437"/>
      <c r="AA4473" s="530"/>
      <c r="AB4473" s="563"/>
      <c r="AC4473" s="87"/>
      <c r="AD4473" s="440"/>
      <c r="AE4473" s="441"/>
      <c r="AF4473" s="442"/>
      <c r="AG4473" s="49"/>
      <c r="AH4473" s="87"/>
      <c r="AI4473" s="87"/>
    </row>
    <row r="4474" spans="1:35" ht="16.5" hidden="1" thickBot="1">
      <c r="A4474" s="93"/>
      <c r="B4474" s="94"/>
      <c r="C4474" s="96"/>
      <c r="D4474" s="96"/>
      <c r="E4474" s="96"/>
      <c r="F4474" s="96"/>
      <c r="G4474" s="96"/>
      <c r="H4474" s="96"/>
      <c r="I4474" s="96"/>
      <c r="J4474" s="96"/>
      <c r="K4474" s="96"/>
      <c r="L4474" s="96"/>
      <c r="M4474" s="136"/>
      <c r="N4474" s="96"/>
      <c r="O4474" s="96"/>
      <c r="P4474" s="97"/>
      <c r="Q4474" s="97"/>
      <c r="R4474" s="98"/>
      <c r="S4474" s="95"/>
      <c r="T4474" s="99"/>
      <c r="U4474" s="469"/>
      <c r="AC4474" s="58"/>
      <c r="AG4474" s="58"/>
      <c r="AH4474" s="87"/>
      <c r="AI4474" s="87"/>
    </row>
    <row r="4475" spans="1:35" ht="16.5" hidden="1" thickBot="1">
      <c r="B4475" s="101"/>
      <c r="C4475" s="101"/>
      <c r="D4475" s="101"/>
      <c r="E4475" s="101"/>
      <c r="F4475" s="101"/>
      <c r="G4475" s="101"/>
      <c r="H4475" s="101"/>
      <c r="I4475" s="101"/>
      <c r="J4475" s="101"/>
      <c r="K4475" s="101"/>
      <c r="L4475" s="101"/>
      <c r="M4475" s="101"/>
      <c r="N4475" s="101"/>
      <c r="O4475" s="101"/>
      <c r="P4475" s="101"/>
      <c r="Q4475" s="101"/>
      <c r="R4475" s="101"/>
      <c r="S4475" s="101"/>
      <c r="U4475" s="50"/>
      <c r="AH4475" s="87"/>
      <c r="AI4475" s="87"/>
    </row>
    <row r="4476" spans="1:35" ht="16.5" hidden="1" customHeight="1" thickBot="1">
      <c r="A4476" s="44"/>
      <c r="B4476" s="705" t="s">
        <v>74</v>
      </c>
      <c r="C4476" s="705"/>
      <c r="D4476" s="705"/>
      <c r="E4476" s="705"/>
      <c r="F4476" s="705"/>
      <c r="G4476" s="705"/>
      <c r="H4476" s="705"/>
      <c r="I4476" s="705"/>
      <c r="J4476" s="705"/>
      <c r="K4476" s="705"/>
      <c r="L4476" s="705"/>
      <c r="M4476" s="705"/>
      <c r="N4476" s="705"/>
      <c r="O4476" s="705"/>
      <c r="P4476" s="705"/>
      <c r="Q4476" s="705"/>
      <c r="R4476" s="705"/>
      <c r="S4476" s="705"/>
      <c r="T4476" s="705"/>
      <c r="U4476" s="108"/>
      <c r="Y4476" s="532" t="s">
        <v>341</v>
      </c>
      <c r="AC4476" s="49"/>
      <c r="AD4476" s="687" t="s">
        <v>302</v>
      </c>
      <c r="AE4476" s="688"/>
      <c r="AF4476" s="689"/>
      <c r="AG4476" s="49"/>
      <c r="AH4476" s="87"/>
      <c r="AI4476" s="87"/>
    </row>
    <row r="4477" spans="1:35" ht="16.5" hidden="1" customHeight="1" thickBot="1">
      <c r="A4477" s="218" t="e">
        <f>"K"&amp;E4459</f>
        <v>#N/A</v>
      </c>
      <c r="B4477" s="701" t="s">
        <v>71</v>
      </c>
      <c r="C4477" s="751" t="s">
        <v>102</v>
      </c>
      <c r="D4477" s="751"/>
      <c r="E4477" s="751"/>
      <c r="F4477" s="751"/>
      <c r="G4477" s="751"/>
      <c r="H4477" s="751"/>
      <c r="I4477" s="751"/>
      <c r="J4477" s="751"/>
      <c r="K4477" s="751"/>
      <c r="L4477" s="722" t="s">
        <v>100</v>
      </c>
      <c r="M4477" s="747" t="s">
        <v>114</v>
      </c>
      <c r="N4477" s="747"/>
      <c r="O4477" s="747"/>
      <c r="P4477" s="747"/>
      <c r="Q4477" s="748"/>
      <c r="R4477" s="758" t="s">
        <v>280</v>
      </c>
      <c r="S4477" s="748"/>
      <c r="T4477" s="762" t="str">
        <f>IF(COUNTIF(AE4477:AF4477,"VERIFICAR")&gt;0,"VERIFICAR",IF(COUNTIF(AE4477:AF4477,"NO CUMPLE")&gt;0,"NO CUMPLE","CUMPLE"))</f>
        <v>VERIFICAR</v>
      </c>
      <c r="U4477" s="108"/>
      <c r="Y4477" s="533" t="e">
        <f>IF(F4478="","",IF(F4478=1,"INDIVIDUAL","ESTRUCTURA PLURAL"))</f>
        <v>#N/A</v>
      </c>
      <c r="AC4477" s="52"/>
      <c r="AD4477" s="475" t="s">
        <v>303</v>
      </c>
      <c r="AE4477" s="476" t="str">
        <f>IF(COUNTIF(AE4463:AE4472,"")=10,"VERIFICAR",IF(COUNTIF(AE4463:AE4472,"SI")&gt;0,"CUMPLE","NO CUMPLE"))</f>
        <v>VERIFICAR</v>
      </c>
      <c r="AF4477" s="477" t="str">
        <f>IF(COUNTIF(AF4463:AF4472,"")=10,"VERIFICAR",IF(COUNTIF(AF4463:AF4472,"SI")&gt;=$AI$22,"CUMPLE","NO CUMPLE"))</f>
        <v>VERIFICAR</v>
      </c>
      <c r="AG4477" s="52"/>
      <c r="AH4477" s="87"/>
      <c r="AI4477" s="87"/>
    </row>
    <row r="4478" spans="1:35" ht="15.75" hidden="1" customHeight="1" thickBot="1">
      <c r="A4478" s="218" t="e">
        <f>"L"&amp;E4459</f>
        <v>#N/A</v>
      </c>
      <c r="B4478" s="702"/>
      <c r="C4478" s="751" t="s">
        <v>103</v>
      </c>
      <c r="D4478" s="751"/>
      <c r="E4478" s="752"/>
      <c r="F4478" s="557" t="e">
        <f>IF(VLOOKUP(E4459,PROPONENTES!$C$19:$E$218,3,0)="","",VLOOKUP(E4459,PROPONENTES!$C$19:$E$218,3,0))</f>
        <v>#N/A</v>
      </c>
      <c r="G4478" s="753" t="s">
        <v>104</v>
      </c>
      <c r="H4478" s="751"/>
      <c r="I4478" s="715" t="e">
        <f>IF(OR(F4478="",F4478=1),"INTERESADO PERSONA NATURAL O JURIDICA","CONSORCIO O UNION TEMPORAL")</f>
        <v>#N/A</v>
      </c>
      <c r="J4478" s="725"/>
      <c r="K4478" s="728"/>
      <c r="L4478" s="723"/>
      <c r="M4478" s="749"/>
      <c r="N4478" s="749"/>
      <c r="O4478" s="749"/>
      <c r="P4478" s="749"/>
      <c r="Q4478" s="750"/>
      <c r="R4478" s="712"/>
      <c r="S4478" s="750"/>
      <c r="T4478" s="763"/>
      <c r="U4478" s="108"/>
      <c r="Y4478" s="534"/>
      <c r="AA4478" s="52"/>
      <c r="AB4478" s="52"/>
      <c r="AC4478" s="52"/>
      <c r="AG4478" s="52"/>
      <c r="AH4478" s="87"/>
      <c r="AI4478" s="87"/>
    </row>
    <row r="4479" spans="1:35" ht="56.25" hidden="1" customHeight="1" thickBot="1">
      <c r="A4479" s="218" t="e">
        <f>"M"&amp;E4459</f>
        <v>#N/A</v>
      </c>
      <c r="B4479" s="702"/>
      <c r="C4479" s="725" t="s">
        <v>101</v>
      </c>
      <c r="D4479" s="716"/>
      <c r="E4479" s="558" t="s">
        <v>105</v>
      </c>
      <c r="F4479" s="554" t="s">
        <v>87</v>
      </c>
      <c r="G4479" s="553" t="s">
        <v>86</v>
      </c>
      <c r="H4479" s="559" t="s">
        <v>85</v>
      </c>
      <c r="I4479" s="554" t="s">
        <v>252</v>
      </c>
      <c r="J4479" s="553" t="str">
        <f>"¿EL INTEGRANTE TIENE UNA PARTICIPACIÓN DEL "&amp;PORCREQUERIDOINT*100&amp;"%?"</f>
        <v>¿EL INTEGRANTE TIENE UNA PARTICIPACIÓN DEL 60%?</v>
      </c>
      <c r="K4479" s="554" t="s">
        <v>107</v>
      </c>
      <c r="L4479" s="724"/>
      <c r="M4479" s="717" t="s">
        <v>115</v>
      </c>
      <c r="N4479" s="718"/>
      <c r="O4479" s="718"/>
      <c r="P4479" s="718"/>
      <c r="Q4479" s="223">
        <f>IF(AND(H4463="SI",P4463&gt;=0),1,0)+IF(AND(H4464="SI",P4464&gt;=0),1,0)+IF(AND(H4465="SI",P4465&gt;=0),1,0)+IF(AND(H4466="SI",P4466&gt;=0),1,0)+IF(AND(H4467="SI",P4467&gt;=0),1,0)+IF(AND(H4468="SI",P4468&gt;=0),1,0)+IF(AND(H4469="SI",P4469&gt;=0),1,0)+IF(AND(H4470="SI",P4470&gt;=0),1,0)+IF(AND(H4471="SI",P4471&gt;=0),1,0)+IF(AND(H4472="SI",P4472&gt;=0),1,0)</f>
        <v>0</v>
      </c>
      <c r="R4479" s="759"/>
      <c r="S4479" s="761"/>
      <c r="T4479" s="764"/>
      <c r="U4479" s="219"/>
      <c r="V4479" s="464"/>
      <c r="Y4479" s="532" t="s">
        <v>342</v>
      </c>
      <c r="AA4479" s="550" t="s">
        <v>344</v>
      </c>
      <c r="AB4479" s="693" t="s">
        <v>345</v>
      </c>
      <c r="AC4479" s="693" t="s">
        <v>346</v>
      </c>
      <c r="AD4479" s="685" t="s">
        <v>347</v>
      </c>
      <c r="AE4479" s="52"/>
      <c r="AF4479" s="52"/>
      <c r="AG4479" s="52"/>
      <c r="AH4479" s="87"/>
      <c r="AI4479" s="87"/>
    </row>
    <row r="4480" spans="1:35" ht="15.75" hidden="1" customHeight="1" thickBot="1">
      <c r="A4480" s="218" t="e">
        <f>"N"&amp;E4459</f>
        <v>#N/A</v>
      </c>
      <c r="B4480" s="702"/>
      <c r="C4480" s="114">
        <v>1</v>
      </c>
      <c r="D4480" s="194" t="e">
        <f>IF(AND(C4480&lt;=F4478,F4478&gt;1,F4478&lt;&gt;""),VLOOKUP(VALUE(E4459&amp;","&amp;C4480),INTEGRANTES!$D$18:$F$235,2,0),"")</f>
        <v>#N/A</v>
      </c>
      <c r="E4480" s="211" t="e">
        <f>IF(D4480&lt;&gt;"",VLOOKUP(VALUE(E4459&amp;","&amp;C4480),INTEGRANTES!$D$18:$F$235,3,0),"")</f>
        <v>#N/A</v>
      </c>
      <c r="F4480" s="547" t="e">
        <f>IF(D4480="","",SUMIF($I4463:$I4472,D4480,$P4463:$P4472))</f>
        <v>#N/A</v>
      </c>
      <c r="G4480" s="333" t="e">
        <f>IF(D4480="","",SUMIF($I4463:$I4472,D4480,$M4463:$M4472))</f>
        <v>#N/A</v>
      </c>
      <c r="H4480" s="535" t="e">
        <f t="shared" ref="H4480:H4485" si="1325">IF(D4480="","",IF(OR(F4480=0,G4480=0),"NO APORTA",ROUND($F4480/$G4480,3)))</f>
        <v>#N/A</v>
      </c>
      <c r="I4480" s="212" t="e">
        <f>IF(D4480="","",IF(H4480="NO APORTA","NO",IF(H4480=MAX($H4480:$H4485),"SI","NO")))</f>
        <v>#N/A</v>
      </c>
      <c r="J4480" s="213" t="e">
        <f t="shared" ref="J4480:J4485" si="1326">IF(D4480="","",IF(E4480&gt;=PORCREQUERIDOINT,"SI","NO"))</f>
        <v>#N/A</v>
      </c>
      <c r="K4480" s="200" t="e">
        <f t="shared" ref="K4480:K4485" si="1327">IF(D4480="","",IF(AND(I4480="SI",J4480="SI"),"CUMPLE",IF(AND(I4480="NO",OR(J4480="SI",J4480="NO")),"","NO CUMPLE")))</f>
        <v>#N/A</v>
      </c>
      <c r="L4480" s="722" t="s">
        <v>108</v>
      </c>
      <c r="M4480" s="726" t="s">
        <v>119</v>
      </c>
      <c r="N4480" s="726"/>
      <c r="O4480" s="726"/>
      <c r="P4480" s="726"/>
      <c r="Q4480" s="727"/>
      <c r="R4480" s="758" t="s">
        <v>80</v>
      </c>
      <c r="S4480" s="747"/>
      <c r="T4480" s="748"/>
      <c r="U4480" s="219"/>
      <c r="V4480" s="464"/>
      <c r="Y4480" s="533" t="e">
        <f>IF(Y4477="","",IF(Y4477="INDIVIDUAL","NO APLICA","VERIFICAR CUADRO"))</f>
        <v>#N/A</v>
      </c>
      <c r="AA4480" s="551"/>
      <c r="AB4480" s="694"/>
      <c r="AC4480" s="694"/>
      <c r="AD4480" s="686"/>
      <c r="AE4480" s="52"/>
      <c r="AF4480" s="52"/>
      <c r="AG4480" s="52"/>
      <c r="AH4480" s="87"/>
      <c r="AI4480" s="87"/>
    </row>
    <row r="4481" spans="1:35" ht="27" hidden="1" customHeight="1" thickBot="1">
      <c r="A4481" s="218" t="e">
        <f>"O"&amp;E4459</f>
        <v>#N/A</v>
      </c>
      <c r="B4481" s="702"/>
      <c r="C4481" s="114">
        <v>2</v>
      </c>
      <c r="D4481" s="194" t="e">
        <f>IF(AND(C4481&lt;=F4478,F4478&lt;&gt;""),VLOOKUP(VALUE(E4459&amp;","&amp;C4481),INTEGRANTES!$D$18:$F$235,2,0),"")</f>
        <v>#N/A</v>
      </c>
      <c r="E4481" s="211" t="e">
        <f>IF(D4481&lt;&gt;"",VLOOKUP(VALUE(E4459&amp;","&amp;C4481),INTEGRANTES!$D$18:$F$235,3,0),"")</f>
        <v>#N/A</v>
      </c>
      <c r="F4481" s="547" t="e">
        <f>IF(D4481="","",SUMIF($I4463:$I4472,D4481,$P4463:$P4472))</f>
        <v>#N/A</v>
      </c>
      <c r="G4481" s="333" t="e">
        <f>IF(D4481="","",SUMIF($I4463:$I4472,D4481,$M4463:$M4472))</f>
        <v>#N/A</v>
      </c>
      <c r="H4481" s="535" t="e">
        <f t="shared" si="1325"/>
        <v>#N/A</v>
      </c>
      <c r="I4481" s="212" t="e">
        <f>IF(D4481="","",IF(H4481="NO APORTA","NO",IF(H4481=MAX($H4480:$H4485),"SI","NO")))</f>
        <v>#N/A</v>
      </c>
      <c r="J4481" s="213" t="e">
        <f t="shared" si="1326"/>
        <v>#N/A</v>
      </c>
      <c r="K4481" s="200" t="e">
        <f t="shared" si="1327"/>
        <v>#N/A</v>
      </c>
      <c r="L4481" s="723"/>
      <c r="M4481" s="715" t="s">
        <v>116</v>
      </c>
      <c r="N4481" s="716"/>
      <c r="O4481" s="556" t="s">
        <v>113</v>
      </c>
      <c r="P4481" s="715" t="s">
        <v>117</v>
      </c>
      <c r="Q4481" s="728"/>
      <c r="R4481" s="759"/>
      <c r="S4481" s="760"/>
      <c r="T4481" s="761"/>
      <c r="U4481" s="219"/>
      <c r="V4481" s="464"/>
      <c r="Y4481" s="414"/>
      <c r="AA4481" s="542" t="e">
        <f>IF(AND(C4480&lt;=F4478,F4478&gt;1,F4478&lt;&gt;""),VLOOKUP(VALUE(E4459&amp;","&amp;C4480),INTEGRANTES!$D$18:$F$235,2,0),"")</f>
        <v>#N/A</v>
      </c>
      <c r="AB4481" s="544" t="e">
        <f t="shared" ref="AB4481:AB4486" si="1328">IF(D4480="","",IF(OR(F4480=0,G4480=0),"NO APORTA",ROUND($F4480/$G4480,3)))</f>
        <v>#N/A</v>
      </c>
      <c r="AC4481" s="529"/>
      <c r="AD4481" s="200" t="e">
        <f t="shared" ref="AD4481:AD4486" si="1329">IF(OR(AA4481="",AB4481=""),"",IF(AND(AC4481="X",AB4481&gt;=EXPREQVTD),"CUMPLE","NO CUMPLE"))</f>
        <v>#N/A</v>
      </c>
      <c r="AE4481" s="52"/>
      <c r="AF4481" s="52"/>
      <c r="AG4481" s="52"/>
      <c r="AH4481" s="87"/>
      <c r="AI4481" s="87"/>
    </row>
    <row r="4482" spans="1:35" ht="16.5" hidden="1" thickBot="1">
      <c r="A4482" s="218" t="e">
        <f>"P"&amp;E4459</f>
        <v>#N/A</v>
      </c>
      <c r="B4482" s="702"/>
      <c r="C4482" s="114">
        <v>3</v>
      </c>
      <c r="D4482" s="194" t="e">
        <f>IF(AND(C4482&lt;=F4478,F4478&lt;&gt;""),VLOOKUP(VALUE(E4459&amp;","&amp;C4482),INTEGRANTES!$D$18:$F$235,2,0),"")</f>
        <v>#N/A</v>
      </c>
      <c r="E4482" s="211" t="e">
        <f>IF(D4482&lt;&gt;"",VLOOKUP(VALUE(E4459&amp;","&amp;C4482),INTEGRANTES!$D$18:$F$235,3,0),"")</f>
        <v>#N/A</v>
      </c>
      <c r="F4482" s="547" t="e">
        <f>IF(D4482="","",SUMIF($I4463:$I4472,D4482,$P4463:$P4472))</f>
        <v>#N/A</v>
      </c>
      <c r="G4482" s="333" t="e">
        <f>IF(D4482="","",SUMIF($I4463:$I4472,D4482,$M4463:$M4472))</f>
        <v>#N/A</v>
      </c>
      <c r="H4482" s="535" t="e">
        <f t="shared" si="1325"/>
        <v>#N/A</v>
      </c>
      <c r="I4482" s="212" t="e">
        <f>IF(D4482="","",IF(H4482="NO APORTA","NO",IF(H4482=MAX($H4480:$H4485),"SI","NO")))</f>
        <v>#N/A</v>
      </c>
      <c r="J4482" s="213" t="e">
        <f t="shared" si="1326"/>
        <v>#N/A</v>
      </c>
      <c r="K4482" s="200" t="e">
        <f t="shared" si="1327"/>
        <v>#N/A</v>
      </c>
      <c r="L4482" s="724"/>
      <c r="M4482" s="729">
        <f>NUMMOD</f>
        <v>1</v>
      </c>
      <c r="N4482" s="730"/>
      <c r="O4482" s="443">
        <f>IF(M4482="","",VLOOKUP(M4482,PRESUPUESTOS!$B$16:$H$16,5,FALSE))</f>
        <v>2</v>
      </c>
      <c r="P4482" s="713">
        <f>IF(OR(COUNTIF(M4463:M4472,"")&gt;=10,Q4479&lt;NUMMINCONT,OR(T4477="NO CUMPLE",T4477="VERIFICAR")),0,ROUND(AVERAGE(M4463:M4472),3))</f>
        <v>0</v>
      </c>
      <c r="Q4482" s="714"/>
      <c r="R4482" s="458"/>
      <c r="S4482" s="459"/>
      <c r="T4482" s="460"/>
      <c r="U4482" s="219"/>
      <c r="V4482" s="464"/>
      <c r="Y4482" s="532" t="str">
        <f>"40% * ("&amp;PRESUPUESTOS!$H$13&amp;")"</f>
        <v>40% * (50% PFMO)</v>
      </c>
      <c r="AA4482" s="540" t="e">
        <f>IF(AND(C4481&lt;=F4478,F4478&lt;&gt;""),VLOOKUP(VALUE(E4459&amp;","&amp;C4481),INTEGRANTES!$D$18:$F$235,2,0),"")</f>
        <v>#N/A</v>
      </c>
      <c r="AB4482" s="545" t="e">
        <f t="shared" si="1328"/>
        <v>#N/A</v>
      </c>
      <c r="AC4482" s="529"/>
      <c r="AD4482" s="200" t="e">
        <f t="shared" si="1329"/>
        <v>#N/A</v>
      </c>
      <c r="AE4482" s="52"/>
      <c r="AF4482" s="52"/>
      <c r="AG4482" s="52"/>
      <c r="AH4482" s="87"/>
      <c r="AI4482" s="87"/>
    </row>
    <row r="4483" spans="1:35" ht="15.75" hidden="1" customHeight="1" thickBot="1">
      <c r="A4483" s="218" t="e">
        <f>"Q"&amp;E4459</f>
        <v>#N/A</v>
      </c>
      <c r="B4483" s="702"/>
      <c r="C4483" s="114">
        <v>4</v>
      </c>
      <c r="D4483" s="194" t="e">
        <f>IF(AND(C4483&lt;=F4478,F4478&lt;&gt;""),VLOOKUP(VALUE(E4459&amp;","&amp;C4483),INTEGRANTES!$D$18:$F$235,2,0),"")</f>
        <v>#N/A</v>
      </c>
      <c r="E4483" s="211" t="e">
        <f>IF(D4483&lt;&gt;"",VLOOKUP(VALUE(E4459&amp;","&amp;C4483),INTEGRANTES!$D$18:$F$235,3,0),"")</f>
        <v>#N/A</v>
      </c>
      <c r="F4483" s="547" t="e">
        <f>IF(D4483="","",SUMIF($I4463:$I4472,D4483,$P4463:$P4472))</f>
        <v>#N/A</v>
      </c>
      <c r="G4483" s="333" t="e">
        <f>IF(D4483="","",SUMIF($I4463:$I4472,D4483,$M4463:$M4472))</f>
        <v>#N/A</v>
      </c>
      <c r="H4483" s="535" t="e">
        <f t="shared" si="1325"/>
        <v>#N/A</v>
      </c>
      <c r="I4483" s="212" t="e">
        <f>IF(D4483="","",IF(H4483="NO APORTA","NO",IF(H4483=MAX($H4480:$H4485),"SI","NO")))</f>
        <v>#N/A</v>
      </c>
      <c r="J4483" s="213" t="e">
        <f t="shared" si="1326"/>
        <v>#N/A</v>
      </c>
      <c r="K4483" s="200" t="e">
        <f t="shared" si="1327"/>
        <v>#N/A</v>
      </c>
      <c r="L4483" s="720" t="s">
        <v>109</v>
      </c>
      <c r="M4483" s="757" t="s">
        <v>120</v>
      </c>
      <c r="N4483" s="726"/>
      <c r="O4483" s="726"/>
      <c r="P4483" s="726"/>
      <c r="Q4483" s="727"/>
      <c r="R4483" s="458"/>
      <c r="S4483" s="459"/>
      <c r="T4483" s="460"/>
      <c r="U4483" s="219"/>
      <c r="V4483" s="464"/>
      <c r="Y4483" s="537">
        <f>0.4*PRESUPUESTOS!$H$16</f>
        <v>10.3124</v>
      </c>
      <c r="AA4483" s="540" t="e">
        <f>IF(AND(C4482&lt;=F4478,F4478&lt;&gt;""),VLOOKUP(VALUE(E4459&amp;","&amp;C4482),INTEGRANTES!$D$18:$F$235,2,0),"")</f>
        <v>#N/A</v>
      </c>
      <c r="AB4483" s="545" t="e">
        <f t="shared" si="1328"/>
        <v>#N/A</v>
      </c>
      <c r="AC4483" s="529"/>
      <c r="AD4483" s="200" t="e">
        <f t="shared" si="1329"/>
        <v>#N/A</v>
      </c>
      <c r="AE4483" s="52"/>
      <c r="AF4483" s="52"/>
      <c r="AG4483" s="52"/>
      <c r="AH4483" s="87"/>
      <c r="AI4483" s="87"/>
    </row>
    <row r="4484" spans="1:35" ht="27" hidden="1" customHeight="1" thickBot="1">
      <c r="A4484" s="218" t="e">
        <f>"R"&amp;E4459</f>
        <v>#N/A</v>
      </c>
      <c r="B4484" s="702"/>
      <c r="C4484" s="114">
        <v>5</v>
      </c>
      <c r="D4484" s="194" t="e">
        <f>IF(AND(C4484&lt;=F4478,F4478&lt;&gt;""),VLOOKUP(VALUE(E4459&amp;","&amp;C4484),INTEGRANTES!$D$18:$F$235,2,0),"")</f>
        <v>#N/A</v>
      </c>
      <c r="E4484" s="211" t="e">
        <f>IF(D4484&lt;&gt;"",VLOOKUP(VALUE(E4459&amp;","&amp;C4484),INTEGRANTES!$D$18:$F$235,3,0),"")</f>
        <v>#N/A</v>
      </c>
      <c r="F4484" s="547" t="e">
        <f>IF(D4484="","",SUMIF($I4463:$I4472,D4484,$P4463:$P4472))</f>
        <v>#N/A</v>
      </c>
      <c r="G4484" s="333" t="e">
        <f>IF(D4484="","",SUMIF($I4463:$I4472,D4484,$M4463:$M4472))</f>
        <v>#N/A</v>
      </c>
      <c r="H4484" s="535" t="e">
        <f t="shared" si="1325"/>
        <v>#N/A</v>
      </c>
      <c r="I4484" s="212" t="e">
        <f>IF(D4484="","",IF(H4484="NO APORTA","NO",IF(H4484=MAX($H4480:$H4485),"SI","NO")))</f>
        <v>#N/A</v>
      </c>
      <c r="J4484" s="213" t="e">
        <f t="shared" si="1326"/>
        <v>#N/A</v>
      </c>
      <c r="K4484" s="200" t="e">
        <f t="shared" si="1327"/>
        <v>#N/A</v>
      </c>
      <c r="L4484" s="721"/>
      <c r="M4484" s="715" t="s">
        <v>116</v>
      </c>
      <c r="N4484" s="716"/>
      <c r="O4484" s="556" t="str">
        <f>PORCREQUERIDO*100&amp;"% PMFO DEL MÓDULO"</f>
        <v>50% PMFO DEL MÓDULO</v>
      </c>
      <c r="P4484" s="715" t="s">
        <v>118</v>
      </c>
      <c r="Q4484" s="728"/>
      <c r="R4484" s="458"/>
      <c r="S4484" s="459"/>
      <c r="T4484" s="460"/>
      <c r="U4484" s="219"/>
      <c r="V4484" s="464"/>
      <c r="Y4484" s="414"/>
      <c r="AA4484" s="540" t="e">
        <f>IF(AND(C4483&lt;=F4478,F4478&lt;&gt;""),VLOOKUP(VALUE(E4459&amp;","&amp;C4483),INTEGRANTES!$D$18:$F$235,2,0),"")</f>
        <v>#N/A</v>
      </c>
      <c r="AB4484" s="545" t="e">
        <f t="shared" si="1328"/>
        <v>#N/A</v>
      </c>
      <c r="AC4484" s="529"/>
      <c r="AD4484" s="200" t="e">
        <f t="shared" si="1329"/>
        <v>#N/A</v>
      </c>
      <c r="AE4484" s="52"/>
      <c r="AF4484" s="52"/>
      <c r="AG4484" s="52"/>
      <c r="AH4484" s="87"/>
      <c r="AI4484" s="87"/>
    </row>
    <row r="4485" spans="1:35" ht="16.5" hidden="1" thickBot="1">
      <c r="A4485" s="218" t="e">
        <f>"S"&amp;E4459</f>
        <v>#N/A</v>
      </c>
      <c r="B4485" s="702"/>
      <c r="C4485" s="215">
        <v>6</v>
      </c>
      <c r="D4485" s="216" t="e">
        <f>IF(AND(C4485&lt;=F4478,F4478&lt;&gt;""),VLOOKUP(VALUE(E4459&amp;","&amp;C4485),INTEGRANTES!$D$18:$F$235,2,0),"")</f>
        <v>#N/A</v>
      </c>
      <c r="E4485" s="217" t="e">
        <f>IF(D4485&lt;&gt;"",VLOOKUP(VALUE(E4459&amp;","&amp;C4485),INTEGRANTES!$D$18:$F$235,3,0),"")</f>
        <v>#N/A</v>
      </c>
      <c r="F4485" s="548" t="e">
        <f>IF(D4485="","",SUMIF($I4463:$I4472,D4485,$P4463:$P4472))</f>
        <v>#N/A</v>
      </c>
      <c r="G4485" s="334" t="e">
        <f>IF(D4485="","",SUMIF($I4463:$I4472,D4485,$M4463:$M4472))</f>
        <v>#N/A</v>
      </c>
      <c r="H4485" s="536" t="e">
        <f t="shared" si="1325"/>
        <v>#N/A</v>
      </c>
      <c r="I4485" s="214" t="e">
        <f>IF(D4485="","",IF(H4485="NO APORTA","NO",IF(H4485=MAX($H4480:$H4485),"SI","NO")))</f>
        <v>#N/A</v>
      </c>
      <c r="J4485" s="213" t="e">
        <f t="shared" si="1326"/>
        <v>#N/A</v>
      </c>
      <c r="K4485" s="200" t="e">
        <f t="shared" si="1327"/>
        <v>#N/A</v>
      </c>
      <c r="L4485" s="721"/>
      <c r="M4485" s="729">
        <f>NUMMOD</f>
        <v>1</v>
      </c>
      <c r="N4485" s="730"/>
      <c r="O4485" s="443">
        <f>IF(M4485="","",ROUND(VLOOKUP(M4485,PRESUPUESTOS!$B$16:$H$16,7,FALSE),3))</f>
        <v>25.780999999999999</v>
      </c>
      <c r="P4485" s="713">
        <f>IF(OR(COUNTIF(P4463:P4472,"")&gt;=10,Q4479&lt;NUMMINCONT,OR(T4477="NO CUMPLE",T4477="VERIFICAR")),0,ROUND((SUM(P4463:P4472)/SUM(M4463:M4472)),3))</f>
        <v>0</v>
      </c>
      <c r="Q4485" s="714"/>
      <c r="R4485" s="458"/>
      <c r="S4485" s="459"/>
      <c r="T4485" s="460"/>
      <c r="U4485" s="219"/>
      <c r="V4485" s="464"/>
      <c r="Y4485" s="532" t="s">
        <v>343</v>
      </c>
      <c r="AA4485" s="540" t="e">
        <f>IF(AND(C4484&lt;=F4478,F4478&lt;&gt;""),VLOOKUP(VALUE(E4459&amp;","&amp;C4484),INTEGRANTES!$D$18:$F$235,2,0),"")</f>
        <v>#N/A</v>
      </c>
      <c r="AB4485" s="545" t="e">
        <f t="shared" si="1328"/>
        <v>#N/A</v>
      </c>
      <c r="AC4485" s="529"/>
      <c r="AD4485" s="200" t="e">
        <f t="shared" si="1329"/>
        <v>#N/A</v>
      </c>
      <c r="AE4485" s="52"/>
      <c r="AF4485" s="52"/>
      <c r="AG4485" s="52"/>
      <c r="AH4485" s="87"/>
      <c r="AI4485" s="87"/>
    </row>
    <row r="4486" spans="1:35" ht="16.5" hidden="1" customHeight="1" thickBot="1">
      <c r="A4486" s="218" t="e">
        <f>"T"&amp;E4459</f>
        <v>#N/A</v>
      </c>
      <c r="B4486" s="703"/>
      <c r="C4486" s="719"/>
      <c r="D4486" s="719"/>
      <c r="E4486" s="719"/>
      <c r="F4486" s="719"/>
      <c r="G4486" s="719"/>
      <c r="H4486" s="719" t="s">
        <v>110</v>
      </c>
      <c r="I4486" s="719"/>
      <c r="J4486" s="719"/>
      <c r="K4486" s="201" t="str">
        <f>IF(COUNTIF(K4480:K4485,"")=6,"",IF(COUNTIF(K4480:K4485,"CUMPLE")&gt;0,"CUMPLE","NO CUMPLE"))</f>
        <v>NO CUMPLE</v>
      </c>
      <c r="L4486" s="754"/>
      <c r="M4486" s="755"/>
      <c r="N4486" s="755"/>
      <c r="O4486" s="755"/>
      <c r="P4486" s="755"/>
      <c r="Q4486" s="756"/>
      <c r="R4486" s="461"/>
      <c r="S4486" s="462"/>
      <c r="T4486" s="463"/>
      <c r="U4486" s="219"/>
      <c r="V4486" s="464"/>
      <c r="Y4486" s="549" t="e">
        <f>IF(Y4480="NO APLICA","NO APLICA",IF(COUNTIF(AD4481:AD4486,"CUMPLE")&gt;0,"CUMPLE","NO CUMPLE"))</f>
        <v>#N/A</v>
      </c>
      <c r="AA4486" s="541" t="e">
        <f>IF(AND(C4485&lt;=F4478,F4478&lt;&gt;""),VLOOKUP(VALUE(E4459&amp;","&amp;C4485),INTEGRANTES!$D$18:$F$235,2,0),"")</f>
        <v>#N/A</v>
      </c>
      <c r="AB4486" s="546" t="e">
        <f t="shared" si="1328"/>
        <v>#N/A</v>
      </c>
      <c r="AC4486" s="543"/>
      <c r="AD4486" s="201" t="e">
        <f t="shared" si="1329"/>
        <v>#N/A</v>
      </c>
      <c r="AE4486" s="52"/>
      <c r="AF4486" s="52"/>
      <c r="AG4486" s="52"/>
      <c r="AH4486" s="87"/>
      <c r="AI4486" s="87"/>
    </row>
    <row r="4487" spans="1:35" hidden="1">
      <c r="AH4487" s="87"/>
      <c r="AI4487" s="87"/>
    </row>
    <row r="4488" spans="1:35" hidden="1">
      <c r="AH4488" s="87"/>
      <c r="AI4488" s="87"/>
    </row>
    <row r="4489" spans="1:35" ht="24" hidden="1" thickBot="1">
      <c r="A4489" s="61">
        <v>150</v>
      </c>
      <c r="B4489" s="704" t="s">
        <v>51</v>
      </c>
      <c r="C4489" s="704"/>
      <c r="D4489" s="704"/>
      <c r="E4489" s="62" t="e">
        <f>VLOOKUP(A4489,PROPONENTES!$B$19:$E$218,2,FALSE)</f>
        <v>#N/A</v>
      </c>
      <c r="F4489" s="63" t="e">
        <f>VLOOKUP(A4489,PROPONENTES!$B$19:$E$218,3,FALSE)</f>
        <v>#N/A</v>
      </c>
      <c r="G4489" s="64"/>
      <c r="H4489" s="64"/>
      <c r="I4489" s="63"/>
      <c r="J4489" s="63"/>
      <c r="K4489" s="65"/>
      <c r="L4489" s="65"/>
      <c r="M4489" s="64"/>
      <c r="N4489" s="64"/>
      <c r="O4489" s="66"/>
      <c r="P4489" s="66"/>
      <c r="Q4489" s="66"/>
      <c r="R4489" s="66"/>
      <c r="S4489" s="67"/>
      <c r="T4489" s="68"/>
      <c r="U4489" s="68"/>
      <c r="AC4489" s="68"/>
      <c r="AD4489" s="68"/>
      <c r="AE4489" s="68"/>
      <c r="AF4489" s="68"/>
      <c r="AG4489" s="68"/>
      <c r="AH4489" s="87"/>
      <c r="AI4489" s="87"/>
    </row>
    <row r="4490" spans="1:35" ht="15.75" hidden="1" customHeight="1">
      <c r="A4490" s="44"/>
      <c r="B4490" s="709" t="s">
        <v>59</v>
      </c>
      <c r="C4490" s="552" t="s">
        <v>60</v>
      </c>
      <c r="D4490" s="70" t="s">
        <v>17</v>
      </c>
      <c r="E4490" s="70"/>
      <c r="F4490" s="70" t="s">
        <v>61</v>
      </c>
      <c r="G4490" s="71"/>
      <c r="H4490" s="699" t="s">
        <v>62</v>
      </c>
      <c r="I4490" s="699" t="s">
        <v>18</v>
      </c>
      <c r="J4490" s="699" t="s">
        <v>63</v>
      </c>
      <c r="K4490" s="699" t="s">
        <v>64</v>
      </c>
      <c r="L4490" s="699" t="s">
        <v>65</v>
      </c>
      <c r="M4490" s="743" t="s">
        <v>66</v>
      </c>
      <c r="N4490" s="699" t="s">
        <v>282</v>
      </c>
      <c r="O4490" s="745" t="s">
        <v>67</v>
      </c>
      <c r="P4490" s="746"/>
      <c r="Q4490" s="102" t="s">
        <v>75</v>
      </c>
      <c r="R4490" s="731" t="s">
        <v>22</v>
      </c>
      <c r="S4490" s="732"/>
      <c r="T4490" s="733"/>
      <c r="U4490" s="712" t="s">
        <v>298</v>
      </c>
      <c r="W4490" s="690" t="s">
        <v>268</v>
      </c>
      <c r="X4490" s="691"/>
      <c r="Y4490" s="692"/>
      <c r="Z4490" s="428"/>
      <c r="AA4490" s="697" t="s">
        <v>315</v>
      </c>
      <c r="AB4490" s="695" t="s">
        <v>322</v>
      </c>
      <c r="AC4490" s="49"/>
      <c r="AD4490" s="690" t="s">
        <v>297</v>
      </c>
      <c r="AE4490" s="691"/>
      <c r="AF4490" s="692"/>
      <c r="AG4490" s="49"/>
      <c r="AH4490" s="87"/>
      <c r="AI4490" s="87"/>
    </row>
    <row r="4491" spans="1:35" ht="72" hidden="1">
      <c r="A4491" s="44"/>
      <c r="B4491" s="710"/>
      <c r="C4491" s="553" t="s">
        <v>68</v>
      </c>
      <c r="D4491" s="73" t="s">
        <v>3</v>
      </c>
      <c r="E4491" s="73" t="s">
        <v>19</v>
      </c>
      <c r="F4491" s="73" t="s">
        <v>69</v>
      </c>
      <c r="G4491" s="74" t="s">
        <v>70</v>
      </c>
      <c r="H4491" s="700"/>
      <c r="I4491" s="700"/>
      <c r="J4491" s="700"/>
      <c r="K4491" s="700"/>
      <c r="L4491" s="700"/>
      <c r="M4491" s="744"/>
      <c r="N4491" s="700"/>
      <c r="O4491" s="553" t="s">
        <v>279</v>
      </c>
      <c r="P4491" s="73" t="s">
        <v>88</v>
      </c>
      <c r="Q4491" s="555" t="s">
        <v>76</v>
      </c>
      <c r="R4491" s="734"/>
      <c r="S4491" s="735"/>
      <c r="T4491" s="736"/>
      <c r="U4491" s="712"/>
      <c r="W4491" s="429" t="s">
        <v>269</v>
      </c>
      <c r="X4491" s="457" t="s">
        <v>278</v>
      </c>
      <c r="Y4491" s="430" t="s">
        <v>324</v>
      </c>
      <c r="Z4491" s="428"/>
      <c r="AA4491" s="698"/>
      <c r="AB4491" s="696"/>
      <c r="AC4491" s="49"/>
      <c r="AD4491" s="429" t="s">
        <v>292</v>
      </c>
      <c r="AE4491" s="431" t="s">
        <v>300</v>
      </c>
      <c r="AF4491" s="468" t="s">
        <v>301</v>
      </c>
      <c r="AG4491" s="49"/>
      <c r="AH4491" s="87"/>
      <c r="AI4491" s="87"/>
    </row>
    <row r="4492" spans="1:35" hidden="1">
      <c r="A4492" s="44"/>
      <c r="B4492" s="76"/>
      <c r="C4492" s="77"/>
      <c r="D4492" s="77"/>
      <c r="E4492" s="77"/>
      <c r="F4492" s="77"/>
      <c r="G4492" s="77"/>
      <c r="H4492" s="77"/>
      <c r="I4492" s="77"/>
      <c r="J4492" s="77"/>
      <c r="K4492" s="77"/>
      <c r="L4492" s="77"/>
      <c r="M4492" s="77"/>
      <c r="N4492" s="77"/>
      <c r="O4492" s="77"/>
      <c r="P4492" s="77"/>
      <c r="Q4492" s="77"/>
      <c r="R4492" s="77"/>
      <c r="S4492" s="78"/>
      <c r="T4492" s="79"/>
      <c r="U4492" s="109"/>
      <c r="V4492" s="49"/>
      <c r="W4492" s="432"/>
      <c r="X4492" s="454"/>
      <c r="Y4492" s="433"/>
      <c r="Z4492" s="6"/>
      <c r="AA4492" s="500"/>
      <c r="AB4492" s="562"/>
      <c r="AC4492" s="49"/>
      <c r="AD4492" s="210"/>
      <c r="AE4492" s="434"/>
      <c r="AF4492" s="435"/>
      <c r="AG4492" s="49"/>
      <c r="AH4492" s="87"/>
      <c r="AI4492" s="87"/>
    </row>
    <row r="4493" spans="1:35" hidden="1">
      <c r="A4493" s="80" t="e">
        <f>"A"&amp;E4489</f>
        <v>#N/A</v>
      </c>
      <c r="B4493" s="81">
        <v>1</v>
      </c>
      <c r="C4493" s="82"/>
      <c r="D4493" s="82"/>
      <c r="E4493" s="82"/>
      <c r="F4493" s="82"/>
      <c r="G4493" s="83"/>
      <c r="H4493" s="83"/>
      <c r="I4493" s="84"/>
      <c r="J4493" s="85"/>
      <c r="K4493" s="382"/>
      <c r="L4493" s="85"/>
      <c r="M4493" s="332" t="str">
        <f t="shared" ref="M4493:M4502" si="1330">IF(OR(J4493="",L4493="",H4493="NO"),"",IF(OR(J4493&gt;$P$17,J4493&lt;$O$17,L4493&gt;$P$17,AND(J4493&lt;$O$17,L4493&lt;$O$17)),"FUERA DE RANGO",IF(OR(K4493="---",K4493=""),IF(J4493&gt;=$O$17,ROUND((L4493-J4493+1)/360*12,3),ROUND((L4493-$O$17+1)/360*12,3)),IF(J4493&gt;=$O$17,ROUND((L4493-J4493+1)/360*12-ROUND(K4493,3),3),ROUND((L4493-$O$17+1)/360*12-ROUND(K4493,3),3)))))</f>
        <v/>
      </c>
      <c r="N4493" s="86"/>
      <c r="O4493" s="453" t="str">
        <f>IF(OR(G4493="",N4493=""),"",N4493*G4493)</f>
        <v/>
      </c>
      <c r="P4493" s="538" t="str">
        <f>IF(OR(H4493="",M4493="FUERA DE RANGO"),"",IF(OR(L4493&lt;$O$17,L4493&gt;$P$17,L4493="",H4493="NO"),"",IF(OR(N4493="",O4493=""),"",ROUND(O4493,3))))</f>
        <v/>
      </c>
      <c r="Q4493" s="539" t="str">
        <f t="shared" ref="Q4493:Q4502" si="1331">IF(AND(H4493="SI",P4493&lt;&gt;""),ROUND(P4493/M4493,3),"")</f>
        <v/>
      </c>
      <c r="R4493" s="737"/>
      <c r="S4493" s="738"/>
      <c r="T4493" s="739"/>
      <c r="U4493" s="470"/>
      <c r="V4493" s="165"/>
      <c r="W4493" s="446"/>
      <c r="X4493" s="456"/>
      <c r="Y4493" s="436"/>
      <c r="Z4493" s="437"/>
      <c r="AA4493" s="560"/>
      <c r="AB4493" s="561"/>
      <c r="AC4493" s="87"/>
      <c r="AD4493" s="466"/>
      <c r="AE4493" s="456"/>
      <c r="AF4493" s="467"/>
      <c r="AG4493" s="87"/>
      <c r="AH4493" s="87"/>
      <c r="AI4493" s="87"/>
    </row>
    <row r="4494" spans="1:35" hidden="1">
      <c r="A4494" s="80" t="e">
        <f>"B"&amp;E4489</f>
        <v>#N/A</v>
      </c>
      <c r="B4494" s="81">
        <v>2</v>
      </c>
      <c r="C4494" s="106"/>
      <c r="D4494" s="106"/>
      <c r="E4494" s="106"/>
      <c r="F4494" s="106"/>
      <c r="G4494" s="83"/>
      <c r="H4494" s="83"/>
      <c r="I4494" s="84"/>
      <c r="J4494" s="85"/>
      <c r="K4494" s="382"/>
      <c r="L4494" s="85"/>
      <c r="M4494" s="332" t="str">
        <f t="shared" si="1330"/>
        <v/>
      </c>
      <c r="N4494" s="86"/>
      <c r="O4494" s="453" t="str">
        <f t="shared" ref="O4494:O4502" si="1332">IF(OR(G4494="",N4494=""),"",N4494*G4494)</f>
        <v/>
      </c>
      <c r="P4494" s="538" t="str">
        <f t="shared" ref="P4494:P4502" si="1333">IF(OR(H4494="",M4494="FUERA DE RANGO"),"",IF(OR(L4494&lt;$O$17,L4494&gt;$P$17,L4494="",H4494="NO"),"",IF(OR(N4494="",O4494=""),"",ROUND(O4494,3))))</f>
        <v/>
      </c>
      <c r="Q4494" s="539" t="str">
        <f t="shared" si="1331"/>
        <v/>
      </c>
      <c r="R4494" s="740"/>
      <c r="S4494" s="741"/>
      <c r="T4494" s="742"/>
      <c r="U4494" s="471"/>
      <c r="V4494" s="165"/>
      <c r="W4494" s="446"/>
      <c r="X4494" s="456"/>
      <c r="Y4494" s="436"/>
      <c r="Z4494" s="437"/>
      <c r="AA4494" s="560"/>
      <c r="AB4494" s="561"/>
      <c r="AC4494" s="87"/>
      <c r="AD4494" s="466"/>
      <c r="AE4494" s="456"/>
      <c r="AF4494" s="467"/>
      <c r="AG4494" s="87"/>
      <c r="AH4494" s="87"/>
      <c r="AI4494" s="87"/>
    </row>
    <row r="4495" spans="1:35" hidden="1">
      <c r="A4495" s="80" t="e">
        <f>"C"&amp;E4489</f>
        <v>#N/A</v>
      </c>
      <c r="B4495" s="88">
        <v>3</v>
      </c>
      <c r="C4495" s="82"/>
      <c r="D4495" s="82"/>
      <c r="E4495" s="82"/>
      <c r="F4495" s="82"/>
      <c r="G4495" s="83"/>
      <c r="H4495" s="83"/>
      <c r="I4495" s="84"/>
      <c r="J4495" s="85"/>
      <c r="K4495" s="382"/>
      <c r="L4495" s="85"/>
      <c r="M4495" s="332" t="str">
        <f t="shared" si="1330"/>
        <v/>
      </c>
      <c r="N4495" s="86"/>
      <c r="O4495" s="453" t="str">
        <f t="shared" si="1332"/>
        <v/>
      </c>
      <c r="P4495" s="538" t="str">
        <f t="shared" si="1333"/>
        <v/>
      </c>
      <c r="Q4495" s="539" t="str">
        <f t="shared" si="1331"/>
        <v/>
      </c>
      <c r="R4495" s="706"/>
      <c r="S4495" s="707"/>
      <c r="T4495" s="708"/>
      <c r="U4495" s="472"/>
      <c r="V4495" s="166"/>
      <c r="W4495" s="446"/>
      <c r="X4495" s="456"/>
      <c r="Y4495" s="436"/>
      <c r="Z4495" s="437"/>
      <c r="AA4495" s="560"/>
      <c r="AB4495" s="561"/>
      <c r="AC4495" s="87"/>
      <c r="AD4495" s="466"/>
      <c r="AE4495" s="456"/>
      <c r="AF4495" s="467"/>
      <c r="AG4495" s="87"/>
      <c r="AH4495" s="87"/>
      <c r="AI4495" s="87"/>
    </row>
    <row r="4496" spans="1:35" hidden="1">
      <c r="A4496" s="80" t="e">
        <f>"D"&amp;E4489</f>
        <v>#N/A</v>
      </c>
      <c r="B4496" s="105">
        <v>4</v>
      </c>
      <c r="C4496" s="107"/>
      <c r="D4496" s="107"/>
      <c r="E4496" s="107"/>
      <c r="F4496" s="107"/>
      <c r="G4496" s="83"/>
      <c r="H4496" s="83"/>
      <c r="I4496" s="84"/>
      <c r="J4496" s="85"/>
      <c r="K4496" s="382"/>
      <c r="L4496" s="85"/>
      <c r="M4496" s="332" t="str">
        <f t="shared" si="1330"/>
        <v/>
      </c>
      <c r="N4496" s="86"/>
      <c r="O4496" s="453" t="str">
        <f t="shared" si="1332"/>
        <v/>
      </c>
      <c r="P4496" s="538" t="str">
        <f t="shared" si="1333"/>
        <v/>
      </c>
      <c r="Q4496" s="539" t="str">
        <f t="shared" si="1331"/>
        <v/>
      </c>
      <c r="R4496" s="706"/>
      <c r="S4496" s="707"/>
      <c r="T4496" s="708"/>
      <c r="U4496" s="472"/>
      <c r="V4496" s="166"/>
      <c r="W4496" s="446"/>
      <c r="X4496" s="456"/>
      <c r="Y4496" s="436"/>
      <c r="Z4496" s="437"/>
      <c r="AA4496" s="560"/>
      <c r="AB4496" s="561"/>
      <c r="AC4496" s="87"/>
      <c r="AD4496" s="466"/>
      <c r="AE4496" s="456"/>
      <c r="AF4496" s="467"/>
      <c r="AG4496" s="87"/>
      <c r="AH4496" s="87"/>
      <c r="AI4496" s="87"/>
    </row>
    <row r="4497" spans="1:35" hidden="1">
      <c r="A4497" s="80" t="e">
        <f>"E"&amp;E4489</f>
        <v>#N/A</v>
      </c>
      <c r="B4497" s="105">
        <v>5</v>
      </c>
      <c r="C4497" s="107"/>
      <c r="D4497" s="107"/>
      <c r="E4497" s="107"/>
      <c r="F4497" s="107"/>
      <c r="G4497" s="83"/>
      <c r="H4497" s="83"/>
      <c r="I4497" s="84"/>
      <c r="J4497" s="85"/>
      <c r="K4497" s="382"/>
      <c r="L4497" s="85"/>
      <c r="M4497" s="332" t="str">
        <f t="shared" si="1330"/>
        <v/>
      </c>
      <c r="N4497" s="86"/>
      <c r="O4497" s="453" t="str">
        <f t="shared" si="1332"/>
        <v/>
      </c>
      <c r="P4497" s="538" t="str">
        <f t="shared" si="1333"/>
        <v/>
      </c>
      <c r="Q4497" s="539" t="str">
        <f t="shared" si="1331"/>
        <v/>
      </c>
      <c r="R4497" s="706"/>
      <c r="S4497" s="707"/>
      <c r="T4497" s="708"/>
      <c r="U4497" s="472"/>
      <c r="V4497" s="167"/>
      <c r="W4497" s="446"/>
      <c r="X4497" s="456"/>
      <c r="Y4497" s="436"/>
      <c r="Z4497" s="437"/>
      <c r="AA4497" s="560"/>
      <c r="AB4497" s="561"/>
      <c r="AC4497" s="87"/>
      <c r="AD4497" s="466"/>
      <c r="AE4497" s="456"/>
      <c r="AF4497" s="467"/>
      <c r="AG4497" s="87"/>
      <c r="AH4497" s="87"/>
      <c r="AI4497" s="87"/>
    </row>
    <row r="4498" spans="1:35" hidden="1">
      <c r="A4498" s="80" t="e">
        <f>"F"&amp;E4489</f>
        <v>#N/A</v>
      </c>
      <c r="B4498" s="105">
        <v>6</v>
      </c>
      <c r="C4498" s="107"/>
      <c r="D4498" s="107"/>
      <c r="E4498" s="107"/>
      <c r="F4498" s="107"/>
      <c r="G4498" s="83"/>
      <c r="H4498" s="83"/>
      <c r="I4498" s="84"/>
      <c r="J4498" s="85"/>
      <c r="K4498" s="382"/>
      <c r="L4498" s="85"/>
      <c r="M4498" s="332" t="str">
        <f t="shared" si="1330"/>
        <v/>
      </c>
      <c r="N4498" s="86"/>
      <c r="O4498" s="453" t="str">
        <f t="shared" si="1332"/>
        <v/>
      </c>
      <c r="P4498" s="538" t="str">
        <f t="shared" si="1333"/>
        <v/>
      </c>
      <c r="Q4498" s="539" t="str">
        <f t="shared" si="1331"/>
        <v/>
      </c>
      <c r="R4498" s="706"/>
      <c r="S4498" s="707"/>
      <c r="T4498" s="708"/>
      <c r="U4498" s="472"/>
      <c r="V4498" s="167"/>
      <c r="W4498" s="446"/>
      <c r="X4498" s="456"/>
      <c r="Y4498" s="436"/>
      <c r="Z4498" s="437"/>
      <c r="AA4498" s="560"/>
      <c r="AB4498" s="561"/>
      <c r="AC4498" s="87"/>
      <c r="AD4498" s="466"/>
      <c r="AE4498" s="456"/>
      <c r="AF4498" s="467"/>
      <c r="AG4498" s="87"/>
      <c r="AH4498" s="87"/>
      <c r="AI4498" s="87"/>
    </row>
    <row r="4499" spans="1:35" hidden="1">
      <c r="A4499" s="80" t="e">
        <f>"G"&amp;E4489</f>
        <v>#N/A</v>
      </c>
      <c r="B4499" s="105">
        <v>7</v>
      </c>
      <c r="C4499" s="107"/>
      <c r="D4499" s="107"/>
      <c r="E4499" s="107"/>
      <c r="F4499" s="107"/>
      <c r="G4499" s="83"/>
      <c r="H4499" s="83"/>
      <c r="I4499" s="84"/>
      <c r="J4499" s="85"/>
      <c r="K4499" s="382"/>
      <c r="L4499" s="85"/>
      <c r="M4499" s="332" t="str">
        <f t="shared" si="1330"/>
        <v/>
      </c>
      <c r="N4499" s="86"/>
      <c r="O4499" s="86" t="str">
        <f t="shared" si="1332"/>
        <v/>
      </c>
      <c r="P4499" s="538" t="str">
        <f t="shared" si="1333"/>
        <v/>
      </c>
      <c r="Q4499" s="539" t="str">
        <f t="shared" si="1331"/>
        <v/>
      </c>
      <c r="R4499" s="706"/>
      <c r="S4499" s="707"/>
      <c r="T4499" s="708"/>
      <c r="U4499" s="472"/>
      <c r="V4499" s="167"/>
      <c r="W4499" s="446"/>
      <c r="X4499" s="456"/>
      <c r="Y4499" s="436"/>
      <c r="Z4499" s="437"/>
      <c r="AA4499" s="560"/>
      <c r="AB4499" s="561"/>
      <c r="AC4499" s="87"/>
      <c r="AD4499" s="466"/>
      <c r="AE4499" s="456"/>
      <c r="AF4499" s="467"/>
      <c r="AG4499" s="87"/>
      <c r="AH4499" s="87"/>
      <c r="AI4499" s="87"/>
    </row>
    <row r="4500" spans="1:35" hidden="1">
      <c r="A4500" s="80" t="e">
        <f>"H"&amp;E4489</f>
        <v>#N/A</v>
      </c>
      <c r="B4500" s="105">
        <v>8</v>
      </c>
      <c r="C4500" s="107"/>
      <c r="D4500" s="107"/>
      <c r="E4500" s="107"/>
      <c r="F4500" s="107"/>
      <c r="G4500" s="83"/>
      <c r="H4500" s="83"/>
      <c r="I4500" s="84"/>
      <c r="J4500" s="85"/>
      <c r="K4500" s="382"/>
      <c r="L4500" s="85"/>
      <c r="M4500" s="332" t="str">
        <f t="shared" si="1330"/>
        <v/>
      </c>
      <c r="N4500" s="453"/>
      <c r="O4500" s="86" t="str">
        <f t="shared" si="1332"/>
        <v/>
      </c>
      <c r="P4500" s="538" t="str">
        <f t="shared" si="1333"/>
        <v/>
      </c>
      <c r="Q4500" s="539" t="str">
        <f t="shared" si="1331"/>
        <v/>
      </c>
      <c r="R4500" s="706"/>
      <c r="S4500" s="707"/>
      <c r="T4500" s="708"/>
      <c r="U4500" s="472"/>
      <c r="V4500" s="167"/>
      <c r="W4500" s="446"/>
      <c r="X4500" s="456"/>
      <c r="Y4500" s="436"/>
      <c r="Z4500" s="437"/>
      <c r="AA4500" s="560"/>
      <c r="AB4500" s="561"/>
      <c r="AC4500" s="87"/>
      <c r="AD4500" s="466"/>
      <c r="AE4500" s="456"/>
      <c r="AF4500" s="467"/>
      <c r="AG4500" s="87"/>
      <c r="AH4500" s="87"/>
      <c r="AI4500" s="87"/>
    </row>
    <row r="4501" spans="1:35" hidden="1">
      <c r="A4501" s="80" t="e">
        <f>"I"&amp;E4489</f>
        <v>#N/A</v>
      </c>
      <c r="B4501" s="105">
        <v>9</v>
      </c>
      <c r="C4501" s="107"/>
      <c r="D4501" s="107"/>
      <c r="E4501" s="107"/>
      <c r="F4501" s="107"/>
      <c r="G4501" s="83"/>
      <c r="H4501" s="83"/>
      <c r="I4501" s="84"/>
      <c r="J4501" s="85"/>
      <c r="K4501" s="382"/>
      <c r="L4501" s="85"/>
      <c r="M4501" s="332" t="str">
        <f t="shared" si="1330"/>
        <v/>
      </c>
      <c r="N4501" s="453"/>
      <c r="O4501" s="86" t="str">
        <f t="shared" si="1332"/>
        <v/>
      </c>
      <c r="P4501" s="538" t="str">
        <f t="shared" si="1333"/>
        <v/>
      </c>
      <c r="Q4501" s="539" t="str">
        <f t="shared" si="1331"/>
        <v/>
      </c>
      <c r="R4501" s="706"/>
      <c r="S4501" s="707"/>
      <c r="T4501" s="708"/>
      <c r="U4501" s="472"/>
      <c r="V4501" s="167"/>
      <c r="W4501" s="446"/>
      <c r="X4501" s="456"/>
      <c r="Y4501" s="436"/>
      <c r="Z4501" s="437"/>
      <c r="AA4501" s="560"/>
      <c r="AB4501" s="561"/>
      <c r="AC4501" s="87"/>
      <c r="AD4501" s="466"/>
      <c r="AE4501" s="456"/>
      <c r="AF4501" s="467"/>
      <c r="AG4501" s="87"/>
      <c r="AH4501" s="87"/>
      <c r="AI4501" s="87"/>
    </row>
    <row r="4502" spans="1:35" hidden="1">
      <c r="A4502" s="80" t="e">
        <f>"J"&amp;E4489</f>
        <v>#N/A</v>
      </c>
      <c r="B4502" s="105">
        <v>10</v>
      </c>
      <c r="C4502" s="107"/>
      <c r="D4502" s="107"/>
      <c r="E4502" s="107"/>
      <c r="F4502" s="107"/>
      <c r="G4502" s="83"/>
      <c r="H4502" s="83"/>
      <c r="I4502" s="84"/>
      <c r="J4502" s="85"/>
      <c r="K4502" s="382"/>
      <c r="L4502" s="85"/>
      <c r="M4502" s="332" t="str">
        <f t="shared" si="1330"/>
        <v/>
      </c>
      <c r="N4502" s="453"/>
      <c r="O4502" s="86" t="str">
        <f t="shared" si="1332"/>
        <v/>
      </c>
      <c r="P4502" s="538" t="str">
        <f t="shared" si="1333"/>
        <v/>
      </c>
      <c r="Q4502" s="539" t="str">
        <f t="shared" si="1331"/>
        <v/>
      </c>
      <c r="R4502" s="706"/>
      <c r="S4502" s="707"/>
      <c r="T4502" s="708"/>
      <c r="U4502" s="472"/>
      <c r="V4502" s="167"/>
      <c r="W4502" s="446"/>
      <c r="X4502" s="456"/>
      <c r="Y4502" s="436"/>
      <c r="Z4502" s="437"/>
      <c r="AA4502" s="560"/>
      <c r="AB4502" s="561"/>
      <c r="AC4502" s="87"/>
      <c r="AD4502" s="466"/>
      <c r="AE4502" s="456"/>
      <c r="AF4502" s="467"/>
      <c r="AG4502" s="87"/>
      <c r="AH4502" s="87"/>
      <c r="AI4502" s="87"/>
    </row>
    <row r="4503" spans="1:35" ht="16.5" hidden="1" thickBot="1">
      <c r="A4503" s="44"/>
      <c r="B4503" s="89"/>
      <c r="C4503" s="90"/>
      <c r="D4503" s="90"/>
      <c r="E4503" s="90"/>
      <c r="F4503" s="90"/>
      <c r="G4503" s="90"/>
      <c r="H4503" s="90"/>
      <c r="I4503" s="90"/>
      <c r="J4503" s="90"/>
      <c r="K4503" s="90"/>
      <c r="L4503" s="90"/>
      <c r="M4503" s="90"/>
      <c r="N4503" s="90"/>
      <c r="O4503" s="90"/>
      <c r="P4503" s="90"/>
      <c r="Q4503" s="90"/>
      <c r="R4503" s="90"/>
      <c r="S4503" s="91"/>
      <c r="T4503" s="92"/>
      <c r="U4503" s="473"/>
      <c r="W4503" s="438"/>
      <c r="X4503" s="455"/>
      <c r="Y4503" s="439"/>
      <c r="Z4503" s="437"/>
      <c r="AA4503" s="530"/>
      <c r="AB4503" s="563"/>
      <c r="AC4503" s="87"/>
      <c r="AD4503" s="440"/>
      <c r="AE4503" s="441"/>
      <c r="AF4503" s="442"/>
      <c r="AG4503" s="49"/>
      <c r="AH4503" s="87"/>
      <c r="AI4503" s="87"/>
    </row>
    <row r="4504" spans="1:35" ht="16.5" hidden="1" thickBot="1">
      <c r="A4504" s="93"/>
      <c r="B4504" s="94"/>
      <c r="C4504" s="96"/>
      <c r="D4504" s="96"/>
      <c r="E4504" s="96"/>
      <c r="F4504" s="96"/>
      <c r="G4504" s="96"/>
      <c r="H4504" s="96"/>
      <c r="I4504" s="96"/>
      <c r="J4504" s="96"/>
      <c r="K4504" s="96"/>
      <c r="L4504" s="96"/>
      <c r="M4504" s="136"/>
      <c r="N4504" s="96"/>
      <c r="O4504" s="96"/>
      <c r="P4504" s="97"/>
      <c r="Q4504" s="97"/>
      <c r="R4504" s="98"/>
      <c r="S4504" s="95"/>
      <c r="T4504" s="99"/>
      <c r="U4504" s="469"/>
      <c r="AC4504" s="58"/>
      <c r="AG4504" s="58"/>
      <c r="AH4504" s="87"/>
      <c r="AI4504" s="87"/>
    </row>
    <row r="4505" spans="1:35" ht="16.5" hidden="1" thickBot="1">
      <c r="B4505" s="101"/>
      <c r="C4505" s="101"/>
      <c r="D4505" s="101"/>
      <c r="E4505" s="101"/>
      <c r="F4505" s="101"/>
      <c r="G4505" s="101"/>
      <c r="H4505" s="101"/>
      <c r="I4505" s="101"/>
      <c r="J4505" s="101"/>
      <c r="K4505" s="101"/>
      <c r="L4505" s="101"/>
      <c r="M4505" s="101"/>
      <c r="N4505" s="101"/>
      <c r="O4505" s="101"/>
      <c r="P4505" s="101"/>
      <c r="Q4505" s="101"/>
      <c r="R4505" s="101"/>
      <c r="S4505" s="101"/>
      <c r="U4505" s="50"/>
      <c r="AH4505" s="87"/>
      <c r="AI4505" s="87"/>
    </row>
    <row r="4506" spans="1:35" ht="16.5" hidden="1" customHeight="1" thickBot="1">
      <c r="A4506" s="44"/>
      <c r="B4506" s="705" t="s">
        <v>74</v>
      </c>
      <c r="C4506" s="705"/>
      <c r="D4506" s="705"/>
      <c r="E4506" s="705"/>
      <c r="F4506" s="705"/>
      <c r="G4506" s="705"/>
      <c r="H4506" s="705"/>
      <c r="I4506" s="705"/>
      <c r="J4506" s="705"/>
      <c r="K4506" s="705"/>
      <c r="L4506" s="705"/>
      <c r="M4506" s="705"/>
      <c r="N4506" s="705"/>
      <c r="O4506" s="705"/>
      <c r="P4506" s="705"/>
      <c r="Q4506" s="705"/>
      <c r="R4506" s="705"/>
      <c r="S4506" s="705"/>
      <c r="T4506" s="705"/>
      <c r="U4506" s="108"/>
      <c r="Y4506" s="532" t="s">
        <v>341</v>
      </c>
      <c r="AC4506" s="49"/>
      <c r="AD4506" s="687" t="s">
        <v>302</v>
      </c>
      <c r="AE4506" s="688"/>
      <c r="AF4506" s="689"/>
      <c r="AG4506" s="49"/>
      <c r="AH4506" s="87"/>
      <c r="AI4506" s="87"/>
    </row>
    <row r="4507" spans="1:35" ht="16.5" hidden="1" customHeight="1" thickBot="1">
      <c r="A4507" s="218" t="e">
        <f>"K"&amp;E4489</f>
        <v>#N/A</v>
      </c>
      <c r="B4507" s="701" t="s">
        <v>71</v>
      </c>
      <c r="C4507" s="751" t="s">
        <v>102</v>
      </c>
      <c r="D4507" s="751"/>
      <c r="E4507" s="751"/>
      <c r="F4507" s="751"/>
      <c r="G4507" s="751"/>
      <c r="H4507" s="751"/>
      <c r="I4507" s="751"/>
      <c r="J4507" s="751"/>
      <c r="K4507" s="751"/>
      <c r="L4507" s="722" t="s">
        <v>100</v>
      </c>
      <c r="M4507" s="747" t="s">
        <v>114</v>
      </c>
      <c r="N4507" s="747"/>
      <c r="O4507" s="747"/>
      <c r="P4507" s="747"/>
      <c r="Q4507" s="748"/>
      <c r="R4507" s="758" t="s">
        <v>280</v>
      </c>
      <c r="S4507" s="748"/>
      <c r="T4507" s="762" t="str">
        <f>IF(COUNTIF(AE4507:AF4507,"VERIFICAR")&gt;0,"VERIFICAR",IF(COUNTIF(AE4507:AF4507,"NO CUMPLE")&gt;0,"NO CUMPLE","CUMPLE"))</f>
        <v>VERIFICAR</v>
      </c>
      <c r="U4507" s="108"/>
      <c r="Y4507" s="533" t="e">
        <f>IF(F4508="","",IF(F4508=1,"INDIVIDUAL","ESTRUCTURA PLURAL"))</f>
        <v>#N/A</v>
      </c>
      <c r="AC4507" s="52"/>
      <c r="AD4507" s="475" t="s">
        <v>303</v>
      </c>
      <c r="AE4507" s="476" t="str">
        <f>IF(COUNTIF(AE4493:AE4502,"")=10,"VERIFICAR",IF(COUNTIF(AE4493:AE4502,"SI")&gt;0,"CUMPLE","NO CUMPLE"))</f>
        <v>VERIFICAR</v>
      </c>
      <c r="AF4507" s="477" t="str">
        <f>IF(COUNTIF(AF4493:AF4502,"")=10,"VERIFICAR",IF(COUNTIF(AF4493:AF4502,"SI")&gt;=$AI$22,"CUMPLE","NO CUMPLE"))</f>
        <v>VERIFICAR</v>
      </c>
      <c r="AG4507" s="52"/>
      <c r="AH4507" s="87"/>
      <c r="AI4507" s="87"/>
    </row>
    <row r="4508" spans="1:35" ht="15.75" hidden="1" customHeight="1" thickBot="1">
      <c r="A4508" s="218" t="e">
        <f>"L"&amp;E4489</f>
        <v>#N/A</v>
      </c>
      <c r="B4508" s="702"/>
      <c r="C4508" s="751" t="s">
        <v>103</v>
      </c>
      <c r="D4508" s="751"/>
      <c r="E4508" s="752"/>
      <c r="F4508" s="557" t="e">
        <f>IF(VLOOKUP(E4489,PROPONENTES!$C$19:$E$218,3,0)="","",VLOOKUP(E4489,PROPONENTES!$C$19:$E$218,3,0))</f>
        <v>#N/A</v>
      </c>
      <c r="G4508" s="753" t="s">
        <v>104</v>
      </c>
      <c r="H4508" s="751"/>
      <c r="I4508" s="715" t="e">
        <f>IF(OR(F4508="",F4508=1),"INTERESADO PERSONA NATURAL O JURIDICA","CONSORCIO O UNION TEMPORAL")</f>
        <v>#N/A</v>
      </c>
      <c r="J4508" s="725"/>
      <c r="K4508" s="728"/>
      <c r="L4508" s="723"/>
      <c r="M4508" s="749"/>
      <c r="N4508" s="749"/>
      <c r="O4508" s="749"/>
      <c r="P4508" s="749"/>
      <c r="Q4508" s="750"/>
      <c r="R4508" s="712"/>
      <c r="S4508" s="750"/>
      <c r="T4508" s="763"/>
      <c r="U4508" s="108"/>
      <c r="Y4508" s="534"/>
      <c r="AA4508" s="52"/>
      <c r="AB4508" s="52"/>
      <c r="AC4508" s="52"/>
      <c r="AG4508" s="52"/>
      <c r="AH4508" s="87"/>
      <c r="AI4508" s="87"/>
    </row>
    <row r="4509" spans="1:35" ht="56.25" hidden="1" customHeight="1" thickBot="1">
      <c r="A4509" s="218" t="e">
        <f>"M"&amp;E4489</f>
        <v>#N/A</v>
      </c>
      <c r="B4509" s="702"/>
      <c r="C4509" s="725" t="s">
        <v>101</v>
      </c>
      <c r="D4509" s="716"/>
      <c r="E4509" s="558" t="s">
        <v>105</v>
      </c>
      <c r="F4509" s="554" t="s">
        <v>87</v>
      </c>
      <c r="G4509" s="553" t="s">
        <v>86</v>
      </c>
      <c r="H4509" s="559" t="s">
        <v>85</v>
      </c>
      <c r="I4509" s="554" t="s">
        <v>252</v>
      </c>
      <c r="J4509" s="553" t="str">
        <f>"¿EL INTEGRANTE TIENE UNA PARTICIPACIÓN DEL "&amp;PORCREQUERIDOINT*100&amp;"%?"</f>
        <v>¿EL INTEGRANTE TIENE UNA PARTICIPACIÓN DEL 60%?</v>
      </c>
      <c r="K4509" s="554" t="s">
        <v>107</v>
      </c>
      <c r="L4509" s="724"/>
      <c r="M4509" s="717" t="s">
        <v>115</v>
      </c>
      <c r="N4509" s="718"/>
      <c r="O4509" s="718"/>
      <c r="P4509" s="718"/>
      <c r="Q4509" s="223">
        <f>IF(AND(H4493="SI",P4493&gt;=0),1,0)+IF(AND(H4494="SI",P4494&gt;=0),1,0)+IF(AND(H4495="SI",P4495&gt;=0),1,0)+IF(AND(H4496="SI",P4496&gt;=0),1,0)+IF(AND(H4497="SI",P4497&gt;=0),1,0)+IF(AND(H4498="SI",P4498&gt;=0),1,0)+IF(AND(H4499="SI",P4499&gt;=0),1,0)+IF(AND(H4500="SI",P4500&gt;=0),1,0)+IF(AND(H4501="SI",P4501&gt;=0),1,0)+IF(AND(H4502="SI",P4502&gt;=0),1,0)</f>
        <v>0</v>
      </c>
      <c r="R4509" s="759"/>
      <c r="S4509" s="761"/>
      <c r="T4509" s="764"/>
      <c r="U4509" s="219"/>
      <c r="V4509" s="464"/>
      <c r="Y4509" s="532" t="s">
        <v>342</v>
      </c>
      <c r="AA4509" s="550" t="s">
        <v>344</v>
      </c>
      <c r="AB4509" s="693" t="s">
        <v>345</v>
      </c>
      <c r="AC4509" s="693" t="s">
        <v>346</v>
      </c>
      <c r="AD4509" s="685" t="s">
        <v>347</v>
      </c>
      <c r="AE4509" s="52"/>
      <c r="AF4509" s="52"/>
      <c r="AG4509" s="52"/>
      <c r="AH4509" s="87"/>
      <c r="AI4509" s="87"/>
    </row>
    <row r="4510" spans="1:35" ht="15.75" hidden="1" customHeight="1" thickBot="1">
      <c r="A4510" s="218" t="e">
        <f>"N"&amp;E4489</f>
        <v>#N/A</v>
      </c>
      <c r="B4510" s="702"/>
      <c r="C4510" s="114">
        <v>1</v>
      </c>
      <c r="D4510" s="194" t="e">
        <f>IF(AND(C4510&lt;=F4508,F4508&gt;1,F4508&lt;&gt;""),VLOOKUP(VALUE(E4489&amp;","&amp;C4510),INTEGRANTES!$D$18:$F$235,2,0),"")</f>
        <v>#N/A</v>
      </c>
      <c r="E4510" s="211" t="e">
        <f>IF(D4510&lt;&gt;"",VLOOKUP(VALUE(E4489&amp;","&amp;C4510),INTEGRANTES!$D$18:$F$235,3,0),"")</f>
        <v>#N/A</v>
      </c>
      <c r="F4510" s="547" t="e">
        <f>IF(D4510="","",SUMIF($I4493:$I4502,D4510,$P4493:$P4502))</f>
        <v>#N/A</v>
      </c>
      <c r="G4510" s="333" t="e">
        <f>IF(D4510="","",SUMIF($I4493:$I4502,D4510,$M4493:$M4502))</f>
        <v>#N/A</v>
      </c>
      <c r="H4510" s="535" t="e">
        <f t="shared" ref="H4510:H4515" si="1334">IF(D4510="","",IF(OR(F4510=0,G4510=0),"NO APORTA",ROUND($F4510/$G4510,3)))</f>
        <v>#N/A</v>
      </c>
      <c r="I4510" s="212" t="e">
        <f>IF(D4510="","",IF(H4510="NO APORTA","NO",IF(H4510=MAX($H4510:$H4515),"SI","NO")))</f>
        <v>#N/A</v>
      </c>
      <c r="J4510" s="213" t="e">
        <f t="shared" ref="J4510:J4515" si="1335">IF(D4510="","",IF(E4510&gt;=PORCREQUERIDOINT,"SI","NO"))</f>
        <v>#N/A</v>
      </c>
      <c r="K4510" s="200" t="e">
        <f t="shared" ref="K4510:K4515" si="1336">IF(D4510="","",IF(AND(I4510="SI",J4510="SI"),"CUMPLE",IF(AND(I4510="NO",OR(J4510="SI",J4510="NO")),"","NO CUMPLE")))</f>
        <v>#N/A</v>
      </c>
      <c r="L4510" s="722" t="s">
        <v>108</v>
      </c>
      <c r="M4510" s="726" t="s">
        <v>119</v>
      </c>
      <c r="N4510" s="726"/>
      <c r="O4510" s="726"/>
      <c r="P4510" s="726"/>
      <c r="Q4510" s="727"/>
      <c r="R4510" s="758" t="s">
        <v>80</v>
      </c>
      <c r="S4510" s="747"/>
      <c r="T4510" s="748"/>
      <c r="U4510" s="219"/>
      <c r="V4510" s="464"/>
      <c r="Y4510" s="533" t="e">
        <f>IF(Y4507="","",IF(Y4507="INDIVIDUAL","NO APLICA","VERIFICAR CUADRO"))</f>
        <v>#N/A</v>
      </c>
      <c r="AA4510" s="551"/>
      <c r="AB4510" s="694"/>
      <c r="AC4510" s="694"/>
      <c r="AD4510" s="686"/>
      <c r="AE4510" s="52"/>
      <c r="AF4510" s="52"/>
      <c r="AG4510" s="52"/>
      <c r="AH4510" s="87"/>
      <c r="AI4510" s="87"/>
    </row>
    <row r="4511" spans="1:35" ht="27" hidden="1" customHeight="1" thickBot="1">
      <c r="A4511" s="218" t="e">
        <f>"O"&amp;E4489</f>
        <v>#N/A</v>
      </c>
      <c r="B4511" s="702"/>
      <c r="C4511" s="114">
        <v>2</v>
      </c>
      <c r="D4511" s="194" t="e">
        <f>IF(AND(C4511&lt;=F4508,F4508&lt;&gt;""),VLOOKUP(VALUE(E4489&amp;","&amp;C4511),INTEGRANTES!$D$18:$F$235,2,0),"")</f>
        <v>#N/A</v>
      </c>
      <c r="E4511" s="211" t="e">
        <f>IF(D4511&lt;&gt;"",VLOOKUP(VALUE(E4489&amp;","&amp;C4511),INTEGRANTES!$D$18:$F$235,3,0),"")</f>
        <v>#N/A</v>
      </c>
      <c r="F4511" s="547" t="e">
        <f>IF(D4511="","",SUMIF($I4493:$I4502,D4511,$P4493:$P4502))</f>
        <v>#N/A</v>
      </c>
      <c r="G4511" s="333" t="e">
        <f>IF(D4511="","",SUMIF($I4493:$I4502,D4511,$M4493:$M4502))</f>
        <v>#N/A</v>
      </c>
      <c r="H4511" s="535" t="e">
        <f t="shared" si="1334"/>
        <v>#N/A</v>
      </c>
      <c r="I4511" s="212" t="e">
        <f>IF(D4511="","",IF(H4511="NO APORTA","NO",IF(H4511=MAX($H4510:$H4515),"SI","NO")))</f>
        <v>#N/A</v>
      </c>
      <c r="J4511" s="213" t="e">
        <f t="shared" si="1335"/>
        <v>#N/A</v>
      </c>
      <c r="K4511" s="200" t="e">
        <f t="shared" si="1336"/>
        <v>#N/A</v>
      </c>
      <c r="L4511" s="723"/>
      <c r="M4511" s="715" t="s">
        <v>116</v>
      </c>
      <c r="N4511" s="716"/>
      <c r="O4511" s="556" t="s">
        <v>113</v>
      </c>
      <c r="P4511" s="715" t="s">
        <v>117</v>
      </c>
      <c r="Q4511" s="728"/>
      <c r="R4511" s="759"/>
      <c r="S4511" s="760"/>
      <c r="T4511" s="761"/>
      <c r="U4511" s="219"/>
      <c r="V4511" s="464"/>
      <c r="Y4511" s="414"/>
      <c r="AA4511" s="542" t="e">
        <f>IF(AND(C4510&lt;=F4508,F4508&gt;1,F4508&lt;&gt;""),VLOOKUP(VALUE(E4489&amp;","&amp;C4510),INTEGRANTES!$D$18:$F$235,2,0),"")</f>
        <v>#N/A</v>
      </c>
      <c r="AB4511" s="544" t="e">
        <f t="shared" ref="AB4511:AB4516" si="1337">IF(D4510="","",IF(OR(F4510=0,G4510=0),"NO APORTA",ROUND($F4510/$G4510,3)))</f>
        <v>#N/A</v>
      </c>
      <c r="AC4511" s="529"/>
      <c r="AD4511" s="200" t="e">
        <f t="shared" ref="AD4511:AD4516" si="1338">IF(OR(AA4511="",AB4511=""),"",IF(AND(AC4511="X",AB4511&gt;=EXPREQVTD),"CUMPLE","NO CUMPLE"))</f>
        <v>#N/A</v>
      </c>
      <c r="AE4511" s="52"/>
      <c r="AF4511" s="52"/>
      <c r="AG4511" s="52"/>
      <c r="AH4511" s="87"/>
      <c r="AI4511" s="87"/>
    </row>
    <row r="4512" spans="1:35" ht="16.5" hidden="1" thickBot="1">
      <c r="A4512" s="218" t="e">
        <f>"P"&amp;E4489</f>
        <v>#N/A</v>
      </c>
      <c r="B4512" s="702"/>
      <c r="C4512" s="114">
        <v>3</v>
      </c>
      <c r="D4512" s="194" t="e">
        <f>IF(AND(C4512&lt;=F4508,F4508&lt;&gt;""),VLOOKUP(VALUE(E4489&amp;","&amp;C4512),INTEGRANTES!$D$18:$F$235,2,0),"")</f>
        <v>#N/A</v>
      </c>
      <c r="E4512" s="211" t="e">
        <f>IF(D4512&lt;&gt;"",VLOOKUP(VALUE(E4489&amp;","&amp;C4512),INTEGRANTES!$D$18:$F$235,3,0),"")</f>
        <v>#N/A</v>
      </c>
      <c r="F4512" s="547" t="e">
        <f>IF(D4512="","",SUMIF($I4493:$I4502,D4512,$P4493:$P4502))</f>
        <v>#N/A</v>
      </c>
      <c r="G4512" s="333" t="e">
        <f>IF(D4512="","",SUMIF($I4493:$I4502,D4512,$M4493:$M4502))</f>
        <v>#N/A</v>
      </c>
      <c r="H4512" s="535" t="e">
        <f t="shared" si="1334"/>
        <v>#N/A</v>
      </c>
      <c r="I4512" s="212" t="e">
        <f>IF(D4512="","",IF(H4512="NO APORTA","NO",IF(H4512=MAX($H4510:$H4515),"SI","NO")))</f>
        <v>#N/A</v>
      </c>
      <c r="J4512" s="213" t="e">
        <f t="shared" si="1335"/>
        <v>#N/A</v>
      </c>
      <c r="K4512" s="200" t="e">
        <f t="shared" si="1336"/>
        <v>#N/A</v>
      </c>
      <c r="L4512" s="724"/>
      <c r="M4512" s="729">
        <f>NUMMOD</f>
        <v>1</v>
      </c>
      <c r="N4512" s="730"/>
      <c r="O4512" s="443">
        <f>IF(M4512="","",VLOOKUP(M4512,PRESUPUESTOS!$B$16:$H$16,5,FALSE))</f>
        <v>2</v>
      </c>
      <c r="P4512" s="713">
        <f>IF(OR(COUNTIF(M4493:M4502,"")&gt;=10,Q4509&lt;NUMMINCONT,OR(T4507="NO CUMPLE",T4507="VERIFICAR")),0,ROUND(AVERAGE(M4493:M4502),3))</f>
        <v>0</v>
      </c>
      <c r="Q4512" s="714"/>
      <c r="R4512" s="458"/>
      <c r="S4512" s="459"/>
      <c r="T4512" s="460"/>
      <c r="U4512" s="219"/>
      <c r="V4512" s="464"/>
      <c r="Y4512" s="532" t="str">
        <f>"40% * ("&amp;PRESUPUESTOS!$H$13&amp;")"</f>
        <v>40% * (50% PFMO)</v>
      </c>
      <c r="AA4512" s="540" t="e">
        <f>IF(AND(C4511&lt;=F4508,F4508&lt;&gt;""),VLOOKUP(VALUE(E4489&amp;","&amp;C4511),INTEGRANTES!$D$18:$F$235,2,0),"")</f>
        <v>#N/A</v>
      </c>
      <c r="AB4512" s="545" t="e">
        <f t="shared" si="1337"/>
        <v>#N/A</v>
      </c>
      <c r="AC4512" s="529"/>
      <c r="AD4512" s="200" t="e">
        <f t="shared" si="1338"/>
        <v>#N/A</v>
      </c>
      <c r="AE4512" s="52"/>
      <c r="AF4512" s="52"/>
      <c r="AG4512" s="52"/>
      <c r="AH4512" s="87"/>
      <c r="AI4512" s="87"/>
    </row>
    <row r="4513" spans="1:35" ht="15.75" hidden="1" customHeight="1" thickBot="1">
      <c r="A4513" s="218" t="e">
        <f>"Q"&amp;E4489</f>
        <v>#N/A</v>
      </c>
      <c r="B4513" s="702"/>
      <c r="C4513" s="114">
        <v>4</v>
      </c>
      <c r="D4513" s="194" t="e">
        <f>IF(AND(C4513&lt;=F4508,F4508&lt;&gt;""),VLOOKUP(VALUE(E4489&amp;","&amp;C4513),INTEGRANTES!$D$18:$F$235,2,0),"")</f>
        <v>#N/A</v>
      </c>
      <c r="E4513" s="211" t="e">
        <f>IF(D4513&lt;&gt;"",VLOOKUP(VALUE(E4489&amp;","&amp;C4513),INTEGRANTES!$D$18:$F$235,3,0),"")</f>
        <v>#N/A</v>
      </c>
      <c r="F4513" s="547" t="e">
        <f>IF(D4513="","",SUMIF($I4493:$I4502,D4513,$P4493:$P4502))</f>
        <v>#N/A</v>
      </c>
      <c r="G4513" s="333" t="e">
        <f>IF(D4513="","",SUMIF($I4493:$I4502,D4513,$M4493:$M4502))</f>
        <v>#N/A</v>
      </c>
      <c r="H4513" s="535" t="e">
        <f t="shared" si="1334"/>
        <v>#N/A</v>
      </c>
      <c r="I4513" s="212" t="e">
        <f>IF(D4513="","",IF(H4513="NO APORTA","NO",IF(H4513=MAX($H4510:$H4515),"SI","NO")))</f>
        <v>#N/A</v>
      </c>
      <c r="J4513" s="213" t="e">
        <f t="shared" si="1335"/>
        <v>#N/A</v>
      </c>
      <c r="K4513" s="200" t="e">
        <f t="shared" si="1336"/>
        <v>#N/A</v>
      </c>
      <c r="L4513" s="720" t="s">
        <v>109</v>
      </c>
      <c r="M4513" s="757" t="s">
        <v>120</v>
      </c>
      <c r="N4513" s="726"/>
      <c r="O4513" s="726"/>
      <c r="P4513" s="726"/>
      <c r="Q4513" s="727"/>
      <c r="R4513" s="458"/>
      <c r="S4513" s="459"/>
      <c r="T4513" s="460"/>
      <c r="U4513" s="219"/>
      <c r="V4513" s="464"/>
      <c r="Y4513" s="537">
        <f>0.4*PRESUPUESTOS!$H$16</f>
        <v>10.3124</v>
      </c>
      <c r="AA4513" s="540" t="e">
        <f>IF(AND(C4512&lt;=F4508,F4508&lt;&gt;""),VLOOKUP(VALUE(E4489&amp;","&amp;C4512),INTEGRANTES!$D$18:$F$235,2,0),"")</f>
        <v>#N/A</v>
      </c>
      <c r="AB4513" s="545" t="e">
        <f t="shared" si="1337"/>
        <v>#N/A</v>
      </c>
      <c r="AC4513" s="529"/>
      <c r="AD4513" s="200" t="e">
        <f t="shared" si="1338"/>
        <v>#N/A</v>
      </c>
      <c r="AE4513" s="52"/>
      <c r="AF4513" s="52"/>
      <c r="AG4513" s="52"/>
      <c r="AH4513" s="87"/>
      <c r="AI4513" s="87"/>
    </row>
    <row r="4514" spans="1:35" ht="27" hidden="1" customHeight="1" thickBot="1">
      <c r="A4514" s="218" t="e">
        <f>"R"&amp;E4489</f>
        <v>#N/A</v>
      </c>
      <c r="B4514" s="702"/>
      <c r="C4514" s="114">
        <v>5</v>
      </c>
      <c r="D4514" s="194" t="e">
        <f>IF(AND(C4514&lt;=F4508,F4508&lt;&gt;""),VLOOKUP(VALUE(E4489&amp;","&amp;C4514),INTEGRANTES!$D$18:$F$235,2,0),"")</f>
        <v>#N/A</v>
      </c>
      <c r="E4514" s="211" t="e">
        <f>IF(D4514&lt;&gt;"",VLOOKUP(VALUE(E4489&amp;","&amp;C4514),INTEGRANTES!$D$18:$F$235,3,0),"")</f>
        <v>#N/A</v>
      </c>
      <c r="F4514" s="547" t="e">
        <f>IF(D4514="","",SUMIF($I4493:$I4502,D4514,$P4493:$P4502))</f>
        <v>#N/A</v>
      </c>
      <c r="G4514" s="333" t="e">
        <f>IF(D4514="","",SUMIF($I4493:$I4502,D4514,$M4493:$M4502))</f>
        <v>#N/A</v>
      </c>
      <c r="H4514" s="535" t="e">
        <f t="shared" si="1334"/>
        <v>#N/A</v>
      </c>
      <c r="I4514" s="212" t="e">
        <f>IF(D4514="","",IF(H4514="NO APORTA","NO",IF(H4514=MAX($H4510:$H4515),"SI","NO")))</f>
        <v>#N/A</v>
      </c>
      <c r="J4514" s="213" t="e">
        <f t="shared" si="1335"/>
        <v>#N/A</v>
      </c>
      <c r="K4514" s="200" t="e">
        <f t="shared" si="1336"/>
        <v>#N/A</v>
      </c>
      <c r="L4514" s="721"/>
      <c r="M4514" s="715" t="s">
        <v>116</v>
      </c>
      <c r="N4514" s="716"/>
      <c r="O4514" s="556" t="str">
        <f>PORCREQUERIDO*100&amp;"% PMFO DEL MÓDULO"</f>
        <v>50% PMFO DEL MÓDULO</v>
      </c>
      <c r="P4514" s="715" t="s">
        <v>118</v>
      </c>
      <c r="Q4514" s="728"/>
      <c r="R4514" s="458"/>
      <c r="S4514" s="459"/>
      <c r="T4514" s="460"/>
      <c r="U4514" s="219"/>
      <c r="V4514" s="464"/>
      <c r="Y4514" s="414"/>
      <c r="AA4514" s="540" t="e">
        <f>IF(AND(C4513&lt;=F4508,F4508&lt;&gt;""),VLOOKUP(VALUE(E4489&amp;","&amp;C4513),INTEGRANTES!$D$18:$F$235,2,0),"")</f>
        <v>#N/A</v>
      </c>
      <c r="AB4514" s="545" t="e">
        <f t="shared" si="1337"/>
        <v>#N/A</v>
      </c>
      <c r="AC4514" s="529"/>
      <c r="AD4514" s="200" t="e">
        <f t="shared" si="1338"/>
        <v>#N/A</v>
      </c>
      <c r="AE4514" s="52"/>
      <c r="AF4514" s="52"/>
      <c r="AG4514" s="52"/>
      <c r="AH4514" s="87"/>
      <c r="AI4514" s="87"/>
    </row>
    <row r="4515" spans="1:35" ht="16.5" hidden="1" thickBot="1">
      <c r="A4515" s="218" t="e">
        <f>"S"&amp;E4489</f>
        <v>#N/A</v>
      </c>
      <c r="B4515" s="702"/>
      <c r="C4515" s="215">
        <v>6</v>
      </c>
      <c r="D4515" s="216" t="e">
        <f>IF(AND(C4515&lt;=F4508,F4508&lt;&gt;""),VLOOKUP(VALUE(E4489&amp;","&amp;C4515),INTEGRANTES!$D$18:$F$235,2,0),"")</f>
        <v>#N/A</v>
      </c>
      <c r="E4515" s="217" t="e">
        <f>IF(D4515&lt;&gt;"",VLOOKUP(VALUE(E4489&amp;","&amp;C4515),INTEGRANTES!$D$18:$F$235,3,0),"")</f>
        <v>#N/A</v>
      </c>
      <c r="F4515" s="548" t="e">
        <f>IF(D4515="","",SUMIF($I4493:$I4502,D4515,$P4493:$P4502))</f>
        <v>#N/A</v>
      </c>
      <c r="G4515" s="334" t="e">
        <f>IF(D4515="","",SUMIF($I4493:$I4502,D4515,$M4493:$M4502))</f>
        <v>#N/A</v>
      </c>
      <c r="H4515" s="536" t="e">
        <f t="shared" si="1334"/>
        <v>#N/A</v>
      </c>
      <c r="I4515" s="214" t="e">
        <f>IF(D4515="","",IF(H4515="NO APORTA","NO",IF(H4515=MAX($H4510:$H4515),"SI","NO")))</f>
        <v>#N/A</v>
      </c>
      <c r="J4515" s="213" t="e">
        <f t="shared" si="1335"/>
        <v>#N/A</v>
      </c>
      <c r="K4515" s="200" t="e">
        <f t="shared" si="1336"/>
        <v>#N/A</v>
      </c>
      <c r="L4515" s="721"/>
      <c r="M4515" s="729">
        <f>NUMMOD</f>
        <v>1</v>
      </c>
      <c r="N4515" s="730"/>
      <c r="O4515" s="443">
        <f>IF(M4515="","",ROUND(VLOOKUP(M4515,PRESUPUESTOS!$B$16:$H$16,7,FALSE),3))</f>
        <v>25.780999999999999</v>
      </c>
      <c r="P4515" s="713">
        <f>IF(OR(COUNTIF(P4493:P4502,"")&gt;=10,Q4509&lt;NUMMINCONT,OR(T4507="NO CUMPLE",T4507="VERIFICAR")),0,ROUND((SUM(P4493:P4502)/SUM(M4493:M4502)),3))</f>
        <v>0</v>
      </c>
      <c r="Q4515" s="714"/>
      <c r="R4515" s="458"/>
      <c r="S4515" s="459"/>
      <c r="T4515" s="460"/>
      <c r="U4515" s="219"/>
      <c r="V4515" s="464"/>
      <c r="Y4515" s="532" t="s">
        <v>343</v>
      </c>
      <c r="AA4515" s="540" t="e">
        <f>IF(AND(C4514&lt;=F4508,F4508&lt;&gt;""),VLOOKUP(VALUE(E4489&amp;","&amp;C4514),INTEGRANTES!$D$18:$F$235,2,0),"")</f>
        <v>#N/A</v>
      </c>
      <c r="AB4515" s="545" t="e">
        <f t="shared" si="1337"/>
        <v>#N/A</v>
      </c>
      <c r="AC4515" s="529"/>
      <c r="AD4515" s="200" t="e">
        <f t="shared" si="1338"/>
        <v>#N/A</v>
      </c>
      <c r="AE4515" s="52"/>
      <c r="AF4515" s="52"/>
      <c r="AG4515" s="52"/>
      <c r="AH4515" s="87"/>
      <c r="AI4515" s="87"/>
    </row>
    <row r="4516" spans="1:35" ht="16.5" hidden="1" customHeight="1" thickBot="1">
      <c r="A4516" s="218" t="e">
        <f>"T"&amp;E4489</f>
        <v>#N/A</v>
      </c>
      <c r="B4516" s="703"/>
      <c r="C4516" s="719"/>
      <c r="D4516" s="719"/>
      <c r="E4516" s="719"/>
      <c r="F4516" s="719"/>
      <c r="G4516" s="719"/>
      <c r="H4516" s="719" t="s">
        <v>110</v>
      </c>
      <c r="I4516" s="719"/>
      <c r="J4516" s="719"/>
      <c r="K4516" s="201" t="str">
        <f>IF(COUNTIF(K4510:K4515,"")=6,"",IF(COUNTIF(K4510:K4515,"CUMPLE")&gt;0,"CUMPLE","NO CUMPLE"))</f>
        <v>NO CUMPLE</v>
      </c>
      <c r="L4516" s="754"/>
      <c r="M4516" s="755"/>
      <c r="N4516" s="755"/>
      <c r="O4516" s="755"/>
      <c r="P4516" s="755"/>
      <c r="Q4516" s="756"/>
      <c r="R4516" s="461"/>
      <c r="S4516" s="462"/>
      <c r="T4516" s="463"/>
      <c r="U4516" s="219"/>
      <c r="V4516" s="464"/>
      <c r="Y4516" s="549" t="e">
        <f>IF(Y4510="NO APLICA","NO APLICA",IF(COUNTIF(AD4511:AD4516,"CUMPLE")&gt;0,"CUMPLE","NO CUMPLE"))</f>
        <v>#N/A</v>
      </c>
      <c r="AA4516" s="541" t="e">
        <f>IF(AND(C4515&lt;=F4508,F4508&lt;&gt;""),VLOOKUP(VALUE(E4489&amp;","&amp;C4515),INTEGRANTES!$D$18:$F$235,2,0),"")</f>
        <v>#N/A</v>
      </c>
      <c r="AB4516" s="546" t="e">
        <f t="shared" si="1337"/>
        <v>#N/A</v>
      </c>
      <c r="AC4516" s="543"/>
      <c r="AD4516" s="201" t="e">
        <f t="shared" si="1338"/>
        <v>#N/A</v>
      </c>
      <c r="AE4516" s="52"/>
      <c r="AF4516" s="52"/>
      <c r="AG4516" s="52"/>
      <c r="AH4516" s="87"/>
      <c r="AI4516" s="87"/>
    </row>
    <row r="4517" spans="1:35" hidden="1">
      <c r="AH4517" s="87"/>
      <c r="AI4517" s="87"/>
    </row>
    <row r="4518" spans="1:35" hidden="1">
      <c r="AH4518" s="87"/>
      <c r="AI4518" s="87"/>
    </row>
    <row r="4519" spans="1:35" ht="24" hidden="1" thickBot="1">
      <c r="A4519" s="61">
        <v>151</v>
      </c>
      <c r="B4519" s="704" t="s">
        <v>51</v>
      </c>
      <c r="C4519" s="704"/>
      <c r="D4519" s="704"/>
      <c r="E4519" s="62" t="e">
        <f>VLOOKUP(A4519,PROPONENTES!$B$19:$E$218,2,FALSE)</f>
        <v>#N/A</v>
      </c>
      <c r="F4519" s="63" t="e">
        <f>VLOOKUP(A4519,PROPONENTES!$B$19:$E$218,3,FALSE)</f>
        <v>#N/A</v>
      </c>
      <c r="G4519" s="64"/>
      <c r="H4519" s="64"/>
      <c r="I4519" s="63"/>
      <c r="J4519" s="63"/>
      <c r="K4519" s="65"/>
      <c r="L4519" s="65"/>
      <c r="M4519" s="64"/>
      <c r="N4519" s="64"/>
      <c r="O4519" s="66"/>
      <c r="P4519" s="66"/>
      <c r="Q4519" s="66"/>
      <c r="R4519" s="66"/>
      <c r="S4519" s="67"/>
      <c r="T4519" s="68"/>
      <c r="U4519" s="68"/>
      <c r="AC4519" s="68"/>
      <c r="AD4519" s="68"/>
      <c r="AE4519" s="68"/>
      <c r="AF4519" s="68"/>
      <c r="AG4519" s="68"/>
      <c r="AH4519" s="87"/>
      <c r="AI4519" s="87"/>
    </row>
    <row r="4520" spans="1:35" ht="15.75" hidden="1" customHeight="1">
      <c r="A4520" s="44"/>
      <c r="B4520" s="709" t="s">
        <v>59</v>
      </c>
      <c r="C4520" s="552" t="s">
        <v>60</v>
      </c>
      <c r="D4520" s="70" t="s">
        <v>17</v>
      </c>
      <c r="E4520" s="70"/>
      <c r="F4520" s="70" t="s">
        <v>61</v>
      </c>
      <c r="G4520" s="71"/>
      <c r="H4520" s="699" t="s">
        <v>62</v>
      </c>
      <c r="I4520" s="699" t="s">
        <v>18</v>
      </c>
      <c r="J4520" s="699" t="s">
        <v>63</v>
      </c>
      <c r="K4520" s="699" t="s">
        <v>64</v>
      </c>
      <c r="L4520" s="699" t="s">
        <v>65</v>
      </c>
      <c r="M4520" s="743" t="s">
        <v>66</v>
      </c>
      <c r="N4520" s="699" t="s">
        <v>282</v>
      </c>
      <c r="O4520" s="745" t="s">
        <v>67</v>
      </c>
      <c r="P4520" s="746"/>
      <c r="Q4520" s="102" t="s">
        <v>75</v>
      </c>
      <c r="R4520" s="731" t="s">
        <v>22</v>
      </c>
      <c r="S4520" s="732"/>
      <c r="T4520" s="733"/>
      <c r="U4520" s="712" t="s">
        <v>298</v>
      </c>
      <c r="W4520" s="690" t="s">
        <v>268</v>
      </c>
      <c r="X4520" s="691"/>
      <c r="Y4520" s="692"/>
      <c r="Z4520" s="428"/>
      <c r="AA4520" s="697" t="s">
        <v>315</v>
      </c>
      <c r="AB4520" s="695" t="s">
        <v>322</v>
      </c>
      <c r="AC4520" s="49"/>
      <c r="AD4520" s="690" t="s">
        <v>297</v>
      </c>
      <c r="AE4520" s="691"/>
      <c r="AF4520" s="692"/>
      <c r="AG4520" s="49"/>
      <c r="AH4520" s="87"/>
      <c r="AI4520" s="87"/>
    </row>
    <row r="4521" spans="1:35" ht="72" hidden="1">
      <c r="A4521" s="44"/>
      <c r="B4521" s="710"/>
      <c r="C4521" s="553" t="s">
        <v>68</v>
      </c>
      <c r="D4521" s="73" t="s">
        <v>3</v>
      </c>
      <c r="E4521" s="73" t="s">
        <v>19</v>
      </c>
      <c r="F4521" s="73" t="s">
        <v>69</v>
      </c>
      <c r="G4521" s="74" t="s">
        <v>70</v>
      </c>
      <c r="H4521" s="700"/>
      <c r="I4521" s="700"/>
      <c r="J4521" s="700"/>
      <c r="K4521" s="700"/>
      <c r="L4521" s="700"/>
      <c r="M4521" s="744"/>
      <c r="N4521" s="700"/>
      <c r="O4521" s="553" t="s">
        <v>279</v>
      </c>
      <c r="P4521" s="73" t="s">
        <v>88</v>
      </c>
      <c r="Q4521" s="555" t="s">
        <v>76</v>
      </c>
      <c r="R4521" s="734"/>
      <c r="S4521" s="735"/>
      <c r="T4521" s="736"/>
      <c r="U4521" s="712"/>
      <c r="W4521" s="429" t="s">
        <v>269</v>
      </c>
      <c r="X4521" s="457" t="s">
        <v>278</v>
      </c>
      <c r="Y4521" s="430" t="s">
        <v>324</v>
      </c>
      <c r="Z4521" s="428"/>
      <c r="AA4521" s="698"/>
      <c r="AB4521" s="696"/>
      <c r="AC4521" s="49"/>
      <c r="AD4521" s="429" t="s">
        <v>292</v>
      </c>
      <c r="AE4521" s="431" t="s">
        <v>300</v>
      </c>
      <c r="AF4521" s="468" t="s">
        <v>301</v>
      </c>
      <c r="AG4521" s="49"/>
      <c r="AH4521" s="87"/>
      <c r="AI4521" s="87"/>
    </row>
    <row r="4522" spans="1:35" hidden="1">
      <c r="A4522" s="44"/>
      <c r="B4522" s="76"/>
      <c r="C4522" s="77"/>
      <c r="D4522" s="77"/>
      <c r="E4522" s="77"/>
      <c r="F4522" s="77"/>
      <c r="G4522" s="77"/>
      <c r="H4522" s="77"/>
      <c r="I4522" s="77"/>
      <c r="J4522" s="77"/>
      <c r="K4522" s="77"/>
      <c r="L4522" s="77"/>
      <c r="M4522" s="77"/>
      <c r="N4522" s="77"/>
      <c r="O4522" s="77"/>
      <c r="P4522" s="77"/>
      <c r="Q4522" s="77"/>
      <c r="R4522" s="77"/>
      <c r="S4522" s="78"/>
      <c r="T4522" s="79"/>
      <c r="U4522" s="109"/>
      <c r="V4522" s="49"/>
      <c r="W4522" s="432"/>
      <c r="X4522" s="454"/>
      <c r="Y4522" s="433"/>
      <c r="Z4522" s="6"/>
      <c r="AA4522" s="500"/>
      <c r="AB4522" s="562"/>
      <c r="AC4522" s="49"/>
      <c r="AD4522" s="210"/>
      <c r="AE4522" s="434"/>
      <c r="AF4522" s="435"/>
      <c r="AG4522" s="49"/>
      <c r="AH4522" s="87"/>
      <c r="AI4522" s="87"/>
    </row>
    <row r="4523" spans="1:35" hidden="1">
      <c r="A4523" s="80" t="e">
        <f>"A"&amp;E4519</f>
        <v>#N/A</v>
      </c>
      <c r="B4523" s="81">
        <v>1</v>
      </c>
      <c r="C4523" s="82"/>
      <c r="D4523" s="82"/>
      <c r="E4523" s="82"/>
      <c r="F4523" s="82"/>
      <c r="G4523" s="83"/>
      <c r="H4523" s="83"/>
      <c r="I4523" s="84"/>
      <c r="J4523" s="85"/>
      <c r="K4523" s="382"/>
      <c r="L4523" s="85"/>
      <c r="M4523" s="332" t="str">
        <f t="shared" ref="M4523:M4532" si="1339">IF(OR(J4523="",L4523="",H4523="NO"),"",IF(OR(J4523&gt;$P$17,J4523&lt;$O$17,L4523&gt;$P$17,AND(J4523&lt;$O$17,L4523&lt;$O$17)),"FUERA DE RANGO",IF(OR(K4523="---",K4523=""),IF(J4523&gt;=$O$17,ROUND((L4523-J4523+1)/360*12,3),ROUND((L4523-$O$17+1)/360*12,3)),IF(J4523&gt;=$O$17,ROUND((L4523-J4523+1)/360*12-ROUND(K4523,3),3),ROUND((L4523-$O$17+1)/360*12-ROUND(K4523,3),3)))))</f>
        <v/>
      </c>
      <c r="N4523" s="86"/>
      <c r="O4523" s="453" t="str">
        <f>IF(OR(G4523="",N4523=""),"",N4523*G4523)</f>
        <v/>
      </c>
      <c r="P4523" s="538" t="str">
        <f>IF(OR(H4523="",M4523="FUERA DE RANGO"),"",IF(OR(L4523&lt;$O$17,L4523&gt;$P$17,L4523="",H4523="NO"),"",IF(OR(N4523="",O4523=""),"",ROUND(O4523,3))))</f>
        <v/>
      </c>
      <c r="Q4523" s="539" t="str">
        <f t="shared" ref="Q4523:Q4532" si="1340">IF(AND(H4523="SI",P4523&lt;&gt;""),ROUND(P4523/M4523,3),"")</f>
        <v/>
      </c>
      <c r="R4523" s="737"/>
      <c r="S4523" s="738"/>
      <c r="T4523" s="739"/>
      <c r="U4523" s="470"/>
      <c r="V4523" s="165"/>
      <c r="W4523" s="446"/>
      <c r="X4523" s="456"/>
      <c r="Y4523" s="436"/>
      <c r="Z4523" s="437"/>
      <c r="AA4523" s="560"/>
      <c r="AB4523" s="561"/>
      <c r="AC4523" s="87"/>
      <c r="AD4523" s="466"/>
      <c r="AE4523" s="456"/>
      <c r="AF4523" s="467"/>
      <c r="AG4523" s="87"/>
      <c r="AH4523" s="87"/>
      <c r="AI4523" s="87"/>
    </row>
    <row r="4524" spans="1:35" hidden="1">
      <c r="A4524" s="80" t="e">
        <f>"B"&amp;E4519</f>
        <v>#N/A</v>
      </c>
      <c r="B4524" s="81">
        <v>2</v>
      </c>
      <c r="C4524" s="106"/>
      <c r="D4524" s="106"/>
      <c r="E4524" s="106"/>
      <c r="F4524" s="106"/>
      <c r="G4524" s="83"/>
      <c r="H4524" s="83"/>
      <c r="I4524" s="84"/>
      <c r="J4524" s="85"/>
      <c r="K4524" s="382"/>
      <c r="L4524" s="85"/>
      <c r="M4524" s="332" t="str">
        <f t="shared" si="1339"/>
        <v/>
      </c>
      <c r="N4524" s="86"/>
      <c r="O4524" s="453" t="str">
        <f t="shared" ref="O4524:O4532" si="1341">IF(OR(G4524="",N4524=""),"",N4524*G4524)</f>
        <v/>
      </c>
      <c r="P4524" s="538" t="str">
        <f t="shared" ref="P4524:P4532" si="1342">IF(OR(H4524="",M4524="FUERA DE RANGO"),"",IF(OR(L4524&lt;$O$17,L4524&gt;$P$17,L4524="",H4524="NO"),"",IF(OR(N4524="",O4524=""),"",ROUND(O4524,3))))</f>
        <v/>
      </c>
      <c r="Q4524" s="539" t="str">
        <f t="shared" si="1340"/>
        <v/>
      </c>
      <c r="R4524" s="740"/>
      <c r="S4524" s="741"/>
      <c r="T4524" s="742"/>
      <c r="U4524" s="471"/>
      <c r="V4524" s="165"/>
      <c r="W4524" s="446"/>
      <c r="X4524" s="456"/>
      <c r="Y4524" s="436"/>
      <c r="Z4524" s="437"/>
      <c r="AA4524" s="560"/>
      <c r="AB4524" s="561"/>
      <c r="AC4524" s="87"/>
      <c r="AD4524" s="466"/>
      <c r="AE4524" s="456"/>
      <c r="AF4524" s="467"/>
      <c r="AG4524" s="87"/>
      <c r="AH4524" s="87"/>
      <c r="AI4524" s="87"/>
    </row>
    <row r="4525" spans="1:35" hidden="1">
      <c r="A4525" s="80" t="e">
        <f>"C"&amp;E4519</f>
        <v>#N/A</v>
      </c>
      <c r="B4525" s="88">
        <v>3</v>
      </c>
      <c r="C4525" s="82"/>
      <c r="D4525" s="82"/>
      <c r="E4525" s="82"/>
      <c r="F4525" s="82"/>
      <c r="G4525" s="83"/>
      <c r="H4525" s="83"/>
      <c r="I4525" s="84"/>
      <c r="J4525" s="85"/>
      <c r="K4525" s="382"/>
      <c r="L4525" s="85"/>
      <c r="M4525" s="332" t="str">
        <f t="shared" si="1339"/>
        <v/>
      </c>
      <c r="N4525" s="86"/>
      <c r="O4525" s="453" t="str">
        <f t="shared" si="1341"/>
        <v/>
      </c>
      <c r="P4525" s="538" t="str">
        <f t="shared" si="1342"/>
        <v/>
      </c>
      <c r="Q4525" s="539" t="str">
        <f t="shared" si="1340"/>
        <v/>
      </c>
      <c r="R4525" s="706"/>
      <c r="S4525" s="707"/>
      <c r="T4525" s="708"/>
      <c r="U4525" s="472"/>
      <c r="V4525" s="166"/>
      <c r="W4525" s="446"/>
      <c r="X4525" s="456"/>
      <c r="Y4525" s="436"/>
      <c r="Z4525" s="437"/>
      <c r="AA4525" s="560"/>
      <c r="AB4525" s="561"/>
      <c r="AC4525" s="87"/>
      <c r="AD4525" s="466"/>
      <c r="AE4525" s="456"/>
      <c r="AF4525" s="467"/>
      <c r="AG4525" s="87"/>
      <c r="AH4525" s="87"/>
      <c r="AI4525" s="87"/>
    </row>
    <row r="4526" spans="1:35" hidden="1">
      <c r="A4526" s="80" t="e">
        <f>"D"&amp;E4519</f>
        <v>#N/A</v>
      </c>
      <c r="B4526" s="105">
        <v>4</v>
      </c>
      <c r="C4526" s="107"/>
      <c r="D4526" s="107"/>
      <c r="E4526" s="107"/>
      <c r="F4526" s="107"/>
      <c r="G4526" s="83"/>
      <c r="H4526" s="83"/>
      <c r="I4526" s="84"/>
      <c r="J4526" s="85"/>
      <c r="K4526" s="382"/>
      <c r="L4526" s="85"/>
      <c r="M4526" s="332" t="str">
        <f t="shared" si="1339"/>
        <v/>
      </c>
      <c r="N4526" s="86"/>
      <c r="O4526" s="453" t="str">
        <f t="shared" si="1341"/>
        <v/>
      </c>
      <c r="P4526" s="538" t="str">
        <f t="shared" si="1342"/>
        <v/>
      </c>
      <c r="Q4526" s="539" t="str">
        <f t="shared" si="1340"/>
        <v/>
      </c>
      <c r="R4526" s="706"/>
      <c r="S4526" s="707"/>
      <c r="T4526" s="708"/>
      <c r="U4526" s="472"/>
      <c r="V4526" s="166"/>
      <c r="W4526" s="446"/>
      <c r="X4526" s="456"/>
      <c r="Y4526" s="436"/>
      <c r="Z4526" s="437"/>
      <c r="AA4526" s="560"/>
      <c r="AB4526" s="561"/>
      <c r="AC4526" s="87"/>
      <c r="AD4526" s="466"/>
      <c r="AE4526" s="456"/>
      <c r="AF4526" s="467"/>
      <c r="AG4526" s="87"/>
      <c r="AH4526" s="87"/>
      <c r="AI4526" s="87"/>
    </row>
    <row r="4527" spans="1:35" hidden="1">
      <c r="A4527" s="80" t="e">
        <f>"E"&amp;E4519</f>
        <v>#N/A</v>
      </c>
      <c r="B4527" s="105">
        <v>5</v>
      </c>
      <c r="C4527" s="107"/>
      <c r="D4527" s="107"/>
      <c r="E4527" s="107"/>
      <c r="F4527" s="107"/>
      <c r="G4527" s="83"/>
      <c r="H4527" s="83"/>
      <c r="I4527" s="84"/>
      <c r="J4527" s="85"/>
      <c r="K4527" s="382"/>
      <c r="L4527" s="85"/>
      <c r="M4527" s="332" t="str">
        <f t="shared" si="1339"/>
        <v/>
      </c>
      <c r="N4527" s="86"/>
      <c r="O4527" s="453" t="str">
        <f t="shared" si="1341"/>
        <v/>
      </c>
      <c r="P4527" s="538" t="str">
        <f t="shared" si="1342"/>
        <v/>
      </c>
      <c r="Q4527" s="539" t="str">
        <f t="shared" si="1340"/>
        <v/>
      </c>
      <c r="R4527" s="706"/>
      <c r="S4527" s="707"/>
      <c r="T4527" s="708"/>
      <c r="U4527" s="472"/>
      <c r="V4527" s="167"/>
      <c r="W4527" s="446"/>
      <c r="X4527" s="456"/>
      <c r="Y4527" s="436"/>
      <c r="Z4527" s="437"/>
      <c r="AA4527" s="560"/>
      <c r="AB4527" s="561"/>
      <c r="AC4527" s="87"/>
      <c r="AD4527" s="466"/>
      <c r="AE4527" s="456"/>
      <c r="AF4527" s="467"/>
      <c r="AG4527" s="87"/>
      <c r="AH4527" s="87"/>
      <c r="AI4527" s="87"/>
    </row>
    <row r="4528" spans="1:35" hidden="1">
      <c r="A4528" s="80" t="e">
        <f>"F"&amp;E4519</f>
        <v>#N/A</v>
      </c>
      <c r="B4528" s="105">
        <v>6</v>
      </c>
      <c r="C4528" s="107"/>
      <c r="D4528" s="107"/>
      <c r="E4528" s="107"/>
      <c r="F4528" s="107"/>
      <c r="G4528" s="83"/>
      <c r="H4528" s="83"/>
      <c r="I4528" s="84"/>
      <c r="J4528" s="85"/>
      <c r="K4528" s="382"/>
      <c r="L4528" s="85"/>
      <c r="M4528" s="332" t="str">
        <f t="shared" si="1339"/>
        <v/>
      </c>
      <c r="N4528" s="86"/>
      <c r="O4528" s="453" t="str">
        <f t="shared" si="1341"/>
        <v/>
      </c>
      <c r="P4528" s="538" t="str">
        <f t="shared" si="1342"/>
        <v/>
      </c>
      <c r="Q4528" s="539" t="str">
        <f t="shared" si="1340"/>
        <v/>
      </c>
      <c r="R4528" s="706"/>
      <c r="S4528" s="707"/>
      <c r="T4528" s="708"/>
      <c r="U4528" s="472"/>
      <c r="V4528" s="167"/>
      <c r="W4528" s="446"/>
      <c r="X4528" s="456"/>
      <c r="Y4528" s="436"/>
      <c r="Z4528" s="437"/>
      <c r="AA4528" s="560"/>
      <c r="AB4528" s="561"/>
      <c r="AC4528" s="87"/>
      <c r="AD4528" s="466"/>
      <c r="AE4528" s="456"/>
      <c r="AF4528" s="467"/>
      <c r="AG4528" s="87"/>
      <c r="AH4528" s="87"/>
      <c r="AI4528" s="87"/>
    </row>
    <row r="4529" spans="1:35" hidden="1">
      <c r="A4529" s="80" t="e">
        <f>"G"&amp;E4519</f>
        <v>#N/A</v>
      </c>
      <c r="B4529" s="105">
        <v>7</v>
      </c>
      <c r="C4529" s="107"/>
      <c r="D4529" s="107"/>
      <c r="E4529" s="107"/>
      <c r="F4529" s="107"/>
      <c r="G4529" s="83"/>
      <c r="H4529" s="83"/>
      <c r="I4529" s="84"/>
      <c r="J4529" s="85"/>
      <c r="K4529" s="382"/>
      <c r="L4529" s="85"/>
      <c r="M4529" s="332" t="str">
        <f t="shared" si="1339"/>
        <v/>
      </c>
      <c r="N4529" s="86"/>
      <c r="O4529" s="86" t="str">
        <f t="shared" si="1341"/>
        <v/>
      </c>
      <c r="P4529" s="538" t="str">
        <f t="shared" si="1342"/>
        <v/>
      </c>
      <c r="Q4529" s="539" t="str">
        <f t="shared" si="1340"/>
        <v/>
      </c>
      <c r="R4529" s="706"/>
      <c r="S4529" s="707"/>
      <c r="T4529" s="708"/>
      <c r="U4529" s="472"/>
      <c r="V4529" s="167"/>
      <c r="W4529" s="446"/>
      <c r="X4529" s="456"/>
      <c r="Y4529" s="436"/>
      <c r="Z4529" s="437"/>
      <c r="AA4529" s="560"/>
      <c r="AB4529" s="561"/>
      <c r="AC4529" s="87"/>
      <c r="AD4529" s="466"/>
      <c r="AE4529" s="456"/>
      <c r="AF4529" s="467"/>
      <c r="AG4529" s="87"/>
      <c r="AH4529" s="87"/>
      <c r="AI4529" s="87"/>
    </row>
    <row r="4530" spans="1:35" hidden="1">
      <c r="A4530" s="80" t="e">
        <f>"H"&amp;E4519</f>
        <v>#N/A</v>
      </c>
      <c r="B4530" s="105">
        <v>8</v>
      </c>
      <c r="C4530" s="107"/>
      <c r="D4530" s="107"/>
      <c r="E4530" s="107"/>
      <c r="F4530" s="107"/>
      <c r="G4530" s="83"/>
      <c r="H4530" s="83"/>
      <c r="I4530" s="84"/>
      <c r="J4530" s="85"/>
      <c r="K4530" s="382"/>
      <c r="L4530" s="85"/>
      <c r="M4530" s="332" t="str">
        <f t="shared" si="1339"/>
        <v/>
      </c>
      <c r="N4530" s="453"/>
      <c r="O4530" s="86" t="str">
        <f t="shared" si="1341"/>
        <v/>
      </c>
      <c r="P4530" s="538" t="str">
        <f t="shared" si="1342"/>
        <v/>
      </c>
      <c r="Q4530" s="539" t="str">
        <f t="shared" si="1340"/>
        <v/>
      </c>
      <c r="R4530" s="706"/>
      <c r="S4530" s="707"/>
      <c r="T4530" s="708"/>
      <c r="U4530" s="472"/>
      <c r="V4530" s="167"/>
      <c r="W4530" s="446"/>
      <c r="X4530" s="456"/>
      <c r="Y4530" s="436"/>
      <c r="Z4530" s="437"/>
      <c r="AA4530" s="560"/>
      <c r="AB4530" s="561"/>
      <c r="AC4530" s="87"/>
      <c r="AD4530" s="466"/>
      <c r="AE4530" s="456"/>
      <c r="AF4530" s="467"/>
      <c r="AG4530" s="87"/>
      <c r="AH4530" s="87"/>
      <c r="AI4530" s="87"/>
    </row>
    <row r="4531" spans="1:35" hidden="1">
      <c r="A4531" s="80" t="e">
        <f>"I"&amp;E4519</f>
        <v>#N/A</v>
      </c>
      <c r="B4531" s="105">
        <v>9</v>
      </c>
      <c r="C4531" s="107"/>
      <c r="D4531" s="107"/>
      <c r="E4531" s="107"/>
      <c r="F4531" s="107"/>
      <c r="G4531" s="83"/>
      <c r="H4531" s="83"/>
      <c r="I4531" s="84"/>
      <c r="J4531" s="85"/>
      <c r="K4531" s="382"/>
      <c r="L4531" s="85"/>
      <c r="M4531" s="332" t="str">
        <f t="shared" si="1339"/>
        <v/>
      </c>
      <c r="N4531" s="453"/>
      <c r="O4531" s="86" t="str">
        <f t="shared" si="1341"/>
        <v/>
      </c>
      <c r="P4531" s="538" t="str">
        <f t="shared" si="1342"/>
        <v/>
      </c>
      <c r="Q4531" s="539" t="str">
        <f t="shared" si="1340"/>
        <v/>
      </c>
      <c r="R4531" s="706"/>
      <c r="S4531" s="707"/>
      <c r="T4531" s="708"/>
      <c r="U4531" s="472"/>
      <c r="V4531" s="167"/>
      <c r="W4531" s="446"/>
      <c r="X4531" s="456"/>
      <c r="Y4531" s="436"/>
      <c r="Z4531" s="437"/>
      <c r="AA4531" s="560"/>
      <c r="AB4531" s="561"/>
      <c r="AC4531" s="87"/>
      <c r="AD4531" s="466"/>
      <c r="AE4531" s="456"/>
      <c r="AF4531" s="467"/>
      <c r="AG4531" s="87"/>
      <c r="AH4531" s="87"/>
      <c r="AI4531" s="87"/>
    </row>
    <row r="4532" spans="1:35" hidden="1">
      <c r="A4532" s="80" t="e">
        <f>"J"&amp;E4519</f>
        <v>#N/A</v>
      </c>
      <c r="B4532" s="105">
        <v>10</v>
      </c>
      <c r="C4532" s="107"/>
      <c r="D4532" s="107"/>
      <c r="E4532" s="107"/>
      <c r="F4532" s="107"/>
      <c r="G4532" s="83"/>
      <c r="H4532" s="83"/>
      <c r="I4532" s="84"/>
      <c r="J4532" s="85"/>
      <c r="K4532" s="382"/>
      <c r="L4532" s="85"/>
      <c r="M4532" s="332" t="str">
        <f t="shared" si="1339"/>
        <v/>
      </c>
      <c r="N4532" s="453"/>
      <c r="O4532" s="86" t="str">
        <f t="shared" si="1341"/>
        <v/>
      </c>
      <c r="P4532" s="538" t="str">
        <f t="shared" si="1342"/>
        <v/>
      </c>
      <c r="Q4532" s="539" t="str">
        <f t="shared" si="1340"/>
        <v/>
      </c>
      <c r="R4532" s="706"/>
      <c r="S4532" s="707"/>
      <c r="T4532" s="708"/>
      <c r="U4532" s="472"/>
      <c r="V4532" s="167"/>
      <c r="W4532" s="446"/>
      <c r="X4532" s="456"/>
      <c r="Y4532" s="436"/>
      <c r="Z4532" s="437"/>
      <c r="AA4532" s="560"/>
      <c r="AB4532" s="561"/>
      <c r="AC4532" s="87"/>
      <c r="AD4532" s="466"/>
      <c r="AE4532" s="456"/>
      <c r="AF4532" s="467"/>
      <c r="AG4532" s="87"/>
      <c r="AH4532" s="87"/>
      <c r="AI4532" s="87"/>
    </row>
    <row r="4533" spans="1:35" ht="16.5" hidden="1" thickBot="1">
      <c r="A4533" s="44"/>
      <c r="B4533" s="89"/>
      <c r="C4533" s="90"/>
      <c r="D4533" s="90"/>
      <c r="E4533" s="90"/>
      <c r="F4533" s="90"/>
      <c r="G4533" s="90"/>
      <c r="H4533" s="90"/>
      <c r="I4533" s="90"/>
      <c r="J4533" s="90"/>
      <c r="K4533" s="90"/>
      <c r="L4533" s="90"/>
      <c r="M4533" s="90"/>
      <c r="N4533" s="90"/>
      <c r="O4533" s="90"/>
      <c r="P4533" s="90"/>
      <c r="Q4533" s="90"/>
      <c r="R4533" s="90"/>
      <c r="S4533" s="91"/>
      <c r="T4533" s="92"/>
      <c r="U4533" s="473"/>
      <c r="W4533" s="438"/>
      <c r="X4533" s="455"/>
      <c r="Y4533" s="439"/>
      <c r="Z4533" s="437"/>
      <c r="AA4533" s="530"/>
      <c r="AB4533" s="563"/>
      <c r="AC4533" s="87"/>
      <c r="AD4533" s="440"/>
      <c r="AE4533" s="441"/>
      <c r="AF4533" s="442"/>
      <c r="AG4533" s="49"/>
      <c r="AH4533" s="87"/>
      <c r="AI4533" s="87"/>
    </row>
    <row r="4534" spans="1:35" ht="16.5" hidden="1" thickBot="1">
      <c r="A4534" s="93"/>
      <c r="B4534" s="94"/>
      <c r="C4534" s="96"/>
      <c r="D4534" s="96"/>
      <c r="E4534" s="96"/>
      <c r="F4534" s="96"/>
      <c r="G4534" s="96"/>
      <c r="H4534" s="96"/>
      <c r="I4534" s="96"/>
      <c r="J4534" s="96"/>
      <c r="K4534" s="96"/>
      <c r="L4534" s="96"/>
      <c r="M4534" s="136"/>
      <c r="N4534" s="96"/>
      <c r="O4534" s="96"/>
      <c r="P4534" s="97"/>
      <c r="Q4534" s="97"/>
      <c r="R4534" s="98"/>
      <c r="S4534" s="95"/>
      <c r="T4534" s="99"/>
      <c r="U4534" s="469"/>
      <c r="AC4534" s="58"/>
      <c r="AG4534" s="58"/>
      <c r="AH4534" s="87"/>
      <c r="AI4534" s="87"/>
    </row>
    <row r="4535" spans="1:35" ht="16.5" hidden="1" thickBot="1">
      <c r="B4535" s="101"/>
      <c r="C4535" s="101"/>
      <c r="D4535" s="101"/>
      <c r="E4535" s="101"/>
      <c r="F4535" s="101"/>
      <c r="G4535" s="101"/>
      <c r="H4535" s="101"/>
      <c r="I4535" s="101"/>
      <c r="J4535" s="101"/>
      <c r="K4535" s="101"/>
      <c r="L4535" s="101"/>
      <c r="M4535" s="101"/>
      <c r="N4535" s="101"/>
      <c r="O4535" s="101"/>
      <c r="P4535" s="101"/>
      <c r="Q4535" s="101"/>
      <c r="R4535" s="101"/>
      <c r="S4535" s="101"/>
      <c r="U4535" s="50"/>
      <c r="AH4535" s="87"/>
      <c r="AI4535" s="87"/>
    </row>
    <row r="4536" spans="1:35" ht="16.5" hidden="1" customHeight="1" thickBot="1">
      <c r="A4536" s="44"/>
      <c r="B4536" s="705" t="s">
        <v>74</v>
      </c>
      <c r="C4536" s="705"/>
      <c r="D4536" s="705"/>
      <c r="E4536" s="705"/>
      <c r="F4536" s="705"/>
      <c r="G4536" s="705"/>
      <c r="H4536" s="705"/>
      <c r="I4536" s="705"/>
      <c r="J4536" s="705"/>
      <c r="K4536" s="705"/>
      <c r="L4536" s="705"/>
      <c r="M4536" s="705"/>
      <c r="N4536" s="705"/>
      <c r="O4536" s="705"/>
      <c r="P4536" s="705"/>
      <c r="Q4536" s="705"/>
      <c r="R4536" s="705"/>
      <c r="S4536" s="705"/>
      <c r="T4536" s="705"/>
      <c r="U4536" s="108"/>
      <c r="Y4536" s="532" t="s">
        <v>341</v>
      </c>
      <c r="AC4536" s="49"/>
      <c r="AD4536" s="687" t="s">
        <v>302</v>
      </c>
      <c r="AE4536" s="688"/>
      <c r="AF4536" s="689"/>
      <c r="AG4536" s="49"/>
      <c r="AH4536" s="87"/>
      <c r="AI4536" s="87"/>
    </row>
    <row r="4537" spans="1:35" ht="16.5" hidden="1" customHeight="1" thickBot="1">
      <c r="A4537" s="218" t="e">
        <f>"K"&amp;E4519</f>
        <v>#N/A</v>
      </c>
      <c r="B4537" s="701" t="s">
        <v>71</v>
      </c>
      <c r="C4537" s="751" t="s">
        <v>102</v>
      </c>
      <c r="D4537" s="751"/>
      <c r="E4537" s="751"/>
      <c r="F4537" s="751"/>
      <c r="G4537" s="751"/>
      <c r="H4537" s="751"/>
      <c r="I4537" s="751"/>
      <c r="J4537" s="751"/>
      <c r="K4537" s="751"/>
      <c r="L4537" s="722" t="s">
        <v>100</v>
      </c>
      <c r="M4537" s="747" t="s">
        <v>114</v>
      </c>
      <c r="N4537" s="747"/>
      <c r="O4537" s="747"/>
      <c r="P4537" s="747"/>
      <c r="Q4537" s="748"/>
      <c r="R4537" s="758" t="s">
        <v>280</v>
      </c>
      <c r="S4537" s="748"/>
      <c r="T4537" s="762" t="str">
        <f>IF(COUNTIF(AE4537:AF4537,"VERIFICAR")&gt;0,"VERIFICAR",IF(COUNTIF(AE4537:AF4537,"NO CUMPLE")&gt;0,"NO CUMPLE","CUMPLE"))</f>
        <v>VERIFICAR</v>
      </c>
      <c r="U4537" s="108"/>
      <c r="Y4537" s="533" t="e">
        <f>IF(F4538="","",IF(F4538=1,"INDIVIDUAL","ESTRUCTURA PLURAL"))</f>
        <v>#N/A</v>
      </c>
      <c r="AC4537" s="52"/>
      <c r="AD4537" s="475" t="s">
        <v>303</v>
      </c>
      <c r="AE4537" s="476" t="str">
        <f>IF(COUNTIF(AE4523:AE4532,"")=10,"VERIFICAR",IF(COUNTIF(AE4523:AE4532,"SI")&gt;0,"CUMPLE","NO CUMPLE"))</f>
        <v>VERIFICAR</v>
      </c>
      <c r="AF4537" s="477" t="str">
        <f>IF(COUNTIF(AF4523:AF4532,"")=10,"VERIFICAR",IF(COUNTIF(AF4523:AF4532,"SI")&gt;=$AI$22,"CUMPLE","NO CUMPLE"))</f>
        <v>VERIFICAR</v>
      </c>
      <c r="AG4537" s="52"/>
      <c r="AH4537" s="87"/>
      <c r="AI4537" s="87"/>
    </row>
    <row r="4538" spans="1:35" ht="15.75" hidden="1" customHeight="1" thickBot="1">
      <c r="A4538" s="218" t="e">
        <f>"L"&amp;E4519</f>
        <v>#N/A</v>
      </c>
      <c r="B4538" s="702"/>
      <c r="C4538" s="751" t="s">
        <v>103</v>
      </c>
      <c r="D4538" s="751"/>
      <c r="E4538" s="752"/>
      <c r="F4538" s="557" t="e">
        <f>IF(VLOOKUP(E4519,PROPONENTES!$C$19:$E$218,3,0)="","",VLOOKUP(E4519,PROPONENTES!$C$19:$E$218,3,0))</f>
        <v>#N/A</v>
      </c>
      <c r="G4538" s="753" t="s">
        <v>104</v>
      </c>
      <c r="H4538" s="751"/>
      <c r="I4538" s="715" t="e">
        <f>IF(OR(F4538="",F4538=1),"INTERESADO PERSONA NATURAL O JURIDICA","CONSORCIO O UNION TEMPORAL")</f>
        <v>#N/A</v>
      </c>
      <c r="J4538" s="725"/>
      <c r="K4538" s="728"/>
      <c r="L4538" s="723"/>
      <c r="M4538" s="749"/>
      <c r="N4538" s="749"/>
      <c r="O4538" s="749"/>
      <c r="P4538" s="749"/>
      <c r="Q4538" s="750"/>
      <c r="R4538" s="712"/>
      <c r="S4538" s="750"/>
      <c r="T4538" s="763"/>
      <c r="U4538" s="108"/>
      <c r="Y4538" s="534"/>
      <c r="AA4538" s="52"/>
      <c r="AB4538" s="52"/>
      <c r="AC4538" s="52"/>
      <c r="AG4538" s="52"/>
      <c r="AH4538" s="87"/>
      <c r="AI4538" s="87"/>
    </row>
    <row r="4539" spans="1:35" ht="56.25" hidden="1" customHeight="1" thickBot="1">
      <c r="A4539" s="218" t="e">
        <f>"M"&amp;E4519</f>
        <v>#N/A</v>
      </c>
      <c r="B4539" s="702"/>
      <c r="C4539" s="725" t="s">
        <v>101</v>
      </c>
      <c r="D4539" s="716"/>
      <c r="E4539" s="558" t="s">
        <v>105</v>
      </c>
      <c r="F4539" s="554" t="s">
        <v>87</v>
      </c>
      <c r="G4539" s="553" t="s">
        <v>86</v>
      </c>
      <c r="H4539" s="559" t="s">
        <v>85</v>
      </c>
      <c r="I4539" s="554" t="s">
        <v>252</v>
      </c>
      <c r="J4539" s="553" t="str">
        <f>"¿EL INTEGRANTE TIENE UNA PARTICIPACIÓN DEL "&amp;PORCREQUERIDOINT*100&amp;"%?"</f>
        <v>¿EL INTEGRANTE TIENE UNA PARTICIPACIÓN DEL 60%?</v>
      </c>
      <c r="K4539" s="554" t="s">
        <v>107</v>
      </c>
      <c r="L4539" s="724"/>
      <c r="M4539" s="717" t="s">
        <v>115</v>
      </c>
      <c r="N4539" s="718"/>
      <c r="O4539" s="718"/>
      <c r="P4539" s="718"/>
      <c r="Q4539" s="223">
        <f>IF(AND(H4523="SI",P4523&gt;=0),1,0)+IF(AND(H4524="SI",P4524&gt;=0),1,0)+IF(AND(H4525="SI",P4525&gt;=0),1,0)+IF(AND(H4526="SI",P4526&gt;=0),1,0)+IF(AND(H4527="SI",P4527&gt;=0),1,0)+IF(AND(H4528="SI",P4528&gt;=0),1,0)+IF(AND(H4529="SI",P4529&gt;=0),1,0)+IF(AND(H4530="SI",P4530&gt;=0),1,0)+IF(AND(H4531="SI",P4531&gt;=0),1,0)+IF(AND(H4532="SI",P4532&gt;=0),1,0)</f>
        <v>0</v>
      </c>
      <c r="R4539" s="759"/>
      <c r="S4539" s="761"/>
      <c r="T4539" s="764"/>
      <c r="U4539" s="219"/>
      <c r="V4539" s="464"/>
      <c r="Y4539" s="532" t="s">
        <v>342</v>
      </c>
      <c r="AA4539" s="550" t="s">
        <v>344</v>
      </c>
      <c r="AB4539" s="693" t="s">
        <v>345</v>
      </c>
      <c r="AC4539" s="693" t="s">
        <v>346</v>
      </c>
      <c r="AD4539" s="685" t="s">
        <v>347</v>
      </c>
      <c r="AE4539" s="52"/>
      <c r="AF4539" s="52"/>
      <c r="AG4539" s="52"/>
      <c r="AH4539" s="87"/>
      <c r="AI4539" s="87"/>
    </row>
    <row r="4540" spans="1:35" ht="15.75" hidden="1" customHeight="1" thickBot="1">
      <c r="A4540" s="218" t="e">
        <f>"N"&amp;E4519</f>
        <v>#N/A</v>
      </c>
      <c r="B4540" s="702"/>
      <c r="C4540" s="114">
        <v>1</v>
      </c>
      <c r="D4540" s="194" t="e">
        <f>IF(AND(C4540&lt;=F4538,F4538&gt;1,F4538&lt;&gt;""),VLOOKUP(VALUE(E4519&amp;","&amp;C4540),INTEGRANTES!$D$18:$F$235,2,0),"")</f>
        <v>#N/A</v>
      </c>
      <c r="E4540" s="211" t="e">
        <f>IF(D4540&lt;&gt;"",VLOOKUP(VALUE(E4519&amp;","&amp;C4540),INTEGRANTES!$D$18:$F$235,3,0),"")</f>
        <v>#N/A</v>
      </c>
      <c r="F4540" s="547" t="e">
        <f>IF(D4540="","",SUMIF($I4523:$I4532,D4540,$P4523:$P4532))</f>
        <v>#N/A</v>
      </c>
      <c r="G4540" s="333" t="e">
        <f>IF(D4540="","",SUMIF($I4523:$I4532,D4540,$M4523:$M4532))</f>
        <v>#N/A</v>
      </c>
      <c r="H4540" s="535" t="e">
        <f t="shared" ref="H4540:H4545" si="1343">IF(D4540="","",IF(OR(F4540=0,G4540=0),"NO APORTA",ROUND($F4540/$G4540,3)))</f>
        <v>#N/A</v>
      </c>
      <c r="I4540" s="212" t="e">
        <f>IF(D4540="","",IF(H4540="NO APORTA","NO",IF(H4540=MAX($H4540:$H4545),"SI","NO")))</f>
        <v>#N/A</v>
      </c>
      <c r="J4540" s="213" t="e">
        <f t="shared" ref="J4540:J4545" si="1344">IF(D4540="","",IF(E4540&gt;=PORCREQUERIDOINT,"SI","NO"))</f>
        <v>#N/A</v>
      </c>
      <c r="K4540" s="200" t="e">
        <f t="shared" ref="K4540:K4545" si="1345">IF(D4540="","",IF(AND(I4540="SI",J4540="SI"),"CUMPLE",IF(AND(I4540="NO",OR(J4540="SI",J4540="NO")),"","NO CUMPLE")))</f>
        <v>#N/A</v>
      </c>
      <c r="L4540" s="722" t="s">
        <v>108</v>
      </c>
      <c r="M4540" s="726" t="s">
        <v>119</v>
      </c>
      <c r="N4540" s="726"/>
      <c r="O4540" s="726"/>
      <c r="P4540" s="726"/>
      <c r="Q4540" s="727"/>
      <c r="R4540" s="758" t="s">
        <v>80</v>
      </c>
      <c r="S4540" s="747"/>
      <c r="T4540" s="748"/>
      <c r="U4540" s="219"/>
      <c r="V4540" s="464"/>
      <c r="Y4540" s="533" t="e">
        <f>IF(Y4537="","",IF(Y4537="INDIVIDUAL","NO APLICA","VERIFICAR CUADRO"))</f>
        <v>#N/A</v>
      </c>
      <c r="AA4540" s="551"/>
      <c r="AB4540" s="694"/>
      <c r="AC4540" s="694"/>
      <c r="AD4540" s="686"/>
      <c r="AE4540" s="52"/>
      <c r="AF4540" s="52"/>
      <c r="AG4540" s="52"/>
      <c r="AH4540" s="87"/>
      <c r="AI4540" s="87"/>
    </row>
    <row r="4541" spans="1:35" ht="27" hidden="1" customHeight="1" thickBot="1">
      <c r="A4541" s="218" t="e">
        <f>"O"&amp;E4519</f>
        <v>#N/A</v>
      </c>
      <c r="B4541" s="702"/>
      <c r="C4541" s="114">
        <v>2</v>
      </c>
      <c r="D4541" s="194" t="e">
        <f>IF(AND(C4541&lt;=F4538,F4538&lt;&gt;""),VLOOKUP(VALUE(E4519&amp;","&amp;C4541),INTEGRANTES!$D$18:$F$235,2,0),"")</f>
        <v>#N/A</v>
      </c>
      <c r="E4541" s="211" t="e">
        <f>IF(D4541&lt;&gt;"",VLOOKUP(VALUE(E4519&amp;","&amp;C4541),INTEGRANTES!$D$18:$F$235,3,0),"")</f>
        <v>#N/A</v>
      </c>
      <c r="F4541" s="547" t="e">
        <f>IF(D4541="","",SUMIF($I4523:$I4532,D4541,$P4523:$P4532))</f>
        <v>#N/A</v>
      </c>
      <c r="G4541" s="333" t="e">
        <f>IF(D4541="","",SUMIF($I4523:$I4532,D4541,$M4523:$M4532))</f>
        <v>#N/A</v>
      </c>
      <c r="H4541" s="535" t="e">
        <f t="shared" si="1343"/>
        <v>#N/A</v>
      </c>
      <c r="I4541" s="212" t="e">
        <f>IF(D4541="","",IF(H4541="NO APORTA","NO",IF(H4541=MAX($H4540:$H4545),"SI","NO")))</f>
        <v>#N/A</v>
      </c>
      <c r="J4541" s="213" t="e">
        <f t="shared" si="1344"/>
        <v>#N/A</v>
      </c>
      <c r="K4541" s="200" t="e">
        <f t="shared" si="1345"/>
        <v>#N/A</v>
      </c>
      <c r="L4541" s="723"/>
      <c r="M4541" s="715" t="s">
        <v>116</v>
      </c>
      <c r="N4541" s="716"/>
      <c r="O4541" s="556" t="s">
        <v>113</v>
      </c>
      <c r="P4541" s="715" t="s">
        <v>117</v>
      </c>
      <c r="Q4541" s="728"/>
      <c r="R4541" s="759"/>
      <c r="S4541" s="760"/>
      <c r="T4541" s="761"/>
      <c r="U4541" s="219"/>
      <c r="V4541" s="464"/>
      <c r="Y4541" s="414"/>
      <c r="AA4541" s="542" t="e">
        <f>IF(AND(C4540&lt;=F4538,F4538&gt;1,F4538&lt;&gt;""),VLOOKUP(VALUE(E4519&amp;","&amp;C4540),INTEGRANTES!$D$18:$F$235,2,0),"")</f>
        <v>#N/A</v>
      </c>
      <c r="AB4541" s="544" t="e">
        <f t="shared" ref="AB4541:AB4546" si="1346">IF(D4540="","",IF(OR(F4540=0,G4540=0),"NO APORTA",ROUND($F4540/$G4540,3)))</f>
        <v>#N/A</v>
      </c>
      <c r="AC4541" s="529"/>
      <c r="AD4541" s="200" t="e">
        <f t="shared" ref="AD4541:AD4546" si="1347">IF(OR(AA4541="",AB4541=""),"",IF(AND(AC4541="X",AB4541&gt;=EXPREQVTD),"CUMPLE","NO CUMPLE"))</f>
        <v>#N/A</v>
      </c>
      <c r="AE4541" s="52"/>
      <c r="AF4541" s="52"/>
      <c r="AG4541" s="52"/>
      <c r="AH4541" s="87"/>
      <c r="AI4541" s="87"/>
    </row>
    <row r="4542" spans="1:35" ht="16.5" hidden="1" thickBot="1">
      <c r="A4542" s="218" t="e">
        <f>"P"&amp;E4519</f>
        <v>#N/A</v>
      </c>
      <c r="B4542" s="702"/>
      <c r="C4542" s="114">
        <v>3</v>
      </c>
      <c r="D4542" s="194" t="e">
        <f>IF(AND(C4542&lt;=F4538,F4538&lt;&gt;""),VLOOKUP(VALUE(E4519&amp;","&amp;C4542),INTEGRANTES!$D$18:$F$235,2,0),"")</f>
        <v>#N/A</v>
      </c>
      <c r="E4542" s="211" t="e">
        <f>IF(D4542&lt;&gt;"",VLOOKUP(VALUE(E4519&amp;","&amp;C4542),INTEGRANTES!$D$18:$F$235,3,0),"")</f>
        <v>#N/A</v>
      </c>
      <c r="F4542" s="547" t="e">
        <f>IF(D4542="","",SUMIF($I4523:$I4532,D4542,$P4523:$P4532))</f>
        <v>#N/A</v>
      </c>
      <c r="G4542" s="333" t="e">
        <f>IF(D4542="","",SUMIF($I4523:$I4532,D4542,$M4523:$M4532))</f>
        <v>#N/A</v>
      </c>
      <c r="H4542" s="535" t="e">
        <f t="shared" si="1343"/>
        <v>#N/A</v>
      </c>
      <c r="I4542" s="212" t="e">
        <f>IF(D4542="","",IF(H4542="NO APORTA","NO",IF(H4542=MAX($H4540:$H4545),"SI","NO")))</f>
        <v>#N/A</v>
      </c>
      <c r="J4542" s="213" t="e">
        <f t="shared" si="1344"/>
        <v>#N/A</v>
      </c>
      <c r="K4542" s="200" t="e">
        <f t="shared" si="1345"/>
        <v>#N/A</v>
      </c>
      <c r="L4542" s="724"/>
      <c r="M4542" s="729">
        <f>NUMMOD</f>
        <v>1</v>
      </c>
      <c r="N4542" s="730"/>
      <c r="O4542" s="443">
        <f>IF(M4542="","",VLOOKUP(M4542,PRESUPUESTOS!$B$16:$H$16,5,FALSE))</f>
        <v>2</v>
      </c>
      <c r="P4542" s="713">
        <f>IF(OR(COUNTIF(M4523:M4532,"")&gt;=10,Q4539&lt;NUMMINCONT,OR(T4537="NO CUMPLE",T4537="VERIFICAR")),0,ROUND(AVERAGE(M4523:M4532),3))</f>
        <v>0</v>
      </c>
      <c r="Q4542" s="714"/>
      <c r="R4542" s="458"/>
      <c r="S4542" s="459"/>
      <c r="T4542" s="460"/>
      <c r="U4542" s="219"/>
      <c r="V4542" s="464"/>
      <c r="Y4542" s="532" t="str">
        <f>"40% * ("&amp;PRESUPUESTOS!$H$13&amp;")"</f>
        <v>40% * (50% PFMO)</v>
      </c>
      <c r="AA4542" s="540" t="e">
        <f>IF(AND(C4541&lt;=F4538,F4538&lt;&gt;""),VLOOKUP(VALUE(E4519&amp;","&amp;C4541),INTEGRANTES!$D$18:$F$235,2,0),"")</f>
        <v>#N/A</v>
      </c>
      <c r="AB4542" s="545" t="e">
        <f t="shared" si="1346"/>
        <v>#N/A</v>
      </c>
      <c r="AC4542" s="529"/>
      <c r="AD4542" s="200" t="e">
        <f t="shared" si="1347"/>
        <v>#N/A</v>
      </c>
      <c r="AE4542" s="52"/>
      <c r="AF4542" s="52"/>
      <c r="AG4542" s="52"/>
      <c r="AH4542" s="87"/>
      <c r="AI4542" s="87"/>
    </row>
    <row r="4543" spans="1:35" ht="15.75" hidden="1" customHeight="1" thickBot="1">
      <c r="A4543" s="218" t="e">
        <f>"Q"&amp;E4519</f>
        <v>#N/A</v>
      </c>
      <c r="B4543" s="702"/>
      <c r="C4543" s="114">
        <v>4</v>
      </c>
      <c r="D4543" s="194" t="e">
        <f>IF(AND(C4543&lt;=F4538,F4538&lt;&gt;""),VLOOKUP(VALUE(E4519&amp;","&amp;C4543),INTEGRANTES!$D$18:$F$235,2,0),"")</f>
        <v>#N/A</v>
      </c>
      <c r="E4543" s="211" t="e">
        <f>IF(D4543&lt;&gt;"",VLOOKUP(VALUE(E4519&amp;","&amp;C4543),INTEGRANTES!$D$18:$F$235,3,0),"")</f>
        <v>#N/A</v>
      </c>
      <c r="F4543" s="547" t="e">
        <f>IF(D4543="","",SUMIF($I4523:$I4532,D4543,$P4523:$P4532))</f>
        <v>#N/A</v>
      </c>
      <c r="G4543" s="333" t="e">
        <f>IF(D4543="","",SUMIF($I4523:$I4532,D4543,$M4523:$M4532))</f>
        <v>#N/A</v>
      </c>
      <c r="H4543" s="535" t="e">
        <f t="shared" si="1343"/>
        <v>#N/A</v>
      </c>
      <c r="I4543" s="212" t="e">
        <f>IF(D4543="","",IF(H4543="NO APORTA","NO",IF(H4543=MAX($H4540:$H4545),"SI","NO")))</f>
        <v>#N/A</v>
      </c>
      <c r="J4543" s="213" t="e">
        <f t="shared" si="1344"/>
        <v>#N/A</v>
      </c>
      <c r="K4543" s="200" t="e">
        <f t="shared" si="1345"/>
        <v>#N/A</v>
      </c>
      <c r="L4543" s="720" t="s">
        <v>109</v>
      </c>
      <c r="M4543" s="757" t="s">
        <v>120</v>
      </c>
      <c r="N4543" s="726"/>
      <c r="O4543" s="726"/>
      <c r="P4543" s="726"/>
      <c r="Q4543" s="727"/>
      <c r="R4543" s="458"/>
      <c r="S4543" s="459"/>
      <c r="T4543" s="460"/>
      <c r="U4543" s="219"/>
      <c r="V4543" s="464"/>
      <c r="Y4543" s="537">
        <f>0.4*PRESUPUESTOS!$H$16</f>
        <v>10.3124</v>
      </c>
      <c r="AA4543" s="540" t="e">
        <f>IF(AND(C4542&lt;=F4538,F4538&lt;&gt;""),VLOOKUP(VALUE(E4519&amp;","&amp;C4542),INTEGRANTES!$D$18:$F$235,2,0),"")</f>
        <v>#N/A</v>
      </c>
      <c r="AB4543" s="545" t="e">
        <f t="shared" si="1346"/>
        <v>#N/A</v>
      </c>
      <c r="AC4543" s="529"/>
      <c r="AD4543" s="200" t="e">
        <f t="shared" si="1347"/>
        <v>#N/A</v>
      </c>
      <c r="AE4543" s="52"/>
      <c r="AF4543" s="52"/>
      <c r="AG4543" s="52"/>
      <c r="AH4543" s="87"/>
      <c r="AI4543" s="87"/>
    </row>
    <row r="4544" spans="1:35" ht="27" hidden="1" customHeight="1" thickBot="1">
      <c r="A4544" s="218" t="e">
        <f>"R"&amp;E4519</f>
        <v>#N/A</v>
      </c>
      <c r="B4544" s="702"/>
      <c r="C4544" s="114">
        <v>5</v>
      </c>
      <c r="D4544" s="194" t="e">
        <f>IF(AND(C4544&lt;=F4538,F4538&lt;&gt;""),VLOOKUP(VALUE(E4519&amp;","&amp;C4544),INTEGRANTES!$D$18:$F$235,2,0),"")</f>
        <v>#N/A</v>
      </c>
      <c r="E4544" s="211" t="e">
        <f>IF(D4544&lt;&gt;"",VLOOKUP(VALUE(E4519&amp;","&amp;C4544),INTEGRANTES!$D$18:$F$235,3,0),"")</f>
        <v>#N/A</v>
      </c>
      <c r="F4544" s="547" t="e">
        <f>IF(D4544="","",SUMIF($I4523:$I4532,D4544,$P4523:$P4532))</f>
        <v>#N/A</v>
      </c>
      <c r="G4544" s="333" t="e">
        <f>IF(D4544="","",SUMIF($I4523:$I4532,D4544,$M4523:$M4532))</f>
        <v>#N/A</v>
      </c>
      <c r="H4544" s="535" t="e">
        <f t="shared" si="1343"/>
        <v>#N/A</v>
      </c>
      <c r="I4544" s="212" t="e">
        <f>IF(D4544="","",IF(H4544="NO APORTA","NO",IF(H4544=MAX($H4540:$H4545),"SI","NO")))</f>
        <v>#N/A</v>
      </c>
      <c r="J4544" s="213" t="e">
        <f t="shared" si="1344"/>
        <v>#N/A</v>
      </c>
      <c r="K4544" s="200" t="e">
        <f t="shared" si="1345"/>
        <v>#N/A</v>
      </c>
      <c r="L4544" s="721"/>
      <c r="M4544" s="715" t="s">
        <v>116</v>
      </c>
      <c r="N4544" s="716"/>
      <c r="O4544" s="556" t="str">
        <f>PORCREQUERIDO*100&amp;"% PMFO DEL MÓDULO"</f>
        <v>50% PMFO DEL MÓDULO</v>
      </c>
      <c r="P4544" s="715" t="s">
        <v>118</v>
      </c>
      <c r="Q4544" s="728"/>
      <c r="R4544" s="458"/>
      <c r="S4544" s="459"/>
      <c r="T4544" s="460"/>
      <c r="U4544" s="219"/>
      <c r="V4544" s="464"/>
      <c r="Y4544" s="414"/>
      <c r="AA4544" s="540" t="e">
        <f>IF(AND(C4543&lt;=F4538,F4538&lt;&gt;""),VLOOKUP(VALUE(E4519&amp;","&amp;C4543),INTEGRANTES!$D$18:$F$235,2,0),"")</f>
        <v>#N/A</v>
      </c>
      <c r="AB4544" s="545" t="e">
        <f t="shared" si="1346"/>
        <v>#N/A</v>
      </c>
      <c r="AC4544" s="529"/>
      <c r="AD4544" s="200" t="e">
        <f t="shared" si="1347"/>
        <v>#N/A</v>
      </c>
      <c r="AE4544" s="52"/>
      <c r="AF4544" s="52"/>
      <c r="AG4544" s="52"/>
      <c r="AH4544" s="87"/>
      <c r="AI4544" s="87"/>
    </row>
    <row r="4545" spans="1:35" ht="16.5" hidden="1" thickBot="1">
      <c r="A4545" s="218" t="e">
        <f>"S"&amp;E4519</f>
        <v>#N/A</v>
      </c>
      <c r="B4545" s="702"/>
      <c r="C4545" s="215">
        <v>6</v>
      </c>
      <c r="D4545" s="216" t="e">
        <f>IF(AND(C4545&lt;=F4538,F4538&lt;&gt;""),VLOOKUP(VALUE(E4519&amp;","&amp;C4545),INTEGRANTES!$D$18:$F$235,2,0),"")</f>
        <v>#N/A</v>
      </c>
      <c r="E4545" s="217" t="e">
        <f>IF(D4545&lt;&gt;"",VLOOKUP(VALUE(E4519&amp;","&amp;C4545),INTEGRANTES!$D$18:$F$235,3,0),"")</f>
        <v>#N/A</v>
      </c>
      <c r="F4545" s="548" t="e">
        <f>IF(D4545="","",SUMIF($I4523:$I4532,D4545,$P4523:$P4532))</f>
        <v>#N/A</v>
      </c>
      <c r="G4545" s="334" t="e">
        <f>IF(D4545="","",SUMIF($I4523:$I4532,D4545,$M4523:$M4532))</f>
        <v>#N/A</v>
      </c>
      <c r="H4545" s="536" t="e">
        <f t="shared" si="1343"/>
        <v>#N/A</v>
      </c>
      <c r="I4545" s="214" t="e">
        <f>IF(D4545="","",IF(H4545="NO APORTA","NO",IF(H4545=MAX($H4540:$H4545),"SI","NO")))</f>
        <v>#N/A</v>
      </c>
      <c r="J4545" s="213" t="e">
        <f t="shared" si="1344"/>
        <v>#N/A</v>
      </c>
      <c r="K4545" s="200" t="e">
        <f t="shared" si="1345"/>
        <v>#N/A</v>
      </c>
      <c r="L4545" s="721"/>
      <c r="M4545" s="729">
        <f>NUMMOD</f>
        <v>1</v>
      </c>
      <c r="N4545" s="730"/>
      <c r="O4545" s="443">
        <f>IF(M4545="","",ROUND(VLOOKUP(M4545,PRESUPUESTOS!$B$16:$H$16,7,FALSE),3))</f>
        <v>25.780999999999999</v>
      </c>
      <c r="P4545" s="713">
        <f>IF(OR(COUNTIF(P4523:P4532,"")&gt;=10,Q4539&lt;NUMMINCONT,OR(T4537="NO CUMPLE",T4537="VERIFICAR")),0,ROUND((SUM(P4523:P4532)/SUM(M4523:M4532)),3))</f>
        <v>0</v>
      </c>
      <c r="Q4545" s="714"/>
      <c r="R4545" s="458"/>
      <c r="S4545" s="459"/>
      <c r="T4545" s="460"/>
      <c r="U4545" s="219"/>
      <c r="V4545" s="464"/>
      <c r="Y4545" s="532" t="s">
        <v>343</v>
      </c>
      <c r="AA4545" s="540" t="e">
        <f>IF(AND(C4544&lt;=F4538,F4538&lt;&gt;""),VLOOKUP(VALUE(E4519&amp;","&amp;C4544),INTEGRANTES!$D$18:$F$235,2,0),"")</f>
        <v>#N/A</v>
      </c>
      <c r="AB4545" s="545" t="e">
        <f t="shared" si="1346"/>
        <v>#N/A</v>
      </c>
      <c r="AC4545" s="529"/>
      <c r="AD4545" s="200" t="e">
        <f t="shared" si="1347"/>
        <v>#N/A</v>
      </c>
      <c r="AE4545" s="52"/>
      <c r="AF4545" s="52"/>
      <c r="AG4545" s="52"/>
      <c r="AH4545" s="87"/>
      <c r="AI4545" s="87"/>
    </row>
    <row r="4546" spans="1:35" ht="16.5" hidden="1" customHeight="1" thickBot="1">
      <c r="A4546" s="218" t="e">
        <f>"T"&amp;E4519</f>
        <v>#N/A</v>
      </c>
      <c r="B4546" s="703"/>
      <c r="C4546" s="719"/>
      <c r="D4546" s="719"/>
      <c r="E4546" s="719"/>
      <c r="F4546" s="719"/>
      <c r="G4546" s="719"/>
      <c r="H4546" s="719" t="s">
        <v>110</v>
      </c>
      <c r="I4546" s="719"/>
      <c r="J4546" s="719"/>
      <c r="K4546" s="201" t="str">
        <f>IF(COUNTIF(K4540:K4545,"")=6,"",IF(COUNTIF(K4540:K4545,"CUMPLE")&gt;0,"CUMPLE","NO CUMPLE"))</f>
        <v>NO CUMPLE</v>
      </c>
      <c r="L4546" s="754"/>
      <c r="M4546" s="755"/>
      <c r="N4546" s="755"/>
      <c r="O4546" s="755"/>
      <c r="P4546" s="755"/>
      <c r="Q4546" s="756"/>
      <c r="R4546" s="461"/>
      <c r="S4546" s="462"/>
      <c r="T4546" s="463"/>
      <c r="U4546" s="219"/>
      <c r="V4546" s="464"/>
      <c r="Y4546" s="549" t="e">
        <f>IF(Y4540="NO APLICA","NO APLICA",IF(COUNTIF(AD4541:AD4546,"CUMPLE")&gt;0,"CUMPLE","NO CUMPLE"))</f>
        <v>#N/A</v>
      </c>
      <c r="AA4546" s="541" t="e">
        <f>IF(AND(C4545&lt;=F4538,F4538&lt;&gt;""),VLOOKUP(VALUE(E4519&amp;","&amp;C4545),INTEGRANTES!$D$18:$F$235,2,0),"")</f>
        <v>#N/A</v>
      </c>
      <c r="AB4546" s="546" t="e">
        <f t="shared" si="1346"/>
        <v>#N/A</v>
      </c>
      <c r="AC4546" s="543"/>
      <c r="AD4546" s="201" t="e">
        <f t="shared" si="1347"/>
        <v>#N/A</v>
      </c>
      <c r="AE4546" s="52"/>
      <c r="AF4546" s="52"/>
      <c r="AG4546" s="52"/>
      <c r="AH4546" s="87"/>
      <c r="AI4546" s="87"/>
    </row>
    <row r="4547" spans="1:35" hidden="1">
      <c r="AH4547" s="87"/>
      <c r="AI4547" s="87"/>
    </row>
    <row r="4548" spans="1:35" hidden="1">
      <c r="AH4548" s="87"/>
      <c r="AI4548" s="87"/>
    </row>
    <row r="4549" spans="1:35" ht="24" hidden="1" thickBot="1">
      <c r="A4549" s="61">
        <v>152</v>
      </c>
      <c r="B4549" s="704" t="s">
        <v>51</v>
      </c>
      <c r="C4549" s="704"/>
      <c r="D4549" s="704"/>
      <c r="E4549" s="62" t="e">
        <f>VLOOKUP(A4549,PROPONENTES!$B$19:$E$218,2,FALSE)</f>
        <v>#N/A</v>
      </c>
      <c r="F4549" s="63" t="e">
        <f>VLOOKUP(A4549,PROPONENTES!$B$19:$E$218,3,FALSE)</f>
        <v>#N/A</v>
      </c>
      <c r="G4549" s="64"/>
      <c r="H4549" s="64"/>
      <c r="I4549" s="63"/>
      <c r="J4549" s="63"/>
      <c r="K4549" s="65"/>
      <c r="L4549" s="65"/>
      <c r="M4549" s="64"/>
      <c r="N4549" s="64"/>
      <c r="O4549" s="66"/>
      <c r="P4549" s="66"/>
      <c r="Q4549" s="66"/>
      <c r="R4549" s="66"/>
      <c r="S4549" s="67"/>
      <c r="T4549" s="68"/>
      <c r="U4549" s="68"/>
      <c r="AC4549" s="68"/>
      <c r="AD4549" s="68"/>
      <c r="AE4549" s="68"/>
      <c r="AF4549" s="68"/>
      <c r="AG4549" s="68"/>
      <c r="AH4549" s="87"/>
      <c r="AI4549" s="87"/>
    </row>
    <row r="4550" spans="1:35" ht="15.75" hidden="1" customHeight="1">
      <c r="A4550" s="44"/>
      <c r="B4550" s="709" t="s">
        <v>59</v>
      </c>
      <c r="C4550" s="552" t="s">
        <v>60</v>
      </c>
      <c r="D4550" s="70" t="s">
        <v>17</v>
      </c>
      <c r="E4550" s="70"/>
      <c r="F4550" s="70" t="s">
        <v>61</v>
      </c>
      <c r="G4550" s="71"/>
      <c r="H4550" s="699" t="s">
        <v>62</v>
      </c>
      <c r="I4550" s="699" t="s">
        <v>18</v>
      </c>
      <c r="J4550" s="699" t="s">
        <v>63</v>
      </c>
      <c r="K4550" s="699" t="s">
        <v>64</v>
      </c>
      <c r="L4550" s="699" t="s">
        <v>65</v>
      </c>
      <c r="M4550" s="743" t="s">
        <v>66</v>
      </c>
      <c r="N4550" s="699" t="s">
        <v>282</v>
      </c>
      <c r="O4550" s="745" t="s">
        <v>67</v>
      </c>
      <c r="P4550" s="746"/>
      <c r="Q4550" s="102" t="s">
        <v>75</v>
      </c>
      <c r="R4550" s="731" t="s">
        <v>22</v>
      </c>
      <c r="S4550" s="732"/>
      <c r="T4550" s="733"/>
      <c r="U4550" s="712" t="s">
        <v>298</v>
      </c>
      <c r="W4550" s="690" t="s">
        <v>268</v>
      </c>
      <c r="X4550" s="691"/>
      <c r="Y4550" s="692"/>
      <c r="Z4550" s="428"/>
      <c r="AA4550" s="697" t="s">
        <v>315</v>
      </c>
      <c r="AB4550" s="695" t="s">
        <v>322</v>
      </c>
      <c r="AC4550" s="49"/>
      <c r="AD4550" s="690" t="s">
        <v>297</v>
      </c>
      <c r="AE4550" s="691"/>
      <c r="AF4550" s="692"/>
      <c r="AG4550" s="49"/>
      <c r="AH4550" s="87"/>
      <c r="AI4550" s="87"/>
    </row>
    <row r="4551" spans="1:35" ht="72" hidden="1">
      <c r="A4551" s="44"/>
      <c r="B4551" s="710"/>
      <c r="C4551" s="553" t="s">
        <v>68</v>
      </c>
      <c r="D4551" s="73" t="s">
        <v>3</v>
      </c>
      <c r="E4551" s="73" t="s">
        <v>19</v>
      </c>
      <c r="F4551" s="73" t="s">
        <v>69</v>
      </c>
      <c r="G4551" s="74" t="s">
        <v>70</v>
      </c>
      <c r="H4551" s="700"/>
      <c r="I4551" s="700"/>
      <c r="J4551" s="700"/>
      <c r="K4551" s="700"/>
      <c r="L4551" s="700"/>
      <c r="M4551" s="744"/>
      <c r="N4551" s="700"/>
      <c r="O4551" s="553" t="s">
        <v>279</v>
      </c>
      <c r="P4551" s="73" t="s">
        <v>88</v>
      </c>
      <c r="Q4551" s="555" t="s">
        <v>76</v>
      </c>
      <c r="R4551" s="734"/>
      <c r="S4551" s="735"/>
      <c r="T4551" s="736"/>
      <c r="U4551" s="712"/>
      <c r="W4551" s="429" t="s">
        <v>269</v>
      </c>
      <c r="X4551" s="457" t="s">
        <v>278</v>
      </c>
      <c r="Y4551" s="430" t="s">
        <v>324</v>
      </c>
      <c r="Z4551" s="428"/>
      <c r="AA4551" s="698"/>
      <c r="AB4551" s="696"/>
      <c r="AC4551" s="49"/>
      <c r="AD4551" s="429" t="s">
        <v>292</v>
      </c>
      <c r="AE4551" s="431" t="s">
        <v>300</v>
      </c>
      <c r="AF4551" s="468" t="s">
        <v>301</v>
      </c>
      <c r="AG4551" s="49"/>
      <c r="AH4551" s="87"/>
      <c r="AI4551" s="87"/>
    </row>
    <row r="4552" spans="1:35" hidden="1">
      <c r="A4552" s="44"/>
      <c r="B4552" s="76"/>
      <c r="C4552" s="77"/>
      <c r="D4552" s="77"/>
      <c r="E4552" s="77"/>
      <c r="F4552" s="77"/>
      <c r="G4552" s="77"/>
      <c r="H4552" s="77"/>
      <c r="I4552" s="77"/>
      <c r="J4552" s="77"/>
      <c r="K4552" s="77"/>
      <c r="L4552" s="77"/>
      <c r="M4552" s="77"/>
      <c r="N4552" s="77"/>
      <c r="O4552" s="77"/>
      <c r="P4552" s="77"/>
      <c r="Q4552" s="77"/>
      <c r="R4552" s="77"/>
      <c r="S4552" s="78"/>
      <c r="T4552" s="79"/>
      <c r="U4552" s="109"/>
      <c r="V4552" s="49"/>
      <c r="W4552" s="432"/>
      <c r="X4552" s="454"/>
      <c r="Y4552" s="433"/>
      <c r="Z4552" s="6"/>
      <c r="AA4552" s="500"/>
      <c r="AB4552" s="562"/>
      <c r="AC4552" s="49"/>
      <c r="AD4552" s="210"/>
      <c r="AE4552" s="434"/>
      <c r="AF4552" s="435"/>
      <c r="AG4552" s="49"/>
      <c r="AH4552" s="87"/>
      <c r="AI4552" s="87"/>
    </row>
    <row r="4553" spans="1:35" hidden="1">
      <c r="A4553" s="80" t="e">
        <f>"A"&amp;E4549</f>
        <v>#N/A</v>
      </c>
      <c r="B4553" s="81">
        <v>1</v>
      </c>
      <c r="C4553" s="82"/>
      <c r="D4553" s="82"/>
      <c r="E4553" s="82"/>
      <c r="F4553" s="82"/>
      <c r="G4553" s="83"/>
      <c r="H4553" s="83"/>
      <c r="I4553" s="84"/>
      <c r="J4553" s="85"/>
      <c r="K4553" s="382"/>
      <c r="L4553" s="85"/>
      <c r="M4553" s="332" t="str">
        <f t="shared" ref="M4553:M4562" si="1348">IF(OR(J4553="",L4553="",H4553="NO"),"",IF(OR(J4553&gt;$P$17,J4553&lt;$O$17,L4553&gt;$P$17,AND(J4553&lt;$O$17,L4553&lt;$O$17)),"FUERA DE RANGO",IF(OR(K4553="---",K4553=""),IF(J4553&gt;=$O$17,ROUND((L4553-J4553+1)/360*12,3),ROUND((L4553-$O$17+1)/360*12,3)),IF(J4553&gt;=$O$17,ROUND((L4553-J4553+1)/360*12-ROUND(K4553,3),3),ROUND((L4553-$O$17+1)/360*12-ROUND(K4553,3),3)))))</f>
        <v/>
      </c>
      <c r="N4553" s="86"/>
      <c r="O4553" s="453" t="str">
        <f>IF(OR(G4553="",N4553=""),"",N4553*G4553)</f>
        <v/>
      </c>
      <c r="P4553" s="538" t="str">
        <f>IF(OR(H4553="",M4553="FUERA DE RANGO"),"",IF(OR(L4553&lt;$O$17,L4553&gt;$P$17,L4553="",H4553="NO"),"",IF(OR(N4553="",O4553=""),"",ROUND(O4553,3))))</f>
        <v/>
      </c>
      <c r="Q4553" s="539" t="str">
        <f t="shared" ref="Q4553:Q4562" si="1349">IF(AND(H4553="SI",P4553&lt;&gt;""),ROUND(P4553/M4553,3),"")</f>
        <v/>
      </c>
      <c r="R4553" s="737"/>
      <c r="S4553" s="738"/>
      <c r="T4553" s="739"/>
      <c r="U4553" s="470"/>
      <c r="V4553" s="165"/>
      <c r="W4553" s="446"/>
      <c r="X4553" s="456"/>
      <c r="Y4553" s="436"/>
      <c r="Z4553" s="437"/>
      <c r="AA4553" s="560"/>
      <c r="AB4553" s="561"/>
      <c r="AC4553" s="87"/>
      <c r="AD4553" s="466"/>
      <c r="AE4553" s="456"/>
      <c r="AF4553" s="467"/>
      <c r="AG4553" s="87"/>
      <c r="AH4553" s="87"/>
      <c r="AI4553" s="87"/>
    </row>
    <row r="4554" spans="1:35" hidden="1">
      <c r="A4554" s="80" t="e">
        <f>"B"&amp;E4549</f>
        <v>#N/A</v>
      </c>
      <c r="B4554" s="81">
        <v>2</v>
      </c>
      <c r="C4554" s="106"/>
      <c r="D4554" s="106"/>
      <c r="E4554" s="106"/>
      <c r="F4554" s="106"/>
      <c r="G4554" s="83"/>
      <c r="H4554" s="83"/>
      <c r="I4554" s="84"/>
      <c r="J4554" s="85"/>
      <c r="K4554" s="382"/>
      <c r="L4554" s="85"/>
      <c r="M4554" s="332" t="str">
        <f t="shared" si="1348"/>
        <v/>
      </c>
      <c r="N4554" s="86"/>
      <c r="O4554" s="453" t="str">
        <f t="shared" ref="O4554:O4562" si="1350">IF(OR(G4554="",N4554=""),"",N4554*G4554)</f>
        <v/>
      </c>
      <c r="P4554" s="538" t="str">
        <f t="shared" ref="P4554:P4562" si="1351">IF(OR(H4554="",M4554="FUERA DE RANGO"),"",IF(OR(L4554&lt;$O$17,L4554&gt;$P$17,L4554="",H4554="NO"),"",IF(OR(N4554="",O4554=""),"",ROUND(O4554,3))))</f>
        <v/>
      </c>
      <c r="Q4554" s="539" t="str">
        <f t="shared" si="1349"/>
        <v/>
      </c>
      <c r="R4554" s="740"/>
      <c r="S4554" s="741"/>
      <c r="T4554" s="742"/>
      <c r="U4554" s="471"/>
      <c r="V4554" s="165"/>
      <c r="W4554" s="446"/>
      <c r="X4554" s="456"/>
      <c r="Y4554" s="436"/>
      <c r="Z4554" s="437"/>
      <c r="AA4554" s="560"/>
      <c r="AB4554" s="561"/>
      <c r="AC4554" s="87"/>
      <c r="AD4554" s="466"/>
      <c r="AE4554" s="456"/>
      <c r="AF4554" s="467"/>
      <c r="AG4554" s="87"/>
      <c r="AH4554" s="87"/>
      <c r="AI4554" s="87"/>
    </row>
    <row r="4555" spans="1:35" hidden="1">
      <c r="A4555" s="80" t="e">
        <f>"C"&amp;E4549</f>
        <v>#N/A</v>
      </c>
      <c r="B4555" s="88">
        <v>3</v>
      </c>
      <c r="C4555" s="82"/>
      <c r="D4555" s="82"/>
      <c r="E4555" s="82"/>
      <c r="F4555" s="82"/>
      <c r="G4555" s="83"/>
      <c r="H4555" s="83"/>
      <c r="I4555" s="84"/>
      <c r="J4555" s="85"/>
      <c r="K4555" s="382"/>
      <c r="L4555" s="85"/>
      <c r="M4555" s="332" t="str">
        <f t="shared" si="1348"/>
        <v/>
      </c>
      <c r="N4555" s="86"/>
      <c r="O4555" s="453" t="str">
        <f t="shared" si="1350"/>
        <v/>
      </c>
      <c r="P4555" s="538" t="str">
        <f t="shared" si="1351"/>
        <v/>
      </c>
      <c r="Q4555" s="539" t="str">
        <f t="shared" si="1349"/>
        <v/>
      </c>
      <c r="R4555" s="706"/>
      <c r="S4555" s="707"/>
      <c r="T4555" s="708"/>
      <c r="U4555" s="472"/>
      <c r="V4555" s="166"/>
      <c r="W4555" s="446"/>
      <c r="X4555" s="456"/>
      <c r="Y4555" s="436"/>
      <c r="Z4555" s="437"/>
      <c r="AA4555" s="560"/>
      <c r="AB4555" s="561"/>
      <c r="AC4555" s="87"/>
      <c r="AD4555" s="466"/>
      <c r="AE4555" s="456"/>
      <c r="AF4555" s="467"/>
      <c r="AG4555" s="87"/>
      <c r="AH4555" s="87"/>
      <c r="AI4555" s="87"/>
    </row>
    <row r="4556" spans="1:35" hidden="1">
      <c r="A4556" s="80" t="e">
        <f>"D"&amp;E4549</f>
        <v>#N/A</v>
      </c>
      <c r="B4556" s="105">
        <v>4</v>
      </c>
      <c r="C4556" s="107"/>
      <c r="D4556" s="107"/>
      <c r="E4556" s="107"/>
      <c r="F4556" s="107"/>
      <c r="G4556" s="83"/>
      <c r="H4556" s="83"/>
      <c r="I4556" s="84"/>
      <c r="J4556" s="85"/>
      <c r="K4556" s="382"/>
      <c r="L4556" s="85"/>
      <c r="M4556" s="332" t="str">
        <f t="shared" si="1348"/>
        <v/>
      </c>
      <c r="N4556" s="86"/>
      <c r="O4556" s="453" t="str">
        <f t="shared" si="1350"/>
        <v/>
      </c>
      <c r="P4556" s="538" t="str">
        <f t="shared" si="1351"/>
        <v/>
      </c>
      <c r="Q4556" s="539" t="str">
        <f t="shared" si="1349"/>
        <v/>
      </c>
      <c r="R4556" s="706"/>
      <c r="S4556" s="707"/>
      <c r="T4556" s="708"/>
      <c r="U4556" s="472"/>
      <c r="V4556" s="166"/>
      <c r="W4556" s="446"/>
      <c r="X4556" s="456"/>
      <c r="Y4556" s="436"/>
      <c r="Z4556" s="437"/>
      <c r="AA4556" s="560"/>
      <c r="AB4556" s="561"/>
      <c r="AC4556" s="87"/>
      <c r="AD4556" s="466"/>
      <c r="AE4556" s="456"/>
      <c r="AF4556" s="467"/>
      <c r="AG4556" s="87"/>
      <c r="AH4556" s="87"/>
      <c r="AI4556" s="87"/>
    </row>
    <row r="4557" spans="1:35" hidden="1">
      <c r="A4557" s="80" t="e">
        <f>"E"&amp;E4549</f>
        <v>#N/A</v>
      </c>
      <c r="B4557" s="105">
        <v>5</v>
      </c>
      <c r="C4557" s="107"/>
      <c r="D4557" s="107"/>
      <c r="E4557" s="107"/>
      <c r="F4557" s="107"/>
      <c r="G4557" s="83"/>
      <c r="H4557" s="83"/>
      <c r="I4557" s="84"/>
      <c r="J4557" s="85"/>
      <c r="K4557" s="382"/>
      <c r="L4557" s="85"/>
      <c r="M4557" s="332" t="str">
        <f t="shared" si="1348"/>
        <v/>
      </c>
      <c r="N4557" s="86"/>
      <c r="O4557" s="453" t="str">
        <f t="shared" si="1350"/>
        <v/>
      </c>
      <c r="P4557" s="538" t="str">
        <f t="shared" si="1351"/>
        <v/>
      </c>
      <c r="Q4557" s="539" t="str">
        <f t="shared" si="1349"/>
        <v/>
      </c>
      <c r="R4557" s="706"/>
      <c r="S4557" s="707"/>
      <c r="T4557" s="708"/>
      <c r="U4557" s="472"/>
      <c r="V4557" s="167"/>
      <c r="W4557" s="446"/>
      <c r="X4557" s="456"/>
      <c r="Y4557" s="436"/>
      <c r="Z4557" s="437"/>
      <c r="AA4557" s="560"/>
      <c r="AB4557" s="561"/>
      <c r="AC4557" s="87"/>
      <c r="AD4557" s="466"/>
      <c r="AE4557" s="456"/>
      <c r="AF4557" s="467"/>
      <c r="AG4557" s="87"/>
      <c r="AH4557" s="87"/>
      <c r="AI4557" s="87"/>
    </row>
    <row r="4558" spans="1:35" hidden="1">
      <c r="A4558" s="80" t="e">
        <f>"F"&amp;E4549</f>
        <v>#N/A</v>
      </c>
      <c r="B4558" s="105">
        <v>6</v>
      </c>
      <c r="C4558" s="107"/>
      <c r="D4558" s="107"/>
      <c r="E4558" s="107"/>
      <c r="F4558" s="107"/>
      <c r="G4558" s="83"/>
      <c r="H4558" s="83"/>
      <c r="I4558" s="84"/>
      <c r="J4558" s="85"/>
      <c r="K4558" s="382"/>
      <c r="L4558" s="85"/>
      <c r="M4558" s="332" t="str">
        <f t="shared" si="1348"/>
        <v/>
      </c>
      <c r="N4558" s="86"/>
      <c r="O4558" s="453" t="str">
        <f t="shared" si="1350"/>
        <v/>
      </c>
      <c r="P4558" s="538" t="str">
        <f t="shared" si="1351"/>
        <v/>
      </c>
      <c r="Q4558" s="539" t="str">
        <f t="shared" si="1349"/>
        <v/>
      </c>
      <c r="R4558" s="706"/>
      <c r="S4558" s="707"/>
      <c r="T4558" s="708"/>
      <c r="U4558" s="472"/>
      <c r="V4558" s="167"/>
      <c r="W4558" s="446"/>
      <c r="X4558" s="456"/>
      <c r="Y4558" s="436"/>
      <c r="Z4558" s="437"/>
      <c r="AA4558" s="560"/>
      <c r="AB4558" s="561"/>
      <c r="AC4558" s="87"/>
      <c r="AD4558" s="466"/>
      <c r="AE4558" s="456"/>
      <c r="AF4558" s="467"/>
      <c r="AG4558" s="87"/>
      <c r="AH4558" s="87"/>
      <c r="AI4558" s="87"/>
    </row>
    <row r="4559" spans="1:35" hidden="1">
      <c r="A4559" s="80" t="e">
        <f>"G"&amp;E4549</f>
        <v>#N/A</v>
      </c>
      <c r="B4559" s="105">
        <v>7</v>
      </c>
      <c r="C4559" s="107"/>
      <c r="D4559" s="107"/>
      <c r="E4559" s="107"/>
      <c r="F4559" s="107"/>
      <c r="G4559" s="83"/>
      <c r="H4559" s="83"/>
      <c r="I4559" s="84"/>
      <c r="J4559" s="85"/>
      <c r="K4559" s="382"/>
      <c r="L4559" s="85"/>
      <c r="M4559" s="332" t="str">
        <f t="shared" si="1348"/>
        <v/>
      </c>
      <c r="N4559" s="86"/>
      <c r="O4559" s="86" t="str">
        <f t="shared" si="1350"/>
        <v/>
      </c>
      <c r="P4559" s="538" t="str">
        <f t="shared" si="1351"/>
        <v/>
      </c>
      <c r="Q4559" s="539" t="str">
        <f t="shared" si="1349"/>
        <v/>
      </c>
      <c r="R4559" s="706"/>
      <c r="S4559" s="707"/>
      <c r="T4559" s="708"/>
      <c r="U4559" s="472"/>
      <c r="V4559" s="167"/>
      <c r="W4559" s="446"/>
      <c r="X4559" s="456"/>
      <c r="Y4559" s="436"/>
      <c r="Z4559" s="437"/>
      <c r="AA4559" s="560"/>
      <c r="AB4559" s="561"/>
      <c r="AC4559" s="87"/>
      <c r="AD4559" s="466"/>
      <c r="AE4559" s="456"/>
      <c r="AF4559" s="467"/>
      <c r="AG4559" s="87"/>
      <c r="AH4559" s="87"/>
      <c r="AI4559" s="87"/>
    </row>
    <row r="4560" spans="1:35" hidden="1">
      <c r="A4560" s="80" t="e">
        <f>"H"&amp;E4549</f>
        <v>#N/A</v>
      </c>
      <c r="B4560" s="105">
        <v>8</v>
      </c>
      <c r="C4560" s="107"/>
      <c r="D4560" s="107"/>
      <c r="E4560" s="107"/>
      <c r="F4560" s="107"/>
      <c r="G4560" s="83"/>
      <c r="H4560" s="83"/>
      <c r="I4560" s="84"/>
      <c r="J4560" s="85"/>
      <c r="K4560" s="382"/>
      <c r="L4560" s="85"/>
      <c r="M4560" s="332" t="str">
        <f t="shared" si="1348"/>
        <v/>
      </c>
      <c r="N4560" s="453"/>
      <c r="O4560" s="86" t="str">
        <f t="shared" si="1350"/>
        <v/>
      </c>
      <c r="P4560" s="538" t="str">
        <f t="shared" si="1351"/>
        <v/>
      </c>
      <c r="Q4560" s="539" t="str">
        <f t="shared" si="1349"/>
        <v/>
      </c>
      <c r="R4560" s="706"/>
      <c r="S4560" s="707"/>
      <c r="T4560" s="708"/>
      <c r="U4560" s="472"/>
      <c r="V4560" s="167"/>
      <c r="W4560" s="446"/>
      <c r="X4560" s="456"/>
      <c r="Y4560" s="436"/>
      <c r="Z4560" s="437"/>
      <c r="AA4560" s="560"/>
      <c r="AB4560" s="561"/>
      <c r="AC4560" s="87"/>
      <c r="AD4560" s="466"/>
      <c r="AE4560" s="456"/>
      <c r="AF4560" s="467"/>
      <c r="AG4560" s="87"/>
      <c r="AH4560" s="87"/>
      <c r="AI4560" s="87"/>
    </row>
    <row r="4561" spans="1:35" hidden="1">
      <c r="A4561" s="80" t="e">
        <f>"I"&amp;E4549</f>
        <v>#N/A</v>
      </c>
      <c r="B4561" s="105">
        <v>9</v>
      </c>
      <c r="C4561" s="107"/>
      <c r="D4561" s="107"/>
      <c r="E4561" s="107"/>
      <c r="F4561" s="107"/>
      <c r="G4561" s="83"/>
      <c r="H4561" s="83"/>
      <c r="I4561" s="84"/>
      <c r="J4561" s="85"/>
      <c r="K4561" s="382"/>
      <c r="L4561" s="85"/>
      <c r="M4561" s="332" t="str">
        <f t="shared" si="1348"/>
        <v/>
      </c>
      <c r="N4561" s="453"/>
      <c r="O4561" s="86" t="str">
        <f t="shared" si="1350"/>
        <v/>
      </c>
      <c r="P4561" s="538" t="str">
        <f t="shared" si="1351"/>
        <v/>
      </c>
      <c r="Q4561" s="539" t="str">
        <f t="shared" si="1349"/>
        <v/>
      </c>
      <c r="R4561" s="706"/>
      <c r="S4561" s="707"/>
      <c r="T4561" s="708"/>
      <c r="U4561" s="472"/>
      <c r="V4561" s="167"/>
      <c r="W4561" s="446"/>
      <c r="X4561" s="456"/>
      <c r="Y4561" s="436"/>
      <c r="Z4561" s="437"/>
      <c r="AA4561" s="560"/>
      <c r="AB4561" s="561"/>
      <c r="AC4561" s="87"/>
      <c r="AD4561" s="466"/>
      <c r="AE4561" s="456"/>
      <c r="AF4561" s="467"/>
      <c r="AG4561" s="87"/>
      <c r="AH4561" s="87"/>
      <c r="AI4561" s="87"/>
    </row>
    <row r="4562" spans="1:35" hidden="1">
      <c r="A4562" s="80" t="e">
        <f>"J"&amp;E4549</f>
        <v>#N/A</v>
      </c>
      <c r="B4562" s="105">
        <v>10</v>
      </c>
      <c r="C4562" s="107"/>
      <c r="D4562" s="107"/>
      <c r="E4562" s="107"/>
      <c r="F4562" s="107"/>
      <c r="G4562" s="83"/>
      <c r="H4562" s="83"/>
      <c r="I4562" s="84"/>
      <c r="J4562" s="85"/>
      <c r="K4562" s="382"/>
      <c r="L4562" s="85"/>
      <c r="M4562" s="332" t="str">
        <f t="shared" si="1348"/>
        <v/>
      </c>
      <c r="N4562" s="453"/>
      <c r="O4562" s="86" t="str">
        <f t="shared" si="1350"/>
        <v/>
      </c>
      <c r="P4562" s="538" t="str">
        <f t="shared" si="1351"/>
        <v/>
      </c>
      <c r="Q4562" s="539" t="str">
        <f t="shared" si="1349"/>
        <v/>
      </c>
      <c r="R4562" s="706"/>
      <c r="S4562" s="707"/>
      <c r="T4562" s="708"/>
      <c r="U4562" s="472"/>
      <c r="V4562" s="167"/>
      <c r="W4562" s="446"/>
      <c r="X4562" s="456"/>
      <c r="Y4562" s="436"/>
      <c r="Z4562" s="437"/>
      <c r="AA4562" s="560"/>
      <c r="AB4562" s="561"/>
      <c r="AC4562" s="87"/>
      <c r="AD4562" s="466"/>
      <c r="AE4562" s="456"/>
      <c r="AF4562" s="467"/>
      <c r="AG4562" s="87"/>
      <c r="AH4562" s="87"/>
      <c r="AI4562" s="87"/>
    </row>
    <row r="4563" spans="1:35" ht="16.5" hidden="1" thickBot="1">
      <c r="A4563" s="44"/>
      <c r="B4563" s="89"/>
      <c r="C4563" s="90"/>
      <c r="D4563" s="90"/>
      <c r="E4563" s="90"/>
      <c r="F4563" s="90"/>
      <c r="G4563" s="90"/>
      <c r="H4563" s="90"/>
      <c r="I4563" s="90"/>
      <c r="J4563" s="90"/>
      <c r="K4563" s="90"/>
      <c r="L4563" s="90"/>
      <c r="M4563" s="90"/>
      <c r="N4563" s="90"/>
      <c r="O4563" s="90"/>
      <c r="P4563" s="90"/>
      <c r="Q4563" s="90"/>
      <c r="R4563" s="90"/>
      <c r="S4563" s="91"/>
      <c r="T4563" s="92"/>
      <c r="U4563" s="473"/>
      <c r="W4563" s="438"/>
      <c r="X4563" s="455"/>
      <c r="Y4563" s="439"/>
      <c r="Z4563" s="437"/>
      <c r="AA4563" s="530"/>
      <c r="AB4563" s="563"/>
      <c r="AC4563" s="87"/>
      <c r="AD4563" s="440"/>
      <c r="AE4563" s="441"/>
      <c r="AF4563" s="442"/>
      <c r="AG4563" s="49"/>
      <c r="AH4563" s="87"/>
      <c r="AI4563" s="87"/>
    </row>
    <row r="4564" spans="1:35" ht="16.5" hidden="1" thickBot="1">
      <c r="A4564" s="93"/>
      <c r="B4564" s="94"/>
      <c r="C4564" s="96"/>
      <c r="D4564" s="96"/>
      <c r="E4564" s="96"/>
      <c r="F4564" s="96"/>
      <c r="G4564" s="96"/>
      <c r="H4564" s="96"/>
      <c r="I4564" s="96"/>
      <c r="J4564" s="96"/>
      <c r="K4564" s="96"/>
      <c r="L4564" s="96"/>
      <c r="M4564" s="136"/>
      <c r="N4564" s="96"/>
      <c r="O4564" s="96"/>
      <c r="P4564" s="97"/>
      <c r="Q4564" s="97"/>
      <c r="R4564" s="98"/>
      <c r="S4564" s="95"/>
      <c r="T4564" s="99"/>
      <c r="U4564" s="469"/>
      <c r="AC4564" s="58"/>
      <c r="AG4564" s="58"/>
      <c r="AH4564" s="87"/>
      <c r="AI4564" s="87"/>
    </row>
    <row r="4565" spans="1:35" ht="16.5" hidden="1" thickBot="1">
      <c r="B4565" s="101"/>
      <c r="C4565" s="101"/>
      <c r="D4565" s="101"/>
      <c r="E4565" s="101"/>
      <c r="F4565" s="101"/>
      <c r="G4565" s="101"/>
      <c r="H4565" s="101"/>
      <c r="I4565" s="101"/>
      <c r="J4565" s="101"/>
      <c r="K4565" s="101"/>
      <c r="L4565" s="101"/>
      <c r="M4565" s="101"/>
      <c r="N4565" s="101"/>
      <c r="O4565" s="101"/>
      <c r="P4565" s="101"/>
      <c r="Q4565" s="101"/>
      <c r="R4565" s="101"/>
      <c r="S4565" s="101"/>
      <c r="U4565" s="50"/>
      <c r="AH4565" s="87"/>
      <c r="AI4565" s="87"/>
    </row>
    <row r="4566" spans="1:35" ht="16.5" hidden="1" customHeight="1" thickBot="1">
      <c r="A4566" s="44"/>
      <c r="B4566" s="705" t="s">
        <v>74</v>
      </c>
      <c r="C4566" s="705"/>
      <c r="D4566" s="705"/>
      <c r="E4566" s="705"/>
      <c r="F4566" s="705"/>
      <c r="G4566" s="705"/>
      <c r="H4566" s="705"/>
      <c r="I4566" s="705"/>
      <c r="J4566" s="705"/>
      <c r="K4566" s="705"/>
      <c r="L4566" s="705"/>
      <c r="M4566" s="705"/>
      <c r="N4566" s="705"/>
      <c r="O4566" s="705"/>
      <c r="P4566" s="705"/>
      <c r="Q4566" s="705"/>
      <c r="R4566" s="705"/>
      <c r="S4566" s="705"/>
      <c r="T4566" s="705"/>
      <c r="U4566" s="108"/>
      <c r="Y4566" s="532" t="s">
        <v>341</v>
      </c>
      <c r="AC4566" s="49"/>
      <c r="AD4566" s="687" t="s">
        <v>302</v>
      </c>
      <c r="AE4566" s="688"/>
      <c r="AF4566" s="689"/>
      <c r="AG4566" s="49"/>
      <c r="AH4566" s="87"/>
      <c r="AI4566" s="87"/>
    </row>
    <row r="4567" spans="1:35" ht="16.5" hidden="1" customHeight="1" thickBot="1">
      <c r="A4567" s="218" t="e">
        <f>"K"&amp;E4549</f>
        <v>#N/A</v>
      </c>
      <c r="B4567" s="701" t="s">
        <v>71</v>
      </c>
      <c r="C4567" s="751" t="s">
        <v>102</v>
      </c>
      <c r="D4567" s="751"/>
      <c r="E4567" s="751"/>
      <c r="F4567" s="751"/>
      <c r="G4567" s="751"/>
      <c r="H4567" s="751"/>
      <c r="I4567" s="751"/>
      <c r="J4567" s="751"/>
      <c r="K4567" s="751"/>
      <c r="L4567" s="722" t="s">
        <v>100</v>
      </c>
      <c r="M4567" s="747" t="s">
        <v>114</v>
      </c>
      <c r="N4567" s="747"/>
      <c r="O4567" s="747"/>
      <c r="P4567" s="747"/>
      <c r="Q4567" s="748"/>
      <c r="R4567" s="758" t="s">
        <v>280</v>
      </c>
      <c r="S4567" s="748"/>
      <c r="T4567" s="762" t="str">
        <f>IF(COUNTIF(AE4567:AF4567,"VERIFICAR")&gt;0,"VERIFICAR",IF(COUNTIF(AE4567:AF4567,"NO CUMPLE")&gt;0,"NO CUMPLE","CUMPLE"))</f>
        <v>VERIFICAR</v>
      </c>
      <c r="U4567" s="108"/>
      <c r="Y4567" s="533" t="e">
        <f>IF(F4568="","",IF(F4568=1,"INDIVIDUAL","ESTRUCTURA PLURAL"))</f>
        <v>#N/A</v>
      </c>
      <c r="AC4567" s="52"/>
      <c r="AD4567" s="475" t="s">
        <v>303</v>
      </c>
      <c r="AE4567" s="476" t="str">
        <f>IF(COUNTIF(AE4553:AE4562,"")=10,"VERIFICAR",IF(COUNTIF(AE4553:AE4562,"SI")&gt;0,"CUMPLE","NO CUMPLE"))</f>
        <v>VERIFICAR</v>
      </c>
      <c r="AF4567" s="477" t="str">
        <f>IF(COUNTIF(AF4553:AF4562,"")=10,"VERIFICAR",IF(COUNTIF(AF4553:AF4562,"SI")&gt;=$AI$22,"CUMPLE","NO CUMPLE"))</f>
        <v>VERIFICAR</v>
      </c>
      <c r="AG4567" s="52"/>
      <c r="AH4567" s="87"/>
      <c r="AI4567" s="87"/>
    </row>
    <row r="4568" spans="1:35" ht="15.75" hidden="1" customHeight="1" thickBot="1">
      <c r="A4568" s="218" t="e">
        <f>"L"&amp;E4549</f>
        <v>#N/A</v>
      </c>
      <c r="B4568" s="702"/>
      <c r="C4568" s="751" t="s">
        <v>103</v>
      </c>
      <c r="D4568" s="751"/>
      <c r="E4568" s="752"/>
      <c r="F4568" s="557" t="e">
        <f>IF(VLOOKUP(E4549,PROPONENTES!$C$19:$E$218,3,0)="","",VLOOKUP(E4549,PROPONENTES!$C$19:$E$218,3,0))</f>
        <v>#N/A</v>
      </c>
      <c r="G4568" s="753" t="s">
        <v>104</v>
      </c>
      <c r="H4568" s="751"/>
      <c r="I4568" s="715" t="e">
        <f>IF(OR(F4568="",F4568=1),"INTERESADO PERSONA NATURAL O JURIDICA","CONSORCIO O UNION TEMPORAL")</f>
        <v>#N/A</v>
      </c>
      <c r="J4568" s="725"/>
      <c r="K4568" s="728"/>
      <c r="L4568" s="723"/>
      <c r="M4568" s="749"/>
      <c r="N4568" s="749"/>
      <c r="O4568" s="749"/>
      <c r="P4568" s="749"/>
      <c r="Q4568" s="750"/>
      <c r="R4568" s="712"/>
      <c r="S4568" s="750"/>
      <c r="T4568" s="763"/>
      <c r="U4568" s="108"/>
      <c r="Y4568" s="534"/>
      <c r="AA4568" s="52"/>
      <c r="AB4568" s="52"/>
      <c r="AC4568" s="52"/>
      <c r="AG4568" s="52"/>
      <c r="AH4568" s="87"/>
      <c r="AI4568" s="87"/>
    </row>
    <row r="4569" spans="1:35" ht="56.25" hidden="1" customHeight="1" thickBot="1">
      <c r="A4569" s="218" t="e">
        <f>"M"&amp;E4549</f>
        <v>#N/A</v>
      </c>
      <c r="B4569" s="702"/>
      <c r="C4569" s="725" t="s">
        <v>101</v>
      </c>
      <c r="D4569" s="716"/>
      <c r="E4569" s="558" t="s">
        <v>105</v>
      </c>
      <c r="F4569" s="554" t="s">
        <v>87</v>
      </c>
      <c r="G4569" s="553" t="s">
        <v>86</v>
      </c>
      <c r="H4569" s="559" t="s">
        <v>85</v>
      </c>
      <c r="I4569" s="554" t="s">
        <v>252</v>
      </c>
      <c r="J4569" s="553" t="str">
        <f>"¿EL INTEGRANTE TIENE UNA PARTICIPACIÓN DEL "&amp;PORCREQUERIDOINT*100&amp;"%?"</f>
        <v>¿EL INTEGRANTE TIENE UNA PARTICIPACIÓN DEL 60%?</v>
      </c>
      <c r="K4569" s="554" t="s">
        <v>107</v>
      </c>
      <c r="L4569" s="724"/>
      <c r="M4569" s="717" t="s">
        <v>115</v>
      </c>
      <c r="N4569" s="718"/>
      <c r="O4569" s="718"/>
      <c r="P4569" s="718"/>
      <c r="Q4569" s="223">
        <f>IF(AND(H4553="SI",P4553&gt;=0),1,0)+IF(AND(H4554="SI",P4554&gt;=0),1,0)+IF(AND(H4555="SI",P4555&gt;=0),1,0)+IF(AND(H4556="SI",P4556&gt;=0),1,0)+IF(AND(H4557="SI",P4557&gt;=0),1,0)+IF(AND(H4558="SI",P4558&gt;=0),1,0)+IF(AND(H4559="SI",P4559&gt;=0),1,0)+IF(AND(H4560="SI",P4560&gt;=0),1,0)+IF(AND(H4561="SI",P4561&gt;=0),1,0)+IF(AND(H4562="SI",P4562&gt;=0),1,0)</f>
        <v>0</v>
      </c>
      <c r="R4569" s="759"/>
      <c r="S4569" s="761"/>
      <c r="T4569" s="764"/>
      <c r="U4569" s="219"/>
      <c r="V4569" s="464"/>
      <c r="Y4569" s="532" t="s">
        <v>342</v>
      </c>
      <c r="AA4569" s="550" t="s">
        <v>344</v>
      </c>
      <c r="AB4569" s="693" t="s">
        <v>345</v>
      </c>
      <c r="AC4569" s="693" t="s">
        <v>346</v>
      </c>
      <c r="AD4569" s="685" t="s">
        <v>347</v>
      </c>
      <c r="AE4569" s="52"/>
      <c r="AF4569" s="52"/>
      <c r="AG4569" s="52"/>
      <c r="AH4569" s="87"/>
      <c r="AI4569" s="87"/>
    </row>
    <row r="4570" spans="1:35" ht="15.75" hidden="1" customHeight="1" thickBot="1">
      <c r="A4570" s="218" t="e">
        <f>"N"&amp;E4549</f>
        <v>#N/A</v>
      </c>
      <c r="B4570" s="702"/>
      <c r="C4570" s="114">
        <v>1</v>
      </c>
      <c r="D4570" s="194" t="e">
        <f>IF(AND(C4570&lt;=F4568,F4568&gt;1,F4568&lt;&gt;""),VLOOKUP(VALUE(E4549&amp;","&amp;C4570),INTEGRANTES!$D$18:$F$235,2,0),"")</f>
        <v>#N/A</v>
      </c>
      <c r="E4570" s="211" t="e">
        <f>IF(D4570&lt;&gt;"",VLOOKUP(VALUE(E4549&amp;","&amp;C4570),INTEGRANTES!$D$18:$F$235,3,0),"")</f>
        <v>#N/A</v>
      </c>
      <c r="F4570" s="547" t="e">
        <f>IF(D4570="","",SUMIF($I4553:$I4562,D4570,$P4553:$P4562))</f>
        <v>#N/A</v>
      </c>
      <c r="G4570" s="333" t="e">
        <f>IF(D4570="","",SUMIF($I4553:$I4562,D4570,$M4553:$M4562))</f>
        <v>#N/A</v>
      </c>
      <c r="H4570" s="535" t="e">
        <f t="shared" ref="H4570:H4575" si="1352">IF(D4570="","",IF(OR(F4570=0,G4570=0),"NO APORTA",ROUND($F4570/$G4570,3)))</f>
        <v>#N/A</v>
      </c>
      <c r="I4570" s="212" t="e">
        <f>IF(D4570="","",IF(H4570="NO APORTA","NO",IF(H4570=MAX($H4570:$H4575),"SI","NO")))</f>
        <v>#N/A</v>
      </c>
      <c r="J4570" s="213" t="e">
        <f t="shared" ref="J4570:J4575" si="1353">IF(D4570="","",IF(E4570&gt;=PORCREQUERIDOINT,"SI","NO"))</f>
        <v>#N/A</v>
      </c>
      <c r="K4570" s="200" t="e">
        <f t="shared" ref="K4570:K4575" si="1354">IF(D4570="","",IF(AND(I4570="SI",J4570="SI"),"CUMPLE",IF(AND(I4570="NO",OR(J4570="SI",J4570="NO")),"","NO CUMPLE")))</f>
        <v>#N/A</v>
      </c>
      <c r="L4570" s="722" t="s">
        <v>108</v>
      </c>
      <c r="M4570" s="726" t="s">
        <v>119</v>
      </c>
      <c r="N4570" s="726"/>
      <c r="O4570" s="726"/>
      <c r="P4570" s="726"/>
      <c r="Q4570" s="727"/>
      <c r="R4570" s="758" t="s">
        <v>80</v>
      </c>
      <c r="S4570" s="747"/>
      <c r="T4570" s="748"/>
      <c r="U4570" s="219"/>
      <c r="V4570" s="464"/>
      <c r="Y4570" s="533" t="e">
        <f>IF(Y4567="","",IF(Y4567="INDIVIDUAL","NO APLICA","VERIFICAR CUADRO"))</f>
        <v>#N/A</v>
      </c>
      <c r="AA4570" s="551"/>
      <c r="AB4570" s="694"/>
      <c r="AC4570" s="694"/>
      <c r="AD4570" s="686"/>
      <c r="AE4570" s="52"/>
      <c r="AF4570" s="52"/>
      <c r="AG4570" s="52"/>
      <c r="AH4570" s="87"/>
      <c r="AI4570" s="87"/>
    </row>
    <row r="4571" spans="1:35" ht="27" hidden="1" customHeight="1" thickBot="1">
      <c r="A4571" s="218" t="e">
        <f>"O"&amp;E4549</f>
        <v>#N/A</v>
      </c>
      <c r="B4571" s="702"/>
      <c r="C4571" s="114">
        <v>2</v>
      </c>
      <c r="D4571" s="194" t="e">
        <f>IF(AND(C4571&lt;=F4568,F4568&lt;&gt;""),VLOOKUP(VALUE(E4549&amp;","&amp;C4571),INTEGRANTES!$D$18:$F$235,2,0),"")</f>
        <v>#N/A</v>
      </c>
      <c r="E4571" s="211" t="e">
        <f>IF(D4571&lt;&gt;"",VLOOKUP(VALUE(E4549&amp;","&amp;C4571),INTEGRANTES!$D$18:$F$235,3,0),"")</f>
        <v>#N/A</v>
      </c>
      <c r="F4571" s="547" t="e">
        <f>IF(D4571="","",SUMIF($I4553:$I4562,D4571,$P4553:$P4562))</f>
        <v>#N/A</v>
      </c>
      <c r="G4571" s="333" t="e">
        <f>IF(D4571="","",SUMIF($I4553:$I4562,D4571,$M4553:$M4562))</f>
        <v>#N/A</v>
      </c>
      <c r="H4571" s="535" t="e">
        <f t="shared" si="1352"/>
        <v>#N/A</v>
      </c>
      <c r="I4571" s="212" t="e">
        <f>IF(D4571="","",IF(H4571="NO APORTA","NO",IF(H4571=MAX($H4570:$H4575),"SI","NO")))</f>
        <v>#N/A</v>
      </c>
      <c r="J4571" s="213" t="e">
        <f t="shared" si="1353"/>
        <v>#N/A</v>
      </c>
      <c r="K4571" s="200" t="e">
        <f t="shared" si="1354"/>
        <v>#N/A</v>
      </c>
      <c r="L4571" s="723"/>
      <c r="M4571" s="715" t="s">
        <v>116</v>
      </c>
      <c r="N4571" s="716"/>
      <c r="O4571" s="556" t="s">
        <v>113</v>
      </c>
      <c r="P4571" s="715" t="s">
        <v>117</v>
      </c>
      <c r="Q4571" s="728"/>
      <c r="R4571" s="759"/>
      <c r="S4571" s="760"/>
      <c r="T4571" s="761"/>
      <c r="U4571" s="219"/>
      <c r="V4571" s="464"/>
      <c r="Y4571" s="414"/>
      <c r="AA4571" s="542" t="e">
        <f>IF(AND(C4570&lt;=F4568,F4568&gt;1,F4568&lt;&gt;""),VLOOKUP(VALUE(E4549&amp;","&amp;C4570),INTEGRANTES!$D$18:$F$235,2,0),"")</f>
        <v>#N/A</v>
      </c>
      <c r="AB4571" s="544" t="e">
        <f t="shared" ref="AB4571:AB4576" si="1355">IF(D4570="","",IF(OR(F4570=0,G4570=0),"NO APORTA",ROUND($F4570/$G4570,3)))</f>
        <v>#N/A</v>
      </c>
      <c r="AC4571" s="529"/>
      <c r="AD4571" s="200" t="e">
        <f t="shared" ref="AD4571:AD4576" si="1356">IF(OR(AA4571="",AB4571=""),"",IF(AND(AC4571="X",AB4571&gt;=EXPREQVTD),"CUMPLE","NO CUMPLE"))</f>
        <v>#N/A</v>
      </c>
      <c r="AE4571" s="52"/>
      <c r="AF4571" s="52"/>
      <c r="AG4571" s="52"/>
      <c r="AH4571" s="87"/>
      <c r="AI4571" s="87"/>
    </row>
    <row r="4572" spans="1:35" ht="16.5" hidden="1" thickBot="1">
      <c r="A4572" s="218" t="e">
        <f>"P"&amp;E4549</f>
        <v>#N/A</v>
      </c>
      <c r="B4572" s="702"/>
      <c r="C4572" s="114">
        <v>3</v>
      </c>
      <c r="D4572" s="194" t="e">
        <f>IF(AND(C4572&lt;=F4568,F4568&lt;&gt;""),VLOOKUP(VALUE(E4549&amp;","&amp;C4572),INTEGRANTES!$D$18:$F$235,2,0),"")</f>
        <v>#N/A</v>
      </c>
      <c r="E4572" s="211" t="e">
        <f>IF(D4572&lt;&gt;"",VLOOKUP(VALUE(E4549&amp;","&amp;C4572),INTEGRANTES!$D$18:$F$235,3,0),"")</f>
        <v>#N/A</v>
      </c>
      <c r="F4572" s="547" t="e">
        <f>IF(D4572="","",SUMIF($I4553:$I4562,D4572,$P4553:$P4562))</f>
        <v>#N/A</v>
      </c>
      <c r="G4572" s="333" t="e">
        <f>IF(D4572="","",SUMIF($I4553:$I4562,D4572,$M4553:$M4562))</f>
        <v>#N/A</v>
      </c>
      <c r="H4572" s="535" t="e">
        <f t="shared" si="1352"/>
        <v>#N/A</v>
      </c>
      <c r="I4572" s="212" t="e">
        <f>IF(D4572="","",IF(H4572="NO APORTA","NO",IF(H4572=MAX($H4570:$H4575),"SI","NO")))</f>
        <v>#N/A</v>
      </c>
      <c r="J4572" s="213" t="e">
        <f t="shared" si="1353"/>
        <v>#N/A</v>
      </c>
      <c r="K4572" s="200" t="e">
        <f t="shared" si="1354"/>
        <v>#N/A</v>
      </c>
      <c r="L4572" s="724"/>
      <c r="M4572" s="729">
        <f>NUMMOD</f>
        <v>1</v>
      </c>
      <c r="N4572" s="730"/>
      <c r="O4572" s="443">
        <f>IF(M4572="","",VLOOKUP(M4572,PRESUPUESTOS!$B$16:$H$16,5,FALSE))</f>
        <v>2</v>
      </c>
      <c r="P4572" s="713">
        <f>IF(OR(COUNTIF(M4553:M4562,"")&gt;=10,Q4569&lt;NUMMINCONT,OR(T4567="NO CUMPLE",T4567="VERIFICAR")),0,ROUND(AVERAGE(M4553:M4562),3))</f>
        <v>0</v>
      </c>
      <c r="Q4572" s="714"/>
      <c r="R4572" s="458"/>
      <c r="S4572" s="459"/>
      <c r="T4572" s="460"/>
      <c r="U4572" s="219"/>
      <c r="V4572" s="464"/>
      <c r="Y4572" s="532" t="str">
        <f>"40% * ("&amp;PRESUPUESTOS!$H$13&amp;")"</f>
        <v>40% * (50% PFMO)</v>
      </c>
      <c r="AA4572" s="540" t="e">
        <f>IF(AND(C4571&lt;=F4568,F4568&lt;&gt;""),VLOOKUP(VALUE(E4549&amp;","&amp;C4571),INTEGRANTES!$D$18:$F$235,2,0),"")</f>
        <v>#N/A</v>
      </c>
      <c r="AB4572" s="545" t="e">
        <f t="shared" si="1355"/>
        <v>#N/A</v>
      </c>
      <c r="AC4572" s="529"/>
      <c r="AD4572" s="200" t="e">
        <f t="shared" si="1356"/>
        <v>#N/A</v>
      </c>
      <c r="AE4572" s="52"/>
      <c r="AF4572" s="52"/>
      <c r="AG4572" s="52"/>
      <c r="AH4572" s="87"/>
      <c r="AI4572" s="87"/>
    </row>
    <row r="4573" spans="1:35" ht="15.75" hidden="1" customHeight="1" thickBot="1">
      <c r="A4573" s="218" t="e">
        <f>"Q"&amp;E4549</f>
        <v>#N/A</v>
      </c>
      <c r="B4573" s="702"/>
      <c r="C4573" s="114">
        <v>4</v>
      </c>
      <c r="D4573" s="194" t="e">
        <f>IF(AND(C4573&lt;=F4568,F4568&lt;&gt;""),VLOOKUP(VALUE(E4549&amp;","&amp;C4573),INTEGRANTES!$D$18:$F$235,2,0),"")</f>
        <v>#N/A</v>
      </c>
      <c r="E4573" s="211" t="e">
        <f>IF(D4573&lt;&gt;"",VLOOKUP(VALUE(E4549&amp;","&amp;C4573),INTEGRANTES!$D$18:$F$235,3,0),"")</f>
        <v>#N/A</v>
      </c>
      <c r="F4573" s="547" t="e">
        <f>IF(D4573="","",SUMIF($I4553:$I4562,D4573,$P4553:$P4562))</f>
        <v>#N/A</v>
      </c>
      <c r="G4573" s="333" t="e">
        <f>IF(D4573="","",SUMIF($I4553:$I4562,D4573,$M4553:$M4562))</f>
        <v>#N/A</v>
      </c>
      <c r="H4573" s="535" t="e">
        <f t="shared" si="1352"/>
        <v>#N/A</v>
      </c>
      <c r="I4573" s="212" t="e">
        <f>IF(D4573="","",IF(H4573="NO APORTA","NO",IF(H4573=MAX($H4570:$H4575),"SI","NO")))</f>
        <v>#N/A</v>
      </c>
      <c r="J4573" s="213" t="e">
        <f t="shared" si="1353"/>
        <v>#N/A</v>
      </c>
      <c r="K4573" s="200" t="e">
        <f t="shared" si="1354"/>
        <v>#N/A</v>
      </c>
      <c r="L4573" s="720" t="s">
        <v>109</v>
      </c>
      <c r="M4573" s="757" t="s">
        <v>120</v>
      </c>
      <c r="N4573" s="726"/>
      <c r="O4573" s="726"/>
      <c r="P4573" s="726"/>
      <c r="Q4573" s="727"/>
      <c r="R4573" s="458"/>
      <c r="S4573" s="459"/>
      <c r="T4573" s="460"/>
      <c r="U4573" s="219"/>
      <c r="V4573" s="464"/>
      <c r="Y4573" s="537">
        <f>0.4*PRESUPUESTOS!$H$16</f>
        <v>10.3124</v>
      </c>
      <c r="AA4573" s="540" t="e">
        <f>IF(AND(C4572&lt;=F4568,F4568&lt;&gt;""),VLOOKUP(VALUE(E4549&amp;","&amp;C4572),INTEGRANTES!$D$18:$F$235,2,0),"")</f>
        <v>#N/A</v>
      </c>
      <c r="AB4573" s="545" t="e">
        <f t="shared" si="1355"/>
        <v>#N/A</v>
      </c>
      <c r="AC4573" s="529"/>
      <c r="AD4573" s="200" t="e">
        <f t="shared" si="1356"/>
        <v>#N/A</v>
      </c>
      <c r="AE4573" s="52"/>
      <c r="AF4573" s="52"/>
      <c r="AG4573" s="52"/>
      <c r="AH4573" s="87"/>
      <c r="AI4573" s="87"/>
    </row>
    <row r="4574" spans="1:35" ht="27" hidden="1" customHeight="1" thickBot="1">
      <c r="A4574" s="218" t="e">
        <f>"R"&amp;E4549</f>
        <v>#N/A</v>
      </c>
      <c r="B4574" s="702"/>
      <c r="C4574" s="114">
        <v>5</v>
      </c>
      <c r="D4574" s="194" t="e">
        <f>IF(AND(C4574&lt;=F4568,F4568&lt;&gt;""),VLOOKUP(VALUE(E4549&amp;","&amp;C4574),INTEGRANTES!$D$18:$F$235,2,0),"")</f>
        <v>#N/A</v>
      </c>
      <c r="E4574" s="211" t="e">
        <f>IF(D4574&lt;&gt;"",VLOOKUP(VALUE(E4549&amp;","&amp;C4574),INTEGRANTES!$D$18:$F$235,3,0),"")</f>
        <v>#N/A</v>
      </c>
      <c r="F4574" s="547" t="e">
        <f>IF(D4574="","",SUMIF($I4553:$I4562,D4574,$P4553:$P4562))</f>
        <v>#N/A</v>
      </c>
      <c r="G4574" s="333" t="e">
        <f>IF(D4574="","",SUMIF($I4553:$I4562,D4574,$M4553:$M4562))</f>
        <v>#N/A</v>
      </c>
      <c r="H4574" s="535" t="e">
        <f t="shared" si="1352"/>
        <v>#N/A</v>
      </c>
      <c r="I4574" s="212" t="e">
        <f>IF(D4574="","",IF(H4574="NO APORTA","NO",IF(H4574=MAX($H4570:$H4575),"SI","NO")))</f>
        <v>#N/A</v>
      </c>
      <c r="J4574" s="213" t="e">
        <f t="shared" si="1353"/>
        <v>#N/A</v>
      </c>
      <c r="K4574" s="200" t="e">
        <f t="shared" si="1354"/>
        <v>#N/A</v>
      </c>
      <c r="L4574" s="721"/>
      <c r="M4574" s="715" t="s">
        <v>116</v>
      </c>
      <c r="N4574" s="716"/>
      <c r="O4574" s="556" t="str">
        <f>PORCREQUERIDO*100&amp;"% PMFO DEL MÓDULO"</f>
        <v>50% PMFO DEL MÓDULO</v>
      </c>
      <c r="P4574" s="715" t="s">
        <v>118</v>
      </c>
      <c r="Q4574" s="728"/>
      <c r="R4574" s="458"/>
      <c r="S4574" s="459"/>
      <c r="T4574" s="460"/>
      <c r="U4574" s="219"/>
      <c r="V4574" s="464"/>
      <c r="Y4574" s="414"/>
      <c r="AA4574" s="540" t="e">
        <f>IF(AND(C4573&lt;=F4568,F4568&lt;&gt;""),VLOOKUP(VALUE(E4549&amp;","&amp;C4573),INTEGRANTES!$D$18:$F$235,2,0),"")</f>
        <v>#N/A</v>
      </c>
      <c r="AB4574" s="545" t="e">
        <f t="shared" si="1355"/>
        <v>#N/A</v>
      </c>
      <c r="AC4574" s="529"/>
      <c r="AD4574" s="200" t="e">
        <f t="shared" si="1356"/>
        <v>#N/A</v>
      </c>
      <c r="AE4574" s="52"/>
      <c r="AF4574" s="52"/>
      <c r="AG4574" s="52"/>
      <c r="AH4574" s="87"/>
      <c r="AI4574" s="87"/>
    </row>
    <row r="4575" spans="1:35" ht="16.5" hidden="1" thickBot="1">
      <c r="A4575" s="218" t="e">
        <f>"S"&amp;E4549</f>
        <v>#N/A</v>
      </c>
      <c r="B4575" s="702"/>
      <c r="C4575" s="215">
        <v>6</v>
      </c>
      <c r="D4575" s="216" t="e">
        <f>IF(AND(C4575&lt;=F4568,F4568&lt;&gt;""),VLOOKUP(VALUE(E4549&amp;","&amp;C4575),INTEGRANTES!$D$18:$F$235,2,0),"")</f>
        <v>#N/A</v>
      </c>
      <c r="E4575" s="217" t="e">
        <f>IF(D4575&lt;&gt;"",VLOOKUP(VALUE(E4549&amp;","&amp;C4575),INTEGRANTES!$D$18:$F$235,3,0),"")</f>
        <v>#N/A</v>
      </c>
      <c r="F4575" s="548" t="e">
        <f>IF(D4575="","",SUMIF($I4553:$I4562,D4575,$P4553:$P4562))</f>
        <v>#N/A</v>
      </c>
      <c r="G4575" s="334" t="e">
        <f>IF(D4575="","",SUMIF($I4553:$I4562,D4575,$M4553:$M4562))</f>
        <v>#N/A</v>
      </c>
      <c r="H4575" s="536" t="e">
        <f t="shared" si="1352"/>
        <v>#N/A</v>
      </c>
      <c r="I4575" s="214" t="e">
        <f>IF(D4575="","",IF(H4575="NO APORTA","NO",IF(H4575=MAX($H4570:$H4575),"SI","NO")))</f>
        <v>#N/A</v>
      </c>
      <c r="J4575" s="213" t="e">
        <f t="shared" si="1353"/>
        <v>#N/A</v>
      </c>
      <c r="K4575" s="200" t="e">
        <f t="shared" si="1354"/>
        <v>#N/A</v>
      </c>
      <c r="L4575" s="721"/>
      <c r="M4575" s="729">
        <f>NUMMOD</f>
        <v>1</v>
      </c>
      <c r="N4575" s="730"/>
      <c r="O4575" s="443">
        <f>IF(M4575="","",ROUND(VLOOKUP(M4575,PRESUPUESTOS!$B$16:$H$16,7,FALSE),3))</f>
        <v>25.780999999999999</v>
      </c>
      <c r="P4575" s="713">
        <f>IF(OR(COUNTIF(P4553:P4562,"")&gt;=10,Q4569&lt;NUMMINCONT,OR(T4567="NO CUMPLE",T4567="VERIFICAR")),0,ROUND((SUM(P4553:P4562)/SUM(M4553:M4562)),3))</f>
        <v>0</v>
      </c>
      <c r="Q4575" s="714"/>
      <c r="R4575" s="458"/>
      <c r="S4575" s="459"/>
      <c r="T4575" s="460"/>
      <c r="U4575" s="219"/>
      <c r="V4575" s="464"/>
      <c r="Y4575" s="532" t="s">
        <v>343</v>
      </c>
      <c r="AA4575" s="540" t="e">
        <f>IF(AND(C4574&lt;=F4568,F4568&lt;&gt;""),VLOOKUP(VALUE(E4549&amp;","&amp;C4574),INTEGRANTES!$D$18:$F$235,2,0),"")</f>
        <v>#N/A</v>
      </c>
      <c r="AB4575" s="545" t="e">
        <f t="shared" si="1355"/>
        <v>#N/A</v>
      </c>
      <c r="AC4575" s="529"/>
      <c r="AD4575" s="200" t="e">
        <f t="shared" si="1356"/>
        <v>#N/A</v>
      </c>
      <c r="AE4575" s="52"/>
      <c r="AF4575" s="52"/>
      <c r="AG4575" s="52"/>
      <c r="AH4575" s="87"/>
      <c r="AI4575" s="87"/>
    </row>
    <row r="4576" spans="1:35" ht="16.5" hidden="1" customHeight="1" thickBot="1">
      <c r="A4576" s="218" t="e">
        <f>"T"&amp;E4549</f>
        <v>#N/A</v>
      </c>
      <c r="B4576" s="703"/>
      <c r="C4576" s="719"/>
      <c r="D4576" s="719"/>
      <c r="E4576" s="719"/>
      <c r="F4576" s="719"/>
      <c r="G4576" s="719"/>
      <c r="H4576" s="719" t="s">
        <v>110</v>
      </c>
      <c r="I4576" s="719"/>
      <c r="J4576" s="719"/>
      <c r="K4576" s="201" t="str">
        <f>IF(COUNTIF(K4570:K4575,"")=6,"",IF(COUNTIF(K4570:K4575,"CUMPLE")&gt;0,"CUMPLE","NO CUMPLE"))</f>
        <v>NO CUMPLE</v>
      </c>
      <c r="L4576" s="754"/>
      <c r="M4576" s="755"/>
      <c r="N4576" s="755"/>
      <c r="O4576" s="755"/>
      <c r="P4576" s="755"/>
      <c r="Q4576" s="756"/>
      <c r="R4576" s="461"/>
      <c r="S4576" s="462"/>
      <c r="T4576" s="463"/>
      <c r="U4576" s="219"/>
      <c r="V4576" s="464"/>
      <c r="Y4576" s="549" t="e">
        <f>IF(Y4570="NO APLICA","NO APLICA",IF(COUNTIF(AD4571:AD4576,"CUMPLE")&gt;0,"CUMPLE","NO CUMPLE"))</f>
        <v>#N/A</v>
      </c>
      <c r="AA4576" s="541" t="e">
        <f>IF(AND(C4575&lt;=F4568,F4568&lt;&gt;""),VLOOKUP(VALUE(E4549&amp;","&amp;C4575),INTEGRANTES!$D$18:$F$235,2,0),"")</f>
        <v>#N/A</v>
      </c>
      <c r="AB4576" s="546" t="e">
        <f t="shared" si="1355"/>
        <v>#N/A</v>
      </c>
      <c r="AC4576" s="543"/>
      <c r="AD4576" s="201" t="e">
        <f t="shared" si="1356"/>
        <v>#N/A</v>
      </c>
      <c r="AE4576" s="52"/>
      <c r="AF4576" s="52"/>
      <c r="AG4576" s="52"/>
      <c r="AH4576" s="87"/>
      <c r="AI4576" s="87"/>
    </row>
    <row r="4577" spans="1:35" hidden="1">
      <c r="AH4577" s="87"/>
      <c r="AI4577" s="87"/>
    </row>
    <row r="4578" spans="1:35" hidden="1">
      <c r="AH4578" s="87"/>
      <c r="AI4578" s="87"/>
    </row>
    <row r="4579" spans="1:35" ht="24" hidden="1" thickBot="1">
      <c r="A4579" s="61">
        <v>153</v>
      </c>
      <c r="B4579" s="704" t="s">
        <v>51</v>
      </c>
      <c r="C4579" s="704"/>
      <c r="D4579" s="704"/>
      <c r="E4579" s="62" t="e">
        <f>VLOOKUP(A4579,PROPONENTES!$B$19:$E$218,2,FALSE)</f>
        <v>#N/A</v>
      </c>
      <c r="F4579" s="63" t="e">
        <f>VLOOKUP(A4579,PROPONENTES!$B$19:$E$218,3,FALSE)</f>
        <v>#N/A</v>
      </c>
      <c r="G4579" s="64"/>
      <c r="H4579" s="64"/>
      <c r="I4579" s="63"/>
      <c r="J4579" s="63"/>
      <c r="K4579" s="65"/>
      <c r="L4579" s="65"/>
      <c r="M4579" s="64"/>
      <c r="N4579" s="64"/>
      <c r="O4579" s="66"/>
      <c r="P4579" s="66"/>
      <c r="Q4579" s="66"/>
      <c r="R4579" s="66"/>
      <c r="S4579" s="67"/>
      <c r="T4579" s="68"/>
      <c r="U4579" s="68"/>
      <c r="AC4579" s="68"/>
      <c r="AD4579" s="68"/>
      <c r="AE4579" s="68"/>
      <c r="AF4579" s="68"/>
      <c r="AG4579" s="68"/>
      <c r="AH4579" s="87"/>
      <c r="AI4579" s="87"/>
    </row>
    <row r="4580" spans="1:35" ht="15.75" hidden="1" customHeight="1">
      <c r="A4580" s="44"/>
      <c r="B4580" s="709" t="s">
        <v>59</v>
      </c>
      <c r="C4580" s="552" t="s">
        <v>60</v>
      </c>
      <c r="D4580" s="70" t="s">
        <v>17</v>
      </c>
      <c r="E4580" s="70"/>
      <c r="F4580" s="70" t="s">
        <v>61</v>
      </c>
      <c r="G4580" s="71"/>
      <c r="H4580" s="699" t="s">
        <v>62</v>
      </c>
      <c r="I4580" s="699" t="s">
        <v>18</v>
      </c>
      <c r="J4580" s="699" t="s">
        <v>63</v>
      </c>
      <c r="K4580" s="699" t="s">
        <v>64</v>
      </c>
      <c r="L4580" s="699" t="s">
        <v>65</v>
      </c>
      <c r="M4580" s="743" t="s">
        <v>66</v>
      </c>
      <c r="N4580" s="699" t="s">
        <v>282</v>
      </c>
      <c r="O4580" s="745" t="s">
        <v>67</v>
      </c>
      <c r="P4580" s="746"/>
      <c r="Q4580" s="102" t="s">
        <v>75</v>
      </c>
      <c r="R4580" s="731" t="s">
        <v>22</v>
      </c>
      <c r="S4580" s="732"/>
      <c r="T4580" s="733"/>
      <c r="U4580" s="712" t="s">
        <v>298</v>
      </c>
      <c r="W4580" s="690" t="s">
        <v>268</v>
      </c>
      <c r="X4580" s="691"/>
      <c r="Y4580" s="692"/>
      <c r="Z4580" s="428"/>
      <c r="AA4580" s="697" t="s">
        <v>315</v>
      </c>
      <c r="AB4580" s="695" t="s">
        <v>322</v>
      </c>
      <c r="AC4580" s="49"/>
      <c r="AD4580" s="690" t="s">
        <v>297</v>
      </c>
      <c r="AE4580" s="691"/>
      <c r="AF4580" s="692"/>
      <c r="AG4580" s="49"/>
      <c r="AH4580" s="87"/>
      <c r="AI4580" s="87"/>
    </row>
    <row r="4581" spans="1:35" ht="72" hidden="1">
      <c r="A4581" s="44"/>
      <c r="B4581" s="710"/>
      <c r="C4581" s="553" t="s">
        <v>68</v>
      </c>
      <c r="D4581" s="73" t="s">
        <v>3</v>
      </c>
      <c r="E4581" s="73" t="s">
        <v>19</v>
      </c>
      <c r="F4581" s="73" t="s">
        <v>69</v>
      </c>
      <c r="G4581" s="74" t="s">
        <v>70</v>
      </c>
      <c r="H4581" s="700"/>
      <c r="I4581" s="700"/>
      <c r="J4581" s="700"/>
      <c r="K4581" s="700"/>
      <c r="L4581" s="700"/>
      <c r="M4581" s="744"/>
      <c r="N4581" s="700"/>
      <c r="O4581" s="553" t="s">
        <v>279</v>
      </c>
      <c r="P4581" s="73" t="s">
        <v>88</v>
      </c>
      <c r="Q4581" s="555" t="s">
        <v>76</v>
      </c>
      <c r="R4581" s="734"/>
      <c r="S4581" s="735"/>
      <c r="T4581" s="736"/>
      <c r="U4581" s="712"/>
      <c r="W4581" s="429" t="s">
        <v>269</v>
      </c>
      <c r="X4581" s="457" t="s">
        <v>278</v>
      </c>
      <c r="Y4581" s="430" t="s">
        <v>324</v>
      </c>
      <c r="Z4581" s="428"/>
      <c r="AA4581" s="698"/>
      <c r="AB4581" s="696"/>
      <c r="AC4581" s="49"/>
      <c r="AD4581" s="429" t="s">
        <v>292</v>
      </c>
      <c r="AE4581" s="431" t="s">
        <v>300</v>
      </c>
      <c r="AF4581" s="468" t="s">
        <v>301</v>
      </c>
      <c r="AG4581" s="49"/>
      <c r="AH4581" s="87"/>
      <c r="AI4581" s="87"/>
    </row>
    <row r="4582" spans="1:35" hidden="1">
      <c r="A4582" s="44"/>
      <c r="B4582" s="76"/>
      <c r="C4582" s="77"/>
      <c r="D4582" s="77"/>
      <c r="E4582" s="77"/>
      <c r="F4582" s="77"/>
      <c r="G4582" s="77"/>
      <c r="H4582" s="77"/>
      <c r="I4582" s="77"/>
      <c r="J4582" s="77"/>
      <c r="K4582" s="77"/>
      <c r="L4582" s="77"/>
      <c r="M4582" s="77"/>
      <c r="N4582" s="77"/>
      <c r="O4582" s="77"/>
      <c r="P4582" s="77"/>
      <c r="Q4582" s="77"/>
      <c r="R4582" s="77"/>
      <c r="S4582" s="78"/>
      <c r="T4582" s="79"/>
      <c r="U4582" s="109"/>
      <c r="V4582" s="49"/>
      <c r="W4582" s="432"/>
      <c r="X4582" s="454"/>
      <c r="Y4582" s="433"/>
      <c r="Z4582" s="6"/>
      <c r="AA4582" s="500"/>
      <c r="AB4582" s="562"/>
      <c r="AC4582" s="49"/>
      <c r="AD4582" s="210"/>
      <c r="AE4582" s="434"/>
      <c r="AF4582" s="435"/>
      <c r="AG4582" s="49"/>
      <c r="AH4582" s="87"/>
      <c r="AI4582" s="87"/>
    </row>
    <row r="4583" spans="1:35" hidden="1">
      <c r="A4583" s="80" t="e">
        <f>"A"&amp;E4579</f>
        <v>#N/A</v>
      </c>
      <c r="B4583" s="81">
        <v>1</v>
      </c>
      <c r="C4583" s="82"/>
      <c r="D4583" s="82"/>
      <c r="E4583" s="82"/>
      <c r="F4583" s="82"/>
      <c r="G4583" s="83"/>
      <c r="H4583" s="83"/>
      <c r="I4583" s="84"/>
      <c r="J4583" s="85"/>
      <c r="K4583" s="382"/>
      <c r="L4583" s="85"/>
      <c r="M4583" s="332" t="str">
        <f t="shared" ref="M4583:M4592" si="1357">IF(OR(J4583="",L4583="",H4583="NO"),"",IF(OR(J4583&gt;$P$17,J4583&lt;$O$17,L4583&gt;$P$17,AND(J4583&lt;$O$17,L4583&lt;$O$17)),"FUERA DE RANGO",IF(OR(K4583="---",K4583=""),IF(J4583&gt;=$O$17,ROUND((L4583-J4583+1)/360*12,3),ROUND((L4583-$O$17+1)/360*12,3)),IF(J4583&gt;=$O$17,ROUND((L4583-J4583+1)/360*12-ROUND(K4583,3),3),ROUND((L4583-$O$17+1)/360*12-ROUND(K4583,3),3)))))</f>
        <v/>
      </c>
      <c r="N4583" s="86"/>
      <c r="O4583" s="453" t="str">
        <f>IF(OR(G4583="",N4583=""),"",N4583*G4583)</f>
        <v/>
      </c>
      <c r="P4583" s="538" t="str">
        <f>IF(OR(H4583="",M4583="FUERA DE RANGO"),"",IF(OR(L4583&lt;$O$17,L4583&gt;$P$17,L4583="",H4583="NO"),"",IF(OR(N4583="",O4583=""),"",ROUND(O4583,3))))</f>
        <v/>
      </c>
      <c r="Q4583" s="539" t="str">
        <f t="shared" ref="Q4583:Q4592" si="1358">IF(AND(H4583="SI",P4583&lt;&gt;""),ROUND(P4583/M4583,3),"")</f>
        <v/>
      </c>
      <c r="R4583" s="737"/>
      <c r="S4583" s="738"/>
      <c r="T4583" s="739"/>
      <c r="U4583" s="470"/>
      <c r="V4583" s="165"/>
      <c r="W4583" s="446"/>
      <c r="X4583" s="456"/>
      <c r="Y4583" s="436"/>
      <c r="Z4583" s="437"/>
      <c r="AA4583" s="560"/>
      <c r="AB4583" s="561"/>
      <c r="AC4583" s="87"/>
      <c r="AD4583" s="466"/>
      <c r="AE4583" s="456"/>
      <c r="AF4583" s="467"/>
      <c r="AG4583" s="87"/>
      <c r="AH4583" s="87"/>
      <c r="AI4583" s="87"/>
    </row>
    <row r="4584" spans="1:35" hidden="1">
      <c r="A4584" s="80" t="e">
        <f>"B"&amp;E4579</f>
        <v>#N/A</v>
      </c>
      <c r="B4584" s="81">
        <v>2</v>
      </c>
      <c r="C4584" s="106"/>
      <c r="D4584" s="106"/>
      <c r="E4584" s="106"/>
      <c r="F4584" s="106"/>
      <c r="G4584" s="83"/>
      <c r="H4584" s="83"/>
      <c r="I4584" s="84"/>
      <c r="J4584" s="85"/>
      <c r="K4584" s="382"/>
      <c r="L4584" s="85"/>
      <c r="M4584" s="332" t="str">
        <f t="shared" si="1357"/>
        <v/>
      </c>
      <c r="N4584" s="86"/>
      <c r="O4584" s="453" t="str">
        <f t="shared" ref="O4584:O4592" si="1359">IF(OR(G4584="",N4584=""),"",N4584*G4584)</f>
        <v/>
      </c>
      <c r="P4584" s="538" t="str">
        <f t="shared" ref="P4584:P4592" si="1360">IF(OR(H4584="",M4584="FUERA DE RANGO"),"",IF(OR(L4584&lt;$O$17,L4584&gt;$P$17,L4584="",H4584="NO"),"",IF(OR(N4584="",O4584=""),"",ROUND(O4584,3))))</f>
        <v/>
      </c>
      <c r="Q4584" s="539" t="str">
        <f t="shared" si="1358"/>
        <v/>
      </c>
      <c r="R4584" s="740"/>
      <c r="S4584" s="741"/>
      <c r="T4584" s="742"/>
      <c r="U4584" s="471"/>
      <c r="V4584" s="165"/>
      <c r="W4584" s="446"/>
      <c r="X4584" s="456"/>
      <c r="Y4584" s="436"/>
      <c r="Z4584" s="437"/>
      <c r="AA4584" s="560"/>
      <c r="AB4584" s="561"/>
      <c r="AC4584" s="87"/>
      <c r="AD4584" s="466"/>
      <c r="AE4584" s="456"/>
      <c r="AF4584" s="467"/>
      <c r="AG4584" s="87"/>
      <c r="AH4584" s="87"/>
      <c r="AI4584" s="87"/>
    </row>
    <row r="4585" spans="1:35" hidden="1">
      <c r="A4585" s="80" t="e">
        <f>"C"&amp;E4579</f>
        <v>#N/A</v>
      </c>
      <c r="B4585" s="88">
        <v>3</v>
      </c>
      <c r="C4585" s="82"/>
      <c r="D4585" s="82"/>
      <c r="E4585" s="82"/>
      <c r="F4585" s="82"/>
      <c r="G4585" s="83"/>
      <c r="H4585" s="83"/>
      <c r="I4585" s="84"/>
      <c r="J4585" s="85"/>
      <c r="K4585" s="382"/>
      <c r="L4585" s="85"/>
      <c r="M4585" s="332" t="str">
        <f t="shared" si="1357"/>
        <v/>
      </c>
      <c r="N4585" s="86"/>
      <c r="O4585" s="453" t="str">
        <f t="shared" si="1359"/>
        <v/>
      </c>
      <c r="P4585" s="538" t="str">
        <f t="shared" si="1360"/>
        <v/>
      </c>
      <c r="Q4585" s="539" t="str">
        <f t="shared" si="1358"/>
        <v/>
      </c>
      <c r="R4585" s="706"/>
      <c r="S4585" s="707"/>
      <c r="T4585" s="708"/>
      <c r="U4585" s="472"/>
      <c r="V4585" s="166"/>
      <c r="W4585" s="446"/>
      <c r="X4585" s="456"/>
      <c r="Y4585" s="436"/>
      <c r="Z4585" s="437"/>
      <c r="AA4585" s="560"/>
      <c r="AB4585" s="561"/>
      <c r="AC4585" s="87"/>
      <c r="AD4585" s="466"/>
      <c r="AE4585" s="456"/>
      <c r="AF4585" s="467"/>
      <c r="AG4585" s="87"/>
      <c r="AH4585" s="87"/>
      <c r="AI4585" s="87"/>
    </row>
    <row r="4586" spans="1:35" hidden="1">
      <c r="A4586" s="80" t="e">
        <f>"D"&amp;E4579</f>
        <v>#N/A</v>
      </c>
      <c r="B4586" s="105">
        <v>4</v>
      </c>
      <c r="C4586" s="107"/>
      <c r="D4586" s="107"/>
      <c r="E4586" s="107"/>
      <c r="F4586" s="107"/>
      <c r="G4586" s="83"/>
      <c r="H4586" s="83"/>
      <c r="I4586" s="84"/>
      <c r="J4586" s="85"/>
      <c r="K4586" s="382"/>
      <c r="L4586" s="85"/>
      <c r="M4586" s="332" t="str">
        <f t="shared" si="1357"/>
        <v/>
      </c>
      <c r="N4586" s="86"/>
      <c r="O4586" s="453" t="str">
        <f t="shared" si="1359"/>
        <v/>
      </c>
      <c r="P4586" s="538" t="str">
        <f t="shared" si="1360"/>
        <v/>
      </c>
      <c r="Q4586" s="539" t="str">
        <f t="shared" si="1358"/>
        <v/>
      </c>
      <c r="R4586" s="706"/>
      <c r="S4586" s="707"/>
      <c r="T4586" s="708"/>
      <c r="U4586" s="472"/>
      <c r="V4586" s="166"/>
      <c r="W4586" s="446"/>
      <c r="X4586" s="456"/>
      <c r="Y4586" s="436"/>
      <c r="Z4586" s="437"/>
      <c r="AA4586" s="560"/>
      <c r="AB4586" s="561"/>
      <c r="AC4586" s="87"/>
      <c r="AD4586" s="466"/>
      <c r="AE4586" s="456"/>
      <c r="AF4586" s="467"/>
      <c r="AG4586" s="87"/>
      <c r="AH4586" s="87"/>
      <c r="AI4586" s="87"/>
    </row>
    <row r="4587" spans="1:35" hidden="1">
      <c r="A4587" s="80" t="e">
        <f>"E"&amp;E4579</f>
        <v>#N/A</v>
      </c>
      <c r="B4587" s="105">
        <v>5</v>
      </c>
      <c r="C4587" s="107"/>
      <c r="D4587" s="107"/>
      <c r="E4587" s="107"/>
      <c r="F4587" s="107"/>
      <c r="G4587" s="83"/>
      <c r="H4587" s="83"/>
      <c r="I4587" s="84"/>
      <c r="J4587" s="85"/>
      <c r="K4587" s="382"/>
      <c r="L4587" s="85"/>
      <c r="M4587" s="332" t="str">
        <f t="shared" si="1357"/>
        <v/>
      </c>
      <c r="N4587" s="86"/>
      <c r="O4587" s="453" t="str">
        <f t="shared" si="1359"/>
        <v/>
      </c>
      <c r="P4587" s="538" t="str">
        <f t="shared" si="1360"/>
        <v/>
      </c>
      <c r="Q4587" s="539" t="str">
        <f t="shared" si="1358"/>
        <v/>
      </c>
      <c r="R4587" s="706"/>
      <c r="S4587" s="707"/>
      <c r="T4587" s="708"/>
      <c r="U4587" s="472"/>
      <c r="V4587" s="167"/>
      <c r="W4587" s="446"/>
      <c r="X4587" s="456"/>
      <c r="Y4587" s="436"/>
      <c r="Z4587" s="437"/>
      <c r="AA4587" s="560"/>
      <c r="AB4587" s="561"/>
      <c r="AC4587" s="87"/>
      <c r="AD4587" s="466"/>
      <c r="AE4587" s="456"/>
      <c r="AF4587" s="467"/>
      <c r="AG4587" s="87"/>
      <c r="AH4587" s="87"/>
      <c r="AI4587" s="87"/>
    </row>
    <row r="4588" spans="1:35" hidden="1">
      <c r="A4588" s="80" t="e">
        <f>"F"&amp;E4579</f>
        <v>#N/A</v>
      </c>
      <c r="B4588" s="105">
        <v>6</v>
      </c>
      <c r="C4588" s="107"/>
      <c r="D4588" s="107"/>
      <c r="E4588" s="107"/>
      <c r="F4588" s="107"/>
      <c r="G4588" s="83"/>
      <c r="H4588" s="83"/>
      <c r="I4588" s="84"/>
      <c r="J4588" s="85"/>
      <c r="K4588" s="382"/>
      <c r="L4588" s="85"/>
      <c r="M4588" s="332" t="str">
        <f t="shared" si="1357"/>
        <v/>
      </c>
      <c r="N4588" s="86"/>
      <c r="O4588" s="453" t="str">
        <f t="shared" si="1359"/>
        <v/>
      </c>
      <c r="P4588" s="538" t="str">
        <f t="shared" si="1360"/>
        <v/>
      </c>
      <c r="Q4588" s="539" t="str">
        <f t="shared" si="1358"/>
        <v/>
      </c>
      <c r="R4588" s="706"/>
      <c r="S4588" s="707"/>
      <c r="T4588" s="708"/>
      <c r="U4588" s="472"/>
      <c r="V4588" s="167"/>
      <c r="W4588" s="446"/>
      <c r="X4588" s="456"/>
      <c r="Y4588" s="436"/>
      <c r="Z4588" s="437"/>
      <c r="AA4588" s="560"/>
      <c r="AB4588" s="561"/>
      <c r="AC4588" s="87"/>
      <c r="AD4588" s="466"/>
      <c r="AE4588" s="456"/>
      <c r="AF4588" s="467"/>
      <c r="AG4588" s="87"/>
      <c r="AH4588" s="87"/>
      <c r="AI4588" s="87"/>
    </row>
    <row r="4589" spans="1:35" hidden="1">
      <c r="A4589" s="80" t="e">
        <f>"G"&amp;E4579</f>
        <v>#N/A</v>
      </c>
      <c r="B4589" s="105">
        <v>7</v>
      </c>
      <c r="C4589" s="107"/>
      <c r="D4589" s="107"/>
      <c r="E4589" s="107"/>
      <c r="F4589" s="107"/>
      <c r="G4589" s="83"/>
      <c r="H4589" s="83"/>
      <c r="I4589" s="84"/>
      <c r="J4589" s="85"/>
      <c r="K4589" s="382"/>
      <c r="L4589" s="85"/>
      <c r="M4589" s="332" t="str">
        <f t="shared" si="1357"/>
        <v/>
      </c>
      <c r="N4589" s="86"/>
      <c r="O4589" s="86" t="str">
        <f t="shared" si="1359"/>
        <v/>
      </c>
      <c r="P4589" s="538" t="str">
        <f t="shared" si="1360"/>
        <v/>
      </c>
      <c r="Q4589" s="539" t="str">
        <f t="shared" si="1358"/>
        <v/>
      </c>
      <c r="R4589" s="706"/>
      <c r="S4589" s="707"/>
      <c r="T4589" s="708"/>
      <c r="U4589" s="472"/>
      <c r="V4589" s="167"/>
      <c r="W4589" s="446"/>
      <c r="X4589" s="456"/>
      <c r="Y4589" s="436"/>
      <c r="Z4589" s="437"/>
      <c r="AA4589" s="560"/>
      <c r="AB4589" s="561"/>
      <c r="AC4589" s="87"/>
      <c r="AD4589" s="466"/>
      <c r="AE4589" s="456"/>
      <c r="AF4589" s="467"/>
      <c r="AG4589" s="87"/>
      <c r="AH4589" s="87"/>
      <c r="AI4589" s="87"/>
    </row>
    <row r="4590" spans="1:35" hidden="1">
      <c r="A4590" s="80" t="e">
        <f>"H"&amp;E4579</f>
        <v>#N/A</v>
      </c>
      <c r="B4590" s="105">
        <v>8</v>
      </c>
      <c r="C4590" s="107"/>
      <c r="D4590" s="107"/>
      <c r="E4590" s="107"/>
      <c r="F4590" s="107"/>
      <c r="G4590" s="83"/>
      <c r="H4590" s="83"/>
      <c r="I4590" s="84"/>
      <c r="J4590" s="85"/>
      <c r="K4590" s="382"/>
      <c r="L4590" s="85"/>
      <c r="M4590" s="332" t="str">
        <f t="shared" si="1357"/>
        <v/>
      </c>
      <c r="N4590" s="453"/>
      <c r="O4590" s="86" t="str">
        <f t="shared" si="1359"/>
        <v/>
      </c>
      <c r="P4590" s="538" t="str">
        <f t="shared" si="1360"/>
        <v/>
      </c>
      <c r="Q4590" s="539" t="str">
        <f t="shared" si="1358"/>
        <v/>
      </c>
      <c r="R4590" s="706"/>
      <c r="S4590" s="707"/>
      <c r="T4590" s="708"/>
      <c r="U4590" s="472"/>
      <c r="V4590" s="167"/>
      <c r="W4590" s="446"/>
      <c r="X4590" s="456"/>
      <c r="Y4590" s="436"/>
      <c r="Z4590" s="437"/>
      <c r="AA4590" s="560"/>
      <c r="AB4590" s="561"/>
      <c r="AC4590" s="87"/>
      <c r="AD4590" s="466"/>
      <c r="AE4590" s="456"/>
      <c r="AF4590" s="467"/>
      <c r="AG4590" s="87"/>
      <c r="AH4590" s="87"/>
      <c r="AI4590" s="87"/>
    </row>
    <row r="4591" spans="1:35" hidden="1">
      <c r="A4591" s="80" t="e">
        <f>"I"&amp;E4579</f>
        <v>#N/A</v>
      </c>
      <c r="B4591" s="105">
        <v>9</v>
      </c>
      <c r="C4591" s="107"/>
      <c r="D4591" s="107"/>
      <c r="E4591" s="107"/>
      <c r="F4591" s="107"/>
      <c r="G4591" s="83"/>
      <c r="H4591" s="83"/>
      <c r="I4591" s="84"/>
      <c r="J4591" s="85"/>
      <c r="K4591" s="382"/>
      <c r="L4591" s="85"/>
      <c r="M4591" s="332" t="str">
        <f t="shared" si="1357"/>
        <v/>
      </c>
      <c r="N4591" s="453"/>
      <c r="O4591" s="86" t="str">
        <f t="shared" si="1359"/>
        <v/>
      </c>
      <c r="P4591" s="538" t="str">
        <f t="shared" si="1360"/>
        <v/>
      </c>
      <c r="Q4591" s="539" t="str">
        <f t="shared" si="1358"/>
        <v/>
      </c>
      <c r="R4591" s="706"/>
      <c r="S4591" s="707"/>
      <c r="T4591" s="708"/>
      <c r="U4591" s="472"/>
      <c r="V4591" s="167"/>
      <c r="W4591" s="446"/>
      <c r="X4591" s="456"/>
      <c r="Y4591" s="436"/>
      <c r="Z4591" s="437"/>
      <c r="AA4591" s="560"/>
      <c r="AB4591" s="561"/>
      <c r="AC4591" s="87"/>
      <c r="AD4591" s="466"/>
      <c r="AE4591" s="456"/>
      <c r="AF4591" s="467"/>
      <c r="AG4591" s="87"/>
      <c r="AH4591" s="87"/>
      <c r="AI4591" s="87"/>
    </row>
    <row r="4592" spans="1:35" hidden="1">
      <c r="A4592" s="80" t="e">
        <f>"J"&amp;E4579</f>
        <v>#N/A</v>
      </c>
      <c r="B4592" s="105">
        <v>10</v>
      </c>
      <c r="C4592" s="107"/>
      <c r="D4592" s="107"/>
      <c r="E4592" s="107"/>
      <c r="F4592" s="107"/>
      <c r="G4592" s="83"/>
      <c r="H4592" s="83"/>
      <c r="I4592" s="84"/>
      <c r="J4592" s="85"/>
      <c r="K4592" s="382"/>
      <c r="L4592" s="85"/>
      <c r="M4592" s="332" t="str">
        <f t="shared" si="1357"/>
        <v/>
      </c>
      <c r="N4592" s="453"/>
      <c r="O4592" s="86" t="str">
        <f t="shared" si="1359"/>
        <v/>
      </c>
      <c r="P4592" s="538" t="str">
        <f t="shared" si="1360"/>
        <v/>
      </c>
      <c r="Q4592" s="539" t="str">
        <f t="shared" si="1358"/>
        <v/>
      </c>
      <c r="R4592" s="706"/>
      <c r="S4592" s="707"/>
      <c r="T4592" s="708"/>
      <c r="U4592" s="472"/>
      <c r="V4592" s="167"/>
      <c r="W4592" s="446"/>
      <c r="X4592" s="456"/>
      <c r="Y4592" s="436"/>
      <c r="Z4592" s="437"/>
      <c r="AA4592" s="560"/>
      <c r="AB4592" s="561"/>
      <c r="AC4592" s="87"/>
      <c r="AD4592" s="466"/>
      <c r="AE4592" s="456"/>
      <c r="AF4592" s="467"/>
      <c r="AG4592" s="87"/>
      <c r="AH4592" s="87"/>
      <c r="AI4592" s="87"/>
    </row>
    <row r="4593" spans="1:35" ht="16.5" hidden="1" thickBot="1">
      <c r="A4593" s="44"/>
      <c r="B4593" s="89"/>
      <c r="C4593" s="90"/>
      <c r="D4593" s="90"/>
      <c r="E4593" s="90"/>
      <c r="F4593" s="90"/>
      <c r="G4593" s="90"/>
      <c r="H4593" s="90"/>
      <c r="I4593" s="90"/>
      <c r="J4593" s="90"/>
      <c r="K4593" s="90"/>
      <c r="L4593" s="90"/>
      <c r="M4593" s="90"/>
      <c r="N4593" s="90"/>
      <c r="O4593" s="90"/>
      <c r="P4593" s="90"/>
      <c r="Q4593" s="90"/>
      <c r="R4593" s="90"/>
      <c r="S4593" s="91"/>
      <c r="T4593" s="92"/>
      <c r="U4593" s="473"/>
      <c r="W4593" s="438"/>
      <c r="X4593" s="455"/>
      <c r="Y4593" s="439"/>
      <c r="Z4593" s="437"/>
      <c r="AA4593" s="530"/>
      <c r="AB4593" s="563"/>
      <c r="AC4593" s="87"/>
      <c r="AD4593" s="440"/>
      <c r="AE4593" s="441"/>
      <c r="AF4593" s="442"/>
      <c r="AG4593" s="49"/>
      <c r="AH4593" s="87"/>
      <c r="AI4593" s="87"/>
    </row>
    <row r="4594" spans="1:35" ht="16.5" hidden="1" thickBot="1">
      <c r="A4594" s="93"/>
      <c r="B4594" s="94"/>
      <c r="C4594" s="96"/>
      <c r="D4594" s="96"/>
      <c r="E4594" s="96"/>
      <c r="F4594" s="96"/>
      <c r="G4594" s="96"/>
      <c r="H4594" s="96"/>
      <c r="I4594" s="96"/>
      <c r="J4594" s="96"/>
      <c r="K4594" s="96"/>
      <c r="L4594" s="96"/>
      <c r="M4594" s="136"/>
      <c r="N4594" s="96"/>
      <c r="O4594" s="96"/>
      <c r="P4594" s="97"/>
      <c r="Q4594" s="97"/>
      <c r="R4594" s="98"/>
      <c r="S4594" s="95"/>
      <c r="T4594" s="99"/>
      <c r="U4594" s="469"/>
      <c r="AC4594" s="58"/>
      <c r="AG4594" s="58"/>
      <c r="AH4594" s="87"/>
      <c r="AI4594" s="87"/>
    </row>
    <row r="4595" spans="1:35" ht="16.5" hidden="1" thickBot="1">
      <c r="B4595" s="101"/>
      <c r="C4595" s="101"/>
      <c r="D4595" s="101"/>
      <c r="E4595" s="101"/>
      <c r="F4595" s="101"/>
      <c r="G4595" s="101"/>
      <c r="H4595" s="101"/>
      <c r="I4595" s="101"/>
      <c r="J4595" s="101"/>
      <c r="K4595" s="101"/>
      <c r="L4595" s="101"/>
      <c r="M4595" s="101"/>
      <c r="N4595" s="101"/>
      <c r="O4595" s="101"/>
      <c r="P4595" s="101"/>
      <c r="Q4595" s="101"/>
      <c r="R4595" s="101"/>
      <c r="S4595" s="101"/>
      <c r="U4595" s="50"/>
      <c r="AH4595" s="87"/>
      <c r="AI4595" s="87"/>
    </row>
    <row r="4596" spans="1:35" ht="16.5" hidden="1" customHeight="1" thickBot="1">
      <c r="A4596" s="44"/>
      <c r="B4596" s="705" t="s">
        <v>74</v>
      </c>
      <c r="C4596" s="705"/>
      <c r="D4596" s="705"/>
      <c r="E4596" s="705"/>
      <c r="F4596" s="705"/>
      <c r="G4596" s="705"/>
      <c r="H4596" s="705"/>
      <c r="I4596" s="705"/>
      <c r="J4596" s="705"/>
      <c r="K4596" s="705"/>
      <c r="L4596" s="705"/>
      <c r="M4596" s="705"/>
      <c r="N4596" s="705"/>
      <c r="O4596" s="705"/>
      <c r="P4596" s="705"/>
      <c r="Q4596" s="705"/>
      <c r="R4596" s="705"/>
      <c r="S4596" s="705"/>
      <c r="T4596" s="705"/>
      <c r="U4596" s="108"/>
      <c r="Y4596" s="532" t="s">
        <v>341</v>
      </c>
      <c r="AC4596" s="49"/>
      <c r="AD4596" s="687" t="s">
        <v>302</v>
      </c>
      <c r="AE4596" s="688"/>
      <c r="AF4596" s="689"/>
      <c r="AG4596" s="49"/>
      <c r="AH4596" s="87"/>
      <c r="AI4596" s="87"/>
    </row>
    <row r="4597" spans="1:35" ht="16.5" hidden="1" customHeight="1" thickBot="1">
      <c r="A4597" s="218" t="e">
        <f>"K"&amp;E4579</f>
        <v>#N/A</v>
      </c>
      <c r="B4597" s="701" t="s">
        <v>71</v>
      </c>
      <c r="C4597" s="751" t="s">
        <v>102</v>
      </c>
      <c r="D4597" s="751"/>
      <c r="E4597" s="751"/>
      <c r="F4597" s="751"/>
      <c r="G4597" s="751"/>
      <c r="H4597" s="751"/>
      <c r="I4597" s="751"/>
      <c r="J4597" s="751"/>
      <c r="K4597" s="751"/>
      <c r="L4597" s="722" t="s">
        <v>100</v>
      </c>
      <c r="M4597" s="747" t="s">
        <v>114</v>
      </c>
      <c r="N4597" s="747"/>
      <c r="O4597" s="747"/>
      <c r="P4597" s="747"/>
      <c r="Q4597" s="748"/>
      <c r="R4597" s="758" t="s">
        <v>280</v>
      </c>
      <c r="S4597" s="748"/>
      <c r="T4597" s="762" t="str">
        <f>IF(COUNTIF(AE4597:AF4597,"VERIFICAR")&gt;0,"VERIFICAR",IF(COUNTIF(AE4597:AF4597,"NO CUMPLE")&gt;0,"NO CUMPLE","CUMPLE"))</f>
        <v>VERIFICAR</v>
      </c>
      <c r="U4597" s="108"/>
      <c r="Y4597" s="533" t="e">
        <f>IF(F4598="","",IF(F4598=1,"INDIVIDUAL","ESTRUCTURA PLURAL"))</f>
        <v>#N/A</v>
      </c>
      <c r="AC4597" s="52"/>
      <c r="AD4597" s="475" t="s">
        <v>303</v>
      </c>
      <c r="AE4597" s="476" t="str">
        <f>IF(COUNTIF(AE4583:AE4592,"")=10,"VERIFICAR",IF(COUNTIF(AE4583:AE4592,"SI")&gt;0,"CUMPLE","NO CUMPLE"))</f>
        <v>VERIFICAR</v>
      </c>
      <c r="AF4597" s="477" t="str">
        <f>IF(COUNTIF(AF4583:AF4592,"")=10,"VERIFICAR",IF(COUNTIF(AF4583:AF4592,"SI")&gt;=$AI$22,"CUMPLE","NO CUMPLE"))</f>
        <v>VERIFICAR</v>
      </c>
      <c r="AG4597" s="52"/>
      <c r="AH4597" s="87"/>
      <c r="AI4597" s="87"/>
    </row>
    <row r="4598" spans="1:35" ht="15.75" hidden="1" customHeight="1" thickBot="1">
      <c r="A4598" s="218" t="e">
        <f>"L"&amp;E4579</f>
        <v>#N/A</v>
      </c>
      <c r="B4598" s="702"/>
      <c r="C4598" s="751" t="s">
        <v>103</v>
      </c>
      <c r="D4598" s="751"/>
      <c r="E4598" s="752"/>
      <c r="F4598" s="557" t="e">
        <f>IF(VLOOKUP(E4579,PROPONENTES!$C$19:$E$218,3,0)="","",VLOOKUP(E4579,PROPONENTES!$C$19:$E$218,3,0))</f>
        <v>#N/A</v>
      </c>
      <c r="G4598" s="753" t="s">
        <v>104</v>
      </c>
      <c r="H4598" s="751"/>
      <c r="I4598" s="715" t="e">
        <f>IF(OR(F4598="",F4598=1),"INTERESADO PERSONA NATURAL O JURIDICA","CONSORCIO O UNION TEMPORAL")</f>
        <v>#N/A</v>
      </c>
      <c r="J4598" s="725"/>
      <c r="K4598" s="728"/>
      <c r="L4598" s="723"/>
      <c r="M4598" s="749"/>
      <c r="N4598" s="749"/>
      <c r="O4598" s="749"/>
      <c r="P4598" s="749"/>
      <c r="Q4598" s="750"/>
      <c r="R4598" s="712"/>
      <c r="S4598" s="750"/>
      <c r="T4598" s="763"/>
      <c r="U4598" s="108"/>
      <c r="Y4598" s="534"/>
      <c r="AA4598" s="52"/>
      <c r="AB4598" s="52"/>
      <c r="AC4598" s="52"/>
      <c r="AG4598" s="52"/>
      <c r="AH4598" s="87"/>
      <c r="AI4598" s="87"/>
    </row>
    <row r="4599" spans="1:35" ht="56.25" hidden="1" customHeight="1" thickBot="1">
      <c r="A4599" s="218" t="e">
        <f>"M"&amp;E4579</f>
        <v>#N/A</v>
      </c>
      <c r="B4599" s="702"/>
      <c r="C4599" s="725" t="s">
        <v>101</v>
      </c>
      <c r="D4599" s="716"/>
      <c r="E4599" s="558" t="s">
        <v>105</v>
      </c>
      <c r="F4599" s="554" t="s">
        <v>87</v>
      </c>
      <c r="G4599" s="553" t="s">
        <v>86</v>
      </c>
      <c r="H4599" s="559" t="s">
        <v>85</v>
      </c>
      <c r="I4599" s="554" t="s">
        <v>252</v>
      </c>
      <c r="J4599" s="553" t="str">
        <f>"¿EL INTEGRANTE TIENE UNA PARTICIPACIÓN DEL "&amp;PORCREQUERIDOINT*100&amp;"%?"</f>
        <v>¿EL INTEGRANTE TIENE UNA PARTICIPACIÓN DEL 60%?</v>
      </c>
      <c r="K4599" s="554" t="s">
        <v>107</v>
      </c>
      <c r="L4599" s="724"/>
      <c r="M4599" s="717" t="s">
        <v>115</v>
      </c>
      <c r="N4599" s="718"/>
      <c r="O4599" s="718"/>
      <c r="P4599" s="718"/>
      <c r="Q4599" s="223">
        <f>IF(AND(H4583="SI",P4583&gt;=0),1,0)+IF(AND(H4584="SI",P4584&gt;=0),1,0)+IF(AND(H4585="SI",P4585&gt;=0),1,0)+IF(AND(H4586="SI",P4586&gt;=0),1,0)+IF(AND(H4587="SI",P4587&gt;=0),1,0)+IF(AND(H4588="SI",P4588&gt;=0),1,0)+IF(AND(H4589="SI",P4589&gt;=0),1,0)+IF(AND(H4590="SI",P4590&gt;=0),1,0)+IF(AND(H4591="SI",P4591&gt;=0),1,0)+IF(AND(H4592="SI",P4592&gt;=0),1,0)</f>
        <v>0</v>
      </c>
      <c r="R4599" s="759"/>
      <c r="S4599" s="761"/>
      <c r="T4599" s="764"/>
      <c r="U4599" s="219"/>
      <c r="V4599" s="464"/>
      <c r="Y4599" s="532" t="s">
        <v>342</v>
      </c>
      <c r="AA4599" s="550" t="s">
        <v>344</v>
      </c>
      <c r="AB4599" s="693" t="s">
        <v>345</v>
      </c>
      <c r="AC4599" s="693" t="s">
        <v>346</v>
      </c>
      <c r="AD4599" s="685" t="s">
        <v>347</v>
      </c>
      <c r="AE4599" s="52"/>
      <c r="AF4599" s="52"/>
      <c r="AG4599" s="52"/>
      <c r="AH4599" s="87"/>
      <c r="AI4599" s="87"/>
    </row>
    <row r="4600" spans="1:35" ht="15.75" hidden="1" customHeight="1" thickBot="1">
      <c r="A4600" s="218" t="e">
        <f>"N"&amp;E4579</f>
        <v>#N/A</v>
      </c>
      <c r="B4600" s="702"/>
      <c r="C4600" s="114">
        <v>1</v>
      </c>
      <c r="D4600" s="194" t="e">
        <f>IF(AND(C4600&lt;=F4598,F4598&gt;1,F4598&lt;&gt;""),VLOOKUP(VALUE(E4579&amp;","&amp;C4600),INTEGRANTES!$D$18:$F$235,2,0),"")</f>
        <v>#N/A</v>
      </c>
      <c r="E4600" s="211" t="e">
        <f>IF(D4600&lt;&gt;"",VLOOKUP(VALUE(E4579&amp;","&amp;C4600),INTEGRANTES!$D$18:$F$235,3,0),"")</f>
        <v>#N/A</v>
      </c>
      <c r="F4600" s="547" t="e">
        <f>IF(D4600="","",SUMIF($I4583:$I4592,D4600,$P4583:$P4592))</f>
        <v>#N/A</v>
      </c>
      <c r="G4600" s="333" t="e">
        <f>IF(D4600="","",SUMIF($I4583:$I4592,D4600,$M4583:$M4592))</f>
        <v>#N/A</v>
      </c>
      <c r="H4600" s="535" t="e">
        <f t="shared" ref="H4600:H4605" si="1361">IF(D4600="","",IF(OR(F4600=0,G4600=0),"NO APORTA",ROUND($F4600/$G4600,3)))</f>
        <v>#N/A</v>
      </c>
      <c r="I4600" s="212" t="e">
        <f>IF(D4600="","",IF(H4600="NO APORTA","NO",IF(H4600=MAX($H4600:$H4605),"SI","NO")))</f>
        <v>#N/A</v>
      </c>
      <c r="J4600" s="213" t="e">
        <f t="shared" ref="J4600:J4605" si="1362">IF(D4600="","",IF(E4600&gt;=PORCREQUERIDOINT,"SI","NO"))</f>
        <v>#N/A</v>
      </c>
      <c r="K4600" s="200" t="e">
        <f t="shared" ref="K4600:K4605" si="1363">IF(D4600="","",IF(AND(I4600="SI",J4600="SI"),"CUMPLE",IF(AND(I4600="NO",OR(J4600="SI",J4600="NO")),"","NO CUMPLE")))</f>
        <v>#N/A</v>
      </c>
      <c r="L4600" s="722" t="s">
        <v>108</v>
      </c>
      <c r="M4600" s="726" t="s">
        <v>119</v>
      </c>
      <c r="N4600" s="726"/>
      <c r="O4600" s="726"/>
      <c r="P4600" s="726"/>
      <c r="Q4600" s="727"/>
      <c r="R4600" s="758" t="s">
        <v>80</v>
      </c>
      <c r="S4600" s="747"/>
      <c r="T4600" s="748"/>
      <c r="U4600" s="219"/>
      <c r="V4600" s="464"/>
      <c r="Y4600" s="533" t="e">
        <f>IF(Y4597="","",IF(Y4597="INDIVIDUAL","NO APLICA","VERIFICAR CUADRO"))</f>
        <v>#N/A</v>
      </c>
      <c r="AA4600" s="551"/>
      <c r="AB4600" s="694"/>
      <c r="AC4600" s="694"/>
      <c r="AD4600" s="686"/>
      <c r="AE4600" s="52"/>
      <c r="AF4600" s="52"/>
      <c r="AG4600" s="52"/>
      <c r="AH4600" s="87"/>
      <c r="AI4600" s="87"/>
    </row>
    <row r="4601" spans="1:35" ht="27" hidden="1" customHeight="1" thickBot="1">
      <c r="A4601" s="218" t="e">
        <f>"O"&amp;E4579</f>
        <v>#N/A</v>
      </c>
      <c r="B4601" s="702"/>
      <c r="C4601" s="114">
        <v>2</v>
      </c>
      <c r="D4601" s="194" t="e">
        <f>IF(AND(C4601&lt;=F4598,F4598&lt;&gt;""),VLOOKUP(VALUE(E4579&amp;","&amp;C4601),INTEGRANTES!$D$18:$F$235,2,0),"")</f>
        <v>#N/A</v>
      </c>
      <c r="E4601" s="211" t="e">
        <f>IF(D4601&lt;&gt;"",VLOOKUP(VALUE(E4579&amp;","&amp;C4601),INTEGRANTES!$D$18:$F$235,3,0),"")</f>
        <v>#N/A</v>
      </c>
      <c r="F4601" s="547" t="e">
        <f>IF(D4601="","",SUMIF($I4583:$I4592,D4601,$P4583:$P4592))</f>
        <v>#N/A</v>
      </c>
      <c r="G4601" s="333" t="e">
        <f>IF(D4601="","",SUMIF($I4583:$I4592,D4601,$M4583:$M4592))</f>
        <v>#N/A</v>
      </c>
      <c r="H4601" s="535" t="e">
        <f t="shared" si="1361"/>
        <v>#N/A</v>
      </c>
      <c r="I4601" s="212" t="e">
        <f>IF(D4601="","",IF(H4601="NO APORTA","NO",IF(H4601=MAX($H4600:$H4605),"SI","NO")))</f>
        <v>#N/A</v>
      </c>
      <c r="J4601" s="213" t="e">
        <f t="shared" si="1362"/>
        <v>#N/A</v>
      </c>
      <c r="K4601" s="200" t="e">
        <f t="shared" si="1363"/>
        <v>#N/A</v>
      </c>
      <c r="L4601" s="723"/>
      <c r="M4601" s="715" t="s">
        <v>116</v>
      </c>
      <c r="N4601" s="716"/>
      <c r="O4601" s="556" t="s">
        <v>113</v>
      </c>
      <c r="P4601" s="715" t="s">
        <v>117</v>
      </c>
      <c r="Q4601" s="728"/>
      <c r="R4601" s="759"/>
      <c r="S4601" s="760"/>
      <c r="T4601" s="761"/>
      <c r="U4601" s="219"/>
      <c r="V4601" s="464"/>
      <c r="Y4601" s="414"/>
      <c r="AA4601" s="542" t="e">
        <f>IF(AND(C4600&lt;=F4598,F4598&gt;1,F4598&lt;&gt;""),VLOOKUP(VALUE(E4579&amp;","&amp;C4600),INTEGRANTES!$D$18:$F$235,2,0),"")</f>
        <v>#N/A</v>
      </c>
      <c r="AB4601" s="544" t="e">
        <f t="shared" ref="AB4601:AB4606" si="1364">IF(D4600="","",IF(OR(F4600=0,G4600=0),"NO APORTA",ROUND($F4600/$G4600,3)))</f>
        <v>#N/A</v>
      </c>
      <c r="AC4601" s="529"/>
      <c r="AD4601" s="200" t="e">
        <f t="shared" ref="AD4601:AD4606" si="1365">IF(OR(AA4601="",AB4601=""),"",IF(AND(AC4601="X",AB4601&gt;=EXPREQVTD),"CUMPLE","NO CUMPLE"))</f>
        <v>#N/A</v>
      </c>
      <c r="AE4601" s="52"/>
      <c r="AF4601" s="52"/>
      <c r="AG4601" s="52"/>
      <c r="AH4601" s="87"/>
      <c r="AI4601" s="87"/>
    </row>
    <row r="4602" spans="1:35" ht="16.5" hidden="1" thickBot="1">
      <c r="A4602" s="218" t="e">
        <f>"P"&amp;E4579</f>
        <v>#N/A</v>
      </c>
      <c r="B4602" s="702"/>
      <c r="C4602" s="114">
        <v>3</v>
      </c>
      <c r="D4602" s="194" t="e">
        <f>IF(AND(C4602&lt;=F4598,F4598&lt;&gt;""),VLOOKUP(VALUE(E4579&amp;","&amp;C4602),INTEGRANTES!$D$18:$F$235,2,0),"")</f>
        <v>#N/A</v>
      </c>
      <c r="E4602" s="211" t="e">
        <f>IF(D4602&lt;&gt;"",VLOOKUP(VALUE(E4579&amp;","&amp;C4602),INTEGRANTES!$D$18:$F$235,3,0),"")</f>
        <v>#N/A</v>
      </c>
      <c r="F4602" s="547" t="e">
        <f>IF(D4602="","",SUMIF($I4583:$I4592,D4602,$P4583:$P4592))</f>
        <v>#N/A</v>
      </c>
      <c r="G4602" s="333" t="e">
        <f>IF(D4602="","",SUMIF($I4583:$I4592,D4602,$M4583:$M4592))</f>
        <v>#N/A</v>
      </c>
      <c r="H4602" s="535" t="e">
        <f t="shared" si="1361"/>
        <v>#N/A</v>
      </c>
      <c r="I4602" s="212" t="e">
        <f>IF(D4602="","",IF(H4602="NO APORTA","NO",IF(H4602=MAX($H4600:$H4605),"SI","NO")))</f>
        <v>#N/A</v>
      </c>
      <c r="J4602" s="213" t="e">
        <f t="shared" si="1362"/>
        <v>#N/A</v>
      </c>
      <c r="K4602" s="200" t="e">
        <f t="shared" si="1363"/>
        <v>#N/A</v>
      </c>
      <c r="L4602" s="724"/>
      <c r="M4602" s="729">
        <f>NUMMOD</f>
        <v>1</v>
      </c>
      <c r="N4602" s="730"/>
      <c r="O4602" s="443">
        <f>IF(M4602="","",VLOOKUP(M4602,PRESUPUESTOS!$B$16:$H$16,5,FALSE))</f>
        <v>2</v>
      </c>
      <c r="P4602" s="713">
        <f>IF(OR(COUNTIF(M4583:M4592,"")&gt;=10,Q4599&lt;NUMMINCONT,OR(T4597="NO CUMPLE",T4597="VERIFICAR")),0,ROUND(AVERAGE(M4583:M4592),3))</f>
        <v>0</v>
      </c>
      <c r="Q4602" s="714"/>
      <c r="R4602" s="458"/>
      <c r="S4602" s="459"/>
      <c r="T4602" s="460"/>
      <c r="U4602" s="219"/>
      <c r="V4602" s="464"/>
      <c r="Y4602" s="532" t="str">
        <f>"40% * ("&amp;PRESUPUESTOS!$H$13&amp;")"</f>
        <v>40% * (50% PFMO)</v>
      </c>
      <c r="AA4602" s="540" t="e">
        <f>IF(AND(C4601&lt;=F4598,F4598&lt;&gt;""),VLOOKUP(VALUE(E4579&amp;","&amp;C4601),INTEGRANTES!$D$18:$F$235,2,0),"")</f>
        <v>#N/A</v>
      </c>
      <c r="AB4602" s="545" t="e">
        <f t="shared" si="1364"/>
        <v>#N/A</v>
      </c>
      <c r="AC4602" s="529"/>
      <c r="AD4602" s="200" t="e">
        <f t="shared" si="1365"/>
        <v>#N/A</v>
      </c>
      <c r="AE4602" s="52"/>
      <c r="AF4602" s="52"/>
      <c r="AG4602" s="52"/>
      <c r="AH4602" s="87"/>
      <c r="AI4602" s="87"/>
    </row>
    <row r="4603" spans="1:35" ht="15.75" hidden="1" customHeight="1" thickBot="1">
      <c r="A4603" s="218" t="e">
        <f>"Q"&amp;E4579</f>
        <v>#N/A</v>
      </c>
      <c r="B4603" s="702"/>
      <c r="C4603" s="114">
        <v>4</v>
      </c>
      <c r="D4603" s="194" t="e">
        <f>IF(AND(C4603&lt;=F4598,F4598&lt;&gt;""),VLOOKUP(VALUE(E4579&amp;","&amp;C4603),INTEGRANTES!$D$18:$F$235,2,0),"")</f>
        <v>#N/A</v>
      </c>
      <c r="E4603" s="211" t="e">
        <f>IF(D4603&lt;&gt;"",VLOOKUP(VALUE(E4579&amp;","&amp;C4603),INTEGRANTES!$D$18:$F$235,3,0),"")</f>
        <v>#N/A</v>
      </c>
      <c r="F4603" s="547" t="e">
        <f>IF(D4603="","",SUMIF($I4583:$I4592,D4603,$P4583:$P4592))</f>
        <v>#N/A</v>
      </c>
      <c r="G4603" s="333" t="e">
        <f>IF(D4603="","",SUMIF($I4583:$I4592,D4603,$M4583:$M4592))</f>
        <v>#N/A</v>
      </c>
      <c r="H4603" s="535" t="e">
        <f t="shared" si="1361"/>
        <v>#N/A</v>
      </c>
      <c r="I4603" s="212" t="e">
        <f>IF(D4603="","",IF(H4603="NO APORTA","NO",IF(H4603=MAX($H4600:$H4605),"SI","NO")))</f>
        <v>#N/A</v>
      </c>
      <c r="J4603" s="213" t="e">
        <f t="shared" si="1362"/>
        <v>#N/A</v>
      </c>
      <c r="K4603" s="200" t="e">
        <f t="shared" si="1363"/>
        <v>#N/A</v>
      </c>
      <c r="L4603" s="720" t="s">
        <v>109</v>
      </c>
      <c r="M4603" s="757" t="s">
        <v>120</v>
      </c>
      <c r="N4603" s="726"/>
      <c r="O4603" s="726"/>
      <c r="P4603" s="726"/>
      <c r="Q4603" s="727"/>
      <c r="R4603" s="458"/>
      <c r="S4603" s="459"/>
      <c r="T4603" s="460"/>
      <c r="U4603" s="219"/>
      <c r="V4603" s="464"/>
      <c r="Y4603" s="537">
        <f>0.4*PRESUPUESTOS!$H$16</f>
        <v>10.3124</v>
      </c>
      <c r="AA4603" s="540" t="e">
        <f>IF(AND(C4602&lt;=F4598,F4598&lt;&gt;""),VLOOKUP(VALUE(E4579&amp;","&amp;C4602),INTEGRANTES!$D$18:$F$235,2,0),"")</f>
        <v>#N/A</v>
      </c>
      <c r="AB4603" s="545" t="e">
        <f t="shared" si="1364"/>
        <v>#N/A</v>
      </c>
      <c r="AC4603" s="529"/>
      <c r="AD4603" s="200" t="e">
        <f t="shared" si="1365"/>
        <v>#N/A</v>
      </c>
      <c r="AE4603" s="52"/>
      <c r="AF4603" s="52"/>
      <c r="AG4603" s="52"/>
      <c r="AH4603" s="87"/>
      <c r="AI4603" s="87"/>
    </row>
    <row r="4604" spans="1:35" ht="27" hidden="1" customHeight="1" thickBot="1">
      <c r="A4604" s="218" t="e">
        <f>"R"&amp;E4579</f>
        <v>#N/A</v>
      </c>
      <c r="B4604" s="702"/>
      <c r="C4604" s="114">
        <v>5</v>
      </c>
      <c r="D4604" s="194" t="e">
        <f>IF(AND(C4604&lt;=F4598,F4598&lt;&gt;""),VLOOKUP(VALUE(E4579&amp;","&amp;C4604),INTEGRANTES!$D$18:$F$235,2,0),"")</f>
        <v>#N/A</v>
      </c>
      <c r="E4604" s="211" t="e">
        <f>IF(D4604&lt;&gt;"",VLOOKUP(VALUE(E4579&amp;","&amp;C4604),INTEGRANTES!$D$18:$F$235,3,0),"")</f>
        <v>#N/A</v>
      </c>
      <c r="F4604" s="547" t="e">
        <f>IF(D4604="","",SUMIF($I4583:$I4592,D4604,$P4583:$P4592))</f>
        <v>#N/A</v>
      </c>
      <c r="G4604" s="333" t="e">
        <f>IF(D4604="","",SUMIF($I4583:$I4592,D4604,$M4583:$M4592))</f>
        <v>#N/A</v>
      </c>
      <c r="H4604" s="535" t="e">
        <f t="shared" si="1361"/>
        <v>#N/A</v>
      </c>
      <c r="I4604" s="212" t="e">
        <f>IF(D4604="","",IF(H4604="NO APORTA","NO",IF(H4604=MAX($H4600:$H4605),"SI","NO")))</f>
        <v>#N/A</v>
      </c>
      <c r="J4604" s="213" t="e">
        <f t="shared" si="1362"/>
        <v>#N/A</v>
      </c>
      <c r="K4604" s="200" t="e">
        <f t="shared" si="1363"/>
        <v>#N/A</v>
      </c>
      <c r="L4604" s="721"/>
      <c r="M4604" s="715" t="s">
        <v>116</v>
      </c>
      <c r="N4604" s="716"/>
      <c r="O4604" s="556" t="str">
        <f>PORCREQUERIDO*100&amp;"% PMFO DEL MÓDULO"</f>
        <v>50% PMFO DEL MÓDULO</v>
      </c>
      <c r="P4604" s="715" t="s">
        <v>118</v>
      </c>
      <c r="Q4604" s="728"/>
      <c r="R4604" s="458"/>
      <c r="S4604" s="459"/>
      <c r="T4604" s="460"/>
      <c r="U4604" s="219"/>
      <c r="V4604" s="464"/>
      <c r="Y4604" s="414"/>
      <c r="AA4604" s="540" t="e">
        <f>IF(AND(C4603&lt;=F4598,F4598&lt;&gt;""),VLOOKUP(VALUE(E4579&amp;","&amp;C4603),INTEGRANTES!$D$18:$F$235,2,0),"")</f>
        <v>#N/A</v>
      </c>
      <c r="AB4604" s="545" t="e">
        <f t="shared" si="1364"/>
        <v>#N/A</v>
      </c>
      <c r="AC4604" s="529"/>
      <c r="AD4604" s="200" t="e">
        <f t="shared" si="1365"/>
        <v>#N/A</v>
      </c>
      <c r="AE4604" s="52"/>
      <c r="AF4604" s="52"/>
      <c r="AG4604" s="52"/>
      <c r="AH4604" s="87"/>
      <c r="AI4604" s="87"/>
    </row>
    <row r="4605" spans="1:35" ht="16.5" hidden="1" thickBot="1">
      <c r="A4605" s="218" t="e">
        <f>"S"&amp;E4579</f>
        <v>#N/A</v>
      </c>
      <c r="B4605" s="702"/>
      <c r="C4605" s="215">
        <v>6</v>
      </c>
      <c r="D4605" s="216" t="e">
        <f>IF(AND(C4605&lt;=F4598,F4598&lt;&gt;""),VLOOKUP(VALUE(E4579&amp;","&amp;C4605),INTEGRANTES!$D$18:$F$235,2,0),"")</f>
        <v>#N/A</v>
      </c>
      <c r="E4605" s="217" t="e">
        <f>IF(D4605&lt;&gt;"",VLOOKUP(VALUE(E4579&amp;","&amp;C4605),INTEGRANTES!$D$18:$F$235,3,0),"")</f>
        <v>#N/A</v>
      </c>
      <c r="F4605" s="548" t="e">
        <f>IF(D4605="","",SUMIF($I4583:$I4592,D4605,$P4583:$P4592))</f>
        <v>#N/A</v>
      </c>
      <c r="G4605" s="334" t="e">
        <f>IF(D4605="","",SUMIF($I4583:$I4592,D4605,$M4583:$M4592))</f>
        <v>#N/A</v>
      </c>
      <c r="H4605" s="536" t="e">
        <f t="shared" si="1361"/>
        <v>#N/A</v>
      </c>
      <c r="I4605" s="214" t="e">
        <f>IF(D4605="","",IF(H4605="NO APORTA","NO",IF(H4605=MAX($H4600:$H4605),"SI","NO")))</f>
        <v>#N/A</v>
      </c>
      <c r="J4605" s="213" t="e">
        <f t="shared" si="1362"/>
        <v>#N/A</v>
      </c>
      <c r="K4605" s="200" t="e">
        <f t="shared" si="1363"/>
        <v>#N/A</v>
      </c>
      <c r="L4605" s="721"/>
      <c r="M4605" s="729">
        <f>NUMMOD</f>
        <v>1</v>
      </c>
      <c r="N4605" s="730"/>
      <c r="O4605" s="443">
        <f>IF(M4605="","",ROUND(VLOOKUP(M4605,PRESUPUESTOS!$B$16:$H$16,7,FALSE),3))</f>
        <v>25.780999999999999</v>
      </c>
      <c r="P4605" s="713">
        <f>IF(OR(COUNTIF(P4583:P4592,"")&gt;=10,Q4599&lt;NUMMINCONT,OR(T4597="NO CUMPLE",T4597="VERIFICAR")),0,ROUND((SUM(P4583:P4592)/SUM(M4583:M4592)),3))</f>
        <v>0</v>
      </c>
      <c r="Q4605" s="714"/>
      <c r="R4605" s="458"/>
      <c r="S4605" s="459"/>
      <c r="T4605" s="460"/>
      <c r="U4605" s="219"/>
      <c r="V4605" s="464"/>
      <c r="Y4605" s="532" t="s">
        <v>343</v>
      </c>
      <c r="AA4605" s="540" t="e">
        <f>IF(AND(C4604&lt;=F4598,F4598&lt;&gt;""),VLOOKUP(VALUE(E4579&amp;","&amp;C4604),INTEGRANTES!$D$18:$F$235,2,0),"")</f>
        <v>#N/A</v>
      </c>
      <c r="AB4605" s="545" t="e">
        <f t="shared" si="1364"/>
        <v>#N/A</v>
      </c>
      <c r="AC4605" s="529"/>
      <c r="AD4605" s="200" t="e">
        <f t="shared" si="1365"/>
        <v>#N/A</v>
      </c>
      <c r="AE4605" s="52"/>
      <c r="AF4605" s="52"/>
      <c r="AG4605" s="52"/>
      <c r="AH4605" s="87"/>
      <c r="AI4605" s="87"/>
    </row>
    <row r="4606" spans="1:35" ht="16.5" hidden="1" customHeight="1" thickBot="1">
      <c r="A4606" s="218" t="e">
        <f>"T"&amp;E4579</f>
        <v>#N/A</v>
      </c>
      <c r="B4606" s="703"/>
      <c r="C4606" s="719"/>
      <c r="D4606" s="719"/>
      <c r="E4606" s="719"/>
      <c r="F4606" s="719"/>
      <c r="G4606" s="719"/>
      <c r="H4606" s="719" t="s">
        <v>110</v>
      </c>
      <c r="I4606" s="719"/>
      <c r="J4606" s="719"/>
      <c r="K4606" s="201" t="str">
        <f>IF(COUNTIF(K4600:K4605,"")=6,"",IF(COUNTIF(K4600:K4605,"CUMPLE")&gt;0,"CUMPLE","NO CUMPLE"))</f>
        <v>NO CUMPLE</v>
      </c>
      <c r="L4606" s="754"/>
      <c r="M4606" s="755"/>
      <c r="N4606" s="755"/>
      <c r="O4606" s="755"/>
      <c r="P4606" s="755"/>
      <c r="Q4606" s="756"/>
      <c r="R4606" s="461"/>
      <c r="S4606" s="462"/>
      <c r="T4606" s="463"/>
      <c r="U4606" s="219"/>
      <c r="V4606" s="464"/>
      <c r="Y4606" s="549" t="e">
        <f>IF(Y4600="NO APLICA","NO APLICA",IF(COUNTIF(AD4601:AD4606,"CUMPLE")&gt;0,"CUMPLE","NO CUMPLE"))</f>
        <v>#N/A</v>
      </c>
      <c r="AA4606" s="541" t="e">
        <f>IF(AND(C4605&lt;=F4598,F4598&lt;&gt;""),VLOOKUP(VALUE(E4579&amp;","&amp;C4605),INTEGRANTES!$D$18:$F$235,2,0),"")</f>
        <v>#N/A</v>
      </c>
      <c r="AB4606" s="546" t="e">
        <f t="shared" si="1364"/>
        <v>#N/A</v>
      </c>
      <c r="AC4606" s="543"/>
      <c r="AD4606" s="201" t="e">
        <f t="shared" si="1365"/>
        <v>#N/A</v>
      </c>
      <c r="AE4606" s="52"/>
      <c r="AF4606" s="52"/>
      <c r="AG4606" s="52"/>
      <c r="AH4606" s="87"/>
      <c r="AI4606" s="87"/>
    </row>
    <row r="4607" spans="1:35" hidden="1">
      <c r="AH4607" s="87"/>
      <c r="AI4607" s="87"/>
    </row>
    <row r="4608" spans="1:35" hidden="1">
      <c r="AH4608" s="87"/>
      <c r="AI4608" s="87"/>
    </row>
    <row r="4609" spans="1:35" ht="24" hidden="1" thickBot="1">
      <c r="A4609" s="61">
        <v>154</v>
      </c>
      <c r="B4609" s="704" t="s">
        <v>51</v>
      </c>
      <c r="C4609" s="704"/>
      <c r="D4609" s="704"/>
      <c r="E4609" s="62" t="e">
        <f>VLOOKUP(A4609,PROPONENTES!$B$19:$E$218,2,FALSE)</f>
        <v>#N/A</v>
      </c>
      <c r="F4609" s="63" t="e">
        <f>VLOOKUP(A4609,PROPONENTES!$B$19:$E$218,3,FALSE)</f>
        <v>#N/A</v>
      </c>
      <c r="G4609" s="64"/>
      <c r="H4609" s="64"/>
      <c r="I4609" s="63"/>
      <c r="J4609" s="63"/>
      <c r="K4609" s="65"/>
      <c r="L4609" s="65"/>
      <c r="M4609" s="64"/>
      <c r="N4609" s="64"/>
      <c r="O4609" s="66"/>
      <c r="P4609" s="66"/>
      <c r="Q4609" s="66"/>
      <c r="R4609" s="66"/>
      <c r="S4609" s="67"/>
      <c r="T4609" s="68"/>
      <c r="U4609" s="68"/>
      <c r="AC4609" s="68"/>
      <c r="AD4609" s="68"/>
      <c r="AE4609" s="68"/>
      <c r="AF4609" s="68"/>
      <c r="AG4609" s="68"/>
      <c r="AH4609" s="87"/>
      <c r="AI4609" s="87"/>
    </row>
    <row r="4610" spans="1:35" ht="15.75" hidden="1" customHeight="1">
      <c r="A4610" s="44"/>
      <c r="B4610" s="709" t="s">
        <v>59</v>
      </c>
      <c r="C4610" s="552" t="s">
        <v>60</v>
      </c>
      <c r="D4610" s="70" t="s">
        <v>17</v>
      </c>
      <c r="E4610" s="70"/>
      <c r="F4610" s="70" t="s">
        <v>61</v>
      </c>
      <c r="G4610" s="71"/>
      <c r="H4610" s="699" t="s">
        <v>62</v>
      </c>
      <c r="I4610" s="699" t="s">
        <v>18</v>
      </c>
      <c r="J4610" s="699" t="s">
        <v>63</v>
      </c>
      <c r="K4610" s="699" t="s">
        <v>64</v>
      </c>
      <c r="L4610" s="699" t="s">
        <v>65</v>
      </c>
      <c r="M4610" s="743" t="s">
        <v>66</v>
      </c>
      <c r="N4610" s="699" t="s">
        <v>282</v>
      </c>
      <c r="O4610" s="745" t="s">
        <v>67</v>
      </c>
      <c r="P4610" s="746"/>
      <c r="Q4610" s="102" t="s">
        <v>75</v>
      </c>
      <c r="R4610" s="731" t="s">
        <v>22</v>
      </c>
      <c r="S4610" s="732"/>
      <c r="T4610" s="733"/>
      <c r="U4610" s="712" t="s">
        <v>298</v>
      </c>
      <c r="W4610" s="690" t="s">
        <v>268</v>
      </c>
      <c r="X4610" s="691"/>
      <c r="Y4610" s="692"/>
      <c r="Z4610" s="428"/>
      <c r="AA4610" s="697" t="s">
        <v>315</v>
      </c>
      <c r="AB4610" s="695" t="s">
        <v>322</v>
      </c>
      <c r="AC4610" s="49"/>
      <c r="AD4610" s="690" t="s">
        <v>297</v>
      </c>
      <c r="AE4610" s="691"/>
      <c r="AF4610" s="692"/>
      <c r="AG4610" s="49"/>
      <c r="AH4610" s="87"/>
      <c r="AI4610" s="87"/>
    </row>
    <row r="4611" spans="1:35" ht="72" hidden="1">
      <c r="A4611" s="44"/>
      <c r="B4611" s="710"/>
      <c r="C4611" s="553" t="s">
        <v>68</v>
      </c>
      <c r="D4611" s="73" t="s">
        <v>3</v>
      </c>
      <c r="E4611" s="73" t="s">
        <v>19</v>
      </c>
      <c r="F4611" s="73" t="s">
        <v>69</v>
      </c>
      <c r="G4611" s="74" t="s">
        <v>70</v>
      </c>
      <c r="H4611" s="700"/>
      <c r="I4611" s="700"/>
      <c r="J4611" s="700"/>
      <c r="K4611" s="700"/>
      <c r="L4611" s="700"/>
      <c r="M4611" s="744"/>
      <c r="N4611" s="700"/>
      <c r="O4611" s="553" t="s">
        <v>279</v>
      </c>
      <c r="P4611" s="73" t="s">
        <v>88</v>
      </c>
      <c r="Q4611" s="555" t="s">
        <v>76</v>
      </c>
      <c r="R4611" s="734"/>
      <c r="S4611" s="735"/>
      <c r="T4611" s="736"/>
      <c r="U4611" s="712"/>
      <c r="W4611" s="429" t="s">
        <v>269</v>
      </c>
      <c r="X4611" s="457" t="s">
        <v>278</v>
      </c>
      <c r="Y4611" s="430" t="s">
        <v>324</v>
      </c>
      <c r="Z4611" s="428"/>
      <c r="AA4611" s="698"/>
      <c r="AB4611" s="696"/>
      <c r="AC4611" s="49"/>
      <c r="AD4611" s="429" t="s">
        <v>292</v>
      </c>
      <c r="AE4611" s="431" t="s">
        <v>300</v>
      </c>
      <c r="AF4611" s="468" t="s">
        <v>301</v>
      </c>
      <c r="AG4611" s="49"/>
      <c r="AH4611" s="87"/>
      <c r="AI4611" s="87"/>
    </row>
    <row r="4612" spans="1:35" hidden="1">
      <c r="A4612" s="44"/>
      <c r="B4612" s="76"/>
      <c r="C4612" s="77"/>
      <c r="D4612" s="77"/>
      <c r="E4612" s="77"/>
      <c r="F4612" s="77"/>
      <c r="G4612" s="77"/>
      <c r="H4612" s="77"/>
      <c r="I4612" s="77"/>
      <c r="J4612" s="77"/>
      <c r="K4612" s="77"/>
      <c r="L4612" s="77"/>
      <c r="M4612" s="77"/>
      <c r="N4612" s="77"/>
      <c r="O4612" s="77"/>
      <c r="P4612" s="77"/>
      <c r="Q4612" s="77"/>
      <c r="R4612" s="77"/>
      <c r="S4612" s="78"/>
      <c r="T4612" s="79"/>
      <c r="U4612" s="109"/>
      <c r="V4612" s="49"/>
      <c r="W4612" s="432"/>
      <c r="X4612" s="454"/>
      <c r="Y4612" s="433"/>
      <c r="Z4612" s="6"/>
      <c r="AA4612" s="500"/>
      <c r="AB4612" s="562"/>
      <c r="AC4612" s="49"/>
      <c r="AD4612" s="210"/>
      <c r="AE4612" s="434"/>
      <c r="AF4612" s="435"/>
      <c r="AG4612" s="49"/>
      <c r="AH4612" s="87"/>
      <c r="AI4612" s="87"/>
    </row>
    <row r="4613" spans="1:35" hidden="1">
      <c r="A4613" s="80" t="e">
        <f>"A"&amp;E4609</f>
        <v>#N/A</v>
      </c>
      <c r="B4613" s="81">
        <v>1</v>
      </c>
      <c r="C4613" s="82"/>
      <c r="D4613" s="82"/>
      <c r="E4613" s="82"/>
      <c r="F4613" s="82"/>
      <c r="G4613" s="83"/>
      <c r="H4613" s="83"/>
      <c r="I4613" s="84"/>
      <c r="J4613" s="85"/>
      <c r="K4613" s="382"/>
      <c r="L4613" s="85"/>
      <c r="M4613" s="332" t="str">
        <f t="shared" ref="M4613:M4622" si="1366">IF(OR(J4613="",L4613="",H4613="NO"),"",IF(OR(J4613&gt;$P$17,J4613&lt;$O$17,L4613&gt;$P$17,AND(J4613&lt;$O$17,L4613&lt;$O$17)),"FUERA DE RANGO",IF(OR(K4613="---",K4613=""),IF(J4613&gt;=$O$17,ROUND((L4613-J4613+1)/360*12,3),ROUND((L4613-$O$17+1)/360*12,3)),IF(J4613&gt;=$O$17,ROUND((L4613-J4613+1)/360*12-ROUND(K4613,3),3),ROUND((L4613-$O$17+1)/360*12-ROUND(K4613,3),3)))))</f>
        <v/>
      </c>
      <c r="N4613" s="86"/>
      <c r="O4613" s="453" t="str">
        <f>IF(OR(G4613="",N4613=""),"",N4613*G4613)</f>
        <v/>
      </c>
      <c r="P4613" s="538" t="str">
        <f>IF(OR(H4613="",M4613="FUERA DE RANGO"),"",IF(OR(L4613&lt;$O$17,L4613&gt;$P$17,L4613="",H4613="NO"),"",IF(OR(N4613="",O4613=""),"",ROUND(O4613,3))))</f>
        <v/>
      </c>
      <c r="Q4613" s="539" t="str">
        <f t="shared" ref="Q4613:Q4622" si="1367">IF(AND(H4613="SI",P4613&lt;&gt;""),ROUND(P4613/M4613,3),"")</f>
        <v/>
      </c>
      <c r="R4613" s="737"/>
      <c r="S4613" s="738"/>
      <c r="T4613" s="739"/>
      <c r="U4613" s="470"/>
      <c r="V4613" s="165"/>
      <c r="W4613" s="446"/>
      <c r="X4613" s="456"/>
      <c r="Y4613" s="436"/>
      <c r="Z4613" s="437"/>
      <c r="AA4613" s="560"/>
      <c r="AB4613" s="561"/>
      <c r="AC4613" s="87"/>
      <c r="AD4613" s="466"/>
      <c r="AE4613" s="456"/>
      <c r="AF4613" s="467"/>
      <c r="AG4613" s="87"/>
      <c r="AH4613" s="87"/>
      <c r="AI4613" s="87"/>
    </row>
    <row r="4614" spans="1:35" hidden="1">
      <c r="A4614" s="80" t="e">
        <f>"B"&amp;E4609</f>
        <v>#N/A</v>
      </c>
      <c r="B4614" s="81">
        <v>2</v>
      </c>
      <c r="C4614" s="106"/>
      <c r="D4614" s="106"/>
      <c r="E4614" s="106"/>
      <c r="F4614" s="106"/>
      <c r="G4614" s="83"/>
      <c r="H4614" s="83"/>
      <c r="I4614" s="84"/>
      <c r="J4614" s="85"/>
      <c r="K4614" s="382"/>
      <c r="L4614" s="85"/>
      <c r="M4614" s="332" t="str">
        <f t="shared" si="1366"/>
        <v/>
      </c>
      <c r="N4614" s="86"/>
      <c r="O4614" s="453" t="str">
        <f t="shared" ref="O4614:O4622" si="1368">IF(OR(G4614="",N4614=""),"",N4614*G4614)</f>
        <v/>
      </c>
      <c r="P4614" s="538" t="str">
        <f t="shared" ref="P4614:P4622" si="1369">IF(OR(H4614="",M4614="FUERA DE RANGO"),"",IF(OR(L4614&lt;$O$17,L4614&gt;$P$17,L4614="",H4614="NO"),"",IF(OR(N4614="",O4614=""),"",ROUND(O4614,3))))</f>
        <v/>
      </c>
      <c r="Q4614" s="539" t="str">
        <f t="shared" si="1367"/>
        <v/>
      </c>
      <c r="R4614" s="740"/>
      <c r="S4614" s="741"/>
      <c r="T4614" s="742"/>
      <c r="U4614" s="471"/>
      <c r="V4614" s="165"/>
      <c r="W4614" s="446"/>
      <c r="X4614" s="456"/>
      <c r="Y4614" s="436"/>
      <c r="Z4614" s="437"/>
      <c r="AA4614" s="560"/>
      <c r="AB4614" s="561"/>
      <c r="AC4614" s="87"/>
      <c r="AD4614" s="466"/>
      <c r="AE4614" s="456"/>
      <c r="AF4614" s="467"/>
      <c r="AG4614" s="87"/>
      <c r="AH4614" s="87"/>
      <c r="AI4614" s="87"/>
    </row>
    <row r="4615" spans="1:35" hidden="1">
      <c r="A4615" s="80" t="e">
        <f>"C"&amp;E4609</f>
        <v>#N/A</v>
      </c>
      <c r="B4615" s="88">
        <v>3</v>
      </c>
      <c r="C4615" s="82"/>
      <c r="D4615" s="82"/>
      <c r="E4615" s="82"/>
      <c r="F4615" s="82"/>
      <c r="G4615" s="83"/>
      <c r="H4615" s="83"/>
      <c r="I4615" s="84"/>
      <c r="J4615" s="85"/>
      <c r="K4615" s="382"/>
      <c r="L4615" s="85"/>
      <c r="M4615" s="332" t="str">
        <f t="shared" si="1366"/>
        <v/>
      </c>
      <c r="N4615" s="86"/>
      <c r="O4615" s="453" t="str">
        <f t="shared" si="1368"/>
        <v/>
      </c>
      <c r="P4615" s="538" t="str">
        <f t="shared" si="1369"/>
        <v/>
      </c>
      <c r="Q4615" s="539" t="str">
        <f t="shared" si="1367"/>
        <v/>
      </c>
      <c r="R4615" s="706"/>
      <c r="S4615" s="707"/>
      <c r="T4615" s="708"/>
      <c r="U4615" s="472"/>
      <c r="V4615" s="166"/>
      <c r="W4615" s="446"/>
      <c r="X4615" s="456"/>
      <c r="Y4615" s="436"/>
      <c r="Z4615" s="437"/>
      <c r="AA4615" s="560"/>
      <c r="AB4615" s="561"/>
      <c r="AC4615" s="87"/>
      <c r="AD4615" s="466"/>
      <c r="AE4615" s="456"/>
      <c r="AF4615" s="467"/>
      <c r="AG4615" s="87"/>
      <c r="AH4615" s="87"/>
      <c r="AI4615" s="87"/>
    </row>
    <row r="4616" spans="1:35" hidden="1">
      <c r="A4616" s="80" t="e">
        <f>"D"&amp;E4609</f>
        <v>#N/A</v>
      </c>
      <c r="B4616" s="105">
        <v>4</v>
      </c>
      <c r="C4616" s="107"/>
      <c r="D4616" s="107"/>
      <c r="E4616" s="107"/>
      <c r="F4616" s="107"/>
      <c r="G4616" s="83"/>
      <c r="H4616" s="83"/>
      <c r="I4616" s="84"/>
      <c r="J4616" s="85"/>
      <c r="K4616" s="382"/>
      <c r="L4616" s="85"/>
      <c r="M4616" s="332" t="str">
        <f t="shared" si="1366"/>
        <v/>
      </c>
      <c r="N4616" s="86"/>
      <c r="O4616" s="453" t="str">
        <f t="shared" si="1368"/>
        <v/>
      </c>
      <c r="P4616" s="538" t="str">
        <f t="shared" si="1369"/>
        <v/>
      </c>
      <c r="Q4616" s="539" t="str">
        <f t="shared" si="1367"/>
        <v/>
      </c>
      <c r="R4616" s="706"/>
      <c r="S4616" s="707"/>
      <c r="T4616" s="708"/>
      <c r="U4616" s="472"/>
      <c r="V4616" s="166"/>
      <c r="W4616" s="446"/>
      <c r="X4616" s="456"/>
      <c r="Y4616" s="436"/>
      <c r="Z4616" s="437"/>
      <c r="AA4616" s="560"/>
      <c r="AB4616" s="561"/>
      <c r="AC4616" s="87"/>
      <c r="AD4616" s="466"/>
      <c r="AE4616" s="456"/>
      <c r="AF4616" s="467"/>
      <c r="AG4616" s="87"/>
      <c r="AH4616" s="87"/>
      <c r="AI4616" s="87"/>
    </row>
    <row r="4617" spans="1:35" hidden="1">
      <c r="A4617" s="80" t="e">
        <f>"E"&amp;E4609</f>
        <v>#N/A</v>
      </c>
      <c r="B4617" s="105">
        <v>5</v>
      </c>
      <c r="C4617" s="107"/>
      <c r="D4617" s="107"/>
      <c r="E4617" s="107"/>
      <c r="F4617" s="107"/>
      <c r="G4617" s="83"/>
      <c r="H4617" s="83"/>
      <c r="I4617" s="84"/>
      <c r="J4617" s="85"/>
      <c r="K4617" s="382"/>
      <c r="L4617" s="85"/>
      <c r="M4617" s="332" t="str">
        <f t="shared" si="1366"/>
        <v/>
      </c>
      <c r="N4617" s="86"/>
      <c r="O4617" s="453" t="str">
        <f t="shared" si="1368"/>
        <v/>
      </c>
      <c r="P4617" s="538" t="str">
        <f t="shared" si="1369"/>
        <v/>
      </c>
      <c r="Q4617" s="539" t="str">
        <f t="shared" si="1367"/>
        <v/>
      </c>
      <c r="R4617" s="706"/>
      <c r="S4617" s="707"/>
      <c r="T4617" s="708"/>
      <c r="U4617" s="472"/>
      <c r="V4617" s="167"/>
      <c r="W4617" s="446"/>
      <c r="X4617" s="456"/>
      <c r="Y4617" s="436"/>
      <c r="Z4617" s="437"/>
      <c r="AA4617" s="560"/>
      <c r="AB4617" s="561"/>
      <c r="AC4617" s="87"/>
      <c r="AD4617" s="466"/>
      <c r="AE4617" s="456"/>
      <c r="AF4617" s="467"/>
      <c r="AG4617" s="87"/>
      <c r="AH4617" s="87"/>
      <c r="AI4617" s="87"/>
    </row>
    <row r="4618" spans="1:35" hidden="1">
      <c r="A4618" s="80" t="e">
        <f>"F"&amp;E4609</f>
        <v>#N/A</v>
      </c>
      <c r="B4618" s="105">
        <v>6</v>
      </c>
      <c r="C4618" s="107"/>
      <c r="D4618" s="107"/>
      <c r="E4618" s="107"/>
      <c r="F4618" s="107"/>
      <c r="G4618" s="83"/>
      <c r="H4618" s="83"/>
      <c r="I4618" s="84"/>
      <c r="J4618" s="85"/>
      <c r="K4618" s="382"/>
      <c r="L4618" s="85"/>
      <c r="M4618" s="332" t="str">
        <f t="shared" si="1366"/>
        <v/>
      </c>
      <c r="N4618" s="86"/>
      <c r="O4618" s="453" t="str">
        <f t="shared" si="1368"/>
        <v/>
      </c>
      <c r="P4618" s="538" t="str">
        <f t="shared" si="1369"/>
        <v/>
      </c>
      <c r="Q4618" s="539" t="str">
        <f t="shared" si="1367"/>
        <v/>
      </c>
      <c r="R4618" s="706"/>
      <c r="S4618" s="707"/>
      <c r="T4618" s="708"/>
      <c r="U4618" s="472"/>
      <c r="V4618" s="167"/>
      <c r="W4618" s="446"/>
      <c r="X4618" s="456"/>
      <c r="Y4618" s="436"/>
      <c r="Z4618" s="437"/>
      <c r="AA4618" s="560"/>
      <c r="AB4618" s="561"/>
      <c r="AC4618" s="87"/>
      <c r="AD4618" s="466"/>
      <c r="AE4618" s="456"/>
      <c r="AF4618" s="467"/>
      <c r="AG4618" s="87"/>
      <c r="AH4618" s="87"/>
      <c r="AI4618" s="87"/>
    </row>
    <row r="4619" spans="1:35" hidden="1">
      <c r="A4619" s="80" t="e">
        <f>"G"&amp;E4609</f>
        <v>#N/A</v>
      </c>
      <c r="B4619" s="105">
        <v>7</v>
      </c>
      <c r="C4619" s="107"/>
      <c r="D4619" s="107"/>
      <c r="E4619" s="107"/>
      <c r="F4619" s="107"/>
      <c r="G4619" s="83"/>
      <c r="H4619" s="83"/>
      <c r="I4619" s="84"/>
      <c r="J4619" s="85"/>
      <c r="K4619" s="382"/>
      <c r="L4619" s="85"/>
      <c r="M4619" s="332" t="str">
        <f t="shared" si="1366"/>
        <v/>
      </c>
      <c r="N4619" s="86"/>
      <c r="O4619" s="86" t="str">
        <f t="shared" si="1368"/>
        <v/>
      </c>
      <c r="P4619" s="538" t="str">
        <f t="shared" si="1369"/>
        <v/>
      </c>
      <c r="Q4619" s="539" t="str">
        <f t="shared" si="1367"/>
        <v/>
      </c>
      <c r="R4619" s="706"/>
      <c r="S4619" s="707"/>
      <c r="T4619" s="708"/>
      <c r="U4619" s="472"/>
      <c r="V4619" s="167"/>
      <c r="W4619" s="446"/>
      <c r="X4619" s="456"/>
      <c r="Y4619" s="436"/>
      <c r="Z4619" s="437"/>
      <c r="AA4619" s="560"/>
      <c r="AB4619" s="561"/>
      <c r="AC4619" s="87"/>
      <c r="AD4619" s="466"/>
      <c r="AE4619" s="456"/>
      <c r="AF4619" s="467"/>
      <c r="AG4619" s="87"/>
      <c r="AH4619" s="87"/>
      <c r="AI4619" s="87"/>
    </row>
    <row r="4620" spans="1:35" hidden="1">
      <c r="A4620" s="80" t="e">
        <f>"H"&amp;E4609</f>
        <v>#N/A</v>
      </c>
      <c r="B4620" s="105">
        <v>8</v>
      </c>
      <c r="C4620" s="107"/>
      <c r="D4620" s="107"/>
      <c r="E4620" s="107"/>
      <c r="F4620" s="107"/>
      <c r="G4620" s="83"/>
      <c r="H4620" s="83"/>
      <c r="I4620" s="84"/>
      <c r="J4620" s="85"/>
      <c r="K4620" s="382"/>
      <c r="L4620" s="85"/>
      <c r="M4620" s="332" t="str">
        <f t="shared" si="1366"/>
        <v/>
      </c>
      <c r="N4620" s="453"/>
      <c r="O4620" s="86" t="str">
        <f t="shared" si="1368"/>
        <v/>
      </c>
      <c r="P4620" s="538" t="str">
        <f t="shared" si="1369"/>
        <v/>
      </c>
      <c r="Q4620" s="539" t="str">
        <f t="shared" si="1367"/>
        <v/>
      </c>
      <c r="R4620" s="706"/>
      <c r="S4620" s="707"/>
      <c r="T4620" s="708"/>
      <c r="U4620" s="472"/>
      <c r="V4620" s="167"/>
      <c r="W4620" s="446"/>
      <c r="X4620" s="456"/>
      <c r="Y4620" s="436"/>
      <c r="Z4620" s="437"/>
      <c r="AA4620" s="560"/>
      <c r="AB4620" s="561"/>
      <c r="AC4620" s="87"/>
      <c r="AD4620" s="466"/>
      <c r="AE4620" s="456"/>
      <c r="AF4620" s="467"/>
      <c r="AG4620" s="87"/>
      <c r="AH4620" s="87"/>
      <c r="AI4620" s="87"/>
    </row>
    <row r="4621" spans="1:35" hidden="1">
      <c r="A4621" s="80" t="e">
        <f>"I"&amp;E4609</f>
        <v>#N/A</v>
      </c>
      <c r="B4621" s="105">
        <v>9</v>
      </c>
      <c r="C4621" s="107"/>
      <c r="D4621" s="107"/>
      <c r="E4621" s="107"/>
      <c r="F4621" s="107"/>
      <c r="G4621" s="83"/>
      <c r="H4621" s="83"/>
      <c r="I4621" s="84"/>
      <c r="J4621" s="85"/>
      <c r="K4621" s="382"/>
      <c r="L4621" s="85"/>
      <c r="M4621" s="332" t="str">
        <f t="shared" si="1366"/>
        <v/>
      </c>
      <c r="N4621" s="453"/>
      <c r="O4621" s="86" t="str">
        <f t="shared" si="1368"/>
        <v/>
      </c>
      <c r="P4621" s="538" t="str">
        <f t="shared" si="1369"/>
        <v/>
      </c>
      <c r="Q4621" s="539" t="str">
        <f t="shared" si="1367"/>
        <v/>
      </c>
      <c r="R4621" s="706"/>
      <c r="S4621" s="707"/>
      <c r="T4621" s="708"/>
      <c r="U4621" s="472"/>
      <c r="V4621" s="167"/>
      <c r="W4621" s="446"/>
      <c r="X4621" s="456"/>
      <c r="Y4621" s="436"/>
      <c r="Z4621" s="437"/>
      <c r="AA4621" s="560"/>
      <c r="AB4621" s="561"/>
      <c r="AC4621" s="87"/>
      <c r="AD4621" s="466"/>
      <c r="AE4621" s="456"/>
      <c r="AF4621" s="467"/>
      <c r="AG4621" s="87"/>
      <c r="AH4621" s="87"/>
      <c r="AI4621" s="87"/>
    </row>
    <row r="4622" spans="1:35" hidden="1">
      <c r="A4622" s="80" t="e">
        <f>"J"&amp;E4609</f>
        <v>#N/A</v>
      </c>
      <c r="B4622" s="105">
        <v>10</v>
      </c>
      <c r="C4622" s="107"/>
      <c r="D4622" s="107"/>
      <c r="E4622" s="107"/>
      <c r="F4622" s="107"/>
      <c r="G4622" s="83"/>
      <c r="H4622" s="83"/>
      <c r="I4622" s="84"/>
      <c r="J4622" s="85"/>
      <c r="K4622" s="382"/>
      <c r="L4622" s="85"/>
      <c r="M4622" s="332" t="str">
        <f t="shared" si="1366"/>
        <v/>
      </c>
      <c r="N4622" s="453"/>
      <c r="O4622" s="86" t="str">
        <f t="shared" si="1368"/>
        <v/>
      </c>
      <c r="P4622" s="538" t="str">
        <f t="shared" si="1369"/>
        <v/>
      </c>
      <c r="Q4622" s="539" t="str">
        <f t="shared" si="1367"/>
        <v/>
      </c>
      <c r="R4622" s="706"/>
      <c r="S4622" s="707"/>
      <c r="T4622" s="708"/>
      <c r="U4622" s="472"/>
      <c r="V4622" s="167"/>
      <c r="W4622" s="446"/>
      <c r="X4622" s="456"/>
      <c r="Y4622" s="436"/>
      <c r="Z4622" s="437"/>
      <c r="AA4622" s="560"/>
      <c r="AB4622" s="561"/>
      <c r="AC4622" s="87"/>
      <c r="AD4622" s="466"/>
      <c r="AE4622" s="456"/>
      <c r="AF4622" s="467"/>
      <c r="AG4622" s="87"/>
      <c r="AH4622" s="87"/>
      <c r="AI4622" s="87"/>
    </row>
    <row r="4623" spans="1:35" ht="16.5" hidden="1" thickBot="1">
      <c r="A4623" s="44"/>
      <c r="B4623" s="89"/>
      <c r="C4623" s="90"/>
      <c r="D4623" s="90"/>
      <c r="E4623" s="90"/>
      <c r="F4623" s="90"/>
      <c r="G4623" s="90"/>
      <c r="H4623" s="90"/>
      <c r="I4623" s="90"/>
      <c r="J4623" s="90"/>
      <c r="K4623" s="90"/>
      <c r="L4623" s="90"/>
      <c r="M4623" s="90"/>
      <c r="N4623" s="90"/>
      <c r="O4623" s="90"/>
      <c r="P4623" s="90"/>
      <c r="Q4623" s="90"/>
      <c r="R4623" s="90"/>
      <c r="S4623" s="91"/>
      <c r="T4623" s="92"/>
      <c r="U4623" s="473"/>
      <c r="W4623" s="438"/>
      <c r="X4623" s="455"/>
      <c r="Y4623" s="439"/>
      <c r="Z4623" s="437"/>
      <c r="AA4623" s="530"/>
      <c r="AB4623" s="563"/>
      <c r="AC4623" s="87"/>
      <c r="AD4623" s="440"/>
      <c r="AE4623" s="441"/>
      <c r="AF4623" s="442"/>
      <c r="AG4623" s="49"/>
      <c r="AH4623" s="87"/>
      <c r="AI4623" s="87"/>
    </row>
    <row r="4624" spans="1:35" ht="16.5" hidden="1" thickBot="1">
      <c r="A4624" s="93"/>
      <c r="B4624" s="94"/>
      <c r="C4624" s="96"/>
      <c r="D4624" s="96"/>
      <c r="E4624" s="96"/>
      <c r="F4624" s="96"/>
      <c r="G4624" s="96"/>
      <c r="H4624" s="96"/>
      <c r="I4624" s="96"/>
      <c r="J4624" s="96"/>
      <c r="K4624" s="96"/>
      <c r="L4624" s="96"/>
      <c r="M4624" s="136"/>
      <c r="N4624" s="96"/>
      <c r="O4624" s="96"/>
      <c r="P4624" s="97"/>
      <c r="Q4624" s="97"/>
      <c r="R4624" s="98"/>
      <c r="S4624" s="95"/>
      <c r="T4624" s="99"/>
      <c r="U4624" s="469"/>
      <c r="AC4624" s="58"/>
      <c r="AG4624" s="58"/>
      <c r="AH4624" s="87"/>
      <c r="AI4624" s="87"/>
    </row>
    <row r="4625" spans="1:35" ht="16.5" hidden="1" thickBot="1">
      <c r="B4625" s="101"/>
      <c r="C4625" s="101"/>
      <c r="D4625" s="101"/>
      <c r="E4625" s="101"/>
      <c r="F4625" s="101"/>
      <c r="G4625" s="101"/>
      <c r="H4625" s="101"/>
      <c r="I4625" s="101"/>
      <c r="J4625" s="101"/>
      <c r="K4625" s="101"/>
      <c r="L4625" s="101"/>
      <c r="M4625" s="101"/>
      <c r="N4625" s="101"/>
      <c r="O4625" s="101"/>
      <c r="P4625" s="101"/>
      <c r="Q4625" s="101"/>
      <c r="R4625" s="101"/>
      <c r="S4625" s="101"/>
      <c r="U4625" s="50"/>
      <c r="AH4625" s="87"/>
      <c r="AI4625" s="87"/>
    </row>
    <row r="4626" spans="1:35" ht="16.5" hidden="1" customHeight="1" thickBot="1">
      <c r="A4626" s="44"/>
      <c r="B4626" s="705" t="s">
        <v>74</v>
      </c>
      <c r="C4626" s="705"/>
      <c r="D4626" s="705"/>
      <c r="E4626" s="705"/>
      <c r="F4626" s="705"/>
      <c r="G4626" s="705"/>
      <c r="H4626" s="705"/>
      <c r="I4626" s="705"/>
      <c r="J4626" s="705"/>
      <c r="K4626" s="705"/>
      <c r="L4626" s="705"/>
      <c r="M4626" s="705"/>
      <c r="N4626" s="705"/>
      <c r="O4626" s="705"/>
      <c r="P4626" s="705"/>
      <c r="Q4626" s="705"/>
      <c r="R4626" s="705"/>
      <c r="S4626" s="705"/>
      <c r="T4626" s="705"/>
      <c r="U4626" s="108"/>
      <c r="Y4626" s="532" t="s">
        <v>341</v>
      </c>
      <c r="AC4626" s="49"/>
      <c r="AD4626" s="687" t="s">
        <v>302</v>
      </c>
      <c r="AE4626" s="688"/>
      <c r="AF4626" s="689"/>
      <c r="AG4626" s="49"/>
      <c r="AH4626" s="87"/>
      <c r="AI4626" s="87"/>
    </row>
    <row r="4627" spans="1:35" ht="16.5" hidden="1" customHeight="1" thickBot="1">
      <c r="A4627" s="218" t="e">
        <f>"K"&amp;E4609</f>
        <v>#N/A</v>
      </c>
      <c r="B4627" s="701" t="s">
        <v>71</v>
      </c>
      <c r="C4627" s="751" t="s">
        <v>102</v>
      </c>
      <c r="D4627" s="751"/>
      <c r="E4627" s="751"/>
      <c r="F4627" s="751"/>
      <c r="G4627" s="751"/>
      <c r="H4627" s="751"/>
      <c r="I4627" s="751"/>
      <c r="J4627" s="751"/>
      <c r="K4627" s="751"/>
      <c r="L4627" s="722" t="s">
        <v>100</v>
      </c>
      <c r="M4627" s="747" t="s">
        <v>114</v>
      </c>
      <c r="N4627" s="747"/>
      <c r="O4627" s="747"/>
      <c r="P4627" s="747"/>
      <c r="Q4627" s="748"/>
      <c r="R4627" s="758" t="s">
        <v>280</v>
      </c>
      <c r="S4627" s="748"/>
      <c r="T4627" s="762" t="str">
        <f>IF(COUNTIF(AE4627:AF4627,"VERIFICAR")&gt;0,"VERIFICAR",IF(COUNTIF(AE4627:AF4627,"NO CUMPLE")&gt;0,"NO CUMPLE","CUMPLE"))</f>
        <v>VERIFICAR</v>
      </c>
      <c r="U4627" s="108"/>
      <c r="Y4627" s="533" t="e">
        <f>IF(F4628="","",IF(F4628=1,"INDIVIDUAL","ESTRUCTURA PLURAL"))</f>
        <v>#N/A</v>
      </c>
      <c r="AC4627" s="52"/>
      <c r="AD4627" s="475" t="s">
        <v>303</v>
      </c>
      <c r="AE4627" s="476" t="str">
        <f>IF(COUNTIF(AE4613:AE4622,"")=10,"VERIFICAR",IF(COUNTIF(AE4613:AE4622,"SI")&gt;0,"CUMPLE","NO CUMPLE"))</f>
        <v>VERIFICAR</v>
      </c>
      <c r="AF4627" s="477" t="str">
        <f>IF(COUNTIF(AF4613:AF4622,"")=10,"VERIFICAR",IF(COUNTIF(AF4613:AF4622,"SI")&gt;=$AI$22,"CUMPLE","NO CUMPLE"))</f>
        <v>VERIFICAR</v>
      </c>
      <c r="AG4627" s="52"/>
      <c r="AH4627" s="87"/>
      <c r="AI4627" s="87"/>
    </row>
    <row r="4628" spans="1:35" ht="15.75" hidden="1" customHeight="1" thickBot="1">
      <c r="A4628" s="218" t="e">
        <f>"L"&amp;E4609</f>
        <v>#N/A</v>
      </c>
      <c r="B4628" s="702"/>
      <c r="C4628" s="751" t="s">
        <v>103</v>
      </c>
      <c r="D4628" s="751"/>
      <c r="E4628" s="752"/>
      <c r="F4628" s="557" t="e">
        <f>IF(VLOOKUP(E4609,PROPONENTES!$C$19:$E$218,3,0)="","",VLOOKUP(E4609,PROPONENTES!$C$19:$E$218,3,0))</f>
        <v>#N/A</v>
      </c>
      <c r="G4628" s="753" t="s">
        <v>104</v>
      </c>
      <c r="H4628" s="751"/>
      <c r="I4628" s="715" t="e">
        <f>IF(OR(F4628="",F4628=1),"INTERESADO PERSONA NATURAL O JURIDICA","CONSORCIO O UNION TEMPORAL")</f>
        <v>#N/A</v>
      </c>
      <c r="J4628" s="725"/>
      <c r="K4628" s="728"/>
      <c r="L4628" s="723"/>
      <c r="M4628" s="749"/>
      <c r="N4628" s="749"/>
      <c r="O4628" s="749"/>
      <c r="P4628" s="749"/>
      <c r="Q4628" s="750"/>
      <c r="R4628" s="712"/>
      <c r="S4628" s="750"/>
      <c r="T4628" s="763"/>
      <c r="U4628" s="108"/>
      <c r="Y4628" s="534"/>
      <c r="AA4628" s="52"/>
      <c r="AB4628" s="52"/>
      <c r="AC4628" s="52"/>
      <c r="AG4628" s="52"/>
      <c r="AH4628" s="87"/>
      <c r="AI4628" s="87"/>
    </row>
    <row r="4629" spans="1:35" ht="56.25" hidden="1" customHeight="1" thickBot="1">
      <c r="A4629" s="218" t="e">
        <f>"M"&amp;E4609</f>
        <v>#N/A</v>
      </c>
      <c r="B4629" s="702"/>
      <c r="C4629" s="725" t="s">
        <v>101</v>
      </c>
      <c r="D4629" s="716"/>
      <c r="E4629" s="558" t="s">
        <v>105</v>
      </c>
      <c r="F4629" s="554" t="s">
        <v>87</v>
      </c>
      <c r="G4629" s="553" t="s">
        <v>86</v>
      </c>
      <c r="H4629" s="559" t="s">
        <v>85</v>
      </c>
      <c r="I4629" s="554" t="s">
        <v>252</v>
      </c>
      <c r="J4629" s="553" t="str">
        <f>"¿EL INTEGRANTE TIENE UNA PARTICIPACIÓN DEL "&amp;PORCREQUERIDOINT*100&amp;"%?"</f>
        <v>¿EL INTEGRANTE TIENE UNA PARTICIPACIÓN DEL 60%?</v>
      </c>
      <c r="K4629" s="554" t="s">
        <v>107</v>
      </c>
      <c r="L4629" s="724"/>
      <c r="M4629" s="717" t="s">
        <v>115</v>
      </c>
      <c r="N4629" s="718"/>
      <c r="O4629" s="718"/>
      <c r="P4629" s="718"/>
      <c r="Q4629" s="223">
        <f>IF(AND(H4613="SI",P4613&gt;=0),1,0)+IF(AND(H4614="SI",P4614&gt;=0),1,0)+IF(AND(H4615="SI",P4615&gt;=0),1,0)+IF(AND(H4616="SI",P4616&gt;=0),1,0)+IF(AND(H4617="SI",P4617&gt;=0),1,0)+IF(AND(H4618="SI",P4618&gt;=0),1,0)+IF(AND(H4619="SI",P4619&gt;=0),1,0)+IF(AND(H4620="SI",P4620&gt;=0),1,0)+IF(AND(H4621="SI",P4621&gt;=0),1,0)+IF(AND(H4622="SI",P4622&gt;=0),1,0)</f>
        <v>0</v>
      </c>
      <c r="R4629" s="759"/>
      <c r="S4629" s="761"/>
      <c r="T4629" s="764"/>
      <c r="U4629" s="219"/>
      <c r="V4629" s="464"/>
      <c r="Y4629" s="532" t="s">
        <v>342</v>
      </c>
      <c r="AA4629" s="550" t="s">
        <v>344</v>
      </c>
      <c r="AB4629" s="693" t="s">
        <v>345</v>
      </c>
      <c r="AC4629" s="693" t="s">
        <v>346</v>
      </c>
      <c r="AD4629" s="685" t="s">
        <v>347</v>
      </c>
      <c r="AE4629" s="52"/>
      <c r="AF4629" s="52"/>
      <c r="AG4629" s="52"/>
      <c r="AH4629" s="87"/>
      <c r="AI4629" s="87"/>
    </row>
    <row r="4630" spans="1:35" ht="15.75" hidden="1" customHeight="1" thickBot="1">
      <c r="A4630" s="218" t="e">
        <f>"N"&amp;E4609</f>
        <v>#N/A</v>
      </c>
      <c r="B4630" s="702"/>
      <c r="C4630" s="114">
        <v>1</v>
      </c>
      <c r="D4630" s="194" t="e">
        <f>IF(AND(C4630&lt;=F4628,F4628&gt;1,F4628&lt;&gt;""),VLOOKUP(VALUE(E4609&amp;","&amp;C4630),INTEGRANTES!$D$18:$F$235,2,0),"")</f>
        <v>#N/A</v>
      </c>
      <c r="E4630" s="211" t="e">
        <f>IF(D4630&lt;&gt;"",VLOOKUP(VALUE(E4609&amp;","&amp;C4630),INTEGRANTES!$D$18:$F$235,3,0),"")</f>
        <v>#N/A</v>
      </c>
      <c r="F4630" s="547" t="e">
        <f>IF(D4630="","",SUMIF($I4613:$I4622,D4630,$P4613:$P4622))</f>
        <v>#N/A</v>
      </c>
      <c r="G4630" s="333" t="e">
        <f>IF(D4630="","",SUMIF($I4613:$I4622,D4630,$M4613:$M4622))</f>
        <v>#N/A</v>
      </c>
      <c r="H4630" s="535" t="e">
        <f t="shared" ref="H4630:H4635" si="1370">IF(D4630="","",IF(OR(F4630=0,G4630=0),"NO APORTA",ROUND($F4630/$G4630,3)))</f>
        <v>#N/A</v>
      </c>
      <c r="I4630" s="212" t="e">
        <f>IF(D4630="","",IF(H4630="NO APORTA","NO",IF(H4630=MAX($H4630:$H4635),"SI","NO")))</f>
        <v>#N/A</v>
      </c>
      <c r="J4630" s="213" t="e">
        <f t="shared" ref="J4630:J4635" si="1371">IF(D4630="","",IF(E4630&gt;=PORCREQUERIDOINT,"SI","NO"))</f>
        <v>#N/A</v>
      </c>
      <c r="K4630" s="200" t="e">
        <f t="shared" ref="K4630:K4635" si="1372">IF(D4630="","",IF(AND(I4630="SI",J4630="SI"),"CUMPLE",IF(AND(I4630="NO",OR(J4630="SI",J4630="NO")),"","NO CUMPLE")))</f>
        <v>#N/A</v>
      </c>
      <c r="L4630" s="722" t="s">
        <v>108</v>
      </c>
      <c r="M4630" s="726" t="s">
        <v>119</v>
      </c>
      <c r="N4630" s="726"/>
      <c r="O4630" s="726"/>
      <c r="P4630" s="726"/>
      <c r="Q4630" s="727"/>
      <c r="R4630" s="758" t="s">
        <v>80</v>
      </c>
      <c r="S4630" s="747"/>
      <c r="T4630" s="748"/>
      <c r="U4630" s="219"/>
      <c r="V4630" s="464"/>
      <c r="Y4630" s="533" t="e">
        <f>IF(Y4627="","",IF(Y4627="INDIVIDUAL","NO APLICA","VERIFICAR CUADRO"))</f>
        <v>#N/A</v>
      </c>
      <c r="AA4630" s="551"/>
      <c r="AB4630" s="694"/>
      <c r="AC4630" s="694"/>
      <c r="AD4630" s="686"/>
      <c r="AE4630" s="52"/>
      <c r="AF4630" s="52"/>
      <c r="AG4630" s="52"/>
      <c r="AH4630" s="87"/>
      <c r="AI4630" s="87"/>
    </row>
    <row r="4631" spans="1:35" ht="27" hidden="1" customHeight="1" thickBot="1">
      <c r="A4631" s="218" t="e">
        <f>"O"&amp;E4609</f>
        <v>#N/A</v>
      </c>
      <c r="B4631" s="702"/>
      <c r="C4631" s="114">
        <v>2</v>
      </c>
      <c r="D4631" s="194" t="e">
        <f>IF(AND(C4631&lt;=F4628,F4628&lt;&gt;""),VLOOKUP(VALUE(E4609&amp;","&amp;C4631),INTEGRANTES!$D$18:$F$235,2,0),"")</f>
        <v>#N/A</v>
      </c>
      <c r="E4631" s="211" t="e">
        <f>IF(D4631&lt;&gt;"",VLOOKUP(VALUE(E4609&amp;","&amp;C4631),INTEGRANTES!$D$18:$F$235,3,0),"")</f>
        <v>#N/A</v>
      </c>
      <c r="F4631" s="547" t="e">
        <f>IF(D4631="","",SUMIF($I4613:$I4622,D4631,$P4613:$P4622))</f>
        <v>#N/A</v>
      </c>
      <c r="G4631" s="333" t="e">
        <f>IF(D4631="","",SUMIF($I4613:$I4622,D4631,$M4613:$M4622))</f>
        <v>#N/A</v>
      </c>
      <c r="H4631" s="535" t="e">
        <f t="shared" si="1370"/>
        <v>#N/A</v>
      </c>
      <c r="I4631" s="212" t="e">
        <f>IF(D4631="","",IF(H4631="NO APORTA","NO",IF(H4631=MAX($H4630:$H4635),"SI","NO")))</f>
        <v>#N/A</v>
      </c>
      <c r="J4631" s="213" t="e">
        <f t="shared" si="1371"/>
        <v>#N/A</v>
      </c>
      <c r="K4631" s="200" t="e">
        <f t="shared" si="1372"/>
        <v>#N/A</v>
      </c>
      <c r="L4631" s="723"/>
      <c r="M4631" s="715" t="s">
        <v>116</v>
      </c>
      <c r="N4631" s="716"/>
      <c r="O4631" s="556" t="s">
        <v>113</v>
      </c>
      <c r="P4631" s="715" t="s">
        <v>117</v>
      </c>
      <c r="Q4631" s="728"/>
      <c r="R4631" s="759"/>
      <c r="S4631" s="760"/>
      <c r="T4631" s="761"/>
      <c r="U4631" s="219"/>
      <c r="V4631" s="464"/>
      <c r="Y4631" s="414"/>
      <c r="AA4631" s="542" t="e">
        <f>IF(AND(C4630&lt;=F4628,F4628&gt;1,F4628&lt;&gt;""),VLOOKUP(VALUE(E4609&amp;","&amp;C4630),INTEGRANTES!$D$18:$F$235,2,0),"")</f>
        <v>#N/A</v>
      </c>
      <c r="AB4631" s="544" t="e">
        <f t="shared" ref="AB4631:AB4636" si="1373">IF(D4630="","",IF(OR(F4630=0,G4630=0),"NO APORTA",ROUND($F4630/$G4630,3)))</f>
        <v>#N/A</v>
      </c>
      <c r="AC4631" s="529"/>
      <c r="AD4631" s="200" t="e">
        <f t="shared" ref="AD4631:AD4636" si="1374">IF(OR(AA4631="",AB4631=""),"",IF(AND(AC4631="X",AB4631&gt;=EXPREQVTD),"CUMPLE","NO CUMPLE"))</f>
        <v>#N/A</v>
      </c>
      <c r="AE4631" s="52"/>
      <c r="AF4631" s="52"/>
      <c r="AG4631" s="52"/>
      <c r="AH4631" s="87"/>
      <c r="AI4631" s="87"/>
    </row>
    <row r="4632" spans="1:35" ht="16.5" hidden="1" thickBot="1">
      <c r="A4632" s="218" t="e">
        <f>"P"&amp;E4609</f>
        <v>#N/A</v>
      </c>
      <c r="B4632" s="702"/>
      <c r="C4632" s="114">
        <v>3</v>
      </c>
      <c r="D4632" s="194" t="e">
        <f>IF(AND(C4632&lt;=F4628,F4628&lt;&gt;""),VLOOKUP(VALUE(E4609&amp;","&amp;C4632),INTEGRANTES!$D$18:$F$235,2,0),"")</f>
        <v>#N/A</v>
      </c>
      <c r="E4632" s="211" t="e">
        <f>IF(D4632&lt;&gt;"",VLOOKUP(VALUE(E4609&amp;","&amp;C4632),INTEGRANTES!$D$18:$F$235,3,0),"")</f>
        <v>#N/A</v>
      </c>
      <c r="F4632" s="547" t="e">
        <f>IF(D4632="","",SUMIF($I4613:$I4622,D4632,$P4613:$P4622))</f>
        <v>#N/A</v>
      </c>
      <c r="G4632" s="333" t="e">
        <f>IF(D4632="","",SUMIF($I4613:$I4622,D4632,$M4613:$M4622))</f>
        <v>#N/A</v>
      </c>
      <c r="H4632" s="535" t="e">
        <f t="shared" si="1370"/>
        <v>#N/A</v>
      </c>
      <c r="I4632" s="212" t="e">
        <f>IF(D4632="","",IF(H4632="NO APORTA","NO",IF(H4632=MAX($H4630:$H4635),"SI","NO")))</f>
        <v>#N/A</v>
      </c>
      <c r="J4632" s="213" t="e">
        <f t="shared" si="1371"/>
        <v>#N/A</v>
      </c>
      <c r="K4632" s="200" t="e">
        <f t="shared" si="1372"/>
        <v>#N/A</v>
      </c>
      <c r="L4632" s="724"/>
      <c r="M4632" s="729">
        <f>NUMMOD</f>
        <v>1</v>
      </c>
      <c r="N4632" s="730"/>
      <c r="O4632" s="443">
        <f>IF(M4632="","",VLOOKUP(M4632,PRESUPUESTOS!$B$16:$H$16,5,FALSE))</f>
        <v>2</v>
      </c>
      <c r="P4632" s="713">
        <f>IF(OR(COUNTIF(M4613:M4622,"")&gt;=10,Q4629&lt;NUMMINCONT,OR(T4627="NO CUMPLE",T4627="VERIFICAR")),0,ROUND(AVERAGE(M4613:M4622),3))</f>
        <v>0</v>
      </c>
      <c r="Q4632" s="714"/>
      <c r="R4632" s="458"/>
      <c r="S4632" s="459"/>
      <c r="T4632" s="460"/>
      <c r="U4632" s="219"/>
      <c r="V4632" s="464"/>
      <c r="Y4632" s="532" t="str">
        <f>"40% * ("&amp;PRESUPUESTOS!$H$13&amp;")"</f>
        <v>40% * (50% PFMO)</v>
      </c>
      <c r="AA4632" s="540" t="e">
        <f>IF(AND(C4631&lt;=F4628,F4628&lt;&gt;""),VLOOKUP(VALUE(E4609&amp;","&amp;C4631),INTEGRANTES!$D$18:$F$235,2,0),"")</f>
        <v>#N/A</v>
      </c>
      <c r="AB4632" s="545" t="e">
        <f t="shared" si="1373"/>
        <v>#N/A</v>
      </c>
      <c r="AC4632" s="529"/>
      <c r="AD4632" s="200" t="e">
        <f t="shared" si="1374"/>
        <v>#N/A</v>
      </c>
      <c r="AE4632" s="52"/>
      <c r="AF4632" s="52"/>
      <c r="AG4632" s="52"/>
      <c r="AH4632" s="87"/>
      <c r="AI4632" s="87"/>
    </row>
    <row r="4633" spans="1:35" ht="15.75" hidden="1" customHeight="1" thickBot="1">
      <c r="A4633" s="218" t="e">
        <f>"Q"&amp;E4609</f>
        <v>#N/A</v>
      </c>
      <c r="B4633" s="702"/>
      <c r="C4633" s="114">
        <v>4</v>
      </c>
      <c r="D4633" s="194" t="e">
        <f>IF(AND(C4633&lt;=F4628,F4628&lt;&gt;""),VLOOKUP(VALUE(E4609&amp;","&amp;C4633),INTEGRANTES!$D$18:$F$235,2,0),"")</f>
        <v>#N/A</v>
      </c>
      <c r="E4633" s="211" t="e">
        <f>IF(D4633&lt;&gt;"",VLOOKUP(VALUE(E4609&amp;","&amp;C4633),INTEGRANTES!$D$18:$F$235,3,0),"")</f>
        <v>#N/A</v>
      </c>
      <c r="F4633" s="547" t="e">
        <f>IF(D4633="","",SUMIF($I4613:$I4622,D4633,$P4613:$P4622))</f>
        <v>#N/A</v>
      </c>
      <c r="G4633" s="333" t="e">
        <f>IF(D4633="","",SUMIF($I4613:$I4622,D4633,$M4613:$M4622))</f>
        <v>#N/A</v>
      </c>
      <c r="H4633" s="535" t="e">
        <f t="shared" si="1370"/>
        <v>#N/A</v>
      </c>
      <c r="I4633" s="212" t="e">
        <f>IF(D4633="","",IF(H4633="NO APORTA","NO",IF(H4633=MAX($H4630:$H4635),"SI","NO")))</f>
        <v>#N/A</v>
      </c>
      <c r="J4633" s="213" t="e">
        <f t="shared" si="1371"/>
        <v>#N/A</v>
      </c>
      <c r="K4633" s="200" t="e">
        <f t="shared" si="1372"/>
        <v>#N/A</v>
      </c>
      <c r="L4633" s="720" t="s">
        <v>109</v>
      </c>
      <c r="M4633" s="757" t="s">
        <v>120</v>
      </c>
      <c r="N4633" s="726"/>
      <c r="O4633" s="726"/>
      <c r="P4633" s="726"/>
      <c r="Q4633" s="727"/>
      <c r="R4633" s="458"/>
      <c r="S4633" s="459"/>
      <c r="T4633" s="460"/>
      <c r="U4633" s="219"/>
      <c r="V4633" s="464"/>
      <c r="Y4633" s="537">
        <f>0.4*PRESUPUESTOS!$H$16</f>
        <v>10.3124</v>
      </c>
      <c r="AA4633" s="540" t="e">
        <f>IF(AND(C4632&lt;=F4628,F4628&lt;&gt;""),VLOOKUP(VALUE(E4609&amp;","&amp;C4632),INTEGRANTES!$D$18:$F$235,2,0),"")</f>
        <v>#N/A</v>
      </c>
      <c r="AB4633" s="545" t="e">
        <f t="shared" si="1373"/>
        <v>#N/A</v>
      </c>
      <c r="AC4633" s="529"/>
      <c r="AD4633" s="200" t="e">
        <f t="shared" si="1374"/>
        <v>#N/A</v>
      </c>
      <c r="AE4633" s="52"/>
      <c r="AF4633" s="52"/>
      <c r="AG4633" s="52"/>
      <c r="AH4633" s="87"/>
      <c r="AI4633" s="87"/>
    </row>
    <row r="4634" spans="1:35" ht="27" hidden="1" customHeight="1" thickBot="1">
      <c r="A4634" s="218" t="e">
        <f>"R"&amp;E4609</f>
        <v>#N/A</v>
      </c>
      <c r="B4634" s="702"/>
      <c r="C4634" s="114">
        <v>5</v>
      </c>
      <c r="D4634" s="194" t="e">
        <f>IF(AND(C4634&lt;=F4628,F4628&lt;&gt;""),VLOOKUP(VALUE(E4609&amp;","&amp;C4634),INTEGRANTES!$D$18:$F$235,2,0),"")</f>
        <v>#N/A</v>
      </c>
      <c r="E4634" s="211" t="e">
        <f>IF(D4634&lt;&gt;"",VLOOKUP(VALUE(E4609&amp;","&amp;C4634),INTEGRANTES!$D$18:$F$235,3,0),"")</f>
        <v>#N/A</v>
      </c>
      <c r="F4634" s="547" t="e">
        <f>IF(D4634="","",SUMIF($I4613:$I4622,D4634,$P4613:$P4622))</f>
        <v>#N/A</v>
      </c>
      <c r="G4634" s="333" t="e">
        <f>IF(D4634="","",SUMIF($I4613:$I4622,D4634,$M4613:$M4622))</f>
        <v>#N/A</v>
      </c>
      <c r="H4634" s="535" t="e">
        <f t="shared" si="1370"/>
        <v>#N/A</v>
      </c>
      <c r="I4634" s="212" t="e">
        <f>IF(D4634="","",IF(H4634="NO APORTA","NO",IF(H4634=MAX($H4630:$H4635),"SI","NO")))</f>
        <v>#N/A</v>
      </c>
      <c r="J4634" s="213" t="e">
        <f t="shared" si="1371"/>
        <v>#N/A</v>
      </c>
      <c r="K4634" s="200" t="e">
        <f t="shared" si="1372"/>
        <v>#N/A</v>
      </c>
      <c r="L4634" s="721"/>
      <c r="M4634" s="715" t="s">
        <v>116</v>
      </c>
      <c r="N4634" s="716"/>
      <c r="O4634" s="556" t="str">
        <f>PORCREQUERIDO*100&amp;"% PMFO DEL MÓDULO"</f>
        <v>50% PMFO DEL MÓDULO</v>
      </c>
      <c r="P4634" s="715" t="s">
        <v>118</v>
      </c>
      <c r="Q4634" s="728"/>
      <c r="R4634" s="458"/>
      <c r="S4634" s="459"/>
      <c r="T4634" s="460"/>
      <c r="U4634" s="219"/>
      <c r="V4634" s="464"/>
      <c r="Y4634" s="414"/>
      <c r="AA4634" s="540" t="e">
        <f>IF(AND(C4633&lt;=F4628,F4628&lt;&gt;""),VLOOKUP(VALUE(E4609&amp;","&amp;C4633),INTEGRANTES!$D$18:$F$235,2,0),"")</f>
        <v>#N/A</v>
      </c>
      <c r="AB4634" s="545" t="e">
        <f t="shared" si="1373"/>
        <v>#N/A</v>
      </c>
      <c r="AC4634" s="529"/>
      <c r="AD4634" s="200" t="e">
        <f t="shared" si="1374"/>
        <v>#N/A</v>
      </c>
      <c r="AE4634" s="52"/>
      <c r="AF4634" s="52"/>
      <c r="AG4634" s="52"/>
      <c r="AH4634" s="87"/>
      <c r="AI4634" s="87"/>
    </row>
    <row r="4635" spans="1:35" ht="16.5" hidden="1" thickBot="1">
      <c r="A4635" s="218" t="e">
        <f>"S"&amp;E4609</f>
        <v>#N/A</v>
      </c>
      <c r="B4635" s="702"/>
      <c r="C4635" s="215">
        <v>6</v>
      </c>
      <c r="D4635" s="216" t="e">
        <f>IF(AND(C4635&lt;=F4628,F4628&lt;&gt;""),VLOOKUP(VALUE(E4609&amp;","&amp;C4635),INTEGRANTES!$D$18:$F$235,2,0),"")</f>
        <v>#N/A</v>
      </c>
      <c r="E4635" s="217" t="e">
        <f>IF(D4635&lt;&gt;"",VLOOKUP(VALUE(E4609&amp;","&amp;C4635),INTEGRANTES!$D$18:$F$235,3,0),"")</f>
        <v>#N/A</v>
      </c>
      <c r="F4635" s="548" t="e">
        <f>IF(D4635="","",SUMIF($I4613:$I4622,D4635,$P4613:$P4622))</f>
        <v>#N/A</v>
      </c>
      <c r="G4635" s="334" t="e">
        <f>IF(D4635="","",SUMIF($I4613:$I4622,D4635,$M4613:$M4622))</f>
        <v>#N/A</v>
      </c>
      <c r="H4635" s="536" t="e">
        <f t="shared" si="1370"/>
        <v>#N/A</v>
      </c>
      <c r="I4635" s="214" t="e">
        <f>IF(D4635="","",IF(H4635="NO APORTA","NO",IF(H4635=MAX($H4630:$H4635),"SI","NO")))</f>
        <v>#N/A</v>
      </c>
      <c r="J4635" s="213" t="e">
        <f t="shared" si="1371"/>
        <v>#N/A</v>
      </c>
      <c r="K4635" s="200" t="e">
        <f t="shared" si="1372"/>
        <v>#N/A</v>
      </c>
      <c r="L4635" s="721"/>
      <c r="M4635" s="729">
        <f>NUMMOD</f>
        <v>1</v>
      </c>
      <c r="N4635" s="730"/>
      <c r="O4635" s="443">
        <f>IF(M4635="","",ROUND(VLOOKUP(M4635,PRESUPUESTOS!$B$16:$H$16,7,FALSE),3))</f>
        <v>25.780999999999999</v>
      </c>
      <c r="P4635" s="713">
        <f>IF(OR(COUNTIF(P4613:P4622,"")&gt;=10,Q4629&lt;NUMMINCONT,OR(T4627="NO CUMPLE",T4627="VERIFICAR")),0,ROUND((SUM(P4613:P4622)/SUM(M4613:M4622)),3))</f>
        <v>0</v>
      </c>
      <c r="Q4635" s="714"/>
      <c r="R4635" s="458"/>
      <c r="S4635" s="459"/>
      <c r="T4635" s="460"/>
      <c r="U4635" s="219"/>
      <c r="V4635" s="464"/>
      <c r="Y4635" s="532" t="s">
        <v>343</v>
      </c>
      <c r="AA4635" s="540" t="e">
        <f>IF(AND(C4634&lt;=F4628,F4628&lt;&gt;""),VLOOKUP(VALUE(E4609&amp;","&amp;C4634),INTEGRANTES!$D$18:$F$235,2,0),"")</f>
        <v>#N/A</v>
      </c>
      <c r="AB4635" s="545" t="e">
        <f t="shared" si="1373"/>
        <v>#N/A</v>
      </c>
      <c r="AC4635" s="529"/>
      <c r="AD4635" s="200" t="e">
        <f t="shared" si="1374"/>
        <v>#N/A</v>
      </c>
      <c r="AE4635" s="52"/>
      <c r="AF4635" s="52"/>
      <c r="AG4635" s="52"/>
      <c r="AH4635" s="87"/>
      <c r="AI4635" s="87"/>
    </row>
    <row r="4636" spans="1:35" ht="16.5" hidden="1" customHeight="1" thickBot="1">
      <c r="A4636" s="218" t="e">
        <f>"T"&amp;E4609</f>
        <v>#N/A</v>
      </c>
      <c r="B4636" s="703"/>
      <c r="C4636" s="719"/>
      <c r="D4636" s="719"/>
      <c r="E4636" s="719"/>
      <c r="F4636" s="719"/>
      <c r="G4636" s="719"/>
      <c r="H4636" s="719" t="s">
        <v>110</v>
      </c>
      <c r="I4636" s="719"/>
      <c r="J4636" s="719"/>
      <c r="K4636" s="201" t="str">
        <f>IF(COUNTIF(K4630:K4635,"")=6,"",IF(COUNTIF(K4630:K4635,"CUMPLE")&gt;0,"CUMPLE","NO CUMPLE"))</f>
        <v>NO CUMPLE</v>
      </c>
      <c r="L4636" s="754"/>
      <c r="M4636" s="755"/>
      <c r="N4636" s="755"/>
      <c r="O4636" s="755"/>
      <c r="P4636" s="755"/>
      <c r="Q4636" s="756"/>
      <c r="R4636" s="461"/>
      <c r="S4636" s="462"/>
      <c r="T4636" s="463"/>
      <c r="U4636" s="219"/>
      <c r="V4636" s="464"/>
      <c r="Y4636" s="549" t="e">
        <f>IF(Y4630="NO APLICA","NO APLICA",IF(COUNTIF(AD4631:AD4636,"CUMPLE")&gt;0,"CUMPLE","NO CUMPLE"))</f>
        <v>#N/A</v>
      </c>
      <c r="AA4636" s="541" t="e">
        <f>IF(AND(C4635&lt;=F4628,F4628&lt;&gt;""),VLOOKUP(VALUE(E4609&amp;","&amp;C4635),INTEGRANTES!$D$18:$F$235,2,0),"")</f>
        <v>#N/A</v>
      </c>
      <c r="AB4636" s="546" t="e">
        <f t="shared" si="1373"/>
        <v>#N/A</v>
      </c>
      <c r="AC4636" s="543"/>
      <c r="AD4636" s="201" t="e">
        <f t="shared" si="1374"/>
        <v>#N/A</v>
      </c>
      <c r="AE4636" s="52"/>
      <c r="AF4636" s="52"/>
      <c r="AG4636" s="52"/>
      <c r="AH4636" s="87"/>
      <c r="AI4636" s="87"/>
    </row>
    <row r="4637" spans="1:35" hidden="1">
      <c r="AH4637" s="87"/>
      <c r="AI4637" s="87"/>
    </row>
    <row r="4638" spans="1:35" hidden="1">
      <c r="AH4638" s="87"/>
      <c r="AI4638" s="87"/>
    </row>
    <row r="4639" spans="1:35" ht="24" hidden="1" thickBot="1">
      <c r="A4639" s="61">
        <v>155</v>
      </c>
      <c r="B4639" s="704" t="s">
        <v>51</v>
      </c>
      <c r="C4639" s="704"/>
      <c r="D4639" s="704"/>
      <c r="E4639" s="62" t="e">
        <f>VLOOKUP(A4639,PROPONENTES!$B$19:$E$218,2,FALSE)</f>
        <v>#N/A</v>
      </c>
      <c r="F4639" s="63" t="e">
        <f>VLOOKUP(A4639,PROPONENTES!$B$19:$E$218,3,FALSE)</f>
        <v>#N/A</v>
      </c>
      <c r="G4639" s="64"/>
      <c r="H4639" s="64"/>
      <c r="I4639" s="63"/>
      <c r="J4639" s="63"/>
      <c r="K4639" s="65"/>
      <c r="L4639" s="65"/>
      <c r="M4639" s="64"/>
      <c r="N4639" s="64"/>
      <c r="O4639" s="66"/>
      <c r="P4639" s="66"/>
      <c r="Q4639" s="66"/>
      <c r="R4639" s="66"/>
      <c r="S4639" s="67"/>
      <c r="T4639" s="68"/>
      <c r="U4639" s="68"/>
      <c r="AC4639" s="68"/>
      <c r="AD4639" s="68"/>
      <c r="AE4639" s="68"/>
      <c r="AF4639" s="68"/>
      <c r="AG4639" s="68"/>
      <c r="AH4639" s="87"/>
      <c r="AI4639" s="87"/>
    </row>
    <row r="4640" spans="1:35" ht="15.75" hidden="1" customHeight="1">
      <c r="A4640" s="44"/>
      <c r="B4640" s="709" t="s">
        <v>59</v>
      </c>
      <c r="C4640" s="552" t="s">
        <v>60</v>
      </c>
      <c r="D4640" s="70" t="s">
        <v>17</v>
      </c>
      <c r="E4640" s="70"/>
      <c r="F4640" s="70" t="s">
        <v>61</v>
      </c>
      <c r="G4640" s="71"/>
      <c r="H4640" s="699" t="s">
        <v>62</v>
      </c>
      <c r="I4640" s="699" t="s">
        <v>18</v>
      </c>
      <c r="J4640" s="699" t="s">
        <v>63</v>
      </c>
      <c r="K4640" s="699" t="s">
        <v>64</v>
      </c>
      <c r="L4640" s="699" t="s">
        <v>65</v>
      </c>
      <c r="M4640" s="743" t="s">
        <v>66</v>
      </c>
      <c r="N4640" s="699" t="s">
        <v>282</v>
      </c>
      <c r="O4640" s="745" t="s">
        <v>67</v>
      </c>
      <c r="P4640" s="746"/>
      <c r="Q4640" s="102" t="s">
        <v>75</v>
      </c>
      <c r="R4640" s="731" t="s">
        <v>22</v>
      </c>
      <c r="S4640" s="732"/>
      <c r="T4640" s="733"/>
      <c r="U4640" s="712" t="s">
        <v>298</v>
      </c>
      <c r="W4640" s="690" t="s">
        <v>268</v>
      </c>
      <c r="X4640" s="691"/>
      <c r="Y4640" s="692"/>
      <c r="Z4640" s="428"/>
      <c r="AA4640" s="697" t="s">
        <v>315</v>
      </c>
      <c r="AB4640" s="695" t="s">
        <v>322</v>
      </c>
      <c r="AC4640" s="49"/>
      <c r="AD4640" s="690" t="s">
        <v>297</v>
      </c>
      <c r="AE4640" s="691"/>
      <c r="AF4640" s="692"/>
      <c r="AG4640" s="49"/>
      <c r="AH4640" s="87"/>
      <c r="AI4640" s="87"/>
    </row>
    <row r="4641" spans="1:35" ht="72" hidden="1">
      <c r="A4641" s="44"/>
      <c r="B4641" s="710"/>
      <c r="C4641" s="553" t="s">
        <v>68</v>
      </c>
      <c r="D4641" s="73" t="s">
        <v>3</v>
      </c>
      <c r="E4641" s="73" t="s">
        <v>19</v>
      </c>
      <c r="F4641" s="73" t="s">
        <v>69</v>
      </c>
      <c r="G4641" s="74" t="s">
        <v>70</v>
      </c>
      <c r="H4641" s="700"/>
      <c r="I4641" s="700"/>
      <c r="J4641" s="700"/>
      <c r="K4641" s="700"/>
      <c r="L4641" s="700"/>
      <c r="M4641" s="744"/>
      <c r="N4641" s="700"/>
      <c r="O4641" s="553" t="s">
        <v>279</v>
      </c>
      <c r="P4641" s="73" t="s">
        <v>88</v>
      </c>
      <c r="Q4641" s="555" t="s">
        <v>76</v>
      </c>
      <c r="R4641" s="734"/>
      <c r="S4641" s="735"/>
      <c r="T4641" s="736"/>
      <c r="U4641" s="712"/>
      <c r="W4641" s="429" t="s">
        <v>269</v>
      </c>
      <c r="X4641" s="457" t="s">
        <v>278</v>
      </c>
      <c r="Y4641" s="430" t="s">
        <v>324</v>
      </c>
      <c r="Z4641" s="428"/>
      <c r="AA4641" s="698"/>
      <c r="AB4641" s="696"/>
      <c r="AC4641" s="49"/>
      <c r="AD4641" s="429" t="s">
        <v>292</v>
      </c>
      <c r="AE4641" s="431" t="s">
        <v>300</v>
      </c>
      <c r="AF4641" s="468" t="s">
        <v>301</v>
      </c>
      <c r="AG4641" s="49"/>
      <c r="AH4641" s="87"/>
      <c r="AI4641" s="87"/>
    </row>
    <row r="4642" spans="1:35" hidden="1">
      <c r="A4642" s="44"/>
      <c r="B4642" s="76"/>
      <c r="C4642" s="77"/>
      <c r="D4642" s="77"/>
      <c r="E4642" s="77"/>
      <c r="F4642" s="77"/>
      <c r="G4642" s="77"/>
      <c r="H4642" s="77"/>
      <c r="I4642" s="77"/>
      <c r="J4642" s="77"/>
      <c r="K4642" s="77"/>
      <c r="L4642" s="77"/>
      <c r="M4642" s="77"/>
      <c r="N4642" s="77"/>
      <c r="O4642" s="77"/>
      <c r="P4642" s="77"/>
      <c r="Q4642" s="77"/>
      <c r="R4642" s="77"/>
      <c r="S4642" s="78"/>
      <c r="T4642" s="79"/>
      <c r="U4642" s="109"/>
      <c r="V4642" s="49"/>
      <c r="W4642" s="432"/>
      <c r="X4642" s="454"/>
      <c r="Y4642" s="433"/>
      <c r="Z4642" s="6"/>
      <c r="AA4642" s="500"/>
      <c r="AB4642" s="562"/>
      <c r="AC4642" s="49"/>
      <c r="AD4642" s="210"/>
      <c r="AE4642" s="434"/>
      <c r="AF4642" s="435"/>
      <c r="AG4642" s="49"/>
      <c r="AH4642" s="87"/>
      <c r="AI4642" s="87"/>
    </row>
    <row r="4643" spans="1:35" hidden="1">
      <c r="A4643" s="80" t="e">
        <f>"A"&amp;E4639</f>
        <v>#N/A</v>
      </c>
      <c r="B4643" s="81">
        <v>1</v>
      </c>
      <c r="C4643" s="82"/>
      <c r="D4643" s="82"/>
      <c r="E4643" s="82"/>
      <c r="F4643" s="82"/>
      <c r="G4643" s="83"/>
      <c r="H4643" s="83"/>
      <c r="I4643" s="84"/>
      <c r="J4643" s="85"/>
      <c r="K4643" s="382"/>
      <c r="L4643" s="85"/>
      <c r="M4643" s="332" t="str">
        <f t="shared" ref="M4643:M4652" si="1375">IF(OR(J4643="",L4643="",H4643="NO"),"",IF(OR(J4643&gt;$P$17,J4643&lt;$O$17,L4643&gt;$P$17,AND(J4643&lt;$O$17,L4643&lt;$O$17)),"FUERA DE RANGO",IF(OR(K4643="---",K4643=""),IF(J4643&gt;=$O$17,ROUND((L4643-J4643+1)/360*12,3),ROUND((L4643-$O$17+1)/360*12,3)),IF(J4643&gt;=$O$17,ROUND((L4643-J4643+1)/360*12-ROUND(K4643,3),3),ROUND((L4643-$O$17+1)/360*12-ROUND(K4643,3),3)))))</f>
        <v/>
      </c>
      <c r="N4643" s="86"/>
      <c r="O4643" s="453" t="str">
        <f>IF(OR(G4643="",N4643=""),"",N4643*G4643)</f>
        <v/>
      </c>
      <c r="P4643" s="538" t="str">
        <f>IF(OR(H4643="",M4643="FUERA DE RANGO"),"",IF(OR(L4643&lt;$O$17,L4643&gt;$P$17,L4643="",H4643="NO"),"",IF(OR(N4643="",O4643=""),"",ROUND(O4643,3))))</f>
        <v/>
      </c>
      <c r="Q4643" s="539" t="str">
        <f t="shared" ref="Q4643:Q4652" si="1376">IF(AND(H4643="SI",P4643&lt;&gt;""),ROUND(P4643/M4643,3),"")</f>
        <v/>
      </c>
      <c r="R4643" s="737"/>
      <c r="S4643" s="738"/>
      <c r="T4643" s="739"/>
      <c r="U4643" s="470"/>
      <c r="V4643" s="165"/>
      <c r="W4643" s="446"/>
      <c r="X4643" s="456"/>
      <c r="Y4643" s="436"/>
      <c r="Z4643" s="437"/>
      <c r="AA4643" s="560"/>
      <c r="AB4643" s="561"/>
      <c r="AC4643" s="87"/>
      <c r="AD4643" s="466"/>
      <c r="AE4643" s="456"/>
      <c r="AF4643" s="467"/>
      <c r="AG4643" s="87"/>
      <c r="AH4643" s="87"/>
      <c r="AI4643" s="87"/>
    </row>
    <row r="4644" spans="1:35" hidden="1">
      <c r="A4644" s="80" t="e">
        <f>"B"&amp;E4639</f>
        <v>#N/A</v>
      </c>
      <c r="B4644" s="81">
        <v>2</v>
      </c>
      <c r="C4644" s="106"/>
      <c r="D4644" s="106"/>
      <c r="E4644" s="106"/>
      <c r="F4644" s="106"/>
      <c r="G4644" s="83"/>
      <c r="H4644" s="83"/>
      <c r="I4644" s="84"/>
      <c r="J4644" s="85"/>
      <c r="K4644" s="382"/>
      <c r="L4644" s="85"/>
      <c r="M4644" s="332" t="str">
        <f t="shared" si="1375"/>
        <v/>
      </c>
      <c r="N4644" s="86"/>
      <c r="O4644" s="453" t="str">
        <f t="shared" ref="O4644:O4652" si="1377">IF(OR(G4644="",N4644=""),"",N4644*G4644)</f>
        <v/>
      </c>
      <c r="P4644" s="538" t="str">
        <f t="shared" ref="P4644:P4652" si="1378">IF(OR(H4644="",M4644="FUERA DE RANGO"),"",IF(OR(L4644&lt;$O$17,L4644&gt;$P$17,L4644="",H4644="NO"),"",IF(OR(N4644="",O4644=""),"",ROUND(O4644,3))))</f>
        <v/>
      </c>
      <c r="Q4644" s="539" t="str">
        <f t="shared" si="1376"/>
        <v/>
      </c>
      <c r="R4644" s="740"/>
      <c r="S4644" s="741"/>
      <c r="T4644" s="742"/>
      <c r="U4644" s="471"/>
      <c r="V4644" s="165"/>
      <c r="W4644" s="446"/>
      <c r="X4644" s="456"/>
      <c r="Y4644" s="436"/>
      <c r="Z4644" s="437"/>
      <c r="AA4644" s="560"/>
      <c r="AB4644" s="561"/>
      <c r="AC4644" s="87"/>
      <c r="AD4644" s="466"/>
      <c r="AE4644" s="456"/>
      <c r="AF4644" s="467"/>
      <c r="AG4644" s="87"/>
      <c r="AH4644" s="87"/>
      <c r="AI4644" s="87"/>
    </row>
    <row r="4645" spans="1:35" hidden="1">
      <c r="A4645" s="80" t="e">
        <f>"C"&amp;E4639</f>
        <v>#N/A</v>
      </c>
      <c r="B4645" s="88">
        <v>3</v>
      </c>
      <c r="C4645" s="82"/>
      <c r="D4645" s="82"/>
      <c r="E4645" s="82"/>
      <c r="F4645" s="82"/>
      <c r="G4645" s="83"/>
      <c r="H4645" s="83"/>
      <c r="I4645" s="84"/>
      <c r="J4645" s="85"/>
      <c r="K4645" s="382"/>
      <c r="L4645" s="85"/>
      <c r="M4645" s="332" t="str">
        <f t="shared" si="1375"/>
        <v/>
      </c>
      <c r="N4645" s="86"/>
      <c r="O4645" s="453" t="str">
        <f t="shared" si="1377"/>
        <v/>
      </c>
      <c r="P4645" s="538" t="str">
        <f t="shared" si="1378"/>
        <v/>
      </c>
      <c r="Q4645" s="539" t="str">
        <f t="shared" si="1376"/>
        <v/>
      </c>
      <c r="R4645" s="706"/>
      <c r="S4645" s="707"/>
      <c r="T4645" s="708"/>
      <c r="U4645" s="472"/>
      <c r="V4645" s="166"/>
      <c r="W4645" s="446"/>
      <c r="X4645" s="456"/>
      <c r="Y4645" s="436"/>
      <c r="Z4645" s="437"/>
      <c r="AA4645" s="560"/>
      <c r="AB4645" s="561"/>
      <c r="AC4645" s="87"/>
      <c r="AD4645" s="466"/>
      <c r="AE4645" s="456"/>
      <c r="AF4645" s="467"/>
      <c r="AG4645" s="87"/>
      <c r="AH4645" s="87"/>
      <c r="AI4645" s="87"/>
    </row>
    <row r="4646" spans="1:35" hidden="1">
      <c r="A4646" s="80" t="e">
        <f>"D"&amp;E4639</f>
        <v>#N/A</v>
      </c>
      <c r="B4646" s="105">
        <v>4</v>
      </c>
      <c r="C4646" s="107"/>
      <c r="D4646" s="107"/>
      <c r="E4646" s="107"/>
      <c r="F4646" s="107"/>
      <c r="G4646" s="83"/>
      <c r="H4646" s="83"/>
      <c r="I4646" s="84"/>
      <c r="J4646" s="85"/>
      <c r="K4646" s="382"/>
      <c r="L4646" s="85"/>
      <c r="M4646" s="332" t="str">
        <f t="shared" si="1375"/>
        <v/>
      </c>
      <c r="N4646" s="86"/>
      <c r="O4646" s="453" t="str">
        <f t="shared" si="1377"/>
        <v/>
      </c>
      <c r="P4646" s="538" t="str">
        <f t="shared" si="1378"/>
        <v/>
      </c>
      <c r="Q4646" s="539" t="str">
        <f t="shared" si="1376"/>
        <v/>
      </c>
      <c r="R4646" s="706"/>
      <c r="S4646" s="707"/>
      <c r="T4646" s="708"/>
      <c r="U4646" s="472"/>
      <c r="V4646" s="166"/>
      <c r="W4646" s="446"/>
      <c r="X4646" s="456"/>
      <c r="Y4646" s="436"/>
      <c r="Z4646" s="437"/>
      <c r="AA4646" s="560"/>
      <c r="AB4646" s="561"/>
      <c r="AC4646" s="87"/>
      <c r="AD4646" s="466"/>
      <c r="AE4646" s="456"/>
      <c r="AF4646" s="467"/>
      <c r="AG4646" s="87"/>
      <c r="AH4646" s="87"/>
      <c r="AI4646" s="87"/>
    </row>
    <row r="4647" spans="1:35" hidden="1">
      <c r="A4647" s="80" t="e">
        <f>"E"&amp;E4639</f>
        <v>#N/A</v>
      </c>
      <c r="B4647" s="105">
        <v>5</v>
      </c>
      <c r="C4647" s="107"/>
      <c r="D4647" s="107"/>
      <c r="E4647" s="107"/>
      <c r="F4647" s="107"/>
      <c r="G4647" s="83"/>
      <c r="H4647" s="83"/>
      <c r="I4647" s="84"/>
      <c r="J4647" s="85"/>
      <c r="K4647" s="382"/>
      <c r="L4647" s="85"/>
      <c r="M4647" s="332" t="str">
        <f t="shared" si="1375"/>
        <v/>
      </c>
      <c r="N4647" s="86"/>
      <c r="O4647" s="453" t="str">
        <f t="shared" si="1377"/>
        <v/>
      </c>
      <c r="P4647" s="538" t="str">
        <f t="shared" si="1378"/>
        <v/>
      </c>
      <c r="Q4647" s="539" t="str">
        <f t="shared" si="1376"/>
        <v/>
      </c>
      <c r="R4647" s="706"/>
      <c r="S4647" s="707"/>
      <c r="T4647" s="708"/>
      <c r="U4647" s="472"/>
      <c r="V4647" s="167"/>
      <c r="W4647" s="446"/>
      <c r="X4647" s="456"/>
      <c r="Y4647" s="436"/>
      <c r="Z4647" s="437"/>
      <c r="AA4647" s="560"/>
      <c r="AB4647" s="561"/>
      <c r="AC4647" s="87"/>
      <c r="AD4647" s="466"/>
      <c r="AE4647" s="456"/>
      <c r="AF4647" s="467"/>
      <c r="AG4647" s="87"/>
      <c r="AH4647" s="87"/>
      <c r="AI4647" s="87"/>
    </row>
    <row r="4648" spans="1:35" hidden="1">
      <c r="A4648" s="80" t="e">
        <f>"F"&amp;E4639</f>
        <v>#N/A</v>
      </c>
      <c r="B4648" s="105">
        <v>6</v>
      </c>
      <c r="C4648" s="107"/>
      <c r="D4648" s="107"/>
      <c r="E4648" s="107"/>
      <c r="F4648" s="107"/>
      <c r="G4648" s="83"/>
      <c r="H4648" s="83"/>
      <c r="I4648" s="84"/>
      <c r="J4648" s="85"/>
      <c r="K4648" s="382"/>
      <c r="L4648" s="85"/>
      <c r="M4648" s="332" t="str">
        <f t="shared" si="1375"/>
        <v/>
      </c>
      <c r="N4648" s="86"/>
      <c r="O4648" s="453" t="str">
        <f t="shared" si="1377"/>
        <v/>
      </c>
      <c r="P4648" s="538" t="str">
        <f t="shared" si="1378"/>
        <v/>
      </c>
      <c r="Q4648" s="539" t="str">
        <f t="shared" si="1376"/>
        <v/>
      </c>
      <c r="R4648" s="706"/>
      <c r="S4648" s="707"/>
      <c r="T4648" s="708"/>
      <c r="U4648" s="472"/>
      <c r="V4648" s="167"/>
      <c r="W4648" s="446"/>
      <c r="X4648" s="456"/>
      <c r="Y4648" s="436"/>
      <c r="Z4648" s="437"/>
      <c r="AA4648" s="560"/>
      <c r="AB4648" s="561"/>
      <c r="AC4648" s="87"/>
      <c r="AD4648" s="466"/>
      <c r="AE4648" s="456"/>
      <c r="AF4648" s="467"/>
      <c r="AG4648" s="87"/>
      <c r="AH4648" s="87"/>
      <c r="AI4648" s="87"/>
    </row>
    <row r="4649" spans="1:35" hidden="1">
      <c r="A4649" s="80" t="e">
        <f>"G"&amp;E4639</f>
        <v>#N/A</v>
      </c>
      <c r="B4649" s="105">
        <v>7</v>
      </c>
      <c r="C4649" s="107"/>
      <c r="D4649" s="107"/>
      <c r="E4649" s="107"/>
      <c r="F4649" s="107"/>
      <c r="G4649" s="83"/>
      <c r="H4649" s="83"/>
      <c r="I4649" s="84"/>
      <c r="J4649" s="85"/>
      <c r="K4649" s="382"/>
      <c r="L4649" s="85"/>
      <c r="M4649" s="332" t="str">
        <f t="shared" si="1375"/>
        <v/>
      </c>
      <c r="N4649" s="86"/>
      <c r="O4649" s="86" t="str">
        <f t="shared" si="1377"/>
        <v/>
      </c>
      <c r="P4649" s="538" t="str">
        <f t="shared" si="1378"/>
        <v/>
      </c>
      <c r="Q4649" s="539" t="str">
        <f t="shared" si="1376"/>
        <v/>
      </c>
      <c r="R4649" s="706"/>
      <c r="S4649" s="707"/>
      <c r="T4649" s="708"/>
      <c r="U4649" s="472"/>
      <c r="V4649" s="167"/>
      <c r="W4649" s="446"/>
      <c r="X4649" s="456"/>
      <c r="Y4649" s="436"/>
      <c r="Z4649" s="437"/>
      <c r="AA4649" s="560"/>
      <c r="AB4649" s="561"/>
      <c r="AC4649" s="87"/>
      <c r="AD4649" s="466"/>
      <c r="AE4649" s="456"/>
      <c r="AF4649" s="467"/>
      <c r="AG4649" s="87"/>
      <c r="AH4649" s="87"/>
      <c r="AI4649" s="87"/>
    </row>
    <row r="4650" spans="1:35" hidden="1">
      <c r="A4650" s="80" t="e">
        <f>"H"&amp;E4639</f>
        <v>#N/A</v>
      </c>
      <c r="B4650" s="105">
        <v>8</v>
      </c>
      <c r="C4650" s="107"/>
      <c r="D4650" s="107"/>
      <c r="E4650" s="107"/>
      <c r="F4650" s="107"/>
      <c r="G4650" s="83"/>
      <c r="H4650" s="83"/>
      <c r="I4650" s="84"/>
      <c r="J4650" s="85"/>
      <c r="K4650" s="382"/>
      <c r="L4650" s="85"/>
      <c r="M4650" s="332" t="str">
        <f t="shared" si="1375"/>
        <v/>
      </c>
      <c r="N4650" s="453"/>
      <c r="O4650" s="86" t="str">
        <f t="shared" si="1377"/>
        <v/>
      </c>
      <c r="P4650" s="538" t="str">
        <f t="shared" si="1378"/>
        <v/>
      </c>
      <c r="Q4650" s="539" t="str">
        <f t="shared" si="1376"/>
        <v/>
      </c>
      <c r="R4650" s="706"/>
      <c r="S4650" s="707"/>
      <c r="T4650" s="708"/>
      <c r="U4650" s="472"/>
      <c r="V4650" s="167"/>
      <c r="W4650" s="446"/>
      <c r="X4650" s="456"/>
      <c r="Y4650" s="436"/>
      <c r="Z4650" s="437"/>
      <c r="AA4650" s="560"/>
      <c r="AB4650" s="561"/>
      <c r="AC4650" s="87"/>
      <c r="AD4650" s="466"/>
      <c r="AE4650" s="456"/>
      <c r="AF4650" s="467"/>
      <c r="AG4650" s="87"/>
      <c r="AH4650" s="87"/>
      <c r="AI4650" s="87"/>
    </row>
    <row r="4651" spans="1:35" hidden="1">
      <c r="A4651" s="80" t="e">
        <f>"I"&amp;E4639</f>
        <v>#N/A</v>
      </c>
      <c r="B4651" s="105">
        <v>9</v>
      </c>
      <c r="C4651" s="107"/>
      <c r="D4651" s="107"/>
      <c r="E4651" s="107"/>
      <c r="F4651" s="107"/>
      <c r="G4651" s="83"/>
      <c r="H4651" s="83"/>
      <c r="I4651" s="84"/>
      <c r="J4651" s="85"/>
      <c r="K4651" s="382"/>
      <c r="L4651" s="85"/>
      <c r="M4651" s="332" t="str">
        <f t="shared" si="1375"/>
        <v/>
      </c>
      <c r="N4651" s="453"/>
      <c r="O4651" s="86" t="str">
        <f t="shared" si="1377"/>
        <v/>
      </c>
      <c r="P4651" s="538" t="str">
        <f t="shared" si="1378"/>
        <v/>
      </c>
      <c r="Q4651" s="539" t="str">
        <f t="shared" si="1376"/>
        <v/>
      </c>
      <c r="R4651" s="706"/>
      <c r="S4651" s="707"/>
      <c r="T4651" s="708"/>
      <c r="U4651" s="472"/>
      <c r="V4651" s="167"/>
      <c r="W4651" s="446"/>
      <c r="X4651" s="456"/>
      <c r="Y4651" s="436"/>
      <c r="Z4651" s="437"/>
      <c r="AA4651" s="560"/>
      <c r="AB4651" s="561"/>
      <c r="AC4651" s="87"/>
      <c r="AD4651" s="466"/>
      <c r="AE4651" s="456"/>
      <c r="AF4651" s="467"/>
      <c r="AG4651" s="87"/>
      <c r="AH4651" s="87"/>
      <c r="AI4651" s="87"/>
    </row>
    <row r="4652" spans="1:35" hidden="1">
      <c r="A4652" s="80" t="e">
        <f>"J"&amp;E4639</f>
        <v>#N/A</v>
      </c>
      <c r="B4652" s="105">
        <v>10</v>
      </c>
      <c r="C4652" s="107"/>
      <c r="D4652" s="107"/>
      <c r="E4652" s="107"/>
      <c r="F4652" s="107"/>
      <c r="G4652" s="83"/>
      <c r="H4652" s="83"/>
      <c r="I4652" s="84"/>
      <c r="J4652" s="85"/>
      <c r="K4652" s="382"/>
      <c r="L4652" s="85"/>
      <c r="M4652" s="332" t="str">
        <f t="shared" si="1375"/>
        <v/>
      </c>
      <c r="N4652" s="453"/>
      <c r="O4652" s="86" t="str">
        <f t="shared" si="1377"/>
        <v/>
      </c>
      <c r="P4652" s="538" t="str">
        <f t="shared" si="1378"/>
        <v/>
      </c>
      <c r="Q4652" s="539" t="str">
        <f t="shared" si="1376"/>
        <v/>
      </c>
      <c r="R4652" s="706"/>
      <c r="S4652" s="707"/>
      <c r="T4652" s="708"/>
      <c r="U4652" s="472"/>
      <c r="V4652" s="167"/>
      <c r="W4652" s="446"/>
      <c r="X4652" s="456"/>
      <c r="Y4652" s="436"/>
      <c r="Z4652" s="437"/>
      <c r="AA4652" s="560"/>
      <c r="AB4652" s="561"/>
      <c r="AC4652" s="87"/>
      <c r="AD4652" s="466"/>
      <c r="AE4652" s="456"/>
      <c r="AF4652" s="467"/>
      <c r="AG4652" s="87"/>
      <c r="AH4652" s="87"/>
      <c r="AI4652" s="87"/>
    </row>
    <row r="4653" spans="1:35" ht="16.5" hidden="1" thickBot="1">
      <c r="A4653" s="44"/>
      <c r="B4653" s="89"/>
      <c r="C4653" s="90"/>
      <c r="D4653" s="90"/>
      <c r="E4653" s="90"/>
      <c r="F4653" s="90"/>
      <c r="G4653" s="90"/>
      <c r="H4653" s="90"/>
      <c r="I4653" s="90"/>
      <c r="J4653" s="90"/>
      <c r="K4653" s="90"/>
      <c r="L4653" s="90"/>
      <c r="M4653" s="90"/>
      <c r="N4653" s="90"/>
      <c r="O4653" s="90"/>
      <c r="P4653" s="90"/>
      <c r="Q4653" s="90"/>
      <c r="R4653" s="90"/>
      <c r="S4653" s="91"/>
      <c r="T4653" s="92"/>
      <c r="U4653" s="473"/>
      <c r="W4653" s="438"/>
      <c r="X4653" s="455"/>
      <c r="Y4653" s="439"/>
      <c r="Z4653" s="437"/>
      <c r="AA4653" s="530"/>
      <c r="AB4653" s="563"/>
      <c r="AC4653" s="87"/>
      <c r="AD4653" s="440"/>
      <c r="AE4653" s="441"/>
      <c r="AF4653" s="442"/>
      <c r="AG4653" s="49"/>
      <c r="AH4653" s="87"/>
      <c r="AI4653" s="87"/>
    </row>
    <row r="4654" spans="1:35" ht="16.5" hidden="1" thickBot="1">
      <c r="A4654" s="93"/>
      <c r="B4654" s="94"/>
      <c r="C4654" s="96"/>
      <c r="D4654" s="96"/>
      <c r="E4654" s="96"/>
      <c r="F4654" s="96"/>
      <c r="G4654" s="96"/>
      <c r="H4654" s="96"/>
      <c r="I4654" s="96"/>
      <c r="J4654" s="96"/>
      <c r="K4654" s="96"/>
      <c r="L4654" s="96"/>
      <c r="M4654" s="136"/>
      <c r="N4654" s="96"/>
      <c r="O4654" s="96"/>
      <c r="P4654" s="97"/>
      <c r="Q4654" s="97"/>
      <c r="R4654" s="98"/>
      <c r="S4654" s="95"/>
      <c r="T4654" s="99"/>
      <c r="U4654" s="469"/>
      <c r="AC4654" s="58"/>
      <c r="AG4654" s="58"/>
      <c r="AH4654" s="87"/>
      <c r="AI4654" s="87"/>
    </row>
    <row r="4655" spans="1:35" ht="16.5" hidden="1" thickBot="1">
      <c r="B4655" s="101"/>
      <c r="C4655" s="101"/>
      <c r="D4655" s="101"/>
      <c r="E4655" s="101"/>
      <c r="F4655" s="101"/>
      <c r="G4655" s="101"/>
      <c r="H4655" s="101"/>
      <c r="I4655" s="101"/>
      <c r="J4655" s="101"/>
      <c r="K4655" s="101"/>
      <c r="L4655" s="101"/>
      <c r="M4655" s="101"/>
      <c r="N4655" s="101"/>
      <c r="O4655" s="101"/>
      <c r="P4655" s="101"/>
      <c r="Q4655" s="101"/>
      <c r="R4655" s="101"/>
      <c r="S4655" s="101"/>
      <c r="U4655" s="50"/>
      <c r="AH4655" s="87"/>
      <c r="AI4655" s="87"/>
    </row>
    <row r="4656" spans="1:35" ht="16.5" hidden="1" customHeight="1" thickBot="1">
      <c r="A4656" s="44"/>
      <c r="B4656" s="705" t="s">
        <v>74</v>
      </c>
      <c r="C4656" s="705"/>
      <c r="D4656" s="705"/>
      <c r="E4656" s="705"/>
      <c r="F4656" s="705"/>
      <c r="G4656" s="705"/>
      <c r="H4656" s="705"/>
      <c r="I4656" s="705"/>
      <c r="J4656" s="705"/>
      <c r="K4656" s="705"/>
      <c r="L4656" s="705"/>
      <c r="M4656" s="705"/>
      <c r="N4656" s="705"/>
      <c r="O4656" s="705"/>
      <c r="P4656" s="705"/>
      <c r="Q4656" s="705"/>
      <c r="R4656" s="705"/>
      <c r="S4656" s="705"/>
      <c r="T4656" s="705"/>
      <c r="U4656" s="108"/>
      <c r="Y4656" s="532" t="s">
        <v>341</v>
      </c>
      <c r="AC4656" s="49"/>
      <c r="AD4656" s="687" t="s">
        <v>302</v>
      </c>
      <c r="AE4656" s="688"/>
      <c r="AF4656" s="689"/>
      <c r="AG4656" s="49"/>
      <c r="AH4656" s="87"/>
      <c r="AI4656" s="87"/>
    </row>
    <row r="4657" spans="1:35" ht="16.5" hidden="1" customHeight="1" thickBot="1">
      <c r="A4657" s="218" t="e">
        <f>"K"&amp;E4639</f>
        <v>#N/A</v>
      </c>
      <c r="B4657" s="701" t="s">
        <v>71</v>
      </c>
      <c r="C4657" s="751" t="s">
        <v>102</v>
      </c>
      <c r="D4657" s="751"/>
      <c r="E4657" s="751"/>
      <c r="F4657" s="751"/>
      <c r="G4657" s="751"/>
      <c r="H4657" s="751"/>
      <c r="I4657" s="751"/>
      <c r="J4657" s="751"/>
      <c r="K4657" s="751"/>
      <c r="L4657" s="722" t="s">
        <v>100</v>
      </c>
      <c r="M4657" s="747" t="s">
        <v>114</v>
      </c>
      <c r="N4657" s="747"/>
      <c r="O4657" s="747"/>
      <c r="P4657" s="747"/>
      <c r="Q4657" s="748"/>
      <c r="R4657" s="758" t="s">
        <v>280</v>
      </c>
      <c r="S4657" s="748"/>
      <c r="T4657" s="762" t="str">
        <f>IF(COUNTIF(AE4657:AF4657,"VERIFICAR")&gt;0,"VERIFICAR",IF(COUNTIF(AE4657:AF4657,"NO CUMPLE")&gt;0,"NO CUMPLE","CUMPLE"))</f>
        <v>VERIFICAR</v>
      </c>
      <c r="U4657" s="108"/>
      <c r="Y4657" s="533" t="e">
        <f>IF(F4658="","",IF(F4658=1,"INDIVIDUAL","ESTRUCTURA PLURAL"))</f>
        <v>#N/A</v>
      </c>
      <c r="AC4657" s="52"/>
      <c r="AD4657" s="475" t="s">
        <v>303</v>
      </c>
      <c r="AE4657" s="476" t="str">
        <f>IF(COUNTIF(AE4643:AE4652,"")=10,"VERIFICAR",IF(COUNTIF(AE4643:AE4652,"SI")&gt;0,"CUMPLE","NO CUMPLE"))</f>
        <v>VERIFICAR</v>
      </c>
      <c r="AF4657" s="477" t="str">
        <f>IF(COUNTIF(AF4643:AF4652,"")=10,"VERIFICAR",IF(COUNTIF(AF4643:AF4652,"SI")&gt;=$AI$22,"CUMPLE","NO CUMPLE"))</f>
        <v>VERIFICAR</v>
      </c>
      <c r="AG4657" s="52"/>
      <c r="AH4657" s="87"/>
      <c r="AI4657" s="87"/>
    </row>
    <row r="4658" spans="1:35" ht="15.75" hidden="1" customHeight="1" thickBot="1">
      <c r="A4658" s="218" t="e">
        <f>"L"&amp;E4639</f>
        <v>#N/A</v>
      </c>
      <c r="B4658" s="702"/>
      <c r="C4658" s="751" t="s">
        <v>103</v>
      </c>
      <c r="D4658" s="751"/>
      <c r="E4658" s="752"/>
      <c r="F4658" s="557" t="e">
        <f>IF(VLOOKUP(E4639,PROPONENTES!$C$19:$E$218,3,0)="","",VLOOKUP(E4639,PROPONENTES!$C$19:$E$218,3,0))</f>
        <v>#N/A</v>
      </c>
      <c r="G4658" s="753" t="s">
        <v>104</v>
      </c>
      <c r="H4658" s="751"/>
      <c r="I4658" s="715" t="e">
        <f>IF(OR(F4658="",F4658=1),"INTERESADO PERSONA NATURAL O JURIDICA","CONSORCIO O UNION TEMPORAL")</f>
        <v>#N/A</v>
      </c>
      <c r="J4658" s="725"/>
      <c r="K4658" s="728"/>
      <c r="L4658" s="723"/>
      <c r="M4658" s="749"/>
      <c r="N4658" s="749"/>
      <c r="O4658" s="749"/>
      <c r="P4658" s="749"/>
      <c r="Q4658" s="750"/>
      <c r="R4658" s="712"/>
      <c r="S4658" s="750"/>
      <c r="T4658" s="763"/>
      <c r="U4658" s="108"/>
      <c r="Y4658" s="534"/>
      <c r="AA4658" s="52"/>
      <c r="AB4658" s="52"/>
      <c r="AC4658" s="52"/>
      <c r="AG4658" s="52"/>
      <c r="AH4658" s="87"/>
      <c r="AI4658" s="87"/>
    </row>
    <row r="4659" spans="1:35" ht="56.25" hidden="1" customHeight="1" thickBot="1">
      <c r="A4659" s="218" t="e">
        <f>"M"&amp;E4639</f>
        <v>#N/A</v>
      </c>
      <c r="B4659" s="702"/>
      <c r="C4659" s="725" t="s">
        <v>101</v>
      </c>
      <c r="D4659" s="716"/>
      <c r="E4659" s="558" t="s">
        <v>105</v>
      </c>
      <c r="F4659" s="554" t="s">
        <v>87</v>
      </c>
      <c r="G4659" s="553" t="s">
        <v>86</v>
      </c>
      <c r="H4659" s="559" t="s">
        <v>85</v>
      </c>
      <c r="I4659" s="554" t="s">
        <v>252</v>
      </c>
      <c r="J4659" s="553" t="str">
        <f>"¿EL INTEGRANTE TIENE UNA PARTICIPACIÓN DEL "&amp;PORCREQUERIDOINT*100&amp;"%?"</f>
        <v>¿EL INTEGRANTE TIENE UNA PARTICIPACIÓN DEL 60%?</v>
      </c>
      <c r="K4659" s="554" t="s">
        <v>107</v>
      </c>
      <c r="L4659" s="724"/>
      <c r="M4659" s="717" t="s">
        <v>115</v>
      </c>
      <c r="N4659" s="718"/>
      <c r="O4659" s="718"/>
      <c r="P4659" s="718"/>
      <c r="Q4659" s="223">
        <f>IF(AND(H4643="SI",P4643&gt;=0),1,0)+IF(AND(H4644="SI",P4644&gt;=0),1,0)+IF(AND(H4645="SI",P4645&gt;=0),1,0)+IF(AND(H4646="SI",P4646&gt;=0),1,0)+IF(AND(H4647="SI",P4647&gt;=0),1,0)+IF(AND(H4648="SI",P4648&gt;=0),1,0)+IF(AND(H4649="SI",P4649&gt;=0),1,0)+IF(AND(H4650="SI",P4650&gt;=0),1,0)+IF(AND(H4651="SI",P4651&gt;=0),1,0)+IF(AND(H4652="SI",P4652&gt;=0),1,0)</f>
        <v>0</v>
      </c>
      <c r="R4659" s="759"/>
      <c r="S4659" s="761"/>
      <c r="T4659" s="764"/>
      <c r="U4659" s="219"/>
      <c r="V4659" s="464"/>
      <c r="Y4659" s="532" t="s">
        <v>342</v>
      </c>
      <c r="AA4659" s="550" t="s">
        <v>344</v>
      </c>
      <c r="AB4659" s="693" t="s">
        <v>345</v>
      </c>
      <c r="AC4659" s="693" t="s">
        <v>346</v>
      </c>
      <c r="AD4659" s="685" t="s">
        <v>347</v>
      </c>
      <c r="AE4659" s="52"/>
      <c r="AF4659" s="52"/>
      <c r="AG4659" s="52"/>
      <c r="AH4659" s="87"/>
      <c r="AI4659" s="87"/>
    </row>
    <row r="4660" spans="1:35" ht="15.75" hidden="1" customHeight="1" thickBot="1">
      <c r="A4660" s="218" t="e">
        <f>"N"&amp;E4639</f>
        <v>#N/A</v>
      </c>
      <c r="B4660" s="702"/>
      <c r="C4660" s="114">
        <v>1</v>
      </c>
      <c r="D4660" s="194" t="e">
        <f>IF(AND(C4660&lt;=F4658,F4658&gt;1,F4658&lt;&gt;""),VLOOKUP(VALUE(E4639&amp;","&amp;C4660),INTEGRANTES!$D$18:$F$235,2,0),"")</f>
        <v>#N/A</v>
      </c>
      <c r="E4660" s="211" t="e">
        <f>IF(D4660&lt;&gt;"",VLOOKUP(VALUE(E4639&amp;","&amp;C4660),INTEGRANTES!$D$18:$F$235,3,0),"")</f>
        <v>#N/A</v>
      </c>
      <c r="F4660" s="547" t="e">
        <f>IF(D4660="","",SUMIF($I4643:$I4652,D4660,$P4643:$P4652))</f>
        <v>#N/A</v>
      </c>
      <c r="G4660" s="333" t="e">
        <f>IF(D4660="","",SUMIF($I4643:$I4652,D4660,$M4643:$M4652))</f>
        <v>#N/A</v>
      </c>
      <c r="H4660" s="535" t="e">
        <f t="shared" ref="H4660:H4665" si="1379">IF(D4660="","",IF(OR(F4660=0,G4660=0),"NO APORTA",ROUND($F4660/$G4660,3)))</f>
        <v>#N/A</v>
      </c>
      <c r="I4660" s="212" t="e">
        <f>IF(D4660="","",IF(H4660="NO APORTA","NO",IF(H4660=MAX($H4660:$H4665),"SI","NO")))</f>
        <v>#N/A</v>
      </c>
      <c r="J4660" s="213" t="e">
        <f t="shared" ref="J4660:J4665" si="1380">IF(D4660="","",IF(E4660&gt;=PORCREQUERIDOINT,"SI","NO"))</f>
        <v>#N/A</v>
      </c>
      <c r="K4660" s="200" t="e">
        <f t="shared" ref="K4660:K4665" si="1381">IF(D4660="","",IF(AND(I4660="SI",J4660="SI"),"CUMPLE",IF(AND(I4660="NO",OR(J4660="SI",J4660="NO")),"","NO CUMPLE")))</f>
        <v>#N/A</v>
      </c>
      <c r="L4660" s="722" t="s">
        <v>108</v>
      </c>
      <c r="M4660" s="726" t="s">
        <v>119</v>
      </c>
      <c r="N4660" s="726"/>
      <c r="O4660" s="726"/>
      <c r="P4660" s="726"/>
      <c r="Q4660" s="727"/>
      <c r="R4660" s="758" t="s">
        <v>80</v>
      </c>
      <c r="S4660" s="747"/>
      <c r="T4660" s="748"/>
      <c r="U4660" s="219"/>
      <c r="V4660" s="464"/>
      <c r="Y4660" s="533" t="e">
        <f>IF(Y4657="","",IF(Y4657="INDIVIDUAL","NO APLICA","VERIFICAR CUADRO"))</f>
        <v>#N/A</v>
      </c>
      <c r="AA4660" s="551"/>
      <c r="AB4660" s="694"/>
      <c r="AC4660" s="694"/>
      <c r="AD4660" s="686"/>
      <c r="AE4660" s="52"/>
      <c r="AF4660" s="52"/>
      <c r="AG4660" s="52"/>
      <c r="AH4660" s="87"/>
      <c r="AI4660" s="87"/>
    </row>
    <row r="4661" spans="1:35" ht="27" hidden="1" customHeight="1" thickBot="1">
      <c r="A4661" s="218" t="e">
        <f>"O"&amp;E4639</f>
        <v>#N/A</v>
      </c>
      <c r="B4661" s="702"/>
      <c r="C4661" s="114">
        <v>2</v>
      </c>
      <c r="D4661" s="194" t="e">
        <f>IF(AND(C4661&lt;=F4658,F4658&lt;&gt;""),VLOOKUP(VALUE(E4639&amp;","&amp;C4661),INTEGRANTES!$D$18:$F$235,2,0),"")</f>
        <v>#N/A</v>
      </c>
      <c r="E4661" s="211" t="e">
        <f>IF(D4661&lt;&gt;"",VLOOKUP(VALUE(E4639&amp;","&amp;C4661),INTEGRANTES!$D$18:$F$235,3,0),"")</f>
        <v>#N/A</v>
      </c>
      <c r="F4661" s="547" t="e">
        <f>IF(D4661="","",SUMIF($I4643:$I4652,D4661,$P4643:$P4652))</f>
        <v>#N/A</v>
      </c>
      <c r="G4661" s="333" t="e">
        <f>IF(D4661="","",SUMIF($I4643:$I4652,D4661,$M4643:$M4652))</f>
        <v>#N/A</v>
      </c>
      <c r="H4661" s="535" t="e">
        <f t="shared" si="1379"/>
        <v>#N/A</v>
      </c>
      <c r="I4661" s="212" t="e">
        <f>IF(D4661="","",IF(H4661="NO APORTA","NO",IF(H4661=MAX($H4660:$H4665),"SI","NO")))</f>
        <v>#N/A</v>
      </c>
      <c r="J4661" s="213" t="e">
        <f t="shared" si="1380"/>
        <v>#N/A</v>
      </c>
      <c r="K4661" s="200" t="e">
        <f t="shared" si="1381"/>
        <v>#N/A</v>
      </c>
      <c r="L4661" s="723"/>
      <c r="M4661" s="715" t="s">
        <v>116</v>
      </c>
      <c r="N4661" s="716"/>
      <c r="O4661" s="556" t="s">
        <v>113</v>
      </c>
      <c r="P4661" s="715" t="s">
        <v>117</v>
      </c>
      <c r="Q4661" s="728"/>
      <c r="R4661" s="759"/>
      <c r="S4661" s="760"/>
      <c r="T4661" s="761"/>
      <c r="U4661" s="219"/>
      <c r="V4661" s="464"/>
      <c r="Y4661" s="414"/>
      <c r="AA4661" s="542" t="e">
        <f>IF(AND(C4660&lt;=F4658,F4658&gt;1,F4658&lt;&gt;""),VLOOKUP(VALUE(E4639&amp;","&amp;C4660),INTEGRANTES!$D$18:$F$235,2,0),"")</f>
        <v>#N/A</v>
      </c>
      <c r="AB4661" s="544" t="e">
        <f t="shared" ref="AB4661:AB4666" si="1382">IF(D4660="","",IF(OR(F4660=0,G4660=0),"NO APORTA",ROUND($F4660/$G4660,3)))</f>
        <v>#N/A</v>
      </c>
      <c r="AC4661" s="529"/>
      <c r="AD4661" s="200" t="e">
        <f t="shared" ref="AD4661:AD4666" si="1383">IF(OR(AA4661="",AB4661=""),"",IF(AND(AC4661="X",AB4661&gt;=EXPREQVTD),"CUMPLE","NO CUMPLE"))</f>
        <v>#N/A</v>
      </c>
      <c r="AE4661" s="52"/>
      <c r="AF4661" s="52"/>
      <c r="AG4661" s="52"/>
      <c r="AH4661" s="87"/>
      <c r="AI4661" s="87"/>
    </row>
    <row r="4662" spans="1:35" ht="16.5" hidden="1" thickBot="1">
      <c r="A4662" s="218" t="e">
        <f>"P"&amp;E4639</f>
        <v>#N/A</v>
      </c>
      <c r="B4662" s="702"/>
      <c r="C4662" s="114">
        <v>3</v>
      </c>
      <c r="D4662" s="194" t="e">
        <f>IF(AND(C4662&lt;=F4658,F4658&lt;&gt;""),VLOOKUP(VALUE(E4639&amp;","&amp;C4662),INTEGRANTES!$D$18:$F$235,2,0),"")</f>
        <v>#N/A</v>
      </c>
      <c r="E4662" s="211" t="e">
        <f>IF(D4662&lt;&gt;"",VLOOKUP(VALUE(E4639&amp;","&amp;C4662),INTEGRANTES!$D$18:$F$235,3,0),"")</f>
        <v>#N/A</v>
      </c>
      <c r="F4662" s="547" t="e">
        <f>IF(D4662="","",SUMIF($I4643:$I4652,D4662,$P4643:$P4652))</f>
        <v>#N/A</v>
      </c>
      <c r="G4662" s="333" t="e">
        <f>IF(D4662="","",SUMIF($I4643:$I4652,D4662,$M4643:$M4652))</f>
        <v>#N/A</v>
      </c>
      <c r="H4662" s="535" t="e">
        <f t="shared" si="1379"/>
        <v>#N/A</v>
      </c>
      <c r="I4662" s="212" t="e">
        <f>IF(D4662="","",IF(H4662="NO APORTA","NO",IF(H4662=MAX($H4660:$H4665),"SI","NO")))</f>
        <v>#N/A</v>
      </c>
      <c r="J4662" s="213" t="e">
        <f t="shared" si="1380"/>
        <v>#N/A</v>
      </c>
      <c r="K4662" s="200" t="e">
        <f t="shared" si="1381"/>
        <v>#N/A</v>
      </c>
      <c r="L4662" s="724"/>
      <c r="M4662" s="729">
        <f>NUMMOD</f>
        <v>1</v>
      </c>
      <c r="N4662" s="730"/>
      <c r="O4662" s="443">
        <f>IF(M4662="","",VLOOKUP(M4662,PRESUPUESTOS!$B$16:$H$16,5,FALSE))</f>
        <v>2</v>
      </c>
      <c r="P4662" s="713">
        <f>IF(OR(COUNTIF(M4643:M4652,"")&gt;=10,Q4659&lt;NUMMINCONT,OR(T4657="NO CUMPLE",T4657="VERIFICAR")),0,ROUND(AVERAGE(M4643:M4652),3))</f>
        <v>0</v>
      </c>
      <c r="Q4662" s="714"/>
      <c r="R4662" s="458"/>
      <c r="S4662" s="459"/>
      <c r="T4662" s="460"/>
      <c r="U4662" s="219"/>
      <c r="V4662" s="464"/>
      <c r="Y4662" s="532" t="str">
        <f>"40% * ("&amp;PRESUPUESTOS!$H$13&amp;")"</f>
        <v>40% * (50% PFMO)</v>
      </c>
      <c r="AA4662" s="540" t="e">
        <f>IF(AND(C4661&lt;=F4658,F4658&lt;&gt;""),VLOOKUP(VALUE(E4639&amp;","&amp;C4661),INTEGRANTES!$D$18:$F$235,2,0),"")</f>
        <v>#N/A</v>
      </c>
      <c r="AB4662" s="545" t="e">
        <f t="shared" si="1382"/>
        <v>#N/A</v>
      </c>
      <c r="AC4662" s="529"/>
      <c r="AD4662" s="200" t="e">
        <f t="shared" si="1383"/>
        <v>#N/A</v>
      </c>
      <c r="AE4662" s="52"/>
      <c r="AF4662" s="52"/>
      <c r="AG4662" s="52"/>
      <c r="AH4662" s="87"/>
      <c r="AI4662" s="87"/>
    </row>
    <row r="4663" spans="1:35" ht="15.75" hidden="1" customHeight="1" thickBot="1">
      <c r="A4663" s="218" t="e">
        <f>"Q"&amp;E4639</f>
        <v>#N/A</v>
      </c>
      <c r="B4663" s="702"/>
      <c r="C4663" s="114">
        <v>4</v>
      </c>
      <c r="D4663" s="194" t="e">
        <f>IF(AND(C4663&lt;=F4658,F4658&lt;&gt;""),VLOOKUP(VALUE(E4639&amp;","&amp;C4663),INTEGRANTES!$D$18:$F$235,2,0),"")</f>
        <v>#N/A</v>
      </c>
      <c r="E4663" s="211" t="e">
        <f>IF(D4663&lt;&gt;"",VLOOKUP(VALUE(E4639&amp;","&amp;C4663),INTEGRANTES!$D$18:$F$235,3,0),"")</f>
        <v>#N/A</v>
      </c>
      <c r="F4663" s="547" t="e">
        <f>IF(D4663="","",SUMIF($I4643:$I4652,D4663,$P4643:$P4652))</f>
        <v>#N/A</v>
      </c>
      <c r="G4663" s="333" t="e">
        <f>IF(D4663="","",SUMIF($I4643:$I4652,D4663,$M4643:$M4652))</f>
        <v>#N/A</v>
      </c>
      <c r="H4663" s="535" t="e">
        <f t="shared" si="1379"/>
        <v>#N/A</v>
      </c>
      <c r="I4663" s="212" t="e">
        <f>IF(D4663="","",IF(H4663="NO APORTA","NO",IF(H4663=MAX($H4660:$H4665),"SI","NO")))</f>
        <v>#N/A</v>
      </c>
      <c r="J4663" s="213" t="e">
        <f t="shared" si="1380"/>
        <v>#N/A</v>
      </c>
      <c r="K4663" s="200" t="e">
        <f t="shared" si="1381"/>
        <v>#N/A</v>
      </c>
      <c r="L4663" s="720" t="s">
        <v>109</v>
      </c>
      <c r="M4663" s="757" t="s">
        <v>120</v>
      </c>
      <c r="N4663" s="726"/>
      <c r="O4663" s="726"/>
      <c r="P4663" s="726"/>
      <c r="Q4663" s="727"/>
      <c r="R4663" s="458"/>
      <c r="S4663" s="459"/>
      <c r="T4663" s="460"/>
      <c r="U4663" s="219"/>
      <c r="V4663" s="464"/>
      <c r="Y4663" s="537">
        <f>0.4*PRESUPUESTOS!$H$16</f>
        <v>10.3124</v>
      </c>
      <c r="AA4663" s="540" t="e">
        <f>IF(AND(C4662&lt;=F4658,F4658&lt;&gt;""),VLOOKUP(VALUE(E4639&amp;","&amp;C4662),INTEGRANTES!$D$18:$F$235,2,0),"")</f>
        <v>#N/A</v>
      </c>
      <c r="AB4663" s="545" t="e">
        <f t="shared" si="1382"/>
        <v>#N/A</v>
      </c>
      <c r="AC4663" s="529"/>
      <c r="AD4663" s="200" t="e">
        <f t="shared" si="1383"/>
        <v>#N/A</v>
      </c>
      <c r="AE4663" s="52"/>
      <c r="AF4663" s="52"/>
      <c r="AG4663" s="52"/>
      <c r="AH4663" s="87"/>
      <c r="AI4663" s="87"/>
    </row>
    <row r="4664" spans="1:35" ht="27" hidden="1" customHeight="1" thickBot="1">
      <c r="A4664" s="218" t="e">
        <f>"R"&amp;E4639</f>
        <v>#N/A</v>
      </c>
      <c r="B4664" s="702"/>
      <c r="C4664" s="114">
        <v>5</v>
      </c>
      <c r="D4664" s="194" t="e">
        <f>IF(AND(C4664&lt;=F4658,F4658&lt;&gt;""),VLOOKUP(VALUE(E4639&amp;","&amp;C4664),INTEGRANTES!$D$18:$F$235,2,0),"")</f>
        <v>#N/A</v>
      </c>
      <c r="E4664" s="211" t="e">
        <f>IF(D4664&lt;&gt;"",VLOOKUP(VALUE(E4639&amp;","&amp;C4664),INTEGRANTES!$D$18:$F$235,3,0),"")</f>
        <v>#N/A</v>
      </c>
      <c r="F4664" s="547" t="e">
        <f>IF(D4664="","",SUMIF($I4643:$I4652,D4664,$P4643:$P4652))</f>
        <v>#N/A</v>
      </c>
      <c r="G4664" s="333" t="e">
        <f>IF(D4664="","",SUMIF($I4643:$I4652,D4664,$M4643:$M4652))</f>
        <v>#N/A</v>
      </c>
      <c r="H4664" s="535" t="e">
        <f t="shared" si="1379"/>
        <v>#N/A</v>
      </c>
      <c r="I4664" s="212" t="e">
        <f>IF(D4664="","",IF(H4664="NO APORTA","NO",IF(H4664=MAX($H4660:$H4665),"SI","NO")))</f>
        <v>#N/A</v>
      </c>
      <c r="J4664" s="213" t="e">
        <f t="shared" si="1380"/>
        <v>#N/A</v>
      </c>
      <c r="K4664" s="200" t="e">
        <f t="shared" si="1381"/>
        <v>#N/A</v>
      </c>
      <c r="L4664" s="721"/>
      <c r="M4664" s="715" t="s">
        <v>116</v>
      </c>
      <c r="N4664" s="716"/>
      <c r="O4664" s="556" t="str">
        <f>PORCREQUERIDO*100&amp;"% PMFO DEL MÓDULO"</f>
        <v>50% PMFO DEL MÓDULO</v>
      </c>
      <c r="P4664" s="715" t="s">
        <v>118</v>
      </c>
      <c r="Q4664" s="728"/>
      <c r="R4664" s="458"/>
      <c r="S4664" s="459"/>
      <c r="T4664" s="460"/>
      <c r="U4664" s="219"/>
      <c r="V4664" s="464"/>
      <c r="Y4664" s="414"/>
      <c r="AA4664" s="540" t="e">
        <f>IF(AND(C4663&lt;=F4658,F4658&lt;&gt;""),VLOOKUP(VALUE(E4639&amp;","&amp;C4663),INTEGRANTES!$D$18:$F$235,2,0),"")</f>
        <v>#N/A</v>
      </c>
      <c r="AB4664" s="545" t="e">
        <f t="shared" si="1382"/>
        <v>#N/A</v>
      </c>
      <c r="AC4664" s="529"/>
      <c r="AD4664" s="200" t="e">
        <f t="shared" si="1383"/>
        <v>#N/A</v>
      </c>
      <c r="AE4664" s="52"/>
      <c r="AF4664" s="52"/>
      <c r="AG4664" s="52"/>
      <c r="AH4664" s="87"/>
      <c r="AI4664" s="87"/>
    </row>
    <row r="4665" spans="1:35" ht="16.5" hidden="1" thickBot="1">
      <c r="A4665" s="218" t="e">
        <f>"S"&amp;E4639</f>
        <v>#N/A</v>
      </c>
      <c r="B4665" s="702"/>
      <c r="C4665" s="215">
        <v>6</v>
      </c>
      <c r="D4665" s="216" t="e">
        <f>IF(AND(C4665&lt;=F4658,F4658&lt;&gt;""),VLOOKUP(VALUE(E4639&amp;","&amp;C4665),INTEGRANTES!$D$18:$F$235,2,0),"")</f>
        <v>#N/A</v>
      </c>
      <c r="E4665" s="217" t="e">
        <f>IF(D4665&lt;&gt;"",VLOOKUP(VALUE(E4639&amp;","&amp;C4665),INTEGRANTES!$D$18:$F$235,3,0),"")</f>
        <v>#N/A</v>
      </c>
      <c r="F4665" s="548" t="e">
        <f>IF(D4665="","",SUMIF($I4643:$I4652,D4665,$P4643:$P4652))</f>
        <v>#N/A</v>
      </c>
      <c r="G4665" s="334" t="e">
        <f>IF(D4665="","",SUMIF($I4643:$I4652,D4665,$M4643:$M4652))</f>
        <v>#N/A</v>
      </c>
      <c r="H4665" s="536" t="e">
        <f t="shared" si="1379"/>
        <v>#N/A</v>
      </c>
      <c r="I4665" s="214" t="e">
        <f>IF(D4665="","",IF(H4665="NO APORTA","NO",IF(H4665=MAX($H4660:$H4665),"SI","NO")))</f>
        <v>#N/A</v>
      </c>
      <c r="J4665" s="213" t="e">
        <f t="shared" si="1380"/>
        <v>#N/A</v>
      </c>
      <c r="K4665" s="200" t="e">
        <f t="shared" si="1381"/>
        <v>#N/A</v>
      </c>
      <c r="L4665" s="721"/>
      <c r="M4665" s="729">
        <f>NUMMOD</f>
        <v>1</v>
      </c>
      <c r="N4665" s="730"/>
      <c r="O4665" s="443">
        <f>IF(M4665="","",ROUND(VLOOKUP(M4665,PRESUPUESTOS!$B$16:$H$16,7,FALSE),3))</f>
        <v>25.780999999999999</v>
      </c>
      <c r="P4665" s="713">
        <f>IF(OR(COUNTIF(P4643:P4652,"")&gt;=10,Q4659&lt;NUMMINCONT,OR(T4657="NO CUMPLE",T4657="VERIFICAR")),0,ROUND((SUM(P4643:P4652)/SUM(M4643:M4652)),3))</f>
        <v>0</v>
      </c>
      <c r="Q4665" s="714"/>
      <c r="R4665" s="458"/>
      <c r="S4665" s="459"/>
      <c r="T4665" s="460"/>
      <c r="U4665" s="219"/>
      <c r="V4665" s="464"/>
      <c r="Y4665" s="532" t="s">
        <v>343</v>
      </c>
      <c r="AA4665" s="540" t="e">
        <f>IF(AND(C4664&lt;=F4658,F4658&lt;&gt;""),VLOOKUP(VALUE(E4639&amp;","&amp;C4664),INTEGRANTES!$D$18:$F$235,2,0),"")</f>
        <v>#N/A</v>
      </c>
      <c r="AB4665" s="545" t="e">
        <f t="shared" si="1382"/>
        <v>#N/A</v>
      </c>
      <c r="AC4665" s="529"/>
      <c r="AD4665" s="200" t="e">
        <f t="shared" si="1383"/>
        <v>#N/A</v>
      </c>
      <c r="AE4665" s="52"/>
      <c r="AF4665" s="52"/>
      <c r="AG4665" s="52"/>
      <c r="AH4665" s="87"/>
      <c r="AI4665" s="87"/>
    </row>
    <row r="4666" spans="1:35" ht="16.5" hidden="1" customHeight="1" thickBot="1">
      <c r="A4666" s="218" t="e">
        <f>"T"&amp;E4639</f>
        <v>#N/A</v>
      </c>
      <c r="B4666" s="703"/>
      <c r="C4666" s="719"/>
      <c r="D4666" s="719"/>
      <c r="E4666" s="719"/>
      <c r="F4666" s="719"/>
      <c r="G4666" s="719"/>
      <c r="H4666" s="719" t="s">
        <v>110</v>
      </c>
      <c r="I4666" s="719"/>
      <c r="J4666" s="719"/>
      <c r="K4666" s="201" t="str">
        <f>IF(COUNTIF(K4660:K4665,"")=6,"",IF(COUNTIF(K4660:K4665,"CUMPLE")&gt;0,"CUMPLE","NO CUMPLE"))</f>
        <v>NO CUMPLE</v>
      </c>
      <c r="L4666" s="754"/>
      <c r="M4666" s="755"/>
      <c r="N4666" s="755"/>
      <c r="O4666" s="755"/>
      <c r="P4666" s="755"/>
      <c r="Q4666" s="756"/>
      <c r="R4666" s="461"/>
      <c r="S4666" s="462"/>
      <c r="T4666" s="463"/>
      <c r="U4666" s="219"/>
      <c r="V4666" s="464"/>
      <c r="Y4666" s="549" t="e">
        <f>IF(Y4660="NO APLICA","NO APLICA",IF(COUNTIF(AD4661:AD4666,"CUMPLE")&gt;0,"CUMPLE","NO CUMPLE"))</f>
        <v>#N/A</v>
      </c>
      <c r="AA4666" s="541" t="e">
        <f>IF(AND(C4665&lt;=F4658,F4658&lt;&gt;""),VLOOKUP(VALUE(E4639&amp;","&amp;C4665),INTEGRANTES!$D$18:$F$235,2,0),"")</f>
        <v>#N/A</v>
      </c>
      <c r="AB4666" s="546" t="e">
        <f t="shared" si="1382"/>
        <v>#N/A</v>
      </c>
      <c r="AC4666" s="543"/>
      <c r="AD4666" s="201" t="e">
        <f t="shared" si="1383"/>
        <v>#N/A</v>
      </c>
      <c r="AE4666" s="52"/>
      <c r="AF4666" s="52"/>
      <c r="AG4666" s="52"/>
      <c r="AH4666" s="87"/>
      <c r="AI4666" s="87"/>
    </row>
    <row r="4667" spans="1:35" hidden="1">
      <c r="AH4667" s="87"/>
      <c r="AI4667" s="87"/>
    </row>
    <row r="4668" spans="1:35" hidden="1">
      <c r="AH4668" s="87"/>
      <c r="AI4668" s="87"/>
    </row>
    <row r="4669" spans="1:35" ht="24" hidden="1" thickBot="1">
      <c r="A4669" s="61">
        <v>156</v>
      </c>
      <c r="B4669" s="704" t="s">
        <v>51</v>
      </c>
      <c r="C4669" s="704"/>
      <c r="D4669" s="704"/>
      <c r="E4669" s="62" t="e">
        <f>VLOOKUP(A4669,PROPONENTES!$B$19:$E$218,2,FALSE)</f>
        <v>#N/A</v>
      </c>
      <c r="F4669" s="63" t="e">
        <f>VLOOKUP(A4669,PROPONENTES!$B$19:$E$218,3,FALSE)</f>
        <v>#N/A</v>
      </c>
      <c r="G4669" s="64"/>
      <c r="H4669" s="64"/>
      <c r="I4669" s="63"/>
      <c r="J4669" s="63"/>
      <c r="K4669" s="65"/>
      <c r="L4669" s="65"/>
      <c r="M4669" s="64"/>
      <c r="N4669" s="64"/>
      <c r="O4669" s="66"/>
      <c r="P4669" s="66"/>
      <c r="Q4669" s="66"/>
      <c r="R4669" s="66"/>
      <c r="S4669" s="67"/>
      <c r="T4669" s="68"/>
      <c r="U4669" s="68"/>
      <c r="AC4669" s="68"/>
      <c r="AD4669" s="68"/>
      <c r="AE4669" s="68"/>
      <c r="AF4669" s="68"/>
      <c r="AG4669" s="68"/>
      <c r="AH4669" s="87"/>
      <c r="AI4669" s="87"/>
    </row>
    <row r="4670" spans="1:35" ht="15.75" hidden="1" customHeight="1">
      <c r="A4670" s="44"/>
      <c r="B4670" s="709" t="s">
        <v>59</v>
      </c>
      <c r="C4670" s="552" t="s">
        <v>60</v>
      </c>
      <c r="D4670" s="70" t="s">
        <v>17</v>
      </c>
      <c r="E4670" s="70"/>
      <c r="F4670" s="70" t="s">
        <v>61</v>
      </c>
      <c r="G4670" s="71"/>
      <c r="H4670" s="699" t="s">
        <v>62</v>
      </c>
      <c r="I4670" s="699" t="s">
        <v>18</v>
      </c>
      <c r="J4670" s="699" t="s">
        <v>63</v>
      </c>
      <c r="K4670" s="699" t="s">
        <v>64</v>
      </c>
      <c r="L4670" s="699" t="s">
        <v>65</v>
      </c>
      <c r="M4670" s="743" t="s">
        <v>66</v>
      </c>
      <c r="N4670" s="699" t="s">
        <v>282</v>
      </c>
      <c r="O4670" s="745" t="s">
        <v>67</v>
      </c>
      <c r="P4670" s="746"/>
      <c r="Q4670" s="102" t="s">
        <v>75</v>
      </c>
      <c r="R4670" s="731" t="s">
        <v>22</v>
      </c>
      <c r="S4670" s="732"/>
      <c r="T4670" s="733"/>
      <c r="U4670" s="712" t="s">
        <v>298</v>
      </c>
      <c r="W4670" s="690" t="s">
        <v>268</v>
      </c>
      <c r="X4670" s="691"/>
      <c r="Y4670" s="692"/>
      <c r="Z4670" s="428"/>
      <c r="AA4670" s="697" t="s">
        <v>315</v>
      </c>
      <c r="AB4670" s="695" t="s">
        <v>322</v>
      </c>
      <c r="AC4670" s="49"/>
      <c r="AD4670" s="690" t="s">
        <v>297</v>
      </c>
      <c r="AE4670" s="691"/>
      <c r="AF4670" s="692"/>
      <c r="AG4670" s="49"/>
      <c r="AH4670" s="87"/>
      <c r="AI4670" s="87"/>
    </row>
    <row r="4671" spans="1:35" ht="72" hidden="1">
      <c r="A4671" s="44"/>
      <c r="B4671" s="710"/>
      <c r="C4671" s="553" t="s">
        <v>68</v>
      </c>
      <c r="D4671" s="73" t="s">
        <v>3</v>
      </c>
      <c r="E4671" s="73" t="s">
        <v>19</v>
      </c>
      <c r="F4671" s="73" t="s">
        <v>69</v>
      </c>
      <c r="G4671" s="74" t="s">
        <v>70</v>
      </c>
      <c r="H4671" s="700"/>
      <c r="I4671" s="700"/>
      <c r="J4671" s="700"/>
      <c r="K4671" s="700"/>
      <c r="L4671" s="700"/>
      <c r="M4671" s="744"/>
      <c r="N4671" s="700"/>
      <c r="O4671" s="553" t="s">
        <v>279</v>
      </c>
      <c r="P4671" s="73" t="s">
        <v>88</v>
      </c>
      <c r="Q4671" s="555" t="s">
        <v>76</v>
      </c>
      <c r="R4671" s="734"/>
      <c r="S4671" s="735"/>
      <c r="T4671" s="736"/>
      <c r="U4671" s="712"/>
      <c r="W4671" s="429" t="s">
        <v>269</v>
      </c>
      <c r="X4671" s="457" t="s">
        <v>278</v>
      </c>
      <c r="Y4671" s="430" t="s">
        <v>324</v>
      </c>
      <c r="Z4671" s="428"/>
      <c r="AA4671" s="698"/>
      <c r="AB4671" s="696"/>
      <c r="AC4671" s="49"/>
      <c r="AD4671" s="429" t="s">
        <v>292</v>
      </c>
      <c r="AE4671" s="431" t="s">
        <v>300</v>
      </c>
      <c r="AF4671" s="468" t="s">
        <v>301</v>
      </c>
      <c r="AG4671" s="49"/>
      <c r="AH4671" s="87"/>
      <c r="AI4671" s="87"/>
    </row>
    <row r="4672" spans="1:35" hidden="1">
      <c r="A4672" s="44"/>
      <c r="B4672" s="76"/>
      <c r="C4672" s="77"/>
      <c r="D4672" s="77"/>
      <c r="E4672" s="77"/>
      <c r="F4672" s="77"/>
      <c r="G4672" s="77"/>
      <c r="H4672" s="77"/>
      <c r="I4672" s="77"/>
      <c r="J4672" s="77"/>
      <c r="K4672" s="77"/>
      <c r="L4672" s="77"/>
      <c r="M4672" s="77"/>
      <c r="N4672" s="77"/>
      <c r="O4672" s="77"/>
      <c r="P4672" s="77"/>
      <c r="Q4672" s="77"/>
      <c r="R4672" s="77"/>
      <c r="S4672" s="78"/>
      <c r="T4672" s="79"/>
      <c r="U4672" s="109"/>
      <c r="V4672" s="49"/>
      <c r="W4672" s="432"/>
      <c r="X4672" s="454"/>
      <c r="Y4672" s="433"/>
      <c r="Z4672" s="6"/>
      <c r="AA4672" s="500"/>
      <c r="AB4672" s="562"/>
      <c r="AC4672" s="49"/>
      <c r="AD4672" s="210"/>
      <c r="AE4672" s="434"/>
      <c r="AF4672" s="435"/>
      <c r="AG4672" s="49"/>
      <c r="AH4672" s="87"/>
      <c r="AI4672" s="87"/>
    </row>
    <row r="4673" spans="1:35" hidden="1">
      <c r="A4673" s="80" t="e">
        <f>"A"&amp;E4669</f>
        <v>#N/A</v>
      </c>
      <c r="B4673" s="81">
        <v>1</v>
      </c>
      <c r="C4673" s="82"/>
      <c r="D4673" s="82"/>
      <c r="E4673" s="82"/>
      <c r="F4673" s="82"/>
      <c r="G4673" s="83"/>
      <c r="H4673" s="83"/>
      <c r="I4673" s="84"/>
      <c r="J4673" s="85"/>
      <c r="K4673" s="382"/>
      <c r="L4673" s="85"/>
      <c r="M4673" s="332" t="str">
        <f t="shared" ref="M4673:M4682" si="1384">IF(OR(J4673="",L4673="",H4673="NO"),"",IF(OR(J4673&gt;$P$17,J4673&lt;$O$17,L4673&gt;$P$17,AND(J4673&lt;$O$17,L4673&lt;$O$17)),"FUERA DE RANGO",IF(OR(K4673="---",K4673=""),IF(J4673&gt;=$O$17,ROUND((L4673-J4673+1)/360*12,3),ROUND((L4673-$O$17+1)/360*12,3)),IF(J4673&gt;=$O$17,ROUND((L4673-J4673+1)/360*12-ROUND(K4673,3),3),ROUND((L4673-$O$17+1)/360*12-ROUND(K4673,3),3)))))</f>
        <v/>
      </c>
      <c r="N4673" s="86"/>
      <c r="O4673" s="453" t="str">
        <f>IF(OR(G4673="",N4673=""),"",N4673*G4673)</f>
        <v/>
      </c>
      <c r="P4673" s="538" t="str">
        <f>IF(OR(H4673="",M4673="FUERA DE RANGO"),"",IF(OR(L4673&lt;$O$17,L4673&gt;$P$17,L4673="",H4673="NO"),"",IF(OR(N4673="",O4673=""),"",ROUND(O4673,3))))</f>
        <v/>
      </c>
      <c r="Q4673" s="539" t="str">
        <f t="shared" ref="Q4673:Q4682" si="1385">IF(AND(H4673="SI",P4673&lt;&gt;""),ROUND(P4673/M4673,3),"")</f>
        <v/>
      </c>
      <c r="R4673" s="737"/>
      <c r="S4673" s="738"/>
      <c r="T4673" s="739"/>
      <c r="U4673" s="470"/>
      <c r="V4673" s="165"/>
      <c r="W4673" s="446"/>
      <c r="X4673" s="456"/>
      <c r="Y4673" s="436"/>
      <c r="Z4673" s="437"/>
      <c r="AA4673" s="560"/>
      <c r="AB4673" s="561"/>
      <c r="AC4673" s="87"/>
      <c r="AD4673" s="466"/>
      <c r="AE4673" s="456"/>
      <c r="AF4673" s="467"/>
      <c r="AG4673" s="87"/>
      <c r="AH4673" s="87"/>
      <c r="AI4673" s="87"/>
    </row>
    <row r="4674" spans="1:35" hidden="1">
      <c r="A4674" s="80" t="e">
        <f>"B"&amp;E4669</f>
        <v>#N/A</v>
      </c>
      <c r="B4674" s="81">
        <v>2</v>
      </c>
      <c r="C4674" s="106"/>
      <c r="D4674" s="106"/>
      <c r="E4674" s="106"/>
      <c r="F4674" s="106"/>
      <c r="G4674" s="83"/>
      <c r="H4674" s="83"/>
      <c r="I4674" s="84"/>
      <c r="J4674" s="85"/>
      <c r="K4674" s="382"/>
      <c r="L4674" s="85"/>
      <c r="M4674" s="332" t="str">
        <f t="shared" si="1384"/>
        <v/>
      </c>
      <c r="N4674" s="86"/>
      <c r="O4674" s="453" t="str">
        <f t="shared" ref="O4674:O4682" si="1386">IF(OR(G4674="",N4674=""),"",N4674*G4674)</f>
        <v/>
      </c>
      <c r="P4674" s="538" t="str">
        <f t="shared" ref="P4674:P4682" si="1387">IF(OR(H4674="",M4674="FUERA DE RANGO"),"",IF(OR(L4674&lt;$O$17,L4674&gt;$P$17,L4674="",H4674="NO"),"",IF(OR(N4674="",O4674=""),"",ROUND(O4674,3))))</f>
        <v/>
      </c>
      <c r="Q4674" s="539" t="str">
        <f t="shared" si="1385"/>
        <v/>
      </c>
      <c r="R4674" s="740"/>
      <c r="S4674" s="741"/>
      <c r="T4674" s="742"/>
      <c r="U4674" s="471"/>
      <c r="V4674" s="165"/>
      <c r="W4674" s="446"/>
      <c r="X4674" s="456"/>
      <c r="Y4674" s="436"/>
      <c r="Z4674" s="437"/>
      <c r="AA4674" s="560"/>
      <c r="AB4674" s="561"/>
      <c r="AC4674" s="87"/>
      <c r="AD4674" s="466"/>
      <c r="AE4674" s="456"/>
      <c r="AF4674" s="467"/>
      <c r="AG4674" s="87"/>
      <c r="AH4674" s="87"/>
      <c r="AI4674" s="87"/>
    </row>
    <row r="4675" spans="1:35" hidden="1">
      <c r="A4675" s="80" t="e">
        <f>"C"&amp;E4669</f>
        <v>#N/A</v>
      </c>
      <c r="B4675" s="88">
        <v>3</v>
      </c>
      <c r="C4675" s="82"/>
      <c r="D4675" s="82"/>
      <c r="E4675" s="82"/>
      <c r="F4675" s="82"/>
      <c r="G4675" s="83"/>
      <c r="H4675" s="83"/>
      <c r="I4675" s="84"/>
      <c r="J4675" s="85"/>
      <c r="K4675" s="382"/>
      <c r="L4675" s="85"/>
      <c r="M4675" s="332" t="str">
        <f t="shared" si="1384"/>
        <v/>
      </c>
      <c r="N4675" s="86"/>
      <c r="O4675" s="453" t="str">
        <f t="shared" si="1386"/>
        <v/>
      </c>
      <c r="P4675" s="538" t="str">
        <f t="shared" si="1387"/>
        <v/>
      </c>
      <c r="Q4675" s="539" t="str">
        <f t="shared" si="1385"/>
        <v/>
      </c>
      <c r="R4675" s="706"/>
      <c r="S4675" s="707"/>
      <c r="T4675" s="708"/>
      <c r="U4675" s="472"/>
      <c r="V4675" s="166"/>
      <c r="W4675" s="446"/>
      <c r="X4675" s="456"/>
      <c r="Y4675" s="436"/>
      <c r="Z4675" s="437"/>
      <c r="AA4675" s="560"/>
      <c r="AB4675" s="561"/>
      <c r="AC4675" s="87"/>
      <c r="AD4675" s="466"/>
      <c r="AE4675" s="456"/>
      <c r="AF4675" s="467"/>
      <c r="AG4675" s="87"/>
      <c r="AH4675" s="87"/>
      <c r="AI4675" s="87"/>
    </row>
    <row r="4676" spans="1:35" hidden="1">
      <c r="A4676" s="80" t="e">
        <f>"D"&amp;E4669</f>
        <v>#N/A</v>
      </c>
      <c r="B4676" s="105">
        <v>4</v>
      </c>
      <c r="C4676" s="107"/>
      <c r="D4676" s="107"/>
      <c r="E4676" s="107"/>
      <c r="F4676" s="107"/>
      <c r="G4676" s="83"/>
      <c r="H4676" s="83"/>
      <c r="I4676" s="84"/>
      <c r="J4676" s="85"/>
      <c r="K4676" s="382"/>
      <c r="L4676" s="85"/>
      <c r="M4676" s="332" t="str">
        <f t="shared" si="1384"/>
        <v/>
      </c>
      <c r="N4676" s="86"/>
      <c r="O4676" s="453" t="str">
        <f t="shared" si="1386"/>
        <v/>
      </c>
      <c r="P4676" s="538" t="str">
        <f t="shared" si="1387"/>
        <v/>
      </c>
      <c r="Q4676" s="539" t="str">
        <f t="shared" si="1385"/>
        <v/>
      </c>
      <c r="R4676" s="706"/>
      <c r="S4676" s="707"/>
      <c r="T4676" s="708"/>
      <c r="U4676" s="472"/>
      <c r="V4676" s="166"/>
      <c r="W4676" s="446"/>
      <c r="X4676" s="456"/>
      <c r="Y4676" s="436"/>
      <c r="Z4676" s="437"/>
      <c r="AA4676" s="560"/>
      <c r="AB4676" s="561"/>
      <c r="AC4676" s="87"/>
      <c r="AD4676" s="466"/>
      <c r="AE4676" s="456"/>
      <c r="AF4676" s="467"/>
      <c r="AG4676" s="87"/>
      <c r="AH4676" s="87"/>
      <c r="AI4676" s="87"/>
    </row>
    <row r="4677" spans="1:35" hidden="1">
      <c r="A4677" s="80" t="e">
        <f>"E"&amp;E4669</f>
        <v>#N/A</v>
      </c>
      <c r="B4677" s="105">
        <v>5</v>
      </c>
      <c r="C4677" s="107"/>
      <c r="D4677" s="107"/>
      <c r="E4677" s="107"/>
      <c r="F4677" s="107"/>
      <c r="G4677" s="83"/>
      <c r="H4677" s="83"/>
      <c r="I4677" s="84"/>
      <c r="J4677" s="85"/>
      <c r="K4677" s="382"/>
      <c r="L4677" s="85"/>
      <c r="M4677" s="332" t="str">
        <f t="shared" si="1384"/>
        <v/>
      </c>
      <c r="N4677" s="86"/>
      <c r="O4677" s="453" t="str">
        <f t="shared" si="1386"/>
        <v/>
      </c>
      <c r="P4677" s="538" t="str">
        <f t="shared" si="1387"/>
        <v/>
      </c>
      <c r="Q4677" s="539" t="str">
        <f t="shared" si="1385"/>
        <v/>
      </c>
      <c r="R4677" s="706"/>
      <c r="S4677" s="707"/>
      <c r="T4677" s="708"/>
      <c r="U4677" s="472"/>
      <c r="V4677" s="167"/>
      <c r="W4677" s="446"/>
      <c r="X4677" s="456"/>
      <c r="Y4677" s="436"/>
      <c r="Z4677" s="437"/>
      <c r="AA4677" s="560"/>
      <c r="AB4677" s="561"/>
      <c r="AC4677" s="87"/>
      <c r="AD4677" s="466"/>
      <c r="AE4677" s="456"/>
      <c r="AF4677" s="467"/>
      <c r="AG4677" s="87"/>
      <c r="AH4677" s="87"/>
      <c r="AI4677" s="87"/>
    </row>
    <row r="4678" spans="1:35" hidden="1">
      <c r="A4678" s="80" t="e">
        <f>"F"&amp;E4669</f>
        <v>#N/A</v>
      </c>
      <c r="B4678" s="105">
        <v>6</v>
      </c>
      <c r="C4678" s="107"/>
      <c r="D4678" s="107"/>
      <c r="E4678" s="107"/>
      <c r="F4678" s="107"/>
      <c r="G4678" s="83"/>
      <c r="H4678" s="83"/>
      <c r="I4678" s="84"/>
      <c r="J4678" s="85"/>
      <c r="K4678" s="382"/>
      <c r="L4678" s="85"/>
      <c r="M4678" s="332" t="str">
        <f t="shared" si="1384"/>
        <v/>
      </c>
      <c r="N4678" s="86"/>
      <c r="O4678" s="453" t="str">
        <f t="shared" si="1386"/>
        <v/>
      </c>
      <c r="P4678" s="538" t="str">
        <f t="shared" si="1387"/>
        <v/>
      </c>
      <c r="Q4678" s="539" t="str">
        <f t="shared" si="1385"/>
        <v/>
      </c>
      <c r="R4678" s="706"/>
      <c r="S4678" s="707"/>
      <c r="T4678" s="708"/>
      <c r="U4678" s="472"/>
      <c r="V4678" s="167"/>
      <c r="W4678" s="446"/>
      <c r="X4678" s="456"/>
      <c r="Y4678" s="436"/>
      <c r="Z4678" s="437"/>
      <c r="AA4678" s="560"/>
      <c r="AB4678" s="561"/>
      <c r="AC4678" s="87"/>
      <c r="AD4678" s="466"/>
      <c r="AE4678" s="456"/>
      <c r="AF4678" s="467"/>
      <c r="AG4678" s="87"/>
      <c r="AH4678" s="87"/>
      <c r="AI4678" s="87"/>
    </row>
    <row r="4679" spans="1:35" hidden="1">
      <c r="A4679" s="80" t="e">
        <f>"G"&amp;E4669</f>
        <v>#N/A</v>
      </c>
      <c r="B4679" s="105">
        <v>7</v>
      </c>
      <c r="C4679" s="107"/>
      <c r="D4679" s="107"/>
      <c r="E4679" s="107"/>
      <c r="F4679" s="107"/>
      <c r="G4679" s="83"/>
      <c r="H4679" s="83"/>
      <c r="I4679" s="84"/>
      <c r="J4679" s="85"/>
      <c r="K4679" s="382"/>
      <c r="L4679" s="85"/>
      <c r="M4679" s="332" t="str">
        <f t="shared" si="1384"/>
        <v/>
      </c>
      <c r="N4679" s="86"/>
      <c r="O4679" s="86" t="str">
        <f t="shared" si="1386"/>
        <v/>
      </c>
      <c r="P4679" s="538" t="str">
        <f t="shared" si="1387"/>
        <v/>
      </c>
      <c r="Q4679" s="539" t="str">
        <f t="shared" si="1385"/>
        <v/>
      </c>
      <c r="R4679" s="706"/>
      <c r="S4679" s="707"/>
      <c r="T4679" s="708"/>
      <c r="U4679" s="472"/>
      <c r="V4679" s="167"/>
      <c r="W4679" s="446"/>
      <c r="X4679" s="456"/>
      <c r="Y4679" s="436"/>
      <c r="Z4679" s="437"/>
      <c r="AA4679" s="560"/>
      <c r="AB4679" s="561"/>
      <c r="AC4679" s="87"/>
      <c r="AD4679" s="466"/>
      <c r="AE4679" s="456"/>
      <c r="AF4679" s="467"/>
      <c r="AG4679" s="87"/>
      <c r="AH4679" s="87"/>
      <c r="AI4679" s="87"/>
    </row>
    <row r="4680" spans="1:35" hidden="1">
      <c r="A4680" s="80" t="e">
        <f>"H"&amp;E4669</f>
        <v>#N/A</v>
      </c>
      <c r="B4680" s="105">
        <v>8</v>
      </c>
      <c r="C4680" s="107"/>
      <c r="D4680" s="107"/>
      <c r="E4680" s="107"/>
      <c r="F4680" s="107"/>
      <c r="G4680" s="83"/>
      <c r="H4680" s="83"/>
      <c r="I4680" s="84"/>
      <c r="J4680" s="85"/>
      <c r="K4680" s="382"/>
      <c r="L4680" s="85"/>
      <c r="M4680" s="332" t="str">
        <f t="shared" si="1384"/>
        <v/>
      </c>
      <c r="N4680" s="453"/>
      <c r="O4680" s="86" t="str">
        <f t="shared" si="1386"/>
        <v/>
      </c>
      <c r="P4680" s="538" t="str">
        <f t="shared" si="1387"/>
        <v/>
      </c>
      <c r="Q4680" s="539" t="str">
        <f t="shared" si="1385"/>
        <v/>
      </c>
      <c r="R4680" s="706"/>
      <c r="S4680" s="707"/>
      <c r="T4680" s="708"/>
      <c r="U4680" s="472"/>
      <c r="V4680" s="167"/>
      <c r="W4680" s="446"/>
      <c r="X4680" s="456"/>
      <c r="Y4680" s="436"/>
      <c r="Z4680" s="437"/>
      <c r="AA4680" s="560"/>
      <c r="AB4680" s="561"/>
      <c r="AC4680" s="87"/>
      <c r="AD4680" s="466"/>
      <c r="AE4680" s="456"/>
      <c r="AF4680" s="467"/>
      <c r="AG4680" s="87"/>
      <c r="AH4680" s="87"/>
      <c r="AI4680" s="87"/>
    </row>
    <row r="4681" spans="1:35" hidden="1">
      <c r="A4681" s="80" t="e">
        <f>"I"&amp;E4669</f>
        <v>#N/A</v>
      </c>
      <c r="B4681" s="105">
        <v>9</v>
      </c>
      <c r="C4681" s="107"/>
      <c r="D4681" s="107"/>
      <c r="E4681" s="107"/>
      <c r="F4681" s="107"/>
      <c r="G4681" s="83"/>
      <c r="H4681" s="83"/>
      <c r="I4681" s="84"/>
      <c r="J4681" s="85"/>
      <c r="K4681" s="382"/>
      <c r="L4681" s="85"/>
      <c r="M4681" s="332" t="str">
        <f t="shared" si="1384"/>
        <v/>
      </c>
      <c r="N4681" s="453"/>
      <c r="O4681" s="86" t="str">
        <f t="shared" si="1386"/>
        <v/>
      </c>
      <c r="P4681" s="538" t="str">
        <f t="shared" si="1387"/>
        <v/>
      </c>
      <c r="Q4681" s="539" t="str">
        <f t="shared" si="1385"/>
        <v/>
      </c>
      <c r="R4681" s="706"/>
      <c r="S4681" s="707"/>
      <c r="T4681" s="708"/>
      <c r="U4681" s="472"/>
      <c r="V4681" s="167"/>
      <c r="W4681" s="446"/>
      <c r="X4681" s="456"/>
      <c r="Y4681" s="436"/>
      <c r="Z4681" s="437"/>
      <c r="AA4681" s="560"/>
      <c r="AB4681" s="561"/>
      <c r="AC4681" s="87"/>
      <c r="AD4681" s="466"/>
      <c r="AE4681" s="456"/>
      <c r="AF4681" s="467"/>
      <c r="AG4681" s="87"/>
      <c r="AH4681" s="87"/>
      <c r="AI4681" s="87"/>
    </row>
    <row r="4682" spans="1:35" hidden="1">
      <c r="A4682" s="80" t="e">
        <f>"J"&amp;E4669</f>
        <v>#N/A</v>
      </c>
      <c r="B4682" s="105">
        <v>10</v>
      </c>
      <c r="C4682" s="107"/>
      <c r="D4682" s="107"/>
      <c r="E4682" s="107"/>
      <c r="F4682" s="107"/>
      <c r="G4682" s="83"/>
      <c r="H4682" s="83"/>
      <c r="I4682" s="84"/>
      <c r="J4682" s="85"/>
      <c r="K4682" s="382"/>
      <c r="L4682" s="85"/>
      <c r="M4682" s="332" t="str">
        <f t="shared" si="1384"/>
        <v/>
      </c>
      <c r="N4682" s="453"/>
      <c r="O4682" s="86" t="str">
        <f t="shared" si="1386"/>
        <v/>
      </c>
      <c r="P4682" s="538" t="str">
        <f t="shared" si="1387"/>
        <v/>
      </c>
      <c r="Q4682" s="539" t="str">
        <f t="shared" si="1385"/>
        <v/>
      </c>
      <c r="R4682" s="706"/>
      <c r="S4682" s="707"/>
      <c r="T4682" s="708"/>
      <c r="U4682" s="472"/>
      <c r="V4682" s="167"/>
      <c r="W4682" s="446"/>
      <c r="X4682" s="456"/>
      <c r="Y4682" s="436"/>
      <c r="Z4682" s="437"/>
      <c r="AA4682" s="560"/>
      <c r="AB4682" s="561"/>
      <c r="AC4682" s="87"/>
      <c r="AD4682" s="466"/>
      <c r="AE4682" s="456"/>
      <c r="AF4682" s="467"/>
      <c r="AG4682" s="87"/>
      <c r="AH4682" s="87"/>
      <c r="AI4682" s="87"/>
    </row>
    <row r="4683" spans="1:35" ht="16.5" hidden="1" thickBot="1">
      <c r="A4683" s="44"/>
      <c r="B4683" s="89"/>
      <c r="C4683" s="90"/>
      <c r="D4683" s="90"/>
      <c r="E4683" s="90"/>
      <c r="F4683" s="90"/>
      <c r="G4683" s="90"/>
      <c r="H4683" s="90"/>
      <c r="I4683" s="90"/>
      <c r="J4683" s="90"/>
      <c r="K4683" s="90"/>
      <c r="L4683" s="90"/>
      <c r="M4683" s="90"/>
      <c r="N4683" s="90"/>
      <c r="O4683" s="90"/>
      <c r="P4683" s="90"/>
      <c r="Q4683" s="90"/>
      <c r="R4683" s="90"/>
      <c r="S4683" s="91"/>
      <c r="T4683" s="92"/>
      <c r="U4683" s="473"/>
      <c r="W4683" s="438"/>
      <c r="X4683" s="455"/>
      <c r="Y4683" s="439"/>
      <c r="Z4683" s="437"/>
      <c r="AA4683" s="530"/>
      <c r="AB4683" s="563"/>
      <c r="AC4683" s="87"/>
      <c r="AD4683" s="440"/>
      <c r="AE4683" s="441"/>
      <c r="AF4683" s="442"/>
      <c r="AG4683" s="49"/>
      <c r="AH4683" s="87"/>
      <c r="AI4683" s="87"/>
    </row>
    <row r="4684" spans="1:35" ht="16.5" hidden="1" thickBot="1">
      <c r="A4684" s="93"/>
      <c r="B4684" s="94"/>
      <c r="C4684" s="96"/>
      <c r="D4684" s="96"/>
      <c r="E4684" s="96"/>
      <c r="F4684" s="96"/>
      <c r="G4684" s="96"/>
      <c r="H4684" s="96"/>
      <c r="I4684" s="96"/>
      <c r="J4684" s="96"/>
      <c r="K4684" s="96"/>
      <c r="L4684" s="96"/>
      <c r="M4684" s="136"/>
      <c r="N4684" s="96"/>
      <c r="O4684" s="96"/>
      <c r="P4684" s="97"/>
      <c r="Q4684" s="97"/>
      <c r="R4684" s="98"/>
      <c r="S4684" s="95"/>
      <c r="T4684" s="99"/>
      <c r="U4684" s="469"/>
      <c r="AC4684" s="58"/>
      <c r="AG4684" s="58"/>
      <c r="AH4684" s="87"/>
      <c r="AI4684" s="87"/>
    </row>
    <row r="4685" spans="1:35" ht="16.5" hidden="1" thickBot="1">
      <c r="B4685" s="101"/>
      <c r="C4685" s="101"/>
      <c r="D4685" s="101"/>
      <c r="E4685" s="101"/>
      <c r="F4685" s="101"/>
      <c r="G4685" s="101"/>
      <c r="H4685" s="101"/>
      <c r="I4685" s="101"/>
      <c r="J4685" s="101"/>
      <c r="K4685" s="101"/>
      <c r="L4685" s="101"/>
      <c r="M4685" s="101"/>
      <c r="N4685" s="101"/>
      <c r="O4685" s="101"/>
      <c r="P4685" s="101"/>
      <c r="Q4685" s="101"/>
      <c r="R4685" s="101"/>
      <c r="S4685" s="101"/>
      <c r="U4685" s="50"/>
      <c r="AH4685" s="87"/>
      <c r="AI4685" s="87"/>
    </row>
    <row r="4686" spans="1:35" ht="16.5" hidden="1" customHeight="1" thickBot="1">
      <c r="A4686" s="44"/>
      <c r="B4686" s="705" t="s">
        <v>74</v>
      </c>
      <c r="C4686" s="705"/>
      <c r="D4686" s="705"/>
      <c r="E4686" s="705"/>
      <c r="F4686" s="705"/>
      <c r="G4686" s="705"/>
      <c r="H4686" s="705"/>
      <c r="I4686" s="705"/>
      <c r="J4686" s="705"/>
      <c r="K4686" s="705"/>
      <c r="L4686" s="705"/>
      <c r="M4686" s="705"/>
      <c r="N4686" s="705"/>
      <c r="O4686" s="705"/>
      <c r="P4686" s="705"/>
      <c r="Q4686" s="705"/>
      <c r="R4686" s="705"/>
      <c r="S4686" s="705"/>
      <c r="T4686" s="705"/>
      <c r="U4686" s="108"/>
      <c r="Y4686" s="532" t="s">
        <v>341</v>
      </c>
      <c r="AC4686" s="49"/>
      <c r="AD4686" s="687" t="s">
        <v>302</v>
      </c>
      <c r="AE4686" s="688"/>
      <c r="AF4686" s="689"/>
      <c r="AG4686" s="49"/>
      <c r="AH4686" s="87"/>
      <c r="AI4686" s="87"/>
    </row>
    <row r="4687" spans="1:35" ht="16.5" hidden="1" customHeight="1" thickBot="1">
      <c r="A4687" s="218" t="e">
        <f>"K"&amp;E4669</f>
        <v>#N/A</v>
      </c>
      <c r="B4687" s="701" t="s">
        <v>71</v>
      </c>
      <c r="C4687" s="751" t="s">
        <v>102</v>
      </c>
      <c r="D4687" s="751"/>
      <c r="E4687" s="751"/>
      <c r="F4687" s="751"/>
      <c r="G4687" s="751"/>
      <c r="H4687" s="751"/>
      <c r="I4687" s="751"/>
      <c r="J4687" s="751"/>
      <c r="K4687" s="751"/>
      <c r="L4687" s="722" t="s">
        <v>100</v>
      </c>
      <c r="M4687" s="747" t="s">
        <v>114</v>
      </c>
      <c r="N4687" s="747"/>
      <c r="O4687" s="747"/>
      <c r="P4687" s="747"/>
      <c r="Q4687" s="748"/>
      <c r="R4687" s="758" t="s">
        <v>280</v>
      </c>
      <c r="S4687" s="748"/>
      <c r="T4687" s="762" t="str">
        <f>IF(COUNTIF(AE4687:AF4687,"VERIFICAR")&gt;0,"VERIFICAR",IF(COUNTIF(AE4687:AF4687,"NO CUMPLE")&gt;0,"NO CUMPLE","CUMPLE"))</f>
        <v>VERIFICAR</v>
      </c>
      <c r="U4687" s="108"/>
      <c r="Y4687" s="533" t="e">
        <f>IF(F4688="","",IF(F4688=1,"INDIVIDUAL","ESTRUCTURA PLURAL"))</f>
        <v>#N/A</v>
      </c>
      <c r="AC4687" s="52"/>
      <c r="AD4687" s="475" t="s">
        <v>303</v>
      </c>
      <c r="AE4687" s="476" t="str">
        <f>IF(COUNTIF(AE4673:AE4682,"")=10,"VERIFICAR",IF(COUNTIF(AE4673:AE4682,"SI")&gt;0,"CUMPLE","NO CUMPLE"))</f>
        <v>VERIFICAR</v>
      </c>
      <c r="AF4687" s="477" t="str">
        <f>IF(COUNTIF(AF4673:AF4682,"")=10,"VERIFICAR",IF(COUNTIF(AF4673:AF4682,"SI")&gt;=$AI$22,"CUMPLE","NO CUMPLE"))</f>
        <v>VERIFICAR</v>
      </c>
      <c r="AG4687" s="52"/>
      <c r="AH4687" s="87"/>
      <c r="AI4687" s="87"/>
    </row>
    <row r="4688" spans="1:35" ht="15.75" hidden="1" customHeight="1" thickBot="1">
      <c r="A4688" s="218" t="e">
        <f>"L"&amp;E4669</f>
        <v>#N/A</v>
      </c>
      <c r="B4688" s="702"/>
      <c r="C4688" s="751" t="s">
        <v>103</v>
      </c>
      <c r="D4688" s="751"/>
      <c r="E4688" s="752"/>
      <c r="F4688" s="557" t="e">
        <f>IF(VLOOKUP(E4669,PROPONENTES!$C$19:$E$218,3,0)="","",VLOOKUP(E4669,PROPONENTES!$C$19:$E$218,3,0))</f>
        <v>#N/A</v>
      </c>
      <c r="G4688" s="753" t="s">
        <v>104</v>
      </c>
      <c r="H4688" s="751"/>
      <c r="I4688" s="715" t="e">
        <f>IF(OR(F4688="",F4688=1),"INTERESADO PERSONA NATURAL O JURIDICA","CONSORCIO O UNION TEMPORAL")</f>
        <v>#N/A</v>
      </c>
      <c r="J4688" s="725"/>
      <c r="K4688" s="728"/>
      <c r="L4688" s="723"/>
      <c r="M4688" s="749"/>
      <c r="N4688" s="749"/>
      <c r="O4688" s="749"/>
      <c r="P4688" s="749"/>
      <c r="Q4688" s="750"/>
      <c r="R4688" s="712"/>
      <c r="S4688" s="750"/>
      <c r="T4688" s="763"/>
      <c r="U4688" s="108"/>
      <c r="Y4688" s="534"/>
      <c r="AA4688" s="52"/>
      <c r="AB4688" s="52"/>
      <c r="AC4688" s="52"/>
      <c r="AG4688" s="52"/>
      <c r="AH4688" s="87"/>
      <c r="AI4688" s="87"/>
    </row>
    <row r="4689" spans="1:35" ht="56.25" hidden="1" customHeight="1" thickBot="1">
      <c r="A4689" s="218" t="e">
        <f>"M"&amp;E4669</f>
        <v>#N/A</v>
      </c>
      <c r="B4689" s="702"/>
      <c r="C4689" s="725" t="s">
        <v>101</v>
      </c>
      <c r="D4689" s="716"/>
      <c r="E4689" s="558" t="s">
        <v>105</v>
      </c>
      <c r="F4689" s="554" t="s">
        <v>87</v>
      </c>
      <c r="G4689" s="553" t="s">
        <v>86</v>
      </c>
      <c r="H4689" s="559" t="s">
        <v>85</v>
      </c>
      <c r="I4689" s="554" t="s">
        <v>252</v>
      </c>
      <c r="J4689" s="553" t="str">
        <f>"¿EL INTEGRANTE TIENE UNA PARTICIPACIÓN DEL "&amp;PORCREQUERIDOINT*100&amp;"%?"</f>
        <v>¿EL INTEGRANTE TIENE UNA PARTICIPACIÓN DEL 60%?</v>
      </c>
      <c r="K4689" s="554" t="s">
        <v>107</v>
      </c>
      <c r="L4689" s="724"/>
      <c r="M4689" s="717" t="s">
        <v>115</v>
      </c>
      <c r="N4689" s="718"/>
      <c r="O4689" s="718"/>
      <c r="P4689" s="718"/>
      <c r="Q4689" s="223">
        <f>IF(AND(H4673="SI",P4673&gt;=0),1,0)+IF(AND(H4674="SI",P4674&gt;=0),1,0)+IF(AND(H4675="SI",P4675&gt;=0),1,0)+IF(AND(H4676="SI",P4676&gt;=0),1,0)+IF(AND(H4677="SI",P4677&gt;=0),1,0)+IF(AND(H4678="SI",P4678&gt;=0),1,0)+IF(AND(H4679="SI",P4679&gt;=0),1,0)+IF(AND(H4680="SI",P4680&gt;=0),1,0)+IF(AND(H4681="SI",P4681&gt;=0),1,0)+IF(AND(H4682="SI",P4682&gt;=0),1,0)</f>
        <v>0</v>
      </c>
      <c r="R4689" s="759"/>
      <c r="S4689" s="761"/>
      <c r="T4689" s="764"/>
      <c r="U4689" s="219"/>
      <c r="V4689" s="464"/>
      <c r="Y4689" s="532" t="s">
        <v>342</v>
      </c>
      <c r="AA4689" s="550" t="s">
        <v>344</v>
      </c>
      <c r="AB4689" s="693" t="s">
        <v>345</v>
      </c>
      <c r="AC4689" s="693" t="s">
        <v>346</v>
      </c>
      <c r="AD4689" s="685" t="s">
        <v>347</v>
      </c>
      <c r="AE4689" s="52"/>
      <c r="AF4689" s="52"/>
      <c r="AG4689" s="52"/>
      <c r="AH4689" s="87"/>
      <c r="AI4689" s="87"/>
    </row>
    <row r="4690" spans="1:35" ht="15.75" hidden="1" customHeight="1" thickBot="1">
      <c r="A4690" s="218" t="e">
        <f>"N"&amp;E4669</f>
        <v>#N/A</v>
      </c>
      <c r="B4690" s="702"/>
      <c r="C4690" s="114">
        <v>1</v>
      </c>
      <c r="D4690" s="194" t="e">
        <f>IF(AND(C4690&lt;=F4688,F4688&gt;1,F4688&lt;&gt;""),VLOOKUP(VALUE(E4669&amp;","&amp;C4690),INTEGRANTES!$D$18:$F$235,2,0),"")</f>
        <v>#N/A</v>
      </c>
      <c r="E4690" s="211" t="e">
        <f>IF(D4690&lt;&gt;"",VLOOKUP(VALUE(E4669&amp;","&amp;C4690),INTEGRANTES!$D$18:$F$235,3,0),"")</f>
        <v>#N/A</v>
      </c>
      <c r="F4690" s="547" t="e">
        <f>IF(D4690="","",SUMIF($I4673:$I4682,D4690,$P4673:$P4682))</f>
        <v>#N/A</v>
      </c>
      <c r="G4690" s="333" t="e">
        <f>IF(D4690="","",SUMIF($I4673:$I4682,D4690,$M4673:$M4682))</f>
        <v>#N/A</v>
      </c>
      <c r="H4690" s="535" t="e">
        <f t="shared" ref="H4690:H4695" si="1388">IF(D4690="","",IF(OR(F4690=0,G4690=0),"NO APORTA",ROUND($F4690/$G4690,3)))</f>
        <v>#N/A</v>
      </c>
      <c r="I4690" s="212" t="e">
        <f>IF(D4690="","",IF(H4690="NO APORTA","NO",IF(H4690=MAX($H4690:$H4695),"SI","NO")))</f>
        <v>#N/A</v>
      </c>
      <c r="J4690" s="213" t="e">
        <f t="shared" ref="J4690:J4695" si="1389">IF(D4690="","",IF(E4690&gt;=PORCREQUERIDOINT,"SI","NO"))</f>
        <v>#N/A</v>
      </c>
      <c r="K4690" s="200" t="e">
        <f t="shared" ref="K4690:K4695" si="1390">IF(D4690="","",IF(AND(I4690="SI",J4690="SI"),"CUMPLE",IF(AND(I4690="NO",OR(J4690="SI",J4690="NO")),"","NO CUMPLE")))</f>
        <v>#N/A</v>
      </c>
      <c r="L4690" s="722" t="s">
        <v>108</v>
      </c>
      <c r="M4690" s="726" t="s">
        <v>119</v>
      </c>
      <c r="N4690" s="726"/>
      <c r="O4690" s="726"/>
      <c r="P4690" s="726"/>
      <c r="Q4690" s="727"/>
      <c r="R4690" s="758" t="s">
        <v>80</v>
      </c>
      <c r="S4690" s="747"/>
      <c r="T4690" s="748"/>
      <c r="U4690" s="219"/>
      <c r="V4690" s="464"/>
      <c r="Y4690" s="533" t="e">
        <f>IF(Y4687="","",IF(Y4687="INDIVIDUAL","NO APLICA","VERIFICAR CUADRO"))</f>
        <v>#N/A</v>
      </c>
      <c r="AA4690" s="551"/>
      <c r="AB4690" s="694"/>
      <c r="AC4690" s="694"/>
      <c r="AD4690" s="686"/>
      <c r="AE4690" s="52"/>
      <c r="AF4690" s="52"/>
      <c r="AG4690" s="52"/>
      <c r="AH4690" s="87"/>
      <c r="AI4690" s="87"/>
    </row>
    <row r="4691" spans="1:35" ht="27" hidden="1" customHeight="1" thickBot="1">
      <c r="A4691" s="218" t="e">
        <f>"O"&amp;E4669</f>
        <v>#N/A</v>
      </c>
      <c r="B4691" s="702"/>
      <c r="C4691" s="114">
        <v>2</v>
      </c>
      <c r="D4691" s="194" t="e">
        <f>IF(AND(C4691&lt;=F4688,F4688&lt;&gt;""),VLOOKUP(VALUE(E4669&amp;","&amp;C4691),INTEGRANTES!$D$18:$F$235,2,0),"")</f>
        <v>#N/A</v>
      </c>
      <c r="E4691" s="211" t="e">
        <f>IF(D4691&lt;&gt;"",VLOOKUP(VALUE(E4669&amp;","&amp;C4691),INTEGRANTES!$D$18:$F$235,3,0),"")</f>
        <v>#N/A</v>
      </c>
      <c r="F4691" s="547" t="e">
        <f>IF(D4691="","",SUMIF($I4673:$I4682,D4691,$P4673:$P4682))</f>
        <v>#N/A</v>
      </c>
      <c r="G4691" s="333" t="e">
        <f>IF(D4691="","",SUMIF($I4673:$I4682,D4691,$M4673:$M4682))</f>
        <v>#N/A</v>
      </c>
      <c r="H4691" s="535" t="e">
        <f t="shared" si="1388"/>
        <v>#N/A</v>
      </c>
      <c r="I4691" s="212" t="e">
        <f>IF(D4691="","",IF(H4691="NO APORTA","NO",IF(H4691=MAX($H4690:$H4695),"SI","NO")))</f>
        <v>#N/A</v>
      </c>
      <c r="J4691" s="213" t="e">
        <f t="shared" si="1389"/>
        <v>#N/A</v>
      </c>
      <c r="K4691" s="200" t="e">
        <f t="shared" si="1390"/>
        <v>#N/A</v>
      </c>
      <c r="L4691" s="723"/>
      <c r="M4691" s="715" t="s">
        <v>116</v>
      </c>
      <c r="N4691" s="716"/>
      <c r="O4691" s="556" t="s">
        <v>113</v>
      </c>
      <c r="P4691" s="715" t="s">
        <v>117</v>
      </c>
      <c r="Q4691" s="728"/>
      <c r="R4691" s="759"/>
      <c r="S4691" s="760"/>
      <c r="T4691" s="761"/>
      <c r="U4691" s="219"/>
      <c r="V4691" s="464"/>
      <c r="Y4691" s="414"/>
      <c r="AA4691" s="542" t="e">
        <f>IF(AND(C4690&lt;=F4688,F4688&gt;1,F4688&lt;&gt;""),VLOOKUP(VALUE(E4669&amp;","&amp;C4690),INTEGRANTES!$D$18:$F$235,2,0),"")</f>
        <v>#N/A</v>
      </c>
      <c r="AB4691" s="544" t="e">
        <f t="shared" ref="AB4691:AB4696" si="1391">IF(D4690="","",IF(OR(F4690=0,G4690=0),"NO APORTA",ROUND($F4690/$G4690,3)))</f>
        <v>#N/A</v>
      </c>
      <c r="AC4691" s="529"/>
      <c r="AD4691" s="200" t="e">
        <f t="shared" ref="AD4691:AD4696" si="1392">IF(OR(AA4691="",AB4691=""),"",IF(AND(AC4691="X",AB4691&gt;=EXPREQVTD),"CUMPLE","NO CUMPLE"))</f>
        <v>#N/A</v>
      </c>
      <c r="AE4691" s="52"/>
      <c r="AF4691" s="52"/>
      <c r="AG4691" s="52"/>
      <c r="AH4691" s="87"/>
      <c r="AI4691" s="87"/>
    </row>
    <row r="4692" spans="1:35" ht="16.5" hidden="1" thickBot="1">
      <c r="A4692" s="218" t="e">
        <f>"P"&amp;E4669</f>
        <v>#N/A</v>
      </c>
      <c r="B4692" s="702"/>
      <c r="C4692" s="114">
        <v>3</v>
      </c>
      <c r="D4692" s="194" t="e">
        <f>IF(AND(C4692&lt;=F4688,F4688&lt;&gt;""),VLOOKUP(VALUE(E4669&amp;","&amp;C4692),INTEGRANTES!$D$18:$F$235,2,0),"")</f>
        <v>#N/A</v>
      </c>
      <c r="E4692" s="211" t="e">
        <f>IF(D4692&lt;&gt;"",VLOOKUP(VALUE(E4669&amp;","&amp;C4692),INTEGRANTES!$D$18:$F$235,3,0),"")</f>
        <v>#N/A</v>
      </c>
      <c r="F4692" s="547" t="e">
        <f>IF(D4692="","",SUMIF($I4673:$I4682,D4692,$P4673:$P4682))</f>
        <v>#N/A</v>
      </c>
      <c r="G4692" s="333" t="e">
        <f>IF(D4692="","",SUMIF($I4673:$I4682,D4692,$M4673:$M4682))</f>
        <v>#N/A</v>
      </c>
      <c r="H4692" s="535" t="e">
        <f t="shared" si="1388"/>
        <v>#N/A</v>
      </c>
      <c r="I4692" s="212" t="e">
        <f>IF(D4692="","",IF(H4692="NO APORTA","NO",IF(H4692=MAX($H4690:$H4695),"SI","NO")))</f>
        <v>#N/A</v>
      </c>
      <c r="J4692" s="213" t="e">
        <f t="shared" si="1389"/>
        <v>#N/A</v>
      </c>
      <c r="K4692" s="200" t="e">
        <f t="shared" si="1390"/>
        <v>#N/A</v>
      </c>
      <c r="L4692" s="724"/>
      <c r="M4692" s="729">
        <f>NUMMOD</f>
        <v>1</v>
      </c>
      <c r="N4692" s="730"/>
      <c r="O4692" s="443">
        <f>IF(M4692="","",VLOOKUP(M4692,PRESUPUESTOS!$B$16:$H$16,5,FALSE))</f>
        <v>2</v>
      </c>
      <c r="P4692" s="713">
        <f>IF(OR(COUNTIF(M4673:M4682,"")&gt;=10,Q4689&lt;NUMMINCONT,OR(T4687="NO CUMPLE",T4687="VERIFICAR")),0,ROUND(AVERAGE(M4673:M4682),3))</f>
        <v>0</v>
      </c>
      <c r="Q4692" s="714"/>
      <c r="R4692" s="458"/>
      <c r="S4692" s="459"/>
      <c r="T4692" s="460"/>
      <c r="U4692" s="219"/>
      <c r="V4692" s="464"/>
      <c r="Y4692" s="532" t="str">
        <f>"40% * ("&amp;PRESUPUESTOS!$H$13&amp;")"</f>
        <v>40% * (50% PFMO)</v>
      </c>
      <c r="AA4692" s="540" t="e">
        <f>IF(AND(C4691&lt;=F4688,F4688&lt;&gt;""),VLOOKUP(VALUE(E4669&amp;","&amp;C4691),INTEGRANTES!$D$18:$F$235,2,0),"")</f>
        <v>#N/A</v>
      </c>
      <c r="AB4692" s="545" t="e">
        <f t="shared" si="1391"/>
        <v>#N/A</v>
      </c>
      <c r="AC4692" s="529"/>
      <c r="AD4692" s="200" t="e">
        <f t="shared" si="1392"/>
        <v>#N/A</v>
      </c>
      <c r="AE4692" s="52"/>
      <c r="AF4692" s="52"/>
      <c r="AG4692" s="52"/>
      <c r="AH4692" s="87"/>
      <c r="AI4692" s="87"/>
    </row>
    <row r="4693" spans="1:35" ht="15.75" hidden="1" customHeight="1" thickBot="1">
      <c r="A4693" s="218" t="e">
        <f>"Q"&amp;E4669</f>
        <v>#N/A</v>
      </c>
      <c r="B4693" s="702"/>
      <c r="C4693" s="114">
        <v>4</v>
      </c>
      <c r="D4693" s="194" t="e">
        <f>IF(AND(C4693&lt;=F4688,F4688&lt;&gt;""),VLOOKUP(VALUE(E4669&amp;","&amp;C4693),INTEGRANTES!$D$18:$F$235,2,0),"")</f>
        <v>#N/A</v>
      </c>
      <c r="E4693" s="211" t="e">
        <f>IF(D4693&lt;&gt;"",VLOOKUP(VALUE(E4669&amp;","&amp;C4693),INTEGRANTES!$D$18:$F$235,3,0),"")</f>
        <v>#N/A</v>
      </c>
      <c r="F4693" s="547" t="e">
        <f>IF(D4693="","",SUMIF($I4673:$I4682,D4693,$P4673:$P4682))</f>
        <v>#N/A</v>
      </c>
      <c r="G4693" s="333" t="e">
        <f>IF(D4693="","",SUMIF($I4673:$I4682,D4693,$M4673:$M4682))</f>
        <v>#N/A</v>
      </c>
      <c r="H4693" s="535" t="e">
        <f t="shared" si="1388"/>
        <v>#N/A</v>
      </c>
      <c r="I4693" s="212" t="e">
        <f>IF(D4693="","",IF(H4693="NO APORTA","NO",IF(H4693=MAX($H4690:$H4695),"SI","NO")))</f>
        <v>#N/A</v>
      </c>
      <c r="J4693" s="213" t="e">
        <f t="shared" si="1389"/>
        <v>#N/A</v>
      </c>
      <c r="K4693" s="200" t="e">
        <f t="shared" si="1390"/>
        <v>#N/A</v>
      </c>
      <c r="L4693" s="720" t="s">
        <v>109</v>
      </c>
      <c r="M4693" s="757" t="s">
        <v>120</v>
      </c>
      <c r="N4693" s="726"/>
      <c r="O4693" s="726"/>
      <c r="P4693" s="726"/>
      <c r="Q4693" s="727"/>
      <c r="R4693" s="458"/>
      <c r="S4693" s="459"/>
      <c r="T4693" s="460"/>
      <c r="U4693" s="219"/>
      <c r="V4693" s="464"/>
      <c r="Y4693" s="537">
        <f>0.4*PRESUPUESTOS!$H$16</f>
        <v>10.3124</v>
      </c>
      <c r="AA4693" s="540" t="e">
        <f>IF(AND(C4692&lt;=F4688,F4688&lt;&gt;""),VLOOKUP(VALUE(E4669&amp;","&amp;C4692),INTEGRANTES!$D$18:$F$235,2,0),"")</f>
        <v>#N/A</v>
      </c>
      <c r="AB4693" s="545" t="e">
        <f t="shared" si="1391"/>
        <v>#N/A</v>
      </c>
      <c r="AC4693" s="529"/>
      <c r="AD4693" s="200" t="e">
        <f t="shared" si="1392"/>
        <v>#N/A</v>
      </c>
      <c r="AE4693" s="52"/>
      <c r="AF4693" s="52"/>
      <c r="AG4693" s="52"/>
      <c r="AH4693" s="87"/>
      <c r="AI4693" s="87"/>
    </row>
    <row r="4694" spans="1:35" ht="27" hidden="1" customHeight="1" thickBot="1">
      <c r="A4694" s="218" t="e">
        <f>"R"&amp;E4669</f>
        <v>#N/A</v>
      </c>
      <c r="B4694" s="702"/>
      <c r="C4694" s="114">
        <v>5</v>
      </c>
      <c r="D4694" s="194" t="e">
        <f>IF(AND(C4694&lt;=F4688,F4688&lt;&gt;""),VLOOKUP(VALUE(E4669&amp;","&amp;C4694),INTEGRANTES!$D$18:$F$235,2,0),"")</f>
        <v>#N/A</v>
      </c>
      <c r="E4694" s="211" t="e">
        <f>IF(D4694&lt;&gt;"",VLOOKUP(VALUE(E4669&amp;","&amp;C4694),INTEGRANTES!$D$18:$F$235,3,0),"")</f>
        <v>#N/A</v>
      </c>
      <c r="F4694" s="547" t="e">
        <f>IF(D4694="","",SUMIF($I4673:$I4682,D4694,$P4673:$P4682))</f>
        <v>#N/A</v>
      </c>
      <c r="G4694" s="333" t="e">
        <f>IF(D4694="","",SUMIF($I4673:$I4682,D4694,$M4673:$M4682))</f>
        <v>#N/A</v>
      </c>
      <c r="H4694" s="535" t="e">
        <f t="shared" si="1388"/>
        <v>#N/A</v>
      </c>
      <c r="I4694" s="212" t="e">
        <f>IF(D4694="","",IF(H4694="NO APORTA","NO",IF(H4694=MAX($H4690:$H4695),"SI","NO")))</f>
        <v>#N/A</v>
      </c>
      <c r="J4694" s="213" t="e">
        <f t="shared" si="1389"/>
        <v>#N/A</v>
      </c>
      <c r="K4694" s="200" t="e">
        <f t="shared" si="1390"/>
        <v>#N/A</v>
      </c>
      <c r="L4694" s="721"/>
      <c r="M4694" s="715" t="s">
        <v>116</v>
      </c>
      <c r="N4694" s="716"/>
      <c r="O4694" s="556" t="str">
        <f>PORCREQUERIDO*100&amp;"% PMFO DEL MÓDULO"</f>
        <v>50% PMFO DEL MÓDULO</v>
      </c>
      <c r="P4694" s="715" t="s">
        <v>118</v>
      </c>
      <c r="Q4694" s="728"/>
      <c r="R4694" s="458"/>
      <c r="S4694" s="459"/>
      <c r="T4694" s="460"/>
      <c r="U4694" s="219"/>
      <c r="V4694" s="464"/>
      <c r="Y4694" s="414"/>
      <c r="AA4694" s="540" t="e">
        <f>IF(AND(C4693&lt;=F4688,F4688&lt;&gt;""),VLOOKUP(VALUE(E4669&amp;","&amp;C4693),INTEGRANTES!$D$18:$F$235,2,0),"")</f>
        <v>#N/A</v>
      </c>
      <c r="AB4694" s="545" t="e">
        <f t="shared" si="1391"/>
        <v>#N/A</v>
      </c>
      <c r="AC4694" s="529"/>
      <c r="AD4694" s="200" t="e">
        <f t="shared" si="1392"/>
        <v>#N/A</v>
      </c>
      <c r="AE4694" s="52"/>
      <c r="AF4694" s="52"/>
      <c r="AG4694" s="52"/>
      <c r="AH4694" s="87"/>
      <c r="AI4694" s="87"/>
    </row>
    <row r="4695" spans="1:35" ht="16.5" hidden="1" thickBot="1">
      <c r="A4695" s="218" t="e">
        <f>"S"&amp;E4669</f>
        <v>#N/A</v>
      </c>
      <c r="B4695" s="702"/>
      <c r="C4695" s="215">
        <v>6</v>
      </c>
      <c r="D4695" s="216" t="e">
        <f>IF(AND(C4695&lt;=F4688,F4688&lt;&gt;""),VLOOKUP(VALUE(E4669&amp;","&amp;C4695),INTEGRANTES!$D$18:$F$235,2,0),"")</f>
        <v>#N/A</v>
      </c>
      <c r="E4695" s="217" t="e">
        <f>IF(D4695&lt;&gt;"",VLOOKUP(VALUE(E4669&amp;","&amp;C4695),INTEGRANTES!$D$18:$F$235,3,0),"")</f>
        <v>#N/A</v>
      </c>
      <c r="F4695" s="548" t="e">
        <f>IF(D4695="","",SUMIF($I4673:$I4682,D4695,$P4673:$P4682))</f>
        <v>#N/A</v>
      </c>
      <c r="G4695" s="334" t="e">
        <f>IF(D4695="","",SUMIF($I4673:$I4682,D4695,$M4673:$M4682))</f>
        <v>#N/A</v>
      </c>
      <c r="H4695" s="536" t="e">
        <f t="shared" si="1388"/>
        <v>#N/A</v>
      </c>
      <c r="I4695" s="214" t="e">
        <f>IF(D4695="","",IF(H4695="NO APORTA","NO",IF(H4695=MAX($H4690:$H4695),"SI","NO")))</f>
        <v>#N/A</v>
      </c>
      <c r="J4695" s="213" t="e">
        <f t="shared" si="1389"/>
        <v>#N/A</v>
      </c>
      <c r="K4695" s="200" t="e">
        <f t="shared" si="1390"/>
        <v>#N/A</v>
      </c>
      <c r="L4695" s="721"/>
      <c r="M4695" s="729">
        <f>NUMMOD</f>
        <v>1</v>
      </c>
      <c r="N4695" s="730"/>
      <c r="O4695" s="443">
        <f>IF(M4695="","",ROUND(VLOOKUP(M4695,PRESUPUESTOS!$B$16:$H$16,7,FALSE),3))</f>
        <v>25.780999999999999</v>
      </c>
      <c r="P4695" s="713">
        <f>IF(OR(COUNTIF(P4673:P4682,"")&gt;=10,Q4689&lt;NUMMINCONT,OR(T4687="NO CUMPLE",T4687="VERIFICAR")),0,ROUND((SUM(P4673:P4682)/SUM(M4673:M4682)),3))</f>
        <v>0</v>
      </c>
      <c r="Q4695" s="714"/>
      <c r="R4695" s="458"/>
      <c r="S4695" s="459"/>
      <c r="T4695" s="460"/>
      <c r="U4695" s="219"/>
      <c r="V4695" s="464"/>
      <c r="Y4695" s="532" t="s">
        <v>343</v>
      </c>
      <c r="AA4695" s="540" t="e">
        <f>IF(AND(C4694&lt;=F4688,F4688&lt;&gt;""),VLOOKUP(VALUE(E4669&amp;","&amp;C4694),INTEGRANTES!$D$18:$F$235,2,0),"")</f>
        <v>#N/A</v>
      </c>
      <c r="AB4695" s="545" t="e">
        <f t="shared" si="1391"/>
        <v>#N/A</v>
      </c>
      <c r="AC4695" s="529"/>
      <c r="AD4695" s="200" t="e">
        <f t="shared" si="1392"/>
        <v>#N/A</v>
      </c>
      <c r="AE4695" s="52"/>
      <c r="AF4695" s="52"/>
      <c r="AG4695" s="52"/>
      <c r="AH4695" s="87"/>
      <c r="AI4695" s="87"/>
    </row>
    <row r="4696" spans="1:35" ht="16.5" hidden="1" customHeight="1" thickBot="1">
      <c r="A4696" s="218" t="e">
        <f>"T"&amp;E4669</f>
        <v>#N/A</v>
      </c>
      <c r="B4696" s="703"/>
      <c r="C4696" s="719"/>
      <c r="D4696" s="719"/>
      <c r="E4696" s="719"/>
      <c r="F4696" s="719"/>
      <c r="G4696" s="719"/>
      <c r="H4696" s="719" t="s">
        <v>110</v>
      </c>
      <c r="I4696" s="719"/>
      <c r="J4696" s="719"/>
      <c r="K4696" s="201" t="str">
        <f>IF(COUNTIF(K4690:K4695,"")=6,"",IF(COUNTIF(K4690:K4695,"CUMPLE")&gt;0,"CUMPLE","NO CUMPLE"))</f>
        <v>NO CUMPLE</v>
      </c>
      <c r="L4696" s="754"/>
      <c r="M4696" s="755"/>
      <c r="N4696" s="755"/>
      <c r="O4696" s="755"/>
      <c r="P4696" s="755"/>
      <c r="Q4696" s="756"/>
      <c r="R4696" s="461"/>
      <c r="S4696" s="462"/>
      <c r="T4696" s="463"/>
      <c r="U4696" s="219"/>
      <c r="V4696" s="464"/>
      <c r="Y4696" s="549" t="e">
        <f>IF(Y4690="NO APLICA","NO APLICA",IF(COUNTIF(AD4691:AD4696,"CUMPLE")&gt;0,"CUMPLE","NO CUMPLE"))</f>
        <v>#N/A</v>
      </c>
      <c r="AA4696" s="541" t="e">
        <f>IF(AND(C4695&lt;=F4688,F4688&lt;&gt;""),VLOOKUP(VALUE(E4669&amp;","&amp;C4695),INTEGRANTES!$D$18:$F$235,2,0),"")</f>
        <v>#N/A</v>
      </c>
      <c r="AB4696" s="546" t="e">
        <f t="shared" si="1391"/>
        <v>#N/A</v>
      </c>
      <c r="AC4696" s="543"/>
      <c r="AD4696" s="201" t="e">
        <f t="shared" si="1392"/>
        <v>#N/A</v>
      </c>
      <c r="AE4696" s="52"/>
      <c r="AF4696" s="52"/>
      <c r="AG4696" s="52"/>
      <c r="AH4696" s="87"/>
      <c r="AI4696" s="87"/>
    </row>
    <row r="4697" spans="1:35" hidden="1">
      <c r="AH4697" s="87"/>
      <c r="AI4697" s="87"/>
    </row>
    <row r="4698" spans="1:35" hidden="1">
      <c r="AH4698" s="87"/>
      <c r="AI4698" s="87"/>
    </row>
    <row r="4699" spans="1:35" ht="24" hidden="1" thickBot="1">
      <c r="A4699" s="61">
        <v>157</v>
      </c>
      <c r="B4699" s="704" t="s">
        <v>51</v>
      </c>
      <c r="C4699" s="704"/>
      <c r="D4699" s="704"/>
      <c r="E4699" s="62" t="e">
        <f>VLOOKUP(A4699,PROPONENTES!$B$19:$E$218,2,FALSE)</f>
        <v>#N/A</v>
      </c>
      <c r="F4699" s="63" t="e">
        <f>VLOOKUP(A4699,PROPONENTES!$B$19:$E$218,3,FALSE)</f>
        <v>#N/A</v>
      </c>
      <c r="G4699" s="64"/>
      <c r="H4699" s="64"/>
      <c r="I4699" s="63"/>
      <c r="J4699" s="63"/>
      <c r="K4699" s="65"/>
      <c r="L4699" s="65"/>
      <c r="M4699" s="64"/>
      <c r="N4699" s="64"/>
      <c r="O4699" s="66"/>
      <c r="P4699" s="66"/>
      <c r="Q4699" s="66"/>
      <c r="R4699" s="66"/>
      <c r="S4699" s="67"/>
      <c r="T4699" s="68"/>
      <c r="U4699" s="68"/>
      <c r="AC4699" s="68"/>
      <c r="AD4699" s="68"/>
      <c r="AE4699" s="68"/>
      <c r="AF4699" s="68"/>
      <c r="AG4699" s="68"/>
      <c r="AH4699" s="87"/>
      <c r="AI4699" s="87"/>
    </row>
    <row r="4700" spans="1:35" ht="15.75" hidden="1" customHeight="1">
      <c r="A4700" s="44"/>
      <c r="B4700" s="709" t="s">
        <v>59</v>
      </c>
      <c r="C4700" s="552" t="s">
        <v>60</v>
      </c>
      <c r="D4700" s="70" t="s">
        <v>17</v>
      </c>
      <c r="E4700" s="70"/>
      <c r="F4700" s="70" t="s">
        <v>61</v>
      </c>
      <c r="G4700" s="71"/>
      <c r="H4700" s="699" t="s">
        <v>62</v>
      </c>
      <c r="I4700" s="699" t="s">
        <v>18</v>
      </c>
      <c r="J4700" s="699" t="s">
        <v>63</v>
      </c>
      <c r="K4700" s="699" t="s">
        <v>64</v>
      </c>
      <c r="L4700" s="699" t="s">
        <v>65</v>
      </c>
      <c r="M4700" s="743" t="s">
        <v>66</v>
      </c>
      <c r="N4700" s="699" t="s">
        <v>282</v>
      </c>
      <c r="O4700" s="745" t="s">
        <v>67</v>
      </c>
      <c r="P4700" s="746"/>
      <c r="Q4700" s="102" t="s">
        <v>75</v>
      </c>
      <c r="R4700" s="731" t="s">
        <v>22</v>
      </c>
      <c r="S4700" s="732"/>
      <c r="T4700" s="733"/>
      <c r="U4700" s="712" t="s">
        <v>298</v>
      </c>
      <c r="W4700" s="690" t="s">
        <v>268</v>
      </c>
      <c r="X4700" s="691"/>
      <c r="Y4700" s="692"/>
      <c r="Z4700" s="428"/>
      <c r="AA4700" s="697" t="s">
        <v>315</v>
      </c>
      <c r="AB4700" s="695" t="s">
        <v>322</v>
      </c>
      <c r="AC4700" s="49"/>
      <c r="AD4700" s="690" t="s">
        <v>297</v>
      </c>
      <c r="AE4700" s="691"/>
      <c r="AF4700" s="692"/>
      <c r="AG4700" s="49"/>
      <c r="AH4700" s="87"/>
      <c r="AI4700" s="87"/>
    </row>
    <row r="4701" spans="1:35" ht="72" hidden="1">
      <c r="A4701" s="44"/>
      <c r="B4701" s="710"/>
      <c r="C4701" s="553" t="s">
        <v>68</v>
      </c>
      <c r="D4701" s="73" t="s">
        <v>3</v>
      </c>
      <c r="E4701" s="73" t="s">
        <v>19</v>
      </c>
      <c r="F4701" s="73" t="s">
        <v>69</v>
      </c>
      <c r="G4701" s="74" t="s">
        <v>70</v>
      </c>
      <c r="H4701" s="700"/>
      <c r="I4701" s="700"/>
      <c r="J4701" s="700"/>
      <c r="K4701" s="700"/>
      <c r="L4701" s="700"/>
      <c r="M4701" s="744"/>
      <c r="N4701" s="700"/>
      <c r="O4701" s="553" t="s">
        <v>279</v>
      </c>
      <c r="P4701" s="73" t="s">
        <v>88</v>
      </c>
      <c r="Q4701" s="555" t="s">
        <v>76</v>
      </c>
      <c r="R4701" s="734"/>
      <c r="S4701" s="735"/>
      <c r="T4701" s="736"/>
      <c r="U4701" s="712"/>
      <c r="W4701" s="429" t="s">
        <v>269</v>
      </c>
      <c r="X4701" s="457" t="s">
        <v>278</v>
      </c>
      <c r="Y4701" s="430" t="s">
        <v>324</v>
      </c>
      <c r="Z4701" s="428"/>
      <c r="AA4701" s="698"/>
      <c r="AB4701" s="696"/>
      <c r="AC4701" s="49"/>
      <c r="AD4701" s="429" t="s">
        <v>292</v>
      </c>
      <c r="AE4701" s="431" t="s">
        <v>300</v>
      </c>
      <c r="AF4701" s="468" t="s">
        <v>301</v>
      </c>
      <c r="AG4701" s="49"/>
      <c r="AH4701" s="87"/>
      <c r="AI4701" s="87"/>
    </row>
    <row r="4702" spans="1:35" hidden="1">
      <c r="A4702" s="44"/>
      <c r="B4702" s="76"/>
      <c r="C4702" s="77"/>
      <c r="D4702" s="77"/>
      <c r="E4702" s="77"/>
      <c r="F4702" s="77"/>
      <c r="G4702" s="77"/>
      <c r="H4702" s="77"/>
      <c r="I4702" s="77"/>
      <c r="J4702" s="77"/>
      <c r="K4702" s="77"/>
      <c r="L4702" s="77"/>
      <c r="M4702" s="77"/>
      <c r="N4702" s="77"/>
      <c r="O4702" s="77"/>
      <c r="P4702" s="77"/>
      <c r="Q4702" s="77"/>
      <c r="R4702" s="77"/>
      <c r="S4702" s="78"/>
      <c r="T4702" s="79"/>
      <c r="U4702" s="109"/>
      <c r="V4702" s="49"/>
      <c r="W4702" s="432"/>
      <c r="X4702" s="454"/>
      <c r="Y4702" s="433"/>
      <c r="Z4702" s="6"/>
      <c r="AA4702" s="500"/>
      <c r="AB4702" s="562"/>
      <c r="AC4702" s="49"/>
      <c r="AD4702" s="210"/>
      <c r="AE4702" s="434"/>
      <c r="AF4702" s="435"/>
      <c r="AG4702" s="49"/>
      <c r="AH4702" s="87"/>
      <c r="AI4702" s="87"/>
    </row>
    <row r="4703" spans="1:35" hidden="1">
      <c r="A4703" s="80" t="e">
        <f>"A"&amp;E4699</f>
        <v>#N/A</v>
      </c>
      <c r="B4703" s="81">
        <v>1</v>
      </c>
      <c r="C4703" s="82"/>
      <c r="D4703" s="82"/>
      <c r="E4703" s="82"/>
      <c r="F4703" s="82"/>
      <c r="G4703" s="83"/>
      <c r="H4703" s="83"/>
      <c r="I4703" s="84"/>
      <c r="J4703" s="85"/>
      <c r="K4703" s="382"/>
      <c r="L4703" s="85"/>
      <c r="M4703" s="332" t="str">
        <f t="shared" ref="M4703:M4712" si="1393">IF(OR(J4703="",L4703="",H4703="NO"),"",IF(OR(J4703&gt;$P$17,J4703&lt;$O$17,L4703&gt;$P$17,AND(J4703&lt;$O$17,L4703&lt;$O$17)),"FUERA DE RANGO",IF(OR(K4703="---",K4703=""),IF(J4703&gt;=$O$17,ROUND((L4703-J4703+1)/360*12,3),ROUND((L4703-$O$17+1)/360*12,3)),IF(J4703&gt;=$O$17,ROUND((L4703-J4703+1)/360*12-ROUND(K4703,3),3),ROUND((L4703-$O$17+1)/360*12-ROUND(K4703,3),3)))))</f>
        <v/>
      </c>
      <c r="N4703" s="86"/>
      <c r="O4703" s="453" t="str">
        <f>IF(OR(G4703="",N4703=""),"",N4703*G4703)</f>
        <v/>
      </c>
      <c r="P4703" s="538" t="str">
        <f>IF(OR(H4703="",M4703="FUERA DE RANGO"),"",IF(OR(L4703&lt;$O$17,L4703&gt;$P$17,L4703="",H4703="NO"),"",IF(OR(N4703="",O4703=""),"",ROUND(O4703,3))))</f>
        <v/>
      </c>
      <c r="Q4703" s="539" t="str">
        <f t="shared" ref="Q4703:Q4712" si="1394">IF(AND(H4703="SI",P4703&lt;&gt;""),ROUND(P4703/M4703,3),"")</f>
        <v/>
      </c>
      <c r="R4703" s="737"/>
      <c r="S4703" s="738"/>
      <c r="T4703" s="739"/>
      <c r="U4703" s="470"/>
      <c r="V4703" s="165"/>
      <c r="W4703" s="446"/>
      <c r="X4703" s="456"/>
      <c r="Y4703" s="436"/>
      <c r="Z4703" s="437"/>
      <c r="AA4703" s="560"/>
      <c r="AB4703" s="561"/>
      <c r="AC4703" s="87"/>
      <c r="AD4703" s="466"/>
      <c r="AE4703" s="456"/>
      <c r="AF4703" s="467"/>
      <c r="AG4703" s="87"/>
      <c r="AH4703" s="87"/>
      <c r="AI4703" s="87"/>
    </row>
    <row r="4704" spans="1:35" hidden="1">
      <c r="A4704" s="80" t="e">
        <f>"B"&amp;E4699</f>
        <v>#N/A</v>
      </c>
      <c r="B4704" s="81">
        <v>2</v>
      </c>
      <c r="C4704" s="106"/>
      <c r="D4704" s="106"/>
      <c r="E4704" s="106"/>
      <c r="F4704" s="106"/>
      <c r="G4704" s="83"/>
      <c r="H4704" s="83"/>
      <c r="I4704" s="84"/>
      <c r="J4704" s="85"/>
      <c r="K4704" s="382"/>
      <c r="L4704" s="85"/>
      <c r="M4704" s="332" t="str">
        <f t="shared" si="1393"/>
        <v/>
      </c>
      <c r="N4704" s="86"/>
      <c r="O4704" s="453" t="str">
        <f t="shared" ref="O4704:O4712" si="1395">IF(OR(G4704="",N4704=""),"",N4704*G4704)</f>
        <v/>
      </c>
      <c r="P4704" s="538" t="str">
        <f t="shared" ref="P4704:P4712" si="1396">IF(OR(H4704="",M4704="FUERA DE RANGO"),"",IF(OR(L4704&lt;$O$17,L4704&gt;$P$17,L4704="",H4704="NO"),"",IF(OR(N4704="",O4704=""),"",ROUND(O4704,3))))</f>
        <v/>
      </c>
      <c r="Q4704" s="539" t="str">
        <f t="shared" si="1394"/>
        <v/>
      </c>
      <c r="R4704" s="740"/>
      <c r="S4704" s="741"/>
      <c r="T4704" s="742"/>
      <c r="U4704" s="471"/>
      <c r="V4704" s="165"/>
      <c r="W4704" s="446"/>
      <c r="X4704" s="456"/>
      <c r="Y4704" s="436"/>
      <c r="Z4704" s="437"/>
      <c r="AA4704" s="560"/>
      <c r="AB4704" s="561"/>
      <c r="AC4704" s="87"/>
      <c r="AD4704" s="466"/>
      <c r="AE4704" s="456"/>
      <c r="AF4704" s="467"/>
      <c r="AG4704" s="87"/>
      <c r="AH4704" s="87"/>
      <c r="AI4704" s="87"/>
    </row>
    <row r="4705" spans="1:35" hidden="1">
      <c r="A4705" s="80" t="e">
        <f>"C"&amp;E4699</f>
        <v>#N/A</v>
      </c>
      <c r="B4705" s="88">
        <v>3</v>
      </c>
      <c r="C4705" s="82"/>
      <c r="D4705" s="82"/>
      <c r="E4705" s="82"/>
      <c r="F4705" s="82"/>
      <c r="G4705" s="83"/>
      <c r="H4705" s="83"/>
      <c r="I4705" s="84"/>
      <c r="J4705" s="85"/>
      <c r="K4705" s="382"/>
      <c r="L4705" s="85"/>
      <c r="M4705" s="332" t="str">
        <f t="shared" si="1393"/>
        <v/>
      </c>
      <c r="N4705" s="86"/>
      <c r="O4705" s="453" t="str">
        <f t="shared" si="1395"/>
        <v/>
      </c>
      <c r="P4705" s="538" t="str">
        <f t="shared" si="1396"/>
        <v/>
      </c>
      <c r="Q4705" s="539" t="str">
        <f t="shared" si="1394"/>
        <v/>
      </c>
      <c r="R4705" s="706"/>
      <c r="S4705" s="707"/>
      <c r="T4705" s="708"/>
      <c r="U4705" s="472"/>
      <c r="V4705" s="166"/>
      <c r="W4705" s="446"/>
      <c r="X4705" s="456"/>
      <c r="Y4705" s="436"/>
      <c r="Z4705" s="437"/>
      <c r="AA4705" s="560"/>
      <c r="AB4705" s="561"/>
      <c r="AC4705" s="87"/>
      <c r="AD4705" s="466"/>
      <c r="AE4705" s="456"/>
      <c r="AF4705" s="467"/>
      <c r="AG4705" s="87"/>
      <c r="AH4705" s="87"/>
      <c r="AI4705" s="87"/>
    </row>
    <row r="4706" spans="1:35" hidden="1">
      <c r="A4706" s="80" t="e">
        <f>"D"&amp;E4699</f>
        <v>#N/A</v>
      </c>
      <c r="B4706" s="105">
        <v>4</v>
      </c>
      <c r="C4706" s="107"/>
      <c r="D4706" s="107"/>
      <c r="E4706" s="107"/>
      <c r="F4706" s="107"/>
      <c r="G4706" s="83"/>
      <c r="H4706" s="83"/>
      <c r="I4706" s="84"/>
      <c r="J4706" s="85"/>
      <c r="K4706" s="382"/>
      <c r="L4706" s="85"/>
      <c r="M4706" s="332" t="str">
        <f t="shared" si="1393"/>
        <v/>
      </c>
      <c r="N4706" s="86"/>
      <c r="O4706" s="453" t="str">
        <f t="shared" si="1395"/>
        <v/>
      </c>
      <c r="P4706" s="538" t="str">
        <f t="shared" si="1396"/>
        <v/>
      </c>
      <c r="Q4706" s="539" t="str">
        <f t="shared" si="1394"/>
        <v/>
      </c>
      <c r="R4706" s="706"/>
      <c r="S4706" s="707"/>
      <c r="T4706" s="708"/>
      <c r="U4706" s="472"/>
      <c r="V4706" s="166"/>
      <c r="W4706" s="446"/>
      <c r="X4706" s="456"/>
      <c r="Y4706" s="436"/>
      <c r="Z4706" s="437"/>
      <c r="AA4706" s="560"/>
      <c r="AB4706" s="561"/>
      <c r="AC4706" s="87"/>
      <c r="AD4706" s="466"/>
      <c r="AE4706" s="456"/>
      <c r="AF4706" s="467"/>
      <c r="AG4706" s="87"/>
      <c r="AH4706" s="87"/>
      <c r="AI4706" s="87"/>
    </row>
    <row r="4707" spans="1:35" hidden="1">
      <c r="A4707" s="80" t="e">
        <f>"E"&amp;E4699</f>
        <v>#N/A</v>
      </c>
      <c r="B4707" s="105">
        <v>5</v>
      </c>
      <c r="C4707" s="107"/>
      <c r="D4707" s="107"/>
      <c r="E4707" s="107"/>
      <c r="F4707" s="107"/>
      <c r="G4707" s="83"/>
      <c r="H4707" s="83"/>
      <c r="I4707" s="84"/>
      <c r="J4707" s="85"/>
      <c r="K4707" s="382"/>
      <c r="L4707" s="85"/>
      <c r="M4707" s="332" t="str">
        <f t="shared" si="1393"/>
        <v/>
      </c>
      <c r="N4707" s="86"/>
      <c r="O4707" s="453" t="str">
        <f t="shared" si="1395"/>
        <v/>
      </c>
      <c r="P4707" s="538" t="str">
        <f t="shared" si="1396"/>
        <v/>
      </c>
      <c r="Q4707" s="539" t="str">
        <f t="shared" si="1394"/>
        <v/>
      </c>
      <c r="R4707" s="706"/>
      <c r="S4707" s="707"/>
      <c r="T4707" s="708"/>
      <c r="U4707" s="472"/>
      <c r="V4707" s="167"/>
      <c r="W4707" s="446"/>
      <c r="X4707" s="456"/>
      <c r="Y4707" s="436"/>
      <c r="Z4707" s="437"/>
      <c r="AA4707" s="560"/>
      <c r="AB4707" s="561"/>
      <c r="AC4707" s="87"/>
      <c r="AD4707" s="466"/>
      <c r="AE4707" s="456"/>
      <c r="AF4707" s="467"/>
      <c r="AG4707" s="87"/>
      <c r="AH4707" s="87"/>
      <c r="AI4707" s="87"/>
    </row>
    <row r="4708" spans="1:35" hidden="1">
      <c r="A4708" s="80" t="e">
        <f>"F"&amp;E4699</f>
        <v>#N/A</v>
      </c>
      <c r="B4708" s="105">
        <v>6</v>
      </c>
      <c r="C4708" s="107"/>
      <c r="D4708" s="107"/>
      <c r="E4708" s="107"/>
      <c r="F4708" s="107"/>
      <c r="G4708" s="83"/>
      <c r="H4708" s="83"/>
      <c r="I4708" s="84"/>
      <c r="J4708" s="85"/>
      <c r="K4708" s="382"/>
      <c r="L4708" s="85"/>
      <c r="M4708" s="332" t="str">
        <f t="shared" si="1393"/>
        <v/>
      </c>
      <c r="N4708" s="86"/>
      <c r="O4708" s="453" t="str">
        <f t="shared" si="1395"/>
        <v/>
      </c>
      <c r="P4708" s="538" t="str">
        <f t="shared" si="1396"/>
        <v/>
      </c>
      <c r="Q4708" s="539" t="str">
        <f t="shared" si="1394"/>
        <v/>
      </c>
      <c r="R4708" s="706"/>
      <c r="S4708" s="707"/>
      <c r="T4708" s="708"/>
      <c r="U4708" s="472"/>
      <c r="V4708" s="167"/>
      <c r="W4708" s="446"/>
      <c r="X4708" s="456"/>
      <c r="Y4708" s="436"/>
      <c r="Z4708" s="437"/>
      <c r="AA4708" s="560"/>
      <c r="AB4708" s="561"/>
      <c r="AC4708" s="87"/>
      <c r="AD4708" s="466"/>
      <c r="AE4708" s="456"/>
      <c r="AF4708" s="467"/>
      <c r="AG4708" s="87"/>
      <c r="AH4708" s="87"/>
      <c r="AI4708" s="87"/>
    </row>
    <row r="4709" spans="1:35" hidden="1">
      <c r="A4709" s="80" t="e">
        <f>"G"&amp;E4699</f>
        <v>#N/A</v>
      </c>
      <c r="B4709" s="105">
        <v>7</v>
      </c>
      <c r="C4709" s="107"/>
      <c r="D4709" s="107"/>
      <c r="E4709" s="107"/>
      <c r="F4709" s="107"/>
      <c r="G4709" s="83"/>
      <c r="H4709" s="83"/>
      <c r="I4709" s="84"/>
      <c r="J4709" s="85"/>
      <c r="K4709" s="382"/>
      <c r="L4709" s="85"/>
      <c r="M4709" s="332" t="str">
        <f t="shared" si="1393"/>
        <v/>
      </c>
      <c r="N4709" s="86"/>
      <c r="O4709" s="86" t="str">
        <f t="shared" si="1395"/>
        <v/>
      </c>
      <c r="P4709" s="538" t="str">
        <f t="shared" si="1396"/>
        <v/>
      </c>
      <c r="Q4709" s="539" t="str">
        <f t="shared" si="1394"/>
        <v/>
      </c>
      <c r="R4709" s="706"/>
      <c r="S4709" s="707"/>
      <c r="T4709" s="708"/>
      <c r="U4709" s="472"/>
      <c r="V4709" s="167"/>
      <c r="W4709" s="446"/>
      <c r="X4709" s="456"/>
      <c r="Y4709" s="436"/>
      <c r="Z4709" s="437"/>
      <c r="AA4709" s="560"/>
      <c r="AB4709" s="561"/>
      <c r="AC4709" s="87"/>
      <c r="AD4709" s="466"/>
      <c r="AE4709" s="456"/>
      <c r="AF4709" s="467"/>
      <c r="AG4709" s="87"/>
      <c r="AH4709" s="87"/>
      <c r="AI4709" s="87"/>
    </row>
    <row r="4710" spans="1:35" hidden="1">
      <c r="A4710" s="80" t="e">
        <f>"H"&amp;E4699</f>
        <v>#N/A</v>
      </c>
      <c r="B4710" s="105">
        <v>8</v>
      </c>
      <c r="C4710" s="107"/>
      <c r="D4710" s="107"/>
      <c r="E4710" s="107"/>
      <c r="F4710" s="107"/>
      <c r="G4710" s="83"/>
      <c r="H4710" s="83"/>
      <c r="I4710" s="84"/>
      <c r="J4710" s="85"/>
      <c r="K4710" s="382"/>
      <c r="L4710" s="85"/>
      <c r="M4710" s="332" t="str">
        <f t="shared" si="1393"/>
        <v/>
      </c>
      <c r="N4710" s="453"/>
      <c r="O4710" s="86" t="str">
        <f t="shared" si="1395"/>
        <v/>
      </c>
      <c r="P4710" s="538" t="str">
        <f t="shared" si="1396"/>
        <v/>
      </c>
      <c r="Q4710" s="539" t="str">
        <f t="shared" si="1394"/>
        <v/>
      </c>
      <c r="R4710" s="706"/>
      <c r="S4710" s="707"/>
      <c r="T4710" s="708"/>
      <c r="U4710" s="472"/>
      <c r="V4710" s="167"/>
      <c r="W4710" s="446"/>
      <c r="X4710" s="456"/>
      <c r="Y4710" s="436"/>
      <c r="Z4710" s="437"/>
      <c r="AA4710" s="560"/>
      <c r="AB4710" s="561"/>
      <c r="AC4710" s="87"/>
      <c r="AD4710" s="466"/>
      <c r="AE4710" s="456"/>
      <c r="AF4710" s="467"/>
      <c r="AG4710" s="87"/>
      <c r="AH4710" s="87"/>
      <c r="AI4710" s="87"/>
    </row>
    <row r="4711" spans="1:35" hidden="1">
      <c r="A4711" s="80" t="e">
        <f>"I"&amp;E4699</f>
        <v>#N/A</v>
      </c>
      <c r="B4711" s="105">
        <v>9</v>
      </c>
      <c r="C4711" s="107"/>
      <c r="D4711" s="107"/>
      <c r="E4711" s="107"/>
      <c r="F4711" s="107"/>
      <c r="G4711" s="83"/>
      <c r="H4711" s="83"/>
      <c r="I4711" s="84"/>
      <c r="J4711" s="85"/>
      <c r="K4711" s="382"/>
      <c r="L4711" s="85"/>
      <c r="M4711" s="332" t="str">
        <f t="shared" si="1393"/>
        <v/>
      </c>
      <c r="N4711" s="453"/>
      <c r="O4711" s="86" t="str">
        <f t="shared" si="1395"/>
        <v/>
      </c>
      <c r="P4711" s="538" t="str">
        <f t="shared" si="1396"/>
        <v/>
      </c>
      <c r="Q4711" s="539" t="str">
        <f t="shared" si="1394"/>
        <v/>
      </c>
      <c r="R4711" s="706"/>
      <c r="S4711" s="707"/>
      <c r="T4711" s="708"/>
      <c r="U4711" s="472"/>
      <c r="V4711" s="167"/>
      <c r="W4711" s="446"/>
      <c r="X4711" s="456"/>
      <c r="Y4711" s="436"/>
      <c r="Z4711" s="437"/>
      <c r="AA4711" s="560"/>
      <c r="AB4711" s="561"/>
      <c r="AC4711" s="87"/>
      <c r="AD4711" s="466"/>
      <c r="AE4711" s="456"/>
      <c r="AF4711" s="467"/>
      <c r="AG4711" s="87"/>
      <c r="AH4711" s="87"/>
      <c r="AI4711" s="87"/>
    </row>
    <row r="4712" spans="1:35" hidden="1">
      <c r="A4712" s="80" t="e">
        <f>"J"&amp;E4699</f>
        <v>#N/A</v>
      </c>
      <c r="B4712" s="105">
        <v>10</v>
      </c>
      <c r="C4712" s="107"/>
      <c r="D4712" s="107"/>
      <c r="E4712" s="107"/>
      <c r="F4712" s="107"/>
      <c r="G4712" s="83"/>
      <c r="H4712" s="83"/>
      <c r="I4712" s="84"/>
      <c r="J4712" s="85"/>
      <c r="K4712" s="382"/>
      <c r="L4712" s="85"/>
      <c r="M4712" s="332" t="str">
        <f t="shared" si="1393"/>
        <v/>
      </c>
      <c r="N4712" s="453"/>
      <c r="O4712" s="86" t="str">
        <f t="shared" si="1395"/>
        <v/>
      </c>
      <c r="P4712" s="538" t="str">
        <f t="shared" si="1396"/>
        <v/>
      </c>
      <c r="Q4712" s="539" t="str">
        <f t="shared" si="1394"/>
        <v/>
      </c>
      <c r="R4712" s="706"/>
      <c r="S4712" s="707"/>
      <c r="T4712" s="708"/>
      <c r="U4712" s="472"/>
      <c r="V4712" s="167"/>
      <c r="W4712" s="446"/>
      <c r="X4712" s="456"/>
      <c r="Y4712" s="436"/>
      <c r="Z4712" s="437"/>
      <c r="AA4712" s="560"/>
      <c r="AB4712" s="561"/>
      <c r="AC4712" s="87"/>
      <c r="AD4712" s="466"/>
      <c r="AE4712" s="456"/>
      <c r="AF4712" s="467"/>
      <c r="AG4712" s="87"/>
      <c r="AH4712" s="87"/>
      <c r="AI4712" s="87"/>
    </row>
    <row r="4713" spans="1:35" ht="16.5" hidden="1" thickBot="1">
      <c r="A4713" s="44"/>
      <c r="B4713" s="89"/>
      <c r="C4713" s="90"/>
      <c r="D4713" s="90"/>
      <c r="E4713" s="90"/>
      <c r="F4713" s="90"/>
      <c r="G4713" s="90"/>
      <c r="H4713" s="90"/>
      <c r="I4713" s="90"/>
      <c r="J4713" s="90"/>
      <c r="K4713" s="90"/>
      <c r="L4713" s="90"/>
      <c r="M4713" s="90"/>
      <c r="N4713" s="90"/>
      <c r="O4713" s="90"/>
      <c r="P4713" s="90"/>
      <c r="Q4713" s="90"/>
      <c r="R4713" s="90"/>
      <c r="S4713" s="91"/>
      <c r="T4713" s="92"/>
      <c r="U4713" s="473"/>
      <c r="W4713" s="438"/>
      <c r="X4713" s="455"/>
      <c r="Y4713" s="439"/>
      <c r="Z4713" s="437"/>
      <c r="AA4713" s="530"/>
      <c r="AB4713" s="563"/>
      <c r="AC4713" s="87"/>
      <c r="AD4713" s="440"/>
      <c r="AE4713" s="441"/>
      <c r="AF4713" s="442"/>
      <c r="AG4713" s="49"/>
      <c r="AH4713" s="87"/>
      <c r="AI4713" s="87"/>
    </row>
    <row r="4714" spans="1:35" ht="16.5" hidden="1" thickBot="1">
      <c r="A4714" s="93"/>
      <c r="B4714" s="94"/>
      <c r="C4714" s="96"/>
      <c r="D4714" s="96"/>
      <c r="E4714" s="96"/>
      <c r="F4714" s="96"/>
      <c r="G4714" s="96"/>
      <c r="H4714" s="96"/>
      <c r="I4714" s="96"/>
      <c r="J4714" s="96"/>
      <c r="K4714" s="96"/>
      <c r="L4714" s="96"/>
      <c r="M4714" s="136"/>
      <c r="N4714" s="96"/>
      <c r="O4714" s="96"/>
      <c r="P4714" s="97"/>
      <c r="Q4714" s="97"/>
      <c r="R4714" s="98"/>
      <c r="S4714" s="95"/>
      <c r="T4714" s="99"/>
      <c r="U4714" s="469"/>
      <c r="AC4714" s="58"/>
      <c r="AG4714" s="58"/>
      <c r="AH4714" s="87"/>
      <c r="AI4714" s="87"/>
    </row>
    <row r="4715" spans="1:35" ht="16.5" hidden="1" thickBot="1">
      <c r="B4715" s="101"/>
      <c r="C4715" s="101"/>
      <c r="D4715" s="101"/>
      <c r="E4715" s="101"/>
      <c r="F4715" s="101"/>
      <c r="G4715" s="101"/>
      <c r="H4715" s="101"/>
      <c r="I4715" s="101"/>
      <c r="J4715" s="101"/>
      <c r="K4715" s="101"/>
      <c r="L4715" s="101"/>
      <c r="M4715" s="101"/>
      <c r="N4715" s="101"/>
      <c r="O4715" s="101"/>
      <c r="P4715" s="101"/>
      <c r="Q4715" s="101"/>
      <c r="R4715" s="101"/>
      <c r="S4715" s="101"/>
      <c r="U4715" s="50"/>
      <c r="AH4715" s="87"/>
      <c r="AI4715" s="87"/>
    </row>
    <row r="4716" spans="1:35" ht="16.5" hidden="1" customHeight="1" thickBot="1">
      <c r="A4716" s="44"/>
      <c r="B4716" s="705" t="s">
        <v>74</v>
      </c>
      <c r="C4716" s="705"/>
      <c r="D4716" s="705"/>
      <c r="E4716" s="705"/>
      <c r="F4716" s="705"/>
      <c r="G4716" s="705"/>
      <c r="H4716" s="705"/>
      <c r="I4716" s="705"/>
      <c r="J4716" s="705"/>
      <c r="K4716" s="705"/>
      <c r="L4716" s="705"/>
      <c r="M4716" s="705"/>
      <c r="N4716" s="705"/>
      <c r="O4716" s="705"/>
      <c r="P4716" s="705"/>
      <c r="Q4716" s="705"/>
      <c r="R4716" s="705"/>
      <c r="S4716" s="705"/>
      <c r="T4716" s="705"/>
      <c r="U4716" s="108"/>
      <c r="Y4716" s="532" t="s">
        <v>341</v>
      </c>
      <c r="AC4716" s="49"/>
      <c r="AD4716" s="687" t="s">
        <v>302</v>
      </c>
      <c r="AE4716" s="688"/>
      <c r="AF4716" s="689"/>
      <c r="AG4716" s="49"/>
      <c r="AH4716" s="87"/>
      <c r="AI4716" s="87"/>
    </row>
    <row r="4717" spans="1:35" ht="16.5" hidden="1" customHeight="1" thickBot="1">
      <c r="A4717" s="218" t="e">
        <f>"K"&amp;E4699</f>
        <v>#N/A</v>
      </c>
      <c r="B4717" s="701" t="s">
        <v>71</v>
      </c>
      <c r="C4717" s="751" t="s">
        <v>102</v>
      </c>
      <c r="D4717" s="751"/>
      <c r="E4717" s="751"/>
      <c r="F4717" s="751"/>
      <c r="G4717" s="751"/>
      <c r="H4717" s="751"/>
      <c r="I4717" s="751"/>
      <c r="J4717" s="751"/>
      <c r="K4717" s="751"/>
      <c r="L4717" s="722" t="s">
        <v>100</v>
      </c>
      <c r="M4717" s="747" t="s">
        <v>114</v>
      </c>
      <c r="N4717" s="747"/>
      <c r="O4717" s="747"/>
      <c r="P4717" s="747"/>
      <c r="Q4717" s="748"/>
      <c r="R4717" s="758" t="s">
        <v>280</v>
      </c>
      <c r="S4717" s="748"/>
      <c r="T4717" s="762" t="str">
        <f>IF(COUNTIF(AE4717:AF4717,"VERIFICAR")&gt;0,"VERIFICAR",IF(COUNTIF(AE4717:AF4717,"NO CUMPLE")&gt;0,"NO CUMPLE","CUMPLE"))</f>
        <v>VERIFICAR</v>
      </c>
      <c r="U4717" s="108"/>
      <c r="Y4717" s="533" t="e">
        <f>IF(F4718="","",IF(F4718=1,"INDIVIDUAL","ESTRUCTURA PLURAL"))</f>
        <v>#N/A</v>
      </c>
      <c r="AC4717" s="52"/>
      <c r="AD4717" s="475" t="s">
        <v>303</v>
      </c>
      <c r="AE4717" s="476" t="str">
        <f>IF(COUNTIF(AE4703:AE4712,"")=10,"VERIFICAR",IF(COUNTIF(AE4703:AE4712,"SI")&gt;0,"CUMPLE","NO CUMPLE"))</f>
        <v>VERIFICAR</v>
      </c>
      <c r="AF4717" s="477" t="str">
        <f>IF(COUNTIF(AF4703:AF4712,"")=10,"VERIFICAR",IF(COUNTIF(AF4703:AF4712,"SI")&gt;=$AI$22,"CUMPLE","NO CUMPLE"))</f>
        <v>VERIFICAR</v>
      </c>
      <c r="AG4717" s="52"/>
      <c r="AH4717" s="87"/>
      <c r="AI4717" s="87"/>
    </row>
    <row r="4718" spans="1:35" ht="15.75" hidden="1" customHeight="1" thickBot="1">
      <c r="A4718" s="218" t="e">
        <f>"L"&amp;E4699</f>
        <v>#N/A</v>
      </c>
      <c r="B4718" s="702"/>
      <c r="C4718" s="751" t="s">
        <v>103</v>
      </c>
      <c r="D4718" s="751"/>
      <c r="E4718" s="752"/>
      <c r="F4718" s="557" t="e">
        <f>IF(VLOOKUP(E4699,PROPONENTES!$C$19:$E$218,3,0)="","",VLOOKUP(E4699,PROPONENTES!$C$19:$E$218,3,0))</f>
        <v>#N/A</v>
      </c>
      <c r="G4718" s="753" t="s">
        <v>104</v>
      </c>
      <c r="H4718" s="751"/>
      <c r="I4718" s="715" t="e">
        <f>IF(OR(F4718="",F4718=1),"INTERESADO PERSONA NATURAL O JURIDICA","CONSORCIO O UNION TEMPORAL")</f>
        <v>#N/A</v>
      </c>
      <c r="J4718" s="725"/>
      <c r="K4718" s="728"/>
      <c r="L4718" s="723"/>
      <c r="M4718" s="749"/>
      <c r="N4718" s="749"/>
      <c r="O4718" s="749"/>
      <c r="P4718" s="749"/>
      <c r="Q4718" s="750"/>
      <c r="R4718" s="712"/>
      <c r="S4718" s="750"/>
      <c r="T4718" s="763"/>
      <c r="U4718" s="108"/>
      <c r="Y4718" s="534"/>
      <c r="AA4718" s="52"/>
      <c r="AB4718" s="52"/>
      <c r="AC4718" s="52"/>
      <c r="AG4718" s="52"/>
      <c r="AH4718" s="87"/>
      <c r="AI4718" s="87"/>
    </row>
    <row r="4719" spans="1:35" ht="56.25" hidden="1" customHeight="1" thickBot="1">
      <c r="A4719" s="218" t="e">
        <f>"M"&amp;E4699</f>
        <v>#N/A</v>
      </c>
      <c r="B4719" s="702"/>
      <c r="C4719" s="725" t="s">
        <v>101</v>
      </c>
      <c r="D4719" s="716"/>
      <c r="E4719" s="558" t="s">
        <v>105</v>
      </c>
      <c r="F4719" s="554" t="s">
        <v>87</v>
      </c>
      <c r="G4719" s="553" t="s">
        <v>86</v>
      </c>
      <c r="H4719" s="559" t="s">
        <v>85</v>
      </c>
      <c r="I4719" s="554" t="s">
        <v>252</v>
      </c>
      <c r="J4719" s="553" t="str">
        <f>"¿EL INTEGRANTE TIENE UNA PARTICIPACIÓN DEL "&amp;PORCREQUERIDOINT*100&amp;"%?"</f>
        <v>¿EL INTEGRANTE TIENE UNA PARTICIPACIÓN DEL 60%?</v>
      </c>
      <c r="K4719" s="554" t="s">
        <v>107</v>
      </c>
      <c r="L4719" s="724"/>
      <c r="M4719" s="717" t="s">
        <v>115</v>
      </c>
      <c r="N4719" s="718"/>
      <c r="O4719" s="718"/>
      <c r="P4719" s="718"/>
      <c r="Q4719" s="223">
        <f>IF(AND(H4703="SI",P4703&gt;=0),1,0)+IF(AND(H4704="SI",P4704&gt;=0),1,0)+IF(AND(H4705="SI",P4705&gt;=0),1,0)+IF(AND(H4706="SI",P4706&gt;=0),1,0)+IF(AND(H4707="SI",P4707&gt;=0),1,0)+IF(AND(H4708="SI",P4708&gt;=0),1,0)+IF(AND(H4709="SI",P4709&gt;=0),1,0)+IF(AND(H4710="SI",P4710&gt;=0),1,0)+IF(AND(H4711="SI",P4711&gt;=0),1,0)+IF(AND(H4712="SI",P4712&gt;=0),1,0)</f>
        <v>0</v>
      </c>
      <c r="R4719" s="759"/>
      <c r="S4719" s="761"/>
      <c r="T4719" s="764"/>
      <c r="U4719" s="219"/>
      <c r="V4719" s="464"/>
      <c r="Y4719" s="532" t="s">
        <v>342</v>
      </c>
      <c r="AA4719" s="550" t="s">
        <v>344</v>
      </c>
      <c r="AB4719" s="693" t="s">
        <v>345</v>
      </c>
      <c r="AC4719" s="693" t="s">
        <v>346</v>
      </c>
      <c r="AD4719" s="685" t="s">
        <v>347</v>
      </c>
      <c r="AE4719" s="52"/>
      <c r="AF4719" s="52"/>
      <c r="AG4719" s="52"/>
      <c r="AH4719" s="87"/>
      <c r="AI4719" s="87"/>
    </row>
    <row r="4720" spans="1:35" ht="15.75" hidden="1" customHeight="1" thickBot="1">
      <c r="A4720" s="218" t="e">
        <f>"N"&amp;E4699</f>
        <v>#N/A</v>
      </c>
      <c r="B4720" s="702"/>
      <c r="C4720" s="114">
        <v>1</v>
      </c>
      <c r="D4720" s="194" t="e">
        <f>IF(AND(C4720&lt;=F4718,F4718&gt;1,F4718&lt;&gt;""),VLOOKUP(VALUE(E4699&amp;","&amp;C4720),INTEGRANTES!$D$18:$F$235,2,0),"")</f>
        <v>#N/A</v>
      </c>
      <c r="E4720" s="211" t="e">
        <f>IF(D4720&lt;&gt;"",VLOOKUP(VALUE(E4699&amp;","&amp;C4720),INTEGRANTES!$D$18:$F$235,3,0),"")</f>
        <v>#N/A</v>
      </c>
      <c r="F4720" s="547" t="e">
        <f>IF(D4720="","",SUMIF($I4703:$I4712,D4720,$P4703:$P4712))</f>
        <v>#N/A</v>
      </c>
      <c r="G4720" s="333" t="e">
        <f>IF(D4720="","",SUMIF($I4703:$I4712,D4720,$M4703:$M4712))</f>
        <v>#N/A</v>
      </c>
      <c r="H4720" s="535" t="e">
        <f t="shared" ref="H4720:H4725" si="1397">IF(D4720="","",IF(OR(F4720=0,G4720=0),"NO APORTA",ROUND($F4720/$G4720,3)))</f>
        <v>#N/A</v>
      </c>
      <c r="I4720" s="212" t="e">
        <f>IF(D4720="","",IF(H4720="NO APORTA","NO",IF(H4720=MAX($H4720:$H4725),"SI","NO")))</f>
        <v>#N/A</v>
      </c>
      <c r="J4720" s="213" t="e">
        <f t="shared" ref="J4720:J4725" si="1398">IF(D4720="","",IF(E4720&gt;=PORCREQUERIDOINT,"SI","NO"))</f>
        <v>#N/A</v>
      </c>
      <c r="K4720" s="200" t="e">
        <f t="shared" ref="K4720:K4725" si="1399">IF(D4720="","",IF(AND(I4720="SI",J4720="SI"),"CUMPLE",IF(AND(I4720="NO",OR(J4720="SI",J4720="NO")),"","NO CUMPLE")))</f>
        <v>#N/A</v>
      </c>
      <c r="L4720" s="722" t="s">
        <v>108</v>
      </c>
      <c r="M4720" s="726" t="s">
        <v>119</v>
      </c>
      <c r="N4720" s="726"/>
      <c r="O4720" s="726"/>
      <c r="P4720" s="726"/>
      <c r="Q4720" s="727"/>
      <c r="R4720" s="758" t="s">
        <v>80</v>
      </c>
      <c r="S4720" s="747"/>
      <c r="T4720" s="748"/>
      <c r="U4720" s="219"/>
      <c r="V4720" s="464"/>
      <c r="Y4720" s="533" t="e">
        <f>IF(Y4717="","",IF(Y4717="INDIVIDUAL","NO APLICA","VERIFICAR CUADRO"))</f>
        <v>#N/A</v>
      </c>
      <c r="AA4720" s="551"/>
      <c r="AB4720" s="694"/>
      <c r="AC4720" s="694"/>
      <c r="AD4720" s="686"/>
      <c r="AE4720" s="52"/>
      <c r="AF4720" s="52"/>
      <c r="AG4720" s="52"/>
      <c r="AH4720" s="87"/>
      <c r="AI4720" s="87"/>
    </row>
    <row r="4721" spans="1:35" ht="27" hidden="1" customHeight="1" thickBot="1">
      <c r="A4721" s="218" t="e">
        <f>"O"&amp;E4699</f>
        <v>#N/A</v>
      </c>
      <c r="B4721" s="702"/>
      <c r="C4721" s="114">
        <v>2</v>
      </c>
      <c r="D4721" s="194" t="e">
        <f>IF(AND(C4721&lt;=F4718,F4718&lt;&gt;""),VLOOKUP(VALUE(E4699&amp;","&amp;C4721),INTEGRANTES!$D$18:$F$235,2,0),"")</f>
        <v>#N/A</v>
      </c>
      <c r="E4721" s="211" t="e">
        <f>IF(D4721&lt;&gt;"",VLOOKUP(VALUE(E4699&amp;","&amp;C4721),INTEGRANTES!$D$18:$F$235,3,0),"")</f>
        <v>#N/A</v>
      </c>
      <c r="F4721" s="547" t="e">
        <f>IF(D4721="","",SUMIF($I4703:$I4712,D4721,$P4703:$P4712))</f>
        <v>#N/A</v>
      </c>
      <c r="G4721" s="333" t="e">
        <f>IF(D4721="","",SUMIF($I4703:$I4712,D4721,$M4703:$M4712))</f>
        <v>#N/A</v>
      </c>
      <c r="H4721" s="535" t="e">
        <f t="shared" si="1397"/>
        <v>#N/A</v>
      </c>
      <c r="I4721" s="212" t="e">
        <f>IF(D4721="","",IF(H4721="NO APORTA","NO",IF(H4721=MAX($H4720:$H4725),"SI","NO")))</f>
        <v>#N/A</v>
      </c>
      <c r="J4721" s="213" t="e">
        <f t="shared" si="1398"/>
        <v>#N/A</v>
      </c>
      <c r="K4721" s="200" t="e">
        <f t="shared" si="1399"/>
        <v>#N/A</v>
      </c>
      <c r="L4721" s="723"/>
      <c r="M4721" s="715" t="s">
        <v>116</v>
      </c>
      <c r="N4721" s="716"/>
      <c r="O4721" s="556" t="s">
        <v>113</v>
      </c>
      <c r="P4721" s="715" t="s">
        <v>117</v>
      </c>
      <c r="Q4721" s="728"/>
      <c r="R4721" s="759"/>
      <c r="S4721" s="760"/>
      <c r="T4721" s="761"/>
      <c r="U4721" s="219"/>
      <c r="V4721" s="464"/>
      <c r="Y4721" s="414"/>
      <c r="AA4721" s="542" t="e">
        <f>IF(AND(C4720&lt;=F4718,F4718&gt;1,F4718&lt;&gt;""),VLOOKUP(VALUE(E4699&amp;","&amp;C4720),INTEGRANTES!$D$18:$F$235,2,0),"")</f>
        <v>#N/A</v>
      </c>
      <c r="AB4721" s="544" t="e">
        <f t="shared" ref="AB4721:AB4726" si="1400">IF(D4720="","",IF(OR(F4720=0,G4720=0),"NO APORTA",ROUND($F4720/$G4720,3)))</f>
        <v>#N/A</v>
      </c>
      <c r="AC4721" s="529"/>
      <c r="AD4721" s="200" t="e">
        <f t="shared" ref="AD4721:AD4726" si="1401">IF(OR(AA4721="",AB4721=""),"",IF(AND(AC4721="X",AB4721&gt;=EXPREQVTD),"CUMPLE","NO CUMPLE"))</f>
        <v>#N/A</v>
      </c>
      <c r="AE4721" s="52"/>
      <c r="AF4721" s="52"/>
      <c r="AG4721" s="52"/>
      <c r="AH4721" s="87"/>
      <c r="AI4721" s="87"/>
    </row>
    <row r="4722" spans="1:35" ht="16.5" hidden="1" thickBot="1">
      <c r="A4722" s="218" t="e">
        <f>"P"&amp;E4699</f>
        <v>#N/A</v>
      </c>
      <c r="B4722" s="702"/>
      <c r="C4722" s="114">
        <v>3</v>
      </c>
      <c r="D4722" s="194" t="e">
        <f>IF(AND(C4722&lt;=F4718,F4718&lt;&gt;""),VLOOKUP(VALUE(E4699&amp;","&amp;C4722),INTEGRANTES!$D$18:$F$235,2,0),"")</f>
        <v>#N/A</v>
      </c>
      <c r="E4722" s="211" t="e">
        <f>IF(D4722&lt;&gt;"",VLOOKUP(VALUE(E4699&amp;","&amp;C4722),INTEGRANTES!$D$18:$F$235,3,0),"")</f>
        <v>#N/A</v>
      </c>
      <c r="F4722" s="547" t="e">
        <f>IF(D4722="","",SUMIF($I4703:$I4712,D4722,$P4703:$P4712))</f>
        <v>#N/A</v>
      </c>
      <c r="G4722" s="333" t="e">
        <f>IF(D4722="","",SUMIF($I4703:$I4712,D4722,$M4703:$M4712))</f>
        <v>#N/A</v>
      </c>
      <c r="H4722" s="535" t="e">
        <f t="shared" si="1397"/>
        <v>#N/A</v>
      </c>
      <c r="I4722" s="212" t="e">
        <f>IF(D4722="","",IF(H4722="NO APORTA","NO",IF(H4722=MAX($H4720:$H4725),"SI","NO")))</f>
        <v>#N/A</v>
      </c>
      <c r="J4722" s="213" t="e">
        <f t="shared" si="1398"/>
        <v>#N/A</v>
      </c>
      <c r="K4722" s="200" t="e">
        <f t="shared" si="1399"/>
        <v>#N/A</v>
      </c>
      <c r="L4722" s="724"/>
      <c r="M4722" s="729">
        <f>NUMMOD</f>
        <v>1</v>
      </c>
      <c r="N4722" s="730"/>
      <c r="O4722" s="443">
        <f>IF(M4722="","",VLOOKUP(M4722,PRESUPUESTOS!$B$16:$H$16,5,FALSE))</f>
        <v>2</v>
      </c>
      <c r="P4722" s="713">
        <f>IF(OR(COUNTIF(M4703:M4712,"")&gt;=10,Q4719&lt;NUMMINCONT,OR(T4717="NO CUMPLE",T4717="VERIFICAR")),0,ROUND(AVERAGE(M4703:M4712),3))</f>
        <v>0</v>
      </c>
      <c r="Q4722" s="714"/>
      <c r="R4722" s="458"/>
      <c r="S4722" s="459"/>
      <c r="T4722" s="460"/>
      <c r="U4722" s="219"/>
      <c r="V4722" s="464"/>
      <c r="Y4722" s="532" t="str">
        <f>"40% * ("&amp;PRESUPUESTOS!$H$13&amp;")"</f>
        <v>40% * (50% PFMO)</v>
      </c>
      <c r="AA4722" s="540" t="e">
        <f>IF(AND(C4721&lt;=F4718,F4718&lt;&gt;""),VLOOKUP(VALUE(E4699&amp;","&amp;C4721),INTEGRANTES!$D$18:$F$235,2,0),"")</f>
        <v>#N/A</v>
      </c>
      <c r="AB4722" s="545" t="e">
        <f t="shared" si="1400"/>
        <v>#N/A</v>
      </c>
      <c r="AC4722" s="529"/>
      <c r="AD4722" s="200" t="e">
        <f t="shared" si="1401"/>
        <v>#N/A</v>
      </c>
      <c r="AE4722" s="52"/>
      <c r="AF4722" s="52"/>
      <c r="AG4722" s="52"/>
      <c r="AH4722" s="87"/>
      <c r="AI4722" s="87"/>
    </row>
    <row r="4723" spans="1:35" ht="15.75" hidden="1" customHeight="1" thickBot="1">
      <c r="A4723" s="218" t="e">
        <f>"Q"&amp;E4699</f>
        <v>#N/A</v>
      </c>
      <c r="B4723" s="702"/>
      <c r="C4723" s="114">
        <v>4</v>
      </c>
      <c r="D4723" s="194" t="e">
        <f>IF(AND(C4723&lt;=F4718,F4718&lt;&gt;""),VLOOKUP(VALUE(E4699&amp;","&amp;C4723),INTEGRANTES!$D$18:$F$235,2,0),"")</f>
        <v>#N/A</v>
      </c>
      <c r="E4723" s="211" t="e">
        <f>IF(D4723&lt;&gt;"",VLOOKUP(VALUE(E4699&amp;","&amp;C4723),INTEGRANTES!$D$18:$F$235,3,0),"")</f>
        <v>#N/A</v>
      </c>
      <c r="F4723" s="547" t="e">
        <f>IF(D4723="","",SUMIF($I4703:$I4712,D4723,$P4703:$P4712))</f>
        <v>#N/A</v>
      </c>
      <c r="G4723" s="333" t="e">
        <f>IF(D4723="","",SUMIF($I4703:$I4712,D4723,$M4703:$M4712))</f>
        <v>#N/A</v>
      </c>
      <c r="H4723" s="535" t="e">
        <f t="shared" si="1397"/>
        <v>#N/A</v>
      </c>
      <c r="I4723" s="212" t="e">
        <f>IF(D4723="","",IF(H4723="NO APORTA","NO",IF(H4723=MAX($H4720:$H4725),"SI","NO")))</f>
        <v>#N/A</v>
      </c>
      <c r="J4723" s="213" t="e">
        <f t="shared" si="1398"/>
        <v>#N/A</v>
      </c>
      <c r="K4723" s="200" t="e">
        <f t="shared" si="1399"/>
        <v>#N/A</v>
      </c>
      <c r="L4723" s="720" t="s">
        <v>109</v>
      </c>
      <c r="M4723" s="757" t="s">
        <v>120</v>
      </c>
      <c r="N4723" s="726"/>
      <c r="O4723" s="726"/>
      <c r="P4723" s="726"/>
      <c r="Q4723" s="727"/>
      <c r="R4723" s="458"/>
      <c r="S4723" s="459"/>
      <c r="T4723" s="460"/>
      <c r="U4723" s="219"/>
      <c r="V4723" s="464"/>
      <c r="Y4723" s="537">
        <f>0.4*PRESUPUESTOS!$H$16</f>
        <v>10.3124</v>
      </c>
      <c r="AA4723" s="540" t="e">
        <f>IF(AND(C4722&lt;=F4718,F4718&lt;&gt;""),VLOOKUP(VALUE(E4699&amp;","&amp;C4722),INTEGRANTES!$D$18:$F$235,2,0),"")</f>
        <v>#N/A</v>
      </c>
      <c r="AB4723" s="545" t="e">
        <f t="shared" si="1400"/>
        <v>#N/A</v>
      </c>
      <c r="AC4723" s="529"/>
      <c r="AD4723" s="200" t="e">
        <f t="shared" si="1401"/>
        <v>#N/A</v>
      </c>
      <c r="AE4723" s="52"/>
      <c r="AF4723" s="52"/>
      <c r="AG4723" s="52"/>
      <c r="AH4723" s="87"/>
      <c r="AI4723" s="87"/>
    </row>
    <row r="4724" spans="1:35" ht="27" hidden="1" customHeight="1" thickBot="1">
      <c r="A4724" s="218" t="e">
        <f>"R"&amp;E4699</f>
        <v>#N/A</v>
      </c>
      <c r="B4724" s="702"/>
      <c r="C4724" s="114">
        <v>5</v>
      </c>
      <c r="D4724" s="194" t="e">
        <f>IF(AND(C4724&lt;=F4718,F4718&lt;&gt;""),VLOOKUP(VALUE(E4699&amp;","&amp;C4724),INTEGRANTES!$D$18:$F$235,2,0),"")</f>
        <v>#N/A</v>
      </c>
      <c r="E4724" s="211" t="e">
        <f>IF(D4724&lt;&gt;"",VLOOKUP(VALUE(E4699&amp;","&amp;C4724),INTEGRANTES!$D$18:$F$235,3,0),"")</f>
        <v>#N/A</v>
      </c>
      <c r="F4724" s="547" t="e">
        <f>IF(D4724="","",SUMIF($I4703:$I4712,D4724,$P4703:$P4712))</f>
        <v>#N/A</v>
      </c>
      <c r="G4724" s="333" t="e">
        <f>IF(D4724="","",SUMIF($I4703:$I4712,D4724,$M4703:$M4712))</f>
        <v>#N/A</v>
      </c>
      <c r="H4724" s="535" t="e">
        <f t="shared" si="1397"/>
        <v>#N/A</v>
      </c>
      <c r="I4724" s="212" t="e">
        <f>IF(D4724="","",IF(H4724="NO APORTA","NO",IF(H4724=MAX($H4720:$H4725),"SI","NO")))</f>
        <v>#N/A</v>
      </c>
      <c r="J4724" s="213" t="e">
        <f t="shared" si="1398"/>
        <v>#N/A</v>
      </c>
      <c r="K4724" s="200" t="e">
        <f t="shared" si="1399"/>
        <v>#N/A</v>
      </c>
      <c r="L4724" s="721"/>
      <c r="M4724" s="715" t="s">
        <v>116</v>
      </c>
      <c r="N4724" s="716"/>
      <c r="O4724" s="556" t="str">
        <f>PORCREQUERIDO*100&amp;"% PMFO DEL MÓDULO"</f>
        <v>50% PMFO DEL MÓDULO</v>
      </c>
      <c r="P4724" s="715" t="s">
        <v>118</v>
      </c>
      <c r="Q4724" s="728"/>
      <c r="R4724" s="458"/>
      <c r="S4724" s="459"/>
      <c r="T4724" s="460"/>
      <c r="U4724" s="219"/>
      <c r="V4724" s="464"/>
      <c r="Y4724" s="414"/>
      <c r="AA4724" s="540" t="e">
        <f>IF(AND(C4723&lt;=F4718,F4718&lt;&gt;""),VLOOKUP(VALUE(E4699&amp;","&amp;C4723),INTEGRANTES!$D$18:$F$235,2,0),"")</f>
        <v>#N/A</v>
      </c>
      <c r="AB4724" s="545" t="e">
        <f t="shared" si="1400"/>
        <v>#N/A</v>
      </c>
      <c r="AC4724" s="529"/>
      <c r="AD4724" s="200" t="e">
        <f t="shared" si="1401"/>
        <v>#N/A</v>
      </c>
      <c r="AE4724" s="52"/>
      <c r="AF4724" s="52"/>
      <c r="AG4724" s="52"/>
      <c r="AH4724" s="87"/>
      <c r="AI4724" s="87"/>
    </row>
    <row r="4725" spans="1:35" ht="16.5" hidden="1" thickBot="1">
      <c r="A4725" s="218" t="e">
        <f>"S"&amp;E4699</f>
        <v>#N/A</v>
      </c>
      <c r="B4725" s="702"/>
      <c r="C4725" s="215">
        <v>6</v>
      </c>
      <c r="D4725" s="216" t="e">
        <f>IF(AND(C4725&lt;=F4718,F4718&lt;&gt;""),VLOOKUP(VALUE(E4699&amp;","&amp;C4725),INTEGRANTES!$D$18:$F$235,2,0),"")</f>
        <v>#N/A</v>
      </c>
      <c r="E4725" s="217" t="e">
        <f>IF(D4725&lt;&gt;"",VLOOKUP(VALUE(E4699&amp;","&amp;C4725),INTEGRANTES!$D$18:$F$235,3,0),"")</f>
        <v>#N/A</v>
      </c>
      <c r="F4725" s="548" t="e">
        <f>IF(D4725="","",SUMIF($I4703:$I4712,D4725,$P4703:$P4712))</f>
        <v>#N/A</v>
      </c>
      <c r="G4725" s="334" t="e">
        <f>IF(D4725="","",SUMIF($I4703:$I4712,D4725,$M4703:$M4712))</f>
        <v>#N/A</v>
      </c>
      <c r="H4725" s="536" t="e">
        <f t="shared" si="1397"/>
        <v>#N/A</v>
      </c>
      <c r="I4725" s="214" t="e">
        <f>IF(D4725="","",IF(H4725="NO APORTA","NO",IF(H4725=MAX($H4720:$H4725),"SI","NO")))</f>
        <v>#N/A</v>
      </c>
      <c r="J4725" s="213" t="e">
        <f t="shared" si="1398"/>
        <v>#N/A</v>
      </c>
      <c r="K4725" s="200" t="e">
        <f t="shared" si="1399"/>
        <v>#N/A</v>
      </c>
      <c r="L4725" s="721"/>
      <c r="M4725" s="729">
        <f>NUMMOD</f>
        <v>1</v>
      </c>
      <c r="N4725" s="730"/>
      <c r="O4725" s="443">
        <f>IF(M4725="","",ROUND(VLOOKUP(M4725,PRESUPUESTOS!$B$16:$H$16,7,FALSE),3))</f>
        <v>25.780999999999999</v>
      </c>
      <c r="P4725" s="713">
        <f>IF(OR(COUNTIF(P4703:P4712,"")&gt;=10,Q4719&lt;NUMMINCONT,OR(T4717="NO CUMPLE",T4717="VERIFICAR")),0,ROUND((SUM(P4703:P4712)/SUM(M4703:M4712)),3))</f>
        <v>0</v>
      </c>
      <c r="Q4725" s="714"/>
      <c r="R4725" s="458"/>
      <c r="S4725" s="459"/>
      <c r="T4725" s="460"/>
      <c r="U4725" s="219"/>
      <c r="V4725" s="464"/>
      <c r="Y4725" s="532" t="s">
        <v>343</v>
      </c>
      <c r="AA4725" s="540" t="e">
        <f>IF(AND(C4724&lt;=F4718,F4718&lt;&gt;""),VLOOKUP(VALUE(E4699&amp;","&amp;C4724),INTEGRANTES!$D$18:$F$235,2,0),"")</f>
        <v>#N/A</v>
      </c>
      <c r="AB4725" s="545" t="e">
        <f t="shared" si="1400"/>
        <v>#N/A</v>
      </c>
      <c r="AC4725" s="529"/>
      <c r="AD4725" s="200" t="e">
        <f t="shared" si="1401"/>
        <v>#N/A</v>
      </c>
      <c r="AE4725" s="52"/>
      <c r="AF4725" s="52"/>
      <c r="AG4725" s="52"/>
      <c r="AH4725" s="87"/>
      <c r="AI4725" s="87"/>
    </row>
    <row r="4726" spans="1:35" ht="16.5" hidden="1" customHeight="1" thickBot="1">
      <c r="A4726" s="218" t="e">
        <f>"T"&amp;E4699</f>
        <v>#N/A</v>
      </c>
      <c r="B4726" s="703"/>
      <c r="C4726" s="719"/>
      <c r="D4726" s="719"/>
      <c r="E4726" s="719"/>
      <c r="F4726" s="719"/>
      <c r="G4726" s="719"/>
      <c r="H4726" s="719" t="s">
        <v>110</v>
      </c>
      <c r="I4726" s="719"/>
      <c r="J4726" s="719"/>
      <c r="K4726" s="201" t="str">
        <f>IF(COUNTIF(K4720:K4725,"")=6,"",IF(COUNTIF(K4720:K4725,"CUMPLE")&gt;0,"CUMPLE","NO CUMPLE"))</f>
        <v>NO CUMPLE</v>
      </c>
      <c r="L4726" s="754"/>
      <c r="M4726" s="755"/>
      <c r="N4726" s="755"/>
      <c r="O4726" s="755"/>
      <c r="P4726" s="755"/>
      <c r="Q4726" s="756"/>
      <c r="R4726" s="461"/>
      <c r="S4726" s="462"/>
      <c r="T4726" s="463"/>
      <c r="U4726" s="219"/>
      <c r="V4726" s="464"/>
      <c r="Y4726" s="549" t="e">
        <f>IF(Y4720="NO APLICA","NO APLICA",IF(COUNTIF(AD4721:AD4726,"CUMPLE")&gt;0,"CUMPLE","NO CUMPLE"))</f>
        <v>#N/A</v>
      </c>
      <c r="AA4726" s="541" t="e">
        <f>IF(AND(C4725&lt;=F4718,F4718&lt;&gt;""),VLOOKUP(VALUE(E4699&amp;","&amp;C4725),INTEGRANTES!$D$18:$F$235,2,0),"")</f>
        <v>#N/A</v>
      </c>
      <c r="AB4726" s="546" t="e">
        <f t="shared" si="1400"/>
        <v>#N/A</v>
      </c>
      <c r="AC4726" s="543"/>
      <c r="AD4726" s="201" t="e">
        <f t="shared" si="1401"/>
        <v>#N/A</v>
      </c>
      <c r="AE4726" s="52"/>
      <c r="AF4726" s="52"/>
      <c r="AG4726" s="52"/>
      <c r="AH4726" s="87"/>
      <c r="AI4726" s="87"/>
    </row>
    <row r="4727" spans="1:35" hidden="1">
      <c r="AH4727" s="87"/>
      <c r="AI4727" s="87"/>
    </row>
    <row r="4728" spans="1:35" hidden="1">
      <c r="AH4728" s="87"/>
      <c r="AI4728" s="87"/>
    </row>
    <row r="4729" spans="1:35" ht="24" hidden="1" thickBot="1">
      <c r="A4729" s="61">
        <v>158</v>
      </c>
      <c r="B4729" s="704" t="s">
        <v>51</v>
      </c>
      <c r="C4729" s="704"/>
      <c r="D4729" s="704"/>
      <c r="E4729" s="62" t="e">
        <f>VLOOKUP(A4729,PROPONENTES!$B$19:$E$218,2,FALSE)</f>
        <v>#N/A</v>
      </c>
      <c r="F4729" s="63" t="e">
        <f>VLOOKUP(A4729,PROPONENTES!$B$19:$E$218,3,FALSE)</f>
        <v>#N/A</v>
      </c>
      <c r="G4729" s="64"/>
      <c r="H4729" s="64"/>
      <c r="I4729" s="63"/>
      <c r="J4729" s="63"/>
      <c r="K4729" s="65"/>
      <c r="L4729" s="65"/>
      <c r="M4729" s="64"/>
      <c r="N4729" s="64"/>
      <c r="O4729" s="66"/>
      <c r="P4729" s="66"/>
      <c r="Q4729" s="66"/>
      <c r="R4729" s="66"/>
      <c r="S4729" s="67"/>
      <c r="T4729" s="68"/>
      <c r="U4729" s="68"/>
      <c r="AC4729" s="68"/>
      <c r="AD4729" s="68"/>
      <c r="AE4729" s="68"/>
      <c r="AF4729" s="68"/>
      <c r="AG4729" s="68"/>
      <c r="AH4729" s="87"/>
      <c r="AI4729" s="87"/>
    </row>
    <row r="4730" spans="1:35" ht="15.75" hidden="1" customHeight="1">
      <c r="A4730" s="44"/>
      <c r="B4730" s="709" t="s">
        <v>59</v>
      </c>
      <c r="C4730" s="552" t="s">
        <v>60</v>
      </c>
      <c r="D4730" s="70" t="s">
        <v>17</v>
      </c>
      <c r="E4730" s="70"/>
      <c r="F4730" s="70" t="s">
        <v>61</v>
      </c>
      <c r="G4730" s="71"/>
      <c r="H4730" s="699" t="s">
        <v>62</v>
      </c>
      <c r="I4730" s="699" t="s">
        <v>18</v>
      </c>
      <c r="J4730" s="699" t="s">
        <v>63</v>
      </c>
      <c r="K4730" s="699" t="s">
        <v>64</v>
      </c>
      <c r="L4730" s="699" t="s">
        <v>65</v>
      </c>
      <c r="M4730" s="743" t="s">
        <v>66</v>
      </c>
      <c r="N4730" s="699" t="s">
        <v>282</v>
      </c>
      <c r="O4730" s="745" t="s">
        <v>67</v>
      </c>
      <c r="P4730" s="746"/>
      <c r="Q4730" s="102" t="s">
        <v>75</v>
      </c>
      <c r="R4730" s="731" t="s">
        <v>22</v>
      </c>
      <c r="S4730" s="732"/>
      <c r="T4730" s="733"/>
      <c r="U4730" s="712" t="s">
        <v>298</v>
      </c>
      <c r="W4730" s="690" t="s">
        <v>268</v>
      </c>
      <c r="X4730" s="691"/>
      <c r="Y4730" s="692"/>
      <c r="Z4730" s="428"/>
      <c r="AA4730" s="697" t="s">
        <v>315</v>
      </c>
      <c r="AB4730" s="695" t="s">
        <v>322</v>
      </c>
      <c r="AC4730" s="49"/>
      <c r="AD4730" s="690" t="s">
        <v>297</v>
      </c>
      <c r="AE4730" s="691"/>
      <c r="AF4730" s="692"/>
      <c r="AG4730" s="49"/>
      <c r="AH4730" s="87"/>
      <c r="AI4730" s="87"/>
    </row>
    <row r="4731" spans="1:35" ht="72" hidden="1">
      <c r="A4731" s="44"/>
      <c r="B4731" s="710"/>
      <c r="C4731" s="553" t="s">
        <v>68</v>
      </c>
      <c r="D4731" s="73" t="s">
        <v>3</v>
      </c>
      <c r="E4731" s="73" t="s">
        <v>19</v>
      </c>
      <c r="F4731" s="73" t="s">
        <v>69</v>
      </c>
      <c r="G4731" s="74" t="s">
        <v>70</v>
      </c>
      <c r="H4731" s="700"/>
      <c r="I4731" s="700"/>
      <c r="J4731" s="700"/>
      <c r="K4731" s="700"/>
      <c r="L4731" s="700"/>
      <c r="M4731" s="744"/>
      <c r="N4731" s="700"/>
      <c r="O4731" s="553" t="s">
        <v>279</v>
      </c>
      <c r="P4731" s="73" t="s">
        <v>88</v>
      </c>
      <c r="Q4731" s="555" t="s">
        <v>76</v>
      </c>
      <c r="R4731" s="734"/>
      <c r="S4731" s="735"/>
      <c r="T4731" s="736"/>
      <c r="U4731" s="712"/>
      <c r="W4731" s="429" t="s">
        <v>269</v>
      </c>
      <c r="X4731" s="457" t="s">
        <v>278</v>
      </c>
      <c r="Y4731" s="430" t="s">
        <v>324</v>
      </c>
      <c r="Z4731" s="428"/>
      <c r="AA4731" s="698"/>
      <c r="AB4731" s="696"/>
      <c r="AC4731" s="49"/>
      <c r="AD4731" s="429" t="s">
        <v>292</v>
      </c>
      <c r="AE4731" s="431" t="s">
        <v>300</v>
      </c>
      <c r="AF4731" s="468" t="s">
        <v>301</v>
      </c>
      <c r="AG4731" s="49"/>
      <c r="AH4731" s="87"/>
      <c r="AI4731" s="87"/>
    </row>
    <row r="4732" spans="1:35" hidden="1">
      <c r="A4732" s="44"/>
      <c r="B4732" s="76"/>
      <c r="C4732" s="77"/>
      <c r="D4732" s="77"/>
      <c r="E4732" s="77"/>
      <c r="F4732" s="77"/>
      <c r="G4732" s="77"/>
      <c r="H4732" s="77"/>
      <c r="I4732" s="77"/>
      <c r="J4732" s="77"/>
      <c r="K4732" s="77"/>
      <c r="L4732" s="77"/>
      <c r="M4732" s="77"/>
      <c r="N4732" s="77"/>
      <c r="O4732" s="77"/>
      <c r="P4732" s="77"/>
      <c r="Q4732" s="77"/>
      <c r="R4732" s="77"/>
      <c r="S4732" s="78"/>
      <c r="T4732" s="79"/>
      <c r="U4732" s="109"/>
      <c r="V4732" s="49"/>
      <c r="W4732" s="432"/>
      <c r="X4732" s="454"/>
      <c r="Y4732" s="433"/>
      <c r="Z4732" s="6"/>
      <c r="AA4732" s="500"/>
      <c r="AB4732" s="562"/>
      <c r="AC4732" s="49"/>
      <c r="AD4732" s="210"/>
      <c r="AE4732" s="434"/>
      <c r="AF4732" s="435"/>
      <c r="AG4732" s="49"/>
      <c r="AH4732" s="87"/>
      <c r="AI4732" s="87"/>
    </row>
    <row r="4733" spans="1:35" hidden="1">
      <c r="A4733" s="80" t="e">
        <f>"A"&amp;E4729</f>
        <v>#N/A</v>
      </c>
      <c r="B4733" s="81">
        <v>1</v>
      </c>
      <c r="C4733" s="82"/>
      <c r="D4733" s="82"/>
      <c r="E4733" s="82"/>
      <c r="F4733" s="82"/>
      <c r="G4733" s="83"/>
      <c r="H4733" s="83"/>
      <c r="I4733" s="84"/>
      <c r="J4733" s="85"/>
      <c r="K4733" s="382"/>
      <c r="L4733" s="85"/>
      <c r="M4733" s="332" t="str">
        <f t="shared" ref="M4733:M4742" si="1402">IF(OR(J4733="",L4733="",H4733="NO"),"",IF(OR(J4733&gt;$P$17,J4733&lt;$O$17,L4733&gt;$P$17,AND(J4733&lt;$O$17,L4733&lt;$O$17)),"FUERA DE RANGO",IF(OR(K4733="---",K4733=""),IF(J4733&gt;=$O$17,ROUND((L4733-J4733+1)/360*12,3),ROUND((L4733-$O$17+1)/360*12,3)),IF(J4733&gt;=$O$17,ROUND((L4733-J4733+1)/360*12-ROUND(K4733,3),3),ROUND((L4733-$O$17+1)/360*12-ROUND(K4733,3),3)))))</f>
        <v/>
      </c>
      <c r="N4733" s="86"/>
      <c r="O4733" s="453" t="str">
        <f>IF(OR(G4733="",N4733=""),"",N4733*G4733)</f>
        <v/>
      </c>
      <c r="P4733" s="538" t="str">
        <f>IF(OR(H4733="",M4733="FUERA DE RANGO"),"",IF(OR(L4733&lt;$O$17,L4733&gt;$P$17,L4733="",H4733="NO"),"",IF(OR(N4733="",O4733=""),"",ROUND(O4733,3))))</f>
        <v/>
      </c>
      <c r="Q4733" s="539" t="str">
        <f t="shared" ref="Q4733:Q4742" si="1403">IF(AND(H4733="SI",P4733&lt;&gt;""),ROUND(P4733/M4733,3),"")</f>
        <v/>
      </c>
      <c r="R4733" s="737"/>
      <c r="S4733" s="738"/>
      <c r="T4733" s="739"/>
      <c r="U4733" s="470"/>
      <c r="V4733" s="165"/>
      <c r="W4733" s="446"/>
      <c r="X4733" s="456"/>
      <c r="Y4733" s="436"/>
      <c r="Z4733" s="437"/>
      <c r="AA4733" s="560"/>
      <c r="AB4733" s="561"/>
      <c r="AC4733" s="87"/>
      <c r="AD4733" s="466"/>
      <c r="AE4733" s="456"/>
      <c r="AF4733" s="467"/>
      <c r="AG4733" s="87"/>
      <c r="AH4733" s="87"/>
      <c r="AI4733" s="87"/>
    </row>
    <row r="4734" spans="1:35" hidden="1">
      <c r="A4734" s="80" t="e">
        <f>"B"&amp;E4729</f>
        <v>#N/A</v>
      </c>
      <c r="B4734" s="81">
        <v>2</v>
      </c>
      <c r="C4734" s="106"/>
      <c r="D4734" s="106"/>
      <c r="E4734" s="106"/>
      <c r="F4734" s="106"/>
      <c r="G4734" s="83"/>
      <c r="H4734" s="83"/>
      <c r="I4734" s="84"/>
      <c r="J4734" s="85"/>
      <c r="K4734" s="382"/>
      <c r="L4734" s="85"/>
      <c r="M4734" s="332" t="str">
        <f t="shared" si="1402"/>
        <v/>
      </c>
      <c r="N4734" s="86"/>
      <c r="O4734" s="453" t="str">
        <f t="shared" ref="O4734:O4742" si="1404">IF(OR(G4734="",N4734=""),"",N4734*G4734)</f>
        <v/>
      </c>
      <c r="P4734" s="538" t="str">
        <f t="shared" ref="P4734:P4742" si="1405">IF(OR(H4734="",M4734="FUERA DE RANGO"),"",IF(OR(L4734&lt;$O$17,L4734&gt;$P$17,L4734="",H4734="NO"),"",IF(OR(N4734="",O4734=""),"",ROUND(O4734,3))))</f>
        <v/>
      </c>
      <c r="Q4734" s="539" t="str">
        <f t="shared" si="1403"/>
        <v/>
      </c>
      <c r="R4734" s="740"/>
      <c r="S4734" s="741"/>
      <c r="T4734" s="742"/>
      <c r="U4734" s="471"/>
      <c r="V4734" s="165"/>
      <c r="W4734" s="446"/>
      <c r="X4734" s="456"/>
      <c r="Y4734" s="436"/>
      <c r="Z4734" s="437"/>
      <c r="AA4734" s="560"/>
      <c r="AB4734" s="561"/>
      <c r="AC4734" s="87"/>
      <c r="AD4734" s="466"/>
      <c r="AE4734" s="456"/>
      <c r="AF4734" s="467"/>
      <c r="AG4734" s="87"/>
      <c r="AH4734" s="87"/>
      <c r="AI4734" s="87"/>
    </row>
    <row r="4735" spans="1:35" hidden="1">
      <c r="A4735" s="80" t="e">
        <f>"C"&amp;E4729</f>
        <v>#N/A</v>
      </c>
      <c r="B4735" s="88">
        <v>3</v>
      </c>
      <c r="C4735" s="82"/>
      <c r="D4735" s="82"/>
      <c r="E4735" s="82"/>
      <c r="F4735" s="82"/>
      <c r="G4735" s="83"/>
      <c r="H4735" s="83"/>
      <c r="I4735" s="84"/>
      <c r="J4735" s="85"/>
      <c r="K4735" s="382"/>
      <c r="L4735" s="85"/>
      <c r="M4735" s="332" t="str">
        <f t="shared" si="1402"/>
        <v/>
      </c>
      <c r="N4735" s="86"/>
      <c r="O4735" s="453" t="str">
        <f t="shared" si="1404"/>
        <v/>
      </c>
      <c r="P4735" s="538" t="str">
        <f t="shared" si="1405"/>
        <v/>
      </c>
      <c r="Q4735" s="539" t="str">
        <f t="shared" si="1403"/>
        <v/>
      </c>
      <c r="R4735" s="706"/>
      <c r="S4735" s="707"/>
      <c r="T4735" s="708"/>
      <c r="U4735" s="472"/>
      <c r="V4735" s="166"/>
      <c r="W4735" s="446"/>
      <c r="X4735" s="456"/>
      <c r="Y4735" s="436"/>
      <c r="Z4735" s="437"/>
      <c r="AA4735" s="560"/>
      <c r="AB4735" s="561"/>
      <c r="AC4735" s="87"/>
      <c r="AD4735" s="466"/>
      <c r="AE4735" s="456"/>
      <c r="AF4735" s="467"/>
      <c r="AG4735" s="87"/>
      <c r="AH4735" s="87"/>
      <c r="AI4735" s="87"/>
    </row>
    <row r="4736" spans="1:35" hidden="1">
      <c r="A4736" s="80" t="e">
        <f>"D"&amp;E4729</f>
        <v>#N/A</v>
      </c>
      <c r="B4736" s="105">
        <v>4</v>
      </c>
      <c r="C4736" s="107"/>
      <c r="D4736" s="107"/>
      <c r="E4736" s="107"/>
      <c r="F4736" s="107"/>
      <c r="G4736" s="83"/>
      <c r="H4736" s="83"/>
      <c r="I4736" s="84"/>
      <c r="J4736" s="85"/>
      <c r="K4736" s="382"/>
      <c r="L4736" s="85"/>
      <c r="M4736" s="332" t="str">
        <f t="shared" si="1402"/>
        <v/>
      </c>
      <c r="N4736" s="86"/>
      <c r="O4736" s="453" t="str">
        <f t="shared" si="1404"/>
        <v/>
      </c>
      <c r="P4736" s="538" t="str">
        <f t="shared" si="1405"/>
        <v/>
      </c>
      <c r="Q4736" s="539" t="str">
        <f t="shared" si="1403"/>
        <v/>
      </c>
      <c r="R4736" s="706"/>
      <c r="S4736" s="707"/>
      <c r="T4736" s="708"/>
      <c r="U4736" s="472"/>
      <c r="V4736" s="166"/>
      <c r="W4736" s="446"/>
      <c r="X4736" s="456"/>
      <c r="Y4736" s="436"/>
      <c r="Z4736" s="437"/>
      <c r="AA4736" s="560"/>
      <c r="AB4736" s="561"/>
      <c r="AC4736" s="87"/>
      <c r="AD4736" s="466"/>
      <c r="AE4736" s="456"/>
      <c r="AF4736" s="467"/>
      <c r="AG4736" s="87"/>
      <c r="AH4736" s="87"/>
      <c r="AI4736" s="87"/>
    </row>
    <row r="4737" spans="1:35" hidden="1">
      <c r="A4737" s="80" t="e">
        <f>"E"&amp;E4729</f>
        <v>#N/A</v>
      </c>
      <c r="B4737" s="105">
        <v>5</v>
      </c>
      <c r="C4737" s="107"/>
      <c r="D4737" s="107"/>
      <c r="E4737" s="107"/>
      <c r="F4737" s="107"/>
      <c r="G4737" s="83"/>
      <c r="H4737" s="83"/>
      <c r="I4737" s="84"/>
      <c r="J4737" s="85"/>
      <c r="K4737" s="382"/>
      <c r="L4737" s="85"/>
      <c r="M4737" s="332" t="str">
        <f t="shared" si="1402"/>
        <v/>
      </c>
      <c r="N4737" s="86"/>
      <c r="O4737" s="453" t="str">
        <f t="shared" si="1404"/>
        <v/>
      </c>
      <c r="P4737" s="538" t="str">
        <f t="shared" si="1405"/>
        <v/>
      </c>
      <c r="Q4737" s="539" t="str">
        <f t="shared" si="1403"/>
        <v/>
      </c>
      <c r="R4737" s="706"/>
      <c r="S4737" s="707"/>
      <c r="T4737" s="708"/>
      <c r="U4737" s="472"/>
      <c r="V4737" s="167"/>
      <c r="W4737" s="446"/>
      <c r="X4737" s="456"/>
      <c r="Y4737" s="436"/>
      <c r="Z4737" s="437"/>
      <c r="AA4737" s="560"/>
      <c r="AB4737" s="561"/>
      <c r="AC4737" s="87"/>
      <c r="AD4737" s="466"/>
      <c r="AE4737" s="456"/>
      <c r="AF4737" s="467"/>
      <c r="AG4737" s="87"/>
      <c r="AH4737" s="87"/>
      <c r="AI4737" s="87"/>
    </row>
    <row r="4738" spans="1:35" hidden="1">
      <c r="A4738" s="80" t="e">
        <f>"F"&amp;E4729</f>
        <v>#N/A</v>
      </c>
      <c r="B4738" s="105">
        <v>6</v>
      </c>
      <c r="C4738" s="107"/>
      <c r="D4738" s="107"/>
      <c r="E4738" s="107"/>
      <c r="F4738" s="107"/>
      <c r="G4738" s="83"/>
      <c r="H4738" s="83"/>
      <c r="I4738" s="84"/>
      <c r="J4738" s="85"/>
      <c r="K4738" s="382"/>
      <c r="L4738" s="85"/>
      <c r="M4738" s="332" t="str">
        <f t="shared" si="1402"/>
        <v/>
      </c>
      <c r="N4738" s="86"/>
      <c r="O4738" s="453" t="str">
        <f t="shared" si="1404"/>
        <v/>
      </c>
      <c r="P4738" s="538" t="str">
        <f t="shared" si="1405"/>
        <v/>
      </c>
      <c r="Q4738" s="539" t="str">
        <f t="shared" si="1403"/>
        <v/>
      </c>
      <c r="R4738" s="706"/>
      <c r="S4738" s="707"/>
      <c r="T4738" s="708"/>
      <c r="U4738" s="472"/>
      <c r="V4738" s="167"/>
      <c r="W4738" s="446"/>
      <c r="X4738" s="456"/>
      <c r="Y4738" s="436"/>
      <c r="Z4738" s="437"/>
      <c r="AA4738" s="560"/>
      <c r="AB4738" s="561"/>
      <c r="AC4738" s="87"/>
      <c r="AD4738" s="466"/>
      <c r="AE4738" s="456"/>
      <c r="AF4738" s="467"/>
      <c r="AG4738" s="87"/>
      <c r="AH4738" s="87"/>
      <c r="AI4738" s="87"/>
    </row>
    <row r="4739" spans="1:35" hidden="1">
      <c r="A4739" s="80" t="e">
        <f>"G"&amp;E4729</f>
        <v>#N/A</v>
      </c>
      <c r="B4739" s="105">
        <v>7</v>
      </c>
      <c r="C4739" s="107"/>
      <c r="D4739" s="107"/>
      <c r="E4739" s="107"/>
      <c r="F4739" s="107"/>
      <c r="G4739" s="83"/>
      <c r="H4739" s="83"/>
      <c r="I4739" s="84"/>
      <c r="J4739" s="85"/>
      <c r="K4739" s="382"/>
      <c r="L4739" s="85"/>
      <c r="M4739" s="332" t="str">
        <f t="shared" si="1402"/>
        <v/>
      </c>
      <c r="N4739" s="86"/>
      <c r="O4739" s="86" t="str">
        <f t="shared" si="1404"/>
        <v/>
      </c>
      <c r="P4739" s="538" t="str">
        <f t="shared" si="1405"/>
        <v/>
      </c>
      <c r="Q4739" s="539" t="str">
        <f t="shared" si="1403"/>
        <v/>
      </c>
      <c r="R4739" s="706"/>
      <c r="S4739" s="707"/>
      <c r="T4739" s="708"/>
      <c r="U4739" s="472"/>
      <c r="V4739" s="167"/>
      <c r="W4739" s="446"/>
      <c r="X4739" s="456"/>
      <c r="Y4739" s="436"/>
      <c r="Z4739" s="437"/>
      <c r="AA4739" s="560"/>
      <c r="AB4739" s="561"/>
      <c r="AC4739" s="87"/>
      <c r="AD4739" s="466"/>
      <c r="AE4739" s="456"/>
      <c r="AF4739" s="467"/>
      <c r="AG4739" s="87"/>
      <c r="AH4739" s="87"/>
      <c r="AI4739" s="87"/>
    </row>
    <row r="4740" spans="1:35" hidden="1">
      <c r="A4740" s="80" t="e">
        <f>"H"&amp;E4729</f>
        <v>#N/A</v>
      </c>
      <c r="B4740" s="105">
        <v>8</v>
      </c>
      <c r="C4740" s="107"/>
      <c r="D4740" s="107"/>
      <c r="E4740" s="107"/>
      <c r="F4740" s="107"/>
      <c r="G4740" s="83"/>
      <c r="H4740" s="83"/>
      <c r="I4740" s="84"/>
      <c r="J4740" s="85"/>
      <c r="K4740" s="382"/>
      <c r="L4740" s="85"/>
      <c r="M4740" s="332" t="str">
        <f t="shared" si="1402"/>
        <v/>
      </c>
      <c r="N4740" s="453"/>
      <c r="O4740" s="86" t="str">
        <f t="shared" si="1404"/>
        <v/>
      </c>
      <c r="P4740" s="538" t="str">
        <f t="shared" si="1405"/>
        <v/>
      </c>
      <c r="Q4740" s="539" t="str">
        <f t="shared" si="1403"/>
        <v/>
      </c>
      <c r="R4740" s="706"/>
      <c r="S4740" s="707"/>
      <c r="T4740" s="708"/>
      <c r="U4740" s="472"/>
      <c r="V4740" s="167"/>
      <c r="W4740" s="446"/>
      <c r="X4740" s="456"/>
      <c r="Y4740" s="436"/>
      <c r="Z4740" s="437"/>
      <c r="AA4740" s="560"/>
      <c r="AB4740" s="561"/>
      <c r="AC4740" s="87"/>
      <c r="AD4740" s="466"/>
      <c r="AE4740" s="456"/>
      <c r="AF4740" s="467"/>
      <c r="AG4740" s="87"/>
      <c r="AH4740" s="87"/>
      <c r="AI4740" s="87"/>
    </row>
    <row r="4741" spans="1:35" hidden="1">
      <c r="A4741" s="80" t="e">
        <f>"I"&amp;E4729</f>
        <v>#N/A</v>
      </c>
      <c r="B4741" s="105">
        <v>9</v>
      </c>
      <c r="C4741" s="107"/>
      <c r="D4741" s="107"/>
      <c r="E4741" s="107"/>
      <c r="F4741" s="107"/>
      <c r="G4741" s="83"/>
      <c r="H4741" s="83"/>
      <c r="I4741" s="84"/>
      <c r="J4741" s="85"/>
      <c r="K4741" s="382"/>
      <c r="L4741" s="85"/>
      <c r="M4741" s="332" t="str">
        <f t="shared" si="1402"/>
        <v/>
      </c>
      <c r="N4741" s="453"/>
      <c r="O4741" s="86" t="str">
        <f t="shared" si="1404"/>
        <v/>
      </c>
      <c r="P4741" s="538" t="str">
        <f t="shared" si="1405"/>
        <v/>
      </c>
      <c r="Q4741" s="539" t="str">
        <f t="shared" si="1403"/>
        <v/>
      </c>
      <c r="R4741" s="706"/>
      <c r="S4741" s="707"/>
      <c r="T4741" s="708"/>
      <c r="U4741" s="472"/>
      <c r="V4741" s="167"/>
      <c r="W4741" s="446"/>
      <c r="X4741" s="456"/>
      <c r="Y4741" s="436"/>
      <c r="Z4741" s="437"/>
      <c r="AA4741" s="560"/>
      <c r="AB4741" s="561"/>
      <c r="AC4741" s="87"/>
      <c r="AD4741" s="466"/>
      <c r="AE4741" s="456"/>
      <c r="AF4741" s="467"/>
      <c r="AG4741" s="87"/>
      <c r="AH4741" s="87"/>
      <c r="AI4741" s="87"/>
    </row>
    <row r="4742" spans="1:35" hidden="1">
      <c r="A4742" s="80" t="e">
        <f>"J"&amp;E4729</f>
        <v>#N/A</v>
      </c>
      <c r="B4742" s="105">
        <v>10</v>
      </c>
      <c r="C4742" s="107"/>
      <c r="D4742" s="107"/>
      <c r="E4742" s="107"/>
      <c r="F4742" s="107"/>
      <c r="G4742" s="83"/>
      <c r="H4742" s="83"/>
      <c r="I4742" s="84"/>
      <c r="J4742" s="85"/>
      <c r="K4742" s="382"/>
      <c r="L4742" s="85"/>
      <c r="M4742" s="332" t="str">
        <f t="shared" si="1402"/>
        <v/>
      </c>
      <c r="N4742" s="453"/>
      <c r="O4742" s="86" t="str">
        <f t="shared" si="1404"/>
        <v/>
      </c>
      <c r="P4742" s="538" t="str">
        <f t="shared" si="1405"/>
        <v/>
      </c>
      <c r="Q4742" s="539" t="str">
        <f t="shared" si="1403"/>
        <v/>
      </c>
      <c r="R4742" s="706"/>
      <c r="S4742" s="707"/>
      <c r="T4742" s="708"/>
      <c r="U4742" s="472"/>
      <c r="V4742" s="167"/>
      <c r="W4742" s="446"/>
      <c r="X4742" s="456"/>
      <c r="Y4742" s="436"/>
      <c r="Z4742" s="437"/>
      <c r="AA4742" s="560"/>
      <c r="AB4742" s="561"/>
      <c r="AC4742" s="87"/>
      <c r="AD4742" s="466"/>
      <c r="AE4742" s="456"/>
      <c r="AF4742" s="467"/>
      <c r="AG4742" s="87"/>
      <c r="AH4742" s="87"/>
      <c r="AI4742" s="87"/>
    </row>
    <row r="4743" spans="1:35" ht="16.5" hidden="1" thickBot="1">
      <c r="A4743" s="44"/>
      <c r="B4743" s="89"/>
      <c r="C4743" s="90"/>
      <c r="D4743" s="90"/>
      <c r="E4743" s="90"/>
      <c r="F4743" s="90"/>
      <c r="G4743" s="90"/>
      <c r="H4743" s="90"/>
      <c r="I4743" s="90"/>
      <c r="J4743" s="90"/>
      <c r="K4743" s="90"/>
      <c r="L4743" s="90"/>
      <c r="M4743" s="90"/>
      <c r="N4743" s="90"/>
      <c r="O4743" s="90"/>
      <c r="P4743" s="90"/>
      <c r="Q4743" s="90"/>
      <c r="R4743" s="90"/>
      <c r="S4743" s="91"/>
      <c r="T4743" s="92"/>
      <c r="U4743" s="473"/>
      <c r="W4743" s="438"/>
      <c r="X4743" s="455"/>
      <c r="Y4743" s="439"/>
      <c r="Z4743" s="437"/>
      <c r="AA4743" s="530"/>
      <c r="AB4743" s="563"/>
      <c r="AC4743" s="87"/>
      <c r="AD4743" s="440"/>
      <c r="AE4743" s="441"/>
      <c r="AF4743" s="442"/>
      <c r="AG4743" s="49"/>
      <c r="AH4743" s="87"/>
      <c r="AI4743" s="87"/>
    </row>
    <row r="4744" spans="1:35" ht="16.5" hidden="1" thickBot="1">
      <c r="A4744" s="93"/>
      <c r="B4744" s="94"/>
      <c r="C4744" s="96"/>
      <c r="D4744" s="96"/>
      <c r="E4744" s="96"/>
      <c r="F4744" s="96"/>
      <c r="G4744" s="96"/>
      <c r="H4744" s="96"/>
      <c r="I4744" s="96"/>
      <c r="J4744" s="96"/>
      <c r="K4744" s="96"/>
      <c r="L4744" s="96"/>
      <c r="M4744" s="136"/>
      <c r="N4744" s="96"/>
      <c r="O4744" s="96"/>
      <c r="P4744" s="97"/>
      <c r="Q4744" s="97"/>
      <c r="R4744" s="98"/>
      <c r="S4744" s="95"/>
      <c r="T4744" s="99"/>
      <c r="U4744" s="469"/>
      <c r="AC4744" s="58"/>
      <c r="AG4744" s="58"/>
      <c r="AH4744" s="87"/>
      <c r="AI4744" s="87"/>
    </row>
    <row r="4745" spans="1:35" ht="16.5" hidden="1" thickBot="1">
      <c r="B4745" s="101"/>
      <c r="C4745" s="101"/>
      <c r="D4745" s="101"/>
      <c r="E4745" s="101"/>
      <c r="F4745" s="101"/>
      <c r="G4745" s="101"/>
      <c r="H4745" s="101"/>
      <c r="I4745" s="101"/>
      <c r="J4745" s="101"/>
      <c r="K4745" s="101"/>
      <c r="L4745" s="101"/>
      <c r="M4745" s="101"/>
      <c r="N4745" s="101"/>
      <c r="O4745" s="101"/>
      <c r="P4745" s="101"/>
      <c r="Q4745" s="101"/>
      <c r="R4745" s="101"/>
      <c r="S4745" s="101"/>
      <c r="U4745" s="50"/>
      <c r="AH4745" s="87"/>
      <c r="AI4745" s="87"/>
    </row>
    <row r="4746" spans="1:35" ht="16.5" hidden="1" customHeight="1" thickBot="1">
      <c r="A4746" s="44"/>
      <c r="B4746" s="705" t="s">
        <v>74</v>
      </c>
      <c r="C4746" s="705"/>
      <c r="D4746" s="705"/>
      <c r="E4746" s="705"/>
      <c r="F4746" s="705"/>
      <c r="G4746" s="705"/>
      <c r="H4746" s="705"/>
      <c r="I4746" s="705"/>
      <c r="J4746" s="705"/>
      <c r="K4746" s="705"/>
      <c r="L4746" s="705"/>
      <c r="M4746" s="705"/>
      <c r="N4746" s="705"/>
      <c r="O4746" s="705"/>
      <c r="P4746" s="705"/>
      <c r="Q4746" s="705"/>
      <c r="R4746" s="705"/>
      <c r="S4746" s="705"/>
      <c r="T4746" s="705"/>
      <c r="U4746" s="108"/>
      <c r="Y4746" s="532" t="s">
        <v>341</v>
      </c>
      <c r="AC4746" s="49"/>
      <c r="AD4746" s="687" t="s">
        <v>302</v>
      </c>
      <c r="AE4746" s="688"/>
      <c r="AF4746" s="689"/>
      <c r="AG4746" s="49"/>
      <c r="AH4746" s="87"/>
      <c r="AI4746" s="87"/>
    </row>
    <row r="4747" spans="1:35" ht="16.5" hidden="1" customHeight="1" thickBot="1">
      <c r="A4747" s="218" t="e">
        <f>"K"&amp;E4729</f>
        <v>#N/A</v>
      </c>
      <c r="B4747" s="701" t="s">
        <v>71</v>
      </c>
      <c r="C4747" s="751" t="s">
        <v>102</v>
      </c>
      <c r="D4747" s="751"/>
      <c r="E4747" s="751"/>
      <c r="F4747" s="751"/>
      <c r="G4747" s="751"/>
      <c r="H4747" s="751"/>
      <c r="I4747" s="751"/>
      <c r="J4747" s="751"/>
      <c r="K4747" s="751"/>
      <c r="L4747" s="722" t="s">
        <v>100</v>
      </c>
      <c r="M4747" s="747" t="s">
        <v>114</v>
      </c>
      <c r="N4747" s="747"/>
      <c r="O4747" s="747"/>
      <c r="P4747" s="747"/>
      <c r="Q4747" s="748"/>
      <c r="R4747" s="758" t="s">
        <v>280</v>
      </c>
      <c r="S4747" s="748"/>
      <c r="T4747" s="762" t="str">
        <f>IF(COUNTIF(AE4747:AF4747,"VERIFICAR")&gt;0,"VERIFICAR",IF(COUNTIF(AE4747:AF4747,"NO CUMPLE")&gt;0,"NO CUMPLE","CUMPLE"))</f>
        <v>VERIFICAR</v>
      </c>
      <c r="U4747" s="108"/>
      <c r="Y4747" s="533" t="e">
        <f>IF(F4748="","",IF(F4748=1,"INDIVIDUAL","ESTRUCTURA PLURAL"))</f>
        <v>#N/A</v>
      </c>
      <c r="AC4747" s="52"/>
      <c r="AD4747" s="475" t="s">
        <v>303</v>
      </c>
      <c r="AE4747" s="476" t="str">
        <f>IF(COUNTIF(AE4733:AE4742,"")=10,"VERIFICAR",IF(COUNTIF(AE4733:AE4742,"SI")&gt;0,"CUMPLE","NO CUMPLE"))</f>
        <v>VERIFICAR</v>
      </c>
      <c r="AF4747" s="477" t="str">
        <f>IF(COUNTIF(AF4733:AF4742,"")=10,"VERIFICAR",IF(COUNTIF(AF4733:AF4742,"SI")&gt;=$AI$22,"CUMPLE","NO CUMPLE"))</f>
        <v>VERIFICAR</v>
      </c>
      <c r="AG4747" s="52"/>
      <c r="AH4747" s="87"/>
      <c r="AI4747" s="87"/>
    </row>
    <row r="4748" spans="1:35" ht="15.75" hidden="1" customHeight="1" thickBot="1">
      <c r="A4748" s="218" t="e">
        <f>"L"&amp;E4729</f>
        <v>#N/A</v>
      </c>
      <c r="B4748" s="702"/>
      <c r="C4748" s="751" t="s">
        <v>103</v>
      </c>
      <c r="D4748" s="751"/>
      <c r="E4748" s="752"/>
      <c r="F4748" s="557" t="e">
        <f>IF(VLOOKUP(E4729,PROPONENTES!$C$19:$E$218,3,0)="","",VLOOKUP(E4729,PROPONENTES!$C$19:$E$218,3,0))</f>
        <v>#N/A</v>
      </c>
      <c r="G4748" s="753" t="s">
        <v>104</v>
      </c>
      <c r="H4748" s="751"/>
      <c r="I4748" s="715" t="e">
        <f>IF(OR(F4748="",F4748=1),"INTERESADO PERSONA NATURAL O JURIDICA","CONSORCIO O UNION TEMPORAL")</f>
        <v>#N/A</v>
      </c>
      <c r="J4748" s="725"/>
      <c r="K4748" s="728"/>
      <c r="L4748" s="723"/>
      <c r="M4748" s="749"/>
      <c r="N4748" s="749"/>
      <c r="O4748" s="749"/>
      <c r="P4748" s="749"/>
      <c r="Q4748" s="750"/>
      <c r="R4748" s="712"/>
      <c r="S4748" s="750"/>
      <c r="T4748" s="763"/>
      <c r="U4748" s="108"/>
      <c r="Y4748" s="534"/>
      <c r="AA4748" s="52"/>
      <c r="AB4748" s="52"/>
      <c r="AC4748" s="52"/>
      <c r="AG4748" s="52"/>
      <c r="AH4748" s="87"/>
      <c r="AI4748" s="87"/>
    </row>
    <row r="4749" spans="1:35" ht="56.25" hidden="1" customHeight="1" thickBot="1">
      <c r="A4749" s="218" t="e">
        <f>"M"&amp;E4729</f>
        <v>#N/A</v>
      </c>
      <c r="B4749" s="702"/>
      <c r="C4749" s="725" t="s">
        <v>101</v>
      </c>
      <c r="D4749" s="716"/>
      <c r="E4749" s="558" t="s">
        <v>105</v>
      </c>
      <c r="F4749" s="554" t="s">
        <v>87</v>
      </c>
      <c r="G4749" s="553" t="s">
        <v>86</v>
      </c>
      <c r="H4749" s="559" t="s">
        <v>85</v>
      </c>
      <c r="I4749" s="554" t="s">
        <v>252</v>
      </c>
      <c r="J4749" s="553" t="str">
        <f>"¿EL INTEGRANTE TIENE UNA PARTICIPACIÓN DEL "&amp;PORCREQUERIDOINT*100&amp;"%?"</f>
        <v>¿EL INTEGRANTE TIENE UNA PARTICIPACIÓN DEL 60%?</v>
      </c>
      <c r="K4749" s="554" t="s">
        <v>107</v>
      </c>
      <c r="L4749" s="724"/>
      <c r="M4749" s="717" t="s">
        <v>115</v>
      </c>
      <c r="N4749" s="718"/>
      <c r="O4749" s="718"/>
      <c r="P4749" s="718"/>
      <c r="Q4749" s="223">
        <f>IF(AND(H4733="SI",P4733&gt;=0),1,0)+IF(AND(H4734="SI",P4734&gt;=0),1,0)+IF(AND(H4735="SI",P4735&gt;=0),1,0)+IF(AND(H4736="SI",P4736&gt;=0),1,0)+IF(AND(H4737="SI",P4737&gt;=0),1,0)+IF(AND(H4738="SI",P4738&gt;=0),1,0)+IF(AND(H4739="SI",P4739&gt;=0),1,0)+IF(AND(H4740="SI",P4740&gt;=0),1,0)+IF(AND(H4741="SI",P4741&gt;=0),1,0)+IF(AND(H4742="SI",P4742&gt;=0),1,0)</f>
        <v>0</v>
      </c>
      <c r="R4749" s="759"/>
      <c r="S4749" s="761"/>
      <c r="T4749" s="764"/>
      <c r="U4749" s="219"/>
      <c r="V4749" s="464"/>
      <c r="Y4749" s="532" t="s">
        <v>342</v>
      </c>
      <c r="AA4749" s="550" t="s">
        <v>344</v>
      </c>
      <c r="AB4749" s="693" t="s">
        <v>345</v>
      </c>
      <c r="AC4749" s="693" t="s">
        <v>346</v>
      </c>
      <c r="AD4749" s="685" t="s">
        <v>347</v>
      </c>
      <c r="AE4749" s="52"/>
      <c r="AF4749" s="52"/>
      <c r="AG4749" s="52"/>
      <c r="AH4749" s="87"/>
      <c r="AI4749" s="87"/>
    </row>
    <row r="4750" spans="1:35" ht="15.75" hidden="1" customHeight="1" thickBot="1">
      <c r="A4750" s="218" t="e">
        <f>"N"&amp;E4729</f>
        <v>#N/A</v>
      </c>
      <c r="B4750" s="702"/>
      <c r="C4750" s="114">
        <v>1</v>
      </c>
      <c r="D4750" s="194" t="e">
        <f>IF(AND(C4750&lt;=F4748,F4748&gt;1,F4748&lt;&gt;""),VLOOKUP(VALUE(E4729&amp;","&amp;C4750),INTEGRANTES!$D$18:$F$235,2,0),"")</f>
        <v>#N/A</v>
      </c>
      <c r="E4750" s="211" t="e">
        <f>IF(D4750&lt;&gt;"",VLOOKUP(VALUE(E4729&amp;","&amp;C4750),INTEGRANTES!$D$18:$F$235,3,0),"")</f>
        <v>#N/A</v>
      </c>
      <c r="F4750" s="547" t="e">
        <f>IF(D4750="","",SUMIF($I4733:$I4742,D4750,$P4733:$P4742))</f>
        <v>#N/A</v>
      </c>
      <c r="G4750" s="333" t="e">
        <f>IF(D4750="","",SUMIF($I4733:$I4742,D4750,$M4733:$M4742))</f>
        <v>#N/A</v>
      </c>
      <c r="H4750" s="535" t="e">
        <f t="shared" ref="H4750:H4755" si="1406">IF(D4750="","",IF(OR(F4750=0,G4750=0),"NO APORTA",ROUND($F4750/$G4750,3)))</f>
        <v>#N/A</v>
      </c>
      <c r="I4750" s="212" t="e">
        <f>IF(D4750="","",IF(H4750="NO APORTA","NO",IF(H4750=MAX($H4750:$H4755),"SI","NO")))</f>
        <v>#N/A</v>
      </c>
      <c r="J4750" s="213" t="e">
        <f t="shared" ref="J4750:J4755" si="1407">IF(D4750="","",IF(E4750&gt;=PORCREQUERIDOINT,"SI","NO"))</f>
        <v>#N/A</v>
      </c>
      <c r="K4750" s="200" t="e">
        <f t="shared" ref="K4750:K4755" si="1408">IF(D4750="","",IF(AND(I4750="SI",J4750="SI"),"CUMPLE",IF(AND(I4750="NO",OR(J4750="SI",J4750="NO")),"","NO CUMPLE")))</f>
        <v>#N/A</v>
      </c>
      <c r="L4750" s="722" t="s">
        <v>108</v>
      </c>
      <c r="M4750" s="726" t="s">
        <v>119</v>
      </c>
      <c r="N4750" s="726"/>
      <c r="O4750" s="726"/>
      <c r="P4750" s="726"/>
      <c r="Q4750" s="727"/>
      <c r="R4750" s="758" t="s">
        <v>80</v>
      </c>
      <c r="S4750" s="747"/>
      <c r="T4750" s="748"/>
      <c r="U4750" s="219"/>
      <c r="V4750" s="464"/>
      <c r="Y4750" s="533" t="e">
        <f>IF(Y4747="","",IF(Y4747="INDIVIDUAL","NO APLICA","VERIFICAR CUADRO"))</f>
        <v>#N/A</v>
      </c>
      <c r="AA4750" s="551"/>
      <c r="AB4750" s="694"/>
      <c r="AC4750" s="694"/>
      <c r="AD4750" s="686"/>
      <c r="AE4750" s="52"/>
      <c r="AF4750" s="52"/>
      <c r="AG4750" s="52"/>
      <c r="AH4750" s="87"/>
      <c r="AI4750" s="87"/>
    </row>
    <row r="4751" spans="1:35" ht="27" hidden="1" customHeight="1" thickBot="1">
      <c r="A4751" s="218" t="e">
        <f>"O"&amp;E4729</f>
        <v>#N/A</v>
      </c>
      <c r="B4751" s="702"/>
      <c r="C4751" s="114">
        <v>2</v>
      </c>
      <c r="D4751" s="194" t="e">
        <f>IF(AND(C4751&lt;=F4748,F4748&lt;&gt;""),VLOOKUP(VALUE(E4729&amp;","&amp;C4751),INTEGRANTES!$D$18:$F$235,2,0),"")</f>
        <v>#N/A</v>
      </c>
      <c r="E4751" s="211" t="e">
        <f>IF(D4751&lt;&gt;"",VLOOKUP(VALUE(E4729&amp;","&amp;C4751),INTEGRANTES!$D$18:$F$235,3,0),"")</f>
        <v>#N/A</v>
      </c>
      <c r="F4751" s="547" t="e">
        <f>IF(D4751="","",SUMIF($I4733:$I4742,D4751,$P4733:$P4742))</f>
        <v>#N/A</v>
      </c>
      <c r="G4751" s="333" t="e">
        <f>IF(D4751="","",SUMIF($I4733:$I4742,D4751,$M4733:$M4742))</f>
        <v>#N/A</v>
      </c>
      <c r="H4751" s="535" t="e">
        <f t="shared" si="1406"/>
        <v>#N/A</v>
      </c>
      <c r="I4751" s="212" t="e">
        <f>IF(D4751="","",IF(H4751="NO APORTA","NO",IF(H4751=MAX($H4750:$H4755),"SI","NO")))</f>
        <v>#N/A</v>
      </c>
      <c r="J4751" s="213" t="e">
        <f t="shared" si="1407"/>
        <v>#N/A</v>
      </c>
      <c r="K4751" s="200" t="e">
        <f t="shared" si="1408"/>
        <v>#N/A</v>
      </c>
      <c r="L4751" s="723"/>
      <c r="M4751" s="715" t="s">
        <v>116</v>
      </c>
      <c r="N4751" s="716"/>
      <c r="O4751" s="556" t="s">
        <v>113</v>
      </c>
      <c r="P4751" s="715" t="s">
        <v>117</v>
      </c>
      <c r="Q4751" s="728"/>
      <c r="R4751" s="759"/>
      <c r="S4751" s="760"/>
      <c r="T4751" s="761"/>
      <c r="U4751" s="219"/>
      <c r="V4751" s="464"/>
      <c r="Y4751" s="414"/>
      <c r="AA4751" s="542" t="e">
        <f>IF(AND(C4750&lt;=F4748,F4748&gt;1,F4748&lt;&gt;""),VLOOKUP(VALUE(E4729&amp;","&amp;C4750),INTEGRANTES!$D$18:$F$235,2,0),"")</f>
        <v>#N/A</v>
      </c>
      <c r="AB4751" s="544" t="e">
        <f t="shared" ref="AB4751:AB4756" si="1409">IF(D4750="","",IF(OR(F4750=0,G4750=0),"NO APORTA",ROUND($F4750/$G4750,3)))</f>
        <v>#N/A</v>
      </c>
      <c r="AC4751" s="529"/>
      <c r="AD4751" s="200" t="e">
        <f t="shared" ref="AD4751:AD4756" si="1410">IF(OR(AA4751="",AB4751=""),"",IF(AND(AC4751="X",AB4751&gt;=EXPREQVTD),"CUMPLE","NO CUMPLE"))</f>
        <v>#N/A</v>
      </c>
      <c r="AE4751" s="52"/>
      <c r="AF4751" s="52"/>
      <c r="AG4751" s="52"/>
      <c r="AH4751" s="87"/>
      <c r="AI4751" s="87"/>
    </row>
    <row r="4752" spans="1:35" ht="16.5" hidden="1" thickBot="1">
      <c r="A4752" s="218" t="e">
        <f>"P"&amp;E4729</f>
        <v>#N/A</v>
      </c>
      <c r="B4752" s="702"/>
      <c r="C4752" s="114">
        <v>3</v>
      </c>
      <c r="D4752" s="194" t="e">
        <f>IF(AND(C4752&lt;=F4748,F4748&lt;&gt;""),VLOOKUP(VALUE(E4729&amp;","&amp;C4752),INTEGRANTES!$D$18:$F$235,2,0),"")</f>
        <v>#N/A</v>
      </c>
      <c r="E4752" s="211" t="e">
        <f>IF(D4752&lt;&gt;"",VLOOKUP(VALUE(E4729&amp;","&amp;C4752),INTEGRANTES!$D$18:$F$235,3,0),"")</f>
        <v>#N/A</v>
      </c>
      <c r="F4752" s="547" t="e">
        <f>IF(D4752="","",SUMIF($I4733:$I4742,D4752,$P4733:$P4742))</f>
        <v>#N/A</v>
      </c>
      <c r="G4752" s="333" t="e">
        <f>IF(D4752="","",SUMIF($I4733:$I4742,D4752,$M4733:$M4742))</f>
        <v>#N/A</v>
      </c>
      <c r="H4752" s="535" t="e">
        <f t="shared" si="1406"/>
        <v>#N/A</v>
      </c>
      <c r="I4752" s="212" t="e">
        <f>IF(D4752="","",IF(H4752="NO APORTA","NO",IF(H4752=MAX($H4750:$H4755),"SI","NO")))</f>
        <v>#N/A</v>
      </c>
      <c r="J4752" s="213" t="e">
        <f t="shared" si="1407"/>
        <v>#N/A</v>
      </c>
      <c r="K4752" s="200" t="e">
        <f t="shared" si="1408"/>
        <v>#N/A</v>
      </c>
      <c r="L4752" s="724"/>
      <c r="M4752" s="729">
        <f>NUMMOD</f>
        <v>1</v>
      </c>
      <c r="N4752" s="730"/>
      <c r="O4752" s="443">
        <f>IF(M4752="","",VLOOKUP(M4752,PRESUPUESTOS!$B$16:$H$16,5,FALSE))</f>
        <v>2</v>
      </c>
      <c r="P4752" s="713">
        <f>IF(OR(COUNTIF(M4733:M4742,"")&gt;=10,Q4749&lt;NUMMINCONT,OR(T4747="NO CUMPLE",T4747="VERIFICAR")),0,ROUND(AVERAGE(M4733:M4742),3))</f>
        <v>0</v>
      </c>
      <c r="Q4752" s="714"/>
      <c r="R4752" s="458"/>
      <c r="S4752" s="459"/>
      <c r="T4752" s="460"/>
      <c r="U4752" s="219"/>
      <c r="V4752" s="464"/>
      <c r="Y4752" s="532" t="str">
        <f>"40% * ("&amp;PRESUPUESTOS!$H$13&amp;")"</f>
        <v>40% * (50% PFMO)</v>
      </c>
      <c r="AA4752" s="540" t="e">
        <f>IF(AND(C4751&lt;=F4748,F4748&lt;&gt;""),VLOOKUP(VALUE(E4729&amp;","&amp;C4751),INTEGRANTES!$D$18:$F$235,2,0),"")</f>
        <v>#N/A</v>
      </c>
      <c r="AB4752" s="545" t="e">
        <f t="shared" si="1409"/>
        <v>#N/A</v>
      </c>
      <c r="AC4752" s="529"/>
      <c r="AD4752" s="200" t="e">
        <f t="shared" si="1410"/>
        <v>#N/A</v>
      </c>
      <c r="AE4752" s="52"/>
      <c r="AF4752" s="52"/>
      <c r="AG4752" s="52"/>
      <c r="AH4752" s="87"/>
      <c r="AI4752" s="87"/>
    </row>
    <row r="4753" spans="1:35" ht="15.75" hidden="1" customHeight="1" thickBot="1">
      <c r="A4753" s="218" t="e">
        <f>"Q"&amp;E4729</f>
        <v>#N/A</v>
      </c>
      <c r="B4753" s="702"/>
      <c r="C4753" s="114">
        <v>4</v>
      </c>
      <c r="D4753" s="194" t="e">
        <f>IF(AND(C4753&lt;=F4748,F4748&lt;&gt;""),VLOOKUP(VALUE(E4729&amp;","&amp;C4753),INTEGRANTES!$D$18:$F$235,2,0),"")</f>
        <v>#N/A</v>
      </c>
      <c r="E4753" s="211" t="e">
        <f>IF(D4753&lt;&gt;"",VLOOKUP(VALUE(E4729&amp;","&amp;C4753),INTEGRANTES!$D$18:$F$235,3,0),"")</f>
        <v>#N/A</v>
      </c>
      <c r="F4753" s="547" t="e">
        <f>IF(D4753="","",SUMIF($I4733:$I4742,D4753,$P4733:$P4742))</f>
        <v>#N/A</v>
      </c>
      <c r="G4753" s="333" t="e">
        <f>IF(D4753="","",SUMIF($I4733:$I4742,D4753,$M4733:$M4742))</f>
        <v>#N/A</v>
      </c>
      <c r="H4753" s="535" t="e">
        <f t="shared" si="1406"/>
        <v>#N/A</v>
      </c>
      <c r="I4753" s="212" t="e">
        <f>IF(D4753="","",IF(H4753="NO APORTA","NO",IF(H4753=MAX($H4750:$H4755),"SI","NO")))</f>
        <v>#N/A</v>
      </c>
      <c r="J4753" s="213" t="e">
        <f t="shared" si="1407"/>
        <v>#N/A</v>
      </c>
      <c r="K4753" s="200" t="e">
        <f t="shared" si="1408"/>
        <v>#N/A</v>
      </c>
      <c r="L4753" s="720" t="s">
        <v>109</v>
      </c>
      <c r="M4753" s="757" t="s">
        <v>120</v>
      </c>
      <c r="N4753" s="726"/>
      <c r="O4753" s="726"/>
      <c r="P4753" s="726"/>
      <c r="Q4753" s="727"/>
      <c r="R4753" s="458"/>
      <c r="S4753" s="459"/>
      <c r="T4753" s="460"/>
      <c r="U4753" s="219"/>
      <c r="V4753" s="464"/>
      <c r="Y4753" s="537">
        <f>0.4*PRESUPUESTOS!$H$16</f>
        <v>10.3124</v>
      </c>
      <c r="AA4753" s="540" t="e">
        <f>IF(AND(C4752&lt;=F4748,F4748&lt;&gt;""),VLOOKUP(VALUE(E4729&amp;","&amp;C4752),INTEGRANTES!$D$18:$F$235,2,0),"")</f>
        <v>#N/A</v>
      </c>
      <c r="AB4753" s="545" t="e">
        <f t="shared" si="1409"/>
        <v>#N/A</v>
      </c>
      <c r="AC4753" s="529"/>
      <c r="AD4753" s="200" t="e">
        <f t="shared" si="1410"/>
        <v>#N/A</v>
      </c>
      <c r="AE4753" s="52"/>
      <c r="AF4753" s="52"/>
      <c r="AG4753" s="52"/>
      <c r="AH4753" s="87"/>
      <c r="AI4753" s="87"/>
    </row>
    <row r="4754" spans="1:35" ht="27" hidden="1" customHeight="1" thickBot="1">
      <c r="A4754" s="218" t="e">
        <f>"R"&amp;E4729</f>
        <v>#N/A</v>
      </c>
      <c r="B4754" s="702"/>
      <c r="C4754" s="114">
        <v>5</v>
      </c>
      <c r="D4754" s="194" t="e">
        <f>IF(AND(C4754&lt;=F4748,F4748&lt;&gt;""),VLOOKUP(VALUE(E4729&amp;","&amp;C4754),INTEGRANTES!$D$18:$F$235,2,0),"")</f>
        <v>#N/A</v>
      </c>
      <c r="E4754" s="211" t="e">
        <f>IF(D4754&lt;&gt;"",VLOOKUP(VALUE(E4729&amp;","&amp;C4754),INTEGRANTES!$D$18:$F$235,3,0),"")</f>
        <v>#N/A</v>
      </c>
      <c r="F4754" s="547" t="e">
        <f>IF(D4754="","",SUMIF($I4733:$I4742,D4754,$P4733:$P4742))</f>
        <v>#N/A</v>
      </c>
      <c r="G4754" s="333" t="e">
        <f>IF(D4754="","",SUMIF($I4733:$I4742,D4754,$M4733:$M4742))</f>
        <v>#N/A</v>
      </c>
      <c r="H4754" s="535" t="e">
        <f t="shared" si="1406"/>
        <v>#N/A</v>
      </c>
      <c r="I4754" s="212" t="e">
        <f>IF(D4754="","",IF(H4754="NO APORTA","NO",IF(H4754=MAX($H4750:$H4755),"SI","NO")))</f>
        <v>#N/A</v>
      </c>
      <c r="J4754" s="213" t="e">
        <f t="shared" si="1407"/>
        <v>#N/A</v>
      </c>
      <c r="K4754" s="200" t="e">
        <f t="shared" si="1408"/>
        <v>#N/A</v>
      </c>
      <c r="L4754" s="721"/>
      <c r="M4754" s="715" t="s">
        <v>116</v>
      </c>
      <c r="N4754" s="716"/>
      <c r="O4754" s="556" t="str">
        <f>PORCREQUERIDO*100&amp;"% PMFO DEL MÓDULO"</f>
        <v>50% PMFO DEL MÓDULO</v>
      </c>
      <c r="P4754" s="715" t="s">
        <v>118</v>
      </c>
      <c r="Q4754" s="728"/>
      <c r="R4754" s="458"/>
      <c r="S4754" s="459"/>
      <c r="T4754" s="460"/>
      <c r="U4754" s="219"/>
      <c r="V4754" s="464"/>
      <c r="Y4754" s="414"/>
      <c r="AA4754" s="540" t="e">
        <f>IF(AND(C4753&lt;=F4748,F4748&lt;&gt;""),VLOOKUP(VALUE(E4729&amp;","&amp;C4753),INTEGRANTES!$D$18:$F$235,2,0),"")</f>
        <v>#N/A</v>
      </c>
      <c r="AB4754" s="545" t="e">
        <f t="shared" si="1409"/>
        <v>#N/A</v>
      </c>
      <c r="AC4754" s="529"/>
      <c r="AD4754" s="200" t="e">
        <f t="shared" si="1410"/>
        <v>#N/A</v>
      </c>
      <c r="AE4754" s="52"/>
      <c r="AF4754" s="52"/>
      <c r="AG4754" s="52"/>
      <c r="AH4754" s="87"/>
      <c r="AI4754" s="87"/>
    </row>
    <row r="4755" spans="1:35" ht="16.5" hidden="1" thickBot="1">
      <c r="A4755" s="218" t="e">
        <f>"S"&amp;E4729</f>
        <v>#N/A</v>
      </c>
      <c r="B4755" s="702"/>
      <c r="C4755" s="215">
        <v>6</v>
      </c>
      <c r="D4755" s="216" t="e">
        <f>IF(AND(C4755&lt;=F4748,F4748&lt;&gt;""),VLOOKUP(VALUE(E4729&amp;","&amp;C4755),INTEGRANTES!$D$18:$F$235,2,0),"")</f>
        <v>#N/A</v>
      </c>
      <c r="E4755" s="217" t="e">
        <f>IF(D4755&lt;&gt;"",VLOOKUP(VALUE(E4729&amp;","&amp;C4755),INTEGRANTES!$D$18:$F$235,3,0),"")</f>
        <v>#N/A</v>
      </c>
      <c r="F4755" s="548" t="e">
        <f>IF(D4755="","",SUMIF($I4733:$I4742,D4755,$P4733:$P4742))</f>
        <v>#N/A</v>
      </c>
      <c r="G4755" s="334" t="e">
        <f>IF(D4755="","",SUMIF($I4733:$I4742,D4755,$M4733:$M4742))</f>
        <v>#N/A</v>
      </c>
      <c r="H4755" s="536" t="e">
        <f t="shared" si="1406"/>
        <v>#N/A</v>
      </c>
      <c r="I4755" s="214" t="e">
        <f>IF(D4755="","",IF(H4755="NO APORTA","NO",IF(H4755=MAX($H4750:$H4755),"SI","NO")))</f>
        <v>#N/A</v>
      </c>
      <c r="J4755" s="213" t="e">
        <f t="shared" si="1407"/>
        <v>#N/A</v>
      </c>
      <c r="K4755" s="200" t="e">
        <f t="shared" si="1408"/>
        <v>#N/A</v>
      </c>
      <c r="L4755" s="721"/>
      <c r="M4755" s="729">
        <f>NUMMOD</f>
        <v>1</v>
      </c>
      <c r="N4755" s="730"/>
      <c r="O4755" s="443">
        <f>IF(M4755="","",ROUND(VLOOKUP(M4755,PRESUPUESTOS!$B$16:$H$16,7,FALSE),3))</f>
        <v>25.780999999999999</v>
      </c>
      <c r="P4755" s="713">
        <f>IF(OR(COUNTIF(P4733:P4742,"")&gt;=10,Q4749&lt;NUMMINCONT,OR(T4747="NO CUMPLE",T4747="VERIFICAR")),0,ROUND((SUM(P4733:P4742)/SUM(M4733:M4742)),3))</f>
        <v>0</v>
      </c>
      <c r="Q4755" s="714"/>
      <c r="R4755" s="458"/>
      <c r="S4755" s="459"/>
      <c r="T4755" s="460"/>
      <c r="U4755" s="219"/>
      <c r="V4755" s="464"/>
      <c r="Y4755" s="532" t="s">
        <v>343</v>
      </c>
      <c r="AA4755" s="540" t="e">
        <f>IF(AND(C4754&lt;=F4748,F4748&lt;&gt;""),VLOOKUP(VALUE(E4729&amp;","&amp;C4754),INTEGRANTES!$D$18:$F$235,2,0),"")</f>
        <v>#N/A</v>
      </c>
      <c r="AB4755" s="545" t="e">
        <f t="shared" si="1409"/>
        <v>#N/A</v>
      </c>
      <c r="AC4755" s="529"/>
      <c r="AD4755" s="200" t="e">
        <f t="shared" si="1410"/>
        <v>#N/A</v>
      </c>
      <c r="AE4755" s="52"/>
      <c r="AF4755" s="52"/>
      <c r="AG4755" s="52"/>
      <c r="AH4755" s="87"/>
      <c r="AI4755" s="87"/>
    </row>
    <row r="4756" spans="1:35" ht="16.5" hidden="1" customHeight="1" thickBot="1">
      <c r="A4756" s="218" t="e">
        <f>"T"&amp;E4729</f>
        <v>#N/A</v>
      </c>
      <c r="B4756" s="703"/>
      <c r="C4756" s="719"/>
      <c r="D4756" s="719"/>
      <c r="E4756" s="719"/>
      <c r="F4756" s="719"/>
      <c r="G4756" s="719"/>
      <c r="H4756" s="719" t="s">
        <v>110</v>
      </c>
      <c r="I4756" s="719"/>
      <c r="J4756" s="719"/>
      <c r="K4756" s="201" t="str">
        <f>IF(COUNTIF(K4750:K4755,"")=6,"",IF(COUNTIF(K4750:K4755,"CUMPLE")&gt;0,"CUMPLE","NO CUMPLE"))</f>
        <v>NO CUMPLE</v>
      </c>
      <c r="L4756" s="754"/>
      <c r="M4756" s="755"/>
      <c r="N4756" s="755"/>
      <c r="O4756" s="755"/>
      <c r="P4756" s="755"/>
      <c r="Q4756" s="756"/>
      <c r="R4756" s="461"/>
      <c r="S4756" s="462"/>
      <c r="T4756" s="463"/>
      <c r="U4756" s="219"/>
      <c r="V4756" s="464"/>
      <c r="Y4756" s="549" t="e">
        <f>IF(Y4750="NO APLICA","NO APLICA",IF(COUNTIF(AD4751:AD4756,"CUMPLE")&gt;0,"CUMPLE","NO CUMPLE"))</f>
        <v>#N/A</v>
      </c>
      <c r="AA4756" s="541" t="e">
        <f>IF(AND(C4755&lt;=F4748,F4748&lt;&gt;""),VLOOKUP(VALUE(E4729&amp;","&amp;C4755),INTEGRANTES!$D$18:$F$235,2,0),"")</f>
        <v>#N/A</v>
      </c>
      <c r="AB4756" s="546" t="e">
        <f t="shared" si="1409"/>
        <v>#N/A</v>
      </c>
      <c r="AC4756" s="543"/>
      <c r="AD4756" s="201" t="e">
        <f t="shared" si="1410"/>
        <v>#N/A</v>
      </c>
      <c r="AE4756" s="52"/>
      <c r="AF4756" s="52"/>
      <c r="AG4756" s="52"/>
      <c r="AH4756" s="87"/>
      <c r="AI4756" s="87"/>
    </row>
    <row r="4757" spans="1:35" hidden="1">
      <c r="AH4757" s="87"/>
      <c r="AI4757" s="87"/>
    </row>
    <row r="4758" spans="1:35" hidden="1">
      <c r="AH4758" s="87"/>
      <c r="AI4758" s="87"/>
    </row>
    <row r="4759" spans="1:35" ht="24" hidden="1" thickBot="1">
      <c r="A4759" s="61">
        <v>159</v>
      </c>
      <c r="B4759" s="704" t="s">
        <v>51</v>
      </c>
      <c r="C4759" s="704"/>
      <c r="D4759" s="704"/>
      <c r="E4759" s="62" t="e">
        <f>VLOOKUP(A4759,PROPONENTES!$B$19:$E$218,2,FALSE)</f>
        <v>#N/A</v>
      </c>
      <c r="F4759" s="63" t="e">
        <f>VLOOKUP(A4759,PROPONENTES!$B$19:$E$218,3,FALSE)</f>
        <v>#N/A</v>
      </c>
      <c r="G4759" s="64"/>
      <c r="H4759" s="64"/>
      <c r="I4759" s="63"/>
      <c r="J4759" s="63"/>
      <c r="K4759" s="65"/>
      <c r="L4759" s="65"/>
      <c r="M4759" s="64"/>
      <c r="N4759" s="64"/>
      <c r="O4759" s="66"/>
      <c r="P4759" s="66"/>
      <c r="Q4759" s="66"/>
      <c r="R4759" s="66"/>
      <c r="S4759" s="67"/>
      <c r="T4759" s="68"/>
      <c r="U4759" s="68"/>
      <c r="AC4759" s="68"/>
      <c r="AD4759" s="68"/>
      <c r="AE4759" s="68"/>
      <c r="AF4759" s="68"/>
      <c r="AG4759" s="68"/>
      <c r="AH4759" s="87"/>
      <c r="AI4759" s="87"/>
    </row>
    <row r="4760" spans="1:35" ht="15.75" hidden="1" customHeight="1">
      <c r="A4760" s="44"/>
      <c r="B4760" s="709" t="s">
        <v>59</v>
      </c>
      <c r="C4760" s="552" t="s">
        <v>60</v>
      </c>
      <c r="D4760" s="70" t="s">
        <v>17</v>
      </c>
      <c r="E4760" s="70"/>
      <c r="F4760" s="70" t="s">
        <v>61</v>
      </c>
      <c r="G4760" s="71"/>
      <c r="H4760" s="699" t="s">
        <v>62</v>
      </c>
      <c r="I4760" s="699" t="s">
        <v>18</v>
      </c>
      <c r="J4760" s="699" t="s">
        <v>63</v>
      </c>
      <c r="K4760" s="699" t="s">
        <v>64</v>
      </c>
      <c r="L4760" s="699" t="s">
        <v>65</v>
      </c>
      <c r="M4760" s="743" t="s">
        <v>66</v>
      </c>
      <c r="N4760" s="699" t="s">
        <v>282</v>
      </c>
      <c r="O4760" s="745" t="s">
        <v>67</v>
      </c>
      <c r="P4760" s="746"/>
      <c r="Q4760" s="102" t="s">
        <v>75</v>
      </c>
      <c r="R4760" s="731" t="s">
        <v>22</v>
      </c>
      <c r="S4760" s="732"/>
      <c r="T4760" s="733"/>
      <c r="U4760" s="712" t="s">
        <v>298</v>
      </c>
      <c r="W4760" s="690" t="s">
        <v>268</v>
      </c>
      <c r="X4760" s="691"/>
      <c r="Y4760" s="692"/>
      <c r="Z4760" s="428"/>
      <c r="AA4760" s="697" t="s">
        <v>315</v>
      </c>
      <c r="AB4760" s="695" t="s">
        <v>322</v>
      </c>
      <c r="AC4760" s="49"/>
      <c r="AD4760" s="690" t="s">
        <v>297</v>
      </c>
      <c r="AE4760" s="691"/>
      <c r="AF4760" s="692"/>
      <c r="AG4760" s="49"/>
      <c r="AH4760" s="87"/>
      <c r="AI4760" s="87"/>
    </row>
    <row r="4761" spans="1:35" ht="72" hidden="1">
      <c r="A4761" s="44"/>
      <c r="B4761" s="710"/>
      <c r="C4761" s="553" t="s">
        <v>68</v>
      </c>
      <c r="D4761" s="73" t="s">
        <v>3</v>
      </c>
      <c r="E4761" s="73" t="s">
        <v>19</v>
      </c>
      <c r="F4761" s="73" t="s">
        <v>69</v>
      </c>
      <c r="G4761" s="74" t="s">
        <v>70</v>
      </c>
      <c r="H4761" s="700"/>
      <c r="I4761" s="700"/>
      <c r="J4761" s="700"/>
      <c r="K4761" s="700"/>
      <c r="L4761" s="700"/>
      <c r="M4761" s="744"/>
      <c r="N4761" s="700"/>
      <c r="O4761" s="553" t="s">
        <v>279</v>
      </c>
      <c r="P4761" s="73" t="s">
        <v>88</v>
      </c>
      <c r="Q4761" s="555" t="s">
        <v>76</v>
      </c>
      <c r="R4761" s="734"/>
      <c r="S4761" s="735"/>
      <c r="T4761" s="736"/>
      <c r="U4761" s="712"/>
      <c r="W4761" s="429" t="s">
        <v>269</v>
      </c>
      <c r="X4761" s="457" t="s">
        <v>278</v>
      </c>
      <c r="Y4761" s="430" t="s">
        <v>324</v>
      </c>
      <c r="Z4761" s="428"/>
      <c r="AA4761" s="698"/>
      <c r="AB4761" s="696"/>
      <c r="AC4761" s="49"/>
      <c r="AD4761" s="429" t="s">
        <v>292</v>
      </c>
      <c r="AE4761" s="431" t="s">
        <v>300</v>
      </c>
      <c r="AF4761" s="468" t="s">
        <v>301</v>
      </c>
      <c r="AG4761" s="49"/>
      <c r="AH4761" s="87"/>
      <c r="AI4761" s="87"/>
    </row>
    <row r="4762" spans="1:35" hidden="1">
      <c r="A4762" s="44"/>
      <c r="B4762" s="76"/>
      <c r="C4762" s="77"/>
      <c r="D4762" s="77"/>
      <c r="E4762" s="77"/>
      <c r="F4762" s="77"/>
      <c r="G4762" s="77"/>
      <c r="H4762" s="77"/>
      <c r="I4762" s="77"/>
      <c r="J4762" s="77"/>
      <c r="K4762" s="77"/>
      <c r="L4762" s="77"/>
      <c r="M4762" s="77"/>
      <c r="N4762" s="77"/>
      <c r="O4762" s="77"/>
      <c r="P4762" s="77"/>
      <c r="Q4762" s="77"/>
      <c r="R4762" s="77"/>
      <c r="S4762" s="78"/>
      <c r="T4762" s="79"/>
      <c r="U4762" s="109"/>
      <c r="V4762" s="49"/>
      <c r="W4762" s="432"/>
      <c r="X4762" s="454"/>
      <c r="Y4762" s="433"/>
      <c r="Z4762" s="6"/>
      <c r="AA4762" s="500"/>
      <c r="AB4762" s="562"/>
      <c r="AC4762" s="49"/>
      <c r="AD4762" s="210"/>
      <c r="AE4762" s="434"/>
      <c r="AF4762" s="435"/>
      <c r="AG4762" s="49"/>
      <c r="AH4762" s="87"/>
      <c r="AI4762" s="87"/>
    </row>
    <row r="4763" spans="1:35" hidden="1">
      <c r="A4763" s="80" t="e">
        <f>"A"&amp;E4759</f>
        <v>#N/A</v>
      </c>
      <c r="B4763" s="81">
        <v>1</v>
      </c>
      <c r="C4763" s="82"/>
      <c r="D4763" s="82"/>
      <c r="E4763" s="82"/>
      <c r="F4763" s="82"/>
      <c r="G4763" s="83"/>
      <c r="H4763" s="83"/>
      <c r="I4763" s="84"/>
      <c r="J4763" s="85"/>
      <c r="K4763" s="382"/>
      <c r="L4763" s="85"/>
      <c r="M4763" s="332" t="str">
        <f t="shared" ref="M4763:M4772" si="1411">IF(OR(J4763="",L4763="",H4763="NO"),"",IF(OR(J4763&gt;$P$17,J4763&lt;$O$17,L4763&gt;$P$17,AND(J4763&lt;$O$17,L4763&lt;$O$17)),"FUERA DE RANGO",IF(OR(K4763="---",K4763=""),IF(J4763&gt;=$O$17,ROUND((L4763-J4763+1)/360*12,3),ROUND((L4763-$O$17+1)/360*12,3)),IF(J4763&gt;=$O$17,ROUND((L4763-J4763+1)/360*12-ROUND(K4763,3),3),ROUND((L4763-$O$17+1)/360*12-ROUND(K4763,3),3)))))</f>
        <v/>
      </c>
      <c r="N4763" s="86"/>
      <c r="O4763" s="453" t="str">
        <f>IF(OR(G4763="",N4763=""),"",N4763*G4763)</f>
        <v/>
      </c>
      <c r="P4763" s="538" t="str">
        <f>IF(OR(H4763="",M4763="FUERA DE RANGO"),"",IF(OR(L4763&lt;$O$17,L4763&gt;$P$17,L4763="",H4763="NO"),"",IF(OR(N4763="",O4763=""),"",ROUND(O4763,3))))</f>
        <v/>
      </c>
      <c r="Q4763" s="539" t="str">
        <f t="shared" ref="Q4763:Q4772" si="1412">IF(AND(H4763="SI",P4763&lt;&gt;""),ROUND(P4763/M4763,3),"")</f>
        <v/>
      </c>
      <c r="R4763" s="737"/>
      <c r="S4763" s="738"/>
      <c r="T4763" s="739"/>
      <c r="U4763" s="470"/>
      <c r="V4763" s="165"/>
      <c r="W4763" s="446"/>
      <c r="X4763" s="456"/>
      <c r="Y4763" s="436"/>
      <c r="Z4763" s="437"/>
      <c r="AA4763" s="560"/>
      <c r="AB4763" s="561"/>
      <c r="AC4763" s="87"/>
      <c r="AD4763" s="466"/>
      <c r="AE4763" s="456"/>
      <c r="AF4763" s="467"/>
      <c r="AG4763" s="87"/>
      <c r="AH4763" s="87"/>
      <c r="AI4763" s="87"/>
    </row>
    <row r="4764" spans="1:35" hidden="1">
      <c r="A4764" s="80" t="e">
        <f>"B"&amp;E4759</f>
        <v>#N/A</v>
      </c>
      <c r="B4764" s="81">
        <v>2</v>
      </c>
      <c r="C4764" s="106"/>
      <c r="D4764" s="106"/>
      <c r="E4764" s="106"/>
      <c r="F4764" s="106"/>
      <c r="G4764" s="83"/>
      <c r="H4764" s="83"/>
      <c r="I4764" s="84"/>
      <c r="J4764" s="85"/>
      <c r="K4764" s="382"/>
      <c r="L4764" s="85"/>
      <c r="M4764" s="332" t="str">
        <f t="shared" si="1411"/>
        <v/>
      </c>
      <c r="N4764" s="86"/>
      <c r="O4764" s="453" t="str">
        <f t="shared" ref="O4764:O4772" si="1413">IF(OR(G4764="",N4764=""),"",N4764*G4764)</f>
        <v/>
      </c>
      <c r="P4764" s="538" t="str">
        <f t="shared" ref="P4764:P4772" si="1414">IF(OR(H4764="",M4764="FUERA DE RANGO"),"",IF(OR(L4764&lt;$O$17,L4764&gt;$P$17,L4764="",H4764="NO"),"",IF(OR(N4764="",O4764=""),"",ROUND(O4764,3))))</f>
        <v/>
      </c>
      <c r="Q4764" s="539" t="str">
        <f t="shared" si="1412"/>
        <v/>
      </c>
      <c r="R4764" s="740"/>
      <c r="S4764" s="741"/>
      <c r="T4764" s="742"/>
      <c r="U4764" s="471"/>
      <c r="V4764" s="165"/>
      <c r="W4764" s="446"/>
      <c r="X4764" s="456"/>
      <c r="Y4764" s="436"/>
      <c r="Z4764" s="437"/>
      <c r="AA4764" s="560"/>
      <c r="AB4764" s="561"/>
      <c r="AC4764" s="87"/>
      <c r="AD4764" s="466"/>
      <c r="AE4764" s="456"/>
      <c r="AF4764" s="467"/>
      <c r="AG4764" s="87"/>
      <c r="AH4764" s="87"/>
      <c r="AI4764" s="87"/>
    </row>
    <row r="4765" spans="1:35" hidden="1">
      <c r="A4765" s="80" t="e">
        <f>"C"&amp;E4759</f>
        <v>#N/A</v>
      </c>
      <c r="B4765" s="88">
        <v>3</v>
      </c>
      <c r="C4765" s="82"/>
      <c r="D4765" s="82"/>
      <c r="E4765" s="82"/>
      <c r="F4765" s="82"/>
      <c r="G4765" s="83"/>
      <c r="H4765" s="83"/>
      <c r="I4765" s="84"/>
      <c r="J4765" s="85"/>
      <c r="K4765" s="382"/>
      <c r="L4765" s="85"/>
      <c r="M4765" s="332" t="str">
        <f t="shared" si="1411"/>
        <v/>
      </c>
      <c r="N4765" s="86"/>
      <c r="O4765" s="453" t="str">
        <f t="shared" si="1413"/>
        <v/>
      </c>
      <c r="P4765" s="538" t="str">
        <f t="shared" si="1414"/>
        <v/>
      </c>
      <c r="Q4765" s="539" t="str">
        <f t="shared" si="1412"/>
        <v/>
      </c>
      <c r="R4765" s="706"/>
      <c r="S4765" s="707"/>
      <c r="T4765" s="708"/>
      <c r="U4765" s="472"/>
      <c r="V4765" s="166"/>
      <c r="W4765" s="446"/>
      <c r="X4765" s="456"/>
      <c r="Y4765" s="436"/>
      <c r="Z4765" s="437"/>
      <c r="AA4765" s="560"/>
      <c r="AB4765" s="561"/>
      <c r="AC4765" s="87"/>
      <c r="AD4765" s="466"/>
      <c r="AE4765" s="456"/>
      <c r="AF4765" s="467"/>
      <c r="AG4765" s="87"/>
      <c r="AH4765" s="87"/>
      <c r="AI4765" s="87"/>
    </row>
    <row r="4766" spans="1:35" hidden="1">
      <c r="A4766" s="80" t="e">
        <f>"D"&amp;E4759</f>
        <v>#N/A</v>
      </c>
      <c r="B4766" s="105">
        <v>4</v>
      </c>
      <c r="C4766" s="107"/>
      <c r="D4766" s="107"/>
      <c r="E4766" s="107"/>
      <c r="F4766" s="107"/>
      <c r="G4766" s="83"/>
      <c r="H4766" s="83"/>
      <c r="I4766" s="84"/>
      <c r="J4766" s="85"/>
      <c r="K4766" s="382"/>
      <c r="L4766" s="85"/>
      <c r="M4766" s="332" t="str">
        <f t="shared" si="1411"/>
        <v/>
      </c>
      <c r="N4766" s="86"/>
      <c r="O4766" s="453" t="str">
        <f t="shared" si="1413"/>
        <v/>
      </c>
      <c r="P4766" s="538" t="str">
        <f t="shared" si="1414"/>
        <v/>
      </c>
      <c r="Q4766" s="539" t="str">
        <f t="shared" si="1412"/>
        <v/>
      </c>
      <c r="R4766" s="706"/>
      <c r="S4766" s="707"/>
      <c r="T4766" s="708"/>
      <c r="U4766" s="472"/>
      <c r="V4766" s="166"/>
      <c r="W4766" s="446"/>
      <c r="X4766" s="456"/>
      <c r="Y4766" s="436"/>
      <c r="Z4766" s="437"/>
      <c r="AA4766" s="560"/>
      <c r="AB4766" s="561"/>
      <c r="AC4766" s="87"/>
      <c r="AD4766" s="466"/>
      <c r="AE4766" s="456"/>
      <c r="AF4766" s="467"/>
      <c r="AG4766" s="87"/>
      <c r="AH4766" s="87"/>
      <c r="AI4766" s="87"/>
    </row>
    <row r="4767" spans="1:35" hidden="1">
      <c r="A4767" s="80" t="e">
        <f>"E"&amp;E4759</f>
        <v>#N/A</v>
      </c>
      <c r="B4767" s="105">
        <v>5</v>
      </c>
      <c r="C4767" s="107"/>
      <c r="D4767" s="107"/>
      <c r="E4767" s="107"/>
      <c r="F4767" s="107"/>
      <c r="G4767" s="83"/>
      <c r="H4767" s="83"/>
      <c r="I4767" s="84"/>
      <c r="J4767" s="85"/>
      <c r="K4767" s="382"/>
      <c r="L4767" s="85"/>
      <c r="M4767" s="332" t="str">
        <f t="shared" si="1411"/>
        <v/>
      </c>
      <c r="N4767" s="86"/>
      <c r="O4767" s="453" t="str">
        <f t="shared" si="1413"/>
        <v/>
      </c>
      <c r="P4767" s="538" t="str">
        <f t="shared" si="1414"/>
        <v/>
      </c>
      <c r="Q4767" s="539" t="str">
        <f t="shared" si="1412"/>
        <v/>
      </c>
      <c r="R4767" s="706"/>
      <c r="S4767" s="707"/>
      <c r="T4767" s="708"/>
      <c r="U4767" s="472"/>
      <c r="V4767" s="167"/>
      <c r="W4767" s="446"/>
      <c r="X4767" s="456"/>
      <c r="Y4767" s="436"/>
      <c r="Z4767" s="437"/>
      <c r="AA4767" s="560"/>
      <c r="AB4767" s="561"/>
      <c r="AC4767" s="87"/>
      <c r="AD4767" s="466"/>
      <c r="AE4767" s="456"/>
      <c r="AF4767" s="467"/>
      <c r="AG4767" s="87"/>
      <c r="AH4767" s="87"/>
      <c r="AI4767" s="87"/>
    </row>
    <row r="4768" spans="1:35" hidden="1">
      <c r="A4768" s="80" t="e">
        <f>"F"&amp;E4759</f>
        <v>#N/A</v>
      </c>
      <c r="B4768" s="105">
        <v>6</v>
      </c>
      <c r="C4768" s="107"/>
      <c r="D4768" s="107"/>
      <c r="E4768" s="107"/>
      <c r="F4768" s="107"/>
      <c r="G4768" s="83"/>
      <c r="H4768" s="83"/>
      <c r="I4768" s="84"/>
      <c r="J4768" s="85"/>
      <c r="K4768" s="382"/>
      <c r="L4768" s="85"/>
      <c r="M4768" s="332" t="str">
        <f t="shared" si="1411"/>
        <v/>
      </c>
      <c r="N4768" s="86"/>
      <c r="O4768" s="453" t="str">
        <f t="shared" si="1413"/>
        <v/>
      </c>
      <c r="P4768" s="538" t="str">
        <f t="shared" si="1414"/>
        <v/>
      </c>
      <c r="Q4768" s="539" t="str">
        <f t="shared" si="1412"/>
        <v/>
      </c>
      <c r="R4768" s="706"/>
      <c r="S4768" s="707"/>
      <c r="T4768" s="708"/>
      <c r="U4768" s="472"/>
      <c r="V4768" s="167"/>
      <c r="W4768" s="446"/>
      <c r="X4768" s="456"/>
      <c r="Y4768" s="436"/>
      <c r="Z4768" s="437"/>
      <c r="AA4768" s="560"/>
      <c r="AB4768" s="561"/>
      <c r="AC4768" s="87"/>
      <c r="AD4768" s="466"/>
      <c r="AE4768" s="456"/>
      <c r="AF4768" s="467"/>
      <c r="AG4768" s="87"/>
      <c r="AH4768" s="87"/>
      <c r="AI4768" s="87"/>
    </row>
    <row r="4769" spans="1:35" hidden="1">
      <c r="A4769" s="80" t="e">
        <f>"G"&amp;E4759</f>
        <v>#N/A</v>
      </c>
      <c r="B4769" s="105">
        <v>7</v>
      </c>
      <c r="C4769" s="107"/>
      <c r="D4769" s="107"/>
      <c r="E4769" s="107"/>
      <c r="F4769" s="107"/>
      <c r="G4769" s="83"/>
      <c r="H4769" s="83"/>
      <c r="I4769" s="84"/>
      <c r="J4769" s="85"/>
      <c r="K4769" s="382"/>
      <c r="L4769" s="85"/>
      <c r="M4769" s="332" t="str">
        <f t="shared" si="1411"/>
        <v/>
      </c>
      <c r="N4769" s="86"/>
      <c r="O4769" s="86" t="str">
        <f t="shared" si="1413"/>
        <v/>
      </c>
      <c r="P4769" s="538" t="str">
        <f t="shared" si="1414"/>
        <v/>
      </c>
      <c r="Q4769" s="539" t="str">
        <f t="shared" si="1412"/>
        <v/>
      </c>
      <c r="R4769" s="706"/>
      <c r="S4769" s="707"/>
      <c r="T4769" s="708"/>
      <c r="U4769" s="472"/>
      <c r="V4769" s="167"/>
      <c r="W4769" s="446"/>
      <c r="X4769" s="456"/>
      <c r="Y4769" s="436"/>
      <c r="Z4769" s="437"/>
      <c r="AA4769" s="560"/>
      <c r="AB4769" s="561"/>
      <c r="AC4769" s="87"/>
      <c r="AD4769" s="466"/>
      <c r="AE4769" s="456"/>
      <c r="AF4769" s="467"/>
      <c r="AG4769" s="87"/>
      <c r="AH4769" s="87"/>
      <c r="AI4769" s="87"/>
    </row>
    <row r="4770" spans="1:35" hidden="1">
      <c r="A4770" s="80" t="e">
        <f>"H"&amp;E4759</f>
        <v>#N/A</v>
      </c>
      <c r="B4770" s="105">
        <v>8</v>
      </c>
      <c r="C4770" s="107"/>
      <c r="D4770" s="107"/>
      <c r="E4770" s="107"/>
      <c r="F4770" s="107"/>
      <c r="G4770" s="83"/>
      <c r="H4770" s="83"/>
      <c r="I4770" s="84"/>
      <c r="J4770" s="85"/>
      <c r="K4770" s="382"/>
      <c r="L4770" s="85"/>
      <c r="M4770" s="332" t="str">
        <f t="shared" si="1411"/>
        <v/>
      </c>
      <c r="N4770" s="453"/>
      <c r="O4770" s="86" t="str">
        <f t="shared" si="1413"/>
        <v/>
      </c>
      <c r="P4770" s="538" t="str">
        <f t="shared" si="1414"/>
        <v/>
      </c>
      <c r="Q4770" s="539" t="str">
        <f t="shared" si="1412"/>
        <v/>
      </c>
      <c r="R4770" s="706"/>
      <c r="S4770" s="707"/>
      <c r="T4770" s="708"/>
      <c r="U4770" s="472"/>
      <c r="V4770" s="167"/>
      <c r="W4770" s="446"/>
      <c r="X4770" s="456"/>
      <c r="Y4770" s="436"/>
      <c r="Z4770" s="437"/>
      <c r="AA4770" s="560"/>
      <c r="AB4770" s="561"/>
      <c r="AC4770" s="87"/>
      <c r="AD4770" s="466"/>
      <c r="AE4770" s="456"/>
      <c r="AF4770" s="467"/>
      <c r="AG4770" s="87"/>
      <c r="AH4770" s="87"/>
      <c r="AI4770" s="87"/>
    </row>
    <row r="4771" spans="1:35" hidden="1">
      <c r="A4771" s="80" t="e">
        <f>"I"&amp;E4759</f>
        <v>#N/A</v>
      </c>
      <c r="B4771" s="105">
        <v>9</v>
      </c>
      <c r="C4771" s="107"/>
      <c r="D4771" s="107"/>
      <c r="E4771" s="107"/>
      <c r="F4771" s="107"/>
      <c r="G4771" s="83"/>
      <c r="H4771" s="83"/>
      <c r="I4771" s="84"/>
      <c r="J4771" s="85"/>
      <c r="K4771" s="382"/>
      <c r="L4771" s="85"/>
      <c r="M4771" s="332" t="str">
        <f t="shared" si="1411"/>
        <v/>
      </c>
      <c r="N4771" s="453"/>
      <c r="O4771" s="86" t="str">
        <f t="shared" si="1413"/>
        <v/>
      </c>
      <c r="P4771" s="538" t="str">
        <f t="shared" si="1414"/>
        <v/>
      </c>
      <c r="Q4771" s="539" t="str">
        <f t="shared" si="1412"/>
        <v/>
      </c>
      <c r="R4771" s="706"/>
      <c r="S4771" s="707"/>
      <c r="T4771" s="708"/>
      <c r="U4771" s="472"/>
      <c r="V4771" s="167"/>
      <c r="W4771" s="446"/>
      <c r="X4771" s="456"/>
      <c r="Y4771" s="436"/>
      <c r="Z4771" s="437"/>
      <c r="AA4771" s="560"/>
      <c r="AB4771" s="561"/>
      <c r="AC4771" s="87"/>
      <c r="AD4771" s="466"/>
      <c r="AE4771" s="456"/>
      <c r="AF4771" s="467"/>
      <c r="AG4771" s="87"/>
      <c r="AH4771" s="87"/>
      <c r="AI4771" s="87"/>
    </row>
    <row r="4772" spans="1:35" hidden="1">
      <c r="A4772" s="80" t="e">
        <f>"J"&amp;E4759</f>
        <v>#N/A</v>
      </c>
      <c r="B4772" s="105">
        <v>10</v>
      </c>
      <c r="C4772" s="107"/>
      <c r="D4772" s="107"/>
      <c r="E4772" s="107"/>
      <c r="F4772" s="107"/>
      <c r="G4772" s="83"/>
      <c r="H4772" s="83"/>
      <c r="I4772" s="84"/>
      <c r="J4772" s="85"/>
      <c r="K4772" s="382"/>
      <c r="L4772" s="85"/>
      <c r="M4772" s="332" t="str">
        <f t="shared" si="1411"/>
        <v/>
      </c>
      <c r="N4772" s="453"/>
      <c r="O4772" s="86" t="str">
        <f t="shared" si="1413"/>
        <v/>
      </c>
      <c r="P4772" s="538" t="str">
        <f t="shared" si="1414"/>
        <v/>
      </c>
      <c r="Q4772" s="539" t="str">
        <f t="shared" si="1412"/>
        <v/>
      </c>
      <c r="R4772" s="706"/>
      <c r="S4772" s="707"/>
      <c r="T4772" s="708"/>
      <c r="U4772" s="472"/>
      <c r="V4772" s="167"/>
      <c r="W4772" s="446"/>
      <c r="X4772" s="456"/>
      <c r="Y4772" s="436"/>
      <c r="Z4772" s="437"/>
      <c r="AA4772" s="560"/>
      <c r="AB4772" s="561"/>
      <c r="AC4772" s="87"/>
      <c r="AD4772" s="466"/>
      <c r="AE4772" s="456"/>
      <c r="AF4772" s="467"/>
      <c r="AG4772" s="87"/>
      <c r="AH4772" s="87"/>
      <c r="AI4772" s="87"/>
    </row>
    <row r="4773" spans="1:35" ht="16.5" hidden="1" thickBot="1">
      <c r="A4773" s="44"/>
      <c r="B4773" s="89"/>
      <c r="C4773" s="90"/>
      <c r="D4773" s="90"/>
      <c r="E4773" s="90"/>
      <c r="F4773" s="90"/>
      <c r="G4773" s="90"/>
      <c r="H4773" s="90"/>
      <c r="I4773" s="90"/>
      <c r="J4773" s="90"/>
      <c r="K4773" s="90"/>
      <c r="L4773" s="90"/>
      <c r="M4773" s="90"/>
      <c r="N4773" s="90"/>
      <c r="O4773" s="90"/>
      <c r="P4773" s="90"/>
      <c r="Q4773" s="90"/>
      <c r="R4773" s="90"/>
      <c r="S4773" s="91"/>
      <c r="T4773" s="92"/>
      <c r="U4773" s="473"/>
      <c r="W4773" s="438"/>
      <c r="X4773" s="455"/>
      <c r="Y4773" s="439"/>
      <c r="Z4773" s="437"/>
      <c r="AA4773" s="530"/>
      <c r="AB4773" s="563"/>
      <c r="AC4773" s="87"/>
      <c r="AD4773" s="440"/>
      <c r="AE4773" s="441"/>
      <c r="AF4773" s="442"/>
      <c r="AG4773" s="49"/>
      <c r="AH4773" s="87"/>
      <c r="AI4773" s="87"/>
    </row>
    <row r="4774" spans="1:35" ht="16.5" hidden="1" thickBot="1">
      <c r="A4774" s="93"/>
      <c r="B4774" s="94"/>
      <c r="C4774" s="96"/>
      <c r="D4774" s="96"/>
      <c r="E4774" s="96"/>
      <c r="F4774" s="96"/>
      <c r="G4774" s="96"/>
      <c r="H4774" s="96"/>
      <c r="I4774" s="96"/>
      <c r="J4774" s="96"/>
      <c r="K4774" s="96"/>
      <c r="L4774" s="96"/>
      <c r="M4774" s="136"/>
      <c r="N4774" s="96"/>
      <c r="O4774" s="96"/>
      <c r="P4774" s="97"/>
      <c r="Q4774" s="97"/>
      <c r="R4774" s="98"/>
      <c r="S4774" s="95"/>
      <c r="T4774" s="99"/>
      <c r="U4774" s="469"/>
      <c r="AC4774" s="58"/>
      <c r="AG4774" s="58"/>
      <c r="AH4774" s="87"/>
      <c r="AI4774" s="87"/>
    </row>
    <row r="4775" spans="1:35" ht="16.5" hidden="1" thickBot="1">
      <c r="B4775" s="101"/>
      <c r="C4775" s="101"/>
      <c r="D4775" s="101"/>
      <c r="E4775" s="101"/>
      <c r="F4775" s="101"/>
      <c r="G4775" s="101"/>
      <c r="H4775" s="101"/>
      <c r="I4775" s="101"/>
      <c r="J4775" s="101"/>
      <c r="K4775" s="101"/>
      <c r="L4775" s="101"/>
      <c r="M4775" s="101"/>
      <c r="N4775" s="101"/>
      <c r="O4775" s="101"/>
      <c r="P4775" s="101"/>
      <c r="Q4775" s="101"/>
      <c r="R4775" s="101"/>
      <c r="S4775" s="101"/>
      <c r="U4775" s="50"/>
      <c r="AH4775" s="87"/>
      <c r="AI4775" s="87"/>
    </row>
    <row r="4776" spans="1:35" ht="16.5" hidden="1" customHeight="1" thickBot="1">
      <c r="A4776" s="44"/>
      <c r="B4776" s="705" t="s">
        <v>74</v>
      </c>
      <c r="C4776" s="705"/>
      <c r="D4776" s="705"/>
      <c r="E4776" s="705"/>
      <c r="F4776" s="705"/>
      <c r="G4776" s="705"/>
      <c r="H4776" s="705"/>
      <c r="I4776" s="705"/>
      <c r="J4776" s="705"/>
      <c r="K4776" s="705"/>
      <c r="L4776" s="705"/>
      <c r="M4776" s="705"/>
      <c r="N4776" s="705"/>
      <c r="O4776" s="705"/>
      <c r="P4776" s="705"/>
      <c r="Q4776" s="705"/>
      <c r="R4776" s="705"/>
      <c r="S4776" s="705"/>
      <c r="T4776" s="705"/>
      <c r="U4776" s="108"/>
      <c r="Y4776" s="532" t="s">
        <v>341</v>
      </c>
      <c r="AC4776" s="49"/>
      <c r="AD4776" s="687" t="s">
        <v>302</v>
      </c>
      <c r="AE4776" s="688"/>
      <c r="AF4776" s="689"/>
      <c r="AG4776" s="49"/>
      <c r="AH4776" s="87"/>
      <c r="AI4776" s="87"/>
    </row>
    <row r="4777" spans="1:35" ht="16.5" hidden="1" customHeight="1" thickBot="1">
      <c r="A4777" s="218" t="e">
        <f>"K"&amp;E4759</f>
        <v>#N/A</v>
      </c>
      <c r="B4777" s="701" t="s">
        <v>71</v>
      </c>
      <c r="C4777" s="751" t="s">
        <v>102</v>
      </c>
      <c r="D4777" s="751"/>
      <c r="E4777" s="751"/>
      <c r="F4777" s="751"/>
      <c r="G4777" s="751"/>
      <c r="H4777" s="751"/>
      <c r="I4777" s="751"/>
      <c r="J4777" s="751"/>
      <c r="K4777" s="751"/>
      <c r="L4777" s="722" t="s">
        <v>100</v>
      </c>
      <c r="M4777" s="747" t="s">
        <v>114</v>
      </c>
      <c r="N4777" s="747"/>
      <c r="O4777" s="747"/>
      <c r="P4777" s="747"/>
      <c r="Q4777" s="748"/>
      <c r="R4777" s="758" t="s">
        <v>280</v>
      </c>
      <c r="S4777" s="748"/>
      <c r="T4777" s="762" t="str">
        <f>IF(COUNTIF(AE4777:AF4777,"VERIFICAR")&gt;0,"VERIFICAR",IF(COUNTIF(AE4777:AF4777,"NO CUMPLE")&gt;0,"NO CUMPLE","CUMPLE"))</f>
        <v>VERIFICAR</v>
      </c>
      <c r="U4777" s="108"/>
      <c r="Y4777" s="533" t="e">
        <f>IF(F4778="","",IF(F4778=1,"INDIVIDUAL","ESTRUCTURA PLURAL"))</f>
        <v>#N/A</v>
      </c>
      <c r="AC4777" s="52"/>
      <c r="AD4777" s="475" t="s">
        <v>303</v>
      </c>
      <c r="AE4777" s="476" t="str">
        <f>IF(COUNTIF(AE4763:AE4772,"")=10,"VERIFICAR",IF(COUNTIF(AE4763:AE4772,"SI")&gt;0,"CUMPLE","NO CUMPLE"))</f>
        <v>VERIFICAR</v>
      </c>
      <c r="AF4777" s="477" t="str">
        <f>IF(COUNTIF(AF4763:AF4772,"")=10,"VERIFICAR",IF(COUNTIF(AF4763:AF4772,"SI")&gt;=$AI$22,"CUMPLE","NO CUMPLE"))</f>
        <v>VERIFICAR</v>
      </c>
      <c r="AG4777" s="52"/>
      <c r="AH4777" s="87"/>
      <c r="AI4777" s="87"/>
    </row>
    <row r="4778" spans="1:35" ht="15.75" hidden="1" customHeight="1" thickBot="1">
      <c r="A4778" s="218" t="e">
        <f>"L"&amp;E4759</f>
        <v>#N/A</v>
      </c>
      <c r="B4778" s="702"/>
      <c r="C4778" s="751" t="s">
        <v>103</v>
      </c>
      <c r="D4778" s="751"/>
      <c r="E4778" s="752"/>
      <c r="F4778" s="557" t="e">
        <f>IF(VLOOKUP(E4759,PROPONENTES!$C$19:$E$218,3,0)="","",VLOOKUP(E4759,PROPONENTES!$C$19:$E$218,3,0))</f>
        <v>#N/A</v>
      </c>
      <c r="G4778" s="753" t="s">
        <v>104</v>
      </c>
      <c r="H4778" s="751"/>
      <c r="I4778" s="715" t="e">
        <f>IF(OR(F4778="",F4778=1),"INTERESADO PERSONA NATURAL O JURIDICA","CONSORCIO O UNION TEMPORAL")</f>
        <v>#N/A</v>
      </c>
      <c r="J4778" s="725"/>
      <c r="K4778" s="728"/>
      <c r="L4778" s="723"/>
      <c r="M4778" s="749"/>
      <c r="N4778" s="749"/>
      <c r="O4778" s="749"/>
      <c r="P4778" s="749"/>
      <c r="Q4778" s="750"/>
      <c r="R4778" s="712"/>
      <c r="S4778" s="750"/>
      <c r="T4778" s="763"/>
      <c r="U4778" s="108"/>
      <c r="Y4778" s="534"/>
      <c r="AA4778" s="52"/>
      <c r="AB4778" s="52"/>
      <c r="AC4778" s="52"/>
      <c r="AG4778" s="52"/>
      <c r="AH4778" s="87"/>
      <c r="AI4778" s="87"/>
    </row>
    <row r="4779" spans="1:35" ht="56.25" hidden="1" customHeight="1" thickBot="1">
      <c r="A4779" s="218" t="e">
        <f>"M"&amp;E4759</f>
        <v>#N/A</v>
      </c>
      <c r="B4779" s="702"/>
      <c r="C4779" s="725" t="s">
        <v>101</v>
      </c>
      <c r="D4779" s="716"/>
      <c r="E4779" s="558" t="s">
        <v>105</v>
      </c>
      <c r="F4779" s="554" t="s">
        <v>87</v>
      </c>
      <c r="G4779" s="553" t="s">
        <v>86</v>
      </c>
      <c r="H4779" s="559" t="s">
        <v>85</v>
      </c>
      <c r="I4779" s="554" t="s">
        <v>252</v>
      </c>
      <c r="J4779" s="553" t="str">
        <f>"¿EL INTEGRANTE TIENE UNA PARTICIPACIÓN DEL "&amp;PORCREQUERIDOINT*100&amp;"%?"</f>
        <v>¿EL INTEGRANTE TIENE UNA PARTICIPACIÓN DEL 60%?</v>
      </c>
      <c r="K4779" s="554" t="s">
        <v>107</v>
      </c>
      <c r="L4779" s="724"/>
      <c r="M4779" s="717" t="s">
        <v>115</v>
      </c>
      <c r="N4779" s="718"/>
      <c r="O4779" s="718"/>
      <c r="P4779" s="718"/>
      <c r="Q4779" s="223">
        <f>IF(AND(H4763="SI",P4763&gt;=0),1,0)+IF(AND(H4764="SI",P4764&gt;=0),1,0)+IF(AND(H4765="SI",P4765&gt;=0),1,0)+IF(AND(H4766="SI",P4766&gt;=0),1,0)+IF(AND(H4767="SI",P4767&gt;=0),1,0)+IF(AND(H4768="SI",P4768&gt;=0),1,0)+IF(AND(H4769="SI",P4769&gt;=0),1,0)+IF(AND(H4770="SI",P4770&gt;=0),1,0)+IF(AND(H4771="SI",P4771&gt;=0),1,0)+IF(AND(H4772="SI",P4772&gt;=0),1,0)</f>
        <v>0</v>
      </c>
      <c r="R4779" s="759"/>
      <c r="S4779" s="761"/>
      <c r="T4779" s="764"/>
      <c r="U4779" s="219"/>
      <c r="V4779" s="464"/>
      <c r="Y4779" s="532" t="s">
        <v>342</v>
      </c>
      <c r="AA4779" s="550" t="s">
        <v>344</v>
      </c>
      <c r="AB4779" s="693" t="s">
        <v>345</v>
      </c>
      <c r="AC4779" s="693" t="s">
        <v>346</v>
      </c>
      <c r="AD4779" s="685" t="s">
        <v>347</v>
      </c>
      <c r="AE4779" s="52"/>
      <c r="AF4779" s="52"/>
      <c r="AG4779" s="52"/>
      <c r="AH4779" s="87"/>
      <c r="AI4779" s="87"/>
    </row>
    <row r="4780" spans="1:35" ht="15.75" hidden="1" customHeight="1" thickBot="1">
      <c r="A4780" s="218" t="e">
        <f>"N"&amp;E4759</f>
        <v>#N/A</v>
      </c>
      <c r="B4780" s="702"/>
      <c r="C4780" s="114">
        <v>1</v>
      </c>
      <c r="D4780" s="194" t="e">
        <f>IF(AND(C4780&lt;=F4778,F4778&gt;1,F4778&lt;&gt;""),VLOOKUP(VALUE(E4759&amp;","&amp;C4780),INTEGRANTES!$D$18:$F$235,2,0),"")</f>
        <v>#N/A</v>
      </c>
      <c r="E4780" s="211" t="e">
        <f>IF(D4780&lt;&gt;"",VLOOKUP(VALUE(E4759&amp;","&amp;C4780),INTEGRANTES!$D$18:$F$235,3,0),"")</f>
        <v>#N/A</v>
      </c>
      <c r="F4780" s="547" t="e">
        <f>IF(D4780="","",SUMIF($I4763:$I4772,D4780,$P4763:$P4772))</f>
        <v>#N/A</v>
      </c>
      <c r="G4780" s="333" t="e">
        <f>IF(D4780="","",SUMIF($I4763:$I4772,D4780,$M4763:$M4772))</f>
        <v>#N/A</v>
      </c>
      <c r="H4780" s="535" t="e">
        <f t="shared" ref="H4780:H4785" si="1415">IF(D4780="","",IF(OR(F4780=0,G4780=0),"NO APORTA",ROUND($F4780/$G4780,3)))</f>
        <v>#N/A</v>
      </c>
      <c r="I4780" s="212" t="e">
        <f>IF(D4780="","",IF(H4780="NO APORTA","NO",IF(H4780=MAX($H4780:$H4785),"SI","NO")))</f>
        <v>#N/A</v>
      </c>
      <c r="J4780" s="213" t="e">
        <f t="shared" ref="J4780:J4785" si="1416">IF(D4780="","",IF(E4780&gt;=PORCREQUERIDOINT,"SI","NO"))</f>
        <v>#N/A</v>
      </c>
      <c r="K4780" s="200" t="e">
        <f t="shared" ref="K4780:K4785" si="1417">IF(D4780="","",IF(AND(I4780="SI",J4780="SI"),"CUMPLE",IF(AND(I4780="NO",OR(J4780="SI",J4780="NO")),"","NO CUMPLE")))</f>
        <v>#N/A</v>
      </c>
      <c r="L4780" s="722" t="s">
        <v>108</v>
      </c>
      <c r="M4780" s="726" t="s">
        <v>119</v>
      </c>
      <c r="N4780" s="726"/>
      <c r="O4780" s="726"/>
      <c r="P4780" s="726"/>
      <c r="Q4780" s="727"/>
      <c r="R4780" s="758" t="s">
        <v>80</v>
      </c>
      <c r="S4780" s="747"/>
      <c r="T4780" s="748"/>
      <c r="U4780" s="219"/>
      <c r="V4780" s="464"/>
      <c r="Y4780" s="533" t="e">
        <f>IF(Y4777="","",IF(Y4777="INDIVIDUAL","NO APLICA","VERIFICAR CUADRO"))</f>
        <v>#N/A</v>
      </c>
      <c r="AA4780" s="551"/>
      <c r="AB4780" s="694"/>
      <c r="AC4780" s="694"/>
      <c r="AD4780" s="686"/>
      <c r="AE4780" s="52"/>
      <c r="AF4780" s="52"/>
      <c r="AG4780" s="52"/>
      <c r="AH4780" s="87"/>
      <c r="AI4780" s="87"/>
    </row>
    <row r="4781" spans="1:35" ht="27" hidden="1" customHeight="1" thickBot="1">
      <c r="A4781" s="218" t="e">
        <f>"O"&amp;E4759</f>
        <v>#N/A</v>
      </c>
      <c r="B4781" s="702"/>
      <c r="C4781" s="114">
        <v>2</v>
      </c>
      <c r="D4781" s="194" t="e">
        <f>IF(AND(C4781&lt;=F4778,F4778&lt;&gt;""),VLOOKUP(VALUE(E4759&amp;","&amp;C4781),INTEGRANTES!$D$18:$F$235,2,0),"")</f>
        <v>#N/A</v>
      </c>
      <c r="E4781" s="211" t="e">
        <f>IF(D4781&lt;&gt;"",VLOOKUP(VALUE(E4759&amp;","&amp;C4781),INTEGRANTES!$D$18:$F$235,3,0),"")</f>
        <v>#N/A</v>
      </c>
      <c r="F4781" s="547" t="e">
        <f>IF(D4781="","",SUMIF($I4763:$I4772,D4781,$P4763:$P4772))</f>
        <v>#N/A</v>
      </c>
      <c r="G4781" s="333" t="e">
        <f>IF(D4781="","",SUMIF($I4763:$I4772,D4781,$M4763:$M4772))</f>
        <v>#N/A</v>
      </c>
      <c r="H4781" s="535" t="e">
        <f t="shared" si="1415"/>
        <v>#N/A</v>
      </c>
      <c r="I4781" s="212" t="e">
        <f>IF(D4781="","",IF(H4781="NO APORTA","NO",IF(H4781=MAX($H4780:$H4785),"SI","NO")))</f>
        <v>#N/A</v>
      </c>
      <c r="J4781" s="213" t="e">
        <f t="shared" si="1416"/>
        <v>#N/A</v>
      </c>
      <c r="K4781" s="200" t="e">
        <f t="shared" si="1417"/>
        <v>#N/A</v>
      </c>
      <c r="L4781" s="723"/>
      <c r="M4781" s="715" t="s">
        <v>116</v>
      </c>
      <c r="N4781" s="716"/>
      <c r="O4781" s="556" t="s">
        <v>113</v>
      </c>
      <c r="P4781" s="715" t="s">
        <v>117</v>
      </c>
      <c r="Q4781" s="728"/>
      <c r="R4781" s="759"/>
      <c r="S4781" s="760"/>
      <c r="T4781" s="761"/>
      <c r="U4781" s="219"/>
      <c r="V4781" s="464"/>
      <c r="Y4781" s="414"/>
      <c r="AA4781" s="542" t="e">
        <f>IF(AND(C4780&lt;=F4778,F4778&gt;1,F4778&lt;&gt;""),VLOOKUP(VALUE(E4759&amp;","&amp;C4780),INTEGRANTES!$D$18:$F$235,2,0),"")</f>
        <v>#N/A</v>
      </c>
      <c r="AB4781" s="544" t="e">
        <f t="shared" ref="AB4781:AB4786" si="1418">IF(D4780="","",IF(OR(F4780=0,G4780=0),"NO APORTA",ROUND($F4780/$G4780,3)))</f>
        <v>#N/A</v>
      </c>
      <c r="AC4781" s="529"/>
      <c r="AD4781" s="200" t="e">
        <f t="shared" ref="AD4781:AD4786" si="1419">IF(OR(AA4781="",AB4781=""),"",IF(AND(AC4781="X",AB4781&gt;=EXPREQVTD),"CUMPLE","NO CUMPLE"))</f>
        <v>#N/A</v>
      </c>
      <c r="AE4781" s="52"/>
      <c r="AF4781" s="52"/>
      <c r="AG4781" s="52"/>
      <c r="AH4781" s="87"/>
      <c r="AI4781" s="87"/>
    </row>
    <row r="4782" spans="1:35" ht="16.5" hidden="1" thickBot="1">
      <c r="A4782" s="218" t="e">
        <f>"P"&amp;E4759</f>
        <v>#N/A</v>
      </c>
      <c r="B4782" s="702"/>
      <c r="C4782" s="114">
        <v>3</v>
      </c>
      <c r="D4782" s="194" t="e">
        <f>IF(AND(C4782&lt;=F4778,F4778&lt;&gt;""),VLOOKUP(VALUE(E4759&amp;","&amp;C4782),INTEGRANTES!$D$18:$F$235,2,0),"")</f>
        <v>#N/A</v>
      </c>
      <c r="E4782" s="211" t="e">
        <f>IF(D4782&lt;&gt;"",VLOOKUP(VALUE(E4759&amp;","&amp;C4782),INTEGRANTES!$D$18:$F$235,3,0),"")</f>
        <v>#N/A</v>
      </c>
      <c r="F4782" s="547" t="e">
        <f>IF(D4782="","",SUMIF($I4763:$I4772,D4782,$P4763:$P4772))</f>
        <v>#N/A</v>
      </c>
      <c r="G4782" s="333" t="e">
        <f>IF(D4782="","",SUMIF($I4763:$I4772,D4782,$M4763:$M4772))</f>
        <v>#N/A</v>
      </c>
      <c r="H4782" s="535" t="e">
        <f t="shared" si="1415"/>
        <v>#N/A</v>
      </c>
      <c r="I4782" s="212" t="e">
        <f>IF(D4782="","",IF(H4782="NO APORTA","NO",IF(H4782=MAX($H4780:$H4785),"SI","NO")))</f>
        <v>#N/A</v>
      </c>
      <c r="J4782" s="213" t="e">
        <f t="shared" si="1416"/>
        <v>#N/A</v>
      </c>
      <c r="K4782" s="200" t="e">
        <f t="shared" si="1417"/>
        <v>#N/A</v>
      </c>
      <c r="L4782" s="724"/>
      <c r="M4782" s="729">
        <f>NUMMOD</f>
        <v>1</v>
      </c>
      <c r="N4782" s="730"/>
      <c r="O4782" s="443">
        <f>IF(M4782="","",VLOOKUP(M4782,PRESUPUESTOS!$B$16:$H$16,5,FALSE))</f>
        <v>2</v>
      </c>
      <c r="P4782" s="713">
        <f>IF(OR(COUNTIF(M4763:M4772,"")&gt;=10,Q4779&lt;NUMMINCONT,OR(T4777="NO CUMPLE",T4777="VERIFICAR")),0,ROUND(AVERAGE(M4763:M4772),3))</f>
        <v>0</v>
      </c>
      <c r="Q4782" s="714"/>
      <c r="R4782" s="458"/>
      <c r="S4782" s="459"/>
      <c r="T4782" s="460"/>
      <c r="U4782" s="219"/>
      <c r="V4782" s="464"/>
      <c r="Y4782" s="532" t="str">
        <f>"40% * ("&amp;PRESUPUESTOS!$H$13&amp;")"</f>
        <v>40% * (50% PFMO)</v>
      </c>
      <c r="AA4782" s="540" t="e">
        <f>IF(AND(C4781&lt;=F4778,F4778&lt;&gt;""),VLOOKUP(VALUE(E4759&amp;","&amp;C4781),INTEGRANTES!$D$18:$F$235,2,0),"")</f>
        <v>#N/A</v>
      </c>
      <c r="AB4782" s="545" t="e">
        <f t="shared" si="1418"/>
        <v>#N/A</v>
      </c>
      <c r="AC4782" s="529"/>
      <c r="AD4782" s="200" t="e">
        <f t="shared" si="1419"/>
        <v>#N/A</v>
      </c>
      <c r="AE4782" s="52"/>
      <c r="AF4782" s="52"/>
      <c r="AG4782" s="52"/>
      <c r="AH4782" s="87"/>
      <c r="AI4782" s="87"/>
    </row>
    <row r="4783" spans="1:35" ht="15.75" hidden="1" customHeight="1" thickBot="1">
      <c r="A4783" s="218" t="e">
        <f>"Q"&amp;E4759</f>
        <v>#N/A</v>
      </c>
      <c r="B4783" s="702"/>
      <c r="C4783" s="114">
        <v>4</v>
      </c>
      <c r="D4783" s="194" t="e">
        <f>IF(AND(C4783&lt;=F4778,F4778&lt;&gt;""),VLOOKUP(VALUE(E4759&amp;","&amp;C4783),INTEGRANTES!$D$18:$F$235,2,0),"")</f>
        <v>#N/A</v>
      </c>
      <c r="E4783" s="211" t="e">
        <f>IF(D4783&lt;&gt;"",VLOOKUP(VALUE(E4759&amp;","&amp;C4783),INTEGRANTES!$D$18:$F$235,3,0),"")</f>
        <v>#N/A</v>
      </c>
      <c r="F4783" s="547" t="e">
        <f>IF(D4783="","",SUMIF($I4763:$I4772,D4783,$P4763:$P4772))</f>
        <v>#N/A</v>
      </c>
      <c r="G4783" s="333" t="e">
        <f>IF(D4783="","",SUMIF($I4763:$I4772,D4783,$M4763:$M4772))</f>
        <v>#N/A</v>
      </c>
      <c r="H4783" s="535" t="e">
        <f t="shared" si="1415"/>
        <v>#N/A</v>
      </c>
      <c r="I4783" s="212" t="e">
        <f>IF(D4783="","",IF(H4783="NO APORTA","NO",IF(H4783=MAX($H4780:$H4785),"SI","NO")))</f>
        <v>#N/A</v>
      </c>
      <c r="J4783" s="213" t="e">
        <f t="shared" si="1416"/>
        <v>#N/A</v>
      </c>
      <c r="K4783" s="200" t="e">
        <f t="shared" si="1417"/>
        <v>#N/A</v>
      </c>
      <c r="L4783" s="720" t="s">
        <v>109</v>
      </c>
      <c r="M4783" s="757" t="s">
        <v>120</v>
      </c>
      <c r="N4783" s="726"/>
      <c r="O4783" s="726"/>
      <c r="P4783" s="726"/>
      <c r="Q4783" s="727"/>
      <c r="R4783" s="458"/>
      <c r="S4783" s="459"/>
      <c r="T4783" s="460"/>
      <c r="U4783" s="219"/>
      <c r="V4783" s="464"/>
      <c r="Y4783" s="537">
        <f>0.4*PRESUPUESTOS!$H$16</f>
        <v>10.3124</v>
      </c>
      <c r="AA4783" s="540" t="e">
        <f>IF(AND(C4782&lt;=F4778,F4778&lt;&gt;""),VLOOKUP(VALUE(E4759&amp;","&amp;C4782),INTEGRANTES!$D$18:$F$235,2,0),"")</f>
        <v>#N/A</v>
      </c>
      <c r="AB4783" s="545" t="e">
        <f t="shared" si="1418"/>
        <v>#N/A</v>
      </c>
      <c r="AC4783" s="529"/>
      <c r="AD4783" s="200" t="e">
        <f t="shared" si="1419"/>
        <v>#N/A</v>
      </c>
      <c r="AE4783" s="52"/>
      <c r="AF4783" s="52"/>
      <c r="AG4783" s="52"/>
      <c r="AH4783" s="87"/>
      <c r="AI4783" s="87"/>
    </row>
    <row r="4784" spans="1:35" ht="27" hidden="1" customHeight="1" thickBot="1">
      <c r="A4784" s="218" t="e">
        <f>"R"&amp;E4759</f>
        <v>#N/A</v>
      </c>
      <c r="B4784" s="702"/>
      <c r="C4784" s="114">
        <v>5</v>
      </c>
      <c r="D4784" s="194" t="e">
        <f>IF(AND(C4784&lt;=F4778,F4778&lt;&gt;""),VLOOKUP(VALUE(E4759&amp;","&amp;C4784),INTEGRANTES!$D$18:$F$235,2,0),"")</f>
        <v>#N/A</v>
      </c>
      <c r="E4784" s="211" t="e">
        <f>IF(D4784&lt;&gt;"",VLOOKUP(VALUE(E4759&amp;","&amp;C4784),INTEGRANTES!$D$18:$F$235,3,0),"")</f>
        <v>#N/A</v>
      </c>
      <c r="F4784" s="547" t="e">
        <f>IF(D4784="","",SUMIF($I4763:$I4772,D4784,$P4763:$P4772))</f>
        <v>#N/A</v>
      </c>
      <c r="G4784" s="333" t="e">
        <f>IF(D4784="","",SUMIF($I4763:$I4772,D4784,$M4763:$M4772))</f>
        <v>#N/A</v>
      </c>
      <c r="H4784" s="535" t="e">
        <f t="shared" si="1415"/>
        <v>#N/A</v>
      </c>
      <c r="I4784" s="212" t="e">
        <f>IF(D4784="","",IF(H4784="NO APORTA","NO",IF(H4784=MAX($H4780:$H4785),"SI","NO")))</f>
        <v>#N/A</v>
      </c>
      <c r="J4784" s="213" t="e">
        <f t="shared" si="1416"/>
        <v>#N/A</v>
      </c>
      <c r="K4784" s="200" t="e">
        <f t="shared" si="1417"/>
        <v>#N/A</v>
      </c>
      <c r="L4784" s="721"/>
      <c r="M4784" s="715" t="s">
        <v>116</v>
      </c>
      <c r="N4784" s="716"/>
      <c r="O4784" s="556" t="str">
        <f>PORCREQUERIDO*100&amp;"% PMFO DEL MÓDULO"</f>
        <v>50% PMFO DEL MÓDULO</v>
      </c>
      <c r="P4784" s="715" t="s">
        <v>118</v>
      </c>
      <c r="Q4784" s="728"/>
      <c r="R4784" s="458"/>
      <c r="S4784" s="459"/>
      <c r="T4784" s="460"/>
      <c r="U4784" s="219"/>
      <c r="V4784" s="464"/>
      <c r="Y4784" s="414"/>
      <c r="AA4784" s="540" t="e">
        <f>IF(AND(C4783&lt;=F4778,F4778&lt;&gt;""),VLOOKUP(VALUE(E4759&amp;","&amp;C4783),INTEGRANTES!$D$18:$F$235,2,0),"")</f>
        <v>#N/A</v>
      </c>
      <c r="AB4784" s="545" t="e">
        <f t="shared" si="1418"/>
        <v>#N/A</v>
      </c>
      <c r="AC4784" s="529"/>
      <c r="AD4784" s="200" t="e">
        <f t="shared" si="1419"/>
        <v>#N/A</v>
      </c>
      <c r="AE4784" s="52"/>
      <c r="AF4784" s="52"/>
      <c r="AG4784" s="52"/>
      <c r="AH4784" s="87"/>
      <c r="AI4784" s="87"/>
    </row>
    <row r="4785" spans="1:35" ht="16.5" hidden="1" thickBot="1">
      <c r="A4785" s="218" t="e">
        <f>"S"&amp;E4759</f>
        <v>#N/A</v>
      </c>
      <c r="B4785" s="702"/>
      <c r="C4785" s="215">
        <v>6</v>
      </c>
      <c r="D4785" s="216" t="e">
        <f>IF(AND(C4785&lt;=F4778,F4778&lt;&gt;""),VLOOKUP(VALUE(E4759&amp;","&amp;C4785),INTEGRANTES!$D$18:$F$235,2,0),"")</f>
        <v>#N/A</v>
      </c>
      <c r="E4785" s="217" t="e">
        <f>IF(D4785&lt;&gt;"",VLOOKUP(VALUE(E4759&amp;","&amp;C4785),INTEGRANTES!$D$18:$F$235,3,0),"")</f>
        <v>#N/A</v>
      </c>
      <c r="F4785" s="548" t="e">
        <f>IF(D4785="","",SUMIF($I4763:$I4772,D4785,$P4763:$P4772))</f>
        <v>#N/A</v>
      </c>
      <c r="G4785" s="334" t="e">
        <f>IF(D4785="","",SUMIF($I4763:$I4772,D4785,$M4763:$M4772))</f>
        <v>#N/A</v>
      </c>
      <c r="H4785" s="536" t="e">
        <f t="shared" si="1415"/>
        <v>#N/A</v>
      </c>
      <c r="I4785" s="214" t="e">
        <f>IF(D4785="","",IF(H4785="NO APORTA","NO",IF(H4785=MAX($H4780:$H4785),"SI","NO")))</f>
        <v>#N/A</v>
      </c>
      <c r="J4785" s="213" t="e">
        <f t="shared" si="1416"/>
        <v>#N/A</v>
      </c>
      <c r="K4785" s="200" t="e">
        <f t="shared" si="1417"/>
        <v>#N/A</v>
      </c>
      <c r="L4785" s="721"/>
      <c r="M4785" s="729">
        <f>NUMMOD</f>
        <v>1</v>
      </c>
      <c r="N4785" s="730"/>
      <c r="O4785" s="443">
        <f>IF(M4785="","",ROUND(VLOOKUP(M4785,PRESUPUESTOS!$B$16:$H$16,7,FALSE),3))</f>
        <v>25.780999999999999</v>
      </c>
      <c r="P4785" s="713">
        <f>IF(OR(COUNTIF(P4763:P4772,"")&gt;=10,Q4779&lt;NUMMINCONT,OR(T4777="NO CUMPLE",T4777="VERIFICAR")),0,ROUND((SUM(P4763:P4772)/SUM(M4763:M4772)),3))</f>
        <v>0</v>
      </c>
      <c r="Q4785" s="714"/>
      <c r="R4785" s="458"/>
      <c r="S4785" s="459"/>
      <c r="T4785" s="460"/>
      <c r="U4785" s="219"/>
      <c r="V4785" s="464"/>
      <c r="Y4785" s="532" t="s">
        <v>343</v>
      </c>
      <c r="AA4785" s="540" t="e">
        <f>IF(AND(C4784&lt;=F4778,F4778&lt;&gt;""),VLOOKUP(VALUE(E4759&amp;","&amp;C4784),INTEGRANTES!$D$18:$F$235,2,0),"")</f>
        <v>#N/A</v>
      </c>
      <c r="AB4785" s="545" t="e">
        <f t="shared" si="1418"/>
        <v>#N/A</v>
      </c>
      <c r="AC4785" s="529"/>
      <c r="AD4785" s="200" t="e">
        <f t="shared" si="1419"/>
        <v>#N/A</v>
      </c>
      <c r="AE4785" s="52"/>
      <c r="AF4785" s="52"/>
      <c r="AG4785" s="52"/>
      <c r="AH4785" s="87"/>
      <c r="AI4785" s="87"/>
    </row>
    <row r="4786" spans="1:35" ht="16.5" hidden="1" customHeight="1" thickBot="1">
      <c r="A4786" s="218" t="e">
        <f>"T"&amp;E4759</f>
        <v>#N/A</v>
      </c>
      <c r="B4786" s="703"/>
      <c r="C4786" s="719"/>
      <c r="D4786" s="719"/>
      <c r="E4786" s="719"/>
      <c r="F4786" s="719"/>
      <c r="G4786" s="719"/>
      <c r="H4786" s="719" t="s">
        <v>110</v>
      </c>
      <c r="I4786" s="719"/>
      <c r="J4786" s="719"/>
      <c r="K4786" s="201" t="str">
        <f>IF(COUNTIF(K4780:K4785,"")=6,"",IF(COUNTIF(K4780:K4785,"CUMPLE")&gt;0,"CUMPLE","NO CUMPLE"))</f>
        <v>NO CUMPLE</v>
      </c>
      <c r="L4786" s="754"/>
      <c r="M4786" s="755"/>
      <c r="N4786" s="755"/>
      <c r="O4786" s="755"/>
      <c r="P4786" s="755"/>
      <c r="Q4786" s="756"/>
      <c r="R4786" s="461"/>
      <c r="S4786" s="462"/>
      <c r="T4786" s="463"/>
      <c r="U4786" s="219"/>
      <c r="V4786" s="464"/>
      <c r="Y4786" s="549" t="e">
        <f>IF(Y4780="NO APLICA","NO APLICA",IF(COUNTIF(AD4781:AD4786,"CUMPLE")&gt;0,"CUMPLE","NO CUMPLE"))</f>
        <v>#N/A</v>
      </c>
      <c r="AA4786" s="541" t="e">
        <f>IF(AND(C4785&lt;=F4778,F4778&lt;&gt;""),VLOOKUP(VALUE(E4759&amp;","&amp;C4785),INTEGRANTES!$D$18:$F$235,2,0),"")</f>
        <v>#N/A</v>
      </c>
      <c r="AB4786" s="546" t="e">
        <f t="shared" si="1418"/>
        <v>#N/A</v>
      </c>
      <c r="AC4786" s="543"/>
      <c r="AD4786" s="201" t="e">
        <f t="shared" si="1419"/>
        <v>#N/A</v>
      </c>
      <c r="AE4786" s="52"/>
      <c r="AF4786" s="52"/>
      <c r="AG4786" s="52"/>
      <c r="AH4786" s="87"/>
      <c r="AI4786" s="87"/>
    </row>
    <row r="4787" spans="1:35" hidden="1">
      <c r="AH4787" s="87"/>
      <c r="AI4787" s="87"/>
    </row>
    <row r="4788" spans="1:35" hidden="1">
      <c r="AH4788" s="87"/>
      <c r="AI4788" s="87"/>
    </row>
    <row r="4789" spans="1:35" ht="24" hidden="1" thickBot="1">
      <c r="A4789" s="61">
        <v>160</v>
      </c>
      <c r="B4789" s="704" t="s">
        <v>51</v>
      </c>
      <c r="C4789" s="704"/>
      <c r="D4789" s="704"/>
      <c r="E4789" s="62" t="e">
        <f>VLOOKUP(A4789,PROPONENTES!$B$19:$E$218,2,FALSE)</f>
        <v>#N/A</v>
      </c>
      <c r="F4789" s="63" t="e">
        <f>VLOOKUP(A4789,PROPONENTES!$B$19:$E$218,3,FALSE)</f>
        <v>#N/A</v>
      </c>
      <c r="G4789" s="64"/>
      <c r="H4789" s="64"/>
      <c r="I4789" s="63"/>
      <c r="J4789" s="63"/>
      <c r="K4789" s="65"/>
      <c r="L4789" s="65"/>
      <c r="M4789" s="64"/>
      <c r="N4789" s="64"/>
      <c r="O4789" s="66"/>
      <c r="P4789" s="66"/>
      <c r="Q4789" s="66"/>
      <c r="R4789" s="66"/>
      <c r="S4789" s="67"/>
      <c r="T4789" s="68"/>
      <c r="U4789" s="68"/>
      <c r="AC4789" s="68"/>
      <c r="AD4789" s="68"/>
      <c r="AE4789" s="68"/>
      <c r="AF4789" s="68"/>
      <c r="AG4789" s="68"/>
      <c r="AH4789" s="87"/>
      <c r="AI4789" s="87"/>
    </row>
    <row r="4790" spans="1:35" ht="15.75" hidden="1" customHeight="1">
      <c r="A4790" s="44"/>
      <c r="B4790" s="709" t="s">
        <v>59</v>
      </c>
      <c r="C4790" s="552" t="s">
        <v>60</v>
      </c>
      <c r="D4790" s="70" t="s">
        <v>17</v>
      </c>
      <c r="E4790" s="70"/>
      <c r="F4790" s="70" t="s">
        <v>61</v>
      </c>
      <c r="G4790" s="71"/>
      <c r="H4790" s="699" t="s">
        <v>62</v>
      </c>
      <c r="I4790" s="699" t="s">
        <v>18</v>
      </c>
      <c r="J4790" s="699" t="s">
        <v>63</v>
      </c>
      <c r="K4790" s="699" t="s">
        <v>64</v>
      </c>
      <c r="L4790" s="699" t="s">
        <v>65</v>
      </c>
      <c r="M4790" s="743" t="s">
        <v>66</v>
      </c>
      <c r="N4790" s="699" t="s">
        <v>282</v>
      </c>
      <c r="O4790" s="745" t="s">
        <v>67</v>
      </c>
      <c r="P4790" s="746"/>
      <c r="Q4790" s="102" t="s">
        <v>75</v>
      </c>
      <c r="R4790" s="731" t="s">
        <v>22</v>
      </c>
      <c r="S4790" s="732"/>
      <c r="T4790" s="733"/>
      <c r="U4790" s="712" t="s">
        <v>298</v>
      </c>
      <c r="W4790" s="690" t="s">
        <v>268</v>
      </c>
      <c r="X4790" s="691"/>
      <c r="Y4790" s="692"/>
      <c r="Z4790" s="428"/>
      <c r="AA4790" s="697" t="s">
        <v>315</v>
      </c>
      <c r="AB4790" s="695" t="s">
        <v>322</v>
      </c>
      <c r="AC4790" s="49"/>
      <c r="AD4790" s="690" t="s">
        <v>297</v>
      </c>
      <c r="AE4790" s="691"/>
      <c r="AF4790" s="692"/>
      <c r="AG4790" s="49"/>
      <c r="AH4790" s="87"/>
      <c r="AI4790" s="87"/>
    </row>
    <row r="4791" spans="1:35" ht="72" hidden="1">
      <c r="A4791" s="44"/>
      <c r="B4791" s="710"/>
      <c r="C4791" s="553" t="s">
        <v>68</v>
      </c>
      <c r="D4791" s="73" t="s">
        <v>3</v>
      </c>
      <c r="E4791" s="73" t="s">
        <v>19</v>
      </c>
      <c r="F4791" s="73" t="s">
        <v>69</v>
      </c>
      <c r="G4791" s="74" t="s">
        <v>70</v>
      </c>
      <c r="H4791" s="700"/>
      <c r="I4791" s="700"/>
      <c r="J4791" s="700"/>
      <c r="K4791" s="700"/>
      <c r="L4791" s="700"/>
      <c r="M4791" s="744"/>
      <c r="N4791" s="700"/>
      <c r="O4791" s="553" t="s">
        <v>279</v>
      </c>
      <c r="P4791" s="73" t="s">
        <v>88</v>
      </c>
      <c r="Q4791" s="555" t="s">
        <v>76</v>
      </c>
      <c r="R4791" s="734"/>
      <c r="S4791" s="735"/>
      <c r="T4791" s="736"/>
      <c r="U4791" s="712"/>
      <c r="W4791" s="429" t="s">
        <v>269</v>
      </c>
      <c r="X4791" s="457" t="s">
        <v>278</v>
      </c>
      <c r="Y4791" s="430" t="s">
        <v>324</v>
      </c>
      <c r="Z4791" s="428"/>
      <c r="AA4791" s="698"/>
      <c r="AB4791" s="696"/>
      <c r="AC4791" s="49"/>
      <c r="AD4791" s="429" t="s">
        <v>292</v>
      </c>
      <c r="AE4791" s="431" t="s">
        <v>300</v>
      </c>
      <c r="AF4791" s="468" t="s">
        <v>301</v>
      </c>
      <c r="AG4791" s="49"/>
      <c r="AH4791" s="87"/>
      <c r="AI4791" s="87"/>
    </row>
    <row r="4792" spans="1:35" hidden="1">
      <c r="A4792" s="44"/>
      <c r="B4792" s="76"/>
      <c r="C4792" s="77"/>
      <c r="D4792" s="77"/>
      <c r="E4792" s="77"/>
      <c r="F4792" s="77"/>
      <c r="G4792" s="77"/>
      <c r="H4792" s="77"/>
      <c r="I4792" s="77"/>
      <c r="J4792" s="77"/>
      <c r="K4792" s="77"/>
      <c r="L4792" s="77"/>
      <c r="M4792" s="77"/>
      <c r="N4792" s="77"/>
      <c r="O4792" s="77"/>
      <c r="P4792" s="77"/>
      <c r="Q4792" s="77"/>
      <c r="R4792" s="77"/>
      <c r="S4792" s="78"/>
      <c r="T4792" s="79"/>
      <c r="U4792" s="109"/>
      <c r="V4792" s="49"/>
      <c r="W4792" s="432"/>
      <c r="X4792" s="454"/>
      <c r="Y4792" s="433"/>
      <c r="Z4792" s="6"/>
      <c r="AA4792" s="500"/>
      <c r="AB4792" s="562"/>
      <c r="AC4792" s="49"/>
      <c r="AD4792" s="210"/>
      <c r="AE4792" s="434"/>
      <c r="AF4792" s="435"/>
      <c r="AG4792" s="49"/>
      <c r="AH4792" s="87"/>
      <c r="AI4792" s="87"/>
    </row>
    <row r="4793" spans="1:35" hidden="1">
      <c r="A4793" s="80" t="e">
        <f>"A"&amp;E4789</f>
        <v>#N/A</v>
      </c>
      <c r="B4793" s="81">
        <v>1</v>
      </c>
      <c r="C4793" s="82"/>
      <c r="D4793" s="82"/>
      <c r="E4793" s="82"/>
      <c r="F4793" s="82"/>
      <c r="G4793" s="83"/>
      <c r="H4793" s="83"/>
      <c r="I4793" s="84"/>
      <c r="J4793" s="85"/>
      <c r="K4793" s="382"/>
      <c r="L4793" s="85"/>
      <c r="M4793" s="332" t="str">
        <f t="shared" ref="M4793:M4802" si="1420">IF(OR(J4793="",L4793="",H4793="NO"),"",IF(OR(J4793&gt;$P$17,J4793&lt;$O$17,L4793&gt;$P$17,AND(J4793&lt;$O$17,L4793&lt;$O$17)),"FUERA DE RANGO",IF(OR(K4793="---",K4793=""),IF(J4793&gt;=$O$17,ROUND((L4793-J4793+1)/360*12,3),ROUND((L4793-$O$17+1)/360*12,3)),IF(J4793&gt;=$O$17,ROUND((L4793-J4793+1)/360*12-ROUND(K4793,3),3),ROUND((L4793-$O$17+1)/360*12-ROUND(K4793,3),3)))))</f>
        <v/>
      </c>
      <c r="N4793" s="86"/>
      <c r="O4793" s="453" t="str">
        <f>IF(OR(G4793="",N4793=""),"",N4793*G4793)</f>
        <v/>
      </c>
      <c r="P4793" s="538" t="str">
        <f>IF(OR(H4793="",M4793="FUERA DE RANGO"),"",IF(OR(L4793&lt;$O$17,L4793&gt;$P$17,L4793="",H4793="NO"),"",IF(OR(N4793="",O4793=""),"",ROUND(O4793,3))))</f>
        <v/>
      </c>
      <c r="Q4793" s="539" t="str">
        <f t="shared" ref="Q4793:Q4802" si="1421">IF(AND(H4793="SI",P4793&lt;&gt;""),ROUND(P4793/M4793,3),"")</f>
        <v/>
      </c>
      <c r="R4793" s="737"/>
      <c r="S4793" s="738"/>
      <c r="T4793" s="739"/>
      <c r="U4793" s="470"/>
      <c r="V4793" s="165"/>
      <c r="W4793" s="446"/>
      <c r="X4793" s="456"/>
      <c r="Y4793" s="436"/>
      <c r="Z4793" s="437"/>
      <c r="AA4793" s="560"/>
      <c r="AB4793" s="561"/>
      <c r="AC4793" s="87"/>
      <c r="AD4793" s="466"/>
      <c r="AE4793" s="456"/>
      <c r="AF4793" s="467"/>
      <c r="AG4793" s="87"/>
      <c r="AH4793" s="87"/>
      <c r="AI4793" s="87"/>
    </row>
    <row r="4794" spans="1:35" hidden="1">
      <c r="A4794" s="80" t="e">
        <f>"B"&amp;E4789</f>
        <v>#N/A</v>
      </c>
      <c r="B4794" s="81">
        <v>2</v>
      </c>
      <c r="C4794" s="106"/>
      <c r="D4794" s="106"/>
      <c r="E4794" s="106"/>
      <c r="F4794" s="106"/>
      <c r="G4794" s="83"/>
      <c r="H4794" s="83"/>
      <c r="I4794" s="84"/>
      <c r="J4794" s="85"/>
      <c r="K4794" s="382"/>
      <c r="L4794" s="85"/>
      <c r="M4794" s="332" t="str">
        <f t="shared" si="1420"/>
        <v/>
      </c>
      <c r="N4794" s="86"/>
      <c r="O4794" s="453" t="str">
        <f t="shared" ref="O4794:O4802" si="1422">IF(OR(G4794="",N4794=""),"",N4794*G4794)</f>
        <v/>
      </c>
      <c r="P4794" s="538" t="str">
        <f t="shared" ref="P4794:P4802" si="1423">IF(OR(H4794="",M4794="FUERA DE RANGO"),"",IF(OR(L4794&lt;$O$17,L4794&gt;$P$17,L4794="",H4794="NO"),"",IF(OR(N4794="",O4794=""),"",ROUND(O4794,3))))</f>
        <v/>
      </c>
      <c r="Q4794" s="539" t="str">
        <f t="shared" si="1421"/>
        <v/>
      </c>
      <c r="R4794" s="740"/>
      <c r="S4794" s="741"/>
      <c r="T4794" s="742"/>
      <c r="U4794" s="471"/>
      <c r="V4794" s="165"/>
      <c r="W4794" s="446"/>
      <c r="X4794" s="456"/>
      <c r="Y4794" s="436"/>
      <c r="Z4794" s="437"/>
      <c r="AA4794" s="560"/>
      <c r="AB4794" s="561"/>
      <c r="AC4794" s="87"/>
      <c r="AD4794" s="466"/>
      <c r="AE4794" s="456"/>
      <c r="AF4794" s="467"/>
      <c r="AG4794" s="87"/>
      <c r="AH4794" s="87"/>
      <c r="AI4794" s="87"/>
    </row>
    <row r="4795" spans="1:35" hidden="1">
      <c r="A4795" s="80" t="e">
        <f>"C"&amp;E4789</f>
        <v>#N/A</v>
      </c>
      <c r="B4795" s="88">
        <v>3</v>
      </c>
      <c r="C4795" s="82"/>
      <c r="D4795" s="82"/>
      <c r="E4795" s="82"/>
      <c r="F4795" s="82"/>
      <c r="G4795" s="83"/>
      <c r="H4795" s="83"/>
      <c r="I4795" s="84"/>
      <c r="J4795" s="85"/>
      <c r="K4795" s="382"/>
      <c r="L4795" s="85"/>
      <c r="M4795" s="332" t="str">
        <f t="shared" si="1420"/>
        <v/>
      </c>
      <c r="N4795" s="86"/>
      <c r="O4795" s="453" t="str">
        <f t="shared" si="1422"/>
        <v/>
      </c>
      <c r="P4795" s="538" t="str">
        <f t="shared" si="1423"/>
        <v/>
      </c>
      <c r="Q4795" s="539" t="str">
        <f t="shared" si="1421"/>
        <v/>
      </c>
      <c r="R4795" s="706"/>
      <c r="S4795" s="707"/>
      <c r="T4795" s="708"/>
      <c r="U4795" s="472"/>
      <c r="V4795" s="166"/>
      <c r="W4795" s="446"/>
      <c r="X4795" s="456"/>
      <c r="Y4795" s="436"/>
      <c r="Z4795" s="437"/>
      <c r="AA4795" s="560"/>
      <c r="AB4795" s="561"/>
      <c r="AC4795" s="87"/>
      <c r="AD4795" s="466"/>
      <c r="AE4795" s="456"/>
      <c r="AF4795" s="467"/>
      <c r="AG4795" s="87"/>
      <c r="AH4795" s="87"/>
      <c r="AI4795" s="87"/>
    </row>
    <row r="4796" spans="1:35" hidden="1">
      <c r="A4796" s="80" t="e">
        <f>"D"&amp;E4789</f>
        <v>#N/A</v>
      </c>
      <c r="B4796" s="105">
        <v>4</v>
      </c>
      <c r="C4796" s="107"/>
      <c r="D4796" s="107"/>
      <c r="E4796" s="107"/>
      <c r="F4796" s="107"/>
      <c r="G4796" s="83"/>
      <c r="H4796" s="83"/>
      <c r="I4796" s="84"/>
      <c r="J4796" s="85"/>
      <c r="K4796" s="382"/>
      <c r="L4796" s="85"/>
      <c r="M4796" s="332" t="str">
        <f t="shared" si="1420"/>
        <v/>
      </c>
      <c r="N4796" s="86"/>
      <c r="O4796" s="453" t="str">
        <f t="shared" si="1422"/>
        <v/>
      </c>
      <c r="P4796" s="538" t="str">
        <f t="shared" si="1423"/>
        <v/>
      </c>
      <c r="Q4796" s="539" t="str">
        <f t="shared" si="1421"/>
        <v/>
      </c>
      <c r="R4796" s="706"/>
      <c r="S4796" s="707"/>
      <c r="T4796" s="708"/>
      <c r="U4796" s="472"/>
      <c r="V4796" s="166"/>
      <c r="W4796" s="446"/>
      <c r="X4796" s="456"/>
      <c r="Y4796" s="436"/>
      <c r="Z4796" s="437"/>
      <c r="AA4796" s="560"/>
      <c r="AB4796" s="561"/>
      <c r="AC4796" s="87"/>
      <c r="AD4796" s="466"/>
      <c r="AE4796" s="456"/>
      <c r="AF4796" s="467"/>
      <c r="AG4796" s="87"/>
      <c r="AH4796" s="87"/>
      <c r="AI4796" s="87"/>
    </row>
    <row r="4797" spans="1:35" hidden="1">
      <c r="A4797" s="80" t="e">
        <f>"E"&amp;E4789</f>
        <v>#N/A</v>
      </c>
      <c r="B4797" s="105">
        <v>5</v>
      </c>
      <c r="C4797" s="107"/>
      <c r="D4797" s="107"/>
      <c r="E4797" s="107"/>
      <c r="F4797" s="107"/>
      <c r="G4797" s="83"/>
      <c r="H4797" s="83"/>
      <c r="I4797" s="84"/>
      <c r="J4797" s="85"/>
      <c r="K4797" s="382"/>
      <c r="L4797" s="85"/>
      <c r="M4797" s="332" t="str">
        <f t="shared" si="1420"/>
        <v/>
      </c>
      <c r="N4797" s="86"/>
      <c r="O4797" s="453" t="str">
        <f t="shared" si="1422"/>
        <v/>
      </c>
      <c r="P4797" s="538" t="str">
        <f t="shared" si="1423"/>
        <v/>
      </c>
      <c r="Q4797" s="539" t="str">
        <f t="shared" si="1421"/>
        <v/>
      </c>
      <c r="R4797" s="706"/>
      <c r="S4797" s="707"/>
      <c r="T4797" s="708"/>
      <c r="U4797" s="472"/>
      <c r="V4797" s="167"/>
      <c r="W4797" s="446"/>
      <c r="X4797" s="456"/>
      <c r="Y4797" s="436"/>
      <c r="Z4797" s="437"/>
      <c r="AA4797" s="560"/>
      <c r="AB4797" s="561"/>
      <c r="AC4797" s="87"/>
      <c r="AD4797" s="466"/>
      <c r="AE4797" s="456"/>
      <c r="AF4797" s="467"/>
      <c r="AG4797" s="87"/>
      <c r="AH4797" s="87"/>
      <c r="AI4797" s="87"/>
    </row>
    <row r="4798" spans="1:35" hidden="1">
      <c r="A4798" s="80" t="e">
        <f>"F"&amp;E4789</f>
        <v>#N/A</v>
      </c>
      <c r="B4798" s="105">
        <v>6</v>
      </c>
      <c r="C4798" s="107"/>
      <c r="D4798" s="107"/>
      <c r="E4798" s="107"/>
      <c r="F4798" s="107"/>
      <c r="G4798" s="83"/>
      <c r="H4798" s="83"/>
      <c r="I4798" s="84"/>
      <c r="J4798" s="85"/>
      <c r="K4798" s="382"/>
      <c r="L4798" s="85"/>
      <c r="M4798" s="332" t="str">
        <f t="shared" si="1420"/>
        <v/>
      </c>
      <c r="N4798" s="86"/>
      <c r="O4798" s="453" t="str">
        <f t="shared" si="1422"/>
        <v/>
      </c>
      <c r="P4798" s="538" t="str">
        <f t="shared" si="1423"/>
        <v/>
      </c>
      <c r="Q4798" s="539" t="str">
        <f t="shared" si="1421"/>
        <v/>
      </c>
      <c r="R4798" s="706"/>
      <c r="S4798" s="707"/>
      <c r="T4798" s="708"/>
      <c r="U4798" s="472"/>
      <c r="V4798" s="167"/>
      <c r="W4798" s="446"/>
      <c r="X4798" s="456"/>
      <c r="Y4798" s="436"/>
      <c r="Z4798" s="437"/>
      <c r="AA4798" s="560"/>
      <c r="AB4798" s="561"/>
      <c r="AC4798" s="87"/>
      <c r="AD4798" s="466"/>
      <c r="AE4798" s="456"/>
      <c r="AF4798" s="467"/>
      <c r="AG4798" s="87"/>
      <c r="AH4798" s="87"/>
      <c r="AI4798" s="87"/>
    </row>
    <row r="4799" spans="1:35" hidden="1">
      <c r="A4799" s="80" t="e">
        <f>"G"&amp;E4789</f>
        <v>#N/A</v>
      </c>
      <c r="B4799" s="105">
        <v>7</v>
      </c>
      <c r="C4799" s="107"/>
      <c r="D4799" s="107"/>
      <c r="E4799" s="107"/>
      <c r="F4799" s="107"/>
      <c r="G4799" s="83"/>
      <c r="H4799" s="83"/>
      <c r="I4799" s="84"/>
      <c r="J4799" s="85"/>
      <c r="K4799" s="382"/>
      <c r="L4799" s="85"/>
      <c r="M4799" s="332" t="str">
        <f t="shared" si="1420"/>
        <v/>
      </c>
      <c r="N4799" s="86"/>
      <c r="O4799" s="86" t="str">
        <f t="shared" si="1422"/>
        <v/>
      </c>
      <c r="P4799" s="538" t="str">
        <f t="shared" si="1423"/>
        <v/>
      </c>
      <c r="Q4799" s="539" t="str">
        <f t="shared" si="1421"/>
        <v/>
      </c>
      <c r="R4799" s="706"/>
      <c r="S4799" s="707"/>
      <c r="T4799" s="708"/>
      <c r="U4799" s="472"/>
      <c r="V4799" s="167"/>
      <c r="W4799" s="446"/>
      <c r="X4799" s="456"/>
      <c r="Y4799" s="436"/>
      <c r="Z4799" s="437"/>
      <c r="AA4799" s="560"/>
      <c r="AB4799" s="561"/>
      <c r="AC4799" s="87"/>
      <c r="AD4799" s="466"/>
      <c r="AE4799" s="456"/>
      <c r="AF4799" s="467"/>
      <c r="AG4799" s="87"/>
      <c r="AH4799" s="87"/>
      <c r="AI4799" s="87"/>
    </row>
    <row r="4800" spans="1:35" hidden="1">
      <c r="A4800" s="80" t="e">
        <f>"H"&amp;E4789</f>
        <v>#N/A</v>
      </c>
      <c r="B4800" s="105">
        <v>8</v>
      </c>
      <c r="C4800" s="107"/>
      <c r="D4800" s="107"/>
      <c r="E4800" s="107"/>
      <c r="F4800" s="107"/>
      <c r="G4800" s="83"/>
      <c r="H4800" s="83"/>
      <c r="I4800" s="84"/>
      <c r="J4800" s="85"/>
      <c r="K4800" s="382"/>
      <c r="L4800" s="85"/>
      <c r="M4800" s="332" t="str">
        <f t="shared" si="1420"/>
        <v/>
      </c>
      <c r="N4800" s="453"/>
      <c r="O4800" s="86" t="str">
        <f t="shared" si="1422"/>
        <v/>
      </c>
      <c r="P4800" s="538" t="str">
        <f t="shared" si="1423"/>
        <v/>
      </c>
      <c r="Q4800" s="539" t="str">
        <f t="shared" si="1421"/>
        <v/>
      </c>
      <c r="R4800" s="706"/>
      <c r="S4800" s="707"/>
      <c r="T4800" s="708"/>
      <c r="U4800" s="472"/>
      <c r="V4800" s="167"/>
      <c r="W4800" s="446"/>
      <c r="X4800" s="456"/>
      <c r="Y4800" s="436"/>
      <c r="Z4800" s="437"/>
      <c r="AA4800" s="560"/>
      <c r="AB4800" s="561"/>
      <c r="AC4800" s="87"/>
      <c r="AD4800" s="466"/>
      <c r="AE4800" s="456"/>
      <c r="AF4800" s="467"/>
      <c r="AG4800" s="87"/>
      <c r="AH4800" s="87"/>
      <c r="AI4800" s="87"/>
    </row>
    <row r="4801" spans="1:35" hidden="1">
      <c r="A4801" s="80" t="e">
        <f>"I"&amp;E4789</f>
        <v>#N/A</v>
      </c>
      <c r="B4801" s="105">
        <v>9</v>
      </c>
      <c r="C4801" s="107"/>
      <c r="D4801" s="107"/>
      <c r="E4801" s="107"/>
      <c r="F4801" s="107"/>
      <c r="G4801" s="83"/>
      <c r="H4801" s="83"/>
      <c r="I4801" s="84"/>
      <c r="J4801" s="85"/>
      <c r="K4801" s="382"/>
      <c r="L4801" s="85"/>
      <c r="M4801" s="332" t="str">
        <f t="shared" si="1420"/>
        <v/>
      </c>
      <c r="N4801" s="453"/>
      <c r="O4801" s="86" t="str">
        <f t="shared" si="1422"/>
        <v/>
      </c>
      <c r="P4801" s="538" t="str">
        <f t="shared" si="1423"/>
        <v/>
      </c>
      <c r="Q4801" s="539" t="str">
        <f t="shared" si="1421"/>
        <v/>
      </c>
      <c r="R4801" s="706"/>
      <c r="S4801" s="707"/>
      <c r="T4801" s="708"/>
      <c r="U4801" s="472"/>
      <c r="V4801" s="167"/>
      <c r="W4801" s="446"/>
      <c r="X4801" s="456"/>
      <c r="Y4801" s="436"/>
      <c r="Z4801" s="437"/>
      <c r="AA4801" s="560"/>
      <c r="AB4801" s="561"/>
      <c r="AC4801" s="87"/>
      <c r="AD4801" s="466"/>
      <c r="AE4801" s="456"/>
      <c r="AF4801" s="467"/>
      <c r="AG4801" s="87"/>
      <c r="AH4801" s="87"/>
      <c r="AI4801" s="87"/>
    </row>
    <row r="4802" spans="1:35" hidden="1">
      <c r="A4802" s="80" t="e">
        <f>"J"&amp;E4789</f>
        <v>#N/A</v>
      </c>
      <c r="B4802" s="105">
        <v>10</v>
      </c>
      <c r="C4802" s="107"/>
      <c r="D4802" s="107"/>
      <c r="E4802" s="107"/>
      <c r="F4802" s="107"/>
      <c r="G4802" s="83"/>
      <c r="H4802" s="83"/>
      <c r="I4802" s="84"/>
      <c r="J4802" s="85"/>
      <c r="K4802" s="382"/>
      <c r="L4802" s="85"/>
      <c r="M4802" s="332" t="str">
        <f t="shared" si="1420"/>
        <v/>
      </c>
      <c r="N4802" s="453"/>
      <c r="O4802" s="86" t="str">
        <f t="shared" si="1422"/>
        <v/>
      </c>
      <c r="P4802" s="538" t="str">
        <f t="shared" si="1423"/>
        <v/>
      </c>
      <c r="Q4802" s="539" t="str">
        <f t="shared" si="1421"/>
        <v/>
      </c>
      <c r="R4802" s="706"/>
      <c r="S4802" s="707"/>
      <c r="T4802" s="708"/>
      <c r="U4802" s="472"/>
      <c r="V4802" s="167"/>
      <c r="W4802" s="446"/>
      <c r="X4802" s="456"/>
      <c r="Y4802" s="436"/>
      <c r="Z4802" s="437"/>
      <c r="AA4802" s="560"/>
      <c r="AB4802" s="561"/>
      <c r="AC4802" s="87"/>
      <c r="AD4802" s="466"/>
      <c r="AE4802" s="456"/>
      <c r="AF4802" s="467"/>
      <c r="AG4802" s="87"/>
      <c r="AH4802" s="87"/>
      <c r="AI4802" s="87"/>
    </row>
    <row r="4803" spans="1:35" ht="16.5" hidden="1" thickBot="1">
      <c r="A4803" s="44"/>
      <c r="B4803" s="89"/>
      <c r="C4803" s="90"/>
      <c r="D4803" s="90"/>
      <c r="E4803" s="90"/>
      <c r="F4803" s="90"/>
      <c r="G4803" s="90"/>
      <c r="H4803" s="90"/>
      <c r="I4803" s="90"/>
      <c r="J4803" s="90"/>
      <c r="K4803" s="90"/>
      <c r="L4803" s="90"/>
      <c r="M4803" s="90"/>
      <c r="N4803" s="90"/>
      <c r="O4803" s="90"/>
      <c r="P4803" s="90"/>
      <c r="Q4803" s="90"/>
      <c r="R4803" s="90"/>
      <c r="S4803" s="91"/>
      <c r="T4803" s="92"/>
      <c r="U4803" s="473"/>
      <c r="W4803" s="438"/>
      <c r="X4803" s="455"/>
      <c r="Y4803" s="439"/>
      <c r="Z4803" s="437"/>
      <c r="AA4803" s="530"/>
      <c r="AB4803" s="563"/>
      <c r="AC4803" s="87"/>
      <c r="AD4803" s="440"/>
      <c r="AE4803" s="441"/>
      <c r="AF4803" s="442"/>
      <c r="AG4803" s="49"/>
      <c r="AH4803" s="87"/>
      <c r="AI4803" s="87"/>
    </row>
    <row r="4804" spans="1:35" ht="16.5" hidden="1" thickBot="1">
      <c r="A4804" s="93"/>
      <c r="B4804" s="94"/>
      <c r="C4804" s="96"/>
      <c r="D4804" s="96"/>
      <c r="E4804" s="96"/>
      <c r="F4804" s="96"/>
      <c r="G4804" s="96"/>
      <c r="H4804" s="96"/>
      <c r="I4804" s="96"/>
      <c r="J4804" s="96"/>
      <c r="K4804" s="96"/>
      <c r="L4804" s="96"/>
      <c r="M4804" s="136"/>
      <c r="N4804" s="96"/>
      <c r="O4804" s="96"/>
      <c r="P4804" s="97"/>
      <c r="Q4804" s="97"/>
      <c r="R4804" s="98"/>
      <c r="S4804" s="95"/>
      <c r="T4804" s="99"/>
      <c r="U4804" s="469"/>
      <c r="AC4804" s="58"/>
      <c r="AG4804" s="58"/>
      <c r="AH4804" s="87"/>
      <c r="AI4804" s="87"/>
    </row>
    <row r="4805" spans="1:35" ht="16.5" hidden="1" thickBot="1">
      <c r="B4805" s="101"/>
      <c r="C4805" s="101"/>
      <c r="D4805" s="101"/>
      <c r="E4805" s="101"/>
      <c r="F4805" s="101"/>
      <c r="G4805" s="101"/>
      <c r="H4805" s="101"/>
      <c r="I4805" s="101"/>
      <c r="J4805" s="101"/>
      <c r="K4805" s="101"/>
      <c r="L4805" s="101"/>
      <c r="M4805" s="101"/>
      <c r="N4805" s="101"/>
      <c r="O4805" s="101"/>
      <c r="P4805" s="101"/>
      <c r="Q4805" s="101"/>
      <c r="R4805" s="101"/>
      <c r="S4805" s="101"/>
      <c r="U4805" s="50"/>
      <c r="AH4805" s="87"/>
      <c r="AI4805" s="87"/>
    </row>
    <row r="4806" spans="1:35" ht="16.5" hidden="1" customHeight="1" thickBot="1">
      <c r="A4806" s="44"/>
      <c r="B4806" s="705" t="s">
        <v>74</v>
      </c>
      <c r="C4806" s="705"/>
      <c r="D4806" s="705"/>
      <c r="E4806" s="705"/>
      <c r="F4806" s="705"/>
      <c r="G4806" s="705"/>
      <c r="H4806" s="705"/>
      <c r="I4806" s="705"/>
      <c r="J4806" s="705"/>
      <c r="K4806" s="705"/>
      <c r="L4806" s="705"/>
      <c r="M4806" s="705"/>
      <c r="N4806" s="705"/>
      <c r="O4806" s="705"/>
      <c r="P4806" s="705"/>
      <c r="Q4806" s="705"/>
      <c r="R4806" s="705"/>
      <c r="S4806" s="705"/>
      <c r="T4806" s="705"/>
      <c r="U4806" s="108"/>
      <c r="Y4806" s="532" t="s">
        <v>341</v>
      </c>
      <c r="AC4806" s="49"/>
      <c r="AD4806" s="687" t="s">
        <v>302</v>
      </c>
      <c r="AE4806" s="688"/>
      <c r="AF4806" s="689"/>
      <c r="AG4806" s="49"/>
      <c r="AH4806" s="87"/>
      <c r="AI4806" s="87"/>
    </row>
    <row r="4807" spans="1:35" ht="16.5" hidden="1" customHeight="1" thickBot="1">
      <c r="A4807" s="218" t="e">
        <f>"K"&amp;E4789</f>
        <v>#N/A</v>
      </c>
      <c r="B4807" s="701" t="s">
        <v>71</v>
      </c>
      <c r="C4807" s="751" t="s">
        <v>102</v>
      </c>
      <c r="D4807" s="751"/>
      <c r="E4807" s="751"/>
      <c r="F4807" s="751"/>
      <c r="G4807" s="751"/>
      <c r="H4807" s="751"/>
      <c r="I4807" s="751"/>
      <c r="J4807" s="751"/>
      <c r="K4807" s="751"/>
      <c r="L4807" s="722" t="s">
        <v>100</v>
      </c>
      <c r="M4807" s="747" t="s">
        <v>114</v>
      </c>
      <c r="N4807" s="747"/>
      <c r="O4807" s="747"/>
      <c r="P4807" s="747"/>
      <c r="Q4807" s="748"/>
      <c r="R4807" s="758" t="s">
        <v>280</v>
      </c>
      <c r="S4807" s="748"/>
      <c r="T4807" s="762" t="str">
        <f>IF(COUNTIF(AE4807:AF4807,"VERIFICAR")&gt;0,"VERIFICAR",IF(COUNTIF(AE4807:AF4807,"NO CUMPLE")&gt;0,"NO CUMPLE","CUMPLE"))</f>
        <v>VERIFICAR</v>
      </c>
      <c r="U4807" s="108"/>
      <c r="Y4807" s="533" t="e">
        <f>IF(F4808="","",IF(F4808=1,"INDIVIDUAL","ESTRUCTURA PLURAL"))</f>
        <v>#N/A</v>
      </c>
      <c r="AC4807" s="52"/>
      <c r="AD4807" s="475" t="s">
        <v>303</v>
      </c>
      <c r="AE4807" s="476" t="str">
        <f>IF(COUNTIF(AE4793:AE4802,"")=10,"VERIFICAR",IF(COUNTIF(AE4793:AE4802,"SI")&gt;0,"CUMPLE","NO CUMPLE"))</f>
        <v>VERIFICAR</v>
      </c>
      <c r="AF4807" s="477" t="str">
        <f>IF(COUNTIF(AF4793:AF4802,"")=10,"VERIFICAR",IF(COUNTIF(AF4793:AF4802,"SI")&gt;=$AI$22,"CUMPLE","NO CUMPLE"))</f>
        <v>VERIFICAR</v>
      </c>
      <c r="AG4807" s="52"/>
      <c r="AH4807" s="87"/>
      <c r="AI4807" s="87"/>
    </row>
    <row r="4808" spans="1:35" ht="15.75" hidden="1" customHeight="1" thickBot="1">
      <c r="A4808" s="218" t="e">
        <f>"L"&amp;E4789</f>
        <v>#N/A</v>
      </c>
      <c r="B4808" s="702"/>
      <c r="C4808" s="751" t="s">
        <v>103</v>
      </c>
      <c r="D4808" s="751"/>
      <c r="E4808" s="752"/>
      <c r="F4808" s="557" t="e">
        <f>IF(VLOOKUP(E4789,PROPONENTES!$C$19:$E$218,3,0)="","",VLOOKUP(E4789,PROPONENTES!$C$19:$E$218,3,0))</f>
        <v>#N/A</v>
      </c>
      <c r="G4808" s="753" t="s">
        <v>104</v>
      </c>
      <c r="H4808" s="751"/>
      <c r="I4808" s="715" t="e">
        <f>IF(OR(F4808="",F4808=1),"INTERESADO PERSONA NATURAL O JURIDICA","CONSORCIO O UNION TEMPORAL")</f>
        <v>#N/A</v>
      </c>
      <c r="J4808" s="725"/>
      <c r="K4808" s="728"/>
      <c r="L4808" s="723"/>
      <c r="M4808" s="749"/>
      <c r="N4808" s="749"/>
      <c r="O4808" s="749"/>
      <c r="P4808" s="749"/>
      <c r="Q4808" s="750"/>
      <c r="R4808" s="712"/>
      <c r="S4808" s="750"/>
      <c r="T4808" s="763"/>
      <c r="U4808" s="108"/>
      <c r="Y4808" s="534"/>
      <c r="AA4808" s="52"/>
      <c r="AB4808" s="52"/>
      <c r="AC4808" s="52"/>
      <c r="AG4808" s="52"/>
      <c r="AH4808" s="87"/>
      <c r="AI4808" s="87"/>
    </row>
    <row r="4809" spans="1:35" ht="56.25" hidden="1" customHeight="1" thickBot="1">
      <c r="A4809" s="218" t="e">
        <f>"M"&amp;E4789</f>
        <v>#N/A</v>
      </c>
      <c r="B4809" s="702"/>
      <c r="C4809" s="725" t="s">
        <v>101</v>
      </c>
      <c r="D4809" s="716"/>
      <c r="E4809" s="558" t="s">
        <v>105</v>
      </c>
      <c r="F4809" s="554" t="s">
        <v>87</v>
      </c>
      <c r="G4809" s="553" t="s">
        <v>86</v>
      </c>
      <c r="H4809" s="559" t="s">
        <v>85</v>
      </c>
      <c r="I4809" s="554" t="s">
        <v>252</v>
      </c>
      <c r="J4809" s="553" t="str">
        <f>"¿EL INTEGRANTE TIENE UNA PARTICIPACIÓN DEL "&amp;PORCREQUERIDOINT*100&amp;"%?"</f>
        <v>¿EL INTEGRANTE TIENE UNA PARTICIPACIÓN DEL 60%?</v>
      </c>
      <c r="K4809" s="554" t="s">
        <v>107</v>
      </c>
      <c r="L4809" s="724"/>
      <c r="M4809" s="717" t="s">
        <v>115</v>
      </c>
      <c r="N4809" s="718"/>
      <c r="O4809" s="718"/>
      <c r="P4809" s="718"/>
      <c r="Q4809" s="223">
        <f>IF(AND(H4793="SI",P4793&gt;=0),1,0)+IF(AND(H4794="SI",P4794&gt;=0),1,0)+IF(AND(H4795="SI",P4795&gt;=0),1,0)+IF(AND(H4796="SI",P4796&gt;=0),1,0)+IF(AND(H4797="SI",P4797&gt;=0),1,0)+IF(AND(H4798="SI",P4798&gt;=0),1,0)+IF(AND(H4799="SI",P4799&gt;=0),1,0)+IF(AND(H4800="SI",P4800&gt;=0),1,0)+IF(AND(H4801="SI",P4801&gt;=0),1,0)+IF(AND(H4802="SI",P4802&gt;=0),1,0)</f>
        <v>0</v>
      </c>
      <c r="R4809" s="759"/>
      <c r="S4809" s="761"/>
      <c r="T4809" s="764"/>
      <c r="U4809" s="219"/>
      <c r="V4809" s="464"/>
      <c r="Y4809" s="532" t="s">
        <v>342</v>
      </c>
      <c r="AA4809" s="550" t="s">
        <v>344</v>
      </c>
      <c r="AB4809" s="693" t="s">
        <v>345</v>
      </c>
      <c r="AC4809" s="693" t="s">
        <v>346</v>
      </c>
      <c r="AD4809" s="685" t="s">
        <v>347</v>
      </c>
      <c r="AE4809" s="52"/>
      <c r="AF4809" s="52"/>
      <c r="AG4809" s="52"/>
      <c r="AH4809" s="87"/>
      <c r="AI4809" s="87"/>
    </row>
    <row r="4810" spans="1:35" ht="15.75" hidden="1" customHeight="1" thickBot="1">
      <c r="A4810" s="218" t="e">
        <f>"N"&amp;E4789</f>
        <v>#N/A</v>
      </c>
      <c r="B4810" s="702"/>
      <c r="C4810" s="114">
        <v>1</v>
      </c>
      <c r="D4810" s="194" t="e">
        <f>IF(AND(C4810&lt;=F4808,F4808&gt;1,F4808&lt;&gt;""),VLOOKUP(VALUE(E4789&amp;","&amp;C4810),INTEGRANTES!$D$18:$F$235,2,0),"")</f>
        <v>#N/A</v>
      </c>
      <c r="E4810" s="211" t="e">
        <f>IF(D4810&lt;&gt;"",VLOOKUP(VALUE(E4789&amp;","&amp;C4810),INTEGRANTES!$D$18:$F$235,3,0),"")</f>
        <v>#N/A</v>
      </c>
      <c r="F4810" s="547" t="e">
        <f>IF(D4810="","",SUMIF($I4793:$I4802,D4810,$P4793:$P4802))</f>
        <v>#N/A</v>
      </c>
      <c r="G4810" s="333" t="e">
        <f>IF(D4810="","",SUMIF($I4793:$I4802,D4810,$M4793:$M4802))</f>
        <v>#N/A</v>
      </c>
      <c r="H4810" s="535" t="e">
        <f t="shared" ref="H4810:H4815" si="1424">IF(D4810="","",IF(OR(F4810=0,G4810=0),"NO APORTA",ROUND($F4810/$G4810,3)))</f>
        <v>#N/A</v>
      </c>
      <c r="I4810" s="212" t="e">
        <f>IF(D4810="","",IF(H4810="NO APORTA","NO",IF(H4810=MAX($H4810:$H4815),"SI","NO")))</f>
        <v>#N/A</v>
      </c>
      <c r="J4810" s="213" t="e">
        <f t="shared" ref="J4810:J4815" si="1425">IF(D4810="","",IF(E4810&gt;=PORCREQUERIDOINT,"SI","NO"))</f>
        <v>#N/A</v>
      </c>
      <c r="K4810" s="200" t="e">
        <f t="shared" ref="K4810:K4815" si="1426">IF(D4810="","",IF(AND(I4810="SI",J4810="SI"),"CUMPLE",IF(AND(I4810="NO",OR(J4810="SI",J4810="NO")),"","NO CUMPLE")))</f>
        <v>#N/A</v>
      </c>
      <c r="L4810" s="722" t="s">
        <v>108</v>
      </c>
      <c r="M4810" s="726" t="s">
        <v>119</v>
      </c>
      <c r="N4810" s="726"/>
      <c r="O4810" s="726"/>
      <c r="P4810" s="726"/>
      <c r="Q4810" s="727"/>
      <c r="R4810" s="758" t="s">
        <v>80</v>
      </c>
      <c r="S4810" s="747"/>
      <c r="T4810" s="748"/>
      <c r="U4810" s="219"/>
      <c r="V4810" s="464"/>
      <c r="Y4810" s="533" t="e">
        <f>IF(Y4807="","",IF(Y4807="INDIVIDUAL","NO APLICA","VERIFICAR CUADRO"))</f>
        <v>#N/A</v>
      </c>
      <c r="AA4810" s="551"/>
      <c r="AB4810" s="694"/>
      <c r="AC4810" s="694"/>
      <c r="AD4810" s="686"/>
      <c r="AE4810" s="52"/>
      <c r="AF4810" s="52"/>
      <c r="AG4810" s="52"/>
      <c r="AH4810" s="87"/>
      <c r="AI4810" s="87"/>
    </row>
    <row r="4811" spans="1:35" ht="27" hidden="1" customHeight="1" thickBot="1">
      <c r="A4811" s="218" t="e">
        <f>"O"&amp;E4789</f>
        <v>#N/A</v>
      </c>
      <c r="B4811" s="702"/>
      <c r="C4811" s="114">
        <v>2</v>
      </c>
      <c r="D4811" s="194" t="e">
        <f>IF(AND(C4811&lt;=F4808,F4808&lt;&gt;""),VLOOKUP(VALUE(E4789&amp;","&amp;C4811),INTEGRANTES!$D$18:$F$235,2,0),"")</f>
        <v>#N/A</v>
      </c>
      <c r="E4811" s="211" t="e">
        <f>IF(D4811&lt;&gt;"",VLOOKUP(VALUE(E4789&amp;","&amp;C4811),INTEGRANTES!$D$18:$F$235,3,0),"")</f>
        <v>#N/A</v>
      </c>
      <c r="F4811" s="547" t="e">
        <f>IF(D4811="","",SUMIF($I4793:$I4802,D4811,$P4793:$P4802))</f>
        <v>#N/A</v>
      </c>
      <c r="G4811" s="333" t="e">
        <f>IF(D4811="","",SUMIF($I4793:$I4802,D4811,$M4793:$M4802))</f>
        <v>#N/A</v>
      </c>
      <c r="H4811" s="535" t="e">
        <f t="shared" si="1424"/>
        <v>#N/A</v>
      </c>
      <c r="I4811" s="212" t="e">
        <f>IF(D4811="","",IF(H4811="NO APORTA","NO",IF(H4811=MAX($H4810:$H4815),"SI","NO")))</f>
        <v>#N/A</v>
      </c>
      <c r="J4811" s="213" t="e">
        <f t="shared" si="1425"/>
        <v>#N/A</v>
      </c>
      <c r="K4811" s="200" t="e">
        <f t="shared" si="1426"/>
        <v>#N/A</v>
      </c>
      <c r="L4811" s="723"/>
      <c r="M4811" s="715" t="s">
        <v>116</v>
      </c>
      <c r="N4811" s="716"/>
      <c r="O4811" s="556" t="s">
        <v>113</v>
      </c>
      <c r="P4811" s="715" t="s">
        <v>117</v>
      </c>
      <c r="Q4811" s="728"/>
      <c r="R4811" s="759"/>
      <c r="S4811" s="760"/>
      <c r="T4811" s="761"/>
      <c r="U4811" s="219"/>
      <c r="V4811" s="464"/>
      <c r="Y4811" s="414"/>
      <c r="AA4811" s="542" t="e">
        <f>IF(AND(C4810&lt;=F4808,F4808&gt;1,F4808&lt;&gt;""),VLOOKUP(VALUE(E4789&amp;","&amp;C4810),INTEGRANTES!$D$18:$F$235,2,0),"")</f>
        <v>#N/A</v>
      </c>
      <c r="AB4811" s="544" t="e">
        <f t="shared" ref="AB4811:AB4816" si="1427">IF(D4810="","",IF(OR(F4810=0,G4810=0),"NO APORTA",ROUND($F4810/$G4810,3)))</f>
        <v>#N/A</v>
      </c>
      <c r="AC4811" s="529"/>
      <c r="AD4811" s="200" t="e">
        <f t="shared" ref="AD4811:AD4816" si="1428">IF(OR(AA4811="",AB4811=""),"",IF(AND(AC4811="X",AB4811&gt;=EXPREQVTD),"CUMPLE","NO CUMPLE"))</f>
        <v>#N/A</v>
      </c>
      <c r="AE4811" s="52"/>
      <c r="AF4811" s="52"/>
      <c r="AG4811" s="52"/>
      <c r="AH4811" s="87"/>
      <c r="AI4811" s="87"/>
    </row>
    <row r="4812" spans="1:35" ht="16.5" hidden="1" thickBot="1">
      <c r="A4812" s="218" t="e">
        <f>"P"&amp;E4789</f>
        <v>#N/A</v>
      </c>
      <c r="B4812" s="702"/>
      <c r="C4812" s="114">
        <v>3</v>
      </c>
      <c r="D4812" s="194" t="e">
        <f>IF(AND(C4812&lt;=F4808,F4808&lt;&gt;""),VLOOKUP(VALUE(E4789&amp;","&amp;C4812),INTEGRANTES!$D$18:$F$235,2,0),"")</f>
        <v>#N/A</v>
      </c>
      <c r="E4812" s="211" t="e">
        <f>IF(D4812&lt;&gt;"",VLOOKUP(VALUE(E4789&amp;","&amp;C4812),INTEGRANTES!$D$18:$F$235,3,0),"")</f>
        <v>#N/A</v>
      </c>
      <c r="F4812" s="547" t="e">
        <f>IF(D4812="","",SUMIF($I4793:$I4802,D4812,$P4793:$P4802))</f>
        <v>#N/A</v>
      </c>
      <c r="G4812" s="333" t="e">
        <f>IF(D4812="","",SUMIF($I4793:$I4802,D4812,$M4793:$M4802))</f>
        <v>#N/A</v>
      </c>
      <c r="H4812" s="535" t="e">
        <f t="shared" si="1424"/>
        <v>#N/A</v>
      </c>
      <c r="I4812" s="212" t="e">
        <f>IF(D4812="","",IF(H4812="NO APORTA","NO",IF(H4812=MAX($H4810:$H4815),"SI","NO")))</f>
        <v>#N/A</v>
      </c>
      <c r="J4812" s="213" t="e">
        <f t="shared" si="1425"/>
        <v>#N/A</v>
      </c>
      <c r="K4812" s="200" t="e">
        <f t="shared" si="1426"/>
        <v>#N/A</v>
      </c>
      <c r="L4812" s="724"/>
      <c r="M4812" s="729">
        <f>NUMMOD</f>
        <v>1</v>
      </c>
      <c r="N4812" s="730"/>
      <c r="O4812" s="443">
        <f>IF(M4812="","",VLOOKUP(M4812,PRESUPUESTOS!$B$16:$H$16,5,FALSE))</f>
        <v>2</v>
      </c>
      <c r="P4812" s="713">
        <f>IF(OR(COUNTIF(M4793:M4802,"")&gt;=10,Q4809&lt;NUMMINCONT,OR(T4807="NO CUMPLE",T4807="VERIFICAR")),0,ROUND(AVERAGE(M4793:M4802),3))</f>
        <v>0</v>
      </c>
      <c r="Q4812" s="714"/>
      <c r="R4812" s="458"/>
      <c r="S4812" s="459"/>
      <c r="T4812" s="460"/>
      <c r="U4812" s="219"/>
      <c r="V4812" s="464"/>
      <c r="Y4812" s="532" t="str">
        <f>"40% * ("&amp;PRESUPUESTOS!$H$13&amp;")"</f>
        <v>40% * (50% PFMO)</v>
      </c>
      <c r="AA4812" s="540" t="e">
        <f>IF(AND(C4811&lt;=F4808,F4808&lt;&gt;""),VLOOKUP(VALUE(E4789&amp;","&amp;C4811),INTEGRANTES!$D$18:$F$235,2,0),"")</f>
        <v>#N/A</v>
      </c>
      <c r="AB4812" s="545" t="e">
        <f t="shared" si="1427"/>
        <v>#N/A</v>
      </c>
      <c r="AC4812" s="529"/>
      <c r="AD4812" s="200" t="e">
        <f t="shared" si="1428"/>
        <v>#N/A</v>
      </c>
      <c r="AE4812" s="52"/>
      <c r="AF4812" s="52"/>
      <c r="AG4812" s="52"/>
      <c r="AH4812" s="87"/>
      <c r="AI4812" s="87"/>
    </row>
    <row r="4813" spans="1:35" ht="15.75" hidden="1" customHeight="1" thickBot="1">
      <c r="A4813" s="218" t="e">
        <f>"Q"&amp;E4789</f>
        <v>#N/A</v>
      </c>
      <c r="B4813" s="702"/>
      <c r="C4813" s="114">
        <v>4</v>
      </c>
      <c r="D4813" s="194" t="e">
        <f>IF(AND(C4813&lt;=F4808,F4808&lt;&gt;""),VLOOKUP(VALUE(E4789&amp;","&amp;C4813),INTEGRANTES!$D$18:$F$235,2,0),"")</f>
        <v>#N/A</v>
      </c>
      <c r="E4813" s="211" t="e">
        <f>IF(D4813&lt;&gt;"",VLOOKUP(VALUE(E4789&amp;","&amp;C4813),INTEGRANTES!$D$18:$F$235,3,0),"")</f>
        <v>#N/A</v>
      </c>
      <c r="F4813" s="547" t="e">
        <f>IF(D4813="","",SUMIF($I4793:$I4802,D4813,$P4793:$P4802))</f>
        <v>#N/A</v>
      </c>
      <c r="G4813" s="333" t="e">
        <f>IF(D4813="","",SUMIF($I4793:$I4802,D4813,$M4793:$M4802))</f>
        <v>#N/A</v>
      </c>
      <c r="H4813" s="535" t="e">
        <f t="shared" si="1424"/>
        <v>#N/A</v>
      </c>
      <c r="I4813" s="212" t="e">
        <f>IF(D4813="","",IF(H4813="NO APORTA","NO",IF(H4813=MAX($H4810:$H4815),"SI","NO")))</f>
        <v>#N/A</v>
      </c>
      <c r="J4813" s="213" t="e">
        <f t="shared" si="1425"/>
        <v>#N/A</v>
      </c>
      <c r="K4813" s="200" t="e">
        <f t="shared" si="1426"/>
        <v>#N/A</v>
      </c>
      <c r="L4813" s="720" t="s">
        <v>109</v>
      </c>
      <c r="M4813" s="757" t="s">
        <v>120</v>
      </c>
      <c r="N4813" s="726"/>
      <c r="O4813" s="726"/>
      <c r="P4813" s="726"/>
      <c r="Q4813" s="727"/>
      <c r="R4813" s="458"/>
      <c r="S4813" s="459"/>
      <c r="T4813" s="460"/>
      <c r="U4813" s="219"/>
      <c r="V4813" s="464"/>
      <c r="Y4813" s="537">
        <f>0.4*PRESUPUESTOS!$H$16</f>
        <v>10.3124</v>
      </c>
      <c r="AA4813" s="540" t="e">
        <f>IF(AND(C4812&lt;=F4808,F4808&lt;&gt;""),VLOOKUP(VALUE(E4789&amp;","&amp;C4812),INTEGRANTES!$D$18:$F$235,2,0),"")</f>
        <v>#N/A</v>
      </c>
      <c r="AB4813" s="545" t="e">
        <f t="shared" si="1427"/>
        <v>#N/A</v>
      </c>
      <c r="AC4813" s="529"/>
      <c r="AD4813" s="200" t="e">
        <f t="shared" si="1428"/>
        <v>#N/A</v>
      </c>
      <c r="AE4813" s="52"/>
      <c r="AF4813" s="52"/>
      <c r="AG4813" s="52"/>
      <c r="AH4813" s="87"/>
      <c r="AI4813" s="87"/>
    </row>
    <row r="4814" spans="1:35" ht="27" hidden="1" customHeight="1" thickBot="1">
      <c r="A4814" s="218" t="e">
        <f>"R"&amp;E4789</f>
        <v>#N/A</v>
      </c>
      <c r="B4814" s="702"/>
      <c r="C4814" s="114">
        <v>5</v>
      </c>
      <c r="D4814" s="194" t="e">
        <f>IF(AND(C4814&lt;=F4808,F4808&lt;&gt;""),VLOOKUP(VALUE(E4789&amp;","&amp;C4814),INTEGRANTES!$D$18:$F$235,2,0),"")</f>
        <v>#N/A</v>
      </c>
      <c r="E4814" s="211" t="e">
        <f>IF(D4814&lt;&gt;"",VLOOKUP(VALUE(E4789&amp;","&amp;C4814),INTEGRANTES!$D$18:$F$235,3,0),"")</f>
        <v>#N/A</v>
      </c>
      <c r="F4814" s="547" t="e">
        <f>IF(D4814="","",SUMIF($I4793:$I4802,D4814,$P4793:$P4802))</f>
        <v>#N/A</v>
      </c>
      <c r="G4814" s="333" t="e">
        <f>IF(D4814="","",SUMIF($I4793:$I4802,D4814,$M4793:$M4802))</f>
        <v>#N/A</v>
      </c>
      <c r="H4814" s="535" t="e">
        <f t="shared" si="1424"/>
        <v>#N/A</v>
      </c>
      <c r="I4814" s="212" t="e">
        <f>IF(D4814="","",IF(H4814="NO APORTA","NO",IF(H4814=MAX($H4810:$H4815),"SI","NO")))</f>
        <v>#N/A</v>
      </c>
      <c r="J4814" s="213" t="e">
        <f t="shared" si="1425"/>
        <v>#N/A</v>
      </c>
      <c r="K4814" s="200" t="e">
        <f t="shared" si="1426"/>
        <v>#N/A</v>
      </c>
      <c r="L4814" s="721"/>
      <c r="M4814" s="715" t="s">
        <v>116</v>
      </c>
      <c r="N4814" s="716"/>
      <c r="O4814" s="556" t="str">
        <f>PORCREQUERIDO*100&amp;"% PMFO DEL MÓDULO"</f>
        <v>50% PMFO DEL MÓDULO</v>
      </c>
      <c r="P4814" s="715" t="s">
        <v>118</v>
      </c>
      <c r="Q4814" s="728"/>
      <c r="R4814" s="458"/>
      <c r="S4814" s="459"/>
      <c r="T4814" s="460"/>
      <c r="U4814" s="219"/>
      <c r="V4814" s="464"/>
      <c r="Y4814" s="414"/>
      <c r="AA4814" s="540" t="e">
        <f>IF(AND(C4813&lt;=F4808,F4808&lt;&gt;""),VLOOKUP(VALUE(E4789&amp;","&amp;C4813),INTEGRANTES!$D$18:$F$235,2,0),"")</f>
        <v>#N/A</v>
      </c>
      <c r="AB4814" s="545" t="e">
        <f t="shared" si="1427"/>
        <v>#N/A</v>
      </c>
      <c r="AC4814" s="529"/>
      <c r="AD4814" s="200" t="e">
        <f t="shared" si="1428"/>
        <v>#N/A</v>
      </c>
      <c r="AE4814" s="52"/>
      <c r="AF4814" s="52"/>
      <c r="AG4814" s="52"/>
      <c r="AH4814" s="87"/>
      <c r="AI4814" s="87"/>
    </row>
    <row r="4815" spans="1:35" ht="16.5" hidden="1" thickBot="1">
      <c r="A4815" s="218" t="e">
        <f>"S"&amp;E4789</f>
        <v>#N/A</v>
      </c>
      <c r="B4815" s="702"/>
      <c r="C4815" s="215">
        <v>6</v>
      </c>
      <c r="D4815" s="216" t="e">
        <f>IF(AND(C4815&lt;=F4808,F4808&lt;&gt;""),VLOOKUP(VALUE(E4789&amp;","&amp;C4815),INTEGRANTES!$D$18:$F$235,2,0),"")</f>
        <v>#N/A</v>
      </c>
      <c r="E4815" s="217" t="e">
        <f>IF(D4815&lt;&gt;"",VLOOKUP(VALUE(E4789&amp;","&amp;C4815),INTEGRANTES!$D$18:$F$235,3,0),"")</f>
        <v>#N/A</v>
      </c>
      <c r="F4815" s="548" t="e">
        <f>IF(D4815="","",SUMIF($I4793:$I4802,D4815,$P4793:$P4802))</f>
        <v>#N/A</v>
      </c>
      <c r="G4815" s="334" t="e">
        <f>IF(D4815="","",SUMIF($I4793:$I4802,D4815,$M4793:$M4802))</f>
        <v>#N/A</v>
      </c>
      <c r="H4815" s="536" t="e">
        <f t="shared" si="1424"/>
        <v>#N/A</v>
      </c>
      <c r="I4815" s="214" t="e">
        <f>IF(D4815="","",IF(H4815="NO APORTA","NO",IF(H4815=MAX($H4810:$H4815),"SI","NO")))</f>
        <v>#N/A</v>
      </c>
      <c r="J4815" s="213" t="e">
        <f t="shared" si="1425"/>
        <v>#N/A</v>
      </c>
      <c r="K4815" s="200" t="e">
        <f t="shared" si="1426"/>
        <v>#N/A</v>
      </c>
      <c r="L4815" s="721"/>
      <c r="M4815" s="729">
        <f>NUMMOD</f>
        <v>1</v>
      </c>
      <c r="N4815" s="730"/>
      <c r="O4815" s="443">
        <f>IF(M4815="","",ROUND(VLOOKUP(M4815,PRESUPUESTOS!$B$16:$H$16,7,FALSE),3))</f>
        <v>25.780999999999999</v>
      </c>
      <c r="P4815" s="713">
        <f>IF(OR(COUNTIF(P4793:P4802,"")&gt;=10,Q4809&lt;NUMMINCONT,OR(T4807="NO CUMPLE",T4807="VERIFICAR")),0,ROUND((SUM(P4793:P4802)/SUM(M4793:M4802)),3))</f>
        <v>0</v>
      </c>
      <c r="Q4815" s="714"/>
      <c r="R4815" s="458"/>
      <c r="S4815" s="459"/>
      <c r="T4815" s="460"/>
      <c r="U4815" s="219"/>
      <c r="V4815" s="464"/>
      <c r="Y4815" s="532" t="s">
        <v>343</v>
      </c>
      <c r="AA4815" s="540" t="e">
        <f>IF(AND(C4814&lt;=F4808,F4808&lt;&gt;""),VLOOKUP(VALUE(E4789&amp;","&amp;C4814),INTEGRANTES!$D$18:$F$235,2,0),"")</f>
        <v>#N/A</v>
      </c>
      <c r="AB4815" s="545" t="e">
        <f t="shared" si="1427"/>
        <v>#N/A</v>
      </c>
      <c r="AC4815" s="529"/>
      <c r="AD4815" s="200" t="e">
        <f t="shared" si="1428"/>
        <v>#N/A</v>
      </c>
      <c r="AE4815" s="52"/>
      <c r="AF4815" s="52"/>
      <c r="AG4815" s="52"/>
      <c r="AH4815" s="87"/>
      <c r="AI4815" s="87"/>
    </row>
    <row r="4816" spans="1:35" ht="16.5" hidden="1" customHeight="1" thickBot="1">
      <c r="A4816" s="218" t="e">
        <f>"T"&amp;E4789</f>
        <v>#N/A</v>
      </c>
      <c r="B4816" s="703"/>
      <c r="C4816" s="719"/>
      <c r="D4816" s="719"/>
      <c r="E4816" s="719"/>
      <c r="F4816" s="719"/>
      <c r="G4816" s="719"/>
      <c r="H4816" s="719" t="s">
        <v>110</v>
      </c>
      <c r="I4816" s="719"/>
      <c r="J4816" s="719"/>
      <c r="K4816" s="201" t="str">
        <f>IF(COUNTIF(K4810:K4815,"")=6,"",IF(COUNTIF(K4810:K4815,"CUMPLE")&gt;0,"CUMPLE","NO CUMPLE"))</f>
        <v>NO CUMPLE</v>
      </c>
      <c r="L4816" s="754"/>
      <c r="M4816" s="755"/>
      <c r="N4816" s="755"/>
      <c r="O4816" s="755"/>
      <c r="P4816" s="755"/>
      <c r="Q4816" s="756"/>
      <c r="R4816" s="461"/>
      <c r="S4816" s="462"/>
      <c r="T4816" s="463"/>
      <c r="U4816" s="219"/>
      <c r="V4816" s="464"/>
      <c r="Y4816" s="549" t="e">
        <f>IF(Y4810="NO APLICA","NO APLICA",IF(COUNTIF(AD4811:AD4816,"CUMPLE")&gt;0,"CUMPLE","NO CUMPLE"))</f>
        <v>#N/A</v>
      </c>
      <c r="AA4816" s="541" t="e">
        <f>IF(AND(C4815&lt;=F4808,F4808&lt;&gt;""),VLOOKUP(VALUE(E4789&amp;","&amp;C4815),INTEGRANTES!$D$18:$F$235,2,0),"")</f>
        <v>#N/A</v>
      </c>
      <c r="AB4816" s="546" t="e">
        <f t="shared" si="1427"/>
        <v>#N/A</v>
      </c>
      <c r="AC4816" s="543"/>
      <c r="AD4816" s="201" t="e">
        <f t="shared" si="1428"/>
        <v>#N/A</v>
      </c>
      <c r="AE4816" s="52"/>
      <c r="AF4816" s="52"/>
      <c r="AG4816" s="52"/>
      <c r="AH4816" s="87"/>
      <c r="AI4816" s="87"/>
    </row>
    <row r="4817" spans="1:35" hidden="1">
      <c r="AH4817" s="87"/>
      <c r="AI4817" s="87"/>
    </row>
    <row r="4818" spans="1:35" hidden="1">
      <c r="AH4818" s="87"/>
      <c r="AI4818" s="87"/>
    </row>
    <row r="4819" spans="1:35" ht="24" hidden="1" thickBot="1">
      <c r="A4819" s="61">
        <v>161</v>
      </c>
      <c r="B4819" s="704" t="s">
        <v>51</v>
      </c>
      <c r="C4819" s="704"/>
      <c r="D4819" s="704"/>
      <c r="E4819" s="62" t="e">
        <f>VLOOKUP(A4819,PROPONENTES!$B$19:$E$218,2,FALSE)</f>
        <v>#N/A</v>
      </c>
      <c r="F4819" s="63" t="e">
        <f>VLOOKUP(A4819,PROPONENTES!$B$19:$E$218,3,FALSE)</f>
        <v>#N/A</v>
      </c>
      <c r="G4819" s="64"/>
      <c r="H4819" s="64"/>
      <c r="I4819" s="63"/>
      <c r="J4819" s="63"/>
      <c r="K4819" s="65"/>
      <c r="L4819" s="65"/>
      <c r="M4819" s="64"/>
      <c r="N4819" s="64"/>
      <c r="O4819" s="66"/>
      <c r="P4819" s="66"/>
      <c r="Q4819" s="66"/>
      <c r="R4819" s="66"/>
      <c r="S4819" s="67"/>
      <c r="T4819" s="68"/>
      <c r="U4819" s="68"/>
      <c r="AC4819" s="68"/>
      <c r="AD4819" s="68"/>
      <c r="AE4819" s="68"/>
      <c r="AF4819" s="68"/>
      <c r="AG4819" s="68"/>
      <c r="AH4819" s="87"/>
      <c r="AI4819" s="87"/>
    </row>
    <row r="4820" spans="1:35" ht="15.75" hidden="1" customHeight="1">
      <c r="A4820" s="44"/>
      <c r="B4820" s="709" t="s">
        <v>59</v>
      </c>
      <c r="C4820" s="552" t="s">
        <v>60</v>
      </c>
      <c r="D4820" s="70" t="s">
        <v>17</v>
      </c>
      <c r="E4820" s="70"/>
      <c r="F4820" s="70" t="s">
        <v>61</v>
      </c>
      <c r="G4820" s="71"/>
      <c r="H4820" s="699" t="s">
        <v>62</v>
      </c>
      <c r="I4820" s="699" t="s">
        <v>18</v>
      </c>
      <c r="J4820" s="699" t="s">
        <v>63</v>
      </c>
      <c r="K4820" s="699" t="s">
        <v>64</v>
      </c>
      <c r="L4820" s="699" t="s">
        <v>65</v>
      </c>
      <c r="M4820" s="743" t="s">
        <v>66</v>
      </c>
      <c r="N4820" s="699" t="s">
        <v>282</v>
      </c>
      <c r="O4820" s="745" t="s">
        <v>67</v>
      </c>
      <c r="P4820" s="746"/>
      <c r="Q4820" s="102" t="s">
        <v>75</v>
      </c>
      <c r="R4820" s="731" t="s">
        <v>22</v>
      </c>
      <c r="S4820" s="732"/>
      <c r="T4820" s="733"/>
      <c r="U4820" s="712" t="s">
        <v>298</v>
      </c>
      <c r="W4820" s="690" t="s">
        <v>268</v>
      </c>
      <c r="X4820" s="691"/>
      <c r="Y4820" s="692"/>
      <c r="Z4820" s="428"/>
      <c r="AA4820" s="697" t="s">
        <v>315</v>
      </c>
      <c r="AB4820" s="695" t="s">
        <v>322</v>
      </c>
      <c r="AC4820" s="49"/>
      <c r="AD4820" s="690" t="s">
        <v>297</v>
      </c>
      <c r="AE4820" s="691"/>
      <c r="AF4820" s="692"/>
      <c r="AG4820" s="49"/>
      <c r="AH4820" s="87"/>
      <c r="AI4820" s="87"/>
    </row>
    <row r="4821" spans="1:35" ht="72" hidden="1">
      <c r="A4821" s="44"/>
      <c r="B4821" s="710"/>
      <c r="C4821" s="553" t="s">
        <v>68</v>
      </c>
      <c r="D4821" s="73" t="s">
        <v>3</v>
      </c>
      <c r="E4821" s="73" t="s">
        <v>19</v>
      </c>
      <c r="F4821" s="73" t="s">
        <v>69</v>
      </c>
      <c r="G4821" s="74" t="s">
        <v>70</v>
      </c>
      <c r="H4821" s="700"/>
      <c r="I4821" s="700"/>
      <c r="J4821" s="700"/>
      <c r="K4821" s="700"/>
      <c r="L4821" s="700"/>
      <c r="M4821" s="744"/>
      <c r="N4821" s="700"/>
      <c r="O4821" s="553" t="s">
        <v>279</v>
      </c>
      <c r="P4821" s="73" t="s">
        <v>88</v>
      </c>
      <c r="Q4821" s="555" t="s">
        <v>76</v>
      </c>
      <c r="R4821" s="734"/>
      <c r="S4821" s="735"/>
      <c r="T4821" s="736"/>
      <c r="U4821" s="712"/>
      <c r="W4821" s="429" t="s">
        <v>269</v>
      </c>
      <c r="X4821" s="457" t="s">
        <v>278</v>
      </c>
      <c r="Y4821" s="430" t="s">
        <v>324</v>
      </c>
      <c r="Z4821" s="428"/>
      <c r="AA4821" s="698"/>
      <c r="AB4821" s="696"/>
      <c r="AC4821" s="49"/>
      <c r="AD4821" s="429" t="s">
        <v>292</v>
      </c>
      <c r="AE4821" s="431" t="s">
        <v>300</v>
      </c>
      <c r="AF4821" s="468" t="s">
        <v>301</v>
      </c>
      <c r="AG4821" s="49"/>
      <c r="AH4821" s="87"/>
      <c r="AI4821" s="87"/>
    </row>
    <row r="4822" spans="1:35" hidden="1">
      <c r="A4822" s="44"/>
      <c r="B4822" s="76"/>
      <c r="C4822" s="77"/>
      <c r="D4822" s="77"/>
      <c r="E4822" s="77"/>
      <c r="F4822" s="77"/>
      <c r="G4822" s="77"/>
      <c r="H4822" s="77"/>
      <c r="I4822" s="77"/>
      <c r="J4822" s="77"/>
      <c r="K4822" s="77"/>
      <c r="L4822" s="77"/>
      <c r="M4822" s="77"/>
      <c r="N4822" s="77"/>
      <c r="O4822" s="77"/>
      <c r="P4822" s="77"/>
      <c r="Q4822" s="77"/>
      <c r="R4822" s="77"/>
      <c r="S4822" s="78"/>
      <c r="T4822" s="79"/>
      <c r="U4822" s="109"/>
      <c r="V4822" s="49"/>
      <c r="W4822" s="432"/>
      <c r="X4822" s="454"/>
      <c r="Y4822" s="433"/>
      <c r="Z4822" s="6"/>
      <c r="AA4822" s="500"/>
      <c r="AB4822" s="562"/>
      <c r="AC4822" s="49"/>
      <c r="AD4822" s="210"/>
      <c r="AE4822" s="434"/>
      <c r="AF4822" s="435"/>
      <c r="AG4822" s="49"/>
      <c r="AH4822" s="87"/>
      <c r="AI4822" s="87"/>
    </row>
    <row r="4823" spans="1:35" hidden="1">
      <c r="A4823" s="80" t="e">
        <f>"A"&amp;E4819</f>
        <v>#N/A</v>
      </c>
      <c r="B4823" s="81">
        <v>1</v>
      </c>
      <c r="C4823" s="82"/>
      <c r="D4823" s="82"/>
      <c r="E4823" s="82"/>
      <c r="F4823" s="82"/>
      <c r="G4823" s="83"/>
      <c r="H4823" s="83"/>
      <c r="I4823" s="84"/>
      <c r="J4823" s="85"/>
      <c r="K4823" s="382"/>
      <c r="L4823" s="85"/>
      <c r="M4823" s="332" t="str">
        <f t="shared" ref="M4823:M4832" si="1429">IF(OR(J4823="",L4823="",H4823="NO"),"",IF(OR(J4823&gt;$P$17,J4823&lt;$O$17,L4823&gt;$P$17,AND(J4823&lt;$O$17,L4823&lt;$O$17)),"FUERA DE RANGO",IF(OR(K4823="---",K4823=""),IF(J4823&gt;=$O$17,ROUND((L4823-J4823+1)/360*12,3),ROUND((L4823-$O$17+1)/360*12,3)),IF(J4823&gt;=$O$17,ROUND((L4823-J4823+1)/360*12-ROUND(K4823,3),3),ROUND((L4823-$O$17+1)/360*12-ROUND(K4823,3),3)))))</f>
        <v/>
      </c>
      <c r="N4823" s="86"/>
      <c r="O4823" s="453" t="str">
        <f>IF(OR(G4823="",N4823=""),"",N4823*G4823)</f>
        <v/>
      </c>
      <c r="P4823" s="538" t="str">
        <f>IF(OR(H4823="",M4823="FUERA DE RANGO"),"",IF(OR(L4823&lt;$O$17,L4823&gt;$P$17,L4823="",H4823="NO"),"",IF(OR(N4823="",O4823=""),"",ROUND(O4823,3))))</f>
        <v/>
      </c>
      <c r="Q4823" s="539" t="str">
        <f t="shared" ref="Q4823:Q4832" si="1430">IF(AND(H4823="SI",P4823&lt;&gt;""),ROUND(P4823/M4823,3),"")</f>
        <v/>
      </c>
      <c r="R4823" s="737"/>
      <c r="S4823" s="738"/>
      <c r="T4823" s="739"/>
      <c r="U4823" s="470"/>
      <c r="V4823" s="165"/>
      <c r="W4823" s="446"/>
      <c r="X4823" s="456"/>
      <c r="Y4823" s="436"/>
      <c r="Z4823" s="437"/>
      <c r="AA4823" s="560"/>
      <c r="AB4823" s="561"/>
      <c r="AC4823" s="87"/>
      <c r="AD4823" s="466"/>
      <c r="AE4823" s="456"/>
      <c r="AF4823" s="467"/>
      <c r="AG4823" s="87"/>
      <c r="AH4823" s="87"/>
      <c r="AI4823" s="87"/>
    </row>
    <row r="4824" spans="1:35" hidden="1">
      <c r="A4824" s="80" t="e">
        <f>"B"&amp;E4819</f>
        <v>#N/A</v>
      </c>
      <c r="B4824" s="81">
        <v>2</v>
      </c>
      <c r="C4824" s="106"/>
      <c r="D4824" s="106"/>
      <c r="E4824" s="106"/>
      <c r="F4824" s="106"/>
      <c r="G4824" s="83"/>
      <c r="H4824" s="83"/>
      <c r="I4824" s="84"/>
      <c r="J4824" s="85"/>
      <c r="K4824" s="382"/>
      <c r="L4824" s="85"/>
      <c r="M4824" s="332" t="str">
        <f t="shared" si="1429"/>
        <v/>
      </c>
      <c r="N4824" s="86"/>
      <c r="O4824" s="453" t="str">
        <f t="shared" ref="O4824:O4832" si="1431">IF(OR(G4824="",N4824=""),"",N4824*G4824)</f>
        <v/>
      </c>
      <c r="P4824" s="538" t="str">
        <f t="shared" ref="P4824:P4832" si="1432">IF(OR(H4824="",M4824="FUERA DE RANGO"),"",IF(OR(L4824&lt;$O$17,L4824&gt;$P$17,L4824="",H4824="NO"),"",IF(OR(N4824="",O4824=""),"",ROUND(O4824,3))))</f>
        <v/>
      </c>
      <c r="Q4824" s="539" t="str">
        <f t="shared" si="1430"/>
        <v/>
      </c>
      <c r="R4824" s="740"/>
      <c r="S4824" s="741"/>
      <c r="T4824" s="742"/>
      <c r="U4824" s="471"/>
      <c r="V4824" s="165"/>
      <c r="W4824" s="446"/>
      <c r="X4824" s="456"/>
      <c r="Y4824" s="436"/>
      <c r="Z4824" s="437"/>
      <c r="AA4824" s="560"/>
      <c r="AB4824" s="561"/>
      <c r="AC4824" s="87"/>
      <c r="AD4824" s="466"/>
      <c r="AE4824" s="456"/>
      <c r="AF4824" s="467"/>
      <c r="AG4824" s="87"/>
      <c r="AH4824" s="87"/>
      <c r="AI4824" s="87"/>
    </row>
    <row r="4825" spans="1:35" hidden="1">
      <c r="A4825" s="80" t="e">
        <f>"C"&amp;E4819</f>
        <v>#N/A</v>
      </c>
      <c r="B4825" s="88">
        <v>3</v>
      </c>
      <c r="C4825" s="82"/>
      <c r="D4825" s="82"/>
      <c r="E4825" s="82"/>
      <c r="F4825" s="82"/>
      <c r="G4825" s="83"/>
      <c r="H4825" s="83"/>
      <c r="I4825" s="84"/>
      <c r="J4825" s="85"/>
      <c r="K4825" s="382"/>
      <c r="L4825" s="85"/>
      <c r="M4825" s="332" t="str">
        <f t="shared" si="1429"/>
        <v/>
      </c>
      <c r="N4825" s="86"/>
      <c r="O4825" s="453" t="str">
        <f t="shared" si="1431"/>
        <v/>
      </c>
      <c r="P4825" s="538" t="str">
        <f t="shared" si="1432"/>
        <v/>
      </c>
      <c r="Q4825" s="539" t="str">
        <f t="shared" si="1430"/>
        <v/>
      </c>
      <c r="R4825" s="706"/>
      <c r="S4825" s="707"/>
      <c r="T4825" s="708"/>
      <c r="U4825" s="472"/>
      <c r="V4825" s="166"/>
      <c r="W4825" s="446"/>
      <c r="X4825" s="456"/>
      <c r="Y4825" s="436"/>
      <c r="Z4825" s="437"/>
      <c r="AA4825" s="560"/>
      <c r="AB4825" s="561"/>
      <c r="AC4825" s="87"/>
      <c r="AD4825" s="466"/>
      <c r="AE4825" s="456"/>
      <c r="AF4825" s="467"/>
      <c r="AG4825" s="87"/>
      <c r="AH4825" s="87"/>
      <c r="AI4825" s="87"/>
    </row>
    <row r="4826" spans="1:35" hidden="1">
      <c r="A4826" s="80" t="e">
        <f>"D"&amp;E4819</f>
        <v>#N/A</v>
      </c>
      <c r="B4826" s="105">
        <v>4</v>
      </c>
      <c r="C4826" s="107"/>
      <c r="D4826" s="107"/>
      <c r="E4826" s="107"/>
      <c r="F4826" s="107"/>
      <c r="G4826" s="83"/>
      <c r="H4826" s="83"/>
      <c r="I4826" s="84"/>
      <c r="J4826" s="85"/>
      <c r="K4826" s="382"/>
      <c r="L4826" s="85"/>
      <c r="M4826" s="332" t="str">
        <f t="shared" si="1429"/>
        <v/>
      </c>
      <c r="N4826" s="86"/>
      <c r="O4826" s="453" t="str">
        <f t="shared" si="1431"/>
        <v/>
      </c>
      <c r="P4826" s="538" t="str">
        <f t="shared" si="1432"/>
        <v/>
      </c>
      <c r="Q4826" s="539" t="str">
        <f t="shared" si="1430"/>
        <v/>
      </c>
      <c r="R4826" s="706"/>
      <c r="S4826" s="707"/>
      <c r="T4826" s="708"/>
      <c r="U4826" s="472"/>
      <c r="V4826" s="166"/>
      <c r="W4826" s="446"/>
      <c r="X4826" s="456"/>
      <c r="Y4826" s="436"/>
      <c r="Z4826" s="437"/>
      <c r="AA4826" s="560"/>
      <c r="AB4826" s="561"/>
      <c r="AC4826" s="87"/>
      <c r="AD4826" s="466"/>
      <c r="AE4826" s="456"/>
      <c r="AF4826" s="467"/>
      <c r="AG4826" s="87"/>
      <c r="AH4826" s="87"/>
      <c r="AI4826" s="87"/>
    </row>
    <row r="4827" spans="1:35" hidden="1">
      <c r="A4827" s="80" t="e">
        <f>"E"&amp;E4819</f>
        <v>#N/A</v>
      </c>
      <c r="B4827" s="105">
        <v>5</v>
      </c>
      <c r="C4827" s="107"/>
      <c r="D4827" s="107"/>
      <c r="E4827" s="107"/>
      <c r="F4827" s="107"/>
      <c r="G4827" s="83"/>
      <c r="H4827" s="83"/>
      <c r="I4827" s="84"/>
      <c r="J4827" s="85"/>
      <c r="K4827" s="382"/>
      <c r="L4827" s="85"/>
      <c r="M4827" s="332" t="str">
        <f t="shared" si="1429"/>
        <v/>
      </c>
      <c r="N4827" s="86"/>
      <c r="O4827" s="453" t="str">
        <f t="shared" si="1431"/>
        <v/>
      </c>
      <c r="P4827" s="538" t="str">
        <f t="shared" si="1432"/>
        <v/>
      </c>
      <c r="Q4827" s="539" t="str">
        <f t="shared" si="1430"/>
        <v/>
      </c>
      <c r="R4827" s="706"/>
      <c r="S4827" s="707"/>
      <c r="T4827" s="708"/>
      <c r="U4827" s="472"/>
      <c r="V4827" s="167"/>
      <c r="W4827" s="446"/>
      <c r="X4827" s="456"/>
      <c r="Y4827" s="436"/>
      <c r="Z4827" s="437"/>
      <c r="AA4827" s="560"/>
      <c r="AB4827" s="561"/>
      <c r="AC4827" s="87"/>
      <c r="AD4827" s="466"/>
      <c r="AE4827" s="456"/>
      <c r="AF4827" s="467"/>
      <c r="AG4827" s="87"/>
      <c r="AH4827" s="87"/>
      <c r="AI4827" s="87"/>
    </row>
    <row r="4828" spans="1:35" hidden="1">
      <c r="A4828" s="80" t="e">
        <f>"F"&amp;E4819</f>
        <v>#N/A</v>
      </c>
      <c r="B4828" s="105">
        <v>6</v>
      </c>
      <c r="C4828" s="107"/>
      <c r="D4828" s="107"/>
      <c r="E4828" s="107"/>
      <c r="F4828" s="107"/>
      <c r="G4828" s="83"/>
      <c r="H4828" s="83"/>
      <c r="I4828" s="84"/>
      <c r="J4828" s="85"/>
      <c r="K4828" s="382"/>
      <c r="L4828" s="85"/>
      <c r="M4828" s="332" t="str">
        <f t="shared" si="1429"/>
        <v/>
      </c>
      <c r="N4828" s="86"/>
      <c r="O4828" s="453" t="str">
        <f t="shared" si="1431"/>
        <v/>
      </c>
      <c r="P4828" s="538" t="str">
        <f t="shared" si="1432"/>
        <v/>
      </c>
      <c r="Q4828" s="539" t="str">
        <f t="shared" si="1430"/>
        <v/>
      </c>
      <c r="R4828" s="706"/>
      <c r="S4828" s="707"/>
      <c r="T4828" s="708"/>
      <c r="U4828" s="472"/>
      <c r="V4828" s="167"/>
      <c r="W4828" s="446"/>
      <c r="X4828" s="456"/>
      <c r="Y4828" s="436"/>
      <c r="Z4828" s="437"/>
      <c r="AA4828" s="560"/>
      <c r="AB4828" s="561"/>
      <c r="AC4828" s="87"/>
      <c r="AD4828" s="466"/>
      <c r="AE4828" s="456"/>
      <c r="AF4828" s="467"/>
      <c r="AG4828" s="87"/>
      <c r="AH4828" s="87"/>
      <c r="AI4828" s="87"/>
    </row>
    <row r="4829" spans="1:35" hidden="1">
      <c r="A4829" s="80" t="e">
        <f>"G"&amp;E4819</f>
        <v>#N/A</v>
      </c>
      <c r="B4829" s="105">
        <v>7</v>
      </c>
      <c r="C4829" s="107"/>
      <c r="D4829" s="107"/>
      <c r="E4829" s="107"/>
      <c r="F4829" s="107"/>
      <c r="G4829" s="83"/>
      <c r="H4829" s="83"/>
      <c r="I4829" s="84"/>
      <c r="J4829" s="85"/>
      <c r="K4829" s="382"/>
      <c r="L4829" s="85"/>
      <c r="M4829" s="332" t="str">
        <f t="shared" si="1429"/>
        <v/>
      </c>
      <c r="N4829" s="86"/>
      <c r="O4829" s="86" t="str">
        <f t="shared" si="1431"/>
        <v/>
      </c>
      <c r="P4829" s="538" t="str">
        <f t="shared" si="1432"/>
        <v/>
      </c>
      <c r="Q4829" s="539" t="str">
        <f t="shared" si="1430"/>
        <v/>
      </c>
      <c r="R4829" s="706"/>
      <c r="S4829" s="707"/>
      <c r="T4829" s="708"/>
      <c r="U4829" s="472"/>
      <c r="V4829" s="167"/>
      <c r="W4829" s="446"/>
      <c r="X4829" s="456"/>
      <c r="Y4829" s="436"/>
      <c r="Z4829" s="437"/>
      <c r="AA4829" s="560"/>
      <c r="AB4829" s="561"/>
      <c r="AC4829" s="87"/>
      <c r="AD4829" s="466"/>
      <c r="AE4829" s="456"/>
      <c r="AF4829" s="467"/>
      <c r="AG4829" s="87"/>
      <c r="AH4829" s="87"/>
      <c r="AI4829" s="87"/>
    </row>
    <row r="4830" spans="1:35" hidden="1">
      <c r="A4830" s="80" t="e">
        <f>"H"&amp;E4819</f>
        <v>#N/A</v>
      </c>
      <c r="B4830" s="105">
        <v>8</v>
      </c>
      <c r="C4830" s="107"/>
      <c r="D4830" s="107"/>
      <c r="E4830" s="107"/>
      <c r="F4830" s="107"/>
      <c r="G4830" s="83"/>
      <c r="H4830" s="83"/>
      <c r="I4830" s="84"/>
      <c r="J4830" s="85"/>
      <c r="K4830" s="382"/>
      <c r="L4830" s="85"/>
      <c r="M4830" s="332" t="str">
        <f t="shared" si="1429"/>
        <v/>
      </c>
      <c r="N4830" s="453"/>
      <c r="O4830" s="86" t="str">
        <f t="shared" si="1431"/>
        <v/>
      </c>
      <c r="P4830" s="538" t="str">
        <f t="shared" si="1432"/>
        <v/>
      </c>
      <c r="Q4830" s="539" t="str">
        <f t="shared" si="1430"/>
        <v/>
      </c>
      <c r="R4830" s="706"/>
      <c r="S4830" s="707"/>
      <c r="T4830" s="708"/>
      <c r="U4830" s="472"/>
      <c r="V4830" s="167"/>
      <c r="W4830" s="446"/>
      <c r="X4830" s="456"/>
      <c r="Y4830" s="436"/>
      <c r="Z4830" s="437"/>
      <c r="AA4830" s="560"/>
      <c r="AB4830" s="561"/>
      <c r="AC4830" s="87"/>
      <c r="AD4830" s="466"/>
      <c r="AE4830" s="456"/>
      <c r="AF4830" s="467"/>
      <c r="AG4830" s="87"/>
      <c r="AH4830" s="87"/>
      <c r="AI4830" s="87"/>
    </row>
    <row r="4831" spans="1:35" hidden="1">
      <c r="A4831" s="80" t="e">
        <f>"I"&amp;E4819</f>
        <v>#N/A</v>
      </c>
      <c r="B4831" s="105">
        <v>9</v>
      </c>
      <c r="C4831" s="107"/>
      <c r="D4831" s="107"/>
      <c r="E4831" s="107"/>
      <c r="F4831" s="107"/>
      <c r="G4831" s="83"/>
      <c r="H4831" s="83"/>
      <c r="I4831" s="84"/>
      <c r="J4831" s="85"/>
      <c r="K4831" s="382"/>
      <c r="L4831" s="85"/>
      <c r="M4831" s="332" t="str">
        <f t="shared" si="1429"/>
        <v/>
      </c>
      <c r="N4831" s="453"/>
      <c r="O4831" s="86" t="str">
        <f t="shared" si="1431"/>
        <v/>
      </c>
      <c r="P4831" s="538" t="str">
        <f t="shared" si="1432"/>
        <v/>
      </c>
      <c r="Q4831" s="539" t="str">
        <f t="shared" si="1430"/>
        <v/>
      </c>
      <c r="R4831" s="706"/>
      <c r="S4831" s="707"/>
      <c r="T4831" s="708"/>
      <c r="U4831" s="472"/>
      <c r="V4831" s="167"/>
      <c r="W4831" s="446"/>
      <c r="X4831" s="456"/>
      <c r="Y4831" s="436"/>
      <c r="Z4831" s="437"/>
      <c r="AA4831" s="560"/>
      <c r="AB4831" s="561"/>
      <c r="AC4831" s="87"/>
      <c r="AD4831" s="466"/>
      <c r="AE4831" s="456"/>
      <c r="AF4831" s="467"/>
      <c r="AG4831" s="87"/>
      <c r="AH4831" s="87"/>
      <c r="AI4831" s="87"/>
    </row>
    <row r="4832" spans="1:35" hidden="1">
      <c r="A4832" s="80" t="e">
        <f>"J"&amp;E4819</f>
        <v>#N/A</v>
      </c>
      <c r="B4832" s="105">
        <v>10</v>
      </c>
      <c r="C4832" s="107"/>
      <c r="D4832" s="107"/>
      <c r="E4832" s="107"/>
      <c r="F4832" s="107"/>
      <c r="G4832" s="83"/>
      <c r="H4832" s="83"/>
      <c r="I4832" s="84"/>
      <c r="J4832" s="85"/>
      <c r="K4832" s="382"/>
      <c r="L4832" s="85"/>
      <c r="M4832" s="332" t="str">
        <f t="shared" si="1429"/>
        <v/>
      </c>
      <c r="N4832" s="453"/>
      <c r="O4832" s="86" t="str">
        <f t="shared" si="1431"/>
        <v/>
      </c>
      <c r="P4832" s="538" t="str">
        <f t="shared" si="1432"/>
        <v/>
      </c>
      <c r="Q4832" s="539" t="str">
        <f t="shared" si="1430"/>
        <v/>
      </c>
      <c r="R4832" s="706"/>
      <c r="S4832" s="707"/>
      <c r="T4832" s="708"/>
      <c r="U4832" s="472"/>
      <c r="V4832" s="167"/>
      <c r="W4832" s="446"/>
      <c r="X4832" s="456"/>
      <c r="Y4832" s="436"/>
      <c r="Z4832" s="437"/>
      <c r="AA4832" s="560"/>
      <c r="AB4832" s="561"/>
      <c r="AC4832" s="87"/>
      <c r="AD4832" s="466"/>
      <c r="AE4832" s="456"/>
      <c r="AF4832" s="467"/>
      <c r="AG4832" s="87"/>
      <c r="AH4832" s="87"/>
      <c r="AI4832" s="87"/>
    </row>
    <row r="4833" spans="1:35" ht="16.5" hidden="1" thickBot="1">
      <c r="A4833" s="44"/>
      <c r="B4833" s="89"/>
      <c r="C4833" s="90"/>
      <c r="D4833" s="90"/>
      <c r="E4833" s="90"/>
      <c r="F4833" s="90"/>
      <c r="G4833" s="90"/>
      <c r="H4833" s="90"/>
      <c r="I4833" s="90"/>
      <c r="J4833" s="90"/>
      <c r="K4833" s="90"/>
      <c r="L4833" s="90"/>
      <c r="M4833" s="90"/>
      <c r="N4833" s="90"/>
      <c r="O4833" s="90"/>
      <c r="P4833" s="90"/>
      <c r="Q4833" s="90"/>
      <c r="R4833" s="90"/>
      <c r="S4833" s="91"/>
      <c r="T4833" s="92"/>
      <c r="U4833" s="473"/>
      <c r="W4833" s="438"/>
      <c r="X4833" s="455"/>
      <c r="Y4833" s="439"/>
      <c r="Z4833" s="437"/>
      <c r="AA4833" s="530"/>
      <c r="AB4833" s="563"/>
      <c r="AC4833" s="87"/>
      <c r="AD4833" s="440"/>
      <c r="AE4833" s="441"/>
      <c r="AF4833" s="442"/>
      <c r="AG4833" s="49"/>
      <c r="AH4833" s="87"/>
      <c r="AI4833" s="87"/>
    </row>
    <row r="4834" spans="1:35" ht="16.5" hidden="1" thickBot="1">
      <c r="A4834" s="93"/>
      <c r="B4834" s="94"/>
      <c r="C4834" s="96"/>
      <c r="D4834" s="96"/>
      <c r="E4834" s="96"/>
      <c r="F4834" s="96"/>
      <c r="G4834" s="96"/>
      <c r="H4834" s="96"/>
      <c r="I4834" s="96"/>
      <c r="J4834" s="96"/>
      <c r="K4834" s="96"/>
      <c r="L4834" s="96"/>
      <c r="M4834" s="136"/>
      <c r="N4834" s="96"/>
      <c r="O4834" s="96"/>
      <c r="P4834" s="97"/>
      <c r="Q4834" s="97"/>
      <c r="R4834" s="98"/>
      <c r="S4834" s="95"/>
      <c r="T4834" s="99"/>
      <c r="U4834" s="469"/>
      <c r="AC4834" s="58"/>
      <c r="AG4834" s="58"/>
      <c r="AH4834" s="87"/>
      <c r="AI4834" s="87"/>
    </row>
    <row r="4835" spans="1:35" ht="16.5" hidden="1" thickBot="1">
      <c r="B4835" s="101"/>
      <c r="C4835" s="101"/>
      <c r="D4835" s="101"/>
      <c r="E4835" s="101"/>
      <c r="F4835" s="101"/>
      <c r="G4835" s="101"/>
      <c r="H4835" s="101"/>
      <c r="I4835" s="101"/>
      <c r="J4835" s="101"/>
      <c r="K4835" s="101"/>
      <c r="L4835" s="101"/>
      <c r="M4835" s="101"/>
      <c r="N4835" s="101"/>
      <c r="O4835" s="101"/>
      <c r="P4835" s="101"/>
      <c r="Q4835" s="101"/>
      <c r="R4835" s="101"/>
      <c r="S4835" s="101"/>
      <c r="U4835" s="50"/>
      <c r="AH4835" s="87"/>
      <c r="AI4835" s="87"/>
    </row>
    <row r="4836" spans="1:35" ht="16.5" hidden="1" customHeight="1" thickBot="1">
      <c r="A4836" s="44"/>
      <c r="B4836" s="705" t="s">
        <v>74</v>
      </c>
      <c r="C4836" s="705"/>
      <c r="D4836" s="705"/>
      <c r="E4836" s="705"/>
      <c r="F4836" s="705"/>
      <c r="G4836" s="705"/>
      <c r="H4836" s="705"/>
      <c r="I4836" s="705"/>
      <c r="J4836" s="705"/>
      <c r="K4836" s="705"/>
      <c r="L4836" s="705"/>
      <c r="M4836" s="705"/>
      <c r="N4836" s="705"/>
      <c r="O4836" s="705"/>
      <c r="P4836" s="705"/>
      <c r="Q4836" s="705"/>
      <c r="R4836" s="705"/>
      <c r="S4836" s="705"/>
      <c r="T4836" s="705"/>
      <c r="U4836" s="108"/>
      <c r="Y4836" s="532" t="s">
        <v>341</v>
      </c>
      <c r="AC4836" s="49"/>
      <c r="AD4836" s="687" t="s">
        <v>302</v>
      </c>
      <c r="AE4836" s="688"/>
      <c r="AF4836" s="689"/>
      <c r="AG4836" s="49"/>
      <c r="AH4836" s="87"/>
      <c r="AI4836" s="87"/>
    </row>
    <row r="4837" spans="1:35" ht="16.5" hidden="1" customHeight="1" thickBot="1">
      <c r="A4837" s="218" t="e">
        <f>"K"&amp;E4819</f>
        <v>#N/A</v>
      </c>
      <c r="B4837" s="701" t="s">
        <v>71</v>
      </c>
      <c r="C4837" s="751" t="s">
        <v>102</v>
      </c>
      <c r="D4837" s="751"/>
      <c r="E4837" s="751"/>
      <c r="F4837" s="751"/>
      <c r="G4837" s="751"/>
      <c r="H4837" s="751"/>
      <c r="I4837" s="751"/>
      <c r="J4837" s="751"/>
      <c r="K4837" s="751"/>
      <c r="L4837" s="722" t="s">
        <v>100</v>
      </c>
      <c r="M4837" s="747" t="s">
        <v>114</v>
      </c>
      <c r="N4837" s="747"/>
      <c r="O4837" s="747"/>
      <c r="P4837" s="747"/>
      <c r="Q4837" s="748"/>
      <c r="R4837" s="758" t="s">
        <v>280</v>
      </c>
      <c r="S4837" s="748"/>
      <c r="T4837" s="762" t="str">
        <f>IF(COUNTIF(AE4837:AF4837,"VERIFICAR")&gt;0,"VERIFICAR",IF(COUNTIF(AE4837:AF4837,"NO CUMPLE")&gt;0,"NO CUMPLE","CUMPLE"))</f>
        <v>VERIFICAR</v>
      </c>
      <c r="U4837" s="108"/>
      <c r="Y4837" s="533" t="e">
        <f>IF(F4838="","",IF(F4838=1,"INDIVIDUAL","ESTRUCTURA PLURAL"))</f>
        <v>#N/A</v>
      </c>
      <c r="AC4837" s="52"/>
      <c r="AD4837" s="475" t="s">
        <v>303</v>
      </c>
      <c r="AE4837" s="476" t="str">
        <f>IF(COUNTIF(AE4823:AE4832,"")=10,"VERIFICAR",IF(COUNTIF(AE4823:AE4832,"SI")&gt;0,"CUMPLE","NO CUMPLE"))</f>
        <v>VERIFICAR</v>
      </c>
      <c r="AF4837" s="477" t="str">
        <f>IF(COUNTIF(AF4823:AF4832,"")=10,"VERIFICAR",IF(COUNTIF(AF4823:AF4832,"SI")&gt;=$AI$22,"CUMPLE","NO CUMPLE"))</f>
        <v>VERIFICAR</v>
      </c>
      <c r="AG4837" s="52"/>
      <c r="AH4837" s="87"/>
      <c r="AI4837" s="87"/>
    </row>
    <row r="4838" spans="1:35" ht="15.75" hidden="1" customHeight="1" thickBot="1">
      <c r="A4838" s="218" t="e">
        <f>"L"&amp;E4819</f>
        <v>#N/A</v>
      </c>
      <c r="B4838" s="702"/>
      <c r="C4838" s="751" t="s">
        <v>103</v>
      </c>
      <c r="D4838" s="751"/>
      <c r="E4838" s="752"/>
      <c r="F4838" s="557" t="e">
        <f>IF(VLOOKUP(E4819,PROPONENTES!$C$19:$E$218,3,0)="","",VLOOKUP(E4819,PROPONENTES!$C$19:$E$218,3,0))</f>
        <v>#N/A</v>
      </c>
      <c r="G4838" s="753" t="s">
        <v>104</v>
      </c>
      <c r="H4838" s="751"/>
      <c r="I4838" s="715" t="e">
        <f>IF(OR(F4838="",F4838=1),"INTERESADO PERSONA NATURAL O JURIDICA","CONSORCIO O UNION TEMPORAL")</f>
        <v>#N/A</v>
      </c>
      <c r="J4838" s="725"/>
      <c r="K4838" s="728"/>
      <c r="L4838" s="723"/>
      <c r="M4838" s="749"/>
      <c r="N4838" s="749"/>
      <c r="O4838" s="749"/>
      <c r="P4838" s="749"/>
      <c r="Q4838" s="750"/>
      <c r="R4838" s="712"/>
      <c r="S4838" s="750"/>
      <c r="T4838" s="763"/>
      <c r="U4838" s="108"/>
      <c r="Y4838" s="534"/>
      <c r="AA4838" s="52"/>
      <c r="AB4838" s="52"/>
      <c r="AC4838" s="52"/>
      <c r="AG4838" s="52"/>
      <c r="AH4838" s="87"/>
      <c r="AI4838" s="87"/>
    </row>
    <row r="4839" spans="1:35" ht="56.25" hidden="1" customHeight="1" thickBot="1">
      <c r="A4839" s="218" t="e">
        <f>"M"&amp;E4819</f>
        <v>#N/A</v>
      </c>
      <c r="B4839" s="702"/>
      <c r="C4839" s="725" t="s">
        <v>101</v>
      </c>
      <c r="D4839" s="716"/>
      <c r="E4839" s="558" t="s">
        <v>105</v>
      </c>
      <c r="F4839" s="554" t="s">
        <v>87</v>
      </c>
      <c r="G4839" s="553" t="s">
        <v>86</v>
      </c>
      <c r="H4839" s="559" t="s">
        <v>85</v>
      </c>
      <c r="I4839" s="554" t="s">
        <v>252</v>
      </c>
      <c r="J4839" s="553" t="str">
        <f>"¿EL INTEGRANTE TIENE UNA PARTICIPACIÓN DEL "&amp;PORCREQUERIDOINT*100&amp;"%?"</f>
        <v>¿EL INTEGRANTE TIENE UNA PARTICIPACIÓN DEL 60%?</v>
      </c>
      <c r="K4839" s="554" t="s">
        <v>107</v>
      </c>
      <c r="L4839" s="724"/>
      <c r="M4839" s="717" t="s">
        <v>115</v>
      </c>
      <c r="N4839" s="718"/>
      <c r="O4839" s="718"/>
      <c r="P4839" s="718"/>
      <c r="Q4839" s="223">
        <f>IF(AND(H4823="SI",P4823&gt;=0),1,0)+IF(AND(H4824="SI",P4824&gt;=0),1,0)+IF(AND(H4825="SI",P4825&gt;=0),1,0)+IF(AND(H4826="SI",P4826&gt;=0),1,0)+IF(AND(H4827="SI",P4827&gt;=0),1,0)+IF(AND(H4828="SI",P4828&gt;=0),1,0)+IF(AND(H4829="SI",P4829&gt;=0),1,0)+IF(AND(H4830="SI",P4830&gt;=0),1,0)+IF(AND(H4831="SI",P4831&gt;=0),1,0)+IF(AND(H4832="SI",P4832&gt;=0),1,0)</f>
        <v>0</v>
      </c>
      <c r="R4839" s="759"/>
      <c r="S4839" s="761"/>
      <c r="T4839" s="764"/>
      <c r="U4839" s="219"/>
      <c r="V4839" s="464"/>
      <c r="Y4839" s="532" t="s">
        <v>342</v>
      </c>
      <c r="AA4839" s="550" t="s">
        <v>344</v>
      </c>
      <c r="AB4839" s="693" t="s">
        <v>345</v>
      </c>
      <c r="AC4839" s="693" t="s">
        <v>346</v>
      </c>
      <c r="AD4839" s="685" t="s">
        <v>347</v>
      </c>
      <c r="AE4839" s="52"/>
      <c r="AF4839" s="52"/>
      <c r="AG4839" s="52"/>
      <c r="AH4839" s="87"/>
      <c r="AI4839" s="87"/>
    </row>
    <row r="4840" spans="1:35" ht="15.75" hidden="1" customHeight="1" thickBot="1">
      <c r="A4840" s="218" t="e">
        <f>"N"&amp;E4819</f>
        <v>#N/A</v>
      </c>
      <c r="B4840" s="702"/>
      <c r="C4840" s="114">
        <v>1</v>
      </c>
      <c r="D4840" s="194" t="e">
        <f>IF(AND(C4840&lt;=F4838,F4838&gt;1,F4838&lt;&gt;""),VLOOKUP(VALUE(E4819&amp;","&amp;C4840),INTEGRANTES!$D$18:$F$235,2,0),"")</f>
        <v>#N/A</v>
      </c>
      <c r="E4840" s="211" t="e">
        <f>IF(D4840&lt;&gt;"",VLOOKUP(VALUE(E4819&amp;","&amp;C4840),INTEGRANTES!$D$18:$F$235,3,0),"")</f>
        <v>#N/A</v>
      </c>
      <c r="F4840" s="547" t="e">
        <f>IF(D4840="","",SUMIF($I4823:$I4832,D4840,$P4823:$P4832))</f>
        <v>#N/A</v>
      </c>
      <c r="G4840" s="333" t="e">
        <f>IF(D4840="","",SUMIF($I4823:$I4832,D4840,$M4823:$M4832))</f>
        <v>#N/A</v>
      </c>
      <c r="H4840" s="535" t="e">
        <f t="shared" ref="H4840:H4845" si="1433">IF(D4840="","",IF(OR(F4840=0,G4840=0),"NO APORTA",ROUND($F4840/$G4840,3)))</f>
        <v>#N/A</v>
      </c>
      <c r="I4840" s="212" t="e">
        <f>IF(D4840="","",IF(H4840="NO APORTA","NO",IF(H4840=MAX($H4840:$H4845),"SI","NO")))</f>
        <v>#N/A</v>
      </c>
      <c r="J4840" s="213" t="e">
        <f t="shared" ref="J4840:J4845" si="1434">IF(D4840="","",IF(E4840&gt;=PORCREQUERIDOINT,"SI","NO"))</f>
        <v>#N/A</v>
      </c>
      <c r="K4840" s="200" t="e">
        <f t="shared" ref="K4840:K4845" si="1435">IF(D4840="","",IF(AND(I4840="SI",J4840="SI"),"CUMPLE",IF(AND(I4840="NO",OR(J4840="SI",J4840="NO")),"","NO CUMPLE")))</f>
        <v>#N/A</v>
      </c>
      <c r="L4840" s="722" t="s">
        <v>108</v>
      </c>
      <c r="M4840" s="726" t="s">
        <v>119</v>
      </c>
      <c r="N4840" s="726"/>
      <c r="O4840" s="726"/>
      <c r="P4840" s="726"/>
      <c r="Q4840" s="727"/>
      <c r="R4840" s="758" t="s">
        <v>80</v>
      </c>
      <c r="S4840" s="747"/>
      <c r="T4840" s="748"/>
      <c r="U4840" s="219"/>
      <c r="V4840" s="464"/>
      <c r="Y4840" s="533" t="e">
        <f>IF(Y4837="","",IF(Y4837="INDIVIDUAL","NO APLICA","VERIFICAR CUADRO"))</f>
        <v>#N/A</v>
      </c>
      <c r="AA4840" s="551"/>
      <c r="AB4840" s="694"/>
      <c r="AC4840" s="694"/>
      <c r="AD4840" s="686"/>
      <c r="AE4840" s="52"/>
      <c r="AF4840" s="52"/>
      <c r="AG4840" s="52"/>
      <c r="AH4840" s="87"/>
      <c r="AI4840" s="87"/>
    </row>
    <row r="4841" spans="1:35" ht="27" hidden="1" customHeight="1" thickBot="1">
      <c r="A4841" s="218" t="e">
        <f>"O"&amp;E4819</f>
        <v>#N/A</v>
      </c>
      <c r="B4841" s="702"/>
      <c r="C4841" s="114">
        <v>2</v>
      </c>
      <c r="D4841" s="194" t="e">
        <f>IF(AND(C4841&lt;=F4838,F4838&lt;&gt;""),VLOOKUP(VALUE(E4819&amp;","&amp;C4841),INTEGRANTES!$D$18:$F$235,2,0),"")</f>
        <v>#N/A</v>
      </c>
      <c r="E4841" s="211" t="e">
        <f>IF(D4841&lt;&gt;"",VLOOKUP(VALUE(E4819&amp;","&amp;C4841),INTEGRANTES!$D$18:$F$235,3,0),"")</f>
        <v>#N/A</v>
      </c>
      <c r="F4841" s="547" t="e">
        <f>IF(D4841="","",SUMIF($I4823:$I4832,D4841,$P4823:$P4832))</f>
        <v>#N/A</v>
      </c>
      <c r="G4841" s="333" t="e">
        <f>IF(D4841="","",SUMIF($I4823:$I4832,D4841,$M4823:$M4832))</f>
        <v>#N/A</v>
      </c>
      <c r="H4841" s="535" t="e">
        <f t="shared" si="1433"/>
        <v>#N/A</v>
      </c>
      <c r="I4841" s="212" t="e">
        <f>IF(D4841="","",IF(H4841="NO APORTA","NO",IF(H4841=MAX($H4840:$H4845),"SI","NO")))</f>
        <v>#N/A</v>
      </c>
      <c r="J4841" s="213" t="e">
        <f t="shared" si="1434"/>
        <v>#N/A</v>
      </c>
      <c r="K4841" s="200" t="e">
        <f t="shared" si="1435"/>
        <v>#N/A</v>
      </c>
      <c r="L4841" s="723"/>
      <c r="M4841" s="715" t="s">
        <v>116</v>
      </c>
      <c r="N4841" s="716"/>
      <c r="O4841" s="556" t="s">
        <v>113</v>
      </c>
      <c r="P4841" s="715" t="s">
        <v>117</v>
      </c>
      <c r="Q4841" s="728"/>
      <c r="R4841" s="759"/>
      <c r="S4841" s="760"/>
      <c r="T4841" s="761"/>
      <c r="U4841" s="219"/>
      <c r="V4841" s="464"/>
      <c r="Y4841" s="414"/>
      <c r="AA4841" s="542" t="e">
        <f>IF(AND(C4840&lt;=F4838,F4838&gt;1,F4838&lt;&gt;""),VLOOKUP(VALUE(E4819&amp;","&amp;C4840),INTEGRANTES!$D$18:$F$235,2,0),"")</f>
        <v>#N/A</v>
      </c>
      <c r="AB4841" s="544" t="e">
        <f t="shared" ref="AB4841:AB4846" si="1436">IF(D4840="","",IF(OR(F4840=0,G4840=0),"NO APORTA",ROUND($F4840/$G4840,3)))</f>
        <v>#N/A</v>
      </c>
      <c r="AC4841" s="529"/>
      <c r="AD4841" s="200" t="e">
        <f t="shared" ref="AD4841:AD4846" si="1437">IF(OR(AA4841="",AB4841=""),"",IF(AND(AC4841="X",AB4841&gt;=EXPREQVTD),"CUMPLE","NO CUMPLE"))</f>
        <v>#N/A</v>
      </c>
      <c r="AE4841" s="52"/>
      <c r="AF4841" s="52"/>
      <c r="AG4841" s="52"/>
      <c r="AH4841" s="87"/>
      <c r="AI4841" s="87"/>
    </row>
    <row r="4842" spans="1:35" ht="16.5" hidden="1" thickBot="1">
      <c r="A4842" s="218" t="e">
        <f>"P"&amp;E4819</f>
        <v>#N/A</v>
      </c>
      <c r="B4842" s="702"/>
      <c r="C4842" s="114">
        <v>3</v>
      </c>
      <c r="D4842" s="194" t="e">
        <f>IF(AND(C4842&lt;=F4838,F4838&lt;&gt;""),VLOOKUP(VALUE(E4819&amp;","&amp;C4842),INTEGRANTES!$D$18:$F$235,2,0),"")</f>
        <v>#N/A</v>
      </c>
      <c r="E4842" s="211" t="e">
        <f>IF(D4842&lt;&gt;"",VLOOKUP(VALUE(E4819&amp;","&amp;C4842),INTEGRANTES!$D$18:$F$235,3,0),"")</f>
        <v>#N/A</v>
      </c>
      <c r="F4842" s="547" t="e">
        <f>IF(D4842="","",SUMIF($I4823:$I4832,D4842,$P4823:$P4832))</f>
        <v>#N/A</v>
      </c>
      <c r="G4842" s="333" t="e">
        <f>IF(D4842="","",SUMIF($I4823:$I4832,D4842,$M4823:$M4832))</f>
        <v>#N/A</v>
      </c>
      <c r="H4842" s="535" t="e">
        <f t="shared" si="1433"/>
        <v>#N/A</v>
      </c>
      <c r="I4842" s="212" t="e">
        <f>IF(D4842="","",IF(H4842="NO APORTA","NO",IF(H4842=MAX($H4840:$H4845),"SI","NO")))</f>
        <v>#N/A</v>
      </c>
      <c r="J4842" s="213" t="e">
        <f t="shared" si="1434"/>
        <v>#N/A</v>
      </c>
      <c r="K4842" s="200" t="e">
        <f t="shared" si="1435"/>
        <v>#N/A</v>
      </c>
      <c r="L4842" s="724"/>
      <c r="M4842" s="729">
        <f>NUMMOD</f>
        <v>1</v>
      </c>
      <c r="N4842" s="730"/>
      <c r="O4842" s="443">
        <f>IF(M4842="","",VLOOKUP(M4842,PRESUPUESTOS!$B$16:$H$16,5,FALSE))</f>
        <v>2</v>
      </c>
      <c r="P4842" s="713">
        <f>IF(OR(COUNTIF(M4823:M4832,"")&gt;=10,Q4839&lt;NUMMINCONT,OR(T4837="NO CUMPLE",T4837="VERIFICAR")),0,ROUND(AVERAGE(M4823:M4832),3))</f>
        <v>0</v>
      </c>
      <c r="Q4842" s="714"/>
      <c r="R4842" s="458"/>
      <c r="S4842" s="459"/>
      <c r="T4842" s="460"/>
      <c r="U4842" s="219"/>
      <c r="V4842" s="464"/>
      <c r="Y4842" s="532" t="str">
        <f>"40% * ("&amp;PRESUPUESTOS!$H$13&amp;")"</f>
        <v>40% * (50% PFMO)</v>
      </c>
      <c r="AA4842" s="540" t="e">
        <f>IF(AND(C4841&lt;=F4838,F4838&lt;&gt;""),VLOOKUP(VALUE(E4819&amp;","&amp;C4841),INTEGRANTES!$D$18:$F$235,2,0),"")</f>
        <v>#N/A</v>
      </c>
      <c r="AB4842" s="545" t="e">
        <f t="shared" si="1436"/>
        <v>#N/A</v>
      </c>
      <c r="AC4842" s="529"/>
      <c r="AD4842" s="200" t="e">
        <f t="shared" si="1437"/>
        <v>#N/A</v>
      </c>
      <c r="AE4842" s="52"/>
      <c r="AF4842" s="52"/>
      <c r="AG4842" s="52"/>
      <c r="AH4842" s="87"/>
      <c r="AI4842" s="87"/>
    </row>
    <row r="4843" spans="1:35" ht="15.75" hidden="1" customHeight="1" thickBot="1">
      <c r="A4843" s="218" t="e">
        <f>"Q"&amp;E4819</f>
        <v>#N/A</v>
      </c>
      <c r="B4843" s="702"/>
      <c r="C4843" s="114">
        <v>4</v>
      </c>
      <c r="D4843" s="194" t="e">
        <f>IF(AND(C4843&lt;=F4838,F4838&lt;&gt;""),VLOOKUP(VALUE(E4819&amp;","&amp;C4843),INTEGRANTES!$D$18:$F$235,2,0),"")</f>
        <v>#N/A</v>
      </c>
      <c r="E4843" s="211" t="e">
        <f>IF(D4843&lt;&gt;"",VLOOKUP(VALUE(E4819&amp;","&amp;C4843),INTEGRANTES!$D$18:$F$235,3,0),"")</f>
        <v>#N/A</v>
      </c>
      <c r="F4843" s="547" t="e">
        <f>IF(D4843="","",SUMIF($I4823:$I4832,D4843,$P4823:$P4832))</f>
        <v>#N/A</v>
      </c>
      <c r="G4843" s="333" t="e">
        <f>IF(D4843="","",SUMIF($I4823:$I4832,D4843,$M4823:$M4832))</f>
        <v>#N/A</v>
      </c>
      <c r="H4843" s="535" t="e">
        <f t="shared" si="1433"/>
        <v>#N/A</v>
      </c>
      <c r="I4843" s="212" t="e">
        <f>IF(D4843="","",IF(H4843="NO APORTA","NO",IF(H4843=MAX($H4840:$H4845),"SI","NO")))</f>
        <v>#N/A</v>
      </c>
      <c r="J4843" s="213" t="e">
        <f t="shared" si="1434"/>
        <v>#N/A</v>
      </c>
      <c r="K4843" s="200" t="e">
        <f t="shared" si="1435"/>
        <v>#N/A</v>
      </c>
      <c r="L4843" s="720" t="s">
        <v>109</v>
      </c>
      <c r="M4843" s="757" t="s">
        <v>120</v>
      </c>
      <c r="N4843" s="726"/>
      <c r="O4843" s="726"/>
      <c r="P4843" s="726"/>
      <c r="Q4843" s="727"/>
      <c r="R4843" s="458"/>
      <c r="S4843" s="459"/>
      <c r="T4843" s="460"/>
      <c r="U4843" s="219"/>
      <c r="V4843" s="464"/>
      <c r="Y4843" s="537">
        <f>0.4*PRESUPUESTOS!$H$16</f>
        <v>10.3124</v>
      </c>
      <c r="AA4843" s="540" t="e">
        <f>IF(AND(C4842&lt;=F4838,F4838&lt;&gt;""),VLOOKUP(VALUE(E4819&amp;","&amp;C4842),INTEGRANTES!$D$18:$F$235,2,0),"")</f>
        <v>#N/A</v>
      </c>
      <c r="AB4843" s="545" t="e">
        <f t="shared" si="1436"/>
        <v>#N/A</v>
      </c>
      <c r="AC4843" s="529"/>
      <c r="AD4843" s="200" t="e">
        <f t="shared" si="1437"/>
        <v>#N/A</v>
      </c>
      <c r="AE4843" s="52"/>
      <c r="AF4843" s="52"/>
      <c r="AG4843" s="52"/>
      <c r="AH4843" s="87"/>
      <c r="AI4843" s="87"/>
    </row>
    <row r="4844" spans="1:35" ht="27" hidden="1" customHeight="1" thickBot="1">
      <c r="A4844" s="218" t="e">
        <f>"R"&amp;E4819</f>
        <v>#N/A</v>
      </c>
      <c r="B4844" s="702"/>
      <c r="C4844" s="114">
        <v>5</v>
      </c>
      <c r="D4844" s="194" t="e">
        <f>IF(AND(C4844&lt;=F4838,F4838&lt;&gt;""),VLOOKUP(VALUE(E4819&amp;","&amp;C4844),INTEGRANTES!$D$18:$F$235,2,0),"")</f>
        <v>#N/A</v>
      </c>
      <c r="E4844" s="211" t="e">
        <f>IF(D4844&lt;&gt;"",VLOOKUP(VALUE(E4819&amp;","&amp;C4844),INTEGRANTES!$D$18:$F$235,3,0),"")</f>
        <v>#N/A</v>
      </c>
      <c r="F4844" s="547" t="e">
        <f>IF(D4844="","",SUMIF($I4823:$I4832,D4844,$P4823:$P4832))</f>
        <v>#N/A</v>
      </c>
      <c r="G4844" s="333" t="e">
        <f>IF(D4844="","",SUMIF($I4823:$I4832,D4844,$M4823:$M4832))</f>
        <v>#N/A</v>
      </c>
      <c r="H4844" s="535" t="e">
        <f t="shared" si="1433"/>
        <v>#N/A</v>
      </c>
      <c r="I4844" s="212" t="e">
        <f>IF(D4844="","",IF(H4844="NO APORTA","NO",IF(H4844=MAX($H4840:$H4845),"SI","NO")))</f>
        <v>#N/A</v>
      </c>
      <c r="J4844" s="213" t="e">
        <f t="shared" si="1434"/>
        <v>#N/A</v>
      </c>
      <c r="K4844" s="200" t="e">
        <f t="shared" si="1435"/>
        <v>#N/A</v>
      </c>
      <c r="L4844" s="721"/>
      <c r="M4844" s="715" t="s">
        <v>116</v>
      </c>
      <c r="N4844" s="716"/>
      <c r="O4844" s="556" t="str">
        <f>PORCREQUERIDO*100&amp;"% PMFO DEL MÓDULO"</f>
        <v>50% PMFO DEL MÓDULO</v>
      </c>
      <c r="P4844" s="715" t="s">
        <v>118</v>
      </c>
      <c r="Q4844" s="728"/>
      <c r="R4844" s="458"/>
      <c r="S4844" s="459"/>
      <c r="T4844" s="460"/>
      <c r="U4844" s="219"/>
      <c r="V4844" s="464"/>
      <c r="Y4844" s="414"/>
      <c r="AA4844" s="540" t="e">
        <f>IF(AND(C4843&lt;=F4838,F4838&lt;&gt;""),VLOOKUP(VALUE(E4819&amp;","&amp;C4843),INTEGRANTES!$D$18:$F$235,2,0),"")</f>
        <v>#N/A</v>
      </c>
      <c r="AB4844" s="545" t="e">
        <f t="shared" si="1436"/>
        <v>#N/A</v>
      </c>
      <c r="AC4844" s="529"/>
      <c r="AD4844" s="200" t="e">
        <f t="shared" si="1437"/>
        <v>#N/A</v>
      </c>
      <c r="AE4844" s="52"/>
      <c r="AF4844" s="52"/>
      <c r="AG4844" s="52"/>
      <c r="AH4844" s="87"/>
      <c r="AI4844" s="87"/>
    </row>
    <row r="4845" spans="1:35" ht="16.5" hidden="1" thickBot="1">
      <c r="A4845" s="218" t="e">
        <f>"S"&amp;E4819</f>
        <v>#N/A</v>
      </c>
      <c r="B4845" s="702"/>
      <c r="C4845" s="215">
        <v>6</v>
      </c>
      <c r="D4845" s="216" t="e">
        <f>IF(AND(C4845&lt;=F4838,F4838&lt;&gt;""),VLOOKUP(VALUE(E4819&amp;","&amp;C4845),INTEGRANTES!$D$18:$F$235,2,0),"")</f>
        <v>#N/A</v>
      </c>
      <c r="E4845" s="217" t="e">
        <f>IF(D4845&lt;&gt;"",VLOOKUP(VALUE(E4819&amp;","&amp;C4845),INTEGRANTES!$D$18:$F$235,3,0),"")</f>
        <v>#N/A</v>
      </c>
      <c r="F4845" s="548" t="e">
        <f>IF(D4845="","",SUMIF($I4823:$I4832,D4845,$P4823:$P4832))</f>
        <v>#N/A</v>
      </c>
      <c r="G4845" s="334" t="e">
        <f>IF(D4845="","",SUMIF($I4823:$I4832,D4845,$M4823:$M4832))</f>
        <v>#N/A</v>
      </c>
      <c r="H4845" s="536" t="e">
        <f t="shared" si="1433"/>
        <v>#N/A</v>
      </c>
      <c r="I4845" s="214" t="e">
        <f>IF(D4845="","",IF(H4845="NO APORTA","NO",IF(H4845=MAX($H4840:$H4845),"SI","NO")))</f>
        <v>#N/A</v>
      </c>
      <c r="J4845" s="213" t="e">
        <f t="shared" si="1434"/>
        <v>#N/A</v>
      </c>
      <c r="K4845" s="200" t="e">
        <f t="shared" si="1435"/>
        <v>#N/A</v>
      </c>
      <c r="L4845" s="721"/>
      <c r="M4845" s="729">
        <f>NUMMOD</f>
        <v>1</v>
      </c>
      <c r="N4845" s="730"/>
      <c r="O4845" s="443">
        <f>IF(M4845="","",ROUND(VLOOKUP(M4845,PRESUPUESTOS!$B$16:$H$16,7,FALSE),3))</f>
        <v>25.780999999999999</v>
      </c>
      <c r="P4845" s="713">
        <f>IF(OR(COUNTIF(P4823:P4832,"")&gt;=10,Q4839&lt;NUMMINCONT,OR(T4837="NO CUMPLE",T4837="VERIFICAR")),0,ROUND((SUM(P4823:P4832)/SUM(M4823:M4832)),3))</f>
        <v>0</v>
      </c>
      <c r="Q4845" s="714"/>
      <c r="R4845" s="458"/>
      <c r="S4845" s="459"/>
      <c r="T4845" s="460"/>
      <c r="U4845" s="219"/>
      <c r="V4845" s="464"/>
      <c r="Y4845" s="532" t="s">
        <v>343</v>
      </c>
      <c r="AA4845" s="540" t="e">
        <f>IF(AND(C4844&lt;=F4838,F4838&lt;&gt;""),VLOOKUP(VALUE(E4819&amp;","&amp;C4844),INTEGRANTES!$D$18:$F$235,2,0),"")</f>
        <v>#N/A</v>
      </c>
      <c r="AB4845" s="545" t="e">
        <f t="shared" si="1436"/>
        <v>#N/A</v>
      </c>
      <c r="AC4845" s="529"/>
      <c r="AD4845" s="200" t="e">
        <f t="shared" si="1437"/>
        <v>#N/A</v>
      </c>
      <c r="AE4845" s="52"/>
      <c r="AF4845" s="52"/>
      <c r="AG4845" s="52"/>
      <c r="AH4845" s="87"/>
      <c r="AI4845" s="87"/>
    </row>
    <row r="4846" spans="1:35" ht="16.5" hidden="1" customHeight="1" thickBot="1">
      <c r="A4846" s="218" t="e">
        <f>"T"&amp;E4819</f>
        <v>#N/A</v>
      </c>
      <c r="B4846" s="703"/>
      <c r="C4846" s="719"/>
      <c r="D4846" s="719"/>
      <c r="E4846" s="719"/>
      <c r="F4846" s="719"/>
      <c r="G4846" s="719"/>
      <c r="H4846" s="719" t="s">
        <v>110</v>
      </c>
      <c r="I4846" s="719"/>
      <c r="J4846" s="719"/>
      <c r="K4846" s="201" t="str">
        <f>IF(COUNTIF(K4840:K4845,"")=6,"",IF(COUNTIF(K4840:K4845,"CUMPLE")&gt;0,"CUMPLE","NO CUMPLE"))</f>
        <v>NO CUMPLE</v>
      </c>
      <c r="L4846" s="754"/>
      <c r="M4846" s="755"/>
      <c r="N4846" s="755"/>
      <c r="O4846" s="755"/>
      <c r="P4846" s="755"/>
      <c r="Q4846" s="756"/>
      <c r="R4846" s="461"/>
      <c r="S4846" s="462"/>
      <c r="T4846" s="463"/>
      <c r="U4846" s="219"/>
      <c r="V4846" s="464"/>
      <c r="Y4846" s="549" t="e">
        <f>IF(Y4840="NO APLICA","NO APLICA",IF(COUNTIF(AD4841:AD4846,"CUMPLE")&gt;0,"CUMPLE","NO CUMPLE"))</f>
        <v>#N/A</v>
      </c>
      <c r="AA4846" s="541" t="e">
        <f>IF(AND(C4845&lt;=F4838,F4838&lt;&gt;""),VLOOKUP(VALUE(E4819&amp;","&amp;C4845),INTEGRANTES!$D$18:$F$235,2,0),"")</f>
        <v>#N/A</v>
      </c>
      <c r="AB4846" s="546" t="e">
        <f t="shared" si="1436"/>
        <v>#N/A</v>
      </c>
      <c r="AC4846" s="543"/>
      <c r="AD4846" s="201" t="e">
        <f t="shared" si="1437"/>
        <v>#N/A</v>
      </c>
      <c r="AE4846" s="52"/>
      <c r="AF4846" s="52"/>
      <c r="AG4846" s="52"/>
      <c r="AH4846" s="87"/>
      <c r="AI4846" s="87"/>
    </row>
    <row r="4847" spans="1:35" hidden="1">
      <c r="AH4847" s="87"/>
      <c r="AI4847" s="87"/>
    </row>
    <row r="4848" spans="1:35" hidden="1">
      <c r="AH4848" s="87"/>
      <c r="AI4848" s="87"/>
    </row>
    <row r="4849" spans="1:35" ht="24" hidden="1" thickBot="1">
      <c r="A4849" s="61">
        <v>162</v>
      </c>
      <c r="B4849" s="704" t="s">
        <v>51</v>
      </c>
      <c r="C4849" s="704"/>
      <c r="D4849" s="704"/>
      <c r="E4849" s="62" t="e">
        <f>VLOOKUP(A4849,PROPONENTES!$B$19:$E$218,2,FALSE)</f>
        <v>#N/A</v>
      </c>
      <c r="F4849" s="63" t="e">
        <f>VLOOKUP(A4849,PROPONENTES!$B$19:$E$218,3,FALSE)</f>
        <v>#N/A</v>
      </c>
      <c r="G4849" s="64"/>
      <c r="H4849" s="64"/>
      <c r="I4849" s="63"/>
      <c r="J4849" s="63"/>
      <c r="K4849" s="65"/>
      <c r="L4849" s="65"/>
      <c r="M4849" s="64"/>
      <c r="N4849" s="64"/>
      <c r="O4849" s="66"/>
      <c r="P4849" s="66"/>
      <c r="Q4849" s="66"/>
      <c r="R4849" s="66"/>
      <c r="S4849" s="67"/>
      <c r="T4849" s="68"/>
      <c r="U4849" s="68"/>
      <c r="AC4849" s="68"/>
      <c r="AD4849" s="68"/>
      <c r="AE4849" s="68"/>
      <c r="AF4849" s="68"/>
      <c r="AG4849" s="68"/>
      <c r="AH4849" s="87"/>
      <c r="AI4849" s="87"/>
    </row>
    <row r="4850" spans="1:35" ht="15.75" hidden="1" customHeight="1">
      <c r="A4850" s="44"/>
      <c r="B4850" s="709" t="s">
        <v>59</v>
      </c>
      <c r="C4850" s="552" t="s">
        <v>60</v>
      </c>
      <c r="D4850" s="70" t="s">
        <v>17</v>
      </c>
      <c r="E4850" s="70"/>
      <c r="F4850" s="70" t="s">
        <v>61</v>
      </c>
      <c r="G4850" s="71"/>
      <c r="H4850" s="699" t="s">
        <v>62</v>
      </c>
      <c r="I4850" s="699" t="s">
        <v>18</v>
      </c>
      <c r="J4850" s="699" t="s">
        <v>63</v>
      </c>
      <c r="K4850" s="699" t="s">
        <v>64</v>
      </c>
      <c r="L4850" s="699" t="s">
        <v>65</v>
      </c>
      <c r="M4850" s="743" t="s">
        <v>66</v>
      </c>
      <c r="N4850" s="699" t="s">
        <v>282</v>
      </c>
      <c r="O4850" s="745" t="s">
        <v>67</v>
      </c>
      <c r="P4850" s="746"/>
      <c r="Q4850" s="102" t="s">
        <v>75</v>
      </c>
      <c r="R4850" s="731" t="s">
        <v>22</v>
      </c>
      <c r="S4850" s="732"/>
      <c r="T4850" s="733"/>
      <c r="U4850" s="712" t="s">
        <v>298</v>
      </c>
      <c r="W4850" s="690" t="s">
        <v>268</v>
      </c>
      <c r="X4850" s="691"/>
      <c r="Y4850" s="692"/>
      <c r="Z4850" s="428"/>
      <c r="AA4850" s="697" t="s">
        <v>315</v>
      </c>
      <c r="AB4850" s="695" t="s">
        <v>322</v>
      </c>
      <c r="AC4850" s="49"/>
      <c r="AD4850" s="690" t="s">
        <v>297</v>
      </c>
      <c r="AE4850" s="691"/>
      <c r="AF4850" s="692"/>
      <c r="AG4850" s="49"/>
      <c r="AH4850" s="87"/>
      <c r="AI4850" s="87"/>
    </row>
    <row r="4851" spans="1:35" ht="72" hidden="1">
      <c r="A4851" s="44"/>
      <c r="B4851" s="710"/>
      <c r="C4851" s="553" t="s">
        <v>68</v>
      </c>
      <c r="D4851" s="73" t="s">
        <v>3</v>
      </c>
      <c r="E4851" s="73" t="s">
        <v>19</v>
      </c>
      <c r="F4851" s="73" t="s">
        <v>69</v>
      </c>
      <c r="G4851" s="74" t="s">
        <v>70</v>
      </c>
      <c r="H4851" s="700"/>
      <c r="I4851" s="700"/>
      <c r="J4851" s="700"/>
      <c r="K4851" s="700"/>
      <c r="L4851" s="700"/>
      <c r="M4851" s="744"/>
      <c r="N4851" s="700"/>
      <c r="O4851" s="553" t="s">
        <v>279</v>
      </c>
      <c r="P4851" s="73" t="s">
        <v>88</v>
      </c>
      <c r="Q4851" s="555" t="s">
        <v>76</v>
      </c>
      <c r="R4851" s="734"/>
      <c r="S4851" s="735"/>
      <c r="T4851" s="736"/>
      <c r="U4851" s="712"/>
      <c r="W4851" s="429" t="s">
        <v>269</v>
      </c>
      <c r="X4851" s="457" t="s">
        <v>278</v>
      </c>
      <c r="Y4851" s="430" t="s">
        <v>324</v>
      </c>
      <c r="Z4851" s="428"/>
      <c r="AA4851" s="698"/>
      <c r="AB4851" s="696"/>
      <c r="AC4851" s="49"/>
      <c r="AD4851" s="429" t="s">
        <v>292</v>
      </c>
      <c r="AE4851" s="431" t="s">
        <v>300</v>
      </c>
      <c r="AF4851" s="468" t="s">
        <v>301</v>
      </c>
      <c r="AG4851" s="49"/>
      <c r="AH4851" s="87"/>
      <c r="AI4851" s="87"/>
    </row>
    <row r="4852" spans="1:35" hidden="1">
      <c r="A4852" s="44"/>
      <c r="B4852" s="76"/>
      <c r="C4852" s="77"/>
      <c r="D4852" s="77"/>
      <c r="E4852" s="77"/>
      <c r="F4852" s="77"/>
      <c r="G4852" s="77"/>
      <c r="H4852" s="77"/>
      <c r="I4852" s="77"/>
      <c r="J4852" s="77"/>
      <c r="K4852" s="77"/>
      <c r="L4852" s="77"/>
      <c r="M4852" s="77"/>
      <c r="N4852" s="77"/>
      <c r="O4852" s="77"/>
      <c r="P4852" s="77"/>
      <c r="Q4852" s="77"/>
      <c r="R4852" s="77"/>
      <c r="S4852" s="78"/>
      <c r="T4852" s="79"/>
      <c r="U4852" s="109"/>
      <c r="V4852" s="49"/>
      <c r="W4852" s="432"/>
      <c r="X4852" s="454"/>
      <c r="Y4852" s="433"/>
      <c r="Z4852" s="6"/>
      <c r="AA4852" s="500"/>
      <c r="AB4852" s="562"/>
      <c r="AC4852" s="49"/>
      <c r="AD4852" s="210"/>
      <c r="AE4852" s="434"/>
      <c r="AF4852" s="435"/>
      <c r="AG4852" s="49"/>
      <c r="AH4852" s="87"/>
      <c r="AI4852" s="87"/>
    </row>
    <row r="4853" spans="1:35" hidden="1">
      <c r="A4853" s="80" t="e">
        <f>"A"&amp;E4849</f>
        <v>#N/A</v>
      </c>
      <c r="B4853" s="81">
        <v>1</v>
      </c>
      <c r="C4853" s="82"/>
      <c r="D4853" s="82"/>
      <c r="E4853" s="82"/>
      <c r="F4853" s="82"/>
      <c r="G4853" s="83"/>
      <c r="H4853" s="83"/>
      <c r="I4853" s="84"/>
      <c r="J4853" s="85"/>
      <c r="K4853" s="382"/>
      <c r="L4853" s="85"/>
      <c r="M4853" s="332" t="str">
        <f t="shared" ref="M4853:M4862" si="1438">IF(OR(J4853="",L4853="",H4853="NO"),"",IF(OR(J4853&gt;$P$17,J4853&lt;$O$17,L4853&gt;$P$17,AND(J4853&lt;$O$17,L4853&lt;$O$17)),"FUERA DE RANGO",IF(OR(K4853="---",K4853=""),IF(J4853&gt;=$O$17,ROUND((L4853-J4853+1)/360*12,3),ROUND((L4853-$O$17+1)/360*12,3)),IF(J4853&gt;=$O$17,ROUND((L4853-J4853+1)/360*12-ROUND(K4853,3),3),ROUND((L4853-$O$17+1)/360*12-ROUND(K4853,3),3)))))</f>
        <v/>
      </c>
      <c r="N4853" s="86"/>
      <c r="O4853" s="453" t="str">
        <f>IF(OR(G4853="",N4853=""),"",N4853*G4853)</f>
        <v/>
      </c>
      <c r="P4853" s="538" t="str">
        <f>IF(OR(H4853="",M4853="FUERA DE RANGO"),"",IF(OR(L4853&lt;$O$17,L4853&gt;$P$17,L4853="",H4853="NO"),"",IF(OR(N4853="",O4853=""),"",ROUND(O4853,3))))</f>
        <v/>
      </c>
      <c r="Q4853" s="539" t="str">
        <f t="shared" ref="Q4853:Q4862" si="1439">IF(AND(H4853="SI",P4853&lt;&gt;""),ROUND(P4853/M4853,3),"")</f>
        <v/>
      </c>
      <c r="R4853" s="737"/>
      <c r="S4853" s="738"/>
      <c r="T4853" s="739"/>
      <c r="U4853" s="470"/>
      <c r="V4853" s="165"/>
      <c r="W4853" s="446"/>
      <c r="X4853" s="456"/>
      <c r="Y4853" s="436"/>
      <c r="Z4853" s="437"/>
      <c r="AA4853" s="560"/>
      <c r="AB4853" s="561"/>
      <c r="AC4853" s="87"/>
      <c r="AD4853" s="466"/>
      <c r="AE4853" s="456"/>
      <c r="AF4853" s="467"/>
      <c r="AG4853" s="87"/>
      <c r="AH4853" s="87"/>
      <c r="AI4853" s="87"/>
    </row>
    <row r="4854" spans="1:35" hidden="1">
      <c r="A4854" s="80" t="e">
        <f>"B"&amp;E4849</f>
        <v>#N/A</v>
      </c>
      <c r="B4854" s="81">
        <v>2</v>
      </c>
      <c r="C4854" s="106"/>
      <c r="D4854" s="106"/>
      <c r="E4854" s="106"/>
      <c r="F4854" s="106"/>
      <c r="G4854" s="83"/>
      <c r="H4854" s="83"/>
      <c r="I4854" s="84"/>
      <c r="J4854" s="85"/>
      <c r="K4854" s="382"/>
      <c r="L4854" s="85"/>
      <c r="M4854" s="332" t="str">
        <f t="shared" si="1438"/>
        <v/>
      </c>
      <c r="N4854" s="86"/>
      <c r="O4854" s="453" t="str">
        <f t="shared" ref="O4854:O4862" si="1440">IF(OR(G4854="",N4854=""),"",N4854*G4854)</f>
        <v/>
      </c>
      <c r="P4854" s="538" t="str">
        <f t="shared" ref="P4854:P4862" si="1441">IF(OR(H4854="",M4854="FUERA DE RANGO"),"",IF(OR(L4854&lt;$O$17,L4854&gt;$P$17,L4854="",H4854="NO"),"",IF(OR(N4854="",O4854=""),"",ROUND(O4854,3))))</f>
        <v/>
      </c>
      <c r="Q4854" s="539" t="str">
        <f t="shared" si="1439"/>
        <v/>
      </c>
      <c r="R4854" s="740"/>
      <c r="S4854" s="741"/>
      <c r="T4854" s="742"/>
      <c r="U4854" s="471"/>
      <c r="V4854" s="165"/>
      <c r="W4854" s="446"/>
      <c r="X4854" s="456"/>
      <c r="Y4854" s="436"/>
      <c r="Z4854" s="437"/>
      <c r="AA4854" s="560"/>
      <c r="AB4854" s="561"/>
      <c r="AC4854" s="87"/>
      <c r="AD4854" s="466"/>
      <c r="AE4854" s="456"/>
      <c r="AF4854" s="467"/>
      <c r="AG4854" s="87"/>
      <c r="AH4854" s="87"/>
      <c r="AI4854" s="87"/>
    </row>
    <row r="4855" spans="1:35" hidden="1">
      <c r="A4855" s="80" t="e">
        <f>"C"&amp;E4849</f>
        <v>#N/A</v>
      </c>
      <c r="B4855" s="88">
        <v>3</v>
      </c>
      <c r="C4855" s="82"/>
      <c r="D4855" s="82"/>
      <c r="E4855" s="82"/>
      <c r="F4855" s="82"/>
      <c r="G4855" s="83"/>
      <c r="H4855" s="83"/>
      <c r="I4855" s="84"/>
      <c r="J4855" s="85"/>
      <c r="K4855" s="382"/>
      <c r="L4855" s="85"/>
      <c r="M4855" s="332" t="str">
        <f t="shared" si="1438"/>
        <v/>
      </c>
      <c r="N4855" s="86"/>
      <c r="O4855" s="453" t="str">
        <f t="shared" si="1440"/>
        <v/>
      </c>
      <c r="P4855" s="538" t="str">
        <f t="shared" si="1441"/>
        <v/>
      </c>
      <c r="Q4855" s="539" t="str">
        <f t="shared" si="1439"/>
        <v/>
      </c>
      <c r="R4855" s="706"/>
      <c r="S4855" s="707"/>
      <c r="T4855" s="708"/>
      <c r="U4855" s="472"/>
      <c r="V4855" s="166"/>
      <c r="W4855" s="446"/>
      <c r="X4855" s="456"/>
      <c r="Y4855" s="436"/>
      <c r="Z4855" s="437"/>
      <c r="AA4855" s="560"/>
      <c r="AB4855" s="561"/>
      <c r="AC4855" s="87"/>
      <c r="AD4855" s="466"/>
      <c r="AE4855" s="456"/>
      <c r="AF4855" s="467"/>
      <c r="AG4855" s="87"/>
      <c r="AH4855" s="87"/>
      <c r="AI4855" s="87"/>
    </row>
    <row r="4856" spans="1:35" hidden="1">
      <c r="A4856" s="80" t="e">
        <f>"D"&amp;E4849</f>
        <v>#N/A</v>
      </c>
      <c r="B4856" s="105">
        <v>4</v>
      </c>
      <c r="C4856" s="107"/>
      <c r="D4856" s="107"/>
      <c r="E4856" s="107"/>
      <c r="F4856" s="107"/>
      <c r="G4856" s="83"/>
      <c r="H4856" s="83"/>
      <c r="I4856" s="84"/>
      <c r="J4856" s="85"/>
      <c r="K4856" s="382"/>
      <c r="L4856" s="85"/>
      <c r="M4856" s="332" t="str">
        <f t="shared" si="1438"/>
        <v/>
      </c>
      <c r="N4856" s="86"/>
      <c r="O4856" s="453" t="str">
        <f t="shared" si="1440"/>
        <v/>
      </c>
      <c r="P4856" s="538" t="str">
        <f t="shared" si="1441"/>
        <v/>
      </c>
      <c r="Q4856" s="539" t="str">
        <f t="shared" si="1439"/>
        <v/>
      </c>
      <c r="R4856" s="706"/>
      <c r="S4856" s="707"/>
      <c r="T4856" s="708"/>
      <c r="U4856" s="472"/>
      <c r="V4856" s="166"/>
      <c r="W4856" s="446"/>
      <c r="X4856" s="456"/>
      <c r="Y4856" s="436"/>
      <c r="Z4856" s="437"/>
      <c r="AA4856" s="560"/>
      <c r="AB4856" s="561"/>
      <c r="AC4856" s="87"/>
      <c r="AD4856" s="466"/>
      <c r="AE4856" s="456"/>
      <c r="AF4856" s="467"/>
      <c r="AG4856" s="87"/>
      <c r="AH4856" s="87"/>
      <c r="AI4856" s="87"/>
    </row>
    <row r="4857" spans="1:35" hidden="1">
      <c r="A4857" s="80" t="e">
        <f>"E"&amp;E4849</f>
        <v>#N/A</v>
      </c>
      <c r="B4857" s="105">
        <v>5</v>
      </c>
      <c r="C4857" s="107"/>
      <c r="D4857" s="107"/>
      <c r="E4857" s="107"/>
      <c r="F4857" s="107"/>
      <c r="G4857" s="83"/>
      <c r="H4857" s="83"/>
      <c r="I4857" s="84"/>
      <c r="J4857" s="85"/>
      <c r="K4857" s="382"/>
      <c r="L4857" s="85"/>
      <c r="M4857" s="332" t="str">
        <f t="shared" si="1438"/>
        <v/>
      </c>
      <c r="N4857" s="86"/>
      <c r="O4857" s="453" t="str">
        <f t="shared" si="1440"/>
        <v/>
      </c>
      <c r="P4857" s="538" t="str">
        <f t="shared" si="1441"/>
        <v/>
      </c>
      <c r="Q4857" s="539" t="str">
        <f t="shared" si="1439"/>
        <v/>
      </c>
      <c r="R4857" s="706"/>
      <c r="S4857" s="707"/>
      <c r="T4857" s="708"/>
      <c r="U4857" s="472"/>
      <c r="V4857" s="167"/>
      <c r="W4857" s="446"/>
      <c r="X4857" s="456"/>
      <c r="Y4857" s="436"/>
      <c r="Z4857" s="437"/>
      <c r="AA4857" s="560"/>
      <c r="AB4857" s="561"/>
      <c r="AC4857" s="87"/>
      <c r="AD4857" s="466"/>
      <c r="AE4857" s="456"/>
      <c r="AF4857" s="467"/>
      <c r="AG4857" s="87"/>
      <c r="AH4857" s="87"/>
      <c r="AI4857" s="87"/>
    </row>
    <row r="4858" spans="1:35" hidden="1">
      <c r="A4858" s="80" t="e">
        <f>"F"&amp;E4849</f>
        <v>#N/A</v>
      </c>
      <c r="B4858" s="105">
        <v>6</v>
      </c>
      <c r="C4858" s="107"/>
      <c r="D4858" s="107"/>
      <c r="E4858" s="107"/>
      <c r="F4858" s="107"/>
      <c r="G4858" s="83"/>
      <c r="H4858" s="83"/>
      <c r="I4858" s="84"/>
      <c r="J4858" s="85"/>
      <c r="K4858" s="382"/>
      <c r="L4858" s="85"/>
      <c r="M4858" s="332" t="str">
        <f t="shared" si="1438"/>
        <v/>
      </c>
      <c r="N4858" s="86"/>
      <c r="O4858" s="453" t="str">
        <f t="shared" si="1440"/>
        <v/>
      </c>
      <c r="P4858" s="538" t="str">
        <f t="shared" si="1441"/>
        <v/>
      </c>
      <c r="Q4858" s="539" t="str">
        <f t="shared" si="1439"/>
        <v/>
      </c>
      <c r="R4858" s="706"/>
      <c r="S4858" s="707"/>
      <c r="T4858" s="708"/>
      <c r="U4858" s="472"/>
      <c r="V4858" s="167"/>
      <c r="W4858" s="446"/>
      <c r="X4858" s="456"/>
      <c r="Y4858" s="436"/>
      <c r="Z4858" s="437"/>
      <c r="AA4858" s="560"/>
      <c r="AB4858" s="561"/>
      <c r="AC4858" s="87"/>
      <c r="AD4858" s="466"/>
      <c r="AE4858" s="456"/>
      <c r="AF4858" s="467"/>
      <c r="AG4858" s="87"/>
      <c r="AH4858" s="87"/>
      <c r="AI4858" s="87"/>
    </row>
    <row r="4859" spans="1:35" hidden="1">
      <c r="A4859" s="80" t="e">
        <f>"G"&amp;E4849</f>
        <v>#N/A</v>
      </c>
      <c r="B4859" s="105">
        <v>7</v>
      </c>
      <c r="C4859" s="107"/>
      <c r="D4859" s="107"/>
      <c r="E4859" s="107"/>
      <c r="F4859" s="107"/>
      <c r="G4859" s="83"/>
      <c r="H4859" s="83"/>
      <c r="I4859" s="84"/>
      <c r="J4859" s="85"/>
      <c r="K4859" s="382"/>
      <c r="L4859" s="85"/>
      <c r="M4859" s="332" t="str">
        <f t="shared" si="1438"/>
        <v/>
      </c>
      <c r="N4859" s="86"/>
      <c r="O4859" s="86" t="str">
        <f t="shared" si="1440"/>
        <v/>
      </c>
      <c r="P4859" s="538" t="str">
        <f t="shared" si="1441"/>
        <v/>
      </c>
      <c r="Q4859" s="539" t="str">
        <f t="shared" si="1439"/>
        <v/>
      </c>
      <c r="R4859" s="706"/>
      <c r="S4859" s="707"/>
      <c r="T4859" s="708"/>
      <c r="U4859" s="472"/>
      <c r="V4859" s="167"/>
      <c r="W4859" s="446"/>
      <c r="X4859" s="456"/>
      <c r="Y4859" s="436"/>
      <c r="Z4859" s="437"/>
      <c r="AA4859" s="560"/>
      <c r="AB4859" s="561"/>
      <c r="AC4859" s="87"/>
      <c r="AD4859" s="466"/>
      <c r="AE4859" s="456"/>
      <c r="AF4859" s="467"/>
      <c r="AG4859" s="87"/>
      <c r="AH4859" s="87"/>
      <c r="AI4859" s="87"/>
    </row>
    <row r="4860" spans="1:35" hidden="1">
      <c r="A4860" s="80" t="e">
        <f>"H"&amp;E4849</f>
        <v>#N/A</v>
      </c>
      <c r="B4860" s="105">
        <v>8</v>
      </c>
      <c r="C4860" s="107"/>
      <c r="D4860" s="107"/>
      <c r="E4860" s="107"/>
      <c r="F4860" s="107"/>
      <c r="G4860" s="83"/>
      <c r="H4860" s="83"/>
      <c r="I4860" s="84"/>
      <c r="J4860" s="85"/>
      <c r="K4860" s="382"/>
      <c r="L4860" s="85"/>
      <c r="M4860" s="332" t="str">
        <f t="shared" si="1438"/>
        <v/>
      </c>
      <c r="N4860" s="453"/>
      <c r="O4860" s="86" t="str">
        <f t="shared" si="1440"/>
        <v/>
      </c>
      <c r="P4860" s="538" t="str">
        <f t="shared" si="1441"/>
        <v/>
      </c>
      <c r="Q4860" s="539" t="str">
        <f t="shared" si="1439"/>
        <v/>
      </c>
      <c r="R4860" s="706"/>
      <c r="S4860" s="707"/>
      <c r="T4860" s="708"/>
      <c r="U4860" s="472"/>
      <c r="V4860" s="167"/>
      <c r="W4860" s="446"/>
      <c r="X4860" s="456"/>
      <c r="Y4860" s="436"/>
      <c r="Z4860" s="437"/>
      <c r="AA4860" s="560"/>
      <c r="AB4860" s="561"/>
      <c r="AC4860" s="87"/>
      <c r="AD4860" s="466"/>
      <c r="AE4860" s="456"/>
      <c r="AF4860" s="467"/>
      <c r="AG4860" s="87"/>
      <c r="AH4860" s="87"/>
      <c r="AI4860" s="87"/>
    </row>
    <row r="4861" spans="1:35" hidden="1">
      <c r="A4861" s="80" t="e">
        <f>"I"&amp;E4849</f>
        <v>#N/A</v>
      </c>
      <c r="B4861" s="105">
        <v>9</v>
      </c>
      <c r="C4861" s="107"/>
      <c r="D4861" s="107"/>
      <c r="E4861" s="107"/>
      <c r="F4861" s="107"/>
      <c r="G4861" s="83"/>
      <c r="H4861" s="83"/>
      <c r="I4861" s="84"/>
      <c r="J4861" s="85"/>
      <c r="K4861" s="382"/>
      <c r="L4861" s="85"/>
      <c r="M4861" s="332" t="str">
        <f t="shared" si="1438"/>
        <v/>
      </c>
      <c r="N4861" s="453"/>
      <c r="O4861" s="86" t="str">
        <f t="shared" si="1440"/>
        <v/>
      </c>
      <c r="P4861" s="538" t="str">
        <f t="shared" si="1441"/>
        <v/>
      </c>
      <c r="Q4861" s="539" t="str">
        <f t="shared" si="1439"/>
        <v/>
      </c>
      <c r="R4861" s="706"/>
      <c r="S4861" s="707"/>
      <c r="T4861" s="708"/>
      <c r="U4861" s="472"/>
      <c r="V4861" s="167"/>
      <c r="W4861" s="446"/>
      <c r="X4861" s="456"/>
      <c r="Y4861" s="436"/>
      <c r="Z4861" s="437"/>
      <c r="AA4861" s="560"/>
      <c r="AB4861" s="561"/>
      <c r="AC4861" s="87"/>
      <c r="AD4861" s="466"/>
      <c r="AE4861" s="456"/>
      <c r="AF4861" s="467"/>
      <c r="AG4861" s="87"/>
      <c r="AH4861" s="87"/>
      <c r="AI4861" s="87"/>
    </row>
    <row r="4862" spans="1:35" hidden="1">
      <c r="A4862" s="80" t="e">
        <f>"J"&amp;E4849</f>
        <v>#N/A</v>
      </c>
      <c r="B4862" s="105">
        <v>10</v>
      </c>
      <c r="C4862" s="107"/>
      <c r="D4862" s="107"/>
      <c r="E4862" s="107"/>
      <c r="F4862" s="107"/>
      <c r="G4862" s="83"/>
      <c r="H4862" s="83"/>
      <c r="I4862" s="84"/>
      <c r="J4862" s="85"/>
      <c r="K4862" s="382"/>
      <c r="L4862" s="85"/>
      <c r="M4862" s="332" t="str">
        <f t="shared" si="1438"/>
        <v/>
      </c>
      <c r="N4862" s="453"/>
      <c r="O4862" s="86" t="str">
        <f t="shared" si="1440"/>
        <v/>
      </c>
      <c r="P4862" s="538" t="str">
        <f t="shared" si="1441"/>
        <v/>
      </c>
      <c r="Q4862" s="539" t="str">
        <f t="shared" si="1439"/>
        <v/>
      </c>
      <c r="R4862" s="706"/>
      <c r="S4862" s="707"/>
      <c r="T4862" s="708"/>
      <c r="U4862" s="472"/>
      <c r="V4862" s="167"/>
      <c r="W4862" s="446"/>
      <c r="X4862" s="456"/>
      <c r="Y4862" s="436"/>
      <c r="Z4862" s="437"/>
      <c r="AA4862" s="560"/>
      <c r="AB4862" s="561"/>
      <c r="AC4862" s="87"/>
      <c r="AD4862" s="466"/>
      <c r="AE4862" s="456"/>
      <c r="AF4862" s="467"/>
      <c r="AG4862" s="87"/>
      <c r="AH4862" s="87"/>
      <c r="AI4862" s="87"/>
    </row>
    <row r="4863" spans="1:35" ht="16.5" hidden="1" thickBot="1">
      <c r="A4863" s="44"/>
      <c r="B4863" s="89"/>
      <c r="C4863" s="90"/>
      <c r="D4863" s="90"/>
      <c r="E4863" s="90"/>
      <c r="F4863" s="90"/>
      <c r="G4863" s="90"/>
      <c r="H4863" s="90"/>
      <c r="I4863" s="90"/>
      <c r="J4863" s="90"/>
      <c r="K4863" s="90"/>
      <c r="L4863" s="90"/>
      <c r="M4863" s="90"/>
      <c r="N4863" s="90"/>
      <c r="O4863" s="90"/>
      <c r="P4863" s="90"/>
      <c r="Q4863" s="90"/>
      <c r="R4863" s="90"/>
      <c r="S4863" s="91"/>
      <c r="T4863" s="92"/>
      <c r="U4863" s="473"/>
      <c r="W4863" s="438"/>
      <c r="X4863" s="455"/>
      <c r="Y4863" s="439"/>
      <c r="Z4863" s="437"/>
      <c r="AA4863" s="530"/>
      <c r="AB4863" s="563"/>
      <c r="AC4863" s="87"/>
      <c r="AD4863" s="440"/>
      <c r="AE4863" s="441"/>
      <c r="AF4863" s="442"/>
      <c r="AG4863" s="49"/>
      <c r="AH4863" s="87"/>
      <c r="AI4863" s="87"/>
    </row>
    <row r="4864" spans="1:35" ht="16.5" hidden="1" thickBot="1">
      <c r="A4864" s="93"/>
      <c r="B4864" s="94"/>
      <c r="C4864" s="96"/>
      <c r="D4864" s="96"/>
      <c r="E4864" s="96"/>
      <c r="F4864" s="96"/>
      <c r="G4864" s="96"/>
      <c r="H4864" s="96"/>
      <c r="I4864" s="96"/>
      <c r="J4864" s="96"/>
      <c r="K4864" s="96"/>
      <c r="L4864" s="96"/>
      <c r="M4864" s="136"/>
      <c r="N4864" s="96"/>
      <c r="O4864" s="96"/>
      <c r="P4864" s="97"/>
      <c r="Q4864" s="97"/>
      <c r="R4864" s="98"/>
      <c r="S4864" s="95"/>
      <c r="T4864" s="99"/>
      <c r="U4864" s="469"/>
      <c r="AC4864" s="58"/>
      <c r="AG4864" s="58"/>
      <c r="AH4864" s="87"/>
      <c r="AI4864" s="87"/>
    </row>
    <row r="4865" spans="1:35" ht="16.5" hidden="1" thickBot="1">
      <c r="B4865" s="101"/>
      <c r="C4865" s="101"/>
      <c r="D4865" s="101"/>
      <c r="E4865" s="101"/>
      <c r="F4865" s="101"/>
      <c r="G4865" s="101"/>
      <c r="H4865" s="101"/>
      <c r="I4865" s="101"/>
      <c r="J4865" s="101"/>
      <c r="K4865" s="101"/>
      <c r="L4865" s="101"/>
      <c r="M4865" s="101"/>
      <c r="N4865" s="101"/>
      <c r="O4865" s="101"/>
      <c r="P4865" s="101"/>
      <c r="Q4865" s="101"/>
      <c r="R4865" s="101"/>
      <c r="S4865" s="101"/>
      <c r="U4865" s="50"/>
      <c r="AH4865" s="87"/>
      <c r="AI4865" s="87"/>
    </row>
    <row r="4866" spans="1:35" ht="16.5" hidden="1" customHeight="1" thickBot="1">
      <c r="A4866" s="44"/>
      <c r="B4866" s="705" t="s">
        <v>74</v>
      </c>
      <c r="C4866" s="705"/>
      <c r="D4866" s="705"/>
      <c r="E4866" s="705"/>
      <c r="F4866" s="705"/>
      <c r="G4866" s="705"/>
      <c r="H4866" s="705"/>
      <c r="I4866" s="705"/>
      <c r="J4866" s="705"/>
      <c r="K4866" s="705"/>
      <c r="L4866" s="705"/>
      <c r="M4866" s="705"/>
      <c r="N4866" s="705"/>
      <c r="O4866" s="705"/>
      <c r="P4866" s="705"/>
      <c r="Q4866" s="705"/>
      <c r="R4866" s="705"/>
      <c r="S4866" s="705"/>
      <c r="T4866" s="705"/>
      <c r="U4866" s="108"/>
      <c r="Y4866" s="532" t="s">
        <v>341</v>
      </c>
      <c r="AC4866" s="49"/>
      <c r="AD4866" s="687" t="s">
        <v>302</v>
      </c>
      <c r="AE4866" s="688"/>
      <c r="AF4866" s="689"/>
      <c r="AG4866" s="49"/>
      <c r="AH4866" s="87"/>
      <c r="AI4866" s="87"/>
    </row>
    <row r="4867" spans="1:35" ht="16.5" hidden="1" customHeight="1" thickBot="1">
      <c r="A4867" s="218" t="e">
        <f>"K"&amp;E4849</f>
        <v>#N/A</v>
      </c>
      <c r="B4867" s="701" t="s">
        <v>71</v>
      </c>
      <c r="C4867" s="751" t="s">
        <v>102</v>
      </c>
      <c r="D4867" s="751"/>
      <c r="E4867" s="751"/>
      <c r="F4867" s="751"/>
      <c r="G4867" s="751"/>
      <c r="H4867" s="751"/>
      <c r="I4867" s="751"/>
      <c r="J4867" s="751"/>
      <c r="K4867" s="751"/>
      <c r="L4867" s="722" t="s">
        <v>100</v>
      </c>
      <c r="M4867" s="747" t="s">
        <v>114</v>
      </c>
      <c r="N4867" s="747"/>
      <c r="O4867" s="747"/>
      <c r="P4867" s="747"/>
      <c r="Q4867" s="748"/>
      <c r="R4867" s="758" t="s">
        <v>280</v>
      </c>
      <c r="S4867" s="748"/>
      <c r="T4867" s="762" t="str">
        <f>IF(COUNTIF(AE4867:AF4867,"VERIFICAR")&gt;0,"VERIFICAR",IF(COUNTIF(AE4867:AF4867,"NO CUMPLE")&gt;0,"NO CUMPLE","CUMPLE"))</f>
        <v>VERIFICAR</v>
      </c>
      <c r="U4867" s="108"/>
      <c r="Y4867" s="533" t="e">
        <f>IF(F4868="","",IF(F4868=1,"INDIVIDUAL","ESTRUCTURA PLURAL"))</f>
        <v>#N/A</v>
      </c>
      <c r="AC4867" s="52"/>
      <c r="AD4867" s="475" t="s">
        <v>303</v>
      </c>
      <c r="AE4867" s="476" t="str">
        <f>IF(COUNTIF(AE4853:AE4862,"")=10,"VERIFICAR",IF(COUNTIF(AE4853:AE4862,"SI")&gt;0,"CUMPLE","NO CUMPLE"))</f>
        <v>VERIFICAR</v>
      </c>
      <c r="AF4867" s="477" t="str">
        <f>IF(COUNTIF(AF4853:AF4862,"")=10,"VERIFICAR",IF(COUNTIF(AF4853:AF4862,"SI")&gt;=$AI$22,"CUMPLE","NO CUMPLE"))</f>
        <v>VERIFICAR</v>
      </c>
      <c r="AG4867" s="52"/>
      <c r="AH4867" s="87"/>
      <c r="AI4867" s="87"/>
    </row>
    <row r="4868" spans="1:35" ht="15.75" hidden="1" customHeight="1" thickBot="1">
      <c r="A4868" s="218" t="e">
        <f>"L"&amp;E4849</f>
        <v>#N/A</v>
      </c>
      <c r="B4868" s="702"/>
      <c r="C4868" s="751" t="s">
        <v>103</v>
      </c>
      <c r="D4868" s="751"/>
      <c r="E4868" s="752"/>
      <c r="F4868" s="557" t="e">
        <f>IF(VLOOKUP(E4849,PROPONENTES!$C$19:$E$218,3,0)="","",VLOOKUP(E4849,PROPONENTES!$C$19:$E$218,3,0))</f>
        <v>#N/A</v>
      </c>
      <c r="G4868" s="753" t="s">
        <v>104</v>
      </c>
      <c r="H4868" s="751"/>
      <c r="I4868" s="715" t="e">
        <f>IF(OR(F4868="",F4868=1),"INTERESADO PERSONA NATURAL O JURIDICA","CONSORCIO O UNION TEMPORAL")</f>
        <v>#N/A</v>
      </c>
      <c r="J4868" s="725"/>
      <c r="K4868" s="728"/>
      <c r="L4868" s="723"/>
      <c r="M4868" s="749"/>
      <c r="N4868" s="749"/>
      <c r="O4868" s="749"/>
      <c r="P4868" s="749"/>
      <c r="Q4868" s="750"/>
      <c r="R4868" s="712"/>
      <c r="S4868" s="750"/>
      <c r="T4868" s="763"/>
      <c r="U4868" s="108"/>
      <c r="Y4868" s="534"/>
      <c r="AA4868" s="52"/>
      <c r="AB4868" s="52"/>
      <c r="AC4868" s="52"/>
      <c r="AG4868" s="52"/>
      <c r="AH4868" s="87"/>
      <c r="AI4868" s="87"/>
    </row>
    <row r="4869" spans="1:35" ht="56.25" hidden="1" customHeight="1" thickBot="1">
      <c r="A4869" s="218" t="e">
        <f>"M"&amp;E4849</f>
        <v>#N/A</v>
      </c>
      <c r="B4869" s="702"/>
      <c r="C4869" s="725" t="s">
        <v>101</v>
      </c>
      <c r="D4869" s="716"/>
      <c r="E4869" s="558" t="s">
        <v>105</v>
      </c>
      <c r="F4869" s="554" t="s">
        <v>87</v>
      </c>
      <c r="G4869" s="553" t="s">
        <v>86</v>
      </c>
      <c r="H4869" s="559" t="s">
        <v>85</v>
      </c>
      <c r="I4869" s="554" t="s">
        <v>252</v>
      </c>
      <c r="J4869" s="553" t="str">
        <f>"¿EL INTEGRANTE TIENE UNA PARTICIPACIÓN DEL "&amp;PORCREQUERIDOINT*100&amp;"%?"</f>
        <v>¿EL INTEGRANTE TIENE UNA PARTICIPACIÓN DEL 60%?</v>
      </c>
      <c r="K4869" s="554" t="s">
        <v>107</v>
      </c>
      <c r="L4869" s="724"/>
      <c r="M4869" s="717" t="s">
        <v>115</v>
      </c>
      <c r="N4869" s="718"/>
      <c r="O4869" s="718"/>
      <c r="P4869" s="718"/>
      <c r="Q4869" s="223">
        <f>IF(AND(H4853="SI",P4853&gt;=0),1,0)+IF(AND(H4854="SI",P4854&gt;=0),1,0)+IF(AND(H4855="SI",P4855&gt;=0),1,0)+IF(AND(H4856="SI",P4856&gt;=0),1,0)+IF(AND(H4857="SI",P4857&gt;=0),1,0)+IF(AND(H4858="SI",P4858&gt;=0),1,0)+IF(AND(H4859="SI",P4859&gt;=0),1,0)+IF(AND(H4860="SI",P4860&gt;=0),1,0)+IF(AND(H4861="SI",P4861&gt;=0),1,0)+IF(AND(H4862="SI",P4862&gt;=0),1,0)</f>
        <v>0</v>
      </c>
      <c r="R4869" s="759"/>
      <c r="S4869" s="761"/>
      <c r="T4869" s="764"/>
      <c r="U4869" s="219"/>
      <c r="V4869" s="464"/>
      <c r="Y4869" s="532" t="s">
        <v>342</v>
      </c>
      <c r="AA4869" s="550" t="s">
        <v>344</v>
      </c>
      <c r="AB4869" s="693" t="s">
        <v>345</v>
      </c>
      <c r="AC4869" s="693" t="s">
        <v>346</v>
      </c>
      <c r="AD4869" s="685" t="s">
        <v>347</v>
      </c>
      <c r="AE4869" s="52"/>
      <c r="AF4869" s="52"/>
      <c r="AG4869" s="52"/>
      <c r="AH4869" s="87"/>
      <c r="AI4869" s="87"/>
    </row>
    <row r="4870" spans="1:35" ht="15.75" hidden="1" customHeight="1" thickBot="1">
      <c r="A4870" s="218" t="e">
        <f>"N"&amp;E4849</f>
        <v>#N/A</v>
      </c>
      <c r="B4870" s="702"/>
      <c r="C4870" s="114">
        <v>1</v>
      </c>
      <c r="D4870" s="194" t="e">
        <f>IF(AND(C4870&lt;=F4868,F4868&gt;1,F4868&lt;&gt;""),VLOOKUP(VALUE(E4849&amp;","&amp;C4870),INTEGRANTES!$D$18:$F$235,2,0),"")</f>
        <v>#N/A</v>
      </c>
      <c r="E4870" s="211" t="e">
        <f>IF(D4870&lt;&gt;"",VLOOKUP(VALUE(E4849&amp;","&amp;C4870),INTEGRANTES!$D$18:$F$235,3,0),"")</f>
        <v>#N/A</v>
      </c>
      <c r="F4870" s="547" t="e">
        <f>IF(D4870="","",SUMIF($I4853:$I4862,D4870,$P4853:$P4862))</f>
        <v>#N/A</v>
      </c>
      <c r="G4870" s="333" t="e">
        <f>IF(D4870="","",SUMIF($I4853:$I4862,D4870,$M4853:$M4862))</f>
        <v>#N/A</v>
      </c>
      <c r="H4870" s="535" t="e">
        <f t="shared" ref="H4870:H4875" si="1442">IF(D4870="","",IF(OR(F4870=0,G4870=0),"NO APORTA",ROUND($F4870/$G4870,3)))</f>
        <v>#N/A</v>
      </c>
      <c r="I4870" s="212" t="e">
        <f>IF(D4870="","",IF(H4870="NO APORTA","NO",IF(H4870=MAX($H4870:$H4875),"SI","NO")))</f>
        <v>#N/A</v>
      </c>
      <c r="J4870" s="213" t="e">
        <f t="shared" ref="J4870:J4875" si="1443">IF(D4870="","",IF(E4870&gt;=PORCREQUERIDOINT,"SI","NO"))</f>
        <v>#N/A</v>
      </c>
      <c r="K4870" s="200" t="e">
        <f t="shared" ref="K4870:K4875" si="1444">IF(D4870="","",IF(AND(I4870="SI",J4870="SI"),"CUMPLE",IF(AND(I4870="NO",OR(J4870="SI",J4870="NO")),"","NO CUMPLE")))</f>
        <v>#N/A</v>
      </c>
      <c r="L4870" s="722" t="s">
        <v>108</v>
      </c>
      <c r="M4870" s="726" t="s">
        <v>119</v>
      </c>
      <c r="N4870" s="726"/>
      <c r="O4870" s="726"/>
      <c r="P4870" s="726"/>
      <c r="Q4870" s="727"/>
      <c r="R4870" s="758" t="s">
        <v>80</v>
      </c>
      <c r="S4870" s="747"/>
      <c r="T4870" s="748"/>
      <c r="U4870" s="219"/>
      <c r="V4870" s="464"/>
      <c r="Y4870" s="533" t="e">
        <f>IF(Y4867="","",IF(Y4867="INDIVIDUAL","NO APLICA","VERIFICAR CUADRO"))</f>
        <v>#N/A</v>
      </c>
      <c r="AA4870" s="551"/>
      <c r="AB4870" s="694"/>
      <c r="AC4870" s="694"/>
      <c r="AD4870" s="686"/>
      <c r="AE4870" s="52"/>
      <c r="AF4870" s="52"/>
      <c r="AG4870" s="52"/>
      <c r="AH4870" s="87"/>
      <c r="AI4870" s="87"/>
    </row>
    <row r="4871" spans="1:35" ht="27" hidden="1" customHeight="1" thickBot="1">
      <c r="A4871" s="218" t="e">
        <f>"O"&amp;E4849</f>
        <v>#N/A</v>
      </c>
      <c r="B4871" s="702"/>
      <c r="C4871" s="114">
        <v>2</v>
      </c>
      <c r="D4871" s="194" t="e">
        <f>IF(AND(C4871&lt;=F4868,F4868&lt;&gt;""),VLOOKUP(VALUE(E4849&amp;","&amp;C4871),INTEGRANTES!$D$18:$F$235,2,0),"")</f>
        <v>#N/A</v>
      </c>
      <c r="E4871" s="211" t="e">
        <f>IF(D4871&lt;&gt;"",VLOOKUP(VALUE(E4849&amp;","&amp;C4871),INTEGRANTES!$D$18:$F$235,3,0),"")</f>
        <v>#N/A</v>
      </c>
      <c r="F4871" s="547" t="e">
        <f>IF(D4871="","",SUMIF($I4853:$I4862,D4871,$P4853:$P4862))</f>
        <v>#N/A</v>
      </c>
      <c r="G4871" s="333" t="e">
        <f>IF(D4871="","",SUMIF($I4853:$I4862,D4871,$M4853:$M4862))</f>
        <v>#N/A</v>
      </c>
      <c r="H4871" s="535" t="e">
        <f t="shared" si="1442"/>
        <v>#N/A</v>
      </c>
      <c r="I4871" s="212" t="e">
        <f>IF(D4871="","",IF(H4871="NO APORTA","NO",IF(H4871=MAX($H4870:$H4875),"SI","NO")))</f>
        <v>#N/A</v>
      </c>
      <c r="J4871" s="213" t="e">
        <f t="shared" si="1443"/>
        <v>#N/A</v>
      </c>
      <c r="K4871" s="200" t="e">
        <f t="shared" si="1444"/>
        <v>#N/A</v>
      </c>
      <c r="L4871" s="723"/>
      <c r="M4871" s="715" t="s">
        <v>116</v>
      </c>
      <c r="N4871" s="716"/>
      <c r="O4871" s="556" t="s">
        <v>113</v>
      </c>
      <c r="P4871" s="715" t="s">
        <v>117</v>
      </c>
      <c r="Q4871" s="728"/>
      <c r="R4871" s="759"/>
      <c r="S4871" s="760"/>
      <c r="T4871" s="761"/>
      <c r="U4871" s="219"/>
      <c r="V4871" s="464"/>
      <c r="Y4871" s="414"/>
      <c r="AA4871" s="542" t="e">
        <f>IF(AND(C4870&lt;=F4868,F4868&gt;1,F4868&lt;&gt;""),VLOOKUP(VALUE(E4849&amp;","&amp;C4870),INTEGRANTES!$D$18:$F$235,2,0),"")</f>
        <v>#N/A</v>
      </c>
      <c r="AB4871" s="544" t="e">
        <f t="shared" ref="AB4871:AB4876" si="1445">IF(D4870="","",IF(OR(F4870=0,G4870=0),"NO APORTA",ROUND($F4870/$G4870,3)))</f>
        <v>#N/A</v>
      </c>
      <c r="AC4871" s="529"/>
      <c r="AD4871" s="200" t="e">
        <f t="shared" ref="AD4871:AD4876" si="1446">IF(OR(AA4871="",AB4871=""),"",IF(AND(AC4871="X",AB4871&gt;=EXPREQVTD),"CUMPLE","NO CUMPLE"))</f>
        <v>#N/A</v>
      </c>
      <c r="AE4871" s="52"/>
      <c r="AF4871" s="52"/>
      <c r="AG4871" s="52"/>
      <c r="AH4871" s="87"/>
      <c r="AI4871" s="87"/>
    </row>
    <row r="4872" spans="1:35" ht="16.5" hidden="1" thickBot="1">
      <c r="A4872" s="218" t="e">
        <f>"P"&amp;E4849</f>
        <v>#N/A</v>
      </c>
      <c r="B4872" s="702"/>
      <c r="C4872" s="114">
        <v>3</v>
      </c>
      <c r="D4872" s="194" t="e">
        <f>IF(AND(C4872&lt;=F4868,F4868&lt;&gt;""),VLOOKUP(VALUE(E4849&amp;","&amp;C4872),INTEGRANTES!$D$18:$F$235,2,0),"")</f>
        <v>#N/A</v>
      </c>
      <c r="E4872" s="211" t="e">
        <f>IF(D4872&lt;&gt;"",VLOOKUP(VALUE(E4849&amp;","&amp;C4872),INTEGRANTES!$D$18:$F$235,3,0),"")</f>
        <v>#N/A</v>
      </c>
      <c r="F4872" s="547" t="e">
        <f>IF(D4872="","",SUMIF($I4853:$I4862,D4872,$P4853:$P4862))</f>
        <v>#N/A</v>
      </c>
      <c r="G4872" s="333" t="e">
        <f>IF(D4872="","",SUMIF($I4853:$I4862,D4872,$M4853:$M4862))</f>
        <v>#N/A</v>
      </c>
      <c r="H4872" s="535" t="e">
        <f t="shared" si="1442"/>
        <v>#N/A</v>
      </c>
      <c r="I4872" s="212" t="e">
        <f>IF(D4872="","",IF(H4872="NO APORTA","NO",IF(H4872=MAX($H4870:$H4875),"SI","NO")))</f>
        <v>#N/A</v>
      </c>
      <c r="J4872" s="213" t="e">
        <f t="shared" si="1443"/>
        <v>#N/A</v>
      </c>
      <c r="K4872" s="200" t="e">
        <f t="shared" si="1444"/>
        <v>#N/A</v>
      </c>
      <c r="L4872" s="724"/>
      <c r="M4872" s="729">
        <f>NUMMOD</f>
        <v>1</v>
      </c>
      <c r="N4872" s="730"/>
      <c r="O4872" s="443">
        <f>IF(M4872="","",VLOOKUP(M4872,PRESUPUESTOS!$B$16:$H$16,5,FALSE))</f>
        <v>2</v>
      </c>
      <c r="P4872" s="713">
        <f>IF(OR(COUNTIF(M4853:M4862,"")&gt;=10,Q4869&lt;NUMMINCONT,OR(T4867="NO CUMPLE",T4867="VERIFICAR")),0,ROUND(AVERAGE(M4853:M4862),3))</f>
        <v>0</v>
      </c>
      <c r="Q4872" s="714"/>
      <c r="R4872" s="458"/>
      <c r="S4872" s="459"/>
      <c r="T4872" s="460"/>
      <c r="U4872" s="219"/>
      <c r="V4872" s="464"/>
      <c r="Y4872" s="532" t="str">
        <f>"40% * ("&amp;PRESUPUESTOS!$H$13&amp;")"</f>
        <v>40% * (50% PFMO)</v>
      </c>
      <c r="AA4872" s="540" t="e">
        <f>IF(AND(C4871&lt;=F4868,F4868&lt;&gt;""),VLOOKUP(VALUE(E4849&amp;","&amp;C4871),INTEGRANTES!$D$18:$F$235,2,0),"")</f>
        <v>#N/A</v>
      </c>
      <c r="AB4872" s="545" t="e">
        <f t="shared" si="1445"/>
        <v>#N/A</v>
      </c>
      <c r="AC4872" s="529"/>
      <c r="AD4872" s="200" t="e">
        <f t="shared" si="1446"/>
        <v>#N/A</v>
      </c>
      <c r="AE4872" s="52"/>
      <c r="AF4872" s="52"/>
      <c r="AG4872" s="52"/>
      <c r="AH4872" s="87"/>
      <c r="AI4872" s="87"/>
    </row>
    <row r="4873" spans="1:35" ht="15.75" hidden="1" customHeight="1" thickBot="1">
      <c r="A4873" s="218" t="e">
        <f>"Q"&amp;E4849</f>
        <v>#N/A</v>
      </c>
      <c r="B4873" s="702"/>
      <c r="C4873" s="114">
        <v>4</v>
      </c>
      <c r="D4873" s="194" t="e">
        <f>IF(AND(C4873&lt;=F4868,F4868&lt;&gt;""),VLOOKUP(VALUE(E4849&amp;","&amp;C4873),INTEGRANTES!$D$18:$F$235,2,0),"")</f>
        <v>#N/A</v>
      </c>
      <c r="E4873" s="211" t="e">
        <f>IF(D4873&lt;&gt;"",VLOOKUP(VALUE(E4849&amp;","&amp;C4873),INTEGRANTES!$D$18:$F$235,3,0),"")</f>
        <v>#N/A</v>
      </c>
      <c r="F4873" s="547" t="e">
        <f>IF(D4873="","",SUMIF($I4853:$I4862,D4873,$P4853:$P4862))</f>
        <v>#N/A</v>
      </c>
      <c r="G4873" s="333" t="e">
        <f>IF(D4873="","",SUMIF($I4853:$I4862,D4873,$M4853:$M4862))</f>
        <v>#N/A</v>
      </c>
      <c r="H4873" s="535" t="e">
        <f t="shared" si="1442"/>
        <v>#N/A</v>
      </c>
      <c r="I4873" s="212" t="e">
        <f>IF(D4873="","",IF(H4873="NO APORTA","NO",IF(H4873=MAX($H4870:$H4875),"SI","NO")))</f>
        <v>#N/A</v>
      </c>
      <c r="J4873" s="213" t="e">
        <f t="shared" si="1443"/>
        <v>#N/A</v>
      </c>
      <c r="K4873" s="200" t="e">
        <f t="shared" si="1444"/>
        <v>#N/A</v>
      </c>
      <c r="L4873" s="720" t="s">
        <v>109</v>
      </c>
      <c r="M4873" s="757" t="s">
        <v>120</v>
      </c>
      <c r="N4873" s="726"/>
      <c r="O4873" s="726"/>
      <c r="P4873" s="726"/>
      <c r="Q4873" s="727"/>
      <c r="R4873" s="458"/>
      <c r="S4873" s="459"/>
      <c r="T4873" s="460"/>
      <c r="U4873" s="219"/>
      <c r="V4873" s="464"/>
      <c r="Y4873" s="537">
        <f>0.4*PRESUPUESTOS!$H$16</f>
        <v>10.3124</v>
      </c>
      <c r="AA4873" s="540" t="e">
        <f>IF(AND(C4872&lt;=F4868,F4868&lt;&gt;""),VLOOKUP(VALUE(E4849&amp;","&amp;C4872),INTEGRANTES!$D$18:$F$235,2,0),"")</f>
        <v>#N/A</v>
      </c>
      <c r="AB4873" s="545" t="e">
        <f t="shared" si="1445"/>
        <v>#N/A</v>
      </c>
      <c r="AC4873" s="529"/>
      <c r="AD4873" s="200" t="e">
        <f t="shared" si="1446"/>
        <v>#N/A</v>
      </c>
      <c r="AE4873" s="52"/>
      <c r="AF4873" s="52"/>
      <c r="AG4873" s="52"/>
      <c r="AH4873" s="87"/>
      <c r="AI4873" s="87"/>
    </row>
    <row r="4874" spans="1:35" ht="27" hidden="1" customHeight="1" thickBot="1">
      <c r="A4874" s="218" t="e">
        <f>"R"&amp;E4849</f>
        <v>#N/A</v>
      </c>
      <c r="B4874" s="702"/>
      <c r="C4874" s="114">
        <v>5</v>
      </c>
      <c r="D4874" s="194" t="e">
        <f>IF(AND(C4874&lt;=F4868,F4868&lt;&gt;""),VLOOKUP(VALUE(E4849&amp;","&amp;C4874),INTEGRANTES!$D$18:$F$235,2,0),"")</f>
        <v>#N/A</v>
      </c>
      <c r="E4874" s="211" t="e">
        <f>IF(D4874&lt;&gt;"",VLOOKUP(VALUE(E4849&amp;","&amp;C4874),INTEGRANTES!$D$18:$F$235,3,0),"")</f>
        <v>#N/A</v>
      </c>
      <c r="F4874" s="547" t="e">
        <f>IF(D4874="","",SUMIF($I4853:$I4862,D4874,$P4853:$P4862))</f>
        <v>#N/A</v>
      </c>
      <c r="G4874" s="333" t="e">
        <f>IF(D4874="","",SUMIF($I4853:$I4862,D4874,$M4853:$M4862))</f>
        <v>#N/A</v>
      </c>
      <c r="H4874" s="535" t="e">
        <f t="shared" si="1442"/>
        <v>#N/A</v>
      </c>
      <c r="I4874" s="212" t="e">
        <f>IF(D4874="","",IF(H4874="NO APORTA","NO",IF(H4874=MAX($H4870:$H4875),"SI","NO")))</f>
        <v>#N/A</v>
      </c>
      <c r="J4874" s="213" t="e">
        <f t="shared" si="1443"/>
        <v>#N/A</v>
      </c>
      <c r="K4874" s="200" t="e">
        <f t="shared" si="1444"/>
        <v>#N/A</v>
      </c>
      <c r="L4874" s="721"/>
      <c r="M4874" s="715" t="s">
        <v>116</v>
      </c>
      <c r="N4874" s="716"/>
      <c r="O4874" s="556" t="str">
        <f>PORCREQUERIDO*100&amp;"% PMFO DEL MÓDULO"</f>
        <v>50% PMFO DEL MÓDULO</v>
      </c>
      <c r="P4874" s="715" t="s">
        <v>118</v>
      </c>
      <c r="Q4874" s="728"/>
      <c r="R4874" s="458"/>
      <c r="S4874" s="459"/>
      <c r="T4874" s="460"/>
      <c r="U4874" s="219"/>
      <c r="V4874" s="464"/>
      <c r="Y4874" s="414"/>
      <c r="AA4874" s="540" t="e">
        <f>IF(AND(C4873&lt;=F4868,F4868&lt;&gt;""),VLOOKUP(VALUE(E4849&amp;","&amp;C4873),INTEGRANTES!$D$18:$F$235,2,0),"")</f>
        <v>#N/A</v>
      </c>
      <c r="AB4874" s="545" t="e">
        <f t="shared" si="1445"/>
        <v>#N/A</v>
      </c>
      <c r="AC4874" s="529"/>
      <c r="AD4874" s="200" t="e">
        <f t="shared" si="1446"/>
        <v>#N/A</v>
      </c>
      <c r="AE4874" s="52"/>
      <c r="AF4874" s="52"/>
      <c r="AG4874" s="52"/>
      <c r="AH4874" s="87"/>
      <c r="AI4874" s="87"/>
    </row>
    <row r="4875" spans="1:35" ht="16.5" hidden="1" thickBot="1">
      <c r="A4875" s="218" t="e">
        <f>"S"&amp;E4849</f>
        <v>#N/A</v>
      </c>
      <c r="B4875" s="702"/>
      <c r="C4875" s="215">
        <v>6</v>
      </c>
      <c r="D4875" s="216" t="e">
        <f>IF(AND(C4875&lt;=F4868,F4868&lt;&gt;""),VLOOKUP(VALUE(E4849&amp;","&amp;C4875),INTEGRANTES!$D$18:$F$235,2,0),"")</f>
        <v>#N/A</v>
      </c>
      <c r="E4875" s="217" t="e">
        <f>IF(D4875&lt;&gt;"",VLOOKUP(VALUE(E4849&amp;","&amp;C4875),INTEGRANTES!$D$18:$F$235,3,0),"")</f>
        <v>#N/A</v>
      </c>
      <c r="F4875" s="548" t="e">
        <f>IF(D4875="","",SUMIF($I4853:$I4862,D4875,$P4853:$P4862))</f>
        <v>#N/A</v>
      </c>
      <c r="G4875" s="334" t="e">
        <f>IF(D4875="","",SUMIF($I4853:$I4862,D4875,$M4853:$M4862))</f>
        <v>#N/A</v>
      </c>
      <c r="H4875" s="536" t="e">
        <f t="shared" si="1442"/>
        <v>#N/A</v>
      </c>
      <c r="I4875" s="214" t="e">
        <f>IF(D4875="","",IF(H4875="NO APORTA","NO",IF(H4875=MAX($H4870:$H4875),"SI","NO")))</f>
        <v>#N/A</v>
      </c>
      <c r="J4875" s="213" t="e">
        <f t="shared" si="1443"/>
        <v>#N/A</v>
      </c>
      <c r="K4875" s="200" t="e">
        <f t="shared" si="1444"/>
        <v>#N/A</v>
      </c>
      <c r="L4875" s="721"/>
      <c r="M4875" s="729">
        <f>NUMMOD</f>
        <v>1</v>
      </c>
      <c r="N4875" s="730"/>
      <c r="O4875" s="443">
        <f>IF(M4875="","",ROUND(VLOOKUP(M4875,PRESUPUESTOS!$B$16:$H$16,7,FALSE),3))</f>
        <v>25.780999999999999</v>
      </c>
      <c r="P4875" s="713">
        <f>IF(OR(COUNTIF(P4853:P4862,"")&gt;=10,Q4869&lt;NUMMINCONT,OR(T4867="NO CUMPLE",T4867="VERIFICAR")),0,ROUND((SUM(P4853:P4862)/SUM(M4853:M4862)),3))</f>
        <v>0</v>
      </c>
      <c r="Q4875" s="714"/>
      <c r="R4875" s="458"/>
      <c r="S4875" s="459"/>
      <c r="T4875" s="460"/>
      <c r="U4875" s="219"/>
      <c r="V4875" s="464"/>
      <c r="Y4875" s="532" t="s">
        <v>343</v>
      </c>
      <c r="AA4875" s="540" t="e">
        <f>IF(AND(C4874&lt;=F4868,F4868&lt;&gt;""),VLOOKUP(VALUE(E4849&amp;","&amp;C4874),INTEGRANTES!$D$18:$F$235,2,0),"")</f>
        <v>#N/A</v>
      </c>
      <c r="AB4875" s="545" t="e">
        <f t="shared" si="1445"/>
        <v>#N/A</v>
      </c>
      <c r="AC4875" s="529"/>
      <c r="AD4875" s="200" t="e">
        <f t="shared" si="1446"/>
        <v>#N/A</v>
      </c>
      <c r="AE4875" s="52"/>
      <c r="AF4875" s="52"/>
      <c r="AG4875" s="52"/>
      <c r="AH4875" s="87"/>
      <c r="AI4875" s="87"/>
    </row>
    <row r="4876" spans="1:35" ht="16.5" hidden="1" customHeight="1" thickBot="1">
      <c r="A4876" s="218" t="e">
        <f>"T"&amp;E4849</f>
        <v>#N/A</v>
      </c>
      <c r="B4876" s="703"/>
      <c r="C4876" s="719"/>
      <c r="D4876" s="719"/>
      <c r="E4876" s="719"/>
      <c r="F4876" s="719"/>
      <c r="G4876" s="719"/>
      <c r="H4876" s="719" t="s">
        <v>110</v>
      </c>
      <c r="I4876" s="719"/>
      <c r="J4876" s="719"/>
      <c r="K4876" s="201" t="str">
        <f>IF(COUNTIF(K4870:K4875,"")=6,"",IF(COUNTIF(K4870:K4875,"CUMPLE")&gt;0,"CUMPLE","NO CUMPLE"))</f>
        <v>NO CUMPLE</v>
      </c>
      <c r="L4876" s="754"/>
      <c r="M4876" s="755"/>
      <c r="N4876" s="755"/>
      <c r="O4876" s="755"/>
      <c r="P4876" s="755"/>
      <c r="Q4876" s="756"/>
      <c r="R4876" s="461"/>
      <c r="S4876" s="462"/>
      <c r="T4876" s="463"/>
      <c r="U4876" s="219"/>
      <c r="V4876" s="464"/>
      <c r="Y4876" s="549" t="e">
        <f>IF(Y4870="NO APLICA","NO APLICA",IF(COUNTIF(AD4871:AD4876,"CUMPLE")&gt;0,"CUMPLE","NO CUMPLE"))</f>
        <v>#N/A</v>
      </c>
      <c r="AA4876" s="541" t="e">
        <f>IF(AND(C4875&lt;=F4868,F4868&lt;&gt;""),VLOOKUP(VALUE(E4849&amp;","&amp;C4875),INTEGRANTES!$D$18:$F$235,2,0),"")</f>
        <v>#N/A</v>
      </c>
      <c r="AB4876" s="546" t="e">
        <f t="shared" si="1445"/>
        <v>#N/A</v>
      </c>
      <c r="AC4876" s="543"/>
      <c r="AD4876" s="201" t="e">
        <f t="shared" si="1446"/>
        <v>#N/A</v>
      </c>
      <c r="AE4876" s="52"/>
      <c r="AF4876" s="52"/>
      <c r="AG4876" s="52"/>
      <c r="AH4876" s="87"/>
      <c r="AI4876" s="87"/>
    </row>
    <row r="4877" spans="1:35" hidden="1">
      <c r="AH4877" s="87"/>
      <c r="AI4877" s="87"/>
    </row>
    <row r="4878" spans="1:35" hidden="1">
      <c r="AH4878" s="87"/>
      <c r="AI4878" s="87"/>
    </row>
    <row r="4879" spans="1:35" ht="24" hidden="1" thickBot="1">
      <c r="A4879" s="61">
        <v>163</v>
      </c>
      <c r="B4879" s="704" t="s">
        <v>51</v>
      </c>
      <c r="C4879" s="704"/>
      <c r="D4879" s="704"/>
      <c r="E4879" s="62" t="e">
        <f>VLOOKUP(A4879,PROPONENTES!$B$19:$E$218,2,FALSE)</f>
        <v>#N/A</v>
      </c>
      <c r="F4879" s="63" t="e">
        <f>VLOOKUP(A4879,PROPONENTES!$B$19:$E$218,3,FALSE)</f>
        <v>#N/A</v>
      </c>
      <c r="G4879" s="64"/>
      <c r="H4879" s="64"/>
      <c r="I4879" s="63"/>
      <c r="J4879" s="63"/>
      <c r="K4879" s="65"/>
      <c r="L4879" s="65"/>
      <c r="M4879" s="64"/>
      <c r="N4879" s="64"/>
      <c r="O4879" s="66"/>
      <c r="P4879" s="66"/>
      <c r="Q4879" s="66"/>
      <c r="R4879" s="66"/>
      <c r="S4879" s="67"/>
      <c r="T4879" s="68"/>
      <c r="U4879" s="68"/>
      <c r="AC4879" s="68"/>
      <c r="AD4879" s="68"/>
      <c r="AE4879" s="68"/>
      <c r="AF4879" s="68"/>
      <c r="AG4879" s="68"/>
      <c r="AH4879" s="87"/>
      <c r="AI4879" s="87"/>
    </row>
    <row r="4880" spans="1:35" ht="15.75" hidden="1" customHeight="1">
      <c r="A4880" s="44"/>
      <c r="B4880" s="709" t="s">
        <v>59</v>
      </c>
      <c r="C4880" s="552" t="s">
        <v>60</v>
      </c>
      <c r="D4880" s="70" t="s">
        <v>17</v>
      </c>
      <c r="E4880" s="70"/>
      <c r="F4880" s="70" t="s">
        <v>61</v>
      </c>
      <c r="G4880" s="71"/>
      <c r="H4880" s="699" t="s">
        <v>62</v>
      </c>
      <c r="I4880" s="699" t="s">
        <v>18</v>
      </c>
      <c r="J4880" s="699" t="s">
        <v>63</v>
      </c>
      <c r="K4880" s="699" t="s">
        <v>64</v>
      </c>
      <c r="L4880" s="699" t="s">
        <v>65</v>
      </c>
      <c r="M4880" s="743" t="s">
        <v>66</v>
      </c>
      <c r="N4880" s="699" t="s">
        <v>282</v>
      </c>
      <c r="O4880" s="745" t="s">
        <v>67</v>
      </c>
      <c r="P4880" s="746"/>
      <c r="Q4880" s="102" t="s">
        <v>75</v>
      </c>
      <c r="R4880" s="731" t="s">
        <v>22</v>
      </c>
      <c r="S4880" s="732"/>
      <c r="T4880" s="733"/>
      <c r="U4880" s="712" t="s">
        <v>298</v>
      </c>
      <c r="W4880" s="690" t="s">
        <v>268</v>
      </c>
      <c r="X4880" s="691"/>
      <c r="Y4880" s="692"/>
      <c r="Z4880" s="428"/>
      <c r="AA4880" s="697" t="s">
        <v>315</v>
      </c>
      <c r="AB4880" s="695" t="s">
        <v>322</v>
      </c>
      <c r="AC4880" s="49"/>
      <c r="AD4880" s="690" t="s">
        <v>297</v>
      </c>
      <c r="AE4880" s="691"/>
      <c r="AF4880" s="692"/>
      <c r="AG4880" s="49"/>
      <c r="AH4880" s="87"/>
      <c r="AI4880" s="87"/>
    </row>
    <row r="4881" spans="1:35" ht="72" hidden="1">
      <c r="A4881" s="44"/>
      <c r="B4881" s="710"/>
      <c r="C4881" s="553" t="s">
        <v>68</v>
      </c>
      <c r="D4881" s="73" t="s">
        <v>3</v>
      </c>
      <c r="E4881" s="73" t="s">
        <v>19</v>
      </c>
      <c r="F4881" s="73" t="s">
        <v>69</v>
      </c>
      <c r="G4881" s="74" t="s">
        <v>70</v>
      </c>
      <c r="H4881" s="700"/>
      <c r="I4881" s="700"/>
      <c r="J4881" s="700"/>
      <c r="K4881" s="700"/>
      <c r="L4881" s="700"/>
      <c r="M4881" s="744"/>
      <c r="N4881" s="700"/>
      <c r="O4881" s="553" t="s">
        <v>279</v>
      </c>
      <c r="P4881" s="73" t="s">
        <v>88</v>
      </c>
      <c r="Q4881" s="555" t="s">
        <v>76</v>
      </c>
      <c r="R4881" s="734"/>
      <c r="S4881" s="735"/>
      <c r="T4881" s="736"/>
      <c r="U4881" s="712"/>
      <c r="W4881" s="429" t="s">
        <v>269</v>
      </c>
      <c r="X4881" s="457" t="s">
        <v>278</v>
      </c>
      <c r="Y4881" s="430" t="s">
        <v>324</v>
      </c>
      <c r="Z4881" s="428"/>
      <c r="AA4881" s="698"/>
      <c r="AB4881" s="696"/>
      <c r="AC4881" s="49"/>
      <c r="AD4881" s="429" t="s">
        <v>292</v>
      </c>
      <c r="AE4881" s="431" t="s">
        <v>300</v>
      </c>
      <c r="AF4881" s="468" t="s">
        <v>301</v>
      </c>
      <c r="AG4881" s="49"/>
      <c r="AH4881" s="87"/>
      <c r="AI4881" s="87"/>
    </row>
    <row r="4882" spans="1:35" hidden="1">
      <c r="A4882" s="44"/>
      <c r="B4882" s="76"/>
      <c r="C4882" s="77"/>
      <c r="D4882" s="77"/>
      <c r="E4882" s="77"/>
      <c r="F4882" s="77"/>
      <c r="G4882" s="77"/>
      <c r="H4882" s="77"/>
      <c r="I4882" s="77"/>
      <c r="J4882" s="77"/>
      <c r="K4882" s="77"/>
      <c r="L4882" s="77"/>
      <c r="M4882" s="77"/>
      <c r="N4882" s="77"/>
      <c r="O4882" s="77"/>
      <c r="P4882" s="77"/>
      <c r="Q4882" s="77"/>
      <c r="R4882" s="77"/>
      <c r="S4882" s="78"/>
      <c r="T4882" s="79"/>
      <c r="U4882" s="109"/>
      <c r="V4882" s="49"/>
      <c r="W4882" s="432"/>
      <c r="X4882" s="454"/>
      <c r="Y4882" s="433"/>
      <c r="Z4882" s="6"/>
      <c r="AA4882" s="500"/>
      <c r="AB4882" s="562"/>
      <c r="AC4882" s="49"/>
      <c r="AD4882" s="210"/>
      <c r="AE4882" s="434"/>
      <c r="AF4882" s="435"/>
      <c r="AG4882" s="49"/>
      <c r="AH4882" s="87"/>
      <c r="AI4882" s="87"/>
    </row>
    <row r="4883" spans="1:35" hidden="1">
      <c r="A4883" s="80" t="e">
        <f>"A"&amp;E4879</f>
        <v>#N/A</v>
      </c>
      <c r="B4883" s="81">
        <v>1</v>
      </c>
      <c r="C4883" s="82"/>
      <c r="D4883" s="82"/>
      <c r="E4883" s="82"/>
      <c r="F4883" s="82"/>
      <c r="G4883" s="83"/>
      <c r="H4883" s="83"/>
      <c r="I4883" s="84"/>
      <c r="J4883" s="85"/>
      <c r="K4883" s="382"/>
      <c r="L4883" s="85"/>
      <c r="M4883" s="332" t="str">
        <f t="shared" ref="M4883:M4892" si="1447">IF(OR(J4883="",L4883="",H4883="NO"),"",IF(OR(J4883&gt;$P$17,J4883&lt;$O$17,L4883&gt;$P$17,AND(J4883&lt;$O$17,L4883&lt;$O$17)),"FUERA DE RANGO",IF(OR(K4883="---",K4883=""),IF(J4883&gt;=$O$17,ROUND((L4883-J4883+1)/360*12,3),ROUND((L4883-$O$17+1)/360*12,3)),IF(J4883&gt;=$O$17,ROUND((L4883-J4883+1)/360*12-ROUND(K4883,3),3),ROUND((L4883-$O$17+1)/360*12-ROUND(K4883,3),3)))))</f>
        <v/>
      </c>
      <c r="N4883" s="86"/>
      <c r="O4883" s="453" t="str">
        <f>IF(OR(G4883="",N4883=""),"",N4883*G4883)</f>
        <v/>
      </c>
      <c r="P4883" s="538" t="str">
        <f>IF(OR(H4883="",M4883="FUERA DE RANGO"),"",IF(OR(L4883&lt;$O$17,L4883&gt;$P$17,L4883="",H4883="NO"),"",IF(OR(N4883="",O4883=""),"",ROUND(O4883,3))))</f>
        <v/>
      </c>
      <c r="Q4883" s="539" t="str">
        <f t="shared" ref="Q4883:Q4892" si="1448">IF(AND(H4883="SI",P4883&lt;&gt;""),ROUND(P4883/M4883,3),"")</f>
        <v/>
      </c>
      <c r="R4883" s="737"/>
      <c r="S4883" s="738"/>
      <c r="T4883" s="739"/>
      <c r="U4883" s="470"/>
      <c r="V4883" s="165"/>
      <c r="W4883" s="446"/>
      <c r="X4883" s="456"/>
      <c r="Y4883" s="436"/>
      <c r="Z4883" s="437"/>
      <c r="AA4883" s="560"/>
      <c r="AB4883" s="561"/>
      <c r="AC4883" s="87"/>
      <c r="AD4883" s="466"/>
      <c r="AE4883" s="456"/>
      <c r="AF4883" s="467"/>
      <c r="AG4883" s="87"/>
      <c r="AH4883" s="87"/>
      <c r="AI4883" s="87"/>
    </row>
    <row r="4884" spans="1:35" hidden="1">
      <c r="A4884" s="80" t="e">
        <f>"B"&amp;E4879</f>
        <v>#N/A</v>
      </c>
      <c r="B4884" s="81">
        <v>2</v>
      </c>
      <c r="C4884" s="106"/>
      <c r="D4884" s="106"/>
      <c r="E4884" s="106"/>
      <c r="F4884" s="106"/>
      <c r="G4884" s="83"/>
      <c r="H4884" s="83"/>
      <c r="I4884" s="84"/>
      <c r="J4884" s="85"/>
      <c r="K4884" s="382"/>
      <c r="L4884" s="85"/>
      <c r="M4884" s="332" t="str">
        <f t="shared" si="1447"/>
        <v/>
      </c>
      <c r="N4884" s="86"/>
      <c r="O4884" s="453" t="str">
        <f t="shared" ref="O4884:O4892" si="1449">IF(OR(G4884="",N4884=""),"",N4884*G4884)</f>
        <v/>
      </c>
      <c r="P4884" s="538" t="str">
        <f t="shared" ref="P4884:P4892" si="1450">IF(OR(H4884="",M4884="FUERA DE RANGO"),"",IF(OR(L4884&lt;$O$17,L4884&gt;$P$17,L4884="",H4884="NO"),"",IF(OR(N4884="",O4884=""),"",ROUND(O4884,3))))</f>
        <v/>
      </c>
      <c r="Q4884" s="539" t="str">
        <f t="shared" si="1448"/>
        <v/>
      </c>
      <c r="R4884" s="740"/>
      <c r="S4884" s="741"/>
      <c r="T4884" s="742"/>
      <c r="U4884" s="471"/>
      <c r="V4884" s="165"/>
      <c r="W4884" s="446"/>
      <c r="X4884" s="456"/>
      <c r="Y4884" s="436"/>
      <c r="Z4884" s="437"/>
      <c r="AA4884" s="560"/>
      <c r="AB4884" s="561"/>
      <c r="AC4884" s="87"/>
      <c r="AD4884" s="466"/>
      <c r="AE4884" s="456"/>
      <c r="AF4884" s="467"/>
      <c r="AG4884" s="87"/>
      <c r="AH4884" s="87"/>
      <c r="AI4884" s="87"/>
    </row>
    <row r="4885" spans="1:35" hidden="1">
      <c r="A4885" s="80" t="e">
        <f>"C"&amp;E4879</f>
        <v>#N/A</v>
      </c>
      <c r="B4885" s="88">
        <v>3</v>
      </c>
      <c r="C4885" s="82"/>
      <c r="D4885" s="82"/>
      <c r="E4885" s="82"/>
      <c r="F4885" s="82"/>
      <c r="G4885" s="83"/>
      <c r="H4885" s="83"/>
      <c r="I4885" s="84"/>
      <c r="J4885" s="85"/>
      <c r="K4885" s="382"/>
      <c r="L4885" s="85"/>
      <c r="M4885" s="332" t="str">
        <f t="shared" si="1447"/>
        <v/>
      </c>
      <c r="N4885" s="86"/>
      <c r="O4885" s="453" t="str">
        <f t="shared" si="1449"/>
        <v/>
      </c>
      <c r="P4885" s="538" t="str">
        <f t="shared" si="1450"/>
        <v/>
      </c>
      <c r="Q4885" s="539" t="str">
        <f t="shared" si="1448"/>
        <v/>
      </c>
      <c r="R4885" s="706"/>
      <c r="S4885" s="707"/>
      <c r="T4885" s="708"/>
      <c r="U4885" s="472"/>
      <c r="V4885" s="166"/>
      <c r="W4885" s="446"/>
      <c r="X4885" s="456"/>
      <c r="Y4885" s="436"/>
      <c r="Z4885" s="437"/>
      <c r="AA4885" s="560"/>
      <c r="AB4885" s="561"/>
      <c r="AC4885" s="87"/>
      <c r="AD4885" s="466"/>
      <c r="AE4885" s="456"/>
      <c r="AF4885" s="467"/>
      <c r="AG4885" s="87"/>
      <c r="AH4885" s="87"/>
      <c r="AI4885" s="87"/>
    </row>
    <row r="4886" spans="1:35" hidden="1">
      <c r="A4886" s="80" t="e">
        <f>"D"&amp;E4879</f>
        <v>#N/A</v>
      </c>
      <c r="B4886" s="105">
        <v>4</v>
      </c>
      <c r="C4886" s="107"/>
      <c r="D4886" s="107"/>
      <c r="E4886" s="107"/>
      <c r="F4886" s="107"/>
      <c r="G4886" s="83"/>
      <c r="H4886" s="83"/>
      <c r="I4886" s="84"/>
      <c r="J4886" s="85"/>
      <c r="K4886" s="382"/>
      <c r="L4886" s="85"/>
      <c r="M4886" s="332" t="str">
        <f t="shared" si="1447"/>
        <v/>
      </c>
      <c r="N4886" s="86"/>
      <c r="O4886" s="453" t="str">
        <f t="shared" si="1449"/>
        <v/>
      </c>
      <c r="P4886" s="538" t="str">
        <f t="shared" si="1450"/>
        <v/>
      </c>
      <c r="Q4886" s="539" t="str">
        <f t="shared" si="1448"/>
        <v/>
      </c>
      <c r="R4886" s="706"/>
      <c r="S4886" s="707"/>
      <c r="T4886" s="708"/>
      <c r="U4886" s="472"/>
      <c r="V4886" s="166"/>
      <c r="W4886" s="446"/>
      <c r="X4886" s="456"/>
      <c r="Y4886" s="436"/>
      <c r="Z4886" s="437"/>
      <c r="AA4886" s="560"/>
      <c r="AB4886" s="561"/>
      <c r="AC4886" s="87"/>
      <c r="AD4886" s="466"/>
      <c r="AE4886" s="456"/>
      <c r="AF4886" s="467"/>
      <c r="AG4886" s="87"/>
      <c r="AH4886" s="87"/>
      <c r="AI4886" s="87"/>
    </row>
    <row r="4887" spans="1:35" hidden="1">
      <c r="A4887" s="80" t="e">
        <f>"E"&amp;E4879</f>
        <v>#N/A</v>
      </c>
      <c r="B4887" s="105">
        <v>5</v>
      </c>
      <c r="C4887" s="107"/>
      <c r="D4887" s="107"/>
      <c r="E4887" s="107"/>
      <c r="F4887" s="107"/>
      <c r="G4887" s="83"/>
      <c r="H4887" s="83"/>
      <c r="I4887" s="84"/>
      <c r="J4887" s="85"/>
      <c r="K4887" s="382"/>
      <c r="L4887" s="85"/>
      <c r="M4887" s="332" t="str">
        <f t="shared" si="1447"/>
        <v/>
      </c>
      <c r="N4887" s="86"/>
      <c r="O4887" s="453" t="str">
        <f t="shared" si="1449"/>
        <v/>
      </c>
      <c r="P4887" s="538" t="str">
        <f t="shared" si="1450"/>
        <v/>
      </c>
      <c r="Q4887" s="539" t="str">
        <f t="shared" si="1448"/>
        <v/>
      </c>
      <c r="R4887" s="706"/>
      <c r="S4887" s="707"/>
      <c r="T4887" s="708"/>
      <c r="U4887" s="472"/>
      <c r="V4887" s="167"/>
      <c r="W4887" s="446"/>
      <c r="X4887" s="456"/>
      <c r="Y4887" s="436"/>
      <c r="Z4887" s="437"/>
      <c r="AA4887" s="560"/>
      <c r="AB4887" s="561"/>
      <c r="AC4887" s="87"/>
      <c r="AD4887" s="466"/>
      <c r="AE4887" s="456"/>
      <c r="AF4887" s="467"/>
      <c r="AG4887" s="87"/>
      <c r="AH4887" s="87"/>
      <c r="AI4887" s="87"/>
    </row>
    <row r="4888" spans="1:35" hidden="1">
      <c r="A4888" s="80" t="e">
        <f>"F"&amp;E4879</f>
        <v>#N/A</v>
      </c>
      <c r="B4888" s="105">
        <v>6</v>
      </c>
      <c r="C4888" s="107"/>
      <c r="D4888" s="107"/>
      <c r="E4888" s="107"/>
      <c r="F4888" s="107"/>
      <c r="G4888" s="83"/>
      <c r="H4888" s="83"/>
      <c r="I4888" s="84"/>
      <c r="J4888" s="85"/>
      <c r="K4888" s="382"/>
      <c r="L4888" s="85"/>
      <c r="M4888" s="332" t="str">
        <f t="shared" si="1447"/>
        <v/>
      </c>
      <c r="N4888" s="86"/>
      <c r="O4888" s="453" t="str">
        <f t="shared" si="1449"/>
        <v/>
      </c>
      <c r="P4888" s="538" t="str">
        <f t="shared" si="1450"/>
        <v/>
      </c>
      <c r="Q4888" s="539" t="str">
        <f t="shared" si="1448"/>
        <v/>
      </c>
      <c r="R4888" s="706"/>
      <c r="S4888" s="707"/>
      <c r="T4888" s="708"/>
      <c r="U4888" s="472"/>
      <c r="V4888" s="167"/>
      <c r="W4888" s="446"/>
      <c r="X4888" s="456"/>
      <c r="Y4888" s="436"/>
      <c r="Z4888" s="437"/>
      <c r="AA4888" s="560"/>
      <c r="AB4888" s="561"/>
      <c r="AC4888" s="87"/>
      <c r="AD4888" s="466"/>
      <c r="AE4888" s="456"/>
      <c r="AF4888" s="467"/>
      <c r="AG4888" s="87"/>
      <c r="AH4888" s="87"/>
      <c r="AI4888" s="87"/>
    </row>
    <row r="4889" spans="1:35" hidden="1">
      <c r="A4889" s="80" t="e">
        <f>"G"&amp;E4879</f>
        <v>#N/A</v>
      </c>
      <c r="B4889" s="105">
        <v>7</v>
      </c>
      <c r="C4889" s="107"/>
      <c r="D4889" s="107"/>
      <c r="E4889" s="107"/>
      <c r="F4889" s="107"/>
      <c r="G4889" s="83"/>
      <c r="H4889" s="83"/>
      <c r="I4889" s="84"/>
      <c r="J4889" s="85"/>
      <c r="K4889" s="382"/>
      <c r="L4889" s="85"/>
      <c r="M4889" s="332" t="str">
        <f t="shared" si="1447"/>
        <v/>
      </c>
      <c r="N4889" s="86"/>
      <c r="O4889" s="86" t="str">
        <f t="shared" si="1449"/>
        <v/>
      </c>
      <c r="P4889" s="538" t="str">
        <f t="shared" si="1450"/>
        <v/>
      </c>
      <c r="Q4889" s="539" t="str">
        <f t="shared" si="1448"/>
        <v/>
      </c>
      <c r="R4889" s="706"/>
      <c r="S4889" s="707"/>
      <c r="T4889" s="708"/>
      <c r="U4889" s="472"/>
      <c r="V4889" s="167"/>
      <c r="W4889" s="446"/>
      <c r="X4889" s="456"/>
      <c r="Y4889" s="436"/>
      <c r="Z4889" s="437"/>
      <c r="AA4889" s="560"/>
      <c r="AB4889" s="561"/>
      <c r="AC4889" s="87"/>
      <c r="AD4889" s="466"/>
      <c r="AE4889" s="456"/>
      <c r="AF4889" s="467"/>
      <c r="AG4889" s="87"/>
      <c r="AH4889" s="87"/>
      <c r="AI4889" s="87"/>
    </row>
    <row r="4890" spans="1:35" hidden="1">
      <c r="A4890" s="80" t="e">
        <f>"H"&amp;E4879</f>
        <v>#N/A</v>
      </c>
      <c r="B4890" s="105">
        <v>8</v>
      </c>
      <c r="C4890" s="107"/>
      <c r="D4890" s="107"/>
      <c r="E4890" s="107"/>
      <c r="F4890" s="107"/>
      <c r="G4890" s="83"/>
      <c r="H4890" s="83"/>
      <c r="I4890" s="84"/>
      <c r="J4890" s="85"/>
      <c r="K4890" s="382"/>
      <c r="L4890" s="85"/>
      <c r="M4890" s="332" t="str">
        <f t="shared" si="1447"/>
        <v/>
      </c>
      <c r="N4890" s="453"/>
      <c r="O4890" s="86" t="str">
        <f t="shared" si="1449"/>
        <v/>
      </c>
      <c r="P4890" s="538" t="str">
        <f t="shared" si="1450"/>
        <v/>
      </c>
      <c r="Q4890" s="539" t="str">
        <f t="shared" si="1448"/>
        <v/>
      </c>
      <c r="R4890" s="706"/>
      <c r="S4890" s="707"/>
      <c r="T4890" s="708"/>
      <c r="U4890" s="472"/>
      <c r="V4890" s="167"/>
      <c r="W4890" s="446"/>
      <c r="X4890" s="456"/>
      <c r="Y4890" s="436"/>
      <c r="Z4890" s="437"/>
      <c r="AA4890" s="560"/>
      <c r="AB4890" s="561"/>
      <c r="AC4890" s="87"/>
      <c r="AD4890" s="466"/>
      <c r="AE4890" s="456"/>
      <c r="AF4890" s="467"/>
      <c r="AG4890" s="87"/>
      <c r="AH4890" s="87"/>
      <c r="AI4890" s="87"/>
    </row>
    <row r="4891" spans="1:35" hidden="1">
      <c r="A4891" s="80" t="e">
        <f>"I"&amp;E4879</f>
        <v>#N/A</v>
      </c>
      <c r="B4891" s="105">
        <v>9</v>
      </c>
      <c r="C4891" s="107"/>
      <c r="D4891" s="107"/>
      <c r="E4891" s="107"/>
      <c r="F4891" s="107"/>
      <c r="G4891" s="83"/>
      <c r="H4891" s="83"/>
      <c r="I4891" s="84"/>
      <c r="J4891" s="85"/>
      <c r="K4891" s="382"/>
      <c r="L4891" s="85"/>
      <c r="M4891" s="332" t="str">
        <f t="shared" si="1447"/>
        <v/>
      </c>
      <c r="N4891" s="453"/>
      <c r="O4891" s="86" t="str">
        <f t="shared" si="1449"/>
        <v/>
      </c>
      <c r="P4891" s="538" t="str">
        <f t="shared" si="1450"/>
        <v/>
      </c>
      <c r="Q4891" s="539" t="str">
        <f t="shared" si="1448"/>
        <v/>
      </c>
      <c r="R4891" s="706"/>
      <c r="S4891" s="707"/>
      <c r="T4891" s="708"/>
      <c r="U4891" s="472"/>
      <c r="V4891" s="167"/>
      <c r="W4891" s="446"/>
      <c r="X4891" s="456"/>
      <c r="Y4891" s="436"/>
      <c r="Z4891" s="437"/>
      <c r="AA4891" s="560"/>
      <c r="AB4891" s="561"/>
      <c r="AC4891" s="87"/>
      <c r="AD4891" s="466"/>
      <c r="AE4891" s="456"/>
      <c r="AF4891" s="467"/>
      <c r="AG4891" s="87"/>
      <c r="AH4891" s="87"/>
      <c r="AI4891" s="87"/>
    </row>
    <row r="4892" spans="1:35" hidden="1">
      <c r="A4892" s="80" t="e">
        <f>"J"&amp;E4879</f>
        <v>#N/A</v>
      </c>
      <c r="B4892" s="105">
        <v>10</v>
      </c>
      <c r="C4892" s="107"/>
      <c r="D4892" s="107"/>
      <c r="E4892" s="107"/>
      <c r="F4892" s="107"/>
      <c r="G4892" s="83"/>
      <c r="H4892" s="83"/>
      <c r="I4892" s="84"/>
      <c r="J4892" s="85"/>
      <c r="K4892" s="382"/>
      <c r="L4892" s="85"/>
      <c r="M4892" s="332" t="str">
        <f t="shared" si="1447"/>
        <v/>
      </c>
      <c r="N4892" s="453"/>
      <c r="O4892" s="86" t="str">
        <f t="shared" si="1449"/>
        <v/>
      </c>
      <c r="P4892" s="538" t="str">
        <f t="shared" si="1450"/>
        <v/>
      </c>
      <c r="Q4892" s="539" t="str">
        <f t="shared" si="1448"/>
        <v/>
      </c>
      <c r="R4892" s="706"/>
      <c r="S4892" s="707"/>
      <c r="T4892" s="708"/>
      <c r="U4892" s="472"/>
      <c r="V4892" s="167"/>
      <c r="W4892" s="446"/>
      <c r="X4892" s="456"/>
      <c r="Y4892" s="436"/>
      <c r="Z4892" s="437"/>
      <c r="AA4892" s="560"/>
      <c r="AB4892" s="561"/>
      <c r="AC4892" s="87"/>
      <c r="AD4892" s="466"/>
      <c r="AE4892" s="456"/>
      <c r="AF4892" s="467"/>
      <c r="AG4892" s="87"/>
      <c r="AH4892" s="87"/>
      <c r="AI4892" s="87"/>
    </row>
    <row r="4893" spans="1:35" ht="16.5" hidden="1" thickBot="1">
      <c r="A4893" s="44"/>
      <c r="B4893" s="89"/>
      <c r="C4893" s="90"/>
      <c r="D4893" s="90"/>
      <c r="E4893" s="90"/>
      <c r="F4893" s="90"/>
      <c r="G4893" s="90"/>
      <c r="H4893" s="90"/>
      <c r="I4893" s="90"/>
      <c r="J4893" s="90"/>
      <c r="K4893" s="90"/>
      <c r="L4893" s="90"/>
      <c r="M4893" s="90"/>
      <c r="N4893" s="90"/>
      <c r="O4893" s="90"/>
      <c r="P4893" s="90"/>
      <c r="Q4893" s="90"/>
      <c r="R4893" s="90"/>
      <c r="S4893" s="91"/>
      <c r="T4893" s="92"/>
      <c r="U4893" s="473"/>
      <c r="W4893" s="438"/>
      <c r="X4893" s="455"/>
      <c r="Y4893" s="439"/>
      <c r="Z4893" s="437"/>
      <c r="AA4893" s="530"/>
      <c r="AB4893" s="563"/>
      <c r="AC4893" s="87"/>
      <c r="AD4893" s="440"/>
      <c r="AE4893" s="441"/>
      <c r="AF4893" s="442"/>
      <c r="AG4893" s="49"/>
      <c r="AH4893" s="87"/>
      <c r="AI4893" s="87"/>
    </row>
    <row r="4894" spans="1:35" ht="16.5" hidden="1" thickBot="1">
      <c r="A4894" s="93"/>
      <c r="B4894" s="94"/>
      <c r="C4894" s="96"/>
      <c r="D4894" s="96"/>
      <c r="E4894" s="96"/>
      <c r="F4894" s="96"/>
      <c r="G4894" s="96"/>
      <c r="H4894" s="96"/>
      <c r="I4894" s="96"/>
      <c r="J4894" s="96"/>
      <c r="K4894" s="96"/>
      <c r="L4894" s="96"/>
      <c r="M4894" s="136"/>
      <c r="N4894" s="96"/>
      <c r="O4894" s="96"/>
      <c r="P4894" s="97"/>
      <c r="Q4894" s="97"/>
      <c r="R4894" s="98"/>
      <c r="S4894" s="95"/>
      <c r="T4894" s="99"/>
      <c r="U4894" s="469"/>
      <c r="AC4894" s="58"/>
      <c r="AG4894" s="58"/>
      <c r="AH4894" s="87"/>
      <c r="AI4894" s="87"/>
    </row>
    <row r="4895" spans="1:35" ht="16.5" hidden="1" thickBot="1">
      <c r="B4895" s="101"/>
      <c r="C4895" s="101"/>
      <c r="D4895" s="101"/>
      <c r="E4895" s="101"/>
      <c r="F4895" s="101"/>
      <c r="G4895" s="101"/>
      <c r="H4895" s="101"/>
      <c r="I4895" s="101"/>
      <c r="J4895" s="101"/>
      <c r="K4895" s="101"/>
      <c r="L4895" s="101"/>
      <c r="M4895" s="101"/>
      <c r="N4895" s="101"/>
      <c r="O4895" s="101"/>
      <c r="P4895" s="101"/>
      <c r="Q4895" s="101"/>
      <c r="R4895" s="101"/>
      <c r="S4895" s="101"/>
      <c r="U4895" s="50"/>
      <c r="AH4895" s="87"/>
      <c r="AI4895" s="87"/>
    </row>
    <row r="4896" spans="1:35" ht="16.5" hidden="1" customHeight="1" thickBot="1">
      <c r="A4896" s="44"/>
      <c r="B4896" s="705" t="s">
        <v>74</v>
      </c>
      <c r="C4896" s="705"/>
      <c r="D4896" s="705"/>
      <c r="E4896" s="705"/>
      <c r="F4896" s="705"/>
      <c r="G4896" s="705"/>
      <c r="H4896" s="705"/>
      <c r="I4896" s="705"/>
      <c r="J4896" s="705"/>
      <c r="K4896" s="705"/>
      <c r="L4896" s="705"/>
      <c r="M4896" s="705"/>
      <c r="N4896" s="705"/>
      <c r="O4896" s="705"/>
      <c r="P4896" s="705"/>
      <c r="Q4896" s="705"/>
      <c r="R4896" s="705"/>
      <c r="S4896" s="705"/>
      <c r="T4896" s="705"/>
      <c r="U4896" s="108"/>
      <c r="Y4896" s="532" t="s">
        <v>341</v>
      </c>
      <c r="AC4896" s="49"/>
      <c r="AD4896" s="687" t="s">
        <v>302</v>
      </c>
      <c r="AE4896" s="688"/>
      <c r="AF4896" s="689"/>
      <c r="AG4896" s="49"/>
      <c r="AH4896" s="87"/>
      <c r="AI4896" s="87"/>
    </row>
    <row r="4897" spans="1:35" ht="16.5" hidden="1" customHeight="1" thickBot="1">
      <c r="A4897" s="218" t="e">
        <f>"K"&amp;E4879</f>
        <v>#N/A</v>
      </c>
      <c r="B4897" s="701" t="s">
        <v>71</v>
      </c>
      <c r="C4897" s="751" t="s">
        <v>102</v>
      </c>
      <c r="D4897" s="751"/>
      <c r="E4897" s="751"/>
      <c r="F4897" s="751"/>
      <c r="G4897" s="751"/>
      <c r="H4897" s="751"/>
      <c r="I4897" s="751"/>
      <c r="J4897" s="751"/>
      <c r="K4897" s="751"/>
      <c r="L4897" s="722" t="s">
        <v>100</v>
      </c>
      <c r="M4897" s="747" t="s">
        <v>114</v>
      </c>
      <c r="N4897" s="747"/>
      <c r="O4897" s="747"/>
      <c r="P4897" s="747"/>
      <c r="Q4897" s="748"/>
      <c r="R4897" s="758" t="s">
        <v>280</v>
      </c>
      <c r="S4897" s="748"/>
      <c r="T4897" s="762" t="str">
        <f>IF(COUNTIF(AE4897:AF4897,"VERIFICAR")&gt;0,"VERIFICAR",IF(COUNTIF(AE4897:AF4897,"NO CUMPLE")&gt;0,"NO CUMPLE","CUMPLE"))</f>
        <v>VERIFICAR</v>
      </c>
      <c r="U4897" s="108"/>
      <c r="Y4897" s="533" t="e">
        <f>IF(F4898="","",IF(F4898=1,"INDIVIDUAL","ESTRUCTURA PLURAL"))</f>
        <v>#N/A</v>
      </c>
      <c r="AC4897" s="52"/>
      <c r="AD4897" s="475" t="s">
        <v>303</v>
      </c>
      <c r="AE4897" s="476" t="str">
        <f>IF(COUNTIF(AE4883:AE4892,"")=10,"VERIFICAR",IF(COUNTIF(AE4883:AE4892,"SI")&gt;0,"CUMPLE","NO CUMPLE"))</f>
        <v>VERIFICAR</v>
      </c>
      <c r="AF4897" s="477" t="str">
        <f>IF(COUNTIF(AF4883:AF4892,"")=10,"VERIFICAR",IF(COUNTIF(AF4883:AF4892,"SI")&gt;=$AI$22,"CUMPLE","NO CUMPLE"))</f>
        <v>VERIFICAR</v>
      </c>
      <c r="AG4897" s="52"/>
      <c r="AH4897" s="87"/>
      <c r="AI4897" s="87"/>
    </row>
    <row r="4898" spans="1:35" ht="15.75" hidden="1" customHeight="1" thickBot="1">
      <c r="A4898" s="218" t="e">
        <f>"L"&amp;E4879</f>
        <v>#N/A</v>
      </c>
      <c r="B4898" s="702"/>
      <c r="C4898" s="751" t="s">
        <v>103</v>
      </c>
      <c r="D4898" s="751"/>
      <c r="E4898" s="752"/>
      <c r="F4898" s="557" t="e">
        <f>IF(VLOOKUP(E4879,PROPONENTES!$C$19:$E$218,3,0)="","",VLOOKUP(E4879,PROPONENTES!$C$19:$E$218,3,0))</f>
        <v>#N/A</v>
      </c>
      <c r="G4898" s="753" t="s">
        <v>104</v>
      </c>
      <c r="H4898" s="751"/>
      <c r="I4898" s="715" t="e">
        <f>IF(OR(F4898="",F4898=1),"INTERESADO PERSONA NATURAL O JURIDICA","CONSORCIO O UNION TEMPORAL")</f>
        <v>#N/A</v>
      </c>
      <c r="J4898" s="725"/>
      <c r="K4898" s="728"/>
      <c r="L4898" s="723"/>
      <c r="M4898" s="749"/>
      <c r="N4898" s="749"/>
      <c r="O4898" s="749"/>
      <c r="P4898" s="749"/>
      <c r="Q4898" s="750"/>
      <c r="R4898" s="712"/>
      <c r="S4898" s="750"/>
      <c r="T4898" s="763"/>
      <c r="U4898" s="108"/>
      <c r="Y4898" s="534"/>
      <c r="AA4898" s="52"/>
      <c r="AB4898" s="52"/>
      <c r="AC4898" s="52"/>
      <c r="AG4898" s="52"/>
      <c r="AH4898" s="87"/>
      <c r="AI4898" s="87"/>
    </row>
    <row r="4899" spans="1:35" ht="56.25" hidden="1" customHeight="1" thickBot="1">
      <c r="A4899" s="218" t="e">
        <f>"M"&amp;E4879</f>
        <v>#N/A</v>
      </c>
      <c r="B4899" s="702"/>
      <c r="C4899" s="725" t="s">
        <v>101</v>
      </c>
      <c r="D4899" s="716"/>
      <c r="E4899" s="558" t="s">
        <v>105</v>
      </c>
      <c r="F4899" s="554" t="s">
        <v>87</v>
      </c>
      <c r="G4899" s="553" t="s">
        <v>86</v>
      </c>
      <c r="H4899" s="559" t="s">
        <v>85</v>
      </c>
      <c r="I4899" s="554" t="s">
        <v>252</v>
      </c>
      <c r="J4899" s="553" t="str">
        <f>"¿EL INTEGRANTE TIENE UNA PARTICIPACIÓN DEL "&amp;PORCREQUERIDOINT*100&amp;"%?"</f>
        <v>¿EL INTEGRANTE TIENE UNA PARTICIPACIÓN DEL 60%?</v>
      </c>
      <c r="K4899" s="554" t="s">
        <v>107</v>
      </c>
      <c r="L4899" s="724"/>
      <c r="M4899" s="717" t="s">
        <v>115</v>
      </c>
      <c r="N4899" s="718"/>
      <c r="O4899" s="718"/>
      <c r="P4899" s="718"/>
      <c r="Q4899" s="223">
        <f>IF(AND(H4883="SI",P4883&gt;=0),1,0)+IF(AND(H4884="SI",P4884&gt;=0),1,0)+IF(AND(H4885="SI",P4885&gt;=0),1,0)+IF(AND(H4886="SI",P4886&gt;=0),1,0)+IF(AND(H4887="SI",P4887&gt;=0),1,0)+IF(AND(H4888="SI",P4888&gt;=0),1,0)+IF(AND(H4889="SI",P4889&gt;=0),1,0)+IF(AND(H4890="SI",P4890&gt;=0),1,0)+IF(AND(H4891="SI",P4891&gt;=0),1,0)+IF(AND(H4892="SI",P4892&gt;=0),1,0)</f>
        <v>0</v>
      </c>
      <c r="R4899" s="759"/>
      <c r="S4899" s="761"/>
      <c r="T4899" s="764"/>
      <c r="U4899" s="219"/>
      <c r="V4899" s="464"/>
      <c r="Y4899" s="532" t="s">
        <v>342</v>
      </c>
      <c r="AA4899" s="550" t="s">
        <v>344</v>
      </c>
      <c r="AB4899" s="693" t="s">
        <v>345</v>
      </c>
      <c r="AC4899" s="693" t="s">
        <v>346</v>
      </c>
      <c r="AD4899" s="685" t="s">
        <v>347</v>
      </c>
      <c r="AE4899" s="52"/>
      <c r="AF4899" s="52"/>
      <c r="AG4899" s="52"/>
      <c r="AH4899" s="87"/>
      <c r="AI4899" s="87"/>
    </row>
    <row r="4900" spans="1:35" ht="15.75" hidden="1" customHeight="1" thickBot="1">
      <c r="A4900" s="218" t="e">
        <f>"N"&amp;E4879</f>
        <v>#N/A</v>
      </c>
      <c r="B4900" s="702"/>
      <c r="C4900" s="114">
        <v>1</v>
      </c>
      <c r="D4900" s="194" t="e">
        <f>IF(AND(C4900&lt;=F4898,F4898&gt;1,F4898&lt;&gt;""),VLOOKUP(VALUE(E4879&amp;","&amp;C4900),INTEGRANTES!$D$18:$F$235,2,0),"")</f>
        <v>#N/A</v>
      </c>
      <c r="E4900" s="211" t="e">
        <f>IF(D4900&lt;&gt;"",VLOOKUP(VALUE(E4879&amp;","&amp;C4900),INTEGRANTES!$D$18:$F$235,3,0),"")</f>
        <v>#N/A</v>
      </c>
      <c r="F4900" s="547" t="e">
        <f>IF(D4900="","",SUMIF($I4883:$I4892,D4900,$P4883:$P4892))</f>
        <v>#N/A</v>
      </c>
      <c r="G4900" s="333" t="e">
        <f>IF(D4900="","",SUMIF($I4883:$I4892,D4900,$M4883:$M4892))</f>
        <v>#N/A</v>
      </c>
      <c r="H4900" s="535" t="e">
        <f t="shared" ref="H4900:H4905" si="1451">IF(D4900="","",IF(OR(F4900=0,G4900=0),"NO APORTA",ROUND($F4900/$G4900,3)))</f>
        <v>#N/A</v>
      </c>
      <c r="I4900" s="212" t="e">
        <f>IF(D4900="","",IF(H4900="NO APORTA","NO",IF(H4900=MAX($H4900:$H4905),"SI","NO")))</f>
        <v>#N/A</v>
      </c>
      <c r="J4900" s="213" t="e">
        <f t="shared" ref="J4900:J4905" si="1452">IF(D4900="","",IF(E4900&gt;=PORCREQUERIDOINT,"SI","NO"))</f>
        <v>#N/A</v>
      </c>
      <c r="K4900" s="200" t="e">
        <f t="shared" ref="K4900:K4905" si="1453">IF(D4900="","",IF(AND(I4900="SI",J4900="SI"),"CUMPLE",IF(AND(I4900="NO",OR(J4900="SI",J4900="NO")),"","NO CUMPLE")))</f>
        <v>#N/A</v>
      </c>
      <c r="L4900" s="722" t="s">
        <v>108</v>
      </c>
      <c r="M4900" s="726" t="s">
        <v>119</v>
      </c>
      <c r="N4900" s="726"/>
      <c r="O4900" s="726"/>
      <c r="P4900" s="726"/>
      <c r="Q4900" s="727"/>
      <c r="R4900" s="758" t="s">
        <v>80</v>
      </c>
      <c r="S4900" s="747"/>
      <c r="T4900" s="748"/>
      <c r="U4900" s="219"/>
      <c r="V4900" s="464"/>
      <c r="Y4900" s="533" t="e">
        <f>IF(Y4897="","",IF(Y4897="INDIVIDUAL","NO APLICA","VERIFICAR CUADRO"))</f>
        <v>#N/A</v>
      </c>
      <c r="AA4900" s="551"/>
      <c r="AB4900" s="694"/>
      <c r="AC4900" s="694"/>
      <c r="AD4900" s="686"/>
      <c r="AE4900" s="52"/>
      <c r="AF4900" s="52"/>
      <c r="AG4900" s="52"/>
      <c r="AH4900" s="87"/>
      <c r="AI4900" s="87"/>
    </row>
    <row r="4901" spans="1:35" ht="27" hidden="1" customHeight="1" thickBot="1">
      <c r="A4901" s="218" t="e">
        <f>"O"&amp;E4879</f>
        <v>#N/A</v>
      </c>
      <c r="B4901" s="702"/>
      <c r="C4901" s="114">
        <v>2</v>
      </c>
      <c r="D4901" s="194" t="e">
        <f>IF(AND(C4901&lt;=F4898,F4898&lt;&gt;""),VLOOKUP(VALUE(E4879&amp;","&amp;C4901),INTEGRANTES!$D$18:$F$235,2,0),"")</f>
        <v>#N/A</v>
      </c>
      <c r="E4901" s="211" t="e">
        <f>IF(D4901&lt;&gt;"",VLOOKUP(VALUE(E4879&amp;","&amp;C4901),INTEGRANTES!$D$18:$F$235,3,0),"")</f>
        <v>#N/A</v>
      </c>
      <c r="F4901" s="547" t="e">
        <f>IF(D4901="","",SUMIF($I4883:$I4892,D4901,$P4883:$P4892))</f>
        <v>#N/A</v>
      </c>
      <c r="G4901" s="333" t="e">
        <f>IF(D4901="","",SUMIF($I4883:$I4892,D4901,$M4883:$M4892))</f>
        <v>#N/A</v>
      </c>
      <c r="H4901" s="535" t="e">
        <f t="shared" si="1451"/>
        <v>#N/A</v>
      </c>
      <c r="I4901" s="212" t="e">
        <f>IF(D4901="","",IF(H4901="NO APORTA","NO",IF(H4901=MAX($H4900:$H4905),"SI","NO")))</f>
        <v>#N/A</v>
      </c>
      <c r="J4901" s="213" t="e">
        <f t="shared" si="1452"/>
        <v>#N/A</v>
      </c>
      <c r="K4901" s="200" t="e">
        <f t="shared" si="1453"/>
        <v>#N/A</v>
      </c>
      <c r="L4901" s="723"/>
      <c r="M4901" s="715" t="s">
        <v>116</v>
      </c>
      <c r="N4901" s="716"/>
      <c r="O4901" s="556" t="s">
        <v>113</v>
      </c>
      <c r="P4901" s="715" t="s">
        <v>117</v>
      </c>
      <c r="Q4901" s="728"/>
      <c r="R4901" s="759"/>
      <c r="S4901" s="760"/>
      <c r="T4901" s="761"/>
      <c r="U4901" s="219"/>
      <c r="V4901" s="464"/>
      <c r="Y4901" s="414"/>
      <c r="AA4901" s="542" t="e">
        <f>IF(AND(C4900&lt;=F4898,F4898&gt;1,F4898&lt;&gt;""),VLOOKUP(VALUE(E4879&amp;","&amp;C4900),INTEGRANTES!$D$18:$F$235,2,0),"")</f>
        <v>#N/A</v>
      </c>
      <c r="AB4901" s="544" t="e">
        <f t="shared" ref="AB4901:AB4906" si="1454">IF(D4900="","",IF(OR(F4900=0,G4900=0),"NO APORTA",ROUND($F4900/$G4900,3)))</f>
        <v>#N/A</v>
      </c>
      <c r="AC4901" s="529"/>
      <c r="AD4901" s="200" t="e">
        <f t="shared" ref="AD4901:AD4906" si="1455">IF(OR(AA4901="",AB4901=""),"",IF(AND(AC4901="X",AB4901&gt;=EXPREQVTD),"CUMPLE","NO CUMPLE"))</f>
        <v>#N/A</v>
      </c>
      <c r="AE4901" s="52"/>
      <c r="AF4901" s="52"/>
      <c r="AG4901" s="52"/>
      <c r="AH4901" s="87"/>
      <c r="AI4901" s="87"/>
    </row>
    <row r="4902" spans="1:35" ht="16.5" hidden="1" thickBot="1">
      <c r="A4902" s="218" t="e">
        <f>"P"&amp;E4879</f>
        <v>#N/A</v>
      </c>
      <c r="B4902" s="702"/>
      <c r="C4902" s="114">
        <v>3</v>
      </c>
      <c r="D4902" s="194" t="e">
        <f>IF(AND(C4902&lt;=F4898,F4898&lt;&gt;""),VLOOKUP(VALUE(E4879&amp;","&amp;C4902),INTEGRANTES!$D$18:$F$235,2,0),"")</f>
        <v>#N/A</v>
      </c>
      <c r="E4902" s="211" t="e">
        <f>IF(D4902&lt;&gt;"",VLOOKUP(VALUE(E4879&amp;","&amp;C4902),INTEGRANTES!$D$18:$F$235,3,0),"")</f>
        <v>#N/A</v>
      </c>
      <c r="F4902" s="547" t="e">
        <f>IF(D4902="","",SUMIF($I4883:$I4892,D4902,$P4883:$P4892))</f>
        <v>#N/A</v>
      </c>
      <c r="G4902" s="333" t="e">
        <f>IF(D4902="","",SUMIF($I4883:$I4892,D4902,$M4883:$M4892))</f>
        <v>#N/A</v>
      </c>
      <c r="H4902" s="535" t="e">
        <f t="shared" si="1451"/>
        <v>#N/A</v>
      </c>
      <c r="I4902" s="212" t="e">
        <f>IF(D4902="","",IF(H4902="NO APORTA","NO",IF(H4902=MAX($H4900:$H4905),"SI","NO")))</f>
        <v>#N/A</v>
      </c>
      <c r="J4902" s="213" t="e">
        <f t="shared" si="1452"/>
        <v>#N/A</v>
      </c>
      <c r="K4902" s="200" t="e">
        <f t="shared" si="1453"/>
        <v>#N/A</v>
      </c>
      <c r="L4902" s="724"/>
      <c r="M4902" s="729">
        <f>NUMMOD</f>
        <v>1</v>
      </c>
      <c r="N4902" s="730"/>
      <c r="O4902" s="443">
        <f>IF(M4902="","",VLOOKUP(M4902,PRESUPUESTOS!$B$16:$H$16,5,FALSE))</f>
        <v>2</v>
      </c>
      <c r="P4902" s="713">
        <f>IF(OR(COUNTIF(M4883:M4892,"")&gt;=10,Q4899&lt;NUMMINCONT,OR(T4897="NO CUMPLE",T4897="VERIFICAR")),0,ROUND(AVERAGE(M4883:M4892),3))</f>
        <v>0</v>
      </c>
      <c r="Q4902" s="714"/>
      <c r="R4902" s="458"/>
      <c r="S4902" s="459"/>
      <c r="T4902" s="460"/>
      <c r="U4902" s="219"/>
      <c r="V4902" s="464"/>
      <c r="Y4902" s="532" t="str">
        <f>"40% * ("&amp;PRESUPUESTOS!$H$13&amp;")"</f>
        <v>40% * (50% PFMO)</v>
      </c>
      <c r="AA4902" s="540" t="e">
        <f>IF(AND(C4901&lt;=F4898,F4898&lt;&gt;""),VLOOKUP(VALUE(E4879&amp;","&amp;C4901),INTEGRANTES!$D$18:$F$235,2,0),"")</f>
        <v>#N/A</v>
      </c>
      <c r="AB4902" s="545" t="e">
        <f t="shared" si="1454"/>
        <v>#N/A</v>
      </c>
      <c r="AC4902" s="529"/>
      <c r="AD4902" s="200" t="e">
        <f t="shared" si="1455"/>
        <v>#N/A</v>
      </c>
      <c r="AE4902" s="52"/>
      <c r="AF4902" s="52"/>
      <c r="AG4902" s="52"/>
      <c r="AH4902" s="87"/>
      <c r="AI4902" s="87"/>
    </row>
    <row r="4903" spans="1:35" ht="15.75" hidden="1" customHeight="1" thickBot="1">
      <c r="A4903" s="218" t="e">
        <f>"Q"&amp;E4879</f>
        <v>#N/A</v>
      </c>
      <c r="B4903" s="702"/>
      <c r="C4903" s="114">
        <v>4</v>
      </c>
      <c r="D4903" s="194" t="e">
        <f>IF(AND(C4903&lt;=F4898,F4898&lt;&gt;""),VLOOKUP(VALUE(E4879&amp;","&amp;C4903),INTEGRANTES!$D$18:$F$235,2,0),"")</f>
        <v>#N/A</v>
      </c>
      <c r="E4903" s="211" t="e">
        <f>IF(D4903&lt;&gt;"",VLOOKUP(VALUE(E4879&amp;","&amp;C4903),INTEGRANTES!$D$18:$F$235,3,0),"")</f>
        <v>#N/A</v>
      </c>
      <c r="F4903" s="547" t="e">
        <f>IF(D4903="","",SUMIF($I4883:$I4892,D4903,$P4883:$P4892))</f>
        <v>#N/A</v>
      </c>
      <c r="G4903" s="333" t="e">
        <f>IF(D4903="","",SUMIF($I4883:$I4892,D4903,$M4883:$M4892))</f>
        <v>#N/A</v>
      </c>
      <c r="H4903" s="535" t="e">
        <f t="shared" si="1451"/>
        <v>#N/A</v>
      </c>
      <c r="I4903" s="212" t="e">
        <f>IF(D4903="","",IF(H4903="NO APORTA","NO",IF(H4903=MAX($H4900:$H4905),"SI","NO")))</f>
        <v>#N/A</v>
      </c>
      <c r="J4903" s="213" t="e">
        <f t="shared" si="1452"/>
        <v>#N/A</v>
      </c>
      <c r="K4903" s="200" t="e">
        <f t="shared" si="1453"/>
        <v>#N/A</v>
      </c>
      <c r="L4903" s="720" t="s">
        <v>109</v>
      </c>
      <c r="M4903" s="757" t="s">
        <v>120</v>
      </c>
      <c r="N4903" s="726"/>
      <c r="O4903" s="726"/>
      <c r="P4903" s="726"/>
      <c r="Q4903" s="727"/>
      <c r="R4903" s="458"/>
      <c r="S4903" s="459"/>
      <c r="T4903" s="460"/>
      <c r="U4903" s="219"/>
      <c r="V4903" s="464"/>
      <c r="Y4903" s="537">
        <f>0.4*PRESUPUESTOS!$H$16</f>
        <v>10.3124</v>
      </c>
      <c r="AA4903" s="540" t="e">
        <f>IF(AND(C4902&lt;=F4898,F4898&lt;&gt;""),VLOOKUP(VALUE(E4879&amp;","&amp;C4902),INTEGRANTES!$D$18:$F$235,2,0),"")</f>
        <v>#N/A</v>
      </c>
      <c r="AB4903" s="545" t="e">
        <f t="shared" si="1454"/>
        <v>#N/A</v>
      </c>
      <c r="AC4903" s="529"/>
      <c r="AD4903" s="200" t="e">
        <f t="shared" si="1455"/>
        <v>#N/A</v>
      </c>
      <c r="AE4903" s="52"/>
      <c r="AF4903" s="52"/>
      <c r="AG4903" s="52"/>
      <c r="AH4903" s="87"/>
      <c r="AI4903" s="87"/>
    </row>
    <row r="4904" spans="1:35" ht="27" hidden="1" customHeight="1" thickBot="1">
      <c r="A4904" s="218" t="e">
        <f>"R"&amp;E4879</f>
        <v>#N/A</v>
      </c>
      <c r="B4904" s="702"/>
      <c r="C4904" s="114">
        <v>5</v>
      </c>
      <c r="D4904" s="194" t="e">
        <f>IF(AND(C4904&lt;=F4898,F4898&lt;&gt;""),VLOOKUP(VALUE(E4879&amp;","&amp;C4904),INTEGRANTES!$D$18:$F$235,2,0),"")</f>
        <v>#N/A</v>
      </c>
      <c r="E4904" s="211" t="e">
        <f>IF(D4904&lt;&gt;"",VLOOKUP(VALUE(E4879&amp;","&amp;C4904),INTEGRANTES!$D$18:$F$235,3,0),"")</f>
        <v>#N/A</v>
      </c>
      <c r="F4904" s="547" t="e">
        <f>IF(D4904="","",SUMIF($I4883:$I4892,D4904,$P4883:$P4892))</f>
        <v>#N/A</v>
      </c>
      <c r="G4904" s="333" t="e">
        <f>IF(D4904="","",SUMIF($I4883:$I4892,D4904,$M4883:$M4892))</f>
        <v>#N/A</v>
      </c>
      <c r="H4904" s="535" t="e">
        <f t="shared" si="1451"/>
        <v>#N/A</v>
      </c>
      <c r="I4904" s="212" t="e">
        <f>IF(D4904="","",IF(H4904="NO APORTA","NO",IF(H4904=MAX($H4900:$H4905),"SI","NO")))</f>
        <v>#N/A</v>
      </c>
      <c r="J4904" s="213" t="e">
        <f t="shared" si="1452"/>
        <v>#N/A</v>
      </c>
      <c r="K4904" s="200" t="e">
        <f t="shared" si="1453"/>
        <v>#N/A</v>
      </c>
      <c r="L4904" s="721"/>
      <c r="M4904" s="715" t="s">
        <v>116</v>
      </c>
      <c r="N4904" s="716"/>
      <c r="O4904" s="556" t="str">
        <f>PORCREQUERIDO*100&amp;"% PMFO DEL MÓDULO"</f>
        <v>50% PMFO DEL MÓDULO</v>
      </c>
      <c r="P4904" s="715" t="s">
        <v>118</v>
      </c>
      <c r="Q4904" s="728"/>
      <c r="R4904" s="458"/>
      <c r="S4904" s="459"/>
      <c r="T4904" s="460"/>
      <c r="U4904" s="219"/>
      <c r="V4904" s="464"/>
      <c r="Y4904" s="414"/>
      <c r="AA4904" s="540" t="e">
        <f>IF(AND(C4903&lt;=F4898,F4898&lt;&gt;""),VLOOKUP(VALUE(E4879&amp;","&amp;C4903),INTEGRANTES!$D$18:$F$235,2,0),"")</f>
        <v>#N/A</v>
      </c>
      <c r="AB4904" s="545" t="e">
        <f t="shared" si="1454"/>
        <v>#N/A</v>
      </c>
      <c r="AC4904" s="529"/>
      <c r="AD4904" s="200" t="e">
        <f t="shared" si="1455"/>
        <v>#N/A</v>
      </c>
      <c r="AE4904" s="52"/>
      <c r="AF4904" s="52"/>
      <c r="AG4904" s="52"/>
      <c r="AH4904" s="87"/>
      <c r="AI4904" s="87"/>
    </row>
    <row r="4905" spans="1:35" ht="16.5" hidden="1" thickBot="1">
      <c r="A4905" s="218" t="e">
        <f>"S"&amp;E4879</f>
        <v>#N/A</v>
      </c>
      <c r="B4905" s="702"/>
      <c r="C4905" s="215">
        <v>6</v>
      </c>
      <c r="D4905" s="216" t="e">
        <f>IF(AND(C4905&lt;=F4898,F4898&lt;&gt;""),VLOOKUP(VALUE(E4879&amp;","&amp;C4905),INTEGRANTES!$D$18:$F$235,2,0),"")</f>
        <v>#N/A</v>
      </c>
      <c r="E4905" s="217" t="e">
        <f>IF(D4905&lt;&gt;"",VLOOKUP(VALUE(E4879&amp;","&amp;C4905),INTEGRANTES!$D$18:$F$235,3,0),"")</f>
        <v>#N/A</v>
      </c>
      <c r="F4905" s="548" t="e">
        <f>IF(D4905="","",SUMIF($I4883:$I4892,D4905,$P4883:$P4892))</f>
        <v>#N/A</v>
      </c>
      <c r="G4905" s="334" t="e">
        <f>IF(D4905="","",SUMIF($I4883:$I4892,D4905,$M4883:$M4892))</f>
        <v>#N/A</v>
      </c>
      <c r="H4905" s="536" t="e">
        <f t="shared" si="1451"/>
        <v>#N/A</v>
      </c>
      <c r="I4905" s="214" t="e">
        <f>IF(D4905="","",IF(H4905="NO APORTA","NO",IF(H4905=MAX($H4900:$H4905),"SI","NO")))</f>
        <v>#N/A</v>
      </c>
      <c r="J4905" s="213" t="e">
        <f t="shared" si="1452"/>
        <v>#N/A</v>
      </c>
      <c r="K4905" s="200" t="e">
        <f t="shared" si="1453"/>
        <v>#N/A</v>
      </c>
      <c r="L4905" s="721"/>
      <c r="M4905" s="729">
        <f>NUMMOD</f>
        <v>1</v>
      </c>
      <c r="N4905" s="730"/>
      <c r="O4905" s="443">
        <f>IF(M4905="","",ROUND(VLOOKUP(M4905,PRESUPUESTOS!$B$16:$H$16,7,FALSE),3))</f>
        <v>25.780999999999999</v>
      </c>
      <c r="P4905" s="713">
        <f>IF(OR(COUNTIF(P4883:P4892,"")&gt;=10,Q4899&lt;NUMMINCONT,OR(T4897="NO CUMPLE",T4897="VERIFICAR")),0,ROUND((SUM(P4883:P4892)/SUM(M4883:M4892)),3))</f>
        <v>0</v>
      </c>
      <c r="Q4905" s="714"/>
      <c r="R4905" s="458"/>
      <c r="S4905" s="459"/>
      <c r="T4905" s="460"/>
      <c r="U4905" s="219"/>
      <c r="V4905" s="464"/>
      <c r="Y4905" s="532" t="s">
        <v>343</v>
      </c>
      <c r="AA4905" s="540" t="e">
        <f>IF(AND(C4904&lt;=F4898,F4898&lt;&gt;""),VLOOKUP(VALUE(E4879&amp;","&amp;C4904),INTEGRANTES!$D$18:$F$235,2,0),"")</f>
        <v>#N/A</v>
      </c>
      <c r="AB4905" s="545" t="e">
        <f t="shared" si="1454"/>
        <v>#N/A</v>
      </c>
      <c r="AC4905" s="529"/>
      <c r="AD4905" s="200" t="e">
        <f t="shared" si="1455"/>
        <v>#N/A</v>
      </c>
      <c r="AE4905" s="52"/>
      <c r="AF4905" s="52"/>
      <c r="AG4905" s="52"/>
      <c r="AH4905" s="87"/>
      <c r="AI4905" s="87"/>
    </row>
    <row r="4906" spans="1:35" ht="16.5" hidden="1" customHeight="1" thickBot="1">
      <c r="A4906" s="218" t="e">
        <f>"T"&amp;E4879</f>
        <v>#N/A</v>
      </c>
      <c r="B4906" s="703"/>
      <c r="C4906" s="719"/>
      <c r="D4906" s="719"/>
      <c r="E4906" s="719"/>
      <c r="F4906" s="719"/>
      <c r="G4906" s="719"/>
      <c r="H4906" s="719" t="s">
        <v>110</v>
      </c>
      <c r="I4906" s="719"/>
      <c r="J4906" s="719"/>
      <c r="K4906" s="201" t="str">
        <f>IF(COUNTIF(K4900:K4905,"")=6,"",IF(COUNTIF(K4900:K4905,"CUMPLE")&gt;0,"CUMPLE","NO CUMPLE"))</f>
        <v>NO CUMPLE</v>
      </c>
      <c r="L4906" s="754"/>
      <c r="M4906" s="755"/>
      <c r="N4906" s="755"/>
      <c r="O4906" s="755"/>
      <c r="P4906" s="755"/>
      <c r="Q4906" s="756"/>
      <c r="R4906" s="461"/>
      <c r="S4906" s="462"/>
      <c r="T4906" s="463"/>
      <c r="U4906" s="219"/>
      <c r="V4906" s="464"/>
      <c r="Y4906" s="549" t="e">
        <f>IF(Y4900="NO APLICA","NO APLICA",IF(COUNTIF(AD4901:AD4906,"CUMPLE")&gt;0,"CUMPLE","NO CUMPLE"))</f>
        <v>#N/A</v>
      </c>
      <c r="AA4906" s="541" t="e">
        <f>IF(AND(C4905&lt;=F4898,F4898&lt;&gt;""),VLOOKUP(VALUE(E4879&amp;","&amp;C4905),INTEGRANTES!$D$18:$F$235,2,0),"")</f>
        <v>#N/A</v>
      </c>
      <c r="AB4906" s="546" t="e">
        <f t="shared" si="1454"/>
        <v>#N/A</v>
      </c>
      <c r="AC4906" s="543"/>
      <c r="AD4906" s="201" t="e">
        <f t="shared" si="1455"/>
        <v>#N/A</v>
      </c>
      <c r="AE4906" s="52"/>
      <c r="AF4906" s="52"/>
      <c r="AG4906" s="52"/>
      <c r="AH4906" s="87"/>
      <c r="AI4906" s="87"/>
    </row>
    <row r="4907" spans="1:35" hidden="1">
      <c r="AH4907" s="87"/>
      <c r="AI4907" s="87"/>
    </row>
    <row r="4908" spans="1:35" hidden="1">
      <c r="AH4908" s="87"/>
      <c r="AI4908" s="87"/>
    </row>
    <row r="4909" spans="1:35" ht="24" hidden="1" thickBot="1">
      <c r="A4909" s="61">
        <v>164</v>
      </c>
      <c r="B4909" s="704" t="s">
        <v>51</v>
      </c>
      <c r="C4909" s="704"/>
      <c r="D4909" s="704"/>
      <c r="E4909" s="62" t="e">
        <f>VLOOKUP(A4909,PROPONENTES!$B$19:$E$218,2,FALSE)</f>
        <v>#N/A</v>
      </c>
      <c r="F4909" s="63" t="e">
        <f>VLOOKUP(A4909,PROPONENTES!$B$19:$E$218,3,FALSE)</f>
        <v>#N/A</v>
      </c>
      <c r="G4909" s="64"/>
      <c r="H4909" s="64"/>
      <c r="I4909" s="63"/>
      <c r="J4909" s="63"/>
      <c r="K4909" s="65"/>
      <c r="L4909" s="65"/>
      <c r="M4909" s="64"/>
      <c r="N4909" s="64"/>
      <c r="O4909" s="66"/>
      <c r="P4909" s="66"/>
      <c r="Q4909" s="66"/>
      <c r="R4909" s="66"/>
      <c r="S4909" s="67"/>
      <c r="T4909" s="68"/>
      <c r="U4909" s="68"/>
      <c r="AC4909" s="68"/>
      <c r="AD4909" s="68"/>
      <c r="AE4909" s="68"/>
      <c r="AF4909" s="68"/>
      <c r="AG4909" s="68"/>
      <c r="AH4909" s="87"/>
      <c r="AI4909" s="87"/>
    </row>
    <row r="4910" spans="1:35" ht="15.75" hidden="1" customHeight="1">
      <c r="A4910" s="44"/>
      <c r="B4910" s="709" t="s">
        <v>59</v>
      </c>
      <c r="C4910" s="552" t="s">
        <v>60</v>
      </c>
      <c r="D4910" s="70" t="s">
        <v>17</v>
      </c>
      <c r="E4910" s="70"/>
      <c r="F4910" s="70" t="s">
        <v>61</v>
      </c>
      <c r="G4910" s="71"/>
      <c r="H4910" s="699" t="s">
        <v>62</v>
      </c>
      <c r="I4910" s="699" t="s">
        <v>18</v>
      </c>
      <c r="J4910" s="699" t="s">
        <v>63</v>
      </c>
      <c r="K4910" s="699" t="s">
        <v>64</v>
      </c>
      <c r="L4910" s="699" t="s">
        <v>65</v>
      </c>
      <c r="M4910" s="743" t="s">
        <v>66</v>
      </c>
      <c r="N4910" s="699" t="s">
        <v>282</v>
      </c>
      <c r="O4910" s="745" t="s">
        <v>67</v>
      </c>
      <c r="P4910" s="746"/>
      <c r="Q4910" s="102" t="s">
        <v>75</v>
      </c>
      <c r="R4910" s="731" t="s">
        <v>22</v>
      </c>
      <c r="S4910" s="732"/>
      <c r="T4910" s="733"/>
      <c r="U4910" s="712" t="s">
        <v>298</v>
      </c>
      <c r="W4910" s="690" t="s">
        <v>268</v>
      </c>
      <c r="X4910" s="691"/>
      <c r="Y4910" s="692"/>
      <c r="Z4910" s="428"/>
      <c r="AA4910" s="697" t="s">
        <v>315</v>
      </c>
      <c r="AB4910" s="695" t="s">
        <v>322</v>
      </c>
      <c r="AC4910" s="49"/>
      <c r="AD4910" s="690" t="s">
        <v>297</v>
      </c>
      <c r="AE4910" s="691"/>
      <c r="AF4910" s="692"/>
      <c r="AG4910" s="49"/>
      <c r="AH4910" s="87"/>
      <c r="AI4910" s="87"/>
    </row>
    <row r="4911" spans="1:35" ht="72" hidden="1">
      <c r="A4911" s="44"/>
      <c r="B4911" s="710"/>
      <c r="C4911" s="553" t="s">
        <v>68</v>
      </c>
      <c r="D4911" s="73" t="s">
        <v>3</v>
      </c>
      <c r="E4911" s="73" t="s">
        <v>19</v>
      </c>
      <c r="F4911" s="73" t="s">
        <v>69</v>
      </c>
      <c r="G4911" s="74" t="s">
        <v>70</v>
      </c>
      <c r="H4911" s="700"/>
      <c r="I4911" s="700"/>
      <c r="J4911" s="700"/>
      <c r="K4911" s="700"/>
      <c r="L4911" s="700"/>
      <c r="M4911" s="744"/>
      <c r="N4911" s="700"/>
      <c r="O4911" s="553" t="s">
        <v>279</v>
      </c>
      <c r="P4911" s="73" t="s">
        <v>88</v>
      </c>
      <c r="Q4911" s="555" t="s">
        <v>76</v>
      </c>
      <c r="R4911" s="734"/>
      <c r="S4911" s="735"/>
      <c r="T4911" s="736"/>
      <c r="U4911" s="712"/>
      <c r="W4911" s="429" t="s">
        <v>269</v>
      </c>
      <c r="X4911" s="457" t="s">
        <v>278</v>
      </c>
      <c r="Y4911" s="430" t="s">
        <v>324</v>
      </c>
      <c r="Z4911" s="428"/>
      <c r="AA4911" s="698"/>
      <c r="AB4911" s="696"/>
      <c r="AC4911" s="49"/>
      <c r="AD4911" s="429" t="s">
        <v>292</v>
      </c>
      <c r="AE4911" s="431" t="s">
        <v>300</v>
      </c>
      <c r="AF4911" s="468" t="s">
        <v>301</v>
      </c>
      <c r="AG4911" s="49"/>
      <c r="AH4911" s="87"/>
      <c r="AI4911" s="87"/>
    </row>
    <row r="4912" spans="1:35" hidden="1">
      <c r="A4912" s="44"/>
      <c r="B4912" s="76"/>
      <c r="C4912" s="77"/>
      <c r="D4912" s="77"/>
      <c r="E4912" s="77"/>
      <c r="F4912" s="77"/>
      <c r="G4912" s="77"/>
      <c r="H4912" s="77"/>
      <c r="I4912" s="77"/>
      <c r="J4912" s="77"/>
      <c r="K4912" s="77"/>
      <c r="L4912" s="77"/>
      <c r="M4912" s="77"/>
      <c r="N4912" s="77"/>
      <c r="O4912" s="77"/>
      <c r="P4912" s="77"/>
      <c r="Q4912" s="77"/>
      <c r="R4912" s="77"/>
      <c r="S4912" s="78"/>
      <c r="T4912" s="79"/>
      <c r="U4912" s="109"/>
      <c r="V4912" s="49"/>
      <c r="W4912" s="432"/>
      <c r="X4912" s="454"/>
      <c r="Y4912" s="433"/>
      <c r="Z4912" s="6"/>
      <c r="AA4912" s="500"/>
      <c r="AB4912" s="562"/>
      <c r="AC4912" s="49"/>
      <c r="AD4912" s="210"/>
      <c r="AE4912" s="434"/>
      <c r="AF4912" s="435"/>
      <c r="AG4912" s="49"/>
      <c r="AH4912" s="87"/>
      <c r="AI4912" s="87"/>
    </row>
    <row r="4913" spans="1:35" hidden="1">
      <c r="A4913" s="80" t="e">
        <f>"A"&amp;E4909</f>
        <v>#N/A</v>
      </c>
      <c r="B4913" s="81">
        <v>1</v>
      </c>
      <c r="C4913" s="82"/>
      <c r="D4913" s="82"/>
      <c r="E4913" s="82"/>
      <c r="F4913" s="82"/>
      <c r="G4913" s="83"/>
      <c r="H4913" s="83"/>
      <c r="I4913" s="84"/>
      <c r="J4913" s="85"/>
      <c r="K4913" s="382"/>
      <c r="L4913" s="85"/>
      <c r="M4913" s="332" t="str">
        <f t="shared" ref="M4913:M4922" si="1456">IF(OR(J4913="",L4913="",H4913="NO"),"",IF(OR(J4913&gt;$P$17,J4913&lt;$O$17,L4913&gt;$P$17,AND(J4913&lt;$O$17,L4913&lt;$O$17)),"FUERA DE RANGO",IF(OR(K4913="---",K4913=""),IF(J4913&gt;=$O$17,ROUND((L4913-J4913+1)/360*12,3),ROUND((L4913-$O$17+1)/360*12,3)),IF(J4913&gt;=$O$17,ROUND((L4913-J4913+1)/360*12-ROUND(K4913,3),3),ROUND((L4913-$O$17+1)/360*12-ROUND(K4913,3),3)))))</f>
        <v/>
      </c>
      <c r="N4913" s="86"/>
      <c r="O4913" s="453" t="str">
        <f>IF(OR(G4913="",N4913=""),"",N4913*G4913)</f>
        <v/>
      </c>
      <c r="P4913" s="538" t="str">
        <f>IF(OR(H4913="",M4913="FUERA DE RANGO"),"",IF(OR(L4913&lt;$O$17,L4913&gt;$P$17,L4913="",H4913="NO"),"",IF(OR(N4913="",O4913=""),"",ROUND(O4913,3))))</f>
        <v/>
      </c>
      <c r="Q4913" s="539" t="str">
        <f t="shared" ref="Q4913:Q4922" si="1457">IF(AND(H4913="SI",P4913&lt;&gt;""),ROUND(P4913/M4913,3),"")</f>
        <v/>
      </c>
      <c r="R4913" s="737"/>
      <c r="S4913" s="738"/>
      <c r="T4913" s="739"/>
      <c r="U4913" s="470"/>
      <c r="V4913" s="165"/>
      <c r="W4913" s="446"/>
      <c r="X4913" s="456"/>
      <c r="Y4913" s="436"/>
      <c r="Z4913" s="437"/>
      <c r="AA4913" s="560"/>
      <c r="AB4913" s="561"/>
      <c r="AC4913" s="87"/>
      <c r="AD4913" s="466"/>
      <c r="AE4913" s="456"/>
      <c r="AF4913" s="467"/>
      <c r="AG4913" s="87"/>
      <c r="AH4913" s="87"/>
      <c r="AI4913" s="87"/>
    </row>
    <row r="4914" spans="1:35" hidden="1">
      <c r="A4914" s="80" t="e">
        <f>"B"&amp;E4909</f>
        <v>#N/A</v>
      </c>
      <c r="B4914" s="81">
        <v>2</v>
      </c>
      <c r="C4914" s="106"/>
      <c r="D4914" s="106"/>
      <c r="E4914" s="106"/>
      <c r="F4914" s="106"/>
      <c r="G4914" s="83"/>
      <c r="H4914" s="83"/>
      <c r="I4914" s="84"/>
      <c r="J4914" s="85"/>
      <c r="K4914" s="382"/>
      <c r="L4914" s="85"/>
      <c r="M4914" s="332" t="str">
        <f t="shared" si="1456"/>
        <v/>
      </c>
      <c r="N4914" s="86"/>
      <c r="O4914" s="453" t="str">
        <f t="shared" ref="O4914:O4922" si="1458">IF(OR(G4914="",N4914=""),"",N4914*G4914)</f>
        <v/>
      </c>
      <c r="P4914" s="538" t="str">
        <f t="shared" ref="P4914:P4922" si="1459">IF(OR(H4914="",M4914="FUERA DE RANGO"),"",IF(OR(L4914&lt;$O$17,L4914&gt;$P$17,L4914="",H4914="NO"),"",IF(OR(N4914="",O4914=""),"",ROUND(O4914,3))))</f>
        <v/>
      </c>
      <c r="Q4914" s="539" t="str">
        <f t="shared" si="1457"/>
        <v/>
      </c>
      <c r="R4914" s="740"/>
      <c r="S4914" s="741"/>
      <c r="T4914" s="742"/>
      <c r="U4914" s="471"/>
      <c r="V4914" s="165"/>
      <c r="W4914" s="446"/>
      <c r="X4914" s="456"/>
      <c r="Y4914" s="436"/>
      <c r="Z4914" s="437"/>
      <c r="AA4914" s="560"/>
      <c r="AB4914" s="561"/>
      <c r="AC4914" s="87"/>
      <c r="AD4914" s="466"/>
      <c r="AE4914" s="456"/>
      <c r="AF4914" s="467"/>
      <c r="AG4914" s="87"/>
      <c r="AH4914" s="87"/>
      <c r="AI4914" s="87"/>
    </row>
    <row r="4915" spans="1:35" hidden="1">
      <c r="A4915" s="80" t="e">
        <f>"C"&amp;E4909</f>
        <v>#N/A</v>
      </c>
      <c r="B4915" s="88">
        <v>3</v>
      </c>
      <c r="C4915" s="82"/>
      <c r="D4915" s="82"/>
      <c r="E4915" s="82"/>
      <c r="F4915" s="82"/>
      <c r="G4915" s="83"/>
      <c r="H4915" s="83"/>
      <c r="I4915" s="84"/>
      <c r="J4915" s="85"/>
      <c r="K4915" s="382"/>
      <c r="L4915" s="85"/>
      <c r="M4915" s="332" t="str">
        <f t="shared" si="1456"/>
        <v/>
      </c>
      <c r="N4915" s="86"/>
      <c r="O4915" s="453" t="str">
        <f t="shared" si="1458"/>
        <v/>
      </c>
      <c r="P4915" s="538" t="str">
        <f t="shared" si="1459"/>
        <v/>
      </c>
      <c r="Q4915" s="539" t="str">
        <f t="shared" si="1457"/>
        <v/>
      </c>
      <c r="R4915" s="706"/>
      <c r="S4915" s="707"/>
      <c r="T4915" s="708"/>
      <c r="U4915" s="472"/>
      <c r="V4915" s="166"/>
      <c r="W4915" s="446"/>
      <c r="X4915" s="456"/>
      <c r="Y4915" s="436"/>
      <c r="Z4915" s="437"/>
      <c r="AA4915" s="560"/>
      <c r="AB4915" s="561"/>
      <c r="AC4915" s="87"/>
      <c r="AD4915" s="466"/>
      <c r="AE4915" s="456"/>
      <c r="AF4915" s="467"/>
      <c r="AG4915" s="87"/>
      <c r="AH4915" s="87"/>
      <c r="AI4915" s="87"/>
    </row>
    <row r="4916" spans="1:35" hidden="1">
      <c r="A4916" s="80" t="e">
        <f>"D"&amp;E4909</f>
        <v>#N/A</v>
      </c>
      <c r="B4916" s="105">
        <v>4</v>
      </c>
      <c r="C4916" s="107"/>
      <c r="D4916" s="107"/>
      <c r="E4916" s="107"/>
      <c r="F4916" s="107"/>
      <c r="G4916" s="83"/>
      <c r="H4916" s="83"/>
      <c r="I4916" s="84"/>
      <c r="J4916" s="85"/>
      <c r="K4916" s="382"/>
      <c r="L4916" s="85"/>
      <c r="M4916" s="332" t="str">
        <f t="shared" si="1456"/>
        <v/>
      </c>
      <c r="N4916" s="86"/>
      <c r="O4916" s="453" t="str">
        <f t="shared" si="1458"/>
        <v/>
      </c>
      <c r="P4916" s="538" t="str">
        <f t="shared" si="1459"/>
        <v/>
      </c>
      <c r="Q4916" s="539" t="str">
        <f t="shared" si="1457"/>
        <v/>
      </c>
      <c r="R4916" s="706"/>
      <c r="S4916" s="707"/>
      <c r="T4916" s="708"/>
      <c r="U4916" s="472"/>
      <c r="V4916" s="166"/>
      <c r="W4916" s="446"/>
      <c r="X4916" s="456"/>
      <c r="Y4916" s="436"/>
      <c r="Z4916" s="437"/>
      <c r="AA4916" s="560"/>
      <c r="AB4916" s="561"/>
      <c r="AC4916" s="87"/>
      <c r="AD4916" s="466"/>
      <c r="AE4916" s="456"/>
      <c r="AF4916" s="467"/>
      <c r="AG4916" s="87"/>
      <c r="AH4916" s="87"/>
      <c r="AI4916" s="87"/>
    </row>
    <row r="4917" spans="1:35" hidden="1">
      <c r="A4917" s="80" t="e">
        <f>"E"&amp;E4909</f>
        <v>#N/A</v>
      </c>
      <c r="B4917" s="105">
        <v>5</v>
      </c>
      <c r="C4917" s="107"/>
      <c r="D4917" s="107"/>
      <c r="E4917" s="107"/>
      <c r="F4917" s="107"/>
      <c r="G4917" s="83"/>
      <c r="H4917" s="83"/>
      <c r="I4917" s="84"/>
      <c r="J4917" s="85"/>
      <c r="K4917" s="382"/>
      <c r="L4917" s="85"/>
      <c r="M4917" s="332" t="str">
        <f t="shared" si="1456"/>
        <v/>
      </c>
      <c r="N4917" s="86"/>
      <c r="O4917" s="453" t="str">
        <f t="shared" si="1458"/>
        <v/>
      </c>
      <c r="P4917" s="538" t="str">
        <f t="shared" si="1459"/>
        <v/>
      </c>
      <c r="Q4917" s="539" t="str">
        <f t="shared" si="1457"/>
        <v/>
      </c>
      <c r="R4917" s="706"/>
      <c r="S4917" s="707"/>
      <c r="T4917" s="708"/>
      <c r="U4917" s="472"/>
      <c r="V4917" s="167"/>
      <c r="W4917" s="446"/>
      <c r="X4917" s="456"/>
      <c r="Y4917" s="436"/>
      <c r="Z4917" s="437"/>
      <c r="AA4917" s="560"/>
      <c r="AB4917" s="561"/>
      <c r="AC4917" s="87"/>
      <c r="AD4917" s="466"/>
      <c r="AE4917" s="456"/>
      <c r="AF4917" s="467"/>
      <c r="AG4917" s="87"/>
      <c r="AH4917" s="87"/>
      <c r="AI4917" s="87"/>
    </row>
    <row r="4918" spans="1:35" hidden="1">
      <c r="A4918" s="80" t="e">
        <f>"F"&amp;E4909</f>
        <v>#N/A</v>
      </c>
      <c r="B4918" s="105">
        <v>6</v>
      </c>
      <c r="C4918" s="107"/>
      <c r="D4918" s="107"/>
      <c r="E4918" s="107"/>
      <c r="F4918" s="107"/>
      <c r="G4918" s="83"/>
      <c r="H4918" s="83"/>
      <c r="I4918" s="84"/>
      <c r="J4918" s="85"/>
      <c r="K4918" s="382"/>
      <c r="L4918" s="85"/>
      <c r="M4918" s="332" t="str">
        <f t="shared" si="1456"/>
        <v/>
      </c>
      <c r="N4918" s="86"/>
      <c r="O4918" s="453" t="str">
        <f t="shared" si="1458"/>
        <v/>
      </c>
      <c r="P4918" s="538" t="str">
        <f t="shared" si="1459"/>
        <v/>
      </c>
      <c r="Q4918" s="539" t="str">
        <f t="shared" si="1457"/>
        <v/>
      </c>
      <c r="R4918" s="706"/>
      <c r="S4918" s="707"/>
      <c r="T4918" s="708"/>
      <c r="U4918" s="472"/>
      <c r="V4918" s="167"/>
      <c r="W4918" s="446"/>
      <c r="X4918" s="456"/>
      <c r="Y4918" s="436"/>
      <c r="Z4918" s="437"/>
      <c r="AA4918" s="560"/>
      <c r="AB4918" s="561"/>
      <c r="AC4918" s="87"/>
      <c r="AD4918" s="466"/>
      <c r="AE4918" s="456"/>
      <c r="AF4918" s="467"/>
      <c r="AG4918" s="87"/>
      <c r="AH4918" s="87"/>
      <c r="AI4918" s="87"/>
    </row>
    <row r="4919" spans="1:35" hidden="1">
      <c r="A4919" s="80" t="e">
        <f>"G"&amp;E4909</f>
        <v>#N/A</v>
      </c>
      <c r="B4919" s="105">
        <v>7</v>
      </c>
      <c r="C4919" s="107"/>
      <c r="D4919" s="107"/>
      <c r="E4919" s="107"/>
      <c r="F4919" s="107"/>
      <c r="G4919" s="83"/>
      <c r="H4919" s="83"/>
      <c r="I4919" s="84"/>
      <c r="J4919" s="85"/>
      <c r="K4919" s="382"/>
      <c r="L4919" s="85"/>
      <c r="M4919" s="332" t="str">
        <f t="shared" si="1456"/>
        <v/>
      </c>
      <c r="N4919" s="86"/>
      <c r="O4919" s="86" t="str">
        <f t="shared" si="1458"/>
        <v/>
      </c>
      <c r="P4919" s="538" t="str">
        <f t="shared" si="1459"/>
        <v/>
      </c>
      <c r="Q4919" s="539" t="str">
        <f t="shared" si="1457"/>
        <v/>
      </c>
      <c r="R4919" s="706"/>
      <c r="S4919" s="707"/>
      <c r="T4919" s="708"/>
      <c r="U4919" s="472"/>
      <c r="V4919" s="167"/>
      <c r="W4919" s="446"/>
      <c r="X4919" s="456"/>
      <c r="Y4919" s="436"/>
      <c r="Z4919" s="437"/>
      <c r="AA4919" s="560"/>
      <c r="AB4919" s="561"/>
      <c r="AC4919" s="87"/>
      <c r="AD4919" s="466"/>
      <c r="AE4919" s="456"/>
      <c r="AF4919" s="467"/>
      <c r="AG4919" s="87"/>
      <c r="AH4919" s="87"/>
      <c r="AI4919" s="87"/>
    </row>
    <row r="4920" spans="1:35" hidden="1">
      <c r="A4920" s="80" t="e">
        <f>"H"&amp;E4909</f>
        <v>#N/A</v>
      </c>
      <c r="B4920" s="105">
        <v>8</v>
      </c>
      <c r="C4920" s="107"/>
      <c r="D4920" s="107"/>
      <c r="E4920" s="107"/>
      <c r="F4920" s="107"/>
      <c r="G4920" s="83"/>
      <c r="H4920" s="83"/>
      <c r="I4920" s="84"/>
      <c r="J4920" s="85"/>
      <c r="K4920" s="382"/>
      <c r="L4920" s="85"/>
      <c r="M4920" s="332" t="str">
        <f t="shared" si="1456"/>
        <v/>
      </c>
      <c r="N4920" s="453"/>
      <c r="O4920" s="86" t="str">
        <f t="shared" si="1458"/>
        <v/>
      </c>
      <c r="P4920" s="538" t="str">
        <f t="shared" si="1459"/>
        <v/>
      </c>
      <c r="Q4920" s="539" t="str">
        <f t="shared" si="1457"/>
        <v/>
      </c>
      <c r="R4920" s="706"/>
      <c r="S4920" s="707"/>
      <c r="T4920" s="708"/>
      <c r="U4920" s="472"/>
      <c r="V4920" s="167"/>
      <c r="W4920" s="446"/>
      <c r="X4920" s="456"/>
      <c r="Y4920" s="436"/>
      <c r="Z4920" s="437"/>
      <c r="AA4920" s="560"/>
      <c r="AB4920" s="561"/>
      <c r="AC4920" s="87"/>
      <c r="AD4920" s="466"/>
      <c r="AE4920" s="456"/>
      <c r="AF4920" s="467"/>
      <c r="AG4920" s="87"/>
      <c r="AH4920" s="87"/>
      <c r="AI4920" s="87"/>
    </row>
    <row r="4921" spans="1:35" hidden="1">
      <c r="A4921" s="80" t="e">
        <f>"I"&amp;E4909</f>
        <v>#N/A</v>
      </c>
      <c r="B4921" s="105">
        <v>9</v>
      </c>
      <c r="C4921" s="107"/>
      <c r="D4921" s="107"/>
      <c r="E4921" s="107"/>
      <c r="F4921" s="107"/>
      <c r="G4921" s="83"/>
      <c r="H4921" s="83"/>
      <c r="I4921" s="84"/>
      <c r="J4921" s="85"/>
      <c r="K4921" s="382"/>
      <c r="L4921" s="85"/>
      <c r="M4921" s="332" t="str">
        <f t="shared" si="1456"/>
        <v/>
      </c>
      <c r="N4921" s="453"/>
      <c r="O4921" s="86" t="str">
        <f t="shared" si="1458"/>
        <v/>
      </c>
      <c r="P4921" s="538" t="str">
        <f t="shared" si="1459"/>
        <v/>
      </c>
      <c r="Q4921" s="539" t="str">
        <f t="shared" si="1457"/>
        <v/>
      </c>
      <c r="R4921" s="706"/>
      <c r="S4921" s="707"/>
      <c r="T4921" s="708"/>
      <c r="U4921" s="472"/>
      <c r="V4921" s="167"/>
      <c r="W4921" s="446"/>
      <c r="X4921" s="456"/>
      <c r="Y4921" s="436"/>
      <c r="Z4921" s="437"/>
      <c r="AA4921" s="560"/>
      <c r="AB4921" s="561"/>
      <c r="AC4921" s="87"/>
      <c r="AD4921" s="466"/>
      <c r="AE4921" s="456"/>
      <c r="AF4921" s="467"/>
      <c r="AG4921" s="87"/>
      <c r="AH4921" s="87"/>
      <c r="AI4921" s="87"/>
    </row>
    <row r="4922" spans="1:35" hidden="1">
      <c r="A4922" s="80" t="e">
        <f>"J"&amp;E4909</f>
        <v>#N/A</v>
      </c>
      <c r="B4922" s="105">
        <v>10</v>
      </c>
      <c r="C4922" s="107"/>
      <c r="D4922" s="107"/>
      <c r="E4922" s="107"/>
      <c r="F4922" s="107"/>
      <c r="G4922" s="83"/>
      <c r="H4922" s="83"/>
      <c r="I4922" s="84"/>
      <c r="J4922" s="85"/>
      <c r="K4922" s="382"/>
      <c r="L4922" s="85"/>
      <c r="M4922" s="332" t="str">
        <f t="shared" si="1456"/>
        <v/>
      </c>
      <c r="N4922" s="453"/>
      <c r="O4922" s="86" t="str">
        <f t="shared" si="1458"/>
        <v/>
      </c>
      <c r="P4922" s="538" t="str">
        <f t="shared" si="1459"/>
        <v/>
      </c>
      <c r="Q4922" s="539" t="str">
        <f t="shared" si="1457"/>
        <v/>
      </c>
      <c r="R4922" s="706"/>
      <c r="S4922" s="707"/>
      <c r="T4922" s="708"/>
      <c r="U4922" s="472"/>
      <c r="V4922" s="167"/>
      <c r="W4922" s="446"/>
      <c r="X4922" s="456"/>
      <c r="Y4922" s="436"/>
      <c r="Z4922" s="437"/>
      <c r="AA4922" s="560"/>
      <c r="AB4922" s="561"/>
      <c r="AC4922" s="87"/>
      <c r="AD4922" s="466"/>
      <c r="AE4922" s="456"/>
      <c r="AF4922" s="467"/>
      <c r="AG4922" s="87"/>
      <c r="AH4922" s="87"/>
      <c r="AI4922" s="87"/>
    </row>
    <row r="4923" spans="1:35" ht="16.5" hidden="1" thickBot="1">
      <c r="A4923" s="44"/>
      <c r="B4923" s="89"/>
      <c r="C4923" s="90"/>
      <c r="D4923" s="90"/>
      <c r="E4923" s="90"/>
      <c r="F4923" s="90"/>
      <c r="G4923" s="90"/>
      <c r="H4923" s="90"/>
      <c r="I4923" s="90"/>
      <c r="J4923" s="90"/>
      <c r="K4923" s="90"/>
      <c r="L4923" s="90"/>
      <c r="M4923" s="90"/>
      <c r="N4923" s="90"/>
      <c r="O4923" s="90"/>
      <c r="P4923" s="90"/>
      <c r="Q4923" s="90"/>
      <c r="R4923" s="90"/>
      <c r="S4923" s="91"/>
      <c r="T4923" s="92"/>
      <c r="U4923" s="473"/>
      <c r="W4923" s="438"/>
      <c r="X4923" s="455"/>
      <c r="Y4923" s="439"/>
      <c r="Z4923" s="437"/>
      <c r="AA4923" s="530"/>
      <c r="AB4923" s="563"/>
      <c r="AC4923" s="87"/>
      <c r="AD4923" s="440"/>
      <c r="AE4923" s="441"/>
      <c r="AF4923" s="442"/>
      <c r="AG4923" s="49"/>
      <c r="AH4923" s="87"/>
      <c r="AI4923" s="87"/>
    </row>
    <row r="4924" spans="1:35" ht="16.5" hidden="1" thickBot="1">
      <c r="A4924" s="93"/>
      <c r="B4924" s="94"/>
      <c r="C4924" s="96"/>
      <c r="D4924" s="96"/>
      <c r="E4924" s="96"/>
      <c r="F4924" s="96"/>
      <c r="G4924" s="96"/>
      <c r="H4924" s="96"/>
      <c r="I4924" s="96"/>
      <c r="J4924" s="96"/>
      <c r="K4924" s="96"/>
      <c r="L4924" s="96"/>
      <c r="M4924" s="136"/>
      <c r="N4924" s="96"/>
      <c r="O4924" s="96"/>
      <c r="P4924" s="97"/>
      <c r="Q4924" s="97"/>
      <c r="R4924" s="98"/>
      <c r="S4924" s="95"/>
      <c r="T4924" s="99"/>
      <c r="U4924" s="469"/>
      <c r="AC4924" s="58"/>
      <c r="AG4924" s="58"/>
      <c r="AH4924" s="87"/>
      <c r="AI4924" s="87"/>
    </row>
    <row r="4925" spans="1:35" ht="16.5" hidden="1" thickBot="1">
      <c r="B4925" s="101"/>
      <c r="C4925" s="101"/>
      <c r="D4925" s="101"/>
      <c r="E4925" s="101"/>
      <c r="F4925" s="101"/>
      <c r="G4925" s="101"/>
      <c r="H4925" s="101"/>
      <c r="I4925" s="101"/>
      <c r="J4925" s="101"/>
      <c r="K4925" s="101"/>
      <c r="L4925" s="101"/>
      <c r="M4925" s="101"/>
      <c r="N4925" s="101"/>
      <c r="O4925" s="101"/>
      <c r="P4925" s="101"/>
      <c r="Q4925" s="101"/>
      <c r="R4925" s="101"/>
      <c r="S4925" s="101"/>
      <c r="U4925" s="50"/>
      <c r="AH4925" s="87"/>
      <c r="AI4925" s="87"/>
    </row>
    <row r="4926" spans="1:35" ht="16.5" hidden="1" customHeight="1" thickBot="1">
      <c r="A4926" s="44"/>
      <c r="B4926" s="705" t="s">
        <v>74</v>
      </c>
      <c r="C4926" s="705"/>
      <c r="D4926" s="705"/>
      <c r="E4926" s="705"/>
      <c r="F4926" s="705"/>
      <c r="G4926" s="705"/>
      <c r="H4926" s="705"/>
      <c r="I4926" s="705"/>
      <c r="J4926" s="705"/>
      <c r="K4926" s="705"/>
      <c r="L4926" s="705"/>
      <c r="M4926" s="705"/>
      <c r="N4926" s="705"/>
      <c r="O4926" s="705"/>
      <c r="P4926" s="705"/>
      <c r="Q4926" s="705"/>
      <c r="R4926" s="705"/>
      <c r="S4926" s="705"/>
      <c r="T4926" s="705"/>
      <c r="U4926" s="108"/>
      <c r="Y4926" s="532" t="s">
        <v>341</v>
      </c>
      <c r="AC4926" s="49"/>
      <c r="AD4926" s="687" t="s">
        <v>302</v>
      </c>
      <c r="AE4926" s="688"/>
      <c r="AF4926" s="689"/>
      <c r="AG4926" s="49"/>
      <c r="AH4926" s="87"/>
      <c r="AI4926" s="87"/>
    </row>
    <row r="4927" spans="1:35" ht="16.5" hidden="1" customHeight="1" thickBot="1">
      <c r="A4927" s="218" t="e">
        <f>"K"&amp;E4909</f>
        <v>#N/A</v>
      </c>
      <c r="B4927" s="701" t="s">
        <v>71</v>
      </c>
      <c r="C4927" s="751" t="s">
        <v>102</v>
      </c>
      <c r="D4927" s="751"/>
      <c r="E4927" s="751"/>
      <c r="F4927" s="751"/>
      <c r="G4927" s="751"/>
      <c r="H4927" s="751"/>
      <c r="I4927" s="751"/>
      <c r="J4927" s="751"/>
      <c r="K4927" s="751"/>
      <c r="L4927" s="722" t="s">
        <v>100</v>
      </c>
      <c r="M4927" s="747" t="s">
        <v>114</v>
      </c>
      <c r="N4927" s="747"/>
      <c r="O4927" s="747"/>
      <c r="P4927" s="747"/>
      <c r="Q4927" s="748"/>
      <c r="R4927" s="758" t="s">
        <v>280</v>
      </c>
      <c r="S4927" s="748"/>
      <c r="T4927" s="762" t="str">
        <f>IF(COUNTIF(AE4927:AF4927,"VERIFICAR")&gt;0,"VERIFICAR",IF(COUNTIF(AE4927:AF4927,"NO CUMPLE")&gt;0,"NO CUMPLE","CUMPLE"))</f>
        <v>VERIFICAR</v>
      </c>
      <c r="U4927" s="108"/>
      <c r="Y4927" s="533" t="e">
        <f>IF(F4928="","",IF(F4928=1,"INDIVIDUAL","ESTRUCTURA PLURAL"))</f>
        <v>#N/A</v>
      </c>
      <c r="AC4927" s="52"/>
      <c r="AD4927" s="475" t="s">
        <v>303</v>
      </c>
      <c r="AE4927" s="476" t="str">
        <f>IF(COUNTIF(AE4913:AE4922,"")=10,"VERIFICAR",IF(COUNTIF(AE4913:AE4922,"SI")&gt;0,"CUMPLE","NO CUMPLE"))</f>
        <v>VERIFICAR</v>
      </c>
      <c r="AF4927" s="477" t="str">
        <f>IF(COUNTIF(AF4913:AF4922,"")=10,"VERIFICAR",IF(COUNTIF(AF4913:AF4922,"SI")&gt;=$AI$22,"CUMPLE","NO CUMPLE"))</f>
        <v>VERIFICAR</v>
      </c>
      <c r="AG4927" s="52"/>
      <c r="AH4927" s="87"/>
      <c r="AI4927" s="87"/>
    </row>
    <row r="4928" spans="1:35" ht="15.75" hidden="1" customHeight="1" thickBot="1">
      <c r="A4928" s="218" t="e">
        <f>"L"&amp;E4909</f>
        <v>#N/A</v>
      </c>
      <c r="B4928" s="702"/>
      <c r="C4928" s="751" t="s">
        <v>103</v>
      </c>
      <c r="D4928" s="751"/>
      <c r="E4928" s="752"/>
      <c r="F4928" s="557" t="e">
        <f>IF(VLOOKUP(E4909,PROPONENTES!$C$19:$E$218,3,0)="","",VLOOKUP(E4909,PROPONENTES!$C$19:$E$218,3,0))</f>
        <v>#N/A</v>
      </c>
      <c r="G4928" s="753" t="s">
        <v>104</v>
      </c>
      <c r="H4928" s="751"/>
      <c r="I4928" s="715" t="e">
        <f>IF(OR(F4928="",F4928=1),"INTERESADO PERSONA NATURAL O JURIDICA","CONSORCIO O UNION TEMPORAL")</f>
        <v>#N/A</v>
      </c>
      <c r="J4928" s="725"/>
      <c r="K4928" s="728"/>
      <c r="L4928" s="723"/>
      <c r="M4928" s="749"/>
      <c r="N4928" s="749"/>
      <c r="O4928" s="749"/>
      <c r="P4928" s="749"/>
      <c r="Q4928" s="750"/>
      <c r="R4928" s="712"/>
      <c r="S4928" s="750"/>
      <c r="T4928" s="763"/>
      <c r="U4928" s="108"/>
      <c r="Y4928" s="534"/>
      <c r="AA4928" s="52"/>
      <c r="AB4928" s="52"/>
      <c r="AC4928" s="52"/>
      <c r="AG4928" s="52"/>
      <c r="AH4928" s="87"/>
      <c r="AI4928" s="87"/>
    </row>
    <row r="4929" spans="1:35" ht="56.25" hidden="1" customHeight="1" thickBot="1">
      <c r="A4929" s="218" t="e">
        <f>"M"&amp;E4909</f>
        <v>#N/A</v>
      </c>
      <c r="B4929" s="702"/>
      <c r="C4929" s="725" t="s">
        <v>101</v>
      </c>
      <c r="D4929" s="716"/>
      <c r="E4929" s="558" t="s">
        <v>105</v>
      </c>
      <c r="F4929" s="554" t="s">
        <v>87</v>
      </c>
      <c r="G4929" s="553" t="s">
        <v>86</v>
      </c>
      <c r="H4929" s="559" t="s">
        <v>85</v>
      </c>
      <c r="I4929" s="554" t="s">
        <v>252</v>
      </c>
      <c r="J4929" s="553" t="str">
        <f>"¿EL INTEGRANTE TIENE UNA PARTICIPACIÓN DEL "&amp;PORCREQUERIDOINT*100&amp;"%?"</f>
        <v>¿EL INTEGRANTE TIENE UNA PARTICIPACIÓN DEL 60%?</v>
      </c>
      <c r="K4929" s="554" t="s">
        <v>107</v>
      </c>
      <c r="L4929" s="724"/>
      <c r="M4929" s="717" t="s">
        <v>115</v>
      </c>
      <c r="N4929" s="718"/>
      <c r="O4929" s="718"/>
      <c r="P4929" s="718"/>
      <c r="Q4929" s="223">
        <f>IF(AND(H4913="SI",P4913&gt;=0),1,0)+IF(AND(H4914="SI",P4914&gt;=0),1,0)+IF(AND(H4915="SI",P4915&gt;=0),1,0)+IF(AND(H4916="SI",P4916&gt;=0),1,0)+IF(AND(H4917="SI",P4917&gt;=0),1,0)+IF(AND(H4918="SI",P4918&gt;=0),1,0)+IF(AND(H4919="SI",P4919&gt;=0),1,0)+IF(AND(H4920="SI",P4920&gt;=0),1,0)+IF(AND(H4921="SI",P4921&gt;=0),1,0)+IF(AND(H4922="SI",P4922&gt;=0),1,0)</f>
        <v>0</v>
      </c>
      <c r="R4929" s="759"/>
      <c r="S4929" s="761"/>
      <c r="T4929" s="764"/>
      <c r="U4929" s="219"/>
      <c r="V4929" s="464"/>
      <c r="Y4929" s="532" t="s">
        <v>342</v>
      </c>
      <c r="AA4929" s="550" t="s">
        <v>344</v>
      </c>
      <c r="AB4929" s="693" t="s">
        <v>345</v>
      </c>
      <c r="AC4929" s="693" t="s">
        <v>346</v>
      </c>
      <c r="AD4929" s="685" t="s">
        <v>347</v>
      </c>
      <c r="AE4929" s="52"/>
      <c r="AF4929" s="52"/>
      <c r="AG4929" s="52"/>
      <c r="AH4929" s="87"/>
      <c r="AI4929" s="87"/>
    </row>
    <row r="4930" spans="1:35" ht="15.75" hidden="1" customHeight="1" thickBot="1">
      <c r="A4930" s="218" t="e">
        <f>"N"&amp;E4909</f>
        <v>#N/A</v>
      </c>
      <c r="B4930" s="702"/>
      <c r="C4930" s="114">
        <v>1</v>
      </c>
      <c r="D4930" s="194" t="e">
        <f>IF(AND(C4930&lt;=F4928,F4928&gt;1,F4928&lt;&gt;""),VLOOKUP(VALUE(E4909&amp;","&amp;C4930),INTEGRANTES!$D$18:$F$235,2,0),"")</f>
        <v>#N/A</v>
      </c>
      <c r="E4930" s="211" t="e">
        <f>IF(D4930&lt;&gt;"",VLOOKUP(VALUE(E4909&amp;","&amp;C4930),INTEGRANTES!$D$18:$F$235,3,0),"")</f>
        <v>#N/A</v>
      </c>
      <c r="F4930" s="547" t="e">
        <f>IF(D4930="","",SUMIF($I4913:$I4922,D4930,$P4913:$P4922))</f>
        <v>#N/A</v>
      </c>
      <c r="G4930" s="333" t="e">
        <f>IF(D4930="","",SUMIF($I4913:$I4922,D4930,$M4913:$M4922))</f>
        <v>#N/A</v>
      </c>
      <c r="H4930" s="535" t="e">
        <f t="shared" ref="H4930:H4935" si="1460">IF(D4930="","",IF(OR(F4930=0,G4930=0),"NO APORTA",ROUND($F4930/$G4930,3)))</f>
        <v>#N/A</v>
      </c>
      <c r="I4930" s="212" t="e">
        <f>IF(D4930="","",IF(H4930="NO APORTA","NO",IF(H4930=MAX($H4930:$H4935),"SI","NO")))</f>
        <v>#N/A</v>
      </c>
      <c r="J4930" s="213" t="e">
        <f t="shared" ref="J4930:J4935" si="1461">IF(D4930="","",IF(E4930&gt;=PORCREQUERIDOINT,"SI","NO"))</f>
        <v>#N/A</v>
      </c>
      <c r="K4930" s="200" t="e">
        <f t="shared" ref="K4930:K4935" si="1462">IF(D4930="","",IF(AND(I4930="SI",J4930="SI"),"CUMPLE",IF(AND(I4930="NO",OR(J4930="SI",J4930="NO")),"","NO CUMPLE")))</f>
        <v>#N/A</v>
      </c>
      <c r="L4930" s="722" t="s">
        <v>108</v>
      </c>
      <c r="M4930" s="726" t="s">
        <v>119</v>
      </c>
      <c r="N4930" s="726"/>
      <c r="O4930" s="726"/>
      <c r="P4930" s="726"/>
      <c r="Q4930" s="727"/>
      <c r="R4930" s="758" t="s">
        <v>80</v>
      </c>
      <c r="S4930" s="747"/>
      <c r="T4930" s="748"/>
      <c r="U4930" s="219"/>
      <c r="V4930" s="464"/>
      <c r="Y4930" s="533" t="e">
        <f>IF(Y4927="","",IF(Y4927="INDIVIDUAL","NO APLICA","VERIFICAR CUADRO"))</f>
        <v>#N/A</v>
      </c>
      <c r="AA4930" s="551"/>
      <c r="AB4930" s="694"/>
      <c r="AC4930" s="694"/>
      <c r="AD4930" s="686"/>
      <c r="AE4930" s="52"/>
      <c r="AF4930" s="52"/>
      <c r="AG4930" s="52"/>
      <c r="AH4930" s="87"/>
      <c r="AI4930" s="87"/>
    </row>
    <row r="4931" spans="1:35" ht="27" hidden="1" customHeight="1" thickBot="1">
      <c r="A4931" s="218" t="e">
        <f>"O"&amp;E4909</f>
        <v>#N/A</v>
      </c>
      <c r="B4931" s="702"/>
      <c r="C4931" s="114">
        <v>2</v>
      </c>
      <c r="D4931" s="194" t="e">
        <f>IF(AND(C4931&lt;=F4928,F4928&lt;&gt;""),VLOOKUP(VALUE(E4909&amp;","&amp;C4931),INTEGRANTES!$D$18:$F$235,2,0),"")</f>
        <v>#N/A</v>
      </c>
      <c r="E4931" s="211" t="e">
        <f>IF(D4931&lt;&gt;"",VLOOKUP(VALUE(E4909&amp;","&amp;C4931),INTEGRANTES!$D$18:$F$235,3,0),"")</f>
        <v>#N/A</v>
      </c>
      <c r="F4931" s="547" t="e">
        <f>IF(D4931="","",SUMIF($I4913:$I4922,D4931,$P4913:$P4922))</f>
        <v>#N/A</v>
      </c>
      <c r="G4931" s="333" t="e">
        <f>IF(D4931="","",SUMIF($I4913:$I4922,D4931,$M4913:$M4922))</f>
        <v>#N/A</v>
      </c>
      <c r="H4931" s="535" t="e">
        <f t="shared" si="1460"/>
        <v>#N/A</v>
      </c>
      <c r="I4931" s="212" t="e">
        <f>IF(D4931="","",IF(H4931="NO APORTA","NO",IF(H4931=MAX($H4930:$H4935),"SI","NO")))</f>
        <v>#N/A</v>
      </c>
      <c r="J4931" s="213" t="e">
        <f t="shared" si="1461"/>
        <v>#N/A</v>
      </c>
      <c r="K4931" s="200" t="e">
        <f t="shared" si="1462"/>
        <v>#N/A</v>
      </c>
      <c r="L4931" s="723"/>
      <c r="M4931" s="715" t="s">
        <v>116</v>
      </c>
      <c r="N4931" s="716"/>
      <c r="O4931" s="556" t="s">
        <v>113</v>
      </c>
      <c r="P4931" s="715" t="s">
        <v>117</v>
      </c>
      <c r="Q4931" s="728"/>
      <c r="R4931" s="759"/>
      <c r="S4931" s="760"/>
      <c r="T4931" s="761"/>
      <c r="U4931" s="219"/>
      <c r="V4931" s="464"/>
      <c r="Y4931" s="414"/>
      <c r="AA4931" s="542" t="e">
        <f>IF(AND(C4930&lt;=F4928,F4928&gt;1,F4928&lt;&gt;""),VLOOKUP(VALUE(E4909&amp;","&amp;C4930),INTEGRANTES!$D$18:$F$235,2,0),"")</f>
        <v>#N/A</v>
      </c>
      <c r="AB4931" s="544" t="e">
        <f t="shared" ref="AB4931:AB4936" si="1463">IF(D4930="","",IF(OR(F4930=0,G4930=0),"NO APORTA",ROUND($F4930/$G4930,3)))</f>
        <v>#N/A</v>
      </c>
      <c r="AC4931" s="529"/>
      <c r="AD4931" s="200" t="e">
        <f t="shared" ref="AD4931:AD4936" si="1464">IF(OR(AA4931="",AB4931=""),"",IF(AND(AC4931="X",AB4931&gt;=EXPREQVTD),"CUMPLE","NO CUMPLE"))</f>
        <v>#N/A</v>
      </c>
      <c r="AE4931" s="52"/>
      <c r="AF4931" s="52"/>
      <c r="AG4931" s="52"/>
      <c r="AH4931" s="87"/>
      <c r="AI4931" s="87"/>
    </row>
    <row r="4932" spans="1:35" ht="16.5" hidden="1" thickBot="1">
      <c r="A4932" s="218" t="e">
        <f>"P"&amp;E4909</f>
        <v>#N/A</v>
      </c>
      <c r="B4932" s="702"/>
      <c r="C4932" s="114">
        <v>3</v>
      </c>
      <c r="D4932" s="194" t="e">
        <f>IF(AND(C4932&lt;=F4928,F4928&lt;&gt;""),VLOOKUP(VALUE(E4909&amp;","&amp;C4932),INTEGRANTES!$D$18:$F$235,2,0),"")</f>
        <v>#N/A</v>
      </c>
      <c r="E4932" s="211" t="e">
        <f>IF(D4932&lt;&gt;"",VLOOKUP(VALUE(E4909&amp;","&amp;C4932),INTEGRANTES!$D$18:$F$235,3,0),"")</f>
        <v>#N/A</v>
      </c>
      <c r="F4932" s="547" t="e">
        <f>IF(D4932="","",SUMIF($I4913:$I4922,D4932,$P4913:$P4922))</f>
        <v>#N/A</v>
      </c>
      <c r="G4932" s="333" t="e">
        <f>IF(D4932="","",SUMIF($I4913:$I4922,D4932,$M4913:$M4922))</f>
        <v>#N/A</v>
      </c>
      <c r="H4932" s="535" t="e">
        <f t="shared" si="1460"/>
        <v>#N/A</v>
      </c>
      <c r="I4932" s="212" t="e">
        <f>IF(D4932="","",IF(H4932="NO APORTA","NO",IF(H4932=MAX($H4930:$H4935),"SI","NO")))</f>
        <v>#N/A</v>
      </c>
      <c r="J4932" s="213" t="e">
        <f t="shared" si="1461"/>
        <v>#N/A</v>
      </c>
      <c r="K4932" s="200" t="e">
        <f t="shared" si="1462"/>
        <v>#N/A</v>
      </c>
      <c r="L4932" s="724"/>
      <c r="M4932" s="729">
        <f>NUMMOD</f>
        <v>1</v>
      </c>
      <c r="N4932" s="730"/>
      <c r="O4932" s="443">
        <f>IF(M4932="","",VLOOKUP(M4932,PRESUPUESTOS!$B$16:$H$16,5,FALSE))</f>
        <v>2</v>
      </c>
      <c r="P4932" s="713">
        <f>IF(OR(COUNTIF(M4913:M4922,"")&gt;=10,Q4929&lt;NUMMINCONT,OR(T4927="NO CUMPLE",T4927="VERIFICAR")),0,ROUND(AVERAGE(M4913:M4922),3))</f>
        <v>0</v>
      </c>
      <c r="Q4932" s="714"/>
      <c r="R4932" s="458"/>
      <c r="S4932" s="459"/>
      <c r="T4932" s="460"/>
      <c r="U4932" s="219"/>
      <c r="V4932" s="464"/>
      <c r="Y4932" s="532" t="str">
        <f>"40% * ("&amp;PRESUPUESTOS!$H$13&amp;")"</f>
        <v>40% * (50% PFMO)</v>
      </c>
      <c r="AA4932" s="540" t="e">
        <f>IF(AND(C4931&lt;=F4928,F4928&lt;&gt;""),VLOOKUP(VALUE(E4909&amp;","&amp;C4931),INTEGRANTES!$D$18:$F$235,2,0),"")</f>
        <v>#N/A</v>
      </c>
      <c r="AB4932" s="545" t="e">
        <f t="shared" si="1463"/>
        <v>#N/A</v>
      </c>
      <c r="AC4932" s="529"/>
      <c r="AD4932" s="200" t="e">
        <f t="shared" si="1464"/>
        <v>#N/A</v>
      </c>
      <c r="AE4932" s="52"/>
      <c r="AF4932" s="52"/>
      <c r="AG4932" s="52"/>
      <c r="AH4932" s="87"/>
      <c r="AI4932" s="87"/>
    </row>
    <row r="4933" spans="1:35" ht="15.75" hidden="1" customHeight="1" thickBot="1">
      <c r="A4933" s="218" t="e">
        <f>"Q"&amp;E4909</f>
        <v>#N/A</v>
      </c>
      <c r="B4933" s="702"/>
      <c r="C4933" s="114">
        <v>4</v>
      </c>
      <c r="D4933" s="194" t="e">
        <f>IF(AND(C4933&lt;=F4928,F4928&lt;&gt;""),VLOOKUP(VALUE(E4909&amp;","&amp;C4933),INTEGRANTES!$D$18:$F$235,2,0),"")</f>
        <v>#N/A</v>
      </c>
      <c r="E4933" s="211" t="e">
        <f>IF(D4933&lt;&gt;"",VLOOKUP(VALUE(E4909&amp;","&amp;C4933),INTEGRANTES!$D$18:$F$235,3,0),"")</f>
        <v>#N/A</v>
      </c>
      <c r="F4933" s="547" t="e">
        <f>IF(D4933="","",SUMIF($I4913:$I4922,D4933,$P4913:$P4922))</f>
        <v>#N/A</v>
      </c>
      <c r="G4933" s="333" t="e">
        <f>IF(D4933="","",SUMIF($I4913:$I4922,D4933,$M4913:$M4922))</f>
        <v>#N/A</v>
      </c>
      <c r="H4933" s="535" t="e">
        <f t="shared" si="1460"/>
        <v>#N/A</v>
      </c>
      <c r="I4933" s="212" t="e">
        <f>IF(D4933="","",IF(H4933="NO APORTA","NO",IF(H4933=MAX($H4930:$H4935),"SI","NO")))</f>
        <v>#N/A</v>
      </c>
      <c r="J4933" s="213" t="e">
        <f t="shared" si="1461"/>
        <v>#N/A</v>
      </c>
      <c r="K4933" s="200" t="e">
        <f t="shared" si="1462"/>
        <v>#N/A</v>
      </c>
      <c r="L4933" s="720" t="s">
        <v>109</v>
      </c>
      <c r="M4933" s="757" t="s">
        <v>120</v>
      </c>
      <c r="N4933" s="726"/>
      <c r="O4933" s="726"/>
      <c r="P4933" s="726"/>
      <c r="Q4933" s="727"/>
      <c r="R4933" s="458"/>
      <c r="S4933" s="459"/>
      <c r="T4933" s="460"/>
      <c r="U4933" s="219"/>
      <c r="V4933" s="464"/>
      <c r="Y4933" s="537">
        <f>0.4*PRESUPUESTOS!$H$16</f>
        <v>10.3124</v>
      </c>
      <c r="AA4933" s="540" t="e">
        <f>IF(AND(C4932&lt;=F4928,F4928&lt;&gt;""),VLOOKUP(VALUE(E4909&amp;","&amp;C4932),INTEGRANTES!$D$18:$F$235,2,0),"")</f>
        <v>#N/A</v>
      </c>
      <c r="AB4933" s="545" t="e">
        <f t="shared" si="1463"/>
        <v>#N/A</v>
      </c>
      <c r="AC4933" s="529"/>
      <c r="AD4933" s="200" t="e">
        <f t="shared" si="1464"/>
        <v>#N/A</v>
      </c>
      <c r="AE4933" s="52"/>
      <c r="AF4933" s="52"/>
      <c r="AG4933" s="52"/>
      <c r="AH4933" s="87"/>
      <c r="AI4933" s="87"/>
    </row>
    <row r="4934" spans="1:35" ht="27" hidden="1" customHeight="1" thickBot="1">
      <c r="A4934" s="218" t="e">
        <f>"R"&amp;E4909</f>
        <v>#N/A</v>
      </c>
      <c r="B4934" s="702"/>
      <c r="C4934" s="114">
        <v>5</v>
      </c>
      <c r="D4934" s="194" t="e">
        <f>IF(AND(C4934&lt;=F4928,F4928&lt;&gt;""),VLOOKUP(VALUE(E4909&amp;","&amp;C4934),INTEGRANTES!$D$18:$F$235,2,0),"")</f>
        <v>#N/A</v>
      </c>
      <c r="E4934" s="211" t="e">
        <f>IF(D4934&lt;&gt;"",VLOOKUP(VALUE(E4909&amp;","&amp;C4934),INTEGRANTES!$D$18:$F$235,3,0),"")</f>
        <v>#N/A</v>
      </c>
      <c r="F4934" s="547" t="e">
        <f>IF(D4934="","",SUMIF($I4913:$I4922,D4934,$P4913:$P4922))</f>
        <v>#N/A</v>
      </c>
      <c r="G4934" s="333" t="e">
        <f>IF(D4934="","",SUMIF($I4913:$I4922,D4934,$M4913:$M4922))</f>
        <v>#N/A</v>
      </c>
      <c r="H4934" s="535" t="e">
        <f t="shared" si="1460"/>
        <v>#N/A</v>
      </c>
      <c r="I4934" s="212" t="e">
        <f>IF(D4934="","",IF(H4934="NO APORTA","NO",IF(H4934=MAX($H4930:$H4935),"SI","NO")))</f>
        <v>#N/A</v>
      </c>
      <c r="J4934" s="213" t="e">
        <f t="shared" si="1461"/>
        <v>#N/A</v>
      </c>
      <c r="K4934" s="200" t="e">
        <f t="shared" si="1462"/>
        <v>#N/A</v>
      </c>
      <c r="L4934" s="721"/>
      <c r="M4934" s="715" t="s">
        <v>116</v>
      </c>
      <c r="N4934" s="716"/>
      <c r="O4934" s="556" t="str">
        <f>PORCREQUERIDO*100&amp;"% PMFO DEL MÓDULO"</f>
        <v>50% PMFO DEL MÓDULO</v>
      </c>
      <c r="P4934" s="715" t="s">
        <v>118</v>
      </c>
      <c r="Q4934" s="728"/>
      <c r="R4934" s="458"/>
      <c r="S4934" s="459"/>
      <c r="T4934" s="460"/>
      <c r="U4934" s="219"/>
      <c r="V4934" s="464"/>
      <c r="Y4934" s="414"/>
      <c r="AA4934" s="540" t="e">
        <f>IF(AND(C4933&lt;=F4928,F4928&lt;&gt;""),VLOOKUP(VALUE(E4909&amp;","&amp;C4933),INTEGRANTES!$D$18:$F$235,2,0),"")</f>
        <v>#N/A</v>
      </c>
      <c r="AB4934" s="545" t="e">
        <f t="shared" si="1463"/>
        <v>#N/A</v>
      </c>
      <c r="AC4934" s="529"/>
      <c r="AD4934" s="200" t="e">
        <f t="shared" si="1464"/>
        <v>#N/A</v>
      </c>
      <c r="AE4934" s="52"/>
      <c r="AF4934" s="52"/>
      <c r="AG4934" s="52"/>
      <c r="AH4934" s="87"/>
      <c r="AI4934" s="87"/>
    </row>
    <row r="4935" spans="1:35" ht="16.5" hidden="1" thickBot="1">
      <c r="A4935" s="218" t="e">
        <f>"S"&amp;E4909</f>
        <v>#N/A</v>
      </c>
      <c r="B4935" s="702"/>
      <c r="C4935" s="215">
        <v>6</v>
      </c>
      <c r="D4935" s="216" t="e">
        <f>IF(AND(C4935&lt;=F4928,F4928&lt;&gt;""),VLOOKUP(VALUE(E4909&amp;","&amp;C4935),INTEGRANTES!$D$18:$F$235,2,0),"")</f>
        <v>#N/A</v>
      </c>
      <c r="E4935" s="217" t="e">
        <f>IF(D4935&lt;&gt;"",VLOOKUP(VALUE(E4909&amp;","&amp;C4935),INTEGRANTES!$D$18:$F$235,3,0),"")</f>
        <v>#N/A</v>
      </c>
      <c r="F4935" s="548" t="e">
        <f>IF(D4935="","",SUMIF($I4913:$I4922,D4935,$P4913:$P4922))</f>
        <v>#N/A</v>
      </c>
      <c r="G4935" s="334" t="e">
        <f>IF(D4935="","",SUMIF($I4913:$I4922,D4935,$M4913:$M4922))</f>
        <v>#N/A</v>
      </c>
      <c r="H4935" s="536" t="e">
        <f t="shared" si="1460"/>
        <v>#N/A</v>
      </c>
      <c r="I4935" s="214" t="e">
        <f>IF(D4935="","",IF(H4935="NO APORTA","NO",IF(H4935=MAX($H4930:$H4935),"SI","NO")))</f>
        <v>#N/A</v>
      </c>
      <c r="J4935" s="213" t="e">
        <f t="shared" si="1461"/>
        <v>#N/A</v>
      </c>
      <c r="K4935" s="200" t="e">
        <f t="shared" si="1462"/>
        <v>#N/A</v>
      </c>
      <c r="L4935" s="721"/>
      <c r="M4935" s="729">
        <f>NUMMOD</f>
        <v>1</v>
      </c>
      <c r="N4935" s="730"/>
      <c r="O4935" s="443">
        <f>IF(M4935="","",ROUND(VLOOKUP(M4935,PRESUPUESTOS!$B$16:$H$16,7,FALSE),3))</f>
        <v>25.780999999999999</v>
      </c>
      <c r="P4935" s="713">
        <f>IF(OR(COUNTIF(P4913:P4922,"")&gt;=10,Q4929&lt;NUMMINCONT,OR(T4927="NO CUMPLE",T4927="VERIFICAR")),0,ROUND((SUM(P4913:P4922)/SUM(M4913:M4922)),3))</f>
        <v>0</v>
      </c>
      <c r="Q4935" s="714"/>
      <c r="R4935" s="458"/>
      <c r="S4935" s="459"/>
      <c r="T4935" s="460"/>
      <c r="U4935" s="219"/>
      <c r="V4935" s="464"/>
      <c r="Y4935" s="532" t="s">
        <v>343</v>
      </c>
      <c r="AA4935" s="540" t="e">
        <f>IF(AND(C4934&lt;=F4928,F4928&lt;&gt;""),VLOOKUP(VALUE(E4909&amp;","&amp;C4934),INTEGRANTES!$D$18:$F$235,2,0),"")</f>
        <v>#N/A</v>
      </c>
      <c r="AB4935" s="545" t="e">
        <f t="shared" si="1463"/>
        <v>#N/A</v>
      </c>
      <c r="AC4935" s="529"/>
      <c r="AD4935" s="200" t="e">
        <f t="shared" si="1464"/>
        <v>#N/A</v>
      </c>
      <c r="AE4935" s="52"/>
      <c r="AF4935" s="52"/>
      <c r="AG4935" s="52"/>
      <c r="AH4935" s="87"/>
      <c r="AI4935" s="87"/>
    </row>
    <row r="4936" spans="1:35" ht="16.5" hidden="1" customHeight="1" thickBot="1">
      <c r="A4936" s="218" t="e">
        <f>"T"&amp;E4909</f>
        <v>#N/A</v>
      </c>
      <c r="B4936" s="703"/>
      <c r="C4936" s="719"/>
      <c r="D4936" s="719"/>
      <c r="E4936" s="719"/>
      <c r="F4936" s="719"/>
      <c r="G4936" s="719"/>
      <c r="H4936" s="719" t="s">
        <v>110</v>
      </c>
      <c r="I4936" s="719"/>
      <c r="J4936" s="719"/>
      <c r="K4936" s="201" t="str">
        <f>IF(COUNTIF(K4930:K4935,"")=6,"",IF(COUNTIF(K4930:K4935,"CUMPLE")&gt;0,"CUMPLE","NO CUMPLE"))</f>
        <v>NO CUMPLE</v>
      </c>
      <c r="L4936" s="754"/>
      <c r="M4936" s="755"/>
      <c r="N4936" s="755"/>
      <c r="O4936" s="755"/>
      <c r="P4936" s="755"/>
      <c r="Q4936" s="756"/>
      <c r="R4936" s="461"/>
      <c r="S4936" s="462"/>
      <c r="T4936" s="463"/>
      <c r="U4936" s="219"/>
      <c r="V4936" s="464"/>
      <c r="Y4936" s="549" t="e">
        <f>IF(Y4930="NO APLICA","NO APLICA",IF(COUNTIF(AD4931:AD4936,"CUMPLE")&gt;0,"CUMPLE","NO CUMPLE"))</f>
        <v>#N/A</v>
      </c>
      <c r="AA4936" s="541" t="e">
        <f>IF(AND(C4935&lt;=F4928,F4928&lt;&gt;""),VLOOKUP(VALUE(E4909&amp;","&amp;C4935),INTEGRANTES!$D$18:$F$235,2,0),"")</f>
        <v>#N/A</v>
      </c>
      <c r="AB4936" s="546" t="e">
        <f t="shared" si="1463"/>
        <v>#N/A</v>
      </c>
      <c r="AC4936" s="543"/>
      <c r="AD4936" s="201" t="e">
        <f t="shared" si="1464"/>
        <v>#N/A</v>
      </c>
      <c r="AE4936" s="52"/>
      <c r="AF4936" s="52"/>
      <c r="AG4936" s="52"/>
      <c r="AH4936" s="87"/>
      <c r="AI4936" s="87"/>
    </row>
    <row r="4937" spans="1:35" hidden="1">
      <c r="AH4937" s="87"/>
      <c r="AI4937" s="87"/>
    </row>
    <row r="4938" spans="1:35" hidden="1">
      <c r="AH4938" s="87"/>
      <c r="AI4938" s="87"/>
    </row>
    <row r="4939" spans="1:35" ht="24" hidden="1" thickBot="1">
      <c r="A4939" s="61">
        <v>165</v>
      </c>
      <c r="B4939" s="704" t="s">
        <v>51</v>
      </c>
      <c r="C4939" s="704"/>
      <c r="D4939" s="704"/>
      <c r="E4939" s="62" t="e">
        <f>VLOOKUP(A4939,PROPONENTES!$B$19:$E$218,2,FALSE)</f>
        <v>#N/A</v>
      </c>
      <c r="F4939" s="63" t="e">
        <f>VLOOKUP(A4939,PROPONENTES!$B$19:$E$218,3,FALSE)</f>
        <v>#N/A</v>
      </c>
      <c r="G4939" s="64"/>
      <c r="H4939" s="64"/>
      <c r="I4939" s="63"/>
      <c r="J4939" s="63"/>
      <c r="K4939" s="65"/>
      <c r="L4939" s="65"/>
      <c r="M4939" s="64"/>
      <c r="N4939" s="64"/>
      <c r="O4939" s="66"/>
      <c r="P4939" s="66"/>
      <c r="Q4939" s="66"/>
      <c r="R4939" s="66"/>
      <c r="S4939" s="67"/>
      <c r="T4939" s="68"/>
      <c r="U4939" s="68"/>
      <c r="AC4939" s="68"/>
      <c r="AD4939" s="68"/>
      <c r="AE4939" s="68"/>
      <c r="AF4939" s="68"/>
      <c r="AG4939" s="68"/>
      <c r="AH4939" s="87"/>
      <c r="AI4939" s="87"/>
    </row>
    <row r="4940" spans="1:35" ht="15.75" hidden="1" customHeight="1">
      <c r="A4940" s="44"/>
      <c r="B4940" s="709" t="s">
        <v>59</v>
      </c>
      <c r="C4940" s="552" t="s">
        <v>60</v>
      </c>
      <c r="D4940" s="70" t="s">
        <v>17</v>
      </c>
      <c r="E4940" s="70"/>
      <c r="F4940" s="70" t="s">
        <v>61</v>
      </c>
      <c r="G4940" s="71"/>
      <c r="H4940" s="699" t="s">
        <v>62</v>
      </c>
      <c r="I4940" s="699" t="s">
        <v>18</v>
      </c>
      <c r="J4940" s="699" t="s">
        <v>63</v>
      </c>
      <c r="K4940" s="699" t="s">
        <v>64</v>
      </c>
      <c r="L4940" s="699" t="s">
        <v>65</v>
      </c>
      <c r="M4940" s="743" t="s">
        <v>66</v>
      </c>
      <c r="N4940" s="699" t="s">
        <v>282</v>
      </c>
      <c r="O4940" s="745" t="s">
        <v>67</v>
      </c>
      <c r="P4940" s="746"/>
      <c r="Q4940" s="102" t="s">
        <v>75</v>
      </c>
      <c r="R4940" s="731" t="s">
        <v>22</v>
      </c>
      <c r="S4940" s="732"/>
      <c r="T4940" s="733"/>
      <c r="U4940" s="712" t="s">
        <v>298</v>
      </c>
      <c r="W4940" s="690" t="s">
        <v>268</v>
      </c>
      <c r="X4940" s="691"/>
      <c r="Y4940" s="692"/>
      <c r="Z4940" s="428"/>
      <c r="AA4940" s="697" t="s">
        <v>315</v>
      </c>
      <c r="AB4940" s="695" t="s">
        <v>322</v>
      </c>
      <c r="AC4940" s="49"/>
      <c r="AD4940" s="690" t="s">
        <v>297</v>
      </c>
      <c r="AE4940" s="691"/>
      <c r="AF4940" s="692"/>
      <c r="AG4940" s="49"/>
      <c r="AH4940" s="87"/>
      <c r="AI4940" s="87"/>
    </row>
    <row r="4941" spans="1:35" ht="72" hidden="1">
      <c r="A4941" s="44"/>
      <c r="B4941" s="710"/>
      <c r="C4941" s="553" t="s">
        <v>68</v>
      </c>
      <c r="D4941" s="73" t="s">
        <v>3</v>
      </c>
      <c r="E4941" s="73" t="s">
        <v>19</v>
      </c>
      <c r="F4941" s="73" t="s">
        <v>69</v>
      </c>
      <c r="G4941" s="74" t="s">
        <v>70</v>
      </c>
      <c r="H4941" s="700"/>
      <c r="I4941" s="700"/>
      <c r="J4941" s="700"/>
      <c r="K4941" s="700"/>
      <c r="L4941" s="700"/>
      <c r="M4941" s="744"/>
      <c r="N4941" s="700"/>
      <c r="O4941" s="553" t="s">
        <v>279</v>
      </c>
      <c r="P4941" s="73" t="s">
        <v>88</v>
      </c>
      <c r="Q4941" s="555" t="s">
        <v>76</v>
      </c>
      <c r="R4941" s="734"/>
      <c r="S4941" s="735"/>
      <c r="T4941" s="736"/>
      <c r="U4941" s="712"/>
      <c r="W4941" s="429" t="s">
        <v>269</v>
      </c>
      <c r="X4941" s="457" t="s">
        <v>278</v>
      </c>
      <c r="Y4941" s="430" t="s">
        <v>324</v>
      </c>
      <c r="Z4941" s="428"/>
      <c r="AA4941" s="698"/>
      <c r="AB4941" s="696"/>
      <c r="AC4941" s="49"/>
      <c r="AD4941" s="429" t="s">
        <v>292</v>
      </c>
      <c r="AE4941" s="431" t="s">
        <v>300</v>
      </c>
      <c r="AF4941" s="468" t="s">
        <v>301</v>
      </c>
      <c r="AG4941" s="49"/>
      <c r="AH4941" s="87"/>
      <c r="AI4941" s="87"/>
    </row>
    <row r="4942" spans="1:35" hidden="1">
      <c r="A4942" s="44"/>
      <c r="B4942" s="76"/>
      <c r="C4942" s="77"/>
      <c r="D4942" s="77"/>
      <c r="E4942" s="77"/>
      <c r="F4942" s="77"/>
      <c r="G4942" s="77"/>
      <c r="H4942" s="77"/>
      <c r="I4942" s="77"/>
      <c r="J4942" s="77"/>
      <c r="K4942" s="77"/>
      <c r="L4942" s="77"/>
      <c r="M4942" s="77"/>
      <c r="N4942" s="77"/>
      <c r="O4942" s="77"/>
      <c r="P4942" s="77"/>
      <c r="Q4942" s="77"/>
      <c r="R4942" s="77"/>
      <c r="S4942" s="78"/>
      <c r="T4942" s="79"/>
      <c r="U4942" s="109"/>
      <c r="V4942" s="49"/>
      <c r="W4942" s="432"/>
      <c r="X4942" s="454"/>
      <c r="Y4942" s="433"/>
      <c r="Z4942" s="6"/>
      <c r="AA4942" s="500"/>
      <c r="AB4942" s="562"/>
      <c r="AC4942" s="49"/>
      <c r="AD4942" s="210"/>
      <c r="AE4942" s="434"/>
      <c r="AF4942" s="435"/>
      <c r="AG4942" s="49"/>
      <c r="AH4942" s="87"/>
      <c r="AI4942" s="87"/>
    </row>
    <row r="4943" spans="1:35" hidden="1">
      <c r="A4943" s="80" t="e">
        <f>"A"&amp;E4939</f>
        <v>#N/A</v>
      </c>
      <c r="B4943" s="81">
        <v>1</v>
      </c>
      <c r="C4943" s="82"/>
      <c r="D4943" s="82"/>
      <c r="E4943" s="82"/>
      <c r="F4943" s="82"/>
      <c r="G4943" s="83"/>
      <c r="H4943" s="83"/>
      <c r="I4943" s="84"/>
      <c r="J4943" s="85"/>
      <c r="K4943" s="382"/>
      <c r="L4943" s="85"/>
      <c r="M4943" s="332" t="str">
        <f t="shared" ref="M4943:M4952" si="1465">IF(OR(J4943="",L4943="",H4943="NO"),"",IF(OR(J4943&gt;$P$17,J4943&lt;$O$17,L4943&gt;$P$17,AND(J4943&lt;$O$17,L4943&lt;$O$17)),"FUERA DE RANGO",IF(OR(K4943="---",K4943=""),IF(J4943&gt;=$O$17,ROUND((L4943-J4943+1)/360*12,3),ROUND((L4943-$O$17+1)/360*12,3)),IF(J4943&gt;=$O$17,ROUND((L4943-J4943+1)/360*12-ROUND(K4943,3),3),ROUND((L4943-$O$17+1)/360*12-ROUND(K4943,3),3)))))</f>
        <v/>
      </c>
      <c r="N4943" s="86"/>
      <c r="O4943" s="453" t="str">
        <f>IF(OR(G4943="",N4943=""),"",N4943*G4943)</f>
        <v/>
      </c>
      <c r="P4943" s="538" t="str">
        <f>IF(OR(H4943="",M4943="FUERA DE RANGO"),"",IF(OR(L4943&lt;$O$17,L4943&gt;$P$17,L4943="",H4943="NO"),"",IF(OR(N4943="",O4943=""),"",ROUND(O4943,3))))</f>
        <v/>
      </c>
      <c r="Q4943" s="539" t="str">
        <f t="shared" ref="Q4943:Q4952" si="1466">IF(AND(H4943="SI",P4943&lt;&gt;""),ROUND(P4943/M4943,3),"")</f>
        <v/>
      </c>
      <c r="R4943" s="737"/>
      <c r="S4943" s="738"/>
      <c r="T4943" s="739"/>
      <c r="U4943" s="470"/>
      <c r="V4943" s="165"/>
      <c r="W4943" s="446"/>
      <c r="X4943" s="456"/>
      <c r="Y4943" s="436"/>
      <c r="Z4943" s="437"/>
      <c r="AA4943" s="560"/>
      <c r="AB4943" s="561"/>
      <c r="AC4943" s="87"/>
      <c r="AD4943" s="466"/>
      <c r="AE4943" s="456"/>
      <c r="AF4943" s="467"/>
      <c r="AG4943" s="87"/>
      <c r="AH4943" s="87"/>
      <c r="AI4943" s="87"/>
    </row>
    <row r="4944" spans="1:35" hidden="1">
      <c r="A4944" s="80" t="e">
        <f>"B"&amp;E4939</f>
        <v>#N/A</v>
      </c>
      <c r="B4944" s="81">
        <v>2</v>
      </c>
      <c r="C4944" s="106"/>
      <c r="D4944" s="106"/>
      <c r="E4944" s="106"/>
      <c r="F4944" s="106"/>
      <c r="G4944" s="83"/>
      <c r="H4944" s="83"/>
      <c r="I4944" s="84"/>
      <c r="J4944" s="85"/>
      <c r="K4944" s="382"/>
      <c r="L4944" s="85"/>
      <c r="M4944" s="332" t="str">
        <f t="shared" si="1465"/>
        <v/>
      </c>
      <c r="N4944" s="86"/>
      <c r="O4944" s="453" t="str">
        <f t="shared" ref="O4944:O4952" si="1467">IF(OR(G4944="",N4944=""),"",N4944*G4944)</f>
        <v/>
      </c>
      <c r="P4944" s="538" t="str">
        <f t="shared" ref="P4944:P4952" si="1468">IF(OR(H4944="",M4944="FUERA DE RANGO"),"",IF(OR(L4944&lt;$O$17,L4944&gt;$P$17,L4944="",H4944="NO"),"",IF(OR(N4944="",O4944=""),"",ROUND(O4944,3))))</f>
        <v/>
      </c>
      <c r="Q4944" s="539" t="str">
        <f t="shared" si="1466"/>
        <v/>
      </c>
      <c r="R4944" s="740"/>
      <c r="S4944" s="741"/>
      <c r="T4944" s="742"/>
      <c r="U4944" s="471"/>
      <c r="V4944" s="165"/>
      <c r="W4944" s="446"/>
      <c r="X4944" s="456"/>
      <c r="Y4944" s="436"/>
      <c r="Z4944" s="437"/>
      <c r="AA4944" s="560"/>
      <c r="AB4944" s="561"/>
      <c r="AC4944" s="87"/>
      <c r="AD4944" s="466"/>
      <c r="AE4944" s="456"/>
      <c r="AF4944" s="467"/>
      <c r="AG4944" s="87"/>
      <c r="AH4944" s="87"/>
      <c r="AI4944" s="87"/>
    </row>
    <row r="4945" spans="1:35" hidden="1">
      <c r="A4945" s="80" t="e">
        <f>"C"&amp;E4939</f>
        <v>#N/A</v>
      </c>
      <c r="B4945" s="88">
        <v>3</v>
      </c>
      <c r="C4945" s="82"/>
      <c r="D4945" s="82"/>
      <c r="E4945" s="82"/>
      <c r="F4945" s="82"/>
      <c r="G4945" s="83"/>
      <c r="H4945" s="83"/>
      <c r="I4945" s="84"/>
      <c r="J4945" s="85"/>
      <c r="K4945" s="382"/>
      <c r="L4945" s="85"/>
      <c r="M4945" s="332" t="str">
        <f t="shared" si="1465"/>
        <v/>
      </c>
      <c r="N4945" s="86"/>
      <c r="O4945" s="453" t="str">
        <f t="shared" si="1467"/>
        <v/>
      </c>
      <c r="P4945" s="538" t="str">
        <f t="shared" si="1468"/>
        <v/>
      </c>
      <c r="Q4945" s="539" t="str">
        <f t="shared" si="1466"/>
        <v/>
      </c>
      <c r="R4945" s="706"/>
      <c r="S4945" s="707"/>
      <c r="T4945" s="708"/>
      <c r="U4945" s="472"/>
      <c r="V4945" s="166"/>
      <c r="W4945" s="446"/>
      <c r="X4945" s="456"/>
      <c r="Y4945" s="436"/>
      <c r="Z4945" s="437"/>
      <c r="AA4945" s="560"/>
      <c r="AB4945" s="561"/>
      <c r="AC4945" s="87"/>
      <c r="AD4945" s="466"/>
      <c r="AE4945" s="456"/>
      <c r="AF4945" s="467"/>
      <c r="AG4945" s="87"/>
      <c r="AH4945" s="87"/>
      <c r="AI4945" s="87"/>
    </row>
    <row r="4946" spans="1:35" hidden="1">
      <c r="A4946" s="80" t="e">
        <f>"D"&amp;E4939</f>
        <v>#N/A</v>
      </c>
      <c r="B4946" s="105">
        <v>4</v>
      </c>
      <c r="C4946" s="107"/>
      <c r="D4946" s="107"/>
      <c r="E4946" s="107"/>
      <c r="F4946" s="107"/>
      <c r="G4946" s="83"/>
      <c r="H4946" s="83"/>
      <c r="I4946" s="84"/>
      <c r="J4946" s="85"/>
      <c r="K4946" s="382"/>
      <c r="L4946" s="85"/>
      <c r="M4946" s="332" t="str">
        <f t="shared" si="1465"/>
        <v/>
      </c>
      <c r="N4946" s="86"/>
      <c r="O4946" s="453" t="str">
        <f t="shared" si="1467"/>
        <v/>
      </c>
      <c r="P4946" s="538" t="str">
        <f t="shared" si="1468"/>
        <v/>
      </c>
      <c r="Q4946" s="539" t="str">
        <f t="shared" si="1466"/>
        <v/>
      </c>
      <c r="R4946" s="706"/>
      <c r="S4946" s="707"/>
      <c r="T4946" s="708"/>
      <c r="U4946" s="472"/>
      <c r="V4946" s="166"/>
      <c r="W4946" s="446"/>
      <c r="X4946" s="456"/>
      <c r="Y4946" s="436"/>
      <c r="Z4946" s="437"/>
      <c r="AA4946" s="560"/>
      <c r="AB4946" s="561"/>
      <c r="AC4946" s="87"/>
      <c r="AD4946" s="466"/>
      <c r="AE4946" s="456"/>
      <c r="AF4946" s="467"/>
      <c r="AG4946" s="87"/>
      <c r="AH4946" s="87"/>
      <c r="AI4946" s="87"/>
    </row>
    <row r="4947" spans="1:35" hidden="1">
      <c r="A4947" s="80" t="e">
        <f>"E"&amp;E4939</f>
        <v>#N/A</v>
      </c>
      <c r="B4947" s="105">
        <v>5</v>
      </c>
      <c r="C4947" s="107"/>
      <c r="D4947" s="107"/>
      <c r="E4947" s="107"/>
      <c r="F4947" s="107"/>
      <c r="G4947" s="83"/>
      <c r="H4947" s="83"/>
      <c r="I4947" s="84"/>
      <c r="J4947" s="85"/>
      <c r="K4947" s="382"/>
      <c r="L4947" s="85"/>
      <c r="M4947" s="332" t="str">
        <f t="shared" si="1465"/>
        <v/>
      </c>
      <c r="N4947" s="86"/>
      <c r="O4947" s="453" t="str">
        <f t="shared" si="1467"/>
        <v/>
      </c>
      <c r="P4947" s="538" t="str">
        <f t="shared" si="1468"/>
        <v/>
      </c>
      <c r="Q4947" s="539" t="str">
        <f t="shared" si="1466"/>
        <v/>
      </c>
      <c r="R4947" s="706"/>
      <c r="S4947" s="707"/>
      <c r="T4947" s="708"/>
      <c r="U4947" s="472"/>
      <c r="V4947" s="167"/>
      <c r="W4947" s="446"/>
      <c r="X4947" s="456"/>
      <c r="Y4947" s="436"/>
      <c r="Z4947" s="437"/>
      <c r="AA4947" s="560"/>
      <c r="AB4947" s="561"/>
      <c r="AC4947" s="87"/>
      <c r="AD4947" s="466"/>
      <c r="AE4947" s="456"/>
      <c r="AF4947" s="467"/>
      <c r="AG4947" s="87"/>
      <c r="AH4947" s="87"/>
      <c r="AI4947" s="87"/>
    </row>
    <row r="4948" spans="1:35" hidden="1">
      <c r="A4948" s="80" t="e">
        <f>"F"&amp;E4939</f>
        <v>#N/A</v>
      </c>
      <c r="B4948" s="105">
        <v>6</v>
      </c>
      <c r="C4948" s="107"/>
      <c r="D4948" s="107"/>
      <c r="E4948" s="107"/>
      <c r="F4948" s="107"/>
      <c r="G4948" s="83"/>
      <c r="H4948" s="83"/>
      <c r="I4948" s="84"/>
      <c r="J4948" s="85"/>
      <c r="K4948" s="382"/>
      <c r="L4948" s="85"/>
      <c r="M4948" s="332" t="str">
        <f t="shared" si="1465"/>
        <v/>
      </c>
      <c r="N4948" s="86"/>
      <c r="O4948" s="453" t="str">
        <f t="shared" si="1467"/>
        <v/>
      </c>
      <c r="P4948" s="538" t="str">
        <f t="shared" si="1468"/>
        <v/>
      </c>
      <c r="Q4948" s="539" t="str">
        <f t="shared" si="1466"/>
        <v/>
      </c>
      <c r="R4948" s="706"/>
      <c r="S4948" s="707"/>
      <c r="T4948" s="708"/>
      <c r="U4948" s="472"/>
      <c r="V4948" s="167"/>
      <c r="W4948" s="446"/>
      <c r="X4948" s="456"/>
      <c r="Y4948" s="436"/>
      <c r="Z4948" s="437"/>
      <c r="AA4948" s="560"/>
      <c r="AB4948" s="561"/>
      <c r="AC4948" s="87"/>
      <c r="AD4948" s="466"/>
      <c r="AE4948" s="456"/>
      <c r="AF4948" s="467"/>
      <c r="AG4948" s="87"/>
      <c r="AH4948" s="87"/>
      <c r="AI4948" s="87"/>
    </row>
    <row r="4949" spans="1:35" hidden="1">
      <c r="A4949" s="80" t="e">
        <f>"G"&amp;E4939</f>
        <v>#N/A</v>
      </c>
      <c r="B4949" s="105">
        <v>7</v>
      </c>
      <c r="C4949" s="107"/>
      <c r="D4949" s="107"/>
      <c r="E4949" s="107"/>
      <c r="F4949" s="107"/>
      <c r="G4949" s="83"/>
      <c r="H4949" s="83"/>
      <c r="I4949" s="84"/>
      <c r="J4949" s="85"/>
      <c r="K4949" s="382"/>
      <c r="L4949" s="85"/>
      <c r="M4949" s="332" t="str">
        <f t="shared" si="1465"/>
        <v/>
      </c>
      <c r="N4949" s="86"/>
      <c r="O4949" s="86" t="str">
        <f t="shared" si="1467"/>
        <v/>
      </c>
      <c r="P4949" s="538" t="str">
        <f t="shared" si="1468"/>
        <v/>
      </c>
      <c r="Q4949" s="539" t="str">
        <f t="shared" si="1466"/>
        <v/>
      </c>
      <c r="R4949" s="706"/>
      <c r="S4949" s="707"/>
      <c r="T4949" s="708"/>
      <c r="U4949" s="472"/>
      <c r="V4949" s="167"/>
      <c r="W4949" s="446"/>
      <c r="X4949" s="456"/>
      <c r="Y4949" s="436"/>
      <c r="Z4949" s="437"/>
      <c r="AA4949" s="560"/>
      <c r="AB4949" s="561"/>
      <c r="AC4949" s="87"/>
      <c r="AD4949" s="466"/>
      <c r="AE4949" s="456"/>
      <c r="AF4949" s="467"/>
      <c r="AG4949" s="87"/>
      <c r="AH4949" s="87"/>
      <c r="AI4949" s="87"/>
    </row>
    <row r="4950" spans="1:35" hidden="1">
      <c r="A4950" s="80" t="e">
        <f>"H"&amp;E4939</f>
        <v>#N/A</v>
      </c>
      <c r="B4950" s="105">
        <v>8</v>
      </c>
      <c r="C4950" s="107"/>
      <c r="D4950" s="107"/>
      <c r="E4950" s="107"/>
      <c r="F4950" s="107"/>
      <c r="G4950" s="83"/>
      <c r="H4950" s="83"/>
      <c r="I4950" s="84"/>
      <c r="J4950" s="85"/>
      <c r="K4950" s="382"/>
      <c r="L4950" s="85"/>
      <c r="M4950" s="332" t="str">
        <f t="shared" si="1465"/>
        <v/>
      </c>
      <c r="N4950" s="453"/>
      <c r="O4950" s="86" t="str">
        <f t="shared" si="1467"/>
        <v/>
      </c>
      <c r="P4950" s="538" t="str">
        <f t="shared" si="1468"/>
        <v/>
      </c>
      <c r="Q4950" s="539" t="str">
        <f t="shared" si="1466"/>
        <v/>
      </c>
      <c r="R4950" s="706"/>
      <c r="S4950" s="707"/>
      <c r="T4950" s="708"/>
      <c r="U4950" s="472"/>
      <c r="V4950" s="167"/>
      <c r="W4950" s="446"/>
      <c r="X4950" s="456"/>
      <c r="Y4950" s="436"/>
      <c r="Z4950" s="437"/>
      <c r="AA4950" s="560"/>
      <c r="AB4950" s="561"/>
      <c r="AC4950" s="87"/>
      <c r="AD4950" s="466"/>
      <c r="AE4950" s="456"/>
      <c r="AF4950" s="467"/>
      <c r="AG4950" s="87"/>
      <c r="AH4950" s="87"/>
      <c r="AI4950" s="87"/>
    </row>
    <row r="4951" spans="1:35" hidden="1">
      <c r="A4951" s="80" t="e">
        <f>"I"&amp;E4939</f>
        <v>#N/A</v>
      </c>
      <c r="B4951" s="105">
        <v>9</v>
      </c>
      <c r="C4951" s="107"/>
      <c r="D4951" s="107"/>
      <c r="E4951" s="107"/>
      <c r="F4951" s="107"/>
      <c r="G4951" s="83"/>
      <c r="H4951" s="83"/>
      <c r="I4951" s="84"/>
      <c r="J4951" s="85"/>
      <c r="K4951" s="382"/>
      <c r="L4951" s="85"/>
      <c r="M4951" s="332" t="str">
        <f t="shared" si="1465"/>
        <v/>
      </c>
      <c r="N4951" s="453"/>
      <c r="O4951" s="86" t="str">
        <f t="shared" si="1467"/>
        <v/>
      </c>
      <c r="P4951" s="538" t="str">
        <f t="shared" si="1468"/>
        <v/>
      </c>
      <c r="Q4951" s="539" t="str">
        <f t="shared" si="1466"/>
        <v/>
      </c>
      <c r="R4951" s="706"/>
      <c r="S4951" s="707"/>
      <c r="T4951" s="708"/>
      <c r="U4951" s="472"/>
      <c r="V4951" s="167"/>
      <c r="W4951" s="446"/>
      <c r="X4951" s="456"/>
      <c r="Y4951" s="436"/>
      <c r="Z4951" s="437"/>
      <c r="AA4951" s="560"/>
      <c r="AB4951" s="561"/>
      <c r="AC4951" s="87"/>
      <c r="AD4951" s="466"/>
      <c r="AE4951" s="456"/>
      <c r="AF4951" s="467"/>
      <c r="AG4951" s="87"/>
      <c r="AH4951" s="87"/>
      <c r="AI4951" s="87"/>
    </row>
    <row r="4952" spans="1:35" hidden="1">
      <c r="A4952" s="80" t="e">
        <f>"J"&amp;E4939</f>
        <v>#N/A</v>
      </c>
      <c r="B4952" s="105">
        <v>10</v>
      </c>
      <c r="C4952" s="107"/>
      <c r="D4952" s="107"/>
      <c r="E4952" s="107"/>
      <c r="F4952" s="107"/>
      <c r="G4952" s="83"/>
      <c r="H4952" s="83"/>
      <c r="I4952" s="84"/>
      <c r="J4952" s="85"/>
      <c r="K4952" s="382"/>
      <c r="L4952" s="85"/>
      <c r="M4952" s="332" t="str">
        <f t="shared" si="1465"/>
        <v/>
      </c>
      <c r="N4952" s="453"/>
      <c r="O4952" s="86" t="str">
        <f t="shared" si="1467"/>
        <v/>
      </c>
      <c r="P4952" s="538" t="str">
        <f t="shared" si="1468"/>
        <v/>
      </c>
      <c r="Q4952" s="539" t="str">
        <f t="shared" si="1466"/>
        <v/>
      </c>
      <c r="R4952" s="706"/>
      <c r="S4952" s="707"/>
      <c r="T4952" s="708"/>
      <c r="U4952" s="472"/>
      <c r="V4952" s="167"/>
      <c r="W4952" s="446"/>
      <c r="X4952" s="456"/>
      <c r="Y4952" s="436"/>
      <c r="Z4952" s="437"/>
      <c r="AA4952" s="560"/>
      <c r="AB4952" s="561"/>
      <c r="AC4952" s="87"/>
      <c r="AD4952" s="466"/>
      <c r="AE4952" s="456"/>
      <c r="AF4952" s="467"/>
      <c r="AG4952" s="87"/>
      <c r="AH4952" s="87"/>
      <c r="AI4952" s="87"/>
    </row>
    <row r="4953" spans="1:35" ht="16.5" hidden="1" thickBot="1">
      <c r="A4953" s="44"/>
      <c r="B4953" s="89"/>
      <c r="C4953" s="90"/>
      <c r="D4953" s="90"/>
      <c r="E4953" s="90"/>
      <c r="F4953" s="90"/>
      <c r="G4953" s="90"/>
      <c r="H4953" s="90"/>
      <c r="I4953" s="90"/>
      <c r="J4953" s="90"/>
      <c r="K4953" s="90"/>
      <c r="L4953" s="90"/>
      <c r="M4953" s="90"/>
      <c r="N4953" s="90"/>
      <c r="O4953" s="90"/>
      <c r="P4953" s="90"/>
      <c r="Q4953" s="90"/>
      <c r="R4953" s="90"/>
      <c r="S4953" s="91"/>
      <c r="T4953" s="92"/>
      <c r="U4953" s="473"/>
      <c r="W4953" s="438"/>
      <c r="X4953" s="455"/>
      <c r="Y4953" s="439"/>
      <c r="Z4953" s="437"/>
      <c r="AA4953" s="530"/>
      <c r="AB4953" s="563"/>
      <c r="AC4953" s="87"/>
      <c r="AD4953" s="440"/>
      <c r="AE4953" s="441"/>
      <c r="AF4953" s="442"/>
      <c r="AG4953" s="49"/>
      <c r="AH4953" s="87"/>
      <c r="AI4953" s="87"/>
    </row>
    <row r="4954" spans="1:35" ht="16.5" hidden="1" thickBot="1">
      <c r="A4954" s="93"/>
      <c r="B4954" s="94"/>
      <c r="C4954" s="96"/>
      <c r="D4954" s="96"/>
      <c r="E4954" s="96"/>
      <c r="F4954" s="96"/>
      <c r="G4954" s="96"/>
      <c r="H4954" s="96"/>
      <c r="I4954" s="96"/>
      <c r="J4954" s="96"/>
      <c r="K4954" s="96"/>
      <c r="L4954" s="96"/>
      <c r="M4954" s="136"/>
      <c r="N4954" s="96"/>
      <c r="O4954" s="96"/>
      <c r="P4954" s="97"/>
      <c r="Q4954" s="97"/>
      <c r="R4954" s="98"/>
      <c r="S4954" s="95"/>
      <c r="T4954" s="99"/>
      <c r="U4954" s="469"/>
      <c r="AC4954" s="58"/>
      <c r="AG4954" s="58"/>
      <c r="AH4954" s="87"/>
      <c r="AI4954" s="87"/>
    </row>
    <row r="4955" spans="1:35" ht="16.5" hidden="1" thickBot="1">
      <c r="B4955" s="101"/>
      <c r="C4955" s="101"/>
      <c r="D4955" s="101"/>
      <c r="E4955" s="101"/>
      <c r="F4955" s="101"/>
      <c r="G4955" s="101"/>
      <c r="H4955" s="101"/>
      <c r="I4955" s="101"/>
      <c r="J4955" s="101"/>
      <c r="K4955" s="101"/>
      <c r="L4955" s="101"/>
      <c r="M4955" s="101"/>
      <c r="N4955" s="101"/>
      <c r="O4955" s="101"/>
      <c r="P4955" s="101"/>
      <c r="Q4955" s="101"/>
      <c r="R4955" s="101"/>
      <c r="S4955" s="101"/>
      <c r="U4955" s="50"/>
      <c r="AH4955" s="87"/>
      <c r="AI4955" s="87"/>
    </row>
    <row r="4956" spans="1:35" ht="16.5" hidden="1" customHeight="1" thickBot="1">
      <c r="A4956" s="44"/>
      <c r="B4956" s="705" t="s">
        <v>74</v>
      </c>
      <c r="C4956" s="705"/>
      <c r="D4956" s="705"/>
      <c r="E4956" s="705"/>
      <c r="F4956" s="705"/>
      <c r="G4956" s="705"/>
      <c r="H4956" s="705"/>
      <c r="I4956" s="705"/>
      <c r="J4956" s="705"/>
      <c r="K4956" s="705"/>
      <c r="L4956" s="705"/>
      <c r="M4956" s="705"/>
      <c r="N4956" s="705"/>
      <c r="O4956" s="705"/>
      <c r="P4956" s="705"/>
      <c r="Q4956" s="705"/>
      <c r="R4956" s="705"/>
      <c r="S4956" s="705"/>
      <c r="T4956" s="705"/>
      <c r="U4956" s="108"/>
      <c r="Y4956" s="532" t="s">
        <v>341</v>
      </c>
      <c r="AC4956" s="49"/>
      <c r="AD4956" s="687" t="s">
        <v>302</v>
      </c>
      <c r="AE4956" s="688"/>
      <c r="AF4956" s="689"/>
      <c r="AG4956" s="49"/>
      <c r="AH4956" s="87"/>
      <c r="AI4956" s="87"/>
    </row>
    <row r="4957" spans="1:35" ht="16.5" hidden="1" customHeight="1" thickBot="1">
      <c r="A4957" s="218" t="e">
        <f>"K"&amp;E4939</f>
        <v>#N/A</v>
      </c>
      <c r="B4957" s="701" t="s">
        <v>71</v>
      </c>
      <c r="C4957" s="751" t="s">
        <v>102</v>
      </c>
      <c r="D4957" s="751"/>
      <c r="E4957" s="751"/>
      <c r="F4957" s="751"/>
      <c r="G4957" s="751"/>
      <c r="H4957" s="751"/>
      <c r="I4957" s="751"/>
      <c r="J4957" s="751"/>
      <c r="K4957" s="751"/>
      <c r="L4957" s="722" t="s">
        <v>100</v>
      </c>
      <c r="M4957" s="747" t="s">
        <v>114</v>
      </c>
      <c r="N4957" s="747"/>
      <c r="O4957" s="747"/>
      <c r="P4957" s="747"/>
      <c r="Q4957" s="748"/>
      <c r="R4957" s="758" t="s">
        <v>280</v>
      </c>
      <c r="S4957" s="748"/>
      <c r="T4957" s="762" t="str">
        <f>IF(COUNTIF(AE4957:AF4957,"VERIFICAR")&gt;0,"VERIFICAR",IF(COUNTIF(AE4957:AF4957,"NO CUMPLE")&gt;0,"NO CUMPLE","CUMPLE"))</f>
        <v>VERIFICAR</v>
      </c>
      <c r="U4957" s="108"/>
      <c r="Y4957" s="533" t="e">
        <f>IF(F4958="","",IF(F4958=1,"INDIVIDUAL","ESTRUCTURA PLURAL"))</f>
        <v>#N/A</v>
      </c>
      <c r="AC4957" s="52"/>
      <c r="AD4957" s="475" t="s">
        <v>303</v>
      </c>
      <c r="AE4957" s="476" t="str">
        <f>IF(COUNTIF(AE4943:AE4952,"")=10,"VERIFICAR",IF(COUNTIF(AE4943:AE4952,"SI")&gt;0,"CUMPLE","NO CUMPLE"))</f>
        <v>VERIFICAR</v>
      </c>
      <c r="AF4957" s="477" t="str">
        <f>IF(COUNTIF(AF4943:AF4952,"")=10,"VERIFICAR",IF(COUNTIF(AF4943:AF4952,"SI")&gt;=$AI$22,"CUMPLE","NO CUMPLE"))</f>
        <v>VERIFICAR</v>
      </c>
      <c r="AG4957" s="52"/>
      <c r="AH4957" s="87"/>
      <c r="AI4957" s="87"/>
    </row>
    <row r="4958" spans="1:35" ht="15.75" hidden="1" customHeight="1" thickBot="1">
      <c r="A4958" s="218" t="e">
        <f>"L"&amp;E4939</f>
        <v>#N/A</v>
      </c>
      <c r="B4958" s="702"/>
      <c r="C4958" s="751" t="s">
        <v>103</v>
      </c>
      <c r="D4958" s="751"/>
      <c r="E4958" s="752"/>
      <c r="F4958" s="557" t="e">
        <f>IF(VLOOKUP(E4939,PROPONENTES!$C$19:$E$218,3,0)="","",VLOOKUP(E4939,PROPONENTES!$C$19:$E$218,3,0))</f>
        <v>#N/A</v>
      </c>
      <c r="G4958" s="753" t="s">
        <v>104</v>
      </c>
      <c r="H4958" s="751"/>
      <c r="I4958" s="715" t="e">
        <f>IF(OR(F4958="",F4958=1),"INTERESADO PERSONA NATURAL O JURIDICA","CONSORCIO O UNION TEMPORAL")</f>
        <v>#N/A</v>
      </c>
      <c r="J4958" s="725"/>
      <c r="K4958" s="728"/>
      <c r="L4958" s="723"/>
      <c r="M4958" s="749"/>
      <c r="N4958" s="749"/>
      <c r="O4958" s="749"/>
      <c r="P4958" s="749"/>
      <c r="Q4958" s="750"/>
      <c r="R4958" s="712"/>
      <c r="S4958" s="750"/>
      <c r="T4958" s="763"/>
      <c r="U4958" s="108"/>
      <c r="Y4958" s="534"/>
      <c r="AA4958" s="52"/>
      <c r="AB4958" s="52"/>
      <c r="AC4958" s="52"/>
      <c r="AG4958" s="52"/>
      <c r="AH4958" s="87"/>
      <c r="AI4958" s="87"/>
    </row>
    <row r="4959" spans="1:35" ht="56.25" hidden="1" customHeight="1" thickBot="1">
      <c r="A4959" s="218" t="e">
        <f>"M"&amp;E4939</f>
        <v>#N/A</v>
      </c>
      <c r="B4959" s="702"/>
      <c r="C4959" s="725" t="s">
        <v>101</v>
      </c>
      <c r="D4959" s="716"/>
      <c r="E4959" s="558" t="s">
        <v>105</v>
      </c>
      <c r="F4959" s="554" t="s">
        <v>87</v>
      </c>
      <c r="G4959" s="553" t="s">
        <v>86</v>
      </c>
      <c r="H4959" s="559" t="s">
        <v>85</v>
      </c>
      <c r="I4959" s="554" t="s">
        <v>252</v>
      </c>
      <c r="J4959" s="553" t="str">
        <f>"¿EL INTEGRANTE TIENE UNA PARTICIPACIÓN DEL "&amp;PORCREQUERIDOINT*100&amp;"%?"</f>
        <v>¿EL INTEGRANTE TIENE UNA PARTICIPACIÓN DEL 60%?</v>
      </c>
      <c r="K4959" s="554" t="s">
        <v>107</v>
      </c>
      <c r="L4959" s="724"/>
      <c r="M4959" s="717" t="s">
        <v>115</v>
      </c>
      <c r="N4959" s="718"/>
      <c r="O4959" s="718"/>
      <c r="P4959" s="718"/>
      <c r="Q4959" s="223">
        <f>IF(AND(H4943="SI",P4943&gt;=0),1,0)+IF(AND(H4944="SI",P4944&gt;=0),1,0)+IF(AND(H4945="SI",P4945&gt;=0),1,0)+IF(AND(H4946="SI",P4946&gt;=0),1,0)+IF(AND(H4947="SI",P4947&gt;=0),1,0)+IF(AND(H4948="SI",P4948&gt;=0),1,0)+IF(AND(H4949="SI",P4949&gt;=0),1,0)+IF(AND(H4950="SI",P4950&gt;=0),1,0)+IF(AND(H4951="SI",P4951&gt;=0),1,0)+IF(AND(H4952="SI",P4952&gt;=0),1,0)</f>
        <v>0</v>
      </c>
      <c r="R4959" s="759"/>
      <c r="S4959" s="761"/>
      <c r="T4959" s="764"/>
      <c r="U4959" s="219"/>
      <c r="V4959" s="464"/>
      <c r="Y4959" s="532" t="s">
        <v>342</v>
      </c>
      <c r="AA4959" s="550" t="s">
        <v>344</v>
      </c>
      <c r="AB4959" s="693" t="s">
        <v>345</v>
      </c>
      <c r="AC4959" s="693" t="s">
        <v>346</v>
      </c>
      <c r="AD4959" s="685" t="s">
        <v>347</v>
      </c>
      <c r="AE4959" s="52"/>
      <c r="AF4959" s="52"/>
      <c r="AG4959" s="52"/>
      <c r="AH4959" s="87"/>
      <c r="AI4959" s="87"/>
    </row>
    <row r="4960" spans="1:35" ht="15.75" hidden="1" customHeight="1" thickBot="1">
      <c r="A4960" s="218" t="e">
        <f>"N"&amp;E4939</f>
        <v>#N/A</v>
      </c>
      <c r="B4960" s="702"/>
      <c r="C4960" s="114">
        <v>1</v>
      </c>
      <c r="D4960" s="194" t="e">
        <f>IF(AND(C4960&lt;=F4958,F4958&gt;1,F4958&lt;&gt;""),VLOOKUP(VALUE(E4939&amp;","&amp;C4960),INTEGRANTES!$D$18:$F$235,2,0),"")</f>
        <v>#N/A</v>
      </c>
      <c r="E4960" s="211" t="e">
        <f>IF(D4960&lt;&gt;"",VLOOKUP(VALUE(E4939&amp;","&amp;C4960),INTEGRANTES!$D$18:$F$235,3,0),"")</f>
        <v>#N/A</v>
      </c>
      <c r="F4960" s="547" t="e">
        <f>IF(D4960="","",SUMIF($I4943:$I4952,D4960,$P4943:$P4952))</f>
        <v>#N/A</v>
      </c>
      <c r="G4960" s="333" t="e">
        <f>IF(D4960="","",SUMIF($I4943:$I4952,D4960,$M4943:$M4952))</f>
        <v>#N/A</v>
      </c>
      <c r="H4960" s="535" t="e">
        <f t="shared" ref="H4960:H4965" si="1469">IF(D4960="","",IF(OR(F4960=0,G4960=0),"NO APORTA",ROUND($F4960/$G4960,3)))</f>
        <v>#N/A</v>
      </c>
      <c r="I4960" s="212" t="e">
        <f>IF(D4960="","",IF(H4960="NO APORTA","NO",IF(H4960=MAX($H4960:$H4965),"SI","NO")))</f>
        <v>#N/A</v>
      </c>
      <c r="J4960" s="213" t="e">
        <f t="shared" ref="J4960:J4965" si="1470">IF(D4960="","",IF(E4960&gt;=PORCREQUERIDOINT,"SI","NO"))</f>
        <v>#N/A</v>
      </c>
      <c r="K4960" s="200" t="e">
        <f t="shared" ref="K4960:K4965" si="1471">IF(D4960="","",IF(AND(I4960="SI",J4960="SI"),"CUMPLE",IF(AND(I4960="NO",OR(J4960="SI",J4960="NO")),"","NO CUMPLE")))</f>
        <v>#N/A</v>
      </c>
      <c r="L4960" s="722" t="s">
        <v>108</v>
      </c>
      <c r="M4960" s="726" t="s">
        <v>119</v>
      </c>
      <c r="N4960" s="726"/>
      <c r="O4960" s="726"/>
      <c r="P4960" s="726"/>
      <c r="Q4960" s="727"/>
      <c r="R4960" s="758" t="s">
        <v>80</v>
      </c>
      <c r="S4960" s="747"/>
      <c r="T4960" s="748"/>
      <c r="U4960" s="219"/>
      <c r="V4960" s="464"/>
      <c r="Y4960" s="533" t="e">
        <f>IF(Y4957="","",IF(Y4957="INDIVIDUAL","NO APLICA","VERIFICAR CUADRO"))</f>
        <v>#N/A</v>
      </c>
      <c r="AA4960" s="551"/>
      <c r="AB4960" s="694"/>
      <c r="AC4960" s="694"/>
      <c r="AD4960" s="686"/>
      <c r="AE4960" s="52"/>
      <c r="AF4960" s="52"/>
      <c r="AG4960" s="52"/>
      <c r="AH4960" s="87"/>
      <c r="AI4960" s="87"/>
    </row>
    <row r="4961" spans="1:35" ht="27" hidden="1" customHeight="1" thickBot="1">
      <c r="A4961" s="218" t="e">
        <f>"O"&amp;E4939</f>
        <v>#N/A</v>
      </c>
      <c r="B4961" s="702"/>
      <c r="C4961" s="114">
        <v>2</v>
      </c>
      <c r="D4961" s="194" t="e">
        <f>IF(AND(C4961&lt;=F4958,F4958&lt;&gt;""),VLOOKUP(VALUE(E4939&amp;","&amp;C4961),INTEGRANTES!$D$18:$F$235,2,0),"")</f>
        <v>#N/A</v>
      </c>
      <c r="E4961" s="211" t="e">
        <f>IF(D4961&lt;&gt;"",VLOOKUP(VALUE(E4939&amp;","&amp;C4961),INTEGRANTES!$D$18:$F$235,3,0),"")</f>
        <v>#N/A</v>
      </c>
      <c r="F4961" s="547" t="e">
        <f>IF(D4961="","",SUMIF($I4943:$I4952,D4961,$P4943:$P4952))</f>
        <v>#N/A</v>
      </c>
      <c r="G4961" s="333" t="e">
        <f>IF(D4961="","",SUMIF($I4943:$I4952,D4961,$M4943:$M4952))</f>
        <v>#N/A</v>
      </c>
      <c r="H4961" s="535" t="e">
        <f t="shared" si="1469"/>
        <v>#N/A</v>
      </c>
      <c r="I4961" s="212" t="e">
        <f>IF(D4961="","",IF(H4961="NO APORTA","NO",IF(H4961=MAX($H4960:$H4965),"SI","NO")))</f>
        <v>#N/A</v>
      </c>
      <c r="J4961" s="213" t="e">
        <f t="shared" si="1470"/>
        <v>#N/A</v>
      </c>
      <c r="K4961" s="200" t="e">
        <f t="shared" si="1471"/>
        <v>#N/A</v>
      </c>
      <c r="L4961" s="723"/>
      <c r="M4961" s="715" t="s">
        <v>116</v>
      </c>
      <c r="N4961" s="716"/>
      <c r="O4961" s="556" t="s">
        <v>113</v>
      </c>
      <c r="P4961" s="715" t="s">
        <v>117</v>
      </c>
      <c r="Q4961" s="728"/>
      <c r="R4961" s="759"/>
      <c r="S4961" s="760"/>
      <c r="T4961" s="761"/>
      <c r="U4961" s="219"/>
      <c r="V4961" s="464"/>
      <c r="Y4961" s="414"/>
      <c r="AA4961" s="542" t="e">
        <f>IF(AND(C4960&lt;=F4958,F4958&gt;1,F4958&lt;&gt;""),VLOOKUP(VALUE(E4939&amp;","&amp;C4960),INTEGRANTES!$D$18:$F$235,2,0),"")</f>
        <v>#N/A</v>
      </c>
      <c r="AB4961" s="544" t="e">
        <f t="shared" ref="AB4961:AB4966" si="1472">IF(D4960="","",IF(OR(F4960=0,G4960=0),"NO APORTA",ROUND($F4960/$G4960,3)))</f>
        <v>#N/A</v>
      </c>
      <c r="AC4961" s="529"/>
      <c r="AD4961" s="200" t="e">
        <f t="shared" ref="AD4961:AD4966" si="1473">IF(OR(AA4961="",AB4961=""),"",IF(AND(AC4961="X",AB4961&gt;=EXPREQVTD),"CUMPLE","NO CUMPLE"))</f>
        <v>#N/A</v>
      </c>
      <c r="AE4961" s="52"/>
      <c r="AF4961" s="52"/>
      <c r="AG4961" s="52"/>
      <c r="AH4961" s="87"/>
      <c r="AI4961" s="87"/>
    </row>
    <row r="4962" spans="1:35" ht="16.5" hidden="1" thickBot="1">
      <c r="A4962" s="218" t="e">
        <f>"P"&amp;E4939</f>
        <v>#N/A</v>
      </c>
      <c r="B4962" s="702"/>
      <c r="C4962" s="114">
        <v>3</v>
      </c>
      <c r="D4962" s="194" t="e">
        <f>IF(AND(C4962&lt;=F4958,F4958&lt;&gt;""),VLOOKUP(VALUE(E4939&amp;","&amp;C4962),INTEGRANTES!$D$18:$F$235,2,0),"")</f>
        <v>#N/A</v>
      </c>
      <c r="E4962" s="211" t="e">
        <f>IF(D4962&lt;&gt;"",VLOOKUP(VALUE(E4939&amp;","&amp;C4962),INTEGRANTES!$D$18:$F$235,3,0),"")</f>
        <v>#N/A</v>
      </c>
      <c r="F4962" s="547" t="e">
        <f>IF(D4962="","",SUMIF($I4943:$I4952,D4962,$P4943:$P4952))</f>
        <v>#N/A</v>
      </c>
      <c r="G4962" s="333" t="e">
        <f>IF(D4962="","",SUMIF($I4943:$I4952,D4962,$M4943:$M4952))</f>
        <v>#N/A</v>
      </c>
      <c r="H4962" s="535" t="e">
        <f t="shared" si="1469"/>
        <v>#N/A</v>
      </c>
      <c r="I4962" s="212" t="e">
        <f>IF(D4962="","",IF(H4962="NO APORTA","NO",IF(H4962=MAX($H4960:$H4965),"SI","NO")))</f>
        <v>#N/A</v>
      </c>
      <c r="J4962" s="213" t="e">
        <f t="shared" si="1470"/>
        <v>#N/A</v>
      </c>
      <c r="K4962" s="200" t="e">
        <f t="shared" si="1471"/>
        <v>#N/A</v>
      </c>
      <c r="L4962" s="724"/>
      <c r="M4962" s="729">
        <f>NUMMOD</f>
        <v>1</v>
      </c>
      <c r="N4962" s="730"/>
      <c r="O4962" s="443">
        <f>IF(M4962="","",VLOOKUP(M4962,PRESUPUESTOS!$B$16:$H$16,5,FALSE))</f>
        <v>2</v>
      </c>
      <c r="P4962" s="713">
        <f>IF(OR(COUNTIF(M4943:M4952,"")&gt;=10,Q4959&lt;NUMMINCONT,OR(T4957="NO CUMPLE",T4957="VERIFICAR")),0,ROUND(AVERAGE(M4943:M4952),3))</f>
        <v>0</v>
      </c>
      <c r="Q4962" s="714"/>
      <c r="R4962" s="458"/>
      <c r="S4962" s="459"/>
      <c r="T4962" s="460"/>
      <c r="U4962" s="219"/>
      <c r="V4962" s="464"/>
      <c r="Y4962" s="532" t="str">
        <f>"40% * ("&amp;PRESUPUESTOS!$H$13&amp;")"</f>
        <v>40% * (50% PFMO)</v>
      </c>
      <c r="AA4962" s="540" t="e">
        <f>IF(AND(C4961&lt;=F4958,F4958&lt;&gt;""),VLOOKUP(VALUE(E4939&amp;","&amp;C4961),INTEGRANTES!$D$18:$F$235,2,0),"")</f>
        <v>#N/A</v>
      </c>
      <c r="AB4962" s="545" t="e">
        <f t="shared" si="1472"/>
        <v>#N/A</v>
      </c>
      <c r="AC4962" s="529"/>
      <c r="AD4962" s="200" t="e">
        <f t="shared" si="1473"/>
        <v>#N/A</v>
      </c>
      <c r="AE4962" s="52"/>
      <c r="AF4962" s="52"/>
      <c r="AG4962" s="52"/>
      <c r="AH4962" s="87"/>
      <c r="AI4962" s="87"/>
    </row>
    <row r="4963" spans="1:35" ht="15.75" hidden="1" customHeight="1" thickBot="1">
      <c r="A4963" s="218" t="e">
        <f>"Q"&amp;E4939</f>
        <v>#N/A</v>
      </c>
      <c r="B4963" s="702"/>
      <c r="C4963" s="114">
        <v>4</v>
      </c>
      <c r="D4963" s="194" t="e">
        <f>IF(AND(C4963&lt;=F4958,F4958&lt;&gt;""),VLOOKUP(VALUE(E4939&amp;","&amp;C4963),INTEGRANTES!$D$18:$F$235,2,0),"")</f>
        <v>#N/A</v>
      </c>
      <c r="E4963" s="211" t="e">
        <f>IF(D4963&lt;&gt;"",VLOOKUP(VALUE(E4939&amp;","&amp;C4963),INTEGRANTES!$D$18:$F$235,3,0),"")</f>
        <v>#N/A</v>
      </c>
      <c r="F4963" s="547" t="e">
        <f>IF(D4963="","",SUMIF($I4943:$I4952,D4963,$P4943:$P4952))</f>
        <v>#N/A</v>
      </c>
      <c r="G4963" s="333" t="e">
        <f>IF(D4963="","",SUMIF($I4943:$I4952,D4963,$M4943:$M4952))</f>
        <v>#N/A</v>
      </c>
      <c r="H4963" s="535" t="e">
        <f t="shared" si="1469"/>
        <v>#N/A</v>
      </c>
      <c r="I4963" s="212" t="e">
        <f>IF(D4963="","",IF(H4963="NO APORTA","NO",IF(H4963=MAX($H4960:$H4965),"SI","NO")))</f>
        <v>#N/A</v>
      </c>
      <c r="J4963" s="213" t="e">
        <f t="shared" si="1470"/>
        <v>#N/A</v>
      </c>
      <c r="K4963" s="200" t="e">
        <f t="shared" si="1471"/>
        <v>#N/A</v>
      </c>
      <c r="L4963" s="720" t="s">
        <v>109</v>
      </c>
      <c r="M4963" s="757" t="s">
        <v>120</v>
      </c>
      <c r="N4963" s="726"/>
      <c r="O4963" s="726"/>
      <c r="P4963" s="726"/>
      <c r="Q4963" s="727"/>
      <c r="R4963" s="458"/>
      <c r="S4963" s="459"/>
      <c r="T4963" s="460"/>
      <c r="U4963" s="219"/>
      <c r="V4963" s="464"/>
      <c r="Y4963" s="537">
        <f>0.4*PRESUPUESTOS!$H$16</f>
        <v>10.3124</v>
      </c>
      <c r="AA4963" s="540" t="e">
        <f>IF(AND(C4962&lt;=F4958,F4958&lt;&gt;""),VLOOKUP(VALUE(E4939&amp;","&amp;C4962),INTEGRANTES!$D$18:$F$235,2,0),"")</f>
        <v>#N/A</v>
      </c>
      <c r="AB4963" s="545" t="e">
        <f t="shared" si="1472"/>
        <v>#N/A</v>
      </c>
      <c r="AC4963" s="529"/>
      <c r="AD4963" s="200" t="e">
        <f t="shared" si="1473"/>
        <v>#N/A</v>
      </c>
      <c r="AE4963" s="52"/>
      <c r="AF4963" s="52"/>
      <c r="AG4963" s="52"/>
      <c r="AH4963" s="87"/>
      <c r="AI4963" s="87"/>
    </row>
    <row r="4964" spans="1:35" ht="27" hidden="1" customHeight="1" thickBot="1">
      <c r="A4964" s="218" t="e">
        <f>"R"&amp;E4939</f>
        <v>#N/A</v>
      </c>
      <c r="B4964" s="702"/>
      <c r="C4964" s="114">
        <v>5</v>
      </c>
      <c r="D4964" s="194" t="e">
        <f>IF(AND(C4964&lt;=F4958,F4958&lt;&gt;""),VLOOKUP(VALUE(E4939&amp;","&amp;C4964),INTEGRANTES!$D$18:$F$235,2,0),"")</f>
        <v>#N/A</v>
      </c>
      <c r="E4964" s="211" t="e">
        <f>IF(D4964&lt;&gt;"",VLOOKUP(VALUE(E4939&amp;","&amp;C4964),INTEGRANTES!$D$18:$F$235,3,0),"")</f>
        <v>#N/A</v>
      </c>
      <c r="F4964" s="547" t="e">
        <f>IF(D4964="","",SUMIF($I4943:$I4952,D4964,$P4943:$P4952))</f>
        <v>#N/A</v>
      </c>
      <c r="G4964" s="333" t="e">
        <f>IF(D4964="","",SUMIF($I4943:$I4952,D4964,$M4943:$M4952))</f>
        <v>#N/A</v>
      </c>
      <c r="H4964" s="535" t="e">
        <f t="shared" si="1469"/>
        <v>#N/A</v>
      </c>
      <c r="I4964" s="212" t="e">
        <f>IF(D4964="","",IF(H4964="NO APORTA","NO",IF(H4964=MAX($H4960:$H4965),"SI","NO")))</f>
        <v>#N/A</v>
      </c>
      <c r="J4964" s="213" t="e">
        <f t="shared" si="1470"/>
        <v>#N/A</v>
      </c>
      <c r="K4964" s="200" t="e">
        <f t="shared" si="1471"/>
        <v>#N/A</v>
      </c>
      <c r="L4964" s="721"/>
      <c r="M4964" s="715" t="s">
        <v>116</v>
      </c>
      <c r="N4964" s="716"/>
      <c r="O4964" s="556" t="str">
        <f>PORCREQUERIDO*100&amp;"% PMFO DEL MÓDULO"</f>
        <v>50% PMFO DEL MÓDULO</v>
      </c>
      <c r="P4964" s="715" t="s">
        <v>118</v>
      </c>
      <c r="Q4964" s="728"/>
      <c r="R4964" s="458"/>
      <c r="S4964" s="459"/>
      <c r="T4964" s="460"/>
      <c r="U4964" s="219"/>
      <c r="V4964" s="464"/>
      <c r="Y4964" s="414"/>
      <c r="AA4964" s="540" t="e">
        <f>IF(AND(C4963&lt;=F4958,F4958&lt;&gt;""),VLOOKUP(VALUE(E4939&amp;","&amp;C4963),INTEGRANTES!$D$18:$F$235,2,0),"")</f>
        <v>#N/A</v>
      </c>
      <c r="AB4964" s="545" t="e">
        <f t="shared" si="1472"/>
        <v>#N/A</v>
      </c>
      <c r="AC4964" s="529"/>
      <c r="AD4964" s="200" t="e">
        <f t="shared" si="1473"/>
        <v>#N/A</v>
      </c>
      <c r="AE4964" s="52"/>
      <c r="AF4964" s="52"/>
      <c r="AG4964" s="52"/>
      <c r="AH4964" s="87"/>
      <c r="AI4964" s="87"/>
    </row>
    <row r="4965" spans="1:35" ht="16.5" hidden="1" thickBot="1">
      <c r="A4965" s="218" t="e">
        <f>"S"&amp;E4939</f>
        <v>#N/A</v>
      </c>
      <c r="B4965" s="702"/>
      <c r="C4965" s="215">
        <v>6</v>
      </c>
      <c r="D4965" s="216" t="e">
        <f>IF(AND(C4965&lt;=F4958,F4958&lt;&gt;""),VLOOKUP(VALUE(E4939&amp;","&amp;C4965),INTEGRANTES!$D$18:$F$235,2,0),"")</f>
        <v>#N/A</v>
      </c>
      <c r="E4965" s="217" t="e">
        <f>IF(D4965&lt;&gt;"",VLOOKUP(VALUE(E4939&amp;","&amp;C4965),INTEGRANTES!$D$18:$F$235,3,0),"")</f>
        <v>#N/A</v>
      </c>
      <c r="F4965" s="548" t="e">
        <f>IF(D4965="","",SUMIF($I4943:$I4952,D4965,$P4943:$P4952))</f>
        <v>#N/A</v>
      </c>
      <c r="G4965" s="334" t="e">
        <f>IF(D4965="","",SUMIF($I4943:$I4952,D4965,$M4943:$M4952))</f>
        <v>#N/A</v>
      </c>
      <c r="H4965" s="536" t="e">
        <f t="shared" si="1469"/>
        <v>#N/A</v>
      </c>
      <c r="I4965" s="214" t="e">
        <f>IF(D4965="","",IF(H4965="NO APORTA","NO",IF(H4965=MAX($H4960:$H4965),"SI","NO")))</f>
        <v>#N/A</v>
      </c>
      <c r="J4965" s="213" t="e">
        <f t="shared" si="1470"/>
        <v>#N/A</v>
      </c>
      <c r="K4965" s="200" t="e">
        <f t="shared" si="1471"/>
        <v>#N/A</v>
      </c>
      <c r="L4965" s="721"/>
      <c r="M4965" s="729">
        <f>NUMMOD</f>
        <v>1</v>
      </c>
      <c r="N4965" s="730"/>
      <c r="O4965" s="443">
        <f>IF(M4965="","",ROUND(VLOOKUP(M4965,PRESUPUESTOS!$B$16:$H$16,7,FALSE),3))</f>
        <v>25.780999999999999</v>
      </c>
      <c r="P4965" s="713">
        <f>IF(OR(COUNTIF(P4943:P4952,"")&gt;=10,Q4959&lt;NUMMINCONT,OR(T4957="NO CUMPLE",T4957="VERIFICAR")),0,ROUND((SUM(P4943:P4952)/SUM(M4943:M4952)),3))</f>
        <v>0</v>
      </c>
      <c r="Q4965" s="714"/>
      <c r="R4965" s="458"/>
      <c r="S4965" s="459"/>
      <c r="T4965" s="460"/>
      <c r="U4965" s="219"/>
      <c r="V4965" s="464"/>
      <c r="Y4965" s="532" t="s">
        <v>343</v>
      </c>
      <c r="AA4965" s="540" t="e">
        <f>IF(AND(C4964&lt;=F4958,F4958&lt;&gt;""),VLOOKUP(VALUE(E4939&amp;","&amp;C4964),INTEGRANTES!$D$18:$F$235,2,0),"")</f>
        <v>#N/A</v>
      </c>
      <c r="AB4965" s="545" t="e">
        <f t="shared" si="1472"/>
        <v>#N/A</v>
      </c>
      <c r="AC4965" s="529"/>
      <c r="AD4965" s="200" t="e">
        <f t="shared" si="1473"/>
        <v>#N/A</v>
      </c>
      <c r="AE4965" s="52"/>
      <c r="AF4965" s="52"/>
      <c r="AG4965" s="52"/>
      <c r="AH4965" s="87"/>
      <c r="AI4965" s="87"/>
    </row>
    <row r="4966" spans="1:35" ht="16.5" hidden="1" customHeight="1" thickBot="1">
      <c r="A4966" s="218" t="e">
        <f>"T"&amp;E4939</f>
        <v>#N/A</v>
      </c>
      <c r="B4966" s="703"/>
      <c r="C4966" s="719"/>
      <c r="D4966" s="719"/>
      <c r="E4966" s="719"/>
      <c r="F4966" s="719"/>
      <c r="G4966" s="719"/>
      <c r="H4966" s="719" t="s">
        <v>110</v>
      </c>
      <c r="I4966" s="719"/>
      <c r="J4966" s="719"/>
      <c r="K4966" s="201" t="str">
        <f>IF(COUNTIF(K4960:K4965,"")=6,"",IF(COUNTIF(K4960:K4965,"CUMPLE")&gt;0,"CUMPLE","NO CUMPLE"))</f>
        <v>NO CUMPLE</v>
      </c>
      <c r="L4966" s="754"/>
      <c r="M4966" s="755"/>
      <c r="N4966" s="755"/>
      <c r="O4966" s="755"/>
      <c r="P4966" s="755"/>
      <c r="Q4966" s="756"/>
      <c r="R4966" s="461"/>
      <c r="S4966" s="462"/>
      <c r="T4966" s="463"/>
      <c r="U4966" s="219"/>
      <c r="V4966" s="464"/>
      <c r="Y4966" s="549" t="e">
        <f>IF(Y4960="NO APLICA","NO APLICA",IF(COUNTIF(AD4961:AD4966,"CUMPLE")&gt;0,"CUMPLE","NO CUMPLE"))</f>
        <v>#N/A</v>
      </c>
      <c r="AA4966" s="541" t="e">
        <f>IF(AND(C4965&lt;=F4958,F4958&lt;&gt;""),VLOOKUP(VALUE(E4939&amp;","&amp;C4965),INTEGRANTES!$D$18:$F$235,2,0),"")</f>
        <v>#N/A</v>
      </c>
      <c r="AB4966" s="546" t="e">
        <f t="shared" si="1472"/>
        <v>#N/A</v>
      </c>
      <c r="AC4966" s="543"/>
      <c r="AD4966" s="201" t="e">
        <f t="shared" si="1473"/>
        <v>#N/A</v>
      </c>
      <c r="AE4966" s="52"/>
      <c r="AF4966" s="52"/>
      <c r="AG4966" s="52"/>
      <c r="AH4966" s="87"/>
      <c r="AI4966" s="87"/>
    </row>
    <row r="4967" spans="1:35" hidden="1">
      <c r="AH4967" s="87"/>
      <c r="AI4967" s="87"/>
    </row>
    <row r="4968" spans="1:35" hidden="1">
      <c r="AH4968" s="87"/>
      <c r="AI4968" s="87"/>
    </row>
    <row r="4969" spans="1:35" ht="24" hidden="1" thickBot="1">
      <c r="A4969" s="61">
        <v>166</v>
      </c>
      <c r="B4969" s="704" t="s">
        <v>51</v>
      </c>
      <c r="C4969" s="704"/>
      <c r="D4969" s="704"/>
      <c r="E4969" s="62" t="e">
        <f>VLOOKUP(A4969,PROPONENTES!$B$19:$E$218,2,FALSE)</f>
        <v>#N/A</v>
      </c>
      <c r="F4969" s="63" t="e">
        <f>VLOOKUP(A4969,PROPONENTES!$B$19:$E$218,3,FALSE)</f>
        <v>#N/A</v>
      </c>
      <c r="G4969" s="64"/>
      <c r="H4969" s="64"/>
      <c r="I4969" s="63"/>
      <c r="J4969" s="63"/>
      <c r="K4969" s="65"/>
      <c r="L4969" s="65"/>
      <c r="M4969" s="64"/>
      <c r="N4969" s="64"/>
      <c r="O4969" s="66"/>
      <c r="P4969" s="66"/>
      <c r="Q4969" s="66"/>
      <c r="R4969" s="66"/>
      <c r="S4969" s="67"/>
      <c r="T4969" s="68"/>
      <c r="U4969" s="68"/>
      <c r="AC4969" s="68"/>
      <c r="AD4969" s="68"/>
      <c r="AE4969" s="68"/>
      <c r="AF4969" s="68"/>
      <c r="AG4969" s="68"/>
      <c r="AH4969" s="87"/>
      <c r="AI4969" s="87"/>
    </row>
    <row r="4970" spans="1:35" ht="15.75" hidden="1" customHeight="1">
      <c r="A4970" s="44"/>
      <c r="B4970" s="709" t="s">
        <v>59</v>
      </c>
      <c r="C4970" s="552" t="s">
        <v>60</v>
      </c>
      <c r="D4970" s="70" t="s">
        <v>17</v>
      </c>
      <c r="E4970" s="70"/>
      <c r="F4970" s="70" t="s">
        <v>61</v>
      </c>
      <c r="G4970" s="71"/>
      <c r="H4970" s="699" t="s">
        <v>62</v>
      </c>
      <c r="I4970" s="699" t="s">
        <v>18</v>
      </c>
      <c r="J4970" s="699" t="s">
        <v>63</v>
      </c>
      <c r="K4970" s="699" t="s">
        <v>64</v>
      </c>
      <c r="L4970" s="699" t="s">
        <v>65</v>
      </c>
      <c r="M4970" s="743" t="s">
        <v>66</v>
      </c>
      <c r="N4970" s="699" t="s">
        <v>282</v>
      </c>
      <c r="O4970" s="745" t="s">
        <v>67</v>
      </c>
      <c r="P4970" s="746"/>
      <c r="Q4970" s="102" t="s">
        <v>75</v>
      </c>
      <c r="R4970" s="731" t="s">
        <v>22</v>
      </c>
      <c r="S4970" s="732"/>
      <c r="T4970" s="733"/>
      <c r="U4970" s="712" t="s">
        <v>298</v>
      </c>
      <c r="W4970" s="690" t="s">
        <v>268</v>
      </c>
      <c r="X4970" s="691"/>
      <c r="Y4970" s="692"/>
      <c r="Z4970" s="428"/>
      <c r="AA4970" s="697" t="s">
        <v>315</v>
      </c>
      <c r="AB4970" s="695" t="s">
        <v>322</v>
      </c>
      <c r="AC4970" s="49"/>
      <c r="AD4970" s="690" t="s">
        <v>297</v>
      </c>
      <c r="AE4970" s="691"/>
      <c r="AF4970" s="692"/>
      <c r="AG4970" s="49"/>
      <c r="AH4970" s="87"/>
      <c r="AI4970" s="87"/>
    </row>
    <row r="4971" spans="1:35" ht="72" hidden="1">
      <c r="A4971" s="44"/>
      <c r="B4971" s="710"/>
      <c r="C4971" s="553" t="s">
        <v>68</v>
      </c>
      <c r="D4971" s="73" t="s">
        <v>3</v>
      </c>
      <c r="E4971" s="73" t="s">
        <v>19</v>
      </c>
      <c r="F4971" s="73" t="s">
        <v>69</v>
      </c>
      <c r="G4971" s="74" t="s">
        <v>70</v>
      </c>
      <c r="H4971" s="700"/>
      <c r="I4971" s="700"/>
      <c r="J4971" s="700"/>
      <c r="K4971" s="700"/>
      <c r="L4971" s="700"/>
      <c r="M4971" s="744"/>
      <c r="N4971" s="700"/>
      <c r="O4971" s="553" t="s">
        <v>279</v>
      </c>
      <c r="P4971" s="73" t="s">
        <v>88</v>
      </c>
      <c r="Q4971" s="555" t="s">
        <v>76</v>
      </c>
      <c r="R4971" s="734"/>
      <c r="S4971" s="735"/>
      <c r="T4971" s="736"/>
      <c r="U4971" s="712"/>
      <c r="W4971" s="429" t="s">
        <v>269</v>
      </c>
      <c r="X4971" s="457" t="s">
        <v>278</v>
      </c>
      <c r="Y4971" s="430" t="s">
        <v>324</v>
      </c>
      <c r="Z4971" s="428"/>
      <c r="AA4971" s="698"/>
      <c r="AB4971" s="696"/>
      <c r="AC4971" s="49"/>
      <c r="AD4971" s="429" t="s">
        <v>292</v>
      </c>
      <c r="AE4971" s="431" t="s">
        <v>300</v>
      </c>
      <c r="AF4971" s="468" t="s">
        <v>301</v>
      </c>
      <c r="AG4971" s="49"/>
      <c r="AH4971" s="87"/>
      <c r="AI4971" s="87"/>
    </row>
    <row r="4972" spans="1:35" hidden="1">
      <c r="A4972" s="44"/>
      <c r="B4972" s="76"/>
      <c r="C4972" s="77"/>
      <c r="D4972" s="77"/>
      <c r="E4972" s="77"/>
      <c r="F4972" s="77"/>
      <c r="G4972" s="77"/>
      <c r="H4972" s="77"/>
      <c r="I4972" s="77"/>
      <c r="J4972" s="77"/>
      <c r="K4972" s="77"/>
      <c r="L4972" s="77"/>
      <c r="M4972" s="77"/>
      <c r="N4972" s="77"/>
      <c r="O4972" s="77"/>
      <c r="P4972" s="77"/>
      <c r="Q4972" s="77"/>
      <c r="R4972" s="77"/>
      <c r="S4972" s="78"/>
      <c r="T4972" s="79"/>
      <c r="U4972" s="109"/>
      <c r="V4972" s="49"/>
      <c r="W4972" s="432"/>
      <c r="X4972" s="454"/>
      <c r="Y4972" s="433"/>
      <c r="Z4972" s="6"/>
      <c r="AA4972" s="500"/>
      <c r="AB4972" s="562"/>
      <c r="AC4972" s="49"/>
      <c r="AD4972" s="210"/>
      <c r="AE4972" s="434"/>
      <c r="AF4972" s="435"/>
      <c r="AG4972" s="49"/>
      <c r="AH4972" s="87"/>
      <c r="AI4972" s="87"/>
    </row>
    <row r="4973" spans="1:35" hidden="1">
      <c r="A4973" s="80" t="e">
        <f>"A"&amp;E4969</f>
        <v>#N/A</v>
      </c>
      <c r="B4973" s="81">
        <v>1</v>
      </c>
      <c r="C4973" s="82"/>
      <c r="D4973" s="82"/>
      <c r="E4973" s="82"/>
      <c r="F4973" s="82"/>
      <c r="G4973" s="83"/>
      <c r="H4973" s="83"/>
      <c r="I4973" s="84"/>
      <c r="J4973" s="85"/>
      <c r="K4973" s="382"/>
      <c r="L4973" s="85"/>
      <c r="M4973" s="332" t="str">
        <f t="shared" ref="M4973:M4982" si="1474">IF(OR(J4973="",L4973="",H4973="NO"),"",IF(OR(J4973&gt;$P$17,J4973&lt;$O$17,L4973&gt;$P$17,AND(J4973&lt;$O$17,L4973&lt;$O$17)),"FUERA DE RANGO",IF(OR(K4973="---",K4973=""),IF(J4973&gt;=$O$17,ROUND((L4973-J4973+1)/360*12,3),ROUND((L4973-$O$17+1)/360*12,3)),IF(J4973&gt;=$O$17,ROUND((L4973-J4973+1)/360*12-ROUND(K4973,3),3),ROUND((L4973-$O$17+1)/360*12-ROUND(K4973,3),3)))))</f>
        <v/>
      </c>
      <c r="N4973" s="86"/>
      <c r="O4973" s="453" t="str">
        <f>IF(OR(G4973="",N4973=""),"",N4973*G4973)</f>
        <v/>
      </c>
      <c r="P4973" s="538" t="str">
        <f>IF(OR(H4973="",M4973="FUERA DE RANGO"),"",IF(OR(L4973&lt;$O$17,L4973&gt;$P$17,L4973="",H4973="NO"),"",IF(OR(N4973="",O4973=""),"",ROUND(O4973,3))))</f>
        <v/>
      </c>
      <c r="Q4973" s="539" t="str">
        <f t="shared" ref="Q4973:Q4982" si="1475">IF(AND(H4973="SI",P4973&lt;&gt;""),ROUND(P4973/M4973,3),"")</f>
        <v/>
      </c>
      <c r="R4973" s="737"/>
      <c r="S4973" s="738"/>
      <c r="T4973" s="739"/>
      <c r="U4973" s="470"/>
      <c r="V4973" s="165"/>
      <c r="W4973" s="446"/>
      <c r="X4973" s="456"/>
      <c r="Y4973" s="436"/>
      <c r="Z4973" s="437"/>
      <c r="AA4973" s="560"/>
      <c r="AB4973" s="561"/>
      <c r="AC4973" s="87"/>
      <c r="AD4973" s="466"/>
      <c r="AE4973" s="456"/>
      <c r="AF4973" s="467"/>
      <c r="AG4973" s="87"/>
      <c r="AH4973" s="87"/>
      <c r="AI4973" s="87"/>
    </row>
    <row r="4974" spans="1:35" hidden="1">
      <c r="A4974" s="80" t="e">
        <f>"B"&amp;E4969</f>
        <v>#N/A</v>
      </c>
      <c r="B4974" s="81">
        <v>2</v>
      </c>
      <c r="C4974" s="106"/>
      <c r="D4974" s="106"/>
      <c r="E4974" s="106"/>
      <c r="F4974" s="106"/>
      <c r="G4974" s="83"/>
      <c r="H4974" s="83"/>
      <c r="I4974" s="84"/>
      <c r="J4974" s="85"/>
      <c r="K4974" s="382"/>
      <c r="L4974" s="85"/>
      <c r="M4974" s="332" t="str">
        <f t="shared" si="1474"/>
        <v/>
      </c>
      <c r="N4974" s="86"/>
      <c r="O4974" s="453" t="str">
        <f t="shared" ref="O4974:O4982" si="1476">IF(OR(G4974="",N4974=""),"",N4974*G4974)</f>
        <v/>
      </c>
      <c r="P4974" s="538" t="str">
        <f t="shared" ref="P4974:P4982" si="1477">IF(OR(H4974="",M4974="FUERA DE RANGO"),"",IF(OR(L4974&lt;$O$17,L4974&gt;$P$17,L4974="",H4974="NO"),"",IF(OR(N4974="",O4974=""),"",ROUND(O4974,3))))</f>
        <v/>
      </c>
      <c r="Q4974" s="539" t="str">
        <f t="shared" si="1475"/>
        <v/>
      </c>
      <c r="R4974" s="740"/>
      <c r="S4974" s="741"/>
      <c r="T4974" s="742"/>
      <c r="U4974" s="471"/>
      <c r="V4974" s="165"/>
      <c r="W4974" s="446"/>
      <c r="X4974" s="456"/>
      <c r="Y4974" s="436"/>
      <c r="Z4974" s="437"/>
      <c r="AA4974" s="560"/>
      <c r="AB4974" s="561"/>
      <c r="AC4974" s="87"/>
      <c r="AD4974" s="466"/>
      <c r="AE4974" s="456"/>
      <c r="AF4974" s="467"/>
      <c r="AG4974" s="87"/>
      <c r="AH4974" s="87"/>
      <c r="AI4974" s="87"/>
    </row>
    <row r="4975" spans="1:35" hidden="1">
      <c r="A4975" s="80" t="e">
        <f>"C"&amp;E4969</f>
        <v>#N/A</v>
      </c>
      <c r="B4975" s="88">
        <v>3</v>
      </c>
      <c r="C4975" s="82"/>
      <c r="D4975" s="82"/>
      <c r="E4975" s="82"/>
      <c r="F4975" s="82"/>
      <c r="G4975" s="83"/>
      <c r="H4975" s="83"/>
      <c r="I4975" s="84"/>
      <c r="J4975" s="85"/>
      <c r="K4975" s="382"/>
      <c r="L4975" s="85"/>
      <c r="M4975" s="332" t="str">
        <f t="shared" si="1474"/>
        <v/>
      </c>
      <c r="N4975" s="86"/>
      <c r="O4975" s="453" t="str">
        <f t="shared" si="1476"/>
        <v/>
      </c>
      <c r="P4975" s="538" t="str">
        <f t="shared" si="1477"/>
        <v/>
      </c>
      <c r="Q4975" s="539" t="str">
        <f t="shared" si="1475"/>
        <v/>
      </c>
      <c r="R4975" s="706"/>
      <c r="S4975" s="707"/>
      <c r="T4975" s="708"/>
      <c r="U4975" s="472"/>
      <c r="V4975" s="166"/>
      <c r="W4975" s="446"/>
      <c r="X4975" s="456"/>
      <c r="Y4975" s="436"/>
      <c r="Z4975" s="437"/>
      <c r="AA4975" s="560"/>
      <c r="AB4975" s="561"/>
      <c r="AC4975" s="87"/>
      <c r="AD4975" s="466"/>
      <c r="AE4975" s="456"/>
      <c r="AF4975" s="467"/>
      <c r="AG4975" s="87"/>
      <c r="AH4975" s="87"/>
      <c r="AI4975" s="87"/>
    </row>
    <row r="4976" spans="1:35" hidden="1">
      <c r="A4976" s="80" t="e">
        <f>"D"&amp;E4969</f>
        <v>#N/A</v>
      </c>
      <c r="B4976" s="105">
        <v>4</v>
      </c>
      <c r="C4976" s="107"/>
      <c r="D4976" s="107"/>
      <c r="E4976" s="107"/>
      <c r="F4976" s="107"/>
      <c r="G4976" s="83"/>
      <c r="H4976" s="83"/>
      <c r="I4976" s="84"/>
      <c r="J4976" s="85"/>
      <c r="K4976" s="382"/>
      <c r="L4976" s="85"/>
      <c r="M4976" s="332" t="str">
        <f t="shared" si="1474"/>
        <v/>
      </c>
      <c r="N4976" s="86"/>
      <c r="O4976" s="453" t="str">
        <f t="shared" si="1476"/>
        <v/>
      </c>
      <c r="P4976" s="538" t="str">
        <f t="shared" si="1477"/>
        <v/>
      </c>
      <c r="Q4976" s="539" t="str">
        <f t="shared" si="1475"/>
        <v/>
      </c>
      <c r="R4976" s="706"/>
      <c r="S4976" s="707"/>
      <c r="T4976" s="708"/>
      <c r="U4976" s="472"/>
      <c r="V4976" s="166"/>
      <c r="W4976" s="446"/>
      <c r="X4976" s="456"/>
      <c r="Y4976" s="436"/>
      <c r="Z4976" s="437"/>
      <c r="AA4976" s="560"/>
      <c r="AB4976" s="561"/>
      <c r="AC4976" s="87"/>
      <c r="AD4976" s="466"/>
      <c r="AE4976" s="456"/>
      <c r="AF4976" s="467"/>
      <c r="AG4976" s="87"/>
      <c r="AH4976" s="87"/>
      <c r="AI4976" s="87"/>
    </row>
    <row r="4977" spans="1:35" hidden="1">
      <c r="A4977" s="80" t="e">
        <f>"E"&amp;E4969</f>
        <v>#N/A</v>
      </c>
      <c r="B4977" s="105">
        <v>5</v>
      </c>
      <c r="C4977" s="107"/>
      <c r="D4977" s="107"/>
      <c r="E4977" s="107"/>
      <c r="F4977" s="107"/>
      <c r="G4977" s="83"/>
      <c r="H4977" s="83"/>
      <c r="I4977" s="84"/>
      <c r="J4977" s="85"/>
      <c r="K4977" s="382"/>
      <c r="L4977" s="85"/>
      <c r="M4977" s="332" t="str">
        <f t="shared" si="1474"/>
        <v/>
      </c>
      <c r="N4977" s="86"/>
      <c r="O4977" s="453" t="str">
        <f t="shared" si="1476"/>
        <v/>
      </c>
      <c r="P4977" s="538" t="str">
        <f t="shared" si="1477"/>
        <v/>
      </c>
      <c r="Q4977" s="539" t="str">
        <f t="shared" si="1475"/>
        <v/>
      </c>
      <c r="R4977" s="706"/>
      <c r="S4977" s="707"/>
      <c r="T4977" s="708"/>
      <c r="U4977" s="472"/>
      <c r="V4977" s="167"/>
      <c r="W4977" s="446"/>
      <c r="X4977" s="456"/>
      <c r="Y4977" s="436"/>
      <c r="Z4977" s="437"/>
      <c r="AA4977" s="560"/>
      <c r="AB4977" s="561"/>
      <c r="AC4977" s="87"/>
      <c r="AD4977" s="466"/>
      <c r="AE4977" s="456"/>
      <c r="AF4977" s="467"/>
      <c r="AG4977" s="87"/>
      <c r="AH4977" s="87"/>
      <c r="AI4977" s="87"/>
    </row>
    <row r="4978" spans="1:35" hidden="1">
      <c r="A4978" s="80" t="e">
        <f>"F"&amp;E4969</f>
        <v>#N/A</v>
      </c>
      <c r="B4978" s="105">
        <v>6</v>
      </c>
      <c r="C4978" s="107"/>
      <c r="D4978" s="107"/>
      <c r="E4978" s="107"/>
      <c r="F4978" s="107"/>
      <c r="G4978" s="83"/>
      <c r="H4978" s="83"/>
      <c r="I4978" s="84"/>
      <c r="J4978" s="85"/>
      <c r="K4978" s="382"/>
      <c r="L4978" s="85"/>
      <c r="M4978" s="332" t="str">
        <f t="shared" si="1474"/>
        <v/>
      </c>
      <c r="N4978" s="86"/>
      <c r="O4978" s="453" t="str">
        <f t="shared" si="1476"/>
        <v/>
      </c>
      <c r="P4978" s="538" t="str">
        <f t="shared" si="1477"/>
        <v/>
      </c>
      <c r="Q4978" s="539" t="str">
        <f t="shared" si="1475"/>
        <v/>
      </c>
      <c r="R4978" s="706"/>
      <c r="S4978" s="707"/>
      <c r="T4978" s="708"/>
      <c r="U4978" s="472"/>
      <c r="V4978" s="167"/>
      <c r="W4978" s="446"/>
      <c r="X4978" s="456"/>
      <c r="Y4978" s="436"/>
      <c r="Z4978" s="437"/>
      <c r="AA4978" s="560"/>
      <c r="AB4978" s="561"/>
      <c r="AC4978" s="87"/>
      <c r="AD4978" s="466"/>
      <c r="AE4978" s="456"/>
      <c r="AF4978" s="467"/>
      <c r="AG4978" s="87"/>
      <c r="AH4978" s="87"/>
      <c r="AI4978" s="87"/>
    </row>
    <row r="4979" spans="1:35" hidden="1">
      <c r="A4979" s="80" t="e">
        <f>"G"&amp;E4969</f>
        <v>#N/A</v>
      </c>
      <c r="B4979" s="105">
        <v>7</v>
      </c>
      <c r="C4979" s="107"/>
      <c r="D4979" s="107"/>
      <c r="E4979" s="107"/>
      <c r="F4979" s="107"/>
      <c r="G4979" s="83"/>
      <c r="H4979" s="83"/>
      <c r="I4979" s="84"/>
      <c r="J4979" s="85"/>
      <c r="K4979" s="382"/>
      <c r="L4979" s="85"/>
      <c r="M4979" s="332" t="str">
        <f t="shared" si="1474"/>
        <v/>
      </c>
      <c r="N4979" s="86"/>
      <c r="O4979" s="86" t="str">
        <f t="shared" si="1476"/>
        <v/>
      </c>
      <c r="P4979" s="538" t="str">
        <f t="shared" si="1477"/>
        <v/>
      </c>
      <c r="Q4979" s="539" t="str">
        <f t="shared" si="1475"/>
        <v/>
      </c>
      <c r="R4979" s="706"/>
      <c r="S4979" s="707"/>
      <c r="T4979" s="708"/>
      <c r="U4979" s="472"/>
      <c r="V4979" s="167"/>
      <c r="W4979" s="446"/>
      <c r="X4979" s="456"/>
      <c r="Y4979" s="436"/>
      <c r="Z4979" s="437"/>
      <c r="AA4979" s="560"/>
      <c r="AB4979" s="561"/>
      <c r="AC4979" s="87"/>
      <c r="AD4979" s="466"/>
      <c r="AE4979" s="456"/>
      <c r="AF4979" s="467"/>
      <c r="AG4979" s="87"/>
      <c r="AH4979" s="87"/>
      <c r="AI4979" s="87"/>
    </row>
    <row r="4980" spans="1:35" hidden="1">
      <c r="A4980" s="80" t="e">
        <f>"H"&amp;E4969</f>
        <v>#N/A</v>
      </c>
      <c r="B4980" s="105">
        <v>8</v>
      </c>
      <c r="C4980" s="107"/>
      <c r="D4980" s="107"/>
      <c r="E4980" s="107"/>
      <c r="F4980" s="107"/>
      <c r="G4980" s="83"/>
      <c r="H4980" s="83"/>
      <c r="I4980" s="84"/>
      <c r="J4980" s="85"/>
      <c r="K4980" s="382"/>
      <c r="L4980" s="85"/>
      <c r="M4980" s="332" t="str">
        <f t="shared" si="1474"/>
        <v/>
      </c>
      <c r="N4980" s="453"/>
      <c r="O4980" s="86" t="str">
        <f t="shared" si="1476"/>
        <v/>
      </c>
      <c r="P4980" s="538" t="str">
        <f t="shared" si="1477"/>
        <v/>
      </c>
      <c r="Q4980" s="539" t="str">
        <f t="shared" si="1475"/>
        <v/>
      </c>
      <c r="R4980" s="706"/>
      <c r="S4980" s="707"/>
      <c r="T4980" s="708"/>
      <c r="U4980" s="472"/>
      <c r="V4980" s="167"/>
      <c r="W4980" s="446"/>
      <c r="X4980" s="456"/>
      <c r="Y4980" s="436"/>
      <c r="Z4980" s="437"/>
      <c r="AA4980" s="560"/>
      <c r="AB4980" s="561"/>
      <c r="AC4980" s="87"/>
      <c r="AD4980" s="466"/>
      <c r="AE4980" s="456"/>
      <c r="AF4980" s="467"/>
      <c r="AG4980" s="87"/>
      <c r="AH4980" s="87"/>
      <c r="AI4980" s="87"/>
    </row>
    <row r="4981" spans="1:35" hidden="1">
      <c r="A4981" s="80" t="e">
        <f>"I"&amp;E4969</f>
        <v>#N/A</v>
      </c>
      <c r="B4981" s="105">
        <v>9</v>
      </c>
      <c r="C4981" s="107"/>
      <c r="D4981" s="107"/>
      <c r="E4981" s="107"/>
      <c r="F4981" s="107"/>
      <c r="G4981" s="83"/>
      <c r="H4981" s="83"/>
      <c r="I4981" s="84"/>
      <c r="J4981" s="85"/>
      <c r="K4981" s="382"/>
      <c r="L4981" s="85"/>
      <c r="M4981" s="332" t="str">
        <f t="shared" si="1474"/>
        <v/>
      </c>
      <c r="N4981" s="453"/>
      <c r="O4981" s="86" t="str">
        <f t="shared" si="1476"/>
        <v/>
      </c>
      <c r="P4981" s="538" t="str">
        <f t="shared" si="1477"/>
        <v/>
      </c>
      <c r="Q4981" s="539" t="str">
        <f t="shared" si="1475"/>
        <v/>
      </c>
      <c r="R4981" s="706"/>
      <c r="S4981" s="707"/>
      <c r="T4981" s="708"/>
      <c r="U4981" s="472"/>
      <c r="V4981" s="167"/>
      <c r="W4981" s="446"/>
      <c r="X4981" s="456"/>
      <c r="Y4981" s="436"/>
      <c r="Z4981" s="437"/>
      <c r="AA4981" s="560"/>
      <c r="AB4981" s="561"/>
      <c r="AC4981" s="87"/>
      <c r="AD4981" s="466"/>
      <c r="AE4981" s="456"/>
      <c r="AF4981" s="467"/>
      <c r="AG4981" s="87"/>
      <c r="AH4981" s="87"/>
      <c r="AI4981" s="87"/>
    </row>
    <row r="4982" spans="1:35" hidden="1">
      <c r="A4982" s="80" t="e">
        <f>"J"&amp;E4969</f>
        <v>#N/A</v>
      </c>
      <c r="B4982" s="105">
        <v>10</v>
      </c>
      <c r="C4982" s="107"/>
      <c r="D4982" s="107"/>
      <c r="E4982" s="107"/>
      <c r="F4982" s="107"/>
      <c r="G4982" s="83"/>
      <c r="H4982" s="83"/>
      <c r="I4982" s="84"/>
      <c r="J4982" s="85"/>
      <c r="K4982" s="382"/>
      <c r="L4982" s="85"/>
      <c r="M4982" s="332" t="str">
        <f t="shared" si="1474"/>
        <v/>
      </c>
      <c r="N4982" s="453"/>
      <c r="O4982" s="86" t="str">
        <f t="shared" si="1476"/>
        <v/>
      </c>
      <c r="P4982" s="538" t="str">
        <f t="shared" si="1477"/>
        <v/>
      </c>
      <c r="Q4982" s="539" t="str">
        <f t="shared" si="1475"/>
        <v/>
      </c>
      <c r="R4982" s="706"/>
      <c r="S4982" s="707"/>
      <c r="T4982" s="708"/>
      <c r="U4982" s="472"/>
      <c r="V4982" s="167"/>
      <c r="W4982" s="446"/>
      <c r="X4982" s="456"/>
      <c r="Y4982" s="436"/>
      <c r="Z4982" s="437"/>
      <c r="AA4982" s="560"/>
      <c r="AB4982" s="561"/>
      <c r="AC4982" s="87"/>
      <c r="AD4982" s="466"/>
      <c r="AE4982" s="456"/>
      <c r="AF4982" s="467"/>
      <c r="AG4982" s="87"/>
      <c r="AH4982" s="87"/>
      <c r="AI4982" s="87"/>
    </row>
    <row r="4983" spans="1:35" ht="16.5" hidden="1" thickBot="1">
      <c r="A4983" s="44"/>
      <c r="B4983" s="89"/>
      <c r="C4983" s="90"/>
      <c r="D4983" s="90"/>
      <c r="E4983" s="90"/>
      <c r="F4983" s="90"/>
      <c r="G4983" s="90"/>
      <c r="H4983" s="90"/>
      <c r="I4983" s="90"/>
      <c r="J4983" s="90"/>
      <c r="K4983" s="90"/>
      <c r="L4983" s="90"/>
      <c r="M4983" s="90"/>
      <c r="N4983" s="90"/>
      <c r="O4983" s="90"/>
      <c r="P4983" s="90"/>
      <c r="Q4983" s="90"/>
      <c r="R4983" s="90"/>
      <c r="S4983" s="91"/>
      <c r="T4983" s="92"/>
      <c r="U4983" s="473"/>
      <c r="W4983" s="438"/>
      <c r="X4983" s="455"/>
      <c r="Y4983" s="439"/>
      <c r="Z4983" s="437"/>
      <c r="AA4983" s="530"/>
      <c r="AB4983" s="563"/>
      <c r="AC4983" s="87"/>
      <c r="AD4983" s="440"/>
      <c r="AE4983" s="441"/>
      <c r="AF4983" s="442"/>
      <c r="AG4983" s="49"/>
      <c r="AH4983" s="87"/>
      <c r="AI4983" s="87"/>
    </row>
    <row r="4984" spans="1:35" ht="16.5" hidden="1" thickBot="1">
      <c r="A4984" s="93"/>
      <c r="B4984" s="94"/>
      <c r="C4984" s="96"/>
      <c r="D4984" s="96"/>
      <c r="E4984" s="96"/>
      <c r="F4984" s="96"/>
      <c r="G4984" s="96"/>
      <c r="H4984" s="96"/>
      <c r="I4984" s="96"/>
      <c r="J4984" s="96"/>
      <c r="K4984" s="96"/>
      <c r="L4984" s="96"/>
      <c r="M4984" s="136"/>
      <c r="N4984" s="96"/>
      <c r="O4984" s="96"/>
      <c r="P4984" s="97"/>
      <c r="Q4984" s="97"/>
      <c r="R4984" s="98"/>
      <c r="S4984" s="95"/>
      <c r="T4984" s="99"/>
      <c r="U4984" s="469"/>
      <c r="AC4984" s="58"/>
      <c r="AG4984" s="58"/>
      <c r="AH4984" s="87"/>
      <c r="AI4984" s="87"/>
    </row>
    <row r="4985" spans="1:35" ht="16.5" hidden="1" thickBot="1">
      <c r="B4985" s="101"/>
      <c r="C4985" s="101"/>
      <c r="D4985" s="101"/>
      <c r="E4985" s="101"/>
      <c r="F4985" s="101"/>
      <c r="G4985" s="101"/>
      <c r="H4985" s="101"/>
      <c r="I4985" s="101"/>
      <c r="J4985" s="101"/>
      <c r="K4985" s="101"/>
      <c r="L4985" s="101"/>
      <c r="M4985" s="101"/>
      <c r="N4985" s="101"/>
      <c r="O4985" s="101"/>
      <c r="P4985" s="101"/>
      <c r="Q4985" s="101"/>
      <c r="R4985" s="101"/>
      <c r="S4985" s="101"/>
      <c r="U4985" s="50"/>
      <c r="AH4985" s="87"/>
      <c r="AI4985" s="87"/>
    </row>
    <row r="4986" spans="1:35" ht="16.5" hidden="1" customHeight="1" thickBot="1">
      <c r="A4986" s="44"/>
      <c r="B4986" s="705" t="s">
        <v>74</v>
      </c>
      <c r="C4986" s="705"/>
      <c r="D4986" s="705"/>
      <c r="E4986" s="705"/>
      <c r="F4986" s="705"/>
      <c r="G4986" s="705"/>
      <c r="H4986" s="705"/>
      <c r="I4986" s="705"/>
      <c r="J4986" s="705"/>
      <c r="K4986" s="705"/>
      <c r="L4986" s="705"/>
      <c r="M4986" s="705"/>
      <c r="N4986" s="705"/>
      <c r="O4986" s="705"/>
      <c r="P4986" s="705"/>
      <c r="Q4986" s="705"/>
      <c r="R4986" s="705"/>
      <c r="S4986" s="705"/>
      <c r="T4986" s="705"/>
      <c r="U4986" s="108"/>
      <c r="Y4986" s="532" t="s">
        <v>341</v>
      </c>
      <c r="AC4986" s="49"/>
      <c r="AD4986" s="687" t="s">
        <v>302</v>
      </c>
      <c r="AE4986" s="688"/>
      <c r="AF4986" s="689"/>
      <c r="AG4986" s="49"/>
      <c r="AH4986" s="87"/>
      <c r="AI4986" s="87"/>
    </row>
    <row r="4987" spans="1:35" ht="16.5" hidden="1" customHeight="1" thickBot="1">
      <c r="A4987" s="218" t="e">
        <f>"K"&amp;E4969</f>
        <v>#N/A</v>
      </c>
      <c r="B4987" s="701" t="s">
        <v>71</v>
      </c>
      <c r="C4987" s="751" t="s">
        <v>102</v>
      </c>
      <c r="D4987" s="751"/>
      <c r="E4987" s="751"/>
      <c r="F4987" s="751"/>
      <c r="G4987" s="751"/>
      <c r="H4987" s="751"/>
      <c r="I4987" s="751"/>
      <c r="J4987" s="751"/>
      <c r="K4987" s="751"/>
      <c r="L4987" s="722" t="s">
        <v>100</v>
      </c>
      <c r="M4987" s="747" t="s">
        <v>114</v>
      </c>
      <c r="N4987" s="747"/>
      <c r="O4987" s="747"/>
      <c r="P4987" s="747"/>
      <c r="Q4987" s="748"/>
      <c r="R4987" s="758" t="s">
        <v>280</v>
      </c>
      <c r="S4987" s="748"/>
      <c r="T4987" s="762" t="str">
        <f>IF(COUNTIF(AE4987:AF4987,"VERIFICAR")&gt;0,"VERIFICAR",IF(COUNTIF(AE4987:AF4987,"NO CUMPLE")&gt;0,"NO CUMPLE","CUMPLE"))</f>
        <v>VERIFICAR</v>
      </c>
      <c r="U4987" s="108"/>
      <c r="Y4987" s="533" t="e">
        <f>IF(F4988="","",IF(F4988=1,"INDIVIDUAL","ESTRUCTURA PLURAL"))</f>
        <v>#N/A</v>
      </c>
      <c r="AC4987" s="52"/>
      <c r="AD4987" s="475" t="s">
        <v>303</v>
      </c>
      <c r="AE4987" s="476" t="str">
        <f>IF(COUNTIF(AE4973:AE4982,"")=10,"VERIFICAR",IF(COUNTIF(AE4973:AE4982,"SI")&gt;0,"CUMPLE","NO CUMPLE"))</f>
        <v>VERIFICAR</v>
      </c>
      <c r="AF4987" s="477" t="str">
        <f>IF(COUNTIF(AF4973:AF4982,"")=10,"VERIFICAR",IF(COUNTIF(AF4973:AF4982,"SI")&gt;=$AI$22,"CUMPLE","NO CUMPLE"))</f>
        <v>VERIFICAR</v>
      </c>
      <c r="AG4987" s="52"/>
      <c r="AH4987" s="87"/>
      <c r="AI4987" s="87"/>
    </row>
    <row r="4988" spans="1:35" ht="15.75" hidden="1" customHeight="1" thickBot="1">
      <c r="A4988" s="218" t="e">
        <f>"L"&amp;E4969</f>
        <v>#N/A</v>
      </c>
      <c r="B4988" s="702"/>
      <c r="C4988" s="751" t="s">
        <v>103</v>
      </c>
      <c r="D4988" s="751"/>
      <c r="E4988" s="752"/>
      <c r="F4988" s="557" t="e">
        <f>IF(VLOOKUP(E4969,PROPONENTES!$C$19:$E$218,3,0)="","",VLOOKUP(E4969,PROPONENTES!$C$19:$E$218,3,0))</f>
        <v>#N/A</v>
      </c>
      <c r="G4988" s="753" t="s">
        <v>104</v>
      </c>
      <c r="H4988" s="751"/>
      <c r="I4988" s="715" t="e">
        <f>IF(OR(F4988="",F4988=1),"INTERESADO PERSONA NATURAL O JURIDICA","CONSORCIO O UNION TEMPORAL")</f>
        <v>#N/A</v>
      </c>
      <c r="J4988" s="725"/>
      <c r="K4988" s="728"/>
      <c r="L4988" s="723"/>
      <c r="M4988" s="749"/>
      <c r="N4988" s="749"/>
      <c r="O4988" s="749"/>
      <c r="P4988" s="749"/>
      <c r="Q4988" s="750"/>
      <c r="R4988" s="712"/>
      <c r="S4988" s="750"/>
      <c r="T4988" s="763"/>
      <c r="U4988" s="108"/>
      <c r="Y4988" s="534"/>
      <c r="AA4988" s="52"/>
      <c r="AB4988" s="52"/>
      <c r="AC4988" s="52"/>
      <c r="AG4988" s="52"/>
      <c r="AH4988" s="87"/>
      <c r="AI4988" s="87"/>
    </row>
    <row r="4989" spans="1:35" ht="56.25" hidden="1" customHeight="1" thickBot="1">
      <c r="A4989" s="218" t="e">
        <f>"M"&amp;E4969</f>
        <v>#N/A</v>
      </c>
      <c r="B4989" s="702"/>
      <c r="C4989" s="725" t="s">
        <v>101</v>
      </c>
      <c r="D4989" s="716"/>
      <c r="E4989" s="558" t="s">
        <v>105</v>
      </c>
      <c r="F4989" s="554" t="s">
        <v>87</v>
      </c>
      <c r="G4989" s="553" t="s">
        <v>86</v>
      </c>
      <c r="H4989" s="559" t="s">
        <v>85</v>
      </c>
      <c r="I4989" s="554" t="s">
        <v>252</v>
      </c>
      <c r="J4989" s="553" t="str">
        <f>"¿EL INTEGRANTE TIENE UNA PARTICIPACIÓN DEL "&amp;PORCREQUERIDOINT*100&amp;"%?"</f>
        <v>¿EL INTEGRANTE TIENE UNA PARTICIPACIÓN DEL 60%?</v>
      </c>
      <c r="K4989" s="554" t="s">
        <v>107</v>
      </c>
      <c r="L4989" s="724"/>
      <c r="M4989" s="717" t="s">
        <v>115</v>
      </c>
      <c r="N4989" s="718"/>
      <c r="O4989" s="718"/>
      <c r="P4989" s="718"/>
      <c r="Q4989" s="223">
        <f>IF(AND(H4973="SI",P4973&gt;=0),1,0)+IF(AND(H4974="SI",P4974&gt;=0),1,0)+IF(AND(H4975="SI",P4975&gt;=0),1,0)+IF(AND(H4976="SI",P4976&gt;=0),1,0)+IF(AND(H4977="SI",P4977&gt;=0),1,0)+IF(AND(H4978="SI",P4978&gt;=0),1,0)+IF(AND(H4979="SI",P4979&gt;=0),1,0)+IF(AND(H4980="SI",P4980&gt;=0),1,0)+IF(AND(H4981="SI",P4981&gt;=0),1,0)+IF(AND(H4982="SI",P4982&gt;=0),1,0)</f>
        <v>0</v>
      </c>
      <c r="R4989" s="759"/>
      <c r="S4989" s="761"/>
      <c r="T4989" s="764"/>
      <c r="U4989" s="219"/>
      <c r="V4989" s="464"/>
      <c r="Y4989" s="532" t="s">
        <v>342</v>
      </c>
      <c r="AA4989" s="550" t="s">
        <v>344</v>
      </c>
      <c r="AB4989" s="693" t="s">
        <v>345</v>
      </c>
      <c r="AC4989" s="693" t="s">
        <v>346</v>
      </c>
      <c r="AD4989" s="685" t="s">
        <v>347</v>
      </c>
      <c r="AE4989" s="52"/>
      <c r="AF4989" s="52"/>
      <c r="AG4989" s="52"/>
      <c r="AH4989" s="87"/>
      <c r="AI4989" s="87"/>
    </row>
    <row r="4990" spans="1:35" ht="15.75" hidden="1" customHeight="1" thickBot="1">
      <c r="A4990" s="218" t="e">
        <f>"N"&amp;E4969</f>
        <v>#N/A</v>
      </c>
      <c r="B4990" s="702"/>
      <c r="C4990" s="114">
        <v>1</v>
      </c>
      <c r="D4990" s="194" t="e">
        <f>IF(AND(C4990&lt;=F4988,F4988&gt;1,F4988&lt;&gt;""),VLOOKUP(VALUE(E4969&amp;","&amp;C4990),INTEGRANTES!$D$18:$F$235,2,0),"")</f>
        <v>#N/A</v>
      </c>
      <c r="E4990" s="211" t="e">
        <f>IF(D4990&lt;&gt;"",VLOOKUP(VALUE(E4969&amp;","&amp;C4990),INTEGRANTES!$D$18:$F$235,3,0),"")</f>
        <v>#N/A</v>
      </c>
      <c r="F4990" s="547" t="e">
        <f>IF(D4990="","",SUMIF($I4973:$I4982,D4990,$P4973:$P4982))</f>
        <v>#N/A</v>
      </c>
      <c r="G4990" s="333" t="e">
        <f>IF(D4990="","",SUMIF($I4973:$I4982,D4990,$M4973:$M4982))</f>
        <v>#N/A</v>
      </c>
      <c r="H4990" s="535" t="e">
        <f t="shared" ref="H4990:H4995" si="1478">IF(D4990="","",IF(OR(F4990=0,G4990=0),"NO APORTA",ROUND($F4990/$G4990,3)))</f>
        <v>#N/A</v>
      </c>
      <c r="I4990" s="212" t="e">
        <f>IF(D4990="","",IF(H4990="NO APORTA","NO",IF(H4990=MAX($H4990:$H4995),"SI","NO")))</f>
        <v>#N/A</v>
      </c>
      <c r="J4990" s="213" t="e">
        <f t="shared" ref="J4990:J4995" si="1479">IF(D4990="","",IF(E4990&gt;=PORCREQUERIDOINT,"SI","NO"))</f>
        <v>#N/A</v>
      </c>
      <c r="K4990" s="200" t="e">
        <f t="shared" ref="K4990:K4995" si="1480">IF(D4990="","",IF(AND(I4990="SI",J4990="SI"),"CUMPLE",IF(AND(I4990="NO",OR(J4990="SI",J4990="NO")),"","NO CUMPLE")))</f>
        <v>#N/A</v>
      </c>
      <c r="L4990" s="722" t="s">
        <v>108</v>
      </c>
      <c r="M4990" s="726" t="s">
        <v>119</v>
      </c>
      <c r="N4990" s="726"/>
      <c r="O4990" s="726"/>
      <c r="P4990" s="726"/>
      <c r="Q4990" s="727"/>
      <c r="R4990" s="758" t="s">
        <v>80</v>
      </c>
      <c r="S4990" s="747"/>
      <c r="T4990" s="748"/>
      <c r="U4990" s="219"/>
      <c r="V4990" s="464"/>
      <c r="Y4990" s="533" t="e">
        <f>IF(Y4987="","",IF(Y4987="INDIVIDUAL","NO APLICA","VERIFICAR CUADRO"))</f>
        <v>#N/A</v>
      </c>
      <c r="AA4990" s="551"/>
      <c r="AB4990" s="694"/>
      <c r="AC4990" s="694"/>
      <c r="AD4990" s="686"/>
      <c r="AE4990" s="52"/>
      <c r="AF4990" s="52"/>
      <c r="AG4990" s="52"/>
      <c r="AH4990" s="87"/>
      <c r="AI4990" s="87"/>
    </row>
    <row r="4991" spans="1:35" ht="27" hidden="1" customHeight="1" thickBot="1">
      <c r="A4991" s="218" t="e">
        <f>"O"&amp;E4969</f>
        <v>#N/A</v>
      </c>
      <c r="B4991" s="702"/>
      <c r="C4991" s="114">
        <v>2</v>
      </c>
      <c r="D4991" s="194" t="e">
        <f>IF(AND(C4991&lt;=F4988,F4988&lt;&gt;""),VLOOKUP(VALUE(E4969&amp;","&amp;C4991),INTEGRANTES!$D$18:$F$235,2,0),"")</f>
        <v>#N/A</v>
      </c>
      <c r="E4991" s="211" t="e">
        <f>IF(D4991&lt;&gt;"",VLOOKUP(VALUE(E4969&amp;","&amp;C4991),INTEGRANTES!$D$18:$F$235,3,0),"")</f>
        <v>#N/A</v>
      </c>
      <c r="F4991" s="547" t="e">
        <f>IF(D4991="","",SUMIF($I4973:$I4982,D4991,$P4973:$P4982))</f>
        <v>#N/A</v>
      </c>
      <c r="G4991" s="333" t="e">
        <f>IF(D4991="","",SUMIF($I4973:$I4982,D4991,$M4973:$M4982))</f>
        <v>#N/A</v>
      </c>
      <c r="H4991" s="535" t="e">
        <f t="shared" si="1478"/>
        <v>#N/A</v>
      </c>
      <c r="I4991" s="212" t="e">
        <f>IF(D4991="","",IF(H4991="NO APORTA","NO",IF(H4991=MAX($H4990:$H4995),"SI","NO")))</f>
        <v>#N/A</v>
      </c>
      <c r="J4991" s="213" t="e">
        <f t="shared" si="1479"/>
        <v>#N/A</v>
      </c>
      <c r="K4991" s="200" t="e">
        <f t="shared" si="1480"/>
        <v>#N/A</v>
      </c>
      <c r="L4991" s="723"/>
      <c r="M4991" s="715" t="s">
        <v>116</v>
      </c>
      <c r="N4991" s="716"/>
      <c r="O4991" s="556" t="s">
        <v>113</v>
      </c>
      <c r="P4991" s="715" t="s">
        <v>117</v>
      </c>
      <c r="Q4991" s="728"/>
      <c r="R4991" s="759"/>
      <c r="S4991" s="760"/>
      <c r="T4991" s="761"/>
      <c r="U4991" s="219"/>
      <c r="V4991" s="464"/>
      <c r="Y4991" s="414"/>
      <c r="AA4991" s="542" t="e">
        <f>IF(AND(C4990&lt;=F4988,F4988&gt;1,F4988&lt;&gt;""),VLOOKUP(VALUE(E4969&amp;","&amp;C4990),INTEGRANTES!$D$18:$F$235,2,0),"")</f>
        <v>#N/A</v>
      </c>
      <c r="AB4991" s="544" t="e">
        <f t="shared" ref="AB4991:AB4996" si="1481">IF(D4990="","",IF(OR(F4990=0,G4990=0),"NO APORTA",ROUND($F4990/$G4990,3)))</f>
        <v>#N/A</v>
      </c>
      <c r="AC4991" s="529"/>
      <c r="AD4991" s="200" t="e">
        <f t="shared" ref="AD4991:AD4996" si="1482">IF(OR(AA4991="",AB4991=""),"",IF(AND(AC4991="X",AB4991&gt;=EXPREQVTD),"CUMPLE","NO CUMPLE"))</f>
        <v>#N/A</v>
      </c>
      <c r="AE4991" s="52"/>
      <c r="AF4991" s="52"/>
      <c r="AG4991" s="52"/>
      <c r="AH4991" s="87"/>
      <c r="AI4991" s="87"/>
    </row>
    <row r="4992" spans="1:35" ht="16.5" hidden="1" thickBot="1">
      <c r="A4992" s="218" t="e">
        <f>"P"&amp;E4969</f>
        <v>#N/A</v>
      </c>
      <c r="B4992" s="702"/>
      <c r="C4992" s="114">
        <v>3</v>
      </c>
      <c r="D4992" s="194" t="e">
        <f>IF(AND(C4992&lt;=F4988,F4988&lt;&gt;""),VLOOKUP(VALUE(E4969&amp;","&amp;C4992),INTEGRANTES!$D$18:$F$235,2,0),"")</f>
        <v>#N/A</v>
      </c>
      <c r="E4992" s="211" t="e">
        <f>IF(D4992&lt;&gt;"",VLOOKUP(VALUE(E4969&amp;","&amp;C4992),INTEGRANTES!$D$18:$F$235,3,0),"")</f>
        <v>#N/A</v>
      </c>
      <c r="F4992" s="547" t="e">
        <f>IF(D4992="","",SUMIF($I4973:$I4982,D4992,$P4973:$P4982))</f>
        <v>#N/A</v>
      </c>
      <c r="G4992" s="333" t="e">
        <f>IF(D4992="","",SUMIF($I4973:$I4982,D4992,$M4973:$M4982))</f>
        <v>#N/A</v>
      </c>
      <c r="H4992" s="535" t="e">
        <f t="shared" si="1478"/>
        <v>#N/A</v>
      </c>
      <c r="I4992" s="212" t="e">
        <f>IF(D4992="","",IF(H4992="NO APORTA","NO",IF(H4992=MAX($H4990:$H4995),"SI","NO")))</f>
        <v>#N/A</v>
      </c>
      <c r="J4992" s="213" t="e">
        <f t="shared" si="1479"/>
        <v>#N/A</v>
      </c>
      <c r="K4992" s="200" t="e">
        <f t="shared" si="1480"/>
        <v>#N/A</v>
      </c>
      <c r="L4992" s="724"/>
      <c r="M4992" s="729">
        <f>NUMMOD</f>
        <v>1</v>
      </c>
      <c r="N4992" s="730"/>
      <c r="O4992" s="443">
        <f>IF(M4992="","",VLOOKUP(M4992,PRESUPUESTOS!$B$16:$H$16,5,FALSE))</f>
        <v>2</v>
      </c>
      <c r="P4992" s="713">
        <f>IF(OR(COUNTIF(M4973:M4982,"")&gt;=10,Q4989&lt;NUMMINCONT,OR(T4987="NO CUMPLE",T4987="VERIFICAR")),0,ROUND(AVERAGE(M4973:M4982),3))</f>
        <v>0</v>
      </c>
      <c r="Q4992" s="714"/>
      <c r="R4992" s="458"/>
      <c r="S4992" s="459"/>
      <c r="T4992" s="460"/>
      <c r="U4992" s="219"/>
      <c r="V4992" s="464"/>
      <c r="Y4992" s="532" t="str">
        <f>"40% * ("&amp;PRESUPUESTOS!$H$13&amp;")"</f>
        <v>40% * (50% PFMO)</v>
      </c>
      <c r="AA4992" s="540" t="e">
        <f>IF(AND(C4991&lt;=F4988,F4988&lt;&gt;""),VLOOKUP(VALUE(E4969&amp;","&amp;C4991),INTEGRANTES!$D$18:$F$235,2,0),"")</f>
        <v>#N/A</v>
      </c>
      <c r="AB4992" s="545" t="e">
        <f t="shared" si="1481"/>
        <v>#N/A</v>
      </c>
      <c r="AC4992" s="529"/>
      <c r="AD4992" s="200" t="e">
        <f t="shared" si="1482"/>
        <v>#N/A</v>
      </c>
      <c r="AE4992" s="52"/>
      <c r="AF4992" s="52"/>
      <c r="AG4992" s="52"/>
      <c r="AH4992" s="87"/>
      <c r="AI4992" s="87"/>
    </row>
    <row r="4993" spans="1:35" ht="15.75" hidden="1" customHeight="1" thickBot="1">
      <c r="A4993" s="218" t="e">
        <f>"Q"&amp;E4969</f>
        <v>#N/A</v>
      </c>
      <c r="B4993" s="702"/>
      <c r="C4993" s="114">
        <v>4</v>
      </c>
      <c r="D4993" s="194" t="e">
        <f>IF(AND(C4993&lt;=F4988,F4988&lt;&gt;""),VLOOKUP(VALUE(E4969&amp;","&amp;C4993),INTEGRANTES!$D$18:$F$235,2,0),"")</f>
        <v>#N/A</v>
      </c>
      <c r="E4993" s="211" t="e">
        <f>IF(D4993&lt;&gt;"",VLOOKUP(VALUE(E4969&amp;","&amp;C4993),INTEGRANTES!$D$18:$F$235,3,0),"")</f>
        <v>#N/A</v>
      </c>
      <c r="F4993" s="547" t="e">
        <f>IF(D4993="","",SUMIF($I4973:$I4982,D4993,$P4973:$P4982))</f>
        <v>#N/A</v>
      </c>
      <c r="G4993" s="333" t="e">
        <f>IF(D4993="","",SUMIF($I4973:$I4982,D4993,$M4973:$M4982))</f>
        <v>#N/A</v>
      </c>
      <c r="H4993" s="535" t="e">
        <f t="shared" si="1478"/>
        <v>#N/A</v>
      </c>
      <c r="I4993" s="212" t="e">
        <f>IF(D4993="","",IF(H4993="NO APORTA","NO",IF(H4993=MAX($H4990:$H4995),"SI","NO")))</f>
        <v>#N/A</v>
      </c>
      <c r="J4993" s="213" t="e">
        <f t="shared" si="1479"/>
        <v>#N/A</v>
      </c>
      <c r="K4993" s="200" t="e">
        <f t="shared" si="1480"/>
        <v>#N/A</v>
      </c>
      <c r="L4993" s="720" t="s">
        <v>109</v>
      </c>
      <c r="M4993" s="757" t="s">
        <v>120</v>
      </c>
      <c r="N4993" s="726"/>
      <c r="O4993" s="726"/>
      <c r="P4993" s="726"/>
      <c r="Q4993" s="727"/>
      <c r="R4993" s="458"/>
      <c r="S4993" s="459"/>
      <c r="T4993" s="460"/>
      <c r="U4993" s="219"/>
      <c r="V4993" s="464"/>
      <c r="Y4993" s="537">
        <f>0.4*PRESUPUESTOS!$H$16</f>
        <v>10.3124</v>
      </c>
      <c r="AA4993" s="540" t="e">
        <f>IF(AND(C4992&lt;=F4988,F4988&lt;&gt;""),VLOOKUP(VALUE(E4969&amp;","&amp;C4992),INTEGRANTES!$D$18:$F$235,2,0),"")</f>
        <v>#N/A</v>
      </c>
      <c r="AB4993" s="545" t="e">
        <f t="shared" si="1481"/>
        <v>#N/A</v>
      </c>
      <c r="AC4993" s="529"/>
      <c r="AD4993" s="200" t="e">
        <f t="shared" si="1482"/>
        <v>#N/A</v>
      </c>
      <c r="AE4993" s="52"/>
      <c r="AF4993" s="52"/>
      <c r="AG4993" s="52"/>
      <c r="AH4993" s="87"/>
      <c r="AI4993" s="87"/>
    </row>
    <row r="4994" spans="1:35" ht="27" hidden="1" customHeight="1" thickBot="1">
      <c r="A4994" s="218" t="e">
        <f>"R"&amp;E4969</f>
        <v>#N/A</v>
      </c>
      <c r="B4994" s="702"/>
      <c r="C4994" s="114">
        <v>5</v>
      </c>
      <c r="D4994" s="194" t="e">
        <f>IF(AND(C4994&lt;=F4988,F4988&lt;&gt;""),VLOOKUP(VALUE(E4969&amp;","&amp;C4994),INTEGRANTES!$D$18:$F$235,2,0),"")</f>
        <v>#N/A</v>
      </c>
      <c r="E4994" s="211" t="e">
        <f>IF(D4994&lt;&gt;"",VLOOKUP(VALUE(E4969&amp;","&amp;C4994),INTEGRANTES!$D$18:$F$235,3,0),"")</f>
        <v>#N/A</v>
      </c>
      <c r="F4994" s="547" t="e">
        <f>IF(D4994="","",SUMIF($I4973:$I4982,D4994,$P4973:$P4982))</f>
        <v>#N/A</v>
      </c>
      <c r="G4994" s="333" t="e">
        <f>IF(D4994="","",SUMIF($I4973:$I4982,D4994,$M4973:$M4982))</f>
        <v>#N/A</v>
      </c>
      <c r="H4994" s="535" t="e">
        <f t="shared" si="1478"/>
        <v>#N/A</v>
      </c>
      <c r="I4994" s="212" t="e">
        <f>IF(D4994="","",IF(H4994="NO APORTA","NO",IF(H4994=MAX($H4990:$H4995),"SI","NO")))</f>
        <v>#N/A</v>
      </c>
      <c r="J4994" s="213" t="e">
        <f t="shared" si="1479"/>
        <v>#N/A</v>
      </c>
      <c r="K4994" s="200" t="e">
        <f t="shared" si="1480"/>
        <v>#N/A</v>
      </c>
      <c r="L4994" s="721"/>
      <c r="M4994" s="715" t="s">
        <v>116</v>
      </c>
      <c r="N4994" s="716"/>
      <c r="O4994" s="556" t="str">
        <f>PORCREQUERIDO*100&amp;"% PMFO DEL MÓDULO"</f>
        <v>50% PMFO DEL MÓDULO</v>
      </c>
      <c r="P4994" s="715" t="s">
        <v>118</v>
      </c>
      <c r="Q4994" s="728"/>
      <c r="R4994" s="458"/>
      <c r="S4994" s="459"/>
      <c r="T4994" s="460"/>
      <c r="U4994" s="219"/>
      <c r="V4994" s="464"/>
      <c r="Y4994" s="414"/>
      <c r="AA4994" s="540" t="e">
        <f>IF(AND(C4993&lt;=F4988,F4988&lt;&gt;""),VLOOKUP(VALUE(E4969&amp;","&amp;C4993),INTEGRANTES!$D$18:$F$235,2,0),"")</f>
        <v>#N/A</v>
      </c>
      <c r="AB4994" s="545" t="e">
        <f t="shared" si="1481"/>
        <v>#N/A</v>
      </c>
      <c r="AC4994" s="529"/>
      <c r="AD4994" s="200" t="e">
        <f t="shared" si="1482"/>
        <v>#N/A</v>
      </c>
      <c r="AE4994" s="52"/>
      <c r="AF4994" s="52"/>
      <c r="AG4994" s="52"/>
      <c r="AH4994" s="87"/>
      <c r="AI4994" s="87"/>
    </row>
    <row r="4995" spans="1:35" ht="16.5" hidden="1" thickBot="1">
      <c r="A4995" s="218" t="e">
        <f>"S"&amp;E4969</f>
        <v>#N/A</v>
      </c>
      <c r="B4995" s="702"/>
      <c r="C4995" s="215">
        <v>6</v>
      </c>
      <c r="D4995" s="216" t="e">
        <f>IF(AND(C4995&lt;=F4988,F4988&lt;&gt;""),VLOOKUP(VALUE(E4969&amp;","&amp;C4995),INTEGRANTES!$D$18:$F$235,2,0),"")</f>
        <v>#N/A</v>
      </c>
      <c r="E4995" s="217" t="e">
        <f>IF(D4995&lt;&gt;"",VLOOKUP(VALUE(E4969&amp;","&amp;C4995),INTEGRANTES!$D$18:$F$235,3,0),"")</f>
        <v>#N/A</v>
      </c>
      <c r="F4995" s="548" t="e">
        <f>IF(D4995="","",SUMIF($I4973:$I4982,D4995,$P4973:$P4982))</f>
        <v>#N/A</v>
      </c>
      <c r="G4995" s="334" t="e">
        <f>IF(D4995="","",SUMIF($I4973:$I4982,D4995,$M4973:$M4982))</f>
        <v>#N/A</v>
      </c>
      <c r="H4995" s="536" t="e">
        <f t="shared" si="1478"/>
        <v>#N/A</v>
      </c>
      <c r="I4995" s="214" t="e">
        <f>IF(D4995="","",IF(H4995="NO APORTA","NO",IF(H4995=MAX($H4990:$H4995),"SI","NO")))</f>
        <v>#N/A</v>
      </c>
      <c r="J4995" s="213" t="e">
        <f t="shared" si="1479"/>
        <v>#N/A</v>
      </c>
      <c r="K4995" s="200" t="e">
        <f t="shared" si="1480"/>
        <v>#N/A</v>
      </c>
      <c r="L4995" s="721"/>
      <c r="M4995" s="729">
        <f>NUMMOD</f>
        <v>1</v>
      </c>
      <c r="N4995" s="730"/>
      <c r="O4995" s="443">
        <f>IF(M4995="","",ROUND(VLOOKUP(M4995,PRESUPUESTOS!$B$16:$H$16,7,FALSE),3))</f>
        <v>25.780999999999999</v>
      </c>
      <c r="P4995" s="713">
        <f>IF(OR(COUNTIF(P4973:P4982,"")&gt;=10,Q4989&lt;NUMMINCONT,OR(T4987="NO CUMPLE",T4987="VERIFICAR")),0,ROUND((SUM(P4973:P4982)/SUM(M4973:M4982)),3))</f>
        <v>0</v>
      </c>
      <c r="Q4995" s="714"/>
      <c r="R4995" s="458"/>
      <c r="S4995" s="459"/>
      <c r="T4995" s="460"/>
      <c r="U4995" s="219"/>
      <c r="V4995" s="464"/>
      <c r="Y4995" s="532" t="s">
        <v>343</v>
      </c>
      <c r="AA4995" s="540" t="e">
        <f>IF(AND(C4994&lt;=F4988,F4988&lt;&gt;""),VLOOKUP(VALUE(E4969&amp;","&amp;C4994),INTEGRANTES!$D$18:$F$235,2,0),"")</f>
        <v>#N/A</v>
      </c>
      <c r="AB4995" s="545" t="e">
        <f t="shared" si="1481"/>
        <v>#N/A</v>
      </c>
      <c r="AC4995" s="529"/>
      <c r="AD4995" s="200" t="e">
        <f t="shared" si="1482"/>
        <v>#N/A</v>
      </c>
      <c r="AE4995" s="52"/>
      <c r="AF4995" s="52"/>
      <c r="AG4995" s="52"/>
      <c r="AH4995" s="87"/>
      <c r="AI4995" s="87"/>
    </row>
    <row r="4996" spans="1:35" ht="16.5" hidden="1" customHeight="1" thickBot="1">
      <c r="A4996" s="218" t="e">
        <f>"T"&amp;E4969</f>
        <v>#N/A</v>
      </c>
      <c r="B4996" s="703"/>
      <c r="C4996" s="719"/>
      <c r="D4996" s="719"/>
      <c r="E4996" s="719"/>
      <c r="F4996" s="719"/>
      <c r="G4996" s="719"/>
      <c r="H4996" s="719" t="s">
        <v>110</v>
      </c>
      <c r="I4996" s="719"/>
      <c r="J4996" s="719"/>
      <c r="K4996" s="201" t="str">
        <f>IF(COUNTIF(K4990:K4995,"")=6,"",IF(COUNTIF(K4990:K4995,"CUMPLE")&gt;0,"CUMPLE","NO CUMPLE"))</f>
        <v>NO CUMPLE</v>
      </c>
      <c r="L4996" s="754"/>
      <c r="M4996" s="755"/>
      <c r="N4996" s="755"/>
      <c r="O4996" s="755"/>
      <c r="P4996" s="755"/>
      <c r="Q4996" s="756"/>
      <c r="R4996" s="461"/>
      <c r="S4996" s="462"/>
      <c r="T4996" s="463"/>
      <c r="U4996" s="219"/>
      <c r="V4996" s="464"/>
      <c r="Y4996" s="549" t="e">
        <f>IF(Y4990="NO APLICA","NO APLICA",IF(COUNTIF(AD4991:AD4996,"CUMPLE")&gt;0,"CUMPLE","NO CUMPLE"))</f>
        <v>#N/A</v>
      </c>
      <c r="AA4996" s="541" t="e">
        <f>IF(AND(C4995&lt;=F4988,F4988&lt;&gt;""),VLOOKUP(VALUE(E4969&amp;","&amp;C4995),INTEGRANTES!$D$18:$F$235,2,0),"")</f>
        <v>#N/A</v>
      </c>
      <c r="AB4996" s="546" t="e">
        <f t="shared" si="1481"/>
        <v>#N/A</v>
      </c>
      <c r="AC4996" s="543"/>
      <c r="AD4996" s="201" t="e">
        <f t="shared" si="1482"/>
        <v>#N/A</v>
      </c>
      <c r="AE4996" s="52"/>
      <c r="AF4996" s="52"/>
      <c r="AG4996" s="52"/>
      <c r="AH4996" s="87"/>
      <c r="AI4996" s="87"/>
    </row>
    <row r="4997" spans="1:35" hidden="1">
      <c r="AH4997" s="87"/>
      <c r="AI4997" s="87"/>
    </row>
    <row r="4998" spans="1:35" hidden="1">
      <c r="AH4998" s="87"/>
      <c r="AI4998" s="87"/>
    </row>
    <row r="4999" spans="1:35" ht="24" hidden="1" thickBot="1">
      <c r="A4999" s="61">
        <v>167</v>
      </c>
      <c r="B4999" s="704" t="s">
        <v>51</v>
      </c>
      <c r="C4999" s="704"/>
      <c r="D4999" s="704"/>
      <c r="E4999" s="62" t="e">
        <f>VLOOKUP(A4999,PROPONENTES!$B$19:$E$218,2,FALSE)</f>
        <v>#N/A</v>
      </c>
      <c r="F4999" s="63" t="e">
        <f>VLOOKUP(A4999,PROPONENTES!$B$19:$E$218,3,FALSE)</f>
        <v>#N/A</v>
      </c>
      <c r="G4999" s="64"/>
      <c r="H4999" s="64"/>
      <c r="I4999" s="63"/>
      <c r="J4999" s="63"/>
      <c r="K4999" s="65"/>
      <c r="L4999" s="65"/>
      <c r="M4999" s="64"/>
      <c r="N4999" s="64"/>
      <c r="O4999" s="66"/>
      <c r="P4999" s="66"/>
      <c r="Q4999" s="66"/>
      <c r="R4999" s="66"/>
      <c r="S4999" s="67"/>
      <c r="T4999" s="68"/>
      <c r="U4999" s="68"/>
      <c r="AC4999" s="68"/>
      <c r="AD4999" s="68"/>
      <c r="AE4999" s="68"/>
      <c r="AF4999" s="68"/>
      <c r="AG4999" s="68"/>
      <c r="AH4999" s="87"/>
      <c r="AI4999" s="87"/>
    </row>
    <row r="5000" spans="1:35" ht="15.75" hidden="1" customHeight="1">
      <c r="A5000" s="44"/>
      <c r="B5000" s="709" t="s">
        <v>59</v>
      </c>
      <c r="C5000" s="552" t="s">
        <v>60</v>
      </c>
      <c r="D5000" s="70" t="s">
        <v>17</v>
      </c>
      <c r="E5000" s="70"/>
      <c r="F5000" s="70" t="s">
        <v>61</v>
      </c>
      <c r="G5000" s="71"/>
      <c r="H5000" s="699" t="s">
        <v>62</v>
      </c>
      <c r="I5000" s="699" t="s">
        <v>18</v>
      </c>
      <c r="J5000" s="699" t="s">
        <v>63</v>
      </c>
      <c r="K5000" s="699" t="s">
        <v>64</v>
      </c>
      <c r="L5000" s="699" t="s">
        <v>65</v>
      </c>
      <c r="M5000" s="743" t="s">
        <v>66</v>
      </c>
      <c r="N5000" s="699" t="s">
        <v>282</v>
      </c>
      <c r="O5000" s="745" t="s">
        <v>67</v>
      </c>
      <c r="P5000" s="746"/>
      <c r="Q5000" s="102" t="s">
        <v>75</v>
      </c>
      <c r="R5000" s="731" t="s">
        <v>22</v>
      </c>
      <c r="S5000" s="732"/>
      <c r="T5000" s="733"/>
      <c r="U5000" s="712" t="s">
        <v>298</v>
      </c>
      <c r="W5000" s="690" t="s">
        <v>268</v>
      </c>
      <c r="X5000" s="691"/>
      <c r="Y5000" s="692"/>
      <c r="Z5000" s="428"/>
      <c r="AA5000" s="697" t="s">
        <v>315</v>
      </c>
      <c r="AB5000" s="695" t="s">
        <v>322</v>
      </c>
      <c r="AC5000" s="49"/>
      <c r="AD5000" s="690" t="s">
        <v>297</v>
      </c>
      <c r="AE5000" s="691"/>
      <c r="AF5000" s="692"/>
      <c r="AG5000" s="49"/>
      <c r="AH5000" s="87"/>
      <c r="AI5000" s="87"/>
    </row>
    <row r="5001" spans="1:35" ht="72" hidden="1">
      <c r="A5001" s="44"/>
      <c r="B5001" s="710"/>
      <c r="C5001" s="553" t="s">
        <v>68</v>
      </c>
      <c r="D5001" s="73" t="s">
        <v>3</v>
      </c>
      <c r="E5001" s="73" t="s">
        <v>19</v>
      </c>
      <c r="F5001" s="73" t="s">
        <v>69</v>
      </c>
      <c r="G5001" s="74" t="s">
        <v>70</v>
      </c>
      <c r="H5001" s="700"/>
      <c r="I5001" s="700"/>
      <c r="J5001" s="700"/>
      <c r="K5001" s="700"/>
      <c r="L5001" s="700"/>
      <c r="M5001" s="744"/>
      <c r="N5001" s="700"/>
      <c r="O5001" s="553" t="s">
        <v>279</v>
      </c>
      <c r="P5001" s="73" t="s">
        <v>88</v>
      </c>
      <c r="Q5001" s="555" t="s">
        <v>76</v>
      </c>
      <c r="R5001" s="734"/>
      <c r="S5001" s="735"/>
      <c r="T5001" s="736"/>
      <c r="U5001" s="712"/>
      <c r="W5001" s="429" t="s">
        <v>269</v>
      </c>
      <c r="X5001" s="457" t="s">
        <v>278</v>
      </c>
      <c r="Y5001" s="430" t="s">
        <v>324</v>
      </c>
      <c r="Z5001" s="428"/>
      <c r="AA5001" s="698"/>
      <c r="AB5001" s="696"/>
      <c r="AC5001" s="49"/>
      <c r="AD5001" s="429" t="s">
        <v>292</v>
      </c>
      <c r="AE5001" s="431" t="s">
        <v>300</v>
      </c>
      <c r="AF5001" s="468" t="s">
        <v>301</v>
      </c>
      <c r="AG5001" s="49"/>
      <c r="AH5001" s="87"/>
      <c r="AI5001" s="87"/>
    </row>
    <row r="5002" spans="1:35" hidden="1">
      <c r="A5002" s="44"/>
      <c r="B5002" s="76"/>
      <c r="C5002" s="77"/>
      <c r="D5002" s="77"/>
      <c r="E5002" s="77"/>
      <c r="F5002" s="77"/>
      <c r="G5002" s="77"/>
      <c r="H5002" s="77"/>
      <c r="I5002" s="77"/>
      <c r="J5002" s="77"/>
      <c r="K5002" s="77"/>
      <c r="L5002" s="77"/>
      <c r="M5002" s="77"/>
      <c r="N5002" s="77"/>
      <c r="O5002" s="77"/>
      <c r="P5002" s="77"/>
      <c r="Q5002" s="77"/>
      <c r="R5002" s="77"/>
      <c r="S5002" s="78"/>
      <c r="T5002" s="79"/>
      <c r="U5002" s="109"/>
      <c r="V5002" s="49"/>
      <c r="W5002" s="432"/>
      <c r="X5002" s="454"/>
      <c r="Y5002" s="433"/>
      <c r="Z5002" s="6"/>
      <c r="AA5002" s="500"/>
      <c r="AB5002" s="562"/>
      <c r="AC5002" s="49"/>
      <c r="AD5002" s="210"/>
      <c r="AE5002" s="434"/>
      <c r="AF5002" s="435"/>
      <c r="AG5002" s="49"/>
      <c r="AH5002" s="87"/>
      <c r="AI5002" s="87"/>
    </row>
    <row r="5003" spans="1:35" hidden="1">
      <c r="A5003" s="80" t="e">
        <f>"A"&amp;E4999</f>
        <v>#N/A</v>
      </c>
      <c r="B5003" s="81">
        <v>1</v>
      </c>
      <c r="C5003" s="82"/>
      <c r="D5003" s="82"/>
      <c r="E5003" s="82"/>
      <c r="F5003" s="82"/>
      <c r="G5003" s="83"/>
      <c r="H5003" s="83"/>
      <c r="I5003" s="84"/>
      <c r="J5003" s="85"/>
      <c r="K5003" s="382"/>
      <c r="L5003" s="85"/>
      <c r="M5003" s="332" t="str">
        <f t="shared" ref="M5003:M5012" si="1483">IF(OR(J5003="",L5003="",H5003="NO"),"",IF(OR(J5003&gt;$P$17,J5003&lt;$O$17,L5003&gt;$P$17,AND(J5003&lt;$O$17,L5003&lt;$O$17)),"FUERA DE RANGO",IF(OR(K5003="---",K5003=""),IF(J5003&gt;=$O$17,ROUND((L5003-J5003+1)/360*12,3),ROUND((L5003-$O$17+1)/360*12,3)),IF(J5003&gt;=$O$17,ROUND((L5003-J5003+1)/360*12-ROUND(K5003,3),3),ROUND((L5003-$O$17+1)/360*12-ROUND(K5003,3),3)))))</f>
        <v/>
      </c>
      <c r="N5003" s="86"/>
      <c r="O5003" s="453" t="str">
        <f>IF(OR(G5003="",N5003=""),"",N5003*G5003)</f>
        <v/>
      </c>
      <c r="P5003" s="538" t="str">
        <f>IF(OR(H5003="",M5003="FUERA DE RANGO"),"",IF(OR(L5003&lt;$O$17,L5003&gt;$P$17,L5003="",H5003="NO"),"",IF(OR(N5003="",O5003=""),"",ROUND(O5003,3))))</f>
        <v/>
      </c>
      <c r="Q5003" s="539" t="str">
        <f t="shared" ref="Q5003:Q5012" si="1484">IF(AND(H5003="SI",P5003&lt;&gt;""),ROUND(P5003/M5003,3),"")</f>
        <v/>
      </c>
      <c r="R5003" s="737"/>
      <c r="S5003" s="738"/>
      <c r="T5003" s="739"/>
      <c r="U5003" s="470"/>
      <c r="V5003" s="165"/>
      <c r="W5003" s="446"/>
      <c r="X5003" s="456"/>
      <c r="Y5003" s="436"/>
      <c r="Z5003" s="437"/>
      <c r="AA5003" s="560"/>
      <c r="AB5003" s="561"/>
      <c r="AC5003" s="87"/>
      <c r="AD5003" s="466"/>
      <c r="AE5003" s="456"/>
      <c r="AF5003" s="467"/>
      <c r="AG5003" s="87"/>
      <c r="AH5003" s="87"/>
      <c r="AI5003" s="87"/>
    </row>
    <row r="5004" spans="1:35" hidden="1">
      <c r="A5004" s="80" t="e">
        <f>"B"&amp;E4999</f>
        <v>#N/A</v>
      </c>
      <c r="B5004" s="81">
        <v>2</v>
      </c>
      <c r="C5004" s="106"/>
      <c r="D5004" s="106"/>
      <c r="E5004" s="106"/>
      <c r="F5004" s="106"/>
      <c r="G5004" s="83"/>
      <c r="H5004" s="83"/>
      <c r="I5004" s="84"/>
      <c r="J5004" s="85"/>
      <c r="K5004" s="382"/>
      <c r="L5004" s="85"/>
      <c r="M5004" s="332" t="str">
        <f t="shared" si="1483"/>
        <v/>
      </c>
      <c r="N5004" s="86"/>
      <c r="O5004" s="453" t="str">
        <f t="shared" ref="O5004:O5012" si="1485">IF(OR(G5004="",N5004=""),"",N5004*G5004)</f>
        <v/>
      </c>
      <c r="P5004" s="538" t="str">
        <f t="shared" ref="P5004:P5012" si="1486">IF(OR(H5004="",M5004="FUERA DE RANGO"),"",IF(OR(L5004&lt;$O$17,L5004&gt;$P$17,L5004="",H5004="NO"),"",IF(OR(N5004="",O5004=""),"",ROUND(O5004,3))))</f>
        <v/>
      </c>
      <c r="Q5004" s="539" t="str">
        <f t="shared" si="1484"/>
        <v/>
      </c>
      <c r="R5004" s="740"/>
      <c r="S5004" s="741"/>
      <c r="T5004" s="742"/>
      <c r="U5004" s="471"/>
      <c r="V5004" s="165"/>
      <c r="W5004" s="446"/>
      <c r="X5004" s="456"/>
      <c r="Y5004" s="436"/>
      <c r="Z5004" s="437"/>
      <c r="AA5004" s="560"/>
      <c r="AB5004" s="561"/>
      <c r="AC5004" s="87"/>
      <c r="AD5004" s="466"/>
      <c r="AE5004" s="456"/>
      <c r="AF5004" s="467"/>
      <c r="AG5004" s="87"/>
      <c r="AH5004" s="87"/>
      <c r="AI5004" s="87"/>
    </row>
    <row r="5005" spans="1:35" hidden="1">
      <c r="A5005" s="80" t="e">
        <f>"C"&amp;E4999</f>
        <v>#N/A</v>
      </c>
      <c r="B5005" s="88">
        <v>3</v>
      </c>
      <c r="C5005" s="82"/>
      <c r="D5005" s="82"/>
      <c r="E5005" s="82"/>
      <c r="F5005" s="82"/>
      <c r="G5005" s="83"/>
      <c r="H5005" s="83"/>
      <c r="I5005" s="84"/>
      <c r="J5005" s="85"/>
      <c r="K5005" s="382"/>
      <c r="L5005" s="85"/>
      <c r="M5005" s="332" t="str">
        <f t="shared" si="1483"/>
        <v/>
      </c>
      <c r="N5005" s="86"/>
      <c r="O5005" s="453" t="str">
        <f t="shared" si="1485"/>
        <v/>
      </c>
      <c r="P5005" s="538" t="str">
        <f t="shared" si="1486"/>
        <v/>
      </c>
      <c r="Q5005" s="539" t="str">
        <f t="shared" si="1484"/>
        <v/>
      </c>
      <c r="R5005" s="706"/>
      <c r="S5005" s="707"/>
      <c r="T5005" s="708"/>
      <c r="U5005" s="472"/>
      <c r="V5005" s="166"/>
      <c r="W5005" s="446"/>
      <c r="X5005" s="456"/>
      <c r="Y5005" s="436"/>
      <c r="Z5005" s="437"/>
      <c r="AA5005" s="560"/>
      <c r="AB5005" s="561"/>
      <c r="AC5005" s="87"/>
      <c r="AD5005" s="466"/>
      <c r="AE5005" s="456"/>
      <c r="AF5005" s="467"/>
      <c r="AG5005" s="87"/>
      <c r="AH5005" s="87"/>
      <c r="AI5005" s="87"/>
    </row>
    <row r="5006" spans="1:35" hidden="1">
      <c r="A5006" s="80" t="e">
        <f>"D"&amp;E4999</f>
        <v>#N/A</v>
      </c>
      <c r="B5006" s="105">
        <v>4</v>
      </c>
      <c r="C5006" s="107"/>
      <c r="D5006" s="107"/>
      <c r="E5006" s="107"/>
      <c r="F5006" s="107"/>
      <c r="G5006" s="83"/>
      <c r="H5006" s="83"/>
      <c r="I5006" s="84"/>
      <c r="J5006" s="85"/>
      <c r="K5006" s="382"/>
      <c r="L5006" s="85"/>
      <c r="M5006" s="332" t="str">
        <f t="shared" si="1483"/>
        <v/>
      </c>
      <c r="N5006" s="86"/>
      <c r="O5006" s="453" t="str">
        <f t="shared" si="1485"/>
        <v/>
      </c>
      <c r="P5006" s="538" t="str">
        <f t="shared" si="1486"/>
        <v/>
      </c>
      <c r="Q5006" s="539" t="str">
        <f t="shared" si="1484"/>
        <v/>
      </c>
      <c r="R5006" s="706"/>
      <c r="S5006" s="707"/>
      <c r="T5006" s="708"/>
      <c r="U5006" s="472"/>
      <c r="V5006" s="166"/>
      <c r="W5006" s="446"/>
      <c r="X5006" s="456"/>
      <c r="Y5006" s="436"/>
      <c r="Z5006" s="437"/>
      <c r="AA5006" s="560"/>
      <c r="AB5006" s="561"/>
      <c r="AC5006" s="87"/>
      <c r="AD5006" s="466"/>
      <c r="AE5006" s="456"/>
      <c r="AF5006" s="467"/>
      <c r="AG5006" s="87"/>
      <c r="AH5006" s="87"/>
      <c r="AI5006" s="87"/>
    </row>
    <row r="5007" spans="1:35" hidden="1">
      <c r="A5007" s="80" t="e">
        <f>"E"&amp;E4999</f>
        <v>#N/A</v>
      </c>
      <c r="B5007" s="105">
        <v>5</v>
      </c>
      <c r="C5007" s="107"/>
      <c r="D5007" s="107"/>
      <c r="E5007" s="107"/>
      <c r="F5007" s="107"/>
      <c r="G5007" s="83"/>
      <c r="H5007" s="83"/>
      <c r="I5007" s="84"/>
      <c r="J5007" s="85"/>
      <c r="K5007" s="382"/>
      <c r="L5007" s="85"/>
      <c r="M5007" s="332" t="str">
        <f t="shared" si="1483"/>
        <v/>
      </c>
      <c r="N5007" s="86"/>
      <c r="O5007" s="453" t="str">
        <f t="shared" si="1485"/>
        <v/>
      </c>
      <c r="P5007" s="538" t="str">
        <f t="shared" si="1486"/>
        <v/>
      </c>
      <c r="Q5007" s="539" t="str">
        <f t="shared" si="1484"/>
        <v/>
      </c>
      <c r="R5007" s="706"/>
      <c r="S5007" s="707"/>
      <c r="T5007" s="708"/>
      <c r="U5007" s="472"/>
      <c r="V5007" s="167"/>
      <c r="W5007" s="446"/>
      <c r="X5007" s="456"/>
      <c r="Y5007" s="436"/>
      <c r="Z5007" s="437"/>
      <c r="AA5007" s="560"/>
      <c r="AB5007" s="561"/>
      <c r="AC5007" s="87"/>
      <c r="AD5007" s="466"/>
      <c r="AE5007" s="456"/>
      <c r="AF5007" s="467"/>
      <c r="AG5007" s="87"/>
      <c r="AH5007" s="87"/>
      <c r="AI5007" s="87"/>
    </row>
    <row r="5008" spans="1:35" hidden="1">
      <c r="A5008" s="80" t="e">
        <f>"F"&amp;E4999</f>
        <v>#N/A</v>
      </c>
      <c r="B5008" s="105">
        <v>6</v>
      </c>
      <c r="C5008" s="107"/>
      <c r="D5008" s="107"/>
      <c r="E5008" s="107"/>
      <c r="F5008" s="107"/>
      <c r="G5008" s="83"/>
      <c r="H5008" s="83"/>
      <c r="I5008" s="84"/>
      <c r="J5008" s="85"/>
      <c r="K5008" s="382"/>
      <c r="L5008" s="85"/>
      <c r="M5008" s="332" t="str">
        <f t="shared" si="1483"/>
        <v/>
      </c>
      <c r="N5008" s="86"/>
      <c r="O5008" s="453" t="str">
        <f t="shared" si="1485"/>
        <v/>
      </c>
      <c r="P5008" s="538" t="str">
        <f t="shared" si="1486"/>
        <v/>
      </c>
      <c r="Q5008" s="539" t="str">
        <f t="shared" si="1484"/>
        <v/>
      </c>
      <c r="R5008" s="706"/>
      <c r="S5008" s="707"/>
      <c r="T5008" s="708"/>
      <c r="U5008" s="472"/>
      <c r="V5008" s="167"/>
      <c r="W5008" s="446"/>
      <c r="X5008" s="456"/>
      <c r="Y5008" s="436"/>
      <c r="Z5008" s="437"/>
      <c r="AA5008" s="560"/>
      <c r="AB5008" s="561"/>
      <c r="AC5008" s="87"/>
      <c r="AD5008" s="466"/>
      <c r="AE5008" s="456"/>
      <c r="AF5008" s="467"/>
      <c r="AG5008" s="87"/>
      <c r="AH5008" s="87"/>
      <c r="AI5008" s="87"/>
    </row>
    <row r="5009" spans="1:35" hidden="1">
      <c r="A5009" s="80" t="e">
        <f>"G"&amp;E4999</f>
        <v>#N/A</v>
      </c>
      <c r="B5009" s="105">
        <v>7</v>
      </c>
      <c r="C5009" s="107"/>
      <c r="D5009" s="107"/>
      <c r="E5009" s="107"/>
      <c r="F5009" s="107"/>
      <c r="G5009" s="83"/>
      <c r="H5009" s="83"/>
      <c r="I5009" s="84"/>
      <c r="J5009" s="85"/>
      <c r="K5009" s="382"/>
      <c r="L5009" s="85"/>
      <c r="M5009" s="332" t="str">
        <f t="shared" si="1483"/>
        <v/>
      </c>
      <c r="N5009" s="86"/>
      <c r="O5009" s="86" t="str">
        <f t="shared" si="1485"/>
        <v/>
      </c>
      <c r="P5009" s="538" t="str">
        <f t="shared" si="1486"/>
        <v/>
      </c>
      <c r="Q5009" s="539" t="str">
        <f t="shared" si="1484"/>
        <v/>
      </c>
      <c r="R5009" s="706"/>
      <c r="S5009" s="707"/>
      <c r="T5009" s="708"/>
      <c r="U5009" s="472"/>
      <c r="V5009" s="167"/>
      <c r="W5009" s="446"/>
      <c r="X5009" s="456"/>
      <c r="Y5009" s="436"/>
      <c r="Z5009" s="437"/>
      <c r="AA5009" s="560"/>
      <c r="AB5009" s="561"/>
      <c r="AC5009" s="87"/>
      <c r="AD5009" s="466"/>
      <c r="AE5009" s="456"/>
      <c r="AF5009" s="467"/>
      <c r="AG5009" s="87"/>
      <c r="AH5009" s="87"/>
      <c r="AI5009" s="87"/>
    </row>
    <row r="5010" spans="1:35" hidden="1">
      <c r="A5010" s="80" t="e">
        <f>"H"&amp;E4999</f>
        <v>#N/A</v>
      </c>
      <c r="B5010" s="105">
        <v>8</v>
      </c>
      <c r="C5010" s="107"/>
      <c r="D5010" s="107"/>
      <c r="E5010" s="107"/>
      <c r="F5010" s="107"/>
      <c r="G5010" s="83"/>
      <c r="H5010" s="83"/>
      <c r="I5010" s="84"/>
      <c r="J5010" s="85"/>
      <c r="K5010" s="382"/>
      <c r="L5010" s="85"/>
      <c r="M5010" s="332" t="str">
        <f t="shared" si="1483"/>
        <v/>
      </c>
      <c r="N5010" s="453"/>
      <c r="O5010" s="86" t="str">
        <f t="shared" si="1485"/>
        <v/>
      </c>
      <c r="P5010" s="538" t="str">
        <f t="shared" si="1486"/>
        <v/>
      </c>
      <c r="Q5010" s="539" t="str">
        <f t="shared" si="1484"/>
        <v/>
      </c>
      <c r="R5010" s="706"/>
      <c r="S5010" s="707"/>
      <c r="T5010" s="708"/>
      <c r="U5010" s="472"/>
      <c r="V5010" s="167"/>
      <c r="W5010" s="446"/>
      <c r="X5010" s="456"/>
      <c r="Y5010" s="436"/>
      <c r="Z5010" s="437"/>
      <c r="AA5010" s="560"/>
      <c r="AB5010" s="561"/>
      <c r="AC5010" s="87"/>
      <c r="AD5010" s="466"/>
      <c r="AE5010" s="456"/>
      <c r="AF5010" s="467"/>
      <c r="AG5010" s="87"/>
      <c r="AH5010" s="87"/>
      <c r="AI5010" s="87"/>
    </row>
    <row r="5011" spans="1:35" hidden="1">
      <c r="A5011" s="80" t="e">
        <f>"I"&amp;E4999</f>
        <v>#N/A</v>
      </c>
      <c r="B5011" s="105">
        <v>9</v>
      </c>
      <c r="C5011" s="107"/>
      <c r="D5011" s="107"/>
      <c r="E5011" s="107"/>
      <c r="F5011" s="107"/>
      <c r="G5011" s="83"/>
      <c r="H5011" s="83"/>
      <c r="I5011" s="84"/>
      <c r="J5011" s="85"/>
      <c r="K5011" s="382"/>
      <c r="L5011" s="85"/>
      <c r="M5011" s="332" t="str">
        <f t="shared" si="1483"/>
        <v/>
      </c>
      <c r="N5011" s="453"/>
      <c r="O5011" s="86" t="str">
        <f t="shared" si="1485"/>
        <v/>
      </c>
      <c r="P5011" s="538" t="str">
        <f t="shared" si="1486"/>
        <v/>
      </c>
      <c r="Q5011" s="539" t="str">
        <f t="shared" si="1484"/>
        <v/>
      </c>
      <c r="R5011" s="706"/>
      <c r="S5011" s="707"/>
      <c r="T5011" s="708"/>
      <c r="U5011" s="472"/>
      <c r="V5011" s="167"/>
      <c r="W5011" s="446"/>
      <c r="X5011" s="456"/>
      <c r="Y5011" s="436"/>
      <c r="Z5011" s="437"/>
      <c r="AA5011" s="560"/>
      <c r="AB5011" s="561"/>
      <c r="AC5011" s="87"/>
      <c r="AD5011" s="466"/>
      <c r="AE5011" s="456"/>
      <c r="AF5011" s="467"/>
      <c r="AG5011" s="87"/>
      <c r="AH5011" s="87"/>
      <c r="AI5011" s="87"/>
    </row>
    <row r="5012" spans="1:35" hidden="1">
      <c r="A5012" s="80" t="e">
        <f>"J"&amp;E4999</f>
        <v>#N/A</v>
      </c>
      <c r="B5012" s="105">
        <v>10</v>
      </c>
      <c r="C5012" s="107"/>
      <c r="D5012" s="107"/>
      <c r="E5012" s="107"/>
      <c r="F5012" s="107"/>
      <c r="G5012" s="83"/>
      <c r="H5012" s="83"/>
      <c r="I5012" s="84"/>
      <c r="J5012" s="85"/>
      <c r="K5012" s="382"/>
      <c r="L5012" s="85"/>
      <c r="M5012" s="332" t="str">
        <f t="shared" si="1483"/>
        <v/>
      </c>
      <c r="N5012" s="453"/>
      <c r="O5012" s="86" t="str">
        <f t="shared" si="1485"/>
        <v/>
      </c>
      <c r="P5012" s="538" t="str">
        <f t="shared" si="1486"/>
        <v/>
      </c>
      <c r="Q5012" s="539" t="str">
        <f t="shared" si="1484"/>
        <v/>
      </c>
      <c r="R5012" s="706"/>
      <c r="S5012" s="707"/>
      <c r="T5012" s="708"/>
      <c r="U5012" s="472"/>
      <c r="V5012" s="167"/>
      <c r="W5012" s="446"/>
      <c r="X5012" s="456"/>
      <c r="Y5012" s="436"/>
      <c r="Z5012" s="437"/>
      <c r="AA5012" s="560"/>
      <c r="AB5012" s="561"/>
      <c r="AC5012" s="87"/>
      <c r="AD5012" s="466"/>
      <c r="AE5012" s="456"/>
      <c r="AF5012" s="467"/>
      <c r="AG5012" s="87"/>
      <c r="AH5012" s="87"/>
      <c r="AI5012" s="87"/>
    </row>
    <row r="5013" spans="1:35" ht="16.5" hidden="1" thickBot="1">
      <c r="A5013" s="44"/>
      <c r="B5013" s="89"/>
      <c r="C5013" s="90"/>
      <c r="D5013" s="90"/>
      <c r="E5013" s="90"/>
      <c r="F5013" s="90"/>
      <c r="G5013" s="90"/>
      <c r="H5013" s="90"/>
      <c r="I5013" s="90"/>
      <c r="J5013" s="90"/>
      <c r="K5013" s="90"/>
      <c r="L5013" s="90"/>
      <c r="M5013" s="90"/>
      <c r="N5013" s="90"/>
      <c r="O5013" s="90"/>
      <c r="P5013" s="90"/>
      <c r="Q5013" s="90"/>
      <c r="R5013" s="90"/>
      <c r="S5013" s="91"/>
      <c r="T5013" s="92"/>
      <c r="U5013" s="473"/>
      <c r="W5013" s="438"/>
      <c r="X5013" s="455"/>
      <c r="Y5013" s="439"/>
      <c r="Z5013" s="437"/>
      <c r="AA5013" s="530"/>
      <c r="AB5013" s="563"/>
      <c r="AC5013" s="87"/>
      <c r="AD5013" s="440"/>
      <c r="AE5013" s="441"/>
      <c r="AF5013" s="442"/>
      <c r="AG5013" s="49"/>
      <c r="AH5013" s="87"/>
      <c r="AI5013" s="87"/>
    </row>
    <row r="5014" spans="1:35" ht="16.5" hidden="1" thickBot="1">
      <c r="A5014" s="93"/>
      <c r="B5014" s="94"/>
      <c r="C5014" s="96"/>
      <c r="D5014" s="96"/>
      <c r="E5014" s="96"/>
      <c r="F5014" s="96"/>
      <c r="G5014" s="96"/>
      <c r="H5014" s="96"/>
      <c r="I5014" s="96"/>
      <c r="J5014" s="96"/>
      <c r="K5014" s="96"/>
      <c r="L5014" s="96"/>
      <c r="M5014" s="136"/>
      <c r="N5014" s="96"/>
      <c r="O5014" s="96"/>
      <c r="P5014" s="97"/>
      <c r="Q5014" s="97"/>
      <c r="R5014" s="98"/>
      <c r="S5014" s="95"/>
      <c r="T5014" s="99"/>
      <c r="U5014" s="469"/>
      <c r="AC5014" s="58"/>
      <c r="AG5014" s="58"/>
      <c r="AH5014" s="87"/>
      <c r="AI5014" s="87"/>
    </row>
    <row r="5015" spans="1:35" ht="16.5" hidden="1" thickBot="1">
      <c r="B5015" s="101"/>
      <c r="C5015" s="101"/>
      <c r="D5015" s="101"/>
      <c r="E5015" s="101"/>
      <c r="F5015" s="101"/>
      <c r="G5015" s="101"/>
      <c r="H5015" s="101"/>
      <c r="I5015" s="101"/>
      <c r="J5015" s="101"/>
      <c r="K5015" s="101"/>
      <c r="L5015" s="101"/>
      <c r="M5015" s="101"/>
      <c r="N5015" s="101"/>
      <c r="O5015" s="101"/>
      <c r="P5015" s="101"/>
      <c r="Q5015" s="101"/>
      <c r="R5015" s="101"/>
      <c r="S5015" s="101"/>
      <c r="U5015" s="50"/>
      <c r="AH5015" s="87"/>
      <c r="AI5015" s="87"/>
    </row>
    <row r="5016" spans="1:35" ht="16.5" hidden="1" customHeight="1" thickBot="1">
      <c r="A5016" s="44"/>
      <c r="B5016" s="705" t="s">
        <v>74</v>
      </c>
      <c r="C5016" s="705"/>
      <c r="D5016" s="705"/>
      <c r="E5016" s="705"/>
      <c r="F5016" s="705"/>
      <c r="G5016" s="705"/>
      <c r="H5016" s="705"/>
      <c r="I5016" s="705"/>
      <c r="J5016" s="705"/>
      <c r="K5016" s="705"/>
      <c r="L5016" s="705"/>
      <c r="M5016" s="705"/>
      <c r="N5016" s="705"/>
      <c r="O5016" s="705"/>
      <c r="P5016" s="705"/>
      <c r="Q5016" s="705"/>
      <c r="R5016" s="705"/>
      <c r="S5016" s="705"/>
      <c r="T5016" s="705"/>
      <c r="U5016" s="108"/>
      <c r="Y5016" s="532" t="s">
        <v>341</v>
      </c>
      <c r="AC5016" s="49"/>
      <c r="AD5016" s="687" t="s">
        <v>302</v>
      </c>
      <c r="AE5016" s="688"/>
      <c r="AF5016" s="689"/>
      <c r="AG5016" s="49"/>
      <c r="AH5016" s="87"/>
      <c r="AI5016" s="87"/>
    </row>
    <row r="5017" spans="1:35" ht="16.5" hidden="1" customHeight="1" thickBot="1">
      <c r="A5017" s="218" t="e">
        <f>"K"&amp;E4999</f>
        <v>#N/A</v>
      </c>
      <c r="B5017" s="701" t="s">
        <v>71</v>
      </c>
      <c r="C5017" s="751" t="s">
        <v>102</v>
      </c>
      <c r="D5017" s="751"/>
      <c r="E5017" s="751"/>
      <c r="F5017" s="751"/>
      <c r="G5017" s="751"/>
      <c r="H5017" s="751"/>
      <c r="I5017" s="751"/>
      <c r="J5017" s="751"/>
      <c r="K5017" s="751"/>
      <c r="L5017" s="722" t="s">
        <v>100</v>
      </c>
      <c r="M5017" s="747" t="s">
        <v>114</v>
      </c>
      <c r="N5017" s="747"/>
      <c r="O5017" s="747"/>
      <c r="P5017" s="747"/>
      <c r="Q5017" s="748"/>
      <c r="R5017" s="758" t="s">
        <v>280</v>
      </c>
      <c r="S5017" s="748"/>
      <c r="T5017" s="762" t="str">
        <f>IF(COUNTIF(AE5017:AF5017,"VERIFICAR")&gt;0,"VERIFICAR",IF(COUNTIF(AE5017:AF5017,"NO CUMPLE")&gt;0,"NO CUMPLE","CUMPLE"))</f>
        <v>VERIFICAR</v>
      </c>
      <c r="U5017" s="108"/>
      <c r="Y5017" s="533" t="e">
        <f>IF(F5018="","",IF(F5018=1,"INDIVIDUAL","ESTRUCTURA PLURAL"))</f>
        <v>#N/A</v>
      </c>
      <c r="AC5017" s="52"/>
      <c r="AD5017" s="475" t="s">
        <v>303</v>
      </c>
      <c r="AE5017" s="476" t="str">
        <f>IF(COUNTIF(AE5003:AE5012,"")=10,"VERIFICAR",IF(COUNTIF(AE5003:AE5012,"SI")&gt;0,"CUMPLE","NO CUMPLE"))</f>
        <v>VERIFICAR</v>
      </c>
      <c r="AF5017" s="477" t="str">
        <f>IF(COUNTIF(AF5003:AF5012,"")=10,"VERIFICAR",IF(COUNTIF(AF5003:AF5012,"SI")&gt;=$AI$22,"CUMPLE","NO CUMPLE"))</f>
        <v>VERIFICAR</v>
      </c>
      <c r="AG5017" s="52"/>
      <c r="AH5017" s="87"/>
      <c r="AI5017" s="87"/>
    </row>
    <row r="5018" spans="1:35" ht="15.75" hidden="1" customHeight="1" thickBot="1">
      <c r="A5018" s="218" t="e">
        <f>"L"&amp;E4999</f>
        <v>#N/A</v>
      </c>
      <c r="B5018" s="702"/>
      <c r="C5018" s="751" t="s">
        <v>103</v>
      </c>
      <c r="D5018" s="751"/>
      <c r="E5018" s="752"/>
      <c r="F5018" s="557" t="e">
        <f>IF(VLOOKUP(E4999,PROPONENTES!$C$19:$E$218,3,0)="","",VLOOKUP(E4999,PROPONENTES!$C$19:$E$218,3,0))</f>
        <v>#N/A</v>
      </c>
      <c r="G5018" s="753" t="s">
        <v>104</v>
      </c>
      <c r="H5018" s="751"/>
      <c r="I5018" s="715" t="e">
        <f>IF(OR(F5018="",F5018=1),"INTERESADO PERSONA NATURAL O JURIDICA","CONSORCIO O UNION TEMPORAL")</f>
        <v>#N/A</v>
      </c>
      <c r="J5018" s="725"/>
      <c r="K5018" s="728"/>
      <c r="L5018" s="723"/>
      <c r="M5018" s="749"/>
      <c r="N5018" s="749"/>
      <c r="O5018" s="749"/>
      <c r="P5018" s="749"/>
      <c r="Q5018" s="750"/>
      <c r="R5018" s="712"/>
      <c r="S5018" s="750"/>
      <c r="T5018" s="763"/>
      <c r="U5018" s="108"/>
      <c r="Y5018" s="534"/>
      <c r="AA5018" s="52"/>
      <c r="AB5018" s="52"/>
      <c r="AC5018" s="52"/>
      <c r="AG5018" s="52"/>
      <c r="AH5018" s="87"/>
      <c r="AI5018" s="87"/>
    </row>
    <row r="5019" spans="1:35" ht="56.25" hidden="1" customHeight="1" thickBot="1">
      <c r="A5019" s="218" t="e">
        <f>"M"&amp;E4999</f>
        <v>#N/A</v>
      </c>
      <c r="B5019" s="702"/>
      <c r="C5019" s="725" t="s">
        <v>101</v>
      </c>
      <c r="D5019" s="716"/>
      <c r="E5019" s="558" t="s">
        <v>105</v>
      </c>
      <c r="F5019" s="554" t="s">
        <v>87</v>
      </c>
      <c r="G5019" s="553" t="s">
        <v>86</v>
      </c>
      <c r="H5019" s="559" t="s">
        <v>85</v>
      </c>
      <c r="I5019" s="554" t="s">
        <v>252</v>
      </c>
      <c r="J5019" s="553" t="str">
        <f>"¿EL INTEGRANTE TIENE UNA PARTICIPACIÓN DEL "&amp;PORCREQUERIDOINT*100&amp;"%?"</f>
        <v>¿EL INTEGRANTE TIENE UNA PARTICIPACIÓN DEL 60%?</v>
      </c>
      <c r="K5019" s="554" t="s">
        <v>107</v>
      </c>
      <c r="L5019" s="724"/>
      <c r="M5019" s="717" t="s">
        <v>115</v>
      </c>
      <c r="N5019" s="718"/>
      <c r="O5019" s="718"/>
      <c r="P5019" s="718"/>
      <c r="Q5019" s="223">
        <f>IF(AND(H5003="SI",P5003&gt;=0),1,0)+IF(AND(H5004="SI",P5004&gt;=0),1,0)+IF(AND(H5005="SI",P5005&gt;=0),1,0)+IF(AND(H5006="SI",P5006&gt;=0),1,0)+IF(AND(H5007="SI",P5007&gt;=0),1,0)+IF(AND(H5008="SI",P5008&gt;=0),1,0)+IF(AND(H5009="SI",P5009&gt;=0),1,0)+IF(AND(H5010="SI",P5010&gt;=0),1,0)+IF(AND(H5011="SI",P5011&gt;=0),1,0)+IF(AND(H5012="SI",P5012&gt;=0),1,0)</f>
        <v>0</v>
      </c>
      <c r="R5019" s="759"/>
      <c r="S5019" s="761"/>
      <c r="T5019" s="764"/>
      <c r="U5019" s="219"/>
      <c r="V5019" s="464"/>
      <c r="Y5019" s="532" t="s">
        <v>342</v>
      </c>
      <c r="AA5019" s="550" t="s">
        <v>344</v>
      </c>
      <c r="AB5019" s="693" t="s">
        <v>345</v>
      </c>
      <c r="AC5019" s="693" t="s">
        <v>346</v>
      </c>
      <c r="AD5019" s="685" t="s">
        <v>347</v>
      </c>
      <c r="AE5019" s="52"/>
      <c r="AF5019" s="52"/>
      <c r="AG5019" s="52"/>
      <c r="AH5019" s="87"/>
      <c r="AI5019" s="87"/>
    </row>
    <row r="5020" spans="1:35" ht="15.75" hidden="1" customHeight="1" thickBot="1">
      <c r="A5020" s="218" t="e">
        <f>"N"&amp;E4999</f>
        <v>#N/A</v>
      </c>
      <c r="B5020" s="702"/>
      <c r="C5020" s="114">
        <v>1</v>
      </c>
      <c r="D5020" s="194" t="e">
        <f>IF(AND(C5020&lt;=F5018,F5018&gt;1,F5018&lt;&gt;""),VLOOKUP(VALUE(E4999&amp;","&amp;C5020),INTEGRANTES!$D$18:$F$235,2,0),"")</f>
        <v>#N/A</v>
      </c>
      <c r="E5020" s="211" t="e">
        <f>IF(D5020&lt;&gt;"",VLOOKUP(VALUE(E4999&amp;","&amp;C5020),INTEGRANTES!$D$18:$F$235,3,0),"")</f>
        <v>#N/A</v>
      </c>
      <c r="F5020" s="547" t="e">
        <f>IF(D5020="","",SUMIF($I5003:$I5012,D5020,$P5003:$P5012))</f>
        <v>#N/A</v>
      </c>
      <c r="G5020" s="333" t="e">
        <f>IF(D5020="","",SUMIF($I5003:$I5012,D5020,$M5003:$M5012))</f>
        <v>#N/A</v>
      </c>
      <c r="H5020" s="535" t="e">
        <f t="shared" ref="H5020:H5025" si="1487">IF(D5020="","",IF(OR(F5020=0,G5020=0),"NO APORTA",ROUND($F5020/$G5020,3)))</f>
        <v>#N/A</v>
      </c>
      <c r="I5020" s="212" t="e">
        <f>IF(D5020="","",IF(H5020="NO APORTA","NO",IF(H5020=MAX($H5020:$H5025),"SI","NO")))</f>
        <v>#N/A</v>
      </c>
      <c r="J5020" s="213" t="e">
        <f t="shared" ref="J5020:J5025" si="1488">IF(D5020="","",IF(E5020&gt;=PORCREQUERIDOINT,"SI","NO"))</f>
        <v>#N/A</v>
      </c>
      <c r="K5020" s="200" t="e">
        <f t="shared" ref="K5020:K5025" si="1489">IF(D5020="","",IF(AND(I5020="SI",J5020="SI"),"CUMPLE",IF(AND(I5020="NO",OR(J5020="SI",J5020="NO")),"","NO CUMPLE")))</f>
        <v>#N/A</v>
      </c>
      <c r="L5020" s="722" t="s">
        <v>108</v>
      </c>
      <c r="M5020" s="726" t="s">
        <v>119</v>
      </c>
      <c r="N5020" s="726"/>
      <c r="O5020" s="726"/>
      <c r="P5020" s="726"/>
      <c r="Q5020" s="727"/>
      <c r="R5020" s="758" t="s">
        <v>80</v>
      </c>
      <c r="S5020" s="747"/>
      <c r="T5020" s="748"/>
      <c r="U5020" s="219"/>
      <c r="V5020" s="464"/>
      <c r="Y5020" s="533" t="e">
        <f>IF(Y5017="","",IF(Y5017="INDIVIDUAL","NO APLICA","VERIFICAR CUADRO"))</f>
        <v>#N/A</v>
      </c>
      <c r="AA5020" s="551"/>
      <c r="AB5020" s="694"/>
      <c r="AC5020" s="694"/>
      <c r="AD5020" s="686"/>
      <c r="AE5020" s="52"/>
      <c r="AF5020" s="52"/>
      <c r="AG5020" s="52"/>
      <c r="AH5020" s="87"/>
      <c r="AI5020" s="87"/>
    </row>
    <row r="5021" spans="1:35" ht="27" hidden="1" customHeight="1" thickBot="1">
      <c r="A5021" s="218" t="e">
        <f>"O"&amp;E4999</f>
        <v>#N/A</v>
      </c>
      <c r="B5021" s="702"/>
      <c r="C5021" s="114">
        <v>2</v>
      </c>
      <c r="D5021" s="194" t="e">
        <f>IF(AND(C5021&lt;=F5018,F5018&lt;&gt;""),VLOOKUP(VALUE(E4999&amp;","&amp;C5021),INTEGRANTES!$D$18:$F$235,2,0),"")</f>
        <v>#N/A</v>
      </c>
      <c r="E5021" s="211" t="e">
        <f>IF(D5021&lt;&gt;"",VLOOKUP(VALUE(E4999&amp;","&amp;C5021),INTEGRANTES!$D$18:$F$235,3,0),"")</f>
        <v>#N/A</v>
      </c>
      <c r="F5021" s="547" t="e">
        <f>IF(D5021="","",SUMIF($I5003:$I5012,D5021,$P5003:$P5012))</f>
        <v>#N/A</v>
      </c>
      <c r="G5021" s="333" t="e">
        <f>IF(D5021="","",SUMIF($I5003:$I5012,D5021,$M5003:$M5012))</f>
        <v>#N/A</v>
      </c>
      <c r="H5021" s="535" t="e">
        <f t="shared" si="1487"/>
        <v>#N/A</v>
      </c>
      <c r="I5021" s="212" t="e">
        <f>IF(D5021="","",IF(H5021="NO APORTA","NO",IF(H5021=MAX($H5020:$H5025),"SI","NO")))</f>
        <v>#N/A</v>
      </c>
      <c r="J5021" s="213" t="e">
        <f t="shared" si="1488"/>
        <v>#N/A</v>
      </c>
      <c r="K5021" s="200" t="e">
        <f t="shared" si="1489"/>
        <v>#N/A</v>
      </c>
      <c r="L5021" s="723"/>
      <c r="M5021" s="715" t="s">
        <v>116</v>
      </c>
      <c r="N5021" s="716"/>
      <c r="O5021" s="556" t="s">
        <v>113</v>
      </c>
      <c r="P5021" s="715" t="s">
        <v>117</v>
      </c>
      <c r="Q5021" s="728"/>
      <c r="R5021" s="759"/>
      <c r="S5021" s="760"/>
      <c r="T5021" s="761"/>
      <c r="U5021" s="219"/>
      <c r="V5021" s="464"/>
      <c r="Y5021" s="414"/>
      <c r="AA5021" s="542" t="e">
        <f>IF(AND(C5020&lt;=F5018,F5018&gt;1,F5018&lt;&gt;""),VLOOKUP(VALUE(E4999&amp;","&amp;C5020),INTEGRANTES!$D$18:$F$235,2,0),"")</f>
        <v>#N/A</v>
      </c>
      <c r="AB5021" s="544" t="e">
        <f t="shared" ref="AB5021:AB5026" si="1490">IF(D5020="","",IF(OR(F5020=0,G5020=0),"NO APORTA",ROUND($F5020/$G5020,3)))</f>
        <v>#N/A</v>
      </c>
      <c r="AC5021" s="529"/>
      <c r="AD5021" s="200" t="e">
        <f t="shared" ref="AD5021:AD5026" si="1491">IF(OR(AA5021="",AB5021=""),"",IF(AND(AC5021="X",AB5021&gt;=EXPREQVTD),"CUMPLE","NO CUMPLE"))</f>
        <v>#N/A</v>
      </c>
      <c r="AE5021" s="52"/>
      <c r="AF5021" s="52"/>
      <c r="AG5021" s="52"/>
      <c r="AH5021" s="87"/>
      <c r="AI5021" s="87"/>
    </row>
    <row r="5022" spans="1:35" ht="16.5" hidden="1" thickBot="1">
      <c r="A5022" s="218" t="e">
        <f>"P"&amp;E4999</f>
        <v>#N/A</v>
      </c>
      <c r="B5022" s="702"/>
      <c r="C5022" s="114">
        <v>3</v>
      </c>
      <c r="D5022" s="194" t="e">
        <f>IF(AND(C5022&lt;=F5018,F5018&lt;&gt;""),VLOOKUP(VALUE(E4999&amp;","&amp;C5022),INTEGRANTES!$D$18:$F$235,2,0),"")</f>
        <v>#N/A</v>
      </c>
      <c r="E5022" s="211" t="e">
        <f>IF(D5022&lt;&gt;"",VLOOKUP(VALUE(E4999&amp;","&amp;C5022),INTEGRANTES!$D$18:$F$235,3,0),"")</f>
        <v>#N/A</v>
      </c>
      <c r="F5022" s="547" t="e">
        <f>IF(D5022="","",SUMIF($I5003:$I5012,D5022,$P5003:$P5012))</f>
        <v>#N/A</v>
      </c>
      <c r="G5022" s="333" t="e">
        <f>IF(D5022="","",SUMIF($I5003:$I5012,D5022,$M5003:$M5012))</f>
        <v>#N/A</v>
      </c>
      <c r="H5022" s="535" t="e">
        <f t="shared" si="1487"/>
        <v>#N/A</v>
      </c>
      <c r="I5022" s="212" t="e">
        <f>IF(D5022="","",IF(H5022="NO APORTA","NO",IF(H5022=MAX($H5020:$H5025),"SI","NO")))</f>
        <v>#N/A</v>
      </c>
      <c r="J5022" s="213" t="e">
        <f t="shared" si="1488"/>
        <v>#N/A</v>
      </c>
      <c r="K5022" s="200" t="e">
        <f t="shared" si="1489"/>
        <v>#N/A</v>
      </c>
      <c r="L5022" s="724"/>
      <c r="M5022" s="729">
        <f>NUMMOD</f>
        <v>1</v>
      </c>
      <c r="N5022" s="730"/>
      <c r="O5022" s="443">
        <f>IF(M5022="","",VLOOKUP(M5022,PRESUPUESTOS!$B$16:$H$16,5,FALSE))</f>
        <v>2</v>
      </c>
      <c r="P5022" s="713">
        <f>IF(OR(COUNTIF(M5003:M5012,"")&gt;=10,Q5019&lt;NUMMINCONT,OR(T5017="NO CUMPLE",T5017="VERIFICAR")),0,ROUND(AVERAGE(M5003:M5012),3))</f>
        <v>0</v>
      </c>
      <c r="Q5022" s="714"/>
      <c r="R5022" s="458"/>
      <c r="S5022" s="459"/>
      <c r="T5022" s="460"/>
      <c r="U5022" s="219"/>
      <c r="V5022" s="464"/>
      <c r="Y5022" s="532" t="str">
        <f>"40% * ("&amp;PRESUPUESTOS!$H$13&amp;")"</f>
        <v>40% * (50% PFMO)</v>
      </c>
      <c r="AA5022" s="540" t="e">
        <f>IF(AND(C5021&lt;=F5018,F5018&lt;&gt;""),VLOOKUP(VALUE(E4999&amp;","&amp;C5021),INTEGRANTES!$D$18:$F$235,2,0),"")</f>
        <v>#N/A</v>
      </c>
      <c r="AB5022" s="545" t="e">
        <f t="shared" si="1490"/>
        <v>#N/A</v>
      </c>
      <c r="AC5022" s="529"/>
      <c r="AD5022" s="200" t="e">
        <f t="shared" si="1491"/>
        <v>#N/A</v>
      </c>
      <c r="AE5022" s="52"/>
      <c r="AF5022" s="52"/>
      <c r="AG5022" s="52"/>
      <c r="AH5022" s="87"/>
      <c r="AI5022" s="87"/>
    </row>
    <row r="5023" spans="1:35" ht="15.75" hidden="1" customHeight="1" thickBot="1">
      <c r="A5023" s="218" t="e">
        <f>"Q"&amp;E4999</f>
        <v>#N/A</v>
      </c>
      <c r="B5023" s="702"/>
      <c r="C5023" s="114">
        <v>4</v>
      </c>
      <c r="D5023" s="194" t="e">
        <f>IF(AND(C5023&lt;=F5018,F5018&lt;&gt;""),VLOOKUP(VALUE(E4999&amp;","&amp;C5023),INTEGRANTES!$D$18:$F$235,2,0),"")</f>
        <v>#N/A</v>
      </c>
      <c r="E5023" s="211" t="e">
        <f>IF(D5023&lt;&gt;"",VLOOKUP(VALUE(E4999&amp;","&amp;C5023),INTEGRANTES!$D$18:$F$235,3,0),"")</f>
        <v>#N/A</v>
      </c>
      <c r="F5023" s="547" t="e">
        <f>IF(D5023="","",SUMIF($I5003:$I5012,D5023,$P5003:$P5012))</f>
        <v>#N/A</v>
      </c>
      <c r="G5023" s="333" t="e">
        <f>IF(D5023="","",SUMIF($I5003:$I5012,D5023,$M5003:$M5012))</f>
        <v>#N/A</v>
      </c>
      <c r="H5023" s="535" t="e">
        <f t="shared" si="1487"/>
        <v>#N/A</v>
      </c>
      <c r="I5023" s="212" t="e">
        <f>IF(D5023="","",IF(H5023="NO APORTA","NO",IF(H5023=MAX($H5020:$H5025),"SI","NO")))</f>
        <v>#N/A</v>
      </c>
      <c r="J5023" s="213" t="e">
        <f t="shared" si="1488"/>
        <v>#N/A</v>
      </c>
      <c r="K5023" s="200" t="e">
        <f t="shared" si="1489"/>
        <v>#N/A</v>
      </c>
      <c r="L5023" s="720" t="s">
        <v>109</v>
      </c>
      <c r="M5023" s="757" t="s">
        <v>120</v>
      </c>
      <c r="N5023" s="726"/>
      <c r="O5023" s="726"/>
      <c r="P5023" s="726"/>
      <c r="Q5023" s="727"/>
      <c r="R5023" s="458"/>
      <c r="S5023" s="459"/>
      <c r="T5023" s="460"/>
      <c r="U5023" s="219"/>
      <c r="V5023" s="464"/>
      <c r="Y5023" s="537">
        <f>0.4*PRESUPUESTOS!$H$16</f>
        <v>10.3124</v>
      </c>
      <c r="AA5023" s="540" t="e">
        <f>IF(AND(C5022&lt;=F5018,F5018&lt;&gt;""),VLOOKUP(VALUE(E4999&amp;","&amp;C5022),INTEGRANTES!$D$18:$F$235,2,0),"")</f>
        <v>#N/A</v>
      </c>
      <c r="AB5023" s="545" t="e">
        <f t="shared" si="1490"/>
        <v>#N/A</v>
      </c>
      <c r="AC5023" s="529"/>
      <c r="AD5023" s="200" t="e">
        <f t="shared" si="1491"/>
        <v>#N/A</v>
      </c>
      <c r="AE5023" s="52"/>
      <c r="AF5023" s="52"/>
      <c r="AG5023" s="52"/>
      <c r="AH5023" s="87"/>
      <c r="AI5023" s="87"/>
    </row>
    <row r="5024" spans="1:35" ht="27" hidden="1" customHeight="1" thickBot="1">
      <c r="A5024" s="218" t="e">
        <f>"R"&amp;E4999</f>
        <v>#N/A</v>
      </c>
      <c r="B5024" s="702"/>
      <c r="C5024" s="114">
        <v>5</v>
      </c>
      <c r="D5024" s="194" t="e">
        <f>IF(AND(C5024&lt;=F5018,F5018&lt;&gt;""),VLOOKUP(VALUE(E4999&amp;","&amp;C5024),INTEGRANTES!$D$18:$F$235,2,0),"")</f>
        <v>#N/A</v>
      </c>
      <c r="E5024" s="211" t="e">
        <f>IF(D5024&lt;&gt;"",VLOOKUP(VALUE(E4999&amp;","&amp;C5024),INTEGRANTES!$D$18:$F$235,3,0),"")</f>
        <v>#N/A</v>
      </c>
      <c r="F5024" s="547" t="e">
        <f>IF(D5024="","",SUMIF($I5003:$I5012,D5024,$P5003:$P5012))</f>
        <v>#N/A</v>
      </c>
      <c r="G5024" s="333" t="e">
        <f>IF(D5024="","",SUMIF($I5003:$I5012,D5024,$M5003:$M5012))</f>
        <v>#N/A</v>
      </c>
      <c r="H5024" s="535" t="e">
        <f t="shared" si="1487"/>
        <v>#N/A</v>
      </c>
      <c r="I5024" s="212" t="e">
        <f>IF(D5024="","",IF(H5024="NO APORTA","NO",IF(H5024=MAX($H5020:$H5025),"SI","NO")))</f>
        <v>#N/A</v>
      </c>
      <c r="J5024" s="213" t="e">
        <f t="shared" si="1488"/>
        <v>#N/A</v>
      </c>
      <c r="K5024" s="200" t="e">
        <f t="shared" si="1489"/>
        <v>#N/A</v>
      </c>
      <c r="L5024" s="721"/>
      <c r="M5024" s="715" t="s">
        <v>116</v>
      </c>
      <c r="N5024" s="716"/>
      <c r="O5024" s="556" t="str">
        <f>PORCREQUERIDO*100&amp;"% PMFO DEL MÓDULO"</f>
        <v>50% PMFO DEL MÓDULO</v>
      </c>
      <c r="P5024" s="715" t="s">
        <v>118</v>
      </c>
      <c r="Q5024" s="728"/>
      <c r="R5024" s="458"/>
      <c r="S5024" s="459"/>
      <c r="T5024" s="460"/>
      <c r="U5024" s="219"/>
      <c r="V5024" s="464"/>
      <c r="Y5024" s="414"/>
      <c r="AA5024" s="540" t="e">
        <f>IF(AND(C5023&lt;=F5018,F5018&lt;&gt;""),VLOOKUP(VALUE(E4999&amp;","&amp;C5023),INTEGRANTES!$D$18:$F$235,2,0),"")</f>
        <v>#N/A</v>
      </c>
      <c r="AB5024" s="545" t="e">
        <f t="shared" si="1490"/>
        <v>#N/A</v>
      </c>
      <c r="AC5024" s="529"/>
      <c r="AD5024" s="200" t="e">
        <f t="shared" si="1491"/>
        <v>#N/A</v>
      </c>
      <c r="AE5024" s="52"/>
      <c r="AF5024" s="52"/>
      <c r="AG5024" s="52"/>
      <c r="AH5024" s="87"/>
      <c r="AI5024" s="87"/>
    </row>
    <row r="5025" spans="1:35" ht="16.5" hidden="1" thickBot="1">
      <c r="A5025" s="218" t="e">
        <f>"S"&amp;E4999</f>
        <v>#N/A</v>
      </c>
      <c r="B5025" s="702"/>
      <c r="C5025" s="215">
        <v>6</v>
      </c>
      <c r="D5025" s="216" t="e">
        <f>IF(AND(C5025&lt;=F5018,F5018&lt;&gt;""),VLOOKUP(VALUE(E4999&amp;","&amp;C5025),INTEGRANTES!$D$18:$F$235,2,0),"")</f>
        <v>#N/A</v>
      </c>
      <c r="E5025" s="217" t="e">
        <f>IF(D5025&lt;&gt;"",VLOOKUP(VALUE(E4999&amp;","&amp;C5025),INTEGRANTES!$D$18:$F$235,3,0),"")</f>
        <v>#N/A</v>
      </c>
      <c r="F5025" s="548" t="e">
        <f>IF(D5025="","",SUMIF($I5003:$I5012,D5025,$P5003:$P5012))</f>
        <v>#N/A</v>
      </c>
      <c r="G5025" s="334" t="e">
        <f>IF(D5025="","",SUMIF($I5003:$I5012,D5025,$M5003:$M5012))</f>
        <v>#N/A</v>
      </c>
      <c r="H5025" s="536" t="e">
        <f t="shared" si="1487"/>
        <v>#N/A</v>
      </c>
      <c r="I5025" s="214" t="e">
        <f>IF(D5025="","",IF(H5025="NO APORTA","NO",IF(H5025=MAX($H5020:$H5025),"SI","NO")))</f>
        <v>#N/A</v>
      </c>
      <c r="J5025" s="213" t="e">
        <f t="shared" si="1488"/>
        <v>#N/A</v>
      </c>
      <c r="K5025" s="200" t="e">
        <f t="shared" si="1489"/>
        <v>#N/A</v>
      </c>
      <c r="L5025" s="721"/>
      <c r="M5025" s="729">
        <f>NUMMOD</f>
        <v>1</v>
      </c>
      <c r="N5025" s="730"/>
      <c r="O5025" s="443">
        <f>IF(M5025="","",ROUND(VLOOKUP(M5025,PRESUPUESTOS!$B$16:$H$16,7,FALSE),3))</f>
        <v>25.780999999999999</v>
      </c>
      <c r="P5025" s="713">
        <f>IF(OR(COUNTIF(P5003:P5012,"")&gt;=10,Q5019&lt;NUMMINCONT,OR(T5017="NO CUMPLE",T5017="VERIFICAR")),0,ROUND((SUM(P5003:P5012)/SUM(M5003:M5012)),3))</f>
        <v>0</v>
      </c>
      <c r="Q5025" s="714"/>
      <c r="R5025" s="458"/>
      <c r="S5025" s="459"/>
      <c r="T5025" s="460"/>
      <c r="U5025" s="219"/>
      <c r="V5025" s="464"/>
      <c r="Y5025" s="532" t="s">
        <v>343</v>
      </c>
      <c r="AA5025" s="540" t="e">
        <f>IF(AND(C5024&lt;=F5018,F5018&lt;&gt;""),VLOOKUP(VALUE(E4999&amp;","&amp;C5024),INTEGRANTES!$D$18:$F$235,2,0),"")</f>
        <v>#N/A</v>
      </c>
      <c r="AB5025" s="545" t="e">
        <f t="shared" si="1490"/>
        <v>#N/A</v>
      </c>
      <c r="AC5025" s="529"/>
      <c r="AD5025" s="200" t="e">
        <f t="shared" si="1491"/>
        <v>#N/A</v>
      </c>
      <c r="AE5025" s="52"/>
      <c r="AF5025" s="52"/>
      <c r="AG5025" s="52"/>
      <c r="AH5025" s="87"/>
      <c r="AI5025" s="87"/>
    </row>
    <row r="5026" spans="1:35" ht="16.5" hidden="1" customHeight="1" thickBot="1">
      <c r="A5026" s="218" t="e">
        <f>"T"&amp;E4999</f>
        <v>#N/A</v>
      </c>
      <c r="B5026" s="703"/>
      <c r="C5026" s="719"/>
      <c r="D5026" s="719"/>
      <c r="E5026" s="719"/>
      <c r="F5026" s="719"/>
      <c r="G5026" s="719"/>
      <c r="H5026" s="719" t="s">
        <v>110</v>
      </c>
      <c r="I5026" s="719"/>
      <c r="J5026" s="719"/>
      <c r="K5026" s="201" t="str">
        <f>IF(COUNTIF(K5020:K5025,"")=6,"",IF(COUNTIF(K5020:K5025,"CUMPLE")&gt;0,"CUMPLE","NO CUMPLE"))</f>
        <v>NO CUMPLE</v>
      </c>
      <c r="L5026" s="754"/>
      <c r="M5026" s="755"/>
      <c r="N5026" s="755"/>
      <c r="O5026" s="755"/>
      <c r="P5026" s="755"/>
      <c r="Q5026" s="756"/>
      <c r="R5026" s="461"/>
      <c r="S5026" s="462"/>
      <c r="T5026" s="463"/>
      <c r="U5026" s="219"/>
      <c r="V5026" s="464"/>
      <c r="Y5026" s="549" t="e">
        <f>IF(Y5020="NO APLICA","NO APLICA",IF(COUNTIF(AD5021:AD5026,"CUMPLE")&gt;0,"CUMPLE","NO CUMPLE"))</f>
        <v>#N/A</v>
      </c>
      <c r="AA5026" s="541" t="e">
        <f>IF(AND(C5025&lt;=F5018,F5018&lt;&gt;""),VLOOKUP(VALUE(E4999&amp;","&amp;C5025),INTEGRANTES!$D$18:$F$235,2,0),"")</f>
        <v>#N/A</v>
      </c>
      <c r="AB5026" s="546" t="e">
        <f t="shared" si="1490"/>
        <v>#N/A</v>
      </c>
      <c r="AC5026" s="543"/>
      <c r="AD5026" s="201" t="e">
        <f t="shared" si="1491"/>
        <v>#N/A</v>
      </c>
      <c r="AE5026" s="52"/>
      <c r="AF5026" s="52"/>
      <c r="AG5026" s="52"/>
      <c r="AH5026" s="87"/>
      <c r="AI5026" s="87"/>
    </row>
    <row r="5027" spans="1:35" hidden="1">
      <c r="AH5027" s="87"/>
      <c r="AI5027" s="87"/>
    </row>
    <row r="5028" spans="1:35" hidden="1">
      <c r="AH5028" s="87"/>
      <c r="AI5028" s="87"/>
    </row>
    <row r="5029" spans="1:35" ht="24" hidden="1" thickBot="1">
      <c r="A5029" s="61">
        <v>168</v>
      </c>
      <c r="B5029" s="704" t="s">
        <v>51</v>
      </c>
      <c r="C5029" s="704"/>
      <c r="D5029" s="704"/>
      <c r="E5029" s="62" t="e">
        <f>VLOOKUP(A5029,PROPONENTES!$B$19:$E$218,2,FALSE)</f>
        <v>#N/A</v>
      </c>
      <c r="F5029" s="63" t="e">
        <f>VLOOKUP(A5029,PROPONENTES!$B$19:$E$218,3,FALSE)</f>
        <v>#N/A</v>
      </c>
      <c r="G5029" s="64"/>
      <c r="H5029" s="64"/>
      <c r="I5029" s="63"/>
      <c r="J5029" s="63"/>
      <c r="K5029" s="65"/>
      <c r="L5029" s="65"/>
      <c r="M5029" s="64"/>
      <c r="N5029" s="64"/>
      <c r="O5029" s="66"/>
      <c r="P5029" s="66"/>
      <c r="Q5029" s="66"/>
      <c r="R5029" s="66"/>
      <c r="S5029" s="67"/>
      <c r="T5029" s="68"/>
      <c r="U5029" s="68"/>
      <c r="AC5029" s="68"/>
      <c r="AD5029" s="68"/>
      <c r="AE5029" s="68"/>
      <c r="AF5029" s="68"/>
      <c r="AG5029" s="68"/>
      <c r="AH5029" s="87"/>
      <c r="AI5029" s="87"/>
    </row>
    <row r="5030" spans="1:35" ht="15.75" hidden="1" customHeight="1">
      <c r="A5030" s="44"/>
      <c r="B5030" s="709" t="s">
        <v>59</v>
      </c>
      <c r="C5030" s="552" t="s">
        <v>60</v>
      </c>
      <c r="D5030" s="70" t="s">
        <v>17</v>
      </c>
      <c r="E5030" s="70"/>
      <c r="F5030" s="70" t="s">
        <v>61</v>
      </c>
      <c r="G5030" s="71"/>
      <c r="H5030" s="699" t="s">
        <v>62</v>
      </c>
      <c r="I5030" s="699" t="s">
        <v>18</v>
      </c>
      <c r="J5030" s="699" t="s">
        <v>63</v>
      </c>
      <c r="K5030" s="699" t="s">
        <v>64</v>
      </c>
      <c r="L5030" s="699" t="s">
        <v>65</v>
      </c>
      <c r="M5030" s="743" t="s">
        <v>66</v>
      </c>
      <c r="N5030" s="699" t="s">
        <v>282</v>
      </c>
      <c r="O5030" s="745" t="s">
        <v>67</v>
      </c>
      <c r="P5030" s="746"/>
      <c r="Q5030" s="102" t="s">
        <v>75</v>
      </c>
      <c r="R5030" s="731" t="s">
        <v>22</v>
      </c>
      <c r="S5030" s="732"/>
      <c r="T5030" s="733"/>
      <c r="U5030" s="712" t="s">
        <v>298</v>
      </c>
      <c r="W5030" s="690" t="s">
        <v>268</v>
      </c>
      <c r="X5030" s="691"/>
      <c r="Y5030" s="692"/>
      <c r="Z5030" s="428"/>
      <c r="AA5030" s="697" t="s">
        <v>315</v>
      </c>
      <c r="AB5030" s="695" t="s">
        <v>322</v>
      </c>
      <c r="AC5030" s="49"/>
      <c r="AD5030" s="690" t="s">
        <v>297</v>
      </c>
      <c r="AE5030" s="691"/>
      <c r="AF5030" s="692"/>
      <c r="AG5030" s="49"/>
      <c r="AH5030" s="87"/>
      <c r="AI5030" s="87"/>
    </row>
    <row r="5031" spans="1:35" ht="72" hidden="1">
      <c r="A5031" s="44"/>
      <c r="B5031" s="710"/>
      <c r="C5031" s="553" t="s">
        <v>68</v>
      </c>
      <c r="D5031" s="73" t="s">
        <v>3</v>
      </c>
      <c r="E5031" s="73" t="s">
        <v>19</v>
      </c>
      <c r="F5031" s="73" t="s">
        <v>69</v>
      </c>
      <c r="G5031" s="74" t="s">
        <v>70</v>
      </c>
      <c r="H5031" s="700"/>
      <c r="I5031" s="700"/>
      <c r="J5031" s="700"/>
      <c r="K5031" s="700"/>
      <c r="L5031" s="700"/>
      <c r="M5031" s="744"/>
      <c r="N5031" s="700"/>
      <c r="O5031" s="553" t="s">
        <v>279</v>
      </c>
      <c r="P5031" s="73" t="s">
        <v>88</v>
      </c>
      <c r="Q5031" s="555" t="s">
        <v>76</v>
      </c>
      <c r="R5031" s="734"/>
      <c r="S5031" s="735"/>
      <c r="T5031" s="736"/>
      <c r="U5031" s="712"/>
      <c r="W5031" s="429" t="s">
        <v>269</v>
      </c>
      <c r="X5031" s="457" t="s">
        <v>278</v>
      </c>
      <c r="Y5031" s="430" t="s">
        <v>324</v>
      </c>
      <c r="Z5031" s="428"/>
      <c r="AA5031" s="698"/>
      <c r="AB5031" s="696"/>
      <c r="AC5031" s="49"/>
      <c r="AD5031" s="429" t="s">
        <v>292</v>
      </c>
      <c r="AE5031" s="431" t="s">
        <v>300</v>
      </c>
      <c r="AF5031" s="468" t="s">
        <v>301</v>
      </c>
      <c r="AG5031" s="49"/>
      <c r="AH5031" s="87"/>
      <c r="AI5031" s="87"/>
    </row>
    <row r="5032" spans="1:35" hidden="1">
      <c r="A5032" s="44"/>
      <c r="B5032" s="76"/>
      <c r="C5032" s="77"/>
      <c r="D5032" s="77"/>
      <c r="E5032" s="77"/>
      <c r="F5032" s="77"/>
      <c r="G5032" s="77"/>
      <c r="H5032" s="77"/>
      <c r="I5032" s="77"/>
      <c r="J5032" s="77"/>
      <c r="K5032" s="77"/>
      <c r="L5032" s="77"/>
      <c r="M5032" s="77"/>
      <c r="N5032" s="77"/>
      <c r="O5032" s="77"/>
      <c r="P5032" s="77"/>
      <c r="Q5032" s="77"/>
      <c r="R5032" s="77"/>
      <c r="S5032" s="78"/>
      <c r="T5032" s="79"/>
      <c r="U5032" s="109"/>
      <c r="V5032" s="49"/>
      <c r="W5032" s="432"/>
      <c r="X5032" s="454"/>
      <c r="Y5032" s="433"/>
      <c r="Z5032" s="6"/>
      <c r="AA5032" s="500"/>
      <c r="AB5032" s="562"/>
      <c r="AC5032" s="49"/>
      <c r="AD5032" s="210"/>
      <c r="AE5032" s="434"/>
      <c r="AF5032" s="435"/>
      <c r="AG5032" s="49"/>
      <c r="AH5032" s="87"/>
      <c r="AI5032" s="87"/>
    </row>
    <row r="5033" spans="1:35" hidden="1">
      <c r="A5033" s="80" t="e">
        <f>"A"&amp;E5029</f>
        <v>#N/A</v>
      </c>
      <c r="B5033" s="81">
        <v>1</v>
      </c>
      <c r="C5033" s="82"/>
      <c r="D5033" s="82"/>
      <c r="E5033" s="82"/>
      <c r="F5033" s="82"/>
      <c r="G5033" s="83"/>
      <c r="H5033" s="83"/>
      <c r="I5033" s="84"/>
      <c r="J5033" s="85"/>
      <c r="K5033" s="382"/>
      <c r="L5033" s="85"/>
      <c r="M5033" s="332" t="str">
        <f t="shared" ref="M5033:M5042" si="1492">IF(OR(J5033="",L5033="",H5033="NO"),"",IF(OR(J5033&gt;$P$17,J5033&lt;$O$17,L5033&gt;$P$17,AND(J5033&lt;$O$17,L5033&lt;$O$17)),"FUERA DE RANGO",IF(OR(K5033="---",K5033=""),IF(J5033&gt;=$O$17,ROUND((L5033-J5033+1)/360*12,3),ROUND((L5033-$O$17+1)/360*12,3)),IF(J5033&gt;=$O$17,ROUND((L5033-J5033+1)/360*12-ROUND(K5033,3),3),ROUND((L5033-$O$17+1)/360*12-ROUND(K5033,3),3)))))</f>
        <v/>
      </c>
      <c r="N5033" s="86"/>
      <c r="O5033" s="453" t="str">
        <f>IF(OR(G5033="",N5033=""),"",N5033*G5033)</f>
        <v/>
      </c>
      <c r="P5033" s="538" t="str">
        <f>IF(OR(H5033="",M5033="FUERA DE RANGO"),"",IF(OR(L5033&lt;$O$17,L5033&gt;$P$17,L5033="",H5033="NO"),"",IF(OR(N5033="",O5033=""),"",ROUND(O5033,3))))</f>
        <v/>
      </c>
      <c r="Q5033" s="539" t="str">
        <f t="shared" ref="Q5033:Q5042" si="1493">IF(AND(H5033="SI",P5033&lt;&gt;""),ROUND(P5033/M5033,3),"")</f>
        <v/>
      </c>
      <c r="R5033" s="737"/>
      <c r="S5033" s="738"/>
      <c r="T5033" s="739"/>
      <c r="U5033" s="470"/>
      <c r="V5033" s="165"/>
      <c r="W5033" s="446"/>
      <c r="X5033" s="456"/>
      <c r="Y5033" s="436"/>
      <c r="Z5033" s="437"/>
      <c r="AA5033" s="560"/>
      <c r="AB5033" s="561"/>
      <c r="AC5033" s="87"/>
      <c r="AD5033" s="466"/>
      <c r="AE5033" s="456"/>
      <c r="AF5033" s="467"/>
      <c r="AG5033" s="87"/>
      <c r="AH5033" s="87"/>
      <c r="AI5033" s="87"/>
    </row>
    <row r="5034" spans="1:35" hidden="1">
      <c r="A5034" s="80" t="e">
        <f>"B"&amp;E5029</f>
        <v>#N/A</v>
      </c>
      <c r="B5034" s="81">
        <v>2</v>
      </c>
      <c r="C5034" s="106"/>
      <c r="D5034" s="106"/>
      <c r="E5034" s="106"/>
      <c r="F5034" s="106"/>
      <c r="G5034" s="83"/>
      <c r="H5034" s="83"/>
      <c r="I5034" s="84"/>
      <c r="J5034" s="85"/>
      <c r="K5034" s="382"/>
      <c r="L5034" s="85"/>
      <c r="M5034" s="332" t="str">
        <f t="shared" si="1492"/>
        <v/>
      </c>
      <c r="N5034" s="86"/>
      <c r="O5034" s="453" t="str">
        <f t="shared" ref="O5034:O5042" si="1494">IF(OR(G5034="",N5034=""),"",N5034*G5034)</f>
        <v/>
      </c>
      <c r="P5034" s="538" t="str">
        <f t="shared" ref="P5034:P5042" si="1495">IF(OR(H5034="",M5034="FUERA DE RANGO"),"",IF(OR(L5034&lt;$O$17,L5034&gt;$P$17,L5034="",H5034="NO"),"",IF(OR(N5034="",O5034=""),"",ROUND(O5034,3))))</f>
        <v/>
      </c>
      <c r="Q5034" s="539" t="str">
        <f t="shared" si="1493"/>
        <v/>
      </c>
      <c r="R5034" s="740"/>
      <c r="S5034" s="741"/>
      <c r="T5034" s="742"/>
      <c r="U5034" s="471"/>
      <c r="V5034" s="165"/>
      <c r="W5034" s="446"/>
      <c r="X5034" s="456"/>
      <c r="Y5034" s="436"/>
      <c r="Z5034" s="437"/>
      <c r="AA5034" s="560"/>
      <c r="AB5034" s="561"/>
      <c r="AC5034" s="87"/>
      <c r="AD5034" s="466"/>
      <c r="AE5034" s="456"/>
      <c r="AF5034" s="467"/>
      <c r="AG5034" s="87"/>
      <c r="AH5034" s="87"/>
      <c r="AI5034" s="87"/>
    </row>
    <row r="5035" spans="1:35" hidden="1">
      <c r="A5035" s="80" t="e">
        <f>"C"&amp;E5029</f>
        <v>#N/A</v>
      </c>
      <c r="B5035" s="88">
        <v>3</v>
      </c>
      <c r="C5035" s="82"/>
      <c r="D5035" s="82"/>
      <c r="E5035" s="82"/>
      <c r="F5035" s="82"/>
      <c r="G5035" s="83"/>
      <c r="H5035" s="83"/>
      <c r="I5035" s="84"/>
      <c r="J5035" s="85"/>
      <c r="K5035" s="382"/>
      <c r="L5035" s="85"/>
      <c r="M5035" s="332" t="str">
        <f t="shared" si="1492"/>
        <v/>
      </c>
      <c r="N5035" s="86"/>
      <c r="O5035" s="453" t="str">
        <f t="shared" si="1494"/>
        <v/>
      </c>
      <c r="P5035" s="538" t="str">
        <f t="shared" si="1495"/>
        <v/>
      </c>
      <c r="Q5035" s="539" t="str">
        <f t="shared" si="1493"/>
        <v/>
      </c>
      <c r="R5035" s="706"/>
      <c r="S5035" s="707"/>
      <c r="T5035" s="708"/>
      <c r="U5035" s="472"/>
      <c r="V5035" s="166"/>
      <c r="W5035" s="446"/>
      <c r="X5035" s="456"/>
      <c r="Y5035" s="436"/>
      <c r="Z5035" s="437"/>
      <c r="AA5035" s="560"/>
      <c r="AB5035" s="561"/>
      <c r="AC5035" s="87"/>
      <c r="AD5035" s="466"/>
      <c r="AE5035" s="456"/>
      <c r="AF5035" s="467"/>
      <c r="AG5035" s="87"/>
      <c r="AH5035" s="87"/>
      <c r="AI5035" s="87"/>
    </row>
    <row r="5036" spans="1:35" hidden="1">
      <c r="A5036" s="80" t="e">
        <f>"D"&amp;E5029</f>
        <v>#N/A</v>
      </c>
      <c r="B5036" s="105">
        <v>4</v>
      </c>
      <c r="C5036" s="107"/>
      <c r="D5036" s="107"/>
      <c r="E5036" s="107"/>
      <c r="F5036" s="107"/>
      <c r="G5036" s="83"/>
      <c r="H5036" s="83"/>
      <c r="I5036" s="84"/>
      <c r="J5036" s="85"/>
      <c r="K5036" s="382"/>
      <c r="L5036" s="85"/>
      <c r="M5036" s="332" t="str">
        <f t="shared" si="1492"/>
        <v/>
      </c>
      <c r="N5036" s="86"/>
      <c r="O5036" s="453" t="str">
        <f t="shared" si="1494"/>
        <v/>
      </c>
      <c r="P5036" s="538" t="str">
        <f t="shared" si="1495"/>
        <v/>
      </c>
      <c r="Q5036" s="539" t="str">
        <f t="shared" si="1493"/>
        <v/>
      </c>
      <c r="R5036" s="706"/>
      <c r="S5036" s="707"/>
      <c r="T5036" s="708"/>
      <c r="U5036" s="472"/>
      <c r="V5036" s="166"/>
      <c r="W5036" s="446"/>
      <c r="X5036" s="456"/>
      <c r="Y5036" s="436"/>
      <c r="Z5036" s="437"/>
      <c r="AA5036" s="560"/>
      <c r="AB5036" s="561"/>
      <c r="AC5036" s="87"/>
      <c r="AD5036" s="466"/>
      <c r="AE5036" s="456"/>
      <c r="AF5036" s="467"/>
      <c r="AG5036" s="87"/>
      <c r="AH5036" s="87"/>
      <c r="AI5036" s="87"/>
    </row>
    <row r="5037" spans="1:35" hidden="1">
      <c r="A5037" s="80" t="e">
        <f>"E"&amp;E5029</f>
        <v>#N/A</v>
      </c>
      <c r="B5037" s="105">
        <v>5</v>
      </c>
      <c r="C5037" s="107"/>
      <c r="D5037" s="107"/>
      <c r="E5037" s="107"/>
      <c r="F5037" s="107"/>
      <c r="G5037" s="83"/>
      <c r="H5037" s="83"/>
      <c r="I5037" s="84"/>
      <c r="J5037" s="85"/>
      <c r="K5037" s="382"/>
      <c r="L5037" s="85"/>
      <c r="M5037" s="332" t="str">
        <f t="shared" si="1492"/>
        <v/>
      </c>
      <c r="N5037" s="86"/>
      <c r="O5037" s="453" t="str">
        <f t="shared" si="1494"/>
        <v/>
      </c>
      <c r="P5037" s="538" t="str">
        <f t="shared" si="1495"/>
        <v/>
      </c>
      <c r="Q5037" s="539" t="str">
        <f t="shared" si="1493"/>
        <v/>
      </c>
      <c r="R5037" s="706"/>
      <c r="S5037" s="707"/>
      <c r="T5037" s="708"/>
      <c r="U5037" s="472"/>
      <c r="V5037" s="167"/>
      <c r="W5037" s="446"/>
      <c r="X5037" s="456"/>
      <c r="Y5037" s="436"/>
      <c r="Z5037" s="437"/>
      <c r="AA5037" s="560"/>
      <c r="AB5037" s="561"/>
      <c r="AC5037" s="87"/>
      <c r="AD5037" s="466"/>
      <c r="AE5037" s="456"/>
      <c r="AF5037" s="467"/>
      <c r="AG5037" s="87"/>
      <c r="AH5037" s="87"/>
      <c r="AI5037" s="87"/>
    </row>
    <row r="5038" spans="1:35" hidden="1">
      <c r="A5038" s="80" t="e">
        <f>"F"&amp;E5029</f>
        <v>#N/A</v>
      </c>
      <c r="B5038" s="105">
        <v>6</v>
      </c>
      <c r="C5038" s="107"/>
      <c r="D5038" s="107"/>
      <c r="E5038" s="107"/>
      <c r="F5038" s="107"/>
      <c r="G5038" s="83"/>
      <c r="H5038" s="83"/>
      <c r="I5038" s="84"/>
      <c r="J5038" s="85"/>
      <c r="K5038" s="382"/>
      <c r="L5038" s="85"/>
      <c r="M5038" s="332" t="str">
        <f t="shared" si="1492"/>
        <v/>
      </c>
      <c r="N5038" s="86"/>
      <c r="O5038" s="453" t="str">
        <f t="shared" si="1494"/>
        <v/>
      </c>
      <c r="P5038" s="538" t="str">
        <f t="shared" si="1495"/>
        <v/>
      </c>
      <c r="Q5038" s="539" t="str">
        <f t="shared" si="1493"/>
        <v/>
      </c>
      <c r="R5038" s="706"/>
      <c r="S5038" s="707"/>
      <c r="T5038" s="708"/>
      <c r="U5038" s="472"/>
      <c r="V5038" s="167"/>
      <c r="W5038" s="446"/>
      <c r="X5038" s="456"/>
      <c r="Y5038" s="436"/>
      <c r="Z5038" s="437"/>
      <c r="AA5038" s="560"/>
      <c r="AB5038" s="561"/>
      <c r="AC5038" s="87"/>
      <c r="AD5038" s="466"/>
      <c r="AE5038" s="456"/>
      <c r="AF5038" s="467"/>
      <c r="AG5038" s="87"/>
      <c r="AH5038" s="87"/>
      <c r="AI5038" s="87"/>
    </row>
    <row r="5039" spans="1:35" hidden="1">
      <c r="A5039" s="80" t="e">
        <f>"G"&amp;E5029</f>
        <v>#N/A</v>
      </c>
      <c r="B5039" s="105">
        <v>7</v>
      </c>
      <c r="C5039" s="107"/>
      <c r="D5039" s="107"/>
      <c r="E5039" s="107"/>
      <c r="F5039" s="107"/>
      <c r="G5039" s="83"/>
      <c r="H5039" s="83"/>
      <c r="I5039" s="84"/>
      <c r="J5039" s="85"/>
      <c r="K5039" s="382"/>
      <c r="L5039" s="85"/>
      <c r="M5039" s="332" t="str">
        <f t="shared" si="1492"/>
        <v/>
      </c>
      <c r="N5039" s="86"/>
      <c r="O5039" s="86" t="str">
        <f t="shared" si="1494"/>
        <v/>
      </c>
      <c r="P5039" s="538" t="str">
        <f t="shared" si="1495"/>
        <v/>
      </c>
      <c r="Q5039" s="539" t="str">
        <f t="shared" si="1493"/>
        <v/>
      </c>
      <c r="R5039" s="706"/>
      <c r="S5039" s="707"/>
      <c r="T5039" s="708"/>
      <c r="U5039" s="472"/>
      <c r="V5039" s="167"/>
      <c r="W5039" s="446"/>
      <c r="X5039" s="456"/>
      <c r="Y5039" s="436"/>
      <c r="Z5039" s="437"/>
      <c r="AA5039" s="560"/>
      <c r="AB5039" s="561"/>
      <c r="AC5039" s="87"/>
      <c r="AD5039" s="466"/>
      <c r="AE5039" s="456"/>
      <c r="AF5039" s="467"/>
      <c r="AG5039" s="87"/>
      <c r="AH5039" s="87"/>
      <c r="AI5039" s="87"/>
    </row>
    <row r="5040" spans="1:35" hidden="1">
      <c r="A5040" s="80" t="e">
        <f>"H"&amp;E5029</f>
        <v>#N/A</v>
      </c>
      <c r="B5040" s="105">
        <v>8</v>
      </c>
      <c r="C5040" s="107"/>
      <c r="D5040" s="107"/>
      <c r="E5040" s="107"/>
      <c r="F5040" s="107"/>
      <c r="G5040" s="83"/>
      <c r="H5040" s="83"/>
      <c r="I5040" s="84"/>
      <c r="J5040" s="85"/>
      <c r="K5040" s="382"/>
      <c r="L5040" s="85"/>
      <c r="M5040" s="332" t="str">
        <f t="shared" si="1492"/>
        <v/>
      </c>
      <c r="N5040" s="453"/>
      <c r="O5040" s="86" t="str">
        <f t="shared" si="1494"/>
        <v/>
      </c>
      <c r="P5040" s="538" t="str">
        <f t="shared" si="1495"/>
        <v/>
      </c>
      <c r="Q5040" s="539" t="str">
        <f t="shared" si="1493"/>
        <v/>
      </c>
      <c r="R5040" s="706"/>
      <c r="S5040" s="707"/>
      <c r="T5040" s="708"/>
      <c r="U5040" s="472"/>
      <c r="V5040" s="167"/>
      <c r="W5040" s="446"/>
      <c r="X5040" s="456"/>
      <c r="Y5040" s="436"/>
      <c r="Z5040" s="437"/>
      <c r="AA5040" s="560"/>
      <c r="AB5040" s="561"/>
      <c r="AC5040" s="87"/>
      <c r="AD5040" s="466"/>
      <c r="AE5040" s="456"/>
      <c r="AF5040" s="467"/>
      <c r="AG5040" s="87"/>
      <c r="AH5040" s="87"/>
      <c r="AI5040" s="87"/>
    </row>
    <row r="5041" spans="1:35" hidden="1">
      <c r="A5041" s="80" t="e">
        <f>"I"&amp;E5029</f>
        <v>#N/A</v>
      </c>
      <c r="B5041" s="105">
        <v>9</v>
      </c>
      <c r="C5041" s="107"/>
      <c r="D5041" s="107"/>
      <c r="E5041" s="107"/>
      <c r="F5041" s="107"/>
      <c r="G5041" s="83"/>
      <c r="H5041" s="83"/>
      <c r="I5041" s="84"/>
      <c r="J5041" s="85"/>
      <c r="K5041" s="382"/>
      <c r="L5041" s="85"/>
      <c r="M5041" s="332" t="str">
        <f t="shared" si="1492"/>
        <v/>
      </c>
      <c r="N5041" s="453"/>
      <c r="O5041" s="86" t="str">
        <f t="shared" si="1494"/>
        <v/>
      </c>
      <c r="P5041" s="538" t="str">
        <f t="shared" si="1495"/>
        <v/>
      </c>
      <c r="Q5041" s="539" t="str">
        <f t="shared" si="1493"/>
        <v/>
      </c>
      <c r="R5041" s="706"/>
      <c r="S5041" s="707"/>
      <c r="T5041" s="708"/>
      <c r="U5041" s="472"/>
      <c r="V5041" s="167"/>
      <c r="W5041" s="446"/>
      <c r="X5041" s="456"/>
      <c r="Y5041" s="436"/>
      <c r="Z5041" s="437"/>
      <c r="AA5041" s="560"/>
      <c r="AB5041" s="561"/>
      <c r="AC5041" s="87"/>
      <c r="AD5041" s="466"/>
      <c r="AE5041" s="456"/>
      <c r="AF5041" s="467"/>
      <c r="AG5041" s="87"/>
      <c r="AH5041" s="87"/>
      <c r="AI5041" s="87"/>
    </row>
    <row r="5042" spans="1:35" hidden="1">
      <c r="A5042" s="80" t="e">
        <f>"J"&amp;E5029</f>
        <v>#N/A</v>
      </c>
      <c r="B5042" s="105">
        <v>10</v>
      </c>
      <c r="C5042" s="107"/>
      <c r="D5042" s="107"/>
      <c r="E5042" s="107"/>
      <c r="F5042" s="107"/>
      <c r="G5042" s="83"/>
      <c r="H5042" s="83"/>
      <c r="I5042" s="84"/>
      <c r="J5042" s="85"/>
      <c r="K5042" s="382"/>
      <c r="L5042" s="85"/>
      <c r="M5042" s="332" t="str">
        <f t="shared" si="1492"/>
        <v/>
      </c>
      <c r="N5042" s="453"/>
      <c r="O5042" s="86" t="str">
        <f t="shared" si="1494"/>
        <v/>
      </c>
      <c r="P5042" s="538" t="str">
        <f t="shared" si="1495"/>
        <v/>
      </c>
      <c r="Q5042" s="539" t="str">
        <f t="shared" si="1493"/>
        <v/>
      </c>
      <c r="R5042" s="706"/>
      <c r="S5042" s="707"/>
      <c r="T5042" s="708"/>
      <c r="U5042" s="472"/>
      <c r="V5042" s="167"/>
      <c r="W5042" s="446"/>
      <c r="X5042" s="456"/>
      <c r="Y5042" s="436"/>
      <c r="Z5042" s="437"/>
      <c r="AA5042" s="560"/>
      <c r="AB5042" s="561"/>
      <c r="AC5042" s="87"/>
      <c r="AD5042" s="466"/>
      <c r="AE5042" s="456"/>
      <c r="AF5042" s="467"/>
      <c r="AG5042" s="87"/>
      <c r="AH5042" s="87"/>
      <c r="AI5042" s="87"/>
    </row>
    <row r="5043" spans="1:35" ht="16.5" hidden="1" thickBot="1">
      <c r="A5043" s="44"/>
      <c r="B5043" s="89"/>
      <c r="C5043" s="90"/>
      <c r="D5043" s="90"/>
      <c r="E5043" s="90"/>
      <c r="F5043" s="90"/>
      <c r="G5043" s="90"/>
      <c r="H5043" s="90"/>
      <c r="I5043" s="90"/>
      <c r="J5043" s="90"/>
      <c r="K5043" s="90"/>
      <c r="L5043" s="90"/>
      <c r="M5043" s="90"/>
      <c r="N5043" s="90"/>
      <c r="O5043" s="90"/>
      <c r="P5043" s="90"/>
      <c r="Q5043" s="90"/>
      <c r="R5043" s="90"/>
      <c r="S5043" s="91"/>
      <c r="T5043" s="92"/>
      <c r="U5043" s="473"/>
      <c r="W5043" s="438"/>
      <c r="X5043" s="455"/>
      <c r="Y5043" s="439"/>
      <c r="Z5043" s="437"/>
      <c r="AA5043" s="530"/>
      <c r="AB5043" s="563"/>
      <c r="AC5043" s="87"/>
      <c r="AD5043" s="440"/>
      <c r="AE5043" s="441"/>
      <c r="AF5043" s="442"/>
      <c r="AG5043" s="49"/>
      <c r="AH5043" s="87"/>
      <c r="AI5043" s="87"/>
    </row>
    <row r="5044" spans="1:35" ht="16.5" hidden="1" thickBot="1">
      <c r="A5044" s="93"/>
      <c r="B5044" s="94"/>
      <c r="C5044" s="96"/>
      <c r="D5044" s="96"/>
      <c r="E5044" s="96"/>
      <c r="F5044" s="96"/>
      <c r="G5044" s="96"/>
      <c r="H5044" s="96"/>
      <c r="I5044" s="96"/>
      <c r="J5044" s="96"/>
      <c r="K5044" s="96"/>
      <c r="L5044" s="96"/>
      <c r="M5044" s="136"/>
      <c r="N5044" s="96"/>
      <c r="O5044" s="96"/>
      <c r="P5044" s="97"/>
      <c r="Q5044" s="97"/>
      <c r="R5044" s="98"/>
      <c r="S5044" s="95"/>
      <c r="T5044" s="99"/>
      <c r="U5044" s="469"/>
      <c r="AC5044" s="58"/>
      <c r="AG5044" s="58"/>
      <c r="AH5044" s="87"/>
      <c r="AI5044" s="87"/>
    </row>
    <row r="5045" spans="1:35" ht="16.5" hidden="1" thickBot="1">
      <c r="B5045" s="101"/>
      <c r="C5045" s="101"/>
      <c r="D5045" s="101"/>
      <c r="E5045" s="101"/>
      <c r="F5045" s="101"/>
      <c r="G5045" s="101"/>
      <c r="H5045" s="101"/>
      <c r="I5045" s="101"/>
      <c r="J5045" s="101"/>
      <c r="K5045" s="101"/>
      <c r="L5045" s="101"/>
      <c r="M5045" s="101"/>
      <c r="N5045" s="101"/>
      <c r="O5045" s="101"/>
      <c r="P5045" s="101"/>
      <c r="Q5045" s="101"/>
      <c r="R5045" s="101"/>
      <c r="S5045" s="101"/>
      <c r="U5045" s="50"/>
      <c r="AH5045" s="87"/>
      <c r="AI5045" s="87"/>
    </row>
    <row r="5046" spans="1:35" ht="16.5" hidden="1" customHeight="1" thickBot="1">
      <c r="A5046" s="44"/>
      <c r="B5046" s="705" t="s">
        <v>74</v>
      </c>
      <c r="C5046" s="705"/>
      <c r="D5046" s="705"/>
      <c r="E5046" s="705"/>
      <c r="F5046" s="705"/>
      <c r="G5046" s="705"/>
      <c r="H5046" s="705"/>
      <c r="I5046" s="705"/>
      <c r="J5046" s="705"/>
      <c r="K5046" s="705"/>
      <c r="L5046" s="705"/>
      <c r="M5046" s="705"/>
      <c r="N5046" s="705"/>
      <c r="O5046" s="705"/>
      <c r="P5046" s="705"/>
      <c r="Q5046" s="705"/>
      <c r="R5046" s="705"/>
      <c r="S5046" s="705"/>
      <c r="T5046" s="705"/>
      <c r="U5046" s="108"/>
      <c r="Y5046" s="532" t="s">
        <v>341</v>
      </c>
      <c r="AC5046" s="49"/>
      <c r="AD5046" s="687" t="s">
        <v>302</v>
      </c>
      <c r="AE5046" s="688"/>
      <c r="AF5046" s="689"/>
      <c r="AG5046" s="49"/>
      <c r="AH5046" s="87"/>
      <c r="AI5046" s="87"/>
    </row>
    <row r="5047" spans="1:35" ht="16.5" hidden="1" customHeight="1" thickBot="1">
      <c r="A5047" s="218" t="e">
        <f>"K"&amp;E5029</f>
        <v>#N/A</v>
      </c>
      <c r="B5047" s="701" t="s">
        <v>71</v>
      </c>
      <c r="C5047" s="751" t="s">
        <v>102</v>
      </c>
      <c r="D5047" s="751"/>
      <c r="E5047" s="751"/>
      <c r="F5047" s="751"/>
      <c r="G5047" s="751"/>
      <c r="H5047" s="751"/>
      <c r="I5047" s="751"/>
      <c r="J5047" s="751"/>
      <c r="K5047" s="751"/>
      <c r="L5047" s="722" t="s">
        <v>100</v>
      </c>
      <c r="M5047" s="747" t="s">
        <v>114</v>
      </c>
      <c r="N5047" s="747"/>
      <c r="O5047" s="747"/>
      <c r="P5047" s="747"/>
      <c r="Q5047" s="748"/>
      <c r="R5047" s="758" t="s">
        <v>280</v>
      </c>
      <c r="S5047" s="748"/>
      <c r="T5047" s="762" t="str">
        <f>IF(COUNTIF(AE5047:AF5047,"VERIFICAR")&gt;0,"VERIFICAR",IF(COUNTIF(AE5047:AF5047,"NO CUMPLE")&gt;0,"NO CUMPLE","CUMPLE"))</f>
        <v>VERIFICAR</v>
      </c>
      <c r="U5047" s="108"/>
      <c r="Y5047" s="533" t="e">
        <f>IF(F5048="","",IF(F5048=1,"INDIVIDUAL","ESTRUCTURA PLURAL"))</f>
        <v>#N/A</v>
      </c>
      <c r="AC5047" s="52"/>
      <c r="AD5047" s="475" t="s">
        <v>303</v>
      </c>
      <c r="AE5047" s="476" t="str">
        <f>IF(COUNTIF(AE5033:AE5042,"")=10,"VERIFICAR",IF(COUNTIF(AE5033:AE5042,"SI")&gt;0,"CUMPLE","NO CUMPLE"))</f>
        <v>VERIFICAR</v>
      </c>
      <c r="AF5047" s="477" t="str">
        <f>IF(COUNTIF(AF5033:AF5042,"")=10,"VERIFICAR",IF(COUNTIF(AF5033:AF5042,"SI")&gt;=$AI$22,"CUMPLE","NO CUMPLE"))</f>
        <v>VERIFICAR</v>
      </c>
      <c r="AG5047" s="52"/>
      <c r="AH5047" s="87"/>
      <c r="AI5047" s="87"/>
    </row>
    <row r="5048" spans="1:35" ht="15.75" hidden="1" customHeight="1" thickBot="1">
      <c r="A5048" s="218" t="e">
        <f>"L"&amp;E5029</f>
        <v>#N/A</v>
      </c>
      <c r="B5048" s="702"/>
      <c r="C5048" s="751" t="s">
        <v>103</v>
      </c>
      <c r="D5048" s="751"/>
      <c r="E5048" s="752"/>
      <c r="F5048" s="557" t="e">
        <f>IF(VLOOKUP(E5029,PROPONENTES!$C$19:$E$218,3,0)="","",VLOOKUP(E5029,PROPONENTES!$C$19:$E$218,3,0))</f>
        <v>#N/A</v>
      </c>
      <c r="G5048" s="753" t="s">
        <v>104</v>
      </c>
      <c r="H5048" s="751"/>
      <c r="I5048" s="715" t="e">
        <f>IF(OR(F5048="",F5048=1),"INTERESADO PERSONA NATURAL O JURIDICA","CONSORCIO O UNION TEMPORAL")</f>
        <v>#N/A</v>
      </c>
      <c r="J5048" s="725"/>
      <c r="K5048" s="728"/>
      <c r="L5048" s="723"/>
      <c r="M5048" s="749"/>
      <c r="N5048" s="749"/>
      <c r="O5048" s="749"/>
      <c r="P5048" s="749"/>
      <c r="Q5048" s="750"/>
      <c r="R5048" s="712"/>
      <c r="S5048" s="750"/>
      <c r="T5048" s="763"/>
      <c r="U5048" s="108"/>
      <c r="Y5048" s="534"/>
      <c r="AA5048" s="52"/>
      <c r="AB5048" s="52"/>
      <c r="AC5048" s="52"/>
      <c r="AG5048" s="52"/>
      <c r="AH5048" s="87"/>
      <c r="AI5048" s="87"/>
    </row>
    <row r="5049" spans="1:35" ht="56.25" hidden="1" customHeight="1" thickBot="1">
      <c r="A5049" s="218" t="e">
        <f>"M"&amp;E5029</f>
        <v>#N/A</v>
      </c>
      <c r="B5049" s="702"/>
      <c r="C5049" s="725" t="s">
        <v>101</v>
      </c>
      <c r="D5049" s="716"/>
      <c r="E5049" s="558" t="s">
        <v>105</v>
      </c>
      <c r="F5049" s="554" t="s">
        <v>87</v>
      </c>
      <c r="G5049" s="553" t="s">
        <v>86</v>
      </c>
      <c r="H5049" s="559" t="s">
        <v>85</v>
      </c>
      <c r="I5049" s="554" t="s">
        <v>252</v>
      </c>
      <c r="J5049" s="553" t="str">
        <f>"¿EL INTEGRANTE TIENE UNA PARTICIPACIÓN DEL "&amp;PORCREQUERIDOINT*100&amp;"%?"</f>
        <v>¿EL INTEGRANTE TIENE UNA PARTICIPACIÓN DEL 60%?</v>
      </c>
      <c r="K5049" s="554" t="s">
        <v>107</v>
      </c>
      <c r="L5049" s="724"/>
      <c r="M5049" s="717" t="s">
        <v>115</v>
      </c>
      <c r="N5049" s="718"/>
      <c r="O5049" s="718"/>
      <c r="P5049" s="718"/>
      <c r="Q5049" s="223">
        <f>IF(AND(H5033="SI",P5033&gt;=0),1,0)+IF(AND(H5034="SI",P5034&gt;=0),1,0)+IF(AND(H5035="SI",P5035&gt;=0),1,0)+IF(AND(H5036="SI",P5036&gt;=0),1,0)+IF(AND(H5037="SI",P5037&gt;=0),1,0)+IF(AND(H5038="SI",P5038&gt;=0),1,0)+IF(AND(H5039="SI",P5039&gt;=0),1,0)+IF(AND(H5040="SI",P5040&gt;=0),1,0)+IF(AND(H5041="SI",P5041&gt;=0),1,0)+IF(AND(H5042="SI",P5042&gt;=0),1,0)</f>
        <v>0</v>
      </c>
      <c r="R5049" s="759"/>
      <c r="S5049" s="761"/>
      <c r="T5049" s="764"/>
      <c r="U5049" s="219"/>
      <c r="V5049" s="464"/>
      <c r="Y5049" s="532" t="s">
        <v>342</v>
      </c>
      <c r="AA5049" s="550" t="s">
        <v>344</v>
      </c>
      <c r="AB5049" s="693" t="s">
        <v>345</v>
      </c>
      <c r="AC5049" s="693" t="s">
        <v>346</v>
      </c>
      <c r="AD5049" s="685" t="s">
        <v>347</v>
      </c>
      <c r="AE5049" s="52"/>
      <c r="AF5049" s="52"/>
      <c r="AG5049" s="52"/>
      <c r="AH5049" s="87"/>
      <c r="AI5049" s="87"/>
    </row>
    <row r="5050" spans="1:35" ht="15.75" hidden="1" customHeight="1" thickBot="1">
      <c r="A5050" s="218" t="e">
        <f>"N"&amp;E5029</f>
        <v>#N/A</v>
      </c>
      <c r="B5050" s="702"/>
      <c r="C5050" s="114">
        <v>1</v>
      </c>
      <c r="D5050" s="194" t="e">
        <f>IF(AND(C5050&lt;=F5048,F5048&gt;1,F5048&lt;&gt;""),VLOOKUP(VALUE(E5029&amp;","&amp;C5050),INTEGRANTES!$D$18:$F$235,2,0),"")</f>
        <v>#N/A</v>
      </c>
      <c r="E5050" s="211" t="e">
        <f>IF(D5050&lt;&gt;"",VLOOKUP(VALUE(E5029&amp;","&amp;C5050),INTEGRANTES!$D$18:$F$235,3,0),"")</f>
        <v>#N/A</v>
      </c>
      <c r="F5050" s="547" t="e">
        <f>IF(D5050="","",SUMIF($I5033:$I5042,D5050,$P5033:$P5042))</f>
        <v>#N/A</v>
      </c>
      <c r="G5050" s="333" t="e">
        <f>IF(D5050="","",SUMIF($I5033:$I5042,D5050,$M5033:$M5042))</f>
        <v>#N/A</v>
      </c>
      <c r="H5050" s="535" t="e">
        <f t="shared" ref="H5050:H5055" si="1496">IF(D5050="","",IF(OR(F5050=0,G5050=0),"NO APORTA",ROUND($F5050/$G5050,3)))</f>
        <v>#N/A</v>
      </c>
      <c r="I5050" s="212" t="e">
        <f>IF(D5050="","",IF(H5050="NO APORTA","NO",IF(H5050=MAX($H5050:$H5055),"SI","NO")))</f>
        <v>#N/A</v>
      </c>
      <c r="J5050" s="213" t="e">
        <f t="shared" ref="J5050:J5055" si="1497">IF(D5050="","",IF(E5050&gt;=PORCREQUERIDOINT,"SI","NO"))</f>
        <v>#N/A</v>
      </c>
      <c r="K5050" s="200" t="e">
        <f t="shared" ref="K5050:K5055" si="1498">IF(D5050="","",IF(AND(I5050="SI",J5050="SI"),"CUMPLE",IF(AND(I5050="NO",OR(J5050="SI",J5050="NO")),"","NO CUMPLE")))</f>
        <v>#N/A</v>
      </c>
      <c r="L5050" s="722" t="s">
        <v>108</v>
      </c>
      <c r="M5050" s="726" t="s">
        <v>119</v>
      </c>
      <c r="N5050" s="726"/>
      <c r="O5050" s="726"/>
      <c r="P5050" s="726"/>
      <c r="Q5050" s="727"/>
      <c r="R5050" s="758" t="s">
        <v>80</v>
      </c>
      <c r="S5050" s="747"/>
      <c r="T5050" s="748"/>
      <c r="U5050" s="219"/>
      <c r="V5050" s="464"/>
      <c r="Y5050" s="533" t="e">
        <f>IF(Y5047="","",IF(Y5047="INDIVIDUAL","NO APLICA","VERIFICAR CUADRO"))</f>
        <v>#N/A</v>
      </c>
      <c r="AA5050" s="551"/>
      <c r="AB5050" s="694"/>
      <c r="AC5050" s="694"/>
      <c r="AD5050" s="686"/>
      <c r="AE5050" s="52"/>
      <c r="AF5050" s="52"/>
      <c r="AG5050" s="52"/>
      <c r="AH5050" s="87"/>
      <c r="AI5050" s="87"/>
    </row>
    <row r="5051" spans="1:35" ht="27" hidden="1" customHeight="1" thickBot="1">
      <c r="A5051" s="218" t="e">
        <f>"O"&amp;E5029</f>
        <v>#N/A</v>
      </c>
      <c r="B5051" s="702"/>
      <c r="C5051" s="114">
        <v>2</v>
      </c>
      <c r="D5051" s="194" t="e">
        <f>IF(AND(C5051&lt;=F5048,F5048&lt;&gt;""),VLOOKUP(VALUE(E5029&amp;","&amp;C5051),INTEGRANTES!$D$18:$F$235,2,0),"")</f>
        <v>#N/A</v>
      </c>
      <c r="E5051" s="211" t="e">
        <f>IF(D5051&lt;&gt;"",VLOOKUP(VALUE(E5029&amp;","&amp;C5051),INTEGRANTES!$D$18:$F$235,3,0),"")</f>
        <v>#N/A</v>
      </c>
      <c r="F5051" s="547" t="e">
        <f>IF(D5051="","",SUMIF($I5033:$I5042,D5051,$P5033:$P5042))</f>
        <v>#N/A</v>
      </c>
      <c r="G5051" s="333" t="e">
        <f>IF(D5051="","",SUMIF($I5033:$I5042,D5051,$M5033:$M5042))</f>
        <v>#N/A</v>
      </c>
      <c r="H5051" s="535" t="e">
        <f t="shared" si="1496"/>
        <v>#N/A</v>
      </c>
      <c r="I5051" s="212" t="e">
        <f>IF(D5051="","",IF(H5051="NO APORTA","NO",IF(H5051=MAX($H5050:$H5055),"SI","NO")))</f>
        <v>#N/A</v>
      </c>
      <c r="J5051" s="213" t="e">
        <f t="shared" si="1497"/>
        <v>#N/A</v>
      </c>
      <c r="K5051" s="200" t="e">
        <f t="shared" si="1498"/>
        <v>#N/A</v>
      </c>
      <c r="L5051" s="723"/>
      <c r="M5051" s="715" t="s">
        <v>116</v>
      </c>
      <c r="N5051" s="716"/>
      <c r="O5051" s="556" t="s">
        <v>113</v>
      </c>
      <c r="P5051" s="715" t="s">
        <v>117</v>
      </c>
      <c r="Q5051" s="728"/>
      <c r="R5051" s="759"/>
      <c r="S5051" s="760"/>
      <c r="T5051" s="761"/>
      <c r="U5051" s="219"/>
      <c r="V5051" s="464"/>
      <c r="Y5051" s="414"/>
      <c r="AA5051" s="542" t="e">
        <f>IF(AND(C5050&lt;=F5048,F5048&gt;1,F5048&lt;&gt;""),VLOOKUP(VALUE(E5029&amp;","&amp;C5050),INTEGRANTES!$D$18:$F$235,2,0),"")</f>
        <v>#N/A</v>
      </c>
      <c r="AB5051" s="544" t="e">
        <f t="shared" ref="AB5051:AB5056" si="1499">IF(D5050="","",IF(OR(F5050=0,G5050=0),"NO APORTA",ROUND($F5050/$G5050,3)))</f>
        <v>#N/A</v>
      </c>
      <c r="AC5051" s="529"/>
      <c r="AD5051" s="200" t="e">
        <f t="shared" ref="AD5051:AD5056" si="1500">IF(OR(AA5051="",AB5051=""),"",IF(AND(AC5051="X",AB5051&gt;=EXPREQVTD),"CUMPLE","NO CUMPLE"))</f>
        <v>#N/A</v>
      </c>
      <c r="AE5051" s="52"/>
      <c r="AF5051" s="52"/>
      <c r="AG5051" s="52"/>
      <c r="AH5051" s="87"/>
      <c r="AI5051" s="87"/>
    </row>
    <row r="5052" spans="1:35" ht="16.5" hidden="1" thickBot="1">
      <c r="A5052" s="218" t="e">
        <f>"P"&amp;E5029</f>
        <v>#N/A</v>
      </c>
      <c r="B5052" s="702"/>
      <c r="C5052" s="114">
        <v>3</v>
      </c>
      <c r="D5052" s="194" t="e">
        <f>IF(AND(C5052&lt;=F5048,F5048&lt;&gt;""),VLOOKUP(VALUE(E5029&amp;","&amp;C5052),INTEGRANTES!$D$18:$F$235,2,0),"")</f>
        <v>#N/A</v>
      </c>
      <c r="E5052" s="211" t="e">
        <f>IF(D5052&lt;&gt;"",VLOOKUP(VALUE(E5029&amp;","&amp;C5052),INTEGRANTES!$D$18:$F$235,3,0),"")</f>
        <v>#N/A</v>
      </c>
      <c r="F5052" s="547" t="e">
        <f>IF(D5052="","",SUMIF($I5033:$I5042,D5052,$P5033:$P5042))</f>
        <v>#N/A</v>
      </c>
      <c r="G5052" s="333" t="e">
        <f>IF(D5052="","",SUMIF($I5033:$I5042,D5052,$M5033:$M5042))</f>
        <v>#N/A</v>
      </c>
      <c r="H5052" s="535" t="e">
        <f t="shared" si="1496"/>
        <v>#N/A</v>
      </c>
      <c r="I5052" s="212" t="e">
        <f>IF(D5052="","",IF(H5052="NO APORTA","NO",IF(H5052=MAX($H5050:$H5055),"SI","NO")))</f>
        <v>#N/A</v>
      </c>
      <c r="J5052" s="213" t="e">
        <f t="shared" si="1497"/>
        <v>#N/A</v>
      </c>
      <c r="K5052" s="200" t="e">
        <f t="shared" si="1498"/>
        <v>#N/A</v>
      </c>
      <c r="L5052" s="724"/>
      <c r="M5052" s="729">
        <f>NUMMOD</f>
        <v>1</v>
      </c>
      <c r="N5052" s="730"/>
      <c r="O5052" s="443">
        <f>IF(M5052="","",VLOOKUP(M5052,PRESUPUESTOS!$B$16:$H$16,5,FALSE))</f>
        <v>2</v>
      </c>
      <c r="P5052" s="713">
        <f>IF(OR(COUNTIF(M5033:M5042,"")&gt;=10,Q5049&lt;NUMMINCONT,OR(T5047="NO CUMPLE",T5047="VERIFICAR")),0,ROUND(AVERAGE(M5033:M5042),3))</f>
        <v>0</v>
      </c>
      <c r="Q5052" s="714"/>
      <c r="R5052" s="458"/>
      <c r="S5052" s="459"/>
      <c r="T5052" s="460"/>
      <c r="U5052" s="219"/>
      <c r="V5052" s="464"/>
      <c r="Y5052" s="532" t="str">
        <f>"40% * ("&amp;PRESUPUESTOS!$H$13&amp;")"</f>
        <v>40% * (50% PFMO)</v>
      </c>
      <c r="AA5052" s="540" t="e">
        <f>IF(AND(C5051&lt;=F5048,F5048&lt;&gt;""),VLOOKUP(VALUE(E5029&amp;","&amp;C5051),INTEGRANTES!$D$18:$F$235,2,0),"")</f>
        <v>#N/A</v>
      </c>
      <c r="AB5052" s="545" t="e">
        <f t="shared" si="1499"/>
        <v>#N/A</v>
      </c>
      <c r="AC5052" s="529"/>
      <c r="AD5052" s="200" t="e">
        <f t="shared" si="1500"/>
        <v>#N/A</v>
      </c>
      <c r="AE5052" s="52"/>
      <c r="AF5052" s="52"/>
      <c r="AG5052" s="52"/>
      <c r="AH5052" s="87"/>
      <c r="AI5052" s="87"/>
    </row>
    <row r="5053" spans="1:35" ht="15.75" hidden="1" customHeight="1" thickBot="1">
      <c r="A5053" s="218" t="e">
        <f>"Q"&amp;E5029</f>
        <v>#N/A</v>
      </c>
      <c r="B5053" s="702"/>
      <c r="C5053" s="114">
        <v>4</v>
      </c>
      <c r="D5053" s="194" t="e">
        <f>IF(AND(C5053&lt;=F5048,F5048&lt;&gt;""),VLOOKUP(VALUE(E5029&amp;","&amp;C5053),INTEGRANTES!$D$18:$F$235,2,0),"")</f>
        <v>#N/A</v>
      </c>
      <c r="E5053" s="211" t="e">
        <f>IF(D5053&lt;&gt;"",VLOOKUP(VALUE(E5029&amp;","&amp;C5053),INTEGRANTES!$D$18:$F$235,3,0),"")</f>
        <v>#N/A</v>
      </c>
      <c r="F5053" s="547" t="e">
        <f>IF(D5053="","",SUMIF($I5033:$I5042,D5053,$P5033:$P5042))</f>
        <v>#N/A</v>
      </c>
      <c r="G5053" s="333" t="e">
        <f>IF(D5053="","",SUMIF($I5033:$I5042,D5053,$M5033:$M5042))</f>
        <v>#N/A</v>
      </c>
      <c r="H5053" s="535" t="e">
        <f t="shared" si="1496"/>
        <v>#N/A</v>
      </c>
      <c r="I5053" s="212" t="e">
        <f>IF(D5053="","",IF(H5053="NO APORTA","NO",IF(H5053=MAX($H5050:$H5055),"SI","NO")))</f>
        <v>#N/A</v>
      </c>
      <c r="J5053" s="213" t="e">
        <f t="shared" si="1497"/>
        <v>#N/A</v>
      </c>
      <c r="K5053" s="200" t="e">
        <f t="shared" si="1498"/>
        <v>#N/A</v>
      </c>
      <c r="L5053" s="720" t="s">
        <v>109</v>
      </c>
      <c r="M5053" s="757" t="s">
        <v>120</v>
      </c>
      <c r="N5053" s="726"/>
      <c r="O5053" s="726"/>
      <c r="P5053" s="726"/>
      <c r="Q5053" s="727"/>
      <c r="R5053" s="458"/>
      <c r="S5053" s="459"/>
      <c r="T5053" s="460"/>
      <c r="U5053" s="219"/>
      <c r="V5053" s="464"/>
      <c r="Y5053" s="537">
        <f>0.4*PRESUPUESTOS!$H$16</f>
        <v>10.3124</v>
      </c>
      <c r="AA5053" s="540" t="e">
        <f>IF(AND(C5052&lt;=F5048,F5048&lt;&gt;""),VLOOKUP(VALUE(E5029&amp;","&amp;C5052),INTEGRANTES!$D$18:$F$235,2,0),"")</f>
        <v>#N/A</v>
      </c>
      <c r="AB5053" s="545" t="e">
        <f t="shared" si="1499"/>
        <v>#N/A</v>
      </c>
      <c r="AC5053" s="529"/>
      <c r="AD5053" s="200" t="e">
        <f t="shared" si="1500"/>
        <v>#N/A</v>
      </c>
      <c r="AE5053" s="52"/>
      <c r="AF5053" s="52"/>
      <c r="AG5053" s="52"/>
      <c r="AH5053" s="87"/>
      <c r="AI5053" s="87"/>
    </row>
    <row r="5054" spans="1:35" ht="27" hidden="1" customHeight="1" thickBot="1">
      <c r="A5054" s="218" t="e">
        <f>"R"&amp;E5029</f>
        <v>#N/A</v>
      </c>
      <c r="B5054" s="702"/>
      <c r="C5054" s="114">
        <v>5</v>
      </c>
      <c r="D5054" s="194" t="e">
        <f>IF(AND(C5054&lt;=F5048,F5048&lt;&gt;""),VLOOKUP(VALUE(E5029&amp;","&amp;C5054),INTEGRANTES!$D$18:$F$235,2,0),"")</f>
        <v>#N/A</v>
      </c>
      <c r="E5054" s="211" t="e">
        <f>IF(D5054&lt;&gt;"",VLOOKUP(VALUE(E5029&amp;","&amp;C5054),INTEGRANTES!$D$18:$F$235,3,0),"")</f>
        <v>#N/A</v>
      </c>
      <c r="F5054" s="547" t="e">
        <f>IF(D5054="","",SUMIF($I5033:$I5042,D5054,$P5033:$P5042))</f>
        <v>#N/A</v>
      </c>
      <c r="G5054" s="333" t="e">
        <f>IF(D5054="","",SUMIF($I5033:$I5042,D5054,$M5033:$M5042))</f>
        <v>#N/A</v>
      </c>
      <c r="H5054" s="535" t="e">
        <f t="shared" si="1496"/>
        <v>#N/A</v>
      </c>
      <c r="I5054" s="212" t="e">
        <f>IF(D5054="","",IF(H5054="NO APORTA","NO",IF(H5054=MAX($H5050:$H5055),"SI","NO")))</f>
        <v>#N/A</v>
      </c>
      <c r="J5054" s="213" t="e">
        <f t="shared" si="1497"/>
        <v>#N/A</v>
      </c>
      <c r="K5054" s="200" t="e">
        <f t="shared" si="1498"/>
        <v>#N/A</v>
      </c>
      <c r="L5054" s="721"/>
      <c r="M5054" s="715" t="s">
        <v>116</v>
      </c>
      <c r="N5054" s="716"/>
      <c r="O5054" s="556" t="str">
        <f>PORCREQUERIDO*100&amp;"% PMFO DEL MÓDULO"</f>
        <v>50% PMFO DEL MÓDULO</v>
      </c>
      <c r="P5054" s="715" t="s">
        <v>118</v>
      </c>
      <c r="Q5054" s="728"/>
      <c r="R5054" s="458"/>
      <c r="S5054" s="459"/>
      <c r="T5054" s="460"/>
      <c r="U5054" s="219"/>
      <c r="V5054" s="464"/>
      <c r="Y5054" s="414"/>
      <c r="AA5054" s="540" t="e">
        <f>IF(AND(C5053&lt;=F5048,F5048&lt;&gt;""),VLOOKUP(VALUE(E5029&amp;","&amp;C5053),INTEGRANTES!$D$18:$F$235,2,0),"")</f>
        <v>#N/A</v>
      </c>
      <c r="AB5054" s="545" t="e">
        <f t="shared" si="1499"/>
        <v>#N/A</v>
      </c>
      <c r="AC5054" s="529"/>
      <c r="AD5054" s="200" t="e">
        <f t="shared" si="1500"/>
        <v>#N/A</v>
      </c>
      <c r="AE5054" s="52"/>
      <c r="AF5054" s="52"/>
      <c r="AG5054" s="52"/>
      <c r="AH5054" s="87"/>
      <c r="AI5054" s="87"/>
    </row>
    <row r="5055" spans="1:35" ht="16.5" hidden="1" thickBot="1">
      <c r="A5055" s="218" t="e">
        <f>"S"&amp;E5029</f>
        <v>#N/A</v>
      </c>
      <c r="B5055" s="702"/>
      <c r="C5055" s="215">
        <v>6</v>
      </c>
      <c r="D5055" s="216" t="e">
        <f>IF(AND(C5055&lt;=F5048,F5048&lt;&gt;""),VLOOKUP(VALUE(E5029&amp;","&amp;C5055),INTEGRANTES!$D$18:$F$235,2,0),"")</f>
        <v>#N/A</v>
      </c>
      <c r="E5055" s="217" t="e">
        <f>IF(D5055&lt;&gt;"",VLOOKUP(VALUE(E5029&amp;","&amp;C5055),INTEGRANTES!$D$18:$F$235,3,0),"")</f>
        <v>#N/A</v>
      </c>
      <c r="F5055" s="548" t="e">
        <f>IF(D5055="","",SUMIF($I5033:$I5042,D5055,$P5033:$P5042))</f>
        <v>#N/A</v>
      </c>
      <c r="G5055" s="334" t="e">
        <f>IF(D5055="","",SUMIF($I5033:$I5042,D5055,$M5033:$M5042))</f>
        <v>#N/A</v>
      </c>
      <c r="H5055" s="536" t="e">
        <f t="shared" si="1496"/>
        <v>#N/A</v>
      </c>
      <c r="I5055" s="214" t="e">
        <f>IF(D5055="","",IF(H5055="NO APORTA","NO",IF(H5055=MAX($H5050:$H5055),"SI","NO")))</f>
        <v>#N/A</v>
      </c>
      <c r="J5055" s="213" t="e">
        <f t="shared" si="1497"/>
        <v>#N/A</v>
      </c>
      <c r="K5055" s="200" t="e">
        <f t="shared" si="1498"/>
        <v>#N/A</v>
      </c>
      <c r="L5055" s="721"/>
      <c r="M5055" s="729">
        <f>NUMMOD</f>
        <v>1</v>
      </c>
      <c r="N5055" s="730"/>
      <c r="O5055" s="443">
        <f>IF(M5055="","",ROUND(VLOOKUP(M5055,PRESUPUESTOS!$B$16:$H$16,7,FALSE),3))</f>
        <v>25.780999999999999</v>
      </c>
      <c r="P5055" s="713">
        <f>IF(OR(COUNTIF(P5033:P5042,"")&gt;=10,Q5049&lt;NUMMINCONT,OR(T5047="NO CUMPLE",T5047="VERIFICAR")),0,ROUND((SUM(P5033:P5042)/SUM(M5033:M5042)),3))</f>
        <v>0</v>
      </c>
      <c r="Q5055" s="714"/>
      <c r="R5055" s="458"/>
      <c r="S5055" s="459"/>
      <c r="T5055" s="460"/>
      <c r="U5055" s="219"/>
      <c r="V5055" s="464"/>
      <c r="Y5055" s="532" t="s">
        <v>343</v>
      </c>
      <c r="AA5055" s="540" t="e">
        <f>IF(AND(C5054&lt;=F5048,F5048&lt;&gt;""),VLOOKUP(VALUE(E5029&amp;","&amp;C5054),INTEGRANTES!$D$18:$F$235,2,0),"")</f>
        <v>#N/A</v>
      </c>
      <c r="AB5055" s="545" t="e">
        <f t="shared" si="1499"/>
        <v>#N/A</v>
      </c>
      <c r="AC5055" s="529"/>
      <c r="AD5055" s="200" t="e">
        <f t="shared" si="1500"/>
        <v>#N/A</v>
      </c>
      <c r="AE5055" s="52"/>
      <c r="AF5055" s="52"/>
      <c r="AG5055" s="52"/>
      <c r="AH5055" s="87"/>
      <c r="AI5055" s="87"/>
    </row>
    <row r="5056" spans="1:35" ht="16.5" hidden="1" customHeight="1" thickBot="1">
      <c r="A5056" s="218" t="e">
        <f>"T"&amp;E5029</f>
        <v>#N/A</v>
      </c>
      <c r="B5056" s="703"/>
      <c r="C5056" s="719"/>
      <c r="D5056" s="719"/>
      <c r="E5056" s="719"/>
      <c r="F5056" s="719"/>
      <c r="G5056" s="719"/>
      <c r="H5056" s="719" t="s">
        <v>110</v>
      </c>
      <c r="I5056" s="719"/>
      <c r="J5056" s="719"/>
      <c r="K5056" s="201" t="str">
        <f>IF(COUNTIF(K5050:K5055,"")=6,"",IF(COUNTIF(K5050:K5055,"CUMPLE")&gt;0,"CUMPLE","NO CUMPLE"))</f>
        <v>NO CUMPLE</v>
      </c>
      <c r="L5056" s="754"/>
      <c r="M5056" s="755"/>
      <c r="N5056" s="755"/>
      <c r="O5056" s="755"/>
      <c r="P5056" s="755"/>
      <c r="Q5056" s="756"/>
      <c r="R5056" s="461"/>
      <c r="S5056" s="462"/>
      <c r="T5056" s="463"/>
      <c r="U5056" s="219"/>
      <c r="V5056" s="464"/>
      <c r="Y5056" s="549" t="e">
        <f>IF(Y5050="NO APLICA","NO APLICA",IF(COUNTIF(AD5051:AD5056,"CUMPLE")&gt;0,"CUMPLE","NO CUMPLE"))</f>
        <v>#N/A</v>
      </c>
      <c r="AA5056" s="541" t="e">
        <f>IF(AND(C5055&lt;=F5048,F5048&lt;&gt;""),VLOOKUP(VALUE(E5029&amp;","&amp;C5055),INTEGRANTES!$D$18:$F$235,2,0),"")</f>
        <v>#N/A</v>
      </c>
      <c r="AB5056" s="546" t="e">
        <f t="shared" si="1499"/>
        <v>#N/A</v>
      </c>
      <c r="AC5056" s="543"/>
      <c r="AD5056" s="201" t="e">
        <f t="shared" si="1500"/>
        <v>#N/A</v>
      </c>
      <c r="AE5056" s="52"/>
      <c r="AF5056" s="52"/>
      <c r="AG5056" s="52"/>
      <c r="AH5056" s="87"/>
      <c r="AI5056" s="87"/>
    </row>
    <row r="5057" spans="1:35" hidden="1">
      <c r="AH5057" s="87"/>
      <c r="AI5057" s="87"/>
    </row>
    <row r="5058" spans="1:35" hidden="1">
      <c r="AH5058" s="87"/>
      <c r="AI5058" s="87"/>
    </row>
    <row r="5059" spans="1:35" ht="24" hidden="1" thickBot="1">
      <c r="A5059" s="61">
        <v>169</v>
      </c>
      <c r="B5059" s="704" t="s">
        <v>51</v>
      </c>
      <c r="C5059" s="704"/>
      <c r="D5059" s="704"/>
      <c r="E5059" s="62" t="e">
        <f>VLOOKUP(A5059,PROPONENTES!$B$19:$E$218,2,FALSE)</f>
        <v>#N/A</v>
      </c>
      <c r="F5059" s="63" t="e">
        <f>VLOOKUP(A5059,PROPONENTES!$B$19:$E$218,3,FALSE)</f>
        <v>#N/A</v>
      </c>
      <c r="G5059" s="64"/>
      <c r="H5059" s="64"/>
      <c r="I5059" s="63"/>
      <c r="J5059" s="63"/>
      <c r="K5059" s="65"/>
      <c r="L5059" s="65"/>
      <c r="M5059" s="64"/>
      <c r="N5059" s="64"/>
      <c r="O5059" s="66"/>
      <c r="P5059" s="66"/>
      <c r="Q5059" s="66"/>
      <c r="R5059" s="66"/>
      <c r="S5059" s="67"/>
      <c r="T5059" s="68"/>
      <c r="U5059" s="68"/>
      <c r="AC5059" s="68"/>
      <c r="AD5059" s="68"/>
      <c r="AE5059" s="68"/>
      <c r="AF5059" s="68"/>
      <c r="AG5059" s="68"/>
      <c r="AH5059" s="87"/>
      <c r="AI5059" s="87"/>
    </row>
    <row r="5060" spans="1:35" ht="15.75" hidden="1" customHeight="1">
      <c r="A5060" s="44"/>
      <c r="B5060" s="709" t="s">
        <v>59</v>
      </c>
      <c r="C5060" s="552" t="s">
        <v>60</v>
      </c>
      <c r="D5060" s="70" t="s">
        <v>17</v>
      </c>
      <c r="E5060" s="70"/>
      <c r="F5060" s="70" t="s">
        <v>61</v>
      </c>
      <c r="G5060" s="71"/>
      <c r="H5060" s="699" t="s">
        <v>62</v>
      </c>
      <c r="I5060" s="699" t="s">
        <v>18</v>
      </c>
      <c r="J5060" s="699" t="s">
        <v>63</v>
      </c>
      <c r="K5060" s="699" t="s">
        <v>64</v>
      </c>
      <c r="L5060" s="699" t="s">
        <v>65</v>
      </c>
      <c r="M5060" s="743" t="s">
        <v>66</v>
      </c>
      <c r="N5060" s="699" t="s">
        <v>282</v>
      </c>
      <c r="O5060" s="745" t="s">
        <v>67</v>
      </c>
      <c r="P5060" s="746"/>
      <c r="Q5060" s="102" t="s">
        <v>75</v>
      </c>
      <c r="R5060" s="731" t="s">
        <v>22</v>
      </c>
      <c r="S5060" s="732"/>
      <c r="T5060" s="733"/>
      <c r="U5060" s="712" t="s">
        <v>298</v>
      </c>
      <c r="W5060" s="690" t="s">
        <v>268</v>
      </c>
      <c r="X5060" s="691"/>
      <c r="Y5060" s="692"/>
      <c r="Z5060" s="428"/>
      <c r="AA5060" s="697" t="s">
        <v>315</v>
      </c>
      <c r="AB5060" s="695" t="s">
        <v>322</v>
      </c>
      <c r="AC5060" s="49"/>
      <c r="AD5060" s="690" t="s">
        <v>297</v>
      </c>
      <c r="AE5060" s="691"/>
      <c r="AF5060" s="692"/>
      <c r="AG5060" s="49"/>
      <c r="AH5060" s="87"/>
      <c r="AI5060" s="87"/>
    </row>
    <row r="5061" spans="1:35" ht="72" hidden="1">
      <c r="A5061" s="44"/>
      <c r="B5061" s="710"/>
      <c r="C5061" s="553" t="s">
        <v>68</v>
      </c>
      <c r="D5061" s="73" t="s">
        <v>3</v>
      </c>
      <c r="E5061" s="73" t="s">
        <v>19</v>
      </c>
      <c r="F5061" s="73" t="s">
        <v>69</v>
      </c>
      <c r="G5061" s="74" t="s">
        <v>70</v>
      </c>
      <c r="H5061" s="700"/>
      <c r="I5061" s="700"/>
      <c r="J5061" s="700"/>
      <c r="K5061" s="700"/>
      <c r="L5061" s="700"/>
      <c r="M5061" s="744"/>
      <c r="N5061" s="700"/>
      <c r="O5061" s="553" t="s">
        <v>279</v>
      </c>
      <c r="P5061" s="73" t="s">
        <v>88</v>
      </c>
      <c r="Q5061" s="555" t="s">
        <v>76</v>
      </c>
      <c r="R5061" s="734"/>
      <c r="S5061" s="735"/>
      <c r="T5061" s="736"/>
      <c r="U5061" s="712"/>
      <c r="W5061" s="429" t="s">
        <v>269</v>
      </c>
      <c r="X5061" s="457" t="s">
        <v>278</v>
      </c>
      <c r="Y5061" s="430" t="s">
        <v>324</v>
      </c>
      <c r="Z5061" s="428"/>
      <c r="AA5061" s="698"/>
      <c r="AB5061" s="696"/>
      <c r="AC5061" s="49"/>
      <c r="AD5061" s="429" t="s">
        <v>292</v>
      </c>
      <c r="AE5061" s="431" t="s">
        <v>300</v>
      </c>
      <c r="AF5061" s="468" t="s">
        <v>301</v>
      </c>
      <c r="AG5061" s="49"/>
      <c r="AH5061" s="87"/>
      <c r="AI5061" s="87"/>
    </row>
    <row r="5062" spans="1:35" hidden="1">
      <c r="A5062" s="44"/>
      <c r="B5062" s="76"/>
      <c r="C5062" s="77"/>
      <c r="D5062" s="77"/>
      <c r="E5062" s="77"/>
      <c r="F5062" s="77"/>
      <c r="G5062" s="77"/>
      <c r="H5062" s="77"/>
      <c r="I5062" s="77"/>
      <c r="J5062" s="77"/>
      <c r="K5062" s="77"/>
      <c r="L5062" s="77"/>
      <c r="M5062" s="77"/>
      <c r="N5062" s="77"/>
      <c r="O5062" s="77"/>
      <c r="P5062" s="77"/>
      <c r="Q5062" s="77"/>
      <c r="R5062" s="77"/>
      <c r="S5062" s="78"/>
      <c r="T5062" s="79"/>
      <c r="U5062" s="109"/>
      <c r="V5062" s="49"/>
      <c r="W5062" s="432"/>
      <c r="X5062" s="454"/>
      <c r="Y5062" s="433"/>
      <c r="Z5062" s="6"/>
      <c r="AA5062" s="500"/>
      <c r="AB5062" s="562"/>
      <c r="AC5062" s="49"/>
      <c r="AD5062" s="210"/>
      <c r="AE5062" s="434"/>
      <c r="AF5062" s="435"/>
      <c r="AG5062" s="49"/>
      <c r="AH5062" s="87"/>
      <c r="AI5062" s="87"/>
    </row>
    <row r="5063" spans="1:35" hidden="1">
      <c r="A5063" s="80" t="e">
        <f>"A"&amp;E5059</f>
        <v>#N/A</v>
      </c>
      <c r="B5063" s="81">
        <v>1</v>
      </c>
      <c r="C5063" s="82"/>
      <c r="D5063" s="82"/>
      <c r="E5063" s="82"/>
      <c r="F5063" s="82"/>
      <c r="G5063" s="83"/>
      <c r="H5063" s="83"/>
      <c r="I5063" s="84"/>
      <c r="J5063" s="85"/>
      <c r="K5063" s="382"/>
      <c r="L5063" s="85"/>
      <c r="M5063" s="332" t="str">
        <f t="shared" ref="M5063:M5072" si="1501">IF(OR(J5063="",L5063="",H5063="NO"),"",IF(OR(J5063&gt;$P$17,J5063&lt;$O$17,L5063&gt;$P$17,AND(J5063&lt;$O$17,L5063&lt;$O$17)),"FUERA DE RANGO",IF(OR(K5063="---",K5063=""),IF(J5063&gt;=$O$17,ROUND((L5063-J5063+1)/360*12,3),ROUND((L5063-$O$17+1)/360*12,3)),IF(J5063&gt;=$O$17,ROUND((L5063-J5063+1)/360*12-ROUND(K5063,3),3),ROUND((L5063-$O$17+1)/360*12-ROUND(K5063,3),3)))))</f>
        <v/>
      </c>
      <c r="N5063" s="86"/>
      <c r="O5063" s="453" t="str">
        <f>IF(OR(G5063="",N5063=""),"",N5063*G5063)</f>
        <v/>
      </c>
      <c r="P5063" s="538" t="str">
        <f>IF(OR(H5063="",M5063="FUERA DE RANGO"),"",IF(OR(L5063&lt;$O$17,L5063&gt;$P$17,L5063="",H5063="NO"),"",IF(OR(N5063="",O5063=""),"",ROUND(O5063,3))))</f>
        <v/>
      </c>
      <c r="Q5063" s="539" t="str">
        <f t="shared" ref="Q5063:Q5072" si="1502">IF(AND(H5063="SI",P5063&lt;&gt;""),ROUND(P5063/M5063,3),"")</f>
        <v/>
      </c>
      <c r="R5063" s="737"/>
      <c r="S5063" s="738"/>
      <c r="T5063" s="739"/>
      <c r="U5063" s="470"/>
      <c r="V5063" s="165"/>
      <c r="W5063" s="446"/>
      <c r="X5063" s="456"/>
      <c r="Y5063" s="436"/>
      <c r="Z5063" s="437"/>
      <c r="AA5063" s="560"/>
      <c r="AB5063" s="561"/>
      <c r="AC5063" s="87"/>
      <c r="AD5063" s="466"/>
      <c r="AE5063" s="456"/>
      <c r="AF5063" s="467"/>
      <c r="AG5063" s="87"/>
      <c r="AH5063" s="87"/>
      <c r="AI5063" s="87"/>
    </row>
    <row r="5064" spans="1:35" hidden="1">
      <c r="A5064" s="80" t="e">
        <f>"B"&amp;E5059</f>
        <v>#N/A</v>
      </c>
      <c r="B5064" s="81">
        <v>2</v>
      </c>
      <c r="C5064" s="106"/>
      <c r="D5064" s="106"/>
      <c r="E5064" s="106"/>
      <c r="F5064" s="106"/>
      <c r="G5064" s="83"/>
      <c r="H5064" s="83"/>
      <c r="I5064" s="84"/>
      <c r="J5064" s="85"/>
      <c r="K5064" s="382"/>
      <c r="L5064" s="85"/>
      <c r="M5064" s="332" t="str">
        <f t="shared" si="1501"/>
        <v/>
      </c>
      <c r="N5064" s="86"/>
      <c r="O5064" s="453" t="str">
        <f t="shared" ref="O5064:O5072" si="1503">IF(OR(G5064="",N5064=""),"",N5064*G5064)</f>
        <v/>
      </c>
      <c r="P5064" s="538" t="str">
        <f t="shared" ref="P5064:P5072" si="1504">IF(OR(H5064="",M5064="FUERA DE RANGO"),"",IF(OR(L5064&lt;$O$17,L5064&gt;$P$17,L5064="",H5064="NO"),"",IF(OR(N5064="",O5064=""),"",ROUND(O5064,3))))</f>
        <v/>
      </c>
      <c r="Q5064" s="539" t="str">
        <f t="shared" si="1502"/>
        <v/>
      </c>
      <c r="R5064" s="740"/>
      <c r="S5064" s="741"/>
      <c r="T5064" s="742"/>
      <c r="U5064" s="471"/>
      <c r="V5064" s="165"/>
      <c r="W5064" s="446"/>
      <c r="X5064" s="456"/>
      <c r="Y5064" s="436"/>
      <c r="Z5064" s="437"/>
      <c r="AA5064" s="560"/>
      <c r="AB5064" s="561"/>
      <c r="AC5064" s="87"/>
      <c r="AD5064" s="466"/>
      <c r="AE5064" s="456"/>
      <c r="AF5064" s="467"/>
      <c r="AG5064" s="87"/>
      <c r="AH5064" s="87"/>
      <c r="AI5064" s="87"/>
    </row>
    <row r="5065" spans="1:35" hidden="1">
      <c r="A5065" s="80" t="e">
        <f>"C"&amp;E5059</f>
        <v>#N/A</v>
      </c>
      <c r="B5065" s="88">
        <v>3</v>
      </c>
      <c r="C5065" s="82"/>
      <c r="D5065" s="82"/>
      <c r="E5065" s="82"/>
      <c r="F5065" s="82"/>
      <c r="G5065" s="83"/>
      <c r="H5065" s="83"/>
      <c r="I5065" s="84"/>
      <c r="J5065" s="85"/>
      <c r="K5065" s="382"/>
      <c r="L5065" s="85"/>
      <c r="M5065" s="332" t="str">
        <f t="shared" si="1501"/>
        <v/>
      </c>
      <c r="N5065" s="86"/>
      <c r="O5065" s="453" t="str">
        <f t="shared" si="1503"/>
        <v/>
      </c>
      <c r="P5065" s="538" t="str">
        <f t="shared" si="1504"/>
        <v/>
      </c>
      <c r="Q5065" s="539" t="str">
        <f t="shared" si="1502"/>
        <v/>
      </c>
      <c r="R5065" s="706"/>
      <c r="S5065" s="707"/>
      <c r="T5065" s="708"/>
      <c r="U5065" s="472"/>
      <c r="V5065" s="166"/>
      <c r="W5065" s="446"/>
      <c r="X5065" s="456"/>
      <c r="Y5065" s="436"/>
      <c r="Z5065" s="437"/>
      <c r="AA5065" s="560"/>
      <c r="AB5065" s="561"/>
      <c r="AC5065" s="87"/>
      <c r="AD5065" s="466"/>
      <c r="AE5065" s="456"/>
      <c r="AF5065" s="467"/>
      <c r="AG5065" s="87"/>
      <c r="AH5065" s="87"/>
      <c r="AI5065" s="87"/>
    </row>
    <row r="5066" spans="1:35" hidden="1">
      <c r="A5066" s="80" t="e">
        <f>"D"&amp;E5059</f>
        <v>#N/A</v>
      </c>
      <c r="B5066" s="105">
        <v>4</v>
      </c>
      <c r="C5066" s="107"/>
      <c r="D5066" s="107"/>
      <c r="E5066" s="107"/>
      <c r="F5066" s="107"/>
      <c r="G5066" s="83"/>
      <c r="H5066" s="83"/>
      <c r="I5066" s="84"/>
      <c r="J5066" s="85"/>
      <c r="K5066" s="382"/>
      <c r="L5066" s="85"/>
      <c r="M5066" s="332" t="str">
        <f t="shared" si="1501"/>
        <v/>
      </c>
      <c r="N5066" s="86"/>
      <c r="O5066" s="453" t="str">
        <f t="shared" si="1503"/>
        <v/>
      </c>
      <c r="P5066" s="538" t="str">
        <f t="shared" si="1504"/>
        <v/>
      </c>
      <c r="Q5066" s="539" t="str">
        <f t="shared" si="1502"/>
        <v/>
      </c>
      <c r="R5066" s="706"/>
      <c r="S5066" s="707"/>
      <c r="T5066" s="708"/>
      <c r="U5066" s="472"/>
      <c r="V5066" s="166"/>
      <c r="W5066" s="446"/>
      <c r="X5066" s="456"/>
      <c r="Y5066" s="436"/>
      <c r="Z5066" s="437"/>
      <c r="AA5066" s="560"/>
      <c r="AB5066" s="561"/>
      <c r="AC5066" s="87"/>
      <c r="AD5066" s="466"/>
      <c r="AE5066" s="456"/>
      <c r="AF5066" s="467"/>
      <c r="AG5066" s="87"/>
      <c r="AH5066" s="87"/>
      <c r="AI5066" s="87"/>
    </row>
    <row r="5067" spans="1:35" hidden="1">
      <c r="A5067" s="80" t="e">
        <f>"E"&amp;E5059</f>
        <v>#N/A</v>
      </c>
      <c r="B5067" s="105">
        <v>5</v>
      </c>
      <c r="C5067" s="107"/>
      <c r="D5067" s="107"/>
      <c r="E5067" s="107"/>
      <c r="F5067" s="107"/>
      <c r="G5067" s="83"/>
      <c r="H5067" s="83"/>
      <c r="I5067" s="84"/>
      <c r="J5067" s="85"/>
      <c r="K5067" s="382"/>
      <c r="L5067" s="85"/>
      <c r="M5067" s="332" t="str">
        <f t="shared" si="1501"/>
        <v/>
      </c>
      <c r="N5067" s="86"/>
      <c r="O5067" s="453" t="str">
        <f t="shared" si="1503"/>
        <v/>
      </c>
      <c r="P5067" s="538" t="str">
        <f t="shared" si="1504"/>
        <v/>
      </c>
      <c r="Q5067" s="539" t="str">
        <f t="shared" si="1502"/>
        <v/>
      </c>
      <c r="R5067" s="706"/>
      <c r="S5067" s="707"/>
      <c r="T5067" s="708"/>
      <c r="U5067" s="472"/>
      <c r="V5067" s="167"/>
      <c r="W5067" s="446"/>
      <c r="X5067" s="456"/>
      <c r="Y5067" s="436"/>
      <c r="Z5067" s="437"/>
      <c r="AA5067" s="560"/>
      <c r="AB5067" s="561"/>
      <c r="AC5067" s="87"/>
      <c r="AD5067" s="466"/>
      <c r="AE5067" s="456"/>
      <c r="AF5067" s="467"/>
      <c r="AG5067" s="87"/>
      <c r="AH5067" s="87"/>
      <c r="AI5067" s="87"/>
    </row>
    <row r="5068" spans="1:35" hidden="1">
      <c r="A5068" s="80" t="e">
        <f>"F"&amp;E5059</f>
        <v>#N/A</v>
      </c>
      <c r="B5068" s="105">
        <v>6</v>
      </c>
      <c r="C5068" s="107"/>
      <c r="D5068" s="107"/>
      <c r="E5068" s="107"/>
      <c r="F5068" s="107"/>
      <c r="G5068" s="83"/>
      <c r="H5068" s="83"/>
      <c r="I5068" s="84"/>
      <c r="J5068" s="85"/>
      <c r="K5068" s="382"/>
      <c r="L5068" s="85"/>
      <c r="M5068" s="332" t="str">
        <f t="shared" si="1501"/>
        <v/>
      </c>
      <c r="N5068" s="86"/>
      <c r="O5068" s="453" t="str">
        <f t="shared" si="1503"/>
        <v/>
      </c>
      <c r="P5068" s="538" t="str">
        <f t="shared" si="1504"/>
        <v/>
      </c>
      <c r="Q5068" s="539" t="str">
        <f t="shared" si="1502"/>
        <v/>
      </c>
      <c r="R5068" s="706"/>
      <c r="S5068" s="707"/>
      <c r="T5068" s="708"/>
      <c r="U5068" s="472"/>
      <c r="V5068" s="167"/>
      <c r="W5068" s="446"/>
      <c r="X5068" s="456"/>
      <c r="Y5068" s="436"/>
      <c r="Z5068" s="437"/>
      <c r="AA5068" s="560"/>
      <c r="AB5068" s="561"/>
      <c r="AC5068" s="87"/>
      <c r="AD5068" s="466"/>
      <c r="AE5068" s="456"/>
      <c r="AF5068" s="467"/>
      <c r="AG5068" s="87"/>
      <c r="AH5068" s="87"/>
      <c r="AI5068" s="87"/>
    </row>
    <row r="5069" spans="1:35" hidden="1">
      <c r="A5069" s="80" t="e">
        <f>"G"&amp;E5059</f>
        <v>#N/A</v>
      </c>
      <c r="B5069" s="105">
        <v>7</v>
      </c>
      <c r="C5069" s="107"/>
      <c r="D5069" s="107"/>
      <c r="E5069" s="107"/>
      <c r="F5069" s="107"/>
      <c r="G5069" s="83"/>
      <c r="H5069" s="83"/>
      <c r="I5069" s="84"/>
      <c r="J5069" s="85"/>
      <c r="K5069" s="382"/>
      <c r="L5069" s="85"/>
      <c r="M5069" s="332" t="str">
        <f t="shared" si="1501"/>
        <v/>
      </c>
      <c r="N5069" s="86"/>
      <c r="O5069" s="86" t="str">
        <f t="shared" si="1503"/>
        <v/>
      </c>
      <c r="P5069" s="538" t="str">
        <f t="shared" si="1504"/>
        <v/>
      </c>
      <c r="Q5069" s="539" t="str">
        <f t="shared" si="1502"/>
        <v/>
      </c>
      <c r="R5069" s="706"/>
      <c r="S5069" s="707"/>
      <c r="T5069" s="708"/>
      <c r="U5069" s="472"/>
      <c r="V5069" s="167"/>
      <c r="W5069" s="446"/>
      <c r="X5069" s="456"/>
      <c r="Y5069" s="436"/>
      <c r="Z5069" s="437"/>
      <c r="AA5069" s="560"/>
      <c r="AB5069" s="561"/>
      <c r="AC5069" s="87"/>
      <c r="AD5069" s="466"/>
      <c r="AE5069" s="456"/>
      <c r="AF5069" s="467"/>
      <c r="AG5069" s="87"/>
      <c r="AH5069" s="87"/>
      <c r="AI5069" s="87"/>
    </row>
    <row r="5070" spans="1:35" hidden="1">
      <c r="A5070" s="80" t="e">
        <f>"H"&amp;E5059</f>
        <v>#N/A</v>
      </c>
      <c r="B5070" s="105">
        <v>8</v>
      </c>
      <c r="C5070" s="107"/>
      <c r="D5070" s="107"/>
      <c r="E5070" s="107"/>
      <c r="F5070" s="107"/>
      <c r="G5070" s="83"/>
      <c r="H5070" s="83"/>
      <c r="I5070" s="84"/>
      <c r="J5070" s="85"/>
      <c r="K5070" s="382"/>
      <c r="L5070" s="85"/>
      <c r="M5070" s="332" t="str">
        <f t="shared" si="1501"/>
        <v/>
      </c>
      <c r="N5070" s="453"/>
      <c r="O5070" s="86" t="str">
        <f t="shared" si="1503"/>
        <v/>
      </c>
      <c r="P5070" s="538" t="str">
        <f t="shared" si="1504"/>
        <v/>
      </c>
      <c r="Q5070" s="539" t="str">
        <f t="shared" si="1502"/>
        <v/>
      </c>
      <c r="R5070" s="706"/>
      <c r="S5070" s="707"/>
      <c r="T5070" s="708"/>
      <c r="U5070" s="472"/>
      <c r="V5070" s="167"/>
      <c r="W5070" s="446"/>
      <c r="X5070" s="456"/>
      <c r="Y5070" s="436"/>
      <c r="Z5070" s="437"/>
      <c r="AA5070" s="560"/>
      <c r="AB5070" s="561"/>
      <c r="AC5070" s="87"/>
      <c r="AD5070" s="466"/>
      <c r="AE5070" s="456"/>
      <c r="AF5070" s="467"/>
      <c r="AG5070" s="87"/>
      <c r="AH5070" s="87"/>
      <c r="AI5070" s="87"/>
    </row>
    <row r="5071" spans="1:35" hidden="1">
      <c r="A5071" s="80" t="e">
        <f>"I"&amp;E5059</f>
        <v>#N/A</v>
      </c>
      <c r="B5071" s="105">
        <v>9</v>
      </c>
      <c r="C5071" s="107"/>
      <c r="D5071" s="107"/>
      <c r="E5071" s="107"/>
      <c r="F5071" s="107"/>
      <c r="G5071" s="83"/>
      <c r="H5071" s="83"/>
      <c r="I5071" s="84"/>
      <c r="J5071" s="85"/>
      <c r="K5071" s="382"/>
      <c r="L5071" s="85"/>
      <c r="M5071" s="332" t="str">
        <f t="shared" si="1501"/>
        <v/>
      </c>
      <c r="N5071" s="453"/>
      <c r="O5071" s="86" t="str">
        <f t="shared" si="1503"/>
        <v/>
      </c>
      <c r="P5071" s="538" t="str">
        <f t="shared" si="1504"/>
        <v/>
      </c>
      <c r="Q5071" s="539" t="str">
        <f t="shared" si="1502"/>
        <v/>
      </c>
      <c r="R5071" s="706"/>
      <c r="S5071" s="707"/>
      <c r="T5071" s="708"/>
      <c r="U5071" s="472"/>
      <c r="V5071" s="167"/>
      <c r="W5071" s="446"/>
      <c r="X5071" s="456"/>
      <c r="Y5071" s="436"/>
      <c r="Z5071" s="437"/>
      <c r="AA5071" s="560"/>
      <c r="AB5071" s="561"/>
      <c r="AC5071" s="87"/>
      <c r="AD5071" s="466"/>
      <c r="AE5071" s="456"/>
      <c r="AF5071" s="467"/>
      <c r="AG5071" s="87"/>
      <c r="AH5071" s="87"/>
      <c r="AI5071" s="87"/>
    </row>
    <row r="5072" spans="1:35" hidden="1">
      <c r="A5072" s="80" t="e">
        <f>"J"&amp;E5059</f>
        <v>#N/A</v>
      </c>
      <c r="B5072" s="105">
        <v>10</v>
      </c>
      <c r="C5072" s="107"/>
      <c r="D5072" s="107"/>
      <c r="E5072" s="107"/>
      <c r="F5072" s="107"/>
      <c r="G5072" s="83"/>
      <c r="H5072" s="83"/>
      <c r="I5072" s="84"/>
      <c r="J5072" s="85"/>
      <c r="K5072" s="382"/>
      <c r="L5072" s="85"/>
      <c r="M5072" s="332" t="str">
        <f t="shared" si="1501"/>
        <v/>
      </c>
      <c r="N5072" s="453"/>
      <c r="O5072" s="86" t="str">
        <f t="shared" si="1503"/>
        <v/>
      </c>
      <c r="P5072" s="538" t="str">
        <f t="shared" si="1504"/>
        <v/>
      </c>
      <c r="Q5072" s="539" t="str">
        <f t="shared" si="1502"/>
        <v/>
      </c>
      <c r="R5072" s="706"/>
      <c r="S5072" s="707"/>
      <c r="T5072" s="708"/>
      <c r="U5072" s="472"/>
      <c r="V5072" s="167"/>
      <c r="W5072" s="446"/>
      <c r="X5072" s="456"/>
      <c r="Y5072" s="436"/>
      <c r="Z5072" s="437"/>
      <c r="AA5072" s="560"/>
      <c r="AB5072" s="561"/>
      <c r="AC5072" s="87"/>
      <c r="AD5072" s="466"/>
      <c r="AE5072" s="456"/>
      <c r="AF5072" s="467"/>
      <c r="AG5072" s="87"/>
      <c r="AH5072" s="87"/>
      <c r="AI5072" s="87"/>
    </row>
    <row r="5073" spans="1:35" ht="16.5" hidden="1" thickBot="1">
      <c r="A5073" s="44"/>
      <c r="B5073" s="89"/>
      <c r="C5073" s="90"/>
      <c r="D5073" s="90"/>
      <c r="E5073" s="90"/>
      <c r="F5073" s="90"/>
      <c r="G5073" s="90"/>
      <c r="H5073" s="90"/>
      <c r="I5073" s="90"/>
      <c r="J5073" s="90"/>
      <c r="K5073" s="90"/>
      <c r="L5073" s="90"/>
      <c r="M5073" s="90"/>
      <c r="N5073" s="90"/>
      <c r="O5073" s="90"/>
      <c r="P5073" s="90"/>
      <c r="Q5073" s="90"/>
      <c r="R5073" s="90"/>
      <c r="S5073" s="91"/>
      <c r="T5073" s="92"/>
      <c r="U5073" s="473"/>
      <c r="W5073" s="438"/>
      <c r="X5073" s="455"/>
      <c r="Y5073" s="439"/>
      <c r="Z5073" s="437"/>
      <c r="AA5073" s="530"/>
      <c r="AB5073" s="563"/>
      <c r="AC5073" s="87"/>
      <c r="AD5073" s="440"/>
      <c r="AE5073" s="441"/>
      <c r="AF5073" s="442"/>
      <c r="AG5073" s="49"/>
      <c r="AH5073" s="87"/>
      <c r="AI5073" s="87"/>
    </row>
    <row r="5074" spans="1:35" ht="16.5" hidden="1" thickBot="1">
      <c r="A5074" s="93"/>
      <c r="B5074" s="94"/>
      <c r="C5074" s="96"/>
      <c r="D5074" s="96"/>
      <c r="E5074" s="96"/>
      <c r="F5074" s="96"/>
      <c r="G5074" s="96"/>
      <c r="H5074" s="96"/>
      <c r="I5074" s="96"/>
      <c r="J5074" s="96"/>
      <c r="K5074" s="96"/>
      <c r="L5074" s="96"/>
      <c r="M5074" s="136"/>
      <c r="N5074" s="96"/>
      <c r="O5074" s="96"/>
      <c r="P5074" s="97"/>
      <c r="Q5074" s="97"/>
      <c r="R5074" s="98"/>
      <c r="S5074" s="95"/>
      <c r="T5074" s="99"/>
      <c r="U5074" s="469"/>
      <c r="AC5074" s="58"/>
      <c r="AG5074" s="58"/>
      <c r="AH5074" s="87"/>
      <c r="AI5074" s="87"/>
    </row>
    <row r="5075" spans="1:35" ht="16.5" hidden="1" thickBot="1">
      <c r="B5075" s="101"/>
      <c r="C5075" s="101"/>
      <c r="D5075" s="101"/>
      <c r="E5075" s="101"/>
      <c r="F5075" s="101"/>
      <c r="G5075" s="101"/>
      <c r="H5075" s="101"/>
      <c r="I5075" s="101"/>
      <c r="J5075" s="101"/>
      <c r="K5075" s="101"/>
      <c r="L5075" s="101"/>
      <c r="M5075" s="101"/>
      <c r="N5075" s="101"/>
      <c r="O5075" s="101"/>
      <c r="P5075" s="101"/>
      <c r="Q5075" s="101"/>
      <c r="R5075" s="101"/>
      <c r="S5075" s="101"/>
      <c r="U5075" s="50"/>
      <c r="AH5075" s="87"/>
      <c r="AI5075" s="87"/>
    </row>
    <row r="5076" spans="1:35" ht="16.5" hidden="1" customHeight="1" thickBot="1">
      <c r="A5076" s="44"/>
      <c r="B5076" s="705" t="s">
        <v>74</v>
      </c>
      <c r="C5076" s="705"/>
      <c r="D5076" s="705"/>
      <c r="E5076" s="705"/>
      <c r="F5076" s="705"/>
      <c r="G5076" s="705"/>
      <c r="H5076" s="705"/>
      <c r="I5076" s="705"/>
      <c r="J5076" s="705"/>
      <c r="K5076" s="705"/>
      <c r="L5076" s="705"/>
      <c r="M5076" s="705"/>
      <c r="N5076" s="705"/>
      <c r="O5076" s="705"/>
      <c r="P5076" s="705"/>
      <c r="Q5076" s="705"/>
      <c r="R5076" s="705"/>
      <c r="S5076" s="705"/>
      <c r="T5076" s="705"/>
      <c r="U5076" s="108"/>
      <c r="Y5076" s="532" t="s">
        <v>341</v>
      </c>
      <c r="AC5076" s="49"/>
      <c r="AD5076" s="687" t="s">
        <v>302</v>
      </c>
      <c r="AE5076" s="688"/>
      <c r="AF5076" s="689"/>
      <c r="AG5076" s="49"/>
      <c r="AH5076" s="87"/>
      <c r="AI5076" s="87"/>
    </row>
    <row r="5077" spans="1:35" ht="16.5" hidden="1" customHeight="1" thickBot="1">
      <c r="A5077" s="218" t="e">
        <f>"K"&amp;E5059</f>
        <v>#N/A</v>
      </c>
      <c r="B5077" s="701" t="s">
        <v>71</v>
      </c>
      <c r="C5077" s="751" t="s">
        <v>102</v>
      </c>
      <c r="D5077" s="751"/>
      <c r="E5077" s="751"/>
      <c r="F5077" s="751"/>
      <c r="G5077" s="751"/>
      <c r="H5077" s="751"/>
      <c r="I5077" s="751"/>
      <c r="J5077" s="751"/>
      <c r="K5077" s="751"/>
      <c r="L5077" s="722" t="s">
        <v>100</v>
      </c>
      <c r="M5077" s="747" t="s">
        <v>114</v>
      </c>
      <c r="N5077" s="747"/>
      <c r="O5077" s="747"/>
      <c r="P5077" s="747"/>
      <c r="Q5077" s="748"/>
      <c r="R5077" s="758" t="s">
        <v>280</v>
      </c>
      <c r="S5077" s="748"/>
      <c r="T5077" s="762" t="str">
        <f>IF(COUNTIF(AE5077:AF5077,"VERIFICAR")&gt;0,"VERIFICAR",IF(COUNTIF(AE5077:AF5077,"NO CUMPLE")&gt;0,"NO CUMPLE","CUMPLE"))</f>
        <v>VERIFICAR</v>
      </c>
      <c r="U5077" s="108"/>
      <c r="Y5077" s="533" t="e">
        <f>IF(F5078="","",IF(F5078=1,"INDIVIDUAL","ESTRUCTURA PLURAL"))</f>
        <v>#N/A</v>
      </c>
      <c r="AC5077" s="52"/>
      <c r="AD5077" s="475" t="s">
        <v>303</v>
      </c>
      <c r="AE5077" s="476" t="str">
        <f>IF(COUNTIF(AE5063:AE5072,"")=10,"VERIFICAR",IF(COUNTIF(AE5063:AE5072,"SI")&gt;0,"CUMPLE","NO CUMPLE"))</f>
        <v>VERIFICAR</v>
      </c>
      <c r="AF5077" s="477" t="str">
        <f>IF(COUNTIF(AF5063:AF5072,"")=10,"VERIFICAR",IF(COUNTIF(AF5063:AF5072,"SI")&gt;=$AI$22,"CUMPLE","NO CUMPLE"))</f>
        <v>VERIFICAR</v>
      </c>
      <c r="AG5077" s="52"/>
      <c r="AH5077" s="87"/>
      <c r="AI5077" s="87"/>
    </row>
    <row r="5078" spans="1:35" ht="15.75" hidden="1" customHeight="1" thickBot="1">
      <c r="A5078" s="218" t="e">
        <f>"L"&amp;E5059</f>
        <v>#N/A</v>
      </c>
      <c r="B5078" s="702"/>
      <c r="C5078" s="751" t="s">
        <v>103</v>
      </c>
      <c r="D5078" s="751"/>
      <c r="E5078" s="752"/>
      <c r="F5078" s="557" t="e">
        <f>IF(VLOOKUP(E5059,PROPONENTES!$C$19:$E$218,3,0)="","",VLOOKUP(E5059,PROPONENTES!$C$19:$E$218,3,0))</f>
        <v>#N/A</v>
      </c>
      <c r="G5078" s="753" t="s">
        <v>104</v>
      </c>
      <c r="H5078" s="751"/>
      <c r="I5078" s="715" t="e">
        <f>IF(OR(F5078="",F5078=1),"INTERESADO PERSONA NATURAL O JURIDICA","CONSORCIO O UNION TEMPORAL")</f>
        <v>#N/A</v>
      </c>
      <c r="J5078" s="725"/>
      <c r="K5078" s="728"/>
      <c r="L5078" s="723"/>
      <c r="M5078" s="749"/>
      <c r="N5078" s="749"/>
      <c r="O5078" s="749"/>
      <c r="P5078" s="749"/>
      <c r="Q5078" s="750"/>
      <c r="R5078" s="712"/>
      <c r="S5078" s="750"/>
      <c r="T5078" s="763"/>
      <c r="U5078" s="108"/>
      <c r="Y5078" s="534"/>
      <c r="AA5078" s="52"/>
      <c r="AB5078" s="52"/>
      <c r="AC5078" s="52"/>
      <c r="AG5078" s="52"/>
      <c r="AH5078" s="87"/>
      <c r="AI5078" s="87"/>
    </row>
    <row r="5079" spans="1:35" ht="56.25" hidden="1" customHeight="1" thickBot="1">
      <c r="A5079" s="218" t="e">
        <f>"M"&amp;E5059</f>
        <v>#N/A</v>
      </c>
      <c r="B5079" s="702"/>
      <c r="C5079" s="725" t="s">
        <v>101</v>
      </c>
      <c r="D5079" s="716"/>
      <c r="E5079" s="558" t="s">
        <v>105</v>
      </c>
      <c r="F5079" s="554" t="s">
        <v>87</v>
      </c>
      <c r="G5079" s="553" t="s">
        <v>86</v>
      </c>
      <c r="H5079" s="559" t="s">
        <v>85</v>
      </c>
      <c r="I5079" s="554" t="s">
        <v>252</v>
      </c>
      <c r="J5079" s="553" t="str">
        <f>"¿EL INTEGRANTE TIENE UNA PARTICIPACIÓN DEL "&amp;PORCREQUERIDOINT*100&amp;"%?"</f>
        <v>¿EL INTEGRANTE TIENE UNA PARTICIPACIÓN DEL 60%?</v>
      </c>
      <c r="K5079" s="554" t="s">
        <v>107</v>
      </c>
      <c r="L5079" s="724"/>
      <c r="M5079" s="717" t="s">
        <v>115</v>
      </c>
      <c r="N5079" s="718"/>
      <c r="O5079" s="718"/>
      <c r="P5079" s="718"/>
      <c r="Q5079" s="223">
        <f>IF(AND(H5063="SI",P5063&gt;=0),1,0)+IF(AND(H5064="SI",P5064&gt;=0),1,0)+IF(AND(H5065="SI",P5065&gt;=0),1,0)+IF(AND(H5066="SI",P5066&gt;=0),1,0)+IF(AND(H5067="SI",P5067&gt;=0),1,0)+IF(AND(H5068="SI",P5068&gt;=0),1,0)+IF(AND(H5069="SI",P5069&gt;=0),1,0)+IF(AND(H5070="SI",P5070&gt;=0),1,0)+IF(AND(H5071="SI",P5071&gt;=0),1,0)+IF(AND(H5072="SI",P5072&gt;=0),1,0)</f>
        <v>0</v>
      </c>
      <c r="R5079" s="759"/>
      <c r="S5079" s="761"/>
      <c r="T5079" s="764"/>
      <c r="U5079" s="219"/>
      <c r="V5079" s="464"/>
      <c r="Y5079" s="532" t="s">
        <v>342</v>
      </c>
      <c r="AA5079" s="550" t="s">
        <v>344</v>
      </c>
      <c r="AB5079" s="693" t="s">
        <v>345</v>
      </c>
      <c r="AC5079" s="693" t="s">
        <v>346</v>
      </c>
      <c r="AD5079" s="685" t="s">
        <v>347</v>
      </c>
      <c r="AE5079" s="52"/>
      <c r="AF5079" s="52"/>
      <c r="AG5079" s="52"/>
      <c r="AH5079" s="87"/>
      <c r="AI5079" s="87"/>
    </row>
    <row r="5080" spans="1:35" ht="15.75" hidden="1" customHeight="1" thickBot="1">
      <c r="A5080" s="218" t="e">
        <f>"N"&amp;E5059</f>
        <v>#N/A</v>
      </c>
      <c r="B5080" s="702"/>
      <c r="C5080" s="114">
        <v>1</v>
      </c>
      <c r="D5080" s="194" t="e">
        <f>IF(AND(C5080&lt;=F5078,F5078&gt;1,F5078&lt;&gt;""),VLOOKUP(VALUE(E5059&amp;","&amp;C5080),INTEGRANTES!$D$18:$F$235,2,0),"")</f>
        <v>#N/A</v>
      </c>
      <c r="E5080" s="211" t="e">
        <f>IF(D5080&lt;&gt;"",VLOOKUP(VALUE(E5059&amp;","&amp;C5080),INTEGRANTES!$D$18:$F$235,3,0),"")</f>
        <v>#N/A</v>
      </c>
      <c r="F5080" s="547" t="e">
        <f>IF(D5080="","",SUMIF($I5063:$I5072,D5080,$P5063:$P5072))</f>
        <v>#N/A</v>
      </c>
      <c r="G5080" s="333" t="e">
        <f>IF(D5080="","",SUMIF($I5063:$I5072,D5080,$M5063:$M5072))</f>
        <v>#N/A</v>
      </c>
      <c r="H5080" s="535" t="e">
        <f t="shared" ref="H5080:H5085" si="1505">IF(D5080="","",IF(OR(F5080=0,G5080=0),"NO APORTA",ROUND($F5080/$G5080,3)))</f>
        <v>#N/A</v>
      </c>
      <c r="I5080" s="212" t="e">
        <f>IF(D5080="","",IF(H5080="NO APORTA","NO",IF(H5080=MAX($H5080:$H5085),"SI","NO")))</f>
        <v>#N/A</v>
      </c>
      <c r="J5080" s="213" t="e">
        <f t="shared" ref="J5080:J5085" si="1506">IF(D5080="","",IF(E5080&gt;=PORCREQUERIDOINT,"SI","NO"))</f>
        <v>#N/A</v>
      </c>
      <c r="K5080" s="200" t="e">
        <f t="shared" ref="K5080:K5085" si="1507">IF(D5080="","",IF(AND(I5080="SI",J5080="SI"),"CUMPLE",IF(AND(I5080="NO",OR(J5080="SI",J5080="NO")),"","NO CUMPLE")))</f>
        <v>#N/A</v>
      </c>
      <c r="L5080" s="722" t="s">
        <v>108</v>
      </c>
      <c r="M5080" s="726" t="s">
        <v>119</v>
      </c>
      <c r="N5080" s="726"/>
      <c r="O5080" s="726"/>
      <c r="P5080" s="726"/>
      <c r="Q5080" s="727"/>
      <c r="R5080" s="758" t="s">
        <v>80</v>
      </c>
      <c r="S5080" s="747"/>
      <c r="T5080" s="748"/>
      <c r="U5080" s="219"/>
      <c r="V5080" s="464"/>
      <c r="Y5080" s="533" t="e">
        <f>IF(Y5077="","",IF(Y5077="INDIVIDUAL","NO APLICA","VERIFICAR CUADRO"))</f>
        <v>#N/A</v>
      </c>
      <c r="AA5080" s="551"/>
      <c r="AB5080" s="694"/>
      <c r="AC5080" s="694"/>
      <c r="AD5080" s="686"/>
      <c r="AE5080" s="52"/>
      <c r="AF5080" s="52"/>
      <c r="AG5080" s="52"/>
      <c r="AH5080" s="87"/>
      <c r="AI5080" s="87"/>
    </row>
    <row r="5081" spans="1:35" ht="27" hidden="1" customHeight="1" thickBot="1">
      <c r="A5081" s="218" t="e">
        <f>"O"&amp;E5059</f>
        <v>#N/A</v>
      </c>
      <c r="B5081" s="702"/>
      <c r="C5081" s="114">
        <v>2</v>
      </c>
      <c r="D5081" s="194" t="e">
        <f>IF(AND(C5081&lt;=F5078,F5078&lt;&gt;""),VLOOKUP(VALUE(E5059&amp;","&amp;C5081),INTEGRANTES!$D$18:$F$235,2,0),"")</f>
        <v>#N/A</v>
      </c>
      <c r="E5081" s="211" t="e">
        <f>IF(D5081&lt;&gt;"",VLOOKUP(VALUE(E5059&amp;","&amp;C5081),INTEGRANTES!$D$18:$F$235,3,0),"")</f>
        <v>#N/A</v>
      </c>
      <c r="F5081" s="547" t="e">
        <f>IF(D5081="","",SUMIF($I5063:$I5072,D5081,$P5063:$P5072))</f>
        <v>#N/A</v>
      </c>
      <c r="G5081" s="333" t="e">
        <f>IF(D5081="","",SUMIF($I5063:$I5072,D5081,$M5063:$M5072))</f>
        <v>#N/A</v>
      </c>
      <c r="H5081" s="535" t="e">
        <f t="shared" si="1505"/>
        <v>#N/A</v>
      </c>
      <c r="I5081" s="212" t="e">
        <f>IF(D5081="","",IF(H5081="NO APORTA","NO",IF(H5081=MAX($H5080:$H5085),"SI","NO")))</f>
        <v>#N/A</v>
      </c>
      <c r="J5081" s="213" t="e">
        <f t="shared" si="1506"/>
        <v>#N/A</v>
      </c>
      <c r="K5081" s="200" t="e">
        <f t="shared" si="1507"/>
        <v>#N/A</v>
      </c>
      <c r="L5081" s="723"/>
      <c r="M5081" s="715" t="s">
        <v>116</v>
      </c>
      <c r="N5081" s="716"/>
      <c r="O5081" s="556" t="s">
        <v>113</v>
      </c>
      <c r="P5081" s="715" t="s">
        <v>117</v>
      </c>
      <c r="Q5081" s="728"/>
      <c r="R5081" s="759"/>
      <c r="S5081" s="760"/>
      <c r="T5081" s="761"/>
      <c r="U5081" s="219"/>
      <c r="V5081" s="464"/>
      <c r="Y5081" s="414"/>
      <c r="AA5081" s="542" t="e">
        <f>IF(AND(C5080&lt;=F5078,F5078&gt;1,F5078&lt;&gt;""),VLOOKUP(VALUE(E5059&amp;","&amp;C5080),INTEGRANTES!$D$18:$F$235,2,0),"")</f>
        <v>#N/A</v>
      </c>
      <c r="AB5081" s="544" t="e">
        <f t="shared" ref="AB5081:AB5086" si="1508">IF(D5080="","",IF(OR(F5080=0,G5080=0),"NO APORTA",ROUND($F5080/$G5080,3)))</f>
        <v>#N/A</v>
      </c>
      <c r="AC5081" s="529"/>
      <c r="AD5081" s="200" t="e">
        <f t="shared" ref="AD5081:AD5086" si="1509">IF(OR(AA5081="",AB5081=""),"",IF(AND(AC5081="X",AB5081&gt;=EXPREQVTD),"CUMPLE","NO CUMPLE"))</f>
        <v>#N/A</v>
      </c>
      <c r="AE5081" s="52"/>
      <c r="AF5081" s="52"/>
      <c r="AG5081" s="52"/>
      <c r="AH5081" s="87"/>
      <c r="AI5081" s="87"/>
    </row>
    <row r="5082" spans="1:35" ht="16.5" hidden="1" thickBot="1">
      <c r="A5082" s="218" t="e">
        <f>"P"&amp;E5059</f>
        <v>#N/A</v>
      </c>
      <c r="B5082" s="702"/>
      <c r="C5082" s="114">
        <v>3</v>
      </c>
      <c r="D5082" s="194" t="e">
        <f>IF(AND(C5082&lt;=F5078,F5078&lt;&gt;""),VLOOKUP(VALUE(E5059&amp;","&amp;C5082),INTEGRANTES!$D$18:$F$235,2,0),"")</f>
        <v>#N/A</v>
      </c>
      <c r="E5082" s="211" t="e">
        <f>IF(D5082&lt;&gt;"",VLOOKUP(VALUE(E5059&amp;","&amp;C5082),INTEGRANTES!$D$18:$F$235,3,0),"")</f>
        <v>#N/A</v>
      </c>
      <c r="F5082" s="547" t="e">
        <f>IF(D5082="","",SUMIF($I5063:$I5072,D5082,$P5063:$P5072))</f>
        <v>#N/A</v>
      </c>
      <c r="G5082" s="333" t="e">
        <f>IF(D5082="","",SUMIF($I5063:$I5072,D5082,$M5063:$M5072))</f>
        <v>#N/A</v>
      </c>
      <c r="H5082" s="535" t="e">
        <f t="shared" si="1505"/>
        <v>#N/A</v>
      </c>
      <c r="I5082" s="212" t="e">
        <f>IF(D5082="","",IF(H5082="NO APORTA","NO",IF(H5082=MAX($H5080:$H5085),"SI","NO")))</f>
        <v>#N/A</v>
      </c>
      <c r="J5082" s="213" t="e">
        <f t="shared" si="1506"/>
        <v>#N/A</v>
      </c>
      <c r="K5082" s="200" t="e">
        <f t="shared" si="1507"/>
        <v>#N/A</v>
      </c>
      <c r="L5082" s="724"/>
      <c r="M5082" s="729">
        <f>NUMMOD</f>
        <v>1</v>
      </c>
      <c r="N5082" s="730"/>
      <c r="O5082" s="443">
        <f>IF(M5082="","",VLOOKUP(M5082,PRESUPUESTOS!$B$16:$H$16,5,FALSE))</f>
        <v>2</v>
      </c>
      <c r="P5082" s="713">
        <f>IF(OR(COUNTIF(M5063:M5072,"")&gt;=10,Q5079&lt;NUMMINCONT,OR(T5077="NO CUMPLE",T5077="VERIFICAR")),0,ROUND(AVERAGE(M5063:M5072),3))</f>
        <v>0</v>
      </c>
      <c r="Q5082" s="714"/>
      <c r="R5082" s="458"/>
      <c r="S5082" s="459"/>
      <c r="T5082" s="460"/>
      <c r="U5082" s="219"/>
      <c r="V5082" s="464"/>
      <c r="Y5082" s="532" t="str">
        <f>"40% * ("&amp;PRESUPUESTOS!$H$13&amp;")"</f>
        <v>40% * (50% PFMO)</v>
      </c>
      <c r="AA5082" s="540" t="e">
        <f>IF(AND(C5081&lt;=F5078,F5078&lt;&gt;""),VLOOKUP(VALUE(E5059&amp;","&amp;C5081),INTEGRANTES!$D$18:$F$235,2,0),"")</f>
        <v>#N/A</v>
      </c>
      <c r="AB5082" s="545" t="e">
        <f t="shared" si="1508"/>
        <v>#N/A</v>
      </c>
      <c r="AC5082" s="529"/>
      <c r="AD5082" s="200" t="e">
        <f t="shared" si="1509"/>
        <v>#N/A</v>
      </c>
      <c r="AE5082" s="52"/>
      <c r="AF5082" s="52"/>
      <c r="AG5082" s="52"/>
      <c r="AH5082" s="87"/>
      <c r="AI5082" s="87"/>
    </row>
    <row r="5083" spans="1:35" ht="15.75" hidden="1" customHeight="1" thickBot="1">
      <c r="A5083" s="218" t="e">
        <f>"Q"&amp;E5059</f>
        <v>#N/A</v>
      </c>
      <c r="B5083" s="702"/>
      <c r="C5083" s="114">
        <v>4</v>
      </c>
      <c r="D5083" s="194" t="e">
        <f>IF(AND(C5083&lt;=F5078,F5078&lt;&gt;""),VLOOKUP(VALUE(E5059&amp;","&amp;C5083),INTEGRANTES!$D$18:$F$235,2,0),"")</f>
        <v>#N/A</v>
      </c>
      <c r="E5083" s="211" t="e">
        <f>IF(D5083&lt;&gt;"",VLOOKUP(VALUE(E5059&amp;","&amp;C5083),INTEGRANTES!$D$18:$F$235,3,0),"")</f>
        <v>#N/A</v>
      </c>
      <c r="F5083" s="547" t="e">
        <f>IF(D5083="","",SUMIF($I5063:$I5072,D5083,$P5063:$P5072))</f>
        <v>#N/A</v>
      </c>
      <c r="G5083" s="333" t="e">
        <f>IF(D5083="","",SUMIF($I5063:$I5072,D5083,$M5063:$M5072))</f>
        <v>#N/A</v>
      </c>
      <c r="H5083" s="535" t="e">
        <f t="shared" si="1505"/>
        <v>#N/A</v>
      </c>
      <c r="I5083" s="212" t="e">
        <f>IF(D5083="","",IF(H5083="NO APORTA","NO",IF(H5083=MAX($H5080:$H5085),"SI","NO")))</f>
        <v>#N/A</v>
      </c>
      <c r="J5083" s="213" t="e">
        <f t="shared" si="1506"/>
        <v>#N/A</v>
      </c>
      <c r="K5083" s="200" t="e">
        <f t="shared" si="1507"/>
        <v>#N/A</v>
      </c>
      <c r="L5083" s="720" t="s">
        <v>109</v>
      </c>
      <c r="M5083" s="757" t="s">
        <v>120</v>
      </c>
      <c r="N5083" s="726"/>
      <c r="O5083" s="726"/>
      <c r="P5083" s="726"/>
      <c r="Q5083" s="727"/>
      <c r="R5083" s="458"/>
      <c r="S5083" s="459"/>
      <c r="T5083" s="460"/>
      <c r="U5083" s="219"/>
      <c r="V5083" s="464"/>
      <c r="Y5083" s="537">
        <f>0.4*PRESUPUESTOS!$H$16</f>
        <v>10.3124</v>
      </c>
      <c r="AA5083" s="540" t="e">
        <f>IF(AND(C5082&lt;=F5078,F5078&lt;&gt;""),VLOOKUP(VALUE(E5059&amp;","&amp;C5082),INTEGRANTES!$D$18:$F$235,2,0),"")</f>
        <v>#N/A</v>
      </c>
      <c r="AB5083" s="545" t="e">
        <f t="shared" si="1508"/>
        <v>#N/A</v>
      </c>
      <c r="AC5083" s="529"/>
      <c r="AD5083" s="200" t="e">
        <f t="shared" si="1509"/>
        <v>#N/A</v>
      </c>
      <c r="AE5083" s="52"/>
      <c r="AF5083" s="52"/>
      <c r="AG5083" s="52"/>
      <c r="AH5083" s="87"/>
      <c r="AI5083" s="87"/>
    </row>
    <row r="5084" spans="1:35" ht="27" hidden="1" customHeight="1" thickBot="1">
      <c r="A5084" s="218" t="e">
        <f>"R"&amp;E5059</f>
        <v>#N/A</v>
      </c>
      <c r="B5084" s="702"/>
      <c r="C5084" s="114">
        <v>5</v>
      </c>
      <c r="D5084" s="194" t="e">
        <f>IF(AND(C5084&lt;=F5078,F5078&lt;&gt;""),VLOOKUP(VALUE(E5059&amp;","&amp;C5084),INTEGRANTES!$D$18:$F$235,2,0),"")</f>
        <v>#N/A</v>
      </c>
      <c r="E5084" s="211" t="e">
        <f>IF(D5084&lt;&gt;"",VLOOKUP(VALUE(E5059&amp;","&amp;C5084),INTEGRANTES!$D$18:$F$235,3,0),"")</f>
        <v>#N/A</v>
      </c>
      <c r="F5084" s="547" t="e">
        <f>IF(D5084="","",SUMIF($I5063:$I5072,D5084,$P5063:$P5072))</f>
        <v>#N/A</v>
      </c>
      <c r="G5084" s="333" t="e">
        <f>IF(D5084="","",SUMIF($I5063:$I5072,D5084,$M5063:$M5072))</f>
        <v>#N/A</v>
      </c>
      <c r="H5084" s="535" t="e">
        <f t="shared" si="1505"/>
        <v>#N/A</v>
      </c>
      <c r="I5084" s="212" t="e">
        <f>IF(D5084="","",IF(H5084="NO APORTA","NO",IF(H5084=MAX($H5080:$H5085),"SI","NO")))</f>
        <v>#N/A</v>
      </c>
      <c r="J5084" s="213" t="e">
        <f t="shared" si="1506"/>
        <v>#N/A</v>
      </c>
      <c r="K5084" s="200" t="e">
        <f t="shared" si="1507"/>
        <v>#N/A</v>
      </c>
      <c r="L5084" s="721"/>
      <c r="M5084" s="715" t="s">
        <v>116</v>
      </c>
      <c r="N5084" s="716"/>
      <c r="O5084" s="556" t="str">
        <f>PORCREQUERIDO*100&amp;"% PMFO DEL MÓDULO"</f>
        <v>50% PMFO DEL MÓDULO</v>
      </c>
      <c r="P5084" s="715" t="s">
        <v>118</v>
      </c>
      <c r="Q5084" s="728"/>
      <c r="R5084" s="458"/>
      <c r="S5084" s="459"/>
      <c r="T5084" s="460"/>
      <c r="U5084" s="219"/>
      <c r="V5084" s="464"/>
      <c r="Y5084" s="414"/>
      <c r="AA5084" s="540" t="e">
        <f>IF(AND(C5083&lt;=F5078,F5078&lt;&gt;""),VLOOKUP(VALUE(E5059&amp;","&amp;C5083),INTEGRANTES!$D$18:$F$235,2,0),"")</f>
        <v>#N/A</v>
      </c>
      <c r="AB5084" s="545" t="e">
        <f t="shared" si="1508"/>
        <v>#N/A</v>
      </c>
      <c r="AC5084" s="529"/>
      <c r="AD5084" s="200" t="e">
        <f t="shared" si="1509"/>
        <v>#N/A</v>
      </c>
      <c r="AE5084" s="52"/>
      <c r="AF5084" s="52"/>
      <c r="AG5084" s="52"/>
      <c r="AH5084" s="87"/>
      <c r="AI5084" s="87"/>
    </row>
    <row r="5085" spans="1:35" ht="16.5" hidden="1" thickBot="1">
      <c r="A5085" s="218" t="e">
        <f>"S"&amp;E5059</f>
        <v>#N/A</v>
      </c>
      <c r="B5085" s="702"/>
      <c r="C5085" s="215">
        <v>6</v>
      </c>
      <c r="D5085" s="216" t="e">
        <f>IF(AND(C5085&lt;=F5078,F5078&lt;&gt;""),VLOOKUP(VALUE(E5059&amp;","&amp;C5085),INTEGRANTES!$D$18:$F$235,2,0),"")</f>
        <v>#N/A</v>
      </c>
      <c r="E5085" s="217" t="e">
        <f>IF(D5085&lt;&gt;"",VLOOKUP(VALUE(E5059&amp;","&amp;C5085),INTEGRANTES!$D$18:$F$235,3,0),"")</f>
        <v>#N/A</v>
      </c>
      <c r="F5085" s="548" t="e">
        <f>IF(D5085="","",SUMIF($I5063:$I5072,D5085,$P5063:$P5072))</f>
        <v>#N/A</v>
      </c>
      <c r="G5085" s="334" t="e">
        <f>IF(D5085="","",SUMIF($I5063:$I5072,D5085,$M5063:$M5072))</f>
        <v>#N/A</v>
      </c>
      <c r="H5085" s="536" t="e">
        <f t="shared" si="1505"/>
        <v>#N/A</v>
      </c>
      <c r="I5085" s="214" t="e">
        <f>IF(D5085="","",IF(H5085="NO APORTA","NO",IF(H5085=MAX($H5080:$H5085),"SI","NO")))</f>
        <v>#N/A</v>
      </c>
      <c r="J5085" s="213" t="e">
        <f t="shared" si="1506"/>
        <v>#N/A</v>
      </c>
      <c r="K5085" s="200" t="e">
        <f t="shared" si="1507"/>
        <v>#N/A</v>
      </c>
      <c r="L5085" s="721"/>
      <c r="M5085" s="729">
        <f>NUMMOD</f>
        <v>1</v>
      </c>
      <c r="N5085" s="730"/>
      <c r="O5085" s="443">
        <f>IF(M5085="","",ROUND(VLOOKUP(M5085,PRESUPUESTOS!$B$16:$H$16,7,FALSE),3))</f>
        <v>25.780999999999999</v>
      </c>
      <c r="P5085" s="713">
        <f>IF(OR(COUNTIF(P5063:P5072,"")&gt;=10,Q5079&lt;NUMMINCONT,OR(T5077="NO CUMPLE",T5077="VERIFICAR")),0,ROUND((SUM(P5063:P5072)/SUM(M5063:M5072)),3))</f>
        <v>0</v>
      </c>
      <c r="Q5085" s="714"/>
      <c r="R5085" s="458"/>
      <c r="S5085" s="459"/>
      <c r="T5085" s="460"/>
      <c r="U5085" s="219"/>
      <c r="V5085" s="464"/>
      <c r="Y5085" s="532" t="s">
        <v>343</v>
      </c>
      <c r="AA5085" s="540" t="e">
        <f>IF(AND(C5084&lt;=F5078,F5078&lt;&gt;""),VLOOKUP(VALUE(E5059&amp;","&amp;C5084),INTEGRANTES!$D$18:$F$235,2,0),"")</f>
        <v>#N/A</v>
      </c>
      <c r="AB5085" s="545" t="e">
        <f t="shared" si="1508"/>
        <v>#N/A</v>
      </c>
      <c r="AC5085" s="529"/>
      <c r="AD5085" s="200" t="e">
        <f t="shared" si="1509"/>
        <v>#N/A</v>
      </c>
      <c r="AE5085" s="52"/>
      <c r="AF5085" s="52"/>
      <c r="AG5085" s="52"/>
      <c r="AH5085" s="87"/>
      <c r="AI5085" s="87"/>
    </row>
    <row r="5086" spans="1:35" ht="16.5" hidden="1" customHeight="1" thickBot="1">
      <c r="A5086" s="218" t="e">
        <f>"T"&amp;E5059</f>
        <v>#N/A</v>
      </c>
      <c r="B5086" s="703"/>
      <c r="C5086" s="719"/>
      <c r="D5086" s="719"/>
      <c r="E5086" s="719"/>
      <c r="F5086" s="719"/>
      <c r="G5086" s="719"/>
      <c r="H5086" s="719" t="s">
        <v>110</v>
      </c>
      <c r="I5086" s="719"/>
      <c r="J5086" s="719"/>
      <c r="K5086" s="201" t="str">
        <f>IF(COUNTIF(K5080:K5085,"")=6,"",IF(COUNTIF(K5080:K5085,"CUMPLE")&gt;0,"CUMPLE","NO CUMPLE"))</f>
        <v>NO CUMPLE</v>
      </c>
      <c r="L5086" s="754"/>
      <c r="M5086" s="755"/>
      <c r="N5086" s="755"/>
      <c r="O5086" s="755"/>
      <c r="P5086" s="755"/>
      <c r="Q5086" s="756"/>
      <c r="R5086" s="461"/>
      <c r="S5086" s="462"/>
      <c r="T5086" s="463"/>
      <c r="U5086" s="219"/>
      <c r="V5086" s="464"/>
      <c r="Y5086" s="549" t="e">
        <f>IF(Y5080="NO APLICA","NO APLICA",IF(COUNTIF(AD5081:AD5086,"CUMPLE")&gt;0,"CUMPLE","NO CUMPLE"))</f>
        <v>#N/A</v>
      </c>
      <c r="AA5086" s="541" t="e">
        <f>IF(AND(C5085&lt;=F5078,F5078&lt;&gt;""),VLOOKUP(VALUE(E5059&amp;","&amp;C5085),INTEGRANTES!$D$18:$F$235,2,0),"")</f>
        <v>#N/A</v>
      </c>
      <c r="AB5086" s="546" t="e">
        <f t="shared" si="1508"/>
        <v>#N/A</v>
      </c>
      <c r="AC5086" s="543"/>
      <c r="AD5086" s="201" t="e">
        <f t="shared" si="1509"/>
        <v>#N/A</v>
      </c>
      <c r="AE5086" s="52"/>
      <c r="AF5086" s="52"/>
      <c r="AG5086" s="52"/>
      <c r="AH5086" s="87"/>
      <c r="AI5086" s="87"/>
    </row>
    <row r="5087" spans="1:35" hidden="1">
      <c r="AH5087" s="87"/>
      <c r="AI5087" s="87"/>
    </row>
    <row r="5088" spans="1:35" hidden="1">
      <c r="AH5088" s="87"/>
      <c r="AI5088" s="87"/>
    </row>
    <row r="5089" spans="1:35" ht="24" hidden="1" thickBot="1">
      <c r="A5089" s="61">
        <v>170</v>
      </c>
      <c r="B5089" s="704" t="s">
        <v>51</v>
      </c>
      <c r="C5089" s="704"/>
      <c r="D5089" s="704"/>
      <c r="E5089" s="62" t="e">
        <f>VLOOKUP(A5089,PROPONENTES!$B$19:$E$218,2,FALSE)</f>
        <v>#N/A</v>
      </c>
      <c r="F5089" s="63" t="e">
        <f>VLOOKUP(A5089,PROPONENTES!$B$19:$E$218,3,FALSE)</f>
        <v>#N/A</v>
      </c>
      <c r="G5089" s="64"/>
      <c r="H5089" s="64"/>
      <c r="I5089" s="63"/>
      <c r="J5089" s="63"/>
      <c r="K5089" s="65"/>
      <c r="L5089" s="65"/>
      <c r="M5089" s="64"/>
      <c r="N5089" s="64"/>
      <c r="O5089" s="66"/>
      <c r="P5089" s="66"/>
      <c r="Q5089" s="66"/>
      <c r="R5089" s="66"/>
      <c r="S5089" s="67"/>
      <c r="T5089" s="68"/>
      <c r="U5089" s="68"/>
      <c r="AC5089" s="68"/>
      <c r="AD5089" s="68"/>
      <c r="AE5089" s="68"/>
      <c r="AF5089" s="68"/>
      <c r="AG5089" s="68"/>
      <c r="AH5089" s="87"/>
      <c r="AI5089" s="87"/>
    </row>
    <row r="5090" spans="1:35" ht="15.75" hidden="1" customHeight="1">
      <c r="A5090" s="44"/>
      <c r="B5090" s="709" t="s">
        <v>59</v>
      </c>
      <c r="C5090" s="552" t="s">
        <v>60</v>
      </c>
      <c r="D5090" s="70" t="s">
        <v>17</v>
      </c>
      <c r="E5090" s="70"/>
      <c r="F5090" s="70" t="s">
        <v>61</v>
      </c>
      <c r="G5090" s="71"/>
      <c r="H5090" s="699" t="s">
        <v>62</v>
      </c>
      <c r="I5090" s="699" t="s">
        <v>18</v>
      </c>
      <c r="J5090" s="699" t="s">
        <v>63</v>
      </c>
      <c r="K5090" s="699" t="s">
        <v>64</v>
      </c>
      <c r="L5090" s="699" t="s">
        <v>65</v>
      </c>
      <c r="M5090" s="743" t="s">
        <v>66</v>
      </c>
      <c r="N5090" s="699" t="s">
        <v>282</v>
      </c>
      <c r="O5090" s="745" t="s">
        <v>67</v>
      </c>
      <c r="P5090" s="746"/>
      <c r="Q5090" s="102" t="s">
        <v>75</v>
      </c>
      <c r="R5090" s="731" t="s">
        <v>22</v>
      </c>
      <c r="S5090" s="732"/>
      <c r="T5090" s="733"/>
      <c r="U5090" s="712" t="s">
        <v>298</v>
      </c>
      <c r="W5090" s="690" t="s">
        <v>268</v>
      </c>
      <c r="X5090" s="691"/>
      <c r="Y5090" s="692"/>
      <c r="Z5090" s="428"/>
      <c r="AA5090" s="697" t="s">
        <v>315</v>
      </c>
      <c r="AB5090" s="695" t="s">
        <v>322</v>
      </c>
      <c r="AC5090" s="49"/>
      <c r="AD5090" s="690" t="s">
        <v>297</v>
      </c>
      <c r="AE5090" s="691"/>
      <c r="AF5090" s="692"/>
      <c r="AG5090" s="49"/>
      <c r="AH5090" s="87"/>
      <c r="AI5090" s="87"/>
    </row>
    <row r="5091" spans="1:35" ht="72" hidden="1">
      <c r="A5091" s="44"/>
      <c r="B5091" s="710"/>
      <c r="C5091" s="553" t="s">
        <v>68</v>
      </c>
      <c r="D5091" s="73" t="s">
        <v>3</v>
      </c>
      <c r="E5091" s="73" t="s">
        <v>19</v>
      </c>
      <c r="F5091" s="73" t="s">
        <v>69</v>
      </c>
      <c r="G5091" s="74" t="s">
        <v>70</v>
      </c>
      <c r="H5091" s="700"/>
      <c r="I5091" s="700"/>
      <c r="J5091" s="700"/>
      <c r="K5091" s="700"/>
      <c r="L5091" s="700"/>
      <c r="M5091" s="744"/>
      <c r="N5091" s="700"/>
      <c r="O5091" s="553" t="s">
        <v>279</v>
      </c>
      <c r="P5091" s="73" t="s">
        <v>88</v>
      </c>
      <c r="Q5091" s="555" t="s">
        <v>76</v>
      </c>
      <c r="R5091" s="734"/>
      <c r="S5091" s="735"/>
      <c r="T5091" s="736"/>
      <c r="U5091" s="712"/>
      <c r="W5091" s="429" t="s">
        <v>269</v>
      </c>
      <c r="X5091" s="457" t="s">
        <v>278</v>
      </c>
      <c r="Y5091" s="430" t="s">
        <v>324</v>
      </c>
      <c r="Z5091" s="428"/>
      <c r="AA5091" s="698"/>
      <c r="AB5091" s="696"/>
      <c r="AC5091" s="49"/>
      <c r="AD5091" s="429" t="s">
        <v>292</v>
      </c>
      <c r="AE5091" s="431" t="s">
        <v>300</v>
      </c>
      <c r="AF5091" s="468" t="s">
        <v>301</v>
      </c>
      <c r="AG5091" s="49"/>
      <c r="AH5091" s="87"/>
      <c r="AI5091" s="87"/>
    </row>
    <row r="5092" spans="1:35" hidden="1">
      <c r="A5092" s="44"/>
      <c r="B5092" s="76"/>
      <c r="C5092" s="77"/>
      <c r="D5092" s="77"/>
      <c r="E5092" s="77"/>
      <c r="F5092" s="77"/>
      <c r="G5092" s="77"/>
      <c r="H5092" s="77"/>
      <c r="I5092" s="77"/>
      <c r="J5092" s="77"/>
      <c r="K5092" s="77"/>
      <c r="L5092" s="77"/>
      <c r="M5092" s="77"/>
      <c r="N5092" s="77"/>
      <c r="O5092" s="77"/>
      <c r="P5092" s="77"/>
      <c r="Q5092" s="77"/>
      <c r="R5092" s="77"/>
      <c r="S5092" s="78"/>
      <c r="T5092" s="79"/>
      <c r="U5092" s="109"/>
      <c r="V5092" s="49"/>
      <c r="W5092" s="432"/>
      <c r="X5092" s="454"/>
      <c r="Y5092" s="433"/>
      <c r="Z5092" s="6"/>
      <c r="AA5092" s="500"/>
      <c r="AB5092" s="562"/>
      <c r="AC5092" s="49"/>
      <c r="AD5092" s="210"/>
      <c r="AE5092" s="434"/>
      <c r="AF5092" s="435"/>
      <c r="AG5092" s="49"/>
      <c r="AH5092" s="87"/>
      <c r="AI5092" s="87"/>
    </row>
    <row r="5093" spans="1:35" hidden="1">
      <c r="A5093" s="80" t="e">
        <f>"A"&amp;E5089</f>
        <v>#N/A</v>
      </c>
      <c r="B5093" s="81">
        <v>1</v>
      </c>
      <c r="C5093" s="82"/>
      <c r="D5093" s="82"/>
      <c r="E5093" s="82"/>
      <c r="F5093" s="82"/>
      <c r="G5093" s="83"/>
      <c r="H5093" s="83"/>
      <c r="I5093" s="84"/>
      <c r="J5093" s="85"/>
      <c r="K5093" s="382"/>
      <c r="L5093" s="85"/>
      <c r="M5093" s="332" t="str">
        <f t="shared" ref="M5093:M5102" si="1510">IF(OR(J5093="",L5093="",H5093="NO"),"",IF(OR(J5093&gt;$P$17,J5093&lt;$O$17,L5093&gt;$P$17,AND(J5093&lt;$O$17,L5093&lt;$O$17)),"FUERA DE RANGO",IF(OR(K5093="---",K5093=""),IF(J5093&gt;=$O$17,ROUND((L5093-J5093+1)/360*12,3),ROUND((L5093-$O$17+1)/360*12,3)),IF(J5093&gt;=$O$17,ROUND((L5093-J5093+1)/360*12-ROUND(K5093,3),3),ROUND((L5093-$O$17+1)/360*12-ROUND(K5093,3),3)))))</f>
        <v/>
      </c>
      <c r="N5093" s="86"/>
      <c r="O5093" s="453" t="str">
        <f>IF(OR(G5093="",N5093=""),"",N5093*G5093)</f>
        <v/>
      </c>
      <c r="P5093" s="538" t="str">
        <f>IF(OR(H5093="",M5093="FUERA DE RANGO"),"",IF(OR(L5093&lt;$O$17,L5093&gt;$P$17,L5093="",H5093="NO"),"",IF(OR(N5093="",O5093=""),"",ROUND(O5093,3))))</f>
        <v/>
      </c>
      <c r="Q5093" s="539" t="str">
        <f t="shared" ref="Q5093:Q5102" si="1511">IF(AND(H5093="SI",P5093&lt;&gt;""),ROUND(P5093/M5093,3),"")</f>
        <v/>
      </c>
      <c r="R5093" s="737"/>
      <c r="S5093" s="738"/>
      <c r="T5093" s="739"/>
      <c r="U5093" s="470"/>
      <c r="V5093" s="165"/>
      <c r="W5093" s="446"/>
      <c r="X5093" s="456"/>
      <c r="Y5093" s="436"/>
      <c r="Z5093" s="437"/>
      <c r="AA5093" s="560"/>
      <c r="AB5093" s="561"/>
      <c r="AC5093" s="87"/>
      <c r="AD5093" s="466"/>
      <c r="AE5093" s="456"/>
      <c r="AF5093" s="467"/>
      <c r="AG5093" s="87"/>
      <c r="AH5093" s="87"/>
      <c r="AI5093" s="87"/>
    </row>
    <row r="5094" spans="1:35" hidden="1">
      <c r="A5094" s="80" t="e">
        <f>"B"&amp;E5089</f>
        <v>#N/A</v>
      </c>
      <c r="B5094" s="81">
        <v>2</v>
      </c>
      <c r="C5094" s="106"/>
      <c r="D5094" s="106"/>
      <c r="E5094" s="106"/>
      <c r="F5094" s="106"/>
      <c r="G5094" s="83"/>
      <c r="H5094" s="83"/>
      <c r="I5094" s="84"/>
      <c r="J5094" s="85"/>
      <c r="K5094" s="382"/>
      <c r="L5094" s="85"/>
      <c r="M5094" s="332" t="str">
        <f t="shared" si="1510"/>
        <v/>
      </c>
      <c r="N5094" s="86"/>
      <c r="O5094" s="453" t="str">
        <f t="shared" ref="O5094:O5102" si="1512">IF(OR(G5094="",N5094=""),"",N5094*G5094)</f>
        <v/>
      </c>
      <c r="P5094" s="538" t="str">
        <f t="shared" ref="P5094:P5102" si="1513">IF(OR(H5094="",M5094="FUERA DE RANGO"),"",IF(OR(L5094&lt;$O$17,L5094&gt;$P$17,L5094="",H5094="NO"),"",IF(OR(N5094="",O5094=""),"",ROUND(O5094,3))))</f>
        <v/>
      </c>
      <c r="Q5094" s="539" t="str">
        <f t="shared" si="1511"/>
        <v/>
      </c>
      <c r="R5094" s="740"/>
      <c r="S5094" s="741"/>
      <c r="T5094" s="742"/>
      <c r="U5094" s="471"/>
      <c r="V5094" s="165"/>
      <c r="W5094" s="446"/>
      <c r="X5094" s="456"/>
      <c r="Y5094" s="436"/>
      <c r="Z5094" s="437"/>
      <c r="AA5094" s="560"/>
      <c r="AB5094" s="561"/>
      <c r="AC5094" s="87"/>
      <c r="AD5094" s="466"/>
      <c r="AE5094" s="456"/>
      <c r="AF5094" s="467"/>
      <c r="AG5094" s="87"/>
      <c r="AH5094" s="87"/>
      <c r="AI5094" s="87"/>
    </row>
    <row r="5095" spans="1:35" hidden="1">
      <c r="A5095" s="80" t="e">
        <f>"C"&amp;E5089</f>
        <v>#N/A</v>
      </c>
      <c r="B5095" s="88">
        <v>3</v>
      </c>
      <c r="C5095" s="82"/>
      <c r="D5095" s="82"/>
      <c r="E5095" s="82"/>
      <c r="F5095" s="82"/>
      <c r="G5095" s="83"/>
      <c r="H5095" s="83"/>
      <c r="I5095" s="84"/>
      <c r="J5095" s="85"/>
      <c r="K5095" s="382"/>
      <c r="L5095" s="85"/>
      <c r="M5095" s="332" t="str">
        <f t="shared" si="1510"/>
        <v/>
      </c>
      <c r="N5095" s="86"/>
      <c r="O5095" s="453" t="str">
        <f t="shared" si="1512"/>
        <v/>
      </c>
      <c r="P5095" s="538" t="str">
        <f t="shared" si="1513"/>
        <v/>
      </c>
      <c r="Q5095" s="539" t="str">
        <f t="shared" si="1511"/>
        <v/>
      </c>
      <c r="R5095" s="706"/>
      <c r="S5095" s="707"/>
      <c r="T5095" s="708"/>
      <c r="U5095" s="472"/>
      <c r="V5095" s="166"/>
      <c r="W5095" s="446"/>
      <c r="X5095" s="456"/>
      <c r="Y5095" s="436"/>
      <c r="Z5095" s="437"/>
      <c r="AA5095" s="560"/>
      <c r="AB5095" s="561"/>
      <c r="AC5095" s="87"/>
      <c r="AD5095" s="466"/>
      <c r="AE5095" s="456"/>
      <c r="AF5095" s="467"/>
      <c r="AG5095" s="87"/>
      <c r="AH5095" s="87"/>
      <c r="AI5095" s="87"/>
    </row>
    <row r="5096" spans="1:35" hidden="1">
      <c r="A5096" s="80" t="e">
        <f>"D"&amp;E5089</f>
        <v>#N/A</v>
      </c>
      <c r="B5096" s="105">
        <v>4</v>
      </c>
      <c r="C5096" s="107"/>
      <c r="D5096" s="107"/>
      <c r="E5096" s="107"/>
      <c r="F5096" s="107"/>
      <c r="G5096" s="83"/>
      <c r="H5096" s="83"/>
      <c r="I5096" s="84"/>
      <c r="J5096" s="85"/>
      <c r="K5096" s="382"/>
      <c r="L5096" s="85"/>
      <c r="M5096" s="332" t="str">
        <f t="shared" si="1510"/>
        <v/>
      </c>
      <c r="N5096" s="86"/>
      <c r="O5096" s="453" t="str">
        <f t="shared" si="1512"/>
        <v/>
      </c>
      <c r="P5096" s="538" t="str">
        <f t="shared" si="1513"/>
        <v/>
      </c>
      <c r="Q5096" s="539" t="str">
        <f t="shared" si="1511"/>
        <v/>
      </c>
      <c r="R5096" s="706"/>
      <c r="S5096" s="707"/>
      <c r="T5096" s="708"/>
      <c r="U5096" s="472"/>
      <c r="V5096" s="166"/>
      <c r="W5096" s="446"/>
      <c r="X5096" s="456"/>
      <c r="Y5096" s="436"/>
      <c r="Z5096" s="437"/>
      <c r="AA5096" s="560"/>
      <c r="AB5096" s="561"/>
      <c r="AC5096" s="87"/>
      <c r="AD5096" s="466"/>
      <c r="AE5096" s="456"/>
      <c r="AF5096" s="467"/>
      <c r="AG5096" s="87"/>
      <c r="AH5096" s="87"/>
      <c r="AI5096" s="87"/>
    </row>
    <row r="5097" spans="1:35" hidden="1">
      <c r="A5097" s="80" t="e">
        <f>"E"&amp;E5089</f>
        <v>#N/A</v>
      </c>
      <c r="B5097" s="105">
        <v>5</v>
      </c>
      <c r="C5097" s="107"/>
      <c r="D5097" s="107"/>
      <c r="E5097" s="107"/>
      <c r="F5097" s="107"/>
      <c r="G5097" s="83"/>
      <c r="H5097" s="83"/>
      <c r="I5097" s="84"/>
      <c r="J5097" s="85"/>
      <c r="K5097" s="382"/>
      <c r="L5097" s="85"/>
      <c r="M5097" s="332" t="str">
        <f t="shared" si="1510"/>
        <v/>
      </c>
      <c r="N5097" s="86"/>
      <c r="O5097" s="453" t="str">
        <f t="shared" si="1512"/>
        <v/>
      </c>
      <c r="P5097" s="538" t="str">
        <f t="shared" si="1513"/>
        <v/>
      </c>
      <c r="Q5097" s="539" t="str">
        <f t="shared" si="1511"/>
        <v/>
      </c>
      <c r="R5097" s="706"/>
      <c r="S5097" s="707"/>
      <c r="T5097" s="708"/>
      <c r="U5097" s="472"/>
      <c r="V5097" s="167"/>
      <c r="W5097" s="446"/>
      <c r="X5097" s="456"/>
      <c r="Y5097" s="436"/>
      <c r="Z5097" s="437"/>
      <c r="AA5097" s="560"/>
      <c r="AB5097" s="561"/>
      <c r="AC5097" s="87"/>
      <c r="AD5097" s="466"/>
      <c r="AE5097" s="456"/>
      <c r="AF5097" s="467"/>
      <c r="AG5097" s="87"/>
      <c r="AH5097" s="87"/>
      <c r="AI5097" s="87"/>
    </row>
    <row r="5098" spans="1:35" hidden="1">
      <c r="A5098" s="80" t="e">
        <f>"F"&amp;E5089</f>
        <v>#N/A</v>
      </c>
      <c r="B5098" s="105">
        <v>6</v>
      </c>
      <c r="C5098" s="107"/>
      <c r="D5098" s="107"/>
      <c r="E5098" s="107"/>
      <c r="F5098" s="107"/>
      <c r="G5098" s="83"/>
      <c r="H5098" s="83"/>
      <c r="I5098" s="84"/>
      <c r="J5098" s="85"/>
      <c r="K5098" s="382"/>
      <c r="L5098" s="85"/>
      <c r="M5098" s="332" t="str">
        <f t="shared" si="1510"/>
        <v/>
      </c>
      <c r="N5098" s="86"/>
      <c r="O5098" s="453" t="str">
        <f t="shared" si="1512"/>
        <v/>
      </c>
      <c r="P5098" s="538" t="str">
        <f t="shared" si="1513"/>
        <v/>
      </c>
      <c r="Q5098" s="539" t="str">
        <f t="shared" si="1511"/>
        <v/>
      </c>
      <c r="R5098" s="706"/>
      <c r="S5098" s="707"/>
      <c r="T5098" s="708"/>
      <c r="U5098" s="472"/>
      <c r="V5098" s="167"/>
      <c r="W5098" s="446"/>
      <c r="X5098" s="456"/>
      <c r="Y5098" s="436"/>
      <c r="Z5098" s="437"/>
      <c r="AA5098" s="560"/>
      <c r="AB5098" s="561"/>
      <c r="AC5098" s="87"/>
      <c r="AD5098" s="466"/>
      <c r="AE5098" s="456"/>
      <c r="AF5098" s="467"/>
      <c r="AG5098" s="87"/>
      <c r="AH5098" s="87"/>
      <c r="AI5098" s="87"/>
    </row>
    <row r="5099" spans="1:35" hidden="1">
      <c r="A5099" s="80" t="e">
        <f>"G"&amp;E5089</f>
        <v>#N/A</v>
      </c>
      <c r="B5099" s="105">
        <v>7</v>
      </c>
      <c r="C5099" s="107"/>
      <c r="D5099" s="107"/>
      <c r="E5099" s="107"/>
      <c r="F5099" s="107"/>
      <c r="G5099" s="83"/>
      <c r="H5099" s="83"/>
      <c r="I5099" s="84"/>
      <c r="J5099" s="85"/>
      <c r="K5099" s="382"/>
      <c r="L5099" s="85"/>
      <c r="M5099" s="332" t="str">
        <f t="shared" si="1510"/>
        <v/>
      </c>
      <c r="N5099" s="86"/>
      <c r="O5099" s="86" t="str">
        <f t="shared" si="1512"/>
        <v/>
      </c>
      <c r="P5099" s="538" t="str">
        <f t="shared" si="1513"/>
        <v/>
      </c>
      <c r="Q5099" s="539" t="str">
        <f t="shared" si="1511"/>
        <v/>
      </c>
      <c r="R5099" s="706"/>
      <c r="S5099" s="707"/>
      <c r="T5099" s="708"/>
      <c r="U5099" s="472"/>
      <c r="V5099" s="167"/>
      <c r="W5099" s="446"/>
      <c r="X5099" s="456"/>
      <c r="Y5099" s="436"/>
      <c r="Z5099" s="437"/>
      <c r="AA5099" s="560"/>
      <c r="AB5099" s="561"/>
      <c r="AC5099" s="87"/>
      <c r="AD5099" s="466"/>
      <c r="AE5099" s="456"/>
      <c r="AF5099" s="467"/>
      <c r="AG5099" s="87"/>
      <c r="AH5099" s="87"/>
      <c r="AI5099" s="87"/>
    </row>
    <row r="5100" spans="1:35" hidden="1">
      <c r="A5100" s="80" t="e">
        <f>"H"&amp;E5089</f>
        <v>#N/A</v>
      </c>
      <c r="B5100" s="105">
        <v>8</v>
      </c>
      <c r="C5100" s="107"/>
      <c r="D5100" s="107"/>
      <c r="E5100" s="107"/>
      <c r="F5100" s="107"/>
      <c r="G5100" s="83"/>
      <c r="H5100" s="83"/>
      <c r="I5100" s="84"/>
      <c r="J5100" s="85"/>
      <c r="K5100" s="382"/>
      <c r="L5100" s="85"/>
      <c r="M5100" s="332" t="str">
        <f t="shared" si="1510"/>
        <v/>
      </c>
      <c r="N5100" s="453"/>
      <c r="O5100" s="86" t="str">
        <f t="shared" si="1512"/>
        <v/>
      </c>
      <c r="P5100" s="538" t="str">
        <f t="shared" si="1513"/>
        <v/>
      </c>
      <c r="Q5100" s="539" t="str">
        <f t="shared" si="1511"/>
        <v/>
      </c>
      <c r="R5100" s="706"/>
      <c r="S5100" s="707"/>
      <c r="T5100" s="708"/>
      <c r="U5100" s="472"/>
      <c r="V5100" s="167"/>
      <c r="W5100" s="446"/>
      <c r="X5100" s="456"/>
      <c r="Y5100" s="436"/>
      <c r="Z5100" s="437"/>
      <c r="AA5100" s="560"/>
      <c r="AB5100" s="561"/>
      <c r="AC5100" s="87"/>
      <c r="AD5100" s="466"/>
      <c r="AE5100" s="456"/>
      <c r="AF5100" s="467"/>
      <c r="AG5100" s="87"/>
      <c r="AH5100" s="87"/>
      <c r="AI5100" s="87"/>
    </row>
    <row r="5101" spans="1:35" hidden="1">
      <c r="A5101" s="80" t="e">
        <f>"I"&amp;E5089</f>
        <v>#N/A</v>
      </c>
      <c r="B5101" s="105">
        <v>9</v>
      </c>
      <c r="C5101" s="107"/>
      <c r="D5101" s="107"/>
      <c r="E5101" s="107"/>
      <c r="F5101" s="107"/>
      <c r="G5101" s="83"/>
      <c r="H5101" s="83"/>
      <c r="I5101" s="84"/>
      <c r="J5101" s="85"/>
      <c r="K5101" s="382"/>
      <c r="L5101" s="85"/>
      <c r="M5101" s="332" t="str">
        <f t="shared" si="1510"/>
        <v/>
      </c>
      <c r="N5101" s="453"/>
      <c r="O5101" s="86" t="str">
        <f t="shared" si="1512"/>
        <v/>
      </c>
      <c r="P5101" s="538" t="str">
        <f t="shared" si="1513"/>
        <v/>
      </c>
      <c r="Q5101" s="539" t="str">
        <f t="shared" si="1511"/>
        <v/>
      </c>
      <c r="R5101" s="706"/>
      <c r="S5101" s="707"/>
      <c r="T5101" s="708"/>
      <c r="U5101" s="472"/>
      <c r="V5101" s="167"/>
      <c r="W5101" s="446"/>
      <c r="X5101" s="456"/>
      <c r="Y5101" s="436"/>
      <c r="Z5101" s="437"/>
      <c r="AA5101" s="560"/>
      <c r="AB5101" s="561"/>
      <c r="AC5101" s="87"/>
      <c r="AD5101" s="466"/>
      <c r="AE5101" s="456"/>
      <c r="AF5101" s="467"/>
      <c r="AG5101" s="87"/>
      <c r="AH5101" s="87"/>
      <c r="AI5101" s="87"/>
    </row>
    <row r="5102" spans="1:35" hidden="1">
      <c r="A5102" s="80" t="e">
        <f>"J"&amp;E5089</f>
        <v>#N/A</v>
      </c>
      <c r="B5102" s="105">
        <v>10</v>
      </c>
      <c r="C5102" s="107"/>
      <c r="D5102" s="107"/>
      <c r="E5102" s="107"/>
      <c r="F5102" s="107"/>
      <c r="G5102" s="83"/>
      <c r="H5102" s="83"/>
      <c r="I5102" s="84"/>
      <c r="J5102" s="85"/>
      <c r="K5102" s="382"/>
      <c r="L5102" s="85"/>
      <c r="M5102" s="332" t="str">
        <f t="shared" si="1510"/>
        <v/>
      </c>
      <c r="N5102" s="453"/>
      <c r="O5102" s="86" t="str">
        <f t="shared" si="1512"/>
        <v/>
      </c>
      <c r="P5102" s="538" t="str">
        <f t="shared" si="1513"/>
        <v/>
      </c>
      <c r="Q5102" s="539" t="str">
        <f t="shared" si="1511"/>
        <v/>
      </c>
      <c r="R5102" s="706"/>
      <c r="S5102" s="707"/>
      <c r="T5102" s="708"/>
      <c r="U5102" s="472"/>
      <c r="V5102" s="167"/>
      <c r="W5102" s="446"/>
      <c r="X5102" s="456"/>
      <c r="Y5102" s="436"/>
      <c r="Z5102" s="437"/>
      <c r="AA5102" s="560"/>
      <c r="AB5102" s="561"/>
      <c r="AC5102" s="87"/>
      <c r="AD5102" s="466"/>
      <c r="AE5102" s="456"/>
      <c r="AF5102" s="467"/>
      <c r="AG5102" s="87"/>
      <c r="AH5102" s="87"/>
      <c r="AI5102" s="87"/>
    </row>
    <row r="5103" spans="1:35" ht="16.5" hidden="1" thickBot="1">
      <c r="A5103" s="44"/>
      <c r="B5103" s="89"/>
      <c r="C5103" s="90"/>
      <c r="D5103" s="90"/>
      <c r="E5103" s="90"/>
      <c r="F5103" s="90"/>
      <c r="G5103" s="90"/>
      <c r="H5103" s="90"/>
      <c r="I5103" s="90"/>
      <c r="J5103" s="90"/>
      <c r="K5103" s="90"/>
      <c r="L5103" s="90"/>
      <c r="M5103" s="90"/>
      <c r="N5103" s="90"/>
      <c r="O5103" s="90"/>
      <c r="P5103" s="90"/>
      <c r="Q5103" s="90"/>
      <c r="R5103" s="90"/>
      <c r="S5103" s="91"/>
      <c r="T5103" s="92"/>
      <c r="U5103" s="473"/>
      <c r="W5103" s="438"/>
      <c r="X5103" s="455"/>
      <c r="Y5103" s="439"/>
      <c r="Z5103" s="437"/>
      <c r="AA5103" s="530"/>
      <c r="AB5103" s="563"/>
      <c r="AC5103" s="87"/>
      <c r="AD5103" s="440"/>
      <c r="AE5103" s="441"/>
      <c r="AF5103" s="442"/>
      <c r="AG5103" s="49"/>
      <c r="AH5103" s="87"/>
      <c r="AI5103" s="87"/>
    </row>
    <row r="5104" spans="1:35" ht="16.5" hidden="1" thickBot="1">
      <c r="A5104" s="93"/>
      <c r="B5104" s="94"/>
      <c r="C5104" s="96"/>
      <c r="D5104" s="96"/>
      <c r="E5104" s="96"/>
      <c r="F5104" s="96"/>
      <c r="G5104" s="96"/>
      <c r="H5104" s="96"/>
      <c r="I5104" s="96"/>
      <c r="J5104" s="96"/>
      <c r="K5104" s="96"/>
      <c r="L5104" s="96"/>
      <c r="M5104" s="136"/>
      <c r="N5104" s="96"/>
      <c r="O5104" s="96"/>
      <c r="P5104" s="97"/>
      <c r="Q5104" s="97"/>
      <c r="R5104" s="98"/>
      <c r="S5104" s="95"/>
      <c r="T5104" s="99"/>
      <c r="U5104" s="469"/>
      <c r="AC5104" s="58"/>
      <c r="AG5104" s="58"/>
      <c r="AH5104" s="87"/>
      <c r="AI5104" s="87"/>
    </row>
    <row r="5105" spans="1:35" ht="16.5" hidden="1" thickBot="1">
      <c r="B5105" s="101"/>
      <c r="C5105" s="101"/>
      <c r="D5105" s="101"/>
      <c r="E5105" s="101"/>
      <c r="F5105" s="101"/>
      <c r="G5105" s="101"/>
      <c r="H5105" s="101"/>
      <c r="I5105" s="101"/>
      <c r="J5105" s="101"/>
      <c r="K5105" s="101"/>
      <c r="L5105" s="101"/>
      <c r="M5105" s="101"/>
      <c r="N5105" s="101"/>
      <c r="O5105" s="101"/>
      <c r="P5105" s="101"/>
      <c r="Q5105" s="101"/>
      <c r="R5105" s="101"/>
      <c r="S5105" s="101"/>
      <c r="U5105" s="50"/>
      <c r="AH5105" s="87"/>
      <c r="AI5105" s="87"/>
    </row>
    <row r="5106" spans="1:35" ht="16.5" hidden="1" customHeight="1" thickBot="1">
      <c r="A5106" s="44"/>
      <c r="B5106" s="705" t="s">
        <v>74</v>
      </c>
      <c r="C5106" s="705"/>
      <c r="D5106" s="705"/>
      <c r="E5106" s="705"/>
      <c r="F5106" s="705"/>
      <c r="G5106" s="705"/>
      <c r="H5106" s="705"/>
      <c r="I5106" s="705"/>
      <c r="J5106" s="705"/>
      <c r="K5106" s="705"/>
      <c r="L5106" s="705"/>
      <c r="M5106" s="705"/>
      <c r="N5106" s="705"/>
      <c r="O5106" s="705"/>
      <c r="P5106" s="705"/>
      <c r="Q5106" s="705"/>
      <c r="R5106" s="705"/>
      <c r="S5106" s="705"/>
      <c r="T5106" s="705"/>
      <c r="U5106" s="108"/>
      <c r="Y5106" s="532" t="s">
        <v>341</v>
      </c>
      <c r="AC5106" s="49"/>
      <c r="AD5106" s="687" t="s">
        <v>302</v>
      </c>
      <c r="AE5106" s="688"/>
      <c r="AF5106" s="689"/>
      <c r="AG5106" s="49"/>
      <c r="AH5106" s="87"/>
      <c r="AI5106" s="87"/>
    </row>
    <row r="5107" spans="1:35" ht="16.5" hidden="1" customHeight="1" thickBot="1">
      <c r="A5107" s="218" t="e">
        <f>"K"&amp;E5089</f>
        <v>#N/A</v>
      </c>
      <c r="B5107" s="701" t="s">
        <v>71</v>
      </c>
      <c r="C5107" s="751" t="s">
        <v>102</v>
      </c>
      <c r="D5107" s="751"/>
      <c r="E5107" s="751"/>
      <c r="F5107" s="751"/>
      <c r="G5107" s="751"/>
      <c r="H5107" s="751"/>
      <c r="I5107" s="751"/>
      <c r="J5107" s="751"/>
      <c r="K5107" s="751"/>
      <c r="L5107" s="722" t="s">
        <v>100</v>
      </c>
      <c r="M5107" s="747" t="s">
        <v>114</v>
      </c>
      <c r="N5107" s="747"/>
      <c r="O5107" s="747"/>
      <c r="P5107" s="747"/>
      <c r="Q5107" s="748"/>
      <c r="R5107" s="758" t="s">
        <v>280</v>
      </c>
      <c r="S5107" s="748"/>
      <c r="T5107" s="762" t="str">
        <f>IF(COUNTIF(AE5107:AF5107,"VERIFICAR")&gt;0,"VERIFICAR",IF(COUNTIF(AE5107:AF5107,"NO CUMPLE")&gt;0,"NO CUMPLE","CUMPLE"))</f>
        <v>VERIFICAR</v>
      </c>
      <c r="U5107" s="108"/>
      <c r="Y5107" s="533" t="e">
        <f>IF(F5108="","",IF(F5108=1,"INDIVIDUAL","ESTRUCTURA PLURAL"))</f>
        <v>#N/A</v>
      </c>
      <c r="AC5107" s="52"/>
      <c r="AD5107" s="475" t="s">
        <v>303</v>
      </c>
      <c r="AE5107" s="476" t="str">
        <f>IF(COUNTIF(AE5093:AE5102,"")=10,"VERIFICAR",IF(COUNTIF(AE5093:AE5102,"SI")&gt;0,"CUMPLE","NO CUMPLE"))</f>
        <v>VERIFICAR</v>
      </c>
      <c r="AF5107" s="477" t="str">
        <f>IF(COUNTIF(AF5093:AF5102,"")=10,"VERIFICAR",IF(COUNTIF(AF5093:AF5102,"SI")&gt;=$AI$22,"CUMPLE","NO CUMPLE"))</f>
        <v>VERIFICAR</v>
      </c>
      <c r="AG5107" s="52"/>
      <c r="AH5107" s="87"/>
      <c r="AI5107" s="87"/>
    </row>
    <row r="5108" spans="1:35" ht="15.75" hidden="1" customHeight="1" thickBot="1">
      <c r="A5108" s="218" t="e">
        <f>"L"&amp;E5089</f>
        <v>#N/A</v>
      </c>
      <c r="B5108" s="702"/>
      <c r="C5108" s="751" t="s">
        <v>103</v>
      </c>
      <c r="D5108" s="751"/>
      <c r="E5108" s="752"/>
      <c r="F5108" s="557" t="e">
        <f>IF(VLOOKUP(E5089,PROPONENTES!$C$19:$E$218,3,0)="","",VLOOKUP(E5089,PROPONENTES!$C$19:$E$218,3,0))</f>
        <v>#N/A</v>
      </c>
      <c r="G5108" s="753" t="s">
        <v>104</v>
      </c>
      <c r="H5108" s="751"/>
      <c r="I5108" s="715" t="e">
        <f>IF(OR(F5108="",F5108=1),"INTERESADO PERSONA NATURAL O JURIDICA","CONSORCIO O UNION TEMPORAL")</f>
        <v>#N/A</v>
      </c>
      <c r="J5108" s="725"/>
      <c r="K5108" s="728"/>
      <c r="L5108" s="723"/>
      <c r="M5108" s="749"/>
      <c r="N5108" s="749"/>
      <c r="O5108" s="749"/>
      <c r="P5108" s="749"/>
      <c r="Q5108" s="750"/>
      <c r="R5108" s="712"/>
      <c r="S5108" s="750"/>
      <c r="T5108" s="763"/>
      <c r="U5108" s="108"/>
      <c r="Y5108" s="534"/>
      <c r="AA5108" s="52"/>
      <c r="AB5108" s="52"/>
      <c r="AC5108" s="52"/>
      <c r="AG5108" s="52"/>
      <c r="AH5108" s="87"/>
      <c r="AI5108" s="87"/>
    </row>
    <row r="5109" spans="1:35" ht="56.25" hidden="1" customHeight="1" thickBot="1">
      <c r="A5109" s="218" t="e">
        <f>"M"&amp;E5089</f>
        <v>#N/A</v>
      </c>
      <c r="B5109" s="702"/>
      <c r="C5109" s="725" t="s">
        <v>101</v>
      </c>
      <c r="D5109" s="716"/>
      <c r="E5109" s="558" t="s">
        <v>105</v>
      </c>
      <c r="F5109" s="554" t="s">
        <v>87</v>
      </c>
      <c r="G5109" s="553" t="s">
        <v>86</v>
      </c>
      <c r="H5109" s="559" t="s">
        <v>85</v>
      </c>
      <c r="I5109" s="554" t="s">
        <v>252</v>
      </c>
      <c r="J5109" s="553" t="str">
        <f>"¿EL INTEGRANTE TIENE UNA PARTICIPACIÓN DEL "&amp;PORCREQUERIDOINT*100&amp;"%?"</f>
        <v>¿EL INTEGRANTE TIENE UNA PARTICIPACIÓN DEL 60%?</v>
      </c>
      <c r="K5109" s="554" t="s">
        <v>107</v>
      </c>
      <c r="L5109" s="724"/>
      <c r="M5109" s="717" t="s">
        <v>115</v>
      </c>
      <c r="N5109" s="718"/>
      <c r="O5109" s="718"/>
      <c r="P5109" s="718"/>
      <c r="Q5109" s="223">
        <f>IF(AND(H5093="SI",P5093&gt;=0),1,0)+IF(AND(H5094="SI",P5094&gt;=0),1,0)+IF(AND(H5095="SI",P5095&gt;=0),1,0)+IF(AND(H5096="SI",P5096&gt;=0),1,0)+IF(AND(H5097="SI",P5097&gt;=0),1,0)+IF(AND(H5098="SI",P5098&gt;=0),1,0)+IF(AND(H5099="SI",P5099&gt;=0),1,0)+IF(AND(H5100="SI",P5100&gt;=0),1,0)+IF(AND(H5101="SI",P5101&gt;=0),1,0)+IF(AND(H5102="SI",P5102&gt;=0),1,0)</f>
        <v>0</v>
      </c>
      <c r="R5109" s="759"/>
      <c r="S5109" s="761"/>
      <c r="T5109" s="764"/>
      <c r="U5109" s="219"/>
      <c r="V5109" s="464"/>
      <c r="Y5109" s="532" t="s">
        <v>342</v>
      </c>
      <c r="AA5109" s="550" t="s">
        <v>344</v>
      </c>
      <c r="AB5109" s="693" t="s">
        <v>345</v>
      </c>
      <c r="AC5109" s="693" t="s">
        <v>346</v>
      </c>
      <c r="AD5109" s="685" t="s">
        <v>347</v>
      </c>
      <c r="AE5109" s="52"/>
      <c r="AF5109" s="52"/>
      <c r="AG5109" s="52"/>
      <c r="AH5109" s="87"/>
      <c r="AI5109" s="87"/>
    </row>
    <row r="5110" spans="1:35" ht="15.75" hidden="1" customHeight="1" thickBot="1">
      <c r="A5110" s="218" t="e">
        <f>"N"&amp;E5089</f>
        <v>#N/A</v>
      </c>
      <c r="B5110" s="702"/>
      <c r="C5110" s="114">
        <v>1</v>
      </c>
      <c r="D5110" s="194" t="e">
        <f>IF(AND(C5110&lt;=F5108,F5108&gt;1,F5108&lt;&gt;""),VLOOKUP(VALUE(E5089&amp;","&amp;C5110),INTEGRANTES!$D$18:$F$235,2,0),"")</f>
        <v>#N/A</v>
      </c>
      <c r="E5110" s="211" t="e">
        <f>IF(D5110&lt;&gt;"",VLOOKUP(VALUE(E5089&amp;","&amp;C5110),INTEGRANTES!$D$18:$F$235,3,0),"")</f>
        <v>#N/A</v>
      </c>
      <c r="F5110" s="547" t="e">
        <f>IF(D5110="","",SUMIF($I5093:$I5102,D5110,$P5093:$P5102))</f>
        <v>#N/A</v>
      </c>
      <c r="G5110" s="333" t="e">
        <f>IF(D5110="","",SUMIF($I5093:$I5102,D5110,$M5093:$M5102))</f>
        <v>#N/A</v>
      </c>
      <c r="H5110" s="535" t="e">
        <f t="shared" ref="H5110:H5115" si="1514">IF(D5110="","",IF(OR(F5110=0,G5110=0),"NO APORTA",ROUND($F5110/$G5110,3)))</f>
        <v>#N/A</v>
      </c>
      <c r="I5110" s="212" t="e">
        <f>IF(D5110="","",IF(H5110="NO APORTA","NO",IF(H5110=MAX($H5110:$H5115),"SI","NO")))</f>
        <v>#N/A</v>
      </c>
      <c r="J5110" s="213" t="e">
        <f t="shared" ref="J5110:J5115" si="1515">IF(D5110="","",IF(E5110&gt;=PORCREQUERIDOINT,"SI","NO"))</f>
        <v>#N/A</v>
      </c>
      <c r="K5110" s="200" t="e">
        <f t="shared" ref="K5110:K5115" si="1516">IF(D5110="","",IF(AND(I5110="SI",J5110="SI"),"CUMPLE",IF(AND(I5110="NO",OR(J5110="SI",J5110="NO")),"","NO CUMPLE")))</f>
        <v>#N/A</v>
      </c>
      <c r="L5110" s="722" t="s">
        <v>108</v>
      </c>
      <c r="M5110" s="726" t="s">
        <v>119</v>
      </c>
      <c r="N5110" s="726"/>
      <c r="O5110" s="726"/>
      <c r="P5110" s="726"/>
      <c r="Q5110" s="727"/>
      <c r="R5110" s="758" t="s">
        <v>80</v>
      </c>
      <c r="S5110" s="747"/>
      <c r="T5110" s="748"/>
      <c r="U5110" s="219"/>
      <c r="V5110" s="464"/>
      <c r="Y5110" s="533" t="e">
        <f>IF(Y5107="","",IF(Y5107="INDIVIDUAL","NO APLICA","VERIFICAR CUADRO"))</f>
        <v>#N/A</v>
      </c>
      <c r="AA5110" s="551"/>
      <c r="AB5110" s="694"/>
      <c r="AC5110" s="694"/>
      <c r="AD5110" s="686"/>
      <c r="AE5110" s="52"/>
      <c r="AF5110" s="52"/>
      <c r="AG5110" s="52"/>
      <c r="AH5110" s="87"/>
      <c r="AI5110" s="87"/>
    </row>
    <row r="5111" spans="1:35" ht="27" hidden="1" customHeight="1" thickBot="1">
      <c r="A5111" s="218" t="e">
        <f>"O"&amp;E5089</f>
        <v>#N/A</v>
      </c>
      <c r="B5111" s="702"/>
      <c r="C5111" s="114">
        <v>2</v>
      </c>
      <c r="D5111" s="194" t="e">
        <f>IF(AND(C5111&lt;=F5108,F5108&lt;&gt;""),VLOOKUP(VALUE(E5089&amp;","&amp;C5111),INTEGRANTES!$D$18:$F$235,2,0),"")</f>
        <v>#N/A</v>
      </c>
      <c r="E5111" s="211" t="e">
        <f>IF(D5111&lt;&gt;"",VLOOKUP(VALUE(E5089&amp;","&amp;C5111),INTEGRANTES!$D$18:$F$235,3,0),"")</f>
        <v>#N/A</v>
      </c>
      <c r="F5111" s="547" t="e">
        <f>IF(D5111="","",SUMIF($I5093:$I5102,D5111,$P5093:$P5102))</f>
        <v>#N/A</v>
      </c>
      <c r="G5111" s="333" t="e">
        <f>IF(D5111="","",SUMIF($I5093:$I5102,D5111,$M5093:$M5102))</f>
        <v>#N/A</v>
      </c>
      <c r="H5111" s="535" t="e">
        <f t="shared" si="1514"/>
        <v>#N/A</v>
      </c>
      <c r="I5111" s="212" t="e">
        <f>IF(D5111="","",IF(H5111="NO APORTA","NO",IF(H5111=MAX($H5110:$H5115),"SI","NO")))</f>
        <v>#N/A</v>
      </c>
      <c r="J5111" s="213" t="e">
        <f t="shared" si="1515"/>
        <v>#N/A</v>
      </c>
      <c r="K5111" s="200" t="e">
        <f t="shared" si="1516"/>
        <v>#N/A</v>
      </c>
      <c r="L5111" s="723"/>
      <c r="M5111" s="715" t="s">
        <v>116</v>
      </c>
      <c r="N5111" s="716"/>
      <c r="O5111" s="556" t="s">
        <v>113</v>
      </c>
      <c r="P5111" s="715" t="s">
        <v>117</v>
      </c>
      <c r="Q5111" s="728"/>
      <c r="R5111" s="759"/>
      <c r="S5111" s="760"/>
      <c r="T5111" s="761"/>
      <c r="U5111" s="219"/>
      <c r="V5111" s="464"/>
      <c r="Y5111" s="414"/>
      <c r="AA5111" s="542" t="e">
        <f>IF(AND(C5110&lt;=F5108,F5108&gt;1,F5108&lt;&gt;""),VLOOKUP(VALUE(E5089&amp;","&amp;C5110),INTEGRANTES!$D$18:$F$235,2,0),"")</f>
        <v>#N/A</v>
      </c>
      <c r="AB5111" s="544" t="e">
        <f t="shared" ref="AB5111:AB5116" si="1517">IF(D5110="","",IF(OR(F5110=0,G5110=0),"NO APORTA",ROUND($F5110/$G5110,3)))</f>
        <v>#N/A</v>
      </c>
      <c r="AC5111" s="529"/>
      <c r="AD5111" s="200" t="e">
        <f t="shared" ref="AD5111:AD5116" si="1518">IF(OR(AA5111="",AB5111=""),"",IF(AND(AC5111="X",AB5111&gt;=EXPREQVTD),"CUMPLE","NO CUMPLE"))</f>
        <v>#N/A</v>
      </c>
      <c r="AE5111" s="52"/>
      <c r="AF5111" s="52"/>
      <c r="AG5111" s="52"/>
      <c r="AH5111" s="87"/>
      <c r="AI5111" s="87"/>
    </row>
    <row r="5112" spans="1:35" ht="16.5" hidden="1" thickBot="1">
      <c r="A5112" s="218" t="e">
        <f>"P"&amp;E5089</f>
        <v>#N/A</v>
      </c>
      <c r="B5112" s="702"/>
      <c r="C5112" s="114">
        <v>3</v>
      </c>
      <c r="D5112" s="194" t="e">
        <f>IF(AND(C5112&lt;=F5108,F5108&lt;&gt;""),VLOOKUP(VALUE(E5089&amp;","&amp;C5112),INTEGRANTES!$D$18:$F$235,2,0),"")</f>
        <v>#N/A</v>
      </c>
      <c r="E5112" s="211" t="e">
        <f>IF(D5112&lt;&gt;"",VLOOKUP(VALUE(E5089&amp;","&amp;C5112),INTEGRANTES!$D$18:$F$235,3,0),"")</f>
        <v>#N/A</v>
      </c>
      <c r="F5112" s="547" t="e">
        <f>IF(D5112="","",SUMIF($I5093:$I5102,D5112,$P5093:$P5102))</f>
        <v>#N/A</v>
      </c>
      <c r="G5112" s="333" t="e">
        <f>IF(D5112="","",SUMIF($I5093:$I5102,D5112,$M5093:$M5102))</f>
        <v>#N/A</v>
      </c>
      <c r="H5112" s="535" t="e">
        <f t="shared" si="1514"/>
        <v>#N/A</v>
      </c>
      <c r="I5112" s="212" t="e">
        <f>IF(D5112="","",IF(H5112="NO APORTA","NO",IF(H5112=MAX($H5110:$H5115),"SI","NO")))</f>
        <v>#N/A</v>
      </c>
      <c r="J5112" s="213" t="e">
        <f t="shared" si="1515"/>
        <v>#N/A</v>
      </c>
      <c r="K5112" s="200" t="e">
        <f t="shared" si="1516"/>
        <v>#N/A</v>
      </c>
      <c r="L5112" s="724"/>
      <c r="M5112" s="729">
        <f>NUMMOD</f>
        <v>1</v>
      </c>
      <c r="N5112" s="730"/>
      <c r="O5112" s="443">
        <f>IF(M5112="","",VLOOKUP(M5112,PRESUPUESTOS!$B$16:$H$16,5,FALSE))</f>
        <v>2</v>
      </c>
      <c r="P5112" s="713">
        <f>IF(OR(COUNTIF(M5093:M5102,"")&gt;=10,Q5109&lt;NUMMINCONT,OR(T5107="NO CUMPLE",T5107="VERIFICAR")),0,ROUND(AVERAGE(M5093:M5102),3))</f>
        <v>0</v>
      </c>
      <c r="Q5112" s="714"/>
      <c r="R5112" s="458"/>
      <c r="S5112" s="459"/>
      <c r="T5112" s="460"/>
      <c r="U5112" s="219"/>
      <c r="V5112" s="464"/>
      <c r="Y5112" s="532" t="str">
        <f>"40% * ("&amp;PRESUPUESTOS!$H$13&amp;")"</f>
        <v>40% * (50% PFMO)</v>
      </c>
      <c r="AA5112" s="540" t="e">
        <f>IF(AND(C5111&lt;=F5108,F5108&lt;&gt;""),VLOOKUP(VALUE(E5089&amp;","&amp;C5111),INTEGRANTES!$D$18:$F$235,2,0),"")</f>
        <v>#N/A</v>
      </c>
      <c r="AB5112" s="545" t="e">
        <f t="shared" si="1517"/>
        <v>#N/A</v>
      </c>
      <c r="AC5112" s="529"/>
      <c r="AD5112" s="200" t="e">
        <f t="shared" si="1518"/>
        <v>#N/A</v>
      </c>
      <c r="AE5112" s="52"/>
      <c r="AF5112" s="52"/>
      <c r="AG5112" s="52"/>
      <c r="AH5112" s="87"/>
      <c r="AI5112" s="87"/>
    </row>
    <row r="5113" spans="1:35" ht="15.75" hidden="1" customHeight="1" thickBot="1">
      <c r="A5113" s="218" t="e">
        <f>"Q"&amp;E5089</f>
        <v>#N/A</v>
      </c>
      <c r="B5113" s="702"/>
      <c r="C5113" s="114">
        <v>4</v>
      </c>
      <c r="D5113" s="194" t="e">
        <f>IF(AND(C5113&lt;=F5108,F5108&lt;&gt;""),VLOOKUP(VALUE(E5089&amp;","&amp;C5113),INTEGRANTES!$D$18:$F$235,2,0),"")</f>
        <v>#N/A</v>
      </c>
      <c r="E5113" s="211" t="e">
        <f>IF(D5113&lt;&gt;"",VLOOKUP(VALUE(E5089&amp;","&amp;C5113),INTEGRANTES!$D$18:$F$235,3,0),"")</f>
        <v>#N/A</v>
      </c>
      <c r="F5113" s="547" t="e">
        <f>IF(D5113="","",SUMIF($I5093:$I5102,D5113,$P5093:$P5102))</f>
        <v>#N/A</v>
      </c>
      <c r="G5113" s="333" t="e">
        <f>IF(D5113="","",SUMIF($I5093:$I5102,D5113,$M5093:$M5102))</f>
        <v>#N/A</v>
      </c>
      <c r="H5113" s="535" t="e">
        <f t="shared" si="1514"/>
        <v>#N/A</v>
      </c>
      <c r="I5113" s="212" t="e">
        <f>IF(D5113="","",IF(H5113="NO APORTA","NO",IF(H5113=MAX($H5110:$H5115),"SI","NO")))</f>
        <v>#N/A</v>
      </c>
      <c r="J5113" s="213" t="e">
        <f t="shared" si="1515"/>
        <v>#N/A</v>
      </c>
      <c r="K5113" s="200" t="e">
        <f t="shared" si="1516"/>
        <v>#N/A</v>
      </c>
      <c r="L5113" s="720" t="s">
        <v>109</v>
      </c>
      <c r="M5113" s="757" t="s">
        <v>120</v>
      </c>
      <c r="N5113" s="726"/>
      <c r="O5113" s="726"/>
      <c r="P5113" s="726"/>
      <c r="Q5113" s="727"/>
      <c r="R5113" s="458"/>
      <c r="S5113" s="459"/>
      <c r="T5113" s="460"/>
      <c r="U5113" s="219"/>
      <c r="V5113" s="464"/>
      <c r="Y5113" s="537">
        <f>0.4*PRESUPUESTOS!$H$16</f>
        <v>10.3124</v>
      </c>
      <c r="AA5113" s="540" t="e">
        <f>IF(AND(C5112&lt;=F5108,F5108&lt;&gt;""),VLOOKUP(VALUE(E5089&amp;","&amp;C5112),INTEGRANTES!$D$18:$F$235,2,0),"")</f>
        <v>#N/A</v>
      </c>
      <c r="AB5113" s="545" t="e">
        <f t="shared" si="1517"/>
        <v>#N/A</v>
      </c>
      <c r="AC5113" s="529"/>
      <c r="AD5113" s="200" t="e">
        <f t="shared" si="1518"/>
        <v>#N/A</v>
      </c>
      <c r="AE5113" s="52"/>
      <c r="AF5113" s="52"/>
      <c r="AG5113" s="52"/>
      <c r="AH5113" s="87"/>
      <c r="AI5113" s="87"/>
    </row>
    <row r="5114" spans="1:35" ht="27" hidden="1" customHeight="1" thickBot="1">
      <c r="A5114" s="218" t="e">
        <f>"R"&amp;E5089</f>
        <v>#N/A</v>
      </c>
      <c r="B5114" s="702"/>
      <c r="C5114" s="114">
        <v>5</v>
      </c>
      <c r="D5114" s="194" t="e">
        <f>IF(AND(C5114&lt;=F5108,F5108&lt;&gt;""),VLOOKUP(VALUE(E5089&amp;","&amp;C5114),INTEGRANTES!$D$18:$F$235,2,0),"")</f>
        <v>#N/A</v>
      </c>
      <c r="E5114" s="211" t="e">
        <f>IF(D5114&lt;&gt;"",VLOOKUP(VALUE(E5089&amp;","&amp;C5114),INTEGRANTES!$D$18:$F$235,3,0),"")</f>
        <v>#N/A</v>
      </c>
      <c r="F5114" s="547" t="e">
        <f>IF(D5114="","",SUMIF($I5093:$I5102,D5114,$P5093:$P5102))</f>
        <v>#N/A</v>
      </c>
      <c r="G5114" s="333" t="e">
        <f>IF(D5114="","",SUMIF($I5093:$I5102,D5114,$M5093:$M5102))</f>
        <v>#N/A</v>
      </c>
      <c r="H5114" s="535" t="e">
        <f t="shared" si="1514"/>
        <v>#N/A</v>
      </c>
      <c r="I5114" s="212" t="e">
        <f>IF(D5114="","",IF(H5114="NO APORTA","NO",IF(H5114=MAX($H5110:$H5115),"SI","NO")))</f>
        <v>#N/A</v>
      </c>
      <c r="J5114" s="213" t="e">
        <f t="shared" si="1515"/>
        <v>#N/A</v>
      </c>
      <c r="K5114" s="200" t="e">
        <f t="shared" si="1516"/>
        <v>#N/A</v>
      </c>
      <c r="L5114" s="721"/>
      <c r="M5114" s="715" t="s">
        <v>116</v>
      </c>
      <c r="N5114" s="716"/>
      <c r="O5114" s="556" t="str">
        <f>PORCREQUERIDO*100&amp;"% PMFO DEL MÓDULO"</f>
        <v>50% PMFO DEL MÓDULO</v>
      </c>
      <c r="P5114" s="715" t="s">
        <v>118</v>
      </c>
      <c r="Q5114" s="728"/>
      <c r="R5114" s="458"/>
      <c r="S5114" s="459"/>
      <c r="T5114" s="460"/>
      <c r="U5114" s="219"/>
      <c r="V5114" s="464"/>
      <c r="Y5114" s="414"/>
      <c r="AA5114" s="540" t="e">
        <f>IF(AND(C5113&lt;=F5108,F5108&lt;&gt;""),VLOOKUP(VALUE(E5089&amp;","&amp;C5113),INTEGRANTES!$D$18:$F$235,2,0),"")</f>
        <v>#N/A</v>
      </c>
      <c r="AB5114" s="545" t="e">
        <f t="shared" si="1517"/>
        <v>#N/A</v>
      </c>
      <c r="AC5114" s="529"/>
      <c r="AD5114" s="200" t="e">
        <f t="shared" si="1518"/>
        <v>#N/A</v>
      </c>
      <c r="AE5114" s="52"/>
      <c r="AF5114" s="52"/>
      <c r="AG5114" s="52"/>
      <c r="AH5114" s="87"/>
      <c r="AI5114" s="87"/>
    </row>
    <row r="5115" spans="1:35" ht="16.5" hidden="1" thickBot="1">
      <c r="A5115" s="218" t="e">
        <f>"S"&amp;E5089</f>
        <v>#N/A</v>
      </c>
      <c r="B5115" s="702"/>
      <c r="C5115" s="215">
        <v>6</v>
      </c>
      <c r="D5115" s="216" t="e">
        <f>IF(AND(C5115&lt;=F5108,F5108&lt;&gt;""),VLOOKUP(VALUE(E5089&amp;","&amp;C5115),INTEGRANTES!$D$18:$F$235,2,0),"")</f>
        <v>#N/A</v>
      </c>
      <c r="E5115" s="217" t="e">
        <f>IF(D5115&lt;&gt;"",VLOOKUP(VALUE(E5089&amp;","&amp;C5115),INTEGRANTES!$D$18:$F$235,3,0),"")</f>
        <v>#N/A</v>
      </c>
      <c r="F5115" s="548" t="e">
        <f>IF(D5115="","",SUMIF($I5093:$I5102,D5115,$P5093:$P5102))</f>
        <v>#N/A</v>
      </c>
      <c r="G5115" s="334" t="e">
        <f>IF(D5115="","",SUMIF($I5093:$I5102,D5115,$M5093:$M5102))</f>
        <v>#N/A</v>
      </c>
      <c r="H5115" s="536" t="e">
        <f t="shared" si="1514"/>
        <v>#N/A</v>
      </c>
      <c r="I5115" s="214" t="e">
        <f>IF(D5115="","",IF(H5115="NO APORTA","NO",IF(H5115=MAX($H5110:$H5115),"SI","NO")))</f>
        <v>#N/A</v>
      </c>
      <c r="J5115" s="213" t="e">
        <f t="shared" si="1515"/>
        <v>#N/A</v>
      </c>
      <c r="K5115" s="200" t="e">
        <f t="shared" si="1516"/>
        <v>#N/A</v>
      </c>
      <c r="L5115" s="721"/>
      <c r="M5115" s="729">
        <f>NUMMOD</f>
        <v>1</v>
      </c>
      <c r="N5115" s="730"/>
      <c r="O5115" s="443">
        <f>IF(M5115="","",ROUND(VLOOKUP(M5115,PRESUPUESTOS!$B$16:$H$16,7,FALSE),3))</f>
        <v>25.780999999999999</v>
      </c>
      <c r="P5115" s="713">
        <f>IF(OR(COUNTIF(P5093:P5102,"")&gt;=10,Q5109&lt;NUMMINCONT,OR(T5107="NO CUMPLE",T5107="VERIFICAR")),0,ROUND((SUM(P5093:P5102)/SUM(M5093:M5102)),3))</f>
        <v>0</v>
      </c>
      <c r="Q5115" s="714"/>
      <c r="R5115" s="458"/>
      <c r="S5115" s="459"/>
      <c r="T5115" s="460"/>
      <c r="U5115" s="219"/>
      <c r="V5115" s="464"/>
      <c r="Y5115" s="532" t="s">
        <v>343</v>
      </c>
      <c r="AA5115" s="540" t="e">
        <f>IF(AND(C5114&lt;=F5108,F5108&lt;&gt;""),VLOOKUP(VALUE(E5089&amp;","&amp;C5114),INTEGRANTES!$D$18:$F$235,2,0),"")</f>
        <v>#N/A</v>
      </c>
      <c r="AB5115" s="545" t="e">
        <f t="shared" si="1517"/>
        <v>#N/A</v>
      </c>
      <c r="AC5115" s="529"/>
      <c r="AD5115" s="200" t="e">
        <f t="shared" si="1518"/>
        <v>#N/A</v>
      </c>
      <c r="AE5115" s="52"/>
      <c r="AF5115" s="52"/>
      <c r="AG5115" s="52"/>
      <c r="AH5115" s="87"/>
      <c r="AI5115" s="87"/>
    </row>
    <row r="5116" spans="1:35" ht="16.5" hidden="1" customHeight="1" thickBot="1">
      <c r="A5116" s="218" t="e">
        <f>"T"&amp;E5089</f>
        <v>#N/A</v>
      </c>
      <c r="B5116" s="703"/>
      <c r="C5116" s="719"/>
      <c r="D5116" s="719"/>
      <c r="E5116" s="719"/>
      <c r="F5116" s="719"/>
      <c r="G5116" s="719"/>
      <c r="H5116" s="719" t="s">
        <v>110</v>
      </c>
      <c r="I5116" s="719"/>
      <c r="J5116" s="719"/>
      <c r="K5116" s="201" t="str">
        <f>IF(COUNTIF(K5110:K5115,"")=6,"",IF(COUNTIF(K5110:K5115,"CUMPLE")&gt;0,"CUMPLE","NO CUMPLE"))</f>
        <v>NO CUMPLE</v>
      </c>
      <c r="L5116" s="754"/>
      <c r="M5116" s="755"/>
      <c r="N5116" s="755"/>
      <c r="O5116" s="755"/>
      <c r="P5116" s="755"/>
      <c r="Q5116" s="756"/>
      <c r="R5116" s="461"/>
      <c r="S5116" s="462"/>
      <c r="T5116" s="463"/>
      <c r="U5116" s="219"/>
      <c r="V5116" s="464"/>
      <c r="Y5116" s="549" t="e">
        <f>IF(Y5110="NO APLICA","NO APLICA",IF(COUNTIF(AD5111:AD5116,"CUMPLE")&gt;0,"CUMPLE","NO CUMPLE"))</f>
        <v>#N/A</v>
      </c>
      <c r="AA5116" s="541" t="e">
        <f>IF(AND(C5115&lt;=F5108,F5108&lt;&gt;""),VLOOKUP(VALUE(E5089&amp;","&amp;C5115),INTEGRANTES!$D$18:$F$235,2,0),"")</f>
        <v>#N/A</v>
      </c>
      <c r="AB5116" s="546" t="e">
        <f t="shared" si="1517"/>
        <v>#N/A</v>
      </c>
      <c r="AC5116" s="543"/>
      <c r="AD5116" s="201" t="e">
        <f t="shared" si="1518"/>
        <v>#N/A</v>
      </c>
      <c r="AE5116" s="52"/>
      <c r="AF5116" s="52"/>
      <c r="AG5116" s="52"/>
      <c r="AH5116" s="87"/>
      <c r="AI5116" s="87"/>
    </row>
    <row r="5117" spans="1:35" hidden="1">
      <c r="AH5117" s="87"/>
      <c r="AI5117" s="87"/>
    </row>
    <row r="5118" spans="1:35" hidden="1">
      <c r="AH5118" s="87"/>
      <c r="AI5118" s="87"/>
    </row>
    <row r="5119" spans="1:35" ht="24" hidden="1" thickBot="1">
      <c r="A5119" s="61">
        <v>171</v>
      </c>
      <c r="B5119" s="704" t="s">
        <v>51</v>
      </c>
      <c r="C5119" s="704"/>
      <c r="D5119" s="704"/>
      <c r="E5119" s="62" t="e">
        <f>VLOOKUP(A5119,PROPONENTES!$B$19:$E$218,2,FALSE)</f>
        <v>#N/A</v>
      </c>
      <c r="F5119" s="63" t="e">
        <f>VLOOKUP(A5119,PROPONENTES!$B$19:$E$218,3,FALSE)</f>
        <v>#N/A</v>
      </c>
      <c r="G5119" s="64"/>
      <c r="H5119" s="64"/>
      <c r="I5119" s="63"/>
      <c r="J5119" s="63"/>
      <c r="K5119" s="65"/>
      <c r="L5119" s="65"/>
      <c r="M5119" s="64"/>
      <c r="N5119" s="64"/>
      <c r="O5119" s="66"/>
      <c r="P5119" s="66"/>
      <c r="Q5119" s="66"/>
      <c r="R5119" s="66"/>
      <c r="S5119" s="67"/>
      <c r="T5119" s="68"/>
      <c r="U5119" s="68"/>
      <c r="AC5119" s="68"/>
      <c r="AD5119" s="68"/>
      <c r="AE5119" s="68"/>
      <c r="AF5119" s="68"/>
      <c r="AG5119" s="68"/>
      <c r="AH5119" s="87"/>
      <c r="AI5119" s="87"/>
    </row>
    <row r="5120" spans="1:35" ht="15.75" hidden="1" customHeight="1">
      <c r="A5120" s="44"/>
      <c r="B5120" s="709" t="s">
        <v>59</v>
      </c>
      <c r="C5120" s="552" t="s">
        <v>60</v>
      </c>
      <c r="D5120" s="70" t="s">
        <v>17</v>
      </c>
      <c r="E5120" s="70"/>
      <c r="F5120" s="70" t="s">
        <v>61</v>
      </c>
      <c r="G5120" s="71"/>
      <c r="H5120" s="699" t="s">
        <v>62</v>
      </c>
      <c r="I5120" s="699" t="s">
        <v>18</v>
      </c>
      <c r="J5120" s="699" t="s">
        <v>63</v>
      </c>
      <c r="K5120" s="699" t="s">
        <v>64</v>
      </c>
      <c r="L5120" s="699" t="s">
        <v>65</v>
      </c>
      <c r="M5120" s="743" t="s">
        <v>66</v>
      </c>
      <c r="N5120" s="699" t="s">
        <v>282</v>
      </c>
      <c r="O5120" s="745" t="s">
        <v>67</v>
      </c>
      <c r="P5120" s="746"/>
      <c r="Q5120" s="102" t="s">
        <v>75</v>
      </c>
      <c r="R5120" s="731" t="s">
        <v>22</v>
      </c>
      <c r="S5120" s="732"/>
      <c r="T5120" s="733"/>
      <c r="U5120" s="712" t="s">
        <v>298</v>
      </c>
      <c r="W5120" s="690" t="s">
        <v>268</v>
      </c>
      <c r="X5120" s="691"/>
      <c r="Y5120" s="692"/>
      <c r="Z5120" s="428"/>
      <c r="AA5120" s="697" t="s">
        <v>315</v>
      </c>
      <c r="AB5120" s="695" t="s">
        <v>322</v>
      </c>
      <c r="AC5120" s="49"/>
      <c r="AD5120" s="690" t="s">
        <v>297</v>
      </c>
      <c r="AE5120" s="691"/>
      <c r="AF5120" s="692"/>
      <c r="AG5120" s="49"/>
      <c r="AH5120" s="87"/>
      <c r="AI5120" s="87"/>
    </row>
    <row r="5121" spans="1:35" ht="72" hidden="1">
      <c r="A5121" s="44"/>
      <c r="B5121" s="710"/>
      <c r="C5121" s="553" t="s">
        <v>68</v>
      </c>
      <c r="D5121" s="73" t="s">
        <v>3</v>
      </c>
      <c r="E5121" s="73" t="s">
        <v>19</v>
      </c>
      <c r="F5121" s="73" t="s">
        <v>69</v>
      </c>
      <c r="G5121" s="74" t="s">
        <v>70</v>
      </c>
      <c r="H5121" s="700"/>
      <c r="I5121" s="700"/>
      <c r="J5121" s="700"/>
      <c r="K5121" s="700"/>
      <c r="L5121" s="700"/>
      <c r="M5121" s="744"/>
      <c r="N5121" s="700"/>
      <c r="O5121" s="553" t="s">
        <v>279</v>
      </c>
      <c r="P5121" s="73" t="s">
        <v>88</v>
      </c>
      <c r="Q5121" s="555" t="s">
        <v>76</v>
      </c>
      <c r="R5121" s="734"/>
      <c r="S5121" s="735"/>
      <c r="T5121" s="736"/>
      <c r="U5121" s="712"/>
      <c r="W5121" s="429" t="s">
        <v>269</v>
      </c>
      <c r="X5121" s="457" t="s">
        <v>278</v>
      </c>
      <c r="Y5121" s="430" t="s">
        <v>324</v>
      </c>
      <c r="Z5121" s="428"/>
      <c r="AA5121" s="698"/>
      <c r="AB5121" s="696"/>
      <c r="AC5121" s="49"/>
      <c r="AD5121" s="429" t="s">
        <v>292</v>
      </c>
      <c r="AE5121" s="431" t="s">
        <v>300</v>
      </c>
      <c r="AF5121" s="468" t="s">
        <v>301</v>
      </c>
      <c r="AG5121" s="49"/>
      <c r="AH5121" s="87"/>
      <c r="AI5121" s="87"/>
    </row>
    <row r="5122" spans="1:35" hidden="1">
      <c r="A5122" s="44"/>
      <c r="B5122" s="76"/>
      <c r="C5122" s="77"/>
      <c r="D5122" s="77"/>
      <c r="E5122" s="77"/>
      <c r="F5122" s="77"/>
      <c r="G5122" s="77"/>
      <c r="H5122" s="77"/>
      <c r="I5122" s="77"/>
      <c r="J5122" s="77"/>
      <c r="K5122" s="77"/>
      <c r="L5122" s="77"/>
      <c r="M5122" s="77"/>
      <c r="N5122" s="77"/>
      <c r="O5122" s="77"/>
      <c r="P5122" s="77"/>
      <c r="Q5122" s="77"/>
      <c r="R5122" s="77"/>
      <c r="S5122" s="78"/>
      <c r="T5122" s="79"/>
      <c r="U5122" s="109"/>
      <c r="V5122" s="49"/>
      <c r="W5122" s="432"/>
      <c r="X5122" s="454"/>
      <c r="Y5122" s="433"/>
      <c r="Z5122" s="6"/>
      <c r="AA5122" s="500"/>
      <c r="AB5122" s="562"/>
      <c r="AC5122" s="49"/>
      <c r="AD5122" s="210"/>
      <c r="AE5122" s="434"/>
      <c r="AF5122" s="435"/>
      <c r="AG5122" s="49"/>
      <c r="AH5122" s="87"/>
      <c r="AI5122" s="87"/>
    </row>
    <row r="5123" spans="1:35" hidden="1">
      <c r="A5123" s="80" t="e">
        <f>"A"&amp;E5119</f>
        <v>#N/A</v>
      </c>
      <c r="B5123" s="81">
        <v>1</v>
      </c>
      <c r="C5123" s="82"/>
      <c r="D5123" s="82"/>
      <c r="E5123" s="82"/>
      <c r="F5123" s="82"/>
      <c r="G5123" s="83"/>
      <c r="H5123" s="83"/>
      <c r="I5123" s="84"/>
      <c r="J5123" s="85"/>
      <c r="K5123" s="382"/>
      <c r="L5123" s="85"/>
      <c r="M5123" s="332" t="str">
        <f t="shared" ref="M5123:M5132" si="1519">IF(OR(J5123="",L5123="",H5123="NO"),"",IF(OR(J5123&gt;$P$17,J5123&lt;$O$17,L5123&gt;$P$17,AND(J5123&lt;$O$17,L5123&lt;$O$17)),"FUERA DE RANGO",IF(OR(K5123="---",K5123=""),IF(J5123&gt;=$O$17,ROUND((L5123-J5123+1)/360*12,3),ROUND((L5123-$O$17+1)/360*12,3)),IF(J5123&gt;=$O$17,ROUND((L5123-J5123+1)/360*12-ROUND(K5123,3),3),ROUND((L5123-$O$17+1)/360*12-ROUND(K5123,3),3)))))</f>
        <v/>
      </c>
      <c r="N5123" s="86"/>
      <c r="O5123" s="453" t="str">
        <f>IF(OR(G5123="",N5123=""),"",N5123*G5123)</f>
        <v/>
      </c>
      <c r="P5123" s="538" t="str">
        <f>IF(OR(H5123="",M5123="FUERA DE RANGO"),"",IF(OR(L5123&lt;$O$17,L5123&gt;$P$17,L5123="",H5123="NO"),"",IF(OR(N5123="",O5123=""),"",ROUND(O5123,3))))</f>
        <v/>
      </c>
      <c r="Q5123" s="539" t="str">
        <f t="shared" ref="Q5123:Q5132" si="1520">IF(AND(H5123="SI",P5123&lt;&gt;""),ROUND(P5123/M5123,3),"")</f>
        <v/>
      </c>
      <c r="R5123" s="737"/>
      <c r="S5123" s="738"/>
      <c r="T5123" s="739"/>
      <c r="U5123" s="470"/>
      <c r="V5123" s="165"/>
      <c r="W5123" s="446"/>
      <c r="X5123" s="456"/>
      <c r="Y5123" s="436"/>
      <c r="Z5123" s="437"/>
      <c r="AA5123" s="560"/>
      <c r="AB5123" s="561"/>
      <c r="AC5123" s="87"/>
      <c r="AD5123" s="466"/>
      <c r="AE5123" s="456"/>
      <c r="AF5123" s="467"/>
      <c r="AG5123" s="87"/>
      <c r="AH5123" s="87"/>
      <c r="AI5123" s="87"/>
    </row>
    <row r="5124" spans="1:35" hidden="1">
      <c r="A5124" s="80" t="e">
        <f>"B"&amp;E5119</f>
        <v>#N/A</v>
      </c>
      <c r="B5124" s="81">
        <v>2</v>
      </c>
      <c r="C5124" s="106"/>
      <c r="D5124" s="106"/>
      <c r="E5124" s="106"/>
      <c r="F5124" s="106"/>
      <c r="G5124" s="83"/>
      <c r="H5124" s="83"/>
      <c r="I5124" s="84"/>
      <c r="J5124" s="85"/>
      <c r="K5124" s="382"/>
      <c r="L5124" s="85"/>
      <c r="M5124" s="332" t="str">
        <f t="shared" si="1519"/>
        <v/>
      </c>
      <c r="N5124" s="86"/>
      <c r="O5124" s="453" t="str">
        <f t="shared" ref="O5124:O5132" si="1521">IF(OR(G5124="",N5124=""),"",N5124*G5124)</f>
        <v/>
      </c>
      <c r="P5124" s="538" t="str">
        <f t="shared" ref="P5124:P5132" si="1522">IF(OR(H5124="",M5124="FUERA DE RANGO"),"",IF(OR(L5124&lt;$O$17,L5124&gt;$P$17,L5124="",H5124="NO"),"",IF(OR(N5124="",O5124=""),"",ROUND(O5124,3))))</f>
        <v/>
      </c>
      <c r="Q5124" s="539" t="str">
        <f t="shared" si="1520"/>
        <v/>
      </c>
      <c r="R5124" s="740"/>
      <c r="S5124" s="741"/>
      <c r="T5124" s="742"/>
      <c r="U5124" s="471"/>
      <c r="V5124" s="165"/>
      <c r="W5124" s="446"/>
      <c r="X5124" s="456"/>
      <c r="Y5124" s="436"/>
      <c r="Z5124" s="437"/>
      <c r="AA5124" s="560"/>
      <c r="AB5124" s="561"/>
      <c r="AC5124" s="87"/>
      <c r="AD5124" s="466"/>
      <c r="AE5124" s="456"/>
      <c r="AF5124" s="467"/>
      <c r="AG5124" s="87"/>
      <c r="AH5124" s="87"/>
      <c r="AI5124" s="87"/>
    </row>
    <row r="5125" spans="1:35" hidden="1">
      <c r="A5125" s="80" t="e">
        <f>"C"&amp;E5119</f>
        <v>#N/A</v>
      </c>
      <c r="B5125" s="88">
        <v>3</v>
      </c>
      <c r="C5125" s="82"/>
      <c r="D5125" s="82"/>
      <c r="E5125" s="82"/>
      <c r="F5125" s="82"/>
      <c r="G5125" s="83"/>
      <c r="H5125" s="83"/>
      <c r="I5125" s="84"/>
      <c r="J5125" s="85"/>
      <c r="K5125" s="382"/>
      <c r="L5125" s="85"/>
      <c r="M5125" s="332" t="str">
        <f t="shared" si="1519"/>
        <v/>
      </c>
      <c r="N5125" s="86"/>
      <c r="O5125" s="453" t="str">
        <f t="shared" si="1521"/>
        <v/>
      </c>
      <c r="P5125" s="538" t="str">
        <f t="shared" si="1522"/>
        <v/>
      </c>
      <c r="Q5125" s="539" t="str">
        <f t="shared" si="1520"/>
        <v/>
      </c>
      <c r="R5125" s="706"/>
      <c r="S5125" s="707"/>
      <c r="T5125" s="708"/>
      <c r="U5125" s="472"/>
      <c r="V5125" s="166"/>
      <c r="W5125" s="446"/>
      <c r="X5125" s="456"/>
      <c r="Y5125" s="436"/>
      <c r="Z5125" s="437"/>
      <c r="AA5125" s="560"/>
      <c r="AB5125" s="561"/>
      <c r="AC5125" s="87"/>
      <c r="AD5125" s="466"/>
      <c r="AE5125" s="456"/>
      <c r="AF5125" s="467"/>
      <c r="AG5125" s="87"/>
      <c r="AH5125" s="87"/>
      <c r="AI5125" s="87"/>
    </row>
    <row r="5126" spans="1:35" hidden="1">
      <c r="A5126" s="80" t="e">
        <f>"D"&amp;E5119</f>
        <v>#N/A</v>
      </c>
      <c r="B5126" s="105">
        <v>4</v>
      </c>
      <c r="C5126" s="107"/>
      <c r="D5126" s="107"/>
      <c r="E5126" s="107"/>
      <c r="F5126" s="107"/>
      <c r="G5126" s="83"/>
      <c r="H5126" s="83"/>
      <c r="I5126" s="84"/>
      <c r="J5126" s="85"/>
      <c r="K5126" s="382"/>
      <c r="L5126" s="85"/>
      <c r="M5126" s="332" t="str">
        <f t="shared" si="1519"/>
        <v/>
      </c>
      <c r="N5126" s="86"/>
      <c r="O5126" s="453" t="str">
        <f t="shared" si="1521"/>
        <v/>
      </c>
      <c r="P5126" s="538" t="str">
        <f t="shared" si="1522"/>
        <v/>
      </c>
      <c r="Q5126" s="539" t="str">
        <f t="shared" si="1520"/>
        <v/>
      </c>
      <c r="R5126" s="706"/>
      <c r="S5126" s="707"/>
      <c r="T5126" s="708"/>
      <c r="U5126" s="472"/>
      <c r="V5126" s="166"/>
      <c r="W5126" s="446"/>
      <c r="X5126" s="456"/>
      <c r="Y5126" s="436"/>
      <c r="Z5126" s="437"/>
      <c r="AA5126" s="560"/>
      <c r="AB5126" s="561"/>
      <c r="AC5126" s="87"/>
      <c r="AD5126" s="466"/>
      <c r="AE5126" s="456"/>
      <c r="AF5126" s="467"/>
      <c r="AG5126" s="87"/>
      <c r="AH5126" s="87"/>
      <c r="AI5126" s="87"/>
    </row>
    <row r="5127" spans="1:35" hidden="1">
      <c r="A5127" s="80" t="e">
        <f>"E"&amp;E5119</f>
        <v>#N/A</v>
      </c>
      <c r="B5127" s="105">
        <v>5</v>
      </c>
      <c r="C5127" s="107"/>
      <c r="D5127" s="107"/>
      <c r="E5127" s="107"/>
      <c r="F5127" s="107"/>
      <c r="G5127" s="83"/>
      <c r="H5127" s="83"/>
      <c r="I5127" s="84"/>
      <c r="J5127" s="85"/>
      <c r="K5127" s="382"/>
      <c r="L5127" s="85"/>
      <c r="M5127" s="332" t="str">
        <f t="shared" si="1519"/>
        <v/>
      </c>
      <c r="N5127" s="86"/>
      <c r="O5127" s="453" t="str">
        <f t="shared" si="1521"/>
        <v/>
      </c>
      <c r="P5127" s="538" t="str">
        <f t="shared" si="1522"/>
        <v/>
      </c>
      <c r="Q5127" s="539" t="str">
        <f t="shared" si="1520"/>
        <v/>
      </c>
      <c r="R5127" s="706"/>
      <c r="S5127" s="707"/>
      <c r="T5127" s="708"/>
      <c r="U5127" s="472"/>
      <c r="V5127" s="167"/>
      <c r="W5127" s="446"/>
      <c r="X5127" s="456"/>
      <c r="Y5127" s="436"/>
      <c r="Z5127" s="437"/>
      <c r="AA5127" s="560"/>
      <c r="AB5127" s="561"/>
      <c r="AC5127" s="87"/>
      <c r="AD5127" s="466"/>
      <c r="AE5127" s="456"/>
      <c r="AF5127" s="467"/>
      <c r="AG5127" s="87"/>
      <c r="AH5127" s="87"/>
      <c r="AI5127" s="87"/>
    </row>
    <row r="5128" spans="1:35" hidden="1">
      <c r="A5128" s="80" t="e">
        <f>"F"&amp;E5119</f>
        <v>#N/A</v>
      </c>
      <c r="B5128" s="105">
        <v>6</v>
      </c>
      <c r="C5128" s="107"/>
      <c r="D5128" s="107"/>
      <c r="E5128" s="107"/>
      <c r="F5128" s="107"/>
      <c r="G5128" s="83"/>
      <c r="H5128" s="83"/>
      <c r="I5128" s="84"/>
      <c r="J5128" s="85"/>
      <c r="K5128" s="382"/>
      <c r="L5128" s="85"/>
      <c r="M5128" s="332" t="str">
        <f t="shared" si="1519"/>
        <v/>
      </c>
      <c r="N5128" s="86"/>
      <c r="O5128" s="453" t="str">
        <f t="shared" si="1521"/>
        <v/>
      </c>
      <c r="P5128" s="538" t="str">
        <f t="shared" si="1522"/>
        <v/>
      </c>
      <c r="Q5128" s="539" t="str">
        <f t="shared" si="1520"/>
        <v/>
      </c>
      <c r="R5128" s="706"/>
      <c r="S5128" s="707"/>
      <c r="T5128" s="708"/>
      <c r="U5128" s="472"/>
      <c r="V5128" s="167"/>
      <c r="W5128" s="446"/>
      <c r="X5128" s="456"/>
      <c r="Y5128" s="436"/>
      <c r="Z5128" s="437"/>
      <c r="AA5128" s="560"/>
      <c r="AB5128" s="561"/>
      <c r="AC5128" s="87"/>
      <c r="AD5128" s="466"/>
      <c r="AE5128" s="456"/>
      <c r="AF5128" s="467"/>
      <c r="AG5128" s="87"/>
      <c r="AH5128" s="87"/>
      <c r="AI5128" s="87"/>
    </row>
    <row r="5129" spans="1:35" hidden="1">
      <c r="A5129" s="80" t="e">
        <f>"G"&amp;E5119</f>
        <v>#N/A</v>
      </c>
      <c r="B5129" s="105">
        <v>7</v>
      </c>
      <c r="C5129" s="107"/>
      <c r="D5129" s="107"/>
      <c r="E5129" s="107"/>
      <c r="F5129" s="107"/>
      <c r="G5129" s="83"/>
      <c r="H5129" s="83"/>
      <c r="I5129" s="84"/>
      <c r="J5129" s="85"/>
      <c r="K5129" s="382"/>
      <c r="L5129" s="85"/>
      <c r="M5129" s="332" t="str">
        <f t="shared" si="1519"/>
        <v/>
      </c>
      <c r="N5129" s="86"/>
      <c r="O5129" s="86" t="str">
        <f t="shared" si="1521"/>
        <v/>
      </c>
      <c r="P5129" s="538" t="str">
        <f t="shared" si="1522"/>
        <v/>
      </c>
      <c r="Q5129" s="539" t="str">
        <f t="shared" si="1520"/>
        <v/>
      </c>
      <c r="R5129" s="706"/>
      <c r="S5129" s="707"/>
      <c r="T5129" s="708"/>
      <c r="U5129" s="472"/>
      <c r="V5129" s="167"/>
      <c r="W5129" s="446"/>
      <c r="X5129" s="456"/>
      <c r="Y5129" s="436"/>
      <c r="Z5129" s="437"/>
      <c r="AA5129" s="560"/>
      <c r="AB5129" s="561"/>
      <c r="AC5129" s="87"/>
      <c r="AD5129" s="466"/>
      <c r="AE5129" s="456"/>
      <c r="AF5129" s="467"/>
      <c r="AG5129" s="87"/>
      <c r="AH5129" s="87"/>
      <c r="AI5129" s="87"/>
    </row>
    <row r="5130" spans="1:35" hidden="1">
      <c r="A5130" s="80" t="e">
        <f>"H"&amp;E5119</f>
        <v>#N/A</v>
      </c>
      <c r="B5130" s="105">
        <v>8</v>
      </c>
      <c r="C5130" s="107"/>
      <c r="D5130" s="107"/>
      <c r="E5130" s="107"/>
      <c r="F5130" s="107"/>
      <c r="G5130" s="83"/>
      <c r="H5130" s="83"/>
      <c r="I5130" s="84"/>
      <c r="J5130" s="85"/>
      <c r="K5130" s="382"/>
      <c r="L5130" s="85"/>
      <c r="M5130" s="332" t="str">
        <f t="shared" si="1519"/>
        <v/>
      </c>
      <c r="N5130" s="453"/>
      <c r="O5130" s="86" t="str">
        <f t="shared" si="1521"/>
        <v/>
      </c>
      <c r="P5130" s="538" t="str">
        <f t="shared" si="1522"/>
        <v/>
      </c>
      <c r="Q5130" s="539" t="str">
        <f t="shared" si="1520"/>
        <v/>
      </c>
      <c r="R5130" s="706"/>
      <c r="S5130" s="707"/>
      <c r="T5130" s="708"/>
      <c r="U5130" s="472"/>
      <c r="V5130" s="167"/>
      <c r="W5130" s="446"/>
      <c r="X5130" s="456"/>
      <c r="Y5130" s="436"/>
      <c r="Z5130" s="437"/>
      <c r="AA5130" s="560"/>
      <c r="AB5130" s="561"/>
      <c r="AC5130" s="87"/>
      <c r="AD5130" s="466"/>
      <c r="AE5130" s="456"/>
      <c r="AF5130" s="467"/>
      <c r="AG5130" s="87"/>
      <c r="AH5130" s="87"/>
      <c r="AI5130" s="87"/>
    </row>
    <row r="5131" spans="1:35" hidden="1">
      <c r="A5131" s="80" t="e">
        <f>"I"&amp;E5119</f>
        <v>#N/A</v>
      </c>
      <c r="B5131" s="105">
        <v>9</v>
      </c>
      <c r="C5131" s="107"/>
      <c r="D5131" s="107"/>
      <c r="E5131" s="107"/>
      <c r="F5131" s="107"/>
      <c r="G5131" s="83"/>
      <c r="H5131" s="83"/>
      <c r="I5131" s="84"/>
      <c r="J5131" s="85"/>
      <c r="K5131" s="382"/>
      <c r="L5131" s="85"/>
      <c r="M5131" s="332" t="str">
        <f t="shared" si="1519"/>
        <v/>
      </c>
      <c r="N5131" s="453"/>
      <c r="O5131" s="86" t="str">
        <f t="shared" si="1521"/>
        <v/>
      </c>
      <c r="P5131" s="538" t="str">
        <f t="shared" si="1522"/>
        <v/>
      </c>
      <c r="Q5131" s="539" t="str">
        <f t="shared" si="1520"/>
        <v/>
      </c>
      <c r="R5131" s="706"/>
      <c r="S5131" s="707"/>
      <c r="T5131" s="708"/>
      <c r="U5131" s="472"/>
      <c r="V5131" s="167"/>
      <c r="W5131" s="446"/>
      <c r="X5131" s="456"/>
      <c r="Y5131" s="436"/>
      <c r="Z5131" s="437"/>
      <c r="AA5131" s="560"/>
      <c r="AB5131" s="561"/>
      <c r="AC5131" s="87"/>
      <c r="AD5131" s="466"/>
      <c r="AE5131" s="456"/>
      <c r="AF5131" s="467"/>
      <c r="AG5131" s="87"/>
      <c r="AH5131" s="87"/>
      <c r="AI5131" s="87"/>
    </row>
    <row r="5132" spans="1:35" hidden="1">
      <c r="A5132" s="80" t="e">
        <f>"J"&amp;E5119</f>
        <v>#N/A</v>
      </c>
      <c r="B5132" s="105">
        <v>10</v>
      </c>
      <c r="C5132" s="107"/>
      <c r="D5132" s="107"/>
      <c r="E5132" s="107"/>
      <c r="F5132" s="107"/>
      <c r="G5132" s="83"/>
      <c r="H5132" s="83"/>
      <c r="I5132" s="84"/>
      <c r="J5132" s="85"/>
      <c r="K5132" s="382"/>
      <c r="L5132" s="85"/>
      <c r="M5132" s="332" t="str">
        <f t="shared" si="1519"/>
        <v/>
      </c>
      <c r="N5132" s="453"/>
      <c r="O5132" s="86" t="str">
        <f t="shared" si="1521"/>
        <v/>
      </c>
      <c r="P5132" s="538" t="str">
        <f t="shared" si="1522"/>
        <v/>
      </c>
      <c r="Q5132" s="539" t="str">
        <f t="shared" si="1520"/>
        <v/>
      </c>
      <c r="R5132" s="706"/>
      <c r="S5132" s="707"/>
      <c r="T5132" s="708"/>
      <c r="U5132" s="472"/>
      <c r="V5132" s="167"/>
      <c r="W5132" s="446"/>
      <c r="X5132" s="456"/>
      <c r="Y5132" s="436"/>
      <c r="Z5132" s="437"/>
      <c r="AA5132" s="560"/>
      <c r="AB5132" s="561"/>
      <c r="AC5132" s="87"/>
      <c r="AD5132" s="466"/>
      <c r="AE5132" s="456"/>
      <c r="AF5132" s="467"/>
      <c r="AG5132" s="87"/>
      <c r="AH5132" s="87"/>
      <c r="AI5132" s="87"/>
    </row>
    <row r="5133" spans="1:35" ht="16.5" hidden="1" thickBot="1">
      <c r="A5133" s="44"/>
      <c r="B5133" s="89"/>
      <c r="C5133" s="90"/>
      <c r="D5133" s="90"/>
      <c r="E5133" s="90"/>
      <c r="F5133" s="90"/>
      <c r="G5133" s="90"/>
      <c r="H5133" s="90"/>
      <c r="I5133" s="90"/>
      <c r="J5133" s="90"/>
      <c r="K5133" s="90"/>
      <c r="L5133" s="90"/>
      <c r="M5133" s="90"/>
      <c r="N5133" s="90"/>
      <c r="O5133" s="90"/>
      <c r="P5133" s="90"/>
      <c r="Q5133" s="90"/>
      <c r="R5133" s="90"/>
      <c r="S5133" s="91"/>
      <c r="T5133" s="92"/>
      <c r="U5133" s="473"/>
      <c r="W5133" s="438"/>
      <c r="X5133" s="455"/>
      <c r="Y5133" s="439"/>
      <c r="Z5133" s="437"/>
      <c r="AA5133" s="530"/>
      <c r="AB5133" s="563"/>
      <c r="AC5133" s="87"/>
      <c r="AD5133" s="440"/>
      <c r="AE5133" s="441"/>
      <c r="AF5133" s="442"/>
      <c r="AG5133" s="49"/>
      <c r="AH5133" s="87"/>
      <c r="AI5133" s="87"/>
    </row>
    <row r="5134" spans="1:35" ht="16.5" hidden="1" thickBot="1">
      <c r="A5134" s="93"/>
      <c r="B5134" s="94"/>
      <c r="C5134" s="96"/>
      <c r="D5134" s="96"/>
      <c r="E5134" s="96"/>
      <c r="F5134" s="96"/>
      <c r="G5134" s="96"/>
      <c r="H5134" s="96"/>
      <c r="I5134" s="96"/>
      <c r="J5134" s="96"/>
      <c r="K5134" s="96"/>
      <c r="L5134" s="96"/>
      <c r="M5134" s="136"/>
      <c r="N5134" s="96"/>
      <c r="O5134" s="96"/>
      <c r="P5134" s="97"/>
      <c r="Q5134" s="97"/>
      <c r="R5134" s="98"/>
      <c r="S5134" s="95"/>
      <c r="T5134" s="99"/>
      <c r="U5134" s="469"/>
      <c r="AC5134" s="58"/>
      <c r="AG5134" s="58"/>
      <c r="AH5134" s="87"/>
      <c r="AI5134" s="87"/>
    </row>
    <row r="5135" spans="1:35" ht="16.5" hidden="1" thickBot="1">
      <c r="B5135" s="101"/>
      <c r="C5135" s="101"/>
      <c r="D5135" s="101"/>
      <c r="E5135" s="101"/>
      <c r="F5135" s="101"/>
      <c r="G5135" s="101"/>
      <c r="H5135" s="101"/>
      <c r="I5135" s="101"/>
      <c r="J5135" s="101"/>
      <c r="K5135" s="101"/>
      <c r="L5135" s="101"/>
      <c r="M5135" s="101"/>
      <c r="N5135" s="101"/>
      <c r="O5135" s="101"/>
      <c r="P5135" s="101"/>
      <c r="Q5135" s="101"/>
      <c r="R5135" s="101"/>
      <c r="S5135" s="101"/>
      <c r="U5135" s="50"/>
      <c r="AH5135" s="87"/>
      <c r="AI5135" s="87"/>
    </row>
    <row r="5136" spans="1:35" ht="16.5" hidden="1" customHeight="1" thickBot="1">
      <c r="A5136" s="44"/>
      <c r="B5136" s="705" t="s">
        <v>74</v>
      </c>
      <c r="C5136" s="705"/>
      <c r="D5136" s="705"/>
      <c r="E5136" s="705"/>
      <c r="F5136" s="705"/>
      <c r="G5136" s="705"/>
      <c r="H5136" s="705"/>
      <c r="I5136" s="705"/>
      <c r="J5136" s="705"/>
      <c r="K5136" s="705"/>
      <c r="L5136" s="705"/>
      <c r="M5136" s="705"/>
      <c r="N5136" s="705"/>
      <c r="O5136" s="705"/>
      <c r="P5136" s="705"/>
      <c r="Q5136" s="705"/>
      <c r="R5136" s="705"/>
      <c r="S5136" s="705"/>
      <c r="T5136" s="705"/>
      <c r="U5136" s="108"/>
      <c r="Y5136" s="532" t="s">
        <v>341</v>
      </c>
      <c r="AC5136" s="49"/>
      <c r="AD5136" s="687" t="s">
        <v>302</v>
      </c>
      <c r="AE5136" s="688"/>
      <c r="AF5136" s="689"/>
      <c r="AG5136" s="49"/>
      <c r="AH5136" s="87"/>
      <c r="AI5136" s="87"/>
    </row>
    <row r="5137" spans="1:35" ht="16.5" hidden="1" customHeight="1" thickBot="1">
      <c r="A5137" s="218" t="e">
        <f>"K"&amp;E5119</f>
        <v>#N/A</v>
      </c>
      <c r="B5137" s="701" t="s">
        <v>71</v>
      </c>
      <c r="C5137" s="751" t="s">
        <v>102</v>
      </c>
      <c r="D5137" s="751"/>
      <c r="E5137" s="751"/>
      <c r="F5137" s="751"/>
      <c r="G5137" s="751"/>
      <c r="H5137" s="751"/>
      <c r="I5137" s="751"/>
      <c r="J5137" s="751"/>
      <c r="K5137" s="751"/>
      <c r="L5137" s="722" t="s">
        <v>100</v>
      </c>
      <c r="M5137" s="747" t="s">
        <v>114</v>
      </c>
      <c r="N5137" s="747"/>
      <c r="O5137" s="747"/>
      <c r="P5137" s="747"/>
      <c r="Q5137" s="748"/>
      <c r="R5137" s="758" t="s">
        <v>280</v>
      </c>
      <c r="S5137" s="748"/>
      <c r="T5137" s="762" t="str">
        <f>IF(COUNTIF(AE5137:AF5137,"VERIFICAR")&gt;0,"VERIFICAR",IF(COUNTIF(AE5137:AF5137,"NO CUMPLE")&gt;0,"NO CUMPLE","CUMPLE"))</f>
        <v>VERIFICAR</v>
      </c>
      <c r="U5137" s="108"/>
      <c r="Y5137" s="533" t="e">
        <f>IF(F5138="","",IF(F5138=1,"INDIVIDUAL","ESTRUCTURA PLURAL"))</f>
        <v>#N/A</v>
      </c>
      <c r="AC5137" s="52"/>
      <c r="AD5137" s="475" t="s">
        <v>303</v>
      </c>
      <c r="AE5137" s="476" t="str">
        <f>IF(COUNTIF(AE5123:AE5132,"")=10,"VERIFICAR",IF(COUNTIF(AE5123:AE5132,"SI")&gt;0,"CUMPLE","NO CUMPLE"))</f>
        <v>VERIFICAR</v>
      </c>
      <c r="AF5137" s="477" t="str">
        <f>IF(COUNTIF(AF5123:AF5132,"")=10,"VERIFICAR",IF(COUNTIF(AF5123:AF5132,"SI")&gt;=$AI$22,"CUMPLE","NO CUMPLE"))</f>
        <v>VERIFICAR</v>
      </c>
      <c r="AG5137" s="52"/>
      <c r="AH5137" s="87"/>
      <c r="AI5137" s="87"/>
    </row>
    <row r="5138" spans="1:35" ht="15.75" hidden="1" customHeight="1" thickBot="1">
      <c r="A5138" s="218" t="e">
        <f>"L"&amp;E5119</f>
        <v>#N/A</v>
      </c>
      <c r="B5138" s="702"/>
      <c r="C5138" s="751" t="s">
        <v>103</v>
      </c>
      <c r="D5138" s="751"/>
      <c r="E5138" s="752"/>
      <c r="F5138" s="557" t="e">
        <f>IF(VLOOKUP(E5119,PROPONENTES!$C$19:$E$218,3,0)="","",VLOOKUP(E5119,PROPONENTES!$C$19:$E$218,3,0))</f>
        <v>#N/A</v>
      </c>
      <c r="G5138" s="753" t="s">
        <v>104</v>
      </c>
      <c r="H5138" s="751"/>
      <c r="I5138" s="715" t="e">
        <f>IF(OR(F5138="",F5138=1),"INTERESADO PERSONA NATURAL O JURIDICA","CONSORCIO O UNION TEMPORAL")</f>
        <v>#N/A</v>
      </c>
      <c r="J5138" s="725"/>
      <c r="K5138" s="728"/>
      <c r="L5138" s="723"/>
      <c r="M5138" s="749"/>
      <c r="N5138" s="749"/>
      <c r="O5138" s="749"/>
      <c r="P5138" s="749"/>
      <c r="Q5138" s="750"/>
      <c r="R5138" s="712"/>
      <c r="S5138" s="750"/>
      <c r="T5138" s="763"/>
      <c r="U5138" s="108"/>
      <c r="Y5138" s="534"/>
      <c r="AA5138" s="52"/>
      <c r="AB5138" s="52"/>
      <c r="AC5138" s="52"/>
      <c r="AG5138" s="52"/>
      <c r="AH5138" s="87"/>
      <c r="AI5138" s="87"/>
    </row>
    <row r="5139" spans="1:35" ht="56.25" hidden="1" customHeight="1" thickBot="1">
      <c r="A5139" s="218" t="e">
        <f>"M"&amp;E5119</f>
        <v>#N/A</v>
      </c>
      <c r="B5139" s="702"/>
      <c r="C5139" s="725" t="s">
        <v>101</v>
      </c>
      <c r="D5139" s="716"/>
      <c r="E5139" s="558" t="s">
        <v>105</v>
      </c>
      <c r="F5139" s="554" t="s">
        <v>87</v>
      </c>
      <c r="G5139" s="553" t="s">
        <v>86</v>
      </c>
      <c r="H5139" s="559" t="s">
        <v>85</v>
      </c>
      <c r="I5139" s="554" t="s">
        <v>252</v>
      </c>
      <c r="J5139" s="553" t="str">
        <f>"¿EL INTEGRANTE TIENE UNA PARTICIPACIÓN DEL "&amp;PORCREQUERIDOINT*100&amp;"%?"</f>
        <v>¿EL INTEGRANTE TIENE UNA PARTICIPACIÓN DEL 60%?</v>
      </c>
      <c r="K5139" s="554" t="s">
        <v>107</v>
      </c>
      <c r="L5139" s="724"/>
      <c r="M5139" s="717" t="s">
        <v>115</v>
      </c>
      <c r="N5139" s="718"/>
      <c r="O5139" s="718"/>
      <c r="P5139" s="718"/>
      <c r="Q5139" s="223">
        <f>IF(AND(H5123="SI",P5123&gt;=0),1,0)+IF(AND(H5124="SI",P5124&gt;=0),1,0)+IF(AND(H5125="SI",P5125&gt;=0),1,0)+IF(AND(H5126="SI",P5126&gt;=0),1,0)+IF(AND(H5127="SI",P5127&gt;=0),1,0)+IF(AND(H5128="SI",P5128&gt;=0),1,0)+IF(AND(H5129="SI",P5129&gt;=0),1,0)+IF(AND(H5130="SI",P5130&gt;=0),1,0)+IF(AND(H5131="SI",P5131&gt;=0),1,0)+IF(AND(H5132="SI",P5132&gt;=0),1,0)</f>
        <v>0</v>
      </c>
      <c r="R5139" s="759"/>
      <c r="S5139" s="761"/>
      <c r="T5139" s="764"/>
      <c r="U5139" s="219"/>
      <c r="V5139" s="464"/>
      <c r="Y5139" s="532" t="s">
        <v>342</v>
      </c>
      <c r="AA5139" s="550" t="s">
        <v>344</v>
      </c>
      <c r="AB5139" s="693" t="s">
        <v>345</v>
      </c>
      <c r="AC5139" s="693" t="s">
        <v>346</v>
      </c>
      <c r="AD5139" s="685" t="s">
        <v>347</v>
      </c>
      <c r="AE5139" s="52"/>
      <c r="AF5139" s="52"/>
      <c r="AG5139" s="52"/>
      <c r="AH5139" s="87"/>
      <c r="AI5139" s="87"/>
    </row>
    <row r="5140" spans="1:35" ht="15.75" hidden="1" customHeight="1" thickBot="1">
      <c r="A5140" s="218" t="e">
        <f>"N"&amp;E5119</f>
        <v>#N/A</v>
      </c>
      <c r="B5140" s="702"/>
      <c r="C5140" s="114">
        <v>1</v>
      </c>
      <c r="D5140" s="194" t="e">
        <f>IF(AND(C5140&lt;=F5138,F5138&gt;1,F5138&lt;&gt;""),VLOOKUP(VALUE(E5119&amp;","&amp;C5140),INTEGRANTES!$D$18:$F$235,2,0),"")</f>
        <v>#N/A</v>
      </c>
      <c r="E5140" s="211" t="e">
        <f>IF(D5140&lt;&gt;"",VLOOKUP(VALUE(E5119&amp;","&amp;C5140),INTEGRANTES!$D$18:$F$235,3,0),"")</f>
        <v>#N/A</v>
      </c>
      <c r="F5140" s="547" t="e">
        <f>IF(D5140="","",SUMIF($I5123:$I5132,D5140,$P5123:$P5132))</f>
        <v>#N/A</v>
      </c>
      <c r="G5140" s="333" t="e">
        <f>IF(D5140="","",SUMIF($I5123:$I5132,D5140,$M5123:$M5132))</f>
        <v>#N/A</v>
      </c>
      <c r="H5140" s="535" t="e">
        <f t="shared" ref="H5140:H5145" si="1523">IF(D5140="","",IF(OR(F5140=0,G5140=0),"NO APORTA",ROUND($F5140/$G5140,3)))</f>
        <v>#N/A</v>
      </c>
      <c r="I5140" s="212" t="e">
        <f>IF(D5140="","",IF(H5140="NO APORTA","NO",IF(H5140=MAX($H5140:$H5145),"SI","NO")))</f>
        <v>#N/A</v>
      </c>
      <c r="J5140" s="213" t="e">
        <f t="shared" ref="J5140:J5145" si="1524">IF(D5140="","",IF(E5140&gt;=PORCREQUERIDOINT,"SI","NO"))</f>
        <v>#N/A</v>
      </c>
      <c r="K5140" s="200" t="e">
        <f t="shared" ref="K5140:K5145" si="1525">IF(D5140="","",IF(AND(I5140="SI",J5140="SI"),"CUMPLE",IF(AND(I5140="NO",OR(J5140="SI",J5140="NO")),"","NO CUMPLE")))</f>
        <v>#N/A</v>
      </c>
      <c r="L5140" s="722" t="s">
        <v>108</v>
      </c>
      <c r="M5140" s="726" t="s">
        <v>119</v>
      </c>
      <c r="N5140" s="726"/>
      <c r="O5140" s="726"/>
      <c r="P5140" s="726"/>
      <c r="Q5140" s="727"/>
      <c r="R5140" s="758" t="s">
        <v>80</v>
      </c>
      <c r="S5140" s="747"/>
      <c r="T5140" s="748"/>
      <c r="U5140" s="219"/>
      <c r="V5140" s="464"/>
      <c r="Y5140" s="533" t="e">
        <f>IF(Y5137="","",IF(Y5137="INDIVIDUAL","NO APLICA","VERIFICAR CUADRO"))</f>
        <v>#N/A</v>
      </c>
      <c r="AA5140" s="551"/>
      <c r="AB5140" s="694"/>
      <c r="AC5140" s="694"/>
      <c r="AD5140" s="686"/>
      <c r="AE5140" s="52"/>
      <c r="AF5140" s="52"/>
      <c r="AG5140" s="52"/>
      <c r="AH5140" s="87"/>
      <c r="AI5140" s="87"/>
    </row>
    <row r="5141" spans="1:35" ht="27" hidden="1" customHeight="1" thickBot="1">
      <c r="A5141" s="218" t="e">
        <f>"O"&amp;E5119</f>
        <v>#N/A</v>
      </c>
      <c r="B5141" s="702"/>
      <c r="C5141" s="114">
        <v>2</v>
      </c>
      <c r="D5141" s="194" t="e">
        <f>IF(AND(C5141&lt;=F5138,F5138&lt;&gt;""),VLOOKUP(VALUE(E5119&amp;","&amp;C5141),INTEGRANTES!$D$18:$F$235,2,0),"")</f>
        <v>#N/A</v>
      </c>
      <c r="E5141" s="211" t="e">
        <f>IF(D5141&lt;&gt;"",VLOOKUP(VALUE(E5119&amp;","&amp;C5141),INTEGRANTES!$D$18:$F$235,3,0),"")</f>
        <v>#N/A</v>
      </c>
      <c r="F5141" s="547" t="e">
        <f>IF(D5141="","",SUMIF($I5123:$I5132,D5141,$P5123:$P5132))</f>
        <v>#N/A</v>
      </c>
      <c r="G5141" s="333" t="e">
        <f>IF(D5141="","",SUMIF($I5123:$I5132,D5141,$M5123:$M5132))</f>
        <v>#N/A</v>
      </c>
      <c r="H5141" s="535" t="e">
        <f t="shared" si="1523"/>
        <v>#N/A</v>
      </c>
      <c r="I5141" s="212" t="e">
        <f>IF(D5141="","",IF(H5141="NO APORTA","NO",IF(H5141=MAX($H5140:$H5145),"SI","NO")))</f>
        <v>#N/A</v>
      </c>
      <c r="J5141" s="213" t="e">
        <f t="shared" si="1524"/>
        <v>#N/A</v>
      </c>
      <c r="K5141" s="200" t="e">
        <f t="shared" si="1525"/>
        <v>#N/A</v>
      </c>
      <c r="L5141" s="723"/>
      <c r="M5141" s="715" t="s">
        <v>116</v>
      </c>
      <c r="N5141" s="716"/>
      <c r="O5141" s="556" t="s">
        <v>113</v>
      </c>
      <c r="P5141" s="715" t="s">
        <v>117</v>
      </c>
      <c r="Q5141" s="728"/>
      <c r="R5141" s="759"/>
      <c r="S5141" s="760"/>
      <c r="T5141" s="761"/>
      <c r="U5141" s="219"/>
      <c r="V5141" s="464"/>
      <c r="Y5141" s="414"/>
      <c r="AA5141" s="542" t="e">
        <f>IF(AND(C5140&lt;=F5138,F5138&gt;1,F5138&lt;&gt;""),VLOOKUP(VALUE(E5119&amp;","&amp;C5140),INTEGRANTES!$D$18:$F$235,2,0),"")</f>
        <v>#N/A</v>
      </c>
      <c r="AB5141" s="544" t="e">
        <f t="shared" ref="AB5141:AB5146" si="1526">IF(D5140="","",IF(OR(F5140=0,G5140=0),"NO APORTA",ROUND($F5140/$G5140,3)))</f>
        <v>#N/A</v>
      </c>
      <c r="AC5141" s="529"/>
      <c r="AD5141" s="200" t="e">
        <f t="shared" ref="AD5141:AD5146" si="1527">IF(OR(AA5141="",AB5141=""),"",IF(AND(AC5141="X",AB5141&gt;=EXPREQVTD),"CUMPLE","NO CUMPLE"))</f>
        <v>#N/A</v>
      </c>
      <c r="AE5141" s="52"/>
      <c r="AF5141" s="52"/>
      <c r="AG5141" s="52"/>
      <c r="AH5141" s="87"/>
      <c r="AI5141" s="87"/>
    </row>
    <row r="5142" spans="1:35" ht="16.5" hidden="1" thickBot="1">
      <c r="A5142" s="218" t="e">
        <f>"P"&amp;E5119</f>
        <v>#N/A</v>
      </c>
      <c r="B5142" s="702"/>
      <c r="C5142" s="114">
        <v>3</v>
      </c>
      <c r="D5142" s="194" t="e">
        <f>IF(AND(C5142&lt;=F5138,F5138&lt;&gt;""),VLOOKUP(VALUE(E5119&amp;","&amp;C5142),INTEGRANTES!$D$18:$F$235,2,0),"")</f>
        <v>#N/A</v>
      </c>
      <c r="E5142" s="211" t="e">
        <f>IF(D5142&lt;&gt;"",VLOOKUP(VALUE(E5119&amp;","&amp;C5142),INTEGRANTES!$D$18:$F$235,3,0),"")</f>
        <v>#N/A</v>
      </c>
      <c r="F5142" s="547" t="e">
        <f>IF(D5142="","",SUMIF($I5123:$I5132,D5142,$P5123:$P5132))</f>
        <v>#N/A</v>
      </c>
      <c r="G5142" s="333" t="e">
        <f>IF(D5142="","",SUMIF($I5123:$I5132,D5142,$M5123:$M5132))</f>
        <v>#N/A</v>
      </c>
      <c r="H5142" s="535" t="e">
        <f t="shared" si="1523"/>
        <v>#N/A</v>
      </c>
      <c r="I5142" s="212" t="e">
        <f>IF(D5142="","",IF(H5142="NO APORTA","NO",IF(H5142=MAX($H5140:$H5145),"SI","NO")))</f>
        <v>#N/A</v>
      </c>
      <c r="J5142" s="213" t="e">
        <f t="shared" si="1524"/>
        <v>#N/A</v>
      </c>
      <c r="K5142" s="200" t="e">
        <f t="shared" si="1525"/>
        <v>#N/A</v>
      </c>
      <c r="L5142" s="724"/>
      <c r="M5142" s="729">
        <f>NUMMOD</f>
        <v>1</v>
      </c>
      <c r="N5142" s="730"/>
      <c r="O5142" s="443">
        <f>IF(M5142="","",VLOOKUP(M5142,PRESUPUESTOS!$B$16:$H$16,5,FALSE))</f>
        <v>2</v>
      </c>
      <c r="P5142" s="713">
        <f>IF(OR(COUNTIF(M5123:M5132,"")&gt;=10,Q5139&lt;NUMMINCONT,OR(T5137="NO CUMPLE",T5137="VERIFICAR")),0,ROUND(AVERAGE(M5123:M5132),3))</f>
        <v>0</v>
      </c>
      <c r="Q5142" s="714"/>
      <c r="R5142" s="458"/>
      <c r="S5142" s="459"/>
      <c r="T5142" s="460"/>
      <c r="U5142" s="219"/>
      <c r="V5142" s="464"/>
      <c r="Y5142" s="532" t="str">
        <f>"40% * ("&amp;PRESUPUESTOS!$H$13&amp;")"</f>
        <v>40% * (50% PFMO)</v>
      </c>
      <c r="AA5142" s="540" t="e">
        <f>IF(AND(C5141&lt;=F5138,F5138&lt;&gt;""),VLOOKUP(VALUE(E5119&amp;","&amp;C5141),INTEGRANTES!$D$18:$F$235,2,0),"")</f>
        <v>#N/A</v>
      </c>
      <c r="AB5142" s="545" t="e">
        <f t="shared" si="1526"/>
        <v>#N/A</v>
      </c>
      <c r="AC5142" s="529"/>
      <c r="AD5142" s="200" t="e">
        <f t="shared" si="1527"/>
        <v>#N/A</v>
      </c>
      <c r="AE5142" s="52"/>
      <c r="AF5142" s="52"/>
      <c r="AG5142" s="52"/>
      <c r="AH5142" s="87"/>
      <c r="AI5142" s="87"/>
    </row>
    <row r="5143" spans="1:35" ht="15.75" hidden="1" customHeight="1" thickBot="1">
      <c r="A5143" s="218" t="e">
        <f>"Q"&amp;E5119</f>
        <v>#N/A</v>
      </c>
      <c r="B5143" s="702"/>
      <c r="C5143" s="114">
        <v>4</v>
      </c>
      <c r="D5143" s="194" t="e">
        <f>IF(AND(C5143&lt;=F5138,F5138&lt;&gt;""),VLOOKUP(VALUE(E5119&amp;","&amp;C5143),INTEGRANTES!$D$18:$F$235,2,0),"")</f>
        <v>#N/A</v>
      </c>
      <c r="E5143" s="211" t="e">
        <f>IF(D5143&lt;&gt;"",VLOOKUP(VALUE(E5119&amp;","&amp;C5143),INTEGRANTES!$D$18:$F$235,3,0),"")</f>
        <v>#N/A</v>
      </c>
      <c r="F5143" s="547" t="e">
        <f>IF(D5143="","",SUMIF($I5123:$I5132,D5143,$P5123:$P5132))</f>
        <v>#N/A</v>
      </c>
      <c r="G5143" s="333" t="e">
        <f>IF(D5143="","",SUMIF($I5123:$I5132,D5143,$M5123:$M5132))</f>
        <v>#N/A</v>
      </c>
      <c r="H5143" s="535" t="e">
        <f t="shared" si="1523"/>
        <v>#N/A</v>
      </c>
      <c r="I5143" s="212" t="e">
        <f>IF(D5143="","",IF(H5143="NO APORTA","NO",IF(H5143=MAX($H5140:$H5145),"SI","NO")))</f>
        <v>#N/A</v>
      </c>
      <c r="J5143" s="213" t="e">
        <f t="shared" si="1524"/>
        <v>#N/A</v>
      </c>
      <c r="K5143" s="200" t="e">
        <f t="shared" si="1525"/>
        <v>#N/A</v>
      </c>
      <c r="L5143" s="720" t="s">
        <v>109</v>
      </c>
      <c r="M5143" s="757" t="s">
        <v>120</v>
      </c>
      <c r="N5143" s="726"/>
      <c r="O5143" s="726"/>
      <c r="P5143" s="726"/>
      <c r="Q5143" s="727"/>
      <c r="R5143" s="458"/>
      <c r="S5143" s="459"/>
      <c r="T5143" s="460"/>
      <c r="U5143" s="219"/>
      <c r="V5143" s="464"/>
      <c r="Y5143" s="537">
        <f>0.4*PRESUPUESTOS!$H$16</f>
        <v>10.3124</v>
      </c>
      <c r="AA5143" s="540" t="e">
        <f>IF(AND(C5142&lt;=F5138,F5138&lt;&gt;""),VLOOKUP(VALUE(E5119&amp;","&amp;C5142),INTEGRANTES!$D$18:$F$235,2,0),"")</f>
        <v>#N/A</v>
      </c>
      <c r="AB5143" s="545" t="e">
        <f t="shared" si="1526"/>
        <v>#N/A</v>
      </c>
      <c r="AC5143" s="529"/>
      <c r="AD5143" s="200" t="e">
        <f t="shared" si="1527"/>
        <v>#N/A</v>
      </c>
      <c r="AE5143" s="52"/>
      <c r="AF5143" s="52"/>
      <c r="AG5143" s="52"/>
      <c r="AH5143" s="87"/>
      <c r="AI5143" s="87"/>
    </row>
    <row r="5144" spans="1:35" ht="27" hidden="1" customHeight="1" thickBot="1">
      <c r="A5144" s="218" t="e">
        <f>"R"&amp;E5119</f>
        <v>#N/A</v>
      </c>
      <c r="B5144" s="702"/>
      <c r="C5144" s="114">
        <v>5</v>
      </c>
      <c r="D5144" s="194" t="e">
        <f>IF(AND(C5144&lt;=F5138,F5138&lt;&gt;""),VLOOKUP(VALUE(E5119&amp;","&amp;C5144),INTEGRANTES!$D$18:$F$235,2,0),"")</f>
        <v>#N/A</v>
      </c>
      <c r="E5144" s="211" t="e">
        <f>IF(D5144&lt;&gt;"",VLOOKUP(VALUE(E5119&amp;","&amp;C5144),INTEGRANTES!$D$18:$F$235,3,0),"")</f>
        <v>#N/A</v>
      </c>
      <c r="F5144" s="547" t="e">
        <f>IF(D5144="","",SUMIF($I5123:$I5132,D5144,$P5123:$P5132))</f>
        <v>#N/A</v>
      </c>
      <c r="G5144" s="333" t="e">
        <f>IF(D5144="","",SUMIF($I5123:$I5132,D5144,$M5123:$M5132))</f>
        <v>#N/A</v>
      </c>
      <c r="H5144" s="535" t="e">
        <f t="shared" si="1523"/>
        <v>#N/A</v>
      </c>
      <c r="I5144" s="212" t="e">
        <f>IF(D5144="","",IF(H5144="NO APORTA","NO",IF(H5144=MAX($H5140:$H5145),"SI","NO")))</f>
        <v>#N/A</v>
      </c>
      <c r="J5144" s="213" t="e">
        <f t="shared" si="1524"/>
        <v>#N/A</v>
      </c>
      <c r="K5144" s="200" t="e">
        <f t="shared" si="1525"/>
        <v>#N/A</v>
      </c>
      <c r="L5144" s="721"/>
      <c r="M5144" s="715" t="s">
        <v>116</v>
      </c>
      <c r="N5144" s="716"/>
      <c r="O5144" s="556" t="str">
        <f>PORCREQUERIDO*100&amp;"% PMFO DEL MÓDULO"</f>
        <v>50% PMFO DEL MÓDULO</v>
      </c>
      <c r="P5144" s="715" t="s">
        <v>118</v>
      </c>
      <c r="Q5144" s="728"/>
      <c r="R5144" s="458"/>
      <c r="S5144" s="459"/>
      <c r="T5144" s="460"/>
      <c r="U5144" s="219"/>
      <c r="V5144" s="464"/>
      <c r="Y5144" s="414"/>
      <c r="AA5144" s="540" t="e">
        <f>IF(AND(C5143&lt;=F5138,F5138&lt;&gt;""),VLOOKUP(VALUE(E5119&amp;","&amp;C5143),INTEGRANTES!$D$18:$F$235,2,0),"")</f>
        <v>#N/A</v>
      </c>
      <c r="AB5144" s="545" t="e">
        <f t="shared" si="1526"/>
        <v>#N/A</v>
      </c>
      <c r="AC5144" s="529"/>
      <c r="AD5144" s="200" t="e">
        <f t="shared" si="1527"/>
        <v>#N/A</v>
      </c>
      <c r="AE5144" s="52"/>
      <c r="AF5144" s="52"/>
      <c r="AG5144" s="52"/>
      <c r="AH5144" s="87"/>
      <c r="AI5144" s="87"/>
    </row>
    <row r="5145" spans="1:35" ht="16.5" hidden="1" thickBot="1">
      <c r="A5145" s="218" t="e">
        <f>"S"&amp;E5119</f>
        <v>#N/A</v>
      </c>
      <c r="B5145" s="702"/>
      <c r="C5145" s="215">
        <v>6</v>
      </c>
      <c r="D5145" s="216" t="e">
        <f>IF(AND(C5145&lt;=F5138,F5138&lt;&gt;""),VLOOKUP(VALUE(E5119&amp;","&amp;C5145),INTEGRANTES!$D$18:$F$235,2,0),"")</f>
        <v>#N/A</v>
      </c>
      <c r="E5145" s="217" t="e">
        <f>IF(D5145&lt;&gt;"",VLOOKUP(VALUE(E5119&amp;","&amp;C5145),INTEGRANTES!$D$18:$F$235,3,0),"")</f>
        <v>#N/A</v>
      </c>
      <c r="F5145" s="548" t="e">
        <f>IF(D5145="","",SUMIF($I5123:$I5132,D5145,$P5123:$P5132))</f>
        <v>#N/A</v>
      </c>
      <c r="G5145" s="334" t="e">
        <f>IF(D5145="","",SUMIF($I5123:$I5132,D5145,$M5123:$M5132))</f>
        <v>#N/A</v>
      </c>
      <c r="H5145" s="536" t="e">
        <f t="shared" si="1523"/>
        <v>#N/A</v>
      </c>
      <c r="I5145" s="214" t="e">
        <f>IF(D5145="","",IF(H5145="NO APORTA","NO",IF(H5145=MAX($H5140:$H5145),"SI","NO")))</f>
        <v>#N/A</v>
      </c>
      <c r="J5145" s="213" t="e">
        <f t="shared" si="1524"/>
        <v>#N/A</v>
      </c>
      <c r="K5145" s="200" t="e">
        <f t="shared" si="1525"/>
        <v>#N/A</v>
      </c>
      <c r="L5145" s="721"/>
      <c r="M5145" s="729">
        <f>NUMMOD</f>
        <v>1</v>
      </c>
      <c r="N5145" s="730"/>
      <c r="O5145" s="443">
        <f>IF(M5145="","",ROUND(VLOOKUP(M5145,PRESUPUESTOS!$B$16:$H$16,7,FALSE),3))</f>
        <v>25.780999999999999</v>
      </c>
      <c r="P5145" s="713">
        <f>IF(OR(COUNTIF(P5123:P5132,"")&gt;=10,Q5139&lt;NUMMINCONT,OR(T5137="NO CUMPLE",T5137="VERIFICAR")),0,ROUND((SUM(P5123:P5132)/SUM(M5123:M5132)),3))</f>
        <v>0</v>
      </c>
      <c r="Q5145" s="714"/>
      <c r="R5145" s="458"/>
      <c r="S5145" s="459"/>
      <c r="T5145" s="460"/>
      <c r="U5145" s="219"/>
      <c r="V5145" s="464"/>
      <c r="Y5145" s="532" t="s">
        <v>343</v>
      </c>
      <c r="AA5145" s="540" t="e">
        <f>IF(AND(C5144&lt;=F5138,F5138&lt;&gt;""),VLOOKUP(VALUE(E5119&amp;","&amp;C5144),INTEGRANTES!$D$18:$F$235,2,0),"")</f>
        <v>#N/A</v>
      </c>
      <c r="AB5145" s="545" t="e">
        <f t="shared" si="1526"/>
        <v>#N/A</v>
      </c>
      <c r="AC5145" s="529"/>
      <c r="AD5145" s="200" t="e">
        <f t="shared" si="1527"/>
        <v>#N/A</v>
      </c>
      <c r="AE5145" s="52"/>
      <c r="AF5145" s="52"/>
      <c r="AG5145" s="52"/>
      <c r="AH5145" s="87"/>
      <c r="AI5145" s="87"/>
    </row>
    <row r="5146" spans="1:35" ht="16.5" hidden="1" customHeight="1" thickBot="1">
      <c r="A5146" s="218" t="e">
        <f>"T"&amp;E5119</f>
        <v>#N/A</v>
      </c>
      <c r="B5146" s="703"/>
      <c r="C5146" s="719"/>
      <c r="D5146" s="719"/>
      <c r="E5146" s="719"/>
      <c r="F5146" s="719"/>
      <c r="G5146" s="719"/>
      <c r="H5146" s="719" t="s">
        <v>110</v>
      </c>
      <c r="I5146" s="719"/>
      <c r="J5146" s="719"/>
      <c r="K5146" s="201" t="str">
        <f>IF(COUNTIF(K5140:K5145,"")=6,"",IF(COUNTIF(K5140:K5145,"CUMPLE")&gt;0,"CUMPLE","NO CUMPLE"))</f>
        <v>NO CUMPLE</v>
      </c>
      <c r="L5146" s="754"/>
      <c r="M5146" s="755"/>
      <c r="N5146" s="755"/>
      <c r="O5146" s="755"/>
      <c r="P5146" s="755"/>
      <c r="Q5146" s="756"/>
      <c r="R5146" s="461"/>
      <c r="S5146" s="462"/>
      <c r="T5146" s="463"/>
      <c r="U5146" s="219"/>
      <c r="V5146" s="464"/>
      <c r="Y5146" s="549" t="e">
        <f>IF(Y5140="NO APLICA","NO APLICA",IF(COUNTIF(AD5141:AD5146,"CUMPLE")&gt;0,"CUMPLE","NO CUMPLE"))</f>
        <v>#N/A</v>
      </c>
      <c r="AA5146" s="541" t="e">
        <f>IF(AND(C5145&lt;=F5138,F5138&lt;&gt;""),VLOOKUP(VALUE(E5119&amp;","&amp;C5145),INTEGRANTES!$D$18:$F$235,2,0),"")</f>
        <v>#N/A</v>
      </c>
      <c r="AB5146" s="546" t="e">
        <f t="shared" si="1526"/>
        <v>#N/A</v>
      </c>
      <c r="AC5146" s="543"/>
      <c r="AD5146" s="201" t="e">
        <f t="shared" si="1527"/>
        <v>#N/A</v>
      </c>
      <c r="AE5146" s="52"/>
      <c r="AF5146" s="52"/>
      <c r="AG5146" s="52"/>
      <c r="AH5146" s="87"/>
      <c r="AI5146" s="87"/>
    </row>
    <row r="5147" spans="1:35" hidden="1">
      <c r="AH5147" s="87"/>
      <c r="AI5147" s="87"/>
    </row>
    <row r="5148" spans="1:35" hidden="1">
      <c r="AH5148" s="87"/>
      <c r="AI5148" s="87"/>
    </row>
    <row r="5149" spans="1:35" ht="24" hidden="1" thickBot="1">
      <c r="A5149" s="61">
        <v>172</v>
      </c>
      <c r="B5149" s="704" t="s">
        <v>51</v>
      </c>
      <c r="C5149" s="704"/>
      <c r="D5149" s="704"/>
      <c r="E5149" s="62" t="e">
        <f>VLOOKUP(A5149,PROPONENTES!$B$19:$E$218,2,FALSE)</f>
        <v>#N/A</v>
      </c>
      <c r="F5149" s="63" t="e">
        <f>VLOOKUP(A5149,PROPONENTES!$B$19:$E$218,3,FALSE)</f>
        <v>#N/A</v>
      </c>
      <c r="G5149" s="64"/>
      <c r="H5149" s="64"/>
      <c r="I5149" s="63"/>
      <c r="J5149" s="63"/>
      <c r="K5149" s="65"/>
      <c r="L5149" s="65"/>
      <c r="M5149" s="64"/>
      <c r="N5149" s="64"/>
      <c r="O5149" s="66"/>
      <c r="P5149" s="66"/>
      <c r="Q5149" s="66"/>
      <c r="R5149" s="66"/>
      <c r="S5149" s="67"/>
      <c r="T5149" s="68"/>
      <c r="U5149" s="68"/>
      <c r="AC5149" s="68"/>
      <c r="AD5149" s="68"/>
      <c r="AE5149" s="68"/>
      <c r="AF5149" s="68"/>
      <c r="AG5149" s="68"/>
      <c r="AH5149" s="87"/>
      <c r="AI5149" s="87"/>
    </row>
    <row r="5150" spans="1:35" ht="15.75" hidden="1" customHeight="1">
      <c r="A5150" s="44"/>
      <c r="B5150" s="709" t="s">
        <v>59</v>
      </c>
      <c r="C5150" s="552" t="s">
        <v>60</v>
      </c>
      <c r="D5150" s="70" t="s">
        <v>17</v>
      </c>
      <c r="E5150" s="70"/>
      <c r="F5150" s="70" t="s">
        <v>61</v>
      </c>
      <c r="G5150" s="71"/>
      <c r="H5150" s="699" t="s">
        <v>62</v>
      </c>
      <c r="I5150" s="699" t="s">
        <v>18</v>
      </c>
      <c r="J5150" s="699" t="s">
        <v>63</v>
      </c>
      <c r="K5150" s="699" t="s">
        <v>64</v>
      </c>
      <c r="L5150" s="699" t="s">
        <v>65</v>
      </c>
      <c r="M5150" s="743" t="s">
        <v>66</v>
      </c>
      <c r="N5150" s="699" t="s">
        <v>282</v>
      </c>
      <c r="O5150" s="745" t="s">
        <v>67</v>
      </c>
      <c r="P5150" s="746"/>
      <c r="Q5150" s="102" t="s">
        <v>75</v>
      </c>
      <c r="R5150" s="731" t="s">
        <v>22</v>
      </c>
      <c r="S5150" s="732"/>
      <c r="T5150" s="733"/>
      <c r="U5150" s="712" t="s">
        <v>298</v>
      </c>
      <c r="W5150" s="690" t="s">
        <v>268</v>
      </c>
      <c r="X5150" s="691"/>
      <c r="Y5150" s="692"/>
      <c r="Z5150" s="428"/>
      <c r="AA5150" s="697" t="s">
        <v>315</v>
      </c>
      <c r="AB5150" s="695" t="s">
        <v>322</v>
      </c>
      <c r="AC5150" s="49"/>
      <c r="AD5150" s="690" t="s">
        <v>297</v>
      </c>
      <c r="AE5150" s="691"/>
      <c r="AF5150" s="692"/>
      <c r="AG5150" s="49"/>
      <c r="AH5150" s="87"/>
      <c r="AI5150" s="87"/>
    </row>
    <row r="5151" spans="1:35" ht="72" hidden="1">
      <c r="A5151" s="44"/>
      <c r="B5151" s="710"/>
      <c r="C5151" s="553" t="s">
        <v>68</v>
      </c>
      <c r="D5151" s="73" t="s">
        <v>3</v>
      </c>
      <c r="E5151" s="73" t="s">
        <v>19</v>
      </c>
      <c r="F5151" s="73" t="s">
        <v>69</v>
      </c>
      <c r="G5151" s="74" t="s">
        <v>70</v>
      </c>
      <c r="H5151" s="700"/>
      <c r="I5151" s="700"/>
      <c r="J5151" s="700"/>
      <c r="K5151" s="700"/>
      <c r="L5151" s="700"/>
      <c r="M5151" s="744"/>
      <c r="N5151" s="700"/>
      <c r="O5151" s="553" t="s">
        <v>279</v>
      </c>
      <c r="P5151" s="73" t="s">
        <v>88</v>
      </c>
      <c r="Q5151" s="555" t="s">
        <v>76</v>
      </c>
      <c r="R5151" s="734"/>
      <c r="S5151" s="735"/>
      <c r="T5151" s="736"/>
      <c r="U5151" s="712"/>
      <c r="W5151" s="429" t="s">
        <v>269</v>
      </c>
      <c r="X5151" s="457" t="s">
        <v>278</v>
      </c>
      <c r="Y5151" s="430" t="s">
        <v>324</v>
      </c>
      <c r="Z5151" s="428"/>
      <c r="AA5151" s="698"/>
      <c r="AB5151" s="696"/>
      <c r="AC5151" s="49"/>
      <c r="AD5151" s="429" t="s">
        <v>292</v>
      </c>
      <c r="AE5151" s="431" t="s">
        <v>300</v>
      </c>
      <c r="AF5151" s="468" t="s">
        <v>301</v>
      </c>
      <c r="AG5151" s="49"/>
      <c r="AH5151" s="87"/>
      <c r="AI5151" s="87"/>
    </row>
    <row r="5152" spans="1:35" hidden="1">
      <c r="A5152" s="44"/>
      <c r="B5152" s="76"/>
      <c r="C5152" s="77"/>
      <c r="D5152" s="77"/>
      <c r="E5152" s="77"/>
      <c r="F5152" s="77"/>
      <c r="G5152" s="77"/>
      <c r="H5152" s="77"/>
      <c r="I5152" s="77"/>
      <c r="J5152" s="77"/>
      <c r="K5152" s="77"/>
      <c r="L5152" s="77"/>
      <c r="M5152" s="77"/>
      <c r="N5152" s="77"/>
      <c r="O5152" s="77"/>
      <c r="P5152" s="77"/>
      <c r="Q5152" s="77"/>
      <c r="R5152" s="77"/>
      <c r="S5152" s="78"/>
      <c r="T5152" s="79"/>
      <c r="U5152" s="109"/>
      <c r="V5152" s="49"/>
      <c r="W5152" s="432"/>
      <c r="X5152" s="454"/>
      <c r="Y5152" s="433"/>
      <c r="Z5152" s="6"/>
      <c r="AA5152" s="500"/>
      <c r="AB5152" s="562"/>
      <c r="AC5152" s="49"/>
      <c r="AD5152" s="210"/>
      <c r="AE5152" s="434"/>
      <c r="AF5152" s="435"/>
      <c r="AG5152" s="49"/>
      <c r="AH5152" s="87"/>
      <c r="AI5152" s="87"/>
    </row>
    <row r="5153" spans="1:35" hidden="1">
      <c r="A5153" s="80" t="e">
        <f>"A"&amp;E5149</f>
        <v>#N/A</v>
      </c>
      <c r="B5153" s="81">
        <v>1</v>
      </c>
      <c r="C5153" s="82"/>
      <c r="D5153" s="82"/>
      <c r="E5153" s="82"/>
      <c r="F5153" s="82"/>
      <c r="G5153" s="83"/>
      <c r="H5153" s="83"/>
      <c r="I5153" s="84"/>
      <c r="J5153" s="85"/>
      <c r="K5153" s="382"/>
      <c r="L5153" s="85"/>
      <c r="M5153" s="332" t="str">
        <f t="shared" ref="M5153:M5162" si="1528">IF(OR(J5153="",L5153="",H5153="NO"),"",IF(OR(J5153&gt;$P$17,J5153&lt;$O$17,L5153&gt;$P$17,AND(J5153&lt;$O$17,L5153&lt;$O$17)),"FUERA DE RANGO",IF(OR(K5153="---",K5153=""),IF(J5153&gt;=$O$17,ROUND((L5153-J5153+1)/360*12,3),ROUND((L5153-$O$17+1)/360*12,3)),IF(J5153&gt;=$O$17,ROUND((L5153-J5153+1)/360*12-ROUND(K5153,3),3),ROUND((L5153-$O$17+1)/360*12-ROUND(K5153,3),3)))))</f>
        <v/>
      </c>
      <c r="N5153" s="86"/>
      <c r="O5153" s="453" t="str">
        <f>IF(OR(G5153="",N5153=""),"",N5153*G5153)</f>
        <v/>
      </c>
      <c r="P5153" s="538" t="str">
        <f>IF(OR(H5153="",M5153="FUERA DE RANGO"),"",IF(OR(L5153&lt;$O$17,L5153&gt;$P$17,L5153="",H5153="NO"),"",IF(OR(N5153="",O5153=""),"",ROUND(O5153,3))))</f>
        <v/>
      </c>
      <c r="Q5153" s="539" t="str">
        <f t="shared" ref="Q5153:Q5162" si="1529">IF(AND(H5153="SI",P5153&lt;&gt;""),ROUND(P5153/M5153,3),"")</f>
        <v/>
      </c>
      <c r="R5153" s="737"/>
      <c r="S5153" s="738"/>
      <c r="T5153" s="739"/>
      <c r="U5153" s="470"/>
      <c r="V5153" s="165"/>
      <c r="W5153" s="446"/>
      <c r="X5153" s="456"/>
      <c r="Y5153" s="436"/>
      <c r="Z5153" s="437"/>
      <c r="AA5153" s="560"/>
      <c r="AB5153" s="561"/>
      <c r="AC5153" s="87"/>
      <c r="AD5153" s="466"/>
      <c r="AE5153" s="456"/>
      <c r="AF5153" s="467"/>
      <c r="AG5153" s="87"/>
      <c r="AH5153" s="87"/>
      <c r="AI5153" s="87"/>
    </row>
    <row r="5154" spans="1:35" hidden="1">
      <c r="A5154" s="80" t="e">
        <f>"B"&amp;E5149</f>
        <v>#N/A</v>
      </c>
      <c r="B5154" s="81">
        <v>2</v>
      </c>
      <c r="C5154" s="106"/>
      <c r="D5154" s="106"/>
      <c r="E5154" s="106"/>
      <c r="F5154" s="106"/>
      <c r="G5154" s="83"/>
      <c r="H5154" s="83"/>
      <c r="I5154" s="84"/>
      <c r="J5154" s="85"/>
      <c r="K5154" s="382"/>
      <c r="L5154" s="85"/>
      <c r="M5154" s="332" t="str">
        <f t="shared" si="1528"/>
        <v/>
      </c>
      <c r="N5154" s="86"/>
      <c r="O5154" s="453" t="str">
        <f t="shared" ref="O5154:O5162" si="1530">IF(OR(G5154="",N5154=""),"",N5154*G5154)</f>
        <v/>
      </c>
      <c r="P5154" s="538" t="str">
        <f t="shared" ref="P5154:P5162" si="1531">IF(OR(H5154="",M5154="FUERA DE RANGO"),"",IF(OR(L5154&lt;$O$17,L5154&gt;$P$17,L5154="",H5154="NO"),"",IF(OR(N5154="",O5154=""),"",ROUND(O5154,3))))</f>
        <v/>
      </c>
      <c r="Q5154" s="539" t="str">
        <f t="shared" si="1529"/>
        <v/>
      </c>
      <c r="R5154" s="740"/>
      <c r="S5154" s="741"/>
      <c r="T5154" s="742"/>
      <c r="U5154" s="471"/>
      <c r="V5154" s="165"/>
      <c r="W5154" s="446"/>
      <c r="X5154" s="456"/>
      <c r="Y5154" s="436"/>
      <c r="Z5154" s="437"/>
      <c r="AA5154" s="560"/>
      <c r="AB5154" s="561"/>
      <c r="AC5154" s="87"/>
      <c r="AD5154" s="466"/>
      <c r="AE5154" s="456"/>
      <c r="AF5154" s="467"/>
      <c r="AG5154" s="87"/>
      <c r="AH5154" s="87"/>
      <c r="AI5154" s="87"/>
    </row>
    <row r="5155" spans="1:35" hidden="1">
      <c r="A5155" s="80" t="e">
        <f>"C"&amp;E5149</f>
        <v>#N/A</v>
      </c>
      <c r="B5155" s="88">
        <v>3</v>
      </c>
      <c r="C5155" s="82"/>
      <c r="D5155" s="82"/>
      <c r="E5155" s="82"/>
      <c r="F5155" s="82"/>
      <c r="G5155" s="83"/>
      <c r="H5155" s="83"/>
      <c r="I5155" s="84"/>
      <c r="J5155" s="85"/>
      <c r="K5155" s="382"/>
      <c r="L5155" s="85"/>
      <c r="M5155" s="332" t="str">
        <f t="shared" si="1528"/>
        <v/>
      </c>
      <c r="N5155" s="86"/>
      <c r="O5155" s="453" t="str">
        <f t="shared" si="1530"/>
        <v/>
      </c>
      <c r="P5155" s="538" t="str">
        <f t="shared" si="1531"/>
        <v/>
      </c>
      <c r="Q5155" s="539" t="str">
        <f t="shared" si="1529"/>
        <v/>
      </c>
      <c r="R5155" s="706"/>
      <c r="S5155" s="707"/>
      <c r="T5155" s="708"/>
      <c r="U5155" s="472"/>
      <c r="V5155" s="166"/>
      <c r="W5155" s="446"/>
      <c r="X5155" s="456"/>
      <c r="Y5155" s="436"/>
      <c r="Z5155" s="437"/>
      <c r="AA5155" s="560"/>
      <c r="AB5155" s="561"/>
      <c r="AC5155" s="87"/>
      <c r="AD5155" s="466"/>
      <c r="AE5155" s="456"/>
      <c r="AF5155" s="467"/>
      <c r="AG5155" s="87"/>
      <c r="AH5155" s="87"/>
      <c r="AI5155" s="87"/>
    </row>
    <row r="5156" spans="1:35" hidden="1">
      <c r="A5156" s="80" t="e">
        <f>"D"&amp;E5149</f>
        <v>#N/A</v>
      </c>
      <c r="B5156" s="105">
        <v>4</v>
      </c>
      <c r="C5156" s="107"/>
      <c r="D5156" s="107"/>
      <c r="E5156" s="107"/>
      <c r="F5156" s="107"/>
      <c r="G5156" s="83"/>
      <c r="H5156" s="83"/>
      <c r="I5156" s="84"/>
      <c r="J5156" s="85"/>
      <c r="K5156" s="382"/>
      <c r="L5156" s="85"/>
      <c r="M5156" s="332" t="str">
        <f t="shared" si="1528"/>
        <v/>
      </c>
      <c r="N5156" s="86"/>
      <c r="O5156" s="453" t="str">
        <f t="shared" si="1530"/>
        <v/>
      </c>
      <c r="P5156" s="538" t="str">
        <f t="shared" si="1531"/>
        <v/>
      </c>
      <c r="Q5156" s="539" t="str">
        <f t="shared" si="1529"/>
        <v/>
      </c>
      <c r="R5156" s="706"/>
      <c r="S5156" s="707"/>
      <c r="T5156" s="708"/>
      <c r="U5156" s="472"/>
      <c r="V5156" s="166"/>
      <c r="W5156" s="446"/>
      <c r="X5156" s="456"/>
      <c r="Y5156" s="436"/>
      <c r="Z5156" s="437"/>
      <c r="AA5156" s="560"/>
      <c r="AB5156" s="561"/>
      <c r="AC5156" s="87"/>
      <c r="AD5156" s="466"/>
      <c r="AE5156" s="456"/>
      <c r="AF5156" s="467"/>
      <c r="AG5156" s="87"/>
      <c r="AH5156" s="87"/>
      <c r="AI5156" s="87"/>
    </row>
    <row r="5157" spans="1:35" hidden="1">
      <c r="A5157" s="80" t="e">
        <f>"E"&amp;E5149</f>
        <v>#N/A</v>
      </c>
      <c r="B5157" s="105">
        <v>5</v>
      </c>
      <c r="C5157" s="107"/>
      <c r="D5157" s="107"/>
      <c r="E5157" s="107"/>
      <c r="F5157" s="107"/>
      <c r="G5157" s="83"/>
      <c r="H5157" s="83"/>
      <c r="I5157" s="84"/>
      <c r="J5157" s="85"/>
      <c r="K5157" s="382"/>
      <c r="L5157" s="85"/>
      <c r="M5157" s="332" t="str">
        <f t="shared" si="1528"/>
        <v/>
      </c>
      <c r="N5157" s="86"/>
      <c r="O5157" s="453" t="str">
        <f t="shared" si="1530"/>
        <v/>
      </c>
      <c r="P5157" s="538" t="str">
        <f t="shared" si="1531"/>
        <v/>
      </c>
      <c r="Q5157" s="539" t="str">
        <f t="shared" si="1529"/>
        <v/>
      </c>
      <c r="R5157" s="706"/>
      <c r="S5157" s="707"/>
      <c r="T5157" s="708"/>
      <c r="U5157" s="472"/>
      <c r="V5157" s="167"/>
      <c r="W5157" s="446"/>
      <c r="X5157" s="456"/>
      <c r="Y5157" s="436"/>
      <c r="Z5157" s="437"/>
      <c r="AA5157" s="560"/>
      <c r="AB5157" s="561"/>
      <c r="AC5157" s="87"/>
      <c r="AD5157" s="466"/>
      <c r="AE5157" s="456"/>
      <c r="AF5157" s="467"/>
      <c r="AG5157" s="87"/>
      <c r="AH5157" s="87"/>
      <c r="AI5157" s="87"/>
    </row>
    <row r="5158" spans="1:35" hidden="1">
      <c r="A5158" s="80" t="e">
        <f>"F"&amp;E5149</f>
        <v>#N/A</v>
      </c>
      <c r="B5158" s="105">
        <v>6</v>
      </c>
      <c r="C5158" s="107"/>
      <c r="D5158" s="107"/>
      <c r="E5158" s="107"/>
      <c r="F5158" s="107"/>
      <c r="G5158" s="83"/>
      <c r="H5158" s="83"/>
      <c r="I5158" s="84"/>
      <c r="J5158" s="85"/>
      <c r="K5158" s="382"/>
      <c r="L5158" s="85"/>
      <c r="M5158" s="332" t="str">
        <f t="shared" si="1528"/>
        <v/>
      </c>
      <c r="N5158" s="86"/>
      <c r="O5158" s="453" t="str">
        <f t="shared" si="1530"/>
        <v/>
      </c>
      <c r="P5158" s="538" t="str">
        <f t="shared" si="1531"/>
        <v/>
      </c>
      <c r="Q5158" s="539" t="str">
        <f t="shared" si="1529"/>
        <v/>
      </c>
      <c r="R5158" s="706"/>
      <c r="S5158" s="707"/>
      <c r="T5158" s="708"/>
      <c r="U5158" s="472"/>
      <c r="V5158" s="167"/>
      <c r="W5158" s="446"/>
      <c r="X5158" s="456"/>
      <c r="Y5158" s="436"/>
      <c r="Z5158" s="437"/>
      <c r="AA5158" s="560"/>
      <c r="AB5158" s="561"/>
      <c r="AC5158" s="87"/>
      <c r="AD5158" s="466"/>
      <c r="AE5158" s="456"/>
      <c r="AF5158" s="467"/>
      <c r="AG5158" s="87"/>
      <c r="AH5158" s="87"/>
      <c r="AI5158" s="87"/>
    </row>
    <row r="5159" spans="1:35" hidden="1">
      <c r="A5159" s="80" t="e">
        <f>"G"&amp;E5149</f>
        <v>#N/A</v>
      </c>
      <c r="B5159" s="105">
        <v>7</v>
      </c>
      <c r="C5159" s="107"/>
      <c r="D5159" s="107"/>
      <c r="E5159" s="107"/>
      <c r="F5159" s="107"/>
      <c r="G5159" s="83"/>
      <c r="H5159" s="83"/>
      <c r="I5159" s="84"/>
      <c r="J5159" s="85"/>
      <c r="K5159" s="382"/>
      <c r="L5159" s="85"/>
      <c r="M5159" s="332" t="str">
        <f t="shared" si="1528"/>
        <v/>
      </c>
      <c r="N5159" s="86"/>
      <c r="O5159" s="86" t="str">
        <f t="shared" si="1530"/>
        <v/>
      </c>
      <c r="P5159" s="538" t="str">
        <f t="shared" si="1531"/>
        <v/>
      </c>
      <c r="Q5159" s="539" t="str">
        <f t="shared" si="1529"/>
        <v/>
      </c>
      <c r="R5159" s="706"/>
      <c r="S5159" s="707"/>
      <c r="T5159" s="708"/>
      <c r="U5159" s="472"/>
      <c r="V5159" s="167"/>
      <c r="W5159" s="446"/>
      <c r="X5159" s="456"/>
      <c r="Y5159" s="436"/>
      <c r="Z5159" s="437"/>
      <c r="AA5159" s="560"/>
      <c r="AB5159" s="561"/>
      <c r="AC5159" s="87"/>
      <c r="AD5159" s="466"/>
      <c r="AE5159" s="456"/>
      <c r="AF5159" s="467"/>
      <c r="AG5159" s="87"/>
      <c r="AH5159" s="87"/>
      <c r="AI5159" s="87"/>
    </row>
    <row r="5160" spans="1:35" hidden="1">
      <c r="A5160" s="80" t="e">
        <f>"H"&amp;E5149</f>
        <v>#N/A</v>
      </c>
      <c r="B5160" s="105">
        <v>8</v>
      </c>
      <c r="C5160" s="107"/>
      <c r="D5160" s="107"/>
      <c r="E5160" s="107"/>
      <c r="F5160" s="107"/>
      <c r="G5160" s="83"/>
      <c r="H5160" s="83"/>
      <c r="I5160" s="84"/>
      <c r="J5160" s="85"/>
      <c r="K5160" s="382"/>
      <c r="L5160" s="85"/>
      <c r="M5160" s="332" t="str">
        <f t="shared" si="1528"/>
        <v/>
      </c>
      <c r="N5160" s="453"/>
      <c r="O5160" s="86" t="str">
        <f t="shared" si="1530"/>
        <v/>
      </c>
      <c r="P5160" s="538" t="str">
        <f t="shared" si="1531"/>
        <v/>
      </c>
      <c r="Q5160" s="539" t="str">
        <f t="shared" si="1529"/>
        <v/>
      </c>
      <c r="R5160" s="706"/>
      <c r="S5160" s="707"/>
      <c r="T5160" s="708"/>
      <c r="U5160" s="472"/>
      <c r="V5160" s="167"/>
      <c r="W5160" s="446"/>
      <c r="X5160" s="456"/>
      <c r="Y5160" s="436"/>
      <c r="Z5160" s="437"/>
      <c r="AA5160" s="560"/>
      <c r="AB5160" s="561"/>
      <c r="AC5160" s="87"/>
      <c r="AD5160" s="466"/>
      <c r="AE5160" s="456"/>
      <c r="AF5160" s="467"/>
      <c r="AG5160" s="87"/>
      <c r="AH5160" s="87"/>
      <c r="AI5160" s="87"/>
    </row>
    <row r="5161" spans="1:35" hidden="1">
      <c r="A5161" s="80" t="e">
        <f>"I"&amp;E5149</f>
        <v>#N/A</v>
      </c>
      <c r="B5161" s="105">
        <v>9</v>
      </c>
      <c r="C5161" s="107"/>
      <c r="D5161" s="107"/>
      <c r="E5161" s="107"/>
      <c r="F5161" s="107"/>
      <c r="G5161" s="83"/>
      <c r="H5161" s="83"/>
      <c r="I5161" s="84"/>
      <c r="J5161" s="85"/>
      <c r="K5161" s="382"/>
      <c r="L5161" s="85"/>
      <c r="M5161" s="332" t="str">
        <f t="shared" si="1528"/>
        <v/>
      </c>
      <c r="N5161" s="453"/>
      <c r="O5161" s="86" t="str">
        <f t="shared" si="1530"/>
        <v/>
      </c>
      <c r="P5161" s="538" t="str">
        <f t="shared" si="1531"/>
        <v/>
      </c>
      <c r="Q5161" s="539" t="str">
        <f t="shared" si="1529"/>
        <v/>
      </c>
      <c r="R5161" s="706"/>
      <c r="S5161" s="707"/>
      <c r="T5161" s="708"/>
      <c r="U5161" s="472"/>
      <c r="V5161" s="167"/>
      <c r="W5161" s="446"/>
      <c r="X5161" s="456"/>
      <c r="Y5161" s="436"/>
      <c r="Z5161" s="437"/>
      <c r="AA5161" s="560"/>
      <c r="AB5161" s="561"/>
      <c r="AC5161" s="87"/>
      <c r="AD5161" s="466"/>
      <c r="AE5161" s="456"/>
      <c r="AF5161" s="467"/>
      <c r="AG5161" s="87"/>
      <c r="AH5161" s="87"/>
      <c r="AI5161" s="87"/>
    </row>
    <row r="5162" spans="1:35" hidden="1">
      <c r="A5162" s="80" t="e">
        <f>"J"&amp;E5149</f>
        <v>#N/A</v>
      </c>
      <c r="B5162" s="105">
        <v>10</v>
      </c>
      <c r="C5162" s="107"/>
      <c r="D5162" s="107"/>
      <c r="E5162" s="107"/>
      <c r="F5162" s="107"/>
      <c r="G5162" s="83"/>
      <c r="H5162" s="83"/>
      <c r="I5162" s="84"/>
      <c r="J5162" s="85"/>
      <c r="K5162" s="382"/>
      <c r="L5162" s="85"/>
      <c r="M5162" s="332" t="str">
        <f t="shared" si="1528"/>
        <v/>
      </c>
      <c r="N5162" s="453"/>
      <c r="O5162" s="86" t="str">
        <f t="shared" si="1530"/>
        <v/>
      </c>
      <c r="P5162" s="538" t="str">
        <f t="shared" si="1531"/>
        <v/>
      </c>
      <c r="Q5162" s="539" t="str">
        <f t="shared" si="1529"/>
        <v/>
      </c>
      <c r="R5162" s="706"/>
      <c r="S5162" s="707"/>
      <c r="T5162" s="708"/>
      <c r="U5162" s="472"/>
      <c r="V5162" s="167"/>
      <c r="W5162" s="446"/>
      <c r="X5162" s="456"/>
      <c r="Y5162" s="436"/>
      <c r="Z5162" s="437"/>
      <c r="AA5162" s="560"/>
      <c r="AB5162" s="561"/>
      <c r="AC5162" s="87"/>
      <c r="AD5162" s="466"/>
      <c r="AE5162" s="456"/>
      <c r="AF5162" s="467"/>
      <c r="AG5162" s="87"/>
      <c r="AH5162" s="87"/>
      <c r="AI5162" s="87"/>
    </row>
    <row r="5163" spans="1:35" ht="16.5" hidden="1" thickBot="1">
      <c r="A5163" s="44"/>
      <c r="B5163" s="89"/>
      <c r="C5163" s="90"/>
      <c r="D5163" s="90"/>
      <c r="E5163" s="90"/>
      <c r="F5163" s="90"/>
      <c r="G5163" s="90"/>
      <c r="H5163" s="90"/>
      <c r="I5163" s="90"/>
      <c r="J5163" s="90"/>
      <c r="K5163" s="90"/>
      <c r="L5163" s="90"/>
      <c r="M5163" s="90"/>
      <c r="N5163" s="90"/>
      <c r="O5163" s="90"/>
      <c r="P5163" s="90"/>
      <c r="Q5163" s="90"/>
      <c r="R5163" s="90"/>
      <c r="S5163" s="91"/>
      <c r="T5163" s="92"/>
      <c r="U5163" s="473"/>
      <c r="W5163" s="438"/>
      <c r="X5163" s="455"/>
      <c r="Y5163" s="439"/>
      <c r="Z5163" s="437"/>
      <c r="AA5163" s="530"/>
      <c r="AB5163" s="563"/>
      <c r="AC5163" s="87"/>
      <c r="AD5163" s="440"/>
      <c r="AE5163" s="441"/>
      <c r="AF5163" s="442"/>
      <c r="AG5163" s="49"/>
      <c r="AH5163" s="87"/>
      <c r="AI5163" s="87"/>
    </row>
    <row r="5164" spans="1:35" ht="16.5" hidden="1" thickBot="1">
      <c r="A5164" s="93"/>
      <c r="B5164" s="94"/>
      <c r="C5164" s="96"/>
      <c r="D5164" s="96"/>
      <c r="E5164" s="96"/>
      <c r="F5164" s="96"/>
      <c r="G5164" s="96"/>
      <c r="H5164" s="96"/>
      <c r="I5164" s="96"/>
      <c r="J5164" s="96"/>
      <c r="K5164" s="96"/>
      <c r="L5164" s="96"/>
      <c r="M5164" s="136"/>
      <c r="N5164" s="96"/>
      <c r="O5164" s="96"/>
      <c r="P5164" s="97"/>
      <c r="Q5164" s="97"/>
      <c r="R5164" s="98"/>
      <c r="S5164" s="95"/>
      <c r="T5164" s="99"/>
      <c r="U5164" s="469"/>
      <c r="AC5164" s="58"/>
      <c r="AG5164" s="58"/>
      <c r="AH5164" s="87"/>
      <c r="AI5164" s="87"/>
    </row>
    <row r="5165" spans="1:35" ht="16.5" hidden="1" thickBot="1">
      <c r="B5165" s="101"/>
      <c r="C5165" s="101"/>
      <c r="D5165" s="101"/>
      <c r="E5165" s="101"/>
      <c r="F5165" s="101"/>
      <c r="G5165" s="101"/>
      <c r="H5165" s="101"/>
      <c r="I5165" s="101"/>
      <c r="J5165" s="101"/>
      <c r="K5165" s="101"/>
      <c r="L5165" s="101"/>
      <c r="M5165" s="101"/>
      <c r="N5165" s="101"/>
      <c r="O5165" s="101"/>
      <c r="P5165" s="101"/>
      <c r="Q5165" s="101"/>
      <c r="R5165" s="101"/>
      <c r="S5165" s="101"/>
      <c r="U5165" s="50"/>
      <c r="AH5165" s="87"/>
      <c r="AI5165" s="87"/>
    </row>
    <row r="5166" spans="1:35" ht="16.5" hidden="1" customHeight="1" thickBot="1">
      <c r="A5166" s="44"/>
      <c r="B5166" s="705" t="s">
        <v>74</v>
      </c>
      <c r="C5166" s="705"/>
      <c r="D5166" s="705"/>
      <c r="E5166" s="705"/>
      <c r="F5166" s="705"/>
      <c r="G5166" s="705"/>
      <c r="H5166" s="705"/>
      <c r="I5166" s="705"/>
      <c r="J5166" s="705"/>
      <c r="K5166" s="705"/>
      <c r="L5166" s="705"/>
      <c r="M5166" s="705"/>
      <c r="N5166" s="705"/>
      <c r="O5166" s="705"/>
      <c r="P5166" s="705"/>
      <c r="Q5166" s="705"/>
      <c r="R5166" s="705"/>
      <c r="S5166" s="705"/>
      <c r="T5166" s="705"/>
      <c r="U5166" s="108"/>
      <c r="Y5166" s="532" t="s">
        <v>341</v>
      </c>
      <c r="AC5166" s="49"/>
      <c r="AD5166" s="687" t="s">
        <v>302</v>
      </c>
      <c r="AE5166" s="688"/>
      <c r="AF5166" s="689"/>
      <c r="AG5166" s="49"/>
      <c r="AH5166" s="87"/>
      <c r="AI5166" s="87"/>
    </row>
    <row r="5167" spans="1:35" ht="16.5" hidden="1" customHeight="1" thickBot="1">
      <c r="A5167" s="218" t="e">
        <f>"K"&amp;E5149</f>
        <v>#N/A</v>
      </c>
      <c r="B5167" s="701" t="s">
        <v>71</v>
      </c>
      <c r="C5167" s="751" t="s">
        <v>102</v>
      </c>
      <c r="D5167" s="751"/>
      <c r="E5167" s="751"/>
      <c r="F5167" s="751"/>
      <c r="G5167" s="751"/>
      <c r="H5167" s="751"/>
      <c r="I5167" s="751"/>
      <c r="J5167" s="751"/>
      <c r="K5167" s="751"/>
      <c r="L5167" s="722" t="s">
        <v>100</v>
      </c>
      <c r="M5167" s="747" t="s">
        <v>114</v>
      </c>
      <c r="N5167" s="747"/>
      <c r="O5167" s="747"/>
      <c r="P5167" s="747"/>
      <c r="Q5167" s="748"/>
      <c r="R5167" s="758" t="s">
        <v>280</v>
      </c>
      <c r="S5167" s="748"/>
      <c r="T5167" s="762" t="str">
        <f>IF(COUNTIF(AE5167:AF5167,"VERIFICAR")&gt;0,"VERIFICAR",IF(COUNTIF(AE5167:AF5167,"NO CUMPLE")&gt;0,"NO CUMPLE","CUMPLE"))</f>
        <v>VERIFICAR</v>
      </c>
      <c r="U5167" s="108"/>
      <c r="Y5167" s="533" t="e">
        <f>IF(F5168="","",IF(F5168=1,"INDIVIDUAL","ESTRUCTURA PLURAL"))</f>
        <v>#N/A</v>
      </c>
      <c r="AC5167" s="52"/>
      <c r="AD5167" s="475" t="s">
        <v>303</v>
      </c>
      <c r="AE5167" s="476" t="str">
        <f>IF(COUNTIF(AE5153:AE5162,"")=10,"VERIFICAR",IF(COUNTIF(AE5153:AE5162,"SI")&gt;0,"CUMPLE","NO CUMPLE"))</f>
        <v>VERIFICAR</v>
      </c>
      <c r="AF5167" s="477" t="str">
        <f>IF(COUNTIF(AF5153:AF5162,"")=10,"VERIFICAR",IF(COUNTIF(AF5153:AF5162,"SI")&gt;=$AI$22,"CUMPLE","NO CUMPLE"))</f>
        <v>VERIFICAR</v>
      </c>
      <c r="AG5167" s="52"/>
      <c r="AH5167" s="87"/>
      <c r="AI5167" s="87"/>
    </row>
    <row r="5168" spans="1:35" ht="15.75" hidden="1" customHeight="1" thickBot="1">
      <c r="A5168" s="218" t="e">
        <f>"L"&amp;E5149</f>
        <v>#N/A</v>
      </c>
      <c r="B5168" s="702"/>
      <c r="C5168" s="751" t="s">
        <v>103</v>
      </c>
      <c r="D5168" s="751"/>
      <c r="E5168" s="752"/>
      <c r="F5168" s="557" t="e">
        <f>IF(VLOOKUP(E5149,PROPONENTES!$C$19:$E$218,3,0)="","",VLOOKUP(E5149,PROPONENTES!$C$19:$E$218,3,0))</f>
        <v>#N/A</v>
      </c>
      <c r="G5168" s="753" t="s">
        <v>104</v>
      </c>
      <c r="H5168" s="751"/>
      <c r="I5168" s="715" t="e">
        <f>IF(OR(F5168="",F5168=1),"INTERESADO PERSONA NATURAL O JURIDICA","CONSORCIO O UNION TEMPORAL")</f>
        <v>#N/A</v>
      </c>
      <c r="J5168" s="725"/>
      <c r="K5168" s="728"/>
      <c r="L5168" s="723"/>
      <c r="M5168" s="749"/>
      <c r="N5168" s="749"/>
      <c r="O5168" s="749"/>
      <c r="P5168" s="749"/>
      <c r="Q5168" s="750"/>
      <c r="R5168" s="712"/>
      <c r="S5168" s="750"/>
      <c r="T5168" s="763"/>
      <c r="U5168" s="108"/>
      <c r="Y5168" s="534"/>
      <c r="AA5168" s="52"/>
      <c r="AB5168" s="52"/>
      <c r="AC5168" s="52"/>
      <c r="AG5168" s="52"/>
      <c r="AH5168" s="87"/>
      <c r="AI5168" s="87"/>
    </row>
    <row r="5169" spans="1:35" ht="56.25" hidden="1" customHeight="1" thickBot="1">
      <c r="A5169" s="218" t="e">
        <f>"M"&amp;E5149</f>
        <v>#N/A</v>
      </c>
      <c r="B5169" s="702"/>
      <c r="C5169" s="725" t="s">
        <v>101</v>
      </c>
      <c r="D5169" s="716"/>
      <c r="E5169" s="558" t="s">
        <v>105</v>
      </c>
      <c r="F5169" s="554" t="s">
        <v>87</v>
      </c>
      <c r="G5169" s="553" t="s">
        <v>86</v>
      </c>
      <c r="H5169" s="559" t="s">
        <v>85</v>
      </c>
      <c r="I5169" s="554" t="s">
        <v>252</v>
      </c>
      <c r="J5169" s="553" t="str">
        <f>"¿EL INTEGRANTE TIENE UNA PARTICIPACIÓN DEL "&amp;PORCREQUERIDOINT*100&amp;"%?"</f>
        <v>¿EL INTEGRANTE TIENE UNA PARTICIPACIÓN DEL 60%?</v>
      </c>
      <c r="K5169" s="554" t="s">
        <v>107</v>
      </c>
      <c r="L5169" s="724"/>
      <c r="M5169" s="717" t="s">
        <v>115</v>
      </c>
      <c r="N5169" s="718"/>
      <c r="O5169" s="718"/>
      <c r="P5169" s="718"/>
      <c r="Q5169" s="223">
        <f>IF(AND(H5153="SI",P5153&gt;=0),1,0)+IF(AND(H5154="SI",P5154&gt;=0),1,0)+IF(AND(H5155="SI",P5155&gt;=0),1,0)+IF(AND(H5156="SI",P5156&gt;=0),1,0)+IF(AND(H5157="SI",P5157&gt;=0),1,0)+IF(AND(H5158="SI",P5158&gt;=0),1,0)+IF(AND(H5159="SI",P5159&gt;=0),1,0)+IF(AND(H5160="SI",P5160&gt;=0),1,0)+IF(AND(H5161="SI",P5161&gt;=0),1,0)+IF(AND(H5162="SI",P5162&gt;=0),1,0)</f>
        <v>0</v>
      </c>
      <c r="R5169" s="759"/>
      <c r="S5169" s="761"/>
      <c r="T5169" s="764"/>
      <c r="U5169" s="219"/>
      <c r="V5169" s="464"/>
      <c r="Y5169" s="532" t="s">
        <v>342</v>
      </c>
      <c r="AA5169" s="550" t="s">
        <v>344</v>
      </c>
      <c r="AB5169" s="693" t="s">
        <v>345</v>
      </c>
      <c r="AC5169" s="693" t="s">
        <v>346</v>
      </c>
      <c r="AD5169" s="685" t="s">
        <v>347</v>
      </c>
      <c r="AE5169" s="52"/>
      <c r="AF5169" s="52"/>
      <c r="AG5169" s="52"/>
      <c r="AH5169" s="87"/>
      <c r="AI5169" s="87"/>
    </row>
    <row r="5170" spans="1:35" ht="15.75" hidden="1" customHeight="1" thickBot="1">
      <c r="A5170" s="218" t="e">
        <f>"N"&amp;E5149</f>
        <v>#N/A</v>
      </c>
      <c r="B5170" s="702"/>
      <c r="C5170" s="114">
        <v>1</v>
      </c>
      <c r="D5170" s="194" t="e">
        <f>IF(AND(C5170&lt;=F5168,F5168&gt;1,F5168&lt;&gt;""),VLOOKUP(VALUE(E5149&amp;","&amp;C5170),INTEGRANTES!$D$18:$F$235,2,0),"")</f>
        <v>#N/A</v>
      </c>
      <c r="E5170" s="211" t="e">
        <f>IF(D5170&lt;&gt;"",VLOOKUP(VALUE(E5149&amp;","&amp;C5170),INTEGRANTES!$D$18:$F$235,3,0),"")</f>
        <v>#N/A</v>
      </c>
      <c r="F5170" s="547" t="e">
        <f>IF(D5170="","",SUMIF($I5153:$I5162,D5170,$P5153:$P5162))</f>
        <v>#N/A</v>
      </c>
      <c r="G5170" s="333" t="e">
        <f>IF(D5170="","",SUMIF($I5153:$I5162,D5170,$M5153:$M5162))</f>
        <v>#N/A</v>
      </c>
      <c r="H5170" s="535" t="e">
        <f t="shared" ref="H5170:H5175" si="1532">IF(D5170="","",IF(OR(F5170=0,G5170=0),"NO APORTA",ROUND($F5170/$G5170,3)))</f>
        <v>#N/A</v>
      </c>
      <c r="I5170" s="212" t="e">
        <f>IF(D5170="","",IF(H5170="NO APORTA","NO",IF(H5170=MAX($H5170:$H5175),"SI","NO")))</f>
        <v>#N/A</v>
      </c>
      <c r="J5170" s="213" t="e">
        <f t="shared" ref="J5170:J5175" si="1533">IF(D5170="","",IF(E5170&gt;=PORCREQUERIDOINT,"SI","NO"))</f>
        <v>#N/A</v>
      </c>
      <c r="K5170" s="200" t="e">
        <f t="shared" ref="K5170:K5175" si="1534">IF(D5170="","",IF(AND(I5170="SI",J5170="SI"),"CUMPLE",IF(AND(I5170="NO",OR(J5170="SI",J5170="NO")),"","NO CUMPLE")))</f>
        <v>#N/A</v>
      </c>
      <c r="L5170" s="722" t="s">
        <v>108</v>
      </c>
      <c r="M5170" s="726" t="s">
        <v>119</v>
      </c>
      <c r="N5170" s="726"/>
      <c r="O5170" s="726"/>
      <c r="P5170" s="726"/>
      <c r="Q5170" s="727"/>
      <c r="R5170" s="758" t="s">
        <v>80</v>
      </c>
      <c r="S5170" s="747"/>
      <c r="T5170" s="748"/>
      <c r="U5170" s="219"/>
      <c r="V5170" s="464"/>
      <c r="Y5170" s="533" t="e">
        <f>IF(Y5167="","",IF(Y5167="INDIVIDUAL","NO APLICA","VERIFICAR CUADRO"))</f>
        <v>#N/A</v>
      </c>
      <c r="AA5170" s="551"/>
      <c r="AB5170" s="694"/>
      <c r="AC5170" s="694"/>
      <c r="AD5170" s="686"/>
      <c r="AE5170" s="52"/>
      <c r="AF5170" s="52"/>
      <c r="AG5170" s="52"/>
      <c r="AH5170" s="87"/>
      <c r="AI5170" s="87"/>
    </row>
    <row r="5171" spans="1:35" ht="27" hidden="1" customHeight="1" thickBot="1">
      <c r="A5171" s="218" t="e">
        <f>"O"&amp;E5149</f>
        <v>#N/A</v>
      </c>
      <c r="B5171" s="702"/>
      <c r="C5171" s="114">
        <v>2</v>
      </c>
      <c r="D5171" s="194" t="e">
        <f>IF(AND(C5171&lt;=F5168,F5168&lt;&gt;""),VLOOKUP(VALUE(E5149&amp;","&amp;C5171),INTEGRANTES!$D$18:$F$235,2,0),"")</f>
        <v>#N/A</v>
      </c>
      <c r="E5171" s="211" t="e">
        <f>IF(D5171&lt;&gt;"",VLOOKUP(VALUE(E5149&amp;","&amp;C5171),INTEGRANTES!$D$18:$F$235,3,0),"")</f>
        <v>#N/A</v>
      </c>
      <c r="F5171" s="547" t="e">
        <f>IF(D5171="","",SUMIF($I5153:$I5162,D5171,$P5153:$P5162))</f>
        <v>#N/A</v>
      </c>
      <c r="G5171" s="333" t="e">
        <f>IF(D5171="","",SUMIF($I5153:$I5162,D5171,$M5153:$M5162))</f>
        <v>#N/A</v>
      </c>
      <c r="H5171" s="535" t="e">
        <f t="shared" si="1532"/>
        <v>#N/A</v>
      </c>
      <c r="I5171" s="212" t="e">
        <f>IF(D5171="","",IF(H5171="NO APORTA","NO",IF(H5171=MAX($H5170:$H5175),"SI","NO")))</f>
        <v>#N/A</v>
      </c>
      <c r="J5171" s="213" t="e">
        <f t="shared" si="1533"/>
        <v>#N/A</v>
      </c>
      <c r="K5171" s="200" t="e">
        <f t="shared" si="1534"/>
        <v>#N/A</v>
      </c>
      <c r="L5171" s="723"/>
      <c r="M5171" s="715" t="s">
        <v>116</v>
      </c>
      <c r="N5171" s="716"/>
      <c r="O5171" s="556" t="s">
        <v>113</v>
      </c>
      <c r="P5171" s="715" t="s">
        <v>117</v>
      </c>
      <c r="Q5171" s="728"/>
      <c r="R5171" s="759"/>
      <c r="S5171" s="760"/>
      <c r="T5171" s="761"/>
      <c r="U5171" s="219"/>
      <c r="V5171" s="464"/>
      <c r="Y5171" s="414"/>
      <c r="AA5171" s="542" t="e">
        <f>IF(AND(C5170&lt;=F5168,F5168&gt;1,F5168&lt;&gt;""),VLOOKUP(VALUE(E5149&amp;","&amp;C5170),INTEGRANTES!$D$18:$F$235,2,0),"")</f>
        <v>#N/A</v>
      </c>
      <c r="AB5171" s="544" t="e">
        <f t="shared" ref="AB5171:AB5176" si="1535">IF(D5170="","",IF(OR(F5170=0,G5170=0),"NO APORTA",ROUND($F5170/$G5170,3)))</f>
        <v>#N/A</v>
      </c>
      <c r="AC5171" s="529"/>
      <c r="AD5171" s="200" t="e">
        <f t="shared" ref="AD5171:AD5176" si="1536">IF(OR(AA5171="",AB5171=""),"",IF(AND(AC5171="X",AB5171&gt;=EXPREQVTD),"CUMPLE","NO CUMPLE"))</f>
        <v>#N/A</v>
      </c>
      <c r="AE5171" s="52"/>
      <c r="AF5171" s="52"/>
      <c r="AG5171" s="52"/>
      <c r="AH5171" s="87"/>
      <c r="AI5171" s="87"/>
    </row>
    <row r="5172" spans="1:35" ht="16.5" hidden="1" thickBot="1">
      <c r="A5172" s="218" t="e">
        <f>"P"&amp;E5149</f>
        <v>#N/A</v>
      </c>
      <c r="B5172" s="702"/>
      <c r="C5172" s="114">
        <v>3</v>
      </c>
      <c r="D5172" s="194" t="e">
        <f>IF(AND(C5172&lt;=F5168,F5168&lt;&gt;""),VLOOKUP(VALUE(E5149&amp;","&amp;C5172),INTEGRANTES!$D$18:$F$235,2,0),"")</f>
        <v>#N/A</v>
      </c>
      <c r="E5172" s="211" t="e">
        <f>IF(D5172&lt;&gt;"",VLOOKUP(VALUE(E5149&amp;","&amp;C5172),INTEGRANTES!$D$18:$F$235,3,0),"")</f>
        <v>#N/A</v>
      </c>
      <c r="F5172" s="547" t="e">
        <f>IF(D5172="","",SUMIF($I5153:$I5162,D5172,$P5153:$P5162))</f>
        <v>#N/A</v>
      </c>
      <c r="G5172" s="333" t="e">
        <f>IF(D5172="","",SUMIF($I5153:$I5162,D5172,$M5153:$M5162))</f>
        <v>#N/A</v>
      </c>
      <c r="H5172" s="535" t="e">
        <f t="shared" si="1532"/>
        <v>#N/A</v>
      </c>
      <c r="I5172" s="212" t="e">
        <f>IF(D5172="","",IF(H5172="NO APORTA","NO",IF(H5172=MAX($H5170:$H5175),"SI","NO")))</f>
        <v>#N/A</v>
      </c>
      <c r="J5172" s="213" t="e">
        <f t="shared" si="1533"/>
        <v>#N/A</v>
      </c>
      <c r="K5172" s="200" t="e">
        <f t="shared" si="1534"/>
        <v>#N/A</v>
      </c>
      <c r="L5172" s="724"/>
      <c r="M5172" s="729">
        <f>NUMMOD</f>
        <v>1</v>
      </c>
      <c r="N5172" s="730"/>
      <c r="O5172" s="443">
        <f>IF(M5172="","",VLOOKUP(M5172,PRESUPUESTOS!$B$16:$H$16,5,FALSE))</f>
        <v>2</v>
      </c>
      <c r="P5172" s="713">
        <f>IF(OR(COUNTIF(M5153:M5162,"")&gt;=10,Q5169&lt;NUMMINCONT,OR(T5167="NO CUMPLE",T5167="VERIFICAR")),0,ROUND(AVERAGE(M5153:M5162),3))</f>
        <v>0</v>
      </c>
      <c r="Q5172" s="714"/>
      <c r="R5172" s="458"/>
      <c r="S5172" s="459"/>
      <c r="T5172" s="460"/>
      <c r="U5172" s="219"/>
      <c r="V5172" s="464"/>
      <c r="Y5172" s="532" t="str">
        <f>"40% * ("&amp;PRESUPUESTOS!$H$13&amp;")"</f>
        <v>40% * (50% PFMO)</v>
      </c>
      <c r="AA5172" s="540" t="e">
        <f>IF(AND(C5171&lt;=F5168,F5168&lt;&gt;""),VLOOKUP(VALUE(E5149&amp;","&amp;C5171),INTEGRANTES!$D$18:$F$235,2,0),"")</f>
        <v>#N/A</v>
      </c>
      <c r="AB5172" s="545" t="e">
        <f t="shared" si="1535"/>
        <v>#N/A</v>
      </c>
      <c r="AC5172" s="529"/>
      <c r="AD5172" s="200" t="e">
        <f t="shared" si="1536"/>
        <v>#N/A</v>
      </c>
      <c r="AE5172" s="52"/>
      <c r="AF5172" s="52"/>
      <c r="AG5172" s="52"/>
      <c r="AH5172" s="87"/>
      <c r="AI5172" s="87"/>
    </row>
    <row r="5173" spans="1:35" ht="15.75" hidden="1" customHeight="1" thickBot="1">
      <c r="A5173" s="218" t="e">
        <f>"Q"&amp;E5149</f>
        <v>#N/A</v>
      </c>
      <c r="B5173" s="702"/>
      <c r="C5173" s="114">
        <v>4</v>
      </c>
      <c r="D5173" s="194" t="e">
        <f>IF(AND(C5173&lt;=F5168,F5168&lt;&gt;""),VLOOKUP(VALUE(E5149&amp;","&amp;C5173),INTEGRANTES!$D$18:$F$235,2,0),"")</f>
        <v>#N/A</v>
      </c>
      <c r="E5173" s="211" t="e">
        <f>IF(D5173&lt;&gt;"",VLOOKUP(VALUE(E5149&amp;","&amp;C5173),INTEGRANTES!$D$18:$F$235,3,0),"")</f>
        <v>#N/A</v>
      </c>
      <c r="F5173" s="547" t="e">
        <f>IF(D5173="","",SUMIF($I5153:$I5162,D5173,$P5153:$P5162))</f>
        <v>#N/A</v>
      </c>
      <c r="G5173" s="333" t="e">
        <f>IF(D5173="","",SUMIF($I5153:$I5162,D5173,$M5153:$M5162))</f>
        <v>#N/A</v>
      </c>
      <c r="H5173" s="535" t="e">
        <f t="shared" si="1532"/>
        <v>#N/A</v>
      </c>
      <c r="I5173" s="212" t="e">
        <f>IF(D5173="","",IF(H5173="NO APORTA","NO",IF(H5173=MAX($H5170:$H5175),"SI","NO")))</f>
        <v>#N/A</v>
      </c>
      <c r="J5173" s="213" t="e">
        <f t="shared" si="1533"/>
        <v>#N/A</v>
      </c>
      <c r="K5173" s="200" t="e">
        <f t="shared" si="1534"/>
        <v>#N/A</v>
      </c>
      <c r="L5173" s="720" t="s">
        <v>109</v>
      </c>
      <c r="M5173" s="757" t="s">
        <v>120</v>
      </c>
      <c r="N5173" s="726"/>
      <c r="O5173" s="726"/>
      <c r="P5173" s="726"/>
      <c r="Q5173" s="727"/>
      <c r="R5173" s="458"/>
      <c r="S5173" s="459"/>
      <c r="T5173" s="460"/>
      <c r="U5173" s="219"/>
      <c r="V5173" s="464"/>
      <c r="Y5173" s="537">
        <f>0.4*PRESUPUESTOS!$H$16</f>
        <v>10.3124</v>
      </c>
      <c r="AA5173" s="540" t="e">
        <f>IF(AND(C5172&lt;=F5168,F5168&lt;&gt;""),VLOOKUP(VALUE(E5149&amp;","&amp;C5172),INTEGRANTES!$D$18:$F$235,2,0),"")</f>
        <v>#N/A</v>
      </c>
      <c r="AB5173" s="545" t="e">
        <f t="shared" si="1535"/>
        <v>#N/A</v>
      </c>
      <c r="AC5173" s="529"/>
      <c r="AD5173" s="200" t="e">
        <f t="shared" si="1536"/>
        <v>#N/A</v>
      </c>
      <c r="AE5173" s="52"/>
      <c r="AF5173" s="52"/>
      <c r="AG5173" s="52"/>
      <c r="AH5173" s="87"/>
      <c r="AI5173" s="87"/>
    </row>
    <row r="5174" spans="1:35" ht="27" hidden="1" customHeight="1" thickBot="1">
      <c r="A5174" s="218" t="e">
        <f>"R"&amp;E5149</f>
        <v>#N/A</v>
      </c>
      <c r="B5174" s="702"/>
      <c r="C5174" s="114">
        <v>5</v>
      </c>
      <c r="D5174" s="194" t="e">
        <f>IF(AND(C5174&lt;=F5168,F5168&lt;&gt;""),VLOOKUP(VALUE(E5149&amp;","&amp;C5174),INTEGRANTES!$D$18:$F$235,2,0),"")</f>
        <v>#N/A</v>
      </c>
      <c r="E5174" s="211" t="e">
        <f>IF(D5174&lt;&gt;"",VLOOKUP(VALUE(E5149&amp;","&amp;C5174),INTEGRANTES!$D$18:$F$235,3,0),"")</f>
        <v>#N/A</v>
      </c>
      <c r="F5174" s="547" t="e">
        <f>IF(D5174="","",SUMIF($I5153:$I5162,D5174,$P5153:$P5162))</f>
        <v>#N/A</v>
      </c>
      <c r="G5174" s="333" t="e">
        <f>IF(D5174="","",SUMIF($I5153:$I5162,D5174,$M5153:$M5162))</f>
        <v>#N/A</v>
      </c>
      <c r="H5174" s="535" t="e">
        <f t="shared" si="1532"/>
        <v>#N/A</v>
      </c>
      <c r="I5174" s="212" t="e">
        <f>IF(D5174="","",IF(H5174="NO APORTA","NO",IF(H5174=MAX($H5170:$H5175),"SI","NO")))</f>
        <v>#N/A</v>
      </c>
      <c r="J5174" s="213" t="e">
        <f t="shared" si="1533"/>
        <v>#N/A</v>
      </c>
      <c r="K5174" s="200" t="e">
        <f t="shared" si="1534"/>
        <v>#N/A</v>
      </c>
      <c r="L5174" s="721"/>
      <c r="M5174" s="715" t="s">
        <v>116</v>
      </c>
      <c r="N5174" s="716"/>
      <c r="O5174" s="556" t="str">
        <f>PORCREQUERIDO*100&amp;"% PMFO DEL MÓDULO"</f>
        <v>50% PMFO DEL MÓDULO</v>
      </c>
      <c r="P5174" s="715" t="s">
        <v>118</v>
      </c>
      <c r="Q5174" s="728"/>
      <c r="R5174" s="458"/>
      <c r="S5174" s="459"/>
      <c r="T5174" s="460"/>
      <c r="U5174" s="219"/>
      <c r="V5174" s="464"/>
      <c r="Y5174" s="414"/>
      <c r="AA5174" s="540" t="e">
        <f>IF(AND(C5173&lt;=F5168,F5168&lt;&gt;""),VLOOKUP(VALUE(E5149&amp;","&amp;C5173),INTEGRANTES!$D$18:$F$235,2,0),"")</f>
        <v>#N/A</v>
      </c>
      <c r="AB5174" s="545" t="e">
        <f t="shared" si="1535"/>
        <v>#N/A</v>
      </c>
      <c r="AC5174" s="529"/>
      <c r="AD5174" s="200" t="e">
        <f t="shared" si="1536"/>
        <v>#N/A</v>
      </c>
      <c r="AE5174" s="52"/>
      <c r="AF5174" s="52"/>
      <c r="AG5174" s="52"/>
      <c r="AH5174" s="87"/>
      <c r="AI5174" s="87"/>
    </row>
    <row r="5175" spans="1:35" ht="16.5" hidden="1" thickBot="1">
      <c r="A5175" s="218" t="e">
        <f>"S"&amp;E5149</f>
        <v>#N/A</v>
      </c>
      <c r="B5175" s="702"/>
      <c r="C5175" s="215">
        <v>6</v>
      </c>
      <c r="D5175" s="216" t="e">
        <f>IF(AND(C5175&lt;=F5168,F5168&lt;&gt;""),VLOOKUP(VALUE(E5149&amp;","&amp;C5175),INTEGRANTES!$D$18:$F$235,2,0),"")</f>
        <v>#N/A</v>
      </c>
      <c r="E5175" s="217" t="e">
        <f>IF(D5175&lt;&gt;"",VLOOKUP(VALUE(E5149&amp;","&amp;C5175),INTEGRANTES!$D$18:$F$235,3,0),"")</f>
        <v>#N/A</v>
      </c>
      <c r="F5175" s="548" t="e">
        <f>IF(D5175="","",SUMIF($I5153:$I5162,D5175,$P5153:$P5162))</f>
        <v>#N/A</v>
      </c>
      <c r="G5175" s="334" t="e">
        <f>IF(D5175="","",SUMIF($I5153:$I5162,D5175,$M5153:$M5162))</f>
        <v>#N/A</v>
      </c>
      <c r="H5175" s="536" t="e">
        <f t="shared" si="1532"/>
        <v>#N/A</v>
      </c>
      <c r="I5175" s="214" t="e">
        <f>IF(D5175="","",IF(H5175="NO APORTA","NO",IF(H5175=MAX($H5170:$H5175),"SI","NO")))</f>
        <v>#N/A</v>
      </c>
      <c r="J5175" s="213" t="e">
        <f t="shared" si="1533"/>
        <v>#N/A</v>
      </c>
      <c r="K5175" s="200" t="e">
        <f t="shared" si="1534"/>
        <v>#N/A</v>
      </c>
      <c r="L5175" s="721"/>
      <c r="M5175" s="729">
        <f>NUMMOD</f>
        <v>1</v>
      </c>
      <c r="N5175" s="730"/>
      <c r="O5175" s="443">
        <f>IF(M5175="","",ROUND(VLOOKUP(M5175,PRESUPUESTOS!$B$16:$H$16,7,FALSE),3))</f>
        <v>25.780999999999999</v>
      </c>
      <c r="P5175" s="713">
        <f>IF(OR(COUNTIF(P5153:P5162,"")&gt;=10,Q5169&lt;NUMMINCONT,OR(T5167="NO CUMPLE",T5167="VERIFICAR")),0,ROUND((SUM(P5153:P5162)/SUM(M5153:M5162)),3))</f>
        <v>0</v>
      </c>
      <c r="Q5175" s="714"/>
      <c r="R5175" s="458"/>
      <c r="S5175" s="459"/>
      <c r="T5175" s="460"/>
      <c r="U5175" s="219"/>
      <c r="V5175" s="464"/>
      <c r="Y5175" s="532" t="s">
        <v>343</v>
      </c>
      <c r="AA5175" s="540" t="e">
        <f>IF(AND(C5174&lt;=F5168,F5168&lt;&gt;""),VLOOKUP(VALUE(E5149&amp;","&amp;C5174),INTEGRANTES!$D$18:$F$235,2,0),"")</f>
        <v>#N/A</v>
      </c>
      <c r="AB5175" s="545" t="e">
        <f t="shared" si="1535"/>
        <v>#N/A</v>
      </c>
      <c r="AC5175" s="529"/>
      <c r="AD5175" s="200" t="e">
        <f t="shared" si="1536"/>
        <v>#N/A</v>
      </c>
      <c r="AE5175" s="52"/>
      <c r="AF5175" s="52"/>
      <c r="AG5175" s="52"/>
      <c r="AH5175" s="87"/>
      <c r="AI5175" s="87"/>
    </row>
    <row r="5176" spans="1:35" ht="16.5" hidden="1" customHeight="1" thickBot="1">
      <c r="A5176" s="218" t="e">
        <f>"T"&amp;E5149</f>
        <v>#N/A</v>
      </c>
      <c r="B5176" s="703"/>
      <c r="C5176" s="719"/>
      <c r="D5176" s="719"/>
      <c r="E5176" s="719"/>
      <c r="F5176" s="719"/>
      <c r="G5176" s="719"/>
      <c r="H5176" s="719" t="s">
        <v>110</v>
      </c>
      <c r="I5176" s="719"/>
      <c r="J5176" s="719"/>
      <c r="K5176" s="201" t="str">
        <f>IF(COUNTIF(K5170:K5175,"")=6,"",IF(COUNTIF(K5170:K5175,"CUMPLE")&gt;0,"CUMPLE","NO CUMPLE"))</f>
        <v>NO CUMPLE</v>
      </c>
      <c r="L5176" s="754"/>
      <c r="M5176" s="755"/>
      <c r="N5176" s="755"/>
      <c r="O5176" s="755"/>
      <c r="P5176" s="755"/>
      <c r="Q5176" s="756"/>
      <c r="R5176" s="461"/>
      <c r="S5176" s="462"/>
      <c r="T5176" s="463"/>
      <c r="U5176" s="219"/>
      <c r="V5176" s="464"/>
      <c r="Y5176" s="549" t="e">
        <f>IF(Y5170="NO APLICA","NO APLICA",IF(COUNTIF(AD5171:AD5176,"CUMPLE")&gt;0,"CUMPLE","NO CUMPLE"))</f>
        <v>#N/A</v>
      </c>
      <c r="AA5176" s="541" t="e">
        <f>IF(AND(C5175&lt;=F5168,F5168&lt;&gt;""),VLOOKUP(VALUE(E5149&amp;","&amp;C5175),INTEGRANTES!$D$18:$F$235,2,0),"")</f>
        <v>#N/A</v>
      </c>
      <c r="AB5176" s="546" t="e">
        <f t="shared" si="1535"/>
        <v>#N/A</v>
      </c>
      <c r="AC5176" s="543"/>
      <c r="AD5176" s="201" t="e">
        <f t="shared" si="1536"/>
        <v>#N/A</v>
      </c>
      <c r="AE5176" s="52"/>
      <c r="AF5176" s="52"/>
      <c r="AG5176" s="52"/>
      <c r="AH5176" s="87"/>
      <c r="AI5176" s="87"/>
    </row>
    <row r="5177" spans="1:35" hidden="1">
      <c r="AH5177" s="87"/>
      <c r="AI5177" s="87"/>
    </row>
    <row r="5178" spans="1:35" hidden="1">
      <c r="AH5178" s="87"/>
      <c r="AI5178" s="87"/>
    </row>
    <row r="5179" spans="1:35" ht="24" hidden="1" thickBot="1">
      <c r="A5179" s="61">
        <v>173</v>
      </c>
      <c r="B5179" s="704" t="s">
        <v>51</v>
      </c>
      <c r="C5179" s="704"/>
      <c r="D5179" s="704"/>
      <c r="E5179" s="62" t="e">
        <f>VLOOKUP(A5179,PROPONENTES!$B$19:$E$218,2,FALSE)</f>
        <v>#N/A</v>
      </c>
      <c r="F5179" s="63" t="e">
        <f>VLOOKUP(A5179,PROPONENTES!$B$19:$E$218,3,FALSE)</f>
        <v>#N/A</v>
      </c>
      <c r="G5179" s="64"/>
      <c r="H5179" s="64"/>
      <c r="I5179" s="63"/>
      <c r="J5179" s="63"/>
      <c r="K5179" s="65"/>
      <c r="L5179" s="65"/>
      <c r="M5179" s="64"/>
      <c r="N5179" s="64"/>
      <c r="O5179" s="66"/>
      <c r="P5179" s="66"/>
      <c r="Q5179" s="66"/>
      <c r="R5179" s="66"/>
      <c r="S5179" s="67"/>
      <c r="T5179" s="68"/>
      <c r="U5179" s="68"/>
      <c r="AC5179" s="68"/>
      <c r="AD5179" s="68"/>
      <c r="AE5179" s="68"/>
      <c r="AF5179" s="68"/>
      <c r="AG5179" s="68"/>
      <c r="AH5179" s="87"/>
      <c r="AI5179" s="87"/>
    </row>
    <row r="5180" spans="1:35" ht="15.75" hidden="1" customHeight="1">
      <c r="A5180" s="44"/>
      <c r="B5180" s="709" t="s">
        <v>59</v>
      </c>
      <c r="C5180" s="552" t="s">
        <v>60</v>
      </c>
      <c r="D5180" s="70" t="s">
        <v>17</v>
      </c>
      <c r="E5180" s="70"/>
      <c r="F5180" s="70" t="s">
        <v>61</v>
      </c>
      <c r="G5180" s="71"/>
      <c r="H5180" s="699" t="s">
        <v>62</v>
      </c>
      <c r="I5180" s="699" t="s">
        <v>18</v>
      </c>
      <c r="J5180" s="699" t="s">
        <v>63</v>
      </c>
      <c r="K5180" s="699" t="s">
        <v>64</v>
      </c>
      <c r="L5180" s="699" t="s">
        <v>65</v>
      </c>
      <c r="M5180" s="743" t="s">
        <v>66</v>
      </c>
      <c r="N5180" s="699" t="s">
        <v>282</v>
      </c>
      <c r="O5180" s="745" t="s">
        <v>67</v>
      </c>
      <c r="P5180" s="746"/>
      <c r="Q5180" s="102" t="s">
        <v>75</v>
      </c>
      <c r="R5180" s="731" t="s">
        <v>22</v>
      </c>
      <c r="S5180" s="732"/>
      <c r="T5180" s="733"/>
      <c r="U5180" s="712" t="s">
        <v>298</v>
      </c>
      <c r="W5180" s="690" t="s">
        <v>268</v>
      </c>
      <c r="X5180" s="691"/>
      <c r="Y5180" s="692"/>
      <c r="Z5180" s="428"/>
      <c r="AA5180" s="697" t="s">
        <v>315</v>
      </c>
      <c r="AB5180" s="695" t="s">
        <v>322</v>
      </c>
      <c r="AC5180" s="49"/>
      <c r="AD5180" s="690" t="s">
        <v>297</v>
      </c>
      <c r="AE5180" s="691"/>
      <c r="AF5180" s="692"/>
      <c r="AG5180" s="49"/>
      <c r="AH5180" s="87"/>
      <c r="AI5180" s="87"/>
    </row>
    <row r="5181" spans="1:35" ht="72" hidden="1">
      <c r="A5181" s="44"/>
      <c r="B5181" s="710"/>
      <c r="C5181" s="553" t="s">
        <v>68</v>
      </c>
      <c r="D5181" s="73" t="s">
        <v>3</v>
      </c>
      <c r="E5181" s="73" t="s">
        <v>19</v>
      </c>
      <c r="F5181" s="73" t="s">
        <v>69</v>
      </c>
      <c r="G5181" s="74" t="s">
        <v>70</v>
      </c>
      <c r="H5181" s="700"/>
      <c r="I5181" s="700"/>
      <c r="J5181" s="700"/>
      <c r="K5181" s="700"/>
      <c r="L5181" s="700"/>
      <c r="M5181" s="744"/>
      <c r="N5181" s="700"/>
      <c r="O5181" s="553" t="s">
        <v>279</v>
      </c>
      <c r="P5181" s="73" t="s">
        <v>88</v>
      </c>
      <c r="Q5181" s="555" t="s">
        <v>76</v>
      </c>
      <c r="R5181" s="734"/>
      <c r="S5181" s="735"/>
      <c r="T5181" s="736"/>
      <c r="U5181" s="712"/>
      <c r="W5181" s="429" t="s">
        <v>269</v>
      </c>
      <c r="X5181" s="457" t="s">
        <v>278</v>
      </c>
      <c r="Y5181" s="430" t="s">
        <v>324</v>
      </c>
      <c r="Z5181" s="428"/>
      <c r="AA5181" s="698"/>
      <c r="AB5181" s="696"/>
      <c r="AC5181" s="49"/>
      <c r="AD5181" s="429" t="s">
        <v>292</v>
      </c>
      <c r="AE5181" s="431" t="s">
        <v>300</v>
      </c>
      <c r="AF5181" s="468" t="s">
        <v>301</v>
      </c>
      <c r="AG5181" s="49"/>
      <c r="AH5181" s="87"/>
      <c r="AI5181" s="87"/>
    </row>
    <row r="5182" spans="1:35" hidden="1">
      <c r="A5182" s="44"/>
      <c r="B5182" s="76"/>
      <c r="C5182" s="77"/>
      <c r="D5182" s="77"/>
      <c r="E5182" s="77"/>
      <c r="F5182" s="77"/>
      <c r="G5182" s="77"/>
      <c r="H5182" s="77"/>
      <c r="I5182" s="77"/>
      <c r="J5182" s="77"/>
      <c r="K5182" s="77"/>
      <c r="L5182" s="77"/>
      <c r="M5182" s="77"/>
      <c r="N5182" s="77"/>
      <c r="O5182" s="77"/>
      <c r="P5182" s="77"/>
      <c r="Q5182" s="77"/>
      <c r="R5182" s="77"/>
      <c r="S5182" s="78"/>
      <c r="T5182" s="79"/>
      <c r="U5182" s="109"/>
      <c r="V5182" s="49"/>
      <c r="W5182" s="432"/>
      <c r="X5182" s="454"/>
      <c r="Y5182" s="433"/>
      <c r="Z5182" s="6"/>
      <c r="AA5182" s="500"/>
      <c r="AB5182" s="562"/>
      <c r="AC5182" s="49"/>
      <c r="AD5182" s="210"/>
      <c r="AE5182" s="434"/>
      <c r="AF5182" s="435"/>
      <c r="AG5182" s="49"/>
      <c r="AH5182" s="87"/>
      <c r="AI5182" s="87"/>
    </row>
    <row r="5183" spans="1:35" hidden="1">
      <c r="A5183" s="80" t="e">
        <f>"A"&amp;E5179</f>
        <v>#N/A</v>
      </c>
      <c r="B5183" s="81">
        <v>1</v>
      </c>
      <c r="C5183" s="82"/>
      <c r="D5183" s="82"/>
      <c r="E5183" s="82"/>
      <c r="F5183" s="82"/>
      <c r="G5183" s="83"/>
      <c r="H5183" s="83"/>
      <c r="I5183" s="84"/>
      <c r="J5183" s="85"/>
      <c r="K5183" s="382"/>
      <c r="L5183" s="85"/>
      <c r="M5183" s="332" t="str">
        <f t="shared" ref="M5183:M5192" si="1537">IF(OR(J5183="",L5183="",H5183="NO"),"",IF(OR(J5183&gt;$P$17,J5183&lt;$O$17,L5183&gt;$P$17,AND(J5183&lt;$O$17,L5183&lt;$O$17)),"FUERA DE RANGO",IF(OR(K5183="---",K5183=""),IF(J5183&gt;=$O$17,ROUND((L5183-J5183+1)/360*12,3),ROUND((L5183-$O$17+1)/360*12,3)),IF(J5183&gt;=$O$17,ROUND((L5183-J5183+1)/360*12-ROUND(K5183,3),3),ROUND((L5183-$O$17+1)/360*12-ROUND(K5183,3),3)))))</f>
        <v/>
      </c>
      <c r="N5183" s="86"/>
      <c r="O5183" s="453" t="str">
        <f>IF(OR(G5183="",N5183=""),"",N5183*G5183)</f>
        <v/>
      </c>
      <c r="P5183" s="538" t="str">
        <f>IF(OR(H5183="",M5183="FUERA DE RANGO"),"",IF(OR(L5183&lt;$O$17,L5183&gt;$P$17,L5183="",H5183="NO"),"",IF(OR(N5183="",O5183=""),"",ROUND(O5183,3))))</f>
        <v/>
      </c>
      <c r="Q5183" s="539" t="str">
        <f t="shared" ref="Q5183:Q5192" si="1538">IF(AND(H5183="SI",P5183&lt;&gt;""),ROUND(P5183/M5183,3),"")</f>
        <v/>
      </c>
      <c r="R5183" s="737"/>
      <c r="S5183" s="738"/>
      <c r="T5183" s="739"/>
      <c r="U5183" s="470"/>
      <c r="V5183" s="165"/>
      <c r="W5183" s="446"/>
      <c r="X5183" s="456"/>
      <c r="Y5183" s="436"/>
      <c r="Z5183" s="437"/>
      <c r="AA5183" s="560"/>
      <c r="AB5183" s="561"/>
      <c r="AC5183" s="87"/>
      <c r="AD5183" s="466"/>
      <c r="AE5183" s="456"/>
      <c r="AF5183" s="467"/>
      <c r="AG5183" s="87"/>
      <c r="AH5183" s="87"/>
      <c r="AI5183" s="87"/>
    </row>
    <row r="5184" spans="1:35" hidden="1">
      <c r="A5184" s="80" t="e">
        <f>"B"&amp;E5179</f>
        <v>#N/A</v>
      </c>
      <c r="B5184" s="81">
        <v>2</v>
      </c>
      <c r="C5184" s="106"/>
      <c r="D5184" s="106"/>
      <c r="E5184" s="106"/>
      <c r="F5184" s="106"/>
      <c r="G5184" s="83"/>
      <c r="H5184" s="83"/>
      <c r="I5184" s="84"/>
      <c r="J5184" s="85"/>
      <c r="K5184" s="382"/>
      <c r="L5184" s="85"/>
      <c r="M5184" s="332" t="str">
        <f t="shared" si="1537"/>
        <v/>
      </c>
      <c r="N5184" s="86"/>
      <c r="O5184" s="453" t="str">
        <f t="shared" ref="O5184:O5192" si="1539">IF(OR(G5184="",N5184=""),"",N5184*G5184)</f>
        <v/>
      </c>
      <c r="P5184" s="538" t="str">
        <f t="shared" ref="P5184:P5192" si="1540">IF(OR(H5184="",M5184="FUERA DE RANGO"),"",IF(OR(L5184&lt;$O$17,L5184&gt;$P$17,L5184="",H5184="NO"),"",IF(OR(N5184="",O5184=""),"",ROUND(O5184,3))))</f>
        <v/>
      </c>
      <c r="Q5184" s="539" t="str">
        <f t="shared" si="1538"/>
        <v/>
      </c>
      <c r="R5184" s="740"/>
      <c r="S5184" s="741"/>
      <c r="T5184" s="742"/>
      <c r="U5184" s="471"/>
      <c r="V5184" s="165"/>
      <c r="W5184" s="446"/>
      <c r="X5184" s="456"/>
      <c r="Y5184" s="436"/>
      <c r="Z5184" s="437"/>
      <c r="AA5184" s="560"/>
      <c r="AB5184" s="561"/>
      <c r="AC5184" s="87"/>
      <c r="AD5184" s="466"/>
      <c r="AE5184" s="456"/>
      <c r="AF5184" s="467"/>
      <c r="AG5184" s="87"/>
      <c r="AH5184" s="87"/>
      <c r="AI5184" s="87"/>
    </row>
    <row r="5185" spans="1:35" hidden="1">
      <c r="A5185" s="80" t="e">
        <f>"C"&amp;E5179</f>
        <v>#N/A</v>
      </c>
      <c r="B5185" s="88">
        <v>3</v>
      </c>
      <c r="C5185" s="82"/>
      <c r="D5185" s="82"/>
      <c r="E5185" s="82"/>
      <c r="F5185" s="82"/>
      <c r="G5185" s="83"/>
      <c r="H5185" s="83"/>
      <c r="I5185" s="84"/>
      <c r="J5185" s="85"/>
      <c r="K5185" s="382"/>
      <c r="L5185" s="85"/>
      <c r="M5185" s="332" t="str">
        <f t="shared" si="1537"/>
        <v/>
      </c>
      <c r="N5185" s="86"/>
      <c r="O5185" s="453" t="str">
        <f t="shared" si="1539"/>
        <v/>
      </c>
      <c r="P5185" s="538" t="str">
        <f t="shared" si="1540"/>
        <v/>
      </c>
      <c r="Q5185" s="539" t="str">
        <f t="shared" si="1538"/>
        <v/>
      </c>
      <c r="R5185" s="706"/>
      <c r="S5185" s="707"/>
      <c r="T5185" s="708"/>
      <c r="U5185" s="472"/>
      <c r="V5185" s="166"/>
      <c r="W5185" s="446"/>
      <c r="X5185" s="456"/>
      <c r="Y5185" s="436"/>
      <c r="Z5185" s="437"/>
      <c r="AA5185" s="560"/>
      <c r="AB5185" s="561"/>
      <c r="AC5185" s="87"/>
      <c r="AD5185" s="466"/>
      <c r="AE5185" s="456"/>
      <c r="AF5185" s="467"/>
      <c r="AG5185" s="87"/>
      <c r="AH5185" s="87"/>
      <c r="AI5185" s="87"/>
    </row>
    <row r="5186" spans="1:35" hidden="1">
      <c r="A5186" s="80" t="e">
        <f>"D"&amp;E5179</f>
        <v>#N/A</v>
      </c>
      <c r="B5186" s="105">
        <v>4</v>
      </c>
      <c r="C5186" s="107"/>
      <c r="D5186" s="107"/>
      <c r="E5186" s="107"/>
      <c r="F5186" s="107"/>
      <c r="G5186" s="83"/>
      <c r="H5186" s="83"/>
      <c r="I5186" s="84"/>
      <c r="J5186" s="85"/>
      <c r="K5186" s="382"/>
      <c r="L5186" s="85"/>
      <c r="M5186" s="332" t="str">
        <f t="shared" si="1537"/>
        <v/>
      </c>
      <c r="N5186" s="86"/>
      <c r="O5186" s="453" t="str">
        <f t="shared" si="1539"/>
        <v/>
      </c>
      <c r="P5186" s="538" t="str">
        <f t="shared" si="1540"/>
        <v/>
      </c>
      <c r="Q5186" s="539" t="str">
        <f t="shared" si="1538"/>
        <v/>
      </c>
      <c r="R5186" s="706"/>
      <c r="S5186" s="707"/>
      <c r="T5186" s="708"/>
      <c r="U5186" s="472"/>
      <c r="V5186" s="166"/>
      <c r="W5186" s="446"/>
      <c r="X5186" s="456"/>
      <c r="Y5186" s="436"/>
      <c r="Z5186" s="437"/>
      <c r="AA5186" s="560"/>
      <c r="AB5186" s="561"/>
      <c r="AC5186" s="87"/>
      <c r="AD5186" s="466"/>
      <c r="AE5186" s="456"/>
      <c r="AF5186" s="467"/>
      <c r="AG5186" s="87"/>
      <c r="AH5186" s="87"/>
      <c r="AI5186" s="87"/>
    </row>
    <row r="5187" spans="1:35" hidden="1">
      <c r="A5187" s="80" t="e">
        <f>"E"&amp;E5179</f>
        <v>#N/A</v>
      </c>
      <c r="B5187" s="105">
        <v>5</v>
      </c>
      <c r="C5187" s="107"/>
      <c r="D5187" s="107"/>
      <c r="E5187" s="107"/>
      <c r="F5187" s="107"/>
      <c r="G5187" s="83"/>
      <c r="H5187" s="83"/>
      <c r="I5187" s="84"/>
      <c r="J5187" s="85"/>
      <c r="K5187" s="382"/>
      <c r="L5187" s="85"/>
      <c r="M5187" s="332" t="str">
        <f t="shared" si="1537"/>
        <v/>
      </c>
      <c r="N5187" s="86"/>
      <c r="O5187" s="453" t="str">
        <f t="shared" si="1539"/>
        <v/>
      </c>
      <c r="P5187" s="538" t="str">
        <f t="shared" si="1540"/>
        <v/>
      </c>
      <c r="Q5187" s="539" t="str">
        <f t="shared" si="1538"/>
        <v/>
      </c>
      <c r="R5187" s="706"/>
      <c r="S5187" s="707"/>
      <c r="T5187" s="708"/>
      <c r="U5187" s="472"/>
      <c r="V5187" s="167"/>
      <c r="W5187" s="446"/>
      <c r="X5187" s="456"/>
      <c r="Y5187" s="436"/>
      <c r="Z5187" s="437"/>
      <c r="AA5187" s="560"/>
      <c r="AB5187" s="561"/>
      <c r="AC5187" s="87"/>
      <c r="AD5187" s="466"/>
      <c r="AE5187" s="456"/>
      <c r="AF5187" s="467"/>
      <c r="AG5187" s="87"/>
      <c r="AH5187" s="87"/>
      <c r="AI5187" s="87"/>
    </row>
    <row r="5188" spans="1:35" hidden="1">
      <c r="A5188" s="80" t="e">
        <f>"F"&amp;E5179</f>
        <v>#N/A</v>
      </c>
      <c r="B5188" s="105">
        <v>6</v>
      </c>
      <c r="C5188" s="107"/>
      <c r="D5188" s="107"/>
      <c r="E5188" s="107"/>
      <c r="F5188" s="107"/>
      <c r="G5188" s="83"/>
      <c r="H5188" s="83"/>
      <c r="I5188" s="84"/>
      <c r="J5188" s="85"/>
      <c r="K5188" s="382"/>
      <c r="L5188" s="85"/>
      <c r="M5188" s="332" t="str">
        <f t="shared" si="1537"/>
        <v/>
      </c>
      <c r="N5188" s="86"/>
      <c r="O5188" s="453" t="str">
        <f t="shared" si="1539"/>
        <v/>
      </c>
      <c r="P5188" s="538" t="str">
        <f t="shared" si="1540"/>
        <v/>
      </c>
      <c r="Q5188" s="539" t="str">
        <f t="shared" si="1538"/>
        <v/>
      </c>
      <c r="R5188" s="706"/>
      <c r="S5188" s="707"/>
      <c r="T5188" s="708"/>
      <c r="U5188" s="472"/>
      <c r="V5188" s="167"/>
      <c r="W5188" s="446"/>
      <c r="X5188" s="456"/>
      <c r="Y5188" s="436"/>
      <c r="Z5188" s="437"/>
      <c r="AA5188" s="560"/>
      <c r="AB5188" s="561"/>
      <c r="AC5188" s="87"/>
      <c r="AD5188" s="466"/>
      <c r="AE5188" s="456"/>
      <c r="AF5188" s="467"/>
      <c r="AG5188" s="87"/>
      <c r="AH5188" s="87"/>
      <c r="AI5188" s="87"/>
    </row>
    <row r="5189" spans="1:35" hidden="1">
      <c r="A5189" s="80" t="e">
        <f>"G"&amp;E5179</f>
        <v>#N/A</v>
      </c>
      <c r="B5189" s="105">
        <v>7</v>
      </c>
      <c r="C5189" s="107"/>
      <c r="D5189" s="107"/>
      <c r="E5189" s="107"/>
      <c r="F5189" s="107"/>
      <c r="G5189" s="83"/>
      <c r="H5189" s="83"/>
      <c r="I5189" s="84"/>
      <c r="J5189" s="85"/>
      <c r="K5189" s="382"/>
      <c r="L5189" s="85"/>
      <c r="M5189" s="332" t="str">
        <f t="shared" si="1537"/>
        <v/>
      </c>
      <c r="N5189" s="86"/>
      <c r="O5189" s="86" t="str">
        <f t="shared" si="1539"/>
        <v/>
      </c>
      <c r="P5189" s="538" t="str">
        <f t="shared" si="1540"/>
        <v/>
      </c>
      <c r="Q5189" s="539" t="str">
        <f t="shared" si="1538"/>
        <v/>
      </c>
      <c r="R5189" s="706"/>
      <c r="S5189" s="707"/>
      <c r="T5189" s="708"/>
      <c r="U5189" s="472"/>
      <c r="V5189" s="167"/>
      <c r="W5189" s="446"/>
      <c r="X5189" s="456"/>
      <c r="Y5189" s="436"/>
      <c r="Z5189" s="437"/>
      <c r="AA5189" s="560"/>
      <c r="AB5189" s="561"/>
      <c r="AC5189" s="87"/>
      <c r="AD5189" s="466"/>
      <c r="AE5189" s="456"/>
      <c r="AF5189" s="467"/>
      <c r="AG5189" s="87"/>
      <c r="AH5189" s="87"/>
      <c r="AI5189" s="87"/>
    </row>
    <row r="5190" spans="1:35" hidden="1">
      <c r="A5190" s="80" t="e">
        <f>"H"&amp;E5179</f>
        <v>#N/A</v>
      </c>
      <c r="B5190" s="105">
        <v>8</v>
      </c>
      <c r="C5190" s="107"/>
      <c r="D5190" s="107"/>
      <c r="E5190" s="107"/>
      <c r="F5190" s="107"/>
      <c r="G5190" s="83"/>
      <c r="H5190" s="83"/>
      <c r="I5190" s="84"/>
      <c r="J5190" s="85"/>
      <c r="K5190" s="382"/>
      <c r="L5190" s="85"/>
      <c r="M5190" s="332" t="str">
        <f t="shared" si="1537"/>
        <v/>
      </c>
      <c r="N5190" s="453"/>
      <c r="O5190" s="86" t="str">
        <f t="shared" si="1539"/>
        <v/>
      </c>
      <c r="P5190" s="538" t="str">
        <f t="shared" si="1540"/>
        <v/>
      </c>
      <c r="Q5190" s="539" t="str">
        <f t="shared" si="1538"/>
        <v/>
      </c>
      <c r="R5190" s="706"/>
      <c r="S5190" s="707"/>
      <c r="T5190" s="708"/>
      <c r="U5190" s="472"/>
      <c r="V5190" s="167"/>
      <c r="W5190" s="446"/>
      <c r="X5190" s="456"/>
      <c r="Y5190" s="436"/>
      <c r="Z5190" s="437"/>
      <c r="AA5190" s="560"/>
      <c r="AB5190" s="561"/>
      <c r="AC5190" s="87"/>
      <c r="AD5190" s="466"/>
      <c r="AE5190" s="456"/>
      <c r="AF5190" s="467"/>
      <c r="AG5190" s="87"/>
      <c r="AH5190" s="87"/>
      <c r="AI5190" s="87"/>
    </row>
    <row r="5191" spans="1:35" hidden="1">
      <c r="A5191" s="80" t="e">
        <f>"I"&amp;E5179</f>
        <v>#N/A</v>
      </c>
      <c r="B5191" s="105">
        <v>9</v>
      </c>
      <c r="C5191" s="107"/>
      <c r="D5191" s="107"/>
      <c r="E5191" s="107"/>
      <c r="F5191" s="107"/>
      <c r="G5191" s="83"/>
      <c r="H5191" s="83"/>
      <c r="I5191" s="84"/>
      <c r="J5191" s="85"/>
      <c r="K5191" s="382"/>
      <c r="L5191" s="85"/>
      <c r="M5191" s="332" t="str">
        <f t="shared" si="1537"/>
        <v/>
      </c>
      <c r="N5191" s="453"/>
      <c r="O5191" s="86" t="str">
        <f t="shared" si="1539"/>
        <v/>
      </c>
      <c r="P5191" s="538" t="str">
        <f t="shared" si="1540"/>
        <v/>
      </c>
      <c r="Q5191" s="539" t="str">
        <f t="shared" si="1538"/>
        <v/>
      </c>
      <c r="R5191" s="706"/>
      <c r="S5191" s="707"/>
      <c r="T5191" s="708"/>
      <c r="U5191" s="472"/>
      <c r="V5191" s="167"/>
      <c r="W5191" s="446"/>
      <c r="X5191" s="456"/>
      <c r="Y5191" s="436"/>
      <c r="Z5191" s="437"/>
      <c r="AA5191" s="560"/>
      <c r="AB5191" s="561"/>
      <c r="AC5191" s="87"/>
      <c r="AD5191" s="466"/>
      <c r="AE5191" s="456"/>
      <c r="AF5191" s="467"/>
      <c r="AG5191" s="87"/>
      <c r="AH5191" s="87"/>
      <c r="AI5191" s="87"/>
    </row>
    <row r="5192" spans="1:35" hidden="1">
      <c r="A5192" s="80" t="e">
        <f>"J"&amp;E5179</f>
        <v>#N/A</v>
      </c>
      <c r="B5192" s="105">
        <v>10</v>
      </c>
      <c r="C5192" s="107"/>
      <c r="D5192" s="107"/>
      <c r="E5192" s="107"/>
      <c r="F5192" s="107"/>
      <c r="G5192" s="83"/>
      <c r="H5192" s="83"/>
      <c r="I5192" s="84"/>
      <c r="J5192" s="85"/>
      <c r="K5192" s="382"/>
      <c r="L5192" s="85"/>
      <c r="M5192" s="332" t="str">
        <f t="shared" si="1537"/>
        <v/>
      </c>
      <c r="N5192" s="453"/>
      <c r="O5192" s="86" t="str">
        <f t="shared" si="1539"/>
        <v/>
      </c>
      <c r="P5192" s="538" t="str">
        <f t="shared" si="1540"/>
        <v/>
      </c>
      <c r="Q5192" s="539" t="str">
        <f t="shared" si="1538"/>
        <v/>
      </c>
      <c r="R5192" s="706"/>
      <c r="S5192" s="707"/>
      <c r="T5192" s="708"/>
      <c r="U5192" s="472"/>
      <c r="V5192" s="167"/>
      <c r="W5192" s="446"/>
      <c r="X5192" s="456"/>
      <c r="Y5192" s="436"/>
      <c r="Z5192" s="437"/>
      <c r="AA5192" s="560"/>
      <c r="AB5192" s="561"/>
      <c r="AC5192" s="87"/>
      <c r="AD5192" s="466"/>
      <c r="AE5192" s="456"/>
      <c r="AF5192" s="467"/>
      <c r="AG5192" s="87"/>
      <c r="AH5192" s="87"/>
      <c r="AI5192" s="87"/>
    </row>
    <row r="5193" spans="1:35" ht="16.5" hidden="1" thickBot="1">
      <c r="A5193" s="44"/>
      <c r="B5193" s="89"/>
      <c r="C5193" s="90"/>
      <c r="D5193" s="90"/>
      <c r="E5193" s="90"/>
      <c r="F5193" s="90"/>
      <c r="G5193" s="90"/>
      <c r="H5193" s="90"/>
      <c r="I5193" s="90"/>
      <c r="J5193" s="90"/>
      <c r="K5193" s="90"/>
      <c r="L5193" s="90"/>
      <c r="M5193" s="90"/>
      <c r="N5193" s="90"/>
      <c r="O5193" s="90"/>
      <c r="P5193" s="90"/>
      <c r="Q5193" s="90"/>
      <c r="R5193" s="90"/>
      <c r="S5193" s="91"/>
      <c r="T5193" s="92"/>
      <c r="U5193" s="473"/>
      <c r="W5193" s="438"/>
      <c r="X5193" s="455"/>
      <c r="Y5193" s="439"/>
      <c r="Z5193" s="437"/>
      <c r="AA5193" s="530"/>
      <c r="AB5193" s="563"/>
      <c r="AC5193" s="87"/>
      <c r="AD5193" s="440"/>
      <c r="AE5193" s="441"/>
      <c r="AF5193" s="442"/>
      <c r="AG5193" s="49"/>
      <c r="AH5193" s="87"/>
      <c r="AI5193" s="87"/>
    </row>
    <row r="5194" spans="1:35" ht="16.5" hidden="1" thickBot="1">
      <c r="A5194" s="93"/>
      <c r="B5194" s="94"/>
      <c r="C5194" s="96"/>
      <c r="D5194" s="96"/>
      <c r="E5194" s="96"/>
      <c r="F5194" s="96"/>
      <c r="G5194" s="96"/>
      <c r="H5194" s="96"/>
      <c r="I5194" s="96"/>
      <c r="J5194" s="96"/>
      <c r="K5194" s="96"/>
      <c r="L5194" s="96"/>
      <c r="M5194" s="136"/>
      <c r="N5194" s="96"/>
      <c r="O5194" s="96"/>
      <c r="P5194" s="97"/>
      <c r="Q5194" s="97"/>
      <c r="R5194" s="98"/>
      <c r="S5194" s="95"/>
      <c r="T5194" s="99"/>
      <c r="U5194" s="469"/>
      <c r="AC5194" s="58"/>
      <c r="AG5194" s="58"/>
      <c r="AH5194" s="87"/>
      <c r="AI5194" s="87"/>
    </row>
    <row r="5195" spans="1:35" ht="16.5" hidden="1" thickBot="1">
      <c r="B5195" s="101"/>
      <c r="C5195" s="101"/>
      <c r="D5195" s="101"/>
      <c r="E5195" s="101"/>
      <c r="F5195" s="101"/>
      <c r="G5195" s="101"/>
      <c r="H5195" s="101"/>
      <c r="I5195" s="101"/>
      <c r="J5195" s="101"/>
      <c r="K5195" s="101"/>
      <c r="L5195" s="101"/>
      <c r="M5195" s="101"/>
      <c r="N5195" s="101"/>
      <c r="O5195" s="101"/>
      <c r="P5195" s="101"/>
      <c r="Q5195" s="101"/>
      <c r="R5195" s="101"/>
      <c r="S5195" s="101"/>
      <c r="U5195" s="50"/>
      <c r="AH5195" s="87"/>
      <c r="AI5195" s="87"/>
    </row>
    <row r="5196" spans="1:35" ht="16.5" hidden="1" customHeight="1" thickBot="1">
      <c r="A5196" s="44"/>
      <c r="B5196" s="705" t="s">
        <v>74</v>
      </c>
      <c r="C5196" s="705"/>
      <c r="D5196" s="705"/>
      <c r="E5196" s="705"/>
      <c r="F5196" s="705"/>
      <c r="G5196" s="705"/>
      <c r="H5196" s="705"/>
      <c r="I5196" s="705"/>
      <c r="J5196" s="705"/>
      <c r="K5196" s="705"/>
      <c r="L5196" s="705"/>
      <c r="M5196" s="705"/>
      <c r="N5196" s="705"/>
      <c r="O5196" s="705"/>
      <c r="P5196" s="705"/>
      <c r="Q5196" s="705"/>
      <c r="R5196" s="705"/>
      <c r="S5196" s="705"/>
      <c r="T5196" s="705"/>
      <c r="U5196" s="108"/>
      <c r="Y5196" s="532" t="s">
        <v>341</v>
      </c>
      <c r="AC5196" s="49"/>
      <c r="AD5196" s="687" t="s">
        <v>302</v>
      </c>
      <c r="AE5196" s="688"/>
      <c r="AF5196" s="689"/>
      <c r="AG5196" s="49"/>
      <c r="AH5196" s="87"/>
      <c r="AI5196" s="87"/>
    </row>
    <row r="5197" spans="1:35" ht="16.5" hidden="1" customHeight="1" thickBot="1">
      <c r="A5197" s="218" t="e">
        <f>"K"&amp;E5179</f>
        <v>#N/A</v>
      </c>
      <c r="B5197" s="701" t="s">
        <v>71</v>
      </c>
      <c r="C5197" s="751" t="s">
        <v>102</v>
      </c>
      <c r="D5197" s="751"/>
      <c r="E5197" s="751"/>
      <c r="F5197" s="751"/>
      <c r="G5197" s="751"/>
      <c r="H5197" s="751"/>
      <c r="I5197" s="751"/>
      <c r="J5197" s="751"/>
      <c r="K5197" s="751"/>
      <c r="L5197" s="722" t="s">
        <v>100</v>
      </c>
      <c r="M5197" s="747" t="s">
        <v>114</v>
      </c>
      <c r="N5197" s="747"/>
      <c r="O5197" s="747"/>
      <c r="P5197" s="747"/>
      <c r="Q5197" s="748"/>
      <c r="R5197" s="758" t="s">
        <v>280</v>
      </c>
      <c r="S5197" s="748"/>
      <c r="T5197" s="762" t="str">
        <f>IF(COUNTIF(AE5197:AF5197,"VERIFICAR")&gt;0,"VERIFICAR",IF(COUNTIF(AE5197:AF5197,"NO CUMPLE")&gt;0,"NO CUMPLE","CUMPLE"))</f>
        <v>VERIFICAR</v>
      </c>
      <c r="U5197" s="108"/>
      <c r="Y5197" s="533" t="e">
        <f>IF(F5198="","",IF(F5198=1,"INDIVIDUAL","ESTRUCTURA PLURAL"))</f>
        <v>#N/A</v>
      </c>
      <c r="AC5197" s="52"/>
      <c r="AD5197" s="475" t="s">
        <v>303</v>
      </c>
      <c r="AE5197" s="476" t="str">
        <f>IF(COUNTIF(AE5183:AE5192,"")=10,"VERIFICAR",IF(COUNTIF(AE5183:AE5192,"SI")&gt;0,"CUMPLE","NO CUMPLE"))</f>
        <v>VERIFICAR</v>
      </c>
      <c r="AF5197" s="477" t="str">
        <f>IF(COUNTIF(AF5183:AF5192,"")=10,"VERIFICAR",IF(COUNTIF(AF5183:AF5192,"SI")&gt;=$AI$22,"CUMPLE","NO CUMPLE"))</f>
        <v>VERIFICAR</v>
      </c>
      <c r="AG5197" s="52"/>
      <c r="AH5197" s="87"/>
      <c r="AI5197" s="87"/>
    </row>
    <row r="5198" spans="1:35" ht="15.75" hidden="1" customHeight="1" thickBot="1">
      <c r="A5198" s="218" t="e">
        <f>"L"&amp;E5179</f>
        <v>#N/A</v>
      </c>
      <c r="B5198" s="702"/>
      <c r="C5198" s="751" t="s">
        <v>103</v>
      </c>
      <c r="D5198" s="751"/>
      <c r="E5198" s="752"/>
      <c r="F5198" s="557" t="e">
        <f>IF(VLOOKUP(E5179,PROPONENTES!$C$19:$E$218,3,0)="","",VLOOKUP(E5179,PROPONENTES!$C$19:$E$218,3,0))</f>
        <v>#N/A</v>
      </c>
      <c r="G5198" s="753" t="s">
        <v>104</v>
      </c>
      <c r="H5198" s="751"/>
      <c r="I5198" s="715" t="e">
        <f>IF(OR(F5198="",F5198=1),"INTERESADO PERSONA NATURAL O JURIDICA","CONSORCIO O UNION TEMPORAL")</f>
        <v>#N/A</v>
      </c>
      <c r="J5198" s="725"/>
      <c r="K5198" s="728"/>
      <c r="L5198" s="723"/>
      <c r="M5198" s="749"/>
      <c r="N5198" s="749"/>
      <c r="O5198" s="749"/>
      <c r="P5198" s="749"/>
      <c r="Q5198" s="750"/>
      <c r="R5198" s="712"/>
      <c r="S5198" s="750"/>
      <c r="T5198" s="763"/>
      <c r="U5198" s="108"/>
      <c r="Y5198" s="534"/>
      <c r="AA5198" s="52"/>
      <c r="AB5198" s="52"/>
      <c r="AC5198" s="52"/>
      <c r="AG5198" s="52"/>
      <c r="AH5198" s="87"/>
      <c r="AI5198" s="87"/>
    </row>
    <row r="5199" spans="1:35" ht="56.25" hidden="1" customHeight="1" thickBot="1">
      <c r="A5199" s="218" t="e">
        <f>"M"&amp;E5179</f>
        <v>#N/A</v>
      </c>
      <c r="B5199" s="702"/>
      <c r="C5199" s="725" t="s">
        <v>101</v>
      </c>
      <c r="D5199" s="716"/>
      <c r="E5199" s="558" t="s">
        <v>105</v>
      </c>
      <c r="F5199" s="554" t="s">
        <v>87</v>
      </c>
      <c r="G5199" s="553" t="s">
        <v>86</v>
      </c>
      <c r="H5199" s="559" t="s">
        <v>85</v>
      </c>
      <c r="I5199" s="554" t="s">
        <v>252</v>
      </c>
      <c r="J5199" s="553" t="str">
        <f>"¿EL INTEGRANTE TIENE UNA PARTICIPACIÓN DEL "&amp;PORCREQUERIDOINT*100&amp;"%?"</f>
        <v>¿EL INTEGRANTE TIENE UNA PARTICIPACIÓN DEL 60%?</v>
      </c>
      <c r="K5199" s="554" t="s">
        <v>107</v>
      </c>
      <c r="L5199" s="724"/>
      <c r="M5199" s="717" t="s">
        <v>115</v>
      </c>
      <c r="N5199" s="718"/>
      <c r="O5199" s="718"/>
      <c r="P5199" s="718"/>
      <c r="Q5199" s="223">
        <f>IF(AND(H5183="SI",P5183&gt;=0),1,0)+IF(AND(H5184="SI",P5184&gt;=0),1,0)+IF(AND(H5185="SI",P5185&gt;=0),1,0)+IF(AND(H5186="SI",P5186&gt;=0),1,0)+IF(AND(H5187="SI",P5187&gt;=0),1,0)+IF(AND(H5188="SI",P5188&gt;=0),1,0)+IF(AND(H5189="SI",P5189&gt;=0),1,0)+IF(AND(H5190="SI",P5190&gt;=0),1,0)+IF(AND(H5191="SI",P5191&gt;=0),1,0)+IF(AND(H5192="SI",P5192&gt;=0),1,0)</f>
        <v>0</v>
      </c>
      <c r="R5199" s="759"/>
      <c r="S5199" s="761"/>
      <c r="T5199" s="764"/>
      <c r="U5199" s="219"/>
      <c r="V5199" s="464"/>
      <c r="Y5199" s="532" t="s">
        <v>342</v>
      </c>
      <c r="AA5199" s="550" t="s">
        <v>344</v>
      </c>
      <c r="AB5199" s="693" t="s">
        <v>345</v>
      </c>
      <c r="AC5199" s="693" t="s">
        <v>346</v>
      </c>
      <c r="AD5199" s="685" t="s">
        <v>347</v>
      </c>
      <c r="AE5199" s="52"/>
      <c r="AF5199" s="52"/>
      <c r="AG5199" s="52"/>
      <c r="AH5199" s="87"/>
      <c r="AI5199" s="87"/>
    </row>
    <row r="5200" spans="1:35" ht="15.75" hidden="1" customHeight="1" thickBot="1">
      <c r="A5200" s="218" t="e">
        <f>"N"&amp;E5179</f>
        <v>#N/A</v>
      </c>
      <c r="B5200" s="702"/>
      <c r="C5200" s="114">
        <v>1</v>
      </c>
      <c r="D5200" s="194" t="e">
        <f>IF(AND(C5200&lt;=F5198,F5198&gt;1,F5198&lt;&gt;""),VLOOKUP(VALUE(E5179&amp;","&amp;C5200),INTEGRANTES!$D$18:$F$235,2,0),"")</f>
        <v>#N/A</v>
      </c>
      <c r="E5200" s="211" t="e">
        <f>IF(D5200&lt;&gt;"",VLOOKUP(VALUE(E5179&amp;","&amp;C5200),INTEGRANTES!$D$18:$F$235,3,0),"")</f>
        <v>#N/A</v>
      </c>
      <c r="F5200" s="547" t="e">
        <f>IF(D5200="","",SUMIF($I5183:$I5192,D5200,$P5183:$P5192))</f>
        <v>#N/A</v>
      </c>
      <c r="G5200" s="333" t="e">
        <f>IF(D5200="","",SUMIF($I5183:$I5192,D5200,$M5183:$M5192))</f>
        <v>#N/A</v>
      </c>
      <c r="H5200" s="535" t="e">
        <f t="shared" ref="H5200:H5205" si="1541">IF(D5200="","",IF(OR(F5200=0,G5200=0),"NO APORTA",ROUND($F5200/$G5200,3)))</f>
        <v>#N/A</v>
      </c>
      <c r="I5200" s="212" t="e">
        <f>IF(D5200="","",IF(H5200="NO APORTA","NO",IF(H5200=MAX($H5200:$H5205),"SI","NO")))</f>
        <v>#N/A</v>
      </c>
      <c r="J5200" s="213" t="e">
        <f t="shared" ref="J5200:J5205" si="1542">IF(D5200="","",IF(E5200&gt;=PORCREQUERIDOINT,"SI","NO"))</f>
        <v>#N/A</v>
      </c>
      <c r="K5200" s="200" t="e">
        <f t="shared" ref="K5200:K5205" si="1543">IF(D5200="","",IF(AND(I5200="SI",J5200="SI"),"CUMPLE",IF(AND(I5200="NO",OR(J5200="SI",J5200="NO")),"","NO CUMPLE")))</f>
        <v>#N/A</v>
      </c>
      <c r="L5200" s="722" t="s">
        <v>108</v>
      </c>
      <c r="M5200" s="726" t="s">
        <v>119</v>
      </c>
      <c r="N5200" s="726"/>
      <c r="O5200" s="726"/>
      <c r="P5200" s="726"/>
      <c r="Q5200" s="727"/>
      <c r="R5200" s="758" t="s">
        <v>80</v>
      </c>
      <c r="S5200" s="747"/>
      <c r="T5200" s="748"/>
      <c r="U5200" s="219"/>
      <c r="V5200" s="464"/>
      <c r="Y5200" s="533" t="e">
        <f>IF(Y5197="","",IF(Y5197="INDIVIDUAL","NO APLICA","VERIFICAR CUADRO"))</f>
        <v>#N/A</v>
      </c>
      <c r="AA5200" s="551"/>
      <c r="AB5200" s="694"/>
      <c r="AC5200" s="694"/>
      <c r="AD5200" s="686"/>
      <c r="AE5200" s="52"/>
      <c r="AF5200" s="52"/>
      <c r="AG5200" s="52"/>
      <c r="AH5200" s="87"/>
      <c r="AI5200" s="87"/>
    </row>
    <row r="5201" spans="1:35" ht="27" hidden="1" customHeight="1" thickBot="1">
      <c r="A5201" s="218" t="e">
        <f>"O"&amp;E5179</f>
        <v>#N/A</v>
      </c>
      <c r="B5201" s="702"/>
      <c r="C5201" s="114">
        <v>2</v>
      </c>
      <c r="D5201" s="194" t="e">
        <f>IF(AND(C5201&lt;=F5198,F5198&lt;&gt;""),VLOOKUP(VALUE(E5179&amp;","&amp;C5201),INTEGRANTES!$D$18:$F$235,2,0),"")</f>
        <v>#N/A</v>
      </c>
      <c r="E5201" s="211" t="e">
        <f>IF(D5201&lt;&gt;"",VLOOKUP(VALUE(E5179&amp;","&amp;C5201),INTEGRANTES!$D$18:$F$235,3,0),"")</f>
        <v>#N/A</v>
      </c>
      <c r="F5201" s="547" t="e">
        <f>IF(D5201="","",SUMIF($I5183:$I5192,D5201,$P5183:$P5192))</f>
        <v>#N/A</v>
      </c>
      <c r="G5201" s="333" t="e">
        <f>IF(D5201="","",SUMIF($I5183:$I5192,D5201,$M5183:$M5192))</f>
        <v>#N/A</v>
      </c>
      <c r="H5201" s="535" t="e">
        <f t="shared" si="1541"/>
        <v>#N/A</v>
      </c>
      <c r="I5201" s="212" t="e">
        <f>IF(D5201="","",IF(H5201="NO APORTA","NO",IF(H5201=MAX($H5200:$H5205),"SI","NO")))</f>
        <v>#N/A</v>
      </c>
      <c r="J5201" s="213" t="e">
        <f t="shared" si="1542"/>
        <v>#N/A</v>
      </c>
      <c r="K5201" s="200" t="e">
        <f t="shared" si="1543"/>
        <v>#N/A</v>
      </c>
      <c r="L5201" s="723"/>
      <c r="M5201" s="715" t="s">
        <v>116</v>
      </c>
      <c r="N5201" s="716"/>
      <c r="O5201" s="556" t="s">
        <v>113</v>
      </c>
      <c r="P5201" s="715" t="s">
        <v>117</v>
      </c>
      <c r="Q5201" s="728"/>
      <c r="R5201" s="759"/>
      <c r="S5201" s="760"/>
      <c r="T5201" s="761"/>
      <c r="U5201" s="219"/>
      <c r="V5201" s="464"/>
      <c r="Y5201" s="414"/>
      <c r="AA5201" s="542" t="e">
        <f>IF(AND(C5200&lt;=F5198,F5198&gt;1,F5198&lt;&gt;""),VLOOKUP(VALUE(E5179&amp;","&amp;C5200),INTEGRANTES!$D$18:$F$235,2,0),"")</f>
        <v>#N/A</v>
      </c>
      <c r="AB5201" s="544" t="e">
        <f t="shared" ref="AB5201:AB5206" si="1544">IF(D5200="","",IF(OR(F5200=0,G5200=0),"NO APORTA",ROUND($F5200/$G5200,3)))</f>
        <v>#N/A</v>
      </c>
      <c r="AC5201" s="529"/>
      <c r="AD5201" s="200" t="e">
        <f t="shared" ref="AD5201:AD5206" si="1545">IF(OR(AA5201="",AB5201=""),"",IF(AND(AC5201="X",AB5201&gt;=EXPREQVTD),"CUMPLE","NO CUMPLE"))</f>
        <v>#N/A</v>
      </c>
      <c r="AE5201" s="52"/>
      <c r="AF5201" s="52"/>
      <c r="AG5201" s="52"/>
      <c r="AH5201" s="87"/>
      <c r="AI5201" s="87"/>
    </row>
    <row r="5202" spans="1:35" ht="16.5" hidden="1" thickBot="1">
      <c r="A5202" s="218" t="e">
        <f>"P"&amp;E5179</f>
        <v>#N/A</v>
      </c>
      <c r="B5202" s="702"/>
      <c r="C5202" s="114">
        <v>3</v>
      </c>
      <c r="D5202" s="194" t="e">
        <f>IF(AND(C5202&lt;=F5198,F5198&lt;&gt;""),VLOOKUP(VALUE(E5179&amp;","&amp;C5202),INTEGRANTES!$D$18:$F$235,2,0),"")</f>
        <v>#N/A</v>
      </c>
      <c r="E5202" s="211" t="e">
        <f>IF(D5202&lt;&gt;"",VLOOKUP(VALUE(E5179&amp;","&amp;C5202),INTEGRANTES!$D$18:$F$235,3,0),"")</f>
        <v>#N/A</v>
      </c>
      <c r="F5202" s="547" t="e">
        <f>IF(D5202="","",SUMIF($I5183:$I5192,D5202,$P5183:$P5192))</f>
        <v>#N/A</v>
      </c>
      <c r="G5202" s="333" t="e">
        <f>IF(D5202="","",SUMIF($I5183:$I5192,D5202,$M5183:$M5192))</f>
        <v>#N/A</v>
      </c>
      <c r="H5202" s="535" t="e">
        <f t="shared" si="1541"/>
        <v>#N/A</v>
      </c>
      <c r="I5202" s="212" t="e">
        <f>IF(D5202="","",IF(H5202="NO APORTA","NO",IF(H5202=MAX($H5200:$H5205),"SI","NO")))</f>
        <v>#N/A</v>
      </c>
      <c r="J5202" s="213" t="e">
        <f t="shared" si="1542"/>
        <v>#N/A</v>
      </c>
      <c r="K5202" s="200" t="e">
        <f t="shared" si="1543"/>
        <v>#N/A</v>
      </c>
      <c r="L5202" s="724"/>
      <c r="M5202" s="729">
        <f>NUMMOD</f>
        <v>1</v>
      </c>
      <c r="N5202" s="730"/>
      <c r="O5202" s="443">
        <f>IF(M5202="","",VLOOKUP(M5202,PRESUPUESTOS!$B$16:$H$16,5,FALSE))</f>
        <v>2</v>
      </c>
      <c r="P5202" s="713">
        <f>IF(OR(COUNTIF(M5183:M5192,"")&gt;=10,Q5199&lt;NUMMINCONT,OR(T5197="NO CUMPLE",T5197="VERIFICAR")),0,ROUND(AVERAGE(M5183:M5192),3))</f>
        <v>0</v>
      </c>
      <c r="Q5202" s="714"/>
      <c r="R5202" s="458"/>
      <c r="S5202" s="459"/>
      <c r="T5202" s="460"/>
      <c r="U5202" s="219"/>
      <c r="V5202" s="464"/>
      <c r="Y5202" s="532" t="str">
        <f>"40% * ("&amp;PRESUPUESTOS!$H$13&amp;")"</f>
        <v>40% * (50% PFMO)</v>
      </c>
      <c r="AA5202" s="540" t="e">
        <f>IF(AND(C5201&lt;=F5198,F5198&lt;&gt;""),VLOOKUP(VALUE(E5179&amp;","&amp;C5201),INTEGRANTES!$D$18:$F$235,2,0),"")</f>
        <v>#N/A</v>
      </c>
      <c r="AB5202" s="545" t="e">
        <f t="shared" si="1544"/>
        <v>#N/A</v>
      </c>
      <c r="AC5202" s="529"/>
      <c r="AD5202" s="200" t="e">
        <f t="shared" si="1545"/>
        <v>#N/A</v>
      </c>
      <c r="AE5202" s="52"/>
      <c r="AF5202" s="52"/>
      <c r="AG5202" s="52"/>
      <c r="AH5202" s="87"/>
      <c r="AI5202" s="87"/>
    </row>
    <row r="5203" spans="1:35" ht="15.75" hidden="1" customHeight="1" thickBot="1">
      <c r="A5203" s="218" t="e">
        <f>"Q"&amp;E5179</f>
        <v>#N/A</v>
      </c>
      <c r="B5203" s="702"/>
      <c r="C5203" s="114">
        <v>4</v>
      </c>
      <c r="D5203" s="194" t="e">
        <f>IF(AND(C5203&lt;=F5198,F5198&lt;&gt;""),VLOOKUP(VALUE(E5179&amp;","&amp;C5203),INTEGRANTES!$D$18:$F$235,2,0),"")</f>
        <v>#N/A</v>
      </c>
      <c r="E5203" s="211" t="e">
        <f>IF(D5203&lt;&gt;"",VLOOKUP(VALUE(E5179&amp;","&amp;C5203),INTEGRANTES!$D$18:$F$235,3,0),"")</f>
        <v>#N/A</v>
      </c>
      <c r="F5203" s="547" t="e">
        <f>IF(D5203="","",SUMIF($I5183:$I5192,D5203,$P5183:$P5192))</f>
        <v>#N/A</v>
      </c>
      <c r="G5203" s="333" t="e">
        <f>IF(D5203="","",SUMIF($I5183:$I5192,D5203,$M5183:$M5192))</f>
        <v>#N/A</v>
      </c>
      <c r="H5203" s="535" t="e">
        <f t="shared" si="1541"/>
        <v>#N/A</v>
      </c>
      <c r="I5203" s="212" t="e">
        <f>IF(D5203="","",IF(H5203="NO APORTA","NO",IF(H5203=MAX($H5200:$H5205),"SI","NO")))</f>
        <v>#N/A</v>
      </c>
      <c r="J5203" s="213" t="e">
        <f t="shared" si="1542"/>
        <v>#N/A</v>
      </c>
      <c r="K5203" s="200" t="e">
        <f t="shared" si="1543"/>
        <v>#N/A</v>
      </c>
      <c r="L5203" s="720" t="s">
        <v>109</v>
      </c>
      <c r="M5203" s="757" t="s">
        <v>120</v>
      </c>
      <c r="N5203" s="726"/>
      <c r="O5203" s="726"/>
      <c r="P5203" s="726"/>
      <c r="Q5203" s="727"/>
      <c r="R5203" s="458"/>
      <c r="S5203" s="459"/>
      <c r="T5203" s="460"/>
      <c r="U5203" s="219"/>
      <c r="V5203" s="464"/>
      <c r="Y5203" s="537">
        <f>0.4*PRESUPUESTOS!$H$16</f>
        <v>10.3124</v>
      </c>
      <c r="AA5203" s="540" t="e">
        <f>IF(AND(C5202&lt;=F5198,F5198&lt;&gt;""),VLOOKUP(VALUE(E5179&amp;","&amp;C5202),INTEGRANTES!$D$18:$F$235,2,0),"")</f>
        <v>#N/A</v>
      </c>
      <c r="AB5203" s="545" t="e">
        <f t="shared" si="1544"/>
        <v>#N/A</v>
      </c>
      <c r="AC5203" s="529"/>
      <c r="AD5203" s="200" t="e">
        <f t="shared" si="1545"/>
        <v>#N/A</v>
      </c>
      <c r="AE5203" s="52"/>
      <c r="AF5203" s="52"/>
      <c r="AG5203" s="52"/>
      <c r="AH5203" s="87"/>
      <c r="AI5203" s="87"/>
    </row>
    <row r="5204" spans="1:35" ht="27" hidden="1" customHeight="1" thickBot="1">
      <c r="A5204" s="218" t="e">
        <f>"R"&amp;E5179</f>
        <v>#N/A</v>
      </c>
      <c r="B5204" s="702"/>
      <c r="C5204" s="114">
        <v>5</v>
      </c>
      <c r="D5204" s="194" t="e">
        <f>IF(AND(C5204&lt;=F5198,F5198&lt;&gt;""),VLOOKUP(VALUE(E5179&amp;","&amp;C5204),INTEGRANTES!$D$18:$F$235,2,0),"")</f>
        <v>#N/A</v>
      </c>
      <c r="E5204" s="211" t="e">
        <f>IF(D5204&lt;&gt;"",VLOOKUP(VALUE(E5179&amp;","&amp;C5204),INTEGRANTES!$D$18:$F$235,3,0),"")</f>
        <v>#N/A</v>
      </c>
      <c r="F5204" s="547" t="e">
        <f>IF(D5204="","",SUMIF($I5183:$I5192,D5204,$P5183:$P5192))</f>
        <v>#N/A</v>
      </c>
      <c r="G5204" s="333" t="e">
        <f>IF(D5204="","",SUMIF($I5183:$I5192,D5204,$M5183:$M5192))</f>
        <v>#N/A</v>
      </c>
      <c r="H5204" s="535" t="e">
        <f t="shared" si="1541"/>
        <v>#N/A</v>
      </c>
      <c r="I5204" s="212" t="e">
        <f>IF(D5204="","",IF(H5204="NO APORTA","NO",IF(H5204=MAX($H5200:$H5205),"SI","NO")))</f>
        <v>#N/A</v>
      </c>
      <c r="J5204" s="213" t="e">
        <f t="shared" si="1542"/>
        <v>#N/A</v>
      </c>
      <c r="K5204" s="200" t="e">
        <f t="shared" si="1543"/>
        <v>#N/A</v>
      </c>
      <c r="L5204" s="721"/>
      <c r="M5204" s="715" t="s">
        <v>116</v>
      </c>
      <c r="N5204" s="716"/>
      <c r="O5204" s="556" t="str">
        <f>PORCREQUERIDO*100&amp;"% PMFO DEL MÓDULO"</f>
        <v>50% PMFO DEL MÓDULO</v>
      </c>
      <c r="P5204" s="715" t="s">
        <v>118</v>
      </c>
      <c r="Q5204" s="728"/>
      <c r="R5204" s="458"/>
      <c r="S5204" s="459"/>
      <c r="T5204" s="460"/>
      <c r="U5204" s="219"/>
      <c r="V5204" s="464"/>
      <c r="Y5204" s="414"/>
      <c r="AA5204" s="540" t="e">
        <f>IF(AND(C5203&lt;=F5198,F5198&lt;&gt;""),VLOOKUP(VALUE(E5179&amp;","&amp;C5203),INTEGRANTES!$D$18:$F$235,2,0),"")</f>
        <v>#N/A</v>
      </c>
      <c r="AB5204" s="545" t="e">
        <f t="shared" si="1544"/>
        <v>#N/A</v>
      </c>
      <c r="AC5204" s="529"/>
      <c r="AD5204" s="200" t="e">
        <f t="shared" si="1545"/>
        <v>#N/A</v>
      </c>
      <c r="AE5204" s="52"/>
      <c r="AF5204" s="52"/>
      <c r="AG5204" s="52"/>
      <c r="AH5204" s="87"/>
      <c r="AI5204" s="87"/>
    </row>
    <row r="5205" spans="1:35" ht="16.5" hidden="1" thickBot="1">
      <c r="A5205" s="218" t="e">
        <f>"S"&amp;E5179</f>
        <v>#N/A</v>
      </c>
      <c r="B5205" s="702"/>
      <c r="C5205" s="215">
        <v>6</v>
      </c>
      <c r="D5205" s="216" t="e">
        <f>IF(AND(C5205&lt;=F5198,F5198&lt;&gt;""),VLOOKUP(VALUE(E5179&amp;","&amp;C5205),INTEGRANTES!$D$18:$F$235,2,0),"")</f>
        <v>#N/A</v>
      </c>
      <c r="E5205" s="217" t="e">
        <f>IF(D5205&lt;&gt;"",VLOOKUP(VALUE(E5179&amp;","&amp;C5205),INTEGRANTES!$D$18:$F$235,3,0),"")</f>
        <v>#N/A</v>
      </c>
      <c r="F5205" s="548" t="e">
        <f>IF(D5205="","",SUMIF($I5183:$I5192,D5205,$P5183:$P5192))</f>
        <v>#N/A</v>
      </c>
      <c r="G5205" s="334" t="e">
        <f>IF(D5205="","",SUMIF($I5183:$I5192,D5205,$M5183:$M5192))</f>
        <v>#N/A</v>
      </c>
      <c r="H5205" s="536" t="e">
        <f t="shared" si="1541"/>
        <v>#N/A</v>
      </c>
      <c r="I5205" s="214" t="e">
        <f>IF(D5205="","",IF(H5205="NO APORTA","NO",IF(H5205=MAX($H5200:$H5205),"SI","NO")))</f>
        <v>#N/A</v>
      </c>
      <c r="J5205" s="213" t="e">
        <f t="shared" si="1542"/>
        <v>#N/A</v>
      </c>
      <c r="K5205" s="200" t="e">
        <f t="shared" si="1543"/>
        <v>#N/A</v>
      </c>
      <c r="L5205" s="721"/>
      <c r="M5205" s="729">
        <f>NUMMOD</f>
        <v>1</v>
      </c>
      <c r="N5205" s="730"/>
      <c r="O5205" s="443">
        <f>IF(M5205="","",ROUND(VLOOKUP(M5205,PRESUPUESTOS!$B$16:$H$16,7,FALSE),3))</f>
        <v>25.780999999999999</v>
      </c>
      <c r="P5205" s="713">
        <f>IF(OR(COUNTIF(P5183:P5192,"")&gt;=10,Q5199&lt;NUMMINCONT,OR(T5197="NO CUMPLE",T5197="VERIFICAR")),0,ROUND((SUM(P5183:P5192)/SUM(M5183:M5192)),3))</f>
        <v>0</v>
      </c>
      <c r="Q5205" s="714"/>
      <c r="R5205" s="458"/>
      <c r="S5205" s="459"/>
      <c r="T5205" s="460"/>
      <c r="U5205" s="219"/>
      <c r="V5205" s="464"/>
      <c r="Y5205" s="532" t="s">
        <v>343</v>
      </c>
      <c r="AA5205" s="540" t="e">
        <f>IF(AND(C5204&lt;=F5198,F5198&lt;&gt;""),VLOOKUP(VALUE(E5179&amp;","&amp;C5204),INTEGRANTES!$D$18:$F$235,2,0),"")</f>
        <v>#N/A</v>
      </c>
      <c r="AB5205" s="545" t="e">
        <f t="shared" si="1544"/>
        <v>#N/A</v>
      </c>
      <c r="AC5205" s="529"/>
      <c r="AD5205" s="200" t="e">
        <f t="shared" si="1545"/>
        <v>#N/A</v>
      </c>
      <c r="AE5205" s="52"/>
      <c r="AF5205" s="52"/>
      <c r="AG5205" s="52"/>
      <c r="AH5205" s="87"/>
      <c r="AI5205" s="87"/>
    </row>
    <row r="5206" spans="1:35" ht="16.5" hidden="1" customHeight="1" thickBot="1">
      <c r="A5206" s="218" t="e">
        <f>"T"&amp;E5179</f>
        <v>#N/A</v>
      </c>
      <c r="B5206" s="703"/>
      <c r="C5206" s="719"/>
      <c r="D5206" s="719"/>
      <c r="E5206" s="719"/>
      <c r="F5206" s="719"/>
      <c r="G5206" s="719"/>
      <c r="H5206" s="719" t="s">
        <v>110</v>
      </c>
      <c r="I5206" s="719"/>
      <c r="J5206" s="719"/>
      <c r="K5206" s="201" t="str">
        <f>IF(COUNTIF(K5200:K5205,"")=6,"",IF(COUNTIF(K5200:K5205,"CUMPLE")&gt;0,"CUMPLE","NO CUMPLE"))</f>
        <v>NO CUMPLE</v>
      </c>
      <c r="L5206" s="754"/>
      <c r="M5206" s="755"/>
      <c r="N5206" s="755"/>
      <c r="O5206" s="755"/>
      <c r="P5206" s="755"/>
      <c r="Q5206" s="756"/>
      <c r="R5206" s="461"/>
      <c r="S5206" s="462"/>
      <c r="T5206" s="463"/>
      <c r="U5206" s="219"/>
      <c r="V5206" s="464"/>
      <c r="Y5206" s="549" t="e">
        <f>IF(Y5200="NO APLICA","NO APLICA",IF(COUNTIF(AD5201:AD5206,"CUMPLE")&gt;0,"CUMPLE","NO CUMPLE"))</f>
        <v>#N/A</v>
      </c>
      <c r="AA5206" s="541" t="e">
        <f>IF(AND(C5205&lt;=F5198,F5198&lt;&gt;""),VLOOKUP(VALUE(E5179&amp;","&amp;C5205),INTEGRANTES!$D$18:$F$235,2,0),"")</f>
        <v>#N/A</v>
      </c>
      <c r="AB5206" s="546" t="e">
        <f t="shared" si="1544"/>
        <v>#N/A</v>
      </c>
      <c r="AC5206" s="543"/>
      <c r="AD5206" s="201" t="e">
        <f t="shared" si="1545"/>
        <v>#N/A</v>
      </c>
      <c r="AE5206" s="52"/>
      <c r="AF5206" s="52"/>
      <c r="AG5206" s="52"/>
      <c r="AH5206" s="87"/>
      <c r="AI5206" s="87"/>
    </row>
    <row r="5207" spans="1:35" hidden="1">
      <c r="AH5207" s="87"/>
      <c r="AI5207" s="87"/>
    </row>
    <row r="5208" spans="1:35" hidden="1">
      <c r="AH5208" s="87"/>
      <c r="AI5208" s="87"/>
    </row>
    <row r="5209" spans="1:35" ht="24" hidden="1" thickBot="1">
      <c r="A5209" s="61">
        <v>174</v>
      </c>
      <c r="B5209" s="704" t="s">
        <v>51</v>
      </c>
      <c r="C5209" s="704"/>
      <c r="D5209" s="704"/>
      <c r="E5209" s="62" t="e">
        <f>VLOOKUP(A5209,PROPONENTES!$B$19:$E$218,2,FALSE)</f>
        <v>#N/A</v>
      </c>
      <c r="F5209" s="63" t="e">
        <f>VLOOKUP(A5209,PROPONENTES!$B$19:$E$218,3,FALSE)</f>
        <v>#N/A</v>
      </c>
      <c r="G5209" s="64"/>
      <c r="H5209" s="64"/>
      <c r="I5209" s="63"/>
      <c r="J5209" s="63"/>
      <c r="K5209" s="65"/>
      <c r="L5209" s="65"/>
      <c r="M5209" s="64"/>
      <c r="N5209" s="64"/>
      <c r="O5209" s="66"/>
      <c r="P5209" s="66"/>
      <c r="Q5209" s="66"/>
      <c r="R5209" s="66"/>
      <c r="S5209" s="67"/>
      <c r="T5209" s="68"/>
      <c r="U5209" s="68"/>
      <c r="AC5209" s="68"/>
      <c r="AD5209" s="68"/>
      <c r="AE5209" s="68"/>
      <c r="AF5209" s="68"/>
      <c r="AG5209" s="68"/>
      <c r="AH5209" s="87"/>
      <c r="AI5209" s="87"/>
    </row>
    <row r="5210" spans="1:35" ht="15.75" hidden="1" customHeight="1">
      <c r="A5210" s="44"/>
      <c r="B5210" s="709" t="s">
        <v>59</v>
      </c>
      <c r="C5210" s="552" t="s">
        <v>60</v>
      </c>
      <c r="D5210" s="70" t="s">
        <v>17</v>
      </c>
      <c r="E5210" s="70"/>
      <c r="F5210" s="70" t="s">
        <v>61</v>
      </c>
      <c r="G5210" s="71"/>
      <c r="H5210" s="699" t="s">
        <v>62</v>
      </c>
      <c r="I5210" s="699" t="s">
        <v>18</v>
      </c>
      <c r="J5210" s="699" t="s">
        <v>63</v>
      </c>
      <c r="K5210" s="699" t="s">
        <v>64</v>
      </c>
      <c r="L5210" s="699" t="s">
        <v>65</v>
      </c>
      <c r="M5210" s="743" t="s">
        <v>66</v>
      </c>
      <c r="N5210" s="699" t="s">
        <v>282</v>
      </c>
      <c r="O5210" s="745" t="s">
        <v>67</v>
      </c>
      <c r="P5210" s="746"/>
      <c r="Q5210" s="102" t="s">
        <v>75</v>
      </c>
      <c r="R5210" s="731" t="s">
        <v>22</v>
      </c>
      <c r="S5210" s="732"/>
      <c r="T5210" s="733"/>
      <c r="U5210" s="712" t="s">
        <v>298</v>
      </c>
      <c r="W5210" s="690" t="s">
        <v>268</v>
      </c>
      <c r="X5210" s="691"/>
      <c r="Y5210" s="692"/>
      <c r="Z5210" s="428"/>
      <c r="AA5210" s="697" t="s">
        <v>315</v>
      </c>
      <c r="AB5210" s="695" t="s">
        <v>322</v>
      </c>
      <c r="AC5210" s="49"/>
      <c r="AD5210" s="690" t="s">
        <v>297</v>
      </c>
      <c r="AE5210" s="691"/>
      <c r="AF5210" s="692"/>
      <c r="AG5210" s="49"/>
      <c r="AH5210" s="87"/>
      <c r="AI5210" s="87"/>
    </row>
    <row r="5211" spans="1:35" ht="72" hidden="1">
      <c r="A5211" s="44"/>
      <c r="B5211" s="710"/>
      <c r="C5211" s="553" t="s">
        <v>68</v>
      </c>
      <c r="D5211" s="73" t="s">
        <v>3</v>
      </c>
      <c r="E5211" s="73" t="s">
        <v>19</v>
      </c>
      <c r="F5211" s="73" t="s">
        <v>69</v>
      </c>
      <c r="G5211" s="74" t="s">
        <v>70</v>
      </c>
      <c r="H5211" s="700"/>
      <c r="I5211" s="700"/>
      <c r="J5211" s="700"/>
      <c r="K5211" s="700"/>
      <c r="L5211" s="700"/>
      <c r="M5211" s="744"/>
      <c r="N5211" s="700"/>
      <c r="O5211" s="553" t="s">
        <v>279</v>
      </c>
      <c r="P5211" s="73" t="s">
        <v>88</v>
      </c>
      <c r="Q5211" s="555" t="s">
        <v>76</v>
      </c>
      <c r="R5211" s="734"/>
      <c r="S5211" s="735"/>
      <c r="T5211" s="736"/>
      <c r="U5211" s="712"/>
      <c r="W5211" s="429" t="s">
        <v>269</v>
      </c>
      <c r="X5211" s="457" t="s">
        <v>278</v>
      </c>
      <c r="Y5211" s="430" t="s">
        <v>324</v>
      </c>
      <c r="Z5211" s="428"/>
      <c r="AA5211" s="698"/>
      <c r="AB5211" s="696"/>
      <c r="AC5211" s="49"/>
      <c r="AD5211" s="429" t="s">
        <v>292</v>
      </c>
      <c r="AE5211" s="431" t="s">
        <v>300</v>
      </c>
      <c r="AF5211" s="468" t="s">
        <v>301</v>
      </c>
      <c r="AG5211" s="49"/>
      <c r="AH5211" s="87"/>
      <c r="AI5211" s="87"/>
    </row>
    <row r="5212" spans="1:35" hidden="1">
      <c r="A5212" s="44"/>
      <c r="B5212" s="76"/>
      <c r="C5212" s="77"/>
      <c r="D5212" s="77"/>
      <c r="E5212" s="77"/>
      <c r="F5212" s="77"/>
      <c r="G5212" s="77"/>
      <c r="H5212" s="77"/>
      <c r="I5212" s="77"/>
      <c r="J5212" s="77"/>
      <c r="K5212" s="77"/>
      <c r="L5212" s="77"/>
      <c r="M5212" s="77"/>
      <c r="N5212" s="77"/>
      <c r="O5212" s="77"/>
      <c r="P5212" s="77"/>
      <c r="Q5212" s="77"/>
      <c r="R5212" s="77"/>
      <c r="S5212" s="78"/>
      <c r="T5212" s="79"/>
      <c r="U5212" s="109"/>
      <c r="V5212" s="49"/>
      <c r="W5212" s="432"/>
      <c r="X5212" s="454"/>
      <c r="Y5212" s="433"/>
      <c r="Z5212" s="6"/>
      <c r="AA5212" s="500"/>
      <c r="AB5212" s="562"/>
      <c r="AC5212" s="49"/>
      <c r="AD5212" s="210"/>
      <c r="AE5212" s="434"/>
      <c r="AF5212" s="435"/>
      <c r="AG5212" s="49"/>
      <c r="AH5212" s="87"/>
      <c r="AI5212" s="87"/>
    </row>
    <row r="5213" spans="1:35" hidden="1">
      <c r="A5213" s="80" t="e">
        <f>"A"&amp;E5209</f>
        <v>#N/A</v>
      </c>
      <c r="B5213" s="81">
        <v>1</v>
      </c>
      <c r="C5213" s="82"/>
      <c r="D5213" s="82"/>
      <c r="E5213" s="82"/>
      <c r="F5213" s="82"/>
      <c r="G5213" s="83"/>
      <c r="H5213" s="83"/>
      <c r="I5213" s="84"/>
      <c r="J5213" s="85"/>
      <c r="K5213" s="382"/>
      <c r="L5213" s="85"/>
      <c r="M5213" s="332" t="str">
        <f t="shared" ref="M5213:M5222" si="1546">IF(OR(J5213="",L5213="",H5213="NO"),"",IF(OR(J5213&gt;$P$17,J5213&lt;$O$17,L5213&gt;$P$17,AND(J5213&lt;$O$17,L5213&lt;$O$17)),"FUERA DE RANGO",IF(OR(K5213="---",K5213=""),IF(J5213&gt;=$O$17,ROUND((L5213-J5213+1)/360*12,3),ROUND((L5213-$O$17+1)/360*12,3)),IF(J5213&gt;=$O$17,ROUND((L5213-J5213+1)/360*12-ROUND(K5213,3),3),ROUND((L5213-$O$17+1)/360*12-ROUND(K5213,3),3)))))</f>
        <v/>
      </c>
      <c r="N5213" s="86"/>
      <c r="O5213" s="453" t="str">
        <f>IF(OR(G5213="",N5213=""),"",N5213*G5213)</f>
        <v/>
      </c>
      <c r="P5213" s="538" t="str">
        <f>IF(OR(H5213="",M5213="FUERA DE RANGO"),"",IF(OR(L5213&lt;$O$17,L5213&gt;$P$17,L5213="",H5213="NO"),"",IF(OR(N5213="",O5213=""),"",ROUND(O5213,3))))</f>
        <v/>
      </c>
      <c r="Q5213" s="539" t="str">
        <f t="shared" ref="Q5213:Q5222" si="1547">IF(AND(H5213="SI",P5213&lt;&gt;""),ROUND(P5213/M5213,3),"")</f>
        <v/>
      </c>
      <c r="R5213" s="737"/>
      <c r="S5213" s="738"/>
      <c r="T5213" s="739"/>
      <c r="U5213" s="470"/>
      <c r="V5213" s="165"/>
      <c r="W5213" s="446"/>
      <c r="X5213" s="456"/>
      <c r="Y5213" s="436"/>
      <c r="Z5213" s="437"/>
      <c r="AA5213" s="560"/>
      <c r="AB5213" s="561"/>
      <c r="AC5213" s="87"/>
      <c r="AD5213" s="466"/>
      <c r="AE5213" s="456"/>
      <c r="AF5213" s="467"/>
      <c r="AG5213" s="87"/>
      <c r="AH5213" s="87"/>
      <c r="AI5213" s="87"/>
    </row>
    <row r="5214" spans="1:35" hidden="1">
      <c r="A5214" s="80" t="e">
        <f>"B"&amp;E5209</f>
        <v>#N/A</v>
      </c>
      <c r="B5214" s="81">
        <v>2</v>
      </c>
      <c r="C5214" s="106"/>
      <c r="D5214" s="106"/>
      <c r="E5214" s="106"/>
      <c r="F5214" s="106"/>
      <c r="G5214" s="83"/>
      <c r="H5214" s="83"/>
      <c r="I5214" s="84"/>
      <c r="J5214" s="85"/>
      <c r="K5214" s="382"/>
      <c r="L5214" s="85"/>
      <c r="M5214" s="332" t="str">
        <f t="shared" si="1546"/>
        <v/>
      </c>
      <c r="N5214" s="86"/>
      <c r="O5214" s="453" t="str">
        <f t="shared" ref="O5214:O5222" si="1548">IF(OR(G5214="",N5214=""),"",N5214*G5214)</f>
        <v/>
      </c>
      <c r="P5214" s="538" t="str">
        <f t="shared" ref="P5214:P5222" si="1549">IF(OR(H5214="",M5214="FUERA DE RANGO"),"",IF(OR(L5214&lt;$O$17,L5214&gt;$P$17,L5214="",H5214="NO"),"",IF(OR(N5214="",O5214=""),"",ROUND(O5214,3))))</f>
        <v/>
      </c>
      <c r="Q5214" s="539" t="str">
        <f t="shared" si="1547"/>
        <v/>
      </c>
      <c r="R5214" s="740"/>
      <c r="S5214" s="741"/>
      <c r="T5214" s="742"/>
      <c r="U5214" s="471"/>
      <c r="V5214" s="165"/>
      <c r="W5214" s="446"/>
      <c r="X5214" s="456"/>
      <c r="Y5214" s="436"/>
      <c r="Z5214" s="437"/>
      <c r="AA5214" s="560"/>
      <c r="AB5214" s="561"/>
      <c r="AC5214" s="87"/>
      <c r="AD5214" s="466"/>
      <c r="AE5214" s="456"/>
      <c r="AF5214" s="467"/>
      <c r="AG5214" s="87"/>
      <c r="AH5214" s="87"/>
      <c r="AI5214" s="87"/>
    </row>
    <row r="5215" spans="1:35" hidden="1">
      <c r="A5215" s="80" t="e">
        <f>"C"&amp;E5209</f>
        <v>#N/A</v>
      </c>
      <c r="B5215" s="88">
        <v>3</v>
      </c>
      <c r="C5215" s="82"/>
      <c r="D5215" s="82"/>
      <c r="E5215" s="82"/>
      <c r="F5215" s="82"/>
      <c r="G5215" s="83"/>
      <c r="H5215" s="83"/>
      <c r="I5215" s="84"/>
      <c r="J5215" s="85"/>
      <c r="K5215" s="382"/>
      <c r="L5215" s="85"/>
      <c r="M5215" s="332" t="str">
        <f t="shared" si="1546"/>
        <v/>
      </c>
      <c r="N5215" s="86"/>
      <c r="O5215" s="453" t="str">
        <f t="shared" si="1548"/>
        <v/>
      </c>
      <c r="P5215" s="538" t="str">
        <f t="shared" si="1549"/>
        <v/>
      </c>
      <c r="Q5215" s="539" t="str">
        <f t="shared" si="1547"/>
        <v/>
      </c>
      <c r="R5215" s="706"/>
      <c r="S5215" s="707"/>
      <c r="T5215" s="708"/>
      <c r="U5215" s="472"/>
      <c r="V5215" s="166"/>
      <c r="W5215" s="446"/>
      <c r="X5215" s="456"/>
      <c r="Y5215" s="436"/>
      <c r="Z5215" s="437"/>
      <c r="AA5215" s="560"/>
      <c r="AB5215" s="561"/>
      <c r="AC5215" s="87"/>
      <c r="AD5215" s="466"/>
      <c r="AE5215" s="456"/>
      <c r="AF5215" s="467"/>
      <c r="AG5215" s="87"/>
      <c r="AH5215" s="87"/>
      <c r="AI5215" s="87"/>
    </row>
    <row r="5216" spans="1:35" hidden="1">
      <c r="A5216" s="80" t="e">
        <f>"D"&amp;E5209</f>
        <v>#N/A</v>
      </c>
      <c r="B5216" s="105">
        <v>4</v>
      </c>
      <c r="C5216" s="107"/>
      <c r="D5216" s="107"/>
      <c r="E5216" s="107"/>
      <c r="F5216" s="107"/>
      <c r="G5216" s="83"/>
      <c r="H5216" s="83"/>
      <c r="I5216" s="84"/>
      <c r="J5216" s="85"/>
      <c r="K5216" s="382"/>
      <c r="L5216" s="85"/>
      <c r="M5216" s="332" t="str">
        <f t="shared" si="1546"/>
        <v/>
      </c>
      <c r="N5216" s="86"/>
      <c r="O5216" s="453" t="str">
        <f t="shared" si="1548"/>
        <v/>
      </c>
      <c r="P5216" s="538" t="str">
        <f t="shared" si="1549"/>
        <v/>
      </c>
      <c r="Q5216" s="539" t="str">
        <f t="shared" si="1547"/>
        <v/>
      </c>
      <c r="R5216" s="706"/>
      <c r="S5216" s="707"/>
      <c r="T5216" s="708"/>
      <c r="U5216" s="472"/>
      <c r="V5216" s="166"/>
      <c r="W5216" s="446"/>
      <c r="X5216" s="456"/>
      <c r="Y5216" s="436"/>
      <c r="Z5216" s="437"/>
      <c r="AA5216" s="560"/>
      <c r="AB5216" s="561"/>
      <c r="AC5216" s="87"/>
      <c r="AD5216" s="466"/>
      <c r="AE5216" s="456"/>
      <c r="AF5216" s="467"/>
      <c r="AG5216" s="87"/>
      <c r="AH5216" s="87"/>
      <c r="AI5216" s="87"/>
    </row>
    <row r="5217" spans="1:35" hidden="1">
      <c r="A5217" s="80" t="e">
        <f>"E"&amp;E5209</f>
        <v>#N/A</v>
      </c>
      <c r="B5217" s="105">
        <v>5</v>
      </c>
      <c r="C5217" s="107"/>
      <c r="D5217" s="107"/>
      <c r="E5217" s="107"/>
      <c r="F5217" s="107"/>
      <c r="G5217" s="83"/>
      <c r="H5217" s="83"/>
      <c r="I5217" s="84"/>
      <c r="J5217" s="85"/>
      <c r="K5217" s="382"/>
      <c r="L5217" s="85"/>
      <c r="M5217" s="332" t="str">
        <f t="shared" si="1546"/>
        <v/>
      </c>
      <c r="N5217" s="86"/>
      <c r="O5217" s="453" t="str">
        <f t="shared" si="1548"/>
        <v/>
      </c>
      <c r="P5217" s="538" t="str">
        <f t="shared" si="1549"/>
        <v/>
      </c>
      <c r="Q5217" s="539" t="str">
        <f t="shared" si="1547"/>
        <v/>
      </c>
      <c r="R5217" s="706"/>
      <c r="S5217" s="707"/>
      <c r="T5217" s="708"/>
      <c r="U5217" s="472"/>
      <c r="V5217" s="167"/>
      <c r="W5217" s="446"/>
      <c r="X5217" s="456"/>
      <c r="Y5217" s="436"/>
      <c r="Z5217" s="437"/>
      <c r="AA5217" s="560"/>
      <c r="AB5217" s="561"/>
      <c r="AC5217" s="87"/>
      <c r="AD5217" s="466"/>
      <c r="AE5217" s="456"/>
      <c r="AF5217" s="467"/>
      <c r="AG5217" s="87"/>
      <c r="AH5217" s="87"/>
      <c r="AI5217" s="87"/>
    </row>
    <row r="5218" spans="1:35" hidden="1">
      <c r="A5218" s="80" t="e">
        <f>"F"&amp;E5209</f>
        <v>#N/A</v>
      </c>
      <c r="B5218" s="105">
        <v>6</v>
      </c>
      <c r="C5218" s="107"/>
      <c r="D5218" s="107"/>
      <c r="E5218" s="107"/>
      <c r="F5218" s="107"/>
      <c r="G5218" s="83"/>
      <c r="H5218" s="83"/>
      <c r="I5218" s="84"/>
      <c r="J5218" s="85"/>
      <c r="K5218" s="382"/>
      <c r="L5218" s="85"/>
      <c r="M5218" s="332" t="str">
        <f t="shared" si="1546"/>
        <v/>
      </c>
      <c r="N5218" s="86"/>
      <c r="O5218" s="453" t="str">
        <f t="shared" si="1548"/>
        <v/>
      </c>
      <c r="P5218" s="538" t="str">
        <f t="shared" si="1549"/>
        <v/>
      </c>
      <c r="Q5218" s="539" t="str">
        <f t="shared" si="1547"/>
        <v/>
      </c>
      <c r="R5218" s="706"/>
      <c r="S5218" s="707"/>
      <c r="T5218" s="708"/>
      <c r="U5218" s="472"/>
      <c r="V5218" s="167"/>
      <c r="W5218" s="446"/>
      <c r="X5218" s="456"/>
      <c r="Y5218" s="436"/>
      <c r="Z5218" s="437"/>
      <c r="AA5218" s="560"/>
      <c r="AB5218" s="561"/>
      <c r="AC5218" s="87"/>
      <c r="AD5218" s="466"/>
      <c r="AE5218" s="456"/>
      <c r="AF5218" s="467"/>
      <c r="AG5218" s="87"/>
      <c r="AH5218" s="87"/>
      <c r="AI5218" s="87"/>
    </row>
    <row r="5219" spans="1:35" hidden="1">
      <c r="A5219" s="80" t="e">
        <f>"G"&amp;E5209</f>
        <v>#N/A</v>
      </c>
      <c r="B5219" s="105">
        <v>7</v>
      </c>
      <c r="C5219" s="107"/>
      <c r="D5219" s="107"/>
      <c r="E5219" s="107"/>
      <c r="F5219" s="107"/>
      <c r="G5219" s="83"/>
      <c r="H5219" s="83"/>
      <c r="I5219" s="84"/>
      <c r="J5219" s="85"/>
      <c r="K5219" s="382"/>
      <c r="L5219" s="85"/>
      <c r="M5219" s="332" t="str">
        <f t="shared" si="1546"/>
        <v/>
      </c>
      <c r="N5219" s="86"/>
      <c r="O5219" s="86" t="str">
        <f t="shared" si="1548"/>
        <v/>
      </c>
      <c r="P5219" s="538" t="str">
        <f t="shared" si="1549"/>
        <v/>
      </c>
      <c r="Q5219" s="539" t="str">
        <f t="shared" si="1547"/>
        <v/>
      </c>
      <c r="R5219" s="706"/>
      <c r="S5219" s="707"/>
      <c r="T5219" s="708"/>
      <c r="U5219" s="472"/>
      <c r="V5219" s="167"/>
      <c r="W5219" s="446"/>
      <c r="X5219" s="456"/>
      <c r="Y5219" s="436"/>
      <c r="Z5219" s="437"/>
      <c r="AA5219" s="560"/>
      <c r="AB5219" s="561"/>
      <c r="AC5219" s="87"/>
      <c r="AD5219" s="466"/>
      <c r="AE5219" s="456"/>
      <c r="AF5219" s="467"/>
      <c r="AG5219" s="87"/>
      <c r="AH5219" s="87"/>
      <c r="AI5219" s="87"/>
    </row>
    <row r="5220" spans="1:35" hidden="1">
      <c r="A5220" s="80" t="e">
        <f>"H"&amp;E5209</f>
        <v>#N/A</v>
      </c>
      <c r="B5220" s="105">
        <v>8</v>
      </c>
      <c r="C5220" s="107"/>
      <c r="D5220" s="107"/>
      <c r="E5220" s="107"/>
      <c r="F5220" s="107"/>
      <c r="G5220" s="83"/>
      <c r="H5220" s="83"/>
      <c r="I5220" s="84"/>
      <c r="J5220" s="85"/>
      <c r="K5220" s="382"/>
      <c r="L5220" s="85"/>
      <c r="M5220" s="332" t="str">
        <f t="shared" si="1546"/>
        <v/>
      </c>
      <c r="N5220" s="453"/>
      <c r="O5220" s="86" t="str">
        <f t="shared" si="1548"/>
        <v/>
      </c>
      <c r="P5220" s="538" t="str">
        <f t="shared" si="1549"/>
        <v/>
      </c>
      <c r="Q5220" s="539" t="str">
        <f t="shared" si="1547"/>
        <v/>
      </c>
      <c r="R5220" s="706"/>
      <c r="S5220" s="707"/>
      <c r="T5220" s="708"/>
      <c r="U5220" s="472"/>
      <c r="V5220" s="167"/>
      <c r="W5220" s="446"/>
      <c r="X5220" s="456"/>
      <c r="Y5220" s="436"/>
      <c r="Z5220" s="437"/>
      <c r="AA5220" s="560"/>
      <c r="AB5220" s="561"/>
      <c r="AC5220" s="87"/>
      <c r="AD5220" s="466"/>
      <c r="AE5220" s="456"/>
      <c r="AF5220" s="467"/>
      <c r="AG5220" s="87"/>
      <c r="AH5220" s="87"/>
      <c r="AI5220" s="87"/>
    </row>
    <row r="5221" spans="1:35" hidden="1">
      <c r="A5221" s="80" t="e">
        <f>"I"&amp;E5209</f>
        <v>#N/A</v>
      </c>
      <c r="B5221" s="105">
        <v>9</v>
      </c>
      <c r="C5221" s="107"/>
      <c r="D5221" s="107"/>
      <c r="E5221" s="107"/>
      <c r="F5221" s="107"/>
      <c r="G5221" s="83"/>
      <c r="H5221" s="83"/>
      <c r="I5221" s="84"/>
      <c r="J5221" s="85"/>
      <c r="K5221" s="382"/>
      <c r="L5221" s="85"/>
      <c r="M5221" s="332" t="str">
        <f t="shared" si="1546"/>
        <v/>
      </c>
      <c r="N5221" s="453"/>
      <c r="O5221" s="86" t="str">
        <f t="shared" si="1548"/>
        <v/>
      </c>
      <c r="P5221" s="538" t="str">
        <f t="shared" si="1549"/>
        <v/>
      </c>
      <c r="Q5221" s="539" t="str">
        <f t="shared" si="1547"/>
        <v/>
      </c>
      <c r="R5221" s="706"/>
      <c r="S5221" s="707"/>
      <c r="T5221" s="708"/>
      <c r="U5221" s="472"/>
      <c r="V5221" s="167"/>
      <c r="W5221" s="446"/>
      <c r="X5221" s="456"/>
      <c r="Y5221" s="436"/>
      <c r="Z5221" s="437"/>
      <c r="AA5221" s="560"/>
      <c r="AB5221" s="561"/>
      <c r="AC5221" s="87"/>
      <c r="AD5221" s="466"/>
      <c r="AE5221" s="456"/>
      <c r="AF5221" s="467"/>
      <c r="AG5221" s="87"/>
      <c r="AH5221" s="87"/>
      <c r="AI5221" s="87"/>
    </row>
    <row r="5222" spans="1:35" hidden="1">
      <c r="A5222" s="80" t="e">
        <f>"J"&amp;E5209</f>
        <v>#N/A</v>
      </c>
      <c r="B5222" s="105">
        <v>10</v>
      </c>
      <c r="C5222" s="107"/>
      <c r="D5222" s="107"/>
      <c r="E5222" s="107"/>
      <c r="F5222" s="107"/>
      <c r="G5222" s="83"/>
      <c r="H5222" s="83"/>
      <c r="I5222" s="84"/>
      <c r="J5222" s="85"/>
      <c r="K5222" s="382"/>
      <c r="L5222" s="85"/>
      <c r="M5222" s="332" t="str">
        <f t="shared" si="1546"/>
        <v/>
      </c>
      <c r="N5222" s="453"/>
      <c r="O5222" s="86" t="str">
        <f t="shared" si="1548"/>
        <v/>
      </c>
      <c r="P5222" s="538" t="str">
        <f t="shared" si="1549"/>
        <v/>
      </c>
      <c r="Q5222" s="539" t="str">
        <f t="shared" si="1547"/>
        <v/>
      </c>
      <c r="R5222" s="706"/>
      <c r="S5222" s="707"/>
      <c r="T5222" s="708"/>
      <c r="U5222" s="472"/>
      <c r="V5222" s="167"/>
      <c r="W5222" s="446"/>
      <c r="X5222" s="456"/>
      <c r="Y5222" s="436"/>
      <c r="Z5222" s="437"/>
      <c r="AA5222" s="560"/>
      <c r="AB5222" s="561"/>
      <c r="AC5222" s="87"/>
      <c r="AD5222" s="466"/>
      <c r="AE5222" s="456"/>
      <c r="AF5222" s="467"/>
      <c r="AG5222" s="87"/>
      <c r="AH5222" s="87"/>
      <c r="AI5222" s="87"/>
    </row>
    <row r="5223" spans="1:35" ht="16.5" hidden="1" thickBot="1">
      <c r="A5223" s="44"/>
      <c r="B5223" s="89"/>
      <c r="C5223" s="90"/>
      <c r="D5223" s="90"/>
      <c r="E5223" s="90"/>
      <c r="F5223" s="90"/>
      <c r="G5223" s="90"/>
      <c r="H5223" s="90"/>
      <c r="I5223" s="90"/>
      <c r="J5223" s="90"/>
      <c r="K5223" s="90"/>
      <c r="L5223" s="90"/>
      <c r="M5223" s="90"/>
      <c r="N5223" s="90"/>
      <c r="O5223" s="90"/>
      <c r="P5223" s="90"/>
      <c r="Q5223" s="90"/>
      <c r="R5223" s="90"/>
      <c r="S5223" s="91"/>
      <c r="T5223" s="92"/>
      <c r="U5223" s="473"/>
      <c r="W5223" s="438"/>
      <c r="X5223" s="455"/>
      <c r="Y5223" s="439"/>
      <c r="Z5223" s="437"/>
      <c r="AA5223" s="530"/>
      <c r="AB5223" s="563"/>
      <c r="AC5223" s="87"/>
      <c r="AD5223" s="440"/>
      <c r="AE5223" s="441"/>
      <c r="AF5223" s="442"/>
      <c r="AG5223" s="49"/>
      <c r="AH5223" s="87"/>
      <c r="AI5223" s="87"/>
    </row>
    <row r="5224" spans="1:35" ht="16.5" hidden="1" thickBot="1">
      <c r="A5224" s="93"/>
      <c r="B5224" s="94"/>
      <c r="C5224" s="96"/>
      <c r="D5224" s="96"/>
      <c r="E5224" s="96"/>
      <c r="F5224" s="96"/>
      <c r="G5224" s="96"/>
      <c r="H5224" s="96"/>
      <c r="I5224" s="96"/>
      <c r="J5224" s="96"/>
      <c r="K5224" s="96"/>
      <c r="L5224" s="96"/>
      <c r="M5224" s="136"/>
      <c r="N5224" s="96"/>
      <c r="O5224" s="96"/>
      <c r="P5224" s="97"/>
      <c r="Q5224" s="97"/>
      <c r="R5224" s="98"/>
      <c r="S5224" s="95"/>
      <c r="T5224" s="99"/>
      <c r="U5224" s="469"/>
      <c r="AC5224" s="58"/>
      <c r="AG5224" s="58"/>
      <c r="AH5224" s="87"/>
      <c r="AI5224" s="87"/>
    </row>
    <row r="5225" spans="1:35" ht="16.5" hidden="1" thickBot="1">
      <c r="B5225" s="101"/>
      <c r="C5225" s="101"/>
      <c r="D5225" s="101"/>
      <c r="E5225" s="101"/>
      <c r="F5225" s="101"/>
      <c r="G5225" s="101"/>
      <c r="H5225" s="101"/>
      <c r="I5225" s="101"/>
      <c r="J5225" s="101"/>
      <c r="K5225" s="101"/>
      <c r="L5225" s="101"/>
      <c r="M5225" s="101"/>
      <c r="N5225" s="101"/>
      <c r="O5225" s="101"/>
      <c r="P5225" s="101"/>
      <c r="Q5225" s="101"/>
      <c r="R5225" s="101"/>
      <c r="S5225" s="101"/>
      <c r="U5225" s="50"/>
      <c r="AH5225" s="87"/>
      <c r="AI5225" s="87"/>
    </row>
    <row r="5226" spans="1:35" ht="16.5" hidden="1" customHeight="1" thickBot="1">
      <c r="A5226" s="44"/>
      <c r="B5226" s="705" t="s">
        <v>74</v>
      </c>
      <c r="C5226" s="705"/>
      <c r="D5226" s="705"/>
      <c r="E5226" s="705"/>
      <c r="F5226" s="705"/>
      <c r="G5226" s="705"/>
      <c r="H5226" s="705"/>
      <c r="I5226" s="705"/>
      <c r="J5226" s="705"/>
      <c r="K5226" s="705"/>
      <c r="L5226" s="705"/>
      <c r="M5226" s="705"/>
      <c r="N5226" s="705"/>
      <c r="O5226" s="705"/>
      <c r="P5226" s="705"/>
      <c r="Q5226" s="705"/>
      <c r="R5226" s="705"/>
      <c r="S5226" s="705"/>
      <c r="T5226" s="705"/>
      <c r="U5226" s="108"/>
      <c r="Y5226" s="532" t="s">
        <v>341</v>
      </c>
      <c r="AC5226" s="49"/>
      <c r="AD5226" s="687" t="s">
        <v>302</v>
      </c>
      <c r="AE5226" s="688"/>
      <c r="AF5226" s="689"/>
      <c r="AG5226" s="49"/>
      <c r="AH5226" s="87"/>
      <c r="AI5226" s="87"/>
    </row>
    <row r="5227" spans="1:35" ht="16.5" hidden="1" customHeight="1" thickBot="1">
      <c r="A5227" s="218" t="e">
        <f>"K"&amp;E5209</f>
        <v>#N/A</v>
      </c>
      <c r="B5227" s="701" t="s">
        <v>71</v>
      </c>
      <c r="C5227" s="751" t="s">
        <v>102</v>
      </c>
      <c r="D5227" s="751"/>
      <c r="E5227" s="751"/>
      <c r="F5227" s="751"/>
      <c r="G5227" s="751"/>
      <c r="H5227" s="751"/>
      <c r="I5227" s="751"/>
      <c r="J5227" s="751"/>
      <c r="K5227" s="751"/>
      <c r="L5227" s="722" t="s">
        <v>100</v>
      </c>
      <c r="M5227" s="747" t="s">
        <v>114</v>
      </c>
      <c r="N5227" s="747"/>
      <c r="O5227" s="747"/>
      <c r="P5227" s="747"/>
      <c r="Q5227" s="748"/>
      <c r="R5227" s="758" t="s">
        <v>280</v>
      </c>
      <c r="S5227" s="748"/>
      <c r="T5227" s="762" t="str">
        <f>IF(COUNTIF(AE5227:AF5227,"VERIFICAR")&gt;0,"VERIFICAR",IF(COUNTIF(AE5227:AF5227,"NO CUMPLE")&gt;0,"NO CUMPLE","CUMPLE"))</f>
        <v>VERIFICAR</v>
      </c>
      <c r="U5227" s="108"/>
      <c r="Y5227" s="533" t="e">
        <f>IF(F5228="","",IF(F5228=1,"INDIVIDUAL","ESTRUCTURA PLURAL"))</f>
        <v>#N/A</v>
      </c>
      <c r="AC5227" s="52"/>
      <c r="AD5227" s="475" t="s">
        <v>303</v>
      </c>
      <c r="AE5227" s="476" t="str">
        <f>IF(COUNTIF(AE5213:AE5222,"")=10,"VERIFICAR",IF(COUNTIF(AE5213:AE5222,"SI")&gt;0,"CUMPLE","NO CUMPLE"))</f>
        <v>VERIFICAR</v>
      </c>
      <c r="AF5227" s="477" t="str">
        <f>IF(COUNTIF(AF5213:AF5222,"")=10,"VERIFICAR",IF(COUNTIF(AF5213:AF5222,"SI")&gt;=$AI$22,"CUMPLE","NO CUMPLE"))</f>
        <v>VERIFICAR</v>
      </c>
      <c r="AG5227" s="52"/>
      <c r="AH5227" s="87"/>
      <c r="AI5227" s="87"/>
    </row>
    <row r="5228" spans="1:35" ht="15.75" hidden="1" customHeight="1" thickBot="1">
      <c r="A5228" s="218" t="e">
        <f>"L"&amp;E5209</f>
        <v>#N/A</v>
      </c>
      <c r="B5228" s="702"/>
      <c r="C5228" s="751" t="s">
        <v>103</v>
      </c>
      <c r="D5228" s="751"/>
      <c r="E5228" s="752"/>
      <c r="F5228" s="557" t="e">
        <f>IF(VLOOKUP(E5209,PROPONENTES!$C$19:$E$218,3,0)="","",VLOOKUP(E5209,PROPONENTES!$C$19:$E$218,3,0))</f>
        <v>#N/A</v>
      </c>
      <c r="G5228" s="753" t="s">
        <v>104</v>
      </c>
      <c r="H5228" s="751"/>
      <c r="I5228" s="715" t="e">
        <f>IF(OR(F5228="",F5228=1),"INTERESADO PERSONA NATURAL O JURIDICA","CONSORCIO O UNION TEMPORAL")</f>
        <v>#N/A</v>
      </c>
      <c r="J5228" s="725"/>
      <c r="K5228" s="728"/>
      <c r="L5228" s="723"/>
      <c r="M5228" s="749"/>
      <c r="N5228" s="749"/>
      <c r="O5228" s="749"/>
      <c r="P5228" s="749"/>
      <c r="Q5228" s="750"/>
      <c r="R5228" s="712"/>
      <c r="S5228" s="750"/>
      <c r="T5228" s="763"/>
      <c r="U5228" s="108"/>
      <c r="Y5228" s="534"/>
      <c r="AA5228" s="52"/>
      <c r="AB5228" s="52"/>
      <c r="AC5228" s="52"/>
      <c r="AG5228" s="52"/>
      <c r="AH5228" s="87"/>
      <c r="AI5228" s="87"/>
    </row>
    <row r="5229" spans="1:35" ht="56.25" hidden="1" customHeight="1" thickBot="1">
      <c r="A5229" s="218" t="e">
        <f>"M"&amp;E5209</f>
        <v>#N/A</v>
      </c>
      <c r="B5229" s="702"/>
      <c r="C5229" s="725" t="s">
        <v>101</v>
      </c>
      <c r="D5229" s="716"/>
      <c r="E5229" s="558" t="s">
        <v>105</v>
      </c>
      <c r="F5229" s="554" t="s">
        <v>87</v>
      </c>
      <c r="G5229" s="553" t="s">
        <v>86</v>
      </c>
      <c r="H5229" s="559" t="s">
        <v>85</v>
      </c>
      <c r="I5229" s="554" t="s">
        <v>252</v>
      </c>
      <c r="J5229" s="553" t="str">
        <f>"¿EL INTEGRANTE TIENE UNA PARTICIPACIÓN DEL "&amp;PORCREQUERIDOINT*100&amp;"%?"</f>
        <v>¿EL INTEGRANTE TIENE UNA PARTICIPACIÓN DEL 60%?</v>
      </c>
      <c r="K5229" s="554" t="s">
        <v>107</v>
      </c>
      <c r="L5229" s="724"/>
      <c r="M5229" s="717" t="s">
        <v>115</v>
      </c>
      <c r="N5229" s="718"/>
      <c r="O5229" s="718"/>
      <c r="P5229" s="718"/>
      <c r="Q5229" s="223">
        <f>IF(AND(H5213="SI",P5213&gt;=0),1,0)+IF(AND(H5214="SI",P5214&gt;=0),1,0)+IF(AND(H5215="SI",P5215&gt;=0),1,0)+IF(AND(H5216="SI",P5216&gt;=0),1,0)+IF(AND(H5217="SI",P5217&gt;=0),1,0)+IF(AND(H5218="SI",P5218&gt;=0),1,0)+IF(AND(H5219="SI",P5219&gt;=0),1,0)+IF(AND(H5220="SI",P5220&gt;=0),1,0)+IF(AND(H5221="SI",P5221&gt;=0),1,0)+IF(AND(H5222="SI",P5222&gt;=0),1,0)</f>
        <v>0</v>
      </c>
      <c r="R5229" s="759"/>
      <c r="S5229" s="761"/>
      <c r="T5229" s="764"/>
      <c r="U5229" s="219"/>
      <c r="V5229" s="464"/>
      <c r="Y5229" s="532" t="s">
        <v>342</v>
      </c>
      <c r="AA5229" s="550" t="s">
        <v>344</v>
      </c>
      <c r="AB5229" s="693" t="s">
        <v>345</v>
      </c>
      <c r="AC5229" s="693" t="s">
        <v>346</v>
      </c>
      <c r="AD5229" s="685" t="s">
        <v>347</v>
      </c>
      <c r="AE5229" s="52"/>
      <c r="AF5229" s="52"/>
      <c r="AG5229" s="52"/>
      <c r="AH5229" s="87"/>
      <c r="AI5229" s="87"/>
    </row>
    <row r="5230" spans="1:35" ht="15.75" hidden="1" customHeight="1" thickBot="1">
      <c r="A5230" s="218" t="e">
        <f>"N"&amp;E5209</f>
        <v>#N/A</v>
      </c>
      <c r="B5230" s="702"/>
      <c r="C5230" s="114">
        <v>1</v>
      </c>
      <c r="D5230" s="194" t="e">
        <f>IF(AND(C5230&lt;=F5228,F5228&gt;1,F5228&lt;&gt;""),VLOOKUP(VALUE(E5209&amp;","&amp;C5230),INTEGRANTES!$D$18:$F$235,2,0),"")</f>
        <v>#N/A</v>
      </c>
      <c r="E5230" s="211" t="e">
        <f>IF(D5230&lt;&gt;"",VLOOKUP(VALUE(E5209&amp;","&amp;C5230),INTEGRANTES!$D$18:$F$235,3,0),"")</f>
        <v>#N/A</v>
      </c>
      <c r="F5230" s="547" t="e">
        <f>IF(D5230="","",SUMIF($I5213:$I5222,D5230,$P5213:$P5222))</f>
        <v>#N/A</v>
      </c>
      <c r="G5230" s="333" t="e">
        <f>IF(D5230="","",SUMIF($I5213:$I5222,D5230,$M5213:$M5222))</f>
        <v>#N/A</v>
      </c>
      <c r="H5230" s="535" t="e">
        <f t="shared" ref="H5230:H5235" si="1550">IF(D5230="","",IF(OR(F5230=0,G5230=0),"NO APORTA",ROUND($F5230/$G5230,3)))</f>
        <v>#N/A</v>
      </c>
      <c r="I5230" s="212" t="e">
        <f>IF(D5230="","",IF(H5230="NO APORTA","NO",IF(H5230=MAX($H5230:$H5235),"SI","NO")))</f>
        <v>#N/A</v>
      </c>
      <c r="J5230" s="213" t="e">
        <f t="shared" ref="J5230:J5235" si="1551">IF(D5230="","",IF(E5230&gt;=PORCREQUERIDOINT,"SI","NO"))</f>
        <v>#N/A</v>
      </c>
      <c r="K5230" s="200" t="e">
        <f t="shared" ref="K5230:K5235" si="1552">IF(D5230="","",IF(AND(I5230="SI",J5230="SI"),"CUMPLE",IF(AND(I5230="NO",OR(J5230="SI",J5230="NO")),"","NO CUMPLE")))</f>
        <v>#N/A</v>
      </c>
      <c r="L5230" s="722" t="s">
        <v>108</v>
      </c>
      <c r="M5230" s="726" t="s">
        <v>119</v>
      </c>
      <c r="N5230" s="726"/>
      <c r="O5230" s="726"/>
      <c r="P5230" s="726"/>
      <c r="Q5230" s="727"/>
      <c r="R5230" s="758" t="s">
        <v>80</v>
      </c>
      <c r="S5230" s="747"/>
      <c r="T5230" s="748"/>
      <c r="U5230" s="219"/>
      <c r="V5230" s="464"/>
      <c r="Y5230" s="533" t="e">
        <f>IF(Y5227="","",IF(Y5227="INDIVIDUAL","NO APLICA","VERIFICAR CUADRO"))</f>
        <v>#N/A</v>
      </c>
      <c r="AA5230" s="551"/>
      <c r="AB5230" s="694"/>
      <c r="AC5230" s="694"/>
      <c r="AD5230" s="686"/>
      <c r="AE5230" s="52"/>
      <c r="AF5230" s="52"/>
      <c r="AG5230" s="52"/>
      <c r="AH5230" s="87"/>
      <c r="AI5230" s="87"/>
    </row>
    <row r="5231" spans="1:35" ht="27" hidden="1" customHeight="1" thickBot="1">
      <c r="A5231" s="218" t="e">
        <f>"O"&amp;E5209</f>
        <v>#N/A</v>
      </c>
      <c r="B5231" s="702"/>
      <c r="C5231" s="114">
        <v>2</v>
      </c>
      <c r="D5231" s="194" t="e">
        <f>IF(AND(C5231&lt;=F5228,F5228&lt;&gt;""),VLOOKUP(VALUE(E5209&amp;","&amp;C5231),INTEGRANTES!$D$18:$F$235,2,0),"")</f>
        <v>#N/A</v>
      </c>
      <c r="E5231" s="211" t="e">
        <f>IF(D5231&lt;&gt;"",VLOOKUP(VALUE(E5209&amp;","&amp;C5231),INTEGRANTES!$D$18:$F$235,3,0),"")</f>
        <v>#N/A</v>
      </c>
      <c r="F5231" s="547" t="e">
        <f>IF(D5231="","",SUMIF($I5213:$I5222,D5231,$P5213:$P5222))</f>
        <v>#N/A</v>
      </c>
      <c r="G5231" s="333" t="e">
        <f>IF(D5231="","",SUMIF($I5213:$I5222,D5231,$M5213:$M5222))</f>
        <v>#N/A</v>
      </c>
      <c r="H5231" s="535" t="e">
        <f t="shared" si="1550"/>
        <v>#N/A</v>
      </c>
      <c r="I5231" s="212" t="e">
        <f>IF(D5231="","",IF(H5231="NO APORTA","NO",IF(H5231=MAX($H5230:$H5235),"SI","NO")))</f>
        <v>#N/A</v>
      </c>
      <c r="J5231" s="213" t="e">
        <f t="shared" si="1551"/>
        <v>#N/A</v>
      </c>
      <c r="K5231" s="200" t="e">
        <f t="shared" si="1552"/>
        <v>#N/A</v>
      </c>
      <c r="L5231" s="723"/>
      <c r="M5231" s="715" t="s">
        <v>116</v>
      </c>
      <c r="N5231" s="716"/>
      <c r="O5231" s="556" t="s">
        <v>113</v>
      </c>
      <c r="P5231" s="715" t="s">
        <v>117</v>
      </c>
      <c r="Q5231" s="728"/>
      <c r="R5231" s="759"/>
      <c r="S5231" s="760"/>
      <c r="T5231" s="761"/>
      <c r="U5231" s="219"/>
      <c r="V5231" s="464"/>
      <c r="Y5231" s="414"/>
      <c r="AA5231" s="542" t="e">
        <f>IF(AND(C5230&lt;=F5228,F5228&gt;1,F5228&lt;&gt;""),VLOOKUP(VALUE(E5209&amp;","&amp;C5230),INTEGRANTES!$D$18:$F$235,2,0),"")</f>
        <v>#N/A</v>
      </c>
      <c r="AB5231" s="544" t="e">
        <f t="shared" ref="AB5231:AB5236" si="1553">IF(D5230="","",IF(OR(F5230=0,G5230=0),"NO APORTA",ROUND($F5230/$G5230,3)))</f>
        <v>#N/A</v>
      </c>
      <c r="AC5231" s="529"/>
      <c r="AD5231" s="200" t="e">
        <f t="shared" ref="AD5231:AD5236" si="1554">IF(OR(AA5231="",AB5231=""),"",IF(AND(AC5231="X",AB5231&gt;=EXPREQVTD),"CUMPLE","NO CUMPLE"))</f>
        <v>#N/A</v>
      </c>
      <c r="AE5231" s="52"/>
      <c r="AF5231" s="52"/>
      <c r="AG5231" s="52"/>
      <c r="AH5231" s="87"/>
      <c r="AI5231" s="87"/>
    </row>
    <row r="5232" spans="1:35" ht="16.5" hidden="1" thickBot="1">
      <c r="A5232" s="218" t="e">
        <f>"P"&amp;E5209</f>
        <v>#N/A</v>
      </c>
      <c r="B5232" s="702"/>
      <c r="C5232" s="114">
        <v>3</v>
      </c>
      <c r="D5232" s="194" t="e">
        <f>IF(AND(C5232&lt;=F5228,F5228&lt;&gt;""),VLOOKUP(VALUE(E5209&amp;","&amp;C5232),INTEGRANTES!$D$18:$F$235,2,0),"")</f>
        <v>#N/A</v>
      </c>
      <c r="E5232" s="211" t="e">
        <f>IF(D5232&lt;&gt;"",VLOOKUP(VALUE(E5209&amp;","&amp;C5232),INTEGRANTES!$D$18:$F$235,3,0),"")</f>
        <v>#N/A</v>
      </c>
      <c r="F5232" s="547" t="e">
        <f>IF(D5232="","",SUMIF($I5213:$I5222,D5232,$P5213:$P5222))</f>
        <v>#N/A</v>
      </c>
      <c r="G5232" s="333" t="e">
        <f>IF(D5232="","",SUMIF($I5213:$I5222,D5232,$M5213:$M5222))</f>
        <v>#N/A</v>
      </c>
      <c r="H5232" s="535" t="e">
        <f t="shared" si="1550"/>
        <v>#N/A</v>
      </c>
      <c r="I5232" s="212" t="e">
        <f>IF(D5232="","",IF(H5232="NO APORTA","NO",IF(H5232=MAX($H5230:$H5235),"SI","NO")))</f>
        <v>#N/A</v>
      </c>
      <c r="J5232" s="213" t="e">
        <f t="shared" si="1551"/>
        <v>#N/A</v>
      </c>
      <c r="K5232" s="200" t="e">
        <f t="shared" si="1552"/>
        <v>#N/A</v>
      </c>
      <c r="L5232" s="724"/>
      <c r="M5232" s="729">
        <f>NUMMOD</f>
        <v>1</v>
      </c>
      <c r="N5232" s="730"/>
      <c r="O5232" s="443">
        <f>IF(M5232="","",VLOOKUP(M5232,PRESUPUESTOS!$B$16:$H$16,5,FALSE))</f>
        <v>2</v>
      </c>
      <c r="P5232" s="713">
        <f>IF(OR(COUNTIF(M5213:M5222,"")&gt;=10,Q5229&lt;NUMMINCONT,OR(T5227="NO CUMPLE",T5227="VERIFICAR")),0,ROUND(AVERAGE(M5213:M5222),3))</f>
        <v>0</v>
      </c>
      <c r="Q5232" s="714"/>
      <c r="R5232" s="458"/>
      <c r="S5232" s="459"/>
      <c r="T5232" s="460"/>
      <c r="U5232" s="219"/>
      <c r="V5232" s="464"/>
      <c r="Y5232" s="532" t="str">
        <f>"40% * ("&amp;PRESUPUESTOS!$H$13&amp;")"</f>
        <v>40% * (50% PFMO)</v>
      </c>
      <c r="AA5232" s="540" t="e">
        <f>IF(AND(C5231&lt;=F5228,F5228&lt;&gt;""),VLOOKUP(VALUE(E5209&amp;","&amp;C5231),INTEGRANTES!$D$18:$F$235,2,0),"")</f>
        <v>#N/A</v>
      </c>
      <c r="AB5232" s="545" t="e">
        <f t="shared" si="1553"/>
        <v>#N/A</v>
      </c>
      <c r="AC5232" s="529"/>
      <c r="AD5232" s="200" t="e">
        <f t="shared" si="1554"/>
        <v>#N/A</v>
      </c>
      <c r="AE5232" s="52"/>
      <c r="AF5232" s="52"/>
      <c r="AG5232" s="52"/>
      <c r="AH5232" s="87"/>
      <c r="AI5232" s="87"/>
    </row>
    <row r="5233" spans="1:35" ht="15.75" hidden="1" customHeight="1" thickBot="1">
      <c r="A5233" s="218" t="e">
        <f>"Q"&amp;E5209</f>
        <v>#N/A</v>
      </c>
      <c r="B5233" s="702"/>
      <c r="C5233" s="114">
        <v>4</v>
      </c>
      <c r="D5233" s="194" t="e">
        <f>IF(AND(C5233&lt;=F5228,F5228&lt;&gt;""),VLOOKUP(VALUE(E5209&amp;","&amp;C5233),INTEGRANTES!$D$18:$F$235,2,0),"")</f>
        <v>#N/A</v>
      </c>
      <c r="E5233" s="211" t="e">
        <f>IF(D5233&lt;&gt;"",VLOOKUP(VALUE(E5209&amp;","&amp;C5233),INTEGRANTES!$D$18:$F$235,3,0),"")</f>
        <v>#N/A</v>
      </c>
      <c r="F5233" s="547" t="e">
        <f>IF(D5233="","",SUMIF($I5213:$I5222,D5233,$P5213:$P5222))</f>
        <v>#N/A</v>
      </c>
      <c r="G5233" s="333" t="e">
        <f>IF(D5233="","",SUMIF($I5213:$I5222,D5233,$M5213:$M5222))</f>
        <v>#N/A</v>
      </c>
      <c r="H5233" s="535" t="e">
        <f t="shared" si="1550"/>
        <v>#N/A</v>
      </c>
      <c r="I5233" s="212" t="e">
        <f>IF(D5233="","",IF(H5233="NO APORTA","NO",IF(H5233=MAX($H5230:$H5235),"SI","NO")))</f>
        <v>#N/A</v>
      </c>
      <c r="J5233" s="213" t="e">
        <f t="shared" si="1551"/>
        <v>#N/A</v>
      </c>
      <c r="K5233" s="200" t="e">
        <f t="shared" si="1552"/>
        <v>#N/A</v>
      </c>
      <c r="L5233" s="720" t="s">
        <v>109</v>
      </c>
      <c r="M5233" s="757" t="s">
        <v>120</v>
      </c>
      <c r="N5233" s="726"/>
      <c r="O5233" s="726"/>
      <c r="P5233" s="726"/>
      <c r="Q5233" s="727"/>
      <c r="R5233" s="458"/>
      <c r="S5233" s="459"/>
      <c r="T5233" s="460"/>
      <c r="U5233" s="219"/>
      <c r="V5233" s="464"/>
      <c r="Y5233" s="537">
        <f>0.4*PRESUPUESTOS!$H$16</f>
        <v>10.3124</v>
      </c>
      <c r="AA5233" s="540" t="e">
        <f>IF(AND(C5232&lt;=F5228,F5228&lt;&gt;""),VLOOKUP(VALUE(E5209&amp;","&amp;C5232),INTEGRANTES!$D$18:$F$235,2,0),"")</f>
        <v>#N/A</v>
      </c>
      <c r="AB5233" s="545" t="e">
        <f t="shared" si="1553"/>
        <v>#N/A</v>
      </c>
      <c r="AC5233" s="529"/>
      <c r="AD5233" s="200" t="e">
        <f t="shared" si="1554"/>
        <v>#N/A</v>
      </c>
      <c r="AE5233" s="52"/>
      <c r="AF5233" s="52"/>
      <c r="AG5233" s="52"/>
      <c r="AH5233" s="87"/>
      <c r="AI5233" s="87"/>
    </row>
    <row r="5234" spans="1:35" ht="27" hidden="1" customHeight="1" thickBot="1">
      <c r="A5234" s="218" t="e">
        <f>"R"&amp;E5209</f>
        <v>#N/A</v>
      </c>
      <c r="B5234" s="702"/>
      <c r="C5234" s="114">
        <v>5</v>
      </c>
      <c r="D5234" s="194" t="e">
        <f>IF(AND(C5234&lt;=F5228,F5228&lt;&gt;""),VLOOKUP(VALUE(E5209&amp;","&amp;C5234),INTEGRANTES!$D$18:$F$235,2,0),"")</f>
        <v>#N/A</v>
      </c>
      <c r="E5234" s="211" t="e">
        <f>IF(D5234&lt;&gt;"",VLOOKUP(VALUE(E5209&amp;","&amp;C5234),INTEGRANTES!$D$18:$F$235,3,0),"")</f>
        <v>#N/A</v>
      </c>
      <c r="F5234" s="547" t="e">
        <f>IF(D5234="","",SUMIF($I5213:$I5222,D5234,$P5213:$P5222))</f>
        <v>#N/A</v>
      </c>
      <c r="G5234" s="333" t="e">
        <f>IF(D5234="","",SUMIF($I5213:$I5222,D5234,$M5213:$M5222))</f>
        <v>#N/A</v>
      </c>
      <c r="H5234" s="535" t="e">
        <f t="shared" si="1550"/>
        <v>#N/A</v>
      </c>
      <c r="I5234" s="212" t="e">
        <f>IF(D5234="","",IF(H5234="NO APORTA","NO",IF(H5234=MAX($H5230:$H5235),"SI","NO")))</f>
        <v>#N/A</v>
      </c>
      <c r="J5234" s="213" t="e">
        <f t="shared" si="1551"/>
        <v>#N/A</v>
      </c>
      <c r="K5234" s="200" t="e">
        <f t="shared" si="1552"/>
        <v>#N/A</v>
      </c>
      <c r="L5234" s="721"/>
      <c r="M5234" s="715" t="s">
        <v>116</v>
      </c>
      <c r="N5234" s="716"/>
      <c r="O5234" s="556" t="str">
        <f>PORCREQUERIDO*100&amp;"% PMFO DEL MÓDULO"</f>
        <v>50% PMFO DEL MÓDULO</v>
      </c>
      <c r="P5234" s="715" t="s">
        <v>118</v>
      </c>
      <c r="Q5234" s="728"/>
      <c r="R5234" s="458"/>
      <c r="S5234" s="459"/>
      <c r="T5234" s="460"/>
      <c r="U5234" s="219"/>
      <c r="V5234" s="464"/>
      <c r="Y5234" s="414"/>
      <c r="AA5234" s="540" t="e">
        <f>IF(AND(C5233&lt;=F5228,F5228&lt;&gt;""),VLOOKUP(VALUE(E5209&amp;","&amp;C5233),INTEGRANTES!$D$18:$F$235,2,0),"")</f>
        <v>#N/A</v>
      </c>
      <c r="AB5234" s="545" t="e">
        <f t="shared" si="1553"/>
        <v>#N/A</v>
      </c>
      <c r="AC5234" s="529"/>
      <c r="AD5234" s="200" t="e">
        <f t="shared" si="1554"/>
        <v>#N/A</v>
      </c>
      <c r="AE5234" s="52"/>
      <c r="AF5234" s="52"/>
      <c r="AG5234" s="52"/>
      <c r="AH5234" s="87"/>
      <c r="AI5234" s="87"/>
    </row>
    <row r="5235" spans="1:35" ht="16.5" hidden="1" thickBot="1">
      <c r="A5235" s="218" t="e">
        <f>"S"&amp;E5209</f>
        <v>#N/A</v>
      </c>
      <c r="B5235" s="702"/>
      <c r="C5235" s="215">
        <v>6</v>
      </c>
      <c r="D5235" s="216" t="e">
        <f>IF(AND(C5235&lt;=F5228,F5228&lt;&gt;""),VLOOKUP(VALUE(E5209&amp;","&amp;C5235),INTEGRANTES!$D$18:$F$235,2,0),"")</f>
        <v>#N/A</v>
      </c>
      <c r="E5235" s="217" t="e">
        <f>IF(D5235&lt;&gt;"",VLOOKUP(VALUE(E5209&amp;","&amp;C5235),INTEGRANTES!$D$18:$F$235,3,0),"")</f>
        <v>#N/A</v>
      </c>
      <c r="F5235" s="548" t="e">
        <f>IF(D5235="","",SUMIF($I5213:$I5222,D5235,$P5213:$P5222))</f>
        <v>#N/A</v>
      </c>
      <c r="G5235" s="334" t="e">
        <f>IF(D5235="","",SUMIF($I5213:$I5222,D5235,$M5213:$M5222))</f>
        <v>#N/A</v>
      </c>
      <c r="H5235" s="536" t="e">
        <f t="shared" si="1550"/>
        <v>#N/A</v>
      </c>
      <c r="I5235" s="214" t="e">
        <f>IF(D5235="","",IF(H5235="NO APORTA","NO",IF(H5235=MAX($H5230:$H5235),"SI","NO")))</f>
        <v>#N/A</v>
      </c>
      <c r="J5235" s="213" t="e">
        <f t="shared" si="1551"/>
        <v>#N/A</v>
      </c>
      <c r="K5235" s="200" t="e">
        <f t="shared" si="1552"/>
        <v>#N/A</v>
      </c>
      <c r="L5235" s="721"/>
      <c r="M5235" s="729">
        <f>NUMMOD</f>
        <v>1</v>
      </c>
      <c r="N5235" s="730"/>
      <c r="O5235" s="443">
        <f>IF(M5235="","",ROUND(VLOOKUP(M5235,PRESUPUESTOS!$B$16:$H$16,7,FALSE),3))</f>
        <v>25.780999999999999</v>
      </c>
      <c r="P5235" s="713">
        <f>IF(OR(COUNTIF(P5213:P5222,"")&gt;=10,Q5229&lt;NUMMINCONT,OR(T5227="NO CUMPLE",T5227="VERIFICAR")),0,ROUND((SUM(P5213:P5222)/SUM(M5213:M5222)),3))</f>
        <v>0</v>
      </c>
      <c r="Q5235" s="714"/>
      <c r="R5235" s="458"/>
      <c r="S5235" s="459"/>
      <c r="T5235" s="460"/>
      <c r="U5235" s="219"/>
      <c r="V5235" s="464"/>
      <c r="Y5235" s="532" t="s">
        <v>343</v>
      </c>
      <c r="AA5235" s="540" t="e">
        <f>IF(AND(C5234&lt;=F5228,F5228&lt;&gt;""),VLOOKUP(VALUE(E5209&amp;","&amp;C5234),INTEGRANTES!$D$18:$F$235,2,0),"")</f>
        <v>#N/A</v>
      </c>
      <c r="AB5235" s="545" t="e">
        <f t="shared" si="1553"/>
        <v>#N/A</v>
      </c>
      <c r="AC5235" s="529"/>
      <c r="AD5235" s="200" t="e">
        <f t="shared" si="1554"/>
        <v>#N/A</v>
      </c>
      <c r="AE5235" s="52"/>
      <c r="AF5235" s="52"/>
      <c r="AG5235" s="52"/>
      <c r="AH5235" s="87"/>
      <c r="AI5235" s="87"/>
    </row>
    <row r="5236" spans="1:35" ht="16.5" hidden="1" customHeight="1" thickBot="1">
      <c r="A5236" s="218" t="e">
        <f>"T"&amp;E5209</f>
        <v>#N/A</v>
      </c>
      <c r="B5236" s="703"/>
      <c r="C5236" s="719"/>
      <c r="D5236" s="719"/>
      <c r="E5236" s="719"/>
      <c r="F5236" s="719"/>
      <c r="G5236" s="719"/>
      <c r="H5236" s="719" t="s">
        <v>110</v>
      </c>
      <c r="I5236" s="719"/>
      <c r="J5236" s="719"/>
      <c r="K5236" s="201" t="str">
        <f>IF(COUNTIF(K5230:K5235,"")=6,"",IF(COUNTIF(K5230:K5235,"CUMPLE")&gt;0,"CUMPLE","NO CUMPLE"))</f>
        <v>NO CUMPLE</v>
      </c>
      <c r="L5236" s="754"/>
      <c r="M5236" s="755"/>
      <c r="N5236" s="755"/>
      <c r="O5236" s="755"/>
      <c r="P5236" s="755"/>
      <c r="Q5236" s="756"/>
      <c r="R5236" s="461"/>
      <c r="S5236" s="462"/>
      <c r="T5236" s="463"/>
      <c r="U5236" s="219"/>
      <c r="V5236" s="464"/>
      <c r="Y5236" s="549" t="e">
        <f>IF(Y5230="NO APLICA","NO APLICA",IF(COUNTIF(AD5231:AD5236,"CUMPLE")&gt;0,"CUMPLE","NO CUMPLE"))</f>
        <v>#N/A</v>
      </c>
      <c r="AA5236" s="541" t="e">
        <f>IF(AND(C5235&lt;=F5228,F5228&lt;&gt;""),VLOOKUP(VALUE(E5209&amp;","&amp;C5235),INTEGRANTES!$D$18:$F$235,2,0),"")</f>
        <v>#N/A</v>
      </c>
      <c r="AB5236" s="546" t="e">
        <f t="shared" si="1553"/>
        <v>#N/A</v>
      </c>
      <c r="AC5236" s="543"/>
      <c r="AD5236" s="201" t="e">
        <f t="shared" si="1554"/>
        <v>#N/A</v>
      </c>
      <c r="AE5236" s="52"/>
      <c r="AF5236" s="52"/>
      <c r="AG5236" s="52"/>
      <c r="AH5236" s="87"/>
      <c r="AI5236" s="87"/>
    </row>
    <row r="5237" spans="1:35" hidden="1">
      <c r="AH5237" s="87"/>
      <c r="AI5237" s="87"/>
    </row>
    <row r="5238" spans="1:35" hidden="1">
      <c r="AH5238" s="87"/>
      <c r="AI5238" s="87"/>
    </row>
    <row r="5239" spans="1:35" ht="24" hidden="1" thickBot="1">
      <c r="A5239" s="61">
        <v>175</v>
      </c>
      <c r="B5239" s="704" t="s">
        <v>51</v>
      </c>
      <c r="C5239" s="704"/>
      <c r="D5239" s="704"/>
      <c r="E5239" s="62" t="e">
        <f>VLOOKUP(A5239,PROPONENTES!$B$19:$E$218,2,FALSE)</f>
        <v>#N/A</v>
      </c>
      <c r="F5239" s="63" t="e">
        <f>VLOOKUP(A5239,PROPONENTES!$B$19:$E$218,3,FALSE)</f>
        <v>#N/A</v>
      </c>
      <c r="G5239" s="64"/>
      <c r="H5239" s="64"/>
      <c r="I5239" s="63"/>
      <c r="J5239" s="63"/>
      <c r="K5239" s="65"/>
      <c r="L5239" s="65"/>
      <c r="M5239" s="64"/>
      <c r="N5239" s="64"/>
      <c r="O5239" s="66"/>
      <c r="P5239" s="66"/>
      <c r="Q5239" s="66"/>
      <c r="R5239" s="66"/>
      <c r="S5239" s="67"/>
      <c r="T5239" s="68"/>
      <c r="U5239" s="68"/>
      <c r="AC5239" s="68"/>
      <c r="AD5239" s="68"/>
      <c r="AE5239" s="68"/>
      <c r="AF5239" s="68"/>
      <c r="AG5239" s="68"/>
      <c r="AH5239" s="87"/>
      <c r="AI5239" s="87"/>
    </row>
    <row r="5240" spans="1:35" ht="15.75" hidden="1" customHeight="1">
      <c r="A5240" s="44"/>
      <c r="B5240" s="709" t="s">
        <v>59</v>
      </c>
      <c r="C5240" s="552" t="s">
        <v>60</v>
      </c>
      <c r="D5240" s="70" t="s">
        <v>17</v>
      </c>
      <c r="E5240" s="70"/>
      <c r="F5240" s="70" t="s">
        <v>61</v>
      </c>
      <c r="G5240" s="71"/>
      <c r="H5240" s="699" t="s">
        <v>62</v>
      </c>
      <c r="I5240" s="699" t="s">
        <v>18</v>
      </c>
      <c r="J5240" s="699" t="s">
        <v>63</v>
      </c>
      <c r="K5240" s="699" t="s">
        <v>64</v>
      </c>
      <c r="L5240" s="699" t="s">
        <v>65</v>
      </c>
      <c r="M5240" s="743" t="s">
        <v>66</v>
      </c>
      <c r="N5240" s="699" t="s">
        <v>282</v>
      </c>
      <c r="O5240" s="745" t="s">
        <v>67</v>
      </c>
      <c r="P5240" s="746"/>
      <c r="Q5240" s="102" t="s">
        <v>75</v>
      </c>
      <c r="R5240" s="731" t="s">
        <v>22</v>
      </c>
      <c r="S5240" s="732"/>
      <c r="T5240" s="733"/>
      <c r="U5240" s="712" t="s">
        <v>298</v>
      </c>
      <c r="W5240" s="690" t="s">
        <v>268</v>
      </c>
      <c r="X5240" s="691"/>
      <c r="Y5240" s="692"/>
      <c r="Z5240" s="428"/>
      <c r="AA5240" s="697" t="s">
        <v>315</v>
      </c>
      <c r="AB5240" s="695" t="s">
        <v>322</v>
      </c>
      <c r="AC5240" s="49"/>
      <c r="AD5240" s="690" t="s">
        <v>297</v>
      </c>
      <c r="AE5240" s="691"/>
      <c r="AF5240" s="692"/>
      <c r="AG5240" s="49"/>
      <c r="AH5240" s="87"/>
      <c r="AI5240" s="87"/>
    </row>
    <row r="5241" spans="1:35" ht="72" hidden="1">
      <c r="A5241" s="44"/>
      <c r="B5241" s="710"/>
      <c r="C5241" s="553" t="s">
        <v>68</v>
      </c>
      <c r="D5241" s="73" t="s">
        <v>3</v>
      </c>
      <c r="E5241" s="73" t="s">
        <v>19</v>
      </c>
      <c r="F5241" s="73" t="s">
        <v>69</v>
      </c>
      <c r="G5241" s="74" t="s">
        <v>70</v>
      </c>
      <c r="H5241" s="700"/>
      <c r="I5241" s="700"/>
      <c r="J5241" s="700"/>
      <c r="K5241" s="700"/>
      <c r="L5241" s="700"/>
      <c r="M5241" s="744"/>
      <c r="N5241" s="700"/>
      <c r="O5241" s="553" t="s">
        <v>279</v>
      </c>
      <c r="P5241" s="73" t="s">
        <v>88</v>
      </c>
      <c r="Q5241" s="555" t="s">
        <v>76</v>
      </c>
      <c r="R5241" s="734"/>
      <c r="S5241" s="735"/>
      <c r="T5241" s="736"/>
      <c r="U5241" s="712"/>
      <c r="W5241" s="429" t="s">
        <v>269</v>
      </c>
      <c r="X5241" s="457" t="s">
        <v>278</v>
      </c>
      <c r="Y5241" s="430" t="s">
        <v>324</v>
      </c>
      <c r="Z5241" s="428"/>
      <c r="AA5241" s="698"/>
      <c r="AB5241" s="696"/>
      <c r="AC5241" s="49"/>
      <c r="AD5241" s="429" t="s">
        <v>292</v>
      </c>
      <c r="AE5241" s="431" t="s">
        <v>300</v>
      </c>
      <c r="AF5241" s="468" t="s">
        <v>301</v>
      </c>
      <c r="AG5241" s="49"/>
      <c r="AH5241" s="87"/>
      <c r="AI5241" s="87"/>
    </row>
    <row r="5242" spans="1:35" hidden="1">
      <c r="A5242" s="44"/>
      <c r="B5242" s="76"/>
      <c r="C5242" s="77"/>
      <c r="D5242" s="77"/>
      <c r="E5242" s="77"/>
      <c r="F5242" s="77"/>
      <c r="G5242" s="77"/>
      <c r="H5242" s="77"/>
      <c r="I5242" s="77"/>
      <c r="J5242" s="77"/>
      <c r="K5242" s="77"/>
      <c r="L5242" s="77"/>
      <c r="M5242" s="77"/>
      <c r="N5242" s="77"/>
      <c r="O5242" s="77"/>
      <c r="P5242" s="77"/>
      <c r="Q5242" s="77"/>
      <c r="R5242" s="77"/>
      <c r="S5242" s="78"/>
      <c r="T5242" s="79"/>
      <c r="U5242" s="109"/>
      <c r="V5242" s="49"/>
      <c r="W5242" s="432"/>
      <c r="X5242" s="454"/>
      <c r="Y5242" s="433"/>
      <c r="Z5242" s="6"/>
      <c r="AA5242" s="500"/>
      <c r="AB5242" s="562"/>
      <c r="AC5242" s="49"/>
      <c r="AD5242" s="210"/>
      <c r="AE5242" s="434"/>
      <c r="AF5242" s="435"/>
      <c r="AG5242" s="49"/>
      <c r="AH5242" s="87"/>
      <c r="AI5242" s="87"/>
    </row>
    <row r="5243" spans="1:35" hidden="1">
      <c r="A5243" s="80" t="e">
        <f>"A"&amp;E5239</f>
        <v>#N/A</v>
      </c>
      <c r="B5243" s="81">
        <v>1</v>
      </c>
      <c r="C5243" s="82"/>
      <c r="D5243" s="82"/>
      <c r="E5243" s="82"/>
      <c r="F5243" s="82"/>
      <c r="G5243" s="83"/>
      <c r="H5243" s="83"/>
      <c r="I5243" s="84"/>
      <c r="J5243" s="85"/>
      <c r="K5243" s="382"/>
      <c r="L5243" s="85"/>
      <c r="M5243" s="332" t="str">
        <f t="shared" ref="M5243:M5252" si="1555">IF(OR(J5243="",L5243="",H5243="NO"),"",IF(OR(J5243&gt;$P$17,J5243&lt;$O$17,L5243&gt;$P$17,AND(J5243&lt;$O$17,L5243&lt;$O$17)),"FUERA DE RANGO",IF(OR(K5243="---",K5243=""),IF(J5243&gt;=$O$17,ROUND((L5243-J5243+1)/360*12,3),ROUND((L5243-$O$17+1)/360*12,3)),IF(J5243&gt;=$O$17,ROUND((L5243-J5243+1)/360*12-ROUND(K5243,3),3),ROUND((L5243-$O$17+1)/360*12-ROUND(K5243,3),3)))))</f>
        <v/>
      </c>
      <c r="N5243" s="86"/>
      <c r="O5243" s="453" t="str">
        <f>IF(OR(G5243="",N5243=""),"",N5243*G5243)</f>
        <v/>
      </c>
      <c r="P5243" s="538" t="str">
        <f>IF(OR(H5243="",M5243="FUERA DE RANGO"),"",IF(OR(L5243&lt;$O$17,L5243&gt;$P$17,L5243="",H5243="NO"),"",IF(OR(N5243="",O5243=""),"",ROUND(O5243,3))))</f>
        <v/>
      </c>
      <c r="Q5243" s="539" t="str">
        <f t="shared" ref="Q5243:Q5252" si="1556">IF(AND(H5243="SI",P5243&lt;&gt;""),ROUND(P5243/M5243,3),"")</f>
        <v/>
      </c>
      <c r="R5243" s="737"/>
      <c r="S5243" s="738"/>
      <c r="T5243" s="739"/>
      <c r="U5243" s="470"/>
      <c r="V5243" s="165"/>
      <c r="W5243" s="446"/>
      <c r="X5243" s="456"/>
      <c r="Y5243" s="436"/>
      <c r="Z5243" s="437"/>
      <c r="AA5243" s="560"/>
      <c r="AB5243" s="561"/>
      <c r="AC5243" s="87"/>
      <c r="AD5243" s="466"/>
      <c r="AE5243" s="456"/>
      <c r="AF5243" s="467"/>
      <c r="AG5243" s="87"/>
      <c r="AH5243" s="87"/>
      <c r="AI5243" s="87"/>
    </row>
    <row r="5244" spans="1:35" hidden="1">
      <c r="A5244" s="80" t="e">
        <f>"B"&amp;E5239</f>
        <v>#N/A</v>
      </c>
      <c r="B5244" s="81">
        <v>2</v>
      </c>
      <c r="C5244" s="106"/>
      <c r="D5244" s="106"/>
      <c r="E5244" s="106"/>
      <c r="F5244" s="106"/>
      <c r="G5244" s="83"/>
      <c r="H5244" s="83"/>
      <c r="I5244" s="84"/>
      <c r="J5244" s="85"/>
      <c r="K5244" s="382"/>
      <c r="L5244" s="85"/>
      <c r="M5244" s="332" t="str">
        <f t="shared" si="1555"/>
        <v/>
      </c>
      <c r="N5244" s="86"/>
      <c r="O5244" s="453" t="str">
        <f t="shared" ref="O5244:O5252" si="1557">IF(OR(G5244="",N5244=""),"",N5244*G5244)</f>
        <v/>
      </c>
      <c r="P5244" s="538" t="str">
        <f t="shared" ref="P5244:P5252" si="1558">IF(OR(H5244="",M5244="FUERA DE RANGO"),"",IF(OR(L5244&lt;$O$17,L5244&gt;$P$17,L5244="",H5244="NO"),"",IF(OR(N5244="",O5244=""),"",ROUND(O5244,3))))</f>
        <v/>
      </c>
      <c r="Q5244" s="539" t="str">
        <f t="shared" si="1556"/>
        <v/>
      </c>
      <c r="R5244" s="740"/>
      <c r="S5244" s="741"/>
      <c r="T5244" s="742"/>
      <c r="U5244" s="471"/>
      <c r="V5244" s="165"/>
      <c r="W5244" s="446"/>
      <c r="X5244" s="456"/>
      <c r="Y5244" s="436"/>
      <c r="Z5244" s="437"/>
      <c r="AA5244" s="560"/>
      <c r="AB5244" s="561"/>
      <c r="AC5244" s="87"/>
      <c r="AD5244" s="466"/>
      <c r="AE5244" s="456"/>
      <c r="AF5244" s="467"/>
      <c r="AG5244" s="87"/>
      <c r="AH5244" s="87"/>
      <c r="AI5244" s="87"/>
    </row>
    <row r="5245" spans="1:35" hidden="1">
      <c r="A5245" s="80" t="e">
        <f>"C"&amp;E5239</f>
        <v>#N/A</v>
      </c>
      <c r="B5245" s="88">
        <v>3</v>
      </c>
      <c r="C5245" s="82"/>
      <c r="D5245" s="82"/>
      <c r="E5245" s="82"/>
      <c r="F5245" s="82"/>
      <c r="G5245" s="83"/>
      <c r="H5245" s="83"/>
      <c r="I5245" s="84"/>
      <c r="J5245" s="85"/>
      <c r="K5245" s="382"/>
      <c r="L5245" s="85"/>
      <c r="M5245" s="332" t="str">
        <f t="shared" si="1555"/>
        <v/>
      </c>
      <c r="N5245" s="86"/>
      <c r="O5245" s="453" t="str">
        <f t="shared" si="1557"/>
        <v/>
      </c>
      <c r="P5245" s="538" t="str">
        <f t="shared" si="1558"/>
        <v/>
      </c>
      <c r="Q5245" s="539" t="str">
        <f t="shared" si="1556"/>
        <v/>
      </c>
      <c r="R5245" s="706"/>
      <c r="S5245" s="707"/>
      <c r="T5245" s="708"/>
      <c r="U5245" s="472"/>
      <c r="V5245" s="166"/>
      <c r="W5245" s="446"/>
      <c r="X5245" s="456"/>
      <c r="Y5245" s="436"/>
      <c r="Z5245" s="437"/>
      <c r="AA5245" s="560"/>
      <c r="AB5245" s="561"/>
      <c r="AC5245" s="87"/>
      <c r="AD5245" s="466"/>
      <c r="AE5245" s="456"/>
      <c r="AF5245" s="467"/>
      <c r="AG5245" s="87"/>
      <c r="AH5245" s="87"/>
      <c r="AI5245" s="87"/>
    </row>
    <row r="5246" spans="1:35" hidden="1">
      <c r="A5246" s="80" t="e">
        <f>"D"&amp;E5239</f>
        <v>#N/A</v>
      </c>
      <c r="B5246" s="105">
        <v>4</v>
      </c>
      <c r="C5246" s="107"/>
      <c r="D5246" s="107"/>
      <c r="E5246" s="107"/>
      <c r="F5246" s="107"/>
      <c r="G5246" s="83"/>
      <c r="H5246" s="83"/>
      <c r="I5246" s="84"/>
      <c r="J5246" s="85"/>
      <c r="K5246" s="382"/>
      <c r="L5246" s="85"/>
      <c r="M5246" s="332" t="str">
        <f t="shared" si="1555"/>
        <v/>
      </c>
      <c r="N5246" s="86"/>
      <c r="O5246" s="453" t="str">
        <f t="shared" si="1557"/>
        <v/>
      </c>
      <c r="P5246" s="538" t="str">
        <f t="shared" si="1558"/>
        <v/>
      </c>
      <c r="Q5246" s="539" t="str">
        <f t="shared" si="1556"/>
        <v/>
      </c>
      <c r="R5246" s="706"/>
      <c r="S5246" s="707"/>
      <c r="T5246" s="708"/>
      <c r="U5246" s="472"/>
      <c r="V5246" s="166"/>
      <c r="W5246" s="446"/>
      <c r="X5246" s="456"/>
      <c r="Y5246" s="436"/>
      <c r="Z5246" s="437"/>
      <c r="AA5246" s="560"/>
      <c r="AB5246" s="561"/>
      <c r="AC5246" s="87"/>
      <c r="AD5246" s="466"/>
      <c r="AE5246" s="456"/>
      <c r="AF5246" s="467"/>
      <c r="AG5246" s="87"/>
      <c r="AH5246" s="87"/>
      <c r="AI5246" s="87"/>
    </row>
    <row r="5247" spans="1:35" hidden="1">
      <c r="A5247" s="80" t="e">
        <f>"E"&amp;E5239</f>
        <v>#N/A</v>
      </c>
      <c r="B5247" s="105">
        <v>5</v>
      </c>
      <c r="C5247" s="107"/>
      <c r="D5247" s="107"/>
      <c r="E5247" s="107"/>
      <c r="F5247" s="107"/>
      <c r="G5247" s="83"/>
      <c r="H5247" s="83"/>
      <c r="I5247" s="84"/>
      <c r="J5247" s="85"/>
      <c r="K5247" s="382"/>
      <c r="L5247" s="85"/>
      <c r="M5247" s="332" t="str">
        <f t="shared" si="1555"/>
        <v/>
      </c>
      <c r="N5247" s="86"/>
      <c r="O5247" s="453" t="str">
        <f t="shared" si="1557"/>
        <v/>
      </c>
      <c r="P5247" s="538" t="str">
        <f t="shared" si="1558"/>
        <v/>
      </c>
      <c r="Q5247" s="539" t="str">
        <f t="shared" si="1556"/>
        <v/>
      </c>
      <c r="R5247" s="706"/>
      <c r="S5247" s="707"/>
      <c r="T5247" s="708"/>
      <c r="U5247" s="472"/>
      <c r="V5247" s="167"/>
      <c r="W5247" s="446"/>
      <c r="X5247" s="456"/>
      <c r="Y5247" s="436"/>
      <c r="Z5247" s="437"/>
      <c r="AA5247" s="560"/>
      <c r="AB5247" s="561"/>
      <c r="AC5247" s="87"/>
      <c r="AD5247" s="466"/>
      <c r="AE5247" s="456"/>
      <c r="AF5247" s="467"/>
      <c r="AG5247" s="87"/>
      <c r="AH5247" s="87"/>
      <c r="AI5247" s="87"/>
    </row>
    <row r="5248" spans="1:35" hidden="1">
      <c r="A5248" s="80" t="e">
        <f>"F"&amp;E5239</f>
        <v>#N/A</v>
      </c>
      <c r="B5248" s="105">
        <v>6</v>
      </c>
      <c r="C5248" s="107"/>
      <c r="D5248" s="107"/>
      <c r="E5248" s="107"/>
      <c r="F5248" s="107"/>
      <c r="G5248" s="83"/>
      <c r="H5248" s="83"/>
      <c r="I5248" s="84"/>
      <c r="J5248" s="85"/>
      <c r="K5248" s="382"/>
      <c r="L5248" s="85"/>
      <c r="M5248" s="332" t="str">
        <f t="shared" si="1555"/>
        <v/>
      </c>
      <c r="N5248" s="86"/>
      <c r="O5248" s="453" t="str">
        <f t="shared" si="1557"/>
        <v/>
      </c>
      <c r="P5248" s="538" t="str">
        <f t="shared" si="1558"/>
        <v/>
      </c>
      <c r="Q5248" s="539" t="str">
        <f t="shared" si="1556"/>
        <v/>
      </c>
      <c r="R5248" s="706"/>
      <c r="S5248" s="707"/>
      <c r="T5248" s="708"/>
      <c r="U5248" s="472"/>
      <c r="V5248" s="167"/>
      <c r="W5248" s="446"/>
      <c r="X5248" s="456"/>
      <c r="Y5248" s="436"/>
      <c r="Z5248" s="437"/>
      <c r="AA5248" s="560"/>
      <c r="AB5248" s="561"/>
      <c r="AC5248" s="87"/>
      <c r="AD5248" s="466"/>
      <c r="AE5248" s="456"/>
      <c r="AF5248" s="467"/>
      <c r="AG5248" s="87"/>
      <c r="AH5248" s="87"/>
      <c r="AI5248" s="87"/>
    </row>
    <row r="5249" spans="1:35" hidden="1">
      <c r="A5249" s="80" t="e">
        <f>"G"&amp;E5239</f>
        <v>#N/A</v>
      </c>
      <c r="B5249" s="105">
        <v>7</v>
      </c>
      <c r="C5249" s="107"/>
      <c r="D5249" s="107"/>
      <c r="E5249" s="107"/>
      <c r="F5249" s="107"/>
      <c r="G5249" s="83"/>
      <c r="H5249" s="83"/>
      <c r="I5249" s="84"/>
      <c r="J5249" s="85"/>
      <c r="K5249" s="382"/>
      <c r="L5249" s="85"/>
      <c r="M5249" s="332" t="str">
        <f t="shared" si="1555"/>
        <v/>
      </c>
      <c r="N5249" s="86"/>
      <c r="O5249" s="86" t="str">
        <f t="shared" si="1557"/>
        <v/>
      </c>
      <c r="P5249" s="538" t="str">
        <f t="shared" si="1558"/>
        <v/>
      </c>
      <c r="Q5249" s="539" t="str">
        <f t="shared" si="1556"/>
        <v/>
      </c>
      <c r="R5249" s="706"/>
      <c r="S5249" s="707"/>
      <c r="T5249" s="708"/>
      <c r="U5249" s="472"/>
      <c r="V5249" s="167"/>
      <c r="W5249" s="446"/>
      <c r="X5249" s="456"/>
      <c r="Y5249" s="436"/>
      <c r="Z5249" s="437"/>
      <c r="AA5249" s="560"/>
      <c r="AB5249" s="561"/>
      <c r="AC5249" s="87"/>
      <c r="AD5249" s="466"/>
      <c r="AE5249" s="456"/>
      <c r="AF5249" s="467"/>
      <c r="AG5249" s="87"/>
      <c r="AH5249" s="87"/>
      <c r="AI5249" s="87"/>
    </row>
    <row r="5250" spans="1:35" hidden="1">
      <c r="A5250" s="80" t="e">
        <f>"H"&amp;E5239</f>
        <v>#N/A</v>
      </c>
      <c r="B5250" s="105">
        <v>8</v>
      </c>
      <c r="C5250" s="107"/>
      <c r="D5250" s="107"/>
      <c r="E5250" s="107"/>
      <c r="F5250" s="107"/>
      <c r="G5250" s="83"/>
      <c r="H5250" s="83"/>
      <c r="I5250" s="84"/>
      <c r="J5250" s="85"/>
      <c r="K5250" s="382"/>
      <c r="L5250" s="85"/>
      <c r="M5250" s="332" t="str">
        <f t="shared" si="1555"/>
        <v/>
      </c>
      <c r="N5250" s="453"/>
      <c r="O5250" s="86" t="str">
        <f t="shared" si="1557"/>
        <v/>
      </c>
      <c r="P5250" s="538" t="str">
        <f t="shared" si="1558"/>
        <v/>
      </c>
      <c r="Q5250" s="539" t="str">
        <f t="shared" si="1556"/>
        <v/>
      </c>
      <c r="R5250" s="706"/>
      <c r="S5250" s="707"/>
      <c r="T5250" s="708"/>
      <c r="U5250" s="472"/>
      <c r="V5250" s="167"/>
      <c r="W5250" s="446"/>
      <c r="X5250" s="456"/>
      <c r="Y5250" s="436"/>
      <c r="Z5250" s="437"/>
      <c r="AA5250" s="560"/>
      <c r="AB5250" s="561"/>
      <c r="AC5250" s="87"/>
      <c r="AD5250" s="466"/>
      <c r="AE5250" s="456"/>
      <c r="AF5250" s="467"/>
      <c r="AG5250" s="87"/>
      <c r="AH5250" s="87"/>
      <c r="AI5250" s="87"/>
    </row>
    <row r="5251" spans="1:35" hidden="1">
      <c r="A5251" s="80" t="e">
        <f>"I"&amp;E5239</f>
        <v>#N/A</v>
      </c>
      <c r="B5251" s="105">
        <v>9</v>
      </c>
      <c r="C5251" s="107"/>
      <c r="D5251" s="107"/>
      <c r="E5251" s="107"/>
      <c r="F5251" s="107"/>
      <c r="G5251" s="83"/>
      <c r="H5251" s="83"/>
      <c r="I5251" s="84"/>
      <c r="J5251" s="85"/>
      <c r="K5251" s="382"/>
      <c r="L5251" s="85"/>
      <c r="M5251" s="332" t="str">
        <f t="shared" si="1555"/>
        <v/>
      </c>
      <c r="N5251" s="453"/>
      <c r="O5251" s="86" t="str">
        <f t="shared" si="1557"/>
        <v/>
      </c>
      <c r="P5251" s="538" t="str">
        <f t="shared" si="1558"/>
        <v/>
      </c>
      <c r="Q5251" s="539" t="str">
        <f t="shared" si="1556"/>
        <v/>
      </c>
      <c r="R5251" s="706"/>
      <c r="S5251" s="707"/>
      <c r="T5251" s="708"/>
      <c r="U5251" s="472"/>
      <c r="V5251" s="167"/>
      <c r="W5251" s="446"/>
      <c r="X5251" s="456"/>
      <c r="Y5251" s="436"/>
      <c r="Z5251" s="437"/>
      <c r="AA5251" s="560"/>
      <c r="AB5251" s="561"/>
      <c r="AC5251" s="87"/>
      <c r="AD5251" s="466"/>
      <c r="AE5251" s="456"/>
      <c r="AF5251" s="467"/>
      <c r="AG5251" s="87"/>
      <c r="AH5251" s="87"/>
      <c r="AI5251" s="87"/>
    </row>
    <row r="5252" spans="1:35" hidden="1">
      <c r="A5252" s="80" t="e">
        <f>"J"&amp;E5239</f>
        <v>#N/A</v>
      </c>
      <c r="B5252" s="105">
        <v>10</v>
      </c>
      <c r="C5252" s="107"/>
      <c r="D5252" s="107"/>
      <c r="E5252" s="107"/>
      <c r="F5252" s="107"/>
      <c r="G5252" s="83"/>
      <c r="H5252" s="83"/>
      <c r="I5252" s="84"/>
      <c r="J5252" s="85"/>
      <c r="K5252" s="382"/>
      <c r="L5252" s="85"/>
      <c r="M5252" s="332" t="str">
        <f t="shared" si="1555"/>
        <v/>
      </c>
      <c r="N5252" s="453"/>
      <c r="O5252" s="86" t="str">
        <f t="shared" si="1557"/>
        <v/>
      </c>
      <c r="P5252" s="538" t="str">
        <f t="shared" si="1558"/>
        <v/>
      </c>
      <c r="Q5252" s="539" t="str">
        <f t="shared" si="1556"/>
        <v/>
      </c>
      <c r="R5252" s="706"/>
      <c r="S5252" s="707"/>
      <c r="T5252" s="708"/>
      <c r="U5252" s="472"/>
      <c r="V5252" s="167"/>
      <c r="W5252" s="446"/>
      <c r="X5252" s="456"/>
      <c r="Y5252" s="436"/>
      <c r="Z5252" s="437"/>
      <c r="AA5252" s="560"/>
      <c r="AB5252" s="561"/>
      <c r="AC5252" s="87"/>
      <c r="AD5252" s="466"/>
      <c r="AE5252" s="456"/>
      <c r="AF5252" s="467"/>
      <c r="AG5252" s="87"/>
      <c r="AH5252" s="87"/>
      <c r="AI5252" s="87"/>
    </row>
    <row r="5253" spans="1:35" ht="16.5" hidden="1" thickBot="1">
      <c r="A5253" s="44"/>
      <c r="B5253" s="89"/>
      <c r="C5253" s="90"/>
      <c r="D5253" s="90"/>
      <c r="E5253" s="90"/>
      <c r="F5253" s="90"/>
      <c r="G5253" s="90"/>
      <c r="H5253" s="90"/>
      <c r="I5253" s="90"/>
      <c r="J5253" s="90"/>
      <c r="K5253" s="90"/>
      <c r="L5253" s="90"/>
      <c r="M5253" s="90"/>
      <c r="N5253" s="90"/>
      <c r="O5253" s="90"/>
      <c r="P5253" s="90"/>
      <c r="Q5253" s="90"/>
      <c r="R5253" s="90"/>
      <c r="S5253" s="91"/>
      <c r="T5253" s="92"/>
      <c r="U5253" s="473"/>
      <c r="W5253" s="438"/>
      <c r="X5253" s="455"/>
      <c r="Y5253" s="439"/>
      <c r="Z5253" s="437"/>
      <c r="AA5253" s="530"/>
      <c r="AB5253" s="563"/>
      <c r="AC5253" s="87"/>
      <c r="AD5253" s="440"/>
      <c r="AE5253" s="441"/>
      <c r="AF5253" s="442"/>
      <c r="AG5253" s="49"/>
      <c r="AH5253" s="87"/>
      <c r="AI5253" s="87"/>
    </row>
    <row r="5254" spans="1:35" ht="16.5" hidden="1" thickBot="1">
      <c r="A5254" s="93"/>
      <c r="B5254" s="94"/>
      <c r="C5254" s="96"/>
      <c r="D5254" s="96"/>
      <c r="E5254" s="96"/>
      <c r="F5254" s="96"/>
      <c r="G5254" s="96"/>
      <c r="H5254" s="96"/>
      <c r="I5254" s="96"/>
      <c r="J5254" s="96"/>
      <c r="K5254" s="96"/>
      <c r="L5254" s="96"/>
      <c r="M5254" s="136"/>
      <c r="N5254" s="96"/>
      <c r="O5254" s="96"/>
      <c r="P5254" s="97"/>
      <c r="Q5254" s="97"/>
      <c r="R5254" s="98"/>
      <c r="S5254" s="95"/>
      <c r="T5254" s="99"/>
      <c r="U5254" s="469"/>
      <c r="AC5254" s="58"/>
      <c r="AG5254" s="58"/>
      <c r="AH5254" s="87"/>
      <c r="AI5254" s="87"/>
    </row>
    <row r="5255" spans="1:35" ht="16.5" hidden="1" thickBot="1">
      <c r="B5255" s="101"/>
      <c r="C5255" s="101"/>
      <c r="D5255" s="101"/>
      <c r="E5255" s="101"/>
      <c r="F5255" s="101"/>
      <c r="G5255" s="101"/>
      <c r="H5255" s="101"/>
      <c r="I5255" s="101"/>
      <c r="J5255" s="101"/>
      <c r="K5255" s="101"/>
      <c r="L5255" s="101"/>
      <c r="M5255" s="101"/>
      <c r="N5255" s="101"/>
      <c r="O5255" s="101"/>
      <c r="P5255" s="101"/>
      <c r="Q5255" s="101"/>
      <c r="R5255" s="101"/>
      <c r="S5255" s="101"/>
      <c r="U5255" s="50"/>
      <c r="AH5255" s="87"/>
      <c r="AI5255" s="87"/>
    </row>
    <row r="5256" spans="1:35" ht="16.5" hidden="1" customHeight="1" thickBot="1">
      <c r="A5256" s="44"/>
      <c r="B5256" s="705" t="s">
        <v>74</v>
      </c>
      <c r="C5256" s="705"/>
      <c r="D5256" s="705"/>
      <c r="E5256" s="705"/>
      <c r="F5256" s="705"/>
      <c r="G5256" s="705"/>
      <c r="H5256" s="705"/>
      <c r="I5256" s="705"/>
      <c r="J5256" s="705"/>
      <c r="K5256" s="705"/>
      <c r="L5256" s="705"/>
      <c r="M5256" s="705"/>
      <c r="N5256" s="705"/>
      <c r="O5256" s="705"/>
      <c r="P5256" s="705"/>
      <c r="Q5256" s="705"/>
      <c r="R5256" s="705"/>
      <c r="S5256" s="705"/>
      <c r="T5256" s="705"/>
      <c r="U5256" s="108"/>
      <c r="Y5256" s="532" t="s">
        <v>341</v>
      </c>
      <c r="AC5256" s="49"/>
      <c r="AD5256" s="687" t="s">
        <v>302</v>
      </c>
      <c r="AE5256" s="688"/>
      <c r="AF5256" s="689"/>
      <c r="AG5256" s="49"/>
      <c r="AH5256" s="87"/>
      <c r="AI5256" s="87"/>
    </row>
    <row r="5257" spans="1:35" ht="16.5" hidden="1" customHeight="1" thickBot="1">
      <c r="A5257" s="218" t="e">
        <f>"K"&amp;E5239</f>
        <v>#N/A</v>
      </c>
      <c r="B5257" s="701" t="s">
        <v>71</v>
      </c>
      <c r="C5257" s="751" t="s">
        <v>102</v>
      </c>
      <c r="D5257" s="751"/>
      <c r="E5257" s="751"/>
      <c r="F5257" s="751"/>
      <c r="G5257" s="751"/>
      <c r="H5257" s="751"/>
      <c r="I5257" s="751"/>
      <c r="J5257" s="751"/>
      <c r="K5257" s="751"/>
      <c r="L5257" s="722" t="s">
        <v>100</v>
      </c>
      <c r="M5257" s="747" t="s">
        <v>114</v>
      </c>
      <c r="N5257" s="747"/>
      <c r="O5257" s="747"/>
      <c r="P5257" s="747"/>
      <c r="Q5257" s="748"/>
      <c r="R5257" s="758" t="s">
        <v>280</v>
      </c>
      <c r="S5257" s="748"/>
      <c r="T5257" s="762" t="str">
        <f>IF(COUNTIF(AE5257:AF5257,"VERIFICAR")&gt;0,"VERIFICAR",IF(COUNTIF(AE5257:AF5257,"NO CUMPLE")&gt;0,"NO CUMPLE","CUMPLE"))</f>
        <v>VERIFICAR</v>
      </c>
      <c r="U5257" s="108"/>
      <c r="Y5257" s="533" t="e">
        <f>IF(F5258="","",IF(F5258=1,"INDIVIDUAL","ESTRUCTURA PLURAL"))</f>
        <v>#N/A</v>
      </c>
      <c r="AC5257" s="52"/>
      <c r="AD5257" s="475" t="s">
        <v>303</v>
      </c>
      <c r="AE5257" s="476" t="str">
        <f>IF(COUNTIF(AE5243:AE5252,"")=10,"VERIFICAR",IF(COUNTIF(AE5243:AE5252,"SI")&gt;0,"CUMPLE","NO CUMPLE"))</f>
        <v>VERIFICAR</v>
      </c>
      <c r="AF5257" s="477" t="str">
        <f>IF(COUNTIF(AF5243:AF5252,"")=10,"VERIFICAR",IF(COUNTIF(AF5243:AF5252,"SI")&gt;=$AI$22,"CUMPLE","NO CUMPLE"))</f>
        <v>VERIFICAR</v>
      </c>
      <c r="AG5257" s="52"/>
      <c r="AH5257" s="87"/>
      <c r="AI5257" s="87"/>
    </row>
    <row r="5258" spans="1:35" ht="15.75" hidden="1" customHeight="1" thickBot="1">
      <c r="A5258" s="218" t="e">
        <f>"L"&amp;E5239</f>
        <v>#N/A</v>
      </c>
      <c r="B5258" s="702"/>
      <c r="C5258" s="751" t="s">
        <v>103</v>
      </c>
      <c r="D5258" s="751"/>
      <c r="E5258" s="752"/>
      <c r="F5258" s="557" t="e">
        <f>IF(VLOOKUP(E5239,PROPONENTES!$C$19:$E$218,3,0)="","",VLOOKUP(E5239,PROPONENTES!$C$19:$E$218,3,0))</f>
        <v>#N/A</v>
      </c>
      <c r="G5258" s="753" t="s">
        <v>104</v>
      </c>
      <c r="H5258" s="751"/>
      <c r="I5258" s="715" t="e">
        <f>IF(OR(F5258="",F5258=1),"INTERESADO PERSONA NATURAL O JURIDICA","CONSORCIO O UNION TEMPORAL")</f>
        <v>#N/A</v>
      </c>
      <c r="J5258" s="725"/>
      <c r="K5258" s="728"/>
      <c r="L5258" s="723"/>
      <c r="M5258" s="749"/>
      <c r="N5258" s="749"/>
      <c r="O5258" s="749"/>
      <c r="P5258" s="749"/>
      <c r="Q5258" s="750"/>
      <c r="R5258" s="712"/>
      <c r="S5258" s="750"/>
      <c r="T5258" s="763"/>
      <c r="U5258" s="108"/>
      <c r="Y5258" s="534"/>
      <c r="AA5258" s="52"/>
      <c r="AB5258" s="52"/>
      <c r="AC5258" s="52"/>
      <c r="AG5258" s="52"/>
      <c r="AH5258" s="87"/>
      <c r="AI5258" s="87"/>
    </row>
    <row r="5259" spans="1:35" ht="56.25" hidden="1" customHeight="1" thickBot="1">
      <c r="A5259" s="218" t="e">
        <f>"M"&amp;E5239</f>
        <v>#N/A</v>
      </c>
      <c r="B5259" s="702"/>
      <c r="C5259" s="725" t="s">
        <v>101</v>
      </c>
      <c r="D5259" s="716"/>
      <c r="E5259" s="558" t="s">
        <v>105</v>
      </c>
      <c r="F5259" s="554" t="s">
        <v>87</v>
      </c>
      <c r="G5259" s="553" t="s">
        <v>86</v>
      </c>
      <c r="H5259" s="559" t="s">
        <v>85</v>
      </c>
      <c r="I5259" s="554" t="s">
        <v>252</v>
      </c>
      <c r="J5259" s="553" t="str">
        <f>"¿EL INTEGRANTE TIENE UNA PARTICIPACIÓN DEL "&amp;PORCREQUERIDOINT*100&amp;"%?"</f>
        <v>¿EL INTEGRANTE TIENE UNA PARTICIPACIÓN DEL 60%?</v>
      </c>
      <c r="K5259" s="554" t="s">
        <v>107</v>
      </c>
      <c r="L5259" s="724"/>
      <c r="M5259" s="717" t="s">
        <v>115</v>
      </c>
      <c r="N5259" s="718"/>
      <c r="O5259" s="718"/>
      <c r="P5259" s="718"/>
      <c r="Q5259" s="223">
        <f>IF(AND(H5243="SI",P5243&gt;=0),1,0)+IF(AND(H5244="SI",P5244&gt;=0),1,0)+IF(AND(H5245="SI",P5245&gt;=0),1,0)+IF(AND(H5246="SI",P5246&gt;=0),1,0)+IF(AND(H5247="SI",P5247&gt;=0),1,0)+IF(AND(H5248="SI",P5248&gt;=0),1,0)+IF(AND(H5249="SI",P5249&gt;=0),1,0)+IF(AND(H5250="SI",P5250&gt;=0),1,0)+IF(AND(H5251="SI",P5251&gt;=0),1,0)+IF(AND(H5252="SI",P5252&gt;=0),1,0)</f>
        <v>0</v>
      </c>
      <c r="R5259" s="759"/>
      <c r="S5259" s="761"/>
      <c r="T5259" s="764"/>
      <c r="U5259" s="219"/>
      <c r="V5259" s="464"/>
      <c r="Y5259" s="532" t="s">
        <v>342</v>
      </c>
      <c r="AA5259" s="550" t="s">
        <v>344</v>
      </c>
      <c r="AB5259" s="693" t="s">
        <v>345</v>
      </c>
      <c r="AC5259" s="693" t="s">
        <v>346</v>
      </c>
      <c r="AD5259" s="685" t="s">
        <v>347</v>
      </c>
      <c r="AE5259" s="52"/>
      <c r="AF5259" s="52"/>
      <c r="AG5259" s="52"/>
      <c r="AH5259" s="87"/>
      <c r="AI5259" s="87"/>
    </row>
    <row r="5260" spans="1:35" ht="15.75" hidden="1" customHeight="1" thickBot="1">
      <c r="A5260" s="218" t="e">
        <f>"N"&amp;E5239</f>
        <v>#N/A</v>
      </c>
      <c r="B5260" s="702"/>
      <c r="C5260" s="114">
        <v>1</v>
      </c>
      <c r="D5260" s="194" t="e">
        <f>IF(AND(C5260&lt;=F5258,F5258&gt;1,F5258&lt;&gt;""),VLOOKUP(VALUE(E5239&amp;","&amp;C5260),INTEGRANTES!$D$18:$F$235,2,0),"")</f>
        <v>#N/A</v>
      </c>
      <c r="E5260" s="211" t="e">
        <f>IF(D5260&lt;&gt;"",VLOOKUP(VALUE(E5239&amp;","&amp;C5260),INTEGRANTES!$D$18:$F$235,3,0),"")</f>
        <v>#N/A</v>
      </c>
      <c r="F5260" s="547" t="e">
        <f>IF(D5260="","",SUMIF($I5243:$I5252,D5260,$P5243:$P5252))</f>
        <v>#N/A</v>
      </c>
      <c r="G5260" s="333" t="e">
        <f>IF(D5260="","",SUMIF($I5243:$I5252,D5260,$M5243:$M5252))</f>
        <v>#N/A</v>
      </c>
      <c r="H5260" s="535" t="e">
        <f t="shared" ref="H5260:H5265" si="1559">IF(D5260="","",IF(OR(F5260=0,G5260=0),"NO APORTA",ROUND($F5260/$G5260,3)))</f>
        <v>#N/A</v>
      </c>
      <c r="I5260" s="212" t="e">
        <f>IF(D5260="","",IF(H5260="NO APORTA","NO",IF(H5260=MAX($H5260:$H5265),"SI","NO")))</f>
        <v>#N/A</v>
      </c>
      <c r="J5260" s="213" t="e">
        <f t="shared" ref="J5260:J5265" si="1560">IF(D5260="","",IF(E5260&gt;=PORCREQUERIDOINT,"SI","NO"))</f>
        <v>#N/A</v>
      </c>
      <c r="K5260" s="200" t="e">
        <f t="shared" ref="K5260:K5265" si="1561">IF(D5260="","",IF(AND(I5260="SI",J5260="SI"),"CUMPLE",IF(AND(I5260="NO",OR(J5260="SI",J5260="NO")),"","NO CUMPLE")))</f>
        <v>#N/A</v>
      </c>
      <c r="L5260" s="722" t="s">
        <v>108</v>
      </c>
      <c r="M5260" s="726" t="s">
        <v>119</v>
      </c>
      <c r="N5260" s="726"/>
      <c r="O5260" s="726"/>
      <c r="P5260" s="726"/>
      <c r="Q5260" s="727"/>
      <c r="R5260" s="758" t="s">
        <v>80</v>
      </c>
      <c r="S5260" s="747"/>
      <c r="T5260" s="748"/>
      <c r="U5260" s="219"/>
      <c r="V5260" s="464"/>
      <c r="Y5260" s="533" t="e">
        <f>IF(Y5257="","",IF(Y5257="INDIVIDUAL","NO APLICA","VERIFICAR CUADRO"))</f>
        <v>#N/A</v>
      </c>
      <c r="AA5260" s="551"/>
      <c r="AB5260" s="694"/>
      <c r="AC5260" s="694"/>
      <c r="AD5260" s="686"/>
      <c r="AE5260" s="52"/>
      <c r="AF5260" s="52"/>
      <c r="AG5260" s="52"/>
      <c r="AH5260" s="87"/>
      <c r="AI5260" s="87"/>
    </row>
    <row r="5261" spans="1:35" ht="27" hidden="1" customHeight="1" thickBot="1">
      <c r="A5261" s="218" t="e">
        <f>"O"&amp;E5239</f>
        <v>#N/A</v>
      </c>
      <c r="B5261" s="702"/>
      <c r="C5261" s="114">
        <v>2</v>
      </c>
      <c r="D5261" s="194" t="e">
        <f>IF(AND(C5261&lt;=F5258,F5258&lt;&gt;""),VLOOKUP(VALUE(E5239&amp;","&amp;C5261),INTEGRANTES!$D$18:$F$235,2,0),"")</f>
        <v>#N/A</v>
      </c>
      <c r="E5261" s="211" t="e">
        <f>IF(D5261&lt;&gt;"",VLOOKUP(VALUE(E5239&amp;","&amp;C5261),INTEGRANTES!$D$18:$F$235,3,0),"")</f>
        <v>#N/A</v>
      </c>
      <c r="F5261" s="547" t="e">
        <f>IF(D5261="","",SUMIF($I5243:$I5252,D5261,$P5243:$P5252))</f>
        <v>#N/A</v>
      </c>
      <c r="G5261" s="333" t="e">
        <f>IF(D5261="","",SUMIF($I5243:$I5252,D5261,$M5243:$M5252))</f>
        <v>#N/A</v>
      </c>
      <c r="H5261" s="535" t="e">
        <f t="shared" si="1559"/>
        <v>#N/A</v>
      </c>
      <c r="I5261" s="212" t="e">
        <f>IF(D5261="","",IF(H5261="NO APORTA","NO",IF(H5261=MAX($H5260:$H5265),"SI","NO")))</f>
        <v>#N/A</v>
      </c>
      <c r="J5261" s="213" t="e">
        <f t="shared" si="1560"/>
        <v>#N/A</v>
      </c>
      <c r="K5261" s="200" t="e">
        <f t="shared" si="1561"/>
        <v>#N/A</v>
      </c>
      <c r="L5261" s="723"/>
      <c r="M5261" s="715" t="s">
        <v>116</v>
      </c>
      <c r="N5261" s="716"/>
      <c r="O5261" s="556" t="s">
        <v>113</v>
      </c>
      <c r="P5261" s="715" t="s">
        <v>117</v>
      </c>
      <c r="Q5261" s="728"/>
      <c r="R5261" s="759"/>
      <c r="S5261" s="760"/>
      <c r="T5261" s="761"/>
      <c r="U5261" s="219"/>
      <c r="V5261" s="464"/>
      <c r="Y5261" s="414"/>
      <c r="AA5261" s="542" t="e">
        <f>IF(AND(C5260&lt;=F5258,F5258&gt;1,F5258&lt;&gt;""),VLOOKUP(VALUE(E5239&amp;","&amp;C5260),INTEGRANTES!$D$18:$F$235,2,0),"")</f>
        <v>#N/A</v>
      </c>
      <c r="AB5261" s="544" t="e">
        <f t="shared" ref="AB5261:AB5266" si="1562">IF(D5260="","",IF(OR(F5260=0,G5260=0),"NO APORTA",ROUND($F5260/$G5260,3)))</f>
        <v>#N/A</v>
      </c>
      <c r="AC5261" s="529"/>
      <c r="AD5261" s="200" t="e">
        <f t="shared" ref="AD5261:AD5266" si="1563">IF(OR(AA5261="",AB5261=""),"",IF(AND(AC5261="X",AB5261&gt;=EXPREQVTD),"CUMPLE","NO CUMPLE"))</f>
        <v>#N/A</v>
      </c>
      <c r="AE5261" s="52"/>
      <c r="AF5261" s="52"/>
      <c r="AG5261" s="52"/>
      <c r="AH5261" s="87"/>
      <c r="AI5261" s="87"/>
    </row>
    <row r="5262" spans="1:35" ht="16.5" hidden="1" thickBot="1">
      <c r="A5262" s="218" t="e">
        <f>"P"&amp;E5239</f>
        <v>#N/A</v>
      </c>
      <c r="B5262" s="702"/>
      <c r="C5262" s="114">
        <v>3</v>
      </c>
      <c r="D5262" s="194" t="e">
        <f>IF(AND(C5262&lt;=F5258,F5258&lt;&gt;""),VLOOKUP(VALUE(E5239&amp;","&amp;C5262),INTEGRANTES!$D$18:$F$235,2,0),"")</f>
        <v>#N/A</v>
      </c>
      <c r="E5262" s="211" t="e">
        <f>IF(D5262&lt;&gt;"",VLOOKUP(VALUE(E5239&amp;","&amp;C5262),INTEGRANTES!$D$18:$F$235,3,0),"")</f>
        <v>#N/A</v>
      </c>
      <c r="F5262" s="547" t="e">
        <f>IF(D5262="","",SUMIF($I5243:$I5252,D5262,$P5243:$P5252))</f>
        <v>#N/A</v>
      </c>
      <c r="G5262" s="333" t="e">
        <f>IF(D5262="","",SUMIF($I5243:$I5252,D5262,$M5243:$M5252))</f>
        <v>#N/A</v>
      </c>
      <c r="H5262" s="535" t="e">
        <f t="shared" si="1559"/>
        <v>#N/A</v>
      </c>
      <c r="I5262" s="212" t="e">
        <f>IF(D5262="","",IF(H5262="NO APORTA","NO",IF(H5262=MAX($H5260:$H5265),"SI","NO")))</f>
        <v>#N/A</v>
      </c>
      <c r="J5262" s="213" t="e">
        <f t="shared" si="1560"/>
        <v>#N/A</v>
      </c>
      <c r="K5262" s="200" t="e">
        <f t="shared" si="1561"/>
        <v>#N/A</v>
      </c>
      <c r="L5262" s="724"/>
      <c r="M5262" s="729">
        <f>NUMMOD</f>
        <v>1</v>
      </c>
      <c r="N5262" s="730"/>
      <c r="O5262" s="443">
        <f>IF(M5262="","",VLOOKUP(M5262,PRESUPUESTOS!$B$16:$H$16,5,FALSE))</f>
        <v>2</v>
      </c>
      <c r="P5262" s="713">
        <f>IF(OR(COUNTIF(M5243:M5252,"")&gt;=10,Q5259&lt;NUMMINCONT,OR(T5257="NO CUMPLE",T5257="VERIFICAR")),0,ROUND(AVERAGE(M5243:M5252),3))</f>
        <v>0</v>
      </c>
      <c r="Q5262" s="714"/>
      <c r="R5262" s="458"/>
      <c r="S5262" s="459"/>
      <c r="T5262" s="460"/>
      <c r="U5262" s="219"/>
      <c r="V5262" s="464"/>
      <c r="Y5262" s="532" t="str">
        <f>"40% * ("&amp;PRESUPUESTOS!$H$13&amp;")"</f>
        <v>40% * (50% PFMO)</v>
      </c>
      <c r="AA5262" s="540" t="e">
        <f>IF(AND(C5261&lt;=F5258,F5258&lt;&gt;""),VLOOKUP(VALUE(E5239&amp;","&amp;C5261),INTEGRANTES!$D$18:$F$235,2,0),"")</f>
        <v>#N/A</v>
      </c>
      <c r="AB5262" s="545" t="e">
        <f t="shared" si="1562"/>
        <v>#N/A</v>
      </c>
      <c r="AC5262" s="529"/>
      <c r="AD5262" s="200" t="e">
        <f t="shared" si="1563"/>
        <v>#N/A</v>
      </c>
      <c r="AE5262" s="52"/>
      <c r="AF5262" s="52"/>
      <c r="AG5262" s="52"/>
      <c r="AH5262" s="87"/>
      <c r="AI5262" s="87"/>
    </row>
    <row r="5263" spans="1:35" ht="15.75" hidden="1" customHeight="1" thickBot="1">
      <c r="A5263" s="218" t="e">
        <f>"Q"&amp;E5239</f>
        <v>#N/A</v>
      </c>
      <c r="B5263" s="702"/>
      <c r="C5263" s="114">
        <v>4</v>
      </c>
      <c r="D5263" s="194" t="e">
        <f>IF(AND(C5263&lt;=F5258,F5258&lt;&gt;""),VLOOKUP(VALUE(E5239&amp;","&amp;C5263),INTEGRANTES!$D$18:$F$235,2,0),"")</f>
        <v>#N/A</v>
      </c>
      <c r="E5263" s="211" t="e">
        <f>IF(D5263&lt;&gt;"",VLOOKUP(VALUE(E5239&amp;","&amp;C5263),INTEGRANTES!$D$18:$F$235,3,0),"")</f>
        <v>#N/A</v>
      </c>
      <c r="F5263" s="547" t="e">
        <f>IF(D5263="","",SUMIF($I5243:$I5252,D5263,$P5243:$P5252))</f>
        <v>#N/A</v>
      </c>
      <c r="G5263" s="333" t="e">
        <f>IF(D5263="","",SUMIF($I5243:$I5252,D5263,$M5243:$M5252))</f>
        <v>#N/A</v>
      </c>
      <c r="H5263" s="535" t="e">
        <f t="shared" si="1559"/>
        <v>#N/A</v>
      </c>
      <c r="I5263" s="212" t="e">
        <f>IF(D5263="","",IF(H5263="NO APORTA","NO",IF(H5263=MAX($H5260:$H5265),"SI","NO")))</f>
        <v>#N/A</v>
      </c>
      <c r="J5263" s="213" t="e">
        <f t="shared" si="1560"/>
        <v>#N/A</v>
      </c>
      <c r="K5263" s="200" t="e">
        <f t="shared" si="1561"/>
        <v>#N/A</v>
      </c>
      <c r="L5263" s="720" t="s">
        <v>109</v>
      </c>
      <c r="M5263" s="757" t="s">
        <v>120</v>
      </c>
      <c r="N5263" s="726"/>
      <c r="O5263" s="726"/>
      <c r="P5263" s="726"/>
      <c r="Q5263" s="727"/>
      <c r="R5263" s="458"/>
      <c r="S5263" s="459"/>
      <c r="T5263" s="460"/>
      <c r="U5263" s="219"/>
      <c r="V5263" s="464"/>
      <c r="Y5263" s="537">
        <f>0.4*PRESUPUESTOS!$H$16</f>
        <v>10.3124</v>
      </c>
      <c r="AA5263" s="540" t="e">
        <f>IF(AND(C5262&lt;=F5258,F5258&lt;&gt;""),VLOOKUP(VALUE(E5239&amp;","&amp;C5262),INTEGRANTES!$D$18:$F$235,2,0),"")</f>
        <v>#N/A</v>
      </c>
      <c r="AB5263" s="545" t="e">
        <f t="shared" si="1562"/>
        <v>#N/A</v>
      </c>
      <c r="AC5263" s="529"/>
      <c r="AD5263" s="200" t="e">
        <f t="shared" si="1563"/>
        <v>#N/A</v>
      </c>
      <c r="AE5263" s="52"/>
      <c r="AF5263" s="52"/>
      <c r="AG5263" s="52"/>
      <c r="AH5263" s="87"/>
      <c r="AI5263" s="87"/>
    </row>
    <row r="5264" spans="1:35" ht="27" hidden="1" customHeight="1" thickBot="1">
      <c r="A5264" s="218" t="e">
        <f>"R"&amp;E5239</f>
        <v>#N/A</v>
      </c>
      <c r="B5264" s="702"/>
      <c r="C5264" s="114">
        <v>5</v>
      </c>
      <c r="D5264" s="194" t="e">
        <f>IF(AND(C5264&lt;=F5258,F5258&lt;&gt;""),VLOOKUP(VALUE(E5239&amp;","&amp;C5264),INTEGRANTES!$D$18:$F$235,2,0),"")</f>
        <v>#N/A</v>
      </c>
      <c r="E5264" s="211" t="e">
        <f>IF(D5264&lt;&gt;"",VLOOKUP(VALUE(E5239&amp;","&amp;C5264),INTEGRANTES!$D$18:$F$235,3,0),"")</f>
        <v>#N/A</v>
      </c>
      <c r="F5264" s="547" t="e">
        <f>IF(D5264="","",SUMIF($I5243:$I5252,D5264,$P5243:$P5252))</f>
        <v>#N/A</v>
      </c>
      <c r="G5264" s="333" t="e">
        <f>IF(D5264="","",SUMIF($I5243:$I5252,D5264,$M5243:$M5252))</f>
        <v>#N/A</v>
      </c>
      <c r="H5264" s="535" t="e">
        <f t="shared" si="1559"/>
        <v>#N/A</v>
      </c>
      <c r="I5264" s="212" t="e">
        <f>IF(D5264="","",IF(H5264="NO APORTA","NO",IF(H5264=MAX($H5260:$H5265),"SI","NO")))</f>
        <v>#N/A</v>
      </c>
      <c r="J5264" s="213" t="e">
        <f t="shared" si="1560"/>
        <v>#N/A</v>
      </c>
      <c r="K5264" s="200" t="e">
        <f t="shared" si="1561"/>
        <v>#N/A</v>
      </c>
      <c r="L5264" s="721"/>
      <c r="M5264" s="715" t="s">
        <v>116</v>
      </c>
      <c r="N5264" s="716"/>
      <c r="O5264" s="556" t="str">
        <f>PORCREQUERIDO*100&amp;"% PMFO DEL MÓDULO"</f>
        <v>50% PMFO DEL MÓDULO</v>
      </c>
      <c r="P5264" s="715" t="s">
        <v>118</v>
      </c>
      <c r="Q5264" s="728"/>
      <c r="R5264" s="458"/>
      <c r="S5264" s="459"/>
      <c r="T5264" s="460"/>
      <c r="U5264" s="219"/>
      <c r="V5264" s="464"/>
      <c r="Y5264" s="414"/>
      <c r="AA5264" s="540" t="e">
        <f>IF(AND(C5263&lt;=F5258,F5258&lt;&gt;""),VLOOKUP(VALUE(E5239&amp;","&amp;C5263),INTEGRANTES!$D$18:$F$235,2,0),"")</f>
        <v>#N/A</v>
      </c>
      <c r="AB5264" s="545" t="e">
        <f t="shared" si="1562"/>
        <v>#N/A</v>
      </c>
      <c r="AC5264" s="529"/>
      <c r="AD5264" s="200" t="e">
        <f t="shared" si="1563"/>
        <v>#N/A</v>
      </c>
      <c r="AE5264" s="52"/>
      <c r="AF5264" s="52"/>
      <c r="AG5264" s="52"/>
      <c r="AH5264" s="87"/>
      <c r="AI5264" s="87"/>
    </row>
    <row r="5265" spans="1:35" ht="16.5" hidden="1" thickBot="1">
      <c r="A5265" s="218" t="e">
        <f>"S"&amp;E5239</f>
        <v>#N/A</v>
      </c>
      <c r="B5265" s="702"/>
      <c r="C5265" s="215">
        <v>6</v>
      </c>
      <c r="D5265" s="216" t="e">
        <f>IF(AND(C5265&lt;=F5258,F5258&lt;&gt;""),VLOOKUP(VALUE(E5239&amp;","&amp;C5265),INTEGRANTES!$D$18:$F$235,2,0),"")</f>
        <v>#N/A</v>
      </c>
      <c r="E5265" s="217" t="e">
        <f>IF(D5265&lt;&gt;"",VLOOKUP(VALUE(E5239&amp;","&amp;C5265),INTEGRANTES!$D$18:$F$235,3,0),"")</f>
        <v>#N/A</v>
      </c>
      <c r="F5265" s="548" t="e">
        <f>IF(D5265="","",SUMIF($I5243:$I5252,D5265,$P5243:$P5252))</f>
        <v>#N/A</v>
      </c>
      <c r="G5265" s="334" t="e">
        <f>IF(D5265="","",SUMIF($I5243:$I5252,D5265,$M5243:$M5252))</f>
        <v>#N/A</v>
      </c>
      <c r="H5265" s="536" t="e">
        <f t="shared" si="1559"/>
        <v>#N/A</v>
      </c>
      <c r="I5265" s="214" t="e">
        <f>IF(D5265="","",IF(H5265="NO APORTA","NO",IF(H5265=MAX($H5260:$H5265),"SI","NO")))</f>
        <v>#N/A</v>
      </c>
      <c r="J5265" s="213" t="e">
        <f t="shared" si="1560"/>
        <v>#N/A</v>
      </c>
      <c r="K5265" s="200" t="e">
        <f t="shared" si="1561"/>
        <v>#N/A</v>
      </c>
      <c r="L5265" s="721"/>
      <c r="M5265" s="729">
        <f>NUMMOD</f>
        <v>1</v>
      </c>
      <c r="N5265" s="730"/>
      <c r="O5265" s="443">
        <f>IF(M5265="","",ROUND(VLOOKUP(M5265,PRESUPUESTOS!$B$16:$H$16,7,FALSE),3))</f>
        <v>25.780999999999999</v>
      </c>
      <c r="P5265" s="713">
        <f>IF(OR(COUNTIF(P5243:P5252,"")&gt;=10,Q5259&lt;NUMMINCONT,OR(T5257="NO CUMPLE",T5257="VERIFICAR")),0,ROUND((SUM(P5243:P5252)/SUM(M5243:M5252)),3))</f>
        <v>0</v>
      </c>
      <c r="Q5265" s="714"/>
      <c r="R5265" s="458"/>
      <c r="S5265" s="459"/>
      <c r="T5265" s="460"/>
      <c r="U5265" s="219"/>
      <c r="V5265" s="464"/>
      <c r="Y5265" s="532" t="s">
        <v>343</v>
      </c>
      <c r="AA5265" s="540" t="e">
        <f>IF(AND(C5264&lt;=F5258,F5258&lt;&gt;""),VLOOKUP(VALUE(E5239&amp;","&amp;C5264),INTEGRANTES!$D$18:$F$235,2,0),"")</f>
        <v>#N/A</v>
      </c>
      <c r="AB5265" s="545" t="e">
        <f t="shared" si="1562"/>
        <v>#N/A</v>
      </c>
      <c r="AC5265" s="529"/>
      <c r="AD5265" s="200" t="e">
        <f t="shared" si="1563"/>
        <v>#N/A</v>
      </c>
      <c r="AE5265" s="52"/>
      <c r="AF5265" s="52"/>
      <c r="AG5265" s="52"/>
      <c r="AH5265" s="87"/>
      <c r="AI5265" s="87"/>
    </row>
    <row r="5266" spans="1:35" ht="16.5" hidden="1" customHeight="1" thickBot="1">
      <c r="A5266" s="218" t="e">
        <f>"T"&amp;E5239</f>
        <v>#N/A</v>
      </c>
      <c r="B5266" s="703"/>
      <c r="C5266" s="719"/>
      <c r="D5266" s="719"/>
      <c r="E5266" s="719"/>
      <c r="F5266" s="719"/>
      <c r="G5266" s="719"/>
      <c r="H5266" s="719" t="s">
        <v>110</v>
      </c>
      <c r="I5266" s="719"/>
      <c r="J5266" s="719"/>
      <c r="K5266" s="201" t="str">
        <f>IF(COUNTIF(K5260:K5265,"")=6,"",IF(COUNTIF(K5260:K5265,"CUMPLE")&gt;0,"CUMPLE","NO CUMPLE"))</f>
        <v>NO CUMPLE</v>
      </c>
      <c r="L5266" s="754"/>
      <c r="M5266" s="755"/>
      <c r="N5266" s="755"/>
      <c r="O5266" s="755"/>
      <c r="P5266" s="755"/>
      <c r="Q5266" s="756"/>
      <c r="R5266" s="461"/>
      <c r="S5266" s="462"/>
      <c r="T5266" s="463"/>
      <c r="U5266" s="219"/>
      <c r="V5266" s="464"/>
      <c r="Y5266" s="549" t="e">
        <f>IF(Y5260="NO APLICA","NO APLICA",IF(COUNTIF(AD5261:AD5266,"CUMPLE")&gt;0,"CUMPLE","NO CUMPLE"))</f>
        <v>#N/A</v>
      </c>
      <c r="AA5266" s="541" t="e">
        <f>IF(AND(C5265&lt;=F5258,F5258&lt;&gt;""),VLOOKUP(VALUE(E5239&amp;","&amp;C5265),INTEGRANTES!$D$18:$F$235,2,0),"")</f>
        <v>#N/A</v>
      </c>
      <c r="AB5266" s="546" t="e">
        <f t="shared" si="1562"/>
        <v>#N/A</v>
      </c>
      <c r="AC5266" s="543"/>
      <c r="AD5266" s="201" t="e">
        <f t="shared" si="1563"/>
        <v>#N/A</v>
      </c>
      <c r="AE5266" s="52"/>
      <c r="AF5266" s="52"/>
      <c r="AG5266" s="52"/>
      <c r="AH5266" s="87"/>
      <c r="AI5266" s="87"/>
    </row>
    <row r="5267" spans="1:35" hidden="1">
      <c r="AH5267" s="87"/>
      <c r="AI5267" s="87"/>
    </row>
    <row r="5268" spans="1:35" hidden="1">
      <c r="AH5268" s="87"/>
      <c r="AI5268" s="87"/>
    </row>
    <row r="5269" spans="1:35" ht="24" hidden="1" thickBot="1">
      <c r="A5269" s="61">
        <v>176</v>
      </c>
      <c r="B5269" s="704" t="s">
        <v>51</v>
      </c>
      <c r="C5269" s="704"/>
      <c r="D5269" s="704"/>
      <c r="E5269" s="62" t="e">
        <f>VLOOKUP(A5269,PROPONENTES!$B$19:$E$218,2,FALSE)</f>
        <v>#N/A</v>
      </c>
      <c r="F5269" s="63" t="e">
        <f>VLOOKUP(A5269,PROPONENTES!$B$19:$E$218,3,FALSE)</f>
        <v>#N/A</v>
      </c>
      <c r="G5269" s="64"/>
      <c r="H5269" s="64"/>
      <c r="I5269" s="63"/>
      <c r="J5269" s="63"/>
      <c r="K5269" s="65"/>
      <c r="L5269" s="65"/>
      <c r="M5269" s="64"/>
      <c r="N5269" s="64"/>
      <c r="O5269" s="66"/>
      <c r="P5269" s="66"/>
      <c r="Q5269" s="66"/>
      <c r="R5269" s="66"/>
      <c r="S5269" s="67"/>
      <c r="T5269" s="68"/>
      <c r="U5269" s="68"/>
      <c r="AC5269" s="68"/>
      <c r="AD5269" s="68"/>
      <c r="AE5269" s="68"/>
      <c r="AF5269" s="68"/>
      <c r="AG5269" s="68"/>
      <c r="AH5269" s="87"/>
      <c r="AI5269" s="87"/>
    </row>
    <row r="5270" spans="1:35" ht="15.75" hidden="1" customHeight="1">
      <c r="A5270" s="44"/>
      <c r="B5270" s="709" t="s">
        <v>59</v>
      </c>
      <c r="C5270" s="552" t="s">
        <v>60</v>
      </c>
      <c r="D5270" s="70" t="s">
        <v>17</v>
      </c>
      <c r="E5270" s="70"/>
      <c r="F5270" s="70" t="s">
        <v>61</v>
      </c>
      <c r="G5270" s="71"/>
      <c r="H5270" s="699" t="s">
        <v>62</v>
      </c>
      <c r="I5270" s="699" t="s">
        <v>18</v>
      </c>
      <c r="J5270" s="699" t="s">
        <v>63</v>
      </c>
      <c r="K5270" s="699" t="s">
        <v>64</v>
      </c>
      <c r="L5270" s="699" t="s">
        <v>65</v>
      </c>
      <c r="M5270" s="743" t="s">
        <v>66</v>
      </c>
      <c r="N5270" s="699" t="s">
        <v>282</v>
      </c>
      <c r="O5270" s="745" t="s">
        <v>67</v>
      </c>
      <c r="P5270" s="746"/>
      <c r="Q5270" s="102" t="s">
        <v>75</v>
      </c>
      <c r="R5270" s="731" t="s">
        <v>22</v>
      </c>
      <c r="S5270" s="732"/>
      <c r="T5270" s="733"/>
      <c r="U5270" s="712" t="s">
        <v>298</v>
      </c>
      <c r="W5270" s="690" t="s">
        <v>268</v>
      </c>
      <c r="X5270" s="691"/>
      <c r="Y5270" s="692"/>
      <c r="Z5270" s="428"/>
      <c r="AA5270" s="697" t="s">
        <v>315</v>
      </c>
      <c r="AB5270" s="695" t="s">
        <v>322</v>
      </c>
      <c r="AC5270" s="49"/>
      <c r="AD5270" s="690" t="s">
        <v>297</v>
      </c>
      <c r="AE5270" s="691"/>
      <c r="AF5270" s="692"/>
      <c r="AG5270" s="49"/>
      <c r="AH5270" s="87"/>
      <c r="AI5270" s="87"/>
    </row>
    <row r="5271" spans="1:35" ht="72" hidden="1">
      <c r="A5271" s="44"/>
      <c r="B5271" s="710"/>
      <c r="C5271" s="553" t="s">
        <v>68</v>
      </c>
      <c r="D5271" s="73" t="s">
        <v>3</v>
      </c>
      <c r="E5271" s="73" t="s">
        <v>19</v>
      </c>
      <c r="F5271" s="73" t="s">
        <v>69</v>
      </c>
      <c r="G5271" s="74" t="s">
        <v>70</v>
      </c>
      <c r="H5271" s="700"/>
      <c r="I5271" s="700"/>
      <c r="J5271" s="700"/>
      <c r="K5271" s="700"/>
      <c r="L5271" s="700"/>
      <c r="M5271" s="744"/>
      <c r="N5271" s="700"/>
      <c r="O5271" s="553" t="s">
        <v>279</v>
      </c>
      <c r="P5271" s="73" t="s">
        <v>88</v>
      </c>
      <c r="Q5271" s="555" t="s">
        <v>76</v>
      </c>
      <c r="R5271" s="734"/>
      <c r="S5271" s="735"/>
      <c r="T5271" s="736"/>
      <c r="U5271" s="712"/>
      <c r="W5271" s="429" t="s">
        <v>269</v>
      </c>
      <c r="X5271" s="457" t="s">
        <v>278</v>
      </c>
      <c r="Y5271" s="430" t="s">
        <v>324</v>
      </c>
      <c r="Z5271" s="428"/>
      <c r="AA5271" s="698"/>
      <c r="AB5271" s="696"/>
      <c r="AC5271" s="49"/>
      <c r="AD5271" s="429" t="s">
        <v>292</v>
      </c>
      <c r="AE5271" s="431" t="s">
        <v>300</v>
      </c>
      <c r="AF5271" s="468" t="s">
        <v>301</v>
      </c>
      <c r="AG5271" s="49"/>
      <c r="AH5271" s="87"/>
      <c r="AI5271" s="87"/>
    </row>
    <row r="5272" spans="1:35" hidden="1">
      <c r="A5272" s="44"/>
      <c r="B5272" s="76"/>
      <c r="C5272" s="77"/>
      <c r="D5272" s="77"/>
      <c r="E5272" s="77"/>
      <c r="F5272" s="77"/>
      <c r="G5272" s="77"/>
      <c r="H5272" s="77"/>
      <c r="I5272" s="77"/>
      <c r="J5272" s="77"/>
      <c r="K5272" s="77"/>
      <c r="L5272" s="77"/>
      <c r="M5272" s="77"/>
      <c r="N5272" s="77"/>
      <c r="O5272" s="77"/>
      <c r="P5272" s="77"/>
      <c r="Q5272" s="77"/>
      <c r="R5272" s="77"/>
      <c r="S5272" s="78"/>
      <c r="T5272" s="79"/>
      <c r="U5272" s="109"/>
      <c r="V5272" s="49"/>
      <c r="W5272" s="432"/>
      <c r="X5272" s="454"/>
      <c r="Y5272" s="433"/>
      <c r="Z5272" s="6"/>
      <c r="AA5272" s="500"/>
      <c r="AB5272" s="562"/>
      <c r="AC5272" s="49"/>
      <c r="AD5272" s="210"/>
      <c r="AE5272" s="434"/>
      <c r="AF5272" s="435"/>
      <c r="AG5272" s="49"/>
      <c r="AH5272" s="87"/>
      <c r="AI5272" s="87"/>
    </row>
    <row r="5273" spans="1:35" hidden="1">
      <c r="A5273" s="80" t="e">
        <f>"A"&amp;E5269</f>
        <v>#N/A</v>
      </c>
      <c r="B5273" s="81">
        <v>1</v>
      </c>
      <c r="C5273" s="82"/>
      <c r="D5273" s="82"/>
      <c r="E5273" s="82"/>
      <c r="F5273" s="82"/>
      <c r="G5273" s="83"/>
      <c r="H5273" s="83"/>
      <c r="I5273" s="84"/>
      <c r="J5273" s="85"/>
      <c r="K5273" s="382"/>
      <c r="L5273" s="85"/>
      <c r="M5273" s="332" t="str">
        <f t="shared" ref="M5273:M5282" si="1564">IF(OR(J5273="",L5273="",H5273="NO"),"",IF(OR(J5273&gt;$P$17,J5273&lt;$O$17,L5273&gt;$P$17,AND(J5273&lt;$O$17,L5273&lt;$O$17)),"FUERA DE RANGO",IF(OR(K5273="---",K5273=""),IF(J5273&gt;=$O$17,ROUND((L5273-J5273+1)/360*12,3),ROUND((L5273-$O$17+1)/360*12,3)),IF(J5273&gt;=$O$17,ROUND((L5273-J5273+1)/360*12-ROUND(K5273,3),3),ROUND((L5273-$O$17+1)/360*12-ROUND(K5273,3),3)))))</f>
        <v/>
      </c>
      <c r="N5273" s="86"/>
      <c r="O5273" s="453" t="str">
        <f>IF(OR(G5273="",N5273=""),"",N5273*G5273)</f>
        <v/>
      </c>
      <c r="P5273" s="538" t="str">
        <f>IF(OR(H5273="",M5273="FUERA DE RANGO"),"",IF(OR(L5273&lt;$O$17,L5273&gt;$P$17,L5273="",H5273="NO"),"",IF(OR(N5273="",O5273=""),"",ROUND(O5273,3))))</f>
        <v/>
      </c>
      <c r="Q5273" s="539" t="str">
        <f t="shared" ref="Q5273:Q5282" si="1565">IF(AND(H5273="SI",P5273&lt;&gt;""),ROUND(P5273/M5273,3),"")</f>
        <v/>
      </c>
      <c r="R5273" s="737"/>
      <c r="S5273" s="738"/>
      <c r="T5273" s="739"/>
      <c r="U5273" s="470"/>
      <c r="V5273" s="165"/>
      <c r="W5273" s="446"/>
      <c r="X5273" s="456"/>
      <c r="Y5273" s="436"/>
      <c r="Z5273" s="437"/>
      <c r="AA5273" s="560"/>
      <c r="AB5273" s="561"/>
      <c r="AC5273" s="87"/>
      <c r="AD5273" s="466"/>
      <c r="AE5273" s="456"/>
      <c r="AF5273" s="467"/>
      <c r="AG5273" s="87"/>
      <c r="AH5273" s="87"/>
      <c r="AI5273" s="87"/>
    </row>
    <row r="5274" spans="1:35" hidden="1">
      <c r="A5274" s="80" t="e">
        <f>"B"&amp;E5269</f>
        <v>#N/A</v>
      </c>
      <c r="B5274" s="81">
        <v>2</v>
      </c>
      <c r="C5274" s="106"/>
      <c r="D5274" s="106"/>
      <c r="E5274" s="106"/>
      <c r="F5274" s="106"/>
      <c r="G5274" s="83"/>
      <c r="H5274" s="83"/>
      <c r="I5274" s="84"/>
      <c r="J5274" s="85"/>
      <c r="K5274" s="382"/>
      <c r="L5274" s="85"/>
      <c r="M5274" s="332" t="str">
        <f t="shared" si="1564"/>
        <v/>
      </c>
      <c r="N5274" s="86"/>
      <c r="O5274" s="453" t="str">
        <f t="shared" ref="O5274:O5282" si="1566">IF(OR(G5274="",N5274=""),"",N5274*G5274)</f>
        <v/>
      </c>
      <c r="P5274" s="538" t="str">
        <f t="shared" ref="P5274:P5282" si="1567">IF(OR(H5274="",M5274="FUERA DE RANGO"),"",IF(OR(L5274&lt;$O$17,L5274&gt;$P$17,L5274="",H5274="NO"),"",IF(OR(N5274="",O5274=""),"",ROUND(O5274,3))))</f>
        <v/>
      </c>
      <c r="Q5274" s="539" t="str">
        <f t="shared" si="1565"/>
        <v/>
      </c>
      <c r="R5274" s="740"/>
      <c r="S5274" s="741"/>
      <c r="T5274" s="742"/>
      <c r="U5274" s="471"/>
      <c r="V5274" s="165"/>
      <c r="W5274" s="446"/>
      <c r="X5274" s="456"/>
      <c r="Y5274" s="436"/>
      <c r="Z5274" s="437"/>
      <c r="AA5274" s="560"/>
      <c r="AB5274" s="561"/>
      <c r="AC5274" s="87"/>
      <c r="AD5274" s="466"/>
      <c r="AE5274" s="456"/>
      <c r="AF5274" s="467"/>
      <c r="AG5274" s="87"/>
      <c r="AH5274" s="87"/>
      <c r="AI5274" s="87"/>
    </row>
    <row r="5275" spans="1:35" hidden="1">
      <c r="A5275" s="80" t="e">
        <f>"C"&amp;E5269</f>
        <v>#N/A</v>
      </c>
      <c r="B5275" s="88">
        <v>3</v>
      </c>
      <c r="C5275" s="82"/>
      <c r="D5275" s="82"/>
      <c r="E5275" s="82"/>
      <c r="F5275" s="82"/>
      <c r="G5275" s="83"/>
      <c r="H5275" s="83"/>
      <c r="I5275" s="84"/>
      <c r="J5275" s="85"/>
      <c r="K5275" s="382"/>
      <c r="L5275" s="85"/>
      <c r="M5275" s="332" t="str">
        <f t="shared" si="1564"/>
        <v/>
      </c>
      <c r="N5275" s="86"/>
      <c r="O5275" s="453" t="str">
        <f t="shared" si="1566"/>
        <v/>
      </c>
      <c r="P5275" s="538" t="str">
        <f t="shared" si="1567"/>
        <v/>
      </c>
      <c r="Q5275" s="539" t="str">
        <f t="shared" si="1565"/>
        <v/>
      </c>
      <c r="R5275" s="706"/>
      <c r="S5275" s="707"/>
      <c r="T5275" s="708"/>
      <c r="U5275" s="472"/>
      <c r="V5275" s="166"/>
      <c r="W5275" s="446"/>
      <c r="X5275" s="456"/>
      <c r="Y5275" s="436"/>
      <c r="Z5275" s="437"/>
      <c r="AA5275" s="560"/>
      <c r="AB5275" s="561"/>
      <c r="AC5275" s="87"/>
      <c r="AD5275" s="466"/>
      <c r="AE5275" s="456"/>
      <c r="AF5275" s="467"/>
      <c r="AG5275" s="87"/>
      <c r="AH5275" s="87"/>
      <c r="AI5275" s="87"/>
    </row>
    <row r="5276" spans="1:35" hidden="1">
      <c r="A5276" s="80" t="e">
        <f>"D"&amp;E5269</f>
        <v>#N/A</v>
      </c>
      <c r="B5276" s="105">
        <v>4</v>
      </c>
      <c r="C5276" s="107"/>
      <c r="D5276" s="107"/>
      <c r="E5276" s="107"/>
      <c r="F5276" s="107"/>
      <c r="G5276" s="83"/>
      <c r="H5276" s="83"/>
      <c r="I5276" s="84"/>
      <c r="J5276" s="85"/>
      <c r="K5276" s="382"/>
      <c r="L5276" s="85"/>
      <c r="M5276" s="332" t="str">
        <f t="shared" si="1564"/>
        <v/>
      </c>
      <c r="N5276" s="86"/>
      <c r="O5276" s="453" t="str">
        <f t="shared" si="1566"/>
        <v/>
      </c>
      <c r="P5276" s="538" t="str">
        <f t="shared" si="1567"/>
        <v/>
      </c>
      <c r="Q5276" s="539" t="str">
        <f t="shared" si="1565"/>
        <v/>
      </c>
      <c r="R5276" s="706"/>
      <c r="S5276" s="707"/>
      <c r="T5276" s="708"/>
      <c r="U5276" s="472"/>
      <c r="V5276" s="166"/>
      <c r="W5276" s="446"/>
      <c r="X5276" s="456"/>
      <c r="Y5276" s="436"/>
      <c r="Z5276" s="437"/>
      <c r="AA5276" s="560"/>
      <c r="AB5276" s="561"/>
      <c r="AC5276" s="87"/>
      <c r="AD5276" s="466"/>
      <c r="AE5276" s="456"/>
      <c r="AF5276" s="467"/>
      <c r="AG5276" s="87"/>
      <c r="AH5276" s="87"/>
      <c r="AI5276" s="87"/>
    </row>
    <row r="5277" spans="1:35" hidden="1">
      <c r="A5277" s="80" t="e">
        <f>"E"&amp;E5269</f>
        <v>#N/A</v>
      </c>
      <c r="B5277" s="105">
        <v>5</v>
      </c>
      <c r="C5277" s="107"/>
      <c r="D5277" s="107"/>
      <c r="E5277" s="107"/>
      <c r="F5277" s="107"/>
      <c r="G5277" s="83"/>
      <c r="H5277" s="83"/>
      <c r="I5277" s="84"/>
      <c r="J5277" s="85"/>
      <c r="K5277" s="382"/>
      <c r="L5277" s="85"/>
      <c r="M5277" s="332" t="str">
        <f t="shared" si="1564"/>
        <v/>
      </c>
      <c r="N5277" s="86"/>
      <c r="O5277" s="453" t="str">
        <f t="shared" si="1566"/>
        <v/>
      </c>
      <c r="P5277" s="538" t="str">
        <f t="shared" si="1567"/>
        <v/>
      </c>
      <c r="Q5277" s="539" t="str">
        <f t="shared" si="1565"/>
        <v/>
      </c>
      <c r="R5277" s="706"/>
      <c r="S5277" s="707"/>
      <c r="T5277" s="708"/>
      <c r="U5277" s="472"/>
      <c r="V5277" s="167"/>
      <c r="W5277" s="446"/>
      <c r="X5277" s="456"/>
      <c r="Y5277" s="436"/>
      <c r="Z5277" s="437"/>
      <c r="AA5277" s="560"/>
      <c r="AB5277" s="561"/>
      <c r="AC5277" s="87"/>
      <c r="AD5277" s="466"/>
      <c r="AE5277" s="456"/>
      <c r="AF5277" s="467"/>
      <c r="AG5277" s="87"/>
      <c r="AH5277" s="87"/>
      <c r="AI5277" s="87"/>
    </row>
    <row r="5278" spans="1:35" hidden="1">
      <c r="A5278" s="80" t="e">
        <f>"F"&amp;E5269</f>
        <v>#N/A</v>
      </c>
      <c r="B5278" s="105">
        <v>6</v>
      </c>
      <c r="C5278" s="107"/>
      <c r="D5278" s="107"/>
      <c r="E5278" s="107"/>
      <c r="F5278" s="107"/>
      <c r="G5278" s="83"/>
      <c r="H5278" s="83"/>
      <c r="I5278" s="84"/>
      <c r="J5278" s="85"/>
      <c r="K5278" s="382"/>
      <c r="L5278" s="85"/>
      <c r="M5278" s="332" t="str">
        <f t="shared" si="1564"/>
        <v/>
      </c>
      <c r="N5278" s="86"/>
      <c r="O5278" s="453" t="str">
        <f t="shared" si="1566"/>
        <v/>
      </c>
      <c r="P5278" s="538" t="str">
        <f t="shared" si="1567"/>
        <v/>
      </c>
      <c r="Q5278" s="539" t="str">
        <f t="shared" si="1565"/>
        <v/>
      </c>
      <c r="R5278" s="706"/>
      <c r="S5278" s="707"/>
      <c r="T5278" s="708"/>
      <c r="U5278" s="472"/>
      <c r="V5278" s="167"/>
      <c r="W5278" s="446"/>
      <c r="X5278" s="456"/>
      <c r="Y5278" s="436"/>
      <c r="Z5278" s="437"/>
      <c r="AA5278" s="560"/>
      <c r="AB5278" s="561"/>
      <c r="AC5278" s="87"/>
      <c r="AD5278" s="466"/>
      <c r="AE5278" s="456"/>
      <c r="AF5278" s="467"/>
      <c r="AG5278" s="87"/>
      <c r="AH5278" s="87"/>
      <c r="AI5278" s="87"/>
    </row>
    <row r="5279" spans="1:35" hidden="1">
      <c r="A5279" s="80" t="e">
        <f>"G"&amp;E5269</f>
        <v>#N/A</v>
      </c>
      <c r="B5279" s="105">
        <v>7</v>
      </c>
      <c r="C5279" s="107"/>
      <c r="D5279" s="107"/>
      <c r="E5279" s="107"/>
      <c r="F5279" s="107"/>
      <c r="G5279" s="83"/>
      <c r="H5279" s="83"/>
      <c r="I5279" s="84"/>
      <c r="J5279" s="85"/>
      <c r="K5279" s="382"/>
      <c r="L5279" s="85"/>
      <c r="M5279" s="332" t="str">
        <f t="shared" si="1564"/>
        <v/>
      </c>
      <c r="N5279" s="86"/>
      <c r="O5279" s="86" t="str">
        <f t="shared" si="1566"/>
        <v/>
      </c>
      <c r="P5279" s="538" t="str">
        <f t="shared" si="1567"/>
        <v/>
      </c>
      <c r="Q5279" s="539" t="str">
        <f t="shared" si="1565"/>
        <v/>
      </c>
      <c r="R5279" s="706"/>
      <c r="S5279" s="707"/>
      <c r="T5279" s="708"/>
      <c r="U5279" s="472"/>
      <c r="V5279" s="167"/>
      <c r="W5279" s="446"/>
      <c r="X5279" s="456"/>
      <c r="Y5279" s="436"/>
      <c r="Z5279" s="437"/>
      <c r="AA5279" s="560"/>
      <c r="AB5279" s="561"/>
      <c r="AC5279" s="87"/>
      <c r="AD5279" s="466"/>
      <c r="AE5279" s="456"/>
      <c r="AF5279" s="467"/>
      <c r="AG5279" s="87"/>
      <c r="AH5279" s="87"/>
      <c r="AI5279" s="87"/>
    </row>
    <row r="5280" spans="1:35" hidden="1">
      <c r="A5280" s="80" t="e">
        <f>"H"&amp;E5269</f>
        <v>#N/A</v>
      </c>
      <c r="B5280" s="105">
        <v>8</v>
      </c>
      <c r="C5280" s="107"/>
      <c r="D5280" s="107"/>
      <c r="E5280" s="107"/>
      <c r="F5280" s="107"/>
      <c r="G5280" s="83"/>
      <c r="H5280" s="83"/>
      <c r="I5280" s="84"/>
      <c r="J5280" s="85"/>
      <c r="K5280" s="382"/>
      <c r="L5280" s="85"/>
      <c r="M5280" s="332" t="str">
        <f t="shared" si="1564"/>
        <v/>
      </c>
      <c r="N5280" s="453"/>
      <c r="O5280" s="86" t="str">
        <f t="shared" si="1566"/>
        <v/>
      </c>
      <c r="P5280" s="538" t="str">
        <f t="shared" si="1567"/>
        <v/>
      </c>
      <c r="Q5280" s="539" t="str">
        <f t="shared" si="1565"/>
        <v/>
      </c>
      <c r="R5280" s="706"/>
      <c r="S5280" s="707"/>
      <c r="T5280" s="708"/>
      <c r="U5280" s="472"/>
      <c r="V5280" s="167"/>
      <c r="W5280" s="446"/>
      <c r="X5280" s="456"/>
      <c r="Y5280" s="436"/>
      <c r="Z5280" s="437"/>
      <c r="AA5280" s="560"/>
      <c r="AB5280" s="561"/>
      <c r="AC5280" s="87"/>
      <c r="AD5280" s="466"/>
      <c r="AE5280" s="456"/>
      <c r="AF5280" s="467"/>
      <c r="AG5280" s="87"/>
      <c r="AH5280" s="87"/>
      <c r="AI5280" s="87"/>
    </row>
    <row r="5281" spans="1:35" hidden="1">
      <c r="A5281" s="80" t="e">
        <f>"I"&amp;E5269</f>
        <v>#N/A</v>
      </c>
      <c r="B5281" s="105">
        <v>9</v>
      </c>
      <c r="C5281" s="107"/>
      <c r="D5281" s="107"/>
      <c r="E5281" s="107"/>
      <c r="F5281" s="107"/>
      <c r="G5281" s="83"/>
      <c r="H5281" s="83"/>
      <c r="I5281" s="84"/>
      <c r="J5281" s="85"/>
      <c r="K5281" s="382"/>
      <c r="L5281" s="85"/>
      <c r="M5281" s="332" t="str">
        <f t="shared" si="1564"/>
        <v/>
      </c>
      <c r="N5281" s="453"/>
      <c r="O5281" s="86" t="str">
        <f t="shared" si="1566"/>
        <v/>
      </c>
      <c r="P5281" s="538" t="str">
        <f t="shared" si="1567"/>
        <v/>
      </c>
      <c r="Q5281" s="539" t="str">
        <f t="shared" si="1565"/>
        <v/>
      </c>
      <c r="R5281" s="706"/>
      <c r="S5281" s="707"/>
      <c r="T5281" s="708"/>
      <c r="U5281" s="472"/>
      <c r="V5281" s="167"/>
      <c r="W5281" s="446"/>
      <c r="X5281" s="456"/>
      <c r="Y5281" s="436"/>
      <c r="Z5281" s="437"/>
      <c r="AA5281" s="560"/>
      <c r="AB5281" s="561"/>
      <c r="AC5281" s="87"/>
      <c r="AD5281" s="466"/>
      <c r="AE5281" s="456"/>
      <c r="AF5281" s="467"/>
      <c r="AG5281" s="87"/>
      <c r="AH5281" s="87"/>
      <c r="AI5281" s="87"/>
    </row>
    <row r="5282" spans="1:35" hidden="1">
      <c r="A5282" s="80" t="e">
        <f>"J"&amp;E5269</f>
        <v>#N/A</v>
      </c>
      <c r="B5282" s="105">
        <v>10</v>
      </c>
      <c r="C5282" s="107"/>
      <c r="D5282" s="107"/>
      <c r="E5282" s="107"/>
      <c r="F5282" s="107"/>
      <c r="G5282" s="83"/>
      <c r="H5282" s="83"/>
      <c r="I5282" s="84"/>
      <c r="J5282" s="85"/>
      <c r="K5282" s="382"/>
      <c r="L5282" s="85"/>
      <c r="M5282" s="332" t="str">
        <f t="shared" si="1564"/>
        <v/>
      </c>
      <c r="N5282" s="453"/>
      <c r="O5282" s="86" t="str">
        <f t="shared" si="1566"/>
        <v/>
      </c>
      <c r="P5282" s="538" t="str">
        <f t="shared" si="1567"/>
        <v/>
      </c>
      <c r="Q5282" s="539" t="str">
        <f t="shared" si="1565"/>
        <v/>
      </c>
      <c r="R5282" s="706"/>
      <c r="S5282" s="707"/>
      <c r="T5282" s="708"/>
      <c r="U5282" s="472"/>
      <c r="V5282" s="167"/>
      <c r="W5282" s="446"/>
      <c r="X5282" s="456"/>
      <c r="Y5282" s="436"/>
      <c r="Z5282" s="437"/>
      <c r="AA5282" s="560"/>
      <c r="AB5282" s="561"/>
      <c r="AC5282" s="87"/>
      <c r="AD5282" s="466"/>
      <c r="AE5282" s="456"/>
      <c r="AF5282" s="467"/>
      <c r="AG5282" s="87"/>
      <c r="AH5282" s="87"/>
      <c r="AI5282" s="87"/>
    </row>
    <row r="5283" spans="1:35" ht="16.5" hidden="1" thickBot="1">
      <c r="A5283" s="44"/>
      <c r="B5283" s="89"/>
      <c r="C5283" s="90"/>
      <c r="D5283" s="90"/>
      <c r="E5283" s="90"/>
      <c r="F5283" s="90"/>
      <c r="G5283" s="90"/>
      <c r="H5283" s="90"/>
      <c r="I5283" s="90"/>
      <c r="J5283" s="90"/>
      <c r="K5283" s="90"/>
      <c r="L5283" s="90"/>
      <c r="M5283" s="90"/>
      <c r="N5283" s="90"/>
      <c r="O5283" s="90"/>
      <c r="P5283" s="90"/>
      <c r="Q5283" s="90"/>
      <c r="R5283" s="90"/>
      <c r="S5283" s="91"/>
      <c r="T5283" s="92"/>
      <c r="U5283" s="473"/>
      <c r="W5283" s="438"/>
      <c r="X5283" s="455"/>
      <c r="Y5283" s="439"/>
      <c r="Z5283" s="437"/>
      <c r="AA5283" s="530"/>
      <c r="AB5283" s="563"/>
      <c r="AC5283" s="87"/>
      <c r="AD5283" s="440"/>
      <c r="AE5283" s="441"/>
      <c r="AF5283" s="442"/>
      <c r="AG5283" s="49"/>
      <c r="AH5283" s="87"/>
      <c r="AI5283" s="87"/>
    </row>
    <row r="5284" spans="1:35" ht="16.5" hidden="1" thickBot="1">
      <c r="A5284" s="93"/>
      <c r="B5284" s="94"/>
      <c r="C5284" s="96"/>
      <c r="D5284" s="96"/>
      <c r="E5284" s="96"/>
      <c r="F5284" s="96"/>
      <c r="G5284" s="96"/>
      <c r="H5284" s="96"/>
      <c r="I5284" s="96"/>
      <c r="J5284" s="96"/>
      <c r="K5284" s="96"/>
      <c r="L5284" s="96"/>
      <c r="M5284" s="136"/>
      <c r="N5284" s="96"/>
      <c r="O5284" s="96"/>
      <c r="P5284" s="97"/>
      <c r="Q5284" s="97"/>
      <c r="R5284" s="98"/>
      <c r="S5284" s="95"/>
      <c r="T5284" s="99"/>
      <c r="U5284" s="469"/>
      <c r="AC5284" s="58"/>
      <c r="AG5284" s="58"/>
      <c r="AH5284" s="87"/>
      <c r="AI5284" s="87"/>
    </row>
    <row r="5285" spans="1:35" ht="16.5" hidden="1" thickBot="1">
      <c r="B5285" s="101"/>
      <c r="C5285" s="101"/>
      <c r="D5285" s="101"/>
      <c r="E5285" s="101"/>
      <c r="F5285" s="101"/>
      <c r="G5285" s="101"/>
      <c r="H5285" s="101"/>
      <c r="I5285" s="101"/>
      <c r="J5285" s="101"/>
      <c r="K5285" s="101"/>
      <c r="L5285" s="101"/>
      <c r="M5285" s="101"/>
      <c r="N5285" s="101"/>
      <c r="O5285" s="101"/>
      <c r="P5285" s="101"/>
      <c r="Q5285" s="101"/>
      <c r="R5285" s="101"/>
      <c r="S5285" s="101"/>
      <c r="U5285" s="50"/>
      <c r="AH5285" s="87"/>
      <c r="AI5285" s="87"/>
    </row>
    <row r="5286" spans="1:35" ht="16.5" hidden="1" customHeight="1" thickBot="1">
      <c r="A5286" s="44"/>
      <c r="B5286" s="705" t="s">
        <v>74</v>
      </c>
      <c r="C5286" s="705"/>
      <c r="D5286" s="705"/>
      <c r="E5286" s="705"/>
      <c r="F5286" s="705"/>
      <c r="G5286" s="705"/>
      <c r="H5286" s="705"/>
      <c r="I5286" s="705"/>
      <c r="J5286" s="705"/>
      <c r="K5286" s="705"/>
      <c r="L5286" s="705"/>
      <c r="M5286" s="705"/>
      <c r="N5286" s="705"/>
      <c r="O5286" s="705"/>
      <c r="P5286" s="705"/>
      <c r="Q5286" s="705"/>
      <c r="R5286" s="705"/>
      <c r="S5286" s="705"/>
      <c r="T5286" s="705"/>
      <c r="U5286" s="108"/>
      <c r="Y5286" s="532" t="s">
        <v>341</v>
      </c>
      <c r="AC5286" s="49"/>
      <c r="AD5286" s="687" t="s">
        <v>302</v>
      </c>
      <c r="AE5286" s="688"/>
      <c r="AF5286" s="689"/>
      <c r="AG5286" s="49"/>
      <c r="AH5286" s="87"/>
      <c r="AI5286" s="87"/>
    </row>
    <row r="5287" spans="1:35" ht="16.5" hidden="1" customHeight="1" thickBot="1">
      <c r="A5287" s="218" t="e">
        <f>"K"&amp;E5269</f>
        <v>#N/A</v>
      </c>
      <c r="B5287" s="701" t="s">
        <v>71</v>
      </c>
      <c r="C5287" s="751" t="s">
        <v>102</v>
      </c>
      <c r="D5287" s="751"/>
      <c r="E5287" s="751"/>
      <c r="F5287" s="751"/>
      <c r="G5287" s="751"/>
      <c r="H5287" s="751"/>
      <c r="I5287" s="751"/>
      <c r="J5287" s="751"/>
      <c r="K5287" s="751"/>
      <c r="L5287" s="722" t="s">
        <v>100</v>
      </c>
      <c r="M5287" s="747" t="s">
        <v>114</v>
      </c>
      <c r="N5287" s="747"/>
      <c r="O5287" s="747"/>
      <c r="P5287" s="747"/>
      <c r="Q5287" s="748"/>
      <c r="R5287" s="758" t="s">
        <v>280</v>
      </c>
      <c r="S5287" s="748"/>
      <c r="T5287" s="762" t="str">
        <f>IF(COUNTIF(AE5287:AF5287,"VERIFICAR")&gt;0,"VERIFICAR",IF(COUNTIF(AE5287:AF5287,"NO CUMPLE")&gt;0,"NO CUMPLE","CUMPLE"))</f>
        <v>VERIFICAR</v>
      </c>
      <c r="U5287" s="108"/>
      <c r="Y5287" s="533" t="e">
        <f>IF(F5288="","",IF(F5288=1,"INDIVIDUAL","ESTRUCTURA PLURAL"))</f>
        <v>#N/A</v>
      </c>
      <c r="AC5287" s="52"/>
      <c r="AD5287" s="475" t="s">
        <v>303</v>
      </c>
      <c r="AE5287" s="476" t="str">
        <f>IF(COUNTIF(AE5273:AE5282,"")=10,"VERIFICAR",IF(COUNTIF(AE5273:AE5282,"SI")&gt;0,"CUMPLE","NO CUMPLE"))</f>
        <v>VERIFICAR</v>
      </c>
      <c r="AF5287" s="477" t="str">
        <f>IF(COUNTIF(AF5273:AF5282,"")=10,"VERIFICAR",IF(COUNTIF(AF5273:AF5282,"SI")&gt;=$AI$22,"CUMPLE","NO CUMPLE"))</f>
        <v>VERIFICAR</v>
      </c>
      <c r="AG5287" s="52"/>
      <c r="AH5287" s="87"/>
      <c r="AI5287" s="87"/>
    </row>
    <row r="5288" spans="1:35" ht="15.75" hidden="1" customHeight="1" thickBot="1">
      <c r="A5288" s="218" t="e">
        <f>"L"&amp;E5269</f>
        <v>#N/A</v>
      </c>
      <c r="B5288" s="702"/>
      <c r="C5288" s="751" t="s">
        <v>103</v>
      </c>
      <c r="D5288" s="751"/>
      <c r="E5288" s="752"/>
      <c r="F5288" s="557" t="e">
        <f>IF(VLOOKUP(E5269,PROPONENTES!$C$19:$E$218,3,0)="","",VLOOKUP(E5269,PROPONENTES!$C$19:$E$218,3,0))</f>
        <v>#N/A</v>
      </c>
      <c r="G5288" s="753" t="s">
        <v>104</v>
      </c>
      <c r="H5288" s="751"/>
      <c r="I5288" s="715" t="e">
        <f>IF(OR(F5288="",F5288=1),"INTERESADO PERSONA NATURAL O JURIDICA","CONSORCIO O UNION TEMPORAL")</f>
        <v>#N/A</v>
      </c>
      <c r="J5288" s="725"/>
      <c r="K5288" s="728"/>
      <c r="L5288" s="723"/>
      <c r="M5288" s="749"/>
      <c r="N5288" s="749"/>
      <c r="O5288" s="749"/>
      <c r="P5288" s="749"/>
      <c r="Q5288" s="750"/>
      <c r="R5288" s="712"/>
      <c r="S5288" s="750"/>
      <c r="T5288" s="763"/>
      <c r="U5288" s="108"/>
      <c r="Y5288" s="534"/>
      <c r="AA5288" s="52"/>
      <c r="AB5288" s="52"/>
      <c r="AC5288" s="52"/>
      <c r="AG5288" s="52"/>
      <c r="AH5288" s="87"/>
      <c r="AI5288" s="87"/>
    </row>
    <row r="5289" spans="1:35" ht="56.25" hidden="1" customHeight="1" thickBot="1">
      <c r="A5289" s="218" t="e">
        <f>"M"&amp;E5269</f>
        <v>#N/A</v>
      </c>
      <c r="B5289" s="702"/>
      <c r="C5289" s="725" t="s">
        <v>101</v>
      </c>
      <c r="D5289" s="716"/>
      <c r="E5289" s="558" t="s">
        <v>105</v>
      </c>
      <c r="F5289" s="554" t="s">
        <v>87</v>
      </c>
      <c r="G5289" s="553" t="s">
        <v>86</v>
      </c>
      <c r="H5289" s="559" t="s">
        <v>85</v>
      </c>
      <c r="I5289" s="554" t="s">
        <v>252</v>
      </c>
      <c r="J5289" s="553" t="str">
        <f>"¿EL INTEGRANTE TIENE UNA PARTICIPACIÓN DEL "&amp;PORCREQUERIDOINT*100&amp;"%?"</f>
        <v>¿EL INTEGRANTE TIENE UNA PARTICIPACIÓN DEL 60%?</v>
      </c>
      <c r="K5289" s="554" t="s">
        <v>107</v>
      </c>
      <c r="L5289" s="724"/>
      <c r="M5289" s="717" t="s">
        <v>115</v>
      </c>
      <c r="N5289" s="718"/>
      <c r="O5289" s="718"/>
      <c r="P5289" s="718"/>
      <c r="Q5289" s="223">
        <f>IF(AND(H5273="SI",P5273&gt;=0),1,0)+IF(AND(H5274="SI",P5274&gt;=0),1,0)+IF(AND(H5275="SI",P5275&gt;=0),1,0)+IF(AND(H5276="SI",P5276&gt;=0),1,0)+IF(AND(H5277="SI",P5277&gt;=0),1,0)+IF(AND(H5278="SI",P5278&gt;=0),1,0)+IF(AND(H5279="SI",P5279&gt;=0),1,0)+IF(AND(H5280="SI",P5280&gt;=0),1,0)+IF(AND(H5281="SI",P5281&gt;=0),1,0)+IF(AND(H5282="SI",P5282&gt;=0),1,0)</f>
        <v>0</v>
      </c>
      <c r="R5289" s="759"/>
      <c r="S5289" s="761"/>
      <c r="T5289" s="764"/>
      <c r="U5289" s="219"/>
      <c r="V5289" s="464"/>
      <c r="Y5289" s="532" t="s">
        <v>342</v>
      </c>
      <c r="AA5289" s="550" t="s">
        <v>344</v>
      </c>
      <c r="AB5289" s="693" t="s">
        <v>345</v>
      </c>
      <c r="AC5289" s="693" t="s">
        <v>346</v>
      </c>
      <c r="AD5289" s="685" t="s">
        <v>347</v>
      </c>
      <c r="AE5289" s="52"/>
      <c r="AF5289" s="52"/>
      <c r="AG5289" s="52"/>
      <c r="AH5289" s="87"/>
      <c r="AI5289" s="87"/>
    </row>
    <row r="5290" spans="1:35" ht="15.75" hidden="1" customHeight="1" thickBot="1">
      <c r="A5290" s="218" t="e">
        <f>"N"&amp;E5269</f>
        <v>#N/A</v>
      </c>
      <c r="B5290" s="702"/>
      <c r="C5290" s="114">
        <v>1</v>
      </c>
      <c r="D5290" s="194" t="e">
        <f>IF(AND(C5290&lt;=F5288,F5288&gt;1,F5288&lt;&gt;""),VLOOKUP(VALUE(E5269&amp;","&amp;C5290),INTEGRANTES!$D$18:$F$235,2,0),"")</f>
        <v>#N/A</v>
      </c>
      <c r="E5290" s="211" t="e">
        <f>IF(D5290&lt;&gt;"",VLOOKUP(VALUE(E5269&amp;","&amp;C5290),INTEGRANTES!$D$18:$F$235,3,0),"")</f>
        <v>#N/A</v>
      </c>
      <c r="F5290" s="547" t="e">
        <f>IF(D5290="","",SUMIF($I5273:$I5282,D5290,$P5273:$P5282))</f>
        <v>#N/A</v>
      </c>
      <c r="G5290" s="333" t="e">
        <f>IF(D5290="","",SUMIF($I5273:$I5282,D5290,$M5273:$M5282))</f>
        <v>#N/A</v>
      </c>
      <c r="H5290" s="535" t="e">
        <f t="shared" ref="H5290:H5295" si="1568">IF(D5290="","",IF(OR(F5290=0,G5290=0),"NO APORTA",ROUND($F5290/$G5290,3)))</f>
        <v>#N/A</v>
      </c>
      <c r="I5290" s="212" t="e">
        <f>IF(D5290="","",IF(H5290="NO APORTA","NO",IF(H5290=MAX($H5290:$H5295),"SI","NO")))</f>
        <v>#N/A</v>
      </c>
      <c r="J5290" s="213" t="e">
        <f t="shared" ref="J5290:J5295" si="1569">IF(D5290="","",IF(E5290&gt;=PORCREQUERIDOINT,"SI","NO"))</f>
        <v>#N/A</v>
      </c>
      <c r="K5290" s="200" t="e">
        <f t="shared" ref="K5290:K5295" si="1570">IF(D5290="","",IF(AND(I5290="SI",J5290="SI"),"CUMPLE",IF(AND(I5290="NO",OR(J5290="SI",J5290="NO")),"","NO CUMPLE")))</f>
        <v>#N/A</v>
      </c>
      <c r="L5290" s="722" t="s">
        <v>108</v>
      </c>
      <c r="M5290" s="726" t="s">
        <v>119</v>
      </c>
      <c r="N5290" s="726"/>
      <c r="O5290" s="726"/>
      <c r="P5290" s="726"/>
      <c r="Q5290" s="727"/>
      <c r="R5290" s="758" t="s">
        <v>80</v>
      </c>
      <c r="S5290" s="747"/>
      <c r="T5290" s="748"/>
      <c r="U5290" s="219"/>
      <c r="V5290" s="464"/>
      <c r="Y5290" s="533" t="e">
        <f>IF(Y5287="","",IF(Y5287="INDIVIDUAL","NO APLICA","VERIFICAR CUADRO"))</f>
        <v>#N/A</v>
      </c>
      <c r="AA5290" s="551"/>
      <c r="AB5290" s="694"/>
      <c r="AC5290" s="694"/>
      <c r="AD5290" s="686"/>
      <c r="AE5290" s="52"/>
      <c r="AF5290" s="52"/>
      <c r="AG5290" s="52"/>
      <c r="AH5290" s="87"/>
      <c r="AI5290" s="87"/>
    </row>
    <row r="5291" spans="1:35" ht="27" hidden="1" customHeight="1" thickBot="1">
      <c r="A5291" s="218" t="e">
        <f>"O"&amp;E5269</f>
        <v>#N/A</v>
      </c>
      <c r="B5291" s="702"/>
      <c r="C5291" s="114">
        <v>2</v>
      </c>
      <c r="D5291" s="194" t="e">
        <f>IF(AND(C5291&lt;=F5288,F5288&lt;&gt;""),VLOOKUP(VALUE(E5269&amp;","&amp;C5291),INTEGRANTES!$D$18:$F$235,2,0),"")</f>
        <v>#N/A</v>
      </c>
      <c r="E5291" s="211" t="e">
        <f>IF(D5291&lt;&gt;"",VLOOKUP(VALUE(E5269&amp;","&amp;C5291),INTEGRANTES!$D$18:$F$235,3,0),"")</f>
        <v>#N/A</v>
      </c>
      <c r="F5291" s="547" t="e">
        <f>IF(D5291="","",SUMIF($I5273:$I5282,D5291,$P5273:$P5282))</f>
        <v>#N/A</v>
      </c>
      <c r="G5291" s="333" t="e">
        <f>IF(D5291="","",SUMIF($I5273:$I5282,D5291,$M5273:$M5282))</f>
        <v>#N/A</v>
      </c>
      <c r="H5291" s="535" t="e">
        <f t="shared" si="1568"/>
        <v>#N/A</v>
      </c>
      <c r="I5291" s="212" t="e">
        <f>IF(D5291="","",IF(H5291="NO APORTA","NO",IF(H5291=MAX($H5290:$H5295),"SI","NO")))</f>
        <v>#N/A</v>
      </c>
      <c r="J5291" s="213" t="e">
        <f t="shared" si="1569"/>
        <v>#N/A</v>
      </c>
      <c r="K5291" s="200" t="e">
        <f t="shared" si="1570"/>
        <v>#N/A</v>
      </c>
      <c r="L5291" s="723"/>
      <c r="M5291" s="715" t="s">
        <v>116</v>
      </c>
      <c r="N5291" s="716"/>
      <c r="O5291" s="556" t="s">
        <v>113</v>
      </c>
      <c r="P5291" s="715" t="s">
        <v>117</v>
      </c>
      <c r="Q5291" s="728"/>
      <c r="R5291" s="759"/>
      <c r="S5291" s="760"/>
      <c r="T5291" s="761"/>
      <c r="U5291" s="219"/>
      <c r="V5291" s="464"/>
      <c r="Y5291" s="414"/>
      <c r="AA5291" s="542" t="e">
        <f>IF(AND(C5290&lt;=F5288,F5288&gt;1,F5288&lt;&gt;""),VLOOKUP(VALUE(E5269&amp;","&amp;C5290),INTEGRANTES!$D$18:$F$235,2,0),"")</f>
        <v>#N/A</v>
      </c>
      <c r="AB5291" s="544" t="e">
        <f t="shared" ref="AB5291:AB5296" si="1571">IF(D5290="","",IF(OR(F5290=0,G5290=0),"NO APORTA",ROUND($F5290/$G5290,3)))</f>
        <v>#N/A</v>
      </c>
      <c r="AC5291" s="529"/>
      <c r="AD5291" s="200" t="e">
        <f t="shared" ref="AD5291:AD5296" si="1572">IF(OR(AA5291="",AB5291=""),"",IF(AND(AC5291="X",AB5291&gt;=EXPREQVTD),"CUMPLE","NO CUMPLE"))</f>
        <v>#N/A</v>
      </c>
      <c r="AE5291" s="52"/>
      <c r="AF5291" s="52"/>
      <c r="AG5291" s="52"/>
      <c r="AH5291" s="87"/>
      <c r="AI5291" s="87"/>
    </row>
    <row r="5292" spans="1:35" ht="16.5" hidden="1" thickBot="1">
      <c r="A5292" s="218" t="e">
        <f>"P"&amp;E5269</f>
        <v>#N/A</v>
      </c>
      <c r="B5292" s="702"/>
      <c r="C5292" s="114">
        <v>3</v>
      </c>
      <c r="D5292" s="194" t="e">
        <f>IF(AND(C5292&lt;=F5288,F5288&lt;&gt;""),VLOOKUP(VALUE(E5269&amp;","&amp;C5292),INTEGRANTES!$D$18:$F$235,2,0),"")</f>
        <v>#N/A</v>
      </c>
      <c r="E5292" s="211" t="e">
        <f>IF(D5292&lt;&gt;"",VLOOKUP(VALUE(E5269&amp;","&amp;C5292),INTEGRANTES!$D$18:$F$235,3,0),"")</f>
        <v>#N/A</v>
      </c>
      <c r="F5292" s="547" t="e">
        <f>IF(D5292="","",SUMIF($I5273:$I5282,D5292,$P5273:$P5282))</f>
        <v>#N/A</v>
      </c>
      <c r="G5292" s="333" t="e">
        <f>IF(D5292="","",SUMIF($I5273:$I5282,D5292,$M5273:$M5282))</f>
        <v>#N/A</v>
      </c>
      <c r="H5292" s="535" t="e">
        <f t="shared" si="1568"/>
        <v>#N/A</v>
      </c>
      <c r="I5292" s="212" t="e">
        <f>IF(D5292="","",IF(H5292="NO APORTA","NO",IF(H5292=MAX($H5290:$H5295),"SI","NO")))</f>
        <v>#N/A</v>
      </c>
      <c r="J5292" s="213" t="e">
        <f t="shared" si="1569"/>
        <v>#N/A</v>
      </c>
      <c r="K5292" s="200" t="e">
        <f t="shared" si="1570"/>
        <v>#N/A</v>
      </c>
      <c r="L5292" s="724"/>
      <c r="M5292" s="729">
        <f>NUMMOD</f>
        <v>1</v>
      </c>
      <c r="N5292" s="730"/>
      <c r="O5292" s="443">
        <f>IF(M5292="","",VLOOKUP(M5292,PRESUPUESTOS!$B$16:$H$16,5,FALSE))</f>
        <v>2</v>
      </c>
      <c r="P5292" s="713">
        <f>IF(OR(COUNTIF(M5273:M5282,"")&gt;=10,Q5289&lt;NUMMINCONT,OR(T5287="NO CUMPLE",T5287="VERIFICAR")),0,ROUND(AVERAGE(M5273:M5282),3))</f>
        <v>0</v>
      </c>
      <c r="Q5292" s="714"/>
      <c r="R5292" s="458"/>
      <c r="S5292" s="459"/>
      <c r="T5292" s="460"/>
      <c r="U5292" s="219"/>
      <c r="V5292" s="464"/>
      <c r="Y5292" s="532" t="str">
        <f>"40% * ("&amp;PRESUPUESTOS!$H$13&amp;")"</f>
        <v>40% * (50% PFMO)</v>
      </c>
      <c r="AA5292" s="540" t="e">
        <f>IF(AND(C5291&lt;=F5288,F5288&lt;&gt;""),VLOOKUP(VALUE(E5269&amp;","&amp;C5291),INTEGRANTES!$D$18:$F$235,2,0),"")</f>
        <v>#N/A</v>
      </c>
      <c r="AB5292" s="545" t="e">
        <f t="shared" si="1571"/>
        <v>#N/A</v>
      </c>
      <c r="AC5292" s="529"/>
      <c r="AD5292" s="200" t="e">
        <f t="shared" si="1572"/>
        <v>#N/A</v>
      </c>
      <c r="AE5292" s="52"/>
      <c r="AF5292" s="52"/>
      <c r="AG5292" s="52"/>
      <c r="AH5292" s="87"/>
      <c r="AI5292" s="87"/>
    </row>
    <row r="5293" spans="1:35" ht="15.75" hidden="1" customHeight="1" thickBot="1">
      <c r="A5293" s="218" t="e">
        <f>"Q"&amp;E5269</f>
        <v>#N/A</v>
      </c>
      <c r="B5293" s="702"/>
      <c r="C5293" s="114">
        <v>4</v>
      </c>
      <c r="D5293" s="194" t="e">
        <f>IF(AND(C5293&lt;=F5288,F5288&lt;&gt;""),VLOOKUP(VALUE(E5269&amp;","&amp;C5293),INTEGRANTES!$D$18:$F$235,2,0),"")</f>
        <v>#N/A</v>
      </c>
      <c r="E5293" s="211" t="e">
        <f>IF(D5293&lt;&gt;"",VLOOKUP(VALUE(E5269&amp;","&amp;C5293),INTEGRANTES!$D$18:$F$235,3,0),"")</f>
        <v>#N/A</v>
      </c>
      <c r="F5293" s="547" t="e">
        <f>IF(D5293="","",SUMIF($I5273:$I5282,D5293,$P5273:$P5282))</f>
        <v>#N/A</v>
      </c>
      <c r="G5293" s="333" t="e">
        <f>IF(D5293="","",SUMIF($I5273:$I5282,D5293,$M5273:$M5282))</f>
        <v>#N/A</v>
      </c>
      <c r="H5293" s="535" t="e">
        <f t="shared" si="1568"/>
        <v>#N/A</v>
      </c>
      <c r="I5293" s="212" t="e">
        <f>IF(D5293="","",IF(H5293="NO APORTA","NO",IF(H5293=MAX($H5290:$H5295),"SI","NO")))</f>
        <v>#N/A</v>
      </c>
      <c r="J5293" s="213" t="e">
        <f t="shared" si="1569"/>
        <v>#N/A</v>
      </c>
      <c r="K5293" s="200" t="e">
        <f t="shared" si="1570"/>
        <v>#N/A</v>
      </c>
      <c r="L5293" s="720" t="s">
        <v>109</v>
      </c>
      <c r="M5293" s="757" t="s">
        <v>120</v>
      </c>
      <c r="N5293" s="726"/>
      <c r="O5293" s="726"/>
      <c r="P5293" s="726"/>
      <c r="Q5293" s="727"/>
      <c r="R5293" s="458"/>
      <c r="S5293" s="459"/>
      <c r="T5293" s="460"/>
      <c r="U5293" s="219"/>
      <c r="V5293" s="464"/>
      <c r="Y5293" s="537">
        <f>0.4*PRESUPUESTOS!$H$16</f>
        <v>10.3124</v>
      </c>
      <c r="AA5293" s="540" t="e">
        <f>IF(AND(C5292&lt;=F5288,F5288&lt;&gt;""),VLOOKUP(VALUE(E5269&amp;","&amp;C5292),INTEGRANTES!$D$18:$F$235,2,0),"")</f>
        <v>#N/A</v>
      </c>
      <c r="AB5293" s="545" t="e">
        <f t="shared" si="1571"/>
        <v>#N/A</v>
      </c>
      <c r="AC5293" s="529"/>
      <c r="AD5293" s="200" t="e">
        <f t="shared" si="1572"/>
        <v>#N/A</v>
      </c>
      <c r="AE5293" s="52"/>
      <c r="AF5293" s="52"/>
      <c r="AG5293" s="52"/>
      <c r="AH5293" s="87"/>
      <c r="AI5293" s="87"/>
    </row>
    <row r="5294" spans="1:35" ht="27" hidden="1" customHeight="1" thickBot="1">
      <c r="A5294" s="218" t="e">
        <f>"R"&amp;E5269</f>
        <v>#N/A</v>
      </c>
      <c r="B5294" s="702"/>
      <c r="C5294" s="114">
        <v>5</v>
      </c>
      <c r="D5294" s="194" t="e">
        <f>IF(AND(C5294&lt;=F5288,F5288&lt;&gt;""),VLOOKUP(VALUE(E5269&amp;","&amp;C5294),INTEGRANTES!$D$18:$F$235,2,0),"")</f>
        <v>#N/A</v>
      </c>
      <c r="E5294" s="211" t="e">
        <f>IF(D5294&lt;&gt;"",VLOOKUP(VALUE(E5269&amp;","&amp;C5294),INTEGRANTES!$D$18:$F$235,3,0),"")</f>
        <v>#N/A</v>
      </c>
      <c r="F5294" s="547" t="e">
        <f>IF(D5294="","",SUMIF($I5273:$I5282,D5294,$P5273:$P5282))</f>
        <v>#N/A</v>
      </c>
      <c r="G5294" s="333" t="e">
        <f>IF(D5294="","",SUMIF($I5273:$I5282,D5294,$M5273:$M5282))</f>
        <v>#N/A</v>
      </c>
      <c r="H5294" s="535" t="e">
        <f t="shared" si="1568"/>
        <v>#N/A</v>
      </c>
      <c r="I5294" s="212" t="e">
        <f>IF(D5294="","",IF(H5294="NO APORTA","NO",IF(H5294=MAX($H5290:$H5295),"SI","NO")))</f>
        <v>#N/A</v>
      </c>
      <c r="J5294" s="213" t="e">
        <f t="shared" si="1569"/>
        <v>#N/A</v>
      </c>
      <c r="K5294" s="200" t="e">
        <f t="shared" si="1570"/>
        <v>#N/A</v>
      </c>
      <c r="L5294" s="721"/>
      <c r="M5294" s="715" t="s">
        <v>116</v>
      </c>
      <c r="N5294" s="716"/>
      <c r="O5294" s="556" t="str">
        <f>PORCREQUERIDO*100&amp;"% PMFO DEL MÓDULO"</f>
        <v>50% PMFO DEL MÓDULO</v>
      </c>
      <c r="P5294" s="715" t="s">
        <v>118</v>
      </c>
      <c r="Q5294" s="728"/>
      <c r="R5294" s="458"/>
      <c r="S5294" s="459"/>
      <c r="T5294" s="460"/>
      <c r="U5294" s="219"/>
      <c r="V5294" s="464"/>
      <c r="Y5294" s="414"/>
      <c r="AA5294" s="540" t="e">
        <f>IF(AND(C5293&lt;=F5288,F5288&lt;&gt;""),VLOOKUP(VALUE(E5269&amp;","&amp;C5293),INTEGRANTES!$D$18:$F$235,2,0),"")</f>
        <v>#N/A</v>
      </c>
      <c r="AB5294" s="545" t="e">
        <f t="shared" si="1571"/>
        <v>#N/A</v>
      </c>
      <c r="AC5294" s="529"/>
      <c r="AD5294" s="200" t="e">
        <f t="shared" si="1572"/>
        <v>#N/A</v>
      </c>
      <c r="AE5294" s="52"/>
      <c r="AF5294" s="52"/>
      <c r="AG5294" s="52"/>
      <c r="AH5294" s="87"/>
      <c r="AI5294" s="87"/>
    </row>
    <row r="5295" spans="1:35" ht="16.5" hidden="1" thickBot="1">
      <c r="A5295" s="218" t="e">
        <f>"S"&amp;E5269</f>
        <v>#N/A</v>
      </c>
      <c r="B5295" s="702"/>
      <c r="C5295" s="215">
        <v>6</v>
      </c>
      <c r="D5295" s="216" t="e">
        <f>IF(AND(C5295&lt;=F5288,F5288&lt;&gt;""),VLOOKUP(VALUE(E5269&amp;","&amp;C5295),INTEGRANTES!$D$18:$F$235,2,0),"")</f>
        <v>#N/A</v>
      </c>
      <c r="E5295" s="217" t="e">
        <f>IF(D5295&lt;&gt;"",VLOOKUP(VALUE(E5269&amp;","&amp;C5295),INTEGRANTES!$D$18:$F$235,3,0),"")</f>
        <v>#N/A</v>
      </c>
      <c r="F5295" s="548" t="e">
        <f>IF(D5295="","",SUMIF($I5273:$I5282,D5295,$P5273:$P5282))</f>
        <v>#N/A</v>
      </c>
      <c r="G5295" s="334" t="e">
        <f>IF(D5295="","",SUMIF($I5273:$I5282,D5295,$M5273:$M5282))</f>
        <v>#N/A</v>
      </c>
      <c r="H5295" s="536" t="e">
        <f t="shared" si="1568"/>
        <v>#N/A</v>
      </c>
      <c r="I5295" s="214" t="e">
        <f>IF(D5295="","",IF(H5295="NO APORTA","NO",IF(H5295=MAX($H5290:$H5295),"SI","NO")))</f>
        <v>#N/A</v>
      </c>
      <c r="J5295" s="213" t="e">
        <f t="shared" si="1569"/>
        <v>#N/A</v>
      </c>
      <c r="K5295" s="200" t="e">
        <f t="shared" si="1570"/>
        <v>#N/A</v>
      </c>
      <c r="L5295" s="721"/>
      <c r="M5295" s="729">
        <f>NUMMOD</f>
        <v>1</v>
      </c>
      <c r="N5295" s="730"/>
      <c r="O5295" s="443">
        <f>IF(M5295="","",ROUND(VLOOKUP(M5295,PRESUPUESTOS!$B$16:$H$16,7,FALSE),3))</f>
        <v>25.780999999999999</v>
      </c>
      <c r="P5295" s="713">
        <f>IF(OR(COUNTIF(P5273:P5282,"")&gt;=10,Q5289&lt;NUMMINCONT,OR(T5287="NO CUMPLE",T5287="VERIFICAR")),0,ROUND((SUM(P5273:P5282)/SUM(M5273:M5282)),3))</f>
        <v>0</v>
      </c>
      <c r="Q5295" s="714"/>
      <c r="R5295" s="458"/>
      <c r="S5295" s="459"/>
      <c r="T5295" s="460"/>
      <c r="U5295" s="219"/>
      <c r="V5295" s="464"/>
      <c r="Y5295" s="532" t="s">
        <v>343</v>
      </c>
      <c r="AA5295" s="540" t="e">
        <f>IF(AND(C5294&lt;=F5288,F5288&lt;&gt;""),VLOOKUP(VALUE(E5269&amp;","&amp;C5294),INTEGRANTES!$D$18:$F$235,2,0),"")</f>
        <v>#N/A</v>
      </c>
      <c r="AB5295" s="545" t="e">
        <f t="shared" si="1571"/>
        <v>#N/A</v>
      </c>
      <c r="AC5295" s="529"/>
      <c r="AD5295" s="200" t="e">
        <f t="shared" si="1572"/>
        <v>#N/A</v>
      </c>
      <c r="AE5295" s="52"/>
      <c r="AF5295" s="52"/>
      <c r="AG5295" s="52"/>
      <c r="AH5295" s="87"/>
      <c r="AI5295" s="87"/>
    </row>
    <row r="5296" spans="1:35" ht="16.5" hidden="1" customHeight="1" thickBot="1">
      <c r="A5296" s="218" t="e">
        <f>"T"&amp;E5269</f>
        <v>#N/A</v>
      </c>
      <c r="B5296" s="703"/>
      <c r="C5296" s="719"/>
      <c r="D5296" s="719"/>
      <c r="E5296" s="719"/>
      <c r="F5296" s="719"/>
      <c r="G5296" s="719"/>
      <c r="H5296" s="719" t="s">
        <v>110</v>
      </c>
      <c r="I5296" s="719"/>
      <c r="J5296" s="719"/>
      <c r="K5296" s="201" t="str">
        <f>IF(COUNTIF(K5290:K5295,"")=6,"",IF(COUNTIF(K5290:K5295,"CUMPLE")&gt;0,"CUMPLE","NO CUMPLE"))</f>
        <v>NO CUMPLE</v>
      </c>
      <c r="L5296" s="754"/>
      <c r="M5296" s="755"/>
      <c r="N5296" s="755"/>
      <c r="O5296" s="755"/>
      <c r="P5296" s="755"/>
      <c r="Q5296" s="756"/>
      <c r="R5296" s="461"/>
      <c r="S5296" s="462"/>
      <c r="T5296" s="463"/>
      <c r="U5296" s="219"/>
      <c r="V5296" s="464"/>
      <c r="Y5296" s="549" t="e">
        <f>IF(Y5290="NO APLICA","NO APLICA",IF(COUNTIF(AD5291:AD5296,"CUMPLE")&gt;0,"CUMPLE","NO CUMPLE"))</f>
        <v>#N/A</v>
      </c>
      <c r="AA5296" s="541" t="e">
        <f>IF(AND(C5295&lt;=F5288,F5288&lt;&gt;""),VLOOKUP(VALUE(E5269&amp;","&amp;C5295),INTEGRANTES!$D$18:$F$235,2,0),"")</f>
        <v>#N/A</v>
      </c>
      <c r="AB5296" s="546" t="e">
        <f t="shared" si="1571"/>
        <v>#N/A</v>
      </c>
      <c r="AC5296" s="543"/>
      <c r="AD5296" s="201" t="e">
        <f t="shared" si="1572"/>
        <v>#N/A</v>
      </c>
      <c r="AE5296" s="52"/>
      <c r="AF5296" s="52"/>
      <c r="AG5296" s="52"/>
      <c r="AH5296" s="87"/>
      <c r="AI5296" s="87"/>
    </row>
    <row r="5297" spans="1:35" hidden="1">
      <c r="AH5297" s="87"/>
      <c r="AI5297" s="87"/>
    </row>
    <row r="5298" spans="1:35" hidden="1">
      <c r="AH5298" s="87"/>
      <c r="AI5298" s="87"/>
    </row>
    <row r="5299" spans="1:35" ht="24" hidden="1" thickBot="1">
      <c r="A5299" s="61">
        <v>177</v>
      </c>
      <c r="B5299" s="704" t="s">
        <v>51</v>
      </c>
      <c r="C5299" s="704"/>
      <c r="D5299" s="704"/>
      <c r="E5299" s="62" t="e">
        <f>VLOOKUP(A5299,PROPONENTES!$B$19:$E$218,2,FALSE)</f>
        <v>#N/A</v>
      </c>
      <c r="F5299" s="63" t="e">
        <f>VLOOKUP(A5299,PROPONENTES!$B$19:$E$218,3,FALSE)</f>
        <v>#N/A</v>
      </c>
      <c r="G5299" s="64"/>
      <c r="H5299" s="64"/>
      <c r="I5299" s="63"/>
      <c r="J5299" s="63"/>
      <c r="K5299" s="65"/>
      <c r="L5299" s="65"/>
      <c r="M5299" s="64"/>
      <c r="N5299" s="64"/>
      <c r="O5299" s="66"/>
      <c r="P5299" s="66"/>
      <c r="Q5299" s="66"/>
      <c r="R5299" s="66"/>
      <c r="S5299" s="67"/>
      <c r="T5299" s="68"/>
      <c r="U5299" s="68"/>
      <c r="AC5299" s="68"/>
      <c r="AD5299" s="68"/>
      <c r="AE5299" s="68"/>
      <c r="AF5299" s="68"/>
      <c r="AG5299" s="68"/>
      <c r="AH5299" s="87"/>
      <c r="AI5299" s="87"/>
    </row>
    <row r="5300" spans="1:35" ht="15.75" hidden="1" customHeight="1">
      <c r="A5300" s="44"/>
      <c r="B5300" s="709" t="s">
        <v>59</v>
      </c>
      <c r="C5300" s="552" t="s">
        <v>60</v>
      </c>
      <c r="D5300" s="70" t="s">
        <v>17</v>
      </c>
      <c r="E5300" s="70"/>
      <c r="F5300" s="70" t="s">
        <v>61</v>
      </c>
      <c r="G5300" s="71"/>
      <c r="H5300" s="699" t="s">
        <v>62</v>
      </c>
      <c r="I5300" s="699" t="s">
        <v>18</v>
      </c>
      <c r="J5300" s="699" t="s">
        <v>63</v>
      </c>
      <c r="K5300" s="699" t="s">
        <v>64</v>
      </c>
      <c r="L5300" s="699" t="s">
        <v>65</v>
      </c>
      <c r="M5300" s="743" t="s">
        <v>66</v>
      </c>
      <c r="N5300" s="699" t="s">
        <v>282</v>
      </c>
      <c r="O5300" s="745" t="s">
        <v>67</v>
      </c>
      <c r="P5300" s="746"/>
      <c r="Q5300" s="102" t="s">
        <v>75</v>
      </c>
      <c r="R5300" s="731" t="s">
        <v>22</v>
      </c>
      <c r="S5300" s="732"/>
      <c r="T5300" s="733"/>
      <c r="U5300" s="712" t="s">
        <v>298</v>
      </c>
      <c r="W5300" s="690" t="s">
        <v>268</v>
      </c>
      <c r="X5300" s="691"/>
      <c r="Y5300" s="692"/>
      <c r="Z5300" s="428"/>
      <c r="AA5300" s="697" t="s">
        <v>315</v>
      </c>
      <c r="AB5300" s="695" t="s">
        <v>322</v>
      </c>
      <c r="AC5300" s="49"/>
      <c r="AD5300" s="690" t="s">
        <v>297</v>
      </c>
      <c r="AE5300" s="691"/>
      <c r="AF5300" s="692"/>
      <c r="AG5300" s="49"/>
      <c r="AH5300" s="87"/>
      <c r="AI5300" s="87"/>
    </row>
    <row r="5301" spans="1:35" ht="72" hidden="1">
      <c r="A5301" s="44"/>
      <c r="B5301" s="710"/>
      <c r="C5301" s="553" t="s">
        <v>68</v>
      </c>
      <c r="D5301" s="73" t="s">
        <v>3</v>
      </c>
      <c r="E5301" s="73" t="s">
        <v>19</v>
      </c>
      <c r="F5301" s="73" t="s">
        <v>69</v>
      </c>
      <c r="G5301" s="74" t="s">
        <v>70</v>
      </c>
      <c r="H5301" s="700"/>
      <c r="I5301" s="700"/>
      <c r="J5301" s="700"/>
      <c r="K5301" s="700"/>
      <c r="L5301" s="700"/>
      <c r="M5301" s="744"/>
      <c r="N5301" s="700"/>
      <c r="O5301" s="553" t="s">
        <v>279</v>
      </c>
      <c r="P5301" s="73" t="s">
        <v>88</v>
      </c>
      <c r="Q5301" s="555" t="s">
        <v>76</v>
      </c>
      <c r="R5301" s="734"/>
      <c r="S5301" s="735"/>
      <c r="T5301" s="736"/>
      <c r="U5301" s="712"/>
      <c r="W5301" s="429" t="s">
        <v>269</v>
      </c>
      <c r="X5301" s="457" t="s">
        <v>278</v>
      </c>
      <c r="Y5301" s="430" t="s">
        <v>324</v>
      </c>
      <c r="Z5301" s="428"/>
      <c r="AA5301" s="698"/>
      <c r="AB5301" s="696"/>
      <c r="AC5301" s="49"/>
      <c r="AD5301" s="429" t="s">
        <v>292</v>
      </c>
      <c r="AE5301" s="431" t="s">
        <v>300</v>
      </c>
      <c r="AF5301" s="468" t="s">
        <v>301</v>
      </c>
      <c r="AG5301" s="49"/>
      <c r="AH5301" s="87"/>
      <c r="AI5301" s="87"/>
    </row>
    <row r="5302" spans="1:35" hidden="1">
      <c r="A5302" s="44"/>
      <c r="B5302" s="76"/>
      <c r="C5302" s="77"/>
      <c r="D5302" s="77"/>
      <c r="E5302" s="77"/>
      <c r="F5302" s="77"/>
      <c r="G5302" s="77"/>
      <c r="H5302" s="77"/>
      <c r="I5302" s="77"/>
      <c r="J5302" s="77"/>
      <c r="K5302" s="77"/>
      <c r="L5302" s="77"/>
      <c r="M5302" s="77"/>
      <c r="N5302" s="77"/>
      <c r="O5302" s="77"/>
      <c r="P5302" s="77"/>
      <c r="Q5302" s="77"/>
      <c r="R5302" s="77"/>
      <c r="S5302" s="78"/>
      <c r="T5302" s="79"/>
      <c r="U5302" s="109"/>
      <c r="V5302" s="49"/>
      <c r="W5302" s="432"/>
      <c r="X5302" s="454"/>
      <c r="Y5302" s="433"/>
      <c r="Z5302" s="6"/>
      <c r="AA5302" s="500"/>
      <c r="AB5302" s="562"/>
      <c r="AC5302" s="49"/>
      <c r="AD5302" s="210"/>
      <c r="AE5302" s="434"/>
      <c r="AF5302" s="435"/>
      <c r="AG5302" s="49"/>
      <c r="AH5302" s="87"/>
      <c r="AI5302" s="87"/>
    </row>
    <row r="5303" spans="1:35" hidden="1">
      <c r="A5303" s="80" t="e">
        <f>"A"&amp;E5299</f>
        <v>#N/A</v>
      </c>
      <c r="B5303" s="81">
        <v>1</v>
      </c>
      <c r="C5303" s="82"/>
      <c r="D5303" s="82"/>
      <c r="E5303" s="82"/>
      <c r="F5303" s="82"/>
      <c r="G5303" s="83"/>
      <c r="H5303" s="83"/>
      <c r="I5303" s="84"/>
      <c r="J5303" s="85"/>
      <c r="K5303" s="382"/>
      <c r="L5303" s="85"/>
      <c r="M5303" s="332" t="str">
        <f t="shared" ref="M5303:M5312" si="1573">IF(OR(J5303="",L5303="",H5303="NO"),"",IF(OR(J5303&gt;$P$17,J5303&lt;$O$17,L5303&gt;$P$17,AND(J5303&lt;$O$17,L5303&lt;$O$17)),"FUERA DE RANGO",IF(OR(K5303="---",K5303=""),IF(J5303&gt;=$O$17,ROUND((L5303-J5303+1)/360*12,3),ROUND((L5303-$O$17+1)/360*12,3)),IF(J5303&gt;=$O$17,ROUND((L5303-J5303+1)/360*12-ROUND(K5303,3),3),ROUND((L5303-$O$17+1)/360*12-ROUND(K5303,3),3)))))</f>
        <v/>
      </c>
      <c r="N5303" s="86"/>
      <c r="O5303" s="453" t="str">
        <f>IF(OR(G5303="",N5303=""),"",N5303*G5303)</f>
        <v/>
      </c>
      <c r="P5303" s="538" t="str">
        <f>IF(OR(H5303="",M5303="FUERA DE RANGO"),"",IF(OR(L5303&lt;$O$17,L5303&gt;$P$17,L5303="",H5303="NO"),"",IF(OR(N5303="",O5303=""),"",ROUND(O5303,3))))</f>
        <v/>
      </c>
      <c r="Q5303" s="539" t="str">
        <f t="shared" ref="Q5303:Q5312" si="1574">IF(AND(H5303="SI",P5303&lt;&gt;""),ROUND(P5303/M5303,3),"")</f>
        <v/>
      </c>
      <c r="R5303" s="737"/>
      <c r="S5303" s="738"/>
      <c r="T5303" s="739"/>
      <c r="U5303" s="470"/>
      <c r="V5303" s="165"/>
      <c r="W5303" s="446"/>
      <c r="X5303" s="456"/>
      <c r="Y5303" s="436"/>
      <c r="Z5303" s="437"/>
      <c r="AA5303" s="560"/>
      <c r="AB5303" s="561"/>
      <c r="AC5303" s="87"/>
      <c r="AD5303" s="466"/>
      <c r="AE5303" s="456"/>
      <c r="AF5303" s="467"/>
      <c r="AG5303" s="87"/>
      <c r="AH5303" s="87"/>
      <c r="AI5303" s="87"/>
    </row>
    <row r="5304" spans="1:35" hidden="1">
      <c r="A5304" s="80" t="e">
        <f>"B"&amp;E5299</f>
        <v>#N/A</v>
      </c>
      <c r="B5304" s="81">
        <v>2</v>
      </c>
      <c r="C5304" s="106"/>
      <c r="D5304" s="106"/>
      <c r="E5304" s="106"/>
      <c r="F5304" s="106"/>
      <c r="G5304" s="83"/>
      <c r="H5304" s="83"/>
      <c r="I5304" s="84"/>
      <c r="J5304" s="85"/>
      <c r="K5304" s="382"/>
      <c r="L5304" s="85"/>
      <c r="M5304" s="332" t="str">
        <f t="shared" si="1573"/>
        <v/>
      </c>
      <c r="N5304" s="86"/>
      <c r="O5304" s="453" t="str">
        <f t="shared" ref="O5304:O5312" si="1575">IF(OR(G5304="",N5304=""),"",N5304*G5304)</f>
        <v/>
      </c>
      <c r="P5304" s="538" t="str">
        <f t="shared" ref="P5304:P5312" si="1576">IF(OR(H5304="",M5304="FUERA DE RANGO"),"",IF(OR(L5304&lt;$O$17,L5304&gt;$P$17,L5304="",H5304="NO"),"",IF(OR(N5304="",O5304=""),"",ROUND(O5304,3))))</f>
        <v/>
      </c>
      <c r="Q5304" s="539" t="str">
        <f t="shared" si="1574"/>
        <v/>
      </c>
      <c r="R5304" s="740"/>
      <c r="S5304" s="741"/>
      <c r="T5304" s="742"/>
      <c r="U5304" s="471"/>
      <c r="V5304" s="165"/>
      <c r="W5304" s="446"/>
      <c r="X5304" s="456"/>
      <c r="Y5304" s="436"/>
      <c r="Z5304" s="437"/>
      <c r="AA5304" s="560"/>
      <c r="AB5304" s="561"/>
      <c r="AC5304" s="87"/>
      <c r="AD5304" s="466"/>
      <c r="AE5304" s="456"/>
      <c r="AF5304" s="467"/>
      <c r="AG5304" s="87"/>
      <c r="AH5304" s="87"/>
      <c r="AI5304" s="87"/>
    </row>
    <row r="5305" spans="1:35" hidden="1">
      <c r="A5305" s="80" t="e">
        <f>"C"&amp;E5299</f>
        <v>#N/A</v>
      </c>
      <c r="B5305" s="88">
        <v>3</v>
      </c>
      <c r="C5305" s="82"/>
      <c r="D5305" s="82"/>
      <c r="E5305" s="82"/>
      <c r="F5305" s="82"/>
      <c r="G5305" s="83"/>
      <c r="H5305" s="83"/>
      <c r="I5305" s="84"/>
      <c r="J5305" s="85"/>
      <c r="K5305" s="382"/>
      <c r="L5305" s="85"/>
      <c r="M5305" s="332" t="str">
        <f t="shared" si="1573"/>
        <v/>
      </c>
      <c r="N5305" s="86"/>
      <c r="O5305" s="453" t="str">
        <f t="shared" si="1575"/>
        <v/>
      </c>
      <c r="P5305" s="538" t="str">
        <f t="shared" si="1576"/>
        <v/>
      </c>
      <c r="Q5305" s="539" t="str">
        <f t="shared" si="1574"/>
        <v/>
      </c>
      <c r="R5305" s="706"/>
      <c r="S5305" s="707"/>
      <c r="T5305" s="708"/>
      <c r="U5305" s="472"/>
      <c r="V5305" s="166"/>
      <c r="W5305" s="446"/>
      <c r="X5305" s="456"/>
      <c r="Y5305" s="436"/>
      <c r="Z5305" s="437"/>
      <c r="AA5305" s="560"/>
      <c r="AB5305" s="561"/>
      <c r="AC5305" s="87"/>
      <c r="AD5305" s="466"/>
      <c r="AE5305" s="456"/>
      <c r="AF5305" s="467"/>
      <c r="AG5305" s="87"/>
      <c r="AH5305" s="87"/>
      <c r="AI5305" s="87"/>
    </row>
    <row r="5306" spans="1:35" hidden="1">
      <c r="A5306" s="80" t="e">
        <f>"D"&amp;E5299</f>
        <v>#N/A</v>
      </c>
      <c r="B5306" s="105">
        <v>4</v>
      </c>
      <c r="C5306" s="107"/>
      <c r="D5306" s="107"/>
      <c r="E5306" s="107"/>
      <c r="F5306" s="107"/>
      <c r="G5306" s="83"/>
      <c r="H5306" s="83"/>
      <c r="I5306" s="84"/>
      <c r="J5306" s="85"/>
      <c r="K5306" s="382"/>
      <c r="L5306" s="85"/>
      <c r="M5306" s="332" t="str">
        <f t="shared" si="1573"/>
        <v/>
      </c>
      <c r="N5306" s="86"/>
      <c r="O5306" s="453" t="str">
        <f t="shared" si="1575"/>
        <v/>
      </c>
      <c r="P5306" s="538" t="str">
        <f t="shared" si="1576"/>
        <v/>
      </c>
      <c r="Q5306" s="539" t="str">
        <f t="shared" si="1574"/>
        <v/>
      </c>
      <c r="R5306" s="706"/>
      <c r="S5306" s="707"/>
      <c r="T5306" s="708"/>
      <c r="U5306" s="472"/>
      <c r="V5306" s="166"/>
      <c r="W5306" s="446"/>
      <c r="X5306" s="456"/>
      <c r="Y5306" s="436"/>
      <c r="Z5306" s="437"/>
      <c r="AA5306" s="560"/>
      <c r="AB5306" s="561"/>
      <c r="AC5306" s="87"/>
      <c r="AD5306" s="466"/>
      <c r="AE5306" s="456"/>
      <c r="AF5306" s="467"/>
      <c r="AG5306" s="87"/>
      <c r="AH5306" s="87"/>
      <c r="AI5306" s="87"/>
    </row>
    <row r="5307" spans="1:35" hidden="1">
      <c r="A5307" s="80" t="e">
        <f>"E"&amp;E5299</f>
        <v>#N/A</v>
      </c>
      <c r="B5307" s="105">
        <v>5</v>
      </c>
      <c r="C5307" s="107"/>
      <c r="D5307" s="107"/>
      <c r="E5307" s="107"/>
      <c r="F5307" s="107"/>
      <c r="G5307" s="83"/>
      <c r="H5307" s="83"/>
      <c r="I5307" s="84"/>
      <c r="J5307" s="85"/>
      <c r="K5307" s="382"/>
      <c r="L5307" s="85"/>
      <c r="M5307" s="332" t="str">
        <f t="shared" si="1573"/>
        <v/>
      </c>
      <c r="N5307" s="86"/>
      <c r="O5307" s="453" t="str">
        <f t="shared" si="1575"/>
        <v/>
      </c>
      <c r="P5307" s="538" t="str">
        <f t="shared" si="1576"/>
        <v/>
      </c>
      <c r="Q5307" s="539" t="str">
        <f t="shared" si="1574"/>
        <v/>
      </c>
      <c r="R5307" s="706"/>
      <c r="S5307" s="707"/>
      <c r="T5307" s="708"/>
      <c r="U5307" s="472"/>
      <c r="V5307" s="167"/>
      <c r="W5307" s="446"/>
      <c r="X5307" s="456"/>
      <c r="Y5307" s="436"/>
      <c r="Z5307" s="437"/>
      <c r="AA5307" s="560"/>
      <c r="AB5307" s="561"/>
      <c r="AC5307" s="87"/>
      <c r="AD5307" s="466"/>
      <c r="AE5307" s="456"/>
      <c r="AF5307" s="467"/>
      <c r="AG5307" s="87"/>
      <c r="AH5307" s="87"/>
      <c r="AI5307" s="87"/>
    </row>
    <row r="5308" spans="1:35" hidden="1">
      <c r="A5308" s="80" t="e">
        <f>"F"&amp;E5299</f>
        <v>#N/A</v>
      </c>
      <c r="B5308" s="105">
        <v>6</v>
      </c>
      <c r="C5308" s="107"/>
      <c r="D5308" s="107"/>
      <c r="E5308" s="107"/>
      <c r="F5308" s="107"/>
      <c r="G5308" s="83"/>
      <c r="H5308" s="83"/>
      <c r="I5308" s="84"/>
      <c r="J5308" s="85"/>
      <c r="K5308" s="382"/>
      <c r="L5308" s="85"/>
      <c r="M5308" s="332" t="str">
        <f t="shared" si="1573"/>
        <v/>
      </c>
      <c r="N5308" s="86"/>
      <c r="O5308" s="453" t="str">
        <f t="shared" si="1575"/>
        <v/>
      </c>
      <c r="P5308" s="538" t="str">
        <f t="shared" si="1576"/>
        <v/>
      </c>
      <c r="Q5308" s="539" t="str">
        <f t="shared" si="1574"/>
        <v/>
      </c>
      <c r="R5308" s="706"/>
      <c r="S5308" s="707"/>
      <c r="T5308" s="708"/>
      <c r="U5308" s="472"/>
      <c r="V5308" s="167"/>
      <c r="W5308" s="446"/>
      <c r="X5308" s="456"/>
      <c r="Y5308" s="436"/>
      <c r="Z5308" s="437"/>
      <c r="AA5308" s="560"/>
      <c r="AB5308" s="561"/>
      <c r="AC5308" s="87"/>
      <c r="AD5308" s="466"/>
      <c r="AE5308" s="456"/>
      <c r="AF5308" s="467"/>
      <c r="AG5308" s="87"/>
      <c r="AH5308" s="87"/>
      <c r="AI5308" s="87"/>
    </row>
    <row r="5309" spans="1:35" hidden="1">
      <c r="A5309" s="80" t="e">
        <f>"G"&amp;E5299</f>
        <v>#N/A</v>
      </c>
      <c r="B5309" s="105">
        <v>7</v>
      </c>
      <c r="C5309" s="107"/>
      <c r="D5309" s="107"/>
      <c r="E5309" s="107"/>
      <c r="F5309" s="107"/>
      <c r="G5309" s="83"/>
      <c r="H5309" s="83"/>
      <c r="I5309" s="84"/>
      <c r="J5309" s="85"/>
      <c r="K5309" s="382"/>
      <c r="L5309" s="85"/>
      <c r="M5309" s="332" t="str">
        <f t="shared" si="1573"/>
        <v/>
      </c>
      <c r="N5309" s="86"/>
      <c r="O5309" s="86" t="str">
        <f t="shared" si="1575"/>
        <v/>
      </c>
      <c r="P5309" s="538" t="str">
        <f t="shared" si="1576"/>
        <v/>
      </c>
      <c r="Q5309" s="539" t="str">
        <f t="shared" si="1574"/>
        <v/>
      </c>
      <c r="R5309" s="706"/>
      <c r="S5309" s="707"/>
      <c r="T5309" s="708"/>
      <c r="U5309" s="472"/>
      <c r="V5309" s="167"/>
      <c r="W5309" s="446"/>
      <c r="X5309" s="456"/>
      <c r="Y5309" s="436"/>
      <c r="Z5309" s="437"/>
      <c r="AA5309" s="560"/>
      <c r="AB5309" s="561"/>
      <c r="AC5309" s="87"/>
      <c r="AD5309" s="466"/>
      <c r="AE5309" s="456"/>
      <c r="AF5309" s="467"/>
      <c r="AG5309" s="87"/>
      <c r="AH5309" s="87"/>
      <c r="AI5309" s="87"/>
    </row>
    <row r="5310" spans="1:35" hidden="1">
      <c r="A5310" s="80" t="e">
        <f>"H"&amp;E5299</f>
        <v>#N/A</v>
      </c>
      <c r="B5310" s="105">
        <v>8</v>
      </c>
      <c r="C5310" s="107"/>
      <c r="D5310" s="107"/>
      <c r="E5310" s="107"/>
      <c r="F5310" s="107"/>
      <c r="G5310" s="83"/>
      <c r="H5310" s="83"/>
      <c r="I5310" s="84"/>
      <c r="J5310" s="85"/>
      <c r="K5310" s="382"/>
      <c r="L5310" s="85"/>
      <c r="M5310" s="332" t="str">
        <f t="shared" si="1573"/>
        <v/>
      </c>
      <c r="N5310" s="453"/>
      <c r="O5310" s="86" t="str">
        <f t="shared" si="1575"/>
        <v/>
      </c>
      <c r="P5310" s="538" t="str">
        <f t="shared" si="1576"/>
        <v/>
      </c>
      <c r="Q5310" s="539" t="str">
        <f t="shared" si="1574"/>
        <v/>
      </c>
      <c r="R5310" s="706"/>
      <c r="S5310" s="707"/>
      <c r="T5310" s="708"/>
      <c r="U5310" s="472"/>
      <c r="V5310" s="167"/>
      <c r="W5310" s="446"/>
      <c r="X5310" s="456"/>
      <c r="Y5310" s="436"/>
      <c r="Z5310" s="437"/>
      <c r="AA5310" s="560"/>
      <c r="AB5310" s="561"/>
      <c r="AC5310" s="87"/>
      <c r="AD5310" s="466"/>
      <c r="AE5310" s="456"/>
      <c r="AF5310" s="467"/>
      <c r="AG5310" s="87"/>
      <c r="AH5310" s="87"/>
      <c r="AI5310" s="87"/>
    </row>
    <row r="5311" spans="1:35" hidden="1">
      <c r="A5311" s="80" t="e">
        <f>"I"&amp;E5299</f>
        <v>#N/A</v>
      </c>
      <c r="B5311" s="105">
        <v>9</v>
      </c>
      <c r="C5311" s="107"/>
      <c r="D5311" s="107"/>
      <c r="E5311" s="107"/>
      <c r="F5311" s="107"/>
      <c r="G5311" s="83"/>
      <c r="H5311" s="83"/>
      <c r="I5311" s="84"/>
      <c r="J5311" s="85"/>
      <c r="K5311" s="382"/>
      <c r="L5311" s="85"/>
      <c r="M5311" s="332" t="str">
        <f t="shared" si="1573"/>
        <v/>
      </c>
      <c r="N5311" s="453"/>
      <c r="O5311" s="86" t="str">
        <f t="shared" si="1575"/>
        <v/>
      </c>
      <c r="P5311" s="538" t="str">
        <f t="shared" si="1576"/>
        <v/>
      </c>
      <c r="Q5311" s="539" t="str">
        <f t="shared" si="1574"/>
        <v/>
      </c>
      <c r="R5311" s="706"/>
      <c r="S5311" s="707"/>
      <c r="T5311" s="708"/>
      <c r="U5311" s="472"/>
      <c r="V5311" s="167"/>
      <c r="W5311" s="446"/>
      <c r="X5311" s="456"/>
      <c r="Y5311" s="436"/>
      <c r="Z5311" s="437"/>
      <c r="AA5311" s="560"/>
      <c r="AB5311" s="561"/>
      <c r="AC5311" s="87"/>
      <c r="AD5311" s="466"/>
      <c r="AE5311" s="456"/>
      <c r="AF5311" s="467"/>
      <c r="AG5311" s="87"/>
      <c r="AH5311" s="87"/>
      <c r="AI5311" s="87"/>
    </row>
    <row r="5312" spans="1:35" hidden="1">
      <c r="A5312" s="80" t="e">
        <f>"J"&amp;E5299</f>
        <v>#N/A</v>
      </c>
      <c r="B5312" s="105">
        <v>10</v>
      </c>
      <c r="C5312" s="107"/>
      <c r="D5312" s="107"/>
      <c r="E5312" s="107"/>
      <c r="F5312" s="107"/>
      <c r="G5312" s="83"/>
      <c r="H5312" s="83"/>
      <c r="I5312" s="84"/>
      <c r="J5312" s="85"/>
      <c r="K5312" s="382"/>
      <c r="L5312" s="85"/>
      <c r="M5312" s="332" t="str">
        <f t="shared" si="1573"/>
        <v/>
      </c>
      <c r="N5312" s="453"/>
      <c r="O5312" s="86" t="str">
        <f t="shared" si="1575"/>
        <v/>
      </c>
      <c r="P5312" s="538" t="str">
        <f t="shared" si="1576"/>
        <v/>
      </c>
      <c r="Q5312" s="539" t="str">
        <f t="shared" si="1574"/>
        <v/>
      </c>
      <c r="R5312" s="706"/>
      <c r="S5312" s="707"/>
      <c r="T5312" s="708"/>
      <c r="U5312" s="472"/>
      <c r="V5312" s="167"/>
      <c r="W5312" s="446"/>
      <c r="X5312" s="456"/>
      <c r="Y5312" s="436"/>
      <c r="Z5312" s="437"/>
      <c r="AA5312" s="560"/>
      <c r="AB5312" s="561"/>
      <c r="AC5312" s="87"/>
      <c r="AD5312" s="466"/>
      <c r="AE5312" s="456"/>
      <c r="AF5312" s="467"/>
      <c r="AG5312" s="87"/>
      <c r="AH5312" s="87"/>
      <c r="AI5312" s="87"/>
    </row>
    <row r="5313" spans="1:35" ht="16.5" hidden="1" thickBot="1">
      <c r="A5313" s="44"/>
      <c r="B5313" s="89"/>
      <c r="C5313" s="90"/>
      <c r="D5313" s="90"/>
      <c r="E5313" s="90"/>
      <c r="F5313" s="90"/>
      <c r="G5313" s="90"/>
      <c r="H5313" s="90"/>
      <c r="I5313" s="90"/>
      <c r="J5313" s="90"/>
      <c r="K5313" s="90"/>
      <c r="L5313" s="90"/>
      <c r="M5313" s="90"/>
      <c r="N5313" s="90"/>
      <c r="O5313" s="90"/>
      <c r="P5313" s="90"/>
      <c r="Q5313" s="90"/>
      <c r="R5313" s="90"/>
      <c r="S5313" s="91"/>
      <c r="T5313" s="92"/>
      <c r="U5313" s="473"/>
      <c r="W5313" s="438"/>
      <c r="X5313" s="455"/>
      <c r="Y5313" s="439"/>
      <c r="Z5313" s="437"/>
      <c r="AA5313" s="530"/>
      <c r="AB5313" s="563"/>
      <c r="AC5313" s="87"/>
      <c r="AD5313" s="440"/>
      <c r="AE5313" s="441"/>
      <c r="AF5313" s="442"/>
      <c r="AG5313" s="49"/>
      <c r="AH5313" s="87"/>
      <c r="AI5313" s="87"/>
    </row>
    <row r="5314" spans="1:35" ht="16.5" hidden="1" thickBot="1">
      <c r="A5314" s="93"/>
      <c r="B5314" s="94"/>
      <c r="C5314" s="96"/>
      <c r="D5314" s="96"/>
      <c r="E5314" s="96"/>
      <c r="F5314" s="96"/>
      <c r="G5314" s="96"/>
      <c r="H5314" s="96"/>
      <c r="I5314" s="96"/>
      <c r="J5314" s="96"/>
      <c r="K5314" s="96"/>
      <c r="L5314" s="96"/>
      <c r="M5314" s="136"/>
      <c r="N5314" s="96"/>
      <c r="O5314" s="96"/>
      <c r="P5314" s="97"/>
      <c r="Q5314" s="97"/>
      <c r="R5314" s="98"/>
      <c r="S5314" s="95"/>
      <c r="T5314" s="99"/>
      <c r="U5314" s="469"/>
      <c r="AC5314" s="58"/>
      <c r="AG5314" s="58"/>
      <c r="AH5314" s="87"/>
      <c r="AI5314" s="87"/>
    </row>
    <row r="5315" spans="1:35" ht="16.5" hidden="1" thickBot="1">
      <c r="B5315" s="101"/>
      <c r="C5315" s="101"/>
      <c r="D5315" s="101"/>
      <c r="E5315" s="101"/>
      <c r="F5315" s="101"/>
      <c r="G5315" s="101"/>
      <c r="H5315" s="101"/>
      <c r="I5315" s="101"/>
      <c r="J5315" s="101"/>
      <c r="K5315" s="101"/>
      <c r="L5315" s="101"/>
      <c r="M5315" s="101"/>
      <c r="N5315" s="101"/>
      <c r="O5315" s="101"/>
      <c r="P5315" s="101"/>
      <c r="Q5315" s="101"/>
      <c r="R5315" s="101"/>
      <c r="S5315" s="101"/>
      <c r="U5315" s="50"/>
      <c r="AH5315" s="87"/>
      <c r="AI5315" s="87"/>
    </row>
    <row r="5316" spans="1:35" ht="16.5" hidden="1" customHeight="1" thickBot="1">
      <c r="A5316" s="44"/>
      <c r="B5316" s="705" t="s">
        <v>74</v>
      </c>
      <c r="C5316" s="705"/>
      <c r="D5316" s="705"/>
      <c r="E5316" s="705"/>
      <c r="F5316" s="705"/>
      <c r="G5316" s="705"/>
      <c r="H5316" s="705"/>
      <c r="I5316" s="705"/>
      <c r="J5316" s="705"/>
      <c r="K5316" s="705"/>
      <c r="L5316" s="705"/>
      <c r="M5316" s="705"/>
      <c r="N5316" s="705"/>
      <c r="O5316" s="705"/>
      <c r="P5316" s="705"/>
      <c r="Q5316" s="705"/>
      <c r="R5316" s="705"/>
      <c r="S5316" s="705"/>
      <c r="T5316" s="705"/>
      <c r="U5316" s="108"/>
      <c r="Y5316" s="532" t="s">
        <v>341</v>
      </c>
      <c r="AC5316" s="49"/>
      <c r="AD5316" s="687" t="s">
        <v>302</v>
      </c>
      <c r="AE5316" s="688"/>
      <c r="AF5316" s="689"/>
      <c r="AG5316" s="49"/>
      <c r="AH5316" s="87"/>
      <c r="AI5316" s="87"/>
    </row>
    <row r="5317" spans="1:35" ht="16.5" hidden="1" customHeight="1" thickBot="1">
      <c r="A5317" s="218" t="e">
        <f>"K"&amp;E5299</f>
        <v>#N/A</v>
      </c>
      <c r="B5317" s="701" t="s">
        <v>71</v>
      </c>
      <c r="C5317" s="751" t="s">
        <v>102</v>
      </c>
      <c r="D5317" s="751"/>
      <c r="E5317" s="751"/>
      <c r="F5317" s="751"/>
      <c r="G5317" s="751"/>
      <c r="H5317" s="751"/>
      <c r="I5317" s="751"/>
      <c r="J5317" s="751"/>
      <c r="K5317" s="751"/>
      <c r="L5317" s="722" t="s">
        <v>100</v>
      </c>
      <c r="M5317" s="747" t="s">
        <v>114</v>
      </c>
      <c r="N5317" s="747"/>
      <c r="O5317" s="747"/>
      <c r="P5317" s="747"/>
      <c r="Q5317" s="748"/>
      <c r="R5317" s="758" t="s">
        <v>280</v>
      </c>
      <c r="S5317" s="748"/>
      <c r="T5317" s="762" t="str">
        <f>IF(COUNTIF(AE5317:AF5317,"VERIFICAR")&gt;0,"VERIFICAR",IF(COUNTIF(AE5317:AF5317,"NO CUMPLE")&gt;0,"NO CUMPLE","CUMPLE"))</f>
        <v>VERIFICAR</v>
      </c>
      <c r="U5317" s="108"/>
      <c r="Y5317" s="533" t="e">
        <f>IF(F5318="","",IF(F5318=1,"INDIVIDUAL","ESTRUCTURA PLURAL"))</f>
        <v>#N/A</v>
      </c>
      <c r="AC5317" s="52"/>
      <c r="AD5317" s="475" t="s">
        <v>303</v>
      </c>
      <c r="AE5317" s="476" t="str">
        <f>IF(COUNTIF(AE5303:AE5312,"")=10,"VERIFICAR",IF(COUNTIF(AE5303:AE5312,"SI")&gt;0,"CUMPLE","NO CUMPLE"))</f>
        <v>VERIFICAR</v>
      </c>
      <c r="AF5317" s="477" t="str">
        <f>IF(COUNTIF(AF5303:AF5312,"")=10,"VERIFICAR",IF(COUNTIF(AF5303:AF5312,"SI")&gt;=$AI$22,"CUMPLE","NO CUMPLE"))</f>
        <v>VERIFICAR</v>
      </c>
      <c r="AG5317" s="52"/>
      <c r="AH5317" s="87"/>
      <c r="AI5317" s="87"/>
    </row>
    <row r="5318" spans="1:35" ht="15.75" hidden="1" customHeight="1" thickBot="1">
      <c r="A5318" s="218" t="e">
        <f>"L"&amp;E5299</f>
        <v>#N/A</v>
      </c>
      <c r="B5318" s="702"/>
      <c r="C5318" s="751" t="s">
        <v>103</v>
      </c>
      <c r="D5318" s="751"/>
      <c r="E5318" s="752"/>
      <c r="F5318" s="557" t="e">
        <f>IF(VLOOKUP(E5299,PROPONENTES!$C$19:$E$218,3,0)="","",VLOOKUP(E5299,PROPONENTES!$C$19:$E$218,3,0))</f>
        <v>#N/A</v>
      </c>
      <c r="G5318" s="753" t="s">
        <v>104</v>
      </c>
      <c r="H5318" s="751"/>
      <c r="I5318" s="715" t="e">
        <f>IF(OR(F5318="",F5318=1),"INTERESADO PERSONA NATURAL O JURIDICA","CONSORCIO O UNION TEMPORAL")</f>
        <v>#N/A</v>
      </c>
      <c r="J5318" s="725"/>
      <c r="K5318" s="728"/>
      <c r="L5318" s="723"/>
      <c r="M5318" s="749"/>
      <c r="N5318" s="749"/>
      <c r="O5318" s="749"/>
      <c r="P5318" s="749"/>
      <c r="Q5318" s="750"/>
      <c r="R5318" s="712"/>
      <c r="S5318" s="750"/>
      <c r="T5318" s="763"/>
      <c r="U5318" s="108"/>
      <c r="Y5318" s="534"/>
      <c r="AA5318" s="52"/>
      <c r="AB5318" s="52"/>
      <c r="AC5318" s="52"/>
      <c r="AG5318" s="52"/>
      <c r="AH5318" s="87"/>
      <c r="AI5318" s="87"/>
    </row>
    <row r="5319" spans="1:35" ht="56.25" hidden="1" customHeight="1" thickBot="1">
      <c r="A5319" s="218" t="e">
        <f>"M"&amp;E5299</f>
        <v>#N/A</v>
      </c>
      <c r="B5319" s="702"/>
      <c r="C5319" s="725" t="s">
        <v>101</v>
      </c>
      <c r="D5319" s="716"/>
      <c r="E5319" s="558" t="s">
        <v>105</v>
      </c>
      <c r="F5319" s="554" t="s">
        <v>87</v>
      </c>
      <c r="G5319" s="553" t="s">
        <v>86</v>
      </c>
      <c r="H5319" s="559" t="s">
        <v>85</v>
      </c>
      <c r="I5319" s="554" t="s">
        <v>252</v>
      </c>
      <c r="J5319" s="553" t="str">
        <f>"¿EL INTEGRANTE TIENE UNA PARTICIPACIÓN DEL "&amp;PORCREQUERIDOINT*100&amp;"%?"</f>
        <v>¿EL INTEGRANTE TIENE UNA PARTICIPACIÓN DEL 60%?</v>
      </c>
      <c r="K5319" s="554" t="s">
        <v>107</v>
      </c>
      <c r="L5319" s="724"/>
      <c r="M5319" s="717" t="s">
        <v>115</v>
      </c>
      <c r="N5319" s="718"/>
      <c r="O5319" s="718"/>
      <c r="P5319" s="718"/>
      <c r="Q5319" s="223">
        <f>IF(AND(H5303="SI",P5303&gt;=0),1,0)+IF(AND(H5304="SI",P5304&gt;=0),1,0)+IF(AND(H5305="SI",P5305&gt;=0),1,0)+IF(AND(H5306="SI",P5306&gt;=0),1,0)+IF(AND(H5307="SI",P5307&gt;=0),1,0)+IF(AND(H5308="SI",P5308&gt;=0),1,0)+IF(AND(H5309="SI",P5309&gt;=0),1,0)+IF(AND(H5310="SI",P5310&gt;=0),1,0)+IF(AND(H5311="SI",P5311&gt;=0),1,0)+IF(AND(H5312="SI",P5312&gt;=0),1,0)</f>
        <v>0</v>
      </c>
      <c r="R5319" s="759"/>
      <c r="S5319" s="761"/>
      <c r="T5319" s="764"/>
      <c r="U5319" s="219"/>
      <c r="V5319" s="464"/>
      <c r="Y5319" s="532" t="s">
        <v>342</v>
      </c>
      <c r="AA5319" s="550" t="s">
        <v>344</v>
      </c>
      <c r="AB5319" s="693" t="s">
        <v>345</v>
      </c>
      <c r="AC5319" s="693" t="s">
        <v>346</v>
      </c>
      <c r="AD5319" s="685" t="s">
        <v>347</v>
      </c>
      <c r="AE5319" s="52"/>
      <c r="AF5319" s="52"/>
      <c r="AG5319" s="52"/>
      <c r="AH5319" s="87"/>
      <c r="AI5319" s="87"/>
    </row>
    <row r="5320" spans="1:35" ht="15.75" hidden="1" customHeight="1" thickBot="1">
      <c r="A5320" s="218" t="e">
        <f>"N"&amp;E5299</f>
        <v>#N/A</v>
      </c>
      <c r="B5320" s="702"/>
      <c r="C5320" s="114">
        <v>1</v>
      </c>
      <c r="D5320" s="194" t="e">
        <f>IF(AND(C5320&lt;=F5318,F5318&gt;1,F5318&lt;&gt;""),VLOOKUP(VALUE(E5299&amp;","&amp;C5320),INTEGRANTES!$D$18:$F$235,2,0),"")</f>
        <v>#N/A</v>
      </c>
      <c r="E5320" s="211" t="e">
        <f>IF(D5320&lt;&gt;"",VLOOKUP(VALUE(E5299&amp;","&amp;C5320),INTEGRANTES!$D$18:$F$235,3,0),"")</f>
        <v>#N/A</v>
      </c>
      <c r="F5320" s="547" t="e">
        <f>IF(D5320="","",SUMIF($I5303:$I5312,D5320,$P5303:$P5312))</f>
        <v>#N/A</v>
      </c>
      <c r="G5320" s="333" t="e">
        <f>IF(D5320="","",SUMIF($I5303:$I5312,D5320,$M5303:$M5312))</f>
        <v>#N/A</v>
      </c>
      <c r="H5320" s="535" t="e">
        <f t="shared" ref="H5320:H5325" si="1577">IF(D5320="","",IF(OR(F5320=0,G5320=0),"NO APORTA",ROUND($F5320/$G5320,3)))</f>
        <v>#N/A</v>
      </c>
      <c r="I5320" s="212" t="e">
        <f>IF(D5320="","",IF(H5320="NO APORTA","NO",IF(H5320=MAX($H5320:$H5325),"SI","NO")))</f>
        <v>#N/A</v>
      </c>
      <c r="J5320" s="213" t="e">
        <f t="shared" ref="J5320:J5325" si="1578">IF(D5320="","",IF(E5320&gt;=PORCREQUERIDOINT,"SI","NO"))</f>
        <v>#N/A</v>
      </c>
      <c r="K5320" s="200" t="e">
        <f t="shared" ref="K5320:K5325" si="1579">IF(D5320="","",IF(AND(I5320="SI",J5320="SI"),"CUMPLE",IF(AND(I5320="NO",OR(J5320="SI",J5320="NO")),"","NO CUMPLE")))</f>
        <v>#N/A</v>
      </c>
      <c r="L5320" s="722" t="s">
        <v>108</v>
      </c>
      <c r="M5320" s="726" t="s">
        <v>119</v>
      </c>
      <c r="N5320" s="726"/>
      <c r="O5320" s="726"/>
      <c r="P5320" s="726"/>
      <c r="Q5320" s="727"/>
      <c r="R5320" s="758" t="s">
        <v>80</v>
      </c>
      <c r="S5320" s="747"/>
      <c r="T5320" s="748"/>
      <c r="U5320" s="219"/>
      <c r="V5320" s="464"/>
      <c r="Y5320" s="533" t="e">
        <f>IF(Y5317="","",IF(Y5317="INDIVIDUAL","NO APLICA","VERIFICAR CUADRO"))</f>
        <v>#N/A</v>
      </c>
      <c r="AA5320" s="551"/>
      <c r="AB5320" s="694"/>
      <c r="AC5320" s="694"/>
      <c r="AD5320" s="686"/>
      <c r="AE5320" s="52"/>
      <c r="AF5320" s="52"/>
      <c r="AG5320" s="52"/>
      <c r="AH5320" s="87"/>
      <c r="AI5320" s="87"/>
    </row>
    <row r="5321" spans="1:35" ht="27" hidden="1" customHeight="1" thickBot="1">
      <c r="A5321" s="218" t="e">
        <f>"O"&amp;E5299</f>
        <v>#N/A</v>
      </c>
      <c r="B5321" s="702"/>
      <c r="C5321" s="114">
        <v>2</v>
      </c>
      <c r="D5321" s="194" t="e">
        <f>IF(AND(C5321&lt;=F5318,F5318&lt;&gt;""),VLOOKUP(VALUE(E5299&amp;","&amp;C5321),INTEGRANTES!$D$18:$F$235,2,0),"")</f>
        <v>#N/A</v>
      </c>
      <c r="E5321" s="211" t="e">
        <f>IF(D5321&lt;&gt;"",VLOOKUP(VALUE(E5299&amp;","&amp;C5321),INTEGRANTES!$D$18:$F$235,3,0),"")</f>
        <v>#N/A</v>
      </c>
      <c r="F5321" s="547" t="e">
        <f>IF(D5321="","",SUMIF($I5303:$I5312,D5321,$P5303:$P5312))</f>
        <v>#N/A</v>
      </c>
      <c r="G5321" s="333" t="e">
        <f>IF(D5321="","",SUMIF($I5303:$I5312,D5321,$M5303:$M5312))</f>
        <v>#N/A</v>
      </c>
      <c r="H5321" s="535" t="e">
        <f t="shared" si="1577"/>
        <v>#N/A</v>
      </c>
      <c r="I5321" s="212" t="e">
        <f>IF(D5321="","",IF(H5321="NO APORTA","NO",IF(H5321=MAX($H5320:$H5325),"SI","NO")))</f>
        <v>#N/A</v>
      </c>
      <c r="J5321" s="213" t="e">
        <f t="shared" si="1578"/>
        <v>#N/A</v>
      </c>
      <c r="K5321" s="200" t="e">
        <f t="shared" si="1579"/>
        <v>#N/A</v>
      </c>
      <c r="L5321" s="723"/>
      <c r="M5321" s="715" t="s">
        <v>116</v>
      </c>
      <c r="N5321" s="716"/>
      <c r="O5321" s="556" t="s">
        <v>113</v>
      </c>
      <c r="P5321" s="715" t="s">
        <v>117</v>
      </c>
      <c r="Q5321" s="728"/>
      <c r="R5321" s="759"/>
      <c r="S5321" s="760"/>
      <c r="T5321" s="761"/>
      <c r="U5321" s="219"/>
      <c r="V5321" s="464"/>
      <c r="Y5321" s="414"/>
      <c r="AA5321" s="542" t="e">
        <f>IF(AND(C5320&lt;=F5318,F5318&gt;1,F5318&lt;&gt;""),VLOOKUP(VALUE(E5299&amp;","&amp;C5320),INTEGRANTES!$D$18:$F$235,2,0),"")</f>
        <v>#N/A</v>
      </c>
      <c r="AB5321" s="544" t="e">
        <f t="shared" ref="AB5321:AB5326" si="1580">IF(D5320="","",IF(OR(F5320=0,G5320=0),"NO APORTA",ROUND($F5320/$G5320,3)))</f>
        <v>#N/A</v>
      </c>
      <c r="AC5321" s="529"/>
      <c r="AD5321" s="200" t="e">
        <f t="shared" ref="AD5321:AD5326" si="1581">IF(OR(AA5321="",AB5321=""),"",IF(AND(AC5321="X",AB5321&gt;=EXPREQVTD),"CUMPLE","NO CUMPLE"))</f>
        <v>#N/A</v>
      </c>
      <c r="AE5321" s="52"/>
      <c r="AF5321" s="52"/>
      <c r="AG5321" s="52"/>
      <c r="AH5321" s="87"/>
      <c r="AI5321" s="87"/>
    </row>
    <row r="5322" spans="1:35" ht="16.5" hidden="1" thickBot="1">
      <c r="A5322" s="218" t="e">
        <f>"P"&amp;E5299</f>
        <v>#N/A</v>
      </c>
      <c r="B5322" s="702"/>
      <c r="C5322" s="114">
        <v>3</v>
      </c>
      <c r="D5322" s="194" t="e">
        <f>IF(AND(C5322&lt;=F5318,F5318&lt;&gt;""),VLOOKUP(VALUE(E5299&amp;","&amp;C5322),INTEGRANTES!$D$18:$F$235,2,0),"")</f>
        <v>#N/A</v>
      </c>
      <c r="E5322" s="211" t="e">
        <f>IF(D5322&lt;&gt;"",VLOOKUP(VALUE(E5299&amp;","&amp;C5322),INTEGRANTES!$D$18:$F$235,3,0),"")</f>
        <v>#N/A</v>
      </c>
      <c r="F5322" s="547" t="e">
        <f>IF(D5322="","",SUMIF($I5303:$I5312,D5322,$P5303:$P5312))</f>
        <v>#N/A</v>
      </c>
      <c r="G5322" s="333" t="e">
        <f>IF(D5322="","",SUMIF($I5303:$I5312,D5322,$M5303:$M5312))</f>
        <v>#N/A</v>
      </c>
      <c r="H5322" s="535" t="e">
        <f t="shared" si="1577"/>
        <v>#N/A</v>
      </c>
      <c r="I5322" s="212" t="e">
        <f>IF(D5322="","",IF(H5322="NO APORTA","NO",IF(H5322=MAX($H5320:$H5325),"SI","NO")))</f>
        <v>#N/A</v>
      </c>
      <c r="J5322" s="213" t="e">
        <f t="shared" si="1578"/>
        <v>#N/A</v>
      </c>
      <c r="K5322" s="200" t="e">
        <f t="shared" si="1579"/>
        <v>#N/A</v>
      </c>
      <c r="L5322" s="724"/>
      <c r="M5322" s="729">
        <f>NUMMOD</f>
        <v>1</v>
      </c>
      <c r="N5322" s="730"/>
      <c r="O5322" s="443">
        <f>IF(M5322="","",VLOOKUP(M5322,PRESUPUESTOS!$B$16:$H$16,5,FALSE))</f>
        <v>2</v>
      </c>
      <c r="P5322" s="713">
        <f>IF(OR(COUNTIF(M5303:M5312,"")&gt;=10,Q5319&lt;NUMMINCONT,OR(T5317="NO CUMPLE",T5317="VERIFICAR")),0,ROUND(AVERAGE(M5303:M5312),3))</f>
        <v>0</v>
      </c>
      <c r="Q5322" s="714"/>
      <c r="R5322" s="458"/>
      <c r="S5322" s="459"/>
      <c r="T5322" s="460"/>
      <c r="U5322" s="219"/>
      <c r="V5322" s="464"/>
      <c r="Y5322" s="532" t="str">
        <f>"40% * ("&amp;PRESUPUESTOS!$H$13&amp;")"</f>
        <v>40% * (50% PFMO)</v>
      </c>
      <c r="AA5322" s="540" t="e">
        <f>IF(AND(C5321&lt;=F5318,F5318&lt;&gt;""),VLOOKUP(VALUE(E5299&amp;","&amp;C5321),INTEGRANTES!$D$18:$F$235,2,0),"")</f>
        <v>#N/A</v>
      </c>
      <c r="AB5322" s="545" t="e">
        <f t="shared" si="1580"/>
        <v>#N/A</v>
      </c>
      <c r="AC5322" s="529"/>
      <c r="AD5322" s="200" t="e">
        <f t="shared" si="1581"/>
        <v>#N/A</v>
      </c>
      <c r="AE5322" s="52"/>
      <c r="AF5322" s="52"/>
      <c r="AG5322" s="52"/>
      <c r="AH5322" s="87"/>
      <c r="AI5322" s="87"/>
    </row>
    <row r="5323" spans="1:35" ht="15.75" hidden="1" customHeight="1" thickBot="1">
      <c r="A5323" s="218" t="e">
        <f>"Q"&amp;E5299</f>
        <v>#N/A</v>
      </c>
      <c r="B5323" s="702"/>
      <c r="C5323" s="114">
        <v>4</v>
      </c>
      <c r="D5323" s="194" t="e">
        <f>IF(AND(C5323&lt;=F5318,F5318&lt;&gt;""),VLOOKUP(VALUE(E5299&amp;","&amp;C5323),INTEGRANTES!$D$18:$F$235,2,0),"")</f>
        <v>#N/A</v>
      </c>
      <c r="E5323" s="211" t="e">
        <f>IF(D5323&lt;&gt;"",VLOOKUP(VALUE(E5299&amp;","&amp;C5323),INTEGRANTES!$D$18:$F$235,3,0),"")</f>
        <v>#N/A</v>
      </c>
      <c r="F5323" s="547" t="e">
        <f>IF(D5323="","",SUMIF($I5303:$I5312,D5323,$P5303:$P5312))</f>
        <v>#N/A</v>
      </c>
      <c r="G5323" s="333" t="e">
        <f>IF(D5323="","",SUMIF($I5303:$I5312,D5323,$M5303:$M5312))</f>
        <v>#N/A</v>
      </c>
      <c r="H5323" s="535" t="e">
        <f t="shared" si="1577"/>
        <v>#N/A</v>
      </c>
      <c r="I5323" s="212" t="e">
        <f>IF(D5323="","",IF(H5323="NO APORTA","NO",IF(H5323=MAX($H5320:$H5325),"SI","NO")))</f>
        <v>#N/A</v>
      </c>
      <c r="J5323" s="213" t="e">
        <f t="shared" si="1578"/>
        <v>#N/A</v>
      </c>
      <c r="K5323" s="200" t="e">
        <f t="shared" si="1579"/>
        <v>#N/A</v>
      </c>
      <c r="L5323" s="720" t="s">
        <v>109</v>
      </c>
      <c r="M5323" s="757" t="s">
        <v>120</v>
      </c>
      <c r="N5323" s="726"/>
      <c r="O5323" s="726"/>
      <c r="P5323" s="726"/>
      <c r="Q5323" s="727"/>
      <c r="R5323" s="458"/>
      <c r="S5323" s="459"/>
      <c r="T5323" s="460"/>
      <c r="U5323" s="219"/>
      <c r="V5323" s="464"/>
      <c r="Y5323" s="537">
        <f>0.4*PRESUPUESTOS!$H$16</f>
        <v>10.3124</v>
      </c>
      <c r="AA5323" s="540" t="e">
        <f>IF(AND(C5322&lt;=F5318,F5318&lt;&gt;""),VLOOKUP(VALUE(E5299&amp;","&amp;C5322),INTEGRANTES!$D$18:$F$235,2,0),"")</f>
        <v>#N/A</v>
      </c>
      <c r="AB5323" s="545" t="e">
        <f t="shared" si="1580"/>
        <v>#N/A</v>
      </c>
      <c r="AC5323" s="529"/>
      <c r="AD5323" s="200" t="e">
        <f t="shared" si="1581"/>
        <v>#N/A</v>
      </c>
      <c r="AE5323" s="52"/>
      <c r="AF5323" s="52"/>
      <c r="AG5323" s="52"/>
      <c r="AH5323" s="87"/>
      <c r="AI5323" s="87"/>
    </row>
    <row r="5324" spans="1:35" ht="27" hidden="1" customHeight="1" thickBot="1">
      <c r="A5324" s="218" t="e">
        <f>"R"&amp;E5299</f>
        <v>#N/A</v>
      </c>
      <c r="B5324" s="702"/>
      <c r="C5324" s="114">
        <v>5</v>
      </c>
      <c r="D5324" s="194" t="e">
        <f>IF(AND(C5324&lt;=F5318,F5318&lt;&gt;""),VLOOKUP(VALUE(E5299&amp;","&amp;C5324),INTEGRANTES!$D$18:$F$235,2,0),"")</f>
        <v>#N/A</v>
      </c>
      <c r="E5324" s="211" t="e">
        <f>IF(D5324&lt;&gt;"",VLOOKUP(VALUE(E5299&amp;","&amp;C5324),INTEGRANTES!$D$18:$F$235,3,0),"")</f>
        <v>#N/A</v>
      </c>
      <c r="F5324" s="547" t="e">
        <f>IF(D5324="","",SUMIF($I5303:$I5312,D5324,$P5303:$P5312))</f>
        <v>#N/A</v>
      </c>
      <c r="G5324" s="333" t="e">
        <f>IF(D5324="","",SUMIF($I5303:$I5312,D5324,$M5303:$M5312))</f>
        <v>#N/A</v>
      </c>
      <c r="H5324" s="535" t="e">
        <f t="shared" si="1577"/>
        <v>#N/A</v>
      </c>
      <c r="I5324" s="212" t="e">
        <f>IF(D5324="","",IF(H5324="NO APORTA","NO",IF(H5324=MAX($H5320:$H5325),"SI","NO")))</f>
        <v>#N/A</v>
      </c>
      <c r="J5324" s="213" t="e">
        <f t="shared" si="1578"/>
        <v>#N/A</v>
      </c>
      <c r="K5324" s="200" t="e">
        <f t="shared" si="1579"/>
        <v>#N/A</v>
      </c>
      <c r="L5324" s="721"/>
      <c r="M5324" s="715" t="s">
        <v>116</v>
      </c>
      <c r="N5324" s="716"/>
      <c r="O5324" s="556" t="str">
        <f>PORCREQUERIDO*100&amp;"% PMFO DEL MÓDULO"</f>
        <v>50% PMFO DEL MÓDULO</v>
      </c>
      <c r="P5324" s="715" t="s">
        <v>118</v>
      </c>
      <c r="Q5324" s="728"/>
      <c r="R5324" s="458"/>
      <c r="S5324" s="459"/>
      <c r="T5324" s="460"/>
      <c r="U5324" s="219"/>
      <c r="V5324" s="464"/>
      <c r="Y5324" s="414"/>
      <c r="AA5324" s="540" t="e">
        <f>IF(AND(C5323&lt;=F5318,F5318&lt;&gt;""),VLOOKUP(VALUE(E5299&amp;","&amp;C5323),INTEGRANTES!$D$18:$F$235,2,0),"")</f>
        <v>#N/A</v>
      </c>
      <c r="AB5324" s="545" t="e">
        <f t="shared" si="1580"/>
        <v>#N/A</v>
      </c>
      <c r="AC5324" s="529"/>
      <c r="AD5324" s="200" t="e">
        <f t="shared" si="1581"/>
        <v>#N/A</v>
      </c>
      <c r="AE5324" s="52"/>
      <c r="AF5324" s="52"/>
      <c r="AG5324" s="52"/>
      <c r="AH5324" s="87"/>
      <c r="AI5324" s="87"/>
    </row>
    <row r="5325" spans="1:35" ht="16.5" hidden="1" thickBot="1">
      <c r="A5325" s="218" t="e">
        <f>"S"&amp;E5299</f>
        <v>#N/A</v>
      </c>
      <c r="B5325" s="702"/>
      <c r="C5325" s="215">
        <v>6</v>
      </c>
      <c r="D5325" s="216" t="e">
        <f>IF(AND(C5325&lt;=F5318,F5318&lt;&gt;""),VLOOKUP(VALUE(E5299&amp;","&amp;C5325),INTEGRANTES!$D$18:$F$235,2,0),"")</f>
        <v>#N/A</v>
      </c>
      <c r="E5325" s="217" t="e">
        <f>IF(D5325&lt;&gt;"",VLOOKUP(VALUE(E5299&amp;","&amp;C5325),INTEGRANTES!$D$18:$F$235,3,0),"")</f>
        <v>#N/A</v>
      </c>
      <c r="F5325" s="548" t="e">
        <f>IF(D5325="","",SUMIF($I5303:$I5312,D5325,$P5303:$P5312))</f>
        <v>#N/A</v>
      </c>
      <c r="G5325" s="334" t="e">
        <f>IF(D5325="","",SUMIF($I5303:$I5312,D5325,$M5303:$M5312))</f>
        <v>#N/A</v>
      </c>
      <c r="H5325" s="536" t="e">
        <f t="shared" si="1577"/>
        <v>#N/A</v>
      </c>
      <c r="I5325" s="214" t="e">
        <f>IF(D5325="","",IF(H5325="NO APORTA","NO",IF(H5325=MAX($H5320:$H5325),"SI","NO")))</f>
        <v>#N/A</v>
      </c>
      <c r="J5325" s="213" t="e">
        <f t="shared" si="1578"/>
        <v>#N/A</v>
      </c>
      <c r="K5325" s="200" t="e">
        <f t="shared" si="1579"/>
        <v>#N/A</v>
      </c>
      <c r="L5325" s="721"/>
      <c r="M5325" s="729">
        <f>NUMMOD</f>
        <v>1</v>
      </c>
      <c r="N5325" s="730"/>
      <c r="O5325" s="443">
        <f>IF(M5325="","",ROUND(VLOOKUP(M5325,PRESUPUESTOS!$B$16:$H$16,7,FALSE),3))</f>
        <v>25.780999999999999</v>
      </c>
      <c r="P5325" s="713">
        <f>IF(OR(COUNTIF(P5303:P5312,"")&gt;=10,Q5319&lt;NUMMINCONT,OR(T5317="NO CUMPLE",T5317="VERIFICAR")),0,ROUND((SUM(P5303:P5312)/SUM(M5303:M5312)),3))</f>
        <v>0</v>
      </c>
      <c r="Q5325" s="714"/>
      <c r="R5325" s="458"/>
      <c r="S5325" s="459"/>
      <c r="T5325" s="460"/>
      <c r="U5325" s="219"/>
      <c r="V5325" s="464"/>
      <c r="Y5325" s="532" t="s">
        <v>343</v>
      </c>
      <c r="AA5325" s="540" t="e">
        <f>IF(AND(C5324&lt;=F5318,F5318&lt;&gt;""),VLOOKUP(VALUE(E5299&amp;","&amp;C5324),INTEGRANTES!$D$18:$F$235,2,0),"")</f>
        <v>#N/A</v>
      </c>
      <c r="AB5325" s="545" t="e">
        <f t="shared" si="1580"/>
        <v>#N/A</v>
      </c>
      <c r="AC5325" s="529"/>
      <c r="AD5325" s="200" t="e">
        <f t="shared" si="1581"/>
        <v>#N/A</v>
      </c>
      <c r="AE5325" s="52"/>
      <c r="AF5325" s="52"/>
      <c r="AG5325" s="52"/>
      <c r="AH5325" s="87"/>
      <c r="AI5325" s="87"/>
    </row>
    <row r="5326" spans="1:35" ht="16.5" hidden="1" customHeight="1" thickBot="1">
      <c r="A5326" s="218" t="e">
        <f>"T"&amp;E5299</f>
        <v>#N/A</v>
      </c>
      <c r="B5326" s="703"/>
      <c r="C5326" s="719"/>
      <c r="D5326" s="719"/>
      <c r="E5326" s="719"/>
      <c r="F5326" s="719"/>
      <c r="G5326" s="719"/>
      <c r="H5326" s="719" t="s">
        <v>110</v>
      </c>
      <c r="I5326" s="719"/>
      <c r="J5326" s="719"/>
      <c r="K5326" s="201" t="str">
        <f>IF(COUNTIF(K5320:K5325,"")=6,"",IF(COUNTIF(K5320:K5325,"CUMPLE")&gt;0,"CUMPLE","NO CUMPLE"))</f>
        <v>NO CUMPLE</v>
      </c>
      <c r="L5326" s="754"/>
      <c r="M5326" s="755"/>
      <c r="N5326" s="755"/>
      <c r="O5326" s="755"/>
      <c r="P5326" s="755"/>
      <c r="Q5326" s="756"/>
      <c r="R5326" s="461"/>
      <c r="S5326" s="462"/>
      <c r="T5326" s="463"/>
      <c r="U5326" s="219"/>
      <c r="V5326" s="464"/>
      <c r="Y5326" s="549" t="e">
        <f>IF(Y5320="NO APLICA","NO APLICA",IF(COUNTIF(AD5321:AD5326,"CUMPLE")&gt;0,"CUMPLE","NO CUMPLE"))</f>
        <v>#N/A</v>
      </c>
      <c r="AA5326" s="541" t="e">
        <f>IF(AND(C5325&lt;=F5318,F5318&lt;&gt;""),VLOOKUP(VALUE(E5299&amp;","&amp;C5325),INTEGRANTES!$D$18:$F$235,2,0),"")</f>
        <v>#N/A</v>
      </c>
      <c r="AB5326" s="546" t="e">
        <f t="shared" si="1580"/>
        <v>#N/A</v>
      </c>
      <c r="AC5326" s="543"/>
      <c r="AD5326" s="201" t="e">
        <f t="shared" si="1581"/>
        <v>#N/A</v>
      </c>
      <c r="AE5326" s="52"/>
      <c r="AF5326" s="52"/>
      <c r="AG5326" s="52"/>
      <c r="AH5326" s="87"/>
      <c r="AI5326" s="87"/>
    </row>
    <row r="5327" spans="1:35" hidden="1">
      <c r="AH5327" s="87"/>
      <c r="AI5327" s="87"/>
    </row>
    <row r="5328" spans="1:35" hidden="1">
      <c r="AH5328" s="87"/>
      <c r="AI5328" s="87"/>
    </row>
    <row r="5329" spans="1:35" ht="24" hidden="1" thickBot="1">
      <c r="A5329" s="61">
        <v>178</v>
      </c>
      <c r="B5329" s="704" t="s">
        <v>51</v>
      </c>
      <c r="C5329" s="704"/>
      <c r="D5329" s="704"/>
      <c r="E5329" s="62" t="e">
        <f>VLOOKUP(A5329,PROPONENTES!$B$19:$E$218,2,FALSE)</f>
        <v>#N/A</v>
      </c>
      <c r="F5329" s="63" t="e">
        <f>VLOOKUP(A5329,PROPONENTES!$B$19:$E$218,3,FALSE)</f>
        <v>#N/A</v>
      </c>
      <c r="G5329" s="64"/>
      <c r="H5329" s="64"/>
      <c r="I5329" s="63"/>
      <c r="J5329" s="63"/>
      <c r="K5329" s="65"/>
      <c r="L5329" s="65"/>
      <c r="M5329" s="64"/>
      <c r="N5329" s="64"/>
      <c r="O5329" s="66"/>
      <c r="P5329" s="66"/>
      <c r="Q5329" s="66"/>
      <c r="R5329" s="66"/>
      <c r="S5329" s="67"/>
      <c r="T5329" s="68"/>
      <c r="U5329" s="68"/>
      <c r="AC5329" s="68"/>
      <c r="AD5329" s="68"/>
      <c r="AE5329" s="68"/>
      <c r="AF5329" s="68"/>
      <c r="AG5329" s="68"/>
      <c r="AH5329" s="87"/>
      <c r="AI5329" s="87"/>
    </row>
    <row r="5330" spans="1:35" ht="15.75" hidden="1" customHeight="1">
      <c r="A5330" s="44"/>
      <c r="B5330" s="709" t="s">
        <v>59</v>
      </c>
      <c r="C5330" s="552" t="s">
        <v>60</v>
      </c>
      <c r="D5330" s="70" t="s">
        <v>17</v>
      </c>
      <c r="E5330" s="70"/>
      <c r="F5330" s="70" t="s">
        <v>61</v>
      </c>
      <c r="G5330" s="71"/>
      <c r="H5330" s="699" t="s">
        <v>62</v>
      </c>
      <c r="I5330" s="699" t="s">
        <v>18</v>
      </c>
      <c r="J5330" s="699" t="s">
        <v>63</v>
      </c>
      <c r="K5330" s="699" t="s">
        <v>64</v>
      </c>
      <c r="L5330" s="699" t="s">
        <v>65</v>
      </c>
      <c r="M5330" s="743" t="s">
        <v>66</v>
      </c>
      <c r="N5330" s="699" t="s">
        <v>282</v>
      </c>
      <c r="O5330" s="745" t="s">
        <v>67</v>
      </c>
      <c r="P5330" s="746"/>
      <c r="Q5330" s="102" t="s">
        <v>75</v>
      </c>
      <c r="R5330" s="731" t="s">
        <v>22</v>
      </c>
      <c r="S5330" s="732"/>
      <c r="T5330" s="733"/>
      <c r="U5330" s="712" t="s">
        <v>298</v>
      </c>
      <c r="W5330" s="690" t="s">
        <v>268</v>
      </c>
      <c r="X5330" s="691"/>
      <c r="Y5330" s="692"/>
      <c r="Z5330" s="428"/>
      <c r="AA5330" s="697" t="s">
        <v>315</v>
      </c>
      <c r="AB5330" s="695" t="s">
        <v>322</v>
      </c>
      <c r="AC5330" s="49"/>
      <c r="AD5330" s="690" t="s">
        <v>297</v>
      </c>
      <c r="AE5330" s="691"/>
      <c r="AF5330" s="692"/>
      <c r="AG5330" s="49"/>
      <c r="AH5330" s="87"/>
      <c r="AI5330" s="87"/>
    </row>
    <row r="5331" spans="1:35" ht="72" hidden="1">
      <c r="A5331" s="44"/>
      <c r="B5331" s="710"/>
      <c r="C5331" s="553" t="s">
        <v>68</v>
      </c>
      <c r="D5331" s="73" t="s">
        <v>3</v>
      </c>
      <c r="E5331" s="73" t="s">
        <v>19</v>
      </c>
      <c r="F5331" s="73" t="s">
        <v>69</v>
      </c>
      <c r="G5331" s="74" t="s">
        <v>70</v>
      </c>
      <c r="H5331" s="700"/>
      <c r="I5331" s="700"/>
      <c r="J5331" s="700"/>
      <c r="K5331" s="700"/>
      <c r="L5331" s="700"/>
      <c r="M5331" s="744"/>
      <c r="N5331" s="700"/>
      <c r="O5331" s="553" t="s">
        <v>279</v>
      </c>
      <c r="P5331" s="73" t="s">
        <v>88</v>
      </c>
      <c r="Q5331" s="555" t="s">
        <v>76</v>
      </c>
      <c r="R5331" s="734"/>
      <c r="S5331" s="735"/>
      <c r="T5331" s="736"/>
      <c r="U5331" s="712"/>
      <c r="W5331" s="429" t="s">
        <v>269</v>
      </c>
      <c r="X5331" s="457" t="s">
        <v>278</v>
      </c>
      <c r="Y5331" s="430" t="s">
        <v>324</v>
      </c>
      <c r="Z5331" s="428"/>
      <c r="AA5331" s="698"/>
      <c r="AB5331" s="696"/>
      <c r="AC5331" s="49"/>
      <c r="AD5331" s="429" t="s">
        <v>292</v>
      </c>
      <c r="AE5331" s="431" t="s">
        <v>300</v>
      </c>
      <c r="AF5331" s="468" t="s">
        <v>301</v>
      </c>
      <c r="AG5331" s="49"/>
      <c r="AH5331" s="87"/>
      <c r="AI5331" s="87"/>
    </row>
    <row r="5332" spans="1:35" hidden="1">
      <c r="A5332" s="44"/>
      <c r="B5332" s="76"/>
      <c r="C5332" s="77"/>
      <c r="D5332" s="77"/>
      <c r="E5332" s="77"/>
      <c r="F5332" s="77"/>
      <c r="G5332" s="77"/>
      <c r="H5332" s="77"/>
      <c r="I5332" s="77"/>
      <c r="J5332" s="77"/>
      <c r="K5332" s="77"/>
      <c r="L5332" s="77"/>
      <c r="M5332" s="77"/>
      <c r="N5332" s="77"/>
      <c r="O5332" s="77"/>
      <c r="P5332" s="77"/>
      <c r="Q5332" s="77"/>
      <c r="R5332" s="77"/>
      <c r="S5332" s="78"/>
      <c r="T5332" s="79"/>
      <c r="U5332" s="109"/>
      <c r="V5332" s="49"/>
      <c r="W5332" s="432"/>
      <c r="X5332" s="454"/>
      <c r="Y5332" s="433"/>
      <c r="Z5332" s="6"/>
      <c r="AA5332" s="500"/>
      <c r="AB5332" s="562"/>
      <c r="AC5332" s="49"/>
      <c r="AD5332" s="210"/>
      <c r="AE5332" s="434"/>
      <c r="AF5332" s="435"/>
      <c r="AG5332" s="49"/>
      <c r="AH5332" s="87"/>
      <c r="AI5332" s="87"/>
    </row>
    <row r="5333" spans="1:35" hidden="1">
      <c r="A5333" s="80" t="e">
        <f>"A"&amp;E5329</f>
        <v>#N/A</v>
      </c>
      <c r="B5333" s="81">
        <v>1</v>
      </c>
      <c r="C5333" s="82"/>
      <c r="D5333" s="82"/>
      <c r="E5333" s="82"/>
      <c r="F5333" s="82"/>
      <c r="G5333" s="83"/>
      <c r="H5333" s="83"/>
      <c r="I5333" s="84"/>
      <c r="J5333" s="85"/>
      <c r="K5333" s="382"/>
      <c r="L5333" s="85"/>
      <c r="M5333" s="332" t="str">
        <f t="shared" ref="M5333:M5342" si="1582">IF(OR(J5333="",L5333="",H5333="NO"),"",IF(OR(J5333&gt;$P$17,J5333&lt;$O$17,L5333&gt;$P$17,AND(J5333&lt;$O$17,L5333&lt;$O$17)),"FUERA DE RANGO",IF(OR(K5333="---",K5333=""),IF(J5333&gt;=$O$17,ROUND((L5333-J5333+1)/360*12,3),ROUND((L5333-$O$17+1)/360*12,3)),IF(J5333&gt;=$O$17,ROUND((L5333-J5333+1)/360*12-ROUND(K5333,3),3),ROUND((L5333-$O$17+1)/360*12-ROUND(K5333,3),3)))))</f>
        <v/>
      </c>
      <c r="N5333" s="86"/>
      <c r="O5333" s="453" t="str">
        <f>IF(OR(G5333="",N5333=""),"",N5333*G5333)</f>
        <v/>
      </c>
      <c r="P5333" s="538" t="str">
        <f>IF(OR(H5333="",M5333="FUERA DE RANGO"),"",IF(OR(L5333&lt;$O$17,L5333&gt;$P$17,L5333="",H5333="NO"),"",IF(OR(N5333="",O5333=""),"",ROUND(O5333,3))))</f>
        <v/>
      </c>
      <c r="Q5333" s="539" t="str">
        <f t="shared" ref="Q5333:Q5342" si="1583">IF(AND(H5333="SI",P5333&lt;&gt;""),ROUND(P5333/M5333,3),"")</f>
        <v/>
      </c>
      <c r="R5333" s="737"/>
      <c r="S5333" s="738"/>
      <c r="T5333" s="739"/>
      <c r="U5333" s="470"/>
      <c r="V5333" s="165"/>
      <c r="W5333" s="446"/>
      <c r="X5333" s="456"/>
      <c r="Y5333" s="436"/>
      <c r="Z5333" s="437"/>
      <c r="AA5333" s="560"/>
      <c r="AB5333" s="561"/>
      <c r="AC5333" s="87"/>
      <c r="AD5333" s="466"/>
      <c r="AE5333" s="456"/>
      <c r="AF5333" s="467"/>
      <c r="AG5333" s="87"/>
      <c r="AH5333" s="87"/>
      <c r="AI5333" s="87"/>
    </row>
    <row r="5334" spans="1:35" hidden="1">
      <c r="A5334" s="80" t="e">
        <f>"B"&amp;E5329</f>
        <v>#N/A</v>
      </c>
      <c r="B5334" s="81">
        <v>2</v>
      </c>
      <c r="C5334" s="106"/>
      <c r="D5334" s="106"/>
      <c r="E5334" s="106"/>
      <c r="F5334" s="106"/>
      <c r="G5334" s="83"/>
      <c r="H5334" s="83"/>
      <c r="I5334" s="84"/>
      <c r="J5334" s="85"/>
      <c r="K5334" s="382"/>
      <c r="L5334" s="85"/>
      <c r="M5334" s="332" t="str">
        <f t="shared" si="1582"/>
        <v/>
      </c>
      <c r="N5334" s="86"/>
      <c r="O5334" s="453" t="str">
        <f t="shared" ref="O5334:O5342" si="1584">IF(OR(G5334="",N5334=""),"",N5334*G5334)</f>
        <v/>
      </c>
      <c r="P5334" s="538" t="str">
        <f t="shared" ref="P5334:P5342" si="1585">IF(OR(H5334="",M5334="FUERA DE RANGO"),"",IF(OR(L5334&lt;$O$17,L5334&gt;$P$17,L5334="",H5334="NO"),"",IF(OR(N5334="",O5334=""),"",ROUND(O5334,3))))</f>
        <v/>
      </c>
      <c r="Q5334" s="539" t="str">
        <f t="shared" si="1583"/>
        <v/>
      </c>
      <c r="R5334" s="740"/>
      <c r="S5334" s="741"/>
      <c r="T5334" s="742"/>
      <c r="U5334" s="471"/>
      <c r="V5334" s="165"/>
      <c r="W5334" s="446"/>
      <c r="X5334" s="456"/>
      <c r="Y5334" s="436"/>
      <c r="Z5334" s="437"/>
      <c r="AA5334" s="560"/>
      <c r="AB5334" s="561"/>
      <c r="AC5334" s="87"/>
      <c r="AD5334" s="466"/>
      <c r="AE5334" s="456"/>
      <c r="AF5334" s="467"/>
      <c r="AG5334" s="87"/>
      <c r="AH5334" s="87"/>
      <c r="AI5334" s="87"/>
    </row>
    <row r="5335" spans="1:35" hidden="1">
      <c r="A5335" s="80" t="e">
        <f>"C"&amp;E5329</f>
        <v>#N/A</v>
      </c>
      <c r="B5335" s="88">
        <v>3</v>
      </c>
      <c r="C5335" s="82"/>
      <c r="D5335" s="82"/>
      <c r="E5335" s="82"/>
      <c r="F5335" s="82"/>
      <c r="G5335" s="83"/>
      <c r="H5335" s="83"/>
      <c r="I5335" s="84"/>
      <c r="J5335" s="85"/>
      <c r="K5335" s="382"/>
      <c r="L5335" s="85"/>
      <c r="M5335" s="332" t="str">
        <f t="shared" si="1582"/>
        <v/>
      </c>
      <c r="N5335" s="86"/>
      <c r="O5335" s="453" t="str">
        <f t="shared" si="1584"/>
        <v/>
      </c>
      <c r="P5335" s="538" t="str">
        <f t="shared" si="1585"/>
        <v/>
      </c>
      <c r="Q5335" s="539" t="str">
        <f t="shared" si="1583"/>
        <v/>
      </c>
      <c r="R5335" s="706"/>
      <c r="S5335" s="707"/>
      <c r="T5335" s="708"/>
      <c r="U5335" s="472"/>
      <c r="V5335" s="166"/>
      <c r="W5335" s="446"/>
      <c r="X5335" s="456"/>
      <c r="Y5335" s="436"/>
      <c r="Z5335" s="437"/>
      <c r="AA5335" s="560"/>
      <c r="AB5335" s="561"/>
      <c r="AC5335" s="87"/>
      <c r="AD5335" s="466"/>
      <c r="AE5335" s="456"/>
      <c r="AF5335" s="467"/>
      <c r="AG5335" s="87"/>
      <c r="AH5335" s="87"/>
      <c r="AI5335" s="87"/>
    </row>
    <row r="5336" spans="1:35" hidden="1">
      <c r="A5336" s="80" t="e">
        <f>"D"&amp;E5329</f>
        <v>#N/A</v>
      </c>
      <c r="B5336" s="105">
        <v>4</v>
      </c>
      <c r="C5336" s="107"/>
      <c r="D5336" s="107"/>
      <c r="E5336" s="107"/>
      <c r="F5336" s="107"/>
      <c r="G5336" s="83"/>
      <c r="H5336" s="83"/>
      <c r="I5336" s="84"/>
      <c r="J5336" s="85"/>
      <c r="K5336" s="382"/>
      <c r="L5336" s="85"/>
      <c r="M5336" s="332" t="str">
        <f t="shared" si="1582"/>
        <v/>
      </c>
      <c r="N5336" s="86"/>
      <c r="O5336" s="453" t="str">
        <f t="shared" si="1584"/>
        <v/>
      </c>
      <c r="P5336" s="538" t="str">
        <f t="shared" si="1585"/>
        <v/>
      </c>
      <c r="Q5336" s="539" t="str">
        <f t="shared" si="1583"/>
        <v/>
      </c>
      <c r="R5336" s="706"/>
      <c r="S5336" s="707"/>
      <c r="T5336" s="708"/>
      <c r="U5336" s="472"/>
      <c r="V5336" s="166"/>
      <c r="W5336" s="446"/>
      <c r="X5336" s="456"/>
      <c r="Y5336" s="436"/>
      <c r="Z5336" s="437"/>
      <c r="AA5336" s="560"/>
      <c r="AB5336" s="561"/>
      <c r="AC5336" s="87"/>
      <c r="AD5336" s="466"/>
      <c r="AE5336" s="456"/>
      <c r="AF5336" s="467"/>
      <c r="AG5336" s="87"/>
      <c r="AH5336" s="87"/>
      <c r="AI5336" s="87"/>
    </row>
    <row r="5337" spans="1:35" hidden="1">
      <c r="A5337" s="80" t="e">
        <f>"E"&amp;E5329</f>
        <v>#N/A</v>
      </c>
      <c r="B5337" s="105">
        <v>5</v>
      </c>
      <c r="C5337" s="107"/>
      <c r="D5337" s="107"/>
      <c r="E5337" s="107"/>
      <c r="F5337" s="107"/>
      <c r="G5337" s="83"/>
      <c r="H5337" s="83"/>
      <c r="I5337" s="84"/>
      <c r="J5337" s="85"/>
      <c r="K5337" s="382"/>
      <c r="L5337" s="85"/>
      <c r="M5337" s="332" t="str">
        <f t="shared" si="1582"/>
        <v/>
      </c>
      <c r="N5337" s="86"/>
      <c r="O5337" s="453" t="str">
        <f t="shared" si="1584"/>
        <v/>
      </c>
      <c r="P5337" s="538" t="str">
        <f t="shared" si="1585"/>
        <v/>
      </c>
      <c r="Q5337" s="539" t="str">
        <f t="shared" si="1583"/>
        <v/>
      </c>
      <c r="R5337" s="706"/>
      <c r="S5337" s="707"/>
      <c r="T5337" s="708"/>
      <c r="U5337" s="472"/>
      <c r="V5337" s="167"/>
      <c r="W5337" s="446"/>
      <c r="X5337" s="456"/>
      <c r="Y5337" s="436"/>
      <c r="Z5337" s="437"/>
      <c r="AA5337" s="560"/>
      <c r="AB5337" s="561"/>
      <c r="AC5337" s="87"/>
      <c r="AD5337" s="466"/>
      <c r="AE5337" s="456"/>
      <c r="AF5337" s="467"/>
      <c r="AG5337" s="87"/>
      <c r="AH5337" s="87"/>
      <c r="AI5337" s="87"/>
    </row>
    <row r="5338" spans="1:35" hidden="1">
      <c r="A5338" s="80" t="e">
        <f>"F"&amp;E5329</f>
        <v>#N/A</v>
      </c>
      <c r="B5338" s="105">
        <v>6</v>
      </c>
      <c r="C5338" s="107"/>
      <c r="D5338" s="107"/>
      <c r="E5338" s="107"/>
      <c r="F5338" s="107"/>
      <c r="G5338" s="83"/>
      <c r="H5338" s="83"/>
      <c r="I5338" s="84"/>
      <c r="J5338" s="85"/>
      <c r="K5338" s="382"/>
      <c r="L5338" s="85"/>
      <c r="M5338" s="332" t="str">
        <f t="shared" si="1582"/>
        <v/>
      </c>
      <c r="N5338" s="86"/>
      <c r="O5338" s="453" t="str">
        <f t="shared" si="1584"/>
        <v/>
      </c>
      <c r="P5338" s="538" t="str">
        <f t="shared" si="1585"/>
        <v/>
      </c>
      <c r="Q5338" s="539" t="str">
        <f t="shared" si="1583"/>
        <v/>
      </c>
      <c r="R5338" s="706"/>
      <c r="S5338" s="707"/>
      <c r="T5338" s="708"/>
      <c r="U5338" s="472"/>
      <c r="V5338" s="167"/>
      <c r="W5338" s="446"/>
      <c r="X5338" s="456"/>
      <c r="Y5338" s="436"/>
      <c r="Z5338" s="437"/>
      <c r="AA5338" s="560"/>
      <c r="AB5338" s="561"/>
      <c r="AC5338" s="87"/>
      <c r="AD5338" s="466"/>
      <c r="AE5338" s="456"/>
      <c r="AF5338" s="467"/>
      <c r="AG5338" s="87"/>
      <c r="AH5338" s="87"/>
      <c r="AI5338" s="87"/>
    </row>
    <row r="5339" spans="1:35" hidden="1">
      <c r="A5339" s="80" t="e">
        <f>"G"&amp;E5329</f>
        <v>#N/A</v>
      </c>
      <c r="B5339" s="105">
        <v>7</v>
      </c>
      <c r="C5339" s="107"/>
      <c r="D5339" s="107"/>
      <c r="E5339" s="107"/>
      <c r="F5339" s="107"/>
      <c r="G5339" s="83"/>
      <c r="H5339" s="83"/>
      <c r="I5339" s="84"/>
      <c r="J5339" s="85"/>
      <c r="K5339" s="382"/>
      <c r="L5339" s="85"/>
      <c r="M5339" s="332" t="str">
        <f t="shared" si="1582"/>
        <v/>
      </c>
      <c r="N5339" s="86"/>
      <c r="O5339" s="86" t="str">
        <f t="shared" si="1584"/>
        <v/>
      </c>
      <c r="P5339" s="538" t="str">
        <f t="shared" si="1585"/>
        <v/>
      </c>
      <c r="Q5339" s="539" t="str">
        <f t="shared" si="1583"/>
        <v/>
      </c>
      <c r="R5339" s="706"/>
      <c r="S5339" s="707"/>
      <c r="T5339" s="708"/>
      <c r="U5339" s="472"/>
      <c r="V5339" s="167"/>
      <c r="W5339" s="446"/>
      <c r="X5339" s="456"/>
      <c r="Y5339" s="436"/>
      <c r="Z5339" s="437"/>
      <c r="AA5339" s="560"/>
      <c r="AB5339" s="561"/>
      <c r="AC5339" s="87"/>
      <c r="AD5339" s="466"/>
      <c r="AE5339" s="456"/>
      <c r="AF5339" s="467"/>
      <c r="AG5339" s="87"/>
      <c r="AH5339" s="87"/>
      <c r="AI5339" s="87"/>
    </row>
    <row r="5340" spans="1:35" hidden="1">
      <c r="A5340" s="80" t="e">
        <f>"H"&amp;E5329</f>
        <v>#N/A</v>
      </c>
      <c r="B5340" s="105">
        <v>8</v>
      </c>
      <c r="C5340" s="107"/>
      <c r="D5340" s="107"/>
      <c r="E5340" s="107"/>
      <c r="F5340" s="107"/>
      <c r="G5340" s="83"/>
      <c r="H5340" s="83"/>
      <c r="I5340" s="84"/>
      <c r="J5340" s="85"/>
      <c r="K5340" s="382"/>
      <c r="L5340" s="85"/>
      <c r="M5340" s="332" t="str">
        <f t="shared" si="1582"/>
        <v/>
      </c>
      <c r="N5340" s="453"/>
      <c r="O5340" s="86" t="str">
        <f t="shared" si="1584"/>
        <v/>
      </c>
      <c r="P5340" s="538" t="str">
        <f t="shared" si="1585"/>
        <v/>
      </c>
      <c r="Q5340" s="539" t="str">
        <f t="shared" si="1583"/>
        <v/>
      </c>
      <c r="R5340" s="706"/>
      <c r="S5340" s="707"/>
      <c r="T5340" s="708"/>
      <c r="U5340" s="472"/>
      <c r="V5340" s="167"/>
      <c r="W5340" s="446"/>
      <c r="X5340" s="456"/>
      <c r="Y5340" s="436"/>
      <c r="Z5340" s="437"/>
      <c r="AA5340" s="560"/>
      <c r="AB5340" s="561"/>
      <c r="AC5340" s="87"/>
      <c r="AD5340" s="466"/>
      <c r="AE5340" s="456"/>
      <c r="AF5340" s="467"/>
      <c r="AG5340" s="87"/>
      <c r="AH5340" s="87"/>
      <c r="AI5340" s="87"/>
    </row>
    <row r="5341" spans="1:35" hidden="1">
      <c r="A5341" s="80" t="e">
        <f>"I"&amp;E5329</f>
        <v>#N/A</v>
      </c>
      <c r="B5341" s="105">
        <v>9</v>
      </c>
      <c r="C5341" s="107"/>
      <c r="D5341" s="107"/>
      <c r="E5341" s="107"/>
      <c r="F5341" s="107"/>
      <c r="G5341" s="83"/>
      <c r="H5341" s="83"/>
      <c r="I5341" s="84"/>
      <c r="J5341" s="85"/>
      <c r="K5341" s="382"/>
      <c r="L5341" s="85"/>
      <c r="M5341" s="332" t="str">
        <f t="shared" si="1582"/>
        <v/>
      </c>
      <c r="N5341" s="453"/>
      <c r="O5341" s="86" t="str">
        <f t="shared" si="1584"/>
        <v/>
      </c>
      <c r="P5341" s="538" t="str">
        <f t="shared" si="1585"/>
        <v/>
      </c>
      <c r="Q5341" s="539" t="str">
        <f t="shared" si="1583"/>
        <v/>
      </c>
      <c r="R5341" s="706"/>
      <c r="S5341" s="707"/>
      <c r="T5341" s="708"/>
      <c r="U5341" s="472"/>
      <c r="V5341" s="167"/>
      <c r="W5341" s="446"/>
      <c r="X5341" s="456"/>
      <c r="Y5341" s="436"/>
      <c r="Z5341" s="437"/>
      <c r="AA5341" s="560"/>
      <c r="AB5341" s="561"/>
      <c r="AC5341" s="87"/>
      <c r="AD5341" s="466"/>
      <c r="AE5341" s="456"/>
      <c r="AF5341" s="467"/>
      <c r="AG5341" s="87"/>
      <c r="AH5341" s="87"/>
      <c r="AI5341" s="87"/>
    </row>
    <row r="5342" spans="1:35" hidden="1">
      <c r="A5342" s="80" t="e">
        <f>"J"&amp;E5329</f>
        <v>#N/A</v>
      </c>
      <c r="B5342" s="105">
        <v>10</v>
      </c>
      <c r="C5342" s="107"/>
      <c r="D5342" s="107"/>
      <c r="E5342" s="107"/>
      <c r="F5342" s="107"/>
      <c r="G5342" s="83"/>
      <c r="H5342" s="83"/>
      <c r="I5342" s="84"/>
      <c r="J5342" s="85"/>
      <c r="K5342" s="382"/>
      <c r="L5342" s="85"/>
      <c r="M5342" s="332" t="str">
        <f t="shared" si="1582"/>
        <v/>
      </c>
      <c r="N5342" s="453"/>
      <c r="O5342" s="86" t="str">
        <f t="shared" si="1584"/>
        <v/>
      </c>
      <c r="P5342" s="538" t="str">
        <f t="shared" si="1585"/>
        <v/>
      </c>
      <c r="Q5342" s="539" t="str">
        <f t="shared" si="1583"/>
        <v/>
      </c>
      <c r="R5342" s="706"/>
      <c r="S5342" s="707"/>
      <c r="T5342" s="708"/>
      <c r="U5342" s="472"/>
      <c r="V5342" s="167"/>
      <c r="W5342" s="446"/>
      <c r="X5342" s="456"/>
      <c r="Y5342" s="436"/>
      <c r="Z5342" s="437"/>
      <c r="AA5342" s="560"/>
      <c r="AB5342" s="561"/>
      <c r="AC5342" s="87"/>
      <c r="AD5342" s="466"/>
      <c r="AE5342" s="456"/>
      <c r="AF5342" s="467"/>
      <c r="AG5342" s="87"/>
      <c r="AH5342" s="87"/>
      <c r="AI5342" s="87"/>
    </row>
    <row r="5343" spans="1:35" ht="16.5" hidden="1" thickBot="1">
      <c r="A5343" s="44"/>
      <c r="B5343" s="89"/>
      <c r="C5343" s="90"/>
      <c r="D5343" s="90"/>
      <c r="E5343" s="90"/>
      <c r="F5343" s="90"/>
      <c r="G5343" s="90"/>
      <c r="H5343" s="90"/>
      <c r="I5343" s="90"/>
      <c r="J5343" s="90"/>
      <c r="K5343" s="90"/>
      <c r="L5343" s="90"/>
      <c r="M5343" s="90"/>
      <c r="N5343" s="90"/>
      <c r="O5343" s="90"/>
      <c r="P5343" s="90"/>
      <c r="Q5343" s="90"/>
      <c r="R5343" s="90"/>
      <c r="S5343" s="91"/>
      <c r="T5343" s="92"/>
      <c r="U5343" s="473"/>
      <c r="W5343" s="438"/>
      <c r="X5343" s="455"/>
      <c r="Y5343" s="439"/>
      <c r="Z5343" s="437"/>
      <c r="AA5343" s="530"/>
      <c r="AB5343" s="563"/>
      <c r="AC5343" s="87"/>
      <c r="AD5343" s="440"/>
      <c r="AE5343" s="441"/>
      <c r="AF5343" s="442"/>
      <c r="AG5343" s="49"/>
      <c r="AH5343" s="87"/>
      <c r="AI5343" s="87"/>
    </row>
    <row r="5344" spans="1:35" ht="16.5" hidden="1" thickBot="1">
      <c r="A5344" s="93"/>
      <c r="B5344" s="94"/>
      <c r="C5344" s="96"/>
      <c r="D5344" s="96"/>
      <c r="E5344" s="96"/>
      <c r="F5344" s="96"/>
      <c r="G5344" s="96"/>
      <c r="H5344" s="96"/>
      <c r="I5344" s="96"/>
      <c r="J5344" s="96"/>
      <c r="K5344" s="96"/>
      <c r="L5344" s="96"/>
      <c r="M5344" s="136"/>
      <c r="N5344" s="96"/>
      <c r="O5344" s="96"/>
      <c r="P5344" s="97"/>
      <c r="Q5344" s="97"/>
      <c r="R5344" s="98"/>
      <c r="S5344" s="95"/>
      <c r="T5344" s="99"/>
      <c r="U5344" s="469"/>
      <c r="AC5344" s="58"/>
      <c r="AG5344" s="58"/>
      <c r="AH5344" s="87"/>
      <c r="AI5344" s="87"/>
    </row>
    <row r="5345" spans="1:35" ht="16.5" hidden="1" thickBot="1">
      <c r="B5345" s="101"/>
      <c r="C5345" s="101"/>
      <c r="D5345" s="101"/>
      <c r="E5345" s="101"/>
      <c r="F5345" s="101"/>
      <c r="G5345" s="101"/>
      <c r="H5345" s="101"/>
      <c r="I5345" s="101"/>
      <c r="J5345" s="101"/>
      <c r="K5345" s="101"/>
      <c r="L5345" s="101"/>
      <c r="M5345" s="101"/>
      <c r="N5345" s="101"/>
      <c r="O5345" s="101"/>
      <c r="P5345" s="101"/>
      <c r="Q5345" s="101"/>
      <c r="R5345" s="101"/>
      <c r="S5345" s="101"/>
      <c r="U5345" s="50"/>
      <c r="AH5345" s="87"/>
      <c r="AI5345" s="87"/>
    </row>
    <row r="5346" spans="1:35" ht="16.5" hidden="1" customHeight="1" thickBot="1">
      <c r="A5346" s="44"/>
      <c r="B5346" s="705" t="s">
        <v>74</v>
      </c>
      <c r="C5346" s="705"/>
      <c r="D5346" s="705"/>
      <c r="E5346" s="705"/>
      <c r="F5346" s="705"/>
      <c r="G5346" s="705"/>
      <c r="H5346" s="705"/>
      <c r="I5346" s="705"/>
      <c r="J5346" s="705"/>
      <c r="K5346" s="705"/>
      <c r="L5346" s="705"/>
      <c r="M5346" s="705"/>
      <c r="N5346" s="705"/>
      <c r="O5346" s="705"/>
      <c r="P5346" s="705"/>
      <c r="Q5346" s="705"/>
      <c r="R5346" s="705"/>
      <c r="S5346" s="705"/>
      <c r="T5346" s="705"/>
      <c r="U5346" s="108"/>
      <c r="Y5346" s="532" t="s">
        <v>341</v>
      </c>
      <c r="AC5346" s="49"/>
      <c r="AD5346" s="687" t="s">
        <v>302</v>
      </c>
      <c r="AE5346" s="688"/>
      <c r="AF5346" s="689"/>
      <c r="AG5346" s="49"/>
      <c r="AH5346" s="87"/>
      <c r="AI5346" s="87"/>
    </row>
    <row r="5347" spans="1:35" ht="16.5" hidden="1" customHeight="1" thickBot="1">
      <c r="A5347" s="218" t="e">
        <f>"K"&amp;E5329</f>
        <v>#N/A</v>
      </c>
      <c r="B5347" s="701" t="s">
        <v>71</v>
      </c>
      <c r="C5347" s="751" t="s">
        <v>102</v>
      </c>
      <c r="D5347" s="751"/>
      <c r="E5347" s="751"/>
      <c r="F5347" s="751"/>
      <c r="G5347" s="751"/>
      <c r="H5347" s="751"/>
      <c r="I5347" s="751"/>
      <c r="J5347" s="751"/>
      <c r="K5347" s="751"/>
      <c r="L5347" s="722" t="s">
        <v>100</v>
      </c>
      <c r="M5347" s="747" t="s">
        <v>114</v>
      </c>
      <c r="N5347" s="747"/>
      <c r="O5347" s="747"/>
      <c r="P5347" s="747"/>
      <c r="Q5347" s="748"/>
      <c r="R5347" s="758" t="s">
        <v>280</v>
      </c>
      <c r="S5347" s="748"/>
      <c r="T5347" s="762" t="str">
        <f>IF(COUNTIF(AE5347:AF5347,"VERIFICAR")&gt;0,"VERIFICAR",IF(COUNTIF(AE5347:AF5347,"NO CUMPLE")&gt;0,"NO CUMPLE","CUMPLE"))</f>
        <v>VERIFICAR</v>
      </c>
      <c r="U5347" s="108"/>
      <c r="Y5347" s="533" t="e">
        <f>IF(F5348="","",IF(F5348=1,"INDIVIDUAL","ESTRUCTURA PLURAL"))</f>
        <v>#N/A</v>
      </c>
      <c r="AC5347" s="52"/>
      <c r="AD5347" s="475" t="s">
        <v>303</v>
      </c>
      <c r="AE5347" s="476" t="str">
        <f>IF(COUNTIF(AE5333:AE5342,"")=10,"VERIFICAR",IF(COUNTIF(AE5333:AE5342,"SI")&gt;0,"CUMPLE","NO CUMPLE"))</f>
        <v>VERIFICAR</v>
      </c>
      <c r="AF5347" s="477" t="str">
        <f>IF(COUNTIF(AF5333:AF5342,"")=10,"VERIFICAR",IF(COUNTIF(AF5333:AF5342,"SI")&gt;=$AI$22,"CUMPLE","NO CUMPLE"))</f>
        <v>VERIFICAR</v>
      </c>
      <c r="AG5347" s="52"/>
      <c r="AH5347" s="87"/>
      <c r="AI5347" s="87"/>
    </row>
    <row r="5348" spans="1:35" ht="15.75" hidden="1" customHeight="1" thickBot="1">
      <c r="A5348" s="218" t="e">
        <f>"L"&amp;E5329</f>
        <v>#N/A</v>
      </c>
      <c r="B5348" s="702"/>
      <c r="C5348" s="751" t="s">
        <v>103</v>
      </c>
      <c r="D5348" s="751"/>
      <c r="E5348" s="752"/>
      <c r="F5348" s="557" t="e">
        <f>IF(VLOOKUP(E5329,PROPONENTES!$C$19:$E$218,3,0)="","",VLOOKUP(E5329,PROPONENTES!$C$19:$E$218,3,0))</f>
        <v>#N/A</v>
      </c>
      <c r="G5348" s="753" t="s">
        <v>104</v>
      </c>
      <c r="H5348" s="751"/>
      <c r="I5348" s="715" t="e">
        <f>IF(OR(F5348="",F5348=1),"INTERESADO PERSONA NATURAL O JURIDICA","CONSORCIO O UNION TEMPORAL")</f>
        <v>#N/A</v>
      </c>
      <c r="J5348" s="725"/>
      <c r="K5348" s="728"/>
      <c r="L5348" s="723"/>
      <c r="M5348" s="749"/>
      <c r="N5348" s="749"/>
      <c r="O5348" s="749"/>
      <c r="P5348" s="749"/>
      <c r="Q5348" s="750"/>
      <c r="R5348" s="712"/>
      <c r="S5348" s="750"/>
      <c r="T5348" s="763"/>
      <c r="U5348" s="108"/>
      <c r="Y5348" s="534"/>
      <c r="AA5348" s="52"/>
      <c r="AB5348" s="52"/>
      <c r="AC5348" s="52"/>
      <c r="AG5348" s="52"/>
      <c r="AH5348" s="87"/>
      <c r="AI5348" s="87"/>
    </row>
    <row r="5349" spans="1:35" ht="56.25" hidden="1" customHeight="1" thickBot="1">
      <c r="A5349" s="218" t="e">
        <f>"M"&amp;E5329</f>
        <v>#N/A</v>
      </c>
      <c r="B5349" s="702"/>
      <c r="C5349" s="725" t="s">
        <v>101</v>
      </c>
      <c r="D5349" s="716"/>
      <c r="E5349" s="558" t="s">
        <v>105</v>
      </c>
      <c r="F5349" s="554" t="s">
        <v>87</v>
      </c>
      <c r="G5349" s="553" t="s">
        <v>86</v>
      </c>
      <c r="H5349" s="559" t="s">
        <v>85</v>
      </c>
      <c r="I5349" s="554" t="s">
        <v>252</v>
      </c>
      <c r="J5349" s="553" t="str">
        <f>"¿EL INTEGRANTE TIENE UNA PARTICIPACIÓN DEL "&amp;PORCREQUERIDOINT*100&amp;"%?"</f>
        <v>¿EL INTEGRANTE TIENE UNA PARTICIPACIÓN DEL 60%?</v>
      </c>
      <c r="K5349" s="554" t="s">
        <v>107</v>
      </c>
      <c r="L5349" s="724"/>
      <c r="M5349" s="717" t="s">
        <v>115</v>
      </c>
      <c r="N5349" s="718"/>
      <c r="O5349" s="718"/>
      <c r="P5349" s="718"/>
      <c r="Q5349" s="223">
        <f>IF(AND(H5333="SI",P5333&gt;=0),1,0)+IF(AND(H5334="SI",P5334&gt;=0),1,0)+IF(AND(H5335="SI",P5335&gt;=0),1,0)+IF(AND(H5336="SI",P5336&gt;=0),1,0)+IF(AND(H5337="SI",P5337&gt;=0),1,0)+IF(AND(H5338="SI",P5338&gt;=0),1,0)+IF(AND(H5339="SI",P5339&gt;=0),1,0)+IF(AND(H5340="SI",P5340&gt;=0),1,0)+IF(AND(H5341="SI",P5341&gt;=0),1,0)+IF(AND(H5342="SI",P5342&gt;=0),1,0)</f>
        <v>0</v>
      </c>
      <c r="R5349" s="759"/>
      <c r="S5349" s="761"/>
      <c r="T5349" s="764"/>
      <c r="U5349" s="219"/>
      <c r="V5349" s="464"/>
      <c r="Y5349" s="532" t="s">
        <v>342</v>
      </c>
      <c r="AA5349" s="550" t="s">
        <v>344</v>
      </c>
      <c r="AB5349" s="693" t="s">
        <v>345</v>
      </c>
      <c r="AC5349" s="693" t="s">
        <v>346</v>
      </c>
      <c r="AD5349" s="685" t="s">
        <v>347</v>
      </c>
      <c r="AE5349" s="52"/>
      <c r="AF5349" s="52"/>
      <c r="AG5349" s="52"/>
      <c r="AH5349" s="87"/>
      <c r="AI5349" s="87"/>
    </row>
    <row r="5350" spans="1:35" ht="15.75" hidden="1" customHeight="1" thickBot="1">
      <c r="A5350" s="218" t="e">
        <f>"N"&amp;E5329</f>
        <v>#N/A</v>
      </c>
      <c r="B5350" s="702"/>
      <c r="C5350" s="114">
        <v>1</v>
      </c>
      <c r="D5350" s="194" t="e">
        <f>IF(AND(C5350&lt;=F5348,F5348&gt;1,F5348&lt;&gt;""),VLOOKUP(VALUE(E5329&amp;","&amp;C5350),INTEGRANTES!$D$18:$F$235,2,0),"")</f>
        <v>#N/A</v>
      </c>
      <c r="E5350" s="211" t="e">
        <f>IF(D5350&lt;&gt;"",VLOOKUP(VALUE(E5329&amp;","&amp;C5350),INTEGRANTES!$D$18:$F$235,3,0),"")</f>
        <v>#N/A</v>
      </c>
      <c r="F5350" s="547" t="e">
        <f>IF(D5350="","",SUMIF($I5333:$I5342,D5350,$P5333:$P5342))</f>
        <v>#N/A</v>
      </c>
      <c r="G5350" s="333" t="e">
        <f>IF(D5350="","",SUMIF($I5333:$I5342,D5350,$M5333:$M5342))</f>
        <v>#N/A</v>
      </c>
      <c r="H5350" s="535" t="e">
        <f t="shared" ref="H5350:H5355" si="1586">IF(D5350="","",IF(OR(F5350=0,G5350=0),"NO APORTA",ROUND($F5350/$G5350,3)))</f>
        <v>#N/A</v>
      </c>
      <c r="I5350" s="212" t="e">
        <f>IF(D5350="","",IF(H5350="NO APORTA","NO",IF(H5350=MAX($H5350:$H5355),"SI","NO")))</f>
        <v>#N/A</v>
      </c>
      <c r="J5350" s="213" t="e">
        <f t="shared" ref="J5350:J5355" si="1587">IF(D5350="","",IF(E5350&gt;=PORCREQUERIDOINT,"SI","NO"))</f>
        <v>#N/A</v>
      </c>
      <c r="K5350" s="200" t="e">
        <f t="shared" ref="K5350:K5355" si="1588">IF(D5350="","",IF(AND(I5350="SI",J5350="SI"),"CUMPLE",IF(AND(I5350="NO",OR(J5350="SI",J5350="NO")),"","NO CUMPLE")))</f>
        <v>#N/A</v>
      </c>
      <c r="L5350" s="722" t="s">
        <v>108</v>
      </c>
      <c r="M5350" s="726" t="s">
        <v>119</v>
      </c>
      <c r="N5350" s="726"/>
      <c r="O5350" s="726"/>
      <c r="P5350" s="726"/>
      <c r="Q5350" s="727"/>
      <c r="R5350" s="758" t="s">
        <v>80</v>
      </c>
      <c r="S5350" s="747"/>
      <c r="T5350" s="748"/>
      <c r="U5350" s="219"/>
      <c r="V5350" s="464"/>
      <c r="Y5350" s="533" t="e">
        <f>IF(Y5347="","",IF(Y5347="INDIVIDUAL","NO APLICA","VERIFICAR CUADRO"))</f>
        <v>#N/A</v>
      </c>
      <c r="AA5350" s="551"/>
      <c r="AB5350" s="694"/>
      <c r="AC5350" s="694"/>
      <c r="AD5350" s="686"/>
      <c r="AE5350" s="52"/>
      <c r="AF5350" s="52"/>
      <c r="AG5350" s="52"/>
      <c r="AH5350" s="87"/>
      <c r="AI5350" s="87"/>
    </row>
    <row r="5351" spans="1:35" ht="27" hidden="1" customHeight="1" thickBot="1">
      <c r="A5351" s="218" t="e">
        <f>"O"&amp;E5329</f>
        <v>#N/A</v>
      </c>
      <c r="B5351" s="702"/>
      <c r="C5351" s="114">
        <v>2</v>
      </c>
      <c r="D5351" s="194" t="e">
        <f>IF(AND(C5351&lt;=F5348,F5348&lt;&gt;""),VLOOKUP(VALUE(E5329&amp;","&amp;C5351),INTEGRANTES!$D$18:$F$235,2,0),"")</f>
        <v>#N/A</v>
      </c>
      <c r="E5351" s="211" t="e">
        <f>IF(D5351&lt;&gt;"",VLOOKUP(VALUE(E5329&amp;","&amp;C5351),INTEGRANTES!$D$18:$F$235,3,0),"")</f>
        <v>#N/A</v>
      </c>
      <c r="F5351" s="547" t="e">
        <f>IF(D5351="","",SUMIF($I5333:$I5342,D5351,$P5333:$P5342))</f>
        <v>#N/A</v>
      </c>
      <c r="G5351" s="333" t="e">
        <f>IF(D5351="","",SUMIF($I5333:$I5342,D5351,$M5333:$M5342))</f>
        <v>#N/A</v>
      </c>
      <c r="H5351" s="535" t="e">
        <f t="shared" si="1586"/>
        <v>#N/A</v>
      </c>
      <c r="I5351" s="212" t="e">
        <f>IF(D5351="","",IF(H5351="NO APORTA","NO",IF(H5351=MAX($H5350:$H5355),"SI","NO")))</f>
        <v>#N/A</v>
      </c>
      <c r="J5351" s="213" t="e">
        <f t="shared" si="1587"/>
        <v>#N/A</v>
      </c>
      <c r="K5351" s="200" t="e">
        <f t="shared" si="1588"/>
        <v>#N/A</v>
      </c>
      <c r="L5351" s="723"/>
      <c r="M5351" s="715" t="s">
        <v>116</v>
      </c>
      <c r="N5351" s="716"/>
      <c r="O5351" s="556" t="s">
        <v>113</v>
      </c>
      <c r="P5351" s="715" t="s">
        <v>117</v>
      </c>
      <c r="Q5351" s="728"/>
      <c r="R5351" s="759"/>
      <c r="S5351" s="760"/>
      <c r="T5351" s="761"/>
      <c r="U5351" s="219"/>
      <c r="V5351" s="464"/>
      <c r="Y5351" s="414"/>
      <c r="AA5351" s="542" t="e">
        <f>IF(AND(C5350&lt;=F5348,F5348&gt;1,F5348&lt;&gt;""),VLOOKUP(VALUE(E5329&amp;","&amp;C5350),INTEGRANTES!$D$18:$F$235,2,0),"")</f>
        <v>#N/A</v>
      </c>
      <c r="AB5351" s="544" t="e">
        <f t="shared" ref="AB5351:AB5356" si="1589">IF(D5350="","",IF(OR(F5350=0,G5350=0),"NO APORTA",ROUND($F5350/$G5350,3)))</f>
        <v>#N/A</v>
      </c>
      <c r="AC5351" s="529"/>
      <c r="AD5351" s="200" t="e">
        <f t="shared" ref="AD5351:AD5356" si="1590">IF(OR(AA5351="",AB5351=""),"",IF(AND(AC5351="X",AB5351&gt;=EXPREQVTD),"CUMPLE","NO CUMPLE"))</f>
        <v>#N/A</v>
      </c>
      <c r="AE5351" s="52"/>
      <c r="AF5351" s="52"/>
      <c r="AG5351" s="52"/>
      <c r="AH5351" s="87"/>
      <c r="AI5351" s="87"/>
    </row>
    <row r="5352" spans="1:35" ht="16.5" hidden="1" thickBot="1">
      <c r="A5352" s="218" t="e">
        <f>"P"&amp;E5329</f>
        <v>#N/A</v>
      </c>
      <c r="B5352" s="702"/>
      <c r="C5352" s="114">
        <v>3</v>
      </c>
      <c r="D5352" s="194" t="e">
        <f>IF(AND(C5352&lt;=F5348,F5348&lt;&gt;""),VLOOKUP(VALUE(E5329&amp;","&amp;C5352),INTEGRANTES!$D$18:$F$235,2,0),"")</f>
        <v>#N/A</v>
      </c>
      <c r="E5352" s="211" t="e">
        <f>IF(D5352&lt;&gt;"",VLOOKUP(VALUE(E5329&amp;","&amp;C5352),INTEGRANTES!$D$18:$F$235,3,0),"")</f>
        <v>#N/A</v>
      </c>
      <c r="F5352" s="547" t="e">
        <f>IF(D5352="","",SUMIF($I5333:$I5342,D5352,$P5333:$P5342))</f>
        <v>#N/A</v>
      </c>
      <c r="G5352" s="333" t="e">
        <f>IF(D5352="","",SUMIF($I5333:$I5342,D5352,$M5333:$M5342))</f>
        <v>#N/A</v>
      </c>
      <c r="H5352" s="535" t="e">
        <f t="shared" si="1586"/>
        <v>#N/A</v>
      </c>
      <c r="I5352" s="212" t="e">
        <f>IF(D5352="","",IF(H5352="NO APORTA","NO",IF(H5352=MAX($H5350:$H5355),"SI","NO")))</f>
        <v>#N/A</v>
      </c>
      <c r="J5352" s="213" t="e">
        <f t="shared" si="1587"/>
        <v>#N/A</v>
      </c>
      <c r="K5352" s="200" t="e">
        <f t="shared" si="1588"/>
        <v>#N/A</v>
      </c>
      <c r="L5352" s="724"/>
      <c r="M5352" s="729">
        <f>NUMMOD</f>
        <v>1</v>
      </c>
      <c r="N5352" s="730"/>
      <c r="O5352" s="443">
        <f>IF(M5352="","",VLOOKUP(M5352,PRESUPUESTOS!$B$16:$H$16,5,FALSE))</f>
        <v>2</v>
      </c>
      <c r="P5352" s="713">
        <f>IF(OR(COUNTIF(M5333:M5342,"")&gt;=10,Q5349&lt;NUMMINCONT,OR(T5347="NO CUMPLE",T5347="VERIFICAR")),0,ROUND(AVERAGE(M5333:M5342),3))</f>
        <v>0</v>
      </c>
      <c r="Q5352" s="714"/>
      <c r="R5352" s="458"/>
      <c r="S5352" s="459"/>
      <c r="T5352" s="460"/>
      <c r="U5352" s="219"/>
      <c r="V5352" s="464"/>
      <c r="Y5352" s="532" t="str">
        <f>"40% * ("&amp;PRESUPUESTOS!$H$13&amp;")"</f>
        <v>40% * (50% PFMO)</v>
      </c>
      <c r="AA5352" s="540" t="e">
        <f>IF(AND(C5351&lt;=F5348,F5348&lt;&gt;""),VLOOKUP(VALUE(E5329&amp;","&amp;C5351),INTEGRANTES!$D$18:$F$235,2,0),"")</f>
        <v>#N/A</v>
      </c>
      <c r="AB5352" s="545" t="e">
        <f t="shared" si="1589"/>
        <v>#N/A</v>
      </c>
      <c r="AC5352" s="529"/>
      <c r="AD5352" s="200" t="e">
        <f t="shared" si="1590"/>
        <v>#N/A</v>
      </c>
      <c r="AE5352" s="52"/>
      <c r="AF5352" s="52"/>
      <c r="AG5352" s="52"/>
      <c r="AH5352" s="87"/>
      <c r="AI5352" s="87"/>
    </row>
    <row r="5353" spans="1:35" ht="15.75" hidden="1" customHeight="1" thickBot="1">
      <c r="A5353" s="218" t="e">
        <f>"Q"&amp;E5329</f>
        <v>#N/A</v>
      </c>
      <c r="B5353" s="702"/>
      <c r="C5353" s="114">
        <v>4</v>
      </c>
      <c r="D5353" s="194" t="e">
        <f>IF(AND(C5353&lt;=F5348,F5348&lt;&gt;""),VLOOKUP(VALUE(E5329&amp;","&amp;C5353),INTEGRANTES!$D$18:$F$235,2,0),"")</f>
        <v>#N/A</v>
      </c>
      <c r="E5353" s="211" t="e">
        <f>IF(D5353&lt;&gt;"",VLOOKUP(VALUE(E5329&amp;","&amp;C5353),INTEGRANTES!$D$18:$F$235,3,0),"")</f>
        <v>#N/A</v>
      </c>
      <c r="F5353" s="547" t="e">
        <f>IF(D5353="","",SUMIF($I5333:$I5342,D5353,$P5333:$P5342))</f>
        <v>#N/A</v>
      </c>
      <c r="G5353" s="333" t="e">
        <f>IF(D5353="","",SUMIF($I5333:$I5342,D5353,$M5333:$M5342))</f>
        <v>#N/A</v>
      </c>
      <c r="H5353" s="535" t="e">
        <f t="shared" si="1586"/>
        <v>#N/A</v>
      </c>
      <c r="I5353" s="212" t="e">
        <f>IF(D5353="","",IF(H5353="NO APORTA","NO",IF(H5353=MAX($H5350:$H5355),"SI","NO")))</f>
        <v>#N/A</v>
      </c>
      <c r="J5353" s="213" t="e">
        <f t="shared" si="1587"/>
        <v>#N/A</v>
      </c>
      <c r="K5353" s="200" t="e">
        <f t="shared" si="1588"/>
        <v>#N/A</v>
      </c>
      <c r="L5353" s="720" t="s">
        <v>109</v>
      </c>
      <c r="M5353" s="757" t="s">
        <v>120</v>
      </c>
      <c r="N5353" s="726"/>
      <c r="O5353" s="726"/>
      <c r="P5353" s="726"/>
      <c r="Q5353" s="727"/>
      <c r="R5353" s="458"/>
      <c r="S5353" s="459"/>
      <c r="T5353" s="460"/>
      <c r="U5353" s="219"/>
      <c r="V5353" s="464"/>
      <c r="Y5353" s="537">
        <f>0.4*PRESUPUESTOS!$H$16</f>
        <v>10.3124</v>
      </c>
      <c r="AA5353" s="540" t="e">
        <f>IF(AND(C5352&lt;=F5348,F5348&lt;&gt;""),VLOOKUP(VALUE(E5329&amp;","&amp;C5352),INTEGRANTES!$D$18:$F$235,2,0),"")</f>
        <v>#N/A</v>
      </c>
      <c r="AB5353" s="545" t="e">
        <f t="shared" si="1589"/>
        <v>#N/A</v>
      </c>
      <c r="AC5353" s="529"/>
      <c r="AD5353" s="200" t="e">
        <f t="shared" si="1590"/>
        <v>#N/A</v>
      </c>
      <c r="AE5353" s="52"/>
      <c r="AF5353" s="52"/>
      <c r="AG5353" s="52"/>
      <c r="AH5353" s="87"/>
      <c r="AI5353" s="87"/>
    </row>
    <row r="5354" spans="1:35" ht="27" hidden="1" customHeight="1" thickBot="1">
      <c r="A5354" s="218" t="e">
        <f>"R"&amp;E5329</f>
        <v>#N/A</v>
      </c>
      <c r="B5354" s="702"/>
      <c r="C5354" s="114">
        <v>5</v>
      </c>
      <c r="D5354" s="194" t="e">
        <f>IF(AND(C5354&lt;=F5348,F5348&lt;&gt;""),VLOOKUP(VALUE(E5329&amp;","&amp;C5354),INTEGRANTES!$D$18:$F$235,2,0),"")</f>
        <v>#N/A</v>
      </c>
      <c r="E5354" s="211" t="e">
        <f>IF(D5354&lt;&gt;"",VLOOKUP(VALUE(E5329&amp;","&amp;C5354),INTEGRANTES!$D$18:$F$235,3,0),"")</f>
        <v>#N/A</v>
      </c>
      <c r="F5354" s="547" t="e">
        <f>IF(D5354="","",SUMIF($I5333:$I5342,D5354,$P5333:$P5342))</f>
        <v>#N/A</v>
      </c>
      <c r="G5354" s="333" t="e">
        <f>IF(D5354="","",SUMIF($I5333:$I5342,D5354,$M5333:$M5342))</f>
        <v>#N/A</v>
      </c>
      <c r="H5354" s="535" t="e">
        <f t="shared" si="1586"/>
        <v>#N/A</v>
      </c>
      <c r="I5354" s="212" t="e">
        <f>IF(D5354="","",IF(H5354="NO APORTA","NO",IF(H5354=MAX($H5350:$H5355),"SI","NO")))</f>
        <v>#N/A</v>
      </c>
      <c r="J5354" s="213" t="e">
        <f t="shared" si="1587"/>
        <v>#N/A</v>
      </c>
      <c r="K5354" s="200" t="e">
        <f t="shared" si="1588"/>
        <v>#N/A</v>
      </c>
      <c r="L5354" s="721"/>
      <c r="M5354" s="715" t="s">
        <v>116</v>
      </c>
      <c r="N5354" s="716"/>
      <c r="O5354" s="556" t="str">
        <f>PORCREQUERIDO*100&amp;"% PMFO DEL MÓDULO"</f>
        <v>50% PMFO DEL MÓDULO</v>
      </c>
      <c r="P5354" s="715" t="s">
        <v>118</v>
      </c>
      <c r="Q5354" s="728"/>
      <c r="R5354" s="458"/>
      <c r="S5354" s="459"/>
      <c r="T5354" s="460"/>
      <c r="U5354" s="219"/>
      <c r="V5354" s="464"/>
      <c r="Y5354" s="414"/>
      <c r="AA5354" s="540" t="e">
        <f>IF(AND(C5353&lt;=F5348,F5348&lt;&gt;""),VLOOKUP(VALUE(E5329&amp;","&amp;C5353),INTEGRANTES!$D$18:$F$235,2,0),"")</f>
        <v>#N/A</v>
      </c>
      <c r="AB5354" s="545" t="e">
        <f t="shared" si="1589"/>
        <v>#N/A</v>
      </c>
      <c r="AC5354" s="529"/>
      <c r="AD5354" s="200" t="e">
        <f t="shared" si="1590"/>
        <v>#N/A</v>
      </c>
      <c r="AE5354" s="52"/>
      <c r="AF5354" s="52"/>
      <c r="AG5354" s="52"/>
      <c r="AH5354" s="87"/>
      <c r="AI5354" s="87"/>
    </row>
    <row r="5355" spans="1:35" ht="16.5" hidden="1" thickBot="1">
      <c r="A5355" s="218" t="e">
        <f>"S"&amp;E5329</f>
        <v>#N/A</v>
      </c>
      <c r="B5355" s="702"/>
      <c r="C5355" s="215">
        <v>6</v>
      </c>
      <c r="D5355" s="216" t="e">
        <f>IF(AND(C5355&lt;=F5348,F5348&lt;&gt;""),VLOOKUP(VALUE(E5329&amp;","&amp;C5355),INTEGRANTES!$D$18:$F$235,2,0),"")</f>
        <v>#N/A</v>
      </c>
      <c r="E5355" s="217" t="e">
        <f>IF(D5355&lt;&gt;"",VLOOKUP(VALUE(E5329&amp;","&amp;C5355),INTEGRANTES!$D$18:$F$235,3,0),"")</f>
        <v>#N/A</v>
      </c>
      <c r="F5355" s="548" t="e">
        <f>IF(D5355="","",SUMIF($I5333:$I5342,D5355,$P5333:$P5342))</f>
        <v>#N/A</v>
      </c>
      <c r="G5355" s="334" t="e">
        <f>IF(D5355="","",SUMIF($I5333:$I5342,D5355,$M5333:$M5342))</f>
        <v>#N/A</v>
      </c>
      <c r="H5355" s="536" t="e">
        <f t="shared" si="1586"/>
        <v>#N/A</v>
      </c>
      <c r="I5355" s="214" t="e">
        <f>IF(D5355="","",IF(H5355="NO APORTA","NO",IF(H5355=MAX($H5350:$H5355),"SI","NO")))</f>
        <v>#N/A</v>
      </c>
      <c r="J5355" s="213" t="e">
        <f t="shared" si="1587"/>
        <v>#N/A</v>
      </c>
      <c r="K5355" s="200" t="e">
        <f t="shared" si="1588"/>
        <v>#N/A</v>
      </c>
      <c r="L5355" s="721"/>
      <c r="M5355" s="729">
        <f>NUMMOD</f>
        <v>1</v>
      </c>
      <c r="N5355" s="730"/>
      <c r="O5355" s="443">
        <f>IF(M5355="","",ROUND(VLOOKUP(M5355,PRESUPUESTOS!$B$16:$H$16,7,FALSE),3))</f>
        <v>25.780999999999999</v>
      </c>
      <c r="P5355" s="713">
        <f>IF(OR(COUNTIF(P5333:P5342,"")&gt;=10,Q5349&lt;NUMMINCONT,OR(T5347="NO CUMPLE",T5347="VERIFICAR")),0,ROUND((SUM(P5333:P5342)/SUM(M5333:M5342)),3))</f>
        <v>0</v>
      </c>
      <c r="Q5355" s="714"/>
      <c r="R5355" s="458"/>
      <c r="S5355" s="459"/>
      <c r="T5355" s="460"/>
      <c r="U5355" s="219"/>
      <c r="V5355" s="464"/>
      <c r="Y5355" s="532" t="s">
        <v>343</v>
      </c>
      <c r="AA5355" s="540" t="e">
        <f>IF(AND(C5354&lt;=F5348,F5348&lt;&gt;""),VLOOKUP(VALUE(E5329&amp;","&amp;C5354),INTEGRANTES!$D$18:$F$235,2,0),"")</f>
        <v>#N/A</v>
      </c>
      <c r="AB5355" s="545" t="e">
        <f t="shared" si="1589"/>
        <v>#N/A</v>
      </c>
      <c r="AC5355" s="529"/>
      <c r="AD5355" s="200" t="e">
        <f t="shared" si="1590"/>
        <v>#N/A</v>
      </c>
      <c r="AE5355" s="52"/>
      <c r="AF5355" s="52"/>
      <c r="AG5355" s="52"/>
      <c r="AH5355" s="87"/>
      <c r="AI5355" s="87"/>
    </row>
    <row r="5356" spans="1:35" ht="16.5" hidden="1" customHeight="1" thickBot="1">
      <c r="A5356" s="218" t="e">
        <f>"T"&amp;E5329</f>
        <v>#N/A</v>
      </c>
      <c r="B5356" s="703"/>
      <c r="C5356" s="719"/>
      <c r="D5356" s="719"/>
      <c r="E5356" s="719"/>
      <c r="F5356" s="719"/>
      <c r="G5356" s="719"/>
      <c r="H5356" s="719" t="s">
        <v>110</v>
      </c>
      <c r="I5356" s="719"/>
      <c r="J5356" s="719"/>
      <c r="K5356" s="201" t="str">
        <f>IF(COUNTIF(K5350:K5355,"")=6,"",IF(COUNTIF(K5350:K5355,"CUMPLE")&gt;0,"CUMPLE","NO CUMPLE"))</f>
        <v>NO CUMPLE</v>
      </c>
      <c r="L5356" s="754"/>
      <c r="M5356" s="755"/>
      <c r="N5356" s="755"/>
      <c r="O5356" s="755"/>
      <c r="P5356" s="755"/>
      <c r="Q5356" s="756"/>
      <c r="R5356" s="461"/>
      <c r="S5356" s="462"/>
      <c r="T5356" s="463"/>
      <c r="U5356" s="219"/>
      <c r="V5356" s="464"/>
      <c r="Y5356" s="549" t="e">
        <f>IF(Y5350="NO APLICA","NO APLICA",IF(COUNTIF(AD5351:AD5356,"CUMPLE")&gt;0,"CUMPLE","NO CUMPLE"))</f>
        <v>#N/A</v>
      </c>
      <c r="AA5356" s="541" t="e">
        <f>IF(AND(C5355&lt;=F5348,F5348&lt;&gt;""),VLOOKUP(VALUE(E5329&amp;","&amp;C5355),INTEGRANTES!$D$18:$F$235,2,0),"")</f>
        <v>#N/A</v>
      </c>
      <c r="AB5356" s="546" t="e">
        <f t="shared" si="1589"/>
        <v>#N/A</v>
      </c>
      <c r="AC5356" s="543"/>
      <c r="AD5356" s="201" t="e">
        <f t="shared" si="1590"/>
        <v>#N/A</v>
      </c>
      <c r="AE5356" s="52"/>
      <c r="AF5356" s="52"/>
      <c r="AG5356" s="52"/>
      <c r="AH5356" s="87"/>
      <c r="AI5356" s="87"/>
    </row>
    <row r="5357" spans="1:35" hidden="1">
      <c r="AH5357" s="87"/>
      <c r="AI5357" s="87"/>
    </row>
    <row r="5358" spans="1:35" hidden="1">
      <c r="AH5358" s="87"/>
      <c r="AI5358" s="87"/>
    </row>
    <row r="5359" spans="1:35" ht="24" hidden="1" thickBot="1">
      <c r="A5359" s="61">
        <v>179</v>
      </c>
      <c r="B5359" s="704" t="s">
        <v>51</v>
      </c>
      <c r="C5359" s="704"/>
      <c r="D5359" s="704"/>
      <c r="E5359" s="62" t="e">
        <f>VLOOKUP(A5359,PROPONENTES!$B$19:$E$218,2,FALSE)</f>
        <v>#N/A</v>
      </c>
      <c r="F5359" s="63" t="e">
        <f>VLOOKUP(A5359,PROPONENTES!$B$19:$E$218,3,FALSE)</f>
        <v>#N/A</v>
      </c>
      <c r="G5359" s="64"/>
      <c r="H5359" s="64"/>
      <c r="I5359" s="63"/>
      <c r="J5359" s="63"/>
      <c r="K5359" s="65"/>
      <c r="L5359" s="65"/>
      <c r="M5359" s="64"/>
      <c r="N5359" s="64"/>
      <c r="O5359" s="66"/>
      <c r="P5359" s="66"/>
      <c r="Q5359" s="66"/>
      <c r="R5359" s="66"/>
      <c r="S5359" s="67"/>
      <c r="T5359" s="68"/>
      <c r="U5359" s="68"/>
      <c r="AC5359" s="68"/>
      <c r="AD5359" s="68"/>
      <c r="AE5359" s="68"/>
      <c r="AF5359" s="68"/>
      <c r="AG5359" s="68"/>
      <c r="AH5359" s="87"/>
      <c r="AI5359" s="87"/>
    </row>
    <row r="5360" spans="1:35" ht="15.75" hidden="1" customHeight="1">
      <c r="A5360" s="44"/>
      <c r="B5360" s="709" t="s">
        <v>59</v>
      </c>
      <c r="C5360" s="552" t="s">
        <v>60</v>
      </c>
      <c r="D5360" s="70" t="s">
        <v>17</v>
      </c>
      <c r="E5360" s="70"/>
      <c r="F5360" s="70" t="s">
        <v>61</v>
      </c>
      <c r="G5360" s="71"/>
      <c r="H5360" s="699" t="s">
        <v>62</v>
      </c>
      <c r="I5360" s="699" t="s">
        <v>18</v>
      </c>
      <c r="J5360" s="699" t="s">
        <v>63</v>
      </c>
      <c r="K5360" s="699" t="s">
        <v>64</v>
      </c>
      <c r="L5360" s="699" t="s">
        <v>65</v>
      </c>
      <c r="M5360" s="743" t="s">
        <v>66</v>
      </c>
      <c r="N5360" s="699" t="s">
        <v>282</v>
      </c>
      <c r="O5360" s="745" t="s">
        <v>67</v>
      </c>
      <c r="P5360" s="746"/>
      <c r="Q5360" s="102" t="s">
        <v>75</v>
      </c>
      <c r="R5360" s="731" t="s">
        <v>22</v>
      </c>
      <c r="S5360" s="732"/>
      <c r="T5360" s="733"/>
      <c r="U5360" s="712" t="s">
        <v>298</v>
      </c>
      <c r="W5360" s="690" t="s">
        <v>268</v>
      </c>
      <c r="X5360" s="691"/>
      <c r="Y5360" s="692"/>
      <c r="Z5360" s="428"/>
      <c r="AA5360" s="697" t="s">
        <v>315</v>
      </c>
      <c r="AB5360" s="695" t="s">
        <v>322</v>
      </c>
      <c r="AC5360" s="49"/>
      <c r="AD5360" s="690" t="s">
        <v>297</v>
      </c>
      <c r="AE5360" s="691"/>
      <c r="AF5360" s="692"/>
      <c r="AG5360" s="49"/>
      <c r="AH5360" s="87"/>
      <c r="AI5360" s="87"/>
    </row>
    <row r="5361" spans="1:35" ht="72" hidden="1">
      <c r="A5361" s="44"/>
      <c r="B5361" s="710"/>
      <c r="C5361" s="553" t="s">
        <v>68</v>
      </c>
      <c r="D5361" s="73" t="s">
        <v>3</v>
      </c>
      <c r="E5361" s="73" t="s">
        <v>19</v>
      </c>
      <c r="F5361" s="73" t="s">
        <v>69</v>
      </c>
      <c r="G5361" s="74" t="s">
        <v>70</v>
      </c>
      <c r="H5361" s="700"/>
      <c r="I5361" s="700"/>
      <c r="J5361" s="700"/>
      <c r="K5361" s="700"/>
      <c r="L5361" s="700"/>
      <c r="M5361" s="744"/>
      <c r="N5361" s="700"/>
      <c r="O5361" s="553" t="s">
        <v>279</v>
      </c>
      <c r="P5361" s="73" t="s">
        <v>88</v>
      </c>
      <c r="Q5361" s="555" t="s">
        <v>76</v>
      </c>
      <c r="R5361" s="734"/>
      <c r="S5361" s="735"/>
      <c r="T5361" s="736"/>
      <c r="U5361" s="712"/>
      <c r="W5361" s="429" t="s">
        <v>269</v>
      </c>
      <c r="X5361" s="457" t="s">
        <v>278</v>
      </c>
      <c r="Y5361" s="430" t="s">
        <v>324</v>
      </c>
      <c r="Z5361" s="428"/>
      <c r="AA5361" s="698"/>
      <c r="AB5361" s="696"/>
      <c r="AC5361" s="49"/>
      <c r="AD5361" s="429" t="s">
        <v>292</v>
      </c>
      <c r="AE5361" s="431" t="s">
        <v>300</v>
      </c>
      <c r="AF5361" s="468" t="s">
        <v>301</v>
      </c>
      <c r="AG5361" s="49"/>
      <c r="AH5361" s="87"/>
      <c r="AI5361" s="87"/>
    </row>
    <row r="5362" spans="1:35" hidden="1">
      <c r="A5362" s="44"/>
      <c r="B5362" s="76"/>
      <c r="C5362" s="77"/>
      <c r="D5362" s="77"/>
      <c r="E5362" s="77"/>
      <c r="F5362" s="77"/>
      <c r="G5362" s="77"/>
      <c r="H5362" s="77"/>
      <c r="I5362" s="77"/>
      <c r="J5362" s="77"/>
      <c r="K5362" s="77"/>
      <c r="L5362" s="77"/>
      <c r="M5362" s="77"/>
      <c r="N5362" s="77"/>
      <c r="O5362" s="77"/>
      <c r="P5362" s="77"/>
      <c r="Q5362" s="77"/>
      <c r="R5362" s="77"/>
      <c r="S5362" s="78"/>
      <c r="T5362" s="79"/>
      <c r="U5362" s="109"/>
      <c r="V5362" s="49"/>
      <c r="W5362" s="432"/>
      <c r="X5362" s="454"/>
      <c r="Y5362" s="433"/>
      <c r="Z5362" s="6"/>
      <c r="AA5362" s="500"/>
      <c r="AB5362" s="562"/>
      <c r="AC5362" s="49"/>
      <c r="AD5362" s="210"/>
      <c r="AE5362" s="434"/>
      <c r="AF5362" s="435"/>
      <c r="AG5362" s="49"/>
      <c r="AH5362" s="87"/>
      <c r="AI5362" s="87"/>
    </row>
    <row r="5363" spans="1:35" hidden="1">
      <c r="A5363" s="80" t="e">
        <f>"A"&amp;E5359</f>
        <v>#N/A</v>
      </c>
      <c r="B5363" s="81">
        <v>1</v>
      </c>
      <c r="C5363" s="82"/>
      <c r="D5363" s="82"/>
      <c r="E5363" s="82"/>
      <c r="F5363" s="82"/>
      <c r="G5363" s="83"/>
      <c r="H5363" s="83"/>
      <c r="I5363" s="84"/>
      <c r="J5363" s="85"/>
      <c r="K5363" s="382"/>
      <c r="L5363" s="85"/>
      <c r="M5363" s="332" t="str">
        <f t="shared" ref="M5363:M5372" si="1591">IF(OR(J5363="",L5363="",H5363="NO"),"",IF(OR(J5363&gt;$P$17,J5363&lt;$O$17,L5363&gt;$P$17,AND(J5363&lt;$O$17,L5363&lt;$O$17)),"FUERA DE RANGO",IF(OR(K5363="---",K5363=""),IF(J5363&gt;=$O$17,ROUND((L5363-J5363+1)/360*12,3),ROUND((L5363-$O$17+1)/360*12,3)),IF(J5363&gt;=$O$17,ROUND((L5363-J5363+1)/360*12-ROUND(K5363,3),3),ROUND((L5363-$O$17+1)/360*12-ROUND(K5363,3),3)))))</f>
        <v/>
      </c>
      <c r="N5363" s="86"/>
      <c r="O5363" s="453" t="str">
        <f>IF(OR(G5363="",N5363=""),"",N5363*G5363)</f>
        <v/>
      </c>
      <c r="P5363" s="538" t="str">
        <f>IF(OR(H5363="",M5363="FUERA DE RANGO"),"",IF(OR(L5363&lt;$O$17,L5363&gt;$P$17,L5363="",H5363="NO"),"",IF(OR(N5363="",O5363=""),"",ROUND(O5363,3))))</f>
        <v/>
      </c>
      <c r="Q5363" s="539" t="str">
        <f t="shared" ref="Q5363:Q5372" si="1592">IF(AND(H5363="SI",P5363&lt;&gt;""),ROUND(P5363/M5363,3),"")</f>
        <v/>
      </c>
      <c r="R5363" s="737"/>
      <c r="S5363" s="738"/>
      <c r="T5363" s="739"/>
      <c r="U5363" s="470"/>
      <c r="V5363" s="165"/>
      <c r="W5363" s="446"/>
      <c r="X5363" s="456"/>
      <c r="Y5363" s="436"/>
      <c r="Z5363" s="437"/>
      <c r="AA5363" s="560"/>
      <c r="AB5363" s="561"/>
      <c r="AC5363" s="87"/>
      <c r="AD5363" s="466"/>
      <c r="AE5363" s="456"/>
      <c r="AF5363" s="467"/>
      <c r="AG5363" s="87"/>
      <c r="AH5363" s="87"/>
      <c r="AI5363" s="87"/>
    </row>
    <row r="5364" spans="1:35" hidden="1">
      <c r="A5364" s="80" t="e">
        <f>"B"&amp;E5359</f>
        <v>#N/A</v>
      </c>
      <c r="B5364" s="81">
        <v>2</v>
      </c>
      <c r="C5364" s="106"/>
      <c r="D5364" s="106"/>
      <c r="E5364" s="106"/>
      <c r="F5364" s="106"/>
      <c r="G5364" s="83"/>
      <c r="H5364" s="83"/>
      <c r="I5364" s="84"/>
      <c r="J5364" s="85"/>
      <c r="K5364" s="382"/>
      <c r="L5364" s="85"/>
      <c r="M5364" s="332" t="str">
        <f t="shared" si="1591"/>
        <v/>
      </c>
      <c r="N5364" s="86"/>
      <c r="O5364" s="453" t="str">
        <f t="shared" ref="O5364:O5372" si="1593">IF(OR(G5364="",N5364=""),"",N5364*G5364)</f>
        <v/>
      </c>
      <c r="P5364" s="538" t="str">
        <f t="shared" ref="P5364:P5372" si="1594">IF(OR(H5364="",M5364="FUERA DE RANGO"),"",IF(OR(L5364&lt;$O$17,L5364&gt;$P$17,L5364="",H5364="NO"),"",IF(OR(N5364="",O5364=""),"",ROUND(O5364,3))))</f>
        <v/>
      </c>
      <c r="Q5364" s="539" t="str">
        <f t="shared" si="1592"/>
        <v/>
      </c>
      <c r="R5364" s="740"/>
      <c r="S5364" s="741"/>
      <c r="T5364" s="742"/>
      <c r="U5364" s="471"/>
      <c r="V5364" s="165"/>
      <c r="W5364" s="446"/>
      <c r="X5364" s="456"/>
      <c r="Y5364" s="436"/>
      <c r="Z5364" s="437"/>
      <c r="AA5364" s="560"/>
      <c r="AB5364" s="561"/>
      <c r="AC5364" s="87"/>
      <c r="AD5364" s="466"/>
      <c r="AE5364" s="456"/>
      <c r="AF5364" s="467"/>
      <c r="AG5364" s="87"/>
      <c r="AH5364" s="87"/>
      <c r="AI5364" s="87"/>
    </row>
    <row r="5365" spans="1:35" hidden="1">
      <c r="A5365" s="80" t="e">
        <f>"C"&amp;E5359</f>
        <v>#N/A</v>
      </c>
      <c r="B5365" s="88">
        <v>3</v>
      </c>
      <c r="C5365" s="82"/>
      <c r="D5365" s="82"/>
      <c r="E5365" s="82"/>
      <c r="F5365" s="82"/>
      <c r="G5365" s="83"/>
      <c r="H5365" s="83"/>
      <c r="I5365" s="84"/>
      <c r="J5365" s="85"/>
      <c r="K5365" s="382"/>
      <c r="L5365" s="85"/>
      <c r="M5365" s="332" t="str">
        <f t="shared" si="1591"/>
        <v/>
      </c>
      <c r="N5365" s="86"/>
      <c r="O5365" s="453" t="str">
        <f t="shared" si="1593"/>
        <v/>
      </c>
      <c r="P5365" s="538" t="str">
        <f t="shared" si="1594"/>
        <v/>
      </c>
      <c r="Q5365" s="539" t="str">
        <f t="shared" si="1592"/>
        <v/>
      </c>
      <c r="R5365" s="706"/>
      <c r="S5365" s="707"/>
      <c r="T5365" s="708"/>
      <c r="U5365" s="472"/>
      <c r="V5365" s="166"/>
      <c r="W5365" s="446"/>
      <c r="X5365" s="456"/>
      <c r="Y5365" s="436"/>
      <c r="Z5365" s="437"/>
      <c r="AA5365" s="560"/>
      <c r="AB5365" s="561"/>
      <c r="AC5365" s="87"/>
      <c r="AD5365" s="466"/>
      <c r="AE5365" s="456"/>
      <c r="AF5365" s="467"/>
      <c r="AG5365" s="87"/>
      <c r="AH5365" s="87"/>
      <c r="AI5365" s="87"/>
    </row>
    <row r="5366" spans="1:35" hidden="1">
      <c r="A5366" s="80" t="e">
        <f>"D"&amp;E5359</f>
        <v>#N/A</v>
      </c>
      <c r="B5366" s="105">
        <v>4</v>
      </c>
      <c r="C5366" s="107"/>
      <c r="D5366" s="107"/>
      <c r="E5366" s="107"/>
      <c r="F5366" s="107"/>
      <c r="G5366" s="83"/>
      <c r="H5366" s="83"/>
      <c r="I5366" s="84"/>
      <c r="J5366" s="85"/>
      <c r="K5366" s="382"/>
      <c r="L5366" s="85"/>
      <c r="M5366" s="332" t="str">
        <f t="shared" si="1591"/>
        <v/>
      </c>
      <c r="N5366" s="86"/>
      <c r="O5366" s="453" t="str">
        <f t="shared" si="1593"/>
        <v/>
      </c>
      <c r="P5366" s="538" t="str">
        <f t="shared" si="1594"/>
        <v/>
      </c>
      <c r="Q5366" s="539" t="str">
        <f t="shared" si="1592"/>
        <v/>
      </c>
      <c r="R5366" s="706"/>
      <c r="S5366" s="707"/>
      <c r="T5366" s="708"/>
      <c r="U5366" s="472"/>
      <c r="V5366" s="166"/>
      <c r="W5366" s="446"/>
      <c r="X5366" s="456"/>
      <c r="Y5366" s="436"/>
      <c r="Z5366" s="437"/>
      <c r="AA5366" s="560"/>
      <c r="AB5366" s="561"/>
      <c r="AC5366" s="87"/>
      <c r="AD5366" s="466"/>
      <c r="AE5366" s="456"/>
      <c r="AF5366" s="467"/>
      <c r="AG5366" s="87"/>
      <c r="AH5366" s="87"/>
      <c r="AI5366" s="87"/>
    </row>
    <row r="5367" spans="1:35" hidden="1">
      <c r="A5367" s="80" t="e">
        <f>"E"&amp;E5359</f>
        <v>#N/A</v>
      </c>
      <c r="B5367" s="105">
        <v>5</v>
      </c>
      <c r="C5367" s="107"/>
      <c r="D5367" s="107"/>
      <c r="E5367" s="107"/>
      <c r="F5367" s="107"/>
      <c r="G5367" s="83"/>
      <c r="H5367" s="83"/>
      <c r="I5367" s="84"/>
      <c r="J5367" s="85"/>
      <c r="K5367" s="382"/>
      <c r="L5367" s="85"/>
      <c r="M5367" s="332" t="str">
        <f t="shared" si="1591"/>
        <v/>
      </c>
      <c r="N5367" s="86"/>
      <c r="O5367" s="453" t="str">
        <f t="shared" si="1593"/>
        <v/>
      </c>
      <c r="P5367" s="538" t="str">
        <f t="shared" si="1594"/>
        <v/>
      </c>
      <c r="Q5367" s="539" t="str">
        <f t="shared" si="1592"/>
        <v/>
      </c>
      <c r="R5367" s="706"/>
      <c r="S5367" s="707"/>
      <c r="T5367" s="708"/>
      <c r="U5367" s="472"/>
      <c r="V5367" s="167"/>
      <c r="W5367" s="446"/>
      <c r="X5367" s="456"/>
      <c r="Y5367" s="436"/>
      <c r="Z5367" s="437"/>
      <c r="AA5367" s="560"/>
      <c r="AB5367" s="561"/>
      <c r="AC5367" s="87"/>
      <c r="AD5367" s="466"/>
      <c r="AE5367" s="456"/>
      <c r="AF5367" s="467"/>
      <c r="AG5367" s="87"/>
      <c r="AH5367" s="87"/>
      <c r="AI5367" s="87"/>
    </row>
    <row r="5368" spans="1:35" hidden="1">
      <c r="A5368" s="80" t="e">
        <f>"F"&amp;E5359</f>
        <v>#N/A</v>
      </c>
      <c r="B5368" s="105">
        <v>6</v>
      </c>
      <c r="C5368" s="107"/>
      <c r="D5368" s="107"/>
      <c r="E5368" s="107"/>
      <c r="F5368" s="107"/>
      <c r="G5368" s="83"/>
      <c r="H5368" s="83"/>
      <c r="I5368" s="84"/>
      <c r="J5368" s="85"/>
      <c r="K5368" s="382"/>
      <c r="L5368" s="85"/>
      <c r="M5368" s="332" t="str">
        <f t="shared" si="1591"/>
        <v/>
      </c>
      <c r="N5368" s="86"/>
      <c r="O5368" s="453" t="str">
        <f t="shared" si="1593"/>
        <v/>
      </c>
      <c r="P5368" s="538" t="str">
        <f t="shared" si="1594"/>
        <v/>
      </c>
      <c r="Q5368" s="539" t="str">
        <f t="shared" si="1592"/>
        <v/>
      </c>
      <c r="R5368" s="706"/>
      <c r="S5368" s="707"/>
      <c r="T5368" s="708"/>
      <c r="U5368" s="472"/>
      <c r="V5368" s="167"/>
      <c r="W5368" s="446"/>
      <c r="X5368" s="456"/>
      <c r="Y5368" s="436"/>
      <c r="Z5368" s="437"/>
      <c r="AA5368" s="560"/>
      <c r="AB5368" s="561"/>
      <c r="AC5368" s="87"/>
      <c r="AD5368" s="466"/>
      <c r="AE5368" s="456"/>
      <c r="AF5368" s="467"/>
      <c r="AG5368" s="87"/>
      <c r="AH5368" s="87"/>
      <c r="AI5368" s="87"/>
    </row>
    <row r="5369" spans="1:35" hidden="1">
      <c r="A5369" s="80" t="e">
        <f>"G"&amp;E5359</f>
        <v>#N/A</v>
      </c>
      <c r="B5369" s="105">
        <v>7</v>
      </c>
      <c r="C5369" s="107"/>
      <c r="D5369" s="107"/>
      <c r="E5369" s="107"/>
      <c r="F5369" s="107"/>
      <c r="G5369" s="83"/>
      <c r="H5369" s="83"/>
      <c r="I5369" s="84"/>
      <c r="J5369" s="85"/>
      <c r="K5369" s="382"/>
      <c r="L5369" s="85"/>
      <c r="M5369" s="332" t="str">
        <f t="shared" si="1591"/>
        <v/>
      </c>
      <c r="N5369" s="86"/>
      <c r="O5369" s="86" t="str">
        <f t="shared" si="1593"/>
        <v/>
      </c>
      <c r="P5369" s="538" t="str">
        <f t="shared" si="1594"/>
        <v/>
      </c>
      <c r="Q5369" s="539" t="str">
        <f t="shared" si="1592"/>
        <v/>
      </c>
      <c r="R5369" s="706"/>
      <c r="S5369" s="707"/>
      <c r="T5369" s="708"/>
      <c r="U5369" s="472"/>
      <c r="V5369" s="167"/>
      <c r="W5369" s="446"/>
      <c r="X5369" s="456"/>
      <c r="Y5369" s="436"/>
      <c r="Z5369" s="437"/>
      <c r="AA5369" s="560"/>
      <c r="AB5369" s="561"/>
      <c r="AC5369" s="87"/>
      <c r="AD5369" s="466"/>
      <c r="AE5369" s="456"/>
      <c r="AF5369" s="467"/>
      <c r="AG5369" s="87"/>
      <c r="AH5369" s="87"/>
      <c r="AI5369" s="87"/>
    </row>
    <row r="5370" spans="1:35" hidden="1">
      <c r="A5370" s="80" t="e">
        <f>"H"&amp;E5359</f>
        <v>#N/A</v>
      </c>
      <c r="B5370" s="105">
        <v>8</v>
      </c>
      <c r="C5370" s="107"/>
      <c r="D5370" s="107"/>
      <c r="E5370" s="107"/>
      <c r="F5370" s="107"/>
      <c r="G5370" s="83"/>
      <c r="H5370" s="83"/>
      <c r="I5370" s="84"/>
      <c r="J5370" s="85"/>
      <c r="K5370" s="382"/>
      <c r="L5370" s="85"/>
      <c r="M5370" s="332" t="str">
        <f t="shared" si="1591"/>
        <v/>
      </c>
      <c r="N5370" s="453"/>
      <c r="O5370" s="86" t="str">
        <f t="shared" si="1593"/>
        <v/>
      </c>
      <c r="P5370" s="538" t="str">
        <f t="shared" si="1594"/>
        <v/>
      </c>
      <c r="Q5370" s="539" t="str">
        <f t="shared" si="1592"/>
        <v/>
      </c>
      <c r="R5370" s="706"/>
      <c r="S5370" s="707"/>
      <c r="T5370" s="708"/>
      <c r="U5370" s="472"/>
      <c r="V5370" s="167"/>
      <c r="W5370" s="446"/>
      <c r="X5370" s="456"/>
      <c r="Y5370" s="436"/>
      <c r="Z5370" s="437"/>
      <c r="AA5370" s="560"/>
      <c r="AB5370" s="561"/>
      <c r="AC5370" s="87"/>
      <c r="AD5370" s="466"/>
      <c r="AE5370" s="456"/>
      <c r="AF5370" s="467"/>
      <c r="AG5370" s="87"/>
      <c r="AH5370" s="87"/>
      <c r="AI5370" s="87"/>
    </row>
    <row r="5371" spans="1:35" hidden="1">
      <c r="A5371" s="80" t="e">
        <f>"I"&amp;E5359</f>
        <v>#N/A</v>
      </c>
      <c r="B5371" s="105">
        <v>9</v>
      </c>
      <c r="C5371" s="107"/>
      <c r="D5371" s="107"/>
      <c r="E5371" s="107"/>
      <c r="F5371" s="107"/>
      <c r="G5371" s="83"/>
      <c r="H5371" s="83"/>
      <c r="I5371" s="84"/>
      <c r="J5371" s="85"/>
      <c r="K5371" s="382"/>
      <c r="L5371" s="85"/>
      <c r="M5371" s="332" t="str">
        <f t="shared" si="1591"/>
        <v/>
      </c>
      <c r="N5371" s="453"/>
      <c r="O5371" s="86" t="str">
        <f t="shared" si="1593"/>
        <v/>
      </c>
      <c r="P5371" s="538" t="str">
        <f t="shared" si="1594"/>
        <v/>
      </c>
      <c r="Q5371" s="539" t="str">
        <f t="shared" si="1592"/>
        <v/>
      </c>
      <c r="R5371" s="706"/>
      <c r="S5371" s="707"/>
      <c r="T5371" s="708"/>
      <c r="U5371" s="472"/>
      <c r="V5371" s="167"/>
      <c r="W5371" s="446"/>
      <c r="X5371" s="456"/>
      <c r="Y5371" s="436"/>
      <c r="Z5371" s="437"/>
      <c r="AA5371" s="560"/>
      <c r="AB5371" s="561"/>
      <c r="AC5371" s="87"/>
      <c r="AD5371" s="466"/>
      <c r="AE5371" s="456"/>
      <c r="AF5371" s="467"/>
      <c r="AG5371" s="87"/>
      <c r="AH5371" s="87"/>
      <c r="AI5371" s="87"/>
    </row>
    <row r="5372" spans="1:35" hidden="1">
      <c r="A5372" s="80" t="e">
        <f>"J"&amp;E5359</f>
        <v>#N/A</v>
      </c>
      <c r="B5372" s="105">
        <v>10</v>
      </c>
      <c r="C5372" s="107"/>
      <c r="D5372" s="107"/>
      <c r="E5372" s="107"/>
      <c r="F5372" s="107"/>
      <c r="G5372" s="83"/>
      <c r="H5372" s="83"/>
      <c r="I5372" s="84"/>
      <c r="J5372" s="85"/>
      <c r="K5372" s="382"/>
      <c r="L5372" s="85"/>
      <c r="M5372" s="332" t="str">
        <f t="shared" si="1591"/>
        <v/>
      </c>
      <c r="N5372" s="453"/>
      <c r="O5372" s="86" t="str">
        <f t="shared" si="1593"/>
        <v/>
      </c>
      <c r="P5372" s="538" t="str">
        <f t="shared" si="1594"/>
        <v/>
      </c>
      <c r="Q5372" s="539" t="str">
        <f t="shared" si="1592"/>
        <v/>
      </c>
      <c r="R5372" s="706"/>
      <c r="S5372" s="707"/>
      <c r="T5372" s="708"/>
      <c r="U5372" s="472"/>
      <c r="V5372" s="167"/>
      <c r="W5372" s="446"/>
      <c r="X5372" s="456"/>
      <c r="Y5372" s="436"/>
      <c r="Z5372" s="437"/>
      <c r="AA5372" s="560"/>
      <c r="AB5372" s="561"/>
      <c r="AC5372" s="87"/>
      <c r="AD5372" s="466"/>
      <c r="AE5372" s="456"/>
      <c r="AF5372" s="467"/>
      <c r="AG5372" s="87"/>
      <c r="AH5372" s="87"/>
      <c r="AI5372" s="87"/>
    </row>
    <row r="5373" spans="1:35" ht="16.5" hidden="1" thickBot="1">
      <c r="A5373" s="44"/>
      <c r="B5373" s="89"/>
      <c r="C5373" s="90"/>
      <c r="D5373" s="90"/>
      <c r="E5373" s="90"/>
      <c r="F5373" s="90"/>
      <c r="G5373" s="90"/>
      <c r="H5373" s="90"/>
      <c r="I5373" s="90"/>
      <c r="J5373" s="90"/>
      <c r="K5373" s="90"/>
      <c r="L5373" s="90"/>
      <c r="M5373" s="90"/>
      <c r="N5373" s="90"/>
      <c r="O5373" s="90"/>
      <c r="P5373" s="90"/>
      <c r="Q5373" s="90"/>
      <c r="R5373" s="90"/>
      <c r="S5373" s="91"/>
      <c r="T5373" s="92"/>
      <c r="U5373" s="473"/>
      <c r="W5373" s="438"/>
      <c r="X5373" s="455"/>
      <c r="Y5373" s="439"/>
      <c r="Z5373" s="437"/>
      <c r="AA5373" s="530"/>
      <c r="AB5373" s="563"/>
      <c r="AC5373" s="87"/>
      <c r="AD5373" s="440"/>
      <c r="AE5373" s="441"/>
      <c r="AF5373" s="442"/>
      <c r="AG5373" s="49"/>
      <c r="AH5373" s="87"/>
      <c r="AI5373" s="87"/>
    </row>
    <row r="5374" spans="1:35" ht="16.5" hidden="1" thickBot="1">
      <c r="A5374" s="93"/>
      <c r="B5374" s="94"/>
      <c r="C5374" s="96"/>
      <c r="D5374" s="96"/>
      <c r="E5374" s="96"/>
      <c r="F5374" s="96"/>
      <c r="G5374" s="96"/>
      <c r="H5374" s="96"/>
      <c r="I5374" s="96"/>
      <c r="J5374" s="96"/>
      <c r="K5374" s="96"/>
      <c r="L5374" s="96"/>
      <c r="M5374" s="136"/>
      <c r="N5374" s="96"/>
      <c r="O5374" s="96"/>
      <c r="P5374" s="97"/>
      <c r="Q5374" s="97"/>
      <c r="R5374" s="98"/>
      <c r="S5374" s="95"/>
      <c r="T5374" s="99"/>
      <c r="U5374" s="469"/>
      <c r="AC5374" s="58"/>
      <c r="AG5374" s="58"/>
      <c r="AH5374" s="87"/>
      <c r="AI5374" s="87"/>
    </row>
    <row r="5375" spans="1:35" ht="16.5" hidden="1" thickBot="1">
      <c r="B5375" s="101"/>
      <c r="C5375" s="101"/>
      <c r="D5375" s="101"/>
      <c r="E5375" s="101"/>
      <c r="F5375" s="101"/>
      <c r="G5375" s="101"/>
      <c r="H5375" s="101"/>
      <c r="I5375" s="101"/>
      <c r="J5375" s="101"/>
      <c r="K5375" s="101"/>
      <c r="L5375" s="101"/>
      <c r="M5375" s="101"/>
      <c r="N5375" s="101"/>
      <c r="O5375" s="101"/>
      <c r="P5375" s="101"/>
      <c r="Q5375" s="101"/>
      <c r="R5375" s="101"/>
      <c r="S5375" s="101"/>
      <c r="U5375" s="50"/>
      <c r="AH5375" s="87"/>
      <c r="AI5375" s="87"/>
    </row>
    <row r="5376" spans="1:35" ht="16.5" hidden="1" customHeight="1" thickBot="1">
      <c r="A5376" s="44"/>
      <c r="B5376" s="705" t="s">
        <v>74</v>
      </c>
      <c r="C5376" s="705"/>
      <c r="D5376" s="705"/>
      <c r="E5376" s="705"/>
      <c r="F5376" s="705"/>
      <c r="G5376" s="705"/>
      <c r="H5376" s="705"/>
      <c r="I5376" s="705"/>
      <c r="J5376" s="705"/>
      <c r="K5376" s="705"/>
      <c r="L5376" s="705"/>
      <c r="M5376" s="705"/>
      <c r="N5376" s="705"/>
      <c r="O5376" s="705"/>
      <c r="P5376" s="705"/>
      <c r="Q5376" s="705"/>
      <c r="R5376" s="705"/>
      <c r="S5376" s="705"/>
      <c r="T5376" s="705"/>
      <c r="U5376" s="108"/>
      <c r="Y5376" s="532" t="s">
        <v>341</v>
      </c>
      <c r="AC5376" s="49"/>
      <c r="AD5376" s="687" t="s">
        <v>302</v>
      </c>
      <c r="AE5376" s="688"/>
      <c r="AF5376" s="689"/>
      <c r="AG5376" s="49"/>
      <c r="AH5376" s="87"/>
      <c r="AI5376" s="87"/>
    </row>
    <row r="5377" spans="1:35" ht="16.5" hidden="1" customHeight="1" thickBot="1">
      <c r="A5377" s="218" t="e">
        <f>"K"&amp;E5359</f>
        <v>#N/A</v>
      </c>
      <c r="B5377" s="701" t="s">
        <v>71</v>
      </c>
      <c r="C5377" s="751" t="s">
        <v>102</v>
      </c>
      <c r="D5377" s="751"/>
      <c r="E5377" s="751"/>
      <c r="F5377" s="751"/>
      <c r="G5377" s="751"/>
      <c r="H5377" s="751"/>
      <c r="I5377" s="751"/>
      <c r="J5377" s="751"/>
      <c r="K5377" s="751"/>
      <c r="L5377" s="722" t="s">
        <v>100</v>
      </c>
      <c r="M5377" s="747" t="s">
        <v>114</v>
      </c>
      <c r="N5377" s="747"/>
      <c r="O5377" s="747"/>
      <c r="P5377" s="747"/>
      <c r="Q5377" s="748"/>
      <c r="R5377" s="758" t="s">
        <v>280</v>
      </c>
      <c r="S5377" s="748"/>
      <c r="T5377" s="762" t="str">
        <f>IF(COUNTIF(AE5377:AF5377,"VERIFICAR")&gt;0,"VERIFICAR",IF(COUNTIF(AE5377:AF5377,"NO CUMPLE")&gt;0,"NO CUMPLE","CUMPLE"))</f>
        <v>VERIFICAR</v>
      </c>
      <c r="U5377" s="108"/>
      <c r="Y5377" s="533" t="e">
        <f>IF(F5378="","",IF(F5378=1,"INDIVIDUAL","ESTRUCTURA PLURAL"))</f>
        <v>#N/A</v>
      </c>
      <c r="AC5377" s="52"/>
      <c r="AD5377" s="475" t="s">
        <v>303</v>
      </c>
      <c r="AE5377" s="476" t="str">
        <f>IF(COUNTIF(AE5363:AE5372,"")=10,"VERIFICAR",IF(COUNTIF(AE5363:AE5372,"SI")&gt;0,"CUMPLE","NO CUMPLE"))</f>
        <v>VERIFICAR</v>
      </c>
      <c r="AF5377" s="477" t="str">
        <f>IF(COUNTIF(AF5363:AF5372,"")=10,"VERIFICAR",IF(COUNTIF(AF5363:AF5372,"SI")&gt;=$AI$22,"CUMPLE","NO CUMPLE"))</f>
        <v>VERIFICAR</v>
      </c>
      <c r="AG5377" s="52"/>
      <c r="AH5377" s="87"/>
      <c r="AI5377" s="87"/>
    </row>
    <row r="5378" spans="1:35" ht="15.75" hidden="1" customHeight="1" thickBot="1">
      <c r="A5378" s="218" t="e">
        <f>"L"&amp;E5359</f>
        <v>#N/A</v>
      </c>
      <c r="B5378" s="702"/>
      <c r="C5378" s="751" t="s">
        <v>103</v>
      </c>
      <c r="D5378" s="751"/>
      <c r="E5378" s="752"/>
      <c r="F5378" s="557" t="e">
        <f>IF(VLOOKUP(E5359,PROPONENTES!$C$19:$E$218,3,0)="","",VLOOKUP(E5359,PROPONENTES!$C$19:$E$218,3,0))</f>
        <v>#N/A</v>
      </c>
      <c r="G5378" s="753" t="s">
        <v>104</v>
      </c>
      <c r="H5378" s="751"/>
      <c r="I5378" s="715" t="e">
        <f>IF(OR(F5378="",F5378=1),"INTERESADO PERSONA NATURAL O JURIDICA","CONSORCIO O UNION TEMPORAL")</f>
        <v>#N/A</v>
      </c>
      <c r="J5378" s="725"/>
      <c r="K5378" s="728"/>
      <c r="L5378" s="723"/>
      <c r="M5378" s="749"/>
      <c r="N5378" s="749"/>
      <c r="O5378" s="749"/>
      <c r="P5378" s="749"/>
      <c r="Q5378" s="750"/>
      <c r="R5378" s="712"/>
      <c r="S5378" s="750"/>
      <c r="T5378" s="763"/>
      <c r="U5378" s="108"/>
      <c r="Y5378" s="534"/>
      <c r="AA5378" s="52"/>
      <c r="AB5378" s="52"/>
      <c r="AC5378" s="52"/>
      <c r="AG5378" s="52"/>
      <c r="AH5378" s="87"/>
      <c r="AI5378" s="87"/>
    </row>
    <row r="5379" spans="1:35" ht="56.25" hidden="1" customHeight="1" thickBot="1">
      <c r="A5379" s="218" t="e">
        <f>"M"&amp;E5359</f>
        <v>#N/A</v>
      </c>
      <c r="B5379" s="702"/>
      <c r="C5379" s="725" t="s">
        <v>101</v>
      </c>
      <c r="D5379" s="716"/>
      <c r="E5379" s="558" t="s">
        <v>105</v>
      </c>
      <c r="F5379" s="554" t="s">
        <v>87</v>
      </c>
      <c r="G5379" s="553" t="s">
        <v>86</v>
      </c>
      <c r="H5379" s="559" t="s">
        <v>85</v>
      </c>
      <c r="I5379" s="554" t="s">
        <v>252</v>
      </c>
      <c r="J5379" s="553" t="str">
        <f>"¿EL INTEGRANTE TIENE UNA PARTICIPACIÓN DEL "&amp;PORCREQUERIDOINT*100&amp;"%?"</f>
        <v>¿EL INTEGRANTE TIENE UNA PARTICIPACIÓN DEL 60%?</v>
      </c>
      <c r="K5379" s="554" t="s">
        <v>107</v>
      </c>
      <c r="L5379" s="724"/>
      <c r="M5379" s="717" t="s">
        <v>115</v>
      </c>
      <c r="N5379" s="718"/>
      <c r="O5379" s="718"/>
      <c r="P5379" s="718"/>
      <c r="Q5379" s="223">
        <f>IF(AND(H5363="SI",P5363&gt;=0),1,0)+IF(AND(H5364="SI",P5364&gt;=0),1,0)+IF(AND(H5365="SI",P5365&gt;=0),1,0)+IF(AND(H5366="SI",P5366&gt;=0),1,0)+IF(AND(H5367="SI",P5367&gt;=0),1,0)+IF(AND(H5368="SI",P5368&gt;=0),1,0)+IF(AND(H5369="SI",P5369&gt;=0),1,0)+IF(AND(H5370="SI",P5370&gt;=0),1,0)+IF(AND(H5371="SI",P5371&gt;=0),1,0)+IF(AND(H5372="SI",P5372&gt;=0),1,0)</f>
        <v>0</v>
      </c>
      <c r="R5379" s="759"/>
      <c r="S5379" s="761"/>
      <c r="T5379" s="764"/>
      <c r="U5379" s="219"/>
      <c r="V5379" s="464"/>
      <c r="Y5379" s="532" t="s">
        <v>342</v>
      </c>
      <c r="AA5379" s="550" t="s">
        <v>344</v>
      </c>
      <c r="AB5379" s="693" t="s">
        <v>345</v>
      </c>
      <c r="AC5379" s="693" t="s">
        <v>346</v>
      </c>
      <c r="AD5379" s="685" t="s">
        <v>347</v>
      </c>
      <c r="AE5379" s="52"/>
      <c r="AF5379" s="52"/>
      <c r="AG5379" s="52"/>
      <c r="AH5379" s="87"/>
      <c r="AI5379" s="87"/>
    </row>
    <row r="5380" spans="1:35" ht="15.75" hidden="1" customHeight="1" thickBot="1">
      <c r="A5380" s="218" t="e">
        <f>"N"&amp;E5359</f>
        <v>#N/A</v>
      </c>
      <c r="B5380" s="702"/>
      <c r="C5380" s="114">
        <v>1</v>
      </c>
      <c r="D5380" s="194" t="e">
        <f>IF(AND(C5380&lt;=F5378,F5378&gt;1,F5378&lt;&gt;""),VLOOKUP(VALUE(E5359&amp;","&amp;C5380),INTEGRANTES!$D$18:$F$235,2,0),"")</f>
        <v>#N/A</v>
      </c>
      <c r="E5380" s="211" t="e">
        <f>IF(D5380&lt;&gt;"",VLOOKUP(VALUE(E5359&amp;","&amp;C5380),INTEGRANTES!$D$18:$F$235,3,0),"")</f>
        <v>#N/A</v>
      </c>
      <c r="F5380" s="547" t="e">
        <f>IF(D5380="","",SUMIF($I5363:$I5372,D5380,$P5363:$P5372))</f>
        <v>#N/A</v>
      </c>
      <c r="G5380" s="333" t="e">
        <f>IF(D5380="","",SUMIF($I5363:$I5372,D5380,$M5363:$M5372))</f>
        <v>#N/A</v>
      </c>
      <c r="H5380" s="535" t="e">
        <f t="shared" ref="H5380:H5385" si="1595">IF(D5380="","",IF(OR(F5380=0,G5380=0),"NO APORTA",ROUND($F5380/$G5380,3)))</f>
        <v>#N/A</v>
      </c>
      <c r="I5380" s="212" t="e">
        <f>IF(D5380="","",IF(H5380="NO APORTA","NO",IF(H5380=MAX($H5380:$H5385),"SI","NO")))</f>
        <v>#N/A</v>
      </c>
      <c r="J5380" s="213" t="e">
        <f t="shared" ref="J5380:J5385" si="1596">IF(D5380="","",IF(E5380&gt;=PORCREQUERIDOINT,"SI","NO"))</f>
        <v>#N/A</v>
      </c>
      <c r="K5380" s="200" t="e">
        <f t="shared" ref="K5380:K5385" si="1597">IF(D5380="","",IF(AND(I5380="SI",J5380="SI"),"CUMPLE",IF(AND(I5380="NO",OR(J5380="SI",J5380="NO")),"","NO CUMPLE")))</f>
        <v>#N/A</v>
      </c>
      <c r="L5380" s="722" t="s">
        <v>108</v>
      </c>
      <c r="M5380" s="726" t="s">
        <v>119</v>
      </c>
      <c r="N5380" s="726"/>
      <c r="O5380" s="726"/>
      <c r="P5380" s="726"/>
      <c r="Q5380" s="727"/>
      <c r="R5380" s="758" t="s">
        <v>80</v>
      </c>
      <c r="S5380" s="747"/>
      <c r="T5380" s="748"/>
      <c r="U5380" s="219"/>
      <c r="V5380" s="464"/>
      <c r="Y5380" s="533" t="e">
        <f>IF(Y5377="","",IF(Y5377="INDIVIDUAL","NO APLICA","VERIFICAR CUADRO"))</f>
        <v>#N/A</v>
      </c>
      <c r="AA5380" s="551"/>
      <c r="AB5380" s="694"/>
      <c r="AC5380" s="694"/>
      <c r="AD5380" s="686"/>
      <c r="AE5380" s="52"/>
      <c r="AF5380" s="52"/>
      <c r="AG5380" s="52"/>
      <c r="AH5380" s="87"/>
      <c r="AI5380" s="87"/>
    </row>
    <row r="5381" spans="1:35" ht="27" hidden="1" customHeight="1" thickBot="1">
      <c r="A5381" s="218" t="e">
        <f>"O"&amp;E5359</f>
        <v>#N/A</v>
      </c>
      <c r="B5381" s="702"/>
      <c r="C5381" s="114">
        <v>2</v>
      </c>
      <c r="D5381" s="194" t="e">
        <f>IF(AND(C5381&lt;=F5378,F5378&lt;&gt;""),VLOOKUP(VALUE(E5359&amp;","&amp;C5381),INTEGRANTES!$D$18:$F$235,2,0),"")</f>
        <v>#N/A</v>
      </c>
      <c r="E5381" s="211" t="e">
        <f>IF(D5381&lt;&gt;"",VLOOKUP(VALUE(E5359&amp;","&amp;C5381),INTEGRANTES!$D$18:$F$235,3,0),"")</f>
        <v>#N/A</v>
      </c>
      <c r="F5381" s="547" t="e">
        <f>IF(D5381="","",SUMIF($I5363:$I5372,D5381,$P5363:$P5372))</f>
        <v>#N/A</v>
      </c>
      <c r="G5381" s="333" t="e">
        <f>IF(D5381="","",SUMIF($I5363:$I5372,D5381,$M5363:$M5372))</f>
        <v>#N/A</v>
      </c>
      <c r="H5381" s="535" t="e">
        <f t="shared" si="1595"/>
        <v>#N/A</v>
      </c>
      <c r="I5381" s="212" t="e">
        <f>IF(D5381="","",IF(H5381="NO APORTA","NO",IF(H5381=MAX($H5380:$H5385),"SI","NO")))</f>
        <v>#N/A</v>
      </c>
      <c r="J5381" s="213" t="e">
        <f t="shared" si="1596"/>
        <v>#N/A</v>
      </c>
      <c r="K5381" s="200" t="e">
        <f t="shared" si="1597"/>
        <v>#N/A</v>
      </c>
      <c r="L5381" s="723"/>
      <c r="M5381" s="715" t="s">
        <v>116</v>
      </c>
      <c r="N5381" s="716"/>
      <c r="O5381" s="556" t="s">
        <v>113</v>
      </c>
      <c r="P5381" s="715" t="s">
        <v>117</v>
      </c>
      <c r="Q5381" s="728"/>
      <c r="R5381" s="759"/>
      <c r="S5381" s="760"/>
      <c r="T5381" s="761"/>
      <c r="U5381" s="219"/>
      <c r="V5381" s="464"/>
      <c r="Y5381" s="414"/>
      <c r="AA5381" s="542" t="e">
        <f>IF(AND(C5380&lt;=F5378,F5378&gt;1,F5378&lt;&gt;""),VLOOKUP(VALUE(E5359&amp;","&amp;C5380),INTEGRANTES!$D$18:$F$235,2,0),"")</f>
        <v>#N/A</v>
      </c>
      <c r="AB5381" s="544" t="e">
        <f t="shared" ref="AB5381:AB5386" si="1598">IF(D5380="","",IF(OR(F5380=0,G5380=0),"NO APORTA",ROUND($F5380/$G5380,3)))</f>
        <v>#N/A</v>
      </c>
      <c r="AC5381" s="529"/>
      <c r="AD5381" s="200" t="e">
        <f t="shared" ref="AD5381:AD5386" si="1599">IF(OR(AA5381="",AB5381=""),"",IF(AND(AC5381="X",AB5381&gt;=EXPREQVTD),"CUMPLE","NO CUMPLE"))</f>
        <v>#N/A</v>
      </c>
      <c r="AE5381" s="52"/>
      <c r="AF5381" s="52"/>
      <c r="AG5381" s="52"/>
      <c r="AH5381" s="87"/>
      <c r="AI5381" s="87"/>
    </row>
    <row r="5382" spans="1:35" ht="16.5" hidden="1" thickBot="1">
      <c r="A5382" s="218" t="e">
        <f>"P"&amp;E5359</f>
        <v>#N/A</v>
      </c>
      <c r="B5382" s="702"/>
      <c r="C5382" s="114">
        <v>3</v>
      </c>
      <c r="D5382" s="194" t="e">
        <f>IF(AND(C5382&lt;=F5378,F5378&lt;&gt;""),VLOOKUP(VALUE(E5359&amp;","&amp;C5382),INTEGRANTES!$D$18:$F$235,2,0),"")</f>
        <v>#N/A</v>
      </c>
      <c r="E5382" s="211" t="e">
        <f>IF(D5382&lt;&gt;"",VLOOKUP(VALUE(E5359&amp;","&amp;C5382),INTEGRANTES!$D$18:$F$235,3,0),"")</f>
        <v>#N/A</v>
      </c>
      <c r="F5382" s="547" t="e">
        <f>IF(D5382="","",SUMIF($I5363:$I5372,D5382,$P5363:$P5372))</f>
        <v>#N/A</v>
      </c>
      <c r="G5382" s="333" t="e">
        <f>IF(D5382="","",SUMIF($I5363:$I5372,D5382,$M5363:$M5372))</f>
        <v>#N/A</v>
      </c>
      <c r="H5382" s="535" t="e">
        <f t="shared" si="1595"/>
        <v>#N/A</v>
      </c>
      <c r="I5382" s="212" t="e">
        <f>IF(D5382="","",IF(H5382="NO APORTA","NO",IF(H5382=MAX($H5380:$H5385),"SI","NO")))</f>
        <v>#N/A</v>
      </c>
      <c r="J5382" s="213" t="e">
        <f t="shared" si="1596"/>
        <v>#N/A</v>
      </c>
      <c r="K5382" s="200" t="e">
        <f t="shared" si="1597"/>
        <v>#N/A</v>
      </c>
      <c r="L5382" s="724"/>
      <c r="M5382" s="729">
        <f>NUMMOD</f>
        <v>1</v>
      </c>
      <c r="N5382" s="730"/>
      <c r="O5382" s="443">
        <f>IF(M5382="","",VLOOKUP(M5382,PRESUPUESTOS!$B$16:$H$16,5,FALSE))</f>
        <v>2</v>
      </c>
      <c r="P5382" s="713">
        <f>IF(OR(COUNTIF(M5363:M5372,"")&gt;=10,Q5379&lt;NUMMINCONT,OR(T5377="NO CUMPLE",T5377="VERIFICAR")),0,ROUND(AVERAGE(M5363:M5372),3))</f>
        <v>0</v>
      </c>
      <c r="Q5382" s="714"/>
      <c r="R5382" s="458"/>
      <c r="S5382" s="459"/>
      <c r="T5382" s="460"/>
      <c r="U5382" s="219"/>
      <c r="V5382" s="464"/>
      <c r="Y5382" s="532" t="str">
        <f>"40% * ("&amp;PRESUPUESTOS!$H$13&amp;")"</f>
        <v>40% * (50% PFMO)</v>
      </c>
      <c r="AA5382" s="540" t="e">
        <f>IF(AND(C5381&lt;=F5378,F5378&lt;&gt;""),VLOOKUP(VALUE(E5359&amp;","&amp;C5381),INTEGRANTES!$D$18:$F$235,2,0),"")</f>
        <v>#N/A</v>
      </c>
      <c r="AB5382" s="545" t="e">
        <f t="shared" si="1598"/>
        <v>#N/A</v>
      </c>
      <c r="AC5382" s="529"/>
      <c r="AD5382" s="200" t="e">
        <f t="shared" si="1599"/>
        <v>#N/A</v>
      </c>
      <c r="AE5382" s="52"/>
      <c r="AF5382" s="52"/>
      <c r="AG5382" s="52"/>
      <c r="AH5382" s="87"/>
      <c r="AI5382" s="87"/>
    </row>
    <row r="5383" spans="1:35" ht="15.75" hidden="1" customHeight="1" thickBot="1">
      <c r="A5383" s="218" t="e">
        <f>"Q"&amp;E5359</f>
        <v>#N/A</v>
      </c>
      <c r="B5383" s="702"/>
      <c r="C5383" s="114">
        <v>4</v>
      </c>
      <c r="D5383" s="194" t="e">
        <f>IF(AND(C5383&lt;=F5378,F5378&lt;&gt;""),VLOOKUP(VALUE(E5359&amp;","&amp;C5383),INTEGRANTES!$D$18:$F$235,2,0),"")</f>
        <v>#N/A</v>
      </c>
      <c r="E5383" s="211" t="e">
        <f>IF(D5383&lt;&gt;"",VLOOKUP(VALUE(E5359&amp;","&amp;C5383),INTEGRANTES!$D$18:$F$235,3,0),"")</f>
        <v>#N/A</v>
      </c>
      <c r="F5383" s="547" t="e">
        <f>IF(D5383="","",SUMIF($I5363:$I5372,D5383,$P5363:$P5372))</f>
        <v>#N/A</v>
      </c>
      <c r="G5383" s="333" t="e">
        <f>IF(D5383="","",SUMIF($I5363:$I5372,D5383,$M5363:$M5372))</f>
        <v>#N/A</v>
      </c>
      <c r="H5383" s="535" t="e">
        <f t="shared" si="1595"/>
        <v>#N/A</v>
      </c>
      <c r="I5383" s="212" t="e">
        <f>IF(D5383="","",IF(H5383="NO APORTA","NO",IF(H5383=MAX($H5380:$H5385),"SI","NO")))</f>
        <v>#N/A</v>
      </c>
      <c r="J5383" s="213" t="e">
        <f t="shared" si="1596"/>
        <v>#N/A</v>
      </c>
      <c r="K5383" s="200" t="e">
        <f t="shared" si="1597"/>
        <v>#N/A</v>
      </c>
      <c r="L5383" s="720" t="s">
        <v>109</v>
      </c>
      <c r="M5383" s="757" t="s">
        <v>120</v>
      </c>
      <c r="N5383" s="726"/>
      <c r="O5383" s="726"/>
      <c r="P5383" s="726"/>
      <c r="Q5383" s="727"/>
      <c r="R5383" s="458"/>
      <c r="S5383" s="459"/>
      <c r="T5383" s="460"/>
      <c r="U5383" s="219"/>
      <c r="V5383" s="464"/>
      <c r="Y5383" s="537">
        <f>0.4*PRESUPUESTOS!$H$16</f>
        <v>10.3124</v>
      </c>
      <c r="AA5383" s="540" t="e">
        <f>IF(AND(C5382&lt;=F5378,F5378&lt;&gt;""),VLOOKUP(VALUE(E5359&amp;","&amp;C5382),INTEGRANTES!$D$18:$F$235,2,0),"")</f>
        <v>#N/A</v>
      </c>
      <c r="AB5383" s="545" t="e">
        <f t="shared" si="1598"/>
        <v>#N/A</v>
      </c>
      <c r="AC5383" s="529"/>
      <c r="AD5383" s="200" t="e">
        <f t="shared" si="1599"/>
        <v>#N/A</v>
      </c>
      <c r="AE5383" s="52"/>
      <c r="AF5383" s="52"/>
      <c r="AG5383" s="52"/>
      <c r="AH5383" s="87"/>
      <c r="AI5383" s="87"/>
    </row>
    <row r="5384" spans="1:35" ht="27" hidden="1" customHeight="1" thickBot="1">
      <c r="A5384" s="218" t="e">
        <f>"R"&amp;E5359</f>
        <v>#N/A</v>
      </c>
      <c r="B5384" s="702"/>
      <c r="C5384" s="114">
        <v>5</v>
      </c>
      <c r="D5384" s="194" t="e">
        <f>IF(AND(C5384&lt;=F5378,F5378&lt;&gt;""),VLOOKUP(VALUE(E5359&amp;","&amp;C5384),INTEGRANTES!$D$18:$F$235,2,0),"")</f>
        <v>#N/A</v>
      </c>
      <c r="E5384" s="211" t="e">
        <f>IF(D5384&lt;&gt;"",VLOOKUP(VALUE(E5359&amp;","&amp;C5384),INTEGRANTES!$D$18:$F$235,3,0),"")</f>
        <v>#N/A</v>
      </c>
      <c r="F5384" s="547" t="e">
        <f>IF(D5384="","",SUMIF($I5363:$I5372,D5384,$P5363:$P5372))</f>
        <v>#N/A</v>
      </c>
      <c r="G5384" s="333" t="e">
        <f>IF(D5384="","",SUMIF($I5363:$I5372,D5384,$M5363:$M5372))</f>
        <v>#N/A</v>
      </c>
      <c r="H5384" s="535" t="e">
        <f t="shared" si="1595"/>
        <v>#N/A</v>
      </c>
      <c r="I5384" s="212" t="e">
        <f>IF(D5384="","",IF(H5384="NO APORTA","NO",IF(H5384=MAX($H5380:$H5385),"SI","NO")))</f>
        <v>#N/A</v>
      </c>
      <c r="J5384" s="213" t="e">
        <f t="shared" si="1596"/>
        <v>#N/A</v>
      </c>
      <c r="K5384" s="200" t="e">
        <f t="shared" si="1597"/>
        <v>#N/A</v>
      </c>
      <c r="L5384" s="721"/>
      <c r="M5384" s="715" t="s">
        <v>116</v>
      </c>
      <c r="N5384" s="716"/>
      <c r="O5384" s="556" t="str">
        <f>PORCREQUERIDO*100&amp;"% PMFO DEL MÓDULO"</f>
        <v>50% PMFO DEL MÓDULO</v>
      </c>
      <c r="P5384" s="715" t="s">
        <v>118</v>
      </c>
      <c r="Q5384" s="728"/>
      <c r="R5384" s="458"/>
      <c r="S5384" s="459"/>
      <c r="T5384" s="460"/>
      <c r="U5384" s="219"/>
      <c r="V5384" s="464"/>
      <c r="Y5384" s="414"/>
      <c r="AA5384" s="540" t="e">
        <f>IF(AND(C5383&lt;=F5378,F5378&lt;&gt;""),VLOOKUP(VALUE(E5359&amp;","&amp;C5383),INTEGRANTES!$D$18:$F$235,2,0),"")</f>
        <v>#N/A</v>
      </c>
      <c r="AB5384" s="545" t="e">
        <f t="shared" si="1598"/>
        <v>#N/A</v>
      </c>
      <c r="AC5384" s="529"/>
      <c r="AD5384" s="200" t="e">
        <f t="shared" si="1599"/>
        <v>#N/A</v>
      </c>
      <c r="AE5384" s="52"/>
      <c r="AF5384" s="52"/>
      <c r="AG5384" s="52"/>
      <c r="AH5384" s="87"/>
      <c r="AI5384" s="87"/>
    </row>
    <row r="5385" spans="1:35" ht="16.5" hidden="1" thickBot="1">
      <c r="A5385" s="218" t="e">
        <f>"S"&amp;E5359</f>
        <v>#N/A</v>
      </c>
      <c r="B5385" s="702"/>
      <c r="C5385" s="215">
        <v>6</v>
      </c>
      <c r="D5385" s="216" t="e">
        <f>IF(AND(C5385&lt;=F5378,F5378&lt;&gt;""),VLOOKUP(VALUE(E5359&amp;","&amp;C5385),INTEGRANTES!$D$18:$F$235,2,0),"")</f>
        <v>#N/A</v>
      </c>
      <c r="E5385" s="217" t="e">
        <f>IF(D5385&lt;&gt;"",VLOOKUP(VALUE(E5359&amp;","&amp;C5385),INTEGRANTES!$D$18:$F$235,3,0),"")</f>
        <v>#N/A</v>
      </c>
      <c r="F5385" s="548" t="e">
        <f>IF(D5385="","",SUMIF($I5363:$I5372,D5385,$P5363:$P5372))</f>
        <v>#N/A</v>
      </c>
      <c r="G5385" s="334" t="e">
        <f>IF(D5385="","",SUMIF($I5363:$I5372,D5385,$M5363:$M5372))</f>
        <v>#N/A</v>
      </c>
      <c r="H5385" s="536" t="e">
        <f t="shared" si="1595"/>
        <v>#N/A</v>
      </c>
      <c r="I5385" s="214" t="e">
        <f>IF(D5385="","",IF(H5385="NO APORTA","NO",IF(H5385=MAX($H5380:$H5385),"SI","NO")))</f>
        <v>#N/A</v>
      </c>
      <c r="J5385" s="213" t="e">
        <f t="shared" si="1596"/>
        <v>#N/A</v>
      </c>
      <c r="K5385" s="200" t="e">
        <f t="shared" si="1597"/>
        <v>#N/A</v>
      </c>
      <c r="L5385" s="721"/>
      <c r="M5385" s="729">
        <f>NUMMOD</f>
        <v>1</v>
      </c>
      <c r="N5385" s="730"/>
      <c r="O5385" s="443">
        <f>IF(M5385="","",ROUND(VLOOKUP(M5385,PRESUPUESTOS!$B$16:$H$16,7,FALSE),3))</f>
        <v>25.780999999999999</v>
      </c>
      <c r="P5385" s="713">
        <f>IF(OR(COUNTIF(P5363:P5372,"")&gt;=10,Q5379&lt;NUMMINCONT,OR(T5377="NO CUMPLE",T5377="VERIFICAR")),0,ROUND((SUM(P5363:P5372)/SUM(M5363:M5372)),3))</f>
        <v>0</v>
      </c>
      <c r="Q5385" s="714"/>
      <c r="R5385" s="458"/>
      <c r="S5385" s="459"/>
      <c r="T5385" s="460"/>
      <c r="U5385" s="219"/>
      <c r="V5385" s="464"/>
      <c r="Y5385" s="532" t="s">
        <v>343</v>
      </c>
      <c r="AA5385" s="540" t="e">
        <f>IF(AND(C5384&lt;=F5378,F5378&lt;&gt;""),VLOOKUP(VALUE(E5359&amp;","&amp;C5384),INTEGRANTES!$D$18:$F$235,2,0),"")</f>
        <v>#N/A</v>
      </c>
      <c r="AB5385" s="545" t="e">
        <f t="shared" si="1598"/>
        <v>#N/A</v>
      </c>
      <c r="AC5385" s="529"/>
      <c r="AD5385" s="200" t="e">
        <f t="shared" si="1599"/>
        <v>#N/A</v>
      </c>
      <c r="AE5385" s="52"/>
      <c r="AF5385" s="52"/>
      <c r="AG5385" s="52"/>
      <c r="AH5385" s="87"/>
      <c r="AI5385" s="87"/>
    </row>
    <row r="5386" spans="1:35" ht="16.5" hidden="1" customHeight="1" thickBot="1">
      <c r="A5386" s="218" t="e">
        <f>"T"&amp;E5359</f>
        <v>#N/A</v>
      </c>
      <c r="B5386" s="703"/>
      <c r="C5386" s="719"/>
      <c r="D5386" s="719"/>
      <c r="E5386" s="719"/>
      <c r="F5386" s="719"/>
      <c r="G5386" s="719"/>
      <c r="H5386" s="719" t="s">
        <v>110</v>
      </c>
      <c r="I5386" s="719"/>
      <c r="J5386" s="719"/>
      <c r="K5386" s="201" t="str">
        <f>IF(COUNTIF(K5380:K5385,"")=6,"",IF(COUNTIF(K5380:K5385,"CUMPLE")&gt;0,"CUMPLE","NO CUMPLE"))</f>
        <v>NO CUMPLE</v>
      </c>
      <c r="L5386" s="754"/>
      <c r="M5386" s="755"/>
      <c r="N5386" s="755"/>
      <c r="O5386" s="755"/>
      <c r="P5386" s="755"/>
      <c r="Q5386" s="756"/>
      <c r="R5386" s="461"/>
      <c r="S5386" s="462"/>
      <c r="T5386" s="463"/>
      <c r="U5386" s="219"/>
      <c r="V5386" s="464"/>
      <c r="Y5386" s="549" t="e">
        <f>IF(Y5380="NO APLICA","NO APLICA",IF(COUNTIF(AD5381:AD5386,"CUMPLE")&gt;0,"CUMPLE","NO CUMPLE"))</f>
        <v>#N/A</v>
      </c>
      <c r="AA5386" s="541" t="e">
        <f>IF(AND(C5385&lt;=F5378,F5378&lt;&gt;""),VLOOKUP(VALUE(E5359&amp;","&amp;C5385),INTEGRANTES!$D$18:$F$235,2,0),"")</f>
        <v>#N/A</v>
      </c>
      <c r="AB5386" s="546" t="e">
        <f t="shared" si="1598"/>
        <v>#N/A</v>
      </c>
      <c r="AC5386" s="543"/>
      <c r="AD5386" s="201" t="e">
        <f t="shared" si="1599"/>
        <v>#N/A</v>
      </c>
      <c r="AE5386" s="52"/>
      <c r="AF5386" s="52"/>
      <c r="AG5386" s="52"/>
      <c r="AH5386" s="87"/>
      <c r="AI5386" s="87"/>
    </row>
    <row r="5387" spans="1:35" hidden="1">
      <c r="AH5387" s="87"/>
      <c r="AI5387" s="87"/>
    </row>
    <row r="5388" spans="1:35" hidden="1">
      <c r="AH5388" s="87"/>
      <c r="AI5388" s="87"/>
    </row>
    <row r="5389" spans="1:35" ht="24" hidden="1" thickBot="1">
      <c r="A5389" s="61">
        <v>180</v>
      </c>
      <c r="B5389" s="704" t="s">
        <v>51</v>
      </c>
      <c r="C5389" s="704"/>
      <c r="D5389" s="704"/>
      <c r="E5389" s="62" t="e">
        <f>VLOOKUP(A5389,PROPONENTES!$B$19:$E$218,2,FALSE)</f>
        <v>#N/A</v>
      </c>
      <c r="F5389" s="63" t="e">
        <f>VLOOKUP(A5389,PROPONENTES!$B$19:$E$218,3,FALSE)</f>
        <v>#N/A</v>
      </c>
      <c r="G5389" s="64"/>
      <c r="H5389" s="64"/>
      <c r="I5389" s="63"/>
      <c r="J5389" s="63"/>
      <c r="K5389" s="65"/>
      <c r="L5389" s="65"/>
      <c r="M5389" s="64"/>
      <c r="N5389" s="64"/>
      <c r="O5389" s="66"/>
      <c r="P5389" s="66"/>
      <c r="Q5389" s="66"/>
      <c r="R5389" s="66"/>
      <c r="S5389" s="67"/>
      <c r="T5389" s="68"/>
      <c r="U5389" s="68"/>
      <c r="AC5389" s="68"/>
      <c r="AD5389" s="68"/>
      <c r="AE5389" s="68"/>
      <c r="AF5389" s="68"/>
      <c r="AG5389" s="68"/>
      <c r="AH5389" s="87"/>
      <c r="AI5389" s="87"/>
    </row>
    <row r="5390" spans="1:35" ht="15.75" hidden="1" customHeight="1">
      <c r="A5390" s="44"/>
      <c r="B5390" s="709" t="s">
        <v>59</v>
      </c>
      <c r="C5390" s="552" t="s">
        <v>60</v>
      </c>
      <c r="D5390" s="70" t="s">
        <v>17</v>
      </c>
      <c r="E5390" s="70"/>
      <c r="F5390" s="70" t="s">
        <v>61</v>
      </c>
      <c r="G5390" s="71"/>
      <c r="H5390" s="699" t="s">
        <v>62</v>
      </c>
      <c r="I5390" s="699" t="s">
        <v>18</v>
      </c>
      <c r="J5390" s="699" t="s">
        <v>63</v>
      </c>
      <c r="K5390" s="699" t="s">
        <v>64</v>
      </c>
      <c r="L5390" s="699" t="s">
        <v>65</v>
      </c>
      <c r="M5390" s="743" t="s">
        <v>66</v>
      </c>
      <c r="N5390" s="699" t="s">
        <v>282</v>
      </c>
      <c r="O5390" s="745" t="s">
        <v>67</v>
      </c>
      <c r="P5390" s="746"/>
      <c r="Q5390" s="102" t="s">
        <v>75</v>
      </c>
      <c r="R5390" s="731" t="s">
        <v>22</v>
      </c>
      <c r="S5390" s="732"/>
      <c r="T5390" s="733"/>
      <c r="U5390" s="712" t="s">
        <v>298</v>
      </c>
      <c r="W5390" s="690" t="s">
        <v>268</v>
      </c>
      <c r="X5390" s="691"/>
      <c r="Y5390" s="692"/>
      <c r="Z5390" s="428"/>
      <c r="AA5390" s="697" t="s">
        <v>315</v>
      </c>
      <c r="AB5390" s="695" t="s">
        <v>322</v>
      </c>
      <c r="AC5390" s="49"/>
      <c r="AD5390" s="690" t="s">
        <v>297</v>
      </c>
      <c r="AE5390" s="691"/>
      <c r="AF5390" s="692"/>
      <c r="AG5390" s="49"/>
      <c r="AH5390" s="87"/>
      <c r="AI5390" s="87"/>
    </row>
    <row r="5391" spans="1:35" ht="72" hidden="1">
      <c r="A5391" s="44"/>
      <c r="B5391" s="710"/>
      <c r="C5391" s="553" t="s">
        <v>68</v>
      </c>
      <c r="D5391" s="73" t="s">
        <v>3</v>
      </c>
      <c r="E5391" s="73" t="s">
        <v>19</v>
      </c>
      <c r="F5391" s="73" t="s">
        <v>69</v>
      </c>
      <c r="G5391" s="74" t="s">
        <v>70</v>
      </c>
      <c r="H5391" s="700"/>
      <c r="I5391" s="700"/>
      <c r="J5391" s="700"/>
      <c r="K5391" s="700"/>
      <c r="L5391" s="700"/>
      <c r="M5391" s="744"/>
      <c r="N5391" s="700"/>
      <c r="O5391" s="553" t="s">
        <v>279</v>
      </c>
      <c r="P5391" s="73" t="s">
        <v>88</v>
      </c>
      <c r="Q5391" s="555" t="s">
        <v>76</v>
      </c>
      <c r="R5391" s="734"/>
      <c r="S5391" s="735"/>
      <c r="T5391" s="736"/>
      <c r="U5391" s="712"/>
      <c r="W5391" s="429" t="s">
        <v>269</v>
      </c>
      <c r="X5391" s="457" t="s">
        <v>278</v>
      </c>
      <c r="Y5391" s="430" t="s">
        <v>324</v>
      </c>
      <c r="Z5391" s="428"/>
      <c r="AA5391" s="698"/>
      <c r="AB5391" s="696"/>
      <c r="AC5391" s="49"/>
      <c r="AD5391" s="429" t="s">
        <v>292</v>
      </c>
      <c r="AE5391" s="431" t="s">
        <v>300</v>
      </c>
      <c r="AF5391" s="468" t="s">
        <v>301</v>
      </c>
      <c r="AG5391" s="49"/>
      <c r="AH5391" s="87"/>
      <c r="AI5391" s="87"/>
    </row>
    <row r="5392" spans="1:35" hidden="1">
      <c r="A5392" s="44"/>
      <c r="B5392" s="76"/>
      <c r="C5392" s="77"/>
      <c r="D5392" s="77"/>
      <c r="E5392" s="77"/>
      <c r="F5392" s="77"/>
      <c r="G5392" s="77"/>
      <c r="H5392" s="77"/>
      <c r="I5392" s="77"/>
      <c r="J5392" s="77"/>
      <c r="K5392" s="77"/>
      <c r="L5392" s="77"/>
      <c r="M5392" s="77"/>
      <c r="N5392" s="77"/>
      <c r="O5392" s="77"/>
      <c r="P5392" s="77"/>
      <c r="Q5392" s="77"/>
      <c r="R5392" s="77"/>
      <c r="S5392" s="78"/>
      <c r="T5392" s="79"/>
      <c r="U5392" s="109"/>
      <c r="V5392" s="49"/>
      <c r="W5392" s="432"/>
      <c r="X5392" s="454"/>
      <c r="Y5392" s="433"/>
      <c r="Z5392" s="6"/>
      <c r="AA5392" s="500"/>
      <c r="AB5392" s="562"/>
      <c r="AC5392" s="49"/>
      <c r="AD5392" s="210"/>
      <c r="AE5392" s="434"/>
      <c r="AF5392" s="435"/>
      <c r="AG5392" s="49"/>
      <c r="AH5392" s="87"/>
      <c r="AI5392" s="87"/>
    </row>
    <row r="5393" spans="1:35" hidden="1">
      <c r="A5393" s="80" t="e">
        <f>"A"&amp;E5389</f>
        <v>#N/A</v>
      </c>
      <c r="B5393" s="81">
        <v>1</v>
      </c>
      <c r="C5393" s="82"/>
      <c r="D5393" s="82"/>
      <c r="E5393" s="82"/>
      <c r="F5393" s="82"/>
      <c r="G5393" s="83"/>
      <c r="H5393" s="83"/>
      <c r="I5393" s="84"/>
      <c r="J5393" s="85"/>
      <c r="K5393" s="382"/>
      <c r="L5393" s="85"/>
      <c r="M5393" s="332" t="str">
        <f t="shared" ref="M5393:M5402" si="1600">IF(OR(J5393="",L5393="",H5393="NO"),"",IF(OR(J5393&gt;$P$17,J5393&lt;$O$17,L5393&gt;$P$17,AND(J5393&lt;$O$17,L5393&lt;$O$17)),"FUERA DE RANGO",IF(OR(K5393="---",K5393=""),IF(J5393&gt;=$O$17,ROUND((L5393-J5393+1)/360*12,3),ROUND((L5393-$O$17+1)/360*12,3)),IF(J5393&gt;=$O$17,ROUND((L5393-J5393+1)/360*12-ROUND(K5393,3),3),ROUND((L5393-$O$17+1)/360*12-ROUND(K5393,3),3)))))</f>
        <v/>
      </c>
      <c r="N5393" s="86"/>
      <c r="O5393" s="453" t="str">
        <f>IF(OR(G5393="",N5393=""),"",N5393*G5393)</f>
        <v/>
      </c>
      <c r="P5393" s="538" t="str">
        <f>IF(OR(H5393="",M5393="FUERA DE RANGO"),"",IF(OR(L5393&lt;$O$17,L5393&gt;$P$17,L5393="",H5393="NO"),"",IF(OR(N5393="",O5393=""),"",ROUND(O5393,3))))</f>
        <v/>
      </c>
      <c r="Q5393" s="539" t="str">
        <f t="shared" ref="Q5393:Q5402" si="1601">IF(AND(H5393="SI",P5393&lt;&gt;""),ROUND(P5393/M5393,3),"")</f>
        <v/>
      </c>
      <c r="R5393" s="737"/>
      <c r="S5393" s="738"/>
      <c r="T5393" s="739"/>
      <c r="U5393" s="470"/>
      <c r="V5393" s="165"/>
      <c r="W5393" s="446"/>
      <c r="X5393" s="456"/>
      <c r="Y5393" s="436"/>
      <c r="Z5393" s="437"/>
      <c r="AA5393" s="560"/>
      <c r="AB5393" s="561"/>
      <c r="AC5393" s="87"/>
      <c r="AD5393" s="466"/>
      <c r="AE5393" s="456"/>
      <c r="AF5393" s="467"/>
      <c r="AG5393" s="87"/>
      <c r="AH5393" s="87"/>
      <c r="AI5393" s="87"/>
    </row>
    <row r="5394" spans="1:35" hidden="1">
      <c r="A5394" s="80" t="e">
        <f>"B"&amp;E5389</f>
        <v>#N/A</v>
      </c>
      <c r="B5394" s="81">
        <v>2</v>
      </c>
      <c r="C5394" s="106"/>
      <c r="D5394" s="106"/>
      <c r="E5394" s="106"/>
      <c r="F5394" s="106"/>
      <c r="G5394" s="83"/>
      <c r="H5394" s="83"/>
      <c r="I5394" s="84"/>
      <c r="J5394" s="85"/>
      <c r="K5394" s="382"/>
      <c r="L5394" s="85"/>
      <c r="M5394" s="332" t="str">
        <f t="shared" si="1600"/>
        <v/>
      </c>
      <c r="N5394" s="86"/>
      <c r="O5394" s="453" t="str">
        <f t="shared" ref="O5394:O5402" si="1602">IF(OR(G5394="",N5394=""),"",N5394*G5394)</f>
        <v/>
      </c>
      <c r="P5394" s="538" t="str">
        <f t="shared" ref="P5394:P5402" si="1603">IF(OR(H5394="",M5394="FUERA DE RANGO"),"",IF(OR(L5394&lt;$O$17,L5394&gt;$P$17,L5394="",H5394="NO"),"",IF(OR(N5394="",O5394=""),"",ROUND(O5394,3))))</f>
        <v/>
      </c>
      <c r="Q5394" s="539" t="str">
        <f t="shared" si="1601"/>
        <v/>
      </c>
      <c r="R5394" s="740"/>
      <c r="S5394" s="741"/>
      <c r="T5394" s="742"/>
      <c r="U5394" s="471"/>
      <c r="V5394" s="165"/>
      <c r="W5394" s="446"/>
      <c r="X5394" s="456"/>
      <c r="Y5394" s="436"/>
      <c r="Z5394" s="437"/>
      <c r="AA5394" s="560"/>
      <c r="AB5394" s="561"/>
      <c r="AC5394" s="87"/>
      <c r="AD5394" s="466"/>
      <c r="AE5394" s="456"/>
      <c r="AF5394" s="467"/>
      <c r="AG5394" s="87"/>
      <c r="AH5394" s="87"/>
      <c r="AI5394" s="87"/>
    </row>
    <row r="5395" spans="1:35" hidden="1">
      <c r="A5395" s="80" t="e">
        <f>"C"&amp;E5389</f>
        <v>#N/A</v>
      </c>
      <c r="B5395" s="88">
        <v>3</v>
      </c>
      <c r="C5395" s="82"/>
      <c r="D5395" s="82"/>
      <c r="E5395" s="82"/>
      <c r="F5395" s="82"/>
      <c r="G5395" s="83"/>
      <c r="H5395" s="83"/>
      <c r="I5395" s="84"/>
      <c r="J5395" s="85"/>
      <c r="K5395" s="382"/>
      <c r="L5395" s="85"/>
      <c r="M5395" s="332" t="str">
        <f t="shared" si="1600"/>
        <v/>
      </c>
      <c r="N5395" s="86"/>
      <c r="O5395" s="453" t="str">
        <f t="shared" si="1602"/>
        <v/>
      </c>
      <c r="P5395" s="538" t="str">
        <f t="shared" si="1603"/>
        <v/>
      </c>
      <c r="Q5395" s="539" t="str">
        <f t="shared" si="1601"/>
        <v/>
      </c>
      <c r="R5395" s="706"/>
      <c r="S5395" s="707"/>
      <c r="T5395" s="708"/>
      <c r="U5395" s="472"/>
      <c r="V5395" s="166"/>
      <c r="W5395" s="446"/>
      <c r="X5395" s="456"/>
      <c r="Y5395" s="436"/>
      <c r="Z5395" s="437"/>
      <c r="AA5395" s="560"/>
      <c r="AB5395" s="561"/>
      <c r="AC5395" s="87"/>
      <c r="AD5395" s="466"/>
      <c r="AE5395" s="456"/>
      <c r="AF5395" s="467"/>
      <c r="AG5395" s="87"/>
      <c r="AH5395" s="87"/>
      <c r="AI5395" s="87"/>
    </row>
    <row r="5396" spans="1:35" hidden="1">
      <c r="A5396" s="80" t="e">
        <f>"D"&amp;E5389</f>
        <v>#N/A</v>
      </c>
      <c r="B5396" s="105">
        <v>4</v>
      </c>
      <c r="C5396" s="107"/>
      <c r="D5396" s="107"/>
      <c r="E5396" s="107"/>
      <c r="F5396" s="107"/>
      <c r="G5396" s="83"/>
      <c r="H5396" s="83"/>
      <c r="I5396" s="84"/>
      <c r="J5396" s="85"/>
      <c r="K5396" s="382"/>
      <c r="L5396" s="85"/>
      <c r="M5396" s="332" t="str">
        <f t="shared" si="1600"/>
        <v/>
      </c>
      <c r="N5396" s="86"/>
      <c r="O5396" s="453" t="str">
        <f t="shared" si="1602"/>
        <v/>
      </c>
      <c r="P5396" s="538" t="str">
        <f t="shared" si="1603"/>
        <v/>
      </c>
      <c r="Q5396" s="539" t="str">
        <f t="shared" si="1601"/>
        <v/>
      </c>
      <c r="R5396" s="706"/>
      <c r="S5396" s="707"/>
      <c r="T5396" s="708"/>
      <c r="U5396" s="472"/>
      <c r="V5396" s="166"/>
      <c r="W5396" s="446"/>
      <c r="X5396" s="456"/>
      <c r="Y5396" s="436"/>
      <c r="Z5396" s="437"/>
      <c r="AA5396" s="560"/>
      <c r="AB5396" s="561"/>
      <c r="AC5396" s="87"/>
      <c r="AD5396" s="466"/>
      <c r="AE5396" s="456"/>
      <c r="AF5396" s="467"/>
      <c r="AG5396" s="87"/>
      <c r="AH5396" s="87"/>
      <c r="AI5396" s="87"/>
    </row>
    <row r="5397" spans="1:35" hidden="1">
      <c r="A5397" s="80" t="e">
        <f>"E"&amp;E5389</f>
        <v>#N/A</v>
      </c>
      <c r="B5397" s="105">
        <v>5</v>
      </c>
      <c r="C5397" s="107"/>
      <c r="D5397" s="107"/>
      <c r="E5397" s="107"/>
      <c r="F5397" s="107"/>
      <c r="G5397" s="83"/>
      <c r="H5397" s="83"/>
      <c r="I5397" s="84"/>
      <c r="J5397" s="85"/>
      <c r="K5397" s="382"/>
      <c r="L5397" s="85"/>
      <c r="M5397" s="332" t="str">
        <f t="shared" si="1600"/>
        <v/>
      </c>
      <c r="N5397" s="86"/>
      <c r="O5397" s="453" t="str">
        <f t="shared" si="1602"/>
        <v/>
      </c>
      <c r="P5397" s="538" t="str">
        <f t="shared" si="1603"/>
        <v/>
      </c>
      <c r="Q5397" s="539" t="str">
        <f t="shared" si="1601"/>
        <v/>
      </c>
      <c r="R5397" s="706"/>
      <c r="S5397" s="707"/>
      <c r="T5397" s="708"/>
      <c r="U5397" s="472"/>
      <c r="V5397" s="167"/>
      <c r="W5397" s="446"/>
      <c r="X5397" s="456"/>
      <c r="Y5397" s="436"/>
      <c r="Z5397" s="437"/>
      <c r="AA5397" s="560"/>
      <c r="AB5397" s="561"/>
      <c r="AC5397" s="87"/>
      <c r="AD5397" s="466"/>
      <c r="AE5397" s="456"/>
      <c r="AF5397" s="467"/>
      <c r="AG5397" s="87"/>
      <c r="AH5397" s="87"/>
      <c r="AI5397" s="87"/>
    </row>
    <row r="5398" spans="1:35" hidden="1">
      <c r="A5398" s="80" t="e">
        <f>"F"&amp;E5389</f>
        <v>#N/A</v>
      </c>
      <c r="B5398" s="105">
        <v>6</v>
      </c>
      <c r="C5398" s="107"/>
      <c r="D5398" s="107"/>
      <c r="E5398" s="107"/>
      <c r="F5398" s="107"/>
      <c r="G5398" s="83"/>
      <c r="H5398" s="83"/>
      <c r="I5398" s="84"/>
      <c r="J5398" s="85"/>
      <c r="K5398" s="382"/>
      <c r="L5398" s="85"/>
      <c r="M5398" s="332" t="str">
        <f t="shared" si="1600"/>
        <v/>
      </c>
      <c r="N5398" s="86"/>
      <c r="O5398" s="453" t="str">
        <f t="shared" si="1602"/>
        <v/>
      </c>
      <c r="P5398" s="538" t="str">
        <f t="shared" si="1603"/>
        <v/>
      </c>
      <c r="Q5398" s="539" t="str">
        <f t="shared" si="1601"/>
        <v/>
      </c>
      <c r="R5398" s="706"/>
      <c r="S5398" s="707"/>
      <c r="T5398" s="708"/>
      <c r="U5398" s="472"/>
      <c r="V5398" s="167"/>
      <c r="W5398" s="446"/>
      <c r="X5398" s="456"/>
      <c r="Y5398" s="436"/>
      <c r="Z5398" s="437"/>
      <c r="AA5398" s="560"/>
      <c r="AB5398" s="561"/>
      <c r="AC5398" s="87"/>
      <c r="AD5398" s="466"/>
      <c r="AE5398" s="456"/>
      <c r="AF5398" s="467"/>
      <c r="AG5398" s="87"/>
      <c r="AH5398" s="87"/>
      <c r="AI5398" s="87"/>
    </row>
    <row r="5399" spans="1:35" hidden="1">
      <c r="A5399" s="80" t="e">
        <f>"G"&amp;E5389</f>
        <v>#N/A</v>
      </c>
      <c r="B5399" s="105">
        <v>7</v>
      </c>
      <c r="C5399" s="107"/>
      <c r="D5399" s="107"/>
      <c r="E5399" s="107"/>
      <c r="F5399" s="107"/>
      <c r="G5399" s="83"/>
      <c r="H5399" s="83"/>
      <c r="I5399" s="84"/>
      <c r="J5399" s="85"/>
      <c r="K5399" s="382"/>
      <c r="L5399" s="85"/>
      <c r="M5399" s="332" t="str">
        <f t="shared" si="1600"/>
        <v/>
      </c>
      <c r="N5399" s="86"/>
      <c r="O5399" s="86" t="str">
        <f t="shared" si="1602"/>
        <v/>
      </c>
      <c r="P5399" s="538" t="str">
        <f t="shared" si="1603"/>
        <v/>
      </c>
      <c r="Q5399" s="539" t="str">
        <f t="shared" si="1601"/>
        <v/>
      </c>
      <c r="R5399" s="706"/>
      <c r="S5399" s="707"/>
      <c r="T5399" s="708"/>
      <c r="U5399" s="472"/>
      <c r="V5399" s="167"/>
      <c r="W5399" s="446"/>
      <c r="X5399" s="456"/>
      <c r="Y5399" s="436"/>
      <c r="Z5399" s="437"/>
      <c r="AA5399" s="560"/>
      <c r="AB5399" s="561"/>
      <c r="AC5399" s="87"/>
      <c r="AD5399" s="466"/>
      <c r="AE5399" s="456"/>
      <c r="AF5399" s="467"/>
      <c r="AG5399" s="87"/>
      <c r="AH5399" s="87"/>
      <c r="AI5399" s="87"/>
    </row>
    <row r="5400" spans="1:35" hidden="1">
      <c r="A5400" s="80" t="e">
        <f>"H"&amp;E5389</f>
        <v>#N/A</v>
      </c>
      <c r="B5400" s="105">
        <v>8</v>
      </c>
      <c r="C5400" s="107"/>
      <c r="D5400" s="107"/>
      <c r="E5400" s="107"/>
      <c r="F5400" s="107"/>
      <c r="G5400" s="83"/>
      <c r="H5400" s="83"/>
      <c r="I5400" s="84"/>
      <c r="J5400" s="85"/>
      <c r="K5400" s="382"/>
      <c r="L5400" s="85"/>
      <c r="M5400" s="332" t="str">
        <f t="shared" si="1600"/>
        <v/>
      </c>
      <c r="N5400" s="453"/>
      <c r="O5400" s="86" t="str">
        <f t="shared" si="1602"/>
        <v/>
      </c>
      <c r="P5400" s="538" t="str">
        <f t="shared" si="1603"/>
        <v/>
      </c>
      <c r="Q5400" s="539" t="str">
        <f t="shared" si="1601"/>
        <v/>
      </c>
      <c r="R5400" s="706"/>
      <c r="S5400" s="707"/>
      <c r="T5400" s="708"/>
      <c r="U5400" s="472"/>
      <c r="V5400" s="167"/>
      <c r="W5400" s="446"/>
      <c r="X5400" s="456"/>
      <c r="Y5400" s="436"/>
      <c r="Z5400" s="437"/>
      <c r="AA5400" s="560"/>
      <c r="AB5400" s="561"/>
      <c r="AC5400" s="87"/>
      <c r="AD5400" s="466"/>
      <c r="AE5400" s="456"/>
      <c r="AF5400" s="467"/>
      <c r="AG5400" s="87"/>
      <c r="AH5400" s="87"/>
      <c r="AI5400" s="87"/>
    </row>
    <row r="5401" spans="1:35" hidden="1">
      <c r="A5401" s="80" t="e">
        <f>"I"&amp;E5389</f>
        <v>#N/A</v>
      </c>
      <c r="B5401" s="105">
        <v>9</v>
      </c>
      <c r="C5401" s="107"/>
      <c r="D5401" s="107"/>
      <c r="E5401" s="107"/>
      <c r="F5401" s="107"/>
      <c r="G5401" s="83"/>
      <c r="H5401" s="83"/>
      <c r="I5401" s="84"/>
      <c r="J5401" s="85"/>
      <c r="K5401" s="382"/>
      <c r="L5401" s="85"/>
      <c r="M5401" s="332" t="str">
        <f t="shared" si="1600"/>
        <v/>
      </c>
      <c r="N5401" s="453"/>
      <c r="O5401" s="86" t="str">
        <f t="shared" si="1602"/>
        <v/>
      </c>
      <c r="P5401" s="538" t="str">
        <f t="shared" si="1603"/>
        <v/>
      </c>
      <c r="Q5401" s="539" t="str">
        <f t="shared" si="1601"/>
        <v/>
      </c>
      <c r="R5401" s="706"/>
      <c r="S5401" s="707"/>
      <c r="T5401" s="708"/>
      <c r="U5401" s="472"/>
      <c r="V5401" s="167"/>
      <c r="W5401" s="446"/>
      <c r="X5401" s="456"/>
      <c r="Y5401" s="436"/>
      <c r="Z5401" s="437"/>
      <c r="AA5401" s="560"/>
      <c r="AB5401" s="561"/>
      <c r="AC5401" s="87"/>
      <c r="AD5401" s="466"/>
      <c r="AE5401" s="456"/>
      <c r="AF5401" s="467"/>
      <c r="AG5401" s="87"/>
      <c r="AH5401" s="87"/>
      <c r="AI5401" s="87"/>
    </row>
    <row r="5402" spans="1:35" hidden="1">
      <c r="A5402" s="80" t="e">
        <f>"J"&amp;E5389</f>
        <v>#N/A</v>
      </c>
      <c r="B5402" s="105">
        <v>10</v>
      </c>
      <c r="C5402" s="107"/>
      <c r="D5402" s="107"/>
      <c r="E5402" s="107"/>
      <c r="F5402" s="107"/>
      <c r="G5402" s="83"/>
      <c r="H5402" s="83"/>
      <c r="I5402" s="84"/>
      <c r="J5402" s="85"/>
      <c r="K5402" s="382"/>
      <c r="L5402" s="85"/>
      <c r="M5402" s="332" t="str">
        <f t="shared" si="1600"/>
        <v/>
      </c>
      <c r="N5402" s="453"/>
      <c r="O5402" s="86" t="str">
        <f t="shared" si="1602"/>
        <v/>
      </c>
      <c r="P5402" s="538" t="str">
        <f t="shared" si="1603"/>
        <v/>
      </c>
      <c r="Q5402" s="539" t="str">
        <f t="shared" si="1601"/>
        <v/>
      </c>
      <c r="R5402" s="706"/>
      <c r="S5402" s="707"/>
      <c r="T5402" s="708"/>
      <c r="U5402" s="472"/>
      <c r="V5402" s="167"/>
      <c r="W5402" s="446"/>
      <c r="X5402" s="456"/>
      <c r="Y5402" s="436"/>
      <c r="Z5402" s="437"/>
      <c r="AA5402" s="560"/>
      <c r="AB5402" s="561"/>
      <c r="AC5402" s="87"/>
      <c r="AD5402" s="466"/>
      <c r="AE5402" s="456"/>
      <c r="AF5402" s="467"/>
      <c r="AG5402" s="87"/>
      <c r="AH5402" s="87"/>
      <c r="AI5402" s="87"/>
    </row>
    <row r="5403" spans="1:35" ht="16.5" hidden="1" thickBot="1">
      <c r="A5403" s="44"/>
      <c r="B5403" s="89"/>
      <c r="C5403" s="90"/>
      <c r="D5403" s="90"/>
      <c r="E5403" s="90"/>
      <c r="F5403" s="90"/>
      <c r="G5403" s="90"/>
      <c r="H5403" s="90"/>
      <c r="I5403" s="90"/>
      <c r="J5403" s="90"/>
      <c r="K5403" s="90"/>
      <c r="L5403" s="90"/>
      <c r="M5403" s="90"/>
      <c r="N5403" s="90"/>
      <c r="O5403" s="90"/>
      <c r="P5403" s="90"/>
      <c r="Q5403" s="90"/>
      <c r="R5403" s="90"/>
      <c r="S5403" s="91"/>
      <c r="T5403" s="92"/>
      <c r="U5403" s="473"/>
      <c r="W5403" s="438"/>
      <c r="X5403" s="455"/>
      <c r="Y5403" s="439"/>
      <c r="Z5403" s="437"/>
      <c r="AA5403" s="530"/>
      <c r="AB5403" s="563"/>
      <c r="AC5403" s="87"/>
      <c r="AD5403" s="440"/>
      <c r="AE5403" s="441"/>
      <c r="AF5403" s="442"/>
      <c r="AG5403" s="49"/>
      <c r="AH5403" s="87"/>
      <c r="AI5403" s="87"/>
    </row>
    <row r="5404" spans="1:35" ht="16.5" hidden="1" thickBot="1">
      <c r="A5404" s="93"/>
      <c r="B5404" s="94"/>
      <c r="C5404" s="96"/>
      <c r="D5404" s="96"/>
      <c r="E5404" s="96"/>
      <c r="F5404" s="96"/>
      <c r="G5404" s="96"/>
      <c r="H5404" s="96"/>
      <c r="I5404" s="96"/>
      <c r="J5404" s="96"/>
      <c r="K5404" s="96"/>
      <c r="L5404" s="96"/>
      <c r="M5404" s="136"/>
      <c r="N5404" s="96"/>
      <c r="O5404" s="96"/>
      <c r="P5404" s="97"/>
      <c r="Q5404" s="97"/>
      <c r="R5404" s="98"/>
      <c r="S5404" s="95"/>
      <c r="T5404" s="99"/>
      <c r="U5404" s="469"/>
      <c r="AC5404" s="58"/>
      <c r="AG5404" s="58"/>
      <c r="AH5404" s="87"/>
      <c r="AI5404" s="87"/>
    </row>
    <row r="5405" spans="1:35" ht="16.5" hidden="1" thickBot="1">
      <c r="B5405" s="101"/>
      <c r="C5405" s="101"/>
      <c r="D5405" s="101"/>
      <c r="E5405" s="101"/>
      <c r="F5405" s="101"/>
      <c r="G5405" s="101"/>
      <c r="H5405" s="101"/>
      <c r="I5405" s="101"/>
      <c r="J5405" s="101"/>
      <c r="K5405" s="101"/>
      <c r="L5405" s="101"/>
      <c r="M5405" s="101"/>
      <c r="N5405" s="101"/>
      <c r="O5405" s="101"/>
      <c r="P5405" s="101"/>
      <c r="Q5405" s="101"/>
      <c r="R5405" s="101"/>
      <c r="S5405" s="101"/>
      <c r="U5405" s="50"/>
      <c r="AH5405" s="87"/>
      <c r="AI5405" s="87"/>
    </row>
    <row r="5406" spans="1:35" ht="16.5" hidden="1" customHeight="1" thickBot="1">
      <c r="A5406" s="44"/>
      <c r="B5406" s="705" t="s">
        <v>74</v>
      </c>
      <c r="C5406" s="705"/>
      <c r="D5406" s="705"/>
      <c r="E5406" s="705"/>
      <c r="F5406" s="705"/>
      <c r="G5406" s="705"/>
      <c r="H5406" s="705"/>
      <c r="I5406" s="705"/>
      <c r="J5406" s="705"/>
      <c r="K5406" s="705"/>
      <c r="L5406" s="705"/>
      <c r="M5406" s="705"/>
      <c r="N5406" s="705"/>
      <c r="O5406" s="705"/>
      <c r="P5406" s="705"/>
      <c r="Q5406" s="705"/>
      <c r="R5406" s="705"/>
      <c r="S5406" s="705"/>
      <c r="T5406" s="705"/>
      <c r="U5406" s="108"/>
      <c r="Y5406" s="532" t="s">
        <v>341</v>
      </c>
      <c r="AC5406" s="49"/>
      <c r="AD5406" s="687" t="s">
        <v>302</v>
      </c>
      <c r="AE5406" s="688"/>
      <c r="AF5406" s="689"/>
      <c r="AG5406" s="49"/>
      <c r="AH5406" s="87"/>
      <c r="AI5406" s="87"/>
    </row>
    <row r="5407" spans="1:35" ht="16.5" hidden="1" customHeight="1" thickBot="1">
      <c r="A5407" s="218" t="e">
        <f>"K"&amp;E5389</f>
        <v>#N/A</v>
      </c>
      <c r="B5407" s="701" t="s">
        <v>71</v>
      </c>
      <c r="C5407" s="751" t="s">
        <v>102</v>
      </c>
      <c r="D5407" s="751"/>
      <c r="E5407" s="751"/>
      <c r="F5407" s="751"/>
      <c r="G5407" s="751"/>
      <c r="H5407" s="751"/>
      <c r="I5407" s="751"/>
      <c r="J5407" s="751"/>
      <c r="K5407" s="751"/>
      <c r="L5407" s="722" t="s">
        <v>100</v>
      </c>
      <c r="M5407" s="747" t="s">
        <v>114</v>
      </c>
      <c r="N5407" s="747"/>
      <c r="O5407" s="747"/>
      <c r="P5407" s="747"/>
      <c r="Q5407" s="748"/>
      <c r="R5407" s="758" t="s">
        <v>280</v>
      </c>
      <c r="S5407" s="748"/>
      <c r="T5407" s="762" t="str">
        <f>IF(COUNTIF(AE5407:AF5407,"VERIFICAR")&gt;0,"VERIFICAR",IF(COUNTIF(AE5407:AF5407,"NO CUMPLE")&gt;0,"NO CUMPLE","CUMPLE"))</f>
        <v>VERIFICAR</v>
      </c>
      <c r="U5407" s="108"/>
      <c r="Y5407" s="533" t="e">
        <f>IF(F5408="","",IF(F5408=1,"INDIVIDUAL","ESTRUCTURA PLURAL"))</f>
        <v>#N/A</v>
      </c>
      <c r="AC5407" s="52"/>
      <c r="AD5407" s="475" t="s">
        <v>303</v>
      </c>
      <c r="AE5407" s="476" t="str">
        <f>IF(COUNTIF(AE5393:AE5402,"")=10,"VERIFICAR",IF(COUNTIF(AE5393:AE5402,"SI")&gt;0,"CUMPLE","NO CUMPLE"))</f>
        <v>VERIFICAR</v>
      </c>
      <c r="AF5407" s="477" t="str">
        <f>IF(COUNTIF(AF5393:AF5402,"")=10,"VERIFICAR",IF(COUNTIF(AF5393:AF5402,"SI")&gt;=$AI$22,"CUMPLE","NO CUMPLE"))</f>
        <v>VERIFICAR</v>
      </c>
      <c r="AG5407" s="52"/>
      <c r="AH5407" s="87"/>
      <c r="AI5407" s="87"/>
    </row>
    <row r="5408" spans="1:35" ht="15.75" hidden="1" customHeight="1" thickBot="1">
      <c r="A5408" s="218" t="e">
        <f>"L"&amp;E5389</f>
        <v>#N/A</v>
      </c>
      <c r="B5408" s="702"/>
      <c r="C5408" s="751" t="s">
        <v>103</v>
      </c>
      <c r="D5408" s="751"/>
      <c r="E5408" s="752"/>
      <c r="F5408" s="557" t="e">
        <f>IF(VLOOKUP(E5389,PROPONENTES!$C$19:$E$218,3,0)="","",VLOOKUP(E5389,PROPONENTES!$C$19:$E$218,3,0))</f>
        <v>#N/A</v>
      </c>
      <c r="G5408" s="753" t="s">
        <v>104</v>
      </c>
      <c r="H5408" s="751"/>
      <c r="I5408" s="715" t="e">
        <f>IF(OR(F5408="",F5408=1),"INTERESADO PERSONA NATURAL O JURIDICA","CONSORCIO O UNION TEMPORAL")</f>
        <v>#N/A</v>
      </c>
      <c r="J5408" s="725"/>
      <c r="K5408" s="728"/>
      <c r="L5408" s="723"/>
      <c r="M5408" s="749"/>
      <c r="N5408" s="749"/>
      <c r="O5408" s="749"/>
      <c r="P5408" s="749"/>
      <c r="Q5408" s="750"/>
      <c r="R5408" s="712"/>
      <c r="S5408" s="750"/>
      <c r="T5408" s="763"/>
      <c r="U5408" s="108"/>
      <c r="Y5408" s="534"/>
      <c r="AA5408" s="52"/>
      <c r="AB5408" s="52"/>
      <c r="AC5408" s="52"/>
      <c r="AG5408" s="52"/>
      <c r="AH5408" s="87"/>
      <c r="AI5408" s="87"/>
    </row>
    <row r="5409" spans="1:35" ht="56.25" hidden="1" customHeight="1" thickBot="1">
      <c r="A5409" s="218" t="e">
        <f>"M"&amp;E5389</f>
        <v>#N/A</v>
      </c>
      <c r="B5409" s="702"/>
      <c r="C5409" s="725" t="s">
        <v>101</v>
      </c>
      <c r="D5409" s="716"/>
      <c r="E5409" s="558" t="s">
        <v>105</v>
      </c>
      <c r="F5409" s="554" t="s">
        <v>87</v>
      </c>
      <c r="G5409" s="553" t="s">
        <v>86</v>
      </c>
      <c r="H5409" s="559" t="s">
        <v>85</v>
      </c>
      <c r="I5409" s="554" t="s">
        <v>252</v>
      </c>
      <c r="J5409" s="553" t="str">
        <f>"¿EL INTEGRANTE TIENE UNA PARTICIPACIÓN DEL "&amp;PORCREQUERIDOINT*100&amp;"%?"</f>
        <v>¿EL INTEGRANTE TIENE UNA PARTICIPACIÓN DEL 60%?</v>
      </c>
      <c r="K5409" s="554" t="s">
        <v>107</v>
      </c>
      <c r="L5409" s="724"/>
      <c r="M5409" s="717" t="s">
        <v>115</v>
      </c>
      <c r="N5409" s="718"/>
      <c r="O5409" s="718"/>
      <c r="P5409" s="718"/>
      <c r="Q5409" s="223">
        <f>IF(AND(H5393="SI",P5393&gt;=0),1,0)+IF(AND(H5394="SI",P5394&gt;=0),1,0)+IF(AND(H5395="SI",P5395&gt;=0),1,0)+IF(AND(H5396="SI",P5396&gt;=0),1,0)+IF(AND(H5397="SI",P5397&gt;=0),1,0)+IF(AND(H5398="SI",P5398&gt;=0),1,0)+IF(AND(H5399="SI",P5399&gt;=0),1,0)+IF(AND(H5400="SI",P5400&gt;=0),1,0)+IF(AND(H5401="SI",P5401&gt;=0),1,0)+IF(AND(H5402="SI",P5402&gt;=0),1,0)</f>
        <v>0</v>
      </c>
      <c r="R5409" s="759"/>
      <c r="S5409" s="761"/>
      <c r="T5409" s="764"/>
      <c r="U5409" s="219"/>
      <c r="V5409" s="464"/>
      <c r="Y5409" s="532" t="s">
        <v>342</v>
      </c>
      <c r="AA5409" s="550" t="s">
        <v>344</v>
      </c>
      <c r="AB5409" s="693" t="s">
        <v>345</v>
      </c>
      <c r="AC5409" s="693" t="s">
        <v>346</v>
      </c>
      <c r="AD5409" s="685" t="s">
        <v>347</v>
      </c>
      <c r="AE5409" s="52"/>
      <c r="AF5409" s="52"/>
      <c r="AG5409" s="52"/>
      <c r="AH5409" s="87"/>
      <c r="AI5409" s="87"/>
    </row>
    <row r="5410" spans="1:35" ht="15.75" hidden="1" customHeight="1" thickBot="1">
      <c r="A5410" s="218" t="e">
        <f>"N"&amp;E5389</f>
        <v>#N/A</v>
      </c>
      <c r="B5410" s="702"/>
      <c r="C5410" s="114">
        <v>1</v>
      </c>
      <c r="D5410" s="194" t="e">
        <f>IF(AND(C5410&lt;=F5408,F5408&gt;1,F5408&lt;&gt;""),VLOOKUP(VALUE(E5389&amp;","&amp;C5410),INTEGRANTES!$D$18:$F$235,2,0),"")</f>
        <v>#N/A</v>
      </c>
      <c r="E5410" s="211" t="e">
        <f>IF(D5410&lt;&gt;"",VLOOKUP(VALUE(E5389&amp;","&amp;C5410),INTEGRANTES!$D$18:$F$235,3,0),"")</f>
        <v>#N/A</v>
      </c>
      <c r="F5410" s="547" t="e">
        <f>IF(D5410="","",SUMIF($I5393:$I5402,D5410,$P5393:$P5402))</f>
        <v>#N/A</v>
      </c>
      <c r="G5410" s="333" t="e">
        <f>IF(D5410="","",SUMIF($I5393:$I5402,D5410,$M5393:$M5402))</f>
        <v>#N/A</v>
      </c>
      <c r="H5410" s="535" t="e">
        <f t="shared" ref="H5410:H5415" si="1604">IF(D5410="","",IF(OR(F5410=0,G5410=0),"NO APORTA",ROUND($F5410/$G5410,3)))</f>
        <v>#N/A</v>
      </c>
      <c r="I5410" s="212" t="e">
        <f>IF(D5410="","",IF(H5410="NO APORTA","NO",IF(H5410=MAX($H5410:$H5415),"SI","NO")))</f>
        <v>#N/A</v>
      </c>
      <c r="J5410" s="213" t="e">
        <f t="shared" ref="J5410:J5415" si="1605">IF(D5410="","",IF(E5410&gt;=PORCREQUERIDOINT,"SI","NO"))</f>
        <v>#N/A</v>
      </c>
      <c r="K5410" s="200" t="e">
        <f t="shared" ref="K5410:K5415" si="1606">IF(D5410="","",IF(AND(I5410="SI",J5410="SI"),"CUMPLE",IF(AND(I5410="NO",OR(J5410="SI",J5410="NO")),"","NO CUMPLE")))</f>
        <v>#N/A</v>
      </c>
      <c r="L5410" s="722" t="s">
        <v>108</v>
      </c>
      <c r="M5410" s="726" t="s">
        <v>119</v>
      </c>
      <c r="N5410" s="726"/>
      <c r="O5410" s="726"/>
      <c r="P5410" s="726"/>
      <c r="Q5410" s="727"/>
      <c r="R5410" s="758" t="s">
        <v>80</v>
      </c>
      <c r="S5410" s="747"/>
      <c r="T5410" s="748"/>
      <c r="U5410" s="219"/>
      <c r="V5410" s="464"/>
      <c r="Y5410" s="533" t="e">
        <f>IF(Y5407="","",IF(Y5407="INDIVIDUAL","NO APLICA","VERIFICAR CUADRO"))</f>
        <v>#N/A</v>
      </c>
      <c r="AA5410" s="551"/>
      <c r="AB5410" s="694"/>
      <c r="AC5410" s="694"/>
      <c r="AD5410" s="686"/>
      <c r="AE5410" s="52"/>
      <c r="AF5410" s="52"/>
      <c r="AG5410" s="52"/>
      <c r="AH5410" s="87"/>
      <c r="AI5410" s="87"/>
    </row>
    <row r="5411" spans="1:35" ht="27" hidden="1" customHeight="1" thickBot="1">
      <c r="A5411" s="218" t="e">
        <f>"O"&amp;E5389</f>
        <v>#N/A</v>
      </c>
      <c r="B5411" s="702"/>
      <c r="C5411" s="114">
        <v>2</v>
      </c>
      <c r="D5411" s="194" t="e">
        <f>IF(AND(C5411&lt;=F5408,F5408&lt;&gt;""),VLOOKUP(VALUE(E5389&amp;","&amp;C5411),INTEGRANTES!$D$18:$F$235,2,0),"")</f>
        <v>#N/A</v>
      </c>
      <c r="E5411" s="211" t="e">
        <f>IF(D5411&lt;&gt;"",VLOOKUP(VALUE(E5389&amp;","&amp;C5411),INTEGRANTES!$D$18:$F$235,3,0),"")</f>
        <v>#N/A</v>
      </c>
      <c r="F5411" s="547" t="e">
        <f>IF(D5411="","",SUMIF($I5393:$I5402,D5411,$P5393:$P5402))</f>
        <v>#N/A</v>
      </c>
      <c r="G5411" s="333" t="e">
        <f>IF(D5411="","",SUMIF($I5393:$I5402,D5411,$M5393:$M5402))</f>
        <v>#N/A</v>
      </c>
      <c r="H5411" s="535" t="e">
        <f t="shared" si="1604"/>
        <v>#N/A</v>
      </c>
      <c r="I5411" s="212" t="e">
        <f>IF(D5411="","",IF(H5411="NO APORTA","NO",IF(H5411=MAX($H5410:$H5415),"SI","NO")))</f>
        <v>#N/A</v>
      </c>
      <c r="J5411" s="213" t="e">
        <f t="shared" si="1605"/>
        <v>#N/A</v>
      </c>
      <c r="K5411" s="200" t="e">
        <f t="shared" si="1606"/>
        <v>#N/A</v>
      </c>
      <c r="L5411" s="723"/>
      <c r="M5411" s="715" t="s">
        <v>116</v>
      </c>
      <c r="N5411" s="716"/>
      <c r="O5411" s="556" t="s">
        <v>113</v>
      </c>
      <c r="P5411" s="715" t="s">
        <v>117</v>
      </c>
      <c r="Q5411" s="728"/>
      <c r="R5411" s="759"/>
      <c r="S5411" s="760"/>
      <c r="T5411" s="761"/>
      <c r="U5411" s="219"/>
      <c r="V5411" s="464"/>
      <c r="Y5411" s="414"/>
      <c r="AA5411" s="542" t="e">
        <f>IF(AND(C5410&lt;=F5408,F5408&gt;1,F5408&lt;&gt;""),VLOOKUP(VALUE(E5389&amp;","&amp;C5410),INTEGRANTES!$D$18:$F$235,2,0),"")</f>
        <v>#N/A</v>
      </c>
      <c r="AB5411" s="544" t="e">
        <f t="shared" ref="AB5411:AB5416" si="1607">IF(D5410="","",IF(OR(F5410=0,G5410=0),"NO APORTA",ROUND($F5410/$G5410,3)))</f>
        <v>#N/A</v>
      </c>
      <c r="AC5411" s="529"/>
      <c r="AD5411" s="200" t="e">
        <f t="shared" ref="AD5411:AD5416" si="1608">IF(OR(AA5411="",AB5411=""),"",IF(AND(AC5411="X",AB5411&gt;=EXPREQVTD),"CUMPLE","NO CUMPLE"))</f>
        <v>#N/A</v>
      </c>
      <c r="AE5411" s="52"/>
      <c r="AF5411" s="52"/>
      <c r="AG5411" s="52"/>
      <c r="AH5411" s="87"/>
      <c r="AI5411" s="87"/>
    </row>
    <row r="5412" spans="1:35" ht="16.5" hidden="1" thickBot="1">
      <c r="A5412" s="218" t="e">
        <f>"P"&amp;E5389</f>
        <v>#N/A</v>
      </c>
      <c r="B5412" s="702"/>
      <c r="C5412" s="114">
        <v>3</v>
      </c>
      <c r="D5412" s="194" t="e">
        <f>IF(AND(C5412&lt;=F5408,F5408&lt;&gt;""),VLOOKUP(VALUE(E5389&amp;","&amp;C5412),INTEGRANTES!$D$18:$F$235,2,0),"")</f>
        <v>#N/A</v>
      </c>
      <c r="E5412" s="211" t="e">
        <f>IF(D5412&lt;&gt;"",VLOOKUP(VALUE(E5389&amp;","&amp;C5412),INTEGRANTES!$D$18:$F$235,3,0),"")</f>
        <v>#N/A</v>
      </c>
      <c r="F5412" s="547" t="e">
        <f>IF(D5412="","",SUMIF($I5393:$I5402,D5412,$P5393:$P5402))</f>
        <v>#N/A</v>
      </c>
      <c r="G5412" s="333" t="e">
        <f>IF(D5412="","",SUMIF($I5393:$I5402,D5412,$M5393:$M5402))</f>
        <v>#N/A</v>
      </c>
      <c r="H5412" s="535" t="e">
        <f t="shared" si="1604"/>
        <v>#N/A</v>
      </c>
      <c r="I5412" s="212" t="e">
        <f>IF(D5412="","",IF(H5412="NO APORTA","NO",IF(H5412=MAX($H5410:$H5415),"SI","NO")))</f>
        <v>#N/A</v>
      </c>
      <c r="J5412" s="213" t="e">
        <f t="shared" si="1605"/>
        <v>#N/A</v>
      </c>
      <c r="K5412" s="200" t="e">
        <f t="shared" si="1606"/>
        <v>#N/A</v>
      </c>
      <c r="L5412" s="724"/>
      <c r="M5412" s="729">
        <f>NUMMOD</f>
        <v>1</v>
      </c>
      <c r="N5412" s="730"/>
      <c r="O5412" s="443">
        <f>IF(M5412="","",VLOOKUP(M5412,PRESUPUESTOS!$B$16:$H$16,5,FALSE))</f>
        <v>2</v>
      </c>
      <c r="P5412" s="713">
        <f>IF(OR(COUNTIF(M5393:M5402,"")&gt;=10,Q5409&lt;NUMMINCONT,OR(T5407="NO CUMPLE",T5407="VERIFICAR")),0,ROUND(AVERAGE(M5393:M5402),3))</f>
        <v>0</v>
      </c>
      <c r="Q5412" s="714"/>
      <c r="R5412" s="458"/>
      <c r="S5412" s="459"/>
      <c r="T5412" s="460"/>
      <c r="U5412" s="219"/>
      <c r="V5412" s="464"/>
      <c r="Y5412" s="532" t="str">
        <f>"40% * ("&amp;PRESUPUESTOS!$H$13&amp;")"</f>
        <v>40% * (50% PFMO)</v>
      </c>
      <c r="AA5412" s="540" t="e">
        <f>IF(AND(C5411&lt;=F5408,F5408&lt;&gt;""),VLOOKUP(VALUE(E5389&amp;","&amp;C5411),INTEGRANTES!$D$18:$F$235,2,0),"")</f>
        <v>#N/A</v>
      </c>
      <c r="AB5412" s="545" t="e">
        <f t="shared" si="1607"/>
        <v>#N/A</v>
      </c>
      <c r="AC5412" s="529"/>
      <c r="AD5412" s="200" t="e">
        <f t="shared" si="1608"/>
        <v>#N/A</v>
      </c>
      <c r="AE5412" s="52"/>
      <c r="AF5412" s="52"/>
      <c r="AG5412" s="52"/>
      <c r="AH5412" s="87"/>
      <c r="AI5412" s="87"/>
    </row>
    <row r="5413" spans="1:35" ht="15.75" hidden="1" customHeight="1" thickBot="1">
      <c r="A5413" s="218" t="e">
        <f>"Q"&amp;E5389</f>
        <v>#N/A</v>
      </c>
      <c r="B5413" s="702"/>
      <c r="C5413" s="114">
        <v>4</v>
      </c>
      <c r="D5413" s="194" t="e">
        <f>IF(AND(C5413&lt;=F5408,F5408&lt;&gt;""),VLOOKUP(VALUE(E5389&amp;","&amp;C5413),INTEGRANTES!$D$18:$F$235,2,0),"")</f>
        <v>#N/A</v>
      </c>
      <c r="E5413" s="211" t="e">
        <f>IF(D5413&lt;&gt;"",VLOOKUP(VALUE(E5389&amp;","&amp;C5413),INTEGRANTES!$D$18:$F$235,3,0),"")</f>
        <v>#N/A</v>
      </c>
      <c r="F5413" s="547" t="e">
        <f>IF(D5413="","",SUMIF($I5393:$I5402,D5413,$P5393:$P5402))</f>
        <v>#N/A</v>
      </c>
      <c r="G5413" s="333" t="e">
        <f>IF(D5413="","",SUMIF($I5393:$I5402,D5413,$M5393:$M5402))</f>
        <v>#N/A</v>
      </c>
      <c r="H5413" s="535" t="e">
        <f t="shared" si="1604"/>
        <v>#N/A</v>
      </c>
      <c r="I5413" s="212" t="e">
        <f>IF(D5413="","",IF(H5413="NO APORTA","NO",IF(H5413=MAX($H5410:$H5415),"SI","NO")))</f>
        <v>#N/A</v>
      </c>
      <c r="J5413" s="213" t="e">
        <f t="shared" si="1605"/>
        <v>#N/A</v>
      </c>
      <c r="K5413" s="200" t="e">
        <f t="shared" si="1606"/>
        <v>#N/A</v>
      </c>
      <c r="L5413" s="720" t="s">
        <v>109</v>
      </c>
      <c r="M5413" s="757" t="s">
        <v>120</v>
      </c>
      <c r="N5413" s="726"/>
      <c r="O5413" s="726"/>
      <c r="P5413" s="726"/>
      <c r="Q5413" s="727"/>
      <c r="R5413" s="458"/>
      <c r="S5413" s="459"/>
      <c r="T5413" s="460"/>
      <c r="U5413" s="219"/>
      <c r="V5413" s="464"/>
      <c r="Y5413" s="537">
        <f>0.4*PRESUPUESTOS!$H$16</f>
        <v>10.3124</v>
      </c>
      <c r="AA5413" s="540" t="e">
        <f>IF(AND(C5412&lt;=F5408,F5408&lt;&gt;""),VLOOKUP(VALUE(E5389&amp;","&amp;C5412),INTEGRANTES!$D$18:$F$235,2,0),"")</f>
        <v>#N/A</v>
      </c>
      <c r="AB5413" s="545" t="e">
        <f t="shared" si="1607"/>
        <v>#N/A</v>
      </c>
      <c r="AC5413" s="529"/>
      <c r="AD5413" s="200" t="e">
        <f t="shared" si="1608"/>
        <v>#N/A</v>
      </c>
      <c r="AE5413" s="52"/>
      <c r="AF5413" s="52"/>
      <c r="AG5413" s="52"/>
      <c r="AH5413" s="87"/>
      <c r="AI5413" s="87"/>
    </row>
    <row r="5414" spans="1:35" ht="27" hidden="1" customHeight="1" thickBot="1">
      <c r="A5414" s="218" t="e">
        <f>"R"&amp;E5389</f>
        <v>#N/A</v>
      </c>
      <c r="B5414" s="702"/>
      <c r="C5414" s="114">
        <v>5</v>
      </c>
      <c r="D5414" s="194" t="e">
        <f>IF(AND(C5414&lt;=F5408,F5408&lt;&gt;""),VLOOKUP(VALUE(E5389&amp;","&amp;C5414),INTEGRANTES!$D$18:$F$235,2,0),"")</f>
        <v>#N/A</v>
      </c>
      <c r="E5414" s="211" t="e">
        <f>IF(D5414&lt;&gt;"",VLOOKUP(VALUE(E5389&amp;","&amp;C5414),INTEGRANTES!$D$18:$F$235,3,0),"")</f>
        <v>#N/A</v>
      </c>
      <c r="F5414" s="547" t="e">
        <f>IF(D5414="","",SUMIF($I5393:$I5402,D5414,$P5393:$P5402))</f>
        <v>#N/A</v>
      </c>
      <c r="G5414" s="333" t="e">
        <f>IF(D5414="","",SUMIF($I5393:$I5402,D5414,$M5393:$M5402))</f>
        <v>#N/A</v>
      </c>
      <c r="H5414" s="535" t="e">
        <f t="shared" si="1604"/>
        <v>#N/A</v>
      </c>
      <c r="I5414" s="212" t="e">
        <f>IF(D5414="","",IF(H5414="NO APORTA","NO",IF(H5414=MAX($H5410:$H5415),"SI","NO")))</f>
        <v>#N/A</v>
      </c>
      <c r="J5414" s="213" t="e">
        <f t="shared" si="1605"/>
        <v>#N/A</v>
      </c>
      <c r="K5414" s="200" t="e">
        <f t="shared" si="1606"/>
        <v>#N/A</v>
      </c>
      <c r="L5414" s="721"/>
      <c r="M5414" s="715" t="s">
        <v>116</v>
      </c>
      <c r="N5414" s="716"/>
      <c r="O5414" s="556" t="str">
        <f>PORCREQUERIDO*100&amp;"% PMFO DEL MÓDULO"</f>
        <v>50% PMFO DEL MÓDULO</v>
      </c>
      <c r="P5414" s="715" t="s">
        <v>118</v>
      </c>
      <c r="Q5414" s="728"/>
      <c r="R5414" s="458"/>
      <c r="S5414" s="459"/>
      <c r="T5414" s="460"/>
      <c r="U5414" s="219"/>
      <c r="V5414" s="464"/>
      <c r="Y5414" s="414"/>
      <c r="AA5414" s="540" t="e">
        <f>IF(AND(C5413&lt;=F5408,F5408&lt;&gt;""),VLOOKUP(VALUE(E5389&amp;","&amp;C5413),INTEGRANTES!$D$18:$F$235,2,0),"")</f>
        <v>#N/A</v>
      </c>
      <c r="AB5414" s="545" t="e">
        <f t="shared" si="1607"/>
        <v>#N/A</v>
      </c>
      <c r="AC5414" s="529"/>
      <c r="AD5414" s="200" t="e">
        <f t="shared" si="1608"/>
        <v>#N/A</v>
      </c>
      <c r="AE5414" s="52"/>
      <c r="AF5414" s="52"/>
      <c r="AG5414" s="52"/>
      <c r="AH5414" s="87"/>
      <c r="AI5414" s="87"/>
    </row>
    <row r="5415" spans="1:35" ht="16.5" hidden="1" thickBot="1">
      <c r="A5415" s="218" t="e">
        <f>"S"&amp;E5389</f>
        <v>#N/A</v>
      </c>
      <c r="B5415" s="702"/>
      <c r="C5415" s="215">
        <v>6</v>
      </c>
      <c r="D5415" s="216" t="e">
        <f>IF(AND(C5415&lt;=F5408,F5408&lt;&gt;""),VLOOKUP(VALUE(E5389&amp;","&amp;C5415),INTEGRANTES!$D$18:$F$235,2,0),"")</f>
        <v>#N/A</v>
      </c>
      <c r="E5415" s="217" t="e">
        <f>IF(D5415&lt;&gt;"",VLOOKUP(VALUE(E5389&amp;","&amp;C5415),INTEGRANTES!$D$18:$F$235,3,0),"")</f>
        <v>#N/A</v>
      </c>
      <c r="F5415" s="548" t="e">
        <f>IF(D5415="","",SUMIF($I5393:$I5402,D5415,$P5393:$P5402))</f>
        <v>#N/A</v>
      </c>
      <c r="G5415" s="334" t="e">
        <f>IF(D5415="","",SUMIF($I5393:$I5402,D5415,$M5393:$M5402))</f>
        <v>#N/A</v>
      </c>
      <c r="H5415" s="536" t="e">
        <f t="shared" si="1604"/>
        <v>#N/A</v>
      </c>
      <c r="I5415" s="214" t="e">
        <f>IF(D5415="","",IF(H5415="NO APORTA","NO",IF(H5415=MAX($H5410:$H5415),"SI","NO")))</f>
        <v>#N/A</v>
      </c>
      <c r="J5415" s="213" t="e">
        <f t="shared" si="1605"/>
        <v>#N/A</v>
      </c>
      <c r="K5415" s="200" t="e">
        <f t="shared" si="1606"/>
        <v>#N/A</v>
      </c>
      <c r="L5415" s="721"/>
      <c r="M5415" s="729">
        <f>NUMMOD</f>
        <v>1</v>
      </c>
      <c r="N5415" s="730"/>
      <c r="O5415" s="443">
        <f>IF(M5415="","",ROUND(VLOOKUP(M5415,PRESUPUESTOS!$B$16:$H$16,7,FALSE),3))</f>
        <v>25.780999999999999</v>
      </c>
      <c r="P5415" s="713">
        <f>IF(OR(COUNTIF(P5393:P5402,"")&gt;=10,Q5409&lt;NUMMINCONT,OR(T5407="NO CUMPLE",T5407="VERIFICAR")),0,ROUND((SUM(P5393:P5402)/SUM(M5393:M5402)),3))</f>
        <v>0</v>
      </c>
      <c r="Q5415" s="714"/>
      <c r="R5415" s="458"/>
      <c r="S5415" s="459"/>
      <c r="T5415" s="460"/>
      <c r="U5415" s="219"/>
      <c r="V5415" s="464"/>
      <c r="Y5415" s="532" t="s">
        <v>343</v>
      </c>
      <c r="AA5415" s="540" t="e">
        <f>IF(AND(C5414&lt;=F5408,F5408&lt;&gt;""),VLOOKUP(VALUE(E5389&amp;","&amp;C5414),INTEGRANTES!$D$18:$F$235,2,0),"")</f>
        <v>#N/A</v>
      </c>
      <c r="AB5415" s="545" t="e">
        <f t="shared" si="1607"/>
        <v>#N/A</v>
      </c>
      <c r="AC5415" s="529"/>
      <c r="AD5415" s="200" t="e">
        <f t="shared" si="1608"/>
        <v>#N/A</v>
      </c>
      <c r="AE5415" s="52"/>
      <c r="AF5415" s="52"/>
      <c r="AG5415" s="52"/>
      <c r="AH5415" s="87"/>
      <c r="AI5415" s="87"/>
    </row>
    <row r="5416" spans="1:35" ht="16.5" hidden="1" customHeight="1" thickBot="1">
      <c r="A5416" s="218" t="e">
        <f>"T"&amp;E5389</f>
        <v>#N/A</v>
      </c>
      <c r="B5416" s="703"/>
      <c r="C5416" s="719"/>
      <c r="D5416" s="719"/>
      <c r="E5416" s="719"/>
      <c r="F5416" s="719"/>
      <c r="G5416" s="719"/>
      <c r="H5416" s="719" t="s">
        <v>110</v>
      </c>
      <c r="I5416" s="719"/>
      <c r="J5416" s="719"/>
      <c r="K5416" s="201" t="str">
        <f>IF(COUNTIF(K5410:K5415,"")=6,"",IF(COUNTIF(K5410:K5415,"CUMPLE")&gt;0,"CUMPLE","NO CUMPLE"))</f>
        <v>NO CUMPLE</v>
      </c>
      <c r="L5416" s="754"/>
      <c r="M5416" s="755"/>
      <c r="N5416" s="755"/>
      <c r="O5416" s="755"/>
      <c r="P5416" s="755"/>
      <c r="Q5416" s="756"/>
      <c r="R5416" s="461"/>
      <c r="S5416" s="462"/>
      <c r="T5416" s="463"/>
      <c r="U5416" s="219"/>
      <c r="V5416" s="464"/>
      <c r="Y5416" s="549" t="e">
        <f>IF(Y5410="NO APLICA","NO APLICA",IF(COUNTIF(AD5411:AD5416,"CUMPLE")&gt;0,"CUMPLE","NO CUMPLE"))</f>
        <v>#N/A</v>
      </c>
      <c r="AA5416" s="541" t="e">
        <f>IF(AND(C5415&lt;=F5408,F5408&lt;&gt;""),VLOOKUP(VALUE(E5389&amp;","&amp;C5415),INTEGRANTES!$D$18:$F$235,2,0),"")</f>
        <v>#N/A</v>
      </c>
      <c r="AB5416" s="546" t="e">
        <f t="shared" si="1607"/>
        <v>#N/A</v>
      </c>
      <c r="AC5416" s="543"/>
      <c r="AD5416" s="201" t="e">
        <f t="shared" si="1608"/>
        <v>#N/A</v>
      </c>
      <c r="AE5416" s="52"/>
      <c r="AF5416" s="52"/>
      <c r="AG5416" s="52"/>
      <c r="AH5416" s="87"/>
      <c r="AI5416" s="87"/>
    </row>
    <row r="5417" spans="1:35" hidden="1">
      <c r="AH5417" s="87"/>
      <c r="AI5417" s="87"/>
    </row>
    <row r="5418" spans="1:35" hidden="1">
      <c r="AH5418" s="87"/>
      <c r="AI5418" s="87"/>
    </row>
    <row r="5419" spans="1:35" ht="24" hidden="1" thickBot="1">
      <c r="A5419" s="61">
        <v>181</v>
      </c>
      <c r="B5419" s="704" t="s">
        <v>51</v>
      </c>
      <c r="C5419" s="704"/>
      <c r="D5419" s="704"/>
      <c r="E5419" s="62" t="e">
        <f>VLOOKUP(A5419,PROPONENTES!$B$19:$E$218,2,FALSE)</f>
        <v>#N/A</v>
      </c>
      <c r="F5419" s="63" t="e">
        <f>VLOOKUP(A5419,PROPONENTES!$B$19:$E$218,3,FALSE)</f>
        <v>#N/A</v>
      </c>
      <c r="G5419" s="64"/>
      <c r="H5419" s="64"/>
      <c r="I5419" s="63"/>
      <c r="J5419" s="63"/>
      <c r="K5419" s="65"/>
      <c r="L5419" s="65"/>
      <c r="M5419" s="64"/>
      <c r="N5419" s="64"/>
      <c r="O5419" s="66"/>
      <c r="P5419" s="66"/>
      <c r="Q5419" s="66"/>
      <c r="R5419" s="66"/>
      <c r="S5419" s="67"/>
      <c r="T5419" s="68"/>
      <c r="U5419" s="68"/>
      <c r="AC5419" s="68"/>
      <c r="AD5419" s="68"/>
      <c r="AE5419" s="68"/>
      <c r="AF5419" s="68"/>
      <c r="AG5419" s="68"/>
      <c r="AH5419" s="87"/>
      <c r="AI5419" s="87"/>
    </row>
    <row r="5420" spans="1:35" ht="15.75" hidden="1" customHeight="1">
      <c r="A5420" s="44"/>
      <c r="B5420" s="709" t="s">
        <v>59</v>
      </c>
      <c r="C5420" s="552" t="s">
        <v>60</v>
      </c>
      <c r="D5420" s="70" t="s">
        <v>17</v>
      </c>
      <c r="E5420" s="70"/>
      <c r="F5420" s="70" t="s">
        <v>61</v>
      </c>
      <c r="G5420" s="71"/>
      <c r="H5420" s="699" t="s">
        <v>62</v>
      </c>
      <c r="I5420" s="699" t="s">
        <v>18</v>
      </c>
      <c r="J5420" s="699" t="s">
        <v>63</v>
      </c>
      <c r="K5420" s="699" t="s">
        <v>64</v>
      </c>
      <c r="L5420" s="699" t="s">
        <v>65</v>
      </c>
      <c r="M5420" s="743" t="s">
        <v>66</v>
      </c>
      <c r="N5420" s="699" t="s">
        <v>282</v>
      </c>
      <c r="O5420" s="745" t="s">
        <v>67</v>
      </c>
      <c r="P5420" s="746"/>
      <c r="Q5420" s="102" t="s">
        <v>75</v>
      </c>
      <c r="R5420" s="731" t="s">
        <v>22</v>
      </c>
      <c r="S5420" s="732"/>
      <c r="T5420" s="733"/>
      <c r="U5420" s="712" t="s">
        <v>298</v>
      </c>
      <c r="W5420" s="690" t="s">
        <v>268</v>
      </c>
      <c r="X5420" s="691"/>
      <c r="Y5420" s="692"/>
      <c r="Z5420" s="428"/>
      <c r="AA5420" s="697" t="s">
        <v>315</v>
      </c>
      <c r="AB5420" s="695" t="s">
        <v>322</v>
      </c>
      <c r="AC5420" s="49"/>
      <c r="AD5420" s="690" t="s">
        <v>297</v>
      </c>
      <c r="AE5420" s="691"/>
      <c r="AF5420" s="692"/>
      <c r="AG5420" s="49"/>
      <c r="AH5420" s="87"/>
      <c r="AI5420" s="87"/>
    </row>
    <row r="5421" spans="1:35" ht="72" hidden="1">
      <c r="A5421" s="44"/>
      <c r="B5421" s="710"/>
      <c r="C5421" s="553" t="s">
        <v>68</v>
      </c>
      <c r="D5421" s="73" t="s">
        <v>3</v>
      </c>
      <c r="E5421" s="73" t="s">
        <v>19</v>
      </c>
      <c r="F5421" s="73" t="s">
        <v>69</v>
      </c>
      <c r="G5421" s="74" t="s">
        <v>70</v>
      </c>
      <c r="H5421" s="700"/>
      <c r="I5421" s="700"/>
      <c r="J5421" s="700"/>
      <c r="K5421" s="700"/>
      <c r="L5421" s="700"/>
      <c r="M5421" s="744"/>
      <c r="N5421" s="700"/>
      <c r="O5421" s="553" t="s">
        <v>279</v>
      </c>
      <c r="P5421" s="73" t="s">
        <v>88</v>
      </c>
      <c r="Q5421" s="555" t="s">
        <v>76</v>
      </c>
      <c r="R5421" s="734"/>
      <c r="S5421" s="735"/>
      <c r="T5421" s="736"/>
      <c r="U5421" s="712"/>
      <c r="W5421" s="429" t="s">
        <v>269</v>
      </c>
      <c r="X5421" s="457" t="s">
        <v>278</v>
      </c>
      <c r="Y5421" s="430" t="s">
        <v>324</v>
      </c>
      <c r="Z5421" s="428"/>
      <c r="AA5421" s="698"/>
      <c r="AB5421" s="696"/>
      <c r="AC5421" s="49"/>
      <c r="AD5421" s="429" t="s">
        <v>292</v>
      </c>
      <c r="AE5421" s="431" t="s">
        <v>300</v>
      </c>
      <c r="AF5421" s="468" t="s">
        <v>301</v>
      </c>
      <c r="AG5421" s="49"/>
      <c r="AH5421" s="87"/>
      <c r="AI5421" s="87"/>
    </row>
    <row r="5422" spans="1:35" hidden="1">
      <c r="A5422" s="44"/>
      <c r="B5422" s="76"/>
      <c r="C5422" s="77"/>
      <c r="D5422" s="77"/>
      <c r="E5422" s="77"/>
      <c r="F5422" s="77"/>
      <c r="G5422" s="77"/>
      <c r="H5422" s="77"/>
      <c r="I5422" s="77"/>
      <c r="J5422" s="77"/>
      <c r="K5422" s="77"/>
      <c r="L5422" s="77"/>
      <c r="M5422" s="77"/>
      <c r="N5422" s="77"/>
      <c r="O5422" s="77"/>
      <c r="P5422" s="77"/>
      <c r="Q5422" s="77"/>
      <c r="R5422" s="77"/>
      <c r="S5422" s="78"/>
      <c r="T5422" s="79"/>
      <c r="U5422" s="109"/>
      <c r="V5422" s="49"/>
      <c r="W5422" s="432"/>
      <c r="X5422" s="454"/>
      <c r="Y5422" s="433"/>
      <c r="Z5422" s="6"/>
      <c r="AA5422" s="500"/>
      <c r="AB5422" s="562"/>
      <c r="AC5422" s="49"/>
      <c r="AD5422" s="210"/>
      <c r="AE5422" s="434"/>
      <c r="AF5422" s="435"/>
      <c r="AG5422" s="49"/>
      <c r="AH5422" s="87"/>
      <c r="AI5422" s="87"/>
    </row>
    <row r="5423" spans="1:35" hidden="1">
      <c r="A5423" s="80" t="e">
        <f>"A"&amp;E5419</f>
        <v>#N/A</v>
      </c>
      <c r="B5423" s="81">
        <v>1</v>
      </c>
      <c r="C5423" s="82"/>
      <c r="D5423" s="82"/>
      <c r="E5423" s="82"/>
      <c r="F5423" s="82"/>
      <c r="G5423" s="83"/>
      <c r="H5423" s="83"/>
      <c r="I5423" s="84"/>
      <c r="J5423" s="85"/>
      <c r="K5423" s="382"/>
      <c r="L5423" s="85"/>
      <c r="M5423" s="332" t="str">
        <f t="shared" ref="M5423:M5432" si="1609">IF(OR(J5423="",L5423="",H5423="NO"),"",IF(OR(J5423&gt;$P$17,J5423&lt;$O$17,L5423&gt;$P$17,AND(J5423&lt;$O$17,L5423&lt;$O$17)),"FUERA DE RANGO",IF(OR(K5423="---",K5423=""),IF(J5423&gt;=$O$17,ROUND((L5423-J5423+1)/360*12,3),ROUND((L5423-$O$17+1)/360*12,3)),IF(J5423&gt;=$O$17,ROUND((L5423-J5423+1)/360*12-ROUND(K5423,3),3),ROUND((L5423-$O$17+1)/360*12-ROUND(K5423,3),3)))))</f>
        <v/>
      </c>
      <c r="N5423" s="86"/>
      <c r="O5423" s="453" t="str">
        <f>IF(OR(G5423="",N5423=""),"",N5423*G5423)</f>
        <v/>
      </c>
      <c r="P5423" s="538" t="str">
        <f>IF(OR(H5423="",M5423="FUERA DE RANGO"),"",IF(OR(L5423&lt;$O$17,L5423&gt;$P$17,L5423="",H5423="NO"),"",IF(OR(N5423="",O5423=""),"",ROUND(O5423,3))))</f>
        <v/>
      </c>
      <c r="Q5423" s="539" t="str">
        <f t="shared" ref="Q5423:Q5432" si="1610">IF(AND(H5423="SI",P5423&lt;&gt;""),ROUND(P5423/M5423,3),"")</f>
        <v/>
      </c>
      <c r="R5423" s="737"/>
      <c r="S5423" s="738"/>
      <c r="T5423" s="739"/>
      <c r="U5423" s="470"/>
      <c r="V5423" s="165"/>
      <c r="W5423" s="446"/>
      <c r="X5423" s="456"/>
      <c r="Y5423" s="436"/>
      <c r="Z5423" s="437"/>
      <c r="AA5423" s="560"/>
      <c r="AB5423" s="561"/>
      <c r="AC5423" s="87"/>
      <c r="AD5423" s="466"/>
      <c r="AE5423" s="456"/>
      <c r="AF5423" s="467"/>
      <c r="AG5423" s="87"/>
      <c r="AH5423" s="87"/>
      <c r="AI5423" s="87"/>
    </row>
    <row r="5424" spans="1:35" hidden="1">
      <c r="A5424" s="80" t="e">
        <f>"B"&amp;E5419</f>
        <v>#N/A</v>
      </c>
      <c r="B5424" s="81">
        <v>2</v>
      </c>
      <c r="C5424" s="106"/>
      <c r="D5424" s="106"/>
      <c r="E5424" s="106"/>
      <c r="F5424" s="106"/>
      <c r="G5424" s="83"/>
      <c r="H5424" s="83"/>
      <c r="I5424" s="84"/>
      <c r="J5424" s="85"/>
      <c r="K5424" s="382"/>
      <c r="L5424" s="85"/>
      <c r="M5424" s="332" t="str">
        <f t="shared" si="1609"/>
        <v/>
      </c>
      <c r="N5424" s="86"/>
      <c r="O5424" s="453" t="str">
        <f t="shared" ref="O5424:O5432" si="1611">IF(OR(G5424="",N5424=""),"",N5424*G5424)</f>
        <v/>
      </c>
      <c r="P5424" s="538" t="str">
        <f t="shared" ref="P5424:P5432" si="1612">IF(OR(H5424="",M5424="FUERA DE RANGO"),"",IF(OR(L5424&lt;$O$17,L5424&gt;$P$17,L5424="",H5424="NO"),"",IF(OR(N5424="",O5424=""),"",ROUND(O5424,3))))</f>
        <v/>
      </c>
      <c r="Q5424" s="539" t="str">
        <f t="shared" si="1610"/>
        <v/>
      </c>
      <c r="R5424" s="740"/>
      <c r="S5424" s="741"/>
      <c r="T5424" s="742"/>
      <c r="U5424" s="471"/>
      <c r="V5424" s="165"/>
      <c r="W5424" s="446"/>
      <c r="X5424" s="456"/>
      <c r="Y5424" s="436"/>
      <c r="Z5424" s="437"/>
      <c r="AA5424" s="560"/>
      <c r="AB5424" s="561"/>
      <c r="AC5424" s="87"/>
      <c r="AD5424" s="466"/>
      <c r="AE5424" s="456"/>
      <c r="AF5424" s="467"/>
      <c r="AG5424" s="87"/>
      <c r="AH5424" s="87"/>
      <c r="AI5424" s="87"/>
    </row>
    <row r="5425" spans="1:35" hidden="1">
      <c r="A5425" s="80" t="e">
        <f>"C"&amp;E5419</f>
        <v>#N/A</v>
      </c>
      <c r="B5425" s="88">
        <v>3</v>
      </c>
      <c r="C5425" s="82"/>
      <c r="D5425" s="82"/>
      <c r="E5425" s="82"/>
      <c r="F5425" s="82"/>
      <c r="G5425" s="83"/>
      <c r="H5425" s="83"/>
      <c r="I5425" s="84"/>
      <c r="J5425" s="85"/>
      <c r="K5425" s="382"/>
      <c r="L5425" s="85"/>
      <c r="M5425" s="332" t="str">
        <f t="shared" si="1609"/>
        <v/>
      </c>
      <c r="N5425" s="86"/>
      <c r="O5425" s="453" t="str">
        <f t="shared" si="1611"/>
        <v/>
      </c>
      <c r="P5425" s="538" t="str">
        <f t="shared" si="1612"/>
        <v/>
      </c>
      <c r="Q5425" s="539" t="str">
        <f t="shared" si="1610"/>
        <v/>
      </c>
      <c r="R5425" s="706"/>
      <c r="S5425" s="707"/>
      <c r="T5425" s="708"/>
      <c r="U5425" s="472"/>
      <c r="V5425" s="166"/>
      <c r="W5425" s="446"/>
      <c r="X5425" s="456"/>
      <c r="Y5425" s="436"/>
      <c r="Z5425" s="437"/>
      <c r="AA5425" s="560"/>
      <c r="AB5425" s="561"/>
      <c r="AC5425" s="87"/>
      <c r="AD5425" s="466"/>
      <c r="AE5425" s="456"/>
      <c r="AF5425" s="467"/>
      <c r="AG5425" s="87"/>
      <c r="AH5425" s="87"/>
      <c r="AI5425" s="87"/>
    </row>
    <row r="5426" spans="1:35" hidden="1">
      <c r="A5426" s="80" t="e">
        <f>"D"&amp;E5419</f>
        <v>#N/A</v>
      </c>
      <c r="B5426" s="105">
        <v>4</v>
      </c>
      <c r="C5426" s="107"/>
      <c r="D5426" s="107"/>
      <c r="E5426" s="107"/>
      <c r="F5426" s="107"/>
      <c r="G5426" s="83"/>
      <c r="H5426" s="83"/>
      <c r="I5426" s="84"/>
      <c r="J5426" s="85"/>
      <c r="K5426" s="382"/>
      <c r="L5426" s="85"/>
      <c r="M5426" s="332" t="str">
        <f t="shared" si="1609"/>
        <v/>
      </c>
      <c r="N5426" s="86"/>
      <c r="O5426" s="453" t="str">
        <f t="shared" si="1611"/>
        <v/>
      </c>
      <c r="P5426" s="538" t="str">
        <f t="shared" si="1612"/>
        <v/>
      </c>
      <c r="Q5426" s="539" t="str">
        <f t="shared" si="1610"/>
        <v/>
      </c>
      <c r="R5426" s="706"/>
      <c r="S5426" s="707"/>
      <c r="T5426" s="708"/>
      <c r="U5426" s="472"/>
      <c r="V5426" s="166"/>
      <c r="W5426" s="446"/>
      <c r="X5426" s="456"/>
      <c r="Y5426" s="436"/>
      <c r="Z5426" s="437"/>
      <c r="AA5426" s="560"/>
      <c r="AB5426" s="561"/>
      <c r="AC5426" s="87"/>
      <c r="AD5426" s="466"/>
      <c r="AE5426" s="456"/>
      <c r="AF5426" s="467"/>
      <c r="AG5426" s="87"/>
      <c r="AH5426" s="87"/>
      <c r="AI5426" s="87"/>
    </row>
    <row r="5427" spans="1:35" hidden="1">
      <c r="A5427" s="80" t="e">
        <f>"E"&amp;E5419</f>
        <v>#N/A</v>
      </c>
      <c r="B5427" s="105">
        <v>5</v>
      </c>
      <c r="C5427" s="107"/>
      <c r="D5427" s="107"/>
      <c r="E5427" s="107"/>
      <c r="F5427" s="107"/>
      <c r="G5427" s="83"/>
      <c r="H5427" s="83"/>
      <c r="I5427" s="84"/>
      <c r="J5427" s="85"/>
      <c r="K5427" s="382"/>
      <c r="L5427" s="85"/>
      <c r="M5427" s="332" t="str">
        <f t="shared" si="1609"/>
        <v/>
      </c>
      <c r="N5427" s="86"/>
      <c r="O5427" s="453" t="str">
        <f t="shared" si="1611"/>
        <v/>
      </c>
      <c r="P5427" s="538" t="str">
        <f t="shared" si="1612"/>
        <v/>
      </c>
      <c r="Q5427" s="539" t="str">
        <f t="shared" si="1610"/>
        <v/>
      </c>
      <c r="R5427" s="706"/>
      <c r="S5427" s="707"/>
      <c r="T5427" s="708"/>
      <c r="U5427" s="472"/>
      <c r="V5427" s="167"/>
      <c r="W5427" s="446"/>
      <c r="X5427" s="456"/>
      <c r="Y5427" s="436"/>
      <c r="Z5427" s="437"/>
      <c r="AA5427" s="560"/>
      <c r="AB5427" s="561"/>
      <c r="AC5427" s="87"/>
      <c r="AD5427" s="466"/>
      <c r="AE5427" s="456"/>
      <c r="AF5427" s="467"/>
      <c r="AG5427" s="87"/>
      <c r="AH5427" s="87"/>
      <c r="AI5427" s="87"/>
    </row>
    <row r="5428" spans="1:35" hidden="1">
      <c r="A5428" s="80" t="e">
        <f>"F"&amp;E5419</f>
        <v>#N/A</v>
      </c>
      <c r="B5428" s="105">
        <v>6</v>
      </c>
      <c r="C5428" s="107"/>
      <c r="D5428" s="107"/>
      <c r="E5428" s="107"/>
      <c r="F5428" s="107"/>
      <c r="G5428" s="83"/>
      <c r="H5428" s="83"/>
      <c r="I5428" s="84"/>
      <c r="J5428" s="85"/>
      <c r="K5428" s="382"/>
      <c r="L5428" s="85"/>
      <c r="M5428" s="332" t="str">
        <f t="shared" si="1609"/>
        <v/>
      </c>
      <c r="N5428" s="86"/>
      <c r="O5428" s="453" t="str">
        <f t="shared" si="1611"/>
        <v/>
      </c>
      <c r="P5428" s="538" t="str">
        <f t="shared" si="1612"/>
        <v/>
      </c>
      <c r="Q5428" s="539" t="str">
        <f t="shared" si="1610"/>
        <v/>
      </c>
      <c r="R5428" s="706"/>
      <c r="S5428" s="707"/>
      <c r="T5428" s="708"/>
      <c r="U5428" s="472"/>
      <c r="V5428" s="167"/>
      <c r="W5428" s="446"/>
      <c r="X5428" s="456"/>
      <c r="Y5428" s="436"/>
      <c r="Z5428" s="437"/>
      <c r="AA5428" s="560"/>
      <c r="AB5428" s="561"/>
      <c r="AC5428" s="87"/>
      <c r="AD5428" s="466"/>
      <c r="AE5428" s="456"/>
      <c r="AF5428" s="467"/>
      <c r="AG5428" s="87"/>
      <c r="AH5428" s="87"/>
      <c r="AI5428" s="87"/>
    </row>
    <row r="5429" spans="1:35" hidden="1">
      <c r="A5429" s="80" t="e">
        <f>"G"&amp;E5419</f>
        <v>#N/A</v>
      </c>
      <c r="B5429" s="105">
        <v>7</v>
      </c>
      <c r="C5429" s="107"/>
      <c r="D5429" s="107"/>
      <c r="E5429" s="107"/>
      <c r="F5429" s="107"/>
      <c r="G5429" s="83"/>
      <c r="H5429" s="83"/>
      <c r="I5429" s="84"/>
      <c r="J5429" s="85"/>
      <c r="K5429" s="382"/>
      <c r="L5429" s="85"/>
      <c r="M5429" s="332" t="str">
        <f t="shared" si="1609"/>
        <v/>
      </c>
      <c r="N5429" s="86"/>
      <c r="O5429" s="86" t="str">
        <f t="shared" si="1611"/>
        <v/>
      </c>
      <c r="P5429" s="538" t="str">
        <f t="shared" si="1612"/>
        <v/>
      </c>
      <c r="Q5429" s="539" t="str">
        <f t="shared" si="1610"/>
        <v/>
      </c>
      <c r="R5429" s="706"/>
      <c r="S5429" s="707"/>
      <c r="T5429" s="708"/>
      <c r="U5429" s="472"/>
      <c r="V5429" s="167"/>
      <c r="W5429" s="446"/>
      <c r="X5429" s="456"/>
      <c r="Y5429" s="436"/>
      <c r="Z5429" s="437"/>
      <c r="AA5429" s="560"/>
      <c r="AB5429" s="561"/>
      <c r="AC5429" s="87"/>
      <c r="AD5429" s="466"/>
      <c r="AE5429" s="456"/>
      <c r="AF5429" s="467"/>
      <c r="AG5429" s="87"/>
      <c r="AH5429" s="87"/>
      <c r="AI5429" s="87"/>
    </row>
    <row r="5430" spans="1:35" hidden="1">
      <c r="A5430" s="80" t="e">
        <f>"H"&amp;E5419</f>
        <v>#N/A</v>
      </c>
      <c r="B5430" s="105">
        <v>8</v>
      </c>
      <c r="C5430" s="107"/>
      <c r="D5430" s="107"/>
      <c r="E5430" s="107"/>
      <c r="F5430" s="107"/>
      <c r="G5430" s="83"/>
      <c r="H5430" s="83"/>
      <c r="I5430" s="84"/>
      <c r="J5430" s="85"/>
      <c r="K5430" s="382"/>
      <c r="L5430" s="85"/>
      <c r="M5430" s="332" t="str">
        <f t="shared" si="1609"/>
        <v/>
      </c>
      <c r="N5430" s="453"/>
      <c r="O5430" s="86" t="str">
        <f t="shared" si="1611"/>
        <v/>
      </c>
      <c r="P5430" s="538" t="str">
        <f t="shared" si="1612"/>
        <v/>
      </c>
      <c r="Q5430" s="539" t="str">
        <f t="shared" si="1610"/>
        <v/>
      </c>
      <c r="R5430" s="706"/>
      <c r="S5430" s="707"/>
      <c r="T5430" s="708"/>
      <c r="U5430" s="472"/>
      <c r="V5430" s="167"/>
      <c r="W5430" s="446"/>
      <c r="X5430" s="456"/>
      <c r="Y5430" s="436"/>
      <c r="Z5430" s="437"/>
      <c r="AA5430" s="560"/>
      <c r="AB5430" s="561"/>
      <c r="AC5430" s="87"/>
      <c r="AD5430" s="466"/>
      <c r="AE5430" s="456"/>
      <c r="AF5430" s="467"/>
      <c r="AG5430" s="87"/>
      <c r="AH5430" s="87"/>
      <c r="AI5430" s="87"/>
    </row>
    <row r="5431" spans="1:35" hidden="1">
      <c r="A5431" s="80" t="e">
        <f>"I"&amp;E5419</f>
        <v>#N/A</v>
      </c>
      <c r="B5431" s="105">
        <v>9</v>
      </c>
      <c r="C5431" s="107"/>
      <c r="D5431" s="107"/>
      <c r="E5431" s="107"/>
      <c r="F5431" s="107"/>
      <c r="G5431" s="83"/>
      <c r="H5431" s="83"/>
      <c r="I5431" s="84"/>
      <c r="J5431" s="85"/>
      <c r="K5431" s="382"/>
      <c r="L5431" s="85"/>
      <c r="M5431" s="332" t="str">
        <f t="shared" si="1609"/>
        <v/>
      </c>
      <c r="N5431" s="453"/>
      <c r="O5431" s="86" t="str">
        <f t="shared" si="1611"/>
        <v/>
      </c>
      <c r="P5431" s="538" t="str">
        <f t="shared" si="1612"/>
        <v/>
      </c>
      <c r="Q5431" s="539" t="str">
        <f t="shared" si="1610"/>
        <v/>
      </c>
      <c r="R5431" s="706"/>
      <c r="S5431" s="707"/>
      <c r="T5431" s="708"/>
      <c r="U5431" s="472"/>
      <c r="V5431" s="167"/>
      <c r="W5431" s="446"/>
      <c r="X5431" s="456"/>
      <c r="Y5431" s="436"/>
      <c r="Z5431" s="437"/>
      <c r="AA5431" s="560"/>
      <c r="AB5431" s="561"/>
      <c r="AC5431" s="87"/>
      <c r="AD5431" s="466"/>
      <c r="AE5431" s="456"/>
      <c r="AF5431" s="467"/>
      <c r="AG5431" s="87"/>
      <c r="AH5431" s="87"/>
      <c r="AI5431" s="87"/>
    </row>
    <row r="5432" spans="1:35" hidden="1">
      <c r="A5432" s="80" t="e">
        <f>"J"&amp;E5419</f>
        <v>#N/A</v>
      </c>
      <c r="B5432" s="105">
        <v>10</v>
      </c>
      <c r="C5432" s="107"/>
      <c r="D5432" s="107"/>
      <c r="E5432" s="107"/>
      <c r="F5432" s="107"/>
      <c r="G5432" s="83"/>
      <c r="H5432" s="83"/>
      <c r="I5432" s="84"/>
      <c r="J5432" s="85"/>
      <c r="K5432" s="382"/>
      <c r="L5432" s="85"/>
      <c r="M5432" s="332" t="str">
        <f t="shared" si="1609"/>
        <v/>
      </c>
      <c r="N5432" s="453"/>
      <c r="O5432" s="86" t="str">
        <f t="shared" si="1611"/>
        <v/>
      </c>
      <c r="P5432" s="538" t="str">
        <f t="shared" si="1612"/>
        <v/>
      </c>
      <c r="Q5432" s="539" t="str">
        <f t="shared" si="1610"/>
        <v/>
      </c>
      <c r="R5432" s="706"/>
      <c r="S5432" s="707"/>
      <c r="T5432" s="708"/>
      <c r="U5432" s="472"/>
      <c r="V5432" s="167"/>
      <c r="W5432" s="446"/>
      <c r="X5432" s="456"/>
      <c r="Y5432" s="436"/>
      <c r="Z5432" s="437"/>
      <c r="AA5432" s="560"/>
      <c r="AB5432" s="561"/>
      <c r="AC5432" s="87"/>
      <c r="AD5432" s="466"/>
      <c r="AE5432" s="456"/>
      <c r="AF5432" s="467"/>
      <c r="AG5432" s="87"/>
      <c r="AH5432" s="87"/>
      <c r="AI5432" s="87"/>
    </row>
    <row r="5433" spans="1:35" ht="16.5" hidden="1" thickBot="1">
      <c r="A5433" s="44"/>
      <c r="B5433" s="89"/>
      <c r="C5433" s="90"/>
      <c r="D5433" s="90"/>
      <c r="E5433" s="90"/>
      <c r="F5433" s="90"/>
      <c r="G5433" s="90"/>
      <c r="H5433" s="90"/>
      <c r="I5433" s="90"/>
      <c r="J5433" s="90"/>
      <c r="K5433" s="90"/>
      <c r="L5433" s="90"/>
      <c r="M5433" s="90"/>
      <c r="N5433" s="90"/>
      <c r="O5433" s="90"/>
      <c r="P5433" s="90"/>
      <c r="Q5433" s="90"/>
      <c r="R5433" s="90"/>
      <c r="S5433" s="91"/>
      <c r="T5433" s="92"/>
      <c r="U5433" s="473"/>
      <c r="W5433" s="438"/>
      <c r="X5433" s="455"/>
      <c r="Y5433" s="439"/>
      <c r="Z5433" s="437"/>
      <c r="AA5433" s="530"/>
      <c r="AB5433" s="563"/>
      <c r="AC5433" s="87"/>
      <c r="AD5433" s="440"/>
      <c r="AE5433" s="441"/>
      <c r="AF5433" s="442"/>
      <c r="AG5433" s="49"/>
      <c r="AH5433" s="87"/>
      <c r="AI5433" s="87"/>
    </row>
    <row r="5434" spans="1:35" ht="16.5" hidden="1" thickBot="1">
      <c r="A5434" s="93"/>
      <c r="B5434" s="94"/>
      <c r="C5434" s="96"/>
      <c r="D5434" s="96"/>
      <c r="E5434" s="96"/>
      <c r="F5434" s="96"/>
      <c r="G5434" s="96"/>
      <c r="H5434" s="96"/>
      <c r="I5434" s="96"/>
      <c r="J5434" s="96"/>
      <c r="K5434" s="96"/>
      <c r="L5434" s="96"/>
      <c r="M5434" s="136"/>
      <c r="N5434" s="96"/>
      <c r="O5434" s="96"/>
      <c r="P5434" s="97"/>
      <c r="Q5434" s="97"/>
      <c r="R5434" s="98"/>
      <c r="S5434" s="95"/>
      <c r="T5434" s="99"/>
      <c r="U5434" s="469"/>
      <c r="AC5434" s="58"/>
      <c r="AG5434" s="58"/>
      <c r="AH5434" s="87"/>
      <c r="AI5434" s="87"/>
    </row>
    <row r="5435" spans="1:35" ht="16.5" hidden="1" thickBot="1">
      <c r="B5435" s="101"/>
      <c r="C5435" s="101"/>
      <c r="D5435" s="101"/>
      <c r="E5435" s="101"/>
      <c r="F5435" s="101"/>
      <c r="G5435" s="101"/>
      <c r="H5435" s="101"/>
      <c r="I5435" s="101"/>
      <c r="J5435" s="101"/>
      <c r="K5435" s="101"/>
      <c r="L5435" s="101"/>
      <c r="M5435" s="101"/>
      <c r="N5435" s="101"/>
      <c r="O5435" s="101"/>
      <c r="P5435" s="101"/>
      <c r="Q5435" s="101"/>
      <c r="R5435" s="101"/>
      <c r="S5435" s="101"/>
      <c r="U5435" s="50"/>
      <c r="AH5435" s="87"/>
      <c r="AI5435" s="87"/>
    </row>
    <row r="5436" spans="1:35" ht="16.5" hidden="1" customHeight="1" thickBot="1">
      <c r="A5436" s="44"/>
      <c r="B5436" s="705" t="s">
        <v>74</v>
      </c>
      <c r="C5436" s="705"/>
      <c r="D5436" s="705"/>
      <c r="E5436" s="705"/>
      <c r="F5436" s="705"/>
      <c r="G5436" s="705"/>
      <c r="H5436" s="705"/>
      <c r="I5436" s="705"/>
      <c r="J5436" s="705"/>
      <c r="K5436" s="705"/>
      <c r="L5436" s="705"/>
      <c r="M5436" s="705"/>
      <c r="N5436" s="705"/>
      <c r="O5436" s="705"/>
      <c r="P5436" s="705"/>
      <c r="Q5436" s="705"/>
      <c r="R5436" s="705"/>
      <c r="S5436" s="705"/>
      <c r="T5436" s="705"/>
      <c r="U5436" s="108"/>
      <c r="Y5436" s="532" t="s">
        <v>341</v>
      </c>
      <c r="AC5436" s="49"/>
      <c r="AD5436" s="687" t="s">
        <v>302</v>
      </c>
      <c r="AE5436" s="688"/>
      <c r="AF5436" s="689"/>
      <c r="AG5436" s="49"/>
      <c r="AH5436" s="87"/>
      <c r="AI5436" s="87"/>
    </row>
    <row r="5437" spans="1:35" ht="16.5" hidden="1" customHeight="1" thickBot="1">
      <c r="A5437" s="218" t="e">
        <f>"K"&amp;E5419</f>
        <v>#N/A</v>
      </c>
      <c r="B5437" s="701" t="s">
        <v>71</v>
      </c>
      <c r="C5437" s="751" t="s">
        <v>102</v>
      </c>
      <c r="D5437" s="751"/>
      <c r="E5437" s="751"/>
      <c r="F5437" s="751"/>
      <c r="G5437" s="751"/>
      <c r="H5437" s="751"/>
      <c r="I5437" s="751"/>
      <c r="J5437" s="751"/>
      <c r="K5437" s="751"/>
      <c r="L5437" s="722" t="s">
        <v>100</v>
      </c>
      <c r="M5437" s="747" t="s">
        <v>114</v>
      </c>
      <c r="N5437" s="747"/>
      <c r="O5437" s="747"/>
      <c r="P5437" s="747"/>
      <c r="Q5437" s="748"/>
      <c r="R5437" s="758" t="s">
        <v>280</v>
      </c>
      <c r="S5437" s="748"/>
      <c r="T5437" s="762" t="str">
        <f>IF(COUNTIF(AE5437:AF5437,"VERIFICAR")&gt;0,"VERIFICAR",IF(COUNTIF(AE5437:AF5437,"NO CUMPLE")&gt;0,"NO CUMPLE","CUMPLE"))</f>
        <v>VERIFICAR</v>
      </c>
      <c r="U5437" s="108"/>
      <c r="Y5437" s="533" t="e">
        <f>IF(F5438="","",IF(F5438=1,"INDIVIDUAL","ESTRUCTURA PLURAL"))</f>
        <v>#N/A</v>
      </c>
      <c r="AC5437" s="52"/>
      <c r="AD5437" s="475" t="s">
        <v>303</v>
      </c>
      <c r="AE5437" s="476" t="str">
        <f>IF(COUNTIF(AE5423:AE5432,"")=10,"VERIFICAR",IF(COUNTIF(AE5423:AE5432,"SI")&gt;0,"CUMPLE","NO CUMPLE"))</f>
        <v>VERIFICAR</v>
      </c>
      <c r="AF5437" s="477" t="str">
        <f>IF(COUNTIF(AF5423:AF5432,"")=10,"VERIFICAR",IF(COUNTIF(AF5423:AF5432,"SI")&gt;=$AI$22,"CUMPLE","NO CUMPLE"))</f>
        <v>VERIFICAR</v>
      </c>
      <c r="AG5437" s="52"/>
      <c r="AH5437" s="87"/>
      <c r="AI5437" s="87"/>
    </row>
    <row r="5438" spans="1:35" ht="15.75" hidden="1" customHeight="1" thickBot="1">
      <c r="A5438" s="218" t="e">
        <f>"L"&amp;E5419</f>
        <v>#N/A</v>
      </c>
      <c r="B5438" s="702"/>
      <c r="C5438" s="751" t="s">
        <v>103</v>
      </c>
      <c r="D5438" s="751"/>
      <c r="E5438" s="752"/>
      <c r="F5438" s="557" t="e">
        <f>IF(VLOOKUP(E5419,PROPONENTES!$C$19:$E$218,3,0)="","",VLOOKUP(E5419,PROPONENTES!$C$19:$E$218,3,0))</f>
        <v>#N/A</v>
      </c>
      <c r="G5438" s="753" t="s">
        <v>104</v>
      </c>
      <c r="H5438" s="751"/>
      <c r="I5438" s="715" t="e">
        <f>IF(OR(F5438="",F5438=1),"INTERESADO PERSONA NATURAL O JURIDICA","CONSORCIO O UNION TEMPORAL")</f>
        <v>#N/A</v>
      </c>
      <c r="J5438" s="725"/>
      <c r="K5438" s="728"/>
      <c r="L5438" s="723"/>
      <c r="M5438" s="749"/>
      <c r="N5438" s="749"/>
      <c r="O5438" s="749"/>
      <c r="P5438" s="749"/>
      <c r="Q5438" s="750"/>
      <c r="R5438" s="712"/>
      <c r="S5438" s="750"/>
      <c r="T5438" s="763"/>
      <c r="U5438" s="108"/>
      <c r="Y5438" s="534"/>
      <c r="AA5438" s="52"/>
      <c r="AB5438" s="52"/>
      <c r="AC5438" s="52"/>
      <c r="AG5438" s="52"/>
      <c r="AH5438" s="87"/>
      <c r="AI5438" s="87"/>
    </row>
    <row r="5439" spans="1:35" ht="56.25" hidden="1" customHeight="1" thickBot="1">
      <c r="A5439" s="218" t="e">
        <f>"M"&amp;E5419</f>
        <v>#N/A</v>
      </c>
      <c r="B5439" s="702"/>
      <c r="C5439" s="725" t="s">
        <v>101</v>
      </c>
      <c r="D5439" s="716"/>
      <c r="E5439" s="558" t="s">
        <v>105</v>
      </c>
      <c r="F5439" s="554" t="s">
        <v>87</v>
      </c>
      <c r="G5439" s="553" t="s">
        <v>86</v>
      </c>
      <c r="H5439" s="559" t="s">
        <v>85</v>
      </c>
      <c r="I5439" s="554" t="s">
        <v>252</v>
      </c>
      <c r="J5439" s="553" t="str">
        <f>"¿EL INTEGRANTE TIENE UNA PARTICIPACIÓN DEL "&amp;PORCREQUERIDOINT*100&amp;"%?"</f>
        <v>¿EL INTEGRANTE TIENE UNA PARTICIPACIÓN DEL 60%?</v>
      </c>
      <c r="K5439" s="554" t="s">
        <v>107</v>
      </c>
      <c r="L5439" s="724"/>
      <c r="M5439" s="717" t="s">
        <v>115</v>
      </c>
      <c r="N5439" s="718"/>
      <c r="O5439" s="718"/>
      <c r="P5439" s="718"/>
      <c r="Q5439" s="223">
        <f>IF(AND(H5423="SI",P5423&gt;=0),1,0)+IF(AND(H5424="SI",P5424&gt;=0),1,0)+IF(AND(H5425="SI",P5425&gt;=0),1,0)+IF(AND(H5426="SI",P5426&gt;=0),1,0)+IF(AND(H5427="SI",P5427&gt;=0),1,0)+IF(AND(H5428="SI",P5428&gt;=0),1,0)+IF(AND(H5429="SI",P5429&gt;=0),1,0)+IF(AND(H5430="SI",P5430&gt;=0),1,0)+IF(AND(H5431="SI",P5431&gt;=0),1,0)+IF(AND(H5432="SI",P5432&gt;=0),1,0)</f>
        <v>0</v>
      </c>
      <c r="R5439" s="759"/>
      <c r="S5439" s="761"/>
      <c r="T5439" s="764"/>
      <c r="U5439" s="219"/>
      <c r="V5439" s="464"/>
      <c r="Y5439" s="532" t="s">
        <v>342</v>
      </c>
      <c r="AA5439" s="550" t="s">
        <v>344</v>
      </c>
      <c r="AB5439" s="693" t="s">
        <v>345</v>
      </c>
      <c r="AC5439" s="693" t="s">
        <v>346</v>
      </c>
      <c r="AD5439" s="685" t="s">
        <v>347</v>
      </c>
      <c r="AE5439" s="52"/>
      <c r="AF5439" s="52"/>
      <c r="AG5439" s="52"/>
      <c r="AH5439" s="87"/>
      <c r="AI5439" s="87"/>
    </row>
    <row r="5440" spans="1:35" ht="15.75" hidden="1" customHeight="1" thickBot="1">
      <c r="A5440" s="218" t="e">
        <f>"N"&amp;E5419</f>
        <v>#N/A</v>
      </c>
      <c r="B5440" s="702"/>
      <c r="C5440" s="114">
        <v>1</v>
      </c>
      <c r="D5440" s="194" t="e">
        <f>IF(AND(C5440&lt;=F5438,F5438&gt;1,F5438&lt;&gt;""),VLOOKUP(VALUE(E5419&amp;","&amp;C5440),INTEGRANTES!$D$18:$F$235,2,0),"")</f>
        <v>#N/A</v>
      </c>
      <c r="E5440" s="211" t="e">
        <f>IF(D5440&lt;&gt;"",VLOOKUP(VALUE(E5419&amp;","&amp;C5440),INTEGRANTES!$D$18:$F$235,3,0),"")</f>
        <v>#N/A</v>
      </c>
      <c r="F5440" s="547" t="e">
        <f>IF(D5440="","",SUMIF($I5423:$I5432,D5440,$P5423:$P5432))</f>
        <v>#N/A</v>
      </c>
      <c r="G5440" s="333" t="e">
        <f>IF(D5440="","",SUMIF($I5423:$I5432,D5440,$M5423:$M5432))</f>
        <v>#N/A</v>
      </c>
      <c r="H5440" s="535" t="e">
        <f t="shared" ref="H5440:H5445" si="1613">IF(D5440="","",IF(OR(F5440=0,G5440=0),"NO APORTA",ROUND($F5440/$G5440,3)))</f>
        <v>#N/A</v>
      </c>
      <c r="I5440" s="212" t="e">
        <f>IF(D5440="","",IF(H5440="NO APORTA","NO",IF(H5440=MAX($H5440:$H5445),"SI","NO")))</f>
        <v>#N/A</v>
      </c>
      <c r="J5440" s="213" t="e">
        <f t="shared" ref="J5440:J5445" si="1614">IF(D5440="","",IF(E5440&gt;=PORCREQUERIDOINT,"SI","NO"))</f>
        <v>#N/A</v>
      </c>
      <c r="K5440" s="200" t="e">
        <f t="shared" ref="K5440:K5445" si="1615">IF(D5440="","",IF(AND(I5440="SI",J5440="SI"),"CUMPLE",IF(AND(I5440="NO",OR(J5440="SI",J5440="NO")),"","NO CUMPLE")))</f>
        <v>#N/A</v>
      </c>
      <c r="L5440" s="722" t="s">
        <v>108</v>
      </c>
      <c r="M5440" s="726" t="s">
        <v>119</v>
      </c>
      <c r="N5440" s="726"/>
      <c r="O5440" s="726"/>
      <c r="P5440" s="726"/>
      <c r="Q5440" s="727"/>
      <c r="R5440" s="758" t="s">
        <v>80</v>
      </c>
      <c r="S5440" s="747"/>
      <c r="T5440" s="748"/>
      <c r="U5440" s="219"/>
      <c r="V5440" s="464"/>
      <c r="Y5440" s="533" t="e">
        <f>IF(Y5437="","",IF(Y5437="INDIVIDUAL","NO APLICA","VERIFICAR CUADRO"))</f>
        <v>#N/A</v>
      </c>
      <c r="AA5440" s="551"/>
      <c r="AB5440" s="694"/>
      <c r="AC5440" s="694"/>
      <c r="AD5440" s="686"/>
      <c r="AE5440" s="52"/>
      <c r="AF5440" s="52"/>
      <c r="AG5440" s="52"/>
      <c r="AH5440" s="87"/>
      <c r="AI5440" s="87"/>
    </row>
    <row r="5441" spans="1:35" ht="27" hidden="1" customHeight="1" thickBot="1">
      <c r="A5441" s="218" t="e">
        <f>"O"&amp;E5419</f>
        <v>#N/A</v>
      </c>
      <c r="B5441" s="702"/>
      <c r="C5441" s="114">
        <v>2</v>
      </c>
      <c r="D5441" s="194" t="e">
        <f>IF(AND(C5441&lt;=F5438,F5438&lt;&gt;""),VLOOKUP(VALUE(E5419&amp;","&amp;C5441),INTEGRANTES!$D$18:$F$235,2,0),"")</f>
        <v>#N/A</v>
      </c>
      <c r="E5441" s="211" t="e">
        <f>IF(D5441&lt;&gt;"",VLOOKUP(VALUE(E5419&amp;","&amp;C5441),INTEGRANTES!$D$18:$F$235,3,0),"")</f>
        <v>#N/A</v>
      </c>
      <c r="F5441" s="547" t="e">
        <f>IF(D5441="","",SUMIF($I5423:$I5432,D5441,$P5423:$P5432))</f>
        <v>#N/A</v>
      </c>
      <c r="G5441" s="333" t="e">
        <f>IF(D5441="","",SUMIF($I5423:$I5432,D5441,$M5423:$M5432))</f>
        <v>#N/A</v>
      </c>
      <c r="H5441" s="535" t="e">
        <f t="shared" si="1613"/>
        <v>#N/A</v>
      </c>
      <c r="I5441" s="212" t="e">
        <f>IF(D5441="","",IF(H5441="NO APORTA","NO",IF(H5441=MAX($H5440:$H5445),"SI","NO")))</f>
        <v>#N/A</v>
      </c>
      <c r="J5441" s="213" t="e">
        <f t="shared" si="1614"/>
        <v>#N/A</v>
      </c>
      <c r="K5441" s="200" t="e">
        <f t="shared" si="1615"/>
        <v>#N/A</v>
      </c>
      <c r="L5441" s="723"/>
      <c r="M5441" s="715" t="s">
        <v>116</v>
      </c>
      <c r="N5441" s="716"/>
      <c r="O5441" s="556" t="s">
        <v>113</v>
      </c>
      <c r="P5441" s="715" t="s">
        <v>117</v>
      </c>
      <c r="Q5441" s="728"/>
      <c r="R5441" s="759"/>
      <c r="S5441" s="760"/>
      <c r="T5441" s="761"/>
      <c r="U5441" s="219"/>
      <c r="V5441" s="464"/>
      <c r="Y5441" s="414"/>
      <c r="AA5441" s="542" t="e">
        <f>IF(AND(C5440&lt;=F5438,F5438&gt;1,F5438&lt;&gt;""),VLOOKUP(VALUE(E5419&amp;","&amp;C5440),INTEGRANTES!$D$18:$F$235,2,0),"")</f>
        <v>#N/A</v>
      </c>
      <c r="AB5441" s="544" t="e">
        <f t="shared" ref="AB5441:AB5446" si="1616">IF(D5440="","",IF(OR(F5440=0,G5440=0),"NO APORTA",ROUND($F5440/$G5440,3)))</f>
        <v>#N/A</v>
      </c>
      <c r="AC5441" s="529"/>
      <c r="AD5441" s="200" t="e">
        <f t="shared" ref="AD5441:AD5446" si="1617">IF(OR(AA5441="",AB5441=""),"",IF(AND(AC5441="X",AB5441&gt;=EXPREQVTD),"CUMPLE","NO CUMPLE"))</f>
        <v>#N/A</v>
      </c>
      <c r="AE5441" s="52"/>
      <c r="AF5441" s="52"/>
      <c r="AG5441" s="52"/>
      <c r="AH5441" s="87"/>
      <c r="AI5441" s="87"/>
    </row>
    <row r="5442" spans="1:35" ht="16.5" hidden="1" thickBot="1">
      <c r="A5442" s="218" t="e">
        <f>"P"&amp;E5419</f>
        <v>#N/A</v>
      </c>
      <c r="B5442" s="702"/>
      <c r="C5442" s="114">
        <v>3</v>
      </c>
      <c r="D5442" s="194" t="e">
        <f>IF(AND(C5442&lt;=F5438,F5438&lt;&gt;""),VLOOKUP(VALUE(E5419&amp;","&amp;C5442),INTEGRANTES!$D$18:$F$235,2,0),"")</f>
        <v>#N/A</v>
      </c>
      <c r="E5442" s="211" t="e">
        <f>IF(D5442&lt;&gt;"",VLOOKUP(VALUE(E5419&amp;","&amp;C5442),INTEGRANTES!$D$18:$F$235,3,0),"")</f>
        <v>#N/A</v>
      </c>
      <c r="F5442" s="547" t="e">
        <f>IF(D5442="","",SUMIF($I5423:$I5432,D5442,$P5423:$P5432))</f>
        <v>#N/A</v>
      </c>
      <c r="G5442" s="333" t="e">
        <f>IF(D5442="","",SUMIF($I5423:$I5432,D5442,$M5423:$M5432))</f>
        <v>#N/A</v>
      </c>
      <c r="H5442" s="535" t="e">
        <f t="shared" si="1613"/>
        <v>#N/A</v>
      </c>
      <c r="I5442" s="212" t="e">
        <f>IF(D5442="","",IF(H5442="NO APORTA","NO",IF(H5442=MAX($H5440:$H5445),"SI","NO")))</f>
        <v>#N/A</v>
      </c>
      <c r="J5442" s="213" t="e">
        <f t="shared" si="1614"/>
        <v>#N/A</v>
      </c>
      <c r="K5442" s="200" t="e">
        <f t="shared" si="1615"/>
        <v>#N/A</v>
      </c>
      <c r="L5442" s="724"/>
      <c r="M5442" s="729">
        <f>NUMMOD</f>
        <v>1</v>
      </c>
      <c r="N5442" s="730"/>
      <c r="O5442" s="443">
        <f>IF(M5442="","",VLOOKUP(M5442,PRESUPUESTOS!$B$16:$H$16,5,FALSE))</f>
        <v>2</v>
      </c>
      <c r="P5442" s="713">
        <f>IF(OR(COUNTIF(M5423:M5432,"")&gt;=10,Q5439&lt;NUMMINCONT,OR(T5437="NO CUMPLE",T5437="VERIFICAR")),0,ROUND(AVERAGE(M5423:M5432),3))</f>
        <v>0</v>
      </c>
      <c r="Q5442" s="714"/>
      <c r="R5442" s="458"/>
      <c r="S5442" s="459"/>
      <c r="T5442" s="460"/>
      <c r="U5442" s="219"/>
      <c r="V5442" s="464"/>
      <c r="Y5442" s="532" t="str">
        <f>"40% * ("&amp;PRESUPUESTOS!$H$13&amp;")"</f>
        <v>40% * (50% PFMO)</v>
      </c>
      <c r="AA5442" s="540" t="e">
        <f>IF(AND(C5441&lt;=F5438,F5438&lt;&gt;""),VLOOKUP(VALUE(E5419&amp;","&amp;C5441),INTEGRANTES!$D$18:$F$235,2,0),"")</f>
        <v>#N/A</v>
      </c>
      <c r="AB5442" s="545" t="e">
        <f t="shared" si="1616"/>
        <v>#N/A</v>
      </c>
      <c r="AC5442" s="529"/>
      <c r="AD5442" s="200" t="e">
        <f t="shared" si="1617"/>
        <v>#N/A</v>
      </c>
      <c r="AE5442" s="52"/>
      <c r="AF5442" s="52"/>
      <c r="AG5442" s="52"/>
      <c r="AH5442" s="87"/>
      <c r="AI5442" s="87"/>
    </row>
    <row r="5443" spans="1:35" ht="15.75" hidden="1" customHeight="1" thickBot="1">
      <c r="A5443" s="218" t="e">
        <f>"Q"&amp;E5419</f>
        <v>#N/A</v>
      </c>
      <c r="B5443" s="702"/>
      <c r="C5443" s="114">
        <v>4</v>
      </c>
      <c r="D5443" s="194" t="e">
        <f>IF(AND(C5443&lt;=F5438,F5438&lt;&gt;""),VLOOKUP(VALUE(E5419&amp;","&amp;C5443),INTEGRANTES!$D$18:$F$235,2,0),"")</f>
        <v>#N/A</v>
      </c>
      <c r="E5443" s="211" t="e">
        <f>IF(D5443&lt;&gt;"",VLOOKUP(VALUE(E5419&amp;","&amp;C5443),INTEGRANTES!$D$18:$F$235,3,0),"")</f>
        <v>#N/A</v>
      </c>
      <c r="F5443" s="547" t="e">
        <f>IF(D5443="","",SUMIF($I5423:$I5432,D5443,$P5423:$P5432))</f>
        <v>#N/A</v>
      </c>
      <c r="G5443" s="333" t="e">
        <f>IF(D5443="","",SUMIF($I5423:$I5432,D5443,$M5423:$M5432))</f>
        <v>#N/A</v>
      </c>
      <c r="H5443" s="535" t="e">
        <f t="shared" si="1613"/>
        <v>#N/A</v>
      </c>
      <c r="I5443" s="212" t="e">
        <f>IF(D5443="","",IF(H5443="NO APORTA","NO",IF(H5443=MAX($H5440:$H5445),"SI","NO")))</f>
        <v>#N/A</v>
      </c>
      <c r="J5443" s="213" t="e">
        <f t="shared" si="1614"/>
        <v>#N/A</v>
      </c>
      <c r="K5443" s="200" t="e">
        <f t="shared" si="1615"/>
        <v>#N/A</v>
      </c>
      <c r="L5443" s="720" t="s">
        <v>109</v>
      </c>
      <c r="M5443" s="757" t="s">
        <v>120</v>
      </c>
      <c r="N5443" s="726"/>
      <c r="O5443" s="726"/>
      <c r="P5443" s="726"/>
      <c r="Q5443" s="727"/>
      <c r="R5443" s="458"/>
      <c r="S5443" s="459"/>
      <c r="T5443" s="460"/>
      <c r="U5443" s="219"/>
      <c r="V5443" s="464"/>
      <c r="Y5443" s="537">
        <f>0.4*PRESUPUESTOS!$H$16</f>
        <v>10.3124</v>
      </c>
      <c r="AA5443" s="540" t="e">
        <f>IF(AND(C5442&lt;=F5438,F5438&lt;&gt;""),VLOOKUP(VALUE(E5419&amp;","&amp;C5442),INTEGRANTES!$D$18:$F$235,2,0),"")</f>
        <v>#N/A</v>
      </c>
      <c r="AB5443" s="545" t="e">
        <f t="shared" si="1616"/>
        <v>#N/A</v>
      </c>
      <c r="AC5443" s="529"/>
      <c r="AD5443" s="200" t="e">
        <f t="shared" si="1617"/>
        <v>#N/A</v>
      </c>
      <c r="AE5443" s="52"/>
      <c r="AF5443" s="52"/>
      <c r="AG5443" s="52"/>
      <c r="AH5443" s="87"/>
      <c r="AI5443" s="87"/>
    </row>
    <row r="5444" spans="1:35" ht="27" hidden="1" customHeight="1" thickBot="1">
      <c r="A5444" s="218" t="e">
        <f>"R"&amp;E5419</f>
        <v>#N/A</v>
      </c>
      <c r="B5444" s="702"/>
      <c r="C5444" s="114">
        <v>5</v>
      </c>
      <c r="D5444" s="194" t="e">
        <f>IF(AND(C5444&lt;=F5438,F5438&lt;&gt;""),VLOOKUP(VALUE(E5419&amp;","&amp;C5444),INTEGRANTES!$D$18:$F$235,2,0),"")</f>
        <v>#N/A</v>
      </c>
      <c r="E5444" s="211" t="e">
        <f>IF(D5444&lt;&gt;"",VLOOKUP(VALUE(E5419&amp;","&amp;C5444),INTEGRANTES!$D$18:$F$235,3,0),"")</f>
        <v>#N/A</v>
      </c>
      <c r="F5444" s="547" t="e">
        <f>IF(D5444="","",SUMIF($I5423:$I5432,D5444,$P5423:$P5432))</f>
        <v>#N/A</v>
      </c>
      <c r="G5444" s="333" t="e">
        <f>IF(D5444="","",SUMIF($I5423:$I5432,D5444,$M5423:$M5432))</f>
        <v>#N/A</v>
      </c>
      <c r="H5444" s="535" t="e">
        <f t="shared" si="1613"/>
        <v>#N/A</v>
      </c>
      <c r="I5444" s="212" t="e">
        <f>IF(D5444="","",IF(H5444="NO APORTA","NO",IF(H5444=MAX($H5440:$H5445),"SI","NO")))</f>
        <v>#N/A</v>
      </c>
      <c r="J5444" s="213" t="e">
        <f t="shared" si="1614"/>
        <v>#N/A</v>
      </c>
      <c r="K5444" s="200" t="e">
        <f t="shared" si="1615"/>
        <v>#N/A</v>
      </c>
      <c r="L5444" s="721"/>
      <c r="M5444" s="715" t="s">
        <v>116</v>
      </c>
      <c r="N5444" s="716"/>
      <c r="O5444" s="556" t="str">
        <f>PORCREQUERIDO*100&amp;"% PMFO DEL MÓDULO"</f>
        <v>50% PMFO DEL MÓDULO</v>
      </c>
      <c r="P5444" s="715" t="s">
        <v>118</v>
      </c>
      <c r="Q5444" s="728"/>
      <c r="R5444" s="458"/>
      <c r="S5444" s="459"/>
      <c r="T5444" s="460"/>
      <c r="U5444" s="219"/>
      <c r="V5444" s="464"/>
      <c r="Y5444" s="414"/>
      <c r="AA5444" s="540" t="e">
        <f>IF(AND(C5443&lt;=F5438,F5438&lt;&gt;""),VLOOKUP(VALUE(E5419&amp;","&amp;C5443),INTEGRANTES!$D$18:$F$235,2,0),"")</f>
        <v>#N/A</v>
      </c>
      <c r="AB5444" s="545" t="e">
        <f t="shared" si="1616"/>
        <v>#N/A</v>
      </c>
      <c r="AC5444" s="529"/>
      <c r="AD5444" s="200" t="e">
        <f t="shared" si="1617"/>
        <v>#N/A</v>
      </c>
      <c r="AE5444" s="52"/>
      <c r="AF5444" s="52"/>
      <c r="AG5444" s="52"/>
      <c r="AH5444" s="87"/>
      <c r="AI5444" s="87"/>
    </row>
    <row r="5445" spans="1:35" ht="16.5" hidden="1" thickBot="1">
      <c r="A5445" s="218" t="e">
        <f>"S"&amp;E5419</f>
        <v>#N/A</v>
      </c>
      <c r="B5445" s="702"/>
      <c r="C5445" s="215">
        <v>6</v>
      </c>
      <c r="D5445" s="216" t="e">
        <f>IF(AND(C5445&lt;=F5438,F5438&lt;&gt;""),VLOOKUP(VALUE(E5419&amp;","&amp;C5445),INTEGRANTES!$D$18:$F$235,2,0),"")</f>
        <v>#N/A</v>
      </c>
      <c r="E5445" s="217" t="e">
        <f>IF(D5445&lt;&gt;"",VLOOKUP(VALUE(E5419&amp;","&amp;C5445),INTEGRANTES!$D$18:$F$235,3,0),"")</f>
        <v>#N/A</v>
      </c>
      <c r="F5445" s="548" t="e">
        <f>IF(D5445="","",SUMIF($I5423:$I5432,D5445,$P5423:$P5432))</f>
        <v>#N/A</v>
      </c>
      <c r="G5445" s="334" t="e">
        <f>IF(D5445="","",SUMIF($I5423:$I5432,D5445,$M5423:$M5432))</f>
        <v>#N/A</v>
      </c>
      <c r="H5445" s="536" t="e">
        <f t="shared" si="1613"/>
        <v>#N/A</v>
      </c>
      <c r="I5445" s="214" t="e">
        <f>IF(D5445="","",IF(H5445="NO APORTA","NO",IF(H5445=MAX($H5440:$H5445),"SI","NO")))</f>
        <v>#N/A</v>
      </c>
      <c r="J5445" s="213" t="e">
        <f t="shared" si="1614"/>
        <v>#N/A</v>
      </c>
      <c r="K5445" s="200" t="e">
        <f t="shared" si="1615"/>
        <v>#N/A</v>
      </c>
      <c r="L5445" s="721"/>
      <c r="M5445" s="729">
        <f>NUMMOD</f>
        <v>1</v>
      </c>
      <c r="N5445" s="730"/>
      <c r="O5445" s="443">
        <f>IF(M5445="","",ROUND(VLOOKUP(M5445,PRESUPUESTOS!$B$16:$H$16,7,FALSE),3))</f>
        <v>25.780999999999999</v>
      </c>
      <c r="P5445" s="713">
        <f>IF(OR(COUNTIF(P5423:P5432,"")&gt;=10,Q5439&lt;NUMMINCONT,OR(T5437="NO CUMPLE",T5437="VERIFICAR")),0,ROUND((SUM(P5423:P5432)/SUM(M5423:M5432)),3))</f>
        <v>0</v>
      </c>
      <c r="Q5445" s="714"/>
      <c r="R5445" s="458"/>
      <c r="S5445" s="459"/>
      <c r="T5445" s="460"/>
      <c r="U5445" s="219"/>
      <c r="V5445" s="464"/>
      <c r="Y5445" s="532" t="s">
        <v>343</v>
      </c>
      <c r="AA5445" s="540" t="e">
        <f>IF(AND(C5444&lt;=F5438,F5438&lt;&gt;""),VLOOKUP(VALUE(E5419&amp;","&amp;C5444),INTEGRANTES!$D$18:$F$235,2,0),"")</f>
        <v>#N/A</v>
      </c>
      <c r="AB5445" s="545" t="e">
        <f t="shared" si="1616"/>
        <v>#N/A</v>
      </c>
      <c r="AC5445" s="529"/>
      <c r="AD5445" s="200" t="e">
        <f t="shared" si="1617"/>
        <v>#N/A</v>
      </c>
      <c r="AE5445" s="52"/>
      <c r="AF5445" s="52"/>
      <c r="AG5445" s="52"/>
      <c r="AH5445" s="87"/>
      <c r="AI5445" s="87"/>
    </row>
    <row r="5446" spans="1:35" ht="16.5" hidden="1" customHeight="1" thickBot="1">
      <c r="A5446" s="218" t="e">
        <f>"T"&amp;E5419</f>
        <v>#N/A</v>
      </c>
      <c r="B5446" s="703"/>
      <c r="C5446" s="719"/>
      <c r="D5446" s="719"/>
      <c r="E5446" s="719"/>
      <c r="F5446" s="719"/>
      <c r="G5446" s="719"/>
      <c r="H5446" s="719" t="s">
        <v>110</v>
      </c>
      <c r="I5446" s="719"/>
      <c r="J5446" s="719"/>
      <c r="K5446" s="201" t="str">
        <f>IF(COUNTIF(K5440:K5445,"")=6,"",IF(COUNTIF(K5440:K5445,"CUMPLE")&gt;0,"CUMPLE","NO CUMPLE"))</f>
        <v>NO CUMPLE</v>
      </c>
      <c r="L5446" s="754"/>
      <c r="M5446" s="755"/>
      <c r="N5446" s="755"/>
      <c r="O5446" s="755"/>
      <c r="P5446" s="755"/>
      <c r="Q5446" s="756"/>
      <c r="R5446" s="461"/>
      <c r="S5446" s="462"/>
      <c r="T5446" s="463"/>
      <c r="U5446" s="219"/>
      <c r="V5446" s="464"/>
      <c r="Y5446" s="549" t="e">
        <f>IF(Y5440="NO APLICA","NO APLICA",IF(COUNTIF(AD5441:AD5446,"CUMPLE")&gt;0,"CUMPLE","NO CUMPLE"))</f>
        <v>#N/A</v>
      </c>
      <c r="AA5446" s="541" t="e">
        <f>IF(AND(C5445&lt;=F5438,F5438&lt;&gt;""),VLOOKUP(VALUE(E5419&amp;","&amp;C5445),INTEGRANTES!$D$18:$F$235,2,0),"")</f>
        <v>#N/A</v>
      </c>
      <c r="AB5446" s="546" t="e">
        <f t="shared" si="1616"/>
        <v>#N/A</v>
      </c>
      <c r="AC5446" s="543"/>
      <c r="AD5446" s="201" t="e">
        <f t="shared" si="1617"/>
        <v>#N/A</v>
      </c>
      <c r="AE5446" s="52"/>
      <c r="AF5446" s="52"/>
      <c r="AG5446" s="52"/>
      <c r="AH5446" s="87"/>
      <c r="AI5446" s="87"/>
    </row>
    <row r="5447" spans="1:35" hidden="1">
      <c r="AH5447" s="87"/>
      <c r="AI5447" s="87"/>
    </row>
    <row r="5448" spans="1:35" hidden="1">
      <c r="AH5448" s="87"/>
      <c r="AI5448" s="87"/>
    </row>
    <row r="5449" spans="1:35" ht="24" hidden="1" thickBot="1">
      <c r="A5449" s="61">
        <v>182</v>
      </c>
      <c r="B5449" s="704" t="s">
        <v>51</v>
      </c>
      <c r="C5449" s="704"/>
      <c r="D5449" s="704"/>
      <c r="E5449" s="62" t="e">
        <f>VLOOKUP(A5449,PROPONENTES!$B$19:$E$218,2,FALSE)</f>
        <v>#N/A</v>
      </c>
      <c r="F5449" s="63" t="e">
        <f>VLOOKUP(A5449,PROPONENTES!$B$19:$E$218,3,FALSE)</f>
        <v>#N/A</v>
      </c>
      <c r="G5449" s="64"/>
      <c r="H5449" s="64"/>
      <c r="I5449" s="63"/>
      <c r="J5449" s="63"/>
      <c r="K5449" s="65"/>
      <c r="L5449" s="65"/>
      <c r="M5449" s="64"/>
      <c r="N5449" s="64"/>
      <c r="O5449" s="66"/>
      <c r="P5449" s="66"/>
      <c r="Q5449" s="66"/>
      <c r="R5449" s="66"/>
      <c r="S5449" s="67"/>
      <c r="T5449" s="68"/>
      <c r="U5449" s="68"/>
      <c r="AC5449" s="68"/>
      <c r="AD5449" s="68"/>
      <c r="AE5449" s="68"/>
      <c r="AF5449" s="68"/>
      <c r="AG5449" s="68"/>
      <c r="AH5449" s="87"/>
      <c r="AI5449" s="87"/>
    </row>
    <row r="5450" spans="1:35" ht="15.75" hidden="1" customHeight="1">
      <c r="A5450" s="44"/>
      <c r="B5450" s="709" t="s">
        <v>59</v>
      </c>
      <c r="C5450" s="552" t="s">
        <v>60</v>
      </c>
      <c r="D5450" s="70" t="s">
        <v>17</v>
      </c>
      <c r="E5450" s="70"/>
      <c r="F5450" s="70" t="s">
        <v>61</v>
      </c>
      <c r="G5450" s="71"/>
      <c r="H5450" s="699" t="s">
        <v>62</v>
      </c>
      <c r="I5450" s="699" t="s">
        <v>18</v>
      </c>
      <c r="J5450" s="699" t="s">
        <v>63</v>
      </c>
      <c r="K5450" s="699" t="s">
        <v>64</v>
      </c>
      <c r="L5450" s="699" t="s">
        <v>65</v>
      </c>
      <c r="M5450" s="743" t="s">
        <v>66</v>
      </c>
      <c r="N5450" s="699" t="s">
        <v>282</v>
      </c>
      <c r="O5450" s="745" t="s">
        <v>67</v>
      </c>
      <c r="P5450" s="746"/>
      <c r="Q5450" s="102" t="s">
        <v>75</v>
      </c>
      <c r="R5450" s="731" t="s">
        <v>22</v>
      </c>
      <c r="S5450" s="732"/>
      <c r="T5450" s="733"/>
      <c r="U5450" s="712" t="s">
        <v>298</v>
      </c>
      <c r="W5450" s="690" t="s">
        <v>268</v>
      </c>
      <c r="X5450" s="691"/>
      <c r="Y5450" s="692"/>
      <c r="Z5450" s="428"/>
      <c r="AA5450" s="697" t="s">
        <v>315</v>
      </c>
      <c r="AB5450" s="695" t="s">
        <v>322</v>
      </c>
      <c r="AC5450" s="49"/>
      <c r="AD5450" s="690" t="s">
        <v>297</v>
      </c>
      <c r="AE5450" s="691"/>
      <c r="AF5450" s="692"/>
      <c r="AG5450" s="49"/>
      <c r="AH5450" s="87"/>
      <c r="AI5450" s="87"/>
    </row>
    <row r="5451" spans="1:35" ht="72" hidden="1">
      <c r="A5451" s="44"/>
      <c r="B5451" s="710"/>
      <c r="C5451" s="553" t="s">
        <v>68</v>
      </c>
      <c r="D5451" s="73" t="s">
        <v>3</v>
      </c>
      <c r="E5451" s="73" t="s">
        <v>19</v>
      </c>
      <c r="F5451" s="73" t="s">
        <v>69</v>
      </c>
      <c r="G5451" s="74" t="s">
        <v>70</v>
      </c>
      <c r="H5451" s="700"/>
      <c r="I5451" s="700"/>
      <c r="J5451" s="700"/>
      <c r="K5451" s="700"/>
      <c r="L5451" s="700"/>
      <c r="M5451" s="744"/>
      <c r="N5451" s="700"/>
      <c r="O5451" s="553" t="s">
        <v>279</v>
      </c>
      <c r="P5451" s="73" t="s">
        <v>88</v>
      </c>
      <c r="Q5451" s="555" t="s">
        <v>76</v>
      </c>
      <c r="R5451" s="734"/>
      <c r="S5451" s="735"/>
      <c r="T5451" s="736"/>
      <c r="U5451" s="712"/>
      <c r="W5451" s="429" t="s">
        <v>269</v>
      </c>
      <c r="X5451" s="457" t="s">
        <v>278</v>
      </c>
      <c r="Y5451" s="430" t="s">
        <v>324</v>
      </c>
      <c r="Z5451" s="428"/>
      <c r="AA5451" s="698"/>
      <c r="AB5451" s="696"/>
      <c r="AC5451" s="49"/>
      <c r="AD5451" s="429" t="s">
        <v>292</v>
      </c>
      <c r="AE5451" s="431" t="s">
        <v>300</v>
      </c>
      <c r="AF5451" s="468" t="s">
        <v>301</v>
      </c>
      <c r="AG5451" s="49"/>
      <c r="AH5451" s="87"/>
      <c r="AI5451" s="87"/>
    </row>
    <row r="5452" spans="1:35" hidden="1">
      <c r="A5452" s="44"/>
      <c r="B5452" s="76"/>
      <c r="C5452" s="77"/>
      <c r="D5452" s="77"/>
      <c r="E5452" s="77"/>
      <c r="F5452" s="77"/>
      <c r="G5452" s="77"/>
      <c r="H5452" s="77"/>
      <c r="I5452" s="77"/>
      <c r="J5452" s="77"/>
      <c r="K5452" s="77"/>
      <c r="L5452" s="77"/>
      <c r="M5452" s="77"/>
      <c r="N5452" s="77"/>
      <c r="O5452" s="77"/>
      <c r="P5452" s="77"/>
      <c r="Q5452" s="77"/>
      <c r="R5452" s="77"/>
      <c r="S5452" s="78"/>
      <c r="T5452" s="79"/>
      <c r="U5452" s="109"/>
      <c r="V5452" s="49"/>
      <c r="W5452" s="432"/>
      <c r="X5452" s="454"/>
      <c r="Y5452" s="433"/>
      <c r="Z5452" s="6"/>
      <c r="AA5452" s="500"/>
      <c r="AB5452" s="562"/>
      <c r="AC5452" s="49"/>
      <c r="AD5452" s="210"/>
      <c r="AE5452" s="434"/>
      <c r="AF5452" s="435"/>
      <c r="AG5452" s="49"/>
      <c r="AH5452" s="87"/>
      <c r="AI5452" s="87"/>
    </row>
    <row r="5453" spans="1:35" hidden="1">
      <c r="A5453" s="80" t="e">
        <f>"A"&amp;E5449</f>
        <v>#N/A</v>
      </c>
      <c r="B5453" s="81">
        <v>1</v>
      </c>
      <c r="C5453" s="82"/>
      <c r="D5453" s="82"/>
      <c r="E5453" s="82"/>
      <c r="F5453" s="82"/>
      <c r="G5453" s="83"/>
      <c r="H5453" s="83"/>
      <c r="I5453" s="84"/>
      <c r="J5453" s="85"/>
      <c r="K5453" s="382"/>
      <c r="L5453" s="85"/>
      <c r="M5453" s="332" t="str">
        <f t="shared" ref="M5453:M5462" si="1618">IF(OR(J5453="",L5453="",H5453="NO"),"",IF(OR(J5453&gt;$P$17,J5453&lt;$O$17,L5453&gt;$P$17,AND(J5453&lt;$O$17,L5453&lt;$O$17)),"FUERA DE RANGO",IF(OR(K5453="---",K5453=""),IF(J5453&gt;=$O$17,ROUND((L5453-J5453+1)/360*12,3),ROUND((L5453-$O$17+1)/360*12,3)),IF(J5453&gt;=$O$17,ROUND((L5453-J5453+1)/360*12-ROUND(K5453,3),3),ROUND((L5453-$O$17+1)/360*12-ROUND(K5453,3),3)))))</f>
        <v/>
      </c>
      <c r="N5453" s="86"/>
      <c r="O5453" s="453" t="str">
        <f>IF(OR(G5453="",N5453=""),"",N5453*G5453)</f>
        <v/>
      </c>
      <c r="P5453" s="538" t="str">
        <f>IF(OR(H5453="",M5453="FUERA DE RANGO"),"",IF(OR(L5453&lt;$O$17,L5453&gt;$P$17,L5453="",H5453="NO"),"",IF(OR(N5453="",O5453=""),"",ROUND(O5453,3))))</f>
        <v/>
      </c>
      <c r="Q5453" s="539" t="str">
        <f t="shared" ref="Q5453:Q5462" si="1619">IF(AND(H5453="SI",P5453&lt;&gt;""),ROUND(P5453/M5453,3),"")</f>
        <v/>
      </c>
      <c r="R5453" s="737"/>
      <c r="S5453" s="738"/>
      <c r="T5453" s="739"/>
      <c r="U5453" s="470"/>
      <c r="V5453" s="165"/>
      <c r="W5453" s="446"/>
      <c r="X5453" s="456"/>
      <c r="Y5453" s="436"/>
      <c r="Z5453" s="437"/>
      <c r="AA5453" s="560"/>
      <c r="AB5453" s="561"/>
      <c r="AC5453" s="87"/>
      <c r="AD5453" s="466"/>
      <c r="AE5453" s="456"/>
      <c r="AF5453" s="467"/>
      <c r="AG5453" s="87"/>
      <c r="AH5453" s="87"/>
      <c r="AI5453" s="87"/>
    </row>
    <row r="5454" spans="1:35" hidden="1">
      <c r="A5454" s="80" t="e">
        <f>"B"&amp;E5449</f>
        <v>#N/A</v>
      </c>
      <c r="B5454" s="81">
        <v>2</v>
      </c>
      <c r="C5454" s="106"/>
      <c r="D5454" s="106"/>
      <c r="E5454" s="106"/>
      <c r="F5454" s="106"/>
      <c r="G5454" s="83"/>
      <c r="H5454" s="83"/>
      <c r="I5454" s="84"/>
      <c r="J5454" s="85"/>
      <c r="K5454" s="382"/>
      <c r="L5454" s="85"/>
      <c r="M5454" s="332" t="str">
        <f t="shared" si="1618"/>
        <v/>
      </c>
      <c r="N5454" s="86"/>
      <c r="O5454" s="453" t="str">
        <f t="shared" ref="O5454:O5462" si="1620">IF(OR(G5454="",N5454=""),"",N5454*G5454)</f>
        <v/>
      </c>
      <c r="P5454" s="538" t="str">
        <f t="shared" ref="P5454:P5462" si="1621">IF(OR(H5454="",M5454="FUERA DE RANGO"),"",IF(OR(L5454&lt;$O$17,L5454&gt;$P$17,L5454="",H5454="NO"),"",IF(OR(N5454="",O5454=""),"",ROUND(O5454,3))))</f>
        <v/>
      </c>
      <c r="Q5454" s="539" t="str">
        <f t="shared" si="1619"/>
        <v/>
      </c>
      <c r="R5454" s="740"/>
      <c r="S5454" s="741"/>
      <c r="T5454" s="742"/>
      <c r="U5454" s="471"/>
      <c r="V5454" s="165"/>
      <c r="W5454" s="446"/>
      <c r="X5454" s="456"/>
      <c r="Y5454" s="436"/>
      <c r="Z5454" s="437"/>
      <c r="AA5454" s="560"/>
      <c r="AB5454" s="561"/>
      <c r="AC5454" s="87"/>
      <c r="AD5454" s="466"/>
      <c r="AE5454" s="456"/>
      <c r="AF5454" s="467"/>
      <c r="AG5454" s="87"/>
      <c r="AH5454" s="87"/>
      <c r="AI5454" s="87"/>
    </row>
    <row r="5455" spans="1:35" hidden="1">
      <c r="A5455" s="80" t="e">
        <f>"C"&amp;E5449</f>
        <v>#N/A</v>
      </c>
      <c r="B5455" s="88">
        <v>3</v>
      </c>
      <c r="C5455" s="82"/>
      <c r="D5455" s="82"/>
      <c r="E5455" s="82"/>
      <c r="F5455" s="82"/>
      <c r="G5455" s="83"/>
      <c r="H5455" s="83"/>
      <c r="I5455" s="84"/>
      <c r="J5455" s="85"/>
      <c r="K5455" s="382"/>
      <c r="L5455" s="85"/>
      <c r="M5455" s="332" t="str">
        <f t="shared" si="1618"/>
        <v/>
      </c>
      <c r="N5455" s="86"/>
      <c r="O5455" s="453" t="str">
        <f t="shared" si="1620"/>
        <v/>
      </c>
      <c r="P5455" s="538" t="str">
        <f t="shared" si="1621"/>
        <v/>
      </c>
      <c r="Q5455" s="539" t="str">
        <f t="shared" si="1619"/>
        <v/>
      </c>
      <c r="R5455" s="706"/>
      <c r="S5455" s="707"/>
      <c r="T5455" s="708"/>
      <c r="U5455" s="472"/>
      <c r="V5455" s="166"/>
      <c r="W5455" s="446"/>
      <c r="X5455" s="456"/>
      <c r="Y5455" s="436"/>
      <c r="Z5455" s="437"/>
      <c r="AA5455" s="560"/>
      <c r="AB5455" s="561"/>
      <c r="AC5455" s="87"/>
      <c r="AD5455" s="466"/>
      <c r="AE5455" s="456"/>
      <c r="AF5455" s="467"/>
      <c r="AG5455" s="87"/>
      <c r="AH5455" s="87"/>
      <c r="AI5455" s="87"/>
    </row>
    <row r="5456" spans="1:35" hidden="1">
      <c r="A5456" s="80" t="e">
        <f>"D"&amp;E5449</f>
        <v>#N/A</v>
      </c>
      <c r="B5456" s="105">
        <v>4</v>
      </c>
      <c r="C5456" s="107"/>
      <c r="D5456" s="107"/>
      <c r="E5456" s="107"/>
      <c r="F5456" s="107"/>
      <c r="G5456" s="83"/>
      <c r="H5456" s="83"/>
      <c r="I5456" s="84"/>
      <c r="J5456" s="85"/>
      <c r="K5456" s="382"/>
      <c r="L5456" s="85"/>
      <c r="M5456" s="332" t="str">
        <f t="shared" si="1618"/>
        <v/>
      </c>
      <c r="N5456" s="86"/>
      <c r="O5456" s="453" t="str">
        <f t="shared" si="1620"/>
        <v/>
      </c>
      <c r="P5456" s="538" t="str">
        <f t="shared" si="1621"/>
        <v/>
      </c>
      <c r="Q5456" s="539" t="str">
        <f t="shared" si="1619"/>
        <v/>
      </c>
      <c r="R5456" s="706"/>
      <c r="S5456" s="707"/>
      <c r="T5456" s="708"/>
      <c r="U5456" s="472"/>
      <c r="V5456" s="166"/>
      <c r="W5456" s="446"/>
      <c r="X5456" s="456"/>
      <c r="Y5456" s="436"/>
      <c r="Z5456" s="437"/>
      <c r="AA5456" s="560"/>
      <c r="AB5456" s="561"/>
      <c r="AC5456" s="87"/>
      <c r="AD5456" s="466"/>
      <c r="AE5456" s="456"/>
      <c r="AF5456" s="467"/>
      <c r="AG5456" s="87"/>
      <c r="AH5456" s="87"/>
      <c r="AI5456" s="87"/>
    </row>
    <row r="5457" spans="1:35" hidden="1">
      <c r="A5457" s="80" t="e">
        <f>"E"&amp;E5449</f>
        <v>#N/A</v>
      </c>
      <c r="B5457" s="105">
        <v>5</v>
      </c>
      <c r="C5457" s="107"/>
      <c r="D5457" s="107"/>
      <c r="E5457" s="107"/>
      <c r="F5457" s="107"/>
      <c r="G5457" s="83"/>
      <c r="H5457" s="83"/>
      <c r="I5457" s="84"/>
      <c r="J5457" s="85"/>
      <c r="K5457" s="382"/>
      <c r="L5457" s="85"/>
      <c r="M5457" s="332" t="str">
        <f t="shared" si="1618"/>
        <v/>
      </c>
      <c r="N5457" s="86"/>
      <c r="O5457" s="453" t="str">
        <f t="shared" si="1620"/>
        <v/>
      </c>
      <c r="P5457" s="538" t="str">
        <f t="shared" si="1621"/>
        <v/>
      </c>
      <c r="Q5457" s="539" t="str">
        <f t="shared" si="1619"/>
        <v/>
      </c>
      <c r="R5457" s="706"/>
      <c r="S5457" s="707"/>
      <c r="T5457" s="708"/>
      <c r="U5457" s="472"/>
      <c r="V5457" s="167"/>
      <c r="W5457" s="446"/>
      <c r="X5457" s="456"/>
      <c r="Y5457" s="436"/>
      <c r="Z5457" s="437"/>
      <c r="AA5457" s="560"/>
      <c r="AB5457" s="561"/>
      <c r="AC5457" s="87"/>
      <c r="AD5457" s="466"/>
      <c r="AE5457" s="456"/>
      <c r="AF5457" s="467"/>
      <c r="AG5457" s="87"/>
      <c r="AH5457" s="87"/>
      <c r="AI5457" s="87"/>
    </row>
    <row r="5458" spans="1:35" hidden="1">
      <c r="A5458" s="80" t="e">
        <f>"F"&amp;E5449</f>
        <v>#N/A</v>
      </c>
      <c r="B5458" s="105">
        <v>6</v>
      </c>
      <c r="C5458" s="107"/>
      <c r="D5458" s="107"/>
      <c r="E5458" s="107"/>
      <c r="F5458" s="107"/>
      <c r="G5458" s="83"/>
      <c r="H5458" s="83"/>
      <c r="I5458" s="84"/>
      <c r="J5458" s="85"/>
      <c r="K5458" s="382"/>
      <c r="L5458" s="85"/>
      <c r="M5458" s="332" t="str">
        <f t="shared" si="1618"/>
        <v/>
      </c>
      <c r="N5458" s="86"/>
      <c r="O5458" s="453" t="str">
        <f t="shared" si="1620"/>
        <v/>
      </c>
      <c r="P5458" s="538" t="str">
        <f t="shared" si="1621"/>
        <v/>
      </c>
      <c r="Q5458" s="539" t="str">
        <f t="shared" si="1619"/>
        <v/>
      </c>
      <c r="R5458" s="706"/>
      <c r="S5458" s="707"/>
      <c r="T5458" s="708"/>
      <c r="U5458" s="472"/>
      <c r="V5458" s="167"/>
      <c r="W5458" s="446"/>
      <c r="X5458" s="456"/>
      <c r="Y5458" s="436"/>
      <c r="Z5458" s="437"/>
      <c r="AA5458" s="560"/>
      <c r="AB5458" s="561"/>
      <c r="AC5458" s="87"/>
      <c r="AD5458" s="466"/>
      <c r="AE5458" s="456"/>
      <c r="AF5458" s="467"/>
      <c r="AG5458" s="87"/>
      <c r="AH5458" s="87"/>
      <c r="AI5458" s="87"/>
    </row>
    <row r="5459" spans="1:35" hidden="1">
      <c r="A5459" s="80" t="e">
        <f>"G"&amp;E5449</f>
        <v>#N/A</v>
      </c>
      <c r="B5459" s="105">
        <v>7</v>
      </c>
      <c r="C5459" s="107"/>
      <c r="D5459" s="107"/>
      <c r="E5459" s="107"/>
      <c r="F5459" s="107"/>
      <c r="G5459" s="83"/>
      <c r="H5459" s="83"/>
      <c r="I5459" s="84"/>
      <c r="J5459" s="85"/>
      <c r="K5459" s="382"/>
      <c r="L5459" s="85"/>
      <c r="M5459" s="332" t="str">
        <f t="shared" si="1618"/>
        <v/>
      </c>
      <c r="N5459" s="86"/>
      <c r="O5459" s="86" t="str">
        <f t="shared" si="1620"/>
        <v/>
      </c>
      <c r="P5459" s="538" t="str">
        <f t="shared" si="1621"/>
        <v/>
      </c>
      <c r="Q5459" s="539" t="str">
        <f t="shared" si="1619"/>
        <v/>
      </c>
      <c r="R5459" s="706"/>
      <c r="S5459" s="707"/>
      <c r="T5459" s="708"/>
      <c r="U5459" s="472"/>
      <c r="V5459" s="167"/>
      <c r="W5459" s="446"/>
      <c r="X5459" s="456"/>
      <c r="Y5459" s="436"/>
      <c r="Z5459" s="437"/>
      <c r="AA5459" s="560"/>
      <c r="AB5459" s="561"/>
      <c r="AC5459" s="87"/>
      <c r="AD5459" s="466"/>
      <c r="AE5459" s="456"/>
      <c r="AF5459" s="467"/>
      <c r="AG5459" s="87"/>
      <c r="AH5459" s="87"/>
      <c r="AI5459" s="87"/>
    </row>
    <row r="5460" spans="1:35" hidden="1">
      <c r="A5460" s="80" t="e">
        <f>"H"&amp;E5449</f>
        <v>#N/A</v>
      </c>
      <c r="B5460" s="105">
        <v>8</v>
      </c>
      <c r="C5460" s="107"/>
      <c r="D5460" s="107"/>
      <c r="E5460" s="107"/>
      <c r="F5460" s="107"/>
      <c r="G5460" s="83"/>
      <c r="H5460" s="83"/>
      <c r="I5460" s="84"/>
      <c r="J5460" s="85"/>
      <c r="K5460" s="382"/>
      <c r="L5460" s="85"/>
      <c r="M5460" s="332" t="str">
        <f t="shared" si="1618"/>
        <v/>
      </c>
      <c r="N5460" s="453"/>
      <c r="O5460" s="86" t="str">
        <f t="shared" si="1620"/>
        <v/>
      </c>
      <c r="P5460" s="538" t="str">
        <f t="shared" si="1621"/>
        <v/>
      </c>
      <c r="Q5460" s="539" t="str">
        <f t="shared" si="1619"/>
        <v/>
      </c>
      <c r="R5460" s="706"/>
      <c r="S5460" s="707"/>
      <c r="T5460" s="708"/>
      <c r="U5460" s="472"/>
      <c r="V5460" s="167"/>
      <c r="W5460" s="446"/>
      <c r="X5460" s="456"/>
      <c r="Y5460" s="436"/>
      <c r="Z5460" s="437"/>
      <c r="AA5460" s="560"/>
      <c r="AB5460" s="561"/>
      <c r="AC5460" s="87"/>
      <c r="AD5460" s="466"/>
      <c r="AE5460" s="456"/>
      <c r="AF5460" s="467"/>
      <c r="AG5460" s="87"/>
      <c r="AH5460" s="87"/>
      <c r="AI5460" s="87"/>
    </row>
    <row r="5461" spans="1:35" hidden="1">
      <c r="A5461" s="80" t="e">
        <f>"I"&amp;E5449</f>
        <v>#N/A</v>
      </c>
      <c r="B5461" s="105">
        <v>9</v>
      </c>
      <c r="C5461" s="107"/>
      <c r="D5461" s="107"/>
      <c r="E5461" s="107"/>
      <c r="F5461" s="107"/>
      <c r="G5461" s="83"/>
      <c r="H5461" s="83"/>
      <c r="I5461" s="84"/>
      <c r="J5461" s="85"/>
      <c r="K5461" s="382"/>
      <c r="L5461" s="85"/>
      <c r="M5461" s="332" t="str">
        <f t="shared" si="1618"/>
        <v/>
      </c>
      <c r="N5461" s="453"/>
      <c r="O5461" s="86" t="str">
        <f t="shared" si="1620"/>
        <v/>
      </c>
      <c r="P5461" s="538" t="str">
        <f t="shared" si="1621"/>
        <v/>
      </c>
      <c r="Q5461" s="539" t="str">
        <f t="shared" si="1619"/>
        <v/>
      </c>
      <c r="R5461" s="706"/>
      <c r="S5461" s="707"/>
      <c r="T5461" s="708"/>
      <c r="U5461" s="472"/>
      <c r="V5461" s="167"/>
      <c r="W5461" s="446"/>
      <c r="X5461" s="456"/>
      <c r="Y5461" s="436"/>
      <c r="Z5461" s="437"/>
      <c r="AA5461" s="560"/>
      <c r="AB5461" s="561"/>
      <c r="AC5461" s="87"/>
      <c r="AD5461" s="466"/>
      <c r="AE5461" s="456"/>
      <c r="AF5461" s="467"/>
      <c r="AG5461" s="87"/>
      <c r="AH5461" s="87"/>
      <c r="AI5461" s="87"/>
    </row>
    <row r="5462" spans="1:35" hidden="1">
      <c r="A5462" s="80" t="e">
        <f>"J"&amp;E5449</f>
        <v>#N/A</v>
      </c>
      <c r="B5462" s="105">
        <v>10</v>
      </c>
      <c r="C5462" s="107"/>
      <c r="D5462" s="107"/>
      <c r="E5462" s="107"/>
      <c r="F5462" s="107"/>
      <c r="G5462" s="83"/>
      <c r="H5462" s="83"/>
      <c r="I5462" s="84"/>
      <c r="J5462" s="85"/>
      <c r="K5462" s="382"/>
      <c r="L5462" s="85"/>
      <c r="M5462" s="332" t="str">
        <f t="shared" si="1618"/>
        <v/>
      </c>
      <c r="N5462" s="453"/>
      <c r="O5462" s="86" t="str">
        <f t="shared" si="1620"/>
        <v/>
      </c>
      <c r="P5462" s="538" t="str">
        <f t="shared" si="1621"/>
        <v/>
      </c>
      <c r="Q5462" s="539" t="str">
        <f t="shared" si="1619"/>
        <v/>
      </c>
      <c r="R5462" s="706"/>
      <c r="S5462" s="707"/>
      <c r="T5462" s="708"/>
      <c r="U5462" s="472"/>
      <c r="V5462" s="167"/>
      <c r="W5462" s="446"/>
      <c r="X5462" s="456"/>
      <c r="Y5462" s="436"/>
      <c r="Z5462" s="437"/>
      <c r="AA5462" s="560"/>
      <c r="AB5462" s="561"/>
      <c r="AC5462" s="87"/>
      <c r="AD5462" s="466"/>
      <c r="AE5462" s="456"/>
      <c r="AF5462" s="467"/>
      <c r="AG5462" s="87"/>
      <c r="AH5462" s="87"/>
      <c r="AI5462" s="87"/>
    </row>
    <row r="5463" spans="1:35" ht="16.5" hidden="1" thickBot="1">
      <c r="A5463" s="44"/>
      <c r="B5463" s="89"/>
      <c r="C5463" s="90"/>
      <c r="D5463" s="90"/>
      <c r="E5463" s="90"/>
      <c r="F5463" s="90"/>
      <c r="G5463" s="90"/>
      <c r="H5463" s="90"/>
      <c r="I5463" s="90"/>
      <c r="J5463" s="90"/>
      <c r="K5463" s="90"/>
      <c r="L5463" s="90"/>
      <c r="M5463" s="90"/>
      <c r="N5463" s="90"/>
      <c r="O5463" s="90"/>
      <c r="P5463" s="90"/>
      <c r="Q5463" s="90"/>
      <c r="R5463" s="90"/>
      <c r="S5463" s="91"/>
      <c r="T5463" s="92"/>
      <c r="U5463" s="473"/>
      <c r="W5463" s="438"/>
      <c r="X5463" s="455"/>
      <c r="Y5463" s="439"/>
      <c r="Z5463" s="437"/>
      <c r="AA5463" s="530"/>
      <c r="AB5463" s="563"/>
      <c r="AC5463" s="87"/>
      <c r="AD5463" s="440"/>
      <c r="AE5463" s="441"/>
      <c r="AF5463" s="442"/>
      <c r="AG5463" s="49"/>
      <c r="AH5463" s="87"/>
      <c r="AI5463" s="87"/>
    </row>
    <row r="5464" spans="1:35" ht="16.5" hidden="1" thickBot="1">
      <c r="A5464" s="93"/>
      <c r="B5464" s="94"/>
      <c r="C5464" s="96"/>
      <c r="D5464" s="96"/>
      <c r="E5464" s="96"/>
      <c r="F5464" s="96"/>
      <c r="G5464" s="96"/>
      <c r="H5464" s="96"/>
      <c r="I5464" s="96"/>
      <c r="J5464" s="96"/>
      <c r="K5464" s="96"/>
      <c r="L5464" s="96"/>
      <c r="M5464" s="136"/>
      <c r="N5464" s="96"/>
      <c r="O5464" s="96"/>
      <c r="P5464" s="97"/>
      <c r="Q5464" s="97"/>
      <c r="R5464" s="98"/>
      <c r="S5464" s="95"/>
      <c r="T5464" s="99"/>
      <c r="U5464" s="469"/>
      <c r="AC5464" s="58"/>
      <c r="AG5464" s="58"/>
      <c r="AH5464" s="87"/>
      <c r="AI5464" s="87"/>
    </row>
    <row r="5465" spans="1:35" ht="16.5" hidden="1" thickBot="1">
      <c r="B5465" s="101"/>
      <c r="C5465" s="101"/>
      <c r="D5465" s="101"/>
      <c r="E5465" s="101"/>
      <c r="F5465" s="101"/>
      <c r="G5465" s="101"/>
      <c r="H5465" s="101"/>
      <c r="I5465" s="101"/>
      <c r="J5465" s="101"/>
      <c r="K5465" s="101"/>
      <c r="L5465" s="101"/>
      <c r="M5465" s="101"/>
      <c r="N5465" s="101"/>
      <c r="O5465" s="101"/>
      <c r="P5465" s="101"/>
      <c r="Q5465" s="101"/>
      <c r="R5465" s="101"/>
      <c r="S5465" s="101"/>
      <c r="U5465" s="50"/>
      <c r="AH5465" s="87"/>
      <c r="AI5465" s="87"/>
    </row>
    <row r="5466" spans="1:35" ht="16.5" hidden="1" customHeight="1" thickBot="1">
      <c r="A5466" s="44"/>
      <c r="B5466" s="705" t="s">
        <v>74</v>
      </c>
      <c r="C5466" s="705"/>
      <c r="D5466" s="705"/>
      <c r="E5466" s="705"/>
      <c r="F5466" s="705"/>
      <c r="G5466" s="705"/>
      <c r="H5466" s="705"/>
      <c r="I5466" s="705"/>
      <c r="J5466" s="705"/>
      <c r="K5466" s="705"/>
      <c r="L5466" s="705"/>
      <c r="M5466" s="705"/>
      <c r="N5466" s="705"/>
      <c r="O5466" s="705"/>
      <c r="P5466" s="705"/>
      <c r="Q5466" s="705"/>
      <c r="R5466" s="705"/>
      <c r="S5466" s="705"/>
      <c r="T5466" s="705"/>
      <c r="U5466" s="108"/>
      <c r="Y5466" s="532" t="s">
        <v>341</v>
      </c>
      <c r="AC5466" s="49"/>
      <c r="AD5466" s="687" t="s">
        <v>302</v>
      </c>
      <c r="AE5466" s="688"/>
      <c r="AF5466" s="689"/>
      <c r="AG5466" s="49"/>
      <c r="AH5466" s="87"/>
      <c r="AI5466" s="87"/>
    </row>
    <row r="5467" spans="1:35" ht="16.5" hidden="1" customHeight="1" thickBot="1">
      <c r="A5467" s="218" t="e">
        <f>"K"&amp;E5449</f>
        <v>#N/A</v>
      </c>
      <c r="B5467" s="701" t="s">
        <v>71</v>
      </c>
      <c r="C5467" s="751" t="s">
        <v>102</v>
      </c>
      <c r="D5467" s="751"/>
      <c r="E5467" s="751"/>
      <c r="F5467" s="751"/>
      <c r="G5467" s="751"/>
      <c r="H5467" s="751"/>
      <c r="I5467" s="751"/>
      <c r="J5467" s="751"/>
      <c r="K5467" s="751"/>
      <c r="L5467" s="722" t="s">
        <v>100</v>
      </c>
      <c r="M5467" s="747" t="s">
        <v>114</v>
      </c>
      <c r="N5467" s="747"/>
      <c r="O5467" s="747"/>
      <c r="P5467" s="747"/>
      <c r="Q5467" s="748"/>
      <c r="R5467" s="758" t="s">
        <v>280</v>
      </c>
      <c r="S5467" s="748"/>
      <c r="T5467" s="762" t="str">
        <f>IF(COUNTIF(AE5467:AF5467,"VERIFICAR")&gt;0,"VERIFICAR",IF(COUNTIF(AE5467:AF5467,"NO CUMPLE")&gt;0,"NO CUMPLE","CUMPLE"))</f>
        <v>VERIFICAR</v>
      </c>
      <c r="U5467" s="108"/>
      <c r="Y5467" s="533" t="e">
        <f>IF(F5468="","",IF(F5468=1,"INDIVIDUAL","ESTRUCTURA PLURAL"))</f>
        <v>#N/A</v>
      </c>
      <c r="AC5467" s="52"/>
      <c r="AD5467" s="475" t="s">
        <v>303</v>
      </c>
      <c r="AE5467" s="476" t="str">
        <f>IF(COUNTIF(AE5453:AE5462,"")=10,"VERIFICAR",IF(COUNTIF(AE5453:AE5462,"SI")&gt;0,"CUMPLE","NO CUMPLE"))</f>
        <v>VERIFICAR</v>
      </c>
      <c r="AF5467" s="477" t="str">
        <f>IF(COUNTIF(AF5453:AF5462,"")=10,"VERIFICAR",IF(COUNTIF(AF5453:AF5462,"SI")&gt;=$AI$22,"CUMPLE","NO CUMPLE"))</f>
        <v>VERIFICAR</v>
      </c>
      <c r="AG5467" s="52"/>
      <c r="AH5467" s="87"/>
      <c r="AI5467" s="87"/>
    </row>
    <row r="5468" spans="1:35" ht="15.75" hidden="1" customHeight="1" thickBot="1">
      <c r="A5468" s="218" t="e">
        <f>"L"&amp;E5449</f>
        <v>#N/A</v>
      </c>
      <c r="B5468" s="702"/>
      <c r="C5468" s="751" t="s">
        <v>103</v>
      </c>
      <c r="D5468" s="751"/>
      <c r="E5468" s="752"/>
      <c r="F5468" s="557" t="e">
        <f>IF(VLOOKUP(E5449,PROPONENTES!$C$19:$E$218,3,0)="","",VLOOKUP(E5449,PROPONENTES!$C$19:$E$218,3,0))</f>
        <v>#N/A</v>
      </c>
      <c r="G5468" s="753" t="s">
        <v>104</v>
      </c>
      <c r="H5468" s="751"/>
      <c r="I5468" s="715" t="e">
        <f>IF(OR(F5468="",F5468=1),"INTERESADO PERSONA NATURAL O JURIDICA","CONSORCIO O UNION TEMPORAL")</f>
        <v>#N/A</v>
      </c>
      <c r="J5468" s="725"/>
      <c r="K5468" s="728"/>
      <c r="L5468" s="723"/>
      <c r="M5468" s="749"/>
      <c r="N5468" s="749"/>
      <c r="O5468" s="749"/>
      <c r="P5468" s="749"/>
      <c r="Q5468" s="750"/>
      <c r="R5468" s="712"/>
      <c r="S5468" s="750"/>
      <c r="T5468" s="763"/>
      <c r="U5468" s="108"/>
      <c r="Y5468" s="534"/>
      <c r="AA5468" s="52"/>
      <c r="AB5468" s="52"/>
      <c r="AC5468" s="52"/>
      <c r="AG5468" s="52"/>
      <c r="AH5468" s="87"/>
      <c r="AI5468" s="87"/>
    </row>
    <row r="5469" spans="1:35" ht="56.25" hidden="1" customHeight="1" thickBot="1">
      <c r="A5469" s="218" t="e">
        <f>"M"&amp;E5449</f>
        <v>#N/A</v>
      </c>
      <c r="B5469" s="702"/>
      <c r="C5469" s="725" t="s">
        <v>101</v>
      </c>
      <c r="D5469" s="716"/>
      <c r="E5469" s="558" t="s">
        <v>105</v>
      </c>
      <c r="F5469" s="554" t="s">
        <v>87</v>
      </c>
      <c r="G5469" s="553" t="s">
        <v>86</v>
      </c>
      <c r="H5469" s="559" t="s">
        <v>85</v>
      </c>
      <c r="I5469" s="554" t="s">
        <v>252</v>
      </c>
      <c r="J5469" s="553" t="str">
        <f>"¿EL INTEGRANTE TIENE UNA PARTICIPACIÓN DEL "&amp;PORCREQUERIDOINT*100&amp;"%?"</f>
        <v>¿EL INTEGRANTE TIENE UNA PARTICIPACIÓN DEL 60%?</v>
      </c>
      <c r="K5469" s="554" t="s">
        <v>107</v>
      </c>
      <c r="L5469" s="724"/>
      <c r="M5469" s="717" t="s">
        <v>115</v>
      </c>
      <c r="N5469" s="718"/>
      <c r="O5469" s="718"/>
      <c r="P5469" s="718"/>
      <c r="Q5469" s="223">
        <f>IF(AND(H5453="SI",P5453&gt;=0),1,0)+IF(AND(H5454="SI",P5454&gt;=0),1,0)+IF(AND(H5455="SI",P5455&gt;=0),1,0)+IF(AND(H5456="SI",P5456&gt;=0),1,0)+IF(AND(H5457="SI",P5457&gt;=0),1,0)+IF(AND(H5458="SI",P5458&gt;=0),1,0)+IF(AND(H5459="SI",P5459&gt;=0),1,0)+IF(AND(H5460="SI",P5460&gt;=0),1,0)+IF(AND(H5461="SI",P5461&gt;=0),1,0)+IF(AND(H5462="SI",P5462&gt;=0),1,0)</f>
        <v>0</v>
      </c>
      <c r="R5469" s="759"/>
      <c r="S5469" s="761"/>
      <c r="T5469" s="764"/>
      <c r="U5469" s="219"/>
      <c r="V5469" s="464"/>
      <c r="Y5469" s="532" t="s">
        <v>342</v>
      </c>
      <c r="AA5469" s="550" t="s">
        <v>344</v>
      </c>
      <c r="AB5469" s="693" t="s">
        <v>345</v>
      </c>
      <c r="AC5469" s="693" t="s">
        <v>346</v>
      </c>
      <c r="AD5469" s="685" t="s">
        <v>347</v>
      </c>
      <c r="AE5469" s="52"/>
      <c r="AF5469" s="52"/>
      <c r="AG5469" s="52"/>
      <c r="AH5469" s="87"/>
      <c r="AI5469" s="87"/>
    </row>
    <row r="5470" spans="1:35" ht="15.75" hidden="1" customHeight="1" thickBot="1">
      <c r="A5470" s="218" t="e">
        <f>"N"&amp;E5449</f>
        <v>#N/A</v>
      </c>
      <c r="B5470" s="702"/>
      <c r="C5470" s="114">
        <v>1</v>
      </c>
      <c r="D5470" s="194" t="e">
        <f>IF(AND(C5470&lt;=F5468,F5468&gt;1,F5468&lt;&gt;""),VLOOKUP(VALUE(E5449&amp;","&amp;C5470),INTEGRANTES!$D$18:$F$235,2,0),"")</f>
        <v>#N/A</v>
      </c>
      <c r="E5470" s="211" t="e">
        <f>IF(D5470&lt;&gt;"",VLOOKUP(VALUE(E5449&amp;","&amp;C5470),INTEGRANTES!$D$18:$F$235,3,0),"")</f>
        <v>#N/A</v>
      </c>
      <c r="F5470" s="547" t="e">
        <f>IF(D5470="","",SUMIF($I5453:$I5462,D5470,$P5453:$P5462))</f>
        <v>#N/A</v>
      </c>
      <c r="G5470" s="333" t="e">
        <f>IF(D5470="","",SUMIF($I5453:$I5462,D5470,$M5453:$M5462))</f>
        <v>#N/A</v>
      </c>
      <c r="H5470" s="535" t="e">
        <f t="shared" ref="H5470:H5475" si="1622">IF(D5470="","",IF(OR(F5470=0,G5470=0),"NO APORTA",ROUND($F5470/$G5470,3)))</f>
        <v>#N/A</v>
      </c>
      <c r="I5470" s="212" t="e">
        <f>IF(D5470="","",IF(H5470="NO APORTA","NO",IF(H5470=MAX($H5470:$H5475),"SI","NO")))</f>
        <v>#N/A</v>
      </c>
      <c r="J5470" s="213" t="e">
        <f t="shared" ref="J5470:J5475" si="1623">IF(D5470="","",IF(E5470&gt;=PORCREQUERIDOINT,"SI","NO"))</f>
        <v>#N/A</v>
      </c>
      <c r="K5470" s="200" t="e">
        <f t="shared" ref="K5470:K5475" si="1624">IF(D5470="","",IF(AND(I5470="SI",J5470="SI"),"CUMPLE",IF(AND(I5470="NO",OR(J5470="SI",J5470="NO")),"","NO CUMPLE")))</f>
        <v>#N/A</v>
      </c>
      <c r="L5470" s="722" t="s">
        <v>108</v>
      </c>
      <c r="M5470" s="726" t="s">
        <v>119</v>
      </c>
      <c r="N5470" s="726"/>
      <c r="O5470" s="726"/>
      <c r="P5470" s="726"/>
      <c r="Q5470" s="727"/>
      <c r="R5470" s="758" t="s">
        <v>80</v>
      </c>
      <c r="S5470" s="747"/>
      <c r="T5470" s="748"/>
      <c r="U5470" s="219"/>
      <c r="V5470" s="464"/>
      <c r="Y5470" s="533" t="e">
        <f>IF(Y5467="","",IF(Y5467="INDIVIDUAL","NO APLICA","VERIFICAR CUADRO"))</f>
        <v>#N/A</v>
      </c>
      <c r="AA5470" s="551"/>
      <c r="AB5470" s="694"/>
      <c r="AC5470" s="694"/>
      <c r="AD5470" s="686"/>
      <c r="AE5470" s="52"/>
      <c r="AF5470" s="52"/>
      <c r="AG5470" s="52"/>
      <c r="AH5470" s="87"/>
      <c r="AI5470" s="87"/>
    </row>
    <row r="5471" spans="1:35" ht="27" hidden="1" customHeight="1" thickBot="1">
      <c r="A5471" s="218" t="e">
        <f>"O"&amp;E5449</f>
        <v>#N/A</v>
      </c>
      <c r="B5471" s="702"/>
      <c r="C5471" s="114">
        <v>2</v>
      </c>
      <c r="D5471" s="194" t="e">
        <f>IF(AND(C5471&lt;=F5468,F5468&lt;&gt;""),VLOOKUP(VALUE(E5449&amp;","&amp;C5471),INTEGRANTES!$D$18:$F$235,2,0),"")</f>
        <v>#N/A</v>
      </c>
      <c r="E5471" s="211" t="e">
        <f>IF(D5471&lt;&gt;"",VLOOKUP(VALUE(E5449&amp;","&amp;C5471),INTEGRANTES!$D$18:$F$235,3,0),"")</f>
        <v>#N/A</v>
      </c>
      <c r="F5471" s="547" t="e">
        <f>IF(D5471="","",SUMIF($I5453:$I5462,D5471,$P5453:$P5462))</f>
        <v>#N/A</v>
      </c>
      <c r="G5471" s="333" t="e">
        <f>IF(D5471="","",SUMIF($I5453:$I5462,D5471,$M5453:$M5462))</f>
        <v>#N/A</v>
      </c>
      <c r="H5471" s="535" t="e">
        <f t="shared" si="1622"/>
        <v>#N/A</v>
      </c>
      <c r="I5471" s="212" t="e">
        <f>IF(D5471="","",IF(H5471="NO APORTA","NO",IF(H5471=MAX($H5470:$H5475),"SI","NO")))</f>
        <v>#N/A</v>
      </c>
      <c r="J5471" s="213" t="e">
        <f t="shared" si="1623"/>
        <v>#N/A</v>
      </c>
      <c r="K5471" s="200" t="e">
        <f t="shared" si="1624"/>
        <v>#N/A</v>
      </c>
      <c r="L5471" s="723"/>
      <c r="M5471" s="715" t="s">
        <v>116</v>
      </c>
      <c r="N5471" s="716"/>
      <c r="O5471" s="556" t="s">
        <v>113</v>
      </c>
      <c r="P5471" s="715" t="s">
        <v>117</v>
      </c>
      <c r="Q5471" s="728"/>
      <c r="R5471" s="759"/>
      <c r="S5471" s="760"/>
      <c r="T5471" s="761"/>
      <c r="U5471" s="219"/>
      <c r="V5471" s="464"/>
      <c r="Y5471" s="414"/>
      <c r="AA5471" s="542" t="e">
        <f>IF(AND(C5470&lt;=F5468,F5468&gt;1,F5468&lt;&gt;""),VLOOKUP(VALUE(E5449&amp;","&amp;C5470),INTEGRANTES!$D$18:$F$235,2,0),"")</f>
        <v>#N/A</v>
      </c>
      <c r="AB5471" s="544" t="e">
        <f t="shared" ref="AB5471:AB5476" si="1625">IF(D5470="","",IF(OR(F5470=0,G5470=0),"NO APORTA",ROUND($F5470/$G5470,3)))</f>
        <v>#N/A</v>
      </c>
      <c r="AC5471" s="529"/>
      <c r="AD5471" s="200" t="e">
        <f t="shared" ref="AD5471:AD5476" si="1626">IF(OR(AA5471="",AB5471=""),"",IF(AND(AC5471="X",AB5471&gt;=EXPREQVTD),"CUMPLE","NO CUMPLE"))</f>
        <v>#N/A</v>
      </c>
      <c r="AE5471" s="52"/>
      <c r="AF5471" s="52"/>
      <c r="AG5471" s="52"/>
      <c r="AH5471" s="87"/>
      <c r="AI5471" s="87"/>
    </row>
    <row r="5472" spans="1:35" ht="16.5" hidden="1" thickBot="1">
      <c r="A5472" s="218" t="e">
        <f>"P"&amp;E5449</f>
        <v>#N/A</v>
      </c>
      <c r="B5472" s="702"/>
      <c r="C5472" s="114">
        <v>3</v>
      </c>
      <c r="D5472" s="194" t="e">
        <f>IF(AND(C5472&lt;=F5468,F5468&lt;&gt;""),VLOOKUP(VALUE(E5449&amp;","&amp;C5472),INTEGRANTES!$D$18:$F$235,2,0),"")</f>
        <v>#N/A</v>
      </c>
      <c r="E5472" s="211" t="e">
        <f>IF(D5472&lt;&gt;"",VLOOKUP(VALUE(E5449&amp;","&amp;C5472),INTEGRANTES!$D$18:$F$235,3,0),"")</f>
        <v>#N/A</v>
      </c>
      <c r="F5472" s="547" t="e">
        <f>IF(D5472="","",SUMIF($I5453:$I5462,D5472,$P5453:$P5462))</f>
        <v>#N/A</v>
      </c>
      <c r="G5472" s="333" t="e">
        <f>IF(D5472="","",SUMIF($I5453:$I5462,D5472,$M5453:$M5462))</f>
        <v>#N/A</v>
      </c>
      <c r="H5472" s="535" t="e">
        <f t="shared" si="1622"/>
        <v>#N/A</v>
      </c>
      <c r="I5472" s="212" t="e">
        <f>IF(D5472="","",IF(H5472="NO APORTA","NO",IF(H5472=MAX($H5470:$H5475),"SI","NO")))</f>
        <v>#N/A</v>
      </c>
      <c r="J5472" s="213" t="e">
        <f t="shared" si="1623"/>
        <v>#N/A</v>
      </c>
      <c r="K5472" s="200" t="e">
        <f t="shared" si="1624"/>
        <v>#N/A</v>
      </c>
      <c r="L5472" s="724"/>
      <c r="M5472" s="729">
        <f>NUMMOD</f>
        <v>1</v>
      </c>
      <c r="N5472" s="730"/>
      <c r="O5472" s="443">
        <f>IF(M5472="","",VLOOKUP(M5472,PRESUPUESTOS!$B$16:$H$16,5,FALSE))</f>
        <v>2</v>
      </c>
      <c r="P5472" s="713">
        <f>IF(OR(COUNTIF(M5453:M5462,"")&gt;=10,Q5469&lt;NUMMINCONT,OR(T5467="NO CUMPLE",T5467="VERIFICAR")),0,ROUND(AVERAGE(M5453:M5462),3))</f>
        <v>0</v>
      </c>
      <c r="Q5472" s="714"/>
      <c r="R5472" s="458"/>
      <c r="S5472" s="459"/>
      <c r="T5472" s="460"/>
      <c r="U5472" s="219"/>
      <c r="V5472" s="464"/>
      <c r="Y5472" s="532" t="str">
        <f>"40% * ("&amp;PRESUPUESTOS!$H$13&amp;")"</f>
        <v>40% * (50% PFMO)</v>
      </c>
      <c r="AA5472" s="540" t="e">
        <f>IF(AND(C5471&lt;=F5468,F5468&lt;&gt;""),VLOOKUP(VALUE(E5449&amp;","&amp;C5471),INTEGRANTES!$D$18:$F$235,2,0),"")</f>
        <v>#N/A</v>
      </c>
      <c r="AB5472" s="545" t="e">
        <f t="shared" si="1625"/>
        <v>#N/A</v>
      </c>
      <c r="AC5472" s="529"/>
      <c r="AD5472" s="200" t="e">
        <f t="shared" si="1626"/>
        <v>#N/A</v>
      </c>
      <c r="AE5472" s="52"/>
      <c r="AF5472" s="52"/>
      <c r="AG5472" s="52"/>
      <c r="AH5472" s="87"/>
      <c r="AI5472" s="87"/>
    </row>
    <row r="5473" spans="1:35" ht="15.75" hidden="1" customHeight="1" thickBot="1">
      <c r="A5473" s="218" t="e">
        <f>"Q"&amp;E5449</f>
        <v>#N/A</v>
      </c>
      <c r="B5473" s="702"/>
      <c r="C5473" s="114">
        <v>4</v>
      </c>
      <c r="D5473" s="194" t="e">
        <f>IF(AND(C5473&lt;=F5468,F5468&lt;&gt;""),VLOOKUP(VALUE(E5449&amp;","&amp;C5473),INTEGRANTES!$D$18:$F$235,2,0),"")</f>
        <v>#N/A</v>
      </c>
      <c r="E5473" s="211" t="e">
        <f>IF(D5473&lt;&gt;"",VLOOKUP(VALUE(E5449&amp;","&amp;C5473),INTEGRANTES!$D$18:$F$235,3,0),"")</f>
        <v>#N/A</v>
      </c>
      <c r="F5473" s="547" t="e">
        <f>IF(D5473="","",SUMIF($I5453:$I5462,D5473,$P5453:$P5462))</f>
        <v>#N/A</v>
      </c>
      <c r="G5473" s="333" t="e">
        <f>IF(D5473="","",SUMIF($I5453:$I5462,D5473,$M5453:$M5462))</f>
        <v>#N/A</v>
      </c>
      <c r="H5473" s="535" t="e">
        <f t="shared" si="1622"/>
        <v>#N/A</v>
      </c>
      <c r="I5473" s="212" t="e">
        <f>IF(D5473="","",IF(H5473="NO APORTA","NO",IF(H5473=MAX($H5470:$H5475),"SI","NO")))</f>
        <v>#N/A</v>
      </c>
      <c r="J5473" s="213" t="e">
        <f t="shared" si="1623"/>
        <v>#N/A</v>
      </c>
      <c r="K5473" s="200" t="e">
        <f t="shared" si="1624"/>
        <v>#N/A</v>
      </c>
      <c r="L5473" s="720" t="s">
        <v>109</v>
      </c>
      <c r="M5473" s="757" t="s">
        <v>120</v>
      </c>
      <c r="N5473" s="726"/>
      <c r="O5473" s="726"/>
      <c r="P5473" s="726"/>
      <c r="Q5473" s="727"/>
      <c r="R5473" s="458"/>
      <c r="S5473" s="459"/>
      <c r="T5473" s="460"/>
      <c r="U5473" s="219"/>
      <c r="V5473" s="464"/>
      <c r="Y5473" s="537">
        <f>0.4*PRESUPUESTOS!$H$16</f>
        <v>10.3124</v>
      </c>
      <c r="AA5473" s="540" t="e">
        <f>IF(AND(C5472&lt;=F5468,F5468&lt;&gt;""),VLOOKUP(VALUE(E5449&amp;","&amp;C5472),INTEGRANTES!$D$18:$F$235,2,0),"")</f>
        <v>#N/A</v>
      </c>
      <c r="AB5473" s="545" t="e">
        <f t="shared" si="1625"/>
        <v>#N/A</v>
      </c>
      <c r="AC5473" s="529"/>
      <c r="AD5473" s="200" t="e">
        <f t="shared" si="1626"/>
        <v>#N/A</v>
      </c>
      <c r="AE5473" s="52"/>
      <c r="AF5473" s="52"/>
      <c r="AG5473" s="52"/>
      <c r="AH5473" s="87"/>
      <c r="AI5473" s="87"/>
    </row>
    <row r="5474" spans="1:35" ht="27" hidden="1" customHeight="1" thickBot="1">
      <c r="A5474" s="218" t="e">
        <f>"R"&amp;E5449</f>
        <v>#N/A</v>
      </c>
      <c r="B5474" s="702"/>
      <c r="C5474" s="114">
        <v>5</v>
      </c>
      <c r="D5474" s="194" t="e">
        <f>IF(AND(C5474&lt;=F5468,F5468&lt;&gt;""),VLOOKUP(VALUE(E5449&amp;","&amp;C5474),INTEGRANTES!$D$18:$F$235,2,0),"")</f>
        <v>#N/A</v>
      </c>
      <c r="E5474" s="211" t="e">
        <f>IF(D5474&lt;&gt;"",VLOOKUP(VALUE(E5449&amp;","&amp;C5474),INTEGRANTES!$D$18:$F$235,3,0),"")</f>
        <v>#N/A</v>
      </c>
      <c r="F5474" s="547" t="e">
        <f>IF(D5474="","",SUMIF($I5453:$I5462,D5474,$P5453:$P5462))</f>
        <v>#N/A</v>
      </c>
      <c r="G5474" s="333" t="e">
        <f>IF(D5474="","",SUMIF($I5453:$I5462,D5474,$M5453:$M5462))</f>
        <v>#N/A</v>
      </c>
      <c r="H5474" s="535" t="e">
        <f t="shared" si="1622"/>
        <v>#N/A</v>
      </c>
      <c r="I5474" s="212" t="e">
        <f>IF(D5474="","",IF(H5474="NO APORTA","NO",IF(H5474=MAX($H5470:$H5475),"SI","NO")))</f>
        <v>#N/A</v>
      </c>
      <c r="J5474" s="213" t="e">
        <f t="shared" si="1623"/>
        <v>#N/A</v>
      </c>
      <c r="K5474" s="200" t="e">
        <f t="shared" si="1624"/>
        <v>#N/A</v>
      </c>
      <c r="L5474" s="721"/>
      <c r="M5474" s="715" t="s">
        <v>116</v>
      </c>
      <c r="N5474" s="716"/>
      <c r="O5474" s="556" t="str">
        <f>PORCREQUERIDO*100&amp;"% PMFO DEL MÓDULO"</f>
        <v>50% PMFO DEL MÓDULO</v>
      </c>
      <c r="P5474" s="715" t="s">
        <v>118</v>
      </c>
      <c r="Q5474" s="728"/>
      <c r="R5474" s="458"/>
      <c r="S5474" s="459"/>
      <c r="T5474" s="460"/>
      <c r="U5474" s="219"/>
      <c r="V5474" s="464"/>
      <c r="Y5474" s="414"/>
      <c r="AA5474" s="540" t="e">
        <f>IF(AND(C5473&lt;=F5468,F5468&lt;&gt;""),VLOOKUP(VALUE(E5449&amp;","&amp;C5473),INTEGRANTES!$D$18:$F$235,2,0),"")</f>
        <v>#N/A</v>
      </c>
      <c r="AB5474" s="545" t="e">
        <f t="shared" si="1625"/>
        <v>#N/A</v>
      </c>
      <c r="AC5474" s="529"/>
      <c r="AD5474" s="200" t="e">
        <f t="shared" si="1626"/>
        <v>#N/A</v>
      </c>
      <c r="AE5474" s="52"/>
      <c r="AF5474" s="52"/>
      <c r="AG5474" s="52"/>
      <c r="AH5474" s="87"/>
      <c r="AI5474" s="87"/>
    </row>
    <row r="5475" spans="1:35" ht="16.5" hidden="1" thickBot="1">
      <c r="A5475" s="218" t="e">
        <f>"S"&amp;E5449</f>
        <v>#N/A</v>
      </c>
      <c r="B5475" s="702"/>
      <c r="C5475" s="215">
        <v>6</v>
      </c>
      <c r="D5475" s="216" t="e">
        <f>IF(AND(C5475&lt;=F5468,F5468&lt;&gt;""),VLOOKUP(VALUE(E5449&amp;","&amp;C5475),INTEGRANTES!$D$18:$F$235,2,0),"")</f>
        <v>#N/A</v>
      </c>
      <c r="E5475" s="217" t="e">
        <f>IF(D5475&lt;&gt;"",VLOOKUP(VALUE(E5449&amp;","&amp;C5475),INTEGRANTES!$D$18:$F$235,3,0),"")</f>
        <v>#N/A</v>
      </c>
      <c r="F5475" s="548" t="e">
        <f>IF(D5475="","",SUMIF($I5453:$I5462,D5475,$P5453:$P5462))</f>
        <v>#N/A</v>
      </c>
      <c r="G5475" s="334" t="e">
        <f>IF(D5475="","",SUMIF($I5453:$I5462,D5475,$M5453:$M5462))</f>
        <v>#N/A</v>
      </c>
      <c r="H5475" s="536" t="e">
        <f t="shared" si="1622"/>
        <v>#N/A</v>
      </c>
      <c r="I5475" s="214" t="e">
        <f>IF(D5475="","",IF(H5475="NO APORTA","NO",IF(H5475=MAX($H5470:$H5475),"SI","NO")))</f>
        <v>#N/A</v>
      </c>
      <c r="J5475" s="213" t="e">
        <f t="shared" si="1623"/>
        <v>#N/A</v>
      </c>
      <c r="K5475" s="200" t="e">
        <f t="shared" si="1624"/>
        <v>#N/A</v>
      </c>
      <c r="L5475" s="721"/>
      <c r="M5475" s="729">
        <f>NUMMOD</f>
        <v>1</v>
      </c>
      <c r="N5475" s="730"/>
      <c r="O5475" s="443">
        <f>IF(M5475="","",ROUND(VLOOKUP(M5475,PRESUPUESTOS!$B$16:$H$16,7,FALSE),3))</f>
        <v>25.780999999999999</v>
      </c>
      <c r="P5475" s="713">
        <f>IF(OR(COUNTIF(P5453:P5462,"")&gt;=10,Q5469&lt;NUMMINCONT,OR(T5467="NO CUMPLE",T5467="VERIFICAR")),0,ROUND((SUM(P5453:P5462)/SUM(M5453:M5462)),3))</f>
        <v>0</v>
      </c>
      <c r="Q5475" s="714"/>
      <c r="R5475" s="458"/>
      <c r="S5475" s="459"/>
      <c r="T5475" s="460"/>
      <c r="U5475" s="219"/>
      <c r="V5475" s="464"/>
      <c r="Y5475" s="532" t="s">
        <v>343</v>
      </c>
      <c r="AA5475" s="540" t="e">
        <f>IF(AND(C5474&lt;=F5468,F5468&lt;&gt;""),VLOOKUP(VALUE(E5449&amp;","&amp;C5474),INTEGRANTES!$D$18:$F$235,2,0),"")</f>
        <v>#N/A</v>
      </c>
      <c r="AB5475" s="545" t="e">
        <f t="shared" si="1625"/>
        <v>#N/A</v>
      </c>
      <c r="AC5475" s="529"/>
      <c r="AD5475" s="200" t="e">
        <f t="shared" si="1626"/>
        <v>#N/A</v>
      </c>
      <c r="AE5475" s="52"/>
      <c r="AF5475" s="52"/>
      <c r="AG5475" s="52"/>
      <c r="AH5475" s="87"/>
      <c r="AI5475" s="87"/>
    </row>
    <row r="5476" spans="1:35" ht="16.5" hidden="1" customHeight="1" thickBot="1">
      <c r="A5476" s="218" t="e">
        <f>"T"&amp;E5449</f>
        <v>#N/A</v>
      </c>
      <c r="B5476" s="703"/>
      <c r="C5476" s="719"/>
      <c r="D5476" s="719"/>
      <c r="E5476" s="719"/>
      <c r="F5476" s="719"/>
      <c r="G5476" s="719"/>
      <c r="H5476" s="719" t="s">
        <v>110</v>
      </c>
      <c r="I5476" s="719"/>
      <c r="J5476" s="719"/>
      <c r="K5476" s="201" t="str">
        <f>IF(COUNTIF(K5470:K5475,"")=6,"",IF(COUNTIF(K5470:K5475,"CUMPLE")&gt;0,"CUMPLE","NO CUMPLE"))</f>
        <v>NO CUMPLE</v>
      </c>
      <c r="L5476" s="754"/>
      <c r="M5476" s="755"/>
      <c r="N5476" s="755"/>
      <c r="O5476" s="755"/>
      <c r="P5476" s="755"/>
      <c r="Q5476" s="756"/>
      <c r="R5476" s="461"/>
      <c r="S5476" s="462"/>
      <c r="T5476" s="463"/>
      <c r="U5476" s="219"/>
      <c r="V5476" s="464"/>
      <c r="Y5476" s="549" t="e">
        <f>IF(Y5470="NO APLICA","NO APLICA",IF(COUNTIF(AD5471:AD5476,"CUMPLE")&gt;0,"CUMPLE","NO CUMPLE"))</f>
        <v>#N/A</v>
      </c>
      <c r="AA5476" s="541" t="e">
        <f>IF(AND(C5475&lt;=F5468,F5468&lt;&gt;""),VLOOKUP(VALUE(E5449&amp;","&amp;C5475),INTEGRANTES!$D$18:$F$235,2,0),"")</f>
        <v>#N/A</v>
      </c>
      <c r="AB5476" s="546" t="e">
        <f t="shared" si="1625"/>
        <v>#N/A</v>
      </c>
      <c r="AC5476" s="543"/>
      <c r="AD5476" s="201" t="e">
        <f t="shared" si="1626"/>
        <v>#N/A</v>
      </c>
      <c r="AE5476" s="52"/>
      <c r="AF5476" s="52"/>
      <c r="AG5476" s="52"/>
      <c r="AH5476" s="87"/>
      <c r="AI5476" s="87"/>
    </row>
    <row r="5477" spans="1:35" hidden="1">
      <c r="AH5477" s="87"/>
      <c r="AI5477" s="87"/>
    </row>
    <row r="5478" spans="1:35" hidden="1">
      <c r="AH5478" s="87"/>
      <c r="AI5478" s="87"/>
    </row>
    <row r="5479" spans="1:35" ht="24" hidden="1" thickBot="1">
      <c r="A5479" s="61">
        <v>183</v>
      </c>
      <c r="B5479" s="704" t="s">
        <v>51</v>
      </c>
      <c r="C5479" s="704"/>
      <c r="D5479" s="704"/>
      <c r="E5479" s="62" t="e">
        <f>VLOOKUP(A5479,PROPONENTES!$B$19:$E$218,2,FALSE)</f>
        <v>#N/A</v>
      </c>
      <c r="F5479" s="63" t="e">
        <f>VLOOKUP(A5479,PROPONENTES!$B$19:$E$218,3,FALSE)</f>
        <v>#N/A</v>
      </c>
      <c r="G5479" s="64"/>
      <c r="H5479" s="64"/>
      <c r="I5479" s="63"/>
      <c r="J5479" s="63"/>
      <c r="K5479" s="65"/>
      <c r="L5479" s="65"/>
      <c r="M5479" s="64"/>
      <c r="N5479" s="64"/>
      <c r="O5479" s="66"/>
      <c r="P5479" s="66"/>
      <c r="Q5479" s="66"/>
      <c r="R5479" s="66"/>
      <c r="S5479" s="67"/>
      <c r="T5479" s="68"/>
      <c r="U5479" s="68"/>
      <c r="AC5479" s="68"/>
      <c r="AD5479" s="68"/>
      <c r="AE5479" s="68"/>
      <c r="AF5479" s="68"/>
      <c r="AG5479" s="68"/>
      <c r="AH5479" s="87"/>
      <c r="AI5479" s="87"/>
    </row>
    <row r="5480" spans="1:35" ht="15.75" hidden="1" customHeight="1">
      <c r="A5480" s="44"/>
      <c r="B5480" s="709" t="s">
        <v>59</v>
      </c>
      <c r="C5480" s="552" t="s">
        <v>60</v>
      </c>
      <c r="D5480" s="70" t="s">
        <v>17</v>
      </c>
      <c r="E5480" s="70"/>
      <c r="F5480" s="70" t="s">
        <v>61</v>
      </c>
      <c r="G5480" s="71"/>
      <c r="H5480" s="699" t="s">
        <v>62</v>
      </c>
      <c r="I5480" s="699" t="s">
        <v>18</v>
      </c>
      <c r="J5480" s="699" t="s">
        <v>63</v>
      </c>
      <c r="K5480" s="699" t="s">
        <v>64</v>
      </c>
      <c r="L5480" s="699" t="s">
        <v>65</v>
      </c>
      <c r="M5480" s="743" t="s">
        <v>66</v>
      </c>
      <c r="N5480" s="699" t="s">
        <v>282</v>
      </c>
      <c r="O5480" s="745" t="s">
        <v>67</v>
      </c>
      <c r="P5480" s="746"/>
      <c r="Q5480" s="102" t="s">
        <v>75</v>
      </c>
      <c r="R5480" s="731" t="s">
        <v>22</v>
      </c>
      <c r="S5480" s="732"/>
      <c r="T5480" s="733"/>
      <c r="U5480" s="712" t="s">
        <v>298</v>
      </c>
      <c r="W5480" s="690" t="s">
        <v>268</v>
      </c>
      <c r="X5480" s="691"/>
      <c r="Y5480" s="692"/>
      <c r="Z5480" s="428"/>
      <c r="AA5480" s="697" t="s">
        <v>315</v>
      </c>
      <c r="AB5480" s="695" t="s">
        <v>322</v>
      </c>
      <c r="AC5480" s="49"/>
      <c r="AD5480" s="690" t="s">
        <v>297</v>
      </c>
      <c r="AE5480" s="691"/>
      <c r="AF5480" s="692"/>
      <c r="AG5480" s="49"/>
      <c r="AH5480" s="87"/>
      <c r="AI5480" s="87"/>
    </row>
    <row r="5481" spans="1:35" ht="72" hidden="1">
      <c r="A5481" s="44"/>
      <c r="B5481" s="710"/>
      <c r="C5481" s="553" t="s">
        <v>68</v>
      </c>
      <c r="D5481" s="73" t="s">
        <v>3</v>
      </c>
      <c r="E5481" s="73" t="s">
        <v>19</v>
      </c>
      <c r="F5481" s="73" t="s">
        <v>69</v>
      </c>
      <c r="G5481" s="74" t="s">
        <v>70</v>
      </c>
      <c r="H5481" s="700"/>
      <c r="I5481" s="700"/>
      <c r="J5481" s="700"/>
      <c r="K5481" s="700"/>
      <c r="L5481" s="700"/>
      <c r="M5481" s="744"/>
      <c r="N5481" s="700"/>
      <c r="O5481" s="553" t="s">
        <v>279</v>
      </c>
      <c r="P5481" s="73" t="s">
        <v>88</v>
      </c>
      <c r="Q5481" s="555" t="s">
        <v>76</v>
      </c>
      <c r="R5481" s="734"/>
      <c r="S5481" s="735"/>
      <c r="T5481" s="736"/>
      <c r="U5481" s="712"/>
      <c r="W5481" s="429" t="s">
        <v>269</v>
      </c>
      <c r="X5481" s="457" t="s">
        <v>278</v>
      </c>
      <c r="Y5481" s="430" t="s">
        <v>324</v>
      </c>
      <c r="Z5481" s="428"/>
      <c r="AA5481" s="698"/>
      <c r="AB5481" s="696"/>
      <c r="AC5481" s="49"/>
      <c r="AD5481" s="429" t="s">
        <v>292</v>
      </c>
      <c r="AE5481" s="431" t="s">
        <v>300</v>
      </c>
      <c r="AF5481" s="468" t="s">
        <v>301</v>
      </c>
      <c r="AG5481" s="49"/>
      <c r="AH5481" s="87"/>
      <c r="AI5481" s="87"/>
    </row>
    <row r="5482" spans="1:35" hidden="1">
      <c r="A5482" s="44"/>
      <c r="B5482" s="76"/>
      <c r="C5482" s="77"/>
      <c r="D5482" s="77"/>
      <c r="E5482" s="77"/>
      <c r="F5482" s="77"/>
      <c r="G5482" s="77"/>
      <c r="H5482" s="77"/>
      <c r="I5482" s="77"/>
      <c r="J5482" s="77"/>
      <c r="K5482" s="77"/>
      <c r="L5482" s="77"/>
      <c r="M5482" s="77"/>
      <c r="N5482" s="77"/>
      <c r="O5482" s="77"/>
      <c r="P5482" s="77"/>
      <c r="Q5482" s="77"/>
      <c r="R5482" s="77"/>
      <c r="S5482" s="78"/>
      <c r="T5482" s="79"/>
      <c r="U5482" s="109"/>
      <c r="V5482" s="49"/>
      <c r="W5482" s="432"/>
      <c r="X5482" s="454"/>
      <c r="Y5482" s="433"/>
      <c r="Z5482" s="6"/>
      <c r="AA5482" s="500"/>
      <c r="AB5482" s="562"/>
      <c r="AC5482" s="49"/>
      <c r="AD5482" s="210"/>
      <c r="AE5482" s="434"/>
      <c r="AF5482" s="435"/>
      <c r="AG5482" s="49"/>
      <c r="AH5482" s="87"/>
      <c r="AI5482" s="87"/>
    </row>
    <row r="5483" spans="1:35" hidden="1">
      <c r="A5483" s="80" t="e">
        <f>"A"&amp;E5479</f>
        <v>#N/A</v>
      </c>
      <c r="B5483" s="81">
        <v>1</v>
      </c>
      <c r="C5483" s="82"/>
      <c r="D5483" s="82"/>
      <c r="E5483" s="82"/>
      <c r="F5483" s="82"/>
      <c r="G5483" s="83"/>
      <c r="H5483" s="83"/>
      <c r="I5483" s="84"/>
      <c r="J5483" s="85"/>
      <c r="K5483" s="382"/>
      <c r="L5483" s="85"/>
      <c r="M5483" s="332" t="str">
        <f t="shared" ref="M5483:M5492" si="1627">IF(OR(J5483="",L5483="",H5483="NO"),"",IF(OR(J5483&gt;$P$17,J5483&lt;$O$17,L5483&gt;$P$17,AND(J5483&lt;$O$17,L5483&lt;$O$17)),"FUERA DE RANGO",IF(OR(K5483="---",K5483=""),IF(J5483&gt;=$O$17,ROUND((L5483-J5483+1)/360*12,3),ROUND((L5483-$O$17+1)/360*12,3)),IF(J5483&gt;=$O$17,ROUND((L5483-J5483+1)/360*12-ROUND(K5483,3),3),ROUND((L5483-$O$17+1)/360*12-ROUND(K5483,3),3)))))</f>
        <v/>
      </c>
      <c r="N5483" s="86"/>
      <c r="O5483" s="453" t="str">
        <f>IF(OR(G5483="",N5483=""),"",N5483*G5483)</f>
        <v/>
      </c>
      <c r="P5483" s="538" t="str">
        <f>IF(OR(H5483="",M5483="FUERA DE RANGO"),"",IF(OR(L5483&lt;$O$17,L5483&gt;$P$17,L5483="",H5483="NO"),"",IF(OR(N5483="",O5483=""),"",ROUND(O5483,3))))</f>
        <v/>
      </c>
      <c r="Q5483" s="539" t="str">
        <f t="shared" ref="Q5483:Q5492" si="1628">IF(AND(H5483="SI",P5483&lt;&gt;""),ROUND(P5483/M5483,3),"")</f>
        <v/>
      </c>
      <c r="R5483" s="737"/>
      <c r="S5483" s="738"/>
      <c r="T5483" s="739"/>
      <c r="U5483" s="470"/>
      <c r="V5483" s="165"/>
      <c r="W5483" s="446"/>
      <c r="X5483" s="456"/>
      <c r="Y5483" s="436"/>
      <c r="Z5483" s="437"/>
      <c r="AA5483" s="560"/>
      <c r="AB5483" s="561"/>
      <c r="AC5483" s="87"/>
      <c r="AD5483" s="466"/>
      <c r="AE5483" s="456"/>
      <c r="AF5483" s="467"/>
      <c r="AG5483" s="87"/>
      <c r="AH5483" s="87"/>
      <c r="AI5483" s="87"/>
    </row>
    <row r="5484" spans="1:35" hidden="1">
      <c r="A5484" s="80" t="e">
        <f>"B"&amp;E5479</f>
        <v>#N/A</v>
      </c>
      <c r="B5484" s="81">
        <v>2</v>
      </c>
      <c r="C5484" s="106"/>
      <c r="D5484" s="106"/>
      <c r="E5484" s="106"/>
      <c r="F5484" s="106"/>
      <c r="G5484" s="83"/>
      <c r="H5484" s="83"/>
      <c r="I5484" s="84"/>
      <c r="J5484" s="85"/>
      <c r="K5484" s="382"/>
      <c r="L5484" s="85"/>
      <c r="M5484" s="332" t="str">
        <f t="shared" si="1627"/>
        <v/>
      </c>
      <c r="N5484" s="86"/>
      <c r="O5484" s="453" t="str">
        <f t="shared" ref="O5484:O5492" si="1629">IF(OR(G5484="",N5484=""),"",N5484*G5484)</f>
        <v/>
      </c>
      <c r="P5484" s="538" t="str">
        <f t="shared" ref="P5484:P5492" si="1630">IF(OR(H5484="",M5484="FUERA DE RANGO"),"",IF(OR(L5484&lt;$O$17,L5484&gt;$P$17,L5484="",H5484="NO"),"",IF(OR(N5484="",O5484=""),"",ROUND(O5484,3))))</f>
        <v/>
      </c>
      <c r="Q5484" s="539" t="str">
        <f t="shared" si="1628"/>
        <v/>
      </c>
      <c r="R5484" s="740"/>
      <c r="S5484" s="741"/>
      <c r="T5484" s="742"/>
      <c r="U5484" s="471"/>
      <c r="V5484" s="165"/>
      <c r="W5484" s="446"/>
      <c r="X5484" s="456"/>
      <c r="Y5484" s="436"/>
      <c r="Z5484" s="437"/>
      <c r="AA5484" s="560"/>
      <c r="AB5484" s="561"/>
      <c r="AC5484" s="87"/>
      <c r="AD5484" s="466"/>
      <c r="AE5484" s="456"/>
      <c r="AF5484" s="467"/>
      <c r="AG5484" s="87"/>
      <c r="AH5484" s="87"/>
      <c r="AI5484" s="87"/>
    </row>
    <row r="5485" spans="1:35" hidden="1">
      <c r="A5485" s="80" t="e">
        <f>"C"&amp;E5479</f>
        <v>#N/A</v>
      </c>
      <c r="B5485" s="88">
        <v>3</v>
      </c>
      <c r="C5485" s="82"/>
      <c r="D5485" s="82"/>
      <c r="E5485" s="82"/>
      <c r="F5485" s="82"/>
      <c r="G5485" s="83"/>
      <c r="H5485" s="83"/>
      <c r="I5485" s="84"/>
      <c r="J5485" s="85"/>
      <c r="K5485" s="382"/>
      <c r="L5485" s="85"/>
      <c r="M5485" s="332" t="str">
        <f t="shared" si="1627"/>
        <v/>
      </c>
      <c r="N5485" s="86"/>
      <c r="O5485" s="453" t="str">
        <f t="shared" si="1629"/>
        <v/>
      </c>
      <c r="P5485" s="538" t="str">
        <f t="shared" si="1630"/>
        <v/>
      </c>
      <c r="Q5485" s="539" t="str">
        <f t="shared" si="1628"/>
        <v/>
      </c>
      <c r="R5485" s="706"/>
      <c r="S5485" s="707"/>
      <c r="T5485" s="708"/>
      <c r="U5485" s="472"/>
      <c r="V5485" s="166"/>
      <c r="W5485" s="446"/>
      <c r="X5485" s="456"/>
      <c r="Y5485" s="436"/>
      <c r="Z5485" s="437"/>
      <c r="AA5485" s="560"/>
      <c r="AB5485" s="561"/>
      <c r="AC5485" s="87"/>
      <c r="AD5485" s="466"/>
      <c r="AE5485" s="456"/>
      <c r="AF5485" s="467"/>
      <c r="AG5485" s="87"/>
      <c r="AH5485" s="87"/>
      <c r="AI5485" s="87"/>
    </row>
    <row r="5486" spans="1:35" hidden="1">
      <c r="A5486" s="80" t="e">
        <f>"D"&amp;E5479</f>
        <v>#N/A</v>
      </c>
      <c r="B5486" s="105">
        <v>4</v>
      </c>
      <c r="C5486" s="107"/>
      <c r="D5486" s="107"/>
      <c r="E5486" s="107"/>
      <c r="F5486" s="107"/>
      <c r="G5486" s="83"/>
      <c r="H5486" s="83"/>
      <c r="I5486" s="84"/>
      <c r="J5486" s="85"/>
      <c r="K5486" s="382"/>
      <c r="L5486" s="85"/>
      <c r="M5486" s="332" t="str">
        <f t="shared" si="1627"/>
        <v/>
      </c>
      <c r="N5486" s="86"/>
      <c r="O5486" s="453" t="str">
        <f t="shared" si="1629"/>
        <v/>
      </c>
      <c r="P5486" s="538" t="str">
        <f t="shared" si="1630"/>
        <v/>
      </c>
      <c r="Q5486" s="539" t="str">
        <f t="shared" si="1628"/>
        <v/>
      </c>
      <c r="R5486" s="706"/>
      <c r="S5486" s="707"/>
      <c r="T5486" s="708"/>
      <c r="U5486" s="472"/>
      <c r="V5486" s="166"/>
      <c r="W5486" s="446"/>
      <c r="X5486" s="456"/>
      <c r="Y5486" s="436"/>
      <c r="Z5486" s="437"/>
      <c r="AA5486" s="560"/>
      <c r="AB5486" s="561"/>
      <c r="AC5486" s="87"/>
      <c r="AD5486" s="466"/>
      <c r="AE5486" s="456"/>
      <c r="AF5486" s="467"/>
      <c r="AG5486" s="87"/>
      <c r="AH5486" s="87"/>
      <c r="AI5486" s="87"/>
    </row>
    <row r="5487" spans="1:35" hidden="1">
      <c r="A5487" s="80" t="e">
        <f>"E"&amp;E5479</f>
        <v>#N/A</v>
      </c>
      <c r="B5487" s="105">
        <v>5</v>
      </c>
      <c r="C5487" s="107"/>
      <c r="D5487" s="107"/>
      <c r="E5487" s="107"/>
      <c r="F5487" s="107"/>
      <c r="G5487" s="83"/>
      <c r="H5487" s="83"/>
      <c r="I5487" s="84"/>
      <c r="J5487" s="85"/>
      <c r="K5487" s="382"/>
      <c r="L5487" s="85"/>
      <c r="M5487" s="332" t="str">
        <f t="shared" si="1627"/>
        <v/>
      </c>
      <c r="N5487" s="86"/>
      <c r="O5487" s="453" t="str">
        <f t="shared" si="1629"/>
        <v/>
      </c>
      <c r="P5487" s="538" t="str">
        <f t="shared" si="1630"/>
        <v/>
      </c>
      <c r="Q5487" s="539" t="str">
        <f t="shared" si="1628"/>
        <v/>
      </c>
      <c r="R5487" s="706"/>
      <c r="S5487" s="707"/>
      <c r="T5487" s="708"/>
      <c r="U5487" s="472"/>
      <c r="V5487" s="167"/>
      <c r="W5487" s="446"/>
      <c r="X5487" s="456"/>
      <c r="Y5487" s="436"/>
      <c r="Z5487" s="437"/>
      <c r="AA5487" s="560"/>
      <c r="AB5487" s="561"/>
      <c r="AC5487" s="87"/>
      <c r="AD5487" s="466"/>
      <c r="AE5487" s="456"/>
      <c r="AF5487" s="467"/>
      <c r="AG5487" s="87"/>
      <c r="AH5487" s="87"/>
      <c r="AI5487" s="87"/>
    </row>
    <row r="5488" spans="1:35" hidden="1">
      <c r="A5488" s="80" t="e">
        <f>"F"&amp;E5479</f>
        <v>#N/A</v>
      </c>
      <c r="B5488" s="105">
        <v>6</v>
      </c>
      <c r="C5488" s="107"/>
      <c r="D5488" s="107"/>
      <c r="E5488" s="107"/>
      <c r="F5488" s="107"/>
      <c r="G5488" s="83"/>
      <c r="H5488" s="83"/>
      <c r="I5488" s="84"/>
      <c r="J5488" s="85"/>
      <c r="K5488" s="382"/>
      <c r="L5488" s="85"/>
      <c r="M5488" s="332" t="str">
        <f t="shared" si="1627"/>
        <v/>
      </c>
      <c r="N5488" s="86"/>
      <c r="O5488" s="453" t="str">
        <f t="shared" si="1629"/>
        <v/>
      </c>
      <c r="P5488" s="538" t="str">
        <f t="shared" si="1630"/>
        <v/>
      </c>
      <c r="Q5488" s="539" t="str">
        <f t="shared" si="1628"/>
        <v/>
      </c>
      <c r="R5488" s="706"/>
      <c r="S5488" s="707"/>
      <c r="T5488" s="708"/>
      <c r="U5488" s="472"/>
      <c r="V5488" s="167"/>
      <c r="W5488" s="446"/>
      <c r="X5488" s="456"/>
      <c r="Y5488" s="436"/>
      <c r="Z5488" s="437"/>
      <c r="AA5488" s="560"/>
      <c r="AB5488" s="561"/>
      <c r="AC5488" s="87"/>
      <c r="AD5488" s="466"/>
      <c r="AE5488" s="456"/>
      <c r="AF5488" s="467"/>
      <c r="AG5488" s="87"/>
      <c r="AH5488" s="87"/>
      <c r="AI5488" s="87"/>
    </row>
    <row r="5489" spans="1:35" hidden="1">
      <c r="A5489" s="80" t="e">
        <f>"G"&amp;E5479</f>
        <v>#N/A</v>
      </c>
      <c r="B5489" s="105">
        <v>7</v>
      </c>
      <c r="C5489" s="107"/>
      <c r="D5489" s="107"/>
      <c r="E5489" s="107"/>
      <c r="F5489" s="107"/>
      <c r="G5489" s="83"/>
      <c r="H5489" s="83"/>
      <c r="I5489" s="84"/>
      <c r="J5489" s="85"/>
      <c r="K5489" s="382"/>
      <c r="L5489" s="85"/>
      <c r="M5489" s="332" t="str">
        <f t="shared" si="1627"/>
        <v/>
      </c>
      <c r="N5489" s="86"/>
      <c r="O5489" s="86" t="str">
        <f t="shared" si="1629"/>
        <v/>
      </c>
      <c r="P5489" s="538" t="str">
        <f t="shared" si="1630"/>
        <v/>
      </c>
      <c r="Q5489" s="539" t="str">
        <f t="shared" si="1628"/>
        <v/>
      </c>
      <c r="R5489" s="706"/>
      <c r="S5489" s="707"/>
      <c r="T5489" s="708"/>
      <c r="U5489" s="472"/>
      <c r="V5489" s="167"/>
      <c r="W5489" s="446"/>
      <c r="X5489" s="456"/>
      <c r="Y5489" s="436"/>
      <c r="Z5489" s="437"/>
      <c r="AA5489" s="560"/>
      <c r="AB5489" s="561"/>
      <c r="AC5489" s="87"/>
      <c r="AD5489" s="466"/>
      <c r="AE5489" s="456"/>
      <c r="AF5489" s="467"/>
      <c r="AG5489" s="87"/>
      <c r="AH5489" s="87"/>
      <c r="AI5489" s="87"/>
    </row>
    <row r="5490" spans="1:35" hidden="1">
      <c r="A5490" s="80" t="e">
        <f>"H"&amp;E5479</f>
        <v>#N/A</v>
      </c>
      <c r="B5490" s="105">
        <v>8</v>
      </c>
      <c r="C5490" s="107"/>
      <c r="D5490" s="107"/>
      <c r="E5490" s="107"/>
      <c r="F5490" s="107"/>
      <c r="G5490" s="83"/>
      <c r="H5490" s="83"/>
      <c r="I5490" s="84"/>
      <c r="J5490" s="85"/>
      <c r="K5490" s="382"/>
      <c r="L5490" s="85"/>
      <c r="M5490" s="332" t="str">
        <f t="shared" si="1627"/>
        <v/>
      </c>
      <c r="N5490" s="453"/>
      <c r="O5490" s="86" t="str">
        <f t="shared" si="1629"/>
        <v/>
      </c>
      <c r="P5490" s="538" t="str">
        <f t="shared" si="1630"/>
        <v/>
      </c>
      <c r="Q5490" s="539" t="str">
        <f t="shared" si="1628"/>
        <v/>
      </c>
      <c r="R5490" s="706"/>
      <c r="S5490" s="707"/>
      <c r="T5490" s="708"/>
      <c r="U5490" s="472"/>
      <c r="V5490" s="167"/>
      <c r="W5490" s="446"/>
      <c r="X5490" s="456"/>
      <c r="Y5490" s="436"/>
      <c r="Z5490" s="437"/>
      <c r="AA5490" s="560"/>
      <c r="AB5490" s="561"/>
      <c r="AC5490" s="87"/>
      <c r="AD5490" s="466"/>
      <c r="AE5490" s="456"/>
      <c r="AF5490" s="467"/>
      <c r="AG5490" s="87"/>
      <c r="AH5490" s="87"/>
      <c r="AI5490" s="87"/>
    </row>
    <row r="5491" spans="1:35" hidden="1">
      <c r="A5491" s="80" t="e">
        <f>"I"&amp;E5479</f>
        <v>#N/A</v>
      </c>
      <c r="B5491" s="105">
        <v>9</v>
      </c>
      <c r="C5491" s="107"/>
      <c r="D5491" s="107"/>
      <c r="E5491" s="107"/>
      <c r="F5491" s="107"/>
      <c r="G5491" s="83"/>
      <c r="H5491" s="83"/>
      <c r="I5491" s="84"/>
      <c r="J5491" s="85"/>
      <c r="K5491" s="382"/>
      <c r="L5491" s="85"/>
      <c r="M5491" s="332" t="str">
        <f t="shared" si="1627"/>
        <v/>
      </c>
      <c r="N5491" s="453"/>
      <c r="O5491" s="86" t="str">
        <f t="shared" si="1629"/>
        <v/>
      </c>
      <c r="P5491" s="538" t="str">
        <f t="shared" si="1630"/>
        <v/>
      </c>
      <c r="Q5491" s="539" t="str">
        <f t="shared" si="1628"/>
        <v/>
      </c>
      <c r="R5491" s="706"/>
      <c r="S5491" s="707"/>
      <c r="T5491" s="708"/>
      <c r="U5491" s="472"/>
      <c r="V5491" s="167"/>
      <c r="W5491" s="446"/>
      <c r="X5491" s="456"/>
      <c r="Y5491" s="436"/>
      <c r="Z5491" s="437"/>
      <c r="AA5491" s="560"/>
      <c r="AB5491" s="561"/>
      <c r="AC5491" s="87"/>
      <c r="AD5491" s="466"/>
      <c r="AE5491" s="456"/>
      <c r="AF5491" s="467"/>
      <c r="AG5491" s="87"/>
      <c r="AH5491" s="87"/>
      <c r="AI5491" s="87"/>
    </row>
    <row r="5492" spans="1:35" hidden="1">
      <c r="A5492" s="80" t="e">
        <f>"J"&amp;E5479</f>
        <v>#N/A</v>
      </c>
      <c r="B5492" s="105">
        <v>10</v>
      </c>
      <c r="C5492" s="107"/>
      <c r="D5492" s="107"/>
      <c r="E5492" s="107"/>
      <c r="F5492" s="107"/>
      <c r="G5492" s="83"/>
      <c r="H5492" s="83"/>
      <c r="I5492" s="84"/>
      <c r="J5492" s="85"/>
      <c r="K5492" s="382"/>
      <c r="L5492" s="85"/>
      <c r="M5492" s="332" t="str">
        <f t="shared" si="1627"/>
        <v/>
      </c>
      <c r="N5492" s="453"/>
      <c r="O5492" s="86" t="str">
        <f t="shared" si="1629"/>
        <v/>
      </c>
      <c r="P5492" s="538" t="str">
        <f t="shared" si="1630"/>
        <v/>
      </c>
      <c r="Q5492" s="539" t="str">
        <f t="shared" si="1628"/>
        <v/>
      </c>
      <c r="R5492" s="706"/>
      <c r="S5492" s="707"/>
      <c r="T5492" s="708"/>
      <c r="U5492" s="472"/>
      <c r="V5492" s="167"/>
      <c r="W5492" s="446"/>
      <c r="X5492" s="456"/>
      <c r="Y5492" s="436"/>
      <c r="Z5492" s="437"/>
      <c r="AA5492" s="560"/>
      <c r="AB5492" s="561"/>
      <c r="AC5492" s="87"/>
      <c r="AD5492" s="466"/>
      <c r="AE5492" s="456"/>
      <c r="AF5492" s="467"/>
      <c r="AG5492" s="87"/>
      <c r="AH5492" s="87"/>
      <c r="AI5492" s="87"/>
    </row>
    <row r="5493" spans="1:35" ht="16.5" hidden="1" thickBot="1">
      <c r="A5493" s="44"/>
      <c r="B5493" s="89"/>
      <c r="C5493" s="90"/>
      <c r="D5493" s="90"/>
      <c r="E5493" s="90"/>
      <c r="F5493" s="90"/>
      <c r="G5493" s="90"/>
      <c r="H5493" s="90"/>
      <c r="I5493" s="90"/>
      <c r="J5493" s="90"/>
      <c r="K5493" s="90"/>
      <c r="L5493" s="90"/>
      <c r="M5493" s="90"/>
      <c r="N5493" s="90"/>
      <c r="O5493" s="90"/>
      <c r="P5493" s="90"/>
      <c r="Q5493" s="90"/>
      <c r="R5493" s="90"/>
      <c r="S5493" s="91"/>
      <c r="T5493" s="92"/>
      <c r="U5493" s="473"/>
      <c r="W5493" s="438"/>
      <c r="X5493" s="455"/>
      <c r="Y5493" s="439"/>
      <c r="Z5493" s="437"/>
      <c r="AA5493" s="530"/>
      <c r="AB5493" s="563"/>
      <c r="AC5493" s="87"/>
      <c r="AD5493" s="440"/>
      <c r="AE5493" s="441"/>
      <c r="AF5493" s="442"/>
      <c r="AG5493" s="49"/>
      <c r="AH5493" s="87"/>
      <c r="AI5493" s="87"/>
    </row>
    <row r="5494" spans="1:35" ht="16.5" hidden="1" thickBot="1">
      <c r="A5494" s="93"/>
      <c r="B5494" s="94"/>
      <c r="C5494" s="96"/>
      <c r="D5494" s="96"/>
      <c r="E5494" s="96"/>
      <c r="F5494" s="96"/>
      <c r="G5494" s="96"/>
      <c r="H5494" s="96"/>
      <c r="I5494" s="96"/>
      <c r="J5494" s="96"/>
      <c r="K5494" s="96"/>
      <c r="L5494" s="96"/>
      <c r="M5494" s="136"/>
      <c r="N5494" s="96"/>
      <c r="O5494" s="96"/>
      <c r="P5494" s="97"/>
      <c r="Q5494" s="97"/>
      <c r="R5494" s="98"/>
      <c r="S5494" s="95"/>
      <c r="T5494" s="99"/>
      <c r="U5494" s="469"/>
      <c r="AC5494" s="58"/>
      <c r="AG5494" s="58"/>
      <c r="AH5494" s="87"/>
      <c r="AI5494" s="87"/>
    </row>
    <row r="5495" spans="1:35" ht="16.5" hidden="1" thickBot="1">
      <c r="B5495" s="101"/>
      <c r="C5495" s="101"/>
      <c r="D5495" s="101"/>
      <c r="E5495" s="101"/>
      <c r="F5495" s="101"/>
      <c r="G5495" s="101"/>
      <c r="H5495" s="101"/>
      <c r="I5495" s="101"/>
      <c r="J5495" s="101"/>
      <c r="K5495" s="101"/>
      <c r="L5495" s="101"/>
      <c r="M5495" s="101"/>
      <c r="N5495" s="101"/>
      <c r="O5495" s="101"/>
      <c r="P5495" s="101"/>
      <c r="Q5495" s="101"/>
      <c r="R5495" s="101"/>
      <c r="S5495" s="101"/>
      <c r="U5495" s="50"/>
      <c r="AH5495" s="87"/>
      <c r="AI5495" s="87"/>
    </row>
    <row r="5496" spans="1:35" ht="16.5" hidden="1" customHeight="1" thickBot="1">
      <c r="A5496" s="44"/>
      <c r="B5496" s="705" t="s">
        <v>74</v>
      </c>
      <c r="C5496" s="705"/>
      <c r="D5496" s="705"/>
      <c r="E5496" s="705"/>
      <c r="F5496" s="705"/>
      <c r="G5496" s="705"/>
      <c r="H5496" s="705"/>
      <c r="I5496" s="705"/>
      <c r="J5496" s="705"/>
      <c r="K5496" s="705"/>
      <c r="L5496" s="705"/>
      <c r="M5496" s="705"/>
      <c r="N5496" s="705"/>
      <c r="O5496" s="705"/>
      <c r="P5496" s="705"/>
      <c r="Q5496" s="705"/>
      <c r="R5496" s="705"/>
      <c r="S5496" s="705"/>
      <c r="T5496" s="705"/>
      <c r="U5496" s="108"/>
      <c r="Y5496" s="532" t="s">
        <v>341</v>
      </c>
      <c r="AC5496" s="49"/>
      <c r="AD5496" s="687" t="s">
        <v>302</v>
      </c>
      <c r="AE5496" s="688"/>
      <c r="AF5496" s="689"/>
      <c r="AG5496" s="49"/>
      <c r="AH5496" s="87"/>
      <c r="AI5496" s="87"/>
    </row>
    <row r="5497" spans="1:35" ht="16.5" hidden="1" customHeight="1" thickBot="1">
      <c r="A5497" s="218" t="e">
        <f>"K"&amp;E5479</f>
        <v>#N/A</v>
      </c>
      <c r="B5497" s="701" t="s">
        <v>71</v>
      </c>
      <c r="C5497" s="751" t="s">
        <v>102</v>
      </c>
      <c r="D5497" s="751"/>
      <c r="E5497" s="751"/>
      <c r="F5497" s="751"/>
      <c r="G5497" s="751"/>
      <c r="H5497" s="751"/>
      <c r="I5497" s="751"/>
      <c r="J5497" s="751"/>
      <c r="K5497" s="751"/>
      <c r="L5497" s="722" t="s">
        <v>100</v>
      </c>
      <c r="M5497" s="747" t="s">
        <v>114</v>
      </c>
      <c r="N5497" s="747"/>
      <c r="O5497" s="747"/>
      <c r="P5497" s="747"/>
      <c r="Q5497" s="748"/>
      <c r="R5497" s="758" t="s">
        <v>280</v>
      </c>
      <c r="S5497" s="748"/>
      <c r="T5497" s="762" t="str">
        <f>IF(COUNTIF(AE5497:AF5497,"VERIFICAR")&gt;0,"VERIFICAR",IF(COUNTIF(AE5497:AF5497,"NO CUMPLE")&gt;0,"NO CUMPLE","CUMPLE"))</f>
        <v>VERIFICAR</v>
      </c>
      <c r="U5497" s="108"/>
      <c r="Y5497" s="533" t="e">
        <f>IF(F5498="","",IF(F5498=1,"INDIVIDUAL","ESTRUCTURA PLURAL"))</f>
        <v>#N/A</v>
      </c>
      <c r="AC5497" s="52"/>
      <c r="AD5497" s="475" t="s">
        <v>303</v>
      </c>
      <c r="AE5497" s="476" t="str">
        <f>IF(COUNTIF(AE5483:AE5492,"")=10,"VERIFICAR",IF(COUNTIF(AE5483:AE5492,"SI")&gt;0,"CUMPLE","NO CUMPLE"))</f>
        <v>VERIFICAR</v>
      </c>
      <c r="AF5497" s="477" t="str">
        <f>IF(COUNTIF(AF5483:AF5492,"")=10,"VERIFICAR",IF(COUNTIF(AF5483:AF5492,"SI")&gt;=$AI$22,"CUMPLE","NO CUMPLE"))</f>
        <v>VERIFICAR</v>
      </c>
      <c r="AG5497" s="52"/>
      <c r="AH5497" s="87"/>
      <c r="AI5497" s="87"/>
    </row>
    <row r="5498" spans="1:35" ht="15.75" hidden="1" customHeight="1" thickBot="1">
      <c r="A5498" s="218" t="e">
        <f>"L"&amp;E5479</f>
        <v>#N/A</v>
      </c>
      <c r="B5498" s="702"/>
      <c r="C5498" s="751" t="s">
        <v>103</v>
      </c>
      <c r="D5498" s="751"/>
      <c r="E5498" s="752"/>
      <c r="F5498" s="557" t="e">
        <f>IF(VLOOKUP(E5479,PROPONENTES!$C$19:$E$218,3,0)="","",VLOOKUP(E5479,PROPONENTES!$C$19:$E$218,3,0))</f>
        <v>#N/A</v>
      </c>
      <c r="G5498" s="753" t="s">
        <v>104</v>
      </c>
      <c r="H5498" s="751"/>
      <c r="I5498" s="715" t="e">
        <f>IF(OR(F5498="",F5498=1),"INTERESADO PERSONA NATURAL O JURIDICA","CONSORCIO O UNION TEMPORAL")</f>
        <v>#N/A</v>
      </c>
      <c r="J5498" s="725"/>
      <c r="K5498" s="728"/>
      <c r="L5498" s="723"/>
      <c r="M5498" s="749"/>
      <c r="N5498" s="749"/>
      <c r="O5498" s="749"/>
      <c r="P5498" s="749"/>
      <c r="Q5498" s="750"/>
      <c r="R5498" s="712"/>
      <c r="S5498" s="750"/>
      <c r="T5498" s="763"/>
      <c r="U5498" s="108"/>
      <c r="Y5498" s="534"/>
      <c r="AA5498" s="52"/>
      <c r="AB5498" s="52"/>
      <c r="AC5498" s="52"/>
      <c r="AG5498" s="52"/>
      <c r="AH5498" s="87"/>
      <c r="AI5498" s="87"/>
    </row>
    <row r="5499" spans="1:35" ht="56.25" hidden="1" customHeight="1" thickBot="1">
      <c r="A5499" s="218" t="e">
        <f>"M"&amp;E5479</f>
        <v>#N/A</v>
      </c>
      <c r="B5499" s="702"/>
      <c r="C5499" s="725" t="s">
        <v>101</v>
      </c>
      <c r="D5499" s="716"/>
      <c r="E5499" s="558" t="s">
        <v>105</v>
      </c>
      <c r="F5499" s="554" t="s">
        <v>87</v>
      </c>
      <c r="G5499" s="553" t="s">
        <v>86</v>
      </c>
      <c r="H5499" s="559" t="s">
        <v>85</v>
      </c>
      <c r="I5499" s="554" t="s">
        <v>252</v>
      </c>
      <c r="J5499" s="553" t="str">
        <f>"¿EL INTEGRANTE TIENE UNA PARTICIPACIÓN DEL "&amp;PORCREQUERIDOINT*100&amp;"%?"</f>
        <v>¿EL INTEGRANTE TIENE UNA PARTICIPACIÓN DEL 60%?</v>
      </c>
      <c r="K5499" s="554" t="s">
        <v>107</v>
      </c>
      <c r="L5499" s="724"/>
      <c r="M5499" s="717" t="s">
        <v>115</v>
      </c>
      <c r="N5499" s="718"/>
      <c r="O5499" s="718"/>
      <c r="P5499" s="718"/>
      <c r="Q5499" s="223">
        <f>IF(AND(H5483="SI",P5483&gt;=0),1,0)+IF(AND(H5484="SI",P5484&gt;=0),1,0)+IF(AND(H5485="SI",P5485&gt;=0),1,0)+IF(AND(H5486="SI",P5486&gt;=0),1,0)+IF(AND(H5487="SI",P5487&gt;=0),1,0)+IF(AND(H5488="SI",P5488&gt;=0),1,0)+IF(AND(H5489="SI",P5489&gt;=0),1,0)+IF(AND(H5490="SI",P5490&gt;=0),1,0)+IF(AND(H5491="SI",P5491&gt;=0),1,0)+IF(AND(H5492="SI",P5492&gt;=0),1,0)</f>
        <v>0</v>
      </c>
      <c r="R5499" s="759"/>
      <c r="S5499" s="761"/>
      <c r="T5499" s="764"/>
      <c r="U5499" s="219"/>
      <c r="V5499" s="464"/>
      <c r="Y5499" s="532" t="s">
        <v>342</v>
      </c>
      <c r="AA5499" s="550" t="s">
        <v>344</v>
      </c>
      <c r="AB5499" s="693" t="s">
        <v>345</v>
      </c>
      <c r="AC5499" s="693" t="s">
        <v>346</v>
      </c>
      <c r="AD5499" s="685" t="s">
        <v>347</v>
      </c>
      <c r="AE5499" s="52"/>
      <c r="AF5499" s="52"/>
      <c r="AG5499" s="52"/>
      <c r="AH5499" s="87"/>
      <c r="AI5499" s="87"/>
    </row>
    <row r="5500" spans="1:35" ht="15.75" hidden="1" customHeight="1" thickBot="1">
      <c r="A5500" s="218" t="e">
        <f>"N"&amp;E5479</f>
        <v>#N/A</v>
      </c>
      <c r="B5500" s="702"/>
      <c r="C5500" s="114">
        <v>1</v>
      </c>
      <c r="D5500" s="194" t="e">
        <f>IF(AND(C5500&lt;=F5498,F5498&gt;1,F5498&lt;&gt;""),VLOOKUP(VALUE(E5479&amp;","&amp;C5500),INTEGRANTES!$D$18:$F$235,2,0),"")</f>
        <v>#N/A</v>
      </c>
      <c r="E5500" s="211" t="e">
        <f>IF(D5500&lt;&gt;"",VLOOKUP(VALUE(E5479&amp;","&amp;C5500),INTEGRANTES!$D$18:$F$235,3,0),"")</f>
        <v>#N/A</v>
      </c>
      <c r="F5500" s="547" t="e">
        <f>IF(D5500="","",SUMIF($I5483:$I5492,D5500,$P5483:$P5492))</f>
        <v>#N/A</v>
      </c>
      <c r="G5500" s="333" t="e">
        <f>IF(D5500="","",SUMIF($I5483:$I5492,D5500,$M5483:$M5492))</f>
        <v>#N/A</v>
      </c>
      <c r="H5500" s="535" t="e">
        <f t="shared" ref="H5500:H5505" si="1631">IF(D5500="","",IF(OR(F5500=0,G5500=0),"NO APORTA",ROUND($F5500/$G5500,3)))</f>
        <v>#N/A</v>
      </c>
      <c r="I5500" s="212" t="e">
        <f>IF(D5500="","",IF(H5500="NO APORTA","NO",IF(H5500=MAX($H5500:$H5505),"SI","NO")))</f>
        <v>#N/A</v>
      </c>
      <c r="J5500" s="213" t="e">
        <f t="shared" ref="J5500:J5505" si="1632">IF(D5500="","",IF(E5500&gt;=PORCREQUERIDOINT,"SI","NO"))</f>
        <v>#N/A</v>
      </c>
      <c r="K5500" s="200" t="e">
        <f t="shared" ref="K5500:K5505" si="1633">IF(D5500="","",IF(AND(I5500="SI",J5500="SI"),"CUMPLE",IF(AND(I5500="NO",OR(J5500="SI",J5500="NO")),"","NO CUMPLE")))</f>
        <v>#N/A</v>
      </c>
      <c r="L5500" s="722" t="s">
        <v>108</v>
      </c>
      <c r="M5500" s="726" t="s">
        <v>119</v>
      </c>
      <c r="N5500" s="726"/>
      <c r="O5500" s="726"/>
      <c r="P5500" s="726"/>
      <c r="Q5500" s="727"/>
      <c r="R5500" s="758" t="s">
        <v>80</v>
      </c>
      <c r="S5500" s="747"/>
      <c r="T5500" s="748"/>
      <c r="U5500" s="219"/>
      <c r="V5500" s="464"/>
      <c r="Y5500" s="533" t="e">
        <f>IF(Y5497="","",IF(Y5497="INDIVIDUAL","NO APLICA","VERIFICAR CUADRO"))</f>
        <v>#N/A</v>
      </c>
      <c r="AA5500" s="551"/>
      <c r="AB5500" s="694"/>
      <c r="AC5500" s="694"/>
      <c r="AD5500" s="686"/>
      <c r="AE5500" s="52"/>
      <c r="AF5500" s="52"/>
      <c r="AG5500" s="52"/>
      <c r="AH5500" s="87"/>
      <c r="AI5500" s="87"/>
    </row>
    <row r="5501" spans="1:35" ht="27" hidden="1" customHeight="1" thickBot="1">
      <c r="A5501" s="218" t="e">
        <f>"O"&amp;E5479</f>
        <v>#N/A</v>
      </c>
      <c r="B5501" s="702"/>
      <c r="C5501" s="114">
        <v>2</v>
      </c>
      <c r="D5501" s="194" t="e">
        <f>IF(AND(C5501&lt;=F5498,F5498&lt;&gt;""),VLOOKUP(VALUE(E5479&amp;","&amp;C5501),INTEGRANTES!$D$18:$F$235,2,0),"")</f>
        <v>#N/A</v>
      </c>
      <c r="E5501" s="211" t="e">
        <f>IF(D5501&lt;&gt;"",VLOOKUP(VALUE(E5479&amp;","&amp;C5501),INTEGRANTES!$D$18:$F$235,3,0),"")</f>
        <v>#N/A</v>
      </c>
      <c r="F5501" s="547" t="e">
        <f>IF(D5501="","",SUMIF($I5483:$I5492,D5501,$P5483:$P5492))</f>
        <v>#N/A</v>
      </c>
      <c r="G5501" s="333" t="e">
        <f>IF(D5501="","",SUMIF($I5483:$I5492,D5501,$M5483:$M5492))</f>
        <v>#N/A</v>
      </c>
      <c r="H5501" s="535" t="e">
        <f t="shared" si="1631"/>
        <v>#N/A</v>
      </c>
      <c r="I5501" s="212" t="e">
        <f>IF(D5501="","",IF(H5501="NO APORTA","NO",IF(H5501=MAX($H5500:$H5505),"SI","NO")))</f>
        <v>#N/A</v>
      </c>
      <c r="J5501" s="213" t="e">
        <f t="shared" si="1632"/>
        <v>#N/A</v>
      </c>
      <c r="K5501" s="200" t="e">
        <f t="shared" si="1633"/>
        <v>#N/A</v>
      </c>
      <c r="L5501" s="723"/>
      <c r="M5501" s="715" t="s">
        <v>116</v>
      </c>
      <c r="N5501" s="716"/>
      <c r="O5501" s="556" t="s">
        <v>113</v>
      </c>
      <c r="P5501" s="715" t="s">
        <v>117</v>
      </c>
      <c r="Q5501" s="728"/>
      <c r="R5501" s="759"/>
      <c r="S5501" s="760"/>
      <c r="T5501" s="761"/>
      <c r="U5501" s="219"/>
      <c r="V5501" s="464"/>
      <c r="Y5501" s="414"/>
      <c r="AA5501" s="542" t="e">
        <f>IF(AND(C5500&lt;=F5498,F5498&gt;1,F5498&lt;&gt;""),VLOOKUP(VALUE(E5479&amp;","&amp;C5500),INTEGRANTES!$D$18:$F$235,2,0),"")</f>
        <v>#N/A</v>
      </c>
      <c r="AB5501" s="544" t="e">
        <f t="shared" ref="AB5501:AB5506" si="1634">IF(D5500="","",IF(OR(F5500=0,G5500=0),"NO APORTA",ROUND($F5500/$G5500,3)))</f>
        <v>#N/A</v>
      </c>
      <c r="AC5501" s="529"/>
      <c r="AD5501" s="200" t="e">
        <f t="shared" ref="AD5501:AD5506" si="1635">IF(OR(AA5501="",AB5501=""),"",IF(AND(AC5501="X",AB5501&gt;=EXPREQVTD),"CUMPLE","NO CUMPLE"))</f>
        <v>#N/A</v>
      </c>
      <c r="AE5501" s="52"/>
      <c r="AF5501" s="52"/>
      <c r="AG5501" s="52"/>
      <c r="AH5501" s="87"/>
      <c r="AI5501" s="87"/>
    </row>
    <row r="5502" spans="1:35" ht="16.5" hidden="1" thickBot="1">
      <c r="A5502" s="218" t="e">
        <f>"P"&amp;E5479</f>
        <v>#N/A</v>
      </c>
      <c r="B5502" s="702"/>
      <c r="C5502" s="114">
        <v>3</v>
      </c>
      <c r="D5502" s="194" t="e">
        <f>IF(AND(C5502&lt;=F5498,F5498&lt;&gt;""),VLOOKUP(VALUE(E5479&amp;","&amp;C5502),INTEGRANTES!$D$18:$F$235,2,0),"")</f>
        <v>#N/A</v>
      </c>
      <c r="E5502" s="211" t="e">
        <f>IF(D5502&lt;&gt;"",VLOOKUP(VALUE(E5479&amp;","&amp;C5502),INTEGRANTES!$D$18:$F$235,3,0),"")</f>
        <v>#N/A</v>
      </c>
      <c r="F5502" s="547" t="e">
        <f>IF(D5502="","",SUMIF($I5483:$I5492,D5502,$P5483:$P5492))</f>
        <v>#N/A</v>
      </c>
      <c r="G5502" s="333" t="e">
        <f>IF(D5502="","",SUMIF($I5483:$I5492,D5502,$M5483:$M5492))</f>
        <v>#N/A</v>
      </c>
      <c r="H5502" s="535" t="e">
        <f t="shared" si="1631"/>
        <v>#N/A</v>
      </c>
      <c r="I5502" s="212" t="e">
        <f>IF(D5502="","",IF(H5502="NO APORTA","NO",IF(H5502=MAX($H5500:$H5505),"SI","NO")))</f>
        <v>#N/A</v>
      </c>
      <c r="J5502" s="213" t="e">
        <f t="shared" si="1632"/>
        <v>#N/A</v>
      </c>
      <c r="K5502" s="200" t="e">
        <f t="shared" si="1633"/>
        <v>#N/A</v>
      </c>
      <c r="L5502" s="724"/>
      <c r="M5502" s="729">
        <f>NUMMOD</f>
        <v>1</v>
      </c>
      <c r="N5502" s="730"/>
      <c r="O5502" s="443">
        <f>IF(M5502="","",VLOOKUP(M5502,PRESUPUESTOS!$B$16:$H$16,5,FALSE))</f>
        <v>2</v>
      </c>
      <c r="P5502" s="713">
        <f>IF(OR(COUNTIF(M5483:M5492,"")&gt;=10,Q5499&lt;NUMMINCONT,OR(T5497="NO CUMPLE",T5497="VERIFICAR")),0,ROUND(AVERAGE(M5483:M5492),3))</f>
        <v>0</v>
      </c>
      <c r="Q5502" s="714"/>
      <c r="R5502" s="458"/>
      <c r="S5502" s="459"/>
      <c r="T5502" s="460"/>
      <c r="U5502" s="219"/>
      <c r="V5502" s="464"/>
      <c r="Y5502" s="532" t="str">
        <f>"40% * ("&amp;PRESUPUESTOS!$H$13&amp;")"</f>
        <v>40% * (50% PFMO)</v>
      </c>
      <c r="AA5502" s="540" t="e">
        <f>IF(AND(C5501&lt;=F5498,F5498&lt;&gt;""),VLOOKUP(VALUE(E5479&amp;","&amp;C5501),INTEGRANTES!$D$18:$F$235,2,0),"")</f>
        <v>#N/A</v>
      </c>
      <c r="AB5502" s="545" t="e">
        <f t="shared" si="1634"/>
        <v>#N/A</v>
      </c>
      <c r="AC5502" s="529"/>
      <c r="AD5502" s="200" t="e">
        <f t="shared" si="1635"/>
        <v>#N/A</v>
      </c>
      <c r="AE5502" s="52"/>
      <c r="AF5502" s="52"/>
      <c r="AG5502" s="52"/>
      <c r="AH5502" s="87"/>
      <c r="AI5502" s="87"/>
    </row>
    <row r="5503" spans="1:35" ht="15.75" hidden="1" customHeight="1" thickBot="1">
      <c r="A5503" s="218" t="e">
        <f>"Q"&amp;E5479</f>
        <v>#N/A</v>
      </c>
      <c r="B5503" s="702"/>
      <c r="C5503" s="114">
        <v>4</v>
      </c>
      <c r="D5503" s="194" t="e">
        <f>IF(AND(C5503&lt;=F5498,F5498&lt;&gt;""),VLOOKUP(VALUE(E5479&amp;","&amp;C5503),INTEGRANTES!$D$18:$F$235,2,0),"")</f>
        <v>#N/A</v>
      </c>
      <c r="E5503" s="211" t="e">
        <f>IF(D5503&lt;&gt;"",VLOOKUP(VALUE(E5479&amp;","&amp;C5503),INTEGRANTES!$D$18:$F$235,3,0),"")</f>
        <v>#N/A</v>
      </c>
      <c r="F5503" s="547" t="e">
        <f>IF(D5503="","",SUMIF($I5483:$I5492,D5503,$P5483:$P5492))</f>
        <v>#N/A</v>
      </c>
      <c r="G5503" s="333" t="e">
        <f>IF(D5503="","",SUMIF($I5483:$I5492,D5503,$M5483:$M5492))</f>
        <v>#N/A</v>
      </c>
      <c r="H5503" s="535" t="e">
        <f t="shared" si="1631"/>
        <v>#N/A</v>
      </c>
      <c r="I5503" s="212" t="e">
        <f>IF(D5503="","",IF(H5503="NO APORTA","NO",IF(H5503=MAX($H5500:$H5505),"SI","NO")))</f>
        <v>#N/A</v>
      </c>
      <c r="J5503" s="213" t="e">
        <f t="shared" si="1632"/>
        <v>#N/A</v>
      </c>
      <c r="K5503" s="200" t="e">
        <f t="shared" si="1633"/>
        <v>#N/A</v>
      </c>
      <c r="L5503" s="720" t="s">
        <v>109</v>
      </c>
      <c r="M5503" s="757" t="s">
        <v>120</v>
      </c>
      <c r="N5503" s="726"/>
      <c r="O5503" s="726"/>
      <c r="P5503" s="726"/>
      <c r="Q5503" s="727"/>
      <c r="R5503" s="458"/>
      <c r="S5503" s="459"/>
      <c r="T5503" s="460"/>
      <c r="U5503" s="219"/>
      <c r="V5503" s="464"/>
      <c r="Y5503" s="537">
        <f>0.4*PRESUPUESTOS!$H$16</f>
        <v>10.3124</v>
      </c>
      <c r="AA5503" s="540" t="e">
        <f>IF(AND(C5502&lt;=F5498,F5498&lt;&gt;""),VLOOKUP(VALUE(E5479&amp;","&amp;C5502),INTEGRANTES!$D$18:$F$235,2,0),"")</f>
        <v>#N/A</v>
      </c>
      <c r="AB5503" s="545" t="e">
        <f t="shared" si="1634"/>
        <v>#N/A</v>
      </c>
      <c r="AC5503" s="529"/>
      <c r="AD5503" s="200" t="e">
        <f t="shared" si="1635"/>
        <v>#N/A</v>
      </c>
      <c r="AE5503" s="52"/>
      <c r="AF5503" s="52"/>
      <c r="AG5503" s="52"/>
      <c r="AH5503" s="87"/>
      <c r="AI5503" s="87"/>
    </row>
    <row r="5504" spans="1:35" ht="27" hidden="1" customHeight="1" thickBot="1">
      <c r="A5504" s="218" t="e">
        <f>"R"&amp;E5479</f>
        <v>#N/A</v>
      </c>
      <c r="B5504" s="702"/>
      <c r="C5504" s="114">
        <v>5</v>
      </c>
      <c r="D5504" s="194" t="e">
        <f>IF(AND(C5504&lt;=F5498,F5498&lt;&gt;""),VLOOKUP(VALUE(E5479&amp;","&amp;C5504),INTEGRANTES!$D$18:$F$235,2,0),"")</f>
        <v>#N/A</v>
      </c>
      <c r="E5504" s="211" t="e">
        <f>IF(D5504&lt;&gt;"",VLOOKUP(VALUE(E5479&amp;","&amp;C5504),INTEGRANTES!$D$18:$F$235,3,0),"")</f>
        <v>#N/A</v>
      </c>
      <c r="F5504" s="547" t="e">
        <f>IF(D5504="","",SUMIF($I5483:$I5492,D5504,$P5483:$P5492))</f>
        <v>#N/A</v>
      </c>
      <c r="G5504" s="333" t="e">
        <f>IF(D5504="","",SUMIF($I5483:$I5492,D5504,$M5483:$M5492))</f>
        <v>#N/A</v>
      </c>
      <c r="H5504" s="535" t="e">
        <f t="shared" si="1631"/>
        <v>#N/A</v>
      </c>
      <c r="I5504" s="212" t="e">
        <f>IF(D5504="","",IF(H5504="NO APORTA","NO",IF(H5504=MAX($H5500:$H5505),"SI","NO")))</f>
        <v>#N/A</v>
      </c>
      <c r="J5504" s="213" t="e">
        <f t="shared" si="1632"/>
        <v>#N/A</v>
      </c>
      <c r="K5504" s="200" t="e">
        <f t="shared" si="1633"/>
        <v>#N/A</v>
      </c>
      <c r="L5504" s="721"/>
      <c r="M5504" s="715" t="s">
        <v>116</v>
      </c>
      <c r="N5504" s="716"/>
      <c r="O5504" s="556" t="str">
        <f>PORCREQUERIDO*100&amp;"% PMFO DEL MÓDULO"</f>
        <v>50% PMFO DEL MÓDULO</v>
      </c>
      <c r="P5504" s="715" t="s">
        <v>118</v>
      </c>
      <c r="Q5504" s="728"/>
      <c r="R5504" s="458"/>
      <c r="S5504" s="459"/>
      <c r="T5504" s="460"/>
      <c r="U5504" s="219"/>
      <c r="V5504" s="464"/>
      <c r="Y5504" s="414"/>
      <c r="AA5504" s="540" t="e">
        <f>IF(AND(C5503&lt;=F5498,F5498&lt;&gt;""),VLOOKUP(VALUE(E5479&amp;","&amp;C5503),INTEGRANTES!$D$18:$F$235,2,0),"")</f>
        <v>#N/A</v>
      </c>
      <c r="AB5504" s="545" t="e">
        <f t="shared" si="1634"/>
        <v>#N/A</v>
      </c>
      <c r="AC5504" s="529"/>
      <c r="AD5504" s="200" t="e">
        <f t="shared" si="1635"/>
        <v>#N/A</v>
      </c>
      <c r="AE5504" s="52"/>
      <c r="AF5504" s="52"/>
      <c r="AG5504" s="52"/>
      <c r="AH5504" s="87"/>
      <c r="AI5504" s="87"/>
    </row>
    <row r="5505" spans="1:35" ht="16.5" hidden="1" thickBot="1">
      <c r="A5505" s="218" t="e">
        <f>"S"&amp;E5479</f>
        <v>#N/A</v>
      </c>
      <c r="B5505" s="702"/>
      <c r="C5505" s="215">
        <v>6</v>
      </c>
      <c r="D5505" s="216" t="e">
        <f>IF(AND(C5505&lt;=F5498,F5498&lt;&gt;""),VLOOKUP(VALUE(E5479&amp;","&amp;C5505),INTEGRANTES!$D$18:$F$235,2,0),"")</f>
        <v>#N/A</v>
      </c>
      <c r="E5505" s="217" t="e">
        <f>IF(D5505&lt;&gt;"",VLOOKUP(VALUE(E5479&amp;","&amp;C5505),INTEGRANTES!$D$18:$F$235,3,0),"")</f>
        <v>#N/A</v>
      </c>
      <c r="F5505" s="548" t="e">
        <f>IF(D5505="","",SUMIF($I5483:$I5492,D5505,$P5483:$P5492))</f>
        <v>#N/A</v>
      </c>
      <c r="G5505" s="334" t="e">
        <f>IF(D5505="","",SUMIF($I5483:$I5492,D5505,$M5483:$M5492))</f>
        <v>#N/A</v>
      </c>
      <c r="H5505" s="536" t="e">
        <f t="shared" si="1631"/>
        <v>#N/A</v>
      </c>
      <c r="I5505" s="214" t="e">
        <f>IF(D5505="","",IF(H5505="NO APORTA","NO",IF(H5505=MAX($H5500:$H5505),"SI","NO")))</f>
        <v>#N/A</v>
      </c>
      <c r="J5505" s="213" t="e">
        <f t="shared" si="1632"/>
        <v>#N/A</v>
      </c>
      <c r="K5505" s="200" t="e">
        <f t="shared" si="1633"/>
        <v>#N/A</v>
      </c>
      <c r="L5505" s="721"/>
      <c r="M5505" s="729">
        <f>NUMMOD</f>
        <v>1</v>
      </c>
      <c r="N5505" s="730"/>
      <c r="O5505" s="443">
        <f>IF(M5505="","",ROUND(VLOOKUP(M5505,PRESUPUESTOS!$B$16:$H$16,7,FALSE),3))</f>
        <v>25.780999999999999</v>
      </c>
      <c r="P5505" s="713">
        <f>IF(OR(COUNTIF(P5483:P5492,"")&gt;=10,Q5499&lt;NUMMINCONT,OR(T5497="NO CUMPLE",T5497="VERIFICAR")),0,ROUND((SUM(P5483:P5492)/SUM(M5483:M5492)),3))</f>
        <v>0</v>
      </c>
      <c r="Q5505" s="714"/>
      <c r="R5505" s="458"/>
      <c r="S5505" s="459"/>
      <c r="T5505" s="460"/>
      <c r="U5505" s="219"/>
      <c r="V5505" s="464"/>
      <c r="Y5505" s="532" t="s">
        <v>343</v>
      </c>
      <c r="AA5505" s="540" t="e">
        <f>IF(AND(C5504&lt;=F5498,F5498&lt;&gt;""),VLOOKUP(VALUE(E5479&amp;","&amp;C5504),INTEGRANTES!$D$18:$F$235,2,0),"")</f>
        <v>#N/A</v>
      </c>
      <c r="AB5505" s="545" t="e">
        <f t="shared" si="1634"/>
        <v>#N/A</v>
      </c>
      <c r="AC5505" s="529"/>
      <c r="AD5505" s="200" t="e">
        <f t="shared" si="1635"/>
        <v>#N/A</v>
      </c>
      <c r="AE5505" s="52"/>
      <c r="AF5505" s="52"/>
      <c r="AG5505" s="52"/>
      <c r="AH5505" s="87"/>
      <c r="AI5505" s="87"/>
    </row>
    <row r="5506" spans="1:35" ht="16.5" hidden="1" customHeight="1" thickBot="1">
      <c r="A5506" s="218" t="e">
        <f>"T"&amp;E5479</f>
        <v>#N/A</v>
      </c>
      <c r="B5506" s="703"/>
      <c r="C5506" s="719"/>
      <c r="D5506" s="719"/>
      <c r="E5506" s="719"/>
      <c r="F5506" s="719"/>
      <c r="G5506" s="719"/>
      <c r="H5506" s="719" t="s">
        <v>110</v>
      </c>
      <c r="I5506" s="719"/>
      <c r="J5506" s="719"/>
      <c r="K5506" s="201" t="str">
        <f>IF(COUNTIF(K5500:K5505,"")=6,"",IF(COUNTIF(K5500:K5505,"CUMPLE")&gt;0,"CUMPLE","NO CUMPLE"))</f>
        <v>NO CUMPLE</v>
      </c>
      <c r="L5506" s="754"/>
      <c r="M5506" s="755"/>
      <c r="N5506" s="755"/>
      <c r="O5506" s="755"/>
      <c r="P5506" s="755"/>
      <c r="Q5506" s="756"/>
      <c r="R5506" s="461"/>
      <c r="S5506" s="462"/>
      <c r="T5506" s="463"/>
      <c r="U5506" s="219"/>
      <c r="V5506" s="464"/>
      <c r="Y5506" s="549" t="e">
        <f>IF(Y5500="NO APLICA","NO APLICA",IF(COUNTIF(AD5501:AD5506,"CUMPLE")&gt;0,"CUMPLE","NO CUMPLE"))</f>
        <v>#N/A</v>
      </c>
      <c r="AA5506" s="541" t="e">
        <f>IF(AND(C5505&lt;=F5498,F5498&lt;&gt;""),VLOOKUP(VALUE(E5479&amp;","&amp;C5505),INTEGRANTES!$D$18:$F$235,2,0),"")</f>
        <v>#N/A</v>
      </c>
      <c r="AB5506" s="546" t="e">
        <f t="shared" si="1634"/>
        <v>#N/A</v>
      </c>
      <c r="AC5506" s="543"/>
      <c r="AD5506" s="201" t="e">
        <f t="shared" si="1635"/>
        <v>#N/A</v>
      </c>
      <c r="AE5506" s="52"/>
      <c r="AF5506" s="52"/>
      <c r="AG5506" s="52"/>
      <c r="AH5506" s="87"/>
      <c r="AI5506" s="87"/>
    </row>
    <row r="5507" spans="1:35" hidden="1">
      <c r="AH5507" s="87"/>
      <c r="AI5507" s="87"/>
    </row>
    <row r="5508" spans="1:35" hidden="1">
      <c r="AH5508" s="87"/>
      <c r="AI5508" s="87"/>
    </row>
    <row r="5509" spans="1:35" ht="24" hidden="1" thickBot="1">
      <c r="A5509" s="61">
        <v>184</v>
      </c>
      <c r="B5509" s="704" t="s">
        <v>51</v>
      </c>
      <c r="C5509" s="704"/>
      <c r="D5509" s="704"/>
      <c r="E5509" s="62" t="e">
        <f>VLOOKUP(A5509,PROPONENTES!$B$19:$E$218,2,FALSE)</f>
        <v>#N/A</v>
      </c>
      <c r="F5509" s="63" t="e">
        <f>VLOOKUP(A5509,PROPONENTES!$B$19:$E$218,3,FALSE)</f>
        <v>#N/A</v>
      </c>
      <c r="G5509" s="64"/>
      <c r="H5509" s="64"/>
      <c r="I5509" s="63"/>
      <c r="J5509" s="63"/>
      <c r="K5509" s="65"/>
      <c r="L5509" s="65"/>
      <c r="M5509" s="64"/>
      <c r="N5509" s="64"/>
      <c r="O5509" s="66"/>
      <c r="P5509" s="66"/>
      <c r="Q5509" s="66"/>
      <c r="R5509" s="66"/>
      <c r="S5509" s="67"/>
      <c r="T5509" s="68"/>
      <c r="U5509" s="68"/>
      <c r="AC5509" s="68"/>
      <c r="AD5509" s="68"/>
      <c r="AE5509" s="68"/>
      <c r="AF5509" s="68"/>
      <c r="AG5509" s="68"/>
      <c r="AH5509" s="87"/>
      <c r="AI5509" s="87"/>
    </row>
    <row r="5510" spans="1:35" ht="15.75" hidden="1" customHeight="1">
      <c r="A5510" s="44"/>
      <c r="B5510" s="709" t="s">
        <v>59</v>
      </c>
      <c r="C5510" s="552" t="s">
        <v>60</v>
      </c>
      <c r="D5510" s="70" t="s">
        <v>17</v>
      </c>
      <c r="E5510" s="70"/>
      <c r="F5510" s="70" t="s">
        <v>61</v>
      </c>
      <c r="G5510" s="71"/>
      <c r="H5510" s="699" t="s">
        <v>62</v>
      </c>
      <c r="I5510" s="699" t="s">
        <v>18</v>
      </c>
      <c r="J5510" s="699" t="s">
        <v>63</v>
      </c>
      <c r="K5510" s="699" t="s">
        <v>64</v>
      </c>
      <c r="L5510" s="699" t="s">
        <v>65</v>
      </c>
      <c r="M5510" s="743" t="s">
        <v>66</v>
      </c>
      <c r="N5510" s="699" t="s">
        <v>282</v>
      </c>
      <c r="O5510" s="745" t="s">
        <v>67</v>
      </c>
      <c r="P5510" s="746"/>
      <c r="Q5510" s="102" t="s">
        <v>75</v>
      </c>
      <c r="R5510" s="731" t="s">
        <v>22</v>
      </c>
      <c r="S5510" s="732"/>
      <c r="T5510" s="733"/>
      <c r="U5510" s="712" t="s">
        <v>298</v>
      </c>
      <c r="W5510" s="690" t="s">
        <v>268</v>
      </c>
      <c r="X5510" s="691"/>
      <c r="Y5510" s="692"/>
      <c r="Z5510" s="428"/>
      <c r="AA5510" s="697" t="s">
        <v>315</v>
      </c>
      <c r="AB5510" s="695" t="s">
        <v>322</v>
      </c>
      <c r="AC5510" s="49"/>
      <c r="AD5510" s="690" t="s">
        <v>297</v>
      </c>
      <c r="AE5510" s="691"/>
      <c r="AF5510" s="692"/>
      <c r="AG5510" s="49"/>
      <c r="AH5510" s="87"/>
      <c r="AI5510" s="87"/>
    </row>
    <row r="5511" spans="1:35" ht="72" hidden="1">
      <c r="A5511" s="44"/>
      <c r="B5511" s="710"/>
      <c r="C5511" s="553" t="s">
        <v>68</v>
      </c>
      <c r="D5511" s="73" t="s">
        <v>3</v>
      </c>
      <c r="E5511" s="73" t="s">
        <v>19</v>
      </c>
      <c r="F5511" s="73" t="s">
        <v>69</v>
      </c>
      <c r="G5511" s="74" t="s">
        <v>70</v>
      </c>
      <c r="H5511" s="700"/>
      <c r="I5511" s="700"/>
      <c r="J5511" s="700"/>
      <c r="K5511" s="700"/>
      <c r="L5511" s="700"/>
      <c r="M5511" s="744"/>
      <c r="N5511" s="700"/>
      <c r="O5511" s="553" t="s">
        <v>279</v>
      </c>
      <c r="P5511" s="73" t="s">
        <v>88</v>
      </c>
      <c r="Q5511" s="555" t="s">
        <v>76</v>
      </c>
      <c r="R5511" s="734"/>
      <c r="S5511" s="735"/>
      <c r="T5511" s="736"/>
      <c r="U5511" s="712"/>
      <c r="W5511" s="429" t="s">
        <v>269</v>
      </c>
      <c r="X5511" s="457" t="s">
        <v>278</v>
      </c>
      <c r="Y5511" s="430" t="s">
        <v>324</v>
      </c>
      <c r="Z5511" s="428"/>
      <c r="AA5511" s="698"/>
      <c r="AB5511" s="696"/>
      <c r="AC5511" s="49"/>
      <c r="AD5511" s="429" t="s">
        <v>292</v>
      </c>
      <c r="AE5511" s="431" t="s">
        <v>300</v>
      </c>
      <c r="AF5511" s="468" t="s">
        <v>301</v>
      </c>
      <c r="AG5511" s="49"/>
      <c r="AH5511" s="87"/>
      <c r="AI5511" s="87"/>
    </row>
    <row r="5512" spans="1:35" hidden="1">
      <c r="A5512" s="44"/>
      <c r="B5512" s="76"/>
      <c r="C5512" s="77"/>
      <c r="D5512" s="77"/>
      <c r="E5512" s="77"/>
      <c r="F5512" s="77"/>
      <c r="G5512" s="77"/>
      <c r="H5512" s="77"/>
      <c r="I5512" s="77"/>
      <c r="J5512" s="77"/>
      <c r="K5512" s="77"/>
      <c r="L5512" s="77"/>
      <c r="M5512" s="77"/>
      <c r="N5512" s="77"/>
      <c r="O5512" s="77"/>
      <c r="P5512" s="77"/>
      <c r="Q5512" s="77"/>
      <c r="R5512" s="77"/>
      <c r="S5512" s="78"/>
      <c r="T5512" s="79"/>
      <c r="U5512" s="109"/>
      <c r="V5512" s="49"/>
      <c r="W5512" s="432"/>
      <c r="X5512" s="454"/>
      <c r="Y5512" s="433"/>
      <c r="Z5512" s="6"/>
      <c r="AA5512" s="500"/>
      <c r="AB5512" s="562"/>
      <c r="AC5512" s="49"/>
      <c r="AD5512" s="210"/>
      <c r="AE5512" s="434"/>
      <c r="AF5512" s="435"/>
      <c r="AG5512" s="49"/>
      <c r="AH5512" s="87"/>
      <c r="AI5512" s="87"/>
    </row>
    <row r="5513" spans="1:35" hidden="1">
      <c r="A5513" s="80" t="e">
        <f>"A"&amp;E5509</f>
        <v>#N/A</v>
      </c>
      <c r="B5513" s="81">
        <v>1</v>
      </c>
      <c r="C5513" s="82"/>
      <c r="D5513" s="82"/>
      <c r="E5513" s="82"/>
      <c r="F5513" s="82"/>
      <c r="G5513" s="83"/>
      <c r="H5513" s="83"/>
      <c r="I5513" s="84"/>
      <c r="J5513" s="85"/>
      <c r="K5513" s="382"/>
      <c r="L5513" s="85"/>
      <c r="M5513" s="332" t="str">
        <f t="shared" ref="M5513:M5522" si="1636">IF(OR(J5513="",L5513="",H5513="NO"),"",IF(OR(J5513&gt;$P$17,J5513&lt;$O$17,L5513&gt;$P$17,AND(J5513&lt;$O$17,L5513&lt;$O$17)),"FUERA DE RANGO",IF(OR(K5513="---",K5513=""),IF(J5513&gt;=$O$17,ROUND((L5513-J5513+1)/360*12,3),ROUND((L5513-$O$17+1)/360*12,3)),IF(J5513&gt;=$O$17,ROUND((L5513-J5513+1)/360*12-ROUND(K5513,3),3),ROUND((L5513-$O$17+1)/360*12-ROUND(K5513,3),3)))))</f>
        <v/>
      </c>
      <c r="N5513" s="86"/>
      <c r="O5513" s="453" t="str">
        <f>IF(OR(G5513="",N5513=""),"",N5513*G5513)</f>
        <v/>
      </c>
      <c r="P5513" s="538" t="str">
        <f>IF(OR(H5513="",M5513="FUERA DE RANGO"),"",IF(OR(L5513&lt;$O$17,L5513&gt;$P$17,L5513="",H5513="NO"),"",IF(OR(N5513="",O5513=""),"",ROUND(O5513,3))))</f>
        <v/>
      </c>
      <c r="Q5513" s="539" t="str">
        <f t="shared" ref="Q5513:Q5522" si="1637">IF(AND(H5513="SI",P5513&lt;&gt;""),ROUND(P5513/M5513,3),"")</f>
        <v/>
      </c>
      <c r="R5513" s="737"/>
      <c r="S5513" s="738"/>
      <c r="T5513" s="739"/>
      <c r="U5513" s="470"/>
      <c r="V5513" s="165"/>
      <c r="W5513" s="446"/>
      <c r="X5513" s="456"/>
      <c r="Y5513" s="436"/>
      <c r="Z5513" s="437"/>
      <c r="AA5513" s="560"/>
      <c r="AB5513" s="561"/>
      <c r="AC5513" s="87"/>
      <c r="AD5513" s="466"/>
      <c r="AE5513" s="456"/>
      <c r="AF5513" s="467"/>
      <c r="AG5513" s="87"/>
      <c r="AH5513" s="87"/>
      <c r="AI5513" s="87"/>
    </row>
    <row r="5514" spans="1:35" hidden="1">
      <c r="A5514" s="80" t="e">
        <f>"B"&amp;E5509</f>
        <v>#N/A</v>
      </c>
      <c r="B5514" s="81">
        <v>2</v>
      </c>
      <c r="C5514" s="106"/>
      <c r="D5514" s="106"/>
      <c r="E5514" s="106"/>
      <c r="F5514" s="106"/>
      <c r="G5514" s="83"/>
      <c r="H5514" s="83"/>
      <c r="I5514" s="84"/>
      <c r="J5514" s="85"/>
      <c r="K5514" s="382"/>
      <c r="L5514" s="85"/>
      <c r="M5514" s="332" t="str">
        <f t="shared" si="1636"/>
        <v/>
      </c>
      <c r="N5514" s="86"/>
      <c r="O5514" s="453" t="str">
        <f t="shared" ref="O5514:O5522" si="1638">IF(OR(G5514="",N5514=""),"",N5514*G5514)</f>
        <v/>
      </c>
      <c r="P5514" s="538" t="str">
        <f t="shared" ref="P5514:P5522" si="1639">IF(OR(H5514="",M5514="FUERA DE RANGO"),"",IF(OR(L5514&lt;$O$17,L5514&gt;$P$17,L5514="",H5514="NO"),"",IF(OR(N5514="",O5514=""),"",ROUND(O5514,3))))</f>
        <v/>
      </c>
      <c r="Q5514" s="539" t="str">
        <f t="shared" si="1637"/>
        <v/>
      </c>
      <c r="R5514" s="740"/>
      <c r="S5514" s="741"/>
      <c r="T5514" s="742"/>
      <c r="U5514" s="471"/>
      <c r="V5514" s="165"/>
      <c r="W5514" s="446"/>
      <c r="X5514" s="456"/>
      <c r="Y5514" s="436"/>
      <c r="Z5514" s="437"/>
      <c r="AA5514" s="560"/>
      <c r="AB5514" s="561"/>
      <c r="AC5514" s="87"/>
      <c r="AD5514" s="466"/>
      <c r="AE5514" s="456"/>
      <c r="AF5514" s="467"/>
      <c r="AG5514" s="87"/>
      <c r="AH5514" s="87"/>
      <c r="AI5514" s="87"/>
    </row>
    <row r="5515" spans="1:35" hidden="1">
      <c r="A5515" s="80" t="e">
        <f>"C"&amp;E5509</f>
        <v>#N/A</v>
      </c>
      <c r="B5515" s="88">
        <v>3</v>
      </c>
      <c r="C5515" s="82"/>
      <c r="D5515" s="82"/>
      <c r="E5515" s="82"/>
      <c r="F5515" s="82"/>
      <c r="G5515" s="83"/>
      <c r="H5515" s="83"/>
      <c r="I5515" s="84"/>
      <c r="J5515" s="85"/>
      <c r="K5515" s="382"/>
      <c r="L5515" s="85"/>
      <c r="M5515" s="332" t="str">
        <f t="shared" si="1636"/>
        <v/>
      </c>
      <c r="N5515" s="86"/>
      <c r="O5515" s="453" t="str">
        <f t="shared" si="1638"/>
        <v/>
      </c>
      <c r="P5515" s="538" t="str">
        <f t="shared" si="1639"/>
        <v/>
      </c>
      <c r="Q5515" s="539" t="str">
        <f t="shared" si="1637"/>
        <v/>
      </c>
      <c r="R5515" s="706"/>
      <c r="S5515" s="707"/>
      <c r="T5515" s="708"/>
      <c r="U5515" s="472"/>
      <c r="V5515" s="166"/>
      <c r="W5515" s="446"/>
      <c r="X5515" s="456"/>
      <c r="Y5515" s="436"/>
      <c r="Z5515" s="437"/>
      <c r="AA5515" s="560"/>
      <c r="AB5515" s="561"/>
      <c r="AC5515" s="87"/>
      <c r="AD5515" s="466"/>
      <c r="AE5515" s="456"/>
      <c r="AF5515" s="467"/>
      <c r="AG5515" s="87"/>
      <c r="AH5515" s="87"/>
      <c r="AI5515" s="87"/>
    </row>
    <row r="5516" spans="1:35" hidden="1">
      <c r="A5516" s="80" t="e">
        <f>"D"&amp;E5509</f>
        <v>#N/A</v>
      </c>
      <c r="B5516" s="105">
        <v>4</v>
      </c>
      <c r="C5516" s="107"/>
      <c r="D5516" s="107"/>
      <c r="E5516" s="107"/>
      <c r="F5516" s="107"/>
      <c r="G5516" s="83"/>
      <c r="H5516" s="83"/>
      <c r="I5516" s="84"/>
      <c r="J5516" s="85"/>
      <c r="K5516" s="382"/>
      <c r="L5516" s="85"/>
      <c r="M5516" s="332" t="str">
        <f t="shared" si="1636"/>
        <v/>
      </c>
      <c r="N5516" s="86"/>
      <c r="O5516" s="453" t="str">
        <f t="shared" si="1638"/>
        <v/>
      </c>
      <c r="P5516" s="538" t="str">
        <f t="shared" si="1639"/>
        <v/>
      </c>
      <c r="Q5516" s="539" t="str">
        <f t="shared" si="1637"/>
        <v/>
      </c>
      <c r="R5516" s="706"/>
      <c r="S5516" s="707"/>
      <c r="T5516" s="708"/>
      <c r="U5516" s="472"/>
      <c r="V5516" s="166"/>
      <c r="W5516" s="446"/>
      <c r="X5516" s="456"/>
      <c r="Y5516" s="436"/>
      <c r="Z5516" s="437"/>
      <c r="AA5516" s="560"/>
      <c r="AB5516" s="561"/>
      <c r="AC5516" s="87"/>
      <c r="AD5516" s="466"/>
      <c r="AE5516" s="456"/>
      <c r="AF5516" s="467"/>
      <c r="AG5516" s="87"/>
      <c r="AH5516" s="87"/>
      <c r="AI5516" s="87"/>
    </row>
    <row r="5517" spans="1:35" hidden="1">
      <c r="A5517" s="80" t="e">
        <f>"E"&amp;E5509</f>
        <v>#N/A</v>
      </c>
      <c r="B5517" s="105">
        <v>5</v>
      </c>
      <c r="C5517" s="107"/>
      <c r="D5517" s="107"/>
      <c r="E5517" s="107"/>
      <c r="F5517" s="107"/>
      <c r="G5517" s="83"/>
      <c r="H5517" s="83"/>
      <c r="I5517" s="84"/>
      <c r="J5517" s="85"/>
      <c r="K5517" s="382"/>
      <c r="L5517" s="85"/>
      <c r="M5517" s="332" t="str">
        <f t="shared" si="1636"/>
        <v/>
      </c>
      <c r="N5517" s="86"/>
      <c r="O5517" s="453" t="str">
        <f t="shared" si="1638"/>
        <v/>
      </c>
      <c r="P5517" s="538" t="str">
        <f t="shared" si="1639"/>
        <v/>
      </c>
      <c r="Q5517" s="539" t="str">
        <f t="shared" si="1637"/>
        <v/>
      </c>
      <c r="R5517" s="706"/>
      <c r="S5517" s="707"/>
      <c r="T5517" s="708"/>
      <c r="U5517" s="472"/>
      <c r="V5517" s="167"/>
      <c r="W5517" s="446"/>
      <c r="X5517" s="456"/>
      <c r="Y5517" s="436"/>
      <c r="Z5517" s="437"/>
      <c r="AA5517" s="560"/>
      <c r="AB5517" s="561"/>
      <c r="AC5517" s="87"/>
      <c r="AD5517" s="466"/>
      <c r="AE5517" s="456"/>
      <c r="AF5517" s="467"/>
      <c r="AG5517" s="87"/>
      <c r="AH5517" s="87"/>
      <c r="AI5517" s="87"/>
    </row>
    <row r="5518" spans="1:35" hidden="1">
      <c r="A5518" s="80" t="e">
        <f>"F"&amp;E5509</f>
        <v>#N/A</v>
      </c>
      <c r="B5518" s="105">
        <v>6</v>
      </c>
      <c r="C5518" s="107"/>
      <c r="D5518" s="107"/>
      <c r="E5518" s="107"/>
      <c r="F5518" s="107"/>
      <c r="G5518" s="83"/>
      <c r="H5518" s="83"/>
      <c r="I5518" s="84"/>
      <c r="J5518" s="85"/>
      <c r="K5518" s="382"/>
      <c r="L5518" s="85"/>
      <c r="M5518" s="332" t="str">
        <f t="shared" si="1636"/>
        <v/>
      </c>
      <c r="N5518" s="86"/>
      <c r="O5518" s="453" t="str">
        <f t="shared" si="1638"/>
        <v/>
      </c>
      <c r="P5518" s="538" t="str">
        <f t="shared" si="1639"/>
        <v/>
      </c>
      <c r="Q5518" s="539" t="str">
        <f t="shared" si="1637"/>
        <v/>
      </c>
      <c r="R5518" s="706"/>
      <c r="S5518" s="707"/>
      <c r="T5518" s="708"/>
      <c r="U5518" s="472"/>
      <c r="V5518" s="167"/>
      <c r="W5518" s="446"/>
      <c r="X5518" s="456"/>
      <c r="Y5518" s="436"/>
      <c r="Z5518" s="437"/>
      <c r="AA5518" s="560"/>
      <c r="AB5518" s="561"/>
      <c r="AC5518" s="87"/>
      <c r="AD5518" s="466"/>
      <c r="AE5518" s="456"/>
      <c r="AF5518" s="467"/>
      <c r="AG5518" s="87"/>
      <c r="AH5518" s="87"/>
      <c r="AI5518" s="87"/>
    </row>
    <row r="5519" spans="1:35" hidden="1">
      <c r="A5519" s="80" t="e">
        <f>"G"&amp;E5509</f>
        <v>#N/A</v>
      </c>
      <c r="B5519" s="105">
        <v>7</v>
      </c>
      <c r="C5519" s="107"/>
      <c r="D5519" s="107"/>
      <c r="E5519" s="107"/>
      <c r="F5519" s="107"/>
      <c r="G5519" s="83"/>
      <c r="H5519" s="83"/>
      <c r="I5519" s="84"/>
      <c r="J5519" s="85"/>
      <c r="K5519" s="382"/>
      <c r="L5519" s="85"/>
      <c r="M5519" s="332" t="str">
        <f t="shared" si="1636"/>
        <v/>
      </c>
      <c r="N5519" s="86"/>
      <c r="O5519" s="86" t="str">
        <f t="shared" si="1638"/>
        <v/>
      </c>
      <c r="P5519" s="538" t="str">
        <f t="shared" si="1639"/>
        <v/>
      </c>
      <c r="Q5519" s="539" t="str">
        <f t="shared" si="1637"/>
        <v/>
      </c>
      <c r="R5519" s="706"/>
      <c r="S5519" s="707"/>
      <c r="T5519" s="708"/>
      <c r="U5519" s="472"/>
      <c r="V5519" s="167"/>
      <c r="W5519" s="446"/>
      <c r="X5519" s="456"/>
      <c r="Y5519" s="436"/>
      <c r="Z5519" s="437"/>
      <c r="AA5519" s="560"/>
      <c r="AB5519" s="561"/>
      <c r="AC5519" s="87"/>
      <c r="AD5519" s="466"/>
      <c r="AE5519" s="456"/>
      <c r="AF5519" s="467"/>
      <c r="AG5519" s="87"/>
      <c r="AH5519" s="87"/>
      <c r="AI5519" s="87"/>
    </row>
    <row r="5520" spans="1:35" hidden="1">
      <c r="A5520" s="80" t="e">
        <f>"H"&amp;E5509</f>
        <v>#N/A</v>
      </c>
      <c r="B5520" s="105">
        <v>8</v>
      </c>
      <c r="C5520" s="107"/>
      <c r="D5520" s="107"/>
      <c r="E5520" s="107"/>
      <c r="F5520" s="107"/>
      <c r="G5520" s="83"/>
      <c r="H5520" s="83"/>
      <c r="I5520" s="84"/>
      <c r="J5520" s="85"/>
      <c r="K5520" s="382"/>
      <c r="L5520" s="85"/>
      <c r="M5520" s="332" t="str">
        <f t="shared" si="1636"/>
        <v/>
      </c>
      <c r="N5520" s="453"/>
      <c r="O5520" s="86" t="str">
        <f t="shared" si="1638"/>
        <v/>
      </c>
      <c r="P5520" s="538" t="str">
        <f t="shared" si="1639"/>
        <v/>
      </c>
      <c r="Q5520" s="539" t="str">
        <f t="shared" si="1637"/>
        <v/>
      </c>
      <c r="R5520" s="706"/>
      <c r="S5520" s="707"/>
      <c r="T5520" s="708"/>
      <c r="U5520" s="472"/>
      <c r="V5520" s="167"/>
      <c r="W5520" s="446"/>
      <c r="X5520" s="456"/>
      <c r="Y5520" s="436"/>
      <c r="Z5520" s="437"/>
      <c r="AA5520" s="560"/>
      <c r="AB5520" s="561"/>
      <c r="AC5520" s="87"/>
      <c r="AD5520" s="466"/>
      <c r="AE5520" s="456"/>
      <c r="AF5520" s="467"/>
      <c r="AG5520" s="87"/>
      <c r="AH5520" s="87"/>
      <c r="AI5520" s="87"/>
    </row>
    <row r="5521" spans="1:35" hidden="1">
      <c r="A5521" s="80" t="e">
        <f>"I"&amp;E5509</f>
        <v>#N/A</v>
      </c>
      <c r="B5521" s="105">
        <v>9</v>
      </c>
      <c r="C5521" s="107"/>
      <c r="D5521" s="107"/>
      <c r="E5521" s="107"/>
      <c r="F5521" s="107"/>
      <c r="G5521" s="83"/>
      <c r="H5521" s="83"/>
      <c r="I5521" s="84"/>
      <c r="J5521" s="85"/>
      <c r="K5521" s="382"/>
      <c r="L5521" s="85"/>
      <c r="M5521" s="332" t="str">
        <f t="shared" si="1636"/>
        <v/>
      </c>
      <c r="N5521" s="453"/>
      <c r="O5521" s="86" t="str">
        <f t="shared" si="1638"/>
        <v/>
      </c>
      <c r="P5521" s="538" t="str">
        <f t="shared" si="1639"/>
        <v/>
      </c>
      <c r="Q5521" s="539" t="str">
        <f t="shared" si="1637"/>
        <v/>
      </c>
      <c r="R5521" s="706"/>
      <c r="S5521" s="707"/>
      <c r="T5521" s="708"/>
      <c r="U5521" s="472"/>
      <c r="V5521" s="167"/>
      <c r="W5521" s="446"/>
      <c r="X5521" s="456"/>
      <c r="Y5521" s="436"/>
      <c r="Z5521" s="437"/>
      <c r="AA5521" s="560"/>
      <c r="AB5521" s="561"/>
      <c r="AC5521" s="87"/>
      <c r="AD5521" s="466"/>
      <c r="AE5521" s="456"/>
      <c r="AF5521" s="467"/>
      <c r="AG5521" s="87"/>
      <c r="AH5521" s="87"/>
      <c r="AI5521" s="87"/>
    </row>
    <row r="5522" spans="1:35" hidden="1">
      <c r="A5522" s="80" t="e">
        <f>"J"&amp;E5509</f>
        <v>#N/A</v>
      </c>
      <c r="B5522" s="105">
        <v>10</v>
      </c>
      <c r="C5522" s="107"/>
      <c r="D5522" s="107"/>
      <c r="E5522" s="107"/>
      <c r="F5522" s="107"/>
      <c r="G5522" s="83"/>
      <c r="H5522" s="83"/>
      <c r="I5522" s="84"/>
      <c r="J5522" s="85"/>
      <c r="K5522" s="382"/>
      <c r="L5522" s="85"/>
      <c r="M5522" s="332" t="str">
        <f t="shared" si="1636"/>
        <v/>
      </c>
      <c r="N5522" s="453"/>
      <c r="O5522" s="86" t="str">
        <f t="shared" si="1638"/>
        <v/>
      </c>
      <c r="P5522" s="538" t="str">
        <f t="shared" si="1639"/>
        <v/>
      </c>
      <c r="Q5522" s="539" t="str">
        <f t="shared" si="1637"/>
        <v/>
      </c>
      <c r="R5522" s="706"/>
      <c r="S5522" s="707"/>
      <c r="T5522" s="708"/>
      <c r="U5522" s="472"/>
      <c r="V5522" s="167"/>
      <c r="W5522" s="446"/>
      <c r="X5522" s="456"/>
      <c r="Y5522" s="436"/>
      <c r="Z5522" s="437"/>
      <c r="AA5522" s="560"/>
      <c r="AB5522" s="561"/>
      <c r="AC5522" s="87"/>
      <c r="AD5522" s="466"/>
      <c r="AE5522" s="456"/>
      <c r="AF5522" s="467"/>
      <c r="AG5522" s="87"/>
      <c r="AH5522" s="87"/>
      <c r="AI5522" s="87"/>
    </row>
    <row r="5523" spans="1:35" ht="16.5" hidden="1" thickBot="1">
      <c r="A5523" s="44"/>
      <c r="B5523" s="89"/>
      <c r="C5523" s="90"/>
      <c r="D5523" s="90"/>
      <c r="E5523" s="90"/>
      <c r="F5523" s="90"/>
      <c r="G5523" s="90"/>
      <c r="H5523" s="90"/>
      <c r="I5523" s="90"/>
      <c r="J5523" s="90"/>
      <c r="K5523" s="90"/>
      <c r="L5523" s="90"/>
      <c r="M5523" s="90"/>
      <c r="N5523" s="90"/>
      <c r="O5523" s="90"/>
      <c r="P5523" s="90"/>
      <c r="Q5523" s="90"/>
      <c r="R5523" s="90"/>
      <c r="S5523" s="91"/>
      <c r="T5523" s="92"/>
      <c r="U5523" s="473"/>
      <c r="W5523" s="438"/>
      <c r="X5523" s="455"/>
      <c r="Y5523" s="439"/>
      <c r="Z5523" s="437"/>
      <c r="AA5523" s="530"/>
      <c r="AB5523" s="563"/>
      <c r="AC5523" s="87"/>
      <c r="AD5523" s="440"/>
      <c r="AE5523" s="441"/>
      <c r="AF5523" s="442"/>
      <c r="AG5523" s="49"/>
      <c r="AH5523" s="87"/>
      <c r="AI5523" s="87"/>
    </row>
    <row r="5524" spans="1:35" ht="16.5" hidden="1" thickBot="1">
      <c r="A5524" s="93"/>
      <c r="B5524" s="94"/>
      <c r="C5524" s="96"/>
      <c r="D5524" s="96"/>
      <c r="E5524" s="96"/>
      <c r="F5524" s="96"/>
      <c r="G5524" s="96"/>
      <c r="H5524" s="96"/>
      <c r="I5524" s="96"/>
      <c r="J5524" s="96"/>
      <c r="K5524" s="96"/>
      <c r="L5524" s="96"/>
      <c r="M5524" s="136"/>
      <c r="N5524" s="96"/>
      <c r="O5524" s="96"/>
      <c r="P5524" s="97"/>
      <c r="Q5524" s="97"/>
      <c r="R5524" s="98"/>
      <c r="S5524" s="95"/>
      <c r="T5524" s="99"/>
      <c r="U5524" s="469"/>
      <c r="AC5524" s="58"/>
      <c r="AG5524" s="58"/>
      <c r="AH5524" s="87"/>
      <c r="AI5524" s="87"/>
    </row>
    <row r="5525" spans="1:35" ht="16.5" hidden="1" thickBot="1">
      <c r="B5525" s="101"/>
      <c r="C5525" s="101"/>
      <c r="D5525" s="101"/>
      <c r="E5525" s="101"/>
      <c r="F5525" s="101"/>
      <c r="G5525" s="101"/>
      <c r="H5525" s="101"/>
      <c r="I5525" s="101"/>
      <c r="J5525" s="101"/>
      <c r="K5525" s="101"/>
      <c r="L5525" s="101"/>
      <c r="M5525" s="101"/>
      <c r="N5525" s="101"/>
      <c r="O5525" s="101"/>
      <c r="P5525" s="101"/>
      <c r="Q5525" s="101"/>
      <c r="R5525" s="101"/>
      <c r="S5525" s="101"/>
      <c r="U5525" s="50"/>
      <c r="AH5525" s="87"/>
      <c r="AI5525" s="87"/>
    </row>
    <row r="5526" spans="1:35" ht="16.5" hidden="1" customHeight="1" thickBot="1">
      <c r="A5526" s="44"/>
      <c r="B5526" s="705" t="s">
        <v>74</v>
      </c>
      <c r="C5526" s="705"/>
      <c r="D5526" s="705"/>
      <c r="E5526" s="705"/>
      <c r="F5526" s="705"/>
      <c r="G5526" s="705"/>
      <c r="H5526" s="705"/>
      <c r="I5526" s="705"/>
      <c r="J5526" s="705"/>
      <c r="K5526" s="705"/>
      <c r="L5526" s="705"/>
      <c r="M5526" s="705"/>
      <c r="N5526" s="705"/>
      <c r="O5526" s="705"/>
      <c r="P5526" s="705"/>
      <c r="Q5526" s="705"/>
      <c r="R5526" s="705"/>
      <c r="S5526" s="705"/>
      <c r="T5526" s="705"/>
      <c r="U5526" s="108"/>
      <c r="Y5526" s="532" t="s">
        <v>341</v>
      </c>
      <c r="AC5526" s="49"/>
      <c r="AD5526" s="687" t="s">
        <v>302</v>
      </c>
      <c r="AE5526" s="688"/>
      <c r="AF5526" s="689"/>
      <c r="AG5526" s="49"/>
      <c r="AH5526" s="87"/>
      <c r="AI5526" s="87"/>
    </row>
    <row r="5527" spans="1:35" ht="16.5" hidden="1" customHeight="1" thickBot="1">
      <c r="A5527" s="218" t="e">
        <f>"K"&amp;E5509</f>
        <v>#N/A</v>
      </c>
      <c r="B5527" s="701" t="s">
        <v>71</v>
      </c>
      <c r="C5527" s="751" t="s">
        <v>102</v>
      </c>
      <c r="D5527" s="751"/>
      <c r="E5527" s="751"/>
      <c r="F5527" s="751"/>
      <c r="G5527" s="751"/>
      <c r="H5527" s="751"/>
      <c r="I5527" s="751"/>
      <c r="J5527" s="751"/>
      <c r="K5527" s="751"/>
      <c r="L5527" s="722" t="s">
        <v>100</v>
      </c>
      <c r="M5527" s="747" t="s">
        <v>114</v>
      </c>
      <c r="N5527" s="747"/>
      <c r="O5527" s="747"/>
      <c r="P5527" s="747"/>
      <c r="Q5527" s="748"/>
      <c r="R5527" s="758" t="s">
        <v>280</v>
      </c>
      <c r="S5527" s="748"/>
      <c r="T5527" s="762" t="str">
        <f>IF(COUNTIF(AE5527:AF5527,"VERIFICAR")&gt;0,"VERIFICAR",IF(COUNTIF(AE5527:AF5527,"NO CUMPLE")&gt;0,"NO CUMPLE","CUMPLE"))</f>
        <v>VERIFICAR</v>
      </c>
      <c r="U5527" s="108"/>
      <c r="Y5527" s="533" t="e">
        <f>IF(F5528="","",IF(F5528=1,"INDIVIDUAL","ESTRUCTURA PLURAL"))</f>
        <v>#N/A</v>
      </c>
      <c r="AC5527" s="52"/>
      <c r="AD5527" s="475" t="s">
        <v>303</v>
      </c>
      <c r="AE5527" s="476" t="str">
        <f>IF(COUNTIF(AE5513:AE5522,"")=10,"VERIFICAR",IF(COUNTIF(AE5513:AE5522,"SI")&gt;0,"CUMPLE","NO CUMPLE"))</f>
        <v>VERIFICAR</v>
      </c>
      <c r="AF5527" s="477" t="str">
        <f>IF(COUNTIF(AF5513:AF5522,"")=10,"VERIFICAR",IF(COUNTIF(AF5513:AF5522,"SI")&gt;=$AI$22,"CUMPLE","NO CUMPLE"))</f>
        <v>VERIFICAR</v>
      </c>
      <c r="AG5527" s="52"/>
      <c r="AH5527" s="87"/>
      <c r="AI5527" s="87"/>
    </row>
    <row r="5528" spans="1:35" ht="15.75" hidden="1" customHeight="1" thickBot="1">
      <c r="A5528" s="218" t="e">
        <f>"L"&amp;E5509</f>
        <v>#N/A</v>
      </c>
      <c r="B5528" s="702"/>
      <c r="C5528" s="751" t="s">
        <v>103</v>
      </c>
      <c r="D5528" s="751"/>
      <c r="E5528" s="752"/>
      <c r="F5528" s="557" t="e">
        <f>IF(VLOOKUP(E5509,PROPONENTES!$C$19:$E$218,3,0)="","",VLOOKUP(E5509,PROPONENTES!$C$19:$E$218,3,0))</f>
        <v>#N/A</v>
      </c>
      <c r="G5528" s="753" t="s">
        <v>104</v>
      </c>
      <c r="H5528" s="751"/>
      <c r="I5528" s="715" t="e">
        <f>IF(OR(F5528="",F5528=1),"INTERESADO PERSONA NATURAL O JURIDICA","CONSORCIO O UNION TEMPORAL")</f>
        <v>#N/A</v>
      </c>
      <c r="J5528" s="725"/>
      <c r="K5528" s="728"/>
      <c r="L5528" s="723"/>
      <c r="M5528" s="749"/>
      <c r="N5528" s="749"/>
      <c r="O5528" s="749"/>
      <c r="P5528" s="749"/>
      <c r="Q5528" s="750"/>
      <c r="R5528" s="712"/>
      <c r="S5528" s="750"/>
      <c r="T5528" s="763"/>
      <c r="U5528" s="108"/>
      <c r="Y5528" s="534"/>
      <c r="AA5528" s="52"/>
      <c r="AB5528" s="52"/>
      <c r="AC5528" s="52"/>
      <c r="AG5528" s="52"/>
      <c r="AH5528" s="87"/>
      <c r="AI5528" s="87"/>
    </row>
    <row r="5529" spans="1:35" ht="56.25" hidden="1" customHeight="1" thickBot="1">
      <c r="A5529" s="218" t="e">
        <f>"M"&amp;E5509</f>
        <v>#N/A</v>
      </c>
      <c r="B5529" s="702"/>
      <c r="C5529" s="725" t="s">
        <v>101</v>
      </c>
      <c r="D5529" s="716"/>
      <c r="E5529" s="558" t="s">
        <v>105</v>
      </c>
      <c r="F5529" s="554" t="s">
        <v>87</v>
      </c>
      <c r="G5529" s="553" t="s">
        <v>86</v>
      </c>
      <c r="H5529" s="559" t="s">
        <v>85</v>
      </c>
      <c r="I5529" s="554" t="s">
        <v>252</v>
      </c>
      <c r="J5529" s="553" t="str">
        <f>"¿EL INTEGRANTE TIENE UNA PARTICIPACIÓN DEL "&amp;PORCREQUERIDOINT*100&amp;"%?"</f>
        <v>¿EL INTEGRANTE TIENE UNA PARTICIPACIÓN DEL 60%?</v>
      </c>
      <c r="K5529" s="554" t="s">
        <v>107</v>
      </c>
      <c r="L5529" s="724"/>
      <c r="M5529" s="717" t="s">
        <v>115</v>
      </c>
      <c r="N5529" s="718"/>
      <c r="O5529" s="718"/>
      <c r="P5529" s="718"/>
      <c r="Q5529" s="223">
        <f>IF(AND(H5513="SI",P5513&gt;=0),1,0)+IF(AND(H5514="SI",P5514&gt;=0),1,0)+IF(AND(H5515="SI",P5515&gt;=0),1,0)+IF(AND(H5516="SI",P5516&gt;=0),1,0)+IF(AND(H5517="SI",P5517&gt;=0),1,0)+IF(AND(H5518="SI",P5518&gt;=0),1,0)+IF(AND(H5519="SI",P5519&gt;=0),1,0)+IF(AND(H5520="SI",P5520&gt;=0),1,0)+IF(AND(H5521="SI",P5521&gt;=0),1,0)+IF(AND(H5522="SI",P5522&gt;=0),1,0)</f>
        <v>0</v>
      </c>
      <c r="R5529" s="759"/>
      <c r="S5529" s="761"/>
      <c r="T5529" s="764"/>
      <c r="U5529" s="219"/>
      <c r="V5529" s="464"/>
      <c r="Y5529" s="532" t="s">
        <v>342</v>
      </c>
      <c r="AA5529" s="550" t="s">
        <v>344</v>
      </c>
      <c r="AB5529" s="693" t="s">
        <v>345</v>
      </c>
      <c r="AC5529" s="693" t="s">
        <v>346</v>
      </c>
      <c r="AD5529" s="685" t="s">
        <v>347</v>
      </c>
      <c r="AE5529" s="52"/>
      <c r="AF5529" s="52"/>
      <c r="AG5529" s="52"/>
      <c r="AH5529" s="87"/>
      <c r="AI5529" s="87"/>
    </row>
    <row r="5530" spans="1:35" ht="15.75" hidden="1" customHeight="1" thickBot="1">
      <c r="A5530" s="218" t="e">
        <f>"N"&amp;E5509</f>
        <v>#N/A</v>
      </c>
      <c r="B5530" s="702"/>
      <c r="C5530" s="114">
        <v>1</v>
      </c>
      <c r="D5530" s="194" t="e">
        <f>IF(AND(C5530&lt;=F5528,F5528&gt;1,F5528&lt;&gt;""),VLOOKUP(VALUE(E5509&amp;","&amp;C5530),INTEGRANTES!$D$18:$F$235,2,0),"")</f>
        <v>#N/A</v>
      </c>
      <c r="E5530" s="211" t="e">
        <f>IF(D5530&lt;&gt;"",VLOOKUP(VALUE(E5509&amp;","&amp;C5530),INTEGRANTES!$D$18:$F$235,3,0),"")</f>
        <v>#N/A</v>
      </c>
      <c r="F5530" s="547" t="e">
        <f>IF(D5530="","",SUMIF($I5513:$I5522,D5530,$P5513:$P5522))</f>
        <v>#N/A</v>
      </c>
      <c r="G5530" s="333" t="e">
        <f>IF(D5530="","",SUMIF($I5513:$I5522,D5530,$M5513:$M5522))</f>
        <v>#N/A</v>
      </c>
      <c r="H5530" s="535" t="e">
        <f t="shared" ref="H5530:H5535" si="1640">IF(D5530="","",IF(OR(F5530=0,G5530=0),"NO APORTA",ROUND($F5530/$G5530,3)))</f>
        <v>#N/A</v>
      </c>
      <c r="I5530" s="212" t="e">
        <f>IF(D5530="","",IF(H5530="NO APORTA","NO",IF(H5530=MAX($H5530:$H5535),"SI","NO")))</f>
        <v>#N/A</v>
      </c>
      <c r="J5530" s="213" t="e">
        <f t="shared" ref="J5530:J5535" si="1641">IF(D5530="","",IF(E5530&gt;=PORCREQUERIDOINT,"SI","NO"))</f>
        <v>#N/A</v>
      </c>
      <c r="K5530" s="200" t="e">
        <f t="shared" ref="K5530:K5535" si="1642">IF(D5530="","",IF(AND(I5530="SI",J5530="SI"),"CUMPLE",IF(AND(I5530="NO",OR(J5530="SI",J5530="NO")),"","NO CUMPLE")))</f>
        <v>#N/A</v>
      </c>
      <c r="L5530" s="722" t="s">
        <v>108</v>
      </c>
      <c r="M5530" s="726" t="s">
        <v>119</v>
      </c>
      <c r="N5530" s="726"/>
      <c r="O5530" s="726"/>
      <c r="P5530" s="726"/>
      <c r="Q5530" s="727"/>
      <c r="R5530" s="758" t="s">
        <v>80</v>
      </c>
      <c r="S5530" s="747"/>
      <c r="T5530" s="748"/>
      <c r="U5530" s="219"/>
      <c r="V5530" s="464"/>
      <c r="Y5530" s="533" t="e">
        <f>IF(Y5527="","",IF(Y5527="INDIVIDUAL","NO APLICA","VERIFICAR CUADRO"))</f>
        <v>#N/A</v>
      </c>
      <c r="AA5530" s="551"/>
      <c r="AB5530" s="694"/>
      <c r="AC5530" s="694"/>
      <c r="AD5530" s="686"/>
      <c r="AE5530" s="52"/>
      <c r="AF5530" s="52"/>
      <c r="AG5530" s="52"/>
      <c r="AH5530" s="87"/>
      <c r="AI5530" s="87"/>
    </row>
    <row r="5531" spans="1:35" ht="27" hidden="1" customHeight="1" thickBot="1">
      <c r="A5531" s="218" t="e">
        <f>"O"&amp;E5509</f>
        <v>#N/A</v>
      </c>
      <c r="B5531" s="702"/>
      <c r="C5531" s="114">
        <v>2</v>
      </c>
      <c r="D5531" s="194" t="e">
        <f>IF(AND(C5531&lt;=F5528,F5528&lt;&gt;""),VLOOKUP(VALUE(E5509&amp;","&amp;C5531),INTEGRANTES!$D$18:$F$235,2,0),"")</f>
        <v>#N/A</v>
      </c>
      <c r="E5531" s="211" t="e">
        <f>IF(D5531&lt;&gt;"",VLOOKUP(VALUE(E5509&amp;","&amp;C5531),INTEGRANTES!$D$18:$F$235,3,0),"")</f>
        <v>#N/A</v>
      </c>
      <c r="F5531" s="547" t="e">
        <f>IF(D5531="","",SUMIF($I5513:$I5522,D5531,$P5513:$P5522))</f>
        <v>#N/A</v>
      </c>
      <c r="G5531" s="333" t="e">
        <f>IF(D5531="","",SUMIF($I5513:$I5522,D5531,$M5513:$M5522))</f>
        <v>#N/A</v>
      </c>
      <c r="H5531" s="535" t="e">
        <f t="shared" si="1640"/>
        <v>#N/A</v>
      </c>
      <c r="I5531" s="212" t="e">
        <f>IF(D5531="","",IF(H5531="NO APORTA","NO",IF(H5531=MAX($H5530:$H5535),"SI","NO")))</f>
        <v>#N/A</v>
      </c>
      <c r="J5531" s="213" t="e">
        <f t="shared" si="1641"/>
        <v>#N/A</v>
      </c>
      <c r="K5531" s="200" t="e">
        <f t="shared" si="1642"/>
        <v>#N/A</v>
      </c>
      <c r="L5531" s="723"/>
      <c r="M5531" s="715" t="s">
        <v>116</v>
      </c>
      <c r="N5531" s="716"/>
      <c r="O5531" s="556" t="s">
        <v>113</v>
      </c>
      <c r="P5531" s="715" t="s">
        <v>117</v>
      </c>
      <c r="Q5531" s="728"/>
      <c r="R5531" s="759"/>
      <c r="S5531" s="760"/>
      <c r="T5531" s="761"/>
      <c r="U5531" s="219"/>
      <c r="V5531" s="464"/>
      <c r="Y5531" s="414"/>
      <c r="AA5531" s="542" t="e">
        <f>IF(AND(C5530&lt;=F5528,F5528&gt;1,F5528&lt;&gt;""),VLOOKUP(VALUE(E5509&amp;","&amp;C5530),INTEGRANTES!$D$18:$F$235,2,0),"")</f>
        <v>#N/A</v>
      </c>
      <c r="AB5531" s="544" t="e">
        <f t="shared" ref="AB5531:AB5536" si="1643">IF(D5530="","",IF(OR(F5530=0,G5530=0),"NO APORTA",ROUND($F5530/$G5530,3)))</f>
        <v>#N/A</v>
      </c>
      <c r="AC5531" s="529"/>
      <c r="AD5531" s="200" t="e">
        <f t="shared" ref="AD5531:AD5536" si="1644">IF(OR(AA5531="",AB5531=""),"",IF(AND(AC5531="X",AB5531&gt;=EXPREQVTD),"CUMPLE","NO CUMPLE"))</f>
        <v>#N/A</v>
      </c>
      <c r="AE5531" s="52"/>
      <c r="AF5531" s="52"/>
      <c r="AG5531" s="52"/>
      <c r="AH5531" s="87"/>
      <c r="AI5531" s="87"/>
    </row>
    <row r="5532" spans="1:35" ht="16.5" hidden="1" thickBot="1">
      <c r="A5532" s="218" t="e">
        <f>"P"&amp;E5509</f>
        <v>#N/A</v>
      </c>
      <c r="B5532" s="702"/>
      <c r="C5532" s="114">
        <v>3</v>
      </c>
      <c r="D5532" s="194" t="e">
        <f>IF(AND(C5532&lt;=F5528,F5528&lt;&gt;""),VLOOKUP(VALUE(E5509&amp;","&amp;C5532),INTEGRANTES!$D$18:$F$235,2,0),"")</f>
        <v>#N/A</v>
      </c>
      <c r="E5532" s="211" t="e">
        <f>IF(D5532&lt;&gt;"",VLOOKUP(VALUE(E5509&amp;","&amp;C5532),INTEGRANTES!$D$18:$F$235,3,0),"")</f>
        <v>#N/A</v>
      </c>
      <c r="F5532" s="547" t="e">
        <f>IF(D5532="","",SUMIF($I5513:$I5522,D5532,$P5513:$P5522))</f>
        <v>#N/A</v>
      </c>
      <c r="G5532" s="333" t="e">
        <f>IF(D5532="","",SUMIF($I5513:$I5522,D5532,$M5513:$M5522))</f>
        <v>#N/A</v>
      </c>
      <c r="H5532" s="535" t="e">
        <f t="shared" si="1640"/>
        <v>#N/A</v>
      </c>
      <c r="I5532" s="212" t="e">
        <f>IF(D5532="","",IF(H5532="NO APORTA","NO",IF(H5532=MAX($H5530:$H5535),"SI","NO")))</f>
        <v>#N/A</v>
      </c>
      <c r="J5532" s="213" t="e">
        <f t="shared" si="1641"/>
        <v>#N/A</v>
      </c>
      <c r="K5532" s="200" t="e">
        <f t="shared" si="1642"/>
        <v>#N/A</v>
      </c>
      <c r="L5532" s="724"/>
      <c r="M5532" s="729">
        <f>NUMMOD</f>
        <v>1</v>
      </c>
      <c r="N5532" s="730"/>
      <c r="O5532" s="443">
        <f>IF(M5532="","",VLOOKUP(M5532,PRESUPUESTOS!$B$16:$H$16,5,FALSE))</f>
        <v>2</v>
      </c>
      <c r="P5532" s="713">
        <f>IF(OR(COUNTIF(M5513:M5522,"")&gt;=10,Q5529&lt;NUMMINCONT,OR(T5527="NO CUMPLE",T5527="VERIFICAR")),0,ROUND(AVERAGE(M5513:M5522),3))</f>
        <v>0</v>
      </c>
      <c r="Q5532" s="714"/>
      <c r="R5532" s="458"/>
      <c r="S5532" s="459"/>
      <c r="T5532" s="460"/>
      <c r="U5532" s="219"/>
      <c r="V5532" s="464"/>
      <c r="Y5532" s="532" t="str">
        <f>"40% * ("&amp;PRESUPUESTOS!$H$13&amp;")"</f>
        <v>40% * (50% PFMO)</v>
      </c>
      <c r="AA5532" s="540" t="e">
        <f>IF(AND(C5531&lt;=F5528,F5528&lt;&gt;""),VLOOKUP(VALUE(E5509&amp;","&amp;C5531),INTEGRANTES!$D$18:$F$235,2,0),"")</f>
        <v>#N/A</v>
      </c>
      <c r="AB5532" s="545" t="e">
        <f t="shared" si="1643"/>
        <v>#N/A</v>
      </c>
      <c r="AC5532" s="529"/>
      <c r="AD5532" s="200" t="e">
        <f t="shared" si="1644"/>
        <v>#N/A</v>
      </c>
      <c r="AE5532" s="52"/>
      <c r="AF5532" s="52"/>
      <c r="AG5532" s="52"/>
      <c r="AH5532" s="87"/>
      <c r="AI5532" s="87"/>
    </row>
    <row r="5533" spans="1:35" ht="15.75" hidden="1" customHeight="1" thickBot="1">
      <c r="A5533" s="218" t="e">
        <f>"Q"&amp;E5509</f>
        <v>#N/A</v>
      </c>
      <c r="B5533" s="702"/>
      <c r="C5533" s="114">
        <v>4</v>
      </c>
      <c r="D5533" s="194" t="e">
        <f>IF(AND(C5533&lt;=F5528,F5528&lt;&gt;""),VLOOKUP(VALUE(E5509&amp;","&amp;C5533),INTEGRANTES!$D$18:$F$235,2,0),"")</f>
        <v>#N/A</v>
      </c>
      <c r="E5533" s="211" t="e">
        <f>IF(D5533&lt;&gt;"",VLOOKUP(VALUE(E5509&amp;","&amp;C5533),INTEGRANTES!$D$18:$F$235,3,0),"")</f>
        <v>#N/A</v>
      </c>
      <c r="F5533" s="547" t="e">
        <f>IF(D5533="","",SUMIF($I5513:$I5522,D5533,$P5513:$P5522))</f>
        <v>#N/A</v>
      </c>
      <c r="G5533" s="333" t="e">
        <f>IF(D5533="","",SUMIF($I5513:$I5522,D5533,$M5513:$M5522))</f>
        <v>#N/A</v>
      </c>
      <c r="H5533" s="535" t="e">
        <f t="shared" si="1640"/>
        <v>#N/A</v>
      </c>
      <c r="I5533" s="212" t="e">
        <f>IF(D5533="","",IF(H5533="NO APORTA","NO",IF(H5533=MAX($H5530:$H5535),"SI","NO")))</f>
        <v>#N/A</v>
      </c>
      <c r="J5533" s="213" t="e">
        <f t="shared" si="1641"/>
        <v>#N/A</v>
      </c>
      <c r="K5533" s="200" t="e">
        <f t="shared" si="1642"/>
        <v>#N/A</v>
      </c>
      <c r="L5533" s="720" t="s">
        <v>109</v>
      </c>
      <c r="M5533" s="757" t="s">
        <v>120</v>
      </c>
      <c r="N5533" s="726"/>
      <c r="O5533" s="726"/>
      <c r="P5533" s="726"/>
      <c r="Q5533" s="727"/>
      <c r="R5533" s="458"/>
      <c r="S5533" s="459"/>
      <c r="T5533" s="460"/>
      <c r="U5533" s="219"/>
      <c r="V5533" s="464"/>
      <c r="Y5533" s="537">
        <f>0.4*PRESUPUESTOS!$H$16</f>
        <v>10.3124</v>
      </c>
      <c r="AA5533" s="540" t="e">
        <f>IF(AND(C5532&lt;=F5528,F5528&lt;&gt;""),VLOOKUP(VALUE(E5509&amp;","&amp;C5532),INTEGRANTES!$D$18:$F$235,2,0),"")</f>
        <v>#N/A</v>
      </c>
      <c r="AB5533" s="545" t="e">
        <f t="shared" si="1643"/>
        <v>#N/A</v>
      </c>
      <c r="AC5533" s="529"/>
      <c r="AD5533" s="200" t="e">
        <f t="shared" si="1644"/>
        <v>#N/A</v>
      </c>
      <c r="AE5533" s="52"/>
      <c r="AF5533" s="52"/>
      <c r="AG5533" s="52"/>
      <c r="AH5533" s="87"/>
      <c r="AI5533" s="87"/>
    </row>
    <row r="5534" spans="1:35" ht="27" hidden="1" customHeight="1" thickBot="1">
      <c r="A5534" s="218" t="e">
        <f>"R"&amp;E5509</f>
        <v>#N/A</v>
      </c>
      <c r="B5534" s="702"/>
      <c r="C5534" s="114">
        <v>5</v>
      </c>
      <c r="D5534" s="194" t="e">
        <f>IF(AND(C5534&lt;=F5528,F5528&lt;&gt;""),VLOOKUP(VALUE(E5509&amp;","&amp;C5534),INTEGRANTES!$D$18:$F$235,2,0),"")</f>
        <v>#N/A</v>
      </c>
      <c r="E5534" s="211" t="e">
        <f>IF(D5534&lt;&gt;"",VLOOKUP(VALUE(E5509&amp;","&amp;C5534),INTEGRANTES!$D$18:$F$235,3,0),"")</f>
        <v>#N/A</v>
      </c>
      <c r="F5534" s="547" t="e">
        <f>IF(D5534="","",SUMIF($I5513:$I5522,D5534,$P5513:$P5522))</f>
        <v>#N/A</v>
      </c>
      <c r="G5534" s="333" t="e">
        <f>IF(D5534="","",SUMIF($I5513:$I5522,D5534,$M5513:$M5522))</f>
        <v>#N/A</v>
      </c>
      <c r="H5534" s="535" t="e">
        <f t="shared" si="1640"/>
        <v>#N/A</v>
      </c>
      <c r="I5534" s="212" t="e">
        <f>IF(D5534="","",IF(H5534="NO APORTA","NO",IF(H5534=MAX($H5530:$H5535),"SI","NO")))</f>
        <v>#N/A</v>
      </c>
      <c r="J5534" s="213" t="e">
        <f t="shared" si="1641"/>
        <v>#N/A</v>
      </c>
      <c r="K5534" s="200" t="e">
        <f t="shared" si="1642"/>
        <v>#N/A</v>
      </c>
      <c r="L5534" s="721"/>
      <c r="M5534" s="715" t="s">
        <v>116</v>
      </c>
      <c r="N5534" s="716"/>
      <c r="O5534" s="556" t="str">
        <f>PORCREQUERIDO*100&amp;"% PMFO DEL MÓDULO"</f>
        <v>50% PMFO DEL MÓDULO</v>
      </c>
      <c r="P5534" s="715" t="s">
        <v>118</v>
      </c>
      <c r="Q5534" s="728"/>
      <c r="R5534" s="458"/>
      <c r="S5534" s="459"/>
      <c r="T5534" s="460"/>
      <c r="U5534" s="219"/>
      <c r="V5534" s="464"/>
      <c r="Y5534" s="414"/>
      <c r="AA5534" s="540" t="e">
        <f>IF(AND(C5533&lt;=F5528,F5528&lt;&gt;""),VLOOKUP(VALUE(E5509&amp;","&amp;C5533),INTEGRANTES!$D$18:$F$235,2,0),"")</f>
        <v>#N/A</v>
      </c>
      <c r="AB5534" s="545" t="e">
        <f t="shared" si="1643"/>
        <v>#N/A</v>
      </c>
      <c r="AC5534" s="529"/>
      <c r="AD5534" s="200" t="e">
        <f t="shared" si="1644"/>
        <v>#N/A</v>
      </c>
      <c r="AE5534" s="52"/>
      <c r="AF5534" s="52"/>
      <c r="AG5534" s="52"/>
      <c r="AH5534" s="87"/>
      <c r="AI5534" s="87"/>
    </row>
    <row r="5535" spans="1:35" ht="16.5" hidden="1" thickBot="1">
      <c r="A5535" s="218" t="e">
        <f>"S"&amp;E5509</f>
        <v>#N/A</v>
      </c>
      <c r="B5535" s="702"/>
      <c r="C5535" s="215">
        <v>6</v>
      </c>
      <c r="D5535" s="216" t="e">
        <f>IF(AND(C5535&lt;=F5528,F5528&lt;&gt;""),VLOOKUP(VALUE(E5509&amp;","&amp;C5535),INTEGRANTES!$D$18:$F$235,2,0),"")</f>
        <v>#N/A</v>
      </c>
      <c r="E5535" s="217" t="e">
        <f>IF(D5535&lt;&gt;"",VLOOKUP(VALUE(E5509&amp;","&amp;C5535),INTEGRANTES!$D$18:$F$235,3,0),"")</f>
        <v>#N/A</v>
      </c>
      <c r="F5535" s="548" t="e">
        <f>IF(D5535="","",SUMIF($I5513:$I5522,D5535,$P5513:$P5522))</f>
        <v>#N/A</v>
      </c>
      <c r="G5535" s="334" t="e">
        <f>IF(D5535="","",SUMIF($I5513:$I5522,D5535,$M5513:$M5522))</f>
        <v>#N/A</v>
      </c>
      <c r="H5535" s="536" t="e">
        <f t="shared" si="1640"/>
        <v>#N/A</v>
      </c>
      <c r="I5535" s="214" t="e">
        <f>IF(D5535="","",IF(H5535="NO APORTA","NO",IF(H5535=MAX($H5530:$H5535),"SI","NO")))</f>
        <v>#N/A</v>
      </c>
      <c r="J5535" s="213" t="e">
        <f t="shared" si="1641"/>
        <v>#N/A</v>
      </c>
      <c r="K5535" s="200" t="e">
        <f t="shared" si="1642"/>
        <v>#N/A</v>
      </c>
      <c r="L5535" s="721"/>
      <c r="M5535" s="729">
        <f>NUMMOD</f>
        <v>1</v>
      </c>
      <c r="N5535" s="730"/>
      <c r="O5535" s="443">
        <f>IF(M5535="","",ROUND(VLOOKUP(M5535,PRESUPUESTOS!$B$16:$H$16,7,FALSE),3))</f>
        <v>25.780999999999999</v>
      </c>
      <c r="P5535" s="713">
        <f>IF(OR(COUNTIF(P5513:P5522,"")&gt;=10,Q5529&lt;NUMMINCONT,OR(T5527="NO CUMPLE",T5527="VERIFICAR")),0,ROUND((SUM(P5513:P5522)/SUM(M5513:M5522)),3))</f>
        <v>0</v>
      </c>
      <c r="Q5535" s="714"/>
      <c r="R5535" s="458"/>
      <c r="S5535" s="459"/>
      <c r="T5535" s="460"/>
      <c r="U5535" s="219"/>
      <c r="V5535" s="464"/>
      <c r="Y5535" s="532" t="s">
        <v>343</v>
      </c>
      <c r="AA5535" s="540" t="e">
        <f>IF(AND(C5534&lt;=F5528,F5528&lt;&gt;""),VLOOKUP(VALUE(E5509&amp;","&amp;C5534),INTEGRANTES!$D$18:$F$235,2,0),"")</f>
        <v>#N/A</v>
      </c>
      <c r="AB5535" s="545" t="e">
        <f t="shared" si="1643"/>
        <v>#N/A</v>
      </c>
      <c r="AC5535" s="529"/>
      <c r="AD5535" s="200" t="e">
        <f t="shared" si="1644"/>
        <v>#N/A</v>
      </c>
      <c r="AE5535" s="52"/>
      <c r="AF5535" s="52"/>
      <c r="AG5535" s="52"/>
      <c r="AH5535" s="87"/>
      <c r="AI5535" s="87"/>
    </row>
    <row r="5536" spans="1:35" ht="16.5" hidden="1" customHeight="1" thickBot="1">
      <c r="A5536" s="218" t="e">
        <f>"T"&amp;E5509</f>
        <v>#N/A</v>
      </c>
      <c r="B5536" s="703"/>
      <c r="C5536" s="719"/>
      <c r="D5536" s="719"/>
      <c r="E5536" s="719"/>
      <c r="F5536" s="719"/>
      <c r="G5536" s="719"/>
      <c r="H5536" s="719" t="s">
        <v>110</v>
      </c>
      <c r="I5536" s="719"/>
      <c r="J5536" s="719"/>
      <c r="K5536" s="201" t="str">
        <f>IF(COUNTIF(K5530:K5535,"")=6,"",IF(COUNTIF(K5530:K5535,"CUMPLE")&gt;0,"CUMPLE","NO CUMPLE"))</f>
        <v>NO CUMPLE</v>
      </c>
      <c r="L5536" s="754"/>
      <c r="M5536" s="755"/>
      <c r="N5536" s="755"/>
      <c r="O5536" s="755"/>
      <c r="P5536" s="755"/>
      <c r="Q5536" s="756"/>
      <c r="R5536" s="461"/>
      <c r="S5536" s="462"/>
      <c r="T5536" s="463"/>
      <c r="U5536" s="219"/>
      <c r="V5536" s="464"/>
      <c r="Y5536" s="549" t="e">
        <f>IF(Y5530="NO APLICA","NO APLICA",IF(COUNTIF(AD5531:AD5536,"CUMPLE")&gt;0,"CUMPLE","NO CUMPLE"))</f>
        <v>#N/A</v>
      </c>
      <c r="AA5536" s="541" t="e">
        <f>IF(AND(C5535&lt;=F5528,F5528&lt;&gt;""),VLOOKUP(VALUE(E5509&amp;","&amp;C5535),INTEGRANTES!$D$18:$F$235,2,0),"")</f>
        <v>#N/A</v>
      </c>
      <c r="AB5536" s="546" t="e">
        <f t="shared" si="1643"/>
        <v>#N/A</v>
      </c>
      <c r="AC5536" s="543"/>
      <c r="AD5536" s="201" t="e">
        <f t="shared" si="1644"/>
        <v>#N/A</v>
      </c>
      <c r="AE5536" s="52"/>
      <c r="AF5536" s="52"/>
      <c r="AG5536" s="52"/>
      <c r="AH5536" s="87"/>
      <c r="AI5536" s="87"/>
    </row>
    <row r="5537" spans="1:35" hidden="1">
      <c r="AH5537" s="87"/>
      <c r="AI5537" s="87"/>
    </row>
    <row r="5538" spans="1:35" hidden="1">
      <c r="AH5538" s="87"/>
      <c r="AI5538" s="87"/>
    </row>
    <row r="5539" spans="1:35" ht="24" hidden="1" thickBot="1">
      <c r="A5539" s="61">
        <v>185</v>
      </c>
      <c r="B5539" s="704" t="s">
        <v>51</v>
      </c>
      <c r="C5539" s="704"/>
      <c r="D5539" s="704"/>
      <c r="E5539" s="62" t="e">
        <f>VLOOKUP(A5539,PROPONENTES!$B$19:$E$218,2,FALSE)</f>
        <v>#N/A</v>
      </c>
      <c r="F5539" s="63" t="e">
        <f>VLOOKUP(A5539,PROPONENTES!$B$19:$E$218,3,FALSE)</f>
        <v>#N/A</v>
      </c>
      <c r="G5539" s="64"/>
      <c r="H5539" s="64"/>
      <c r="I5539" s="63"/>
      <c r="J5539" s="63"/>
      <c r="K5539" s="65"/>
      <c r="L5539" s="65"/>
      <c r="M5539" s="64"/>
      <c r="N5539" s="64"/>
      <c r="O5539" s="66"/>
      <c r="P5539" s="66"/>
      <c r="Q5539" s="66"/>
      <c r="R5539" s="66"/>
      <c r="S5539" s="67"/>
      <c r="T5539" s="68"/>
      <c r="U5539" s="68"/>
      <c r="AC5539" s="68"/>
      <c r="AD5539" s="68"/>
      <c r="AE5539" s="68"/>
      <c r="AF5539" s="68"/>
      <c r="AG5539" s="68"/>
      <c r="AH5539" s="87"/>
      <c r="AI5539" s="87"/>
    </row>
    <row r="5540" spans="1:35" ht="15.75" hidden="1" customHeight="1">
      <c r="A5540" s="44"/>
      <c r="B5540" s="709" t="s">
        <v>59</v>
      </c>
      <c r="C5540" s="552" t="s">
        <v>60</v>
      </c>
      <c r="D5540" s="70" t="s">
        <v>17</v>
      </c>
      <c r="E5540" s="70"/>
      <c r="F5540" s="70" t="s">
        <v>61</v>
      </c>
      <c r="G5540" s="71"/>
      <c r="H5540" s="699" t="s">
        <v>62</v>
      </c>
      <c r="I5540" s="699" t="s">
        <v>18</v>
      </c>
      <c r="J5540" s="699" t="s">
        <v>63</v>
      </c>
      <c r="K5540" s="699" t="s">
        <v>64</v>
      </c>
      <c r="L5540" s="699" t="s">
        <v>65</v>
      </c>
      <c r="M5540" s="743" t="s">
        <v>66</v>
      </c>
      <c r="N5540" s="699" t="s">
        <v>282</v>
      </c>
      <c r="O5540" s="745" t="s">
        <v>67</v>
      </c>
      <c r="P5540" s="746"/>
      <c r="Q5540" s="102" t="s">
        <v>75</v>
      </c>
      <c r="R5540" s="731" t="s">
        <v>22</v>
      </c>
      <c r="S5540" s="732"/>
      <c r="T5540" s="733"/>
      <c r="U5540" s="712" t="s">
        <v>298</v>
      </c>
      <c r="W5540" s="690" t="s">
        <v>268</v>
      </c>
      <c r="X5540" s="691"/>
      <c r="Y5540" s="692"/>
      <c r="Z5540" s="428"/>
      <c r="AA5540" s="697" t="s">
        <v>315</v>
      </c>
      <c r="AB5540" s="695" t="s">
        <v>322</v>
      </c>
      <c r="AC5540" s="49"/>
      <c r="AD5540" s="690" t="s">
        <v>297</v>
      </c>
      <c r="AE5540" s="691"/>
      <c r="AF5540" s="692"/>
      <c r="AG5540" s="49"/>
      <c r="AH5540" s="87"/>
      <c r="AI5540" s="87"/>
    </row>
    <row r="5541" spans="1:35" ht="72" hidden="1">
      <c r="A5541" s="44"/>
      <c r="B5541" s="710"/>
      <c r="C5541" s="553" t="s">
        <v>68</v>
      </c>
      <c r="D5541" s="73" t="s">
        <v>3</v>
      </c>
      <c r="E5541" s="73" t="s">
        <v>19</v>
      </c>
      <c r="F5541" s="73" t="s">
        <v>69</v>
      </c>
      <c r="G5541" s="74" t="s">
        <v>70</v>
      </c>
      <c r="H5541" s="700"/>
      <c r="I5541" s="700"/>
      <c r="J5541" s="700"/>
      <c r="K5541" s="700"/>
      <c r="L5541" s="700"/>
      <c r="M5541" s="744"/>
      <c r="N5541" s="700"/>
      <c r="O5541" s="553" t="s">
        <v>279</v>
      </c>
      <c r="P5541" s="73" t="s">
        <v>88</v>
      </c>
      <c r="Q5541" s="555" t="s">
        <v>76</v>
      </c>
      <c r="R5541" s="734"/>
      <c r="S5541" s="735"/>
      <c r="T5541" s="736"/>
      <c r="U5541" s="712"/>
      <c r="W5541" s="429" t="s">
        <v>269</v>
      </c>
      <c r="X5541" s="457" t="s">
        <v>278</v>
      </c>
      <c r="Y5541" s="430" t="s">
        <v>324</v>
      </c>
      <c r="Z5541" s="428"/>
      <c r="AA5541" s="698"/>
      <c r="AB5541" s="696"/>
      <c r="AC5541" s="49"/>
      <c r="AD5541" s="429" t="s">
        <v>292</v>
      </c>
      <c r="AE5541" s="431" t="s">
        <v>300</v>
      </c>
      <c r="AF5541" s="468" t="s">
        <v>301</v>
      </c>
      <c r="AG5541" s="49"/>
      <c r="AH5541" s="87"/>
      <c r="AI5541" s="87"/>
    </row>
    <row r="5542" spans="1:35" hidden="1">
      <c r="A5542" s="44"/>
      <c r="B5542" s="76"/>
      <c r="C5542" s="77"/>
      <c r="D5542" s="77"/>
      <c r="E5542" s="77"/>
      <c r="F5542" s="77"/>
      <c r="G5542" s="77"/>
      <c r="H5542" s="77"/>
      <c r="I5542" s="77"/>
      <c r="J5542" s="77"/>
      <c r="K5542" s="77"/>
      <c r="L5542" s="77"/>
      <c r="M5542" s="77"/>
      <c r="N5542" s="77"/>
      <c r="O5542" s="77"/>
      <c r="P5542" s="77"/>
      <c r="Q5542" s="77"/>
      <c r="R5542" s="77"/>
      <c r="S5542" s="78"/>
      <c r="T5542" s="79"/>
      <c r="U5542" s="109"/>
      <c r="V5542" s="49"/>
      <c r="W5542" s="432"/>
      <c r="X5542" s="454"/>
      <c r="Y5542" s="433"/>
      <c r="Z5542" s="6"/>
      <c r="AA5542" s="500"/>
      <c r="AB5542" s="562"/>
      <c r="AC5542" s="49"/>
      <c r="AD5542" s="210"/>
      <c r="AE5542" s="434"/>
      <c r="AF5542" s="435"/>
      <c r="AG5542" s="49"/>
      <c r="AH5542" s="87"/>
      <c r="AI5542" s="87"/>
    </row>
    <row r="5543" spans="1:35" hidden="1">
      <c r="A5543" s="80" t="e">
        <f>"A"&amp;E5539</f>
        <v>#N/A</v>
      </c>
      <c r="B5543" s="81">
        <v>1</v>
      </c>
      <c r="C5543" s="82"/>
      <c r="D5543" s="82"/>
      <c r="E5543" s="82"/>
      <c r="F5543" s="82"/>
      <c r="G5543" s="83"/>
      <c r="H5543" s="83"/>
      <c r="I5543" s="84"/>
      <c r="J5543" s="85"/>
      <c r="K5543" s="382"/>
      <c r="L5543" s="85"/>
      <c r="M5543" s="332" t="str">
        <f t="shared" ref="M5543:M5552" si="1645">IF(OR(J5543="",L5543="",H5543="NO"),"",IF(OR(J5543&gt;$P$17,J5543&lt;$O$17,L5543&gt;$P$17,AND(J5543&lt;$O$17,L5543&lt;$O$17)),"FUERA DE RANGO",IF(OR(K5543="---",K5543=""),IF(J5543&gt;=$O$17,ROUND((L5543-J5543+1)/360*12,3),ROUND((L5543-$O$17+1)/360*12,3)),IF(J5543&gt;=$O$17,ROUND((L5543-J5543+1)/360*12-ROUND(K5543,3),3),ROUND((L5543-$O$17+1)/360*12-ROUND(K5543,3),3)))))</f>
        <v/>
      </c>
      <c r="N5543" s="86"/>
      <c r="O5543" s="453" t="str">
        <f>IF(OR(G5543="",N5543=""),"",N5543*G5543)</f>
        <v/>
      </c>
      <c r="P5543" s="538" t="str">
        <f>IF(OR(H5543="",M5543="FUERA DE RANGO"),"",IF(OR(L5543&lt;$O$17,L5543&gt;$P$17,L5543="",H5543="NO"),"",IF(OR(N5543="",O5543=""),"",ROUND(O5543,3))))</f>
        <v/>
      </c>
      <c r="Q5543" s="539" t="str">
        <f t="shared" ref="Q5543:Q5552" si="1646">IF(AND(H5543="SI",P5543&lt;&gt;""),ROUND(P5543/M5543,3),"")</f>
        <v/>
      </c>
      <c r="R5543" s="737"/>
      <c r="S5543" s="738"/>
      <c r="T5543" s="739"/>
      <c r="U5543" s="470"/>
      <c r="V5543" s="165"/>
      <c r="W5543" s="446"/>
      <c r="X5543" s="456"/>
      <c r="Y5543" s="436"/>
      <c r="Z5543" s="437"/>
      <c r="AA5543" s="560"/>
      <c r="AB5543" s="561"/>
      <c r="AC5543" s="87"/>
      <c r="AD5543" s="466"/>
      <c r="AE5543" s="456"/>
      <c r="AF5543" s="467"/>
      <c r="AG5543" s="87"/>
      <c r="AH5543" s="87"/>
      <c r="AI5543" s="87"/>
    </row>
    <row r="5544" spans="1:35" hidden="1">
      <c r="A5544" s="80" t="e">
        <f>"B"&amp;E5539</f>
        <v>#N/A</v>
      </c>
      <c r="B5544" s="81">
        <v>2</v>
      </c>
      <c r="C5544" s="106"/>
      <c r="D5544" s="106"/>
      <c r="E5544" s="106"/>
      <c r="F5544" s="106"/>
      <c r="G5544" s="83"/>
      <c r="H5544" s="83"/>
      <c r="I5544" s="84"/>
      <c r="J5544" s="85"/>
      <c r="K5544" s="382"/>
      <c r="L5544" s="85"/>
      <c r="M5544" s="332" t="str">
        <f t="shared" si="1645"/>
        <v/>
      </c>
      <c r="N5544" s="86"/>
      <c r="O5544" s="453" t="str">
        <f t="shared" ref="O5544:O5552" si="1647">IF(OR(G5544="",N5544=""),"",N5544*G5544)</f>
        <v/>
      </c>
      <c r="P5544" s="538" t="str">
        <f t="shared" ref="P5544:P5552" si="1648">IF(OR(H5544="",M5544="FUERA DE RANGO"),"",IF(OR(L5544&lt;$O$17,L5544&gt;$P$17,L5544="",H5544="NO"),"",IF(OR(N5544="",O5544=""),"",ROUND(O5544,3))))</f>
        <v/>
      </c>
      <c r="Q5544" s="539" t="str">
        <f t="shared" si="1646"/>
        <v/>
      </c>
      <c r="R5544" s="740"/>
      <c r="S5544" s="741"/>
      <c r="T5544" s="742"/>
      <c r="U5544" s="471"/>
      <c r="V5544" s="165"/>
      <c r="W5544" s="446"/>
      <c r="X5544" s="456"/>
      <c r="Y5544" s="436"/>
      <c r="Z5544" s="437"/>
      <c r="AA5544" s="560"/>
      <c r="AB5544" s="561"/>
      <c r="AC5544" s="87"/>
      <c r="AD5544" s="466"/>
      <c r="AE5544" s="456"/>
      <c r="AF5544" s="467"/>
      <c r="AG5544" s="87"/>
      <c r="AH5544" s="87"/>
      <c r="AI5544" s="87"/>
    </row>
    <row r="5545" spans="1:35" hidden="1">
      <c r="A5545" s="80" t="e">
        <f>"C"&amp;E5539</f>
        <v>#N/A</v>
      </c>
      <c r="B5545" s="88">
        <v>3</v>
      </c>
      <c r="C5545" s="82"/>
      <c r="D5545" s="82"/>
      <c r="E5545" s="82"/>
      <c r="F5545" s="82"/>
      <c r="G5545" s="83"/>
      <c r="H5545" s="83"/>
      <c r="I5545" s="84"/>
      <c r="J5545" s="85"/>
      <c r="K5545" s="382"/>
      <c r="L5545" s="85"/>
      <c r="M5545" s="332" t="str">
        <f t="shared" si="1645"/>
        <v/>
      </c>
      <c r="N5545" s="86"/>
      <c r="O5545" s="453" t="str">
        <f t="shared" si="1647"/>
        <v/>
      </c>
      <c r="P5545" s="538" t="str">
        <f t="shared" si="1648"/>
        <v/>
      </c>
      <c r="Q5545" s="539" t="str">
        <f t="shared" si="1646"/>
        <v/>
      </c>
      <c r="R5545" s="706"/>
      <c r="S5545" s="707"/>
      <c r="T5545" s="708"/>
      <c r="U5545" s="472"/>
      <c r="V5545" s="166"/>
      <c r="W5545" s="446"/>
      <c r="X5545" s="456"/>
      <c r="Y5545" s="436"/>
      <c r="Z5545" s="437"/>
      <c r="AA5545" s="560"/>
      <c r="AB5545" s="561"/>
      <c r="AC5545" s="87"/>
      <c r="AD5545" s="466"/>
      <c r="AE5545" s="456"/>
      <c r="AF5545" s="467"/>
      <c r="AG5545" s="87"/>
      <c r="AH5545" s="87"/>
      <c r="AI5545" s="87"/>
    </row>
    <row r="5546" spans="1:35" hidden="1">
      <c r="A5546" s="80" t="e">
        <f>"D"&amp;E5539</f>
        <v>#N/A</v>
      </c>
      <c r="B5546" s="105">
        <v>4</v>
      </c>
      <c r="C5546" s="107"/>
      <c r="D5546" s="107"/>
      <c r="E5546" s="107"/>
      <c r="F5546" s="107"/>
      <c r="G5546" s="83"/>
      <c r="H5546" s="83"/>
      <c r="I5546" s="84"/>
      <c r="J5546" s="85"/>
      <c r="K5546" s="382"/>
      <c r="L5546" s="85"/>
      <c r="M5546" s="332" t="str">
        <f t="shared" si="1645"/>
        <v/>
      </c>
      <c r="N5546" s="86"/>
      <c r="O5546" s="453" t="str">
        <f t="shared" si="1647"/>
        <v/>
      </c>
      <c r="P5546" s="538" t="str">
        <f t="shared" si="1648"/>
        <v/>
      </c>
      <c r="Q5546" s="539" t="str">
        <f t="shared" si="1646"/>
        <v/>
      </c>
      <c r="R5546" s="706"/>
      <c r="S5546" s="707"/>
      <c r="T5546" s="708"/>
      <c r="U5546" s="472"/>
      <c r="V5546" s="166"/>
      <c r="W5546" s="446"/>
      <c r="X5546" s="456"/>
      <c r="Y5546" s="436"/>
      <c r="Z5546" s="437"/>
      <c r="AA5546" s="560"/>
      <c r="AB5546" s="561"/>
      <c r="AC5546" s="87"/>
      <c r="AD5546" s="466"/>
      <c r="AE5546" s="456"/>
      <c r="AF5546" s="467"/>
      <c r="AG5546" s="87"/>
      <c r="AH5546" s="87"/>
      <c r="AI5546" s="87"/>
    </row>
    <row r="5547" spans="1:35" hidden="1">
      <c r="A5547" s="80" t="e">
        <f>"E"&amp;E5539</f>
        <v>#N/A</v>
      </c>
      <c r="B5547" s="105">
        <v>5</v>
      </c>
      <c r="C5547" s="107"/>
      <c r="D5547" s="107"/>
      <c r="E5547" s="107"/>
      <c r="F5547" s="107"/>
      <c r="G5547" s="83"/>
      <c r="H5547" s="83"/>
      <c r="I5547" s="84"/>
      <c r="J5547" s="85"/>
      <c r="K5547" s="382"/>
      <c r="L5547" s="85"/>
      <c r="M5547" s="332" t="str">
        <f t="shared" si="1645"/>
        <v/>
      </c>
      <c r="N5547" s="86"/>
      <c r="O5547" s="453" t="str">
        <f t="shared" si="1647"/>
        <v/>
      </c>
      <c r="P5547" s="538" t="str">
        <f t="shared" si="1648"/>
        <v/>
      </c>
      <c r="Q5547" s="539" t="str">
        <f t="shared" si="1646"/>
        <v/>
      </c>
      <c r="R5547" s="706"/>
      <c r="S5547" s="707"/>
      <c r="T5547" s="708"/>
      <c r="U5547" s="472"/>
      <c r="V5547" s="167"/>
      <c r="W5547" s="446"/>
      <c r="X5547" s="456"/>
      <c r="Y5547" s="436"/>
      <c r="Z5547" s="437"/>
      <c r="AA5547" s="560"/>
      <c r="AB5547" s="561"/>
      <c r="AC5547" s="87"/>
      <c r="AD5547" s="466"/>
      <c r="AE5547" s="456"/>
      <c r="AF5547" s="467"/>
      <c r="AG5547" s="87"/>
      <c r="AH5547" s="87"/>
      <c r="AI5547" s="87"/>
    </row>
    <row r="5548" spans="1:35" hidden="1">
      <c r="A5548" s="80" t="e">
        <f>"F"&amp;E5539</f>
        <v>#N/A</v>
      </c>
      <c r="B5548" s="105">
        <v>6</v>
      </c>
      <c r="C5548" s="107"/>
      <c r="D5548" s="107"/>
      <c r="E5548" s="107"/>
      <c r="F5548" s="107"/>
      <c r="G5548" s="83"/>
      <c r="H5548" s="83"/>
      <c r="I5548" s="84"/>
      <c r="J5548" s="85"/>
      <c r="K5548" s="382"/>
      <c r="L5548" s="85"/>
      <c r="M5548" s="332" t="str">
        <f t="shared" si="1645"/>
        <v/>
      </c>
      <c r="N5548" s="86"/>
      <c r="O5548" s="453" t="str">
        <f t="shared" si="1647"/>
        <v/>
      </c>
      <c r="P5548" s="538" t="str">
        <f t="shared" si="1648"/>
        <v/>
      </c>
      <c r="Q5548" s="539" t="str">
        <f t="shared" si="1646"/>
        <v/>
      </c>
      <c r="R5548" s="706"/>
      <c r="S5548" s="707"/>
      <c r="T5548" s="708"/>
      <c r="U5548" s="472"/>
      <c r="V5548" s="167"/>
      <c r="W5548" s="446"/>
      <c r="X5548" s="456"/>
      <c r="Y5548" s="436"/>
      <c r="Z5548" s="437"/>
      <c r="AA5548" s="560"/>
      <c r="AB5548" s="561"/>
      <c r="AC5548" s="87"/>
      <c r="AD5548" s="466"/>
      <c r="AE5548" s="456"/>
      <c r="AF5548" s="467"/>
      <c r="AG5548" s="87"/>
      <c r="AH5548" s="87"/>
      <c r="AI5548" s="87"/>
    </row>
    <row r="5549" spans="1:35" hidden="1">
      <c r="A5549" s="80" t="e">
        <f>"G"&amp;E5539</f>
        <v>#N/A</v>
      </c>
      <c r="B5549" s="105">
        <v>7</v>
      </c>
      <c r="C5549" s="107"/>
      <c r="D5549" s="107"/>
      <c r="E5549" s="107"/>
      <c r="F5549" s="107"/>
      <c r="G5549" s="83"/>
      <c r="H5549" s="83"/>
      <c r="I5549" s="84"/>
      <c r="J5549" s="85"/>
      <c r="K5549" s="382"/>
      <c r="L5549" s="85"/>
      <c r="M5549" s="332" t="str">
        <f t="shared" si="1645"/>
        <v/>
      </c>
      <c r="N5549" s="86"/>
      <c r="O5549" s="86" t="str">
        <f t="shared" si="1647"/>
        <v/>
      </c>
      <c r="P5549" s="538" t="str">
        <f t="shared" si="1648"/>
        <v/>
      </c>
      <c r="Q5549" s="539" t="str">
        <f t="shared" si="1646"/>
        <v/>
      </c>
      <c r="R5549" s="706"/>
      <c r="S5549" s="707"/>
      <c r="T5549" s="708"/>
      <c r="U5549" s="472"/>
      <c r="V5549" s="167"/>
      <c r="W5549" s="446"/>
      <c r="X5549" s="456"/>
      <c r="Y5549" s="436"/>
      <c r="Z5549" s="437"/>
      <c r="AA5549" s="560"/>
      <c r="AB5549" s="561"/>
      <c r="AC5549" s="87"/>
      <c r="AD5549" s="466"/>
      <c r="AE5549" s="456"/>
      <c r="AF5549" s="467"/>
      <c r="AG5549" s="87"/>
      <c r="AH5549" s="87"/>
      <c r="AI5549" s="87"/>
    </row>
    <row r="5550" spans="1:35" hidden="1">
      <c r="A5550" s="80" t="e">
        <f>"H"&amp;E5539</f>
        <v>#N/A</v>
      </c>
      <c r="B5550" s="105">
        <v>8</v>
      </c>
      <c r="C5550" s="107"/>
      <c r="D5550" s="107"/>
      <c r="E5550" s="107"/>
      <c r="F5550" s="107"/>
      <c r="G5550" s="83"/>
      <c r="H5550" s="83"/>
      <c r="I5550" s="84"/>
      <c r="J5550" s="85"/>
      <c r="K5550" s="382"/>
      <c r="L5550" s="85"/>
      <c r="M5550" s="332" t="str">
        <f t="shared" si="1645"/>
        <v/>
      </c>
      <c r="N5550" s="453"/>
      <c r="O5550" s="86" t="str">
        <f t="shared" si="1647"/>
        <v/>
      </c>
      <c r="P5550" s="538" t="str">
        <f t="shared" si="1648"/>
        <v/>
      </c>
      <c r="Q5550" s="539" t="str">
        <f t="shared" si="1646"/>
        <v/>
      </c>
      <c r="R5550" s="706"/>
      <c r="S5550" s="707"/>
      <c r="T5550" s="708"/>
      <c r="U5550" s="472"/>
      <c r="V5550" s="167"/>
      <c r="W5550" s="446"/>
      <c r="X5550" s="456"/>
      <c r="Y5550" s="436"/>
      <c r="Z5550" s="437"/>
      <c r="AA5550" s="560"/>
      <c r="AB5550" s="561"/>
      <c r="AC5550" s="87"/>
      <c r="AD5550" s="466"/>
      <c r="AE5550" s="456"/>
      <c r="AF5550" s="467"/>
      <c r="AG5550" s="87"/>
      <c r="AH5550" s="87"/>
      <c r="AI5550" s="87"/>
    </row>
    <row r="5551" spans="1:35" hidden="1">
      <c r="A5551" s="80" t="e">
        <f>"I"&amp;E5539</f>
        <v>#N/A</v>
      </c>
      <c r="B5551" s="105">
        <v>9</v>
      </c>
      <c r="C5551" s="107"/>
      <c r="D5551" s="107"/>
      <c r="E5551" s="107"/>
      <c r="F5551" s="107"/>
      <c r="G5551" s="83"/>
      <c r="H5551" s="83"/>
      <c r="I5551" s="84"/>
      <c r="J5551" s="85"/>
      <c r="K5551" s="382"/>
      <c r="L5551" s="85"/>
      <c r="M5551" s="332" t="str">
        <f t="shared" si="1645"/>
        <v/>
      </c>
      <c r="N5551" s="453"/>
      <c r="O5551" s="86" t="str">
        <f t="shared" si="1647"/>
        <v/>
      </c>
      <c r="P5551" s="538" t="str">
        <f t="shared" si="1648"/>
        <v/>
      </c>
      <c r="Q5551" s="539" t="str">
        <f t="shared" si="1646"/>
        <v/>
      </c>
      <c r="R5551" s="706"/>
      <c r="S5551" s="707"/>
      <c r="T5551" s="708"/>
      <c r="U5551" s="472"/>
      <c r="V5551" s="167"/>
      <c r="W5551" s="446"/>
      <c r="X5551" s="456"/>
      <c r="Y5551" s="436"/>
      <c r="Z5551" s="437"/>
      <c r="AA5551" s="560"/>
      <c r="AB5551" s="561"/>
      <c r="AC5551" s="87"/>
      <c r="AD5551" s="466"/>
      <c r="AE5551" s="456"/>
      <c r="AF5551" s="467"/>
      <c r="AG5551" s="87"/>
      <c r="AH5551" s="87"/>
      <c r="AI5551" s="87"/>
    </row>
    <row r="5552" spans="1:35" hidden="1">
      <c r="A5552" s="80" t="e">
        <f>"J"&amp;E5539</f>
        <v>#N/A</v>
      </c>
      <c r="B5552" s="105">
        <v>10</v>
      </c>
      <c r="C5552" s="107"/>
      <c r="D5552" s="107"/>
      <c r="E5552" s="107"/>
      <c r="F5552" s="107"/>
      <c r="G5552" s="83"/>
      <c r="H5552" s="83"/>
      <c r="I5552" s="84"/>
      <c r="J5552" s="85"/>
      <c r="K5552" s="382"/>
      <c r="L5552" s="85"/>
      <c r="M5552" s="332" t="str">
        <f t="shared" si="1645"/>
        <v/>
      </c>
      <c r="N5552" s="453"/>
      <c r="O5552" s="86" t="str">
        <f t="shared" si="1647"/>
        <v/>
      </c>
      <c r="P5552" s="538" t="str">
        <f t="shared" si="1648"/>
        <v/>
      </c>
      <c r="Q5552" s="539" t="str">
        <f t="shared" si="1646"/>
        <v/>
      </c>
      <c r="R5552" s="706"/>
      <c r="S5552" s="707"/>
      <c r="T5552" s="708"/>
      <c r="U5552" s="472"/>
      <c r="V5552" s="167"/>
      <c r="W5552" s="446"/>
      <c r="X5552" s="456"/>
      <c r="Y5552" s="436"/>
      <c r="Z5552" s="437"/>
      <c r="AA5552" s="560"/>
      <c r="AB5552" s="561"/>
      <c r="AC5552" s="87"/>
      <c r="AD5552" s="466"/>
      <c r="AE5552" s="456"/>
      <c r="AF5552" s="467"/>
      <c r="AG5552" s="87"/>
      <c r="AH5552" s="87"/>
      <c r="AI5552" s="87"/>
    </row>
    <row r="5553" spans="1:35" ht="16.5" hidden="1" thickBot="1">
      <c r="A5553" s="44"/>
      <c r="B5553" s="89"/>
      <c r="C5553" s="90"/>
      <c r="D5553" s="90"/>
      <c r="E5553" s="90"/>
      <c r="F5553" s="90"/>
      <c r="G5553" s="90"/>
      <c r="H5553" s="90"/>
      <c r="I5553" s="90"/>
      <c r="J5553" s="90"/>
      <c r="K5553" s="90"/>
      <c r="L5553" s="90"/>
      <c r="M5553" s="90"/>
      <c r="N5553" s="90"/>
      <c r="O5553" s="90"/>
      <c r="P5553" s="90"/>
      <c r="Q5553" s="90"/>
      <c r="R5553" s="90"/>
      <c r="S5553" s="91"/>
      <c r="T5553" s="92"/>
      <c r="U5553" s="473"/>
      <c r="W5553" s="438"/>
      <c r="X5553" s="455"/>
      <c r="Y5553" s="439"/>
      <c r="Z5553" s="437"/>
      <c r="AA5553" s="530"/>
      <c r="AB5553" s="563"/>
      <c r="AC5553" s="87"/>
      <c r="AD5553" s="440"/>
      <c r="AE5553" s="441"/>
      <c r="AF5553" s="442"/>
      <c r="AG5553" s="49"/>
      <c r="AH5553" s="87"/>
      <c r="AI5553" s="87"/>
    </row>
    <row r="5554" spans="1:35" ht="16.5" hidden="1" thickBot="1">
      <c r="A5554" s="93"/>
      <c r="B5554" s="94"/>
      <c r="C5554" s="96"/>
      <c r="D5554" s="96"/>
      <c r="E5554" s="96"/>
      <c r="F5554" s="96"/>
      <c r="G5554" s="96"/>
      <c r="H5554" s="96"/>
      <c r="I5554" s="96"/>
      <c r="J5554" s="96"/>
      <c r="K5554" s="96"/>
      <c r="L5554" s="96"/>
      <c r="M5554" s="136"/>
      <c r="N5554" s="96"/>
      <c r="O5554" s="96"/>
      <c r="P5554" s="97"/>
      <c r="Q5554" s="97"/>
      <c r="R5554" s="98"/>
      <c r="S5554" s="95"/>
      <c r="T5554" s="99"/>
      <c r="U5554" s="469"/>
      <c r="AC5554" s="58"/>
      <c r="AG5554" s="58"/>
      <c r="AH5554" s="87"/>
      <c r="AI5554" s="87"/>
    </row>
    <row r="5555" spans="1:35" ht="16.5" hidden="1" thickBot="1">
      <c r="B5555" s="101"/>
      <c r="C5555" s="101"/>
      <c r="D5555" s="101"/>
      <c r="E5555" s="101"/>
      <c r="F5555" s="101"/>
      <c r="G5555" s="101"/>
      <c r="H5555" s="101"/>
      <c r="I5555" s="101"/>
      <c r="J5555" s="101"/>
      <c r="K5555" s="101"/>
      <c r="L5555" s="101"/>
      <c r="M5555" s="101"/>
      <c r="N5555" s="101"/>
      <c r="O5555" s="101"/>
      <c r="P5555" s="101"/>
      <c r="Q5555" s="101"/>
      <c r="R5555" s="101"/>
      <c r="S5555" s="101"/>
      <c r="U5555" s="50"/>
      <c r="AH5555" s="87"/>
      <c r="AI5555" s="87"/>
    </row>
    <row r="5556" spans="1:35" ht="16.5" hidden="1" customHeight="1" thickBot="1">
      <c r="A5556" s="44"/>
      <c r="B5556" s="705" t="s">
        <v>74</v>
      </c>
      <c r="C5556" s="705"/>
      <c r="D5556" s="705"/>
      <c r="E5556" s="705"/>
      <c r="F5556" s="705"/>
      <c r="G5556" s="705"/>
      <c r="H5556" s="705"/>
      <c r="I5556" s="705"/>
      <c r="J5556" s="705"/>
      <c r="K5556" s="705"/>
      <c r="L5556" s="705"/>
      <c r="M5556" s="705"/>
      <c r="N5556" s="705"/>
      <c r="O5556" s="705"/>
      <c r="P5556" s="705"/>
      <c r="Q5556" s="705"/>
      <c r="R5556" s="705"/>
      <c r="S5556" s="705"/>
      <c r="T5556" s="705"/>
      <c r="U5556" s="108"/>
      <c r="Y5556" s="532" t="s">
        <v>341</v>
      </c>
      <c r="AC5556" s="49"/>
      <c r="AD5556" s="687" t="s">
        <v>302</v>
      </c>
      <c r="AE5556" s="688"/>
      <c r="AF5556" s="689"/>
      <c r="AG5556" s="49"/>
      <c r="AH5556" s="87"/>
      <c r="AI5556" s="87"/>
    </row>
    <row r="5557" spans="1:35" ht="16.5" hidden="1" customHeight="1" thickBot="1">
      <c r="A5557" s="218" t="e">
        <f>"K"&amp;E5539</f>
        <v>#N/A</v>
      </c>
      <c r="B5557" s="701" t="s">
        <v>71</v>
      </c>
      <c r="C5557" s="751" t="s">
        <v>102</v>
      </c>
      <c r="D5557" s="751"/>
      <c r="E5557" s="751"/>
      <c r="F5557" s="751"/>
      <c r="G5557" s="751"/>
      <c r="H5557" s="751"/>
      <c r="I5557" s="751"/>
      <c r="J5557" s="751"/>
      <c r="K5557" s="751"/>
      <c r="L5557" s="722" t="s">
        <v>100</v>
      </c>
      <c r="M5557" s="747" t="s">
        <v>114</v>
      </c>
      <c r="N5557" s="747"/>
      <c r="O5557" s="747"/>
      <c r="P5557" s="747"/>
      <c r="Q5557" s="748"/>
      <c r="R5557" s="758" t="s">
        <v>280</v>
      </c>
      <c r="S5557" s="748"/>
      <c r="T5557" s="762" t="str">
        <f>IF(COUNTIF(AE5557:AF5557,"VERIFICAR")&gt;0,"VERIFICAR",IF(COUNTIF(AE5557:AF5557,"NO CUMPLE")&gt;0,"NO CUMPLE","CUMPLE"))</f>
        <v>VERIFICAR</v>
      </c>
      <c r="U5557" s="108"/>
      <c r="Y5557" s="533" t="e">
        <f>IF(F5558="","",IF(F5558=1,"INDIVIDUAL","ESTRUCTURA PLURAL"))</f>
        <v>#N/A</v>
      </c>
      <c r="AC5557" s="52"/>
      <c r="AD5557" s="475" t="s">
        <v>303</v>
      </c>
      <c r="AE5557" s="476" t="str">
        <f>IF(COUNTIF(AE5543:AE5552,"")=10,"VERIFICAR",IF(COUNTIF(AE5543:AE5552,"SI")&gt;0,"CUMPLE","NO CUMPLE"))</f>
        <v>VERIFICAR</v>
      </c>
      <c r="AF5557" s="477" t="str">
        <f>IF(COUNTIF(AF5543:AF5552,"")=10,"VERIFICAR",IF(COUNTIF(AF5543:AF5552,"SI")&gt;=$AI$22,"CUMPLE","NO CUMPLE"))</f>
        <v>VERIFICAR</v>
      </c>
      <c r="AG5557" s="52"/>
      <c r="AH5557" s="87"/>
      <c r="AI5557" s="87"/>
    </row>
    <row r="5558" spans="1:35" ht="15.75" hidden="1" customHeight="1" thickBot="1">
      <c r="A5558" s="218" t="e">
        <f>"L"&amp;E5539</f>
        <v>#N/A</v>
      </c>
      <c r="B5558" s="702"/>
      <c r="C5558" s="751" t="s">
        <v>103</v>
      </c>
      <c r="D5558" s="751"/>
      <c r="E5558" s="752"/>
      <c r="F5558" s="557" t="e">
        <f>IF(VLOOKUP(E5539,PROPONENTES!$C$19:$E$218,3,0)="","",VLOOKUP(E5539,PROPONENTES!$C$19:$E$218,3,0))</f>
        <v>#N/A</v>
      </c>
      <c r="G5558" s="753" t="s">
        <v>104</v>
      </c>
      <c r="H5558" s="751"/>
      <c r="I5558" s="715" t="e">
        <f>IF(OR(F5558="",F5558=1),"INTERESADO PERSONA NATURAL O JURIDICA","CONSORCIO O UNION TEMPORAL")</f>
        <v>#N/A</v>
      </c>
      <c r="J5558" s="725"/>
      <c r="K5558" s="728"/>
      <c r="L5558" s="723"/>
      <c r="M5558" s="749"/>
      <c r="N5558" s="749"/>
      <c r="O5558" s="749"/>
      <c r="P5558" s="749"/>
      <c r="Q5558" s="750"/>
      <c r="R5558" s="712"/>
      <c r="S5558" s="750"/>
      <c r="T5558" s="763"/>
      <c r="U5558" s="108"/>
      <c r="Y5558" s="534"/>
      <c r="AA5558" s="52"/>
      <c r="AB5558" s="52"/>
      <c r="AC5558" s="52"/>
      <c r="AG5558" s="52"/>
      <c r="AH5558" s="87"/>
      <c r="AI5558" s="87"/>
    </row>
    <row r="5559" spans="1:35" ht="56.25" hidden="1" customHeight="1" thickBot="1">
      <c r="A5559" s="218" t="e">
        <f>"M"&amp;E5539</f>
        <v>#N/A</v>
      </c>
      <c r="B5559" s="702"/>
      <c r="C5559" s="725" t="s">
        <v>101</v>
      </c>
      <c r="D5559" s="716"/>
      <c r="E5559" s="558" t="s">
        <v>105</v>
      </c>
      <c r="F5559" s="554" t="s">
        <v>87</v>
      </c>
      <c r="G5559" s="553" t="s">
        <v>86</v>
      </c>
      <c r="H5559" s="559" t="s">
        <v>85</v>
      </c>
      <c r="I5559" s="554" t="s">
        <v>252</v>
      </c>
      <c r="J5559" s="553" t="str">
        <f>"¿EL INTEGRANTE TIENE UNA PARTICIPACIÓN DEL "&amp;PORCREQUERIDOINT*100&amp;"%?"</f>
        <v>¿EL INTEGRANTE TIENE UNA PARTICIPACIÓN DEL 60%?</v>
      </c>
      <c r="K5559" s="554" t="s">
        <v>107</v>
      </c>
      <c r="L5559" s="724"/>
      <c r="M5559" s="717" t="s">
        <v>115</v>
      </c>
      <c r="N5559" s="718"/>
      <c r="O5559" s="718"/>
      <c r="P5559" s="718"/>
      <c r="Q5559" s="223">
        <f>IF(AND(H5543="SI",P5543&gt;=0),1,0)+IF(AND(H5544="SI",P5544&gt;=0),1,0)+IF(AND(H5545="SI",P5545&gt;=0),1,0)+IF(AND(H5546="SI",P5546&gt;=0),1,0)+IF(AND(H5547="SI",P5547&gt;=0),1,0)+IF(AND(H5548="SI",P5548&gt;=0),1,0)+IF(AND(H5549="SI",P5549&gt;=0),1,0)+IF(AND(H5550="SI",P5550&gt;=0),1,0)+IF(AND(H5551="SI",P5551&gt;=0),1,0)+IF(AND(H5552="SI",P5552&gt;=0),1,0)</f>
        <v>0</v>
      </c>
      <c r="R5559" s="759"/>
      <c r="S5559" s="761"/>
      <c r="T5559" s="764"/>
      <c r="U5559" s="219"/>
      <c r="V5559" s="464"/>
      <c r="Y5559" s="532" t="s">
        <v>342</v>
      </c>
      <c r="AA5559" s="550" t="s">
        <v>344</v>
      </c>
      <c r="AB5559" s="693" t="s">
        <v>345</v>
      </c>
      <c r="AC5559" s="693" t="s">
        <v>346</v>
      </c>
      <c r="AD5559" s="685" t="s">
        <v>347</v>
      </c>
      <c r="AE5559" s="52"/>
      <c r="AF5559" s="52"/>
      <c r="AG5559" s="52"/>
      <c r="AH5559" s="87"/>
      <c r="AI5559" s="87"/>
    </row>
    <row r="5560" spans="1:35" ht="15.75" hidden="1" customHeight="1" thickBot="1">
      <c r="A5560" s="218" t="e">
        <f>"N"&amp;E5539</f>
        <v>#N/A</v>
      </c>
      <c r="B5560" s="702"/>
      <c r="C5560" s="114">
        <v>1</v>
      </c>
      <c r="D5560" s="194" t="e">
        <f>IF(AND(C5560&lt;=F5558,F5558&gt;1,F5558&lt;&gt;""),VLOOKUP(VALUE(E5539&amp;","&amp;C5560),INTEGRANTES!$D$18:$F$235,2,0),"")</f>
        <v>#N/A</v>
      </c>
      <c r="E5560" s="211" t="e">
        <f>IF(D5560&lt;&gt;"",VLOOKUP(VALUE(E5539&amp;","&amp;C5560),INTEGRANTES!$D$18:$F$235,3,0),"")</f>
        <v>#N/A</v>
      </c>
      <c r="F5560" s="547" t="e">
        <f>IF(D5560="","",SUMIF($I5543:$I5552,D5560,$P5543:$P5552))</f>
        <v>#N/A</v>
      </c>
      <c r="G5560" s="333" t="e">
        <f>IF(D5560="","",SUMIF($I5543:$I5552,D5560,$M5543:$M5552))</f>
        <v>#N/A</v>
      </c>
      <c r="H5560" s="535" t="e">
        <f t="shared" ref="H5560:H5565" si="1649">IF(D5560="","",IF(OR(F5560=0,G5560=0),"NO APORTA",ROUND($F5560/$G5560,3)))</f>
        <v>#N/A</v>
      </c>
      <c r="I5560" s="212" t="e">
        <f>IF(D5560="","",IF(H5560="NO APORTA","NO",IF(H5560=MAX($H5560:$H5565),"SI","NO")))</f>
        <v>#N/A</v>
      </c>
      <c r="J5560" s="213" t="e">
        <f t="shared" ref="J5560:J5565" si="1650">IF(D5560="","",IF(E5560&gt;=PORCREQUERIDOINT,"SI","NO"))</f>
        <v>#N/A</v>
      </c>
      <c r="K5560" s="200" t="e">
        <f t="shared" ref="K5560:K5565" si="1651">IF(D5560="","",IF(AND(I5560="SI",J5560="SI"),"CUMPLE",IF(AND(I5560="NO",OR(J5560="SI",J5560="NO")),"","NO CUMPLE")))</f>
        <v>#N/A</v>
      </c>
      <c r="L5560" s="722" t="s">
        <v>108</v>
      </c>
      <c r="M5560" s="726" t="s">
        <v>119</v>
      </c>
      <c r="N5560" s="726"/>
      <c r="O5560" s="726"/>
      <c r="P5560" s="726"/>
      <c r="Q5560" s="727"/>
      <c r="R5560" s="758" t="s">
        <v>80</v>
      </c>
      <c r="S5560" s="747"/>
      <c r="T5560" s="748"/>
      <c r="U5560" s="219"/>
      <c r="V5560" s="464"/>
      <c r="Y5560" s="533" t="e">
        <f>IF(Y5557="","",IF(Y5557="INDIVIDUAL","NO APLICA","VERIFICAR CUADRO"))</f>
        <v>#N/A</v>
      </c>
      <c r="AA5560" s="551"/>
      <c r="AB5560" s="694"/>
      <c r="AC5560" s="694"/>
      <c r="AD5560" s="686"/>
      <c r="AE5560" s="52"/>
      <c r="AF5560" s="52"/>
      <c r="AG5560" s="52"/>
      <c r="AH5560" s="87"/>
      <c r="AI5560" s="87"/>
    </row>
    <row r="5561" spans="1:35" ht="27" hidden="1" customHeight="1" thickBot="1">
      <c r="A5561" s="218" t="e">
        <f>"O"&amp;E5539</f>
        <v>#N/A</v>
      </c>
      <c r="B5561" s="702"/>
      <c r="C5561" s="114">
        <v>2</v>
      </c>
      <c r="D5561" s="194" t="e">
        <f>IF(AND(C5561&lt;=F5558,F5558&lt;&gt;""),VLOOKUP(VALUE(E5539&amp;","&amp;C5561),INTEGRANTES!$D$18:$F$235,2,0),"")</f>
        <v>#N/A</v>
      </c>
      <c r="E5561" s="211" t="e">
        <f>IF(D5561&lt;&gt;"",VLOOKUP(VALUE(E5539&amp;","&amp;C5561),INTEGRANTES!$D$18:$F$235,3,0),"")</f>
        <v>#N/A</v>
      </c>
      <c r="F5561" s="547" t="e">
        <f>IF(D5561="","",SUMIF($I5543:$I5552,D5561,$P5543:$P5552))</f>
        <v>#N/A</v>
      </c>
      <c r="G5561" s="333" t="e">
        <f>IF(D5561="","",SUMIF($I5543:$I5552,D5561,$M5543:$M5552))</f>
        <v>#N/A</v>
      </c>
      <c r="H5561" s="535" t="e">
        <f t="shared" si="1649"/>
        <v>#N/A</v>
      </c>
      <c r="I5561" s="212" t="e">
        <f>IF(D5561="","",IF(H5561="NO APORTA","NO",IF(H5561=MAX($H5560:$H5565),"SI","NO")))</f>
        <v>#N/A</v>
      </c>
      <c r="J5561" s="213" t="e">
        <f t="shared" si="1650"/>
        <v>#N/A</v>
      </c>
      <c r="K5561" s="200" t="e">
        <f t="shared" si="1651"/>
        <v>#N/A</v>
      </c>
      <c r="L5561" s="723"/>
      <c r="M5561" s="715" t="s">
        <v>116</v>
      </c>
      <c r="N5561" s="716"/>
      <c r="O5561" s="556" t="s">
        <v>113</v>
      </c>
      <c r="P5561" s="715" t="s">
        <v>117</v>
      </c>
      <c r="Q5561" s="728"/>
      <c r="R5561" s="759"/>
      <c r="S5561" s="760"/>
      <c r="T5561" s="761"/>
      <c r="U5561" s="219"/>
      <c r="V5561" s="464"/>
      <c r="Y5561" s="414"/>
      <c r="AA5561" s="542" t="e">
        <f>IF(AND(C5560&lt;=F5558,F5558&gt;1,F5558&lt;&gt;""),VLOOKUP(VALUE(E5539&amp;","&amp;C5560),INTEGRANTES!$D$18:$F$235,2,0),"")</f>
        <v>#N/A</v>
      </c>
      <c r="AB5561" s="544" t="e">
        <f t="shared" ref="AB5561:AB5566" si="1652">IF(D5560="","",IF(OR(F5560=0,G5560=0),"NO APORTA",ROUND($F5560/$G5560,3)))</f>
        <v>#N/A</v>
      </c>
      <c r="AC5561" s="529"/>
      <c r="AD5561" s="200" t="e">
        <f t="shared" ref="AD5561:AD5566" si="1653">IF(OR(AA5561="",AB5561=""),"",IF(AND(AC5561="X",AB5561&gt;=EXPREQVTD),"CUMPLE","NO CUMPLE"))</f>
        <v>#N/A</v>
      </c>
      <c r="AE5561" s="52"/>
      <c r="AF5561" s="52"/>
      <c r="AG5561" s="52"/>
      <c r="AH5561" s="87"/>
      <c r="AI5561" s="87"/>
    </row>
    <row r="5562" spans="1:35" ht="16.5" hidden="1" thickBot="1">
      <c r="A5562" s="218" t="e">
        <f>"P"&amp;E5539</f>
        <v>#N/A</v>
      </c>
      <c r="B5562" s="702"/>
      <c r="C5562" s="114">
        <v>3</v>
      </c>
      <c r="D5562" s="194" t="e">
        <f>IF(AND(C5562&lt;=F5558,F5558&lt;&gt;""),VLOOKUP(VALUE(E5539&amp;","&amp;C5562),INTEGRANTES!$D$18:$F$235,2,0),"")</f>
        <v>#N/A</v>
      </c>
      <c r="E5562" s="211" t="e">
        <f>IF(D5562&lt;&gt;"",VLOOKUP(VALUE(E5539&amp;","&amp;C5562),INTEGRANTES!$D$18:$F$235,3,0),"")</f>
        <v>#N/A</v>
      </c>
      <c r="F5562" s="547" t="e">
        <f>IF(D5562="","",SUMIF($I5543:$I5552,D5562,$P5543:$P5552))</f>
        <v>#N/A</v>
      </c>
      <c r="G5562" s="333" t="e">
        <f>IF(D5562="","",SUMIF($I5543:$I5552,D5562,$M5543:$M5552))</f>
        <v>#N/A</v>
      </c>
      <c r="H5562" s="535" t="e">
        <f t="shared" si="1649"/>
        <v>#N/A</v>
      </c>
      <c r="I5562" s="212" t="e">
        <f>IF(D5562="","",IF(H5562="NO APORTA","NO",IF(H5562=MAX($H5560:$H5565),"SI","NO")))</f>
        <v>#N/A</v>
      </c>
      <c r="J5562" s="213" t="e">
        <f t="shared" si="1650"/>
        <v>#N/A</v>
      </c>
      <c r="K5562" s="200" t="e">
        <f t="shared" si="1651"/>
        <v>#N/A</v>
      </c>
      <c r="L5562" s="724"/>
      <c r="M5562" s="729">
        <f>NUMMOD</f>
        <v>1</v>
      </c>
      <c r="N5562" s="730"/>
      <c r="O5562" s="443">
        <f>IF(M5562="","",VLOOKUP(M5562,PRESUPUESTOS!$B$16:$H$16,5,FALSE))</f>
        <v>2</v>
      </c>
      <c r="P5562" s="713">
        <f>IF(OR(COUNTIF(M5543:M5552,"")&gt;=10,Q5559&lt;NUMMINCONT,OR(T5557="NO CUMPLE",T5557="VERIFICAR")),0,ROUND(AVERAGE(M5543:M5552),3))</f>
        <v>0</v>
      </c>
      <c r="Q5562" s="714"/>
      <c r="R5562" s="458"/>
      <c r="S5562" s="459"/>
      <c r="T5562" s="460"/>
      <c r="U5562" s="219"/>
      <c r="V5562" s="464"/>
      <c r="Y5562" s="532" t="str">
        <f>"40% * ("&amp;PRESUPUESTOS!$H$13&amp;")"</f>
        <v>40% * (50% PFMO)</v>
      </c>
      <c r="AA5562" s="540" t="e">
        <f>IF(AND(C5561&lt;=F5558,F5558&lt;&gt;""),VLOOKUP(VALUE(E5539&amp;","&amp;C5561),INTEGRANTES!$D$18:$F$235,2,0),"")</f>
        <v>#N/A</v>
      </c>
      <c r="AB5562" s="545" t="e">
        <f t="shared" si="1652"/>
        <v>#N/A</v>
      </c>
      <c r="AC5562" s="529"/>
      <c r="AD5562" s="200" t="e">
        <f t="shared" si="1653"/>
        <v>#N/A</v>
      </c>
      <c r="AE5562" s="52"/>
      <c r="AF5562" s="52"/>
      <c r="AG5562" s="52"/>
      <c r="AH5562" s="87"/>
      <c r="AI5562" s="87"/>
    </row>
    <row r="5563" spans="1:35" ht="15.75" hidden="1" customHeight="1" thickBot="1">
      <c r="A5563" s="218" t="e">
        <f>"Q"&amp;E5539</f>
        <v>#N/A</v>
      </c>
      <c r="B5563" s="702"/>
      <c r="C5563" s="114">
        <v>4</v>
      </c>
      <c r="D5563" s="194" t="e">
        <f>IF(AND(C5563&lt;=F5558,F5558&lt;&gt;""),VLOOKUP(VALUE(E5539&amp;","&amp;C5563),INTEGRANTES!$D$18:$F$235,2,0),"")</f>
        <v>#N/A</v>
      </c>
      <c r="E5563" s="211" t="e">
        <f>IF(D5563&lt;&gt;"",VLOOKUP(VALUE(E5539&amp;","&amp;C5563),INTEGRANTES!$D$18:$F$235,3,0),"")</f>
        <v>#N/A</v>
      </c>
      <c r="F5563" s="547" t="e">
        <f>IF(D5563="","",SUMIF($I5543:$I5552,D5563,$P5543:$P5552))</f>
        <v>#N/A</v>
      </c>
      <c r="G5563" s="333" t="e">
        <f>IF(D5563="","",SUMIF($I5543:$I5552,D5563,$M5543:$M5552))</f>
        <v>#N/A</v>
      </c>
      <c r="H5563" s="535" t="e">
        <f t="shared" si="1649"/>
        <v>#N/A</v>
      </c>
      <c r="I5563" s="212" t="e">
        <f>IF(D5563="","",IF(H5563="NO APORTA","NO",IF(H5563=MAX($H5560:$H5565),"SI","NO")))</f>
        <v>#N/A</v>
      </c>
      <c r="J5563" s="213" t="e">
        <f t="shared" si="1650"/>
        <v>#N/A</v>
      </c>
      <c r="K5563" s="200" t="e">
        <f t="shared" si="1651"/>
        <v>#N/A</v>
      </c>
      <c r="L5563" s="720" t="s">
        <v>109</v>
      </c>
      <c r="M5563" s="757" t="s">
        <v>120</v>
      </c>
      <c r="N5563" s="726"/>
      <c r="O5563" s="726"/>
      <c r="P5563" s="726"/>
      <c r="Q5563" s="727"/>
      <c r="R5563" s="458"/>
      <c r="S5563" s="459"/>
      <c r="T5563" s="460"/>
      <c r="U5563" s="219"/>
      <c r="V5563" s="464"/>
      <c r="Y5563" s="537">
        <f>0.4*PRESUPUESTOS!$H$16</f>
        <v>10.3124</v>
      </c>
      <c r="AA5563" s="540" t="e">
        <f>IF(AND(C5562&lt;=F5558,F5558&lt;&gt;""),VLOOKUP(VALUE(E5539&amp;","&amp;C5562),INTEGRANTES!$D$18:$F$235,2,0),"")</f>
        <v>#N/A</v>
      </c>
      <c r="AB5563" s="545" t="e">
        <f t="shared" si="1652"/>
        <v>#N/A</v>
      </c>
      <c r="AC5563" s="529"/>
      <c r="AD5563" s="200" t="e">
        <f t="shared" si="1653"/>
        <v>#N/A</v>
      </c>
      <c r="AE5563" s="52"/>
      <c r="AF5563" s="52"/>
      <c r="AG5563" s="52"/>
      <c r="AH5563" s="87"/>
      <c r="AI5563" s="87"/>
    </row>
    <row r="5564" spans="1:35" ht="27" hidden="1" customHeight="1" thickBot="1">
      <c r="A5564" s="218" t="e">
        <f>"R"&amp;E5539</f>
        <v>#N/A</v>
      </c>
      <c r="B5564" s="702"/>
      <c r="C5564" s="114">
        <v>5</v>
      </c>
      <c r="D5564" s="194" t="e">
        <f>IF(AND(C5564&lt;=F5558,F5558&lt;&gt;""),VLOOKUP(VALUE(E5539&amp;","&amp;C5564),INTEGRANTES!$D$18:$F$235,2,0),"")</f>
        <v>#N/A</v>
      </c>
      <c r="E5564" s="211" t="e">
        <f>IF(D5564&lt;&gt;"",VLOOKUP(VALUE(E5539&amp;","&amp;C5564),INTEGRANTES!$D$18:$F$235,3,0),"")</f>
        <v>#N/A</v>
      </c>
      <c r="F5564" s="547" t="e">
        <f>IF(D5564="","",SUMIF($I5543:$I5552,D5564,$P5543:$P5552))</f>
        <v>#N/A</v>
      </c>
      <c r="G5564" s="333" t="e">
        <f>IF(D5564="","",SUMIF($I5543:$I5552,D5564,$M5543:$M5552))</f>
        <v>#N/A</v>
      </c>
      <c r="H5564" s="535" t="e">
        <f t="shared" si="1649"/>
        <v>#N/A</v>
      </c>
      <c r="I5564" s="212" t="e">
        <f>IF(D5564="","",IF(H5564="NO APORTA","NO",IF(H5564=MAX($H5560:$H5565),"SI","NO")))</f>
        <v>#N/A</v>
      </c>
      <c r="J5564" s="213" t="e">
        <f t="shared" si="1650"/>
        <v>#N/A</v>
      </c>
      <c r="K5564" s="200" t="e">
        <f t="shared" si="1651"/>
        <v>#N/A</v>
      </c>
      <c r="L5564" s="721"/>
      <c r="M5564" s="715" t="s">
        <v>116</v>
      </c>
      <c r="N5564" s="716"/>
      <c r="O5564" s="556" t="str">
        <f>PORCREQUERIDO*100&amp;"% PMFO DEL MÓDULO"</f>
        <v>50% PMFO DEL MÓDULO</v>
      </c>
      <c r="P5564" s="715" t="s">
        <v>118</v>
      </c>
      <c r="Q5564" s="728"/>
      <c r="R5564" s="458"/>
      <c r="S5564" s="459"/>
      <c r="T5564" s="460"/>
      <c r="U5564" s="219"/>
      <c r="V5564" s="464"/>
      <c r="Y5564" s="414"/>
      <c r="AA5564" s="540" t="e">
        <f>IF(AND(C5563&lt;=F5558,F5558&lt;&gt;""),VLOOKUP(VALUE(E5539&amp;","&amp;C5563),INTEGRANTES!$D$18:$F$235,2,0),"")</f>
        <v>#N/A</v>
      </c>
      <c r="AB5564" s="545" t="e">
        <f t="shared" si="1652"/>
        <v>#N/A</v>
      </c>
      <c r="AC5564" s="529"/>
      <c r="AD5564" s="200" t="e">
        <f t="shared" si="1653"/>
        <v>#N/A</v>
      </c>
      <c r="AE5564" s="52"/>
      <c r="AF5564" s="52"/>
      <c r="AG5564" s="52"/>
      <c r="AH5564" s="87"/>
      <c r="AI5564" s="87"/>
    </row>
    <row r="5565" spans="1:35" ht="16.5" hidden="1" thickBot="1">
      <c r="A5565" s="218" t="e">
        <f>"S"&amp;E5539</f>
        <v>#N/A</v>
      </c>
      <c r="B5565" s="702"/>
      <c r="C5565" s="215">
        <v>6</v>
      </c>
      <c r="D5565" s="216" t="e">
        <f>IF(AND(C5565&lt;=F5558,F5558&lt;&gt;""),VLOOKUP(VALUE(E5539&amp;","&amp;C5565),INTEGRANTES!$D$18:$F$235,2,0),"")</f>
        <v>#N/A</v>
      </c>
      <c r="E5565" s="217" t="e">
        <f>IF(D5565&lt;&gt;"",VLOOKUP(VALUE(E5539&amp;","&amp;C5565),INTEGRANTES!$D$18:$F$235,3,0),"")</f>
        <v>#N/A</v>
      </c>
      <c r="F5565" s="548" t="e">
        <f>IF(D5565="","",SUMIF($I5543:$I5552,D5565,$P5543:$P5552))</f>
        <v>#N/A</v>
      </c>
      <c r="G5565" s="334" t="e">
        <f>IF(D5565="","",SUMIF($I5543:$I5552,D5565,$M5543:$M5552))</f>
        <v>#N/A</v>
      </c>
      <c r="H5565" s="536" t="e">
        <f t="shared" si="1649"/>
        <v>#N/A</v>
      </c>
      <c r="I5565" s="214" t="e">
        <f>IF(D5565="","",IF(H5565="NO APORTA","NO",IF(H5565=MAX($H5560:$H5565),"SI","NO")))</f>
        <v>#N/A</v>
      </c>
      <c r="J5565" s="213" t="e">
        <f t="shared" si="1650"/>
        <v>#N/A</v>
      </c>
      <c r="K5565" s="200" t="e">
        <f t="shared" si="1651"/>
        <v>#N/A</v>
      </c>
      <c r="L5565" s="721"/>
      <c r="M5565" s="729">
        <f>NUMMOD</f>
        <v>1</v>
      </c>
      <c r="N5565" s="730"/>
      <c r="O5565" s="443">
        <f>IF(M5565="","",ROUND(VLOOKUP(M5565,PRESUPUESTOS!$B$16:$H$16,7,FALSE),3))</f>
        <v>25.780999999999999</v>
      </c>
      <c r="P5565" s="713">
        <f>IF(OR(COUNTIF(P5543:P5552,"")&gt;=10,Q5559&lt;NUMMINCONT,OR(T5557="NO CUMPLE",T5557="VERIFICAR")),0,ROUND((SUM(P5543:P5552)/SUM(M5543:M5552)),3))</f>
        <v>0</v>
      </c>
      <c r="Q5565" s="714"/>
      <c r="R5565" s="458"/>
      <c r="S5565" s="459"/>
      <c r="T5565" s="460"/>
      <c r="U5565" s="219"/>
      <c r="V5565" s="464"/>
      <c r="Y5565" s="532" t="s">
        <v>343</v>
      </c>
      <c r="AA5565" s="540" t="e">
        <f>IF(AND(C5564&lt;=F5558,F5558&lt;&gt;""),VLOOKUP(VALUE(E5539&amp;","&amp;C5564),INTEGRANTES!$D$18:$F$235,2,0),"")</f>
        <v>#N/A</v>
      </c>
      <c r="AB5565" s="545" t="e">
        <f t="shared" si="1652"/>
        <v>#N/A</v>
      </c>
      <c r="AC5565" s="529"/>
      <c r="AD5565" s="200" t="e">
        <f t="shared" si="1653"/>
        <v>#N/A</v>
      </c>
      <c r="AE5565" s="52"/>
      <c r="AF5565" s="52"/>
      <c r="AG5565" s="52"/>
      <c r="AH5565" s="87"/>
      <c r="AI5565" s="87"/>
    </row>
    <row r="5566" spans="1:35" ht="16.5" hidden="1" customHeight="1" thickBot="1">
      <c r="A5566" s="218" t="e">
        <f>"T"&amp;E5539</f>
        <v>#N/A</v>
      </c>
      <c r="B5566" s="703"/>
      <c r="C5566" s="719"/>
      <c r="D5566" s="719"/>
      <c r="E5566" s="719"/>
      <c r="F5566" s="719"/>
      <c r="G5566" s="719"/>
      <c r="H5566" s="719" t="s">
        <v>110</v>
      </c>
      <c r="I5566" s="719"/>
      <c r="J5566" s="719"/>
      <c r="K5566" s="201" t="str">
        <f>IF(COUNTIF(K5560:K5565,"")=6,"",IF(COUNTIF(K5560:K5565,"CUMPLE")&gt;0,"CUMPLE","NO CUMPLE"))</f>
        <v>NO CUMPLE</v>
      </c>
      <c r="L5566" s="754"/>
      <c r="M5566" s="755"/>
      <c r="N5566" s="755"/>
      <c r="O5566" s="755"/>
      <c r="P5566" s="755"/>
      <c r="Q5566" s="756"/>
      <c r="R5566" s="461"/>
      <c r="S5566" s="462"/>
      <c r="T5566" s="463"/>
      <c r="U5566" s="219"/>
      <c r="V5566" s="464"/>
      <c r="Y5566" s="549" t="e">
        <f>IF(Y5560="NO APLICA","NO APLICA",IF(COUNTIF(AD5561:AD5566,"CUMPLE")&gt;0,"CUMPLE","NO CUMPLE"))</f>
        <v>#N/A</v>
      </c>
      <c r="AA5566" s="541" t="e">
        <f>IF(AND(C5565&lt;=F5558,F5558&lt;&gt;""),VLOOKUP(VALUE(E5539&amp;","&amp;C5565),INTEGRANTES!$D$18:$F$235,2,0),"")</f>
        <v>#N/A</v>
      </c>
      <c r="AB5566" s="546" t="e">
        <f t="shared" si="1652"/>
        <v>#N/A</v>
      </c>
      <c r="AC5566" s="543"/>
      <c r="AD5566" s="201" t="e">
        <f t="shared" si="1653"/>
        <v>#N/A</v>
      </c>
      <c r="AE5566" s="52"/>
      <c r="AF5566" s="52"/>
      <c r="AG5566" s="52"/>
      <c r="AH5566" s="87"/>
      <c r="AI5566" s="87"/>
    </row>
    <row r="5567" spans="1:35" hidden="1">
      <c r="AH5567" s="87"/>
      <c r="AI5567" s="87"/>
    </row>
    <row r="5568" spans="1:35" hidden="1">
      <c r="AH5568" s="87"/>
      <c r="AI5568" s="87"/>
    </row>
    <row r="5569" spans="1:35" ht="24" hidden="1" thickBot="1">
      <c r="A5569" s="61">
        <v>186</v>
      </c>
      <c r="B5569" s="704" t="s">
        <v>51</v>
      </c>
      <c r="C5569" s="704"/>
      <c r="D5569" s="704"/>
      <c r="E5569" s="62" t="e">
        <f>VLOOKUP(A5569,PROPONENTES!$B$19:$E$218,2,FALSE)</f>
        <v>#N/A</v>
      </c>
      <c r="F5569" s="63" t="e">
        <f>VLOOKUP(A5569,PROPONENTES!$B$19:$E$218,3,FALSE)</f>
        <v>#N/A</v>
      </c>
      <c r="G5569" s="64"/>
      <c r="H5569" s="64"/>
      <c r="I5569" s="63"/>
      <c r="J5569" s="63"/>
      <c r="K5569" s="65"/>
      <c r="L5569" s="65"/>
      <c r="M5569" s="64"/>
      <c r="N5569" s="64"/>
      <c r="O5569" s="66"/>
      <c r="P5569" s="66"/>
      <c r="Q5569" s="66"/>
      <c r="R5569" s="66"/>
      <c r="S5569" s="67"/>
      <c r="T5569" s="68"/>
      <c r="U5569" s="68"/>
      <c r="AC5569" s="68"/>
      <c r="AD5569" s="68"/>
      <c r="AE5569" s="68"/>
      <c r="AF5569" s="68"/>
      <c r="AG5569" s="68"/>
      <c r="AH5569" s="87"/>
      <c r="AI5569" s="87"/>
    </row>
    <row r="5570" spans="1:35" ht="15.75" hidden="1" customHeight="1">
      <c r="A5570" s="44"/>
      <c r="B5570" s="709" t="s">
        <v>59</v>
      </c>
      <c r="C5570" s="552" t="s">
        <v>60</v>
      </c>
      <c r="D5570" s="70" t="s">
        <v>17</v>
      </c>
      <c r="E5570" s="70"/>
      <c r="F5570" s="70" t="s">
        <v>61</v>
      </c>
      <c r="G5570" s="71"/>
      <c r="H5570" s="699" t="s">
        <v>62</v>
      </c>
      <c r="I5570" s="699" t="s">
        <v>18</v>
      </c>
      <c r="J5570" s="699" t="s">
        <v>63</v>
      </c>
      <c r="K5570" s="699" t="s">
        <v>64</v>
      </c>
      <c r="L5570" s="699" t="s">
        <v>65</v>
      </c>
      <c r="M5570" s="743" t="s">
        <v>66</v>
      </c>
      <c r="N5570" s="699" t="s">
        <v>282</v>
      </c>
      <c r="O5570" s="745" t="s">
        <v>67</v>
      </c>
      <c r="P5570" s="746"/>
      <c r="Q5570" s="102" t="s">
        <v>75</v>
      </c>
      <c r="R5570" s="731" t="s">
        <v>22</v>
      </c>
      <c r="S5570" s="732"/>
      <c r="T5570" s="733"/>
      <c r="U5570" s="712" t="s">
        <v>298</v>
      </c>
      <c r="W5570" s="690" t="s">
        <v>268</v>
      </c>
      <c r="X5570" s="691"/>
      <c r="Y5570" s="692"/>
      <c r="Z5570" s="428"/>
      <c r="AA5570" s="697" t="s">
        <v>315</v>
      </c>
      <c r="AB5570" s="695" t="s">
        <v>322</v>
      </c>
      <c r="AC5570" s="49"/>
      <c r="AD5570" s="690" t="s">
        <v>297</v>
      </c>
      <c r="AE5570" s="691"/>
      <c r="AF5570" s="692"/>
      <c r="AG5570" s="49"/>
      <c r="AH5570" s="87"/>
      <c r="AI5570" s="87"/>
    </row>
    <row r="5571" spans="1:35" ht="72" hidden="1">
      <c r="A5571" s="44"/>
      <c r="B5571" s="710"/>
      <c r="C5571" s="553" t="s">
        <v>68</v>
      </c>
      <c r="D5571" s="73" t="s">
        <v>3</v>
      </c>
      <c r="E5571" s="73" t="s">
        <v>19</v>
      </c>
      <c r="F5571" s="73" t="s">
        <v>69</v>
      </c>
      <c r="G5571" s="74" t="s">
        <v>70</v>
      </c>
      <c r="H5571" s="700"/>
      <c r="I5571" s="700"/>
      <c r="J5571" s="700"/>
      <c r="K5571" s="700"/>
      <c r="L5571" s="700"/>
      <c r="M5571" s="744"/>
      <c r="N5571" s="700"/>
      <c r="O5571" s="553" t="s">
        <v>279</v>
      </c>
      <c r="P5571" s="73" t="s">
        <v>88</v>
      </c>
      <c r="Q5571" s="555" t="s">
        <v>76</v>
      </c>
      <c r="R5571" s="734"/>
      <c r="S5571" s="735"/>
      <c r="T5571" s="736"/>
      <c r="U5571" s="712"/>
      <c r="W5571" s="429" t="s">
        <v>269</v>
      </c>
      <c r="X5571" s="457" t="s">
        <v>278</v>
      </c>
      <c r="Y5571" s="430" t="s">
        <v>324</v>
      </c>
      <c r="Z5571" s="428"/>
      <c r="AA5571" s="698"/>
      <c r="AB5571" s="696"/>
      <c r="AC5571" s="49"/>
      <c r="AD5571" s="429" t="s">
        <v>292</v>
      </c>
      <c r="AE5571" s="431" t="s">
        <v>300</v>
      </c>
      <c r="AF5571" s="468" t="s">
        <v>301</v>
      </c>
      <c r="AG5571" s="49"/>
      <c r="AH5571" s="87"/>
      <c r="AI5571" s="87"/>
    </row>
    <row r="5572" spans="1:35" hidden="1">
      <c r="A5572" s="44"/>
      <c r="B5572" s="76"/>
      <c r="C5572" s="77"/>
      <c r="D5572" s="77"/>
      <c r="E5572" s="77"/>
      <c r="F5572" s="77"/>
      <c r="G5572" s="77"/>
      <c r="H5572" s="77"/>
      <c r="I5572" s="77"/>
      <c r="J5572" s="77"/>
      <c r="K5572" s="77"/>
      <c r="L5572" s="77"/>
      <c r="M5572" s="77"/>
      <c r="N5572" s="77"/>
      <c r="O5572" s="77"/>
      <c r="P5572" s="77"/>
      <c r="Q5572" s="77"/>
      <c r="R5572" s="77"/>
      <c r="S5572" s="78"/>
      <c r="T5572" s="79"/>
      <c r="U5572" s="109"/>
      <c r="V5572" s="49"/>
      <c r="W5572" s="432"/>
      <c r="X5572" s="454"/>
      <c r="Y5572" s="433"/>
      <c r="Z5572" s="6"/>
      <c r="AA5572" s="500"/>
      <c r="AB5572" s="562"/>
      <c r="AC5572" s="49"/>
      <c r="AD5572" s="210"/>
      <c r="AE5572" s="434"/>
      <c r="AF5572" s="435"/>
      <c r="AG5572" s="49"/>
      <c r="AH5572" s="87"/>
      <c r="AI5572" s="87"/>
    </row>
    <row r="5573" spans="1:35" hidden="1">
      <c r="A5573" s="80" t="e">
        <f>"A"&amp;E5569</f>
        <v>#N/A</v>
      </c>
      <c r="B5573" s="81">
        <v>1</v>
      </c>
      <c r="C5573" s="82"/>
      <c r="D5573" s="82"/>
      <c r="E5573" s="82"/>
      <c r="F5573" s="82"/>
      <c r="G5573" s="83"/>
      <c r="H5573" s="83"/>
      <c r="I5573" s="84"/>
      <c r="J5573" s="85"/>
      <c r="K5573" s="382"/>
      <c r="L5573" s="85"/>
      <c r="M5573" s="332" t="str">
        <f t="shared" ref="M5573:M5582" si="1654">IF(OR(J5573="",L5573="",H5573="NO"),"",IF(OR(J5573&gt;$P$17,J5573&lt;$O$17,L5573&gt;$P$17,AND(J5573&lt;$O$17,L5573&lt;$O$17)),"FUERA DE RANGO",IF(OR(K5573="---",K5573=""),IF(J5573&gt;=$O$17,ROUND((L5573-J5573+1)/360*12,3),ROUND((L5573-$O$17+1)/360*12,3)),IF(J5573&gt;=$O$17,ROUND((L5573-J5573+1)/360*12-ROUND(K5573,3),3),ROUND((L5573-$O$17+1)/360*12-ROUND(K5573,3),3)))))</f>
        <v/>
      </c>
      <c r="N5573" s="86"/>
      <c r="O5573" s="453" t="str">
        <f>IF(OR(G5573="",N5573=""),"",N5573*G5573)</f>
        <v/>
      </c>
      <c r="P5573" s="538" t="str">
        <f>IF(OR(H5573="",M5573="FUERA DE RANGO"),"",IF(OR(L5573&lt;$O$17,L5573&gt;$P$17,L5573="",H5573="NO"),"",IF(OR(N5573="",O5573=""),"",ROUND(O5573,3))))</f>
        <v/>
      </c>
      <c r="Q5573" s="539" t="str">
        <f t="shared" ref="Q5573:Q5582" si="1655">IF(AND(H5573="SI",P5573&lt;&gt;""),ROUND(P5573/M5573,3),"")</f>
        <v/>
      </c>
      <c r="R5573" s="737"/>
      <c r="S5573" s="738"/>
      <c r="T5573" s="739"/>
      <c r="U5573" s="470"/>
      <c r="V5573" s="165"/>
      <c r="W5573" s="446"/>
      <c r="X5573" s="456"/>
      <c r="Y5573" s="436"/>
      <c r="Z5573" s="437"/>
      <c r="AA5573" s="560"/>
      <c r="AB5573" s="561"/>
      <c r="AC5573" s="87"/>
      <c r="AD5573" s="466"/>
      <c r="AE5573" s="456"/>
      <c r="AF5573" s="467"/>
      <c r="AG5573" s="87"/>
      <c r="AH5573" s="87"/>
      <c r="AI5573" s="87"/>
    </row>
    <row r="5574" spans="1:35" hidden="1">
      <c r="A5574" s="80" t="e">
        <f>"B"&amp;E5569</f>
        <v>#N/A</v>
      </c>
      <c r="B5574" s="81">
        <v>2</v>
      </c>
      <c r="C5574" s="106"/>
      <c r="D5574" s="106"/>
      <c r="E5574" s="106"/>
      <c r="F5574" s="106"/>
      <c r="G5574" s="83"/>
      <c r="H5574" s="83"/>
      <c r="I5574" s="84"/>
      <c r="J5574" s="85"/>
      <c r="K5574" s="382"/>
      <c r="L5574" s="85"/>
      <c r="M5574" s="332" t="str">
        <f t="shared" si="1654"/>
        <v/>
      </c>
      <c r="N5574" s="86"/>
      <c r="O5574" s="453" t="str">
        <f t="shared" ref="O5574:O5582" si="1656">IF(OR(G5574="",N5574=""),"",N5574*G5574)</f>
        <v/>
      </c>
      <c r="P5574" s="538" t="str">
        <f t="shared" ref="P5574:P5582" si="1657">IF(OR(H5574="",M5574="FUERA DE RANGO"),"",IF(OR(L5574&lt;$O$17,L5574&gt;$P$17,L5574="",H5574="NO"),"",IF(OR(N5574="",O5574=""),"",ROUND(O5574,3))))</f>
        <v/>
      </c>
      <c r="Q5574" s="539" t="str">
        <f t="shared" si="1655"/>
        <v/>
      </c>
      <c r="R5574" s="740"/>
      <c r="S5574" s="741"/>
      <c r="T5574" s="742"/>
      <c r="U5574" s="471"/>
      <c r="V5574" s="165"/>
      <c r="W5574" s="446"/>
      <c r="X5574" s="456"/>
      <c r="Y5574" s="436"/>
      <c r="Z5574" s="437"/>
      <c r="AA5574" s="560"/>
      <c r="AB5574" s="561"/>
      <c r="AC5574" s="87"/>
      <c r="AD5574" s="466"/>
      <c r="AE5574" s="456"/>
      <c r="AF5574" s="467"/>
      <c r="AG5574" s="87"/>
      <c r="AH5574" s="87"/>
      <c r="AI5574" s="87"/>
    </row>
    <row r="5575" spans="1:35" hidden="1">
      <c r="A5575" s="80" t="e">
        <f>"C"&amp;E5569</f>
        <v>#N/A</v>
      </c>
      <c r="B5575" s="88">
        <v>3</v>
      </c>
      <c r="C5575" s="82"/>
      <c r="D5575" s="82"/>
      <c r="E5575" s="82"/>
      <c r="F5575" s="82"/>
      <c r="G5575" s="83"/>
      <c r="H5575" s="83"/>
      <c r="I5575" s="84"/>
      <c r="J5575" s="85"/>
      <c r="K5575" s="382"/>
      <c r="L5575" s="85"/>
      <c r="M5575" s="332" t="str">
        <f t="shared" si="1654"/>
        <v/>
      </c>
      <c r="N5575" s="86"/>
      <c r="O5575" s="453" t="str">
        <f t="shared" si="1656"/>
        <v/>
      </c>
      <c r="P5575" s="538" t="str">
        <f t="shared" si="1657"/>
        <v/>
      </c>
      <c r="Q5575" s="539" t="str">
        <f t="shared" si="1655"/>
        <v/>
      </c>
      <c r="R5575" s="706"/>
      <c r="S5575" s="707"/>
      <c r="T5575" s="708"/>
      <c r="U5575" s="472"/>
      <c r="V5575" s="166"/>
      <c r="W5575" s="446"/>
      <c r="X5575" s="456"/>
      <c r="Y5575" s="436"/>
      <c r="Z5575" s="437"/>
      <c r="AA5575" s="560"/>
      <c r="AB5575" s="561"/>
      <c r="AC5575" s="87"/>
      <c r="AD5575" s="466"/>
      <c r="AE5575" s="456"/>
      <c r="AF5575" s="467"/>
      <c r="AG5575" s="87"/>
      <c r="AH5575" s="87"/>
      <c r="AI5575" s="87"/>
    </row>
    <row r="5576" spans="1:35" hidden="1">
      <c r="A5576" s="80" t="e">
        <f>"D"&amp;E5569</f>
        <v>#N/A</v>
      </c>
      <c r="B5576" s="105">
        <v>4</v>
      </c>
      <c r="C5576" s="107"/>
      <c r="D5576" s="107"/>
      <c r="E5576" s="107"/>
      <c r="F5576" s="107"/>
      <c r="G5576" s="83"/>
      <c r="H5576" s="83"/>
      <c r="I5576" s="84"/>
      <c r="J5576" s="85"/>
      <c r="K5576" s="382"/>
      <c r="L5576" s="85"/>
      <c r="M5576" s="332" t="str">
        <f t="shared" si="1654"/>
        <v/>
      </c>
      <c r="N5576" s="86"/>
      <c r="O5576" s="453" t="str">
        <f t="shared" si="1656"/>
        <v/>
      </c>
      <c r="P5576" s="538" t="str">
        <f t="shared" si="1657"/>
        <v/>
      </c>
      <c r="Q5576" s="539" t="str">
        <f t="shared" si="1655"/>
        <v/>
      </c>
      <c r="R5576" s="706"/>
      <c r="S5576" s="707"/>
      <c r="T5576" s="708"/>
      <c r="U5576" s="472"/>
      <c r="V5576" s="166"/>
      <c r="W5576" s="446"/>
      <c r="X5576" s="456"/>
      <c r="Y5576" s="436"/>
      <c r="Z5576" s="437"/>
      <c r="AA5576" s="560"/>
      <c r="AB5576" s="561"/>
      <c r="AC5576" s="87"/>
      <c r="AD5576" s="466"/>
      <c r="AE5576" s="456"/>
      <c r="AF5576" s="467"/>
      <c r="AG5576" s="87"/>
      <c r="AH5576" s="87"/>
      <c r="AI5576" s="87"/>
    </row>
    <row r="5577" spans="1:35" hidden="1">
      <c r="A5577" s="80" t="e">
        <f>"E"&amp;E5569</f>
        <v>#N/A</v>
      </c>
      <c r="B5577" s="105">
        <v>5</v>
      </c>
      <c r="C5577" s="107"/>
      <c r="D5577" s="107"/>
      <c r="E5577" s="107"/>
      <c r="F5577" s="107"/>
      <c r="G5577" s="83"/>
      <c r="H5577" s="83"/>
      <c r="I5577" s="84"/>
      <c r="J5577" s="85"/>
      <c r="K5577" s="382"/>
      <c r="L5577" s="85"/>
      <c r="M5577" s="332" t="str">
        <f t="shared" si="1654"/>
        <v/>
      </c>
      <c r="N5577" s="86"/>
      <c r="O5577" s="453" t="str">
        <f t="shared" si="1656"/>
        <v/>
      </c>
      <c r="P5577" s="538" t="str">
        <f t="shared" si="1657"/>
        <v/>
      </c>
      <c r="Q5577" s="539" t="str">
        <f t="shared" si="1655"/>
        <v/>
      </c>
      <c r="R5577" s="706"/>
      <c r="S5577" s="707"/>
      <c r="T5577" s="708"/>
      <c r="U5577" s="472"/>
      <c r="V5577" s="167"/>
      <c r="W5577" s="446"/>
      <c r="X5577" s="456"/>
      <c r="Y5577" s="436"/>
      <c r="Z5577" s="437"/>
      <c r="AA5577" s="560"/>
      <c r="AB5577" s="561"/>
      <c r="AC5577" s="87"/>
      <c r="AD5577" s="466"/>
      <c r="AE5577" s="456"/>
      <c r="AF5577" s="467"/>
      <c r="AG5577" s="87"/>
      <c r="AH5577" s="87"/>
      <c r="AI5577" s="87"/>
    </row>
    <row r="5578" spans="1:35" hidden="1">
      <c r="A5578" s="80" t="e">
        <f>"F"&amp;E5569</f>
        <v>#N/A</v>
      </c>
      <c r="B5578" s="105">
        <v>6</v>
      </c>
      <c r="C5578" s="107"/>
      <c r="D5578" s="107"/>
      <c r="E5578" s="107"/>
      <c r="F5578" s="107"/>
      <c r="G5578" s="83"/>
      <c r="H5578" s="83"/>
      <c r="I5578" s="84"/>
      <c r="J5578" s="85"/>
      <c r="K5578" s="382"/>
      <c r="L5578" s="85"/>
      <c r="M5578" s="332" t="str">
        <f t="shared" si="1654"/>
        <v/>
      </c>
      <c r="N5578" s="86"/>
      <c r="O5578" s="453" t="str">
        <f t="shared" si="1656"/>
        <v/>
      </c>
      <c r="P5578" s="538" t="str">
        <f t="shared" si="1657"/>
        <v/>
      </c>
      <c r="Q5578" s="539" t="str">
        <f t="shared" si="1655"/>
        <v/>
      </c>
      <c r="R5578" s="706"/>
      <c r="S5578" s="707"/>
      <c r="T5578" s="708"/>
      <c r="U5578" s="472"/>
      <c r="V5578" s="167"/>
      <c r="W5578" s="446"/>
      <c r="X5578" s="456"/>
      <c r="Y5578" s="436"/>
      <c r="Z5578" s="437"/>
      <c r="AA5578" s="560"/>
      <c r="AB5578" s="561"/>
      <c r="AC5578" s="87"/>
      <c r="AD5578" s="466"/>
      <c r="AE5578" s="456"/>
      <c r="AF5578" s="467"/>
      <c r="AG5578" s="87"/>
      <c r="AH5578" s="87"/>
      <c r="AI5578" s="87"/>
    </row>
    <row r="5579" spans="1:35" hidden="1">
      <c r="A5579" s="80" t="e">
        <f>"G"&amp;E5569</f>
        <v>#N/A</v>
      </c>
      <c r="B5579" s="105">
        <v>7</v>
      </c>
      <c r="C5579" s="107"/>
      <c r="D5579" s="107"/>
      <c r="E5579" s="107"/>
      <c r="F5579" s="107"/>
      <c r="G5579" s="83"/>
      <c r="H5579" s="83"/>
      <c r="I5579" s="84"/>
      <c r="J5579" s="85"/>
      <c r="K5579" s="382"/>
      <c r="L5579" s="85"/>
      <c r="M5579" s="332" t="str">
        <f t="shared" si="1654"/>
        <v/>
      </c>
      <c r="N5579" s="86"/>
      <c r="O5579" s="86" t="str">
        <f t="shared" si="1656"/>
        <v/>
      </c>
      <c r="P5579" s="538" t="str">
        <f t="shared" si="1657"/>
        <v/>
      </c>
      <c r="Q5579" s="539" t="str">
        <f t="shared" si="1655"/>
        <v/>
      </c>
      <c r="R5579" s="706"/>
      <c r="S5579" s="707"/>
      <c r="T5579" s="708"/>
      <c r="U5579" s="472"/>
      <c r="V5579" s="167"/>
      <c r="W5579" s="446"/>
      <c r="X5579" s="456"/>
      <c r="Y5579" s="436"/>
      <c r="Z5579" s="437"/>
      <c r="AA5579" s="560"/>
      <c r="AB5579" s="561"/>
      <c r="AC5579" s="87"/>
      <c r="AD5579" s="466"/>
      <c r="AE5579" s="456"/>
      <c r="AF5579" s="467"/>
      <c r="AG5579" s="87"/>
      <c r="AH5579" s="87"/>
      <c r="AI5579" s="87"/>
    </row>
    <row r="5580" spans="1:35" hidden="1">
      <c r="A5580" s="80" t="e">
        <f>"H"&amp;E5569</f>
        <v>#N/A</v>
      </c>
      <c r="B5580" s="105">
        <v>8</v>
      </c>
      <c r="C5580" s="107"/>
      <c r="D5580" s="107"/>
      <c r="E5580" s="107"/>
      <c r="F5580" s="107"/>
      <c r="G5580" s="83"/>
      <c r="H5580" s="83"/>
      <c r="I5580" s="84"/>
      <c r="J5580" s="85"/>
      <c r="K5580" s="382"/>
      <c r="L5580" s="85"/>
      <c r="M5580" s="332" t="str">
        <f t="shared" si="1654"/>
        <v/>
      </c>
      <c r="N5580" s="453"/>
      <c r="O5580" s="86" t="str">
        <f t="shared" si="1656"/>
        <v/>
      </c>
      <c r="P5580" s="538" t="str">
        <f t="shared" si="1657"/>
        <v/>
      </c>
      <c r="Q5580" s="539" t="str">
        <f t="shared" si="1655"/>
        <v/>
      </c>
      <c r="R5580" s="706"/>
      <c r="S5580" s="707"/>
      <c r="T5580" s="708"/>
      <c r="U5580" s="472"/>
      <c r="V5580" s="167"/>
      <c r="W5580" s="446"/>
      <c r="X5580" s="456"/>
      <c r="Y5580" s="436"/>
      <c r="Z5580" s="437"/>
      <c r="AA5580" s="560"/>
      <c r="AB5580" s="561"/>
      <c r="AC5580" s="87"/>
      <c r="AD5580" s="466"/>
      <c r="AE5580" s="456"/>
      <c r="AF5580" s="467"/>
      <c r="AG5580" s="87"/>
      <c r="AH5580" s="87"/>
      <c r="AI5580" s="87"/>
    </row>
    <row r="5581" spans="1:35" hidden="1">
      <c r="A5581" s="80" t="e">
        <f>"I"&amp;E5569</f>
        <v>#N/A</v>
      </c>
      <c r="B5581" s="105">
        <v>9</v>
      </c>
      <c r="C5581" s="107"/>
      <c r="D5581" s="107"/>
      <c r="E5581" s="107"/>
      <c r="F5581" s="107"/>
      <c r="G5581" s="83"/>
      <c r="H5581" s="83"/>
      <c r="I5581" s="84"/>
      <c r="J5581" s="85"/>
      <c r="K5581" s="382"/>
      <c r="L5581" s="85"/>
      <c r="M5581" s="332" t="str">
        <f t="shared" si="1654"/>
        <v/>
      </c>
      <c r="N5581" s="453"/>
      <c r="O5581" s="86" t="str">
        <f t="shared" si="1656"/>
        <v/>
      </c>
      <c r="P5581" s="538" t="str">
        <f t="shared" si="1657"/>
        <v/>
      </c>
      <c r="Q5581" s="539" t="str">
        <f t="shared" si="1655"/>
        <v/>
      </c>
      <c r="R5581" s="706"/>
      <c r="S5581" s="707"/>
      <c r="T5581" s="708"/>
      <c r="U5581" s="472"/>
      <c r="V5581" s="167"/>
      <c r="W5581" s="446"/>
      <c r="X5581" s="456"/>
      <c r="Y5581" s="436"/>
      <c r="Z5581" s="437"/>
      <c r="AA5581" s="560"/>
      <c r="AB5581" s="561"/>
      <c r="AC5581" s="87"/>
      <c r="AD5581" s="466"/>
      <c r="AE5581" s="456"/>
      <c r="AF5581" s="467"/>
      <c r="AG5581" s="87"/>
      <c r="AH5581" s="87"/>
      <c r="AI5581" s="87"/>
    </row>
    <row r="5582" spans="1:35" hidden="1">
      <c r="A5582" s="80" t="e">
        <f>"J"&amp;E5569</f>
        <v>#N/A</v>
      </c>
      <c r="B5582" s="105">
        <v>10</v>
      </c>
      <c r="C5582" s="107"/>
      <c r="D5582" s="107"/>
      <c r="E5582" s="107"/>
      <c r="F5582" s="107"/>
      <c r="G5582" s="83"/>
      <c r="H5582" s="83"/>
      <c r="I5582" s="84"/>
      <c r="J5582" s="85"/>
      <c r="K5582" s="382"/>
      <c r="L5582" s="85"/>
      <c r="M5582" s="332" t="str">
        <f t="shared" si="1654"/>
        <v/>
      </c>
      <c r="N5582" s="453"/>
      <c r="O5582" s="86" t="str">
        <f t="shared" si="1656"/>
        <v/>
      </c>
      <c r="P5582" s="538" t="str">
        <f t="shared" si="1657"/>
        <v/>
      </c>
      <c r="Q5582" s="539" t="str">
        <f t="shared" si="1655"/>
        <v/>
      </c>
      <c r="R5582" s="706"/>
      <c r="S5582" s="707"/>
      <c r="T5582" s="708"/>
      <c r="U5582" s="472"/>
      <c r="V5582" s="167"/>
      <c r="W5582" s="446"/>
      <c r="X5582" s="456"/>
      <c r="Y5582" s="436"/>
      <c r="Z5582" s="437"/>
      <c r="AA5582" s="560"/>
      <c r="AB5582" s="561"/>
      <c r="AC5582" s="87"/>
      <c r="AD5582" s="466"/>
      <c r="AE5582" s="456"/>
      <c r="AF5582" s="467"/>
      <c r="AG5582" s="87"/>
      <c r="AH5582" s="87"/>
      <c r="AI5582" s="87"/>
    </row>
    <row r="5583" spans="1:35" ht="16.5" hidden="1" thickBot="1">
      <c r="A5583" s="44"/>
      <c r="B5583" s="89"/>
      <c r="C5583" s="90"/>
      <c r="D5583" s="90"/>
      <c r="E5583" s="90"/>
      <c r="F5583" s="90"/>
      <c r="G5583" s="90"/>
      <c r="H5583" s="90"/>
      <c r="I5583" s="90"/>
      <c r="J5583" s="90"/>
      <c r="K5583" s="90"/>
      <c r="L5583" s="90"/>
      <c r="M5583" s="90"/>
      <c r="N5583" s="90"/>
      <c r="O5583" s="90"/>
      <c r="P5583" s="90"/>
      <c r="Q5583" s="90"/>
      <c r="R5583" s="90"/>
      <c r="S5583" s="91"/>
      <c r="T5583" s="92"/>
      <c r="U5583" s="473"/>
      <c r="W5583" s="438"/>
      <c r="X5583" s="455"/>
      <c r="Y5583" s="439"/>
      <c r="Z5583" s="437"/>
      <c r="AA5583" s="530"/>
      <c r="AB5583" s="563"/>
      <c r="AC5583" s="87"/>
      <c r="AD5583" s="440"/>
      <c r="AE5583" s="441"/>
      <c r="AF5583" s="442"/>
      <c r="AG5583" s="49"/>
      <c r="AH5583" s="87"/>
      <c r="AI5583" s="87"/>
    </row>
    <row r="5584" spans="1:35" ht="16.5" hidden="1" thickBot="1">
      <c r="A5584" s="93"/>
      <c r="B5584" s="94"/>
      <c r="C5584" s="96"/>
      <c r="D5584" s="96"/>
      <c r="E5584" s="96"/>
      <c r="F5584" s="96"/>
      <c r="G5584" s="96"/>
      <c r="H5584" s="96"/>
      <c r="I5584" s="96"/>
      <c r="J5584" s="96"/>
      <c r="K5584" s="96"/>
      <c r="L5584" s="96"/>
      <c r="M5584" s="136"/>
      <c r="N5584" s="96"/>
      <c r="O5584" s="96"/>
      <c r="P5584" s="97"/>
      <c r="Q5584" s="97"/>
      <c r="R5584" s="98"/>
      <c r="S5584" s="95"/>
      <c r="T5584" s="99"/>
      <c r="U5584" s="469"/>
      <c r="AC5584" s="58"/>
      <c r="AG5584" s="58"/>
      <c r="AH5584" s="87"/>
      <c r="AI5584" s="87"/>
    </row>
    <row r="5585" spans="1:35" ht="16.5" hidden="1" thickBot="1">
      <c r="B5585" s="101"/>
      <c r="C5585" s="101"/>
      <c r="D5585" s="101"/>
      <c r="E5585" s="101"/>
      <c r="F5585" s="101"/>
      <c r="G5585" s="101"/>
      <c r="H5585" s="101"/>
      <c r="I5585" s="101"/>
      <c r="J5585" s="101"/>
      <c r="K5585" s="101"/>
      <c r="L5585" s="101"/>
      <c r="M5585" s="101"/>
      <c r="N5585" s="101"/>
      <c r="O5585" s="101"/>
      <c r="P5585" s="101"/>
      <c r="Q5585" s="101"/>
      <c r="R5585" s="101"/>
      <c r="S5585" s="101"/>
      <c r="U5585" s="50"/>
      <c r="AH5585" s="87"/>
      <c r="AI5585" s="87"/>
    </row>
    <row r="5586" spans="1:35" ht="16.5" hidden="1" customHeight="1" thickBot="1">
      <c r="A5586" s="44"/>
      <c r="B5586" s="705" t="s">
        <v>74</v>
      </c>
      <c r="C5586" s="705"/>
      <c r="D5586" s="705"/>
      <c r="E5586" s="705"/>
      <c r="F5586" s="705"/>
      <c r="G5586" s="705"/>
      <c r="H5586" s="705"/>
      <c r="I5586" s="705"/>
      <c r="J5586" s="705"/>
      <c r="K5586" s="705"/>
      <c r="L5586" s="705"/>
      <c r="M5586" s="705"/>
      <c r="N5586" s="705"/>
      <c r="O5586" s="705"/>
      <c r="P5586" s="705"/>
      <c r="Q5586" s="705"/>
      <c r="R5586" s="705"/>
      <c r="S5586" s="705"/>
      <c r="T5586" s="705"/>
      <c r="U5586" s="108"/>
      <c r="Y5586" s="532" t="s">
        <v>341</v>
      </c>
      <c r="AC5586" s="49"/>
      <c r="AD5586" s="687" t="s">
        <v>302</v>
      </c>
      <c r="AE5586" s="688"/>
      <c r="AF5586" s="689"/>
      <c r="AG5586" s="49"/>
      <c r="AH5586" s="87"/>
      <c r="AI5586" s="87"/>
    </row>
    <row r="5587" spans="1:35" ht="16.5" hidden="1" customHeight="1" thickBot="1">
      <c r="A5587" s="218" t="e">
        <f>"K"&amp;E5569</f>
        <v>#N/A</v>
      </c>
      <c r="B5587" s="701" t="s">
        <v>71</v>
      </c>
      <c r="C5587" s="751" t="s">
        <v>102</v>
      </c>
      <c r="D5587" s="751"/>
      <c r="E5587" s="751"/>
      <c r="F5587" s="751"/>
      <c r="G5587" s="751"/>
      <c r="H5587" s="751"/>
      <c r="I5587" s="751"/>
      <c r="J5587" s="751"/>
      <c r="K5587" s="751"/>
      <c r="L5587" s="722" t="s">
        <v>100</v>
      </c>
      <c r="M5587" s="747" t="s">
        <v>114</v>
      </c>
      <c r="N5587" s="747"/>
      <c r="O5587" s="747"/>
      <c r="P5587" s="747"/>
      <c r="Q5587" s="748"/>
      <c r="R5587" s="758" t="s">
        <v>280</v>
      </c>
      <c r="S5587" s="748"/>
      <c r="T5587" s="762" t="str">
        <f>IF(COUNTIF(AE5587:AF5587,"VERIFICAR")&gt;0,"VERIFICAR",IF(COUNTIF(AE5587:AF5587,"NO CUMPLE")&gt;0,"NO CUMPLE","CUMPLE"))</f>
        <v>VERIFICAR</v>
      </c>
      <c r="U5587" s="108"/>
      <c r="Y5587" s="533" t="e">
        <f>IF(F5588="","",IF(F5588=1,"INDIVIDUAL","ESTRUCTURA PLURAL"))</f>
        <v>#N/A</v>
      </c>
      <c r="AC5587" s="52"/>
      <c r="AD5587" s="475" t="s">
        <v>303</v>
      </c>
      <c r="AE5587" s="476" t="str">
        <f>IF(COUNTIF(AE5573:AE5582,"")=10,"VERIFICAR",IF(COUNTIF(AE5573:AE5582,"SI")&gt;0,"CUMPLE","NO CUMPLE"))</f>
        <v>VERIFICAR</v>
      </c>
      <c r="AF5587" s="477" t="str">
        <f>IF(COUNTIF(AF5573:AF5582,"")=10,"VERIFICAR",IF(COUNTIF(AF5573:AF5582,"SI")&gt;=$AI$22,"CUMPLE","NO CUMPLE"))</f>
        <v>VERIFICAR</v>
      </c>
      <c r="AG5587" s="52"/>
      <c r="AH5587" s="87"/>
      <c r="AI5587" s="87"/>
    </row>
    <row r="5588" spans="1:35" ht="15.75" hidden="1" customHeight="1" thickBot="1">
      <c r="A5588" s="218" t="e">
        <f>"L"&amp;E5569</f>
        <v>#N/A</v>
      </c>
      <c r="B5588" s="702"/>
      <c r="C5588" s="751" t="s">
        <v>103</v>
      </c>
      <c r="D5588" s="751"/>
      <c r="E5588" s="752"/>
      <c r="F5588" s="557" t="e">
        <f>IF(VLOOKUP(E5569,PROPONENTES!$C$19:$E$218,3,0)="","",VLOOKUP(E5569,PROPONENTES!$C$19:$E$218,3,0))</f>
        <v>#N/A</v>
      </c>
      <c r="G5588" s="753" t="s">
        <v>104</v>
      </c>
      <c r="H5588" s="751"/>
      <c r="I5588" s="715" t="e">
        <f>IF(OR(F5588="",F5588=1),"INTERESADO PERSONA NATURAL O JURIDICA","CONSORCIO O UNION TEMPORAL")</f>
        <v>#N/A</v>
      </c>
      <c r="J5588" s="725"/>
      <c r="K5588" s="728"/>
      <c r="L5588" s="723"/>
      <c r="M5588" s="749"/>
      <c r="N5588" s="749"/>
      <c r="O5588" s="749"/>
      <c r="P5588" s="749"/>
      <c r="Q5588" s="750"/>
      <c r="R5588" s="712"/>
      <c r="S5588" s="750"/>
      <c r="T5588" s="763"/>
      <c r="U5588" s="108"/>
      <c r="Y5588" s="534"/>
      <c r="AA5588" s="52"/>
      <c r="AB5588" s="52"/>
      <c r="AC5588" s="52"/>
      <c r="AG5588" s="52"/>
      <c r="AH5588" s="87"/>
      <c r="AI5588" s="87"/>
    </row>
    <row r="5589" spans="1:35" ht="56.25" hidden="1" customHeight="1" thickBot="1">
      <c r="A5589" s="218" t="e">
        <f>"M"&amp;E5569</f>
        <v>#N/A</v>
      </c>
      <c r="B5589" s="702"/>
      <c r="C5589" s="725" t="s">
        <v>101</v>
      </c>
      <c r="D5589" s="716"/>
      <c r="E5589" s="558" t="s">
        <v>105</v>
      </c>
      <c r="F5589" s="554" t="s">
        <v>87</v>
      </c>
      <c r="G5589" s="553" t="s">
        <v>86</v>
      </c>
      <c r="H5589" s="559" t="s">
        <v>85</v>
      </c>
      <c r="I5589" s="554" t="s">
        <v>252</v>
      </c>
      <c r="J5589" s="553" t="str">
        <f>"¿EL INTEGRANTE TIENE UNA PARTICIPACIÓN DEL "&amp;PORCREQUERIDOINT*100&amp;"%?"</f>
        <v>¿EL INTEGRANTE TIENE UNA PARTICIPACIÓN DEL 60%?</v>
      </c>
      <c r="K5589" s="554" t="s">
        <v>107</v>
      </c>
      <c r="L5589" s="724"/>
      <c r="M5589" s="717" t="s">
        <v>115</v>
      </c>
      <c r="N5589" s="718"/>
      <c r="O5589" s="718"/>
      <c r="P5589" s="718"/>
      <c r="Q5589" s="223">
        <f>IF(AND(H5573="SI",P5573&gt;=0),1,0)+IF(AND(H5574="SI",P5574&gt;=0),1,0)+IF(AND(H5575="SI",P5575&gt;=0),1,0)+IF(AND(H5576="SI",P5576&gt;=0),1,0)+IF(AND(H5577="SI",P5577&gt;=0),1,0)+IF(AND(H5578="SI",P5578&gt;=0),1,0)+IF(AND(H5579="SI",P5579&gt;=0),1,0)+IF(AND(H5580="SI",P5580&gt;=0),1,0)+IF(AND(H5581="SI",P5581&gt;=0),1,0)+IF(AND(H5582="SI",P5582&gt;=0),1,0)</f>
        <v>0</v>
      </c>
      <c r="R5589" s="759"/>
      <c r="S5589" s="761"/>
      <c r="T5589" s="764"/>
      <c r="U5589" s="219"/>
      <c r="V5589" s="464"/>
      <c r="Y5589" s="532" t="s">
        <v>342</v>
      </c>
      <c r="AA5589" s="550" t="s">
        <v>344</v>
      </c>
      <c r="AB5589" s="693" t="s">
        <v>345</v>
      </c>
      <c r="AC5589" s="693" t="s">
        <v>346</v>
      </c>
      <c r="AD5589" s="685" t="s">
        <v>347</v>
      </c>
      <c r="AE5589" s="52"/>
      <c r="AF5589" s="52"/>
      <c r="AG5589" s="52"/>
      <c r="AH5589" s="87"/>
      <c r="AI5589" s="87"/>
    </row>
    <row r="5590" spans="1:35" ht="15.75" hidden="1" customHeight="1" thickBot="1">
      <c r="A5590" s="218" t="e">
        <f>"N"&amp;E5569</f>
        <v>#N/A</v>
      </c>
      <c r="B5590" s="702"/>
      <c r="C5590" s="114">
        <v>1</v>
      </c>
      <c r="D5590" s="194" t="e">
        <f>IF(AND(C5590&lt;=F5588,F5588&gt;1,F5588&lt;&gt;""),VLOOKUP(VALUE(E5569&amp;","&amp;C5590),INTEGRANTES!$D$18:$F$235,2,0),"")</f>
        <v>#N/A</v>
      </c>
      <c r="E5590" s="211" t="e">
        <f>IF(D5590&lt;&gt;"",VLOOKUP(VALUE(E5569&amp;","&amp;C5590),INTEGRANTES!$D$18:$F$235,3,0),"")</f>
        <v>#N/A</v>
      </c>
      <c r="F5590" s="547" t="e">
        <f>IF(D5590="","",SUMIF($I5573:$I5582,D5590,$P5573:$P5582))</f>
        <v>#N/A</v>
      </c>
      <c r="G5590" s="333" t="e">
        <f>IF(D5590="","",SUMIF($I5573:$I5582,D5590,$M5573:$M5582))</f>
        <v>#N/A</v>
      </c>
      <c r="H5590" s="535" t="e">
        <f t="shared" ref="H5590:H5595" si="1658">IF(D5590="","",IF(OR(F5590=0,G5590=0),"NO APORTA",ROUND($F5590/$G5590,3)))</f>
        <v>#N/A</v>
      </c>
      <c r="I5590" s="212" t="e">
        <f>IF(D5590="","",IF(H5590="NO APORTA","NO",IF(H5590=MAX($H5590:$H5595),"SI","NO")))</f>
        <v>#N/A</v>
      </c>
      <c r="J5590" s="213" t="e">
        <f t="shared" ref="J5590:J5595" si="1659">IF(D5590="","",IF(E5590&gt;=PORCREQUERIDOINT,"SI","NO"))</f>
        <v>#N/A</v>
      </c>
      <c r="K5590" s="200" t="e">
        <f t="shared" ref="K5590:K5595" si="1660">IF(D5590="","",IF(AND(I5590="SI",J5590="SI"),"CUMPLE",IF(AND(I5590="NO",OR(J5590="SI",J5590="NO")),"","NO CUMPLE")))</f>
        <v>#N/A</v>
      </c>
      <c r="L5590" s="722" t="s">
        <v>108</v>
      </c>
      <c r="M5590" s="726" t="s">
        <v>119</v>
      </c>
      <c r="N5590" s="726"/>
      <c r="O5590" s="726"/>
      <c r="P5590" s="726"/>
      <c r="Q5590" s="727"/>
      <c r="R5590" s="758" t="s">
        <v>80</v>
      </c>
      <c r="S5590" s="747"/>
      <c r="T5590" s="748"/>
      <c r="U5590" s="219"/>
      <c r="V5590" s="464"/>
      <c r="Y5590" s="533" t="e">
        <f>IF(Y5587="","",IF(Y5587="INDIVIDUAL","NO APLICA","VERIFICAR CUADRO"))</f>
        <v>#N/A</v>
      </c>
      <c r="AA5590" s="551"/>
      <c r="AB5590" s="694"/>
      <c r="AC5590" s="694"/>
      <c r="AD5590" s="686"/>
      <c r="AE5590" s="52"/>
      <c r="AF5590" s="52"/>
      <c r="AG5590" s="52"/>
      <c r="AH5590" s="87"/>
      <c r="AI5590" s="87"/>
    </row>
    <row r="5591" spans="1:35" ht="27" hidden="1" customHeight="1" thickBot="1">
      <c r="A5591" s="218" t="e">
        <f>"O"&amp;E5569</f>
        <v>#N/A</v>
      </c>
      <c r="B5591" s="702"/>
      <c r="C5591" s="114">
        <v>2</v>
      </c>
      <c r="D5591" s="194" t="e">
        <f>IF(AND(C5591&lt;=F5588,F5588&lt;&gt;""),VLOOKUP(VALUE(E5569&amp;","&amp;C5591),INTEGRANTES!$D$18:$F$235,2,0),"")</f>
        <v>#N/A</v>
      </c>
      <c r="E5591" s="211" t="e">
        <f>IF(D5591&lt;&gt;"",VLOOKUP(VALUE(E5569&amp;","&amp;C5591),INTEGRANTES!$D$18:$F$235,3,0),"")</f>
        <v>#N/A</v>
      </c>
      <c r="F5591" s="547" t="e">
        <f>IF(D5591="","",SUMIF($I5573:$I5582,D5591,$P5573:$P5582))</f>
        <v>#N/A</v>
      </c>
      <c r="G5591" s="333" t="e">
        <f>IF(D5591="","",SUMIF($I5573:$I5582,D5591,$M5573:$M5582))</f>
        <v>#N/A</v>
      </c>
      <c r="H5591" s="535" t="e">
        <f t="shared" si="1658"/>
        <v>#N/A</v>
      </c>
      <c r="I5591" s="212" t="e">
        <f>IF(D5591="","",IF(H5591="NO APORTA","NO",IF(H5591=MAX($H5590:$H5595),"SI","NO")))</f>
        <v>#N/A</v>
      </c>
      <c r="J5591" s="213" t="e">
        <f t="shared" si="1659"/>
        <v>#N/A</v>
      </c>
      <c r="K5591" s="200" t="e">
        <f t="shared" si="1660"/>
        <v>#N/A</v>
      </c>
      <c r="L5591" s="723"/>
      <c r="M5591" s="715" t="s">
        <v>116</v>
      </c>
      <c r="N5591" s="716"/>
      <c r="O5591" s="556" t="s">
        <v>113</v>
      </c>
      <c r="P5591" s="715" t="s">
        <v>117</v>
      </c>
      <c r="Q5591" s="728"/>
      <c r="R5591" s="759"/>
      <c r="S5591" s="760"/>
      <c r="T5591" s="761"/>
      <c r="U5591" s="219"/>
      <c r="V5591" s="464"/>
      <c r="Y5591" s="414"/>
      <c r="AA5591" s="542" t="e">
        <f>IF(AND(C5590&lt;=F5588,F5588&gt;1,F5588&lt;&gt;""),VLOOKUP(VALUE(E5569&amp;","&amp;C5590),INTEGRANTES!$D$18:$F$235,2,0),"")</f>
        <v>#N/A</v>
      </c>
      <c r="AB5591" s="544" t="e">
        <f t="shared" ref="AB5591:AB5596" si="1661">IF(D5590="","",IF(OR(F5590=0,G5590=0),"NO APORTA",ROUND($F5590/$G5590,3)))</f>
        <v>#N/A</v>
      </c>
      <c r="AC5591" s="529"/>
      <c r="AD5591" s="200" t="e">
        <f t="shared" ref="AD5591:AD5596" si="1662">IF(OR(AA5591="",AB5591=""),"",IF(AND(AC5591="X",AB5591&gt;=EXPREQVTD),"CUMPLE","NO CUMPLE"))</f>
        <v>#N/A</v>
      </c>
      <c r="AE5591" s="52"/>
      <c r="AF5591" s="52"/>
      <c r="AG5591" s="52"/>
      <c r="AH5591" s="87"/>
      <c r="AI5591" s="87"/>
    </row>
    <row r="5592" spans="1:35" ht="16.5" hidden="1" thickBot="1">
      <c r="A5592" s="218" t="e">
        <f>"P"&amp;E5569</f>
        <v>#N/A</v>
      </c>
      <c r="B5592" s="702"/>
      <c r="C5592" s="114">
        <v>3</v>
      </c>
      <c r="D5592" s="194" t="e">
        <f>IF(AND(C5592&lt;=F5588,F5588&lt;&gt;""),VLOOKUP(VALUE(E5569&amp;","&amp;C5592),INTEGRANTES!$D$18:$F$235,2,0),"")</f>
        <v>#N/A</v>
      </c>
      <c r="E5592" s="211" t="e">
        <f>IF(D5592&lt;&gt;"",VLOOKUP(VALUE(E5569&amp;","&amp;C5592),INTEGRANTES!$D$18:$F$235,3,0),"")</f>
        <v>#N/A</v>
      </c>
      <c r="F5592" s="547" t="e">
        <f>IF(D5592="","",SUMIF($I5573:$I5582,D5592,$P5573:$P5582))</f>
        <v>#N/A</v>
      </c>
      <c r="G5592" s="333" t="e">
        <f>IF(D5592="","",SUMIF($I5573:$I5582,D5592,$M5573:$M5582))</f>
        <v>#N/A</v>
      </c>
      <c r="H5592" s="535" t="e">
        <f t="shared" si="1658"/>
        <v>#N/A</v>
      </c>
      <c r="I5592" s="212" t="e">
        <f>IF(D5592="","",IF(H5592="NO APORTA","NO",IF(H5592=MAX($H5590:$H5595),"SI","NO")))</f>
        <v>#N/A</v>
      </c>
      <c r="J5592" s="213" t="e">
        <f t="shared" si="1659"/>
        <v>#N/A</v>
      </c>
      <c r="K5592" s="200" t="e">
        <f t="shared" si="1660"/>
        <v>#N/A</v>
      </c>
      <c r="L5592" s="724"/>
      <c r="M5592" s="729">
        <f>NUMMOD</f>
        <v>1</v>
      </c>
      <c r="N5592" s="730"/>
      <c r="O5592" s="443">
        <f>IF(M5592="","",VLOOKUP(M5592,PRESUPUESTOS!$B$16:$H$16,5,FALSE))</f>
        <v>2</v>
      </c>
      <c r="P5592" s="713">
        <f>IF(OR(COUNTIF(M5573:M5582,"")&gt;=10,Q5589&lt;NUMMINCONT,OR(T5587="NO CUMPLE",T5587="VERIFICAR")),0,ROUND(AVERAGE(M5573:M5582),3))</f>
        <v>0</v>
      </c>
      <c r="Q5592" s="714"/>
      <c r="R5592" s="458"/>
      <c r="S5592" s="459"/>
      <c r="T5592" s="460"/>
      <c r="U5592" s="219"/>
      <c r="V5592" s="464"/>
      <c r="Y5592" s="532" t="str">
        <f>"40% * ("&amp;PRESUPUESTOS!$H$13&amp;")"</f>
        <v>40% * (50% PFMO)</v>
      </c>
      <c r="AA5592" s="540" t="e">
        <f>IF(AND(C5591&lt;=F5588,F5588&lt;&gt;""),VLOOKUP(VALUE(E5569&amp;","&amp;C5591),INTEGRANTES!$D$18:$F$235,2,0),"")</f>
        <v>#N/A</v>
      </c>
      <c r="AB5592" s="545" t="e">
        <f t="shared" si="1661"/>
        <v>#N/A</v>
      </c>
      <c r="AC5592" s="529"/>
      <c r="AD5592" s="200" t="e">
        <f t="shared" si="1662"/>
        <v>#N/A</v>
      </c>
      <c r="AE5592" s="52"/>
      <c r="AF5592" s="52"/>
      <c r="AG5592" s="52"/>
      <c r="AH5592" s="87"/>
      <c r="AI5592" s="87"/>
    </row>
    <row r="5593" spans="1:35" ht="15.75" hidden="1" customHeight="1" thickBot="1">
      <c r="A5593" s="218" t="e">
        <f>"Q"&amp;E5569</f>
        <v>#N/A</v>
      </c>
      <c r="B5593" s="702"/>
      <c r="C5593" s="114">
        <v>4</v>
      </c>
      <c r="D5593" s="194" t="e">
        <f>IF(AND(C5593&lt;=F5588,F5588&lt;&gt;""),VLOOKUP(VALUE(E5569&amp;","&amp;C5593),INTEGRANTES!$D$18:$F$235,2,0),"")</f>
        <v>#N/A</v>
      </c>
      <c r="E5593" s="211" t="e">
        <f>IF(D5593&lt;&gt;"",VLOOKUP(VALUE(E5569&amp;","&amp;C5593),INTEGRANTES!$D$18:$F$235,3,0),"")</f>
        <v>#N/A</v>
      </c>
      <c r="F5593" s="547" t="e">
        <f>IF(D5593="","",SUMIF($I5573:$I5582,D5593,$P5573:$P5582))</f>
        <v>#N/A</v>
      </c>
      <c r="G5593" s="333" t="e">
        <f>IF(D5593="","",SUMIF($I5573:$I5582,D5593,$M5573:$M5582))</f>
        <v>#N/A</v>
      </c>
      <c r="H5593" s="535" t="e">
        <f t="shared" si="1658"/>
        <v>#N/A</v>
      </c>
      <c r="I5593" s="212" t="e">
        <f>IF(D5593="","",IF(H5593="NO APORTA","NO",IF(H5593=MAX($H5590:$H5595),"SI","NO")))</f>
        <v>#N/A</v>
      </c>
      <c r="J5593" s="213" t="e">
        <f t="shared" si="1659"/>
        <v>#N/A</v>
      </c>
      <c r="K5593" s="200" t="e">
        <f t="shared" si="1660"/>
        <v>#N/A</v>
      </c>
      <c r="L5593" s="720" t="s">
        <v>109</v>
      </c>
      <c r="M5593" s="757" t="s">
        <v>120</v>
      </c>
      <c r="N5593" s="726"/>
      <c r="O5593" s="726"/>
      <c r="P5593" s="726"/>
      <c r="Q5593" s="727"/>
      <c r="R5593" s="458"/>
      <c r="S5593" s="459"/>
      <c r="T5593" s="460"/>
      <c r="U5593" s="219"/>
      <c r="V5593" s="464"/>
      <c r="Y5593" s="537">
        <f>0.4*PRESUPUESTOS!$H$16</f>
        <v>10.3124</v>
      </c>
      <c r="AA5593" s="540" t="e">
        <f>IF(AND(C5592&lt;=F5588,F5588&lt;&gt;""),VLOOKUP(VALUE(E5569&amp;","&amp;C5592),INTEGRANTES!$D$18:$F$235,2,0),"")</f>
        <v>#N/A</v>
      </c>
      <c r="AB5593" s="545" t="e">
        <f t="shared" si="1661"/>
        <v>#N/A</v>
      </c>
      <c r="AC5593" s="529"/>
      <c r="AD5593" s="200" t="e">
        <f t="shared" si="1662"/>
        <v>#N/A</v>
      </c>
      <c r="AE5593" s="52"/>
      <c r="AF5593" s="52"/>
      <c r="AG5593" s="52"/>
      <c r="AH5593" s="87"/>
      <c r="AI5593" s="87"/>
    </row>
    <row r="5594" spans="1:35" ht="27" hidden="1" customHeight="1" thickBot="1">
      <c r="A5594" s="218" t="e">
        <f>"R"&amp;E5569</f>
        <v>#N/A</v>
      </c>
      <c r="B5594" s="702"/>
      <c r="C5594" s="114">
        <v>5</v>
      </c>
      <c r="D5594" s="194" t="e">
        <f>IF(AND(C5594&lt;=F5588,F5588&lt;&gt;""),VLOOKUP(VALUE(E5569&amp;","&amp;C5594),INTEGRANTES!$D$18:$F$235,2,0),"")</f>
        <v>#N/A</v>
      </c>
      <c r="E5594" s="211" t="e">
        <f>IF(D5594&lt;&gt;"",VLOOKUP(VALUE(E5569&amp;","&amp;C5594),INTEGRANTES!$D$18:$F$235,3,0),"")</f>
        <v>#N/A</v>
      </c>
      <c r="F5594" s="547" t="e">
        <f>IF(D5594="","",SUMIF($I5573:$I5582,D5594,$P5573:$P5582))</f>
        <v>#N/A</v>
      </c>
      <c r="G5594" s="333" t="e">
        <f>IF(D5594="","",SUMIF($I5573:$I5582,D5594,$M5573:$M5582))</f>
        <v>#N/A</v>
      </c>
      <c r="H5594" s="535" t="e">
        <f t="shared" si="1658"/>
        <v>#N/A</v>
      </c>
      <c r="I5594" s="212" t="e">
        <f>IF(D5594="","",IF(H5594="NO APORTA","NO",IF(H5594=MAX($H5590:$H5595),"SI","NO")))</f>
        <v>#N/A</v>
      </c>
      <c r="J5594" s="213" t="e">
        <f t="shared" si="1659"/>
        <v>#N/A</v>
      </c>
      <c r="K5594" s="200" t="e">
        <f t="shared" si="1660"/>
        <v>#N/A</v>
      </c>
      <c r="L5594" s="721"/>
      <c r="M5594" s="715" t="s">
        <v>116</v>
      </c>
      <c r="N5594" s="716"/>
      <c r="O5594" s="556" t="str">
        <f>PORCREQUERIDO*100&amp;"% PMFO DEL MÓDULO"</f>
        <v>50% PMFO DEL MÓDULO</v>
      </c>
      <c r="P5594" s="715" t="s">
        <v>118</v>
      </c>
      <c r="Q5594" s="728"/>
      <c r="R5594" s="458"/>
      <c r="S5594" s="459"/>
      <c r="T5594" s="460"/>
      <c r="U5594" s="219"/>
      <c r="V5594" s="464"/>
      <c r="Y5594" s="414"/>
      <c r="AA5594" s="540" t="e">
        <f>IF(AND(C5593&lt;=F5588,F5588&lt;&gt;""),VLOOKUP(VALUE(E5569&amp;","&amp;C5593),INTEGRANTES!$D$18:$F$235,2,0),"")</f>
        <v>#N/A</v>
      </c>
      <c r="AB5594" s="545" t="e">
        <f t="shared" si="1661"/>
        <v>#N/A</v>
      </c>
      <c r="AC5594" s="529"/>
      <c r="AD5594" s="200" t="e">
        <f t="shared" si="1662"/>
        <v>#N/A</v>
      </c>
      <c r="AE5594" s="52"/>
      <c r="AF5594" s="52"/>
      <c r="AG5594" s="52"/>
      <c r="AH5594" s="87"/>
      <c r="AI5594" s="87"/>
    </row>
    <row r="5595" spans="1:35" ht="16.5" hidden="1" thickBot="1">
      <c r="A5595" s="218" t="e">
        <f>"S"&amp;E5569</f>
        <v>#N/A</v>
      </c>
      <c r="B5595" s="702"/>
      <c r="C5595" s="215">
        <v>6</v>
      </c>
      <c r="D5595" s="216" t="e">
        <f>IF(AND(C5595&lt;=F5588,F5588&lt;&gt;""),VLOOKUP(VALUE(E5569&amp;","&amp;C5595),INTEGRANTES!$D$18:$F$235,2,0),"")</f>
        <v>#N/A</v>
      </c>
      <c r="E5595" s="217" t="e">
        <f>IF(D5595&lt;&gt;"",VLOOKUP(VALUE(E5569&amp;","&amp;C5595),INTEGRANTES!$D$18:$F$235,3,0),"")</f>
        <v>#N/A</v>
      </c>
      <c r="F5595" s="548" t="e">
        <f>IF(D5595="","",SUMIF($I5573:$I5582,D5595,$P5573:$P5582))</f>
        <v>#N/A</v>
      </c>
      <c r="G5595" s="334" t="e">
        <f>IF(D5595="","",SUMIF($I5573:$I5582,D5595,$M5573:$M5582))</f>
        <v>#N/A</v>
      </c>
      <c r="H5595" s="536" t="e">
        <f t="shared" si="1658"/>
        <v>#N/A</v>
      </c>
      <c r="I5595" s="214" t="e">
        <f>IF(D5595="","",IF(H5595="NO APORTA","NO",IF(H5595=MAX($H5590:$H5595),"SI","NO")))</f>
        <v>#N/A</v>
      </c>
      <c r="J5595" s="213" t="e">
        <f t="shared" si="1659"/>
        <v>#N/A</v>
      </c>
      <c r="K5595" s="200" t="e">
        <f t="shared" si="1660"/>
        <v>#N/A</v>
      </c>
      <c r="L5595" s="721"/>
      <c r="M5595" s="729">
        <f>NUMMOD</f>
        <v>1</v>
      </c>
      <c r="N5595" s="730"/>
      <c r="O5595" s="443">
        <f>IF(M5595="","",ROUND(VLOOKUP(M5595,PRESUPUESTOS!$B$16:$H$16,7,FALSE),3))</f>
        <v>25.780999999999999</v>
      </c>
      <c r="P5595" s="713">
        <f>IF(OR(COUNTIF(P5573:P5582,"")&gt;=10,Q5589&lt;NUMMINCONT,OR(T5587="NO CUMPLE",T5587="VERIFICAR")),0,ROUND((SUM(P5573:P5582)/SUM(M5573:M5582)),3))</f>
        <v>0</v>
      </c>
      <c r="Q5595" s="714"/>
      <c r="R5595" s="458"/>
      <c r="S5595" s="459"/>
      <c r="T5595" s="460"/>
      <c r="U5595" s="219"/>
      <c r="V5595" s="464"/>
      <c r="Y5595" s="532" t="s">
        <v>343</v>
      </c>
      <c r="AA5595" s="540" t="e">
        <f>IF(AND(C5594&lt;=F5588,F5588&lt;&gt;""),VLOOKUP(VALUE(E5569&amp;","&amp;C5594),INTEGRANTES!$D$18:$F$235,2,0),"")</f>
        <v>#N/A</v>
      </c>
      <c r="AB5595" s="545" t="e">
        <f t="shared" si="1661"/>
        <v>#N/A</v>
      </c>
      <c r="AC5595" s="529"/>
      <c r="AD5595" s="200" t="e">
        <f t="shared" si="1662"/>
        <v>#N/A</v>
      </c>
      <c r="AE5595" s="52"/>
      <c r="AF5595" s="52"/>
      <c r="AG5595" s="52"/>
      <c r="AH5595" s="87"/>
      <c r="AI5595" s="87"/>
    </row>
    <row r="5596" spans="1:35" ht="16.5" hidden="1" customHeight="1" thickBot="1">
      <c r="A5596" s="218" t="e">
        <f>"T"&amp;E5569</f>
        <v>#N/A</v>
      </c>
      <c r="B5596" s="703"/>
      <c r="C5596" s="719"/>
      <c r="D5596" s="719"/>
      <c r="E5596" s="719"/>
      <c r="F5596" s="719"/>
      <c r="G5596" s="719"/>
      <c r="H5596" s="719" t="s">
        <v>110</v>
      </c>
      <c r="I5596" s="719"/>
      <c r="J5596" s="719"/>
      <c r="K5596" s="201" t="str">
        <f>IF(COUNTIF(K5590:K5595,"")=6,"",IF(COUNTIF(K5590:K5595,"CUMPLE")&gt;0,"CUMPLE","NO CUMPLE"))</f>
        <v>NO CUMPLE</v>
      </c>
      <c r="L5596" s="754"/>
      <c r="M5596" s="755"/>
      <c r="N5596" s="755"/>
      <c r="O5596" s="755"/>
      <c r="P5596" s="755"/>
      <c r="Q5596" s="756"/>
      <c r="R5596" s="461"/>
      <c r="S5596" s="462"/>
      <c r="T5596" s="463"/>
      <c r="U5596" s="219"/>
      <c r="V5596" s="464"/>
      <c r="Y5596" s="549" t="e">
        <f>IF(Y5590="NO APLICA","NO APLICA",IF(COUNTIF(AD5591:AD5596,"CUMPLE")&gt;0,"CUMPLE","NO CUMPLE"))</f>
        <v>#N/A</v>
      </c>
      <c r="AA5596" s="541" t="e">
        <f>IF(AND(C5595&lt;=F5588,F5588&lt;&gt;""),VLOOKUP(VALUE(E5569&amp;","&amp;C5595),INTEGRANTES!$D$18:$F$235,2,0),"")</f>
        <v>#N/A</v>
      </c>
      <c r="AB5596" s="546" t="e">
        <f t="shared" si="1661"/>
        <v>#N/A</v>
      </c>
      <c r="AC5596" s="543"/>
      <c r="AD5596" s="201" t="e">
        <f t="shared" si="1662"/>
        <v>#N/A</v>
      </c>
      <c r="AE5596" s="52"/>
      <c r="AF5596" s="52"/>
      <c r="AG5596" s="52"/>
      <c r="AH5596" s="87"/>
      <c r="AI5596" s="87"/>
    </row>
    <row r="5597" spans="1:35" hidden="1">
      <c r="AH5597" s="87"/>
      <c r="AI5597" s="87"/>
    </row>
    <row r="5598" spans="1:35" hidden="1">
      <c r="AH5598" s="87"/>
      <c r="AI5598" s="87"/>
    </row>
    <row r="5599" spans="1:35" ht="24" hidden="1" thickBot="1">
      <c r="A5599" s="61">
        <v>187</v>
      </c>
      <c r="B5599" s="704" t="s">
        <v>51</v>
      </c>
      <c r="C5599" s="704"/>
      <c r="D5599" s="704"/>
      <c r="E5599" s="62" t="e">
        <f>VLOOKUP(A5599,PROPONENTES!$B$19:$E$218,2,FALSE)</f>
        <v>#N/A</v>
      </c>
      <c r="F5599" s="63" t="e">
        <f>VLOOKUP(A5599,PROPONENTES!$B$19:$E$218,3,FALSE)</f>
        <v>#N/A</v>
      </c>
      <c r="G5599" s="64"/>
      <c r="H5599" s="64"/>
      <c r="I5599" s="63"/>
      <c r="J5599" s="63"/>
      <c r="K5599" s="65"/>
      <c r="L5599" s="65"/>
      <c r="M5599" s="64"/>
      <c r="N5599" s="64"/>
      <c r="O5599" s="66"/>
      <c r="P5599" s="66"/>
      <c r="Q5599" s="66"/>
      <c r="R5599" s="66"/>
      <c r="S5599" s="67"/>
      <c r="T5599" s="68"/>
      <c r="U5599" s="68"/>
      <c r="AC5599" s="68"/>
      <c r="AD5599" s="68"/>
      <c r="AE5599" s="68"/>
      <c r="AF5599" s="68"/>
      <c r="AG5599" s="68"/>
      <c r="AH5599" s="87"/>
      <c r="AI5599" s="87"/>
    </row>
    <row r="5600" spans="1:35" ht="15.75" hidden="1" customHeight="1">
      <c r="A5600" s="44"/>
      <c r="B5600" s="709" t="s">
        <v>59</v>
      </c>
      <c r="C5600" s="552" t="s">
        <v>60</v>
      </c>
      <c r="D5600" s="70" t="s">
        <v>17</v>
      </c>
      <c r="E5600" s="70"/>
      <c r="F5600" s="70" t="s">
        <v>61</v>
      </c>
      <c r="G5600" s="71"/>
      <c r="H5600" s="699" t="s">
        <v>62</v>
      </c>
      <c r="I5600" s="699" t="s">
        <v>18</v>
      </c>
      <c r="J5600" s="699" t="s">
        <v>63</v>
      </c>
      <c r="K5600" s="699" t="s">
        <v>64</v>
      </c>
      <c r="L5600" s="699" t="s">
        <v>65</v>
      </c>
      <c r="M5600" s="743" t="s">
        <v>66</v>
      </c>
      <c r="N5600" s="699" t="s">
        <v>282</v>
      </c>
      <c r="O5600" s="745" t="s">
        <v>67</v>
      </c>
      <c r="P5600" s="746"/>
      <c r="Q5600" s="102" t="s">
        <v>75</v>
      </c>
      <c r="R5600" s="731" t="s">
        <v>22</v>
      </c>
      <c r="S5600" s="732"/>
      <c r="T5600" s="733"/>
      <c r="U5600" s="712" t="s">
        <v>298</v>
      </c>
      <c r="W5600" s="690" t="s">
        <v>268</v>
      </c>
      <c r="X5600" s="691"/>
      <c r="Y5600" s="692"/>
      <c r="Z5600" s="428"/>
      <c r="AA5600" s="697" t="s">
        <v>315</v>
      </c>
      <c r="AB5600" s="695" t="s">
        <v>322</v>
      </c>
      <c r="AC5600" s="49"/>
      <c r="AD5600" s="690" t="s">
        <v>297</v>
      </c>
      <c r="AE5600" s="691"/>
      <c r="AF5600" s="692"/>
      <c r="AG5600" s="49"/>
      <c r="AH5600" s="87"/>
      <c r="AI5600" s="87"/>
    </row>
    <row r="5601" spans="1:35" ht="72" hidden="1">
      <c r="A5601" s="44"/>
      <c r="B5601" s="710"/>
      <c r="C5601" s="553" t="s">
        <v>68</v>
      </c>
      <c r="D5601" s="73" t="s">
        <v>3</v>
      </c>
      <c r="E5601" s="73" t="s">
        <v>19</v>
      </c>
      <c r="F5601" s="73" t="s">
        <v>69</v>
      </c>
      <c r="G5601" s="74" t="s">
        <v>70</v>
      </c>
      <c r="H5601" s="700"/>
      <c r="I5601" s="700"/>
      <c r="J5601" s="700"/>
      <c r="K5601" s="700"/>
      <c r="L5601" s="700"/>
      <c r="M5601" s="744"/>
      <c r="N5601" s="700"/>
      <c r="O5601" s="553" t="s">
        <v>279</v>
      </c>
      <c r="P5601" s="73" t="s">
        <v>88</v>
      </c>
      <c r="Q5601" s="555" t="s">
        <v>76</v>
      </c>
      <c r="R5601" s="734"/>
      <c r="S5601" s="735"/>
      <c r="T5601" s="736"/>
      <c r="U5601" s="712"/>
      <c r="W5601" s="429" t="s">
        <v>269</v>
      </c>
      <c r="X5601" s="457" t="s">
        <v>278</v>
      </c>
      <c r="Y5601" s="430" t="s">
        <v>324</v>
      </c>
      <c r="Z5601" s="428"/>
      <c r="AA5601" s="698"/>
      <c r="AB5601" s="696"/>
      <c r="AC5601" s="49"/>
      <c r="AD5601" s="429" t="s">
        <v>292</v>
      </c>
      <c r="AE5601" s="431" t="s">
        <v>300</v>
      </c>
      <c r="AF5601" s="468" t="s">
        <v>301</v>
      </c>
      <c r="AG5601" s="49"/>
      <c r="AH5601" s="87"/>
      <c r="AI5601" s="87"/>
    </row>
    <row r="5602" spans="1:35" hidden="1">
      <c r="A5602" s="44"/>
      <c r="B5602" s="76"/>
      <c r="C5602" s="77"/>
      <c r="D5602" s="77"/>
      <c r="E5602" s="77"/>
      <c r="F5602" s="77"/>
      <c r="G5602" s="77"/>
      <c r="H5602" s="77"/>
      <c r="I5602" s="77"/>
      <c r="J5602" s="77"/>
      <c r="K5602" s="77"/>
      <c r="L5602" s="77"/>
      <c r="M5602" s="77"/>
      <c r="N5602" s="77"/>
      <c r="O5602" s="77"/>
      <c r="P5602" s="77"/>
      <c r="Q5602" s="77"/>
      <c r="R5602" s="77"/>
      <c r="S5602" s="78"/>
      <c r="T5602" s="79"/>
      <c r="U5602" s="109"/>
      <c r="V5602" s="49"/>
      <c r="W5602" s="432"/>
      <c r="X5602" s="454"/>
      <c r="Y5602" s="433"/>
      <c r="Z5602" s="6"/>
      <c r="AA5602" s="500"/>
      <c r="AB5602" s="562"/>
      <c r="AC5602" s="49"/>
      <c r="AD5602" s="210"/>
      <c r="AE5602" s="434"/>
      <c r="AF5602" s="435"/>
      <c r="AG5602" s="49"/>
      <c r="AH5602" s="87"/>
      <c r="AI5602" s="87"/>
    </row>
    <row r="5603" spans="1:35" hidden="1">
      <c r="A5603" s="80" t="e">
        <f>"A"&amp;E5599</f>
        <v>#N/A</v>
      </c>
      <c r="B5603" s="81">
        <v>1</v>
      </c>
      <c r="C5603" s="82"/>
      <c r="D5603" s="82"/>
      <c r="E5603" s="82"/>
      <c r="F5603" s="82"/>
      <c r="G5603" s="83"/>
      <c r="H5603" s="83"/>
      <c r="I5603" s="84"/>
      <c r="J5603" s="85"/>
      <c r="K5603" s="382"/>
      <c r="L5603" s="85"/>
      <c r="M5603" s="332" t="str">
        <f t="shared" ref="M5603:M5612" si="1663">IF(OR(J5603="",L5603="",H5603="NO"),"",IF(OR(J5603&gt;$P$17,J5603&lt;$O$17,L5603&gt;$P$17,AND(J5603&lt;$O$17,L5603&lt;$O$17)),"FUERA DE RANGO",IF(OR(K5603="---",K5603=""),IF(J5603&gt;=$O$17,ROUND((L5603-J5603+1)/360*12,3),ROUND((L5603-$O$17+1)/360*12,3)),IF(J5603&gt;=$O$17,ROUND((L5603-J5603+1)/360*12-ROUND(K5603,3),3),ROUND((L5603-$O$17+1)/360*12-ROUND(K5603,3),3)))))</f>
        <v/>
      </c>
      <c r="N5603" s="86"/>
      <c r="O5603" s="453" t="str">
        <f>IF(OR(G5603="",N5603=""),"",N5603*G5603)</f>
        <v/>
      </c>
      <c r="P5603" s="538" t="str">
        <f>IF(OR(H5603="",M5603="FUERA DE RANGO"),"",IF(OR(L5603&lt;$O$17,L5603&gt;$P$17,L5603="",H5603="NO"),"",IF(OR(N5603="",O5603=""),"",ROUND(O5603,3))))</f>
        <v/>
      </c>
      <c r="Q5603" s="539" t="str">
        <f t="shared" ref="Q5603:Q5612" si="1664">IF(AND(H5603="SI",P5603&lt;&gt;""),ROUND(P5603/M5603,3),"")</f>
        <v/>
      </c>
      <c r="R5603" s="737"/>
      <c r="S5603" s="738"/>
      <c r="T5603" s="739"/>
      <c r="U5603" s="470"/>
      <c r="V5603" s="165"/>
      <c r="W5603" s="446"/>
      <c r="X5603" s="456"/>
      <c r="Y5603" s="436"/>
      <c r="Z5603" s="437"/>
      <c r="AA5603" s="560"/>
      <c r="AB5603" s="561"/>
      <c r="AC5603" s="87"/>
      <c r="AD5603" s="466"/>
      <c r="AE5603" s="456"/>
      <c r="AF5603" s="467"/>
      <c r="AG5603" s="87"/>
      <c r="AH5603" s="87"/>
      <c r="AI5603" s="87"/>
    </row>
    <row r="5604" spans="1:35" hidden="1">
      <c r="A5604" s="80" t="e">
        <f>"B"&amp;E5599</f>
        <v>#N/A</v>
      </c>
      <c r="B5604" s="81">
        <v>2</v>
      </c>
      <c r="C5604" s="106"/>
      <c r="D5604" s="106"/>
      <c r="E5604" s="106"/>
      <c r="F5604" s="106"/>
      <c r="G5604" s="83"/>
      <c r="H5604" s="83"/>
      <c r="I5604" s="84"/>
      <c r="J5604" s="85"/>
      <c r="K5604" s="382"/>
      <c r="L5604" s="85"/>
      <c r="M5604" s="332" t="str">
        <f t="shared" si="1663"/>
        <v/>
      </c>
      <c r="N5604" s="86"/>
      <c r="O5604" s="453" t="str">
        <f t="shared" ref="O5604:O5612" si="1665">IF(OR(G5604="",N5604=""),"",N5604*G5604)</f>
        <v/>
      </c>
      <c r="P5604" s="538" t="str">
        <f t="shared" ref="P5604:P5612" si="1666">IF(OR(H5604="",M5604="FUERA DE RANGO"),"",IF(OR(L5604&lt;$O$17,L5604&gt;$P$17,L5604="",H5604="NO"),"",IF(OR(N5604="",O5604=""),"",ROUND(O5604,3))))</f>
        <v/>
      </c>
      <c r="Q5604" s="539" t="str">
        <f t="shared" si="1664"/>
        <v/>
      </c>
      <c r="R5604" s="740"/>
      <c r="S5604" s="741"/>
      <c r="T5604" s="742"/>
      <c r="U5604" s="471"/>
      <c r="V5604" s="165"/>
      <c r="W5604" s="446"/>
      <c r="X5604" s="456"/>
      <c r="Y5604" s="436"/>
      <c r="Z5604" s="437"/>
      <c r="AA5604" s="560"/>
      <c r="AB5604" s="561"/>
      <c r="AC5604" s="87"/>
      <c r="AD5604" s="466"/>
      <c r="AE5604" s="456"/>
      <c r="AF5604" s="467"/>
      <c r="AG5604" s="87"/>
      <c r="AH5604" s="87"/>
      <c r="AI5604" s="87"/>
    </row>
    <row r="5605" spans="1:35" hidden="1">
      <c r="A5605" s="80" t="e">
        <f>"C"&amp;E5599</f>
        <v>#N/A</v>
      </c>
      <c r="B5605" s="88">
        <v>3</v>
      </c>
      <c r="C5605" s="82"/>
      <c r="D5605" s="82"/>
      <c r="E5605" s="82"/>
      <c r="F5605" s="82"/>
      <c r="G5605" s="83"/>
      <c r="H5605" s="83"/>
      <c r="I5605" s="84"/>
      <c r="J5605" s="85"/>
      <c r="K5605" s="382"/>
      <c r="L5605" s="85"/>
      <c r="M5605" s="332" t="str">
        <f t="shared" si="1663"/>
        <v/>
      </c>
      <c r="N5605" s="86"/>
      <c r="O5605" s="453" t="str">
        <f t="shared" si="1665"/>
        <v/>
      </c>
      <c r="P5605" s="538" t="str">
        <f t="shared" si="1666"/>
        <v/>
      </c>
      <c r="Q5605" s="539" t="str">
        <f t="shared" si="1664"/>
        <v/>
      </c>
      <c r="R5605" s="706"/>
      <c r="S5605" s="707"/>
      <c r="T5605" s="708"/>
      <c r="U5605" s="472"/>
      <c r="V5605" s="166"/>
      <c r="W5605" s="446"/>
      <c r="X5605" s="456"/>
      <c r="Y5605" s="436"/>
      <c r="Z5605" s="437"/>
      <c r="AA5605" s="560"/>
      <c r="AB5605" s="561"/>
      <c r="AC5605" s="87"/>
      <c r="AD5605" s="466"/>
      <c r="AE5605" s="456"/>
      <c r="AF5605" s="467"/>
      <c r="AG5605" s="87"/>
      <c r="AH5605" s="87"/>
      <c r="AI5605" s="87"/>
    </row>
    <row r="5606" spans="1:35" hidden="1">
      <c r="A5606" s="80" t="e">
        <f>"D"&amp;E5599</f>
        <v>#N/A</v>
      </c>
      <c r="B5606" s="105">
        <v>4</v>
      </c>
      <c r="C5606" s="107"/>
      <c r="D5606" s="107"/>
      <c r="E5606" s="107"/>
      <c r="F5606" s="107"/>
      <c r="G5606" s="83"/>
      <c r="H5606" s="83"/>
      <c r="I5606" s="84"/>
      <c r="J5606" s="85"/>
      <c r="K5606" s="382"/>
      <c r="L5606" s="85"/>
      <c r="M5606" s="332" t="str">
        <f t="shared" si="1663"/>
        <v/>
      </c>
      <c r="N5606" s="86"/>
      <c r="O5606" s="453" t="str">
        <f t="shared" si="1665"/>
        <v/>
      </c>
      <c r="P5606" s="538" t="str">
        <f t="shared" si="1666"/>
        <v/>
      </c>
      <c r="Q5606" s="539" t="str">
        <f t="shared" si="1664"/>
        <v/>
      </c>
      <c r="R5606" s="706"/>
      <c r="S5606" s="707"/>
      <c r="T5606" s="708"/>
      <c r="U5606" s="472"/>
      <c r="V5606" s="166"/>
      <c r="W5606" s="446"/>
      <c r="X5606" s="456"/>
      <c r="Y5606" s="436"/>
      <c r="Z5606" s="437"/>
      <c r="AA5606" s="560"/>
      <c r="AB5606" s="561"/>
      <c r="AC5606" s="87"/>
      <c r="AD5606" s="466"/>
      <c r="AE5606" s="456"/>
      <c r="AF5606" s="467"/>
      <c r="AG5606" s="87"/>
      <c r="AH5606" s="87"/>
      <c r="AI5606" s="87"/>
    </row>
    <row r="5607" spans="1:35" hidden="1">
      <c r="A5607" s="80" t="e">
        <f>"E"&amp;E5599</f>
        <v>#N/A</v>
      </c>
      <c r="B5607" s="105">
        <v>5</v>
      </c>
      <c r="C5607" s="107"/>
      <c r="D5607" s="107"/>
      <c r="E5607" s="107"/>
      <c r="F5607" s="107"/>
      <c r="G5607" s="83"/>
      <c r="H5607" s="83"/>
      <c r="I5607" s="84"/>
      <c r="J5607" s="85"/>
      <c r="K5607" s="382"/>
      <c r="L5607" s="85"/>
      <c r="M5607" s="332" t="str">
        <f t="shared" si="1663"/>
        <v/>
      </c>
      <c r="N5607" s="86"/>
      <c r="O5607" s="453" t="str">
        <f t="shared" si="1665"/>
        <v/>
      </c>
      <c r="P5607" s="538" t="str">
        <f t="shared" si="1666"/>
        <v/>
      </c>
      <c r="Q5607" s="539" t="str">
        <f t="shared" si="1664"/>
        <v/>
      </c>
      <c r="R5607" s="706"/>
      <c r="S5607" s="707"/>
      <c r="T5607" s="708"/>
      <c r="U5607" s="472"/>
      <c r="V5607" s="167"/>
      <c r="W5607" s="446"/>
      <c r="X5607" s="456"/>
      <c r="Y5607" s="436"/>
      <c r="Z5607" s="437"/>
      <c r="AA5607" s="560"/>
      <c r="AB5607" s="561"/>
      <c r="AC5607" s="87"/>
      <c r="AD5607" s="466"/>
      <c r="AE5607" s="456"/>
      <c r="AF5607" s="467"/>
      <c r="AG5607" s="87"/>
      <c r="AH5607" s="87"/>
      <c r="AI5607" s="87"/>
    </row>
    <row r="5608" spans="1:35" hidden="1">
      <c r="A5608" s="80" t="e">
        <f>"F"&amp;E5599</f>
        <v>#N/A</v>
      </c>
      <c r="B5608" s="105">
        <v>6</v>
      </c>
      <c r="C5608" s="107"/>
      <c r="D5608" s="107"/>
      <c r="E5608" s="107"/>
      <c r="F5608" s="107"/>
      <c r="G5608" s="83"/>
      <c r="H5608" s="83"/>
      <c r="I5608" s="84"/>
      <c r="J5608" s="85"/>
      <c r="K5608" s="382"/>
      <c r="L5608" s="85"/>
      <c r="M5608" s="332" t="str">
        <f t="shared" si="1663"/>
        <v/>
      </c>
      <c r="N5608" s="86"/>
      <c r="O5608" s="453" t="str">
        <f t="shared" si="1665"/>
        <v/>
      </c>
      <c r="P5608" s="538" t="str">
        <f t="shared" si="1666"/>
        <v/>
      </c>
      <c r="Q5608" s="539" t="str">
        <f t="shared" si="1664"/>
        <v/>
      </c>
      <c r="R5608" s="706"/>
      <c r="S5608" s="707"/>
      <c r="T5608" s="708"/>
      <c r="U5608" s="472"/>
      <c r="V5608" s="167"/>
      <c r="W5608" s="446"/>
      <c r="X5608" s="456"/>
      <c r="Y5608" s="436"/>
      <c r="Z5608" s="437"/>
      <c r="AA5608" s="560"/>
      <c r="AB5608" s="561"/>
      <c r="AC5608" s="87"/>
      <c r="AD5608" s="466"/>
      <c r="AE5608" s="456"/>
      <c r="AF5608" s="467"/>
      <c r="AG5608" s="87"/>
      <c r="AH5608" s="87"/>
      <c r="AI5608" s="87"/>
    </row>
    <row r="5609" spans="1:35" hidden="1">
      <c r="A5609" s="80" t="e">
        <f>"G"&amp;E5599</f>
        <v>#N/A</v>
      </c>
      <c r="B5609" s="105">
        <v>7</v>
      </c>
      <c r="C5609" s="107"/>
      <c r="D5609" s="107"/>
      <c r="E5609" s="107"/>
      <c r="F5609" s="107"/>
      <c r="G5609" s="83"/>
      <c r="H5609" s="83"/>
      <c r="I5609" s="84"/>
      <c r="J5609" s="85"/>
      <c r="K5609" s="382"/>
      <c r="L5609" s="85"/>
      <c r="M5609" s="332" t="str">
        <f t="shared" si="1663"/>
        <v/>
      </c>
      <c r="N5609" s="86"/>
      <c r="O5609" s="86" t="str">
        <f t="shared" si="1665"/>
        <v/>
      </c>
      <c r="P5609" s="538" t="str">
        <f t="shared" si="1666"/>
        <v/>
      </c>
      <c r="Q5609" s="539" t="str">
        <f t="shared" si="1664"/>
        <v/>
      </c>
      <c r="R5609" s="706"/>
      <c r="S5609" s="707"/>
      <c r="T5609" s="708"/>
      <c r="U5609" s="472"/>
      <c r="V5609" s="167"/>
      <c r="W5609" s="446"/>
      <c r="X5609" s="456"/>
      <c r="Y5609" s="436"/>
      <c r="Z5609" s="437"/>
      <c r="AA5609" s="560"/>
      <c r="AB5609" s="561"/>
      <c r="AC5609" s="87"/>
      <c r="AD5609" s="466"/>
      <c r="AE5609" s="456"/>
      <c r="AF5609" s="467"/>
      <c r="AG5609" s="87"/>
      <c r="AH5609" s="87"/>
      <c r="AI5609" s="87"/>
    </row>
    <row r="5610" spans="1:35" hidden="1">
      <c r="A5610" s="80" t="e">
        <f>"H"&amp;E5599</f>
        <v>#N/A</v>
      </c>
      <c r="B5610" s="105">
        <v>8</v>
      </c>
      <c r="C5610" s="107"/>
      <c r="D5610" s="107"/>
      <c r="E5610" s="107"/>
      <c r="F5610" s="107"/>
      <c r="G5610" s="83"/>
      <c r="H5610" s="83"/>
      <c r="I5610" s="84"/>
      <c r="J5610" s="85"/>
      <c r="K5610" s="382"/>
      <c r="L5610" s="85"/>
      <c r="M5610" s="332" t="str">
        <f t="shared" si="1663"/>
        <v/>
      </c>
      <c r="N5610" s="453"/>
      <c r="O5610" s="86" t="str">
        <f t="shared" si="1665"/>
        <v/>
      </c>
      <c r="P5610" s="538" t="str">
        <f t="shared" si="1666"/>
        <v/>
      </c>
      <c r="Q5610" s="539" t="str">
        <f t="shared" si="1664"/>
        <v/>
      </c>
      <c r="R5610" s="706"/>
      <c r="S5610" s="707"/>
      <c r="T5610" s="708"/>
      <c r="U5610" s="472"/>
      <c r="V5610" s="167"/>
      <c r="W5610" s="446"/>
      <c r="X5610" s="456"/>
      <c r="Y5610" s="436"/>
      <c r="Z5610" s="437"/>
      <c r="AA5610" s="560"/>
      <c r="AB5610" s="561"/>
      <c r="AC5610" s="87"/>
      <c r="AD5610" s="466"/>
      <c r="AE5610" s="456"/>
      <c r="AF5610" s="467"/>
      <c r="AG5610" s="87"/>
      <c r="AH5610" s="87"/>
      <c r="AI5610" s="87"/>
    </row>
    <row r="5611" spans="1:35" hidden="1">
      <c r="A5611" s="80" t="e">
        <f>"I"&amp;E5599</f>
        <v>#N/A</v>
      </c>
      <c r="B5611" s="105">
        <v>9</v>
      </c>
      <c r="C5611" s="107"/>
      <c r="D5611" s="107"/>
      <c r="E5611" s="107"/>
      <c r="F5611" s="107"/>
      <c r="G5611" s="83"/>
      <c r="H5611" s="83"/>
      <c r="I5611" s="84"/>
      <c r="J5611" s="85"/>
      <c r="K5611" s="382"/>
      <c r="L5611" s="85"/>
      <c r="M5611" s="332" t="str">
        <f t="shared" si="1663"/>
        <v/>
      </c>
      <c r="N5611" s="453"/>
      <c r="O5611" s="86" t="str">
        <f t="shared" si="1665"/>
        <v/>
      </c>
      <c r="P5611" s="538" t="str">
        <f t="shared" si="1666"/>
        <v/>
      </c>
      <c r="Q5611" s="539" t="str">
        <f t="shared" si="1664"/>
        <v/>
      </c>
      <c r="R5611" s="706"/>
      <c r="S5611" s="707"/>
      <c r="T5611" s="708"/>
      <c r="U5611" s="472"/>
      <c r="V5611" s="167"/>
      <c r="W5611" s="446"/>
      <c r="X5611" s="456"/>
      <c r="Y5611" s="436"/>
      <c r="Z5611" s="437"/>
      <c r="AA5611" s="560"/>
      <c r="AB5611" s="561"/>
      <c r="AC5611" s="87"/>
      <c r="AD5611" s="466"/>
      <c r="AE5611" s="456"/>
      <c r="AF5611" s="467"/>
      <c r="AG5611" s="87"/>
      <c r="AH5611" s="87"/>
      <c r="AI5611" s="87"/>
    </row>
    <row r="5612" spans="1:35" hidden="1">
      <c r="A5612" s="80" t="e">
        <f>"J"&amp;E5599</f>
        <v>#N/A</v>
      </c>
      <c r="B5612" s="105">
        <v>10</v>
      </c>
      <c r="C5612" s="107"/>
      <c r="D5612" s="107"/>
      <c r="E5612" s="107"/>
      <c r="F5612" s="107"/>
      <c r="G5612" s="83"/>
      <c r="H5612" s="83"/>
      <c r="I5612" s="84"/>
      <c r="J5612" s="85"/>
      <c r="K5612" s="382"/>
      <c r="L5612" s="85"/>
      <c r="M5612" s="332" t="str">
        <f t="shared" si="1663"/>
        <v/>
      </c>
      <c r="N5612" s="453"/>
      <c r="O5612" s="86" t="str">
        <f t="shared" si="1665"/>
        <v/>
      </c>
      <c r="P5612" s="538" t="str">
        <f t="shared" si="1666"/>
        <v/>
      </c>
      <c r="Q5612" s="539" t="str">
        <f t="shared" si="1664"/>
        <v/>
      </c>
      <c r="R5612" s="706"/>
      <c r="S5612" s="707"/>
      <c r="T5612" s="708"/>
      <c r="U5612" s="472"/>
      <c r="V5612" s="167"/>
      <c r="W5612" s="446"/>
      <c r="X5612" s="456"/>
      <c r="Y5612" s="436"/>
      <c r="Z5612" s="437"/>
      <c r="AA5612" s="560"/>
      <c r="AB5612" s="561"/>
      <c r="AC5612" s="87"/>
      <c r="AD5612" s="466"/>
      <c r="AE5612" s="456"/>
      <c r="AF5612" s="467"/>
      <c r="AG5612" s="87"/>
      <c r="AH5612" s="87"/>
      <c r="AI5612" s="87"/>
    </row>
    <row r="5613" spans="1:35" ht="16.5" hidden="1" thickBot="1">
      <c r="A5613" s="44"/>
      <c r="B5613" s="89"/>
      <c r="C5613" s="90"/>
      <c r="D5613" s="90"/>
      <c r="E5613" s="90"/>
      <c r="F5613" s="90"/>
      <c r="G5613" s="90"/>
      <c r="H5613" s="90"/>
      <c r="I5613" s="90"/>
      <c r="J5613" s="90"/>
      <c r="K5613" s="90"/>
      <c r="L5613" s="90"/>
      <c r="M5613" s="90"/>
      <c r="N5613" s="90"/>
      <c r="O5613" s="90"/>
      <c r="P5613" s="90"/>
      <c r="Q5613" s="90"/>
      <c r="R5613" s="90"/>
      <c r="S5613" s="91"/>
      <c r="T5613" s="92"/>
      <c r="U5613" s="473"/>
      <c r="W5613" s="438"/>
      <c r="X5613" s="455"/>
      <c r="Y5613" s="439"/>
      <c r="Z5613" s="437"/>
      <c r="AA5613" s="530"/>
      <c r="AB5613" s="563"/>
      <c r="AC5613" s="87"/>
      <c r="AD5613" s="440"/>
      <c r="AE5613" s="441"/>
      <c r="AF5613" s="442"/>
      <c r="AG5613" s="49"/>
      <c r="AH5613" s="87"/>
      <c r="AI5613" s="87"/>
    </row>
    <row r="5614" spans="1:35" ht="16.5" hidden="1" thickBot="1">
      <c r="A5614" s="93"/>
      <c r="B5614" s="94"/>
      <c r="C5614" s="96"/>
      <c r="D5614" s="96"/>
      <c r="E5614" s="96"/>
      <c r="F5614" s="96"/>
      <c r="G5614" s="96"/>
      <c r="H5614" s="96"/>
      <c r="I5614" s="96"/>
      <c r="J5614" s="96"/>
      <c r="K5614" s="96"/>
      <c r="L5614" s="96"/>
      <c r="M5614" s="136"/>
      <c r="N5614" s="96"/>
      <c r="O5614" s="96"/>
      <c r="P5614" s="97"/>
      <c r="Q5614" s="97"/>
      <c r="R5614" s="98"/>
      <c r="S5614" s="95"/>
      <c r="T5614" s="99"/>
      <c r="U5614" s="469"/>
      <c r="AC5614" s="58"/>
      <c r="AG5614" s="58"/>
      <c r="AH5614" s="87"/>
      <c r="AI5614" s="87"/>
    </row>
    <row r="5615" spans="1:35" ht="16.5" hidden="1" thickBot="1">
      <c r="B5615" s="101"/>
      <c r="C5615" s="101"/>
      <c r="D5615" s="101"/>
      <c r="E5615" s="101"/>
      <c r="F5615" s="101"/>
      <c r="G5615" s="101"/>
      <c r="H5615" s="101"/>
      <c r="I5615" s="101"/>
      <c r="J5615" s="101"/>
      <c r="K5615" s="101"/>
      <c r="L5615" s="101"/>
      <c r="M5615" s="101"/>
      <c r="N5615" s="101"/>
      <c r="O5615" s="101"/>
      <c r="P5615" s="101"/>
      <c r="Q5615" s="101"/>
      <c r="R5615" s="101"/>
      <c r="S5615" s="101"/>
      <c r="U5615" s="50"/>
      <c r="AH5615" s="87"/>
      <c r="AI5615" s="87"/>
    </row>
    <row r="5616" spans="1:35" ht="16.5" hidden="1" customHeight="1" thickBot="1">
      <c r="A5616" s="44"/>
      <c r="B5616" s="705" t="s">
        <v>74</v>
      </c>
      <c r="C5616" s="705"/>
      <c r="D5616" s="705"/>
      <c r="E5616" s="705"/>
      <c r="F5616" s="705"/>
      <c r="G5616" s="705"/>
      <c r="H5616" s="705"/>
      <c r="I5616" s="705"/>
      <c r="J5616" s="705"/>
      <c r="K5616" s="705"/>
      <c r="L5616" s="705"/>
      <c r="M5616" s="705"/>
      <c r="N5616" s="705"/>
      <c r="O5616" s="705"/>
      <c r="P5616" s="705"/>
      <c r="Q5616" s="705"/>
      <c r="R5616" s="705"/>
      <c r="S5616" s="705"/>
      <c r="T5616" s="705"/>
      <c r="U5616" s="108"/>
      <c r="Y5616" s="532" t="s">
        <v>341</v>
      </c>
      <c r="AC5616" s="49"/>
      <c r="AD5616" s="687" t="s">
        <v>302</v>
      </c>
      <c r="AE5616" s="688"/>
      <c r="AF5616" s="689"/>
      <c r="AG5616" s="49"/>
      <c r="AH5616" s="87"/>
      <c r="AI5616" s="87"/>
    </row>
    <row r="5617" spans="1:35" ht="16.5" hidden="1" customHeight="1" thickBot="1">
      <c r="A5617" s="218" t="e">
        <f>"K"&amp;E5599</f>
        <v>#N/A</v>
      </c>
      <c r="B5617" s="701" t="s">
        <v>71</v>
      </c>
      <c r="C5617" s="751" t="s">
        <v>102</v>
      </c>
      <c r="D5617" s="751"/>
      <c r="E5617" s="751"/>
      <c r="F5617" s="751"/>
      <c r="G5617" s="751"/>
      <c r="H5617" s="751"/>
      <c r="I5617" s="751"/>
      <c r="J5617" s="751"/>
      <c r="K5617" s="751"/>
      <c r="L5617" s="722" t="s">
        <v>100</v>
      </c>
      <c r="M5617" s="747" t="s">
        <v>114</v>
      </c>
      <c r="N5617" s="747"/>
      <c r="O5617" s="747"/>
      <c r="P5617" s="747"/>
      <c r="Q5617" s="748"/>
      <c r="R5617" s="758" t="s">
        <v>280</v>
      </c>
      <c r="S5617" s="748"/>
      <c r="T5617" s="762" t="str">
        <f>IF(COUNTIF(AE5617:AF5617,"VERIFICAR")&gt;0,"VERIFICAR",IF(COUNTIF(AE5617:AF5617,"NO CUMPLE")&gt;0,"NO CUMPLE","CUMPLE"))</f>
        <v>VERIFICAR</v>
      </c>
      <c r="U5617" s="108"/>
      <c r="Y5617" s="533" t="e">
        <f>IF(F5618="","",IF(F5618=1,"INDIVIDUAL","ESTRUCTURA PLURAL"))</f>
        <v>#N/A</v>
      </c>
      <c r="AC5617" s="52"/>
      <c r="AD5617" s="475" t="s">
        <v>303</v>
      </c>
      <c r="AE5617" s="476" t="str">
        <f>IF(COUNTIF(AE5603:AE5612,"")=10,"VERIFICAR",IF(COUNTIF(AE5603:AE5612,"SI")&gt;0,"CUMPLE","NO CUMPLE"))</f>
        <v>VERIFICAR</v>
      </c>
      <c r="AF5617" s="477" t="str">
        <f>IF(COUNTIF(AF5603:AF5612,"")=10,"VERIFICAR",IF(COUNTIF(AF5603:AF5612,"SI")&gt;=$AI$22,"CUMPLE","NO CUMPLE"))</f>
        <v>VERIFICAR</v>
      </c>
      <c r="AG5617" s="52"/>
      <c r="AH5617" s="87"/>
      <c r="AI5617" s="87"/>
    </row>
    <row r="5618" spans="1:35" ht="15.75" hidden="1" customHeight="1" thickBot="1">
      <c r="A5618" s="218" t="e">
        <f>"L"&amp;E5599</f>
        <v>#N/A</v>
      </c>
      <c r="B5618" s="702"/>
      <c r="C5618" s="751" t="s">
        <v>103</v>
      </c>
      <c r="D5618" s="751"/>
      <c r="E5618" s="752"/>
      <c r="F5618" s="557" t="e">
        <f>IF(VLOOKUP(E5599,PROPONENTES!$C$19:$E$218,3,0)="","",VLOOKUP(E5599,PROPONENTES!$C$19:$E$218,3,0))</f>
        <v>#N/A</v>
      </c>
      <c r="G5618" s="753" t="s">
        <v>104</v>
      </c>
      <c r="H5618" s="751"/>
      <c r="I5618" s="715" t="e">
        <f>IF(OR(F5618="",F5618=1),"INTERESADO PERSONA NATURAL O JURIDICA","CONSORCIO O UNION TEMPORAL")</f>
        <v>#N/A</v>
      </c>
      <c r="J5618" s="725"/>
      <c r="K5618" s="728"/>
      <c r="L5618" s="723"/>
      <c r="M5618" s="749"/>
      <c r="N5618" s="749"/>
      <c r="O5618" s="749"/>
      <c r="P5618" s="749"/>
      <c r="Q5618" s="750"/>
      <c r="R5618" s="712"/>
      <c r="S5618" s="750"/>
      <c r="T5618" s="763"/>
      <c r="U5618" s="108"/>
      <c r="Y5618" s="534"/>
      <c r="AA5618" s="52"/>
      <c r="AB5618" s="52"/>
      <c r="AC5618" s="52"/>
      <c r="AG5618" s="52"/>
      <c r="AH5618" s="87"/>
      <c r="AI5618" s="87"/>
    </row>
    <row r="5619" spans="1:35" ht="56.25" hidden="1" customHeight="1" thickBot="1">
      <c r="A5619" s="218" t="e">
        <f>"M"&amp;E5599</f>
        <v>#N/A</v>
      </c>
      <c r="B5619" s="702"/>
      <c r="C5619" s="725" t="s">
        <v>101</v>
      </c>
      <c r="D5619" s="716"/>
      <c r="E5619" s="558" t="s">
        <v>105</v>
      </c>
      <c r="F5619" s="554" t="s">
        <v>87</v>
      </c>
      <c r="G5619" s="553" t="s">
        <v>86</v>
      </c>
      <c r="H5619" s="559" t="s">
        <v>85</v>
      </c>
      <c r="I5619" s="554" t="s">
        <v>252</v>
      </c>
      <c r="J5619" s="553" t="str">
        <f>"¿EL INTEGRANTE TIENE UNA PARTICIPACIÓN DEL "&amp;PORCREQUERIDOINT*100&amp;"%?"</f>
        <v>¿EL INTEGRANTE TIENE UNA PARTICIPACIÓN DEL 60%?</v>
      </c>
      <c r="K5619" s="554" t="s">
        <v>107</v>
      </c>
      <c r="L5619" s="724"/>
      <c r="M5619" s="717" t="s">
        <v>115</v>
      </c>
      <c r="N5619" s="718"/>
      <c r="O5619" s="718"/>
      <c r="P5619" s="718"/>
      <c r="Q5619" s="223">
        <f>IF(AND(H5603="SI",P5603&gt;=0),1,0)+IF(AND(H5604="SI",P5604&gt;=0),1,0)+IF(AND(H5605="SI",P5605&gt;=0),1,0)+IF(AND(H5606="SI",P5606&gt;=0),1,0)+IF(AND(H5607="SI",P5607&gt;=0),1,0)+IF(AND(H5608="SI",P5608&gt;=0),1,0)+IF(AND(H5609="SI",P5609&gt;=0),1,0)+IF(AND(H5610="SI",P5610&gt;=0),1,0)+IF(AND(H5611="SI",P5611&gt;=0),1,0)+IF(AND(H5612="SI",P5612&gt;=0),1,0)</f>
        <v>0</v>
      </c>
      <c r="R5619" s="759"/>
      <c r="S5619" s="761"/>
      <c r="T5619" s="764"/>
      <c r="U5619" s="219"/>
      <c r="V5619" s="464"/>
      <c r="Y5619" s="532" t="s">
        <v>342</v>
      </c>
      <c r="AA5619" s="550" t="s">
        <v>344</v>
      </c>
      <c r="AB5619" s="693" t="s">
        <v>345</v>
      </c>
      <c r="AC5619" s="693" t="s">
        <v>346</v>
      </c>
      <c r="AD5619" s="685" t="s">
        <v>347</v>
      </c>
      <c r="AE5619" s="52"/>
      <c r="AF5619" s="52"/>
      <c r="AG5619" s="52"/>
      <c r="AH5619" s="87"/>
      <c r="AI5619" s="87"/>
    </row>
    <row r="5620" spans="1:35" ht="15.75" hidden="1" customHeight="1" thickBot="1">
      <c r="A5620" s="218" t="e">
        <f>"N"&amp;E5599</f>
        <v>#N/A</v>
      </c>
      <c r="B5620" s="702"/>
      <c r="C5620" s="114">
        <v>1</v>
      </c>
      <c r="D5620" s="194" t="e">
        <f>IF(AND(C5620&lt;=F5618,F5618&gt;1,F5618&lt;&gt;""),VLOOKUP(VALUE(E5599&amp;","&amp;C5620),INTEGRANTES!$D$18:$F$235,2,0),"")</f>
        <v>#N/A</v>
      </c>
      <c r="E5620" s="211" t="e">
        <f>IF(D5620&lt;&gt;"",VLOOKUP(VALUE(E5599&amp;","&amp;C5620),INTEGRANTES!$D$18:$F$235,3,0),"")</f>
        <v>#N/A</v>
      </c>
      <c r="F5620" s="547" t="e">
        <f>IF(D5620="","",SUMIF($I5603:$I5612,D5620,$P5603:$P5612))</f>
        <v>#N/A</v>
      </c>
      <c r="G5620" s="333" t="e">
        <f>IF(D5620="","",SUMIF($I5603:$I5612,D5620,$M5603:$M5612))</f>
        <v>#N/A</v>
      </c>
      <c r="H5620" s="535" t="e">
        <f t="shared" ref="H5620:H5625" si="1667">IF(D5620="","",IF(OR(F5620=0,G5620=0),"NO APORTA",ROUND($F5620/$G5620,3)))</f>
        <v>#N/A</v>
      </c>
      <c r="I5620" s="212" t="e">
        <f>IF(D5620="","",IF(H5620="NO APORTA","NO",IF(H5620=MAX($H5620:$H5625),"SI","NO")))</f>
        <v>#N/A</v>
      </c>
      <c r="J5620" s="213" t="e">
        <f t="shared" ref="J5620:J5625" si="1668">IF(D5620="","",IF(E5620&gt;=PORCREQUERIDOINT,"SI","NO"))</f>
        <v>#N/A</v>
      </c>
      <c r="K5620" s="200" t="e">
        <f t="shared" ref="K5620:K5625" si="1669">IF(D5620="","",IF(AND(I5620="SI",J5620="SI"),"CUMPLE",IF(AND(I5620="NO",OR(J5620="SI",J5620="NO")),"","NO CUMPLE")))</f>
        <v>#N/A</v>
      </c>
      <c r="L5620" s="722" t="s">
        <v>108</v>
      </c>
      <c r="M5620" s="726" t="s">
        <v>119</v>
      </c>
      <c r="N5620" s="726"/>
      <c r="O5620" s="726"/>
      <c r="P5620" s="726"/>
      <c r="Q5620" s="727"/>
      <c r="R5620" s="758" t="s">
        <v>80</v>
      </c>
      <c r="S5620" s="747"/>
      <c r="T5620" s="748"/>
      <c r="U5620" s="219"/>
      <c r="V5620" s="464"/>
      <c r="Y5620" s="533" t="e">
        <f>IF(Y5617="","",IF(Y5617="INDIVIDUAL","NO APLICA","VERIFICAR CUADRO"))</f>
        <v>#N/A</v>
      </c>
      <c r="AA5620" s="551"/>
      <c r="AB5620" s="694"/>
      <c r="AC5620" s="694"/>
      <c r="AD5620" s="686"/>
      <c r="AE5620" s="52"/>
      <c r="AF5620" s="52"/>
      <c r="AG5620" s="52"/>
      <c r="AH5620" s="87"/>
      <c r="AI5620" s="87"/>
    </row>
    <row r="5621" spans="1:35" ht="27" hidden="1" customHeight="1" thickBot="1">
      <c r="A5621" s="218" t="e">
        <f>"O"&amp;E5599</f>
        <v>#N/A</v>
      </c>
      <c r="B5621" s="702"/>
      <c r="C5621" s="114">
        <v>2</v>
      </c>
      <c r="D5621" s="194" t="e">
        <f>IF(AND(C5621&lt;=F5618,F5618&lt;&gt;""),VLOOKUP(VALUE(E5599&amp;","&amp;C5621),INTEGRANTES!$D$18:$F$235,2,0),"")</f>
        <v>#N/A</v>
      </c>
      <c r="E5621" s="211" t="e">
        <f>IF(D5621&lt;&gt;"",VLOOKUP(VALUE(E5599&amp;","&amp;C5621),INTEGRANTES!$D$18:$F$235,3,0),"")</f>
        <v>#N/A</v>
      </c>
      <c r="F5621" s="547" t="e">
        <f>IF(D5621="","",SUMIF($I5603:$I5612,D5621,$P5603:$P5612))</f>
        <v>#N/A</v>
      </c>
      <c r="G5621" s="333" t="e">
        <f>IF(D5621="","",SUMIF($I5603:$I5612,D5621,$M5603:$M5612))</f>
        <v>#N/A</v>
      </c>
      <c r="H5621" s="535" t="e">
        <f t="shared" si="1667"/>
        <v>#N/A</v>
      </c>
      <c r="I5621" s="212" t="e">
        <f>IF(D5621="","",IF(H5621="NO APORTA","NO",IF(H5621=MAX($H5620:$H5625),"SI","NO")))</f>
        <v>#N/A</v>
      </c>
      <c r="J5621" s="213" t="e">
        <f t="shared" si="1668"/>
        <v>#N/A</v>
      </c>
      <c r="K5621" s="200" t="e">
        <f t="shared" si="1669"/>
        <v>#N/A</v>
      </c>
      <c r="L5621" s="723"/>
      <c r="M5621" s="715" t="s">
        <v>116</v>
      </c>
      <c r="N5621" s="716"/>
      <c r="O5621" s="556" t="s">
        <v>113</v>
      </c>
      <c r="P5621" s="715" t="s">
        <v>117</v>
      </c>
      <c r="Q5621" s="728"/>
      <c r="R5621" s="759"/>
      <c r="S5621" s="760"/>
      <c r="T5621" s="761"/>
      <c r="U5621" s="219"/>
      <c r="V5621" s="464"/>
      <c r="Y5621" s="414"/>
      <c r="AA5621" s="542" t="e">
        <f>IF(AND(C5620&lt;=F5618,F5618&gt;1,F5618&lt;&gt;""),VLOOKUP(VALUE(E5599&amp;","&amp;C5620),INTEGRANTES!$D$18:$F$235,2,0),"")</f>
        <v>#N/A</v>
      </c>
      <c r="AB5621" s="544" t="e">
        <f t="shared" ref="AB5621:AB5626" si="1670">IF(D5620="","",IF(OR(F5620=0,G5620=0),"NO APORTA",ROUND($F5620/$G5620,3)))</f>
        <v>#N/A</v>
      </c>
      <c r="AC5621" s="529"/>
      <c r="AD5621" s="200" t="e">
        <f t="shared" ref="AD5621:AD5626" si="1671">IF(OR(AA5621="",AB5621=""),"",IF(AND(AC5621="X",AB5621&gt;=EXPREQVTD),"CUMPLE","NO CUMPLE"))</f>
        <v>#N/A</v>
      </c>
      <c r="AE5621" s="52"/>
      <c r="AF5621" s="52"/>
      <c r="AG5621" s="52"/>
      <c r="AH5621" s="87"/>
      <c r="AI5621" s="87"/>
    </row>
    <row r="5622" spans="1:35" ht="16.5" hidden="1" thickBot="1">
      <c r="A5622" s="218" t="e">
        <f>"P"&amp;E5599</f>
        <v>#N/A</v>
      </c>
      <c r="B5622" s="702"/>
      <c r="C5622" s="114">
        <v>3</v>
      </c>
      <c r="D5622" s="194" t="e">
        <f>IF(AND(C5622&lt;=F5618,F5618&lt;&gt;""),VLOOKUP(VALUE(E5599&amp;","&amp;C5622),INTEGRANTES!$D$18:$F$235,2,0),"")</f>
        <v>#N/A</v>
      </c>
      <c r="E5622" s="211" t="e">
        <f>IF(D5622&lt;&gt;"",VLOOKUP(VALUE(E5599&amp;","&amp;C5622),INTEGRANTES!$D$18:$F$235,3,0),"")</f>
        <v>#N/A</v>
      </c>
      <c r="F5622" s="547" t="e">
        <f>IF(D5622="","",SUMIF($I5603:$I5612,D5622,$P5603:$P5612))</f>
        <v>#N/A</v>
      </c>
      <c r="G5622" s="333" t="e">
        <f>IF(D5622="","",SUMIF($I5603:$I5612,D5622,$M5603:$M5612))</f>
        <v>#N/A</v>
      </c>
      <c r="H5622" s="535" t="e">
        <f t="shared" si="1667"/>
        <v>#N/A</v>
      </c>
      <c r="I5622" s="212" t="e">
        <f>IF(D5622="","",IF(H5622="NO APORTA","NO",IF(H5622=MAX($H5620:$H5625),"SI","NO")))</f>
        <v>#N/A</v>
      </c>
      <c r="J5622" s="213" t="e">
        <f t="shared" si="1668"/>
        <v>#N/A</v>
      </c>
      <c r="K5622" s="200" t="e">
        <f t="shared" si="1669"/>
        <v>#N/A</v>
      </c>
      <c r="L5622" s="724"/>
      <c r="M5622" s="729">
        <f>NUMMOD</f>
        <v>1</v>
      </c>
      <c r="N5622" s="730"/>
      <c r="O5622" s="443">
        <f>IF(M5622="","",VLOOKUP(M5622,PRESUPUESTOS!$B$16:$H$16,5,FALSE))</f>
        <v>2</v>
      </c>
      <c r="P5622" s="713">
        <f>IF(OR(COUNTIF(M5603:M5612,"")&gt;=10,Q5619&lt;NUMMINCONT,OR(T5617="NO CUMPLE",T5617="VERIFICAR")),0,ROUND(AVERAGE(M5603:M5612),3))</f>
        <v>0</v>
      </c>
      <c r="Q5622" s="714"/>
      <c r="R5622" s="458"/>
      <c r="S5622" s="459"/>
      <c r="T5622" s="460"/>
      <c r="U5622" s="219"/>
      <c r="V5622" s="464"/>
      <c r="Y5622" s="532" t="str">
        <f>"40% * ("&amp;PRESUPUESTOS!$H$13&amp;")"</f>
        <v>40% * (50% PFMO)</v>
      </c>
      <c r="AA5622" s="540" t="e">
        <f>IF(AND(C5621&lt;=F5618,F5618&lt;&gt;""),VLOOKUP(VALUE(E5599&amp;","&amp;C5621),INTEGRANTES!$D$18:$F$235,2,0),"")</f>
        <v>#N/A</v>
      </c>
      <c r="AB5622" s="545" t="e">
        <f t="shared" si="1670"/>
        <v>#N/A</v>
      </c>
      <c r="AC5622" s="529"/>
      <c r="AD5622" s="200" t="e">
        <f t="shared" si="1671"/>
        <v>#N/A</v>
      </c>
      <c r="AE5622" s="52"/>
      <c r="AF5622" s="52"/>
      <c r="AG5622" s="52"/>
      <c r="AH5622" s="87"/>
      <c r="AI5622" s="87"/>
    </row>
    <row r="5623" spans="1:35" ht="15.75" hidden="1" customHeight="1" thickBot="1">
      <c r="A5623" s="218" t="e">
        <f>"Q"&amp;E5599</f>
        <v>#N/A</v>
      </c>
      <c r="B5623" s="702"/>
      <c r="C5623" s="114">
        <v>4</v>
      </c>
      <c r="D5623" s="194" t="e">
        <f>IF(AND(C5623&lt;=F5618,F5618&lt;&gt;""),VLOOKUP(VALUE(E5599&amp;","&amp;C5623),INTEGRANTES!$D$18:$F$235,2,0),"")</f>
        <v>#N/A</v>
      </c>
      <c r="E5623" s="211" t="e">
        <f>IF(D5623&lt;&gt;"",VLOOKUP(VALUE(E5599&amp;","&amp;C5623),INTEGRANTES!$D$18:$F$235,3,0),"")</f>
        <v>#N/A</v>
      </c>
      <c r="F5623" s="547" t="e">
        <f>IF(D5623="","",SUMIF($I5603:$I5612,D5623,$P5603:$P5612))</f>
        <v>#N/A</v>
      </c>
      <c r="G5623" s="333" t="e">
        <f>IF(D5623="","",SUMIF($I5603:$I5612,D5623,$M5603:$M5612))</f>
        <v>#N/A</v>
      </c>
      <c r="H5623" s="535" t="e">
        <f t="shared" si="1667"/>
        <v>#N/A</v>
      </c>
      <c r="I5623" s="212" t="e">
        <f>IF(D5623="","",IF(H5623="NO APORTA","NO",IF(H5623=MAX($H5620:$H5625),"SI","NO")))</f>
        <v>#N/A</v>
      </c>
      <c r="J5623" s="213" t="e">
        <f t="shared" si="1668"/>
        <v>#N/A</v>
      </c>
      <c r="K5623" s="200" t="e">
        <f t="shared" si="1669"/>
        <v>#N/A</v>
      </c>
      <c r="L5623" s="720" t="s">
        <v>109</v>
      </c>
      <c r="M5623" s="757" t="s">
        <v>120</v>
      </c>
      <c r="N5623" s="726"/>
      <c r="O5623" s="726"/>
      <c r="P5623" s="726"/>
      <c r="Q5623" s="727"/>
      <c r="R5623" s="458"/>
      <c r="S5623" s="459"/>
      <c r="T5623" s="460"/>
      <c r="U5623" s="219"/>
      <c r="V5623" s="464"/>
      <c r="Y5623" s="537">
        <f>0.4*PRESUPUESTOS!$H$16</f>
        <v>10.3124</v>
      </c>
      <c r="AA5623" s="540" t="e">
        <f>IF(AND(C5622&lt;=F5618,F5618&lt;&gt;""),VLOOKUP(VALUE(E5599&amp;","&amp;C5622),INTEGRANTES!$D$18:$F$235,2,0),"")</f>
        <v>#N/A</v>
      </c>
      <c r="AB5623" s="545" t="e">
        <f t="shared" si="1670"/>
        <v>#N/A</v>
      </c>
      <c r="AC5623" s="529"/>
      <c r="AD5623" s="200" t="e">
        <f t="shared" si="1671"/>
        <v>#N/A</v>
      </c>
      <c r="AE5623" s="52"/>
      <c r="AF5623" s="52"/>
      <c r="AG5623" s="52"/>
      <c r="AH5623" s="87"/>
      <c r="AI5623" s="87"/>
    </row>
    <row r="5624" spans="1:35" ht="27" hidden="1" customHeight="1" thickBot="1">
      <c r="A5624" s="218" t="e">
        <f>"R"&amp;E5599</f>
        <v>#N/A</v>
      </c>
      <c r="B5624" s="702"/>
      <c r="C5624" s="114">
        <v>5</v>
      </c>
      <c r="D5624" s="194" t="e">
        <f>IF(AND(C5624&lt;=F5618,F5618&lt;&gt;""),VLOOKUP(VALUE(E5599&amp;","&amp;C5624),INTEGRANTES!$D$18:$F$235,2,0),"")</f>
        <v>#N/A</v>
      </c>
      <c r="E5624" s="211" t="e">
        <f>IF(D5624&lt;&gt;"",VLOOKUP(VALUE(E5599&amp;","&amp;C5624),INTEGRANTES!$D$18:$F$235,3,0),"")</f>
        <v>#N/A</v>
      </c>
      <c r="F5624" s="547" t="e">
        <f>IF(D5624="","",SUMIF($I5603:$I5612,D5624,$P5603:$P5612))</f>
        <v>#N/A</v>
      </c>
      <c r="G5624" s="333" t="e">
        <f>IF(D5624="","",SUMIF($I5603:$I5612,D5624,$M5603:$M5612))</f>
        <v>#N/A</v>
      </c>
      <c r="H5624" s="535" t="e">
        <f t="shared" si="1667"/>
        <v>#N/A</v>
      </c>
      <c r="I5624" s="212" t="e">
        <f>IF(D5624="","",IF(H5624="NO APORTA","NO",IF(H5624=MAX($H5620:$H5625),"SI","NO")))</f>
        <v>#N/A</v>
      </c>
      <c r="J5624" s="213" t="e">
        <f t="shared" si="1668"/>
        <v>#N/A</v>
      </c>
      <c r="K5624" s="200" t="e">
        <f t="shared" si="1669"/>
        <v>#N/A</v>
      </c>
      <c r="L5624" s="721"/>
      <c r="M5624" s="715" t="s">
        <v>116</v>
      </c>
      <c r="N5624" s="716"/>
      <c r="O5624" s="556" t="str">
        <f>PORCREQUERIDO*100&amp;"% PMFO DEL MÓDULO"</f>
        <v>50% PMFO DEL MÓDULO</v>
      </c>
      <c r="P5624" s="715" t="s">
        <v>118</v>
      </c>
      <c r="Q5624" s="728"/>
      <c r="R5624" s="458"/>
      <c r="S5624" s="459"/>
      <c r="T5624" s="460"/>
      <c r="U5624" s="219"/>
      <c r="V5624" s="464"/>
      <c r="Y5624" s="414"/>
      <c r="AA5624" s="540" t="e">
        <f>IF(AND(C5623&lt;=F5618,F5618&lt;&gt;""),VLOOKUP(VALUE(E5599&amp;","&amp;C5623),INTEGRANTES!$D$18:$F$235,2,0),"")</f>
        <v>#N/A</v>
      </c>
      <c r="AB5624" s="545" t="e">
        <f t="shared" si="1670"/>
        <v>#N/A</v>
      </c>
      <c r="AC5624" s="529"/>
      <c r="AD5624" s="200" t="e">
        <f t="shared" si="1671"/>
        <v>#N/A</v>
      </c>
      <c r="AE5624" s="52"/>
      <c r="AF5624" s="52"/>
      <c r="AG5624" s="52"/>
      <c r="AH5624" s="87"/>
      <c r="AI5624" s="87"/>
    </row>
    <row r="5625" spans="1:35" ht="16.5" hidden="1" thickBot="1">
      <c r="A5625" s="218" t="e">
        <f>"S"&amp;E5599</f>
        <v>#N/A</v>
      </c>
      <c r="B5625" s="702"/>
      <c r="C5625" s="215">
        <v>6</v>
      </c>
      <c r="D5625" s="216" t="e">
        <f>IF(AND(C5625&lt;=F5618,F5618&lt;&gt;""),VLOOKUP(VALUE(E5599&amp;","&amp;C5625),INTEGRANTES!$D$18:$F$235,2,0),"")</f>
        <v>#N/A</v>
      </c>
      <c r="E5625" s="217" t="e">
        <f>IF(D5625&lt;&gt;"",VLOOKUP(VALUE(E5599&amp;","&amp;C5625),INTEGRANTES!$D$18:$F$235,3,0),"")</f>
        <v>#N/A</v>
      </c>
      <c r="F5625" s="548" t="e">
        <f>IF(D5625="","",SUMIF($I5603:$I5612,D5625,$P5603:$P5612))</f>
        <v>#N/A</v>
      </c>
      <c r="G5625" s="334" t="e">
        <f>IF(D5625="","",SUMIF($I5603:$I5612,D5625,$M5603:$M5612))</f>
        <v>#N/A</v>
      </c>
      <c r="H5625" s="536" t="e">
        <f t="shared" si="1667"/>
        <v>#N/A</v>
      </c>
      <c r="I5625" s="214" t="e">
        <f>IF(D5625="","",IF(H5625="NO APORTA","NO",IF(H5625=MAX($H5620:$H5625),"SI","NO")))</f>
        <v>#N/A</v>
      </c>
      <c r="J5625" s="213" t="e">
        <f t="shared" si="1668"/>
        <v>#N/A</v>
      </c>
      <c r="K5625" s="200" t="e">
        <f t="shared" si="1669"/>
        <v>#N/A</v>
      </c>
      <c r="L5625" s="721"/>
      <c r="M5625" s="729">
        <f>NUMMOD</f>
        <v>1</v>
      </c>
      <c r="N5625" s="730"/>
      <c r="O5625" s="443">
        <f>IF(M5625="","",ROUND(VLOOKUP(M5625,PRESUPUESTOS!$B$16:$H$16,7,FALSE),3))</f>
        <v>25.780999999999999</v>
      </c>
      <c r="P5625" s="713">
        <f>IF(OR(COUNTIF(P5603:P5612,"")&gt;=10,Q5619&lt;NUMMINCONT,OR(T5617="NO CUMPLE",T5617="VERIFICAR")),0,ROUND((SUM(P5603:P5612)/SUM(M5603:M5612)),3))</f>
        <v>0</v>
      </c>
      <c r="Q5625" s="714"/>
      <c r="R5625" s="458"/>
      <c r="S5625" s="459"/>
      <c r="T5625" s="460"/>
      <c r="U5625" s="219"/>
      <c r="V5625" s="464"/>
      <c r="Y5625" s="532" t="s">
        <v>343</v>
      </c>
      <c r="AA5625" s="540" t="e">
        <f>IF(AND(C5624&lt;=F5618,F5618&lt;&gt;""),VLOOKUP(VALUE(E5599&amp;","&amp;C5624),INTEGRANTES!$D$18:$F$235,2,0),"")</f>
        <v>#N/A</v>
      </c>
      <c r="AB5625" s="545" t="e">
        <f t="shared" si="1670"/>
        <v>#N/A</v>
      </c>
      <c r="AC5625" s="529"/>
      <c r="AD5625" s="200" t="e">
        <f t="shared" si="1671"/>
        <v>#N/A</v>
      </c>
      <c r="AE5625" s="52"/>
      <c r="AF5625" s="52"/>
      <c r="AG5625" s="52"/>
      <c r="AH5625" s="87"/>
      <c r="AI5625" s="87"/>
    </row>
    <row r="5626" spans="1:35" ht="16.5" hidden="1" customHeight="1" thickBot="1">
      <c r="A5626" s="218" t="e">
        <f>"T"&amp;E5599</f>
        <v>#N/A</v>
      </c>
      <c r="B5626" s="703"/>
      <c r="C5626" s="719"/>
      <c r="D5626" s="719"/>
      <c r="E5626" s="719"/>
      <c r="F5626" s="719"/>
      <c r="G5626" s="719"/>
      <c r="H5626" s="719" t="s">
        <v>110</v>
      </c>
      <c r="I5626" s="719"/>
      <c r="J5626" s="719"/>
      <c r="K5626" s="201" t="str">
        <f>IF(COUNTIF(K5620:K5625,"")=6,"",IF(COUNTIF(K5620:K5625,"CUMPLE")&gt;0,"CUMPLE","NO CUMPLE"))</f>
        <v>NO CUMPLE</v>
      </c>
      <c r="L5626" s="754"/>
      <c r="M5626" s="755"/>
      <c r="N5626" s="755"/>
      <c r="O5626" s="755"/>
      <c r="P5626" s="755"/>
      <c r="Q5626" s="756"/>
      <c r="R5626" s="461"/>
      <c r="S5626" s="462"/>
      <c r="T5626" s="463"/>
      <c r="U5626" s="219"/>
      <c r="V5626" s="464"/>
      <c r="Y5626" s="549" t="e">
        <f>IF(Y5620="NO APLICA","NO APLICA",IF(COUNTIF(AD5621:AD5626,"CUMPLE")&gt;0,"CUMPLE","NO CUMPLE"))</f>
        <v>#N/A</v>
      </c>
      <c r="AA5626" s="541" t="e">
        <f>IF(AND(C5625&lt;=F5618,F5618&lt;&gt;""),VLOOKUP(VALUE(E5599&amp;","&amp;C5625),INTEGRANTES!$D$18:$F$235,2,0),"")</f>
        <v>#N/A</v>
      </c>
      <c r="AB5626" s="546" t="e">
        <f t="shared" si="1670"/>
        <v>#N/A</v>
      </c>
      <c r="AC5626" s="543"/>
      <c r="AD5626" s="201" t="e">
        <f t="shared" si="1671"/>
        <v>#N/A</v>
      </c>
      <c r="AE5626" s="52"/>
      <c r="AF5626" s="52"/>
      <c r="AG5626" s="52"/>
      <c r="AH5626" s="87"/>
      <c r="AI5626" s="87"/>
    </row>
    <row r="5627" spans="1:35" hidden="1">
      <c r="AH5627" s="87"/>
      <c r="AI5627" s="87"/>
    </row>
    <row r="5628" spans="1:35" hidden="1">
      <c r="AH5628" s="87"/>
      <c r="AI5628" s="87"/>
    </row>
    <row r="5629" spans="1:35" ht="24" hidden="1" thickBot="1">
      <c r="A5629" s="61">
        <v>188</v>
      </c>
      <c r="B5629" s="704" t="s">
        <v>51</v>
      </c>
      <c r="C5629" s="704"/>
      <c r="D5629" s="704"/>
      <c r="E5629" s="62" t="e">
        <f>VLOOKUP(A5629,PROPONENTES!$B$19:$E$218,2,FALSE)</f>
        <v>#N/A</v>
      </c>
      <c r="F5629" s="63" t="e">
        <f>VLOOKUP(A5629,PROPONENTES!$B$19:$E$218,3,FALSE)</f>
        <v>#N/A</v>
      </c>
      <c r="G5629" s="64"/>
      <c r="H5629" s="64"/>
      <c r="I5629" s="63"/>
      <c r="J5629" s="63"/>
      <c r="K5629" s="65"/>
      <c r="L5629" s="65"/>
      <c r="M5629" s="64"/>
      <c r="N5629" s="64"/>
      <c r="O5629" s="66"/>
      <c r="P5629" s="66"/>
      <c r="Q5629" s="66"/>
      <c r="R5629" s="66"/>
      <c r="S5629" s="67"/>
      <c r="T5629" s="68"/>
      <c r="U5629" s="68"/>
      <c r="AC5629" s="68"/>
      <c r="AD5629" s="68"/>
      <c r="AE5629" s="68"/>
      <c r="AF5629" s="68"/>
      <c r="AG5629" s="68"/>
      <c r="AH5629" s="87"/>
      <c r="AI5629" s="87"/>
    </row>
    <row r="5630" spans="1:35" ht="15.75" hidden="1" customHeight="1">
      <c r="A5630" s="44"/>
      <c r="B5630" s="709" t="s">
        <v>59</v>
      </c>
      <c r="C5630" s="552" t="s">
        <v>60</v>
      </c>
      <c r="D5630" s="70" t="s">
        <v>17</v>
      </c>
      <c r="E5630" s="70"/>
      <c r="F5630" s="70" t="s">
        <v>61</v>
      </c>
      <c r="G5630" s="71"/>
      <c r="H5630" s="699" t="s">
        <v>62</v>
      </c>
      <c r="I5630" s="699" t="s">
        <v>18</v>
      </c>
      <c r="J5630" s="699" t="s">
        <v>63</v>
      </c>
      <c r="K5630" s="699" t="s">
        <v>64</v>
      </c>
      <c r="L5630" s="699" t="s">
        <v>65</v>
      </c>
      <c r="M5630" s="743" t="s">
        <v>66</v>
      </c>
      <c r="N5630" s="699" t="s">
        <v>282</v>
      </c>
      <c r="O5630" s="745" t="s">
        <v>67</v>
      </c>
      <c r="P5630" s="746"/>
      <c r="Q5630" s="102" t="s">
        <v>75</v>
      </c>
      <c r="R5630" s="731" t="s">
        <v>22</v>
      </c>
      <c r="S5630" s="732"/>
      <c r="T5630" s="733"/>
      <c r="U5630" s="712" t="s">
        <v>298</v>
      </c>
      <c r="W5630" s="690" t="s">
        <v>268</v>
      </c>
      <c r="X5630" s="691"/>
      <c r="Y5630" s="692"/>
      <c r="Z5630" s="428"/>
      <c r="AA5630" s="697" t="s">
        <v>315</v>
      </c>
      <c r="AB5630" s="695" t="s">
        <v>322</v>
      </c>
      <c r="AC5630" s="49"/>
      <c r="AD5630" s="690" t="s">
        <v>297</v>
      </c>
      <c r="AE5630" s="691"/>
      <c r="AF5630" s="692"/>
      <c r="AG5630" s="49"/>
      <c r="AH5630" s="87"/>
      <c r="AI5630" s="87"/>
    </row>
    <row r="5631" spans="1:35" ht="72" hidden="1">
      <c r="A5631" s="44"/>
      <c r="B5631" s="710"/>
      <c r="C5631" s="553" t="s">
        <v>68</v>
      </c>
      <c r="D5631" s="73" t="s">
        <v>3</v>
      </c>
      <c r="E5631" s="73" t="s">
        <v>19</v>
      </c>
      <c r="F5631" s="73" t="s">
        <v>69</v>
      </c>
      <c r="G5631" s="74" t="s">
        <v>70</v>
      </c>
      <c r="H5631" s="700"/>
      <c r="I5631" s="700"/>
      <c r="J5631" s="700"/>
      <c r="K5631" s="700"/>
      <c r="L5631" s="700"/>
      <c r="M5631" s="744"/>
      <c r="N5631" s="700"/>
      <c r="O5631" s="553" t="s">
        <v>279</v>
      </c>
      <c r="P5631" s="73" t="s">
        <v>88</v>
      </c>
      <c r="Q5631" s="555" t="s">
        <v>76</v>
      </c>
      <c r="R5631" s="734"/>
      <c r="S5631" s="735"/>
      <c r="T5631" s="736"/>
      <c r="U5631" s="712"/>
      <c r="W5631" s="429" t="s">
        <v>269</v>
      </c>
      <c r="X5631" s="457" t="s">
        <v>278</v>
      </c>
      <c r="Y5631" s="430" t="s">
        <v>324</v>
      </c>
      <c r="Z5631" s="428"/>
      <c r="AA5631" s="698"/>
      <c r="AB5631" s="696"/>
      <c r="AC5631" s="49"/>
      <c r="AD5631" s="429" t="s">
        <v>292</v>
      </c>
      <c r="AE5631" s="431" t="s">
        <v>300</v>
      </c>
      <c r="AF5631" s="468" t="s">
        <v>301</v>
      </c>
      <c r="AG5631" s="49"/>
      <c r="AH5631" s="87"/>
      <c r="AI5631" s="87"/>
    </row>
    <row r="5632" spans="1:35" hidden="1">
      <c r="A5632" s="44"/>
      <c r="B5632" s="76"/>
      <c r="C5632" s="77"/>
      <c r="D5632" s="77"/>
      <c r="E5632" s="77"/>
      <c r="F5632" s="77"/>
      <c r="G5632" s="77"/>
      <c r="H5632" s="77"/>
      <c r="I5632" s="77"/>
      <c r="J5632" s="77"/>
      <c r="K5632" s="77"/>
      <c r="L5632" s="77"/>
      <c r="M5632" s="77"/>
      <c r="N5632" s="77"/>
      <c r="O5632" s="77"/>
      <c r="P5632" s="77"/>
      <c r="Q5632" s="77"/>
      <c r="R5632" s="77"/>
      <c r="S5632" s="78"/>
      <c r="T5632" s="79"/>
      <c r="U5632" s="109"/>
      <c r="V5632" s="49"/>
      <c r="W5632" s="432"/>
      <c r="X5632" s="454"/>
      <c r="Y5632" s="433"/>
      <c r="Z5632" s="6"/>
      <c r="AA5632" s="500"/>
      <c r="AB5632" s="562"/>
      <c r="AC5632" s="49"/>
      <c r="AD5632" s="210"/>
      <c r="AE5632" s="434"/>
      <c r="AF5632" s="435"/>
      <c r="AG5632" s="49"/>
      <c r="AH5632" s="87"/>
      <c r="AI5632" s="87"/>
    </row>
    <row r="5633" spans="1:35" hidden="1">
      <c r="A5633" s="80" t="e">
        <f>"A"&amp;E5629</f>
        <v>#N/A</v>
      </c>
      <c r="B5633" s="81">
        <v>1</v>
      </c>
      <c r="C5633" s="82"/>
      <c r="D5633" s="82"/>
      <c r="E5633" s="82"/>
      <c r="F5633" s="82"/>
      <c r="G5633" s="83"/>
      <c r="H5633" s="83"/>
      <c r="I5633" s="84"/>
      <c r="J5633" s="85"/>
      <c r="K5633" s="382"/>
      <c r="L5633" s="85"/>
      <c r="M5633" s="332" t="str">
        <f t="shared" ref="M5633:M5642" si="1672">IF(OR(J5633="",L5633="",H5633="NO"),"",IF(OR(J5633&gt;$P$17,J5633&lt;$O$17,L5633&gt;$P$17,AND(J5633&lt;$O$17,L5633&lt;$O$17)),"FUERA DE RANGO",IF(OR(K5633="---",K5633=""),IF(J5633&gt;=$O$17,ROUND((L5633-J5633+1)/360*12,3),ROUND((L5633-$O$17+1)/360*12,3)),IF(J5633&gt;=$O$17,ROUND((L5633-J5633+1)/360*12-ROUND(K5633,3),3),ROUND((L5633-$O$17+1)/360*12-ROUND(K5633,3),3)))))</f>
        <v/>
      </c>
      <c r="N5633" s="86"/>
      <c r="O5633" s="453" t="str">
        <f>IF(OR(G5633="",N5633=""),"",N5633*G5633)</f>
        <v/>
      </c>
      <c r="P5633" s="538" t="str">
        <f>IF(OR(H5633="",M5633="FUERA DE RANGO"),"",IF(OR(L5633&lt;$O$17,L5633&gt;$P$17,L5633="",H5633="NO"),"",IF(OR(N5633="",O5633=""),"",ROUND(O5633,3))))</f>
        <v/>
      </c>
      <c r="Q5633" s="539" t="str">
        <f t="shared" ref="Q5633:Q5642" si="1673">IF(AND(H5633="SI",P5633&lt;&gt;""),ROUND(P5633/M5633,3),"")</f>
        <v/>
      </c>
      <c r="R5633" s="737"/>
      <c r="S5633" s="738"/>
      <c r="T5633" s="739"/>
      <c r="U5633" s="470"/>
      <c r="V5633" s="165"/>
      <c r="W5633" s="446"/>
      <c r="X5633" s="456"/>
      <c r="Y5633" s="436"/>
      <c r="Z5633" s="437"/>
      <c r="AA5633" s="560"/>
      <c r="AB5633" s="561"/>
      <c r="AC5633" s="87"/>
      <c r="AD5633" s="466"/>
      <c r="AE5633" s="456"/>
      <c r="AF5633" s="467"/>
      <c r="AG5633" s="87"/>
      <c r="AH5633" s="87"/>
      <c r="AI5633" s="87"/>
    </row>
    <row r="5634" spans="1:35" hidden="1">
      <c r="A5634" s="80" t="e">
        <f>"B"&amp;E5629</f>
        <v>#N/A</v>
      </c>
      <c r="B5634" s="81">
        <v>2</v>
      </c>
      <c r="C5634" s="106"/>
      <c r="D5634" s="106"/>
      <c r="E5634" s="106"/>
      <c r="F5634" s="106"/>
      <c r="G5634" s="83"/>
      <c r="H5634" s="83"/>
      <c r="I5634" s="84"/>
      <c r="J5634" s="85"/>
      <c r="K5634" s="382"/>
      <c r="L5634" s="85"/>
      <c r="M5634" s="332" t="str">
        <f t="shared" si="1672"/>
        <v/>
      </c>
      <c r="N5634" s="86"/>
      <c r="O5634" s="453" t="str">
        <f t="shared" ref="O5634:O5642" si="1674">IF(OR(G5634="",N5634=""),"",N5634*G5634)</f>
        <v/>
      </c>
      <c r="P5634" s="538" t="str">
        <f t="shared" ref="P5634:P5642" si="1675">IF(OR(H5634="",M5634="FUERA DE RANGO"),"",IF(OR(L5634&lt;$O$17,L5634&gt;$P$17,L5634="",H5634="NO"),"",IF(OR(N5634="",O5634=""),"",ROUND(O5634,3))))</f>
        <v/>
      </c>
      <c r="Q5634" s="539" t="str">
        <f t="shared" si="1673"/>
        <v/>
      </c>
      <c r="R5634" s="740"/>
      <c r="S5634" s="741"/>
      <c r="T5634" s="742"/>
      <c r="U5634" s="471"/>
      <c r="V5634" s="165"/>
      <c r="W5634" s="446"/>
      <c r="X5634" s="456"/>
      <c r="Y5634" s="436"/>
      <c r="Z5634" s="437"/>
      <c r="AA5634" s="560"/>
      <c r="AB5634" s="561"/>
      <c r="AC5634" s="87"/>
      <c r="AD5634" s="466"/>
      <c r="AE5634" s="456"/>
      <c r="AF5634" s="467"/>
      <c r="AG5634" s="87"/>
      <c r="AH5634" s="87"/>
      <c r="AI5634" s="87"/>
    </row>
    <row r="5635" spans="1:35" hidden="1">
      <c r="A5635" s="80" t="e">
        <f>"C"&amp;E5629</f>
        <v>#N/A</v>
      </c>
      <c r="B5635" s="88">
        <v>3</v>
      </c>
      <c r="C5635" s="82"/>
      <c r="D5635" s="82"/>
      <c r="E5635" s="82"/>
      <c r="F5635" s="82"/>
      <c r="G5635" s="83"/>
      <c r="H5635" s="83"/>
      <c r="I5635" s="84"/>
      <c r="J5635" s="85"/>
      <c r="K5635" s="382"/>
      <c r="L5635" s="85"/>
      <c r="M5635" s="332" t="str">
        <f t="shared" si="1672"/>
        <v/>
      </c>
      <c r="N5635" s="86"/>
      <c r="O5635" s="453" t="str">
        <f t="shared" si="1674"/>
        <v/>
      </c>
      <c r="P5635" s="538" t="str">
        <f t="shared" si="1675"/>
        <v/>
      </c>
      <c r="Q5635" s="539" t="str">
        <f t="shared" si="1673"/>
        <v/>
      </c>
      <c r="R5635" s="706"/>
      <c r="S5635" s="707"/>
      <c r="T5635" s="708"/>
      <c r="U5635" s="472"/>
      <c r="V5635" s="166"/>
      <c r="W5635" s="446"/>
      <c r="X5635" s="456"/>
      <c r="Y5635" s="436"/>
      <c r="Z5635" s="437"/>
      <c r="AA5635" s="560"/>
      <c r="AB5635" s="561"/>
      <c r="AC5635" s="87"/>
      <c r="AD5635" s="466"/>
      <c r="AE5635" s="456"/>
      <c r="AF5635" s="467"/>
      <c r="AG5635" s="87"/>
      <c r="AH5635" s="87"/>
      <c r="AI5635" s="87"/>
    </row>
    <row r="5636" spans="1:35" hidden="1">
      <c r="A5636" s="80" t="e">
        <f>"D"&amp;E5629</f>
        <v>#N/A</v>
      </c>
      <c r="B5636" s="105">
        <v>4</v>
      </c>
      <c r="C5636" s="107"/>
      <c r="D5636" s="107"/>
      <c r="E5636" s="107"/>
      <c r="F5636" s="107"/>
      <c r="G5636" s="83"/>
      <c r="H5636" s="83"/>
      <c r="I5636" s="84"/>
      <c r="J5636" s="85"/>
      <c r="K5636" s="382"/>
      <c r="L5636" s="85"/>
      <c r="M5636" s="332" t="str">
        <f t="shared" si="1672"/>
        <v/>
      </c>
      <c r="N5636" s="86"/>
      <c r="O5636" s="453" t="str">
        <f t="shared" si="1674"/>
        <v/>
      </c>
      <c r="P5636" s="538" t="str">
        <f t="shared" si="1675"/>
        <v/>
      </c>
      <c r="Q5636" s="539" t="str">
        <f t="shared" si="1673"/>
        <v/>
      </c>
      <c r="R5636" s="706"/>
      <c r="S5636" s="707"/>
      <c r="T5636" s="708"/>
      <c r="U5636" s="472"/>
      <c r="V5636" s="166"/>
      <c r="W5636" s="446"/>
      <c r="X5636" s="456"/>
      <c r="Y5636" s="436"/>
      <c r="Z5636" s="437"/>
      <c r="AA5636" s="560"/>
      <c r="AB5636" s="561"/>
      <c r="AC5636" s="87"/>
      <c r="AD5636" s="466"/>
      <c r="AE5636" s="456"/>
      <c r="AF5636" s="467"/>
      <c r="AG5636" s="87"/>
      <c r="AH5636" s="87"/>
      <c r="AI5636" s="87"/>
    </row>
    <row r="5637" spans="1:35" hidden="1">
      <c r="A5637" s="80" t="e">
        <f>"E"&amp;E5629</f>
        <v>#N/A</v>
      </c>
      <c r="B5637" s="105">
        <v>5</v>
      </c>
      <c r="C5637" s="107"/>
      <c r="D5637" s="107"/>
      <c r="E5637" s="107"/>
      <c r="F5637" s="107"/>
      <c r="G5637" s="83"/>
      <c r="H5637" s="83"/>
      <c r="I5637" s="84"/>
      <c r="J5637" s="85"/>
      <c r="K5637" s="382"/>
      <c r="L5637" s="85"/>
      <c r="M5637" s="332" t="str">
        <f t="shared" si="1672"/>
        <v/>
      </c>
      <c r="N5637" s="86"/>
      <c r="O5637" s="453" t="str">
        <f t="shared" si="1674"/>
        <v/>
      </c>
      <c r="P5637" s="538" t="str">
        <f t="shared" si="1675"/>
        <v/>
      </c>
      <c r="Q5637" s="539" t="str">
        <f t="shared" si="1673"/>
        <v/>
      </c>
      <c r="R5637" s="706"/>
      <c r="S5637" s="707"/>
      <c r="T5637" s="708"/>
      <c r="U5637" s="472"/>
      <c r="V5637" s="167"/>
      <c r="W5637" s="446"/>
      <c r="X5637" s="456"/>
      <c r="Y5637" s="436"/>
      <c r="Z5637" s="437"/>
      <c r="AA5637" s="560"/>
      <c r="AB5637" s="561"/>
      <c r="AC5637" s="87"/>
      <c r="AD5637" s="466"/>
      <c r="AE5637" s="456"/>
      <c r="AF5637" s="467"/>
      <c r="AG5637" s="87"/>
      <c r="AH5637" s="87"/>
      <c r="AI5637" s="87"/>
    </row>
    <row r="5638" spans="1:35" hidden="1">
      <c r="A5638" s="80" t="e">
        <f>"F"&amp;E5629</f>
        <v>#N/A</v>
      </c>
      <c r="B5638" s="105">
        <v>6</v>
      </c>
      <c r="C5638" s="107"/>
      <c r="D5638" s="107"/>
      <c r="E5638" s="107"/>
      <c r="F5638" s="107"/>
      <c r="G5638" s="83"/>
      <c r="H5638" s="83"/>
      <c r="I5638" s="84"/>
      <c r="J5638" s="85"/>
      <c r="K5638" s="382"/>
      <c r="L5638" s="85"/>
      <c r="M5638" s="332" t="str">
        <f t="shared" si="1672"/>
        <v/>
      </c>
      <c r="N5638" s="86"/>
      <c r="O5638" s="453" t="str">
        <f t="shared" si="1674"/>
        <v/>
      </c>
      <c r="P5638" s="538" t="str">
        <f t="shared" si="1675"/>
        <v/>
      </c>
      <c r="Q5638" s="539" t="str">
        <f t="shared" si="1673"/>
        <v/>
      </c>
      <c r="R5638" s="706"/>
      <c r="S5638" s="707"/>
      <c r="T5638" s="708"/>
      <c r="U5638" s="472"/>
      <c r="V5638" s="167"/>
      <c r="W5638" s="446"/>
      <c r="X5638" s="456"/>
      <c r="Y5638" s="436"/>
      <c r="Z5638" s="437"/>
      <c r="AA5638" s="560"/>
      <c r="AB5638" s="561"/>
      <c r="AC5638" s="87"/>
      <c r="AD5638" s="466"/>
      <c r="AE5638" s="456"/>
      <c r="AF5638" s="467"/>
      <c r="AG5638" s="87"/>
      <c r="AH5638" s="87"/>
      <c r="AI5638" s="87"/>
    </row>
    <row r="5639" spans="1:35" hidden="1">
      <c r="A5639" s="80" t="e">
        <f>"G"&amp;E5629</f>
        <v>#N/A</v>
      </c>
      <c r="B5639" s="105">
        <v>7</v>
      </c>
      <c r="C5639" s="107"/>
      <c r="D5639" s="107"/>
      <c r="E5639" s="107"/>
      <c r="F5639" s="107"/>
      <c r="G5639" s="83"/>
      <c r="H5639" s="83"/>
      <c r="I5639" s="84"/>
      <c r="J5639" s="85"/>
      <c r="K5639" s="382"/>
      <c r="L5639" s="85"/>
      <c r="M5639" s="332" t="str">
        <f t="shared" si="1672"/>
        <v/>
      </c>
      <c r="N5639" s="86"/>
      <c r="O5639" s="86" t="str">
        <f t="shared" si="1674"/>
        <v/>
      </c>
      <c r="P5639" s="538" t="str">
        <f t="shared" si="1675"/>
        <v/>
      </c>
      <c r="Q5639" s="539" t="str">
        <f t="shared" si="1673"/>
        <v/>
      </c>
      <c r="R5639" s="706"/>
      <c r="S5639" s="707"/>
      <c r="T5639" s="708"/>
      <c r="U5639" s="472"/>
      <c r="V5639" s="167"/>
      <c r="W5639" s="446"/>
      <c r="X5639" s="456"/>
      <c r="Y5639" s="436"/>
      <c r="Z5639" s="437"/>
      <c r="AA5639" s="560"/>
      <c r="AB5639" s="561"/>
      <c r="AC5639" s="87"/>
      <c r="AD5639" s="466"/>
      <c r="AE5639" s="456"/>
      <c r="AF5639" s="467"/>
      <c r="AG5639" s="87"/>
      <c r="AH5639" s="87"/>
      <c r="AI5639" s="87"/>
    </row>
    <row r="5640" spans="1:35" hidden="1">
      <c r="A5640" s="80" t="e">
        <f>"H"&amp;E5629</f>
        <v>#N/A</v>
      </c>
      <c r="B5640" s="105">
        <v>8</v>
      </c>
      <c r="C5640" s="107"/>
      <c r="D5640" s="107"/>
      <c r="E5640" s="107"/>
      <c r="F5640" s="107"/>
      <c r="G5640" s="83"/>
      <c r="H5640" s="83"/>
      <c r="I5640" s="84"/>
      <c r="J5640" s="85"/>
      <c r="K5640" s="382"/>
      <c r="L5640" s="85"/>
      <c r="M5640" s="332" t="str">
        <f t="shared" si="1672"/>
        <v/>
      </c>
      <c r="N5640" s="453"/>
      <c r="O5640" s="86" t="str">
        <f t="shared" si="1674"/>
        <v/>
      </c>
      <c r="P5640" s="538" t="str">
        <f t="shared" si="1675"/>
        <v/>
      </c>
      <c r="Q5640" s="539" t="str">
        <f t="shared" si="1673"/>
        <v/>
      </c>
      <c r="R5640" s="706"/>
      <c r="S5640" s="707"/>
      <c r="T5640" s="708"/>
      <c r="U5640" s="472"/>
      <c r="V5640" s="167"/>
      <c r="W5640" s="446"/>
      <c r="X5640" s="456"/>
      <c r="Y5640" s="436"/>
      <c r="Z5640" s="437"/>
      <c r="AA5640" s="560"/>
      <c r="AB5640" s="561"/>
      <c r="AC5640" s="87"/>
      <c r="AD5640" s="466"/>
      <c r="AE5640" s="456"/>
      <c r="AF5640" s="467"/>
      <c r="AG5640" s="87"/>
      <c r="AH5640" s="87"/>
      <c r="AI5640" s="87"/>
    </row>
    <row r="5641" spans="1:35" hidden="1">
      <c r="A5641" s="80" t="e">
        <f>"I"&amp;E5629</f>
        <v>#N/A</v>
      </c>
      <c r="B5641" s="105">
        <v>9</v>
      </c>
      <c r="C5641" s="107"/>
      <c r="D5641" s="107"/>
      <c r="E5641" s="107"/>
      <c r="F5641" s="107"/>
      <c r="G5641" s="83"/>
      <c r="H5641" s="83"/>
      <c r="I5641" s="84"/>
      <c r="J5641" s="85"/>
      <c r="K5641" s="382"/>
      <c r="L5641" s="85"/>
      <c r="M5641" s="332" t="str">
        <f t="shared" si="1672"/>
        <v/>
      </c>
      <c r="N5641" s="453"/>
      <c r="O5641" s="86" t="str">
        <f t="shared" si="1674"/>
        <v/>
      </c>
      <c r="P5641" s="538" t="str">
        <f t="shared" si="1675"/>
        <v/>
      </c>
      <c r="Q5641" s="539" t="str">
        <f t="shared" si="1673"/>
        <v/>
      </c>
      <c r="R5641" s="706"/>
      <c r="S5641" s="707"/>
      <c r="T5641" s="708"/>
      <c r="U5641" s="472"/>
      <c r="V5641" s="167"/>
      <c r="W5641" s="446"/>
      <c r="X5641" s="456"/>
      <c r="Y5641" s="436"/>
      <c r="Z5641" s="437"/>
      <c r="AA5641" s="560"/>
      <c r="AB5641" s="561"/>
      <c r="AC5641" s="87"/>
      <c r="AD5641" s="466"/>
      <c r="AE5641" s="456"/>
      <c r="AF5641" s="467"/>
      <c r="AG5641" s="87"/>
      <c r="AH5641" s="87"/>
      <c r="AI5641" s="87"/>
    </row>
    <row r="5642" spans="1:35" hidden="1">
      <c r="A5642" s="80" t="e">
        <f>"J"&amp;E5629</f>
        <v>#N/A</v>
      </c>
      <c r="B5642" s="105">
        <v>10</v>
      </c>
      <c r="C5642" s="107"/>
      <c r="D5642" s="107"/>
      <c r="E5642" s="107"/>
      <c r="F5642" s="107"/>
      <c r="G5642" s="83"/>
      <c r="H5642" s="83"/>
      <c r="I5642" s="84"/>
      <c r="J5642" s="85"/>
      <c r="K5642" s="382"/>
      <c r="L5642" s="85"/>
      <c r="M5642" s="332" t="str">
        <f t="shared" si="1672"/>
        <v/>
      </c>
      <c r="N5642" s="453"/>
      <c r="O5642" s="86" t="str">
        <f t="shared" si="1674"/>
        <v/>
      </c>
      <c r="P5642" s="538" t="str">
        <f t="shared" si="1675"/>
        <v/>
      </c>
      <c r="Q5642" s="539" t="str">
        <f t="shared" si="1673"/>
        <v/>
      </c>
      <c r="R5642" s="706"/>
      <c r="S5642" s="707"/>
      <c r="T5642" s="708"/>
      <c r="U5642" s="472"/>
      <c r="V5642" s="167"/>
      <c r="W5642" s="446"/>
      <c r="X5642" s="456"/>
      <c r="Y5642" s="436"/>
      <c r="Z5642" s="437"/>
      <c r="AA5642" s="560"/>
      <c r="AB5642" s="561"/>
      <c r="AC5642" s="87"/>
      <c r="AD5642" s="466"/>
      <c r="AE5642" s="456"/>
      <c r="AF5642" s="467"/>
      <c r="AG5642" s="87"/>
      <c r="AH5642" s="87"/>
      <c r="AI5642" s="87"/>
    </row>
    <row r="5643" spans="1:35" ht="16.5" hidden="1" thickBot="1">
      <c r="A5643" s="44"/>
      <c r="B5643" s="89"/>
      <c r="C5643" s="90"/>
      <c r="D5643" s="90"/>
      <c r="E5643" s="90"/>
      <c r="F5643" s="90"/>
      <c r="G5643" s="90"/>
      <c r="H5643" s="90"/>
      <c r="I5643" s="90"/>
      <c r="J5643" s="90"/>
      <c r="K5643" s="90"/>
      <c r="L5643" s="90"/>
      <c r="M5643" s="90"/>
      <c r="N5643" s="90"/>
      <c r="O5643" s="90"/>
      <c r="P5643" s="90"/>
      <c r="Q5643" s="90"/>
      <c r="R5643" s="90"/>
      <c r="S5643" s="91"/>
      <c r="T5643" s="92"/>
      <c r="U5643" s="473"/>
      <c r="W5643" s="438"/>
      <c r="X5643" s="455"/>
      <c r="Y5643" s="439"/>
      <c r="Z5643" s="437"/>
      <c r="AA5643" s="530"/>
      <c r="AB5643" s="563"/>
      <c r="AC5643" s="87"/>
      <c r="AD5643" s="440"/>
      <c r="AE5643" s="441"/>
      <c r="AF5643" s="442"/>
      <c r="AG5643" s="49"/>
      <c r="AH5643" s="87"/>
      <c r="AI5643" s="87"/>
    </row>
    <row r="5644" spans="1:35" ht="16.5" hidden="1" thickBot="1">
      <c r="A5644" s="93"/>
      <c r="B5644" s="94"/>
      <c r="C5644" s="96"/>
      <c r="D5644" s="96"/>
      <c r="E5644" s="96"/>
      <c r="F5644" s="96"/>
      <c r="G5644" s="96"/>
      <c r="H5644" s="96"/>
      <c r="I5644" s="96"/>
      <c r="J5644" s="96"/>
      <c r="K5644" s="96"/>
      <c r="L5644" s="96"/>
      <c r="M5644" s="136"/>
      <c r="N5644" s="96"/>
      <c r="O5644" s="96"/>
      <c r="P5644" s="97"/>
      <c r="Q5644" s="97"/>
      <c r="R5644" s="98"/>
      <c r="S5644" s="95"/>
      <c r="T5644" s="99"/>
      <c r="U5644" s="469"/>
      <c r="AC5644" s="58"/>
      <c r="AG5644" s="58"/>
      <c r="AH5644" s="87"/>
      <c r="AI5644" s="87"/>
    </row>
    <row r="5645" spans="1:35" ht="16.5" hidden="1" thickBot="1">
      <c r="B5645" s="101"/>
      <c r="C5645" s="101"/>
      <c r="D5645" s="101"/>
      <c r="E5645" s="101"/>
      <c r="F5645" s="101"/>
      <c r="G5645" s="101"/>
      <c r="H5645" s="101"/>
      <c r="I5645" s="101"/>
      <c r="J5645" s="101"/>
      <c r="K5645" s="101"/>
      <c r="L5645" s="101"/>
      <c r="M5645" s="101"/>
      <c r="N5645" s="101"/>
      <c r="O5645" s="101"/>
      <c r="P5645" s="101"/>
      <c r="Q5645" s="101"/>
      <c r="R5645" s="101"/>
      <c r="S5645" s="101"/>
      <c r="U5645" s="50"/>
      <c r="AH5645" s="87"/>
      <c r="AI5645" s="87"/>
    </row>
    <row r="5646" spans="1:35" ht="16.5" hidden="1" customHeight="1" thickBot="1">
      <c r="A5646" s="44"/>
      <c r="B5646" s="705" t="s">
        <v>74</v>
      </c>
      <c r="C5646" s="705"/>
      <c r="D5646" s="705"/>
      <c r="E5646" s="705"/>
      <c r="F5646" s="705"/>
      <c r="G5646" s="705"/>
      <c r="H5646" s="705"/>
      <c r="I5646" s="705"/>
      <c r="J5646" s="705"/>
      <c r="K5646" s="705"/>
      <c r="L5646" s="705"/>
      <c r="M5646" s="705"/>
      <c r="N5646" s="705"/>
      <c r="O5646" s="705"/>
      <c r="P5646" s="705"/>
      <c r="Q5646" s="705"/>
      <c r="R5646" s="705"/>
      <c r="S5646" s="705"/>
      <c r="T5646" s="705"/>
      <c r="U5646" s="108"/>
      <c r="Y5646" s="532" t="s">
        <v>341</v>
      </c>
      <c r="AC5646" s="49"/>
      <c r="AD5646" s="687" t="s">
        <v>302</v>
      </c>
      <c r="AE5646" s="688"/>
      <c r="AF5646" s="689"/>
      <c r="AG5646" s="49"/>
      <c r="AH5646" s="87"/>
      <c r="AI5646" s="87"/>
    </row>
    <row r="5647" spans="1:35" ht="16.5" hidden="1" customHeight="1" thickBot="1">
      <c r="A5647" s="218" t="e">
        <f>"K"&amp;E5629</f>
        <v>#N/A</v>
      </c>
      <c r="B5647" s="701" t="s">
        <v>71</v>
      </c>
      <c r="C5647" s="751" t="s">
        <v>102</v>
      </c>
      <c r="D5647" s="751"/>
      <c r="E5647" s="751"/>
      <c r="F5647" s="751"/>
      <c r="G5647" s="751"/>
      <c r="H5647" s="751"/>
      <c r="I5647" s="751"/>
      <c r="J5647" s="751"/>
      <c r="K5647" s="751"/>
      <c r="L5647" s="722" t="s">
        <v>100</v>
      </c>
      <c r="M5647" s="747" t="s">
        <v>114</v>
      </c>
      <c r="N5647" s="747"/>
      <c r="O5647" s="747"/>
      <c r="P5647" s="747"/>
      <c r="Q5647" s="748"/>
      <c r="R5647" s="758" t="s">
        <v>280</v>
      </c>
      <c r="S5647" s="748"/>
      <c r="T5647" s="762" t="str">
        <f>IF(COUNTIF(AE5647:AF5647,"VERIFICAR")&gt;0,"VERIFICAR",IF(COUNTIF(AE5647:AF5647,"NO CUMPLE")&gt;0,"NO CUMPLE","CUMPLE"))</f>
        <v>VERIFICAR</v>
      </c>
      <c r="U5647" s="108"/>
      <c r="Y5647" s="533" t="e">
        <f>IF(F5648="","",IF(F5648=1,"INDIVIDUAL","ESTRUCTURA PLURAL"))</f>
        <v>#N/A</v>
      </c>
      <c r="AC5647" s="52"/>
      <c r="AD5647" s="475" t="s">
        <v>303</v>
      </c>
      <c r="AE5647" s="476" t="str">
        <f>IF(COUNTIF(AE5633:AE5642,"")=10,"VERIFICAR",IF(COUNTIF(AE5633:AE5642,"SI")&gt;0,"CUMPLE","NO CUMPLE"))</f>
        <v>VERIFICAR</v>
      </c>
      <c r="AF5647" s="477" t="str">
        <f>IF(COUNTIF(AF5633:AF5642,"")=10,"VERIFICAR",IF(COUNTIF(AF5633:AF5642,"SI")&gt;=$AI$22,"CUMPLE","NO CUMPLE"))</f>
        <v>VERIFICAR</v>
      </c>
      <c r="AG5647" s="52"/>
      <c r="AH5647" s="87"/>
      <c r="AI5647" s="87"/>
    </row>
    <row r="5648" spans="1:35" ht="15.75" hidden="1" customHeight="1" thickBot="1">
      <c r="A5648" s="218" t="e">
        <f>"L"&amp;E5629</f>
        <v>#N/A</v>
      </c>
      <c r="B5648" s="702"/>
      <c r="C5648" s="751" t="s">
        <v>103</v>
      </c>
      <c r="D5648" s="751"/>
      <c r="E5648" s="752"/>
      <c r="F5648" s="557" t="e">
        <f>IF(VLOOKUP(E5629,PROPONENTES!$C$19:$E$218,3,0)="","",VLOOKUP(E5629,PROPONENTES!$C$19:$E$218,3,0))</f>
        <v>#N/A</v>
      </c>
      <c r="G5648" s="753" t="s">
        <v>104</v>
      </c>
      <c r="H5648" s="751"/>
      <c r="I5648" s="715" t="e">
        <f>IF(OR(F5648="",F5648=1),"INTERESADO PERSONA NATURAL O JURIDICA","CONSORCIO O UNION TEMPORAL")</f>
        <v>#N/A</v>
      </c>
      <c r="J5648" s="725"/>
      <c r="K5648" s="728"/>
      <c r="L5648" s="723"/>
      <c r="M5648" s="749"/>
      <c r="N5648" s="749"/>
      <c r="O5648" s="749"/>
      <c r="P5648" s="749"/>
      <c r="Q5648" s="750"/>
      <c r="R5648" s="712"/>
      <c r="S5648" s="750"/>
      <c r="T5648" s="763"/>
      <c r="U5648" s="108"/>
      <c r="Y5648" s="534"/>
      <c r="AA5648" s="52"/>
      <c r="AB5648" s="52"/>
      <c r="AC5648" s="52"/>
      <c r="AG5648" s="52"/>
      <c r="AH5648" s="87"/>
      <c r="AI5648" s="87"/>
    </row>
    <row r="5649" spans="1:35" ht="56.25" hidden="1" customHeight="1" thickBot="1">
      <c r="A5649" s="218" t="e">
        <f>"M"&amp;E5629</f>
        <v>#N/A</v>
      </c>
      <c r="B5649" s="702"/>
      <c r="C5649" s="725" t="s">
        <v>101</v>
      </c>
      <c r="D5649" s="716"/>
      <c r="E5649" s="558" t="s">
        <v>105</v>
      </c>
      <c r="F5649" s="554" t="s">
        <v>87</v>
      </c>
      <c r="G5649" s="553" t="s">
        <v>86</v>
      </c>
      <c r="H5649" s="559" t="s">
        <v>85</v>
      </c>
      <c r="I5649" s="554" t="s">
        <v>252</v>
      </c>
      <c r="J5649" s="553" t="str">
        <f>"¿EL INTEGRANTE TIENE UNA PARTICIPACIÓN DEL "&amp;PORCREQUERIDOINT*100&amp;"%?"</f>
        <v>¿EL INTEGRANTE TIENE UNA PARTICIPACIÓN DEL 60%?</v>
      </c>
      <c r="K5649" s="554" t="s">
        <v>107</v>
      </c>
      <c r="L5649" s="724"/>
      <c r="M5649" s="717" t="s">
        <v>115</v>
      </c>
      <c r="N5649" s="718"/>
      <c r="O5649" s="718"/>
      <c r="P5649" s="718"/>
      <c r="Q5649" s="223">
        <f>IF(AND(H5633="SI",P5633&gt;=0),1,0)+IF(AND(H5634="SI",P5634&gt;=0),1,0)+IF(AND(H5635="SI",P5635&gt;=0),1,0)+IF(AND(H5636="SI",P5636&gt;=0),1,0)+IF(AND(H5637="SI",P5637&gt;=0),1,0)+IF(AND(H5638="SI",P5638&gt;=0),1,0)+IF(AND(H5639="SI",P5639&gt;=0),1,0)+IF(AND(H5640="SI",P5640&gt;=0),1,0)+IF(AND(H5641="SI",P5641&gt;=0),1,0)+IF(AND(H5642="SI",P5642&gt;=0),1,0)</f>
        <v>0</v>
      </c>
      <c r="R5649" s="759"/>
      <c r="S5649" s="761"/>
      <c r="T5649" s="764"/>
      <c r="U5649" s="219"/>
      <c r="V5649" s="464"/>
      <c r="Y5649" s="532" t="s">
        <v>342</v>
      </c>
      <c r="AA5649" s="550" t="s">
        <v>344</v>
      </c>
      <c r="AB5649" s="693" t="s">
        <v>345</v>
      </c>
      <c r="AC5649" s="693" t="s">
        <v>346</v>
      </c>
      <c r="AD5649" s="685" t="s">
        <v>347</v>
      </c>
      <c r="AE5649" s="52"/>
      <c r="AF5649" s="52"/>
      <c r="AG5649" s="52"/>
      <c r="AH5649" s="87"/>
      <c r="AI5649" s="87"/>
    </row>
    <row r="5650" spans="1:35" ht="15.75" hidden="1" customHeight="1" thickBot="1">
      <c r="A5650" s="218" t="e">
        <f>"N"&amp;E5629</f>
        <v>#N/A</v>
      </c>
      <c r="B5650" s="702"/>
      <c r="C5650" s="114">
        <v>1</v>
      </c>
      <c r="D5650" s="194" t="e">
        <f>IF(AND(C5650&lt;=F5648,F5648&gt;1,F5648&lt;&gt;""),VLOOKUP(VALUE(E5629&amp;","&amp;C5650),INTEGRANTES!$D$18:$F$235,2,0),"")</f>
        <v>#N/A</v>
      </c>
      <c r="E5650" s="211" t="e">
        <f>IF(D5650&lt;&gt;"",VLOOKUP(VALUE(E5629&amp;","&amp;C5650),INTEGRANTES!$D$18:$F$235,3,0),"")</f>
        <v>#N/A</v>
      </c>
      <c r="F5650" s="547" t="e">
        <f>IF(D5650="","",SUMIF($I5633:$I5642,D5650,$P5633:$P5642))</f>
        <v>#N/A</v>
      </c>
      <c r="G5650" s="333" t="e">
        <f>IF(D5650="","",SUMIF($I5633:$I5642,D5650,$M5633:$M5642))</f>
        <v>#N/A</v>
      </c>
      <c r="H5650" s="535" t="e">
        <f t="shared" ref="H5650:H5655" si="1676">IF(D5650="","",IF(OR(F5650=0,G5650=0),"NO APORTA",ROUND($F5650/$G5650,3)))</f>
        <v>#N/A</v>
      </c>
      <c r="I5650" s="212" t="e">
        <f>IF(D5650="","",IF(H5650="NO APORTA","NO",IF(H5650=MAX($H5650:$H5655),"SI","NO")))</f>
        <v>#N/A</v>
      </c>
      <c r="J5650" s="213" t="e">
        <f t="shared" ref="J5650:J5655" si="1677">IF(D5650="","",IF(E5650&gt;=PORCREQUERIDOINT,"SI","NO"))</f>
        <v>#N/A</v>
      </c>
      <c r="K5650" s="200" t="e">
        <f t="shared" ref="K5650:K5655" si="1678">IF(D5650="","",IF(AND(I5650="SI",J5650="SI"),"CUMPLE",IF(AND(I5650="NO",OR(J5650="SI",J5650="NO")),"","NO CUMPLE")))</f>
        <v>#N/A</v>
      </c>
      <c r="L5650" s="722" t="s">
        <v>108</v>
      </c>
      <c r="M5650" s="726" t="s">
        <v>119</v>
      </c>
      <c r="N5650" s="726"/>
      <c r="O5650" s="726"/>
      <c r="P5650" s="726"/>
      <c r="Q5650" s="727"/>
      <c r="R5650" s="758" t="s">
        <v>80</v>
      </c>
      <c r="S5650" s="747"/>
      <c r="T5650" s="748"/>
      <c r="U5650" s="219"/>
      <c r="V5650" s="464"/>
      <c r="Y5650" s="533" t="e">
        <f>IF(Y5647="","",IF(Y5647="INDIVIDUAL","NO APLICA","VERIFICAR CUADRO"))</f>
        <v>#N/A</v>
      </c>
      <c r="AA5650" s="551"/>
      <c r="AB5650" s="694"/>
      <c r="AC5650" s="694"/>
      <c r="AD5650" s="686"/>
      <c r="AE5650" s="52"/>
      <c r="AF5650" s="52"/>
      <c r="AG5650" s="52"/>
      <c r="AH5650" s="87"/>
      <c r="AI5650" s="87"/>
    </row>
    <row r="5651" spans="1:35" ht="27" hidden="1" customHeight="1" thickBot="1">
      <c r="A5651" s="218" t="e">
        <f>"O"&amp;E5629</f>
        <v>#N/A</v>
      </c>
      <c r="B5651" s="702"/>
      <c r="C5651" s="114">
        <v>2</v>
      </c>
      <c r="D5651" s="194" t="e">
        <f>IF(AND(C5651&lt;=F5648,F5648&lt;&gt;""),VLOOKUP(VALUE(E5629&amp;","&amp;C5651),INTEGRANTES!$D$18:$F$235,2,0),"")</f>
        <v>#N/A</v>
      </c>
      <c r="E5651" s="211" t="e">
        <f>IF(D5651&lt;&gt;"",VLOOKUP(VALUE(E5629&amp;","&amp;C5651),INTEGRANTES!$D$18:$F$235,3,0),"")</f>
        <v>#N/A</v>
      </c>
      <c r="F5651" s="547" t="e">
        <f>IF(D5651="","",SUMIF($I5633:$I5642,D5651,$P5633:$P5642))</f>
        <v>#N/A</v>
      </c>
      <c r="G5651" s="333" t="e">
        <f>IF(D5651="","",SUMIF($I5633:$I5642,D5651,$M5633:$M5642))</f>
        <v>#N/A</v>
      </c>
      <c r="H5651" s="535" t="e">
        <f t="shared" si="1676"/>
        <v>#N/A</v>
      </c>
      <c r="I5651" s="212" t="e">
        <f>IF(D5651="","",IF(H5651="NO APORTA","NO",IF(H5651=MAX($H5650:$H5655),"SI","NO")))</f>
        <v>#N/A</v>
      </c>
      <c r="J5651" s="213" t="e">
        <f t="shared" si="1677"/>
        <v>#N/A</v>
      </c>
      <c r="K5651" s="200" t="e">
        <f t="shared" si="1678"/>
        <v>#N/A</v>
      </c>
      <c r="L5651" s="723"/>
      <c r="M5651" s="715" t="s">
        <v>116</v>
      </c>
      <c r="N5651" s="716"/>
      <c r="O5651" s="556" t="s">
        <v>113</v>
      </c>
      <c r="P5651" s="715" t="s">
        <v>117</v>
      </c>
      <c r="Q5651" s="728"/>
      <c r="R5651" s="759"/>
      <c r="S5651" s="760"/>
      <c r="T5651" s="761"/>
      <c r="U5651" s="219"/>
      <c r="V5651" s="464"/>
      <c r="Y5651" s="414"/>
      <c r="AA5651" s="542" t="e">
        <f>IF(AND(C5650&lt;=F5648,F5648&gt;1,F5648&lt;&gt;""),VLOOKUP(VALUE(E5629&amp;","&amp;C5650),INTEGRANTES!$D$18:$F$235,2,0),"")</f>
        <v>#N/A</v>
      </c>
      <c r="AB5651" s="544" t="e">
        <f t="shared" ref="AB5651:AB5656" si="1679">IF(D5650="","",IF(OR(F5650=0,G5650=0),"NO APORTA",ROUND($F5650/$G5650,3)))</f>
        <v>#N/A</v>
      </c>
      <c r="AC5651" s="529"/>
      <c r="AD5651" s="200" t="e">
        <f t="shared" ref="AD5651:AD5656" si="1680">IF(OR(AA5651="",AB5651=""),"",IF(AND(AC5651="X",AB5651&gt;=EXPREQVTD),"CUMPLE","NO CUMPLE"))</f>
        <v>#N/A</v>
      </c>
      <c r="AE5651" s="52"/>
      <c r="AF5651" s="52"/>
      <c r="AG5651" s="52"/>
      <c r="AH5651" s="87"/>
      <c r="AI5651" s="87"/>
    </row>
    <row r="5652" spans="1:35" ht="16.5" hidden="1" thickBot="1">
      <c r="A5652" s="218" t="e">
        <f>"P"&amp;E5629</f>
        <v>#N/A</v>
      </c>
      <c r="B5652" s="702"/>
      <c r="C5652" s="114">
        <v>3</v>
      </c>
      <c r="D5652" s="194" t="e">
        <f>IF(AND(C5652&lt;=F5648,F5648&lt;&gt;""),VLOOKUP(VALUE(E5629&amp;","&amp;C5652),INTEGRANTES!$D$18:$F$235,2,0),"")</f>
        <v>#N/A</v>
      </c>
      <c r="E5652" s="211" t="e">
        <f>IF(D5652&lt;&gt;"",VLOOKUP(VALUE(E5629&amp;","&amp;C5652),INTEGRANTES!$D$18:$F$235,3,0),"")</f>
        <v>#N/A</v>
      </c>
      <c r="F5652" s="547" t="e">
        <f>IF(D5652="","",SUMIF($I5633:$I5642,D5652,$P5633:$P5642))</f>
        <v>#N/A</v>
      </c>
      <c r="G5652" s="333" t="e">
        <f>IF(D5652="","",SUMIF($I5633:$I5642,D5652,$M5633:$M5642))</f>
        <v>#N/A</v>
      </c>
      <c r="H5652" s="535" t="e">
        <f t="shared" si="1676"/>
        <v>#N/A</v>
      </c>
      <c r="I5652" s="212" t="e">
        <f>IF(D5652="","",IF(H5652="NO APORTA","NO",IF(H5652=MAX($H5650:$H5655),"SI","NO")))</f>
        <v>#N/A</v>
      </c>
      <c r="J5652" s="213" t="e">
        <f t="shared" si="1677"/>
        <v>#N/A</v>
      </c>
      <c r="K5652" s="200" t="e">
        <f t="shared" si="1678"/>
        <v>#N/A</v>
      </c>
      <c r="L5652" s="724"/>
      <c r="M5652" s="729">
        <f>NUMMOD</f>
        <v>1</v>
      </c>
      <c r="N5652" s="730"/>
      <c r="O5652" s="443">
        <f>IF(M5652="","",VLOOKUP(M5652,PRESUPUESTOS!$B$16:$H$16,5,FALSE))</f>
        <v>2</v>
      </c>
      <c r="P5652" s="713">
        <f>IF(OR(COUNTIF(M5633:M5642,"")&gt;=10,Q5649&lt;NUMMINCONT,OR(T5647="NO CUMPLE",T5647="VERIFICAR")),0,ROUND(AVERAGE(M5633:M5642),3))</f>
        <v>0</v>
      </c>
      <c r="Q5652" s="714"/>
      <c r="R5652" s="458"/>
      <c r="S5652" s="459"/>
      <c r="T5652" s="460"/>
      <c r="U5652" s="219"/>
      <c r="V5652" s="464"/>
      <c r="Y5652" s="532" t="str">
        <f>"40% * ("&amp;PRESUPUESTOS!$H$13&amp;")"</f>
        <v>40% * (50% PFMO)</v>
      </c>
      <c r="AA5652" s="540" t="e">
        <f>IF(AND(C5651&lt;=F5648,F5648&lt;&gt;""),VLOOKUP(VALUE(E5629&amp;","&amp;C5651),INTEGRANTES!$D$18:$F$235,2,0),"")</f>
        <v>#N/A</v>
      </c>
      <c r="AB5652" s="545" t="e">
        <f t="shared" si="1679"/>
        <v>#N/A</v>
      </c>
      <c r="AC5652" s="529"/>
      <c r="AD5652" s="200" t="e">
        <f t="shared" si="1680"/>
        <v>#N/A</v>
      </c>
      <c r="AE5652" s="52"/>
      <c r="AF5652" s="52"/>
      <c r="AG5652" s="52"/>
      <c r="AH5652" s="87"/>
      <c r="AI5652" s="87"/>
    </row>
    <row r="5653" spans="1:35" ht="15.75" hidden="1" customHeight="1" thickBot="1">
      <c r="A5653" s="218" t="e">
        <f>"Q"&amp;E5629</f>
        <v>#N/A</v>
      </c>
      <c r="B5653" s="702"/>
      <c r="C5653" s="114">
        <v>4</v>
      </c>
      <c r="D5653" s="194" t="e">
        <f>IF(AND(C5653&lt;=F5648,F5648&lt;&gt;""),VLOOKUP(VALUE(E5629&amp;","&amp;C5653),INTEGRANTES!$D$18:$F$235,2,0),"")</f>
        <v>#N/A</v>
      </c>
      <c r="E5653" s="211" t="e">
        <f>IF(D5653&lt;&gt;"",VLOOKUP(VALUE(E5629&amp;","&amp;C5653),INTEGRANTES!$D$18:$F$235,3,0),"")</f>
        <v>#N/A</v>
      </c>
      <c r="F5653" s="547" t="e">
        <f>IF(D5653="","",SUMIF($I5633:$I5642,D5653,$P5633:$P5642))</f>
        <v>#N/A</v>
      </c>
      <c r="G5653" s="333" t="e">
        <f>IF(D5653="","",SUMIF($I5633:$I5642,D5653,$M5633:$M5642))</f>
        <v>#N/A</v>
      </c>
      <c r="H5653" s="535" t="e">
        <f t="shared" si="1676"/>
        <v>#N/A</v>
      </c>
      <c r="I5653" s="212" t="e">
        <f>IF(D5653="","",IF(H5653="NO APORTA","NO",IF(H5653=MAX($H5650:$H5655),"SI","NO")))</f>
        <v>#N/A</v>
      </c>
      <c r="J5653" s="213" t="e">
        <f t="shared" si="1677"/>
        <v>#N/A</v>
      </c>
      <c r="K5653" s="200" t="e">
        <f t="shared" si="1678"/>
        <v>#N/A</v>
      </c>
      <c r="L5653" s="720" t="s">
        <v>109</v>
      </c>
      <c r="M5653" s="757" t="s">
        <v>120</v>
      </c>
      <c r="N5653" s="726"/>
      <c r="O5653" s="726"/>
      <c r="P5653" s="726"/>
      <c r="Q5653" s="727"/>
      <c r="R5653" s="458"/>
      <c r="S5653" s="459"/>
      <c r="T5653" s="460"/>
      <c r="U5653" s="219"/>
      <c r="V5653" s="464"/>
      <c r="Y5653" s="537">
        <f>0.4*PRESUPUESTOS!$H$16</f>
        <v>10.3124</v>
      </c>
      <c r="AA5653" s="540" t="e">
        <f>IF(AND(C5652&lt;=F5648,F5648&lt;&gt;""),VLOOKUP(VALUE(E5629&amp;","&amp;C5652),INTEGRANTES!$D$18:$F$235,2,0),"")</f>
        <v>#N/A</v>
      </c>
      <c r="AB5653" s="545" t="e">
        <f t="shared" si="1679"/>
        <v>#N/A</v>
      </c>
      <c r="AC5653" s="529"/>
      <c r="AD5653" s="200" t="e">
        <f t="shared" si="1680"/>
        <v>#N/A</v>
      </c>
      <c r="AE5653" s="52"/>
      <c r="AF5653" s="52"/>
      <c r="AG5653" s="52"/>
      <c r="AH5653" s="87"/>
      <c r="AI5653" s="87"/>
    </row>
    <row r="5654" spans="1:35" ht="27" hidden="1" customHeight="1" thickBot="1">
      <c r="A5654" s="218" t="e">
        <f>"R"&amp;E5629</f>
        <v>#N/A</v>
      </c>
      <c r="B5654" s="702"/>
      <c r="C5654" s="114">
        <v>5</v>
      </c>
      <c r="D5654" s="194" t="e">
        <f>IF(AND(C5654&lt;=F5648,F5648&lt;&gt;""),VLOOKUP(VALUE(E5629&amp;","&amp;C5654),INTEGRANTES!$D$18:$F$235,2,0),"")</f>
        <v>#N/A</v>
      </c>
      <c r="E5654" s="211" t="e">
        <f>IF(D5654&lt;&gt;"",VLOOKUP(VALUE(E5629&amp;","&amp;C5654),INTEGRANTES!$D$18:$F$235,3,0),"")</f>
        <v>#N/A</v>
      </c>
      <c r="F5654" s="547" t="e">
        <f>IF(D5654="","",SUMIF($I5633:$I5642,D5654,$P5633:$P5642))</f>
        <v>#N/A</v>
      </c>
      <c r="G5654" s="333" t="e">
        <f>IF(D5654="","",SUMIF($I5633:$I5642,D5654,$M5633:$M5642))</f>
        <v>#N/A</v>
      </c>
      <c r="H5654" s="535" t="e">
        <f t="shared" si="1676"/>
        <v>#N/A</v>
      </c>
      <c r="I5654" s="212" t="e">
        <f>IF(D5654="","",IF(H5654="NO APORTA","NO",IF(H5654=MAX($H5650:$H5655),"SI","NO")))</f>
        <v>#N/A</v>
      </c>
      <c r="J5654" s="213" t="e">
        <f t="shared" si="1677"/>
        <v>#N/A</v>
      </c>
      <c r="K5654" s="200" t="e">
        <f t="shared" si="1678"/>
        <v>#N/A</v>
      </c>
      <c r="L5654" s="721"/>
      <c r="M5654" s="715" t="s">
        <v>116</v>
      </c>
      <c r="N5654" s="716"/>
      <c r="O5654" s="556" t="str">
        <f>PORCREQUERIDO*100&amp;"% PMFO DEL MÓDULO"</f>
        <v>50% PMFO DEL MÓDULO</v>
      </c>
      <c r="P5654" s="715" t="s">
        <v>118</v>
      </c>
      <c r="Q5654" s="728"/>
      <c r="R5654" s="458"/>
      <c r="S5654" s="459"/>
      <c r="T5654" s="460"/>
      <c r="U5654" s="219"/>
      <c r="V5654" s="464"/>
      <c r="Y5654" s="414"/>
      <c r="AA5654" s="540" t="e">
        <f>IF(AND(C5653&lt;=F5648,F5648&lt;&gt;""),VLOOKUP(VALUE(E5629&amp;","&amp;C5653),INTEGRANTES!$D$18:$F$235,2,0),"")</f>
        <v>#N/A</v>
      </c>
      <c r="AB5654" s="545" t="e">
        <f t="shared" si="1679"/>
        <v>#N/A</v>
      </c>
      <c r="AC5654" s="529"/>
      <c r="AD5654" s="200" t="e">
        <f t="shared" si="1680"/>
        <v>#N/A</v>
      </c>
      <c r="AE5654" s="52"/>
      <c r="AF5654" s="52"/>
      <c r="AG5654" s="52"/>
      <c r="AH5654" s="87"/>
      <c r="AI5654" s="87"/>
    </row>
    <row r="5655" spans="1:35" ht="16.5" hidden="1" thickBot="1">
      <c r="A5655" s="218" t="e">
        <f>"S"&amp;E5629</f>
        <v>#N/A</v>
      </c>
      <c r="B5655" s="702"/>
      <c r="C5655" s="215">
        <v>6</v>
      </c>
      <c r="D5655" s="216" t="e">
        <f>IF(AND(C5655&lt;=F5648,F5648&lt;&gt;""),VLOOKUP(VALUE(E5629&amp;","&amp;C5655),INTEGRANTES!$D$18:$F$235,2,0),"")</f>
        <v>#N/A</v>
      </c>
      <c r="E5655" s="217" t="e">
        <f>IF(D5655&lt;&gt;"",VLOOKUP(VALUE(E5629&amp;","&amp;C5655),INTEGRANTES!$D$18:$F$235,3,0),"")</f>
        <v>#N/A</v>
      </c>
      <c r="F5655" s="548" t="e">
        <f>IF(D5655="","",SUMIF($I5633:$I5642,D5655,$P5633:$P5642))</f>
        <v>#N/A</v>
      </c>
      <c r="G5655" s="334" t="e">
        <f>IF(D5655="","",SUMIF($I5633:$I5642,D5655,$M5633:$M5642))</f>
        <v>#N/A</v>
      </c>
      <c r="H5655" s="536" t="e">
        <f t="shared" si="1676"/>
        <v>#N/A</v>
      </c>
      <c r="I5655" s="214" t="e">
        <f>IF(D5655="","",IF(H5655="NO APORTA","NO",IF(H5655=MAX($H5650:$H5655),"SI","NO")))</f>
        <v>#N/A</v>
      </c>
      <c r="J5655" s="213" t="e">
        <f t="shared" si="1677"/>
        <v>#N/A</v>
      </c>
      <c r="K5655" s="200" t="e">
        <f t="shared" si="1678"/>
        <v>#N/A</v>
      </c>
      <c r="L5655" s="721"/>
      <c r="M5655" s="729">
        <f>NUMMOD</f>
        <v>1</v>
      </c>
      <c r="N5655" s="730"/>
      <c r="O5655" s="443">
        <f>IF(M5655="","",ROUND(VLOOKUP(M5655,PRESUPUESTOS!$B$16:$H$16,7,FALSE),3))</f>
        <v>25.780999999999999</v>
      </c>
      <c r="P5655" s="713">
        <f>IF(OR(COUNTIF(P5633:P5642,"")&gt;=10,Q5649&lt;NUMMINCONT,OR(T5647="NO CUMPLE",T5647="VERIFICAR")),0,ROUND((SUM(P5633:P5642)/SUM(M5633:M5642)),3))</f>
        <v>0</v>
      </c>
      <c r="Q5655" s="714"/>
      <c r="R5655" s="458"/>
      <c r="S5655" s="459"/>
      <c r="T5655" s="460"/>
      <c r="U5655" s="219"/>
      <c r="V5655" s="464"/>
      <c r="Y5655" s="532" t="s">
        <v>343</v>
      </c>
      <c r="AA5655" s="540" t="e">
        <f>IF(AND(C5654&lt;=F5648,F5648&lt;&gt;""),VLOOKUP(VALUE(E5629&amp;","&amp;C5654),INTEGRANTES!$D$18:$F$235,2,0),"")</f>
        <v>#N/A</v>
      </c>
      <c r="AB5655" s="545" t="e">
        <f t="shared" si="1679"/>
        <v>#N/A</v>
      </c>
      <c r="AC5655" s="529"/>
      <c r="AD5655" s="200" t="e">
        <f t="shared" si="1680"/>
        <v>#N/A</v>
      </c>
      <c r="AE5655" s="52"/>
      <c r="AF5655" s="52"/>
      <c r="AG5655" s="52"/>
      <c r="AH5655" s="87"/>
      <c r="AI5655" s="87"/>
    </row>
    <row r="5656" spans="1:35" ht="16.5" hidden="1" customHeight="1" thickBot="1">
      <c r="A5656" s="218" t="e">
        <f>"T"&amp;E5629</f>
        <v>#N/A</v>
      </c>
      <c r="B5656" s="703"/>
      <c r="C5656" s="719"/>
      <c r="D5656" s="719"/>
      <c r="E5656" s="719"/>
      <c r="F5656" s="719"/>
      <c r="G5656" s="719"/>
      <c r="H5656" s="719" t="s">
        <v>110</v>
      </c>
      <c r="I5656" s="719"/>
      <c r="J5656" s="719"/>
      <c r="K5656" s="201" t="str">
        <f>IF(COUNTIF(K5650:K5655,"")=6,"",IF(COUNTIF(K5650:K5655,"CUMPLE")&gt;0,"CUMPLE","NO CUMPLE"))</f>
        <v>NO CUMPLE</v>
      </c>
      <c r="L5656" s="754"/>
      <c r="M5656" s="755"/>
      <c r="N5656" s="755"/>
      <c r="O5656" s="755"/>
      <c r="P5656" s="755"/>
      <c r="Q5656" s="756"/>
      <c r="R5656" s="461"/>
      <c r="S5656" s="462"/>
      <c r="T5656" s="463"/>
      <c r="U5656" s="219"/>
      <c r="V5656" s="464"/>
      <c r="Y5656" s="549" t="e">
        <f>IF(Y5650="NO APLICA","NO APLICA",IF(COUNTIF(AD5651:AD5656,"CUMPLE")&gt;0,"CUMPLE","NO CUMPLE"))</f>
        <v>#N/A</v>
      </c>
      <c r="AA5656" s="541" t="e">
        <f>IF(AND(C5655&lt;=F5648,F5648&lt;&gt;""),VLOOKUP(VALUE(E5629&amp;","&amp;C5655),INTEGRANTES!$D$18:$F$235,2,0),"")</f>
        <v>#N/A</v>
      </c>
      <c r="AB5656" s="546" t="e">
        <f t="shared" si="1679"/>
        <v>#N/A</v>
      </c>
      <c r="AC5656" s="543"/>
      <c r="AD5656" s="201" t="e">
        <f t="shared" si="1680"/>
        <v>#N/A</v>
      </c>
      <c r="AE5656" s="52"/>
      <c r="AF5656" s="52"/>
      <c r="AG5656" s="52"/>
      <c r="AH5656" s="87"/>
      <c r="AI5656" s="87"/>
    </row>
    <row r="5657" spans="1:35" hidden="1">
      <c r="AH5657" s="87"/>
      <c r="AI5657" s="87"/>
    </row>
    <row r="5658" spans="1:35" hidden="1">
      <c r="AH5658" s="87"/>
      <c r="AI5658" s="87"/>
    </row>
    <row r="5659" spans="1:35" ht="24" hidden="1" thickBot="1">
      <c r="A5659" s="61">
        <v>189</v>
      </c>
      <c r="B5659" s="704" t="s">
        <v>51</v>
      </c>
      <c r="C5659" s="704"/>
      <c r="D5659" s="704"/>
      <c r="E5659" s="62" t="e">
        <f>VLOOKUP(A5659,PROPONENTES!$B$19:$E$218,2,FALSE)</f>
        <v>#N/A</v>
      </c>
      <c r="F5659" s="63" t="e">
        <f>VLOOKUP(A5659,PROPONENTES!$B$19:$E$218,3,FALSE)</f>
        <v>#N/A</v>
      </c>
      <c r="G5659" s="64"/>
      <c r="H5659" s="64"/>
      <c r="I5659" s="63"/>
      <c r="J5659" s="63"/>
      <c r="K5659" s="65"/>
      <c r="L5659" s="65"/>
      <c r="M5659" s="64"/>
      <c r="N5659" s="64"/>
      <c r="O5659" s="66"/>
      <c r="P5659" s="66"/>
      <c r="Q5659" s="66"/>
      <c r="R5659" s="66"/>
      <c r="S5659" s="67"/>
      <c r="T5659" s="68"/>
      <c r="U5659" s="68"/>
      <c r="AC5659" s="68"/>
      <c r="AD5659" s="68"/>
      <c r="AE5659" s="68"/>
      <c r="AF5659" s="68"/>
      <c r="AG5659" s="68"/>
      <c r="AH5659" s="87"/>
      <c r="AI5659" s="87"/>
    </row>
    <row r="5660" spans="1:35" ht="15.75" hidden="1" customHeight="1">
      <c r="A5660" s="44"/>
      <c r="B5660" s="709" t="s">
        <v>59</v>
      </c>
      <c r="C5660" s="552" t="s">
        <v>60</v>
      </c>
      <c r="D5660" s="70" t="s">
        <v>17</v>
      </c>
      <c r="E5660" s="70"/>
      <c r="F5660" s="70" t="s">
        <v>61</v>
      </c>
      <c r="G5660" s="71"/>
      <c r="H5660" s="699" t="s">
        <v>62</v>
      </c>
      <c r="I5660" s="699" t="s">
        <v>18</v>
      </c>
      <c r="J5660" s="699" t="s">
        <v>63</v>
      </c>
      <c r="K5660" s="699" t="s">
        <v>64</v>
      </c>
      <c r="L5660" s="699" t="s">
        <v>65</v>
      </c>
      <c r="M5660" s="743" t="s">
        <v>66</v>
      </c>
      <c r="N5660" s="699" t="s">
        <v>282</v>
      </c>
      <c r="O5660" s="745" t="s">
        <v>67</v>
      </c>
      <c r="P5660" s="746"/>
      <c r="Q5660" s="102" t="s">
        <v>75</v>
      </c>
      <c r="R5660" s="731" t="s">
        <v>22</v>
      </c>
      <c r="S5660" s="732"/>
      <c r="T5660" s="733"/>
      <c r="U5660" s="712" t="s">
        <v>298</v>
      </c>
      <c r="W5660" s="690" t="s">
        <v>268</v>
      </c>
      <c r="X5660" s="691"/>
      <c r="Y5660" s="692"/>
      <c r="Z5660" s="428"/>
      <c r="AA5660" s="697" t="s">
        <v>315</v>
      </c>
      <c r="AB5660" s="695" t="s">
        <v>322</v>
      </c>
      <c r="AC5660" s="49"/>
      <c r="AD5660" s="690" t="s">
        <v>297</v>
      </c>
      <c r="AE5660" s="691"/>
      <c r="AF5660" s="692"/>
      <c r="AG5660" s="49"/>
      <c r="AH5660" s="87"/>
      <c r="AI5660" s="87"/>
    </row>
    <row r="5661" spans="1:35" ht="72" hidden="1">
      <c r="A5661" s="44"/>
      <c r="B5661" s="710"/>
      <c r="C5661" s="553" t="s">
        <v>68</v>
      </c>
      <c r="D5661" s="73" t="s">
        <v>3</v>
      </c>
      <c r="E5661" s="73" t="s">
        <v>19</v>
      </c>
      <c r="F5661" s="73" t="s">
        <v>69</v>
      </c>
      <c r="G5661" s="74" t="s">
        <v>70</v>
      </c>
      <c r="H5661" s="700"/>
      <c r="I5661" s="700"/>
      <c r="J5661" s="700"/>
      <c r="K5661" s="700"/>
      <c r="L5661" s="700"/>
      <c r="M5661" s="744"/>
      <c r="N5661" s="700"/>
      <c r="O5661" s="553" t="s">
        <v>279</v>
      </c>
      <c r="P5661" s="73" t="s">
        <v>88</v>
      </c>
      <c r="Q5661" s="555" t="s">
        <v>76</v>
      </c>
      <c r="R5661" s="734"/>
      <c r="S5661" s="735"/>
      <c r="T5661" s="736"/>
      <c r="U5661" s="712"/>
      <c r="W5661" s="429" t="s">
        <v>269</v>
      </c>
      <c r="X5661" s="457" t="s">
        <v>278</v>
      </c>
      <c r="Y5661" s="430" t="s">
        <v>324</v>
      </c>
      <c r="Z5661" s="428"/>
      <c r="AA5661" s="698"/>
      <c r="AB5661" s="696"/>
      <c r="AC5661" s="49"/>
      <c r="AD5661" s="429" t="s">
        <v>292</v>
      </c>
      <c r="AE5661" s="431" t="s">
        <v>300</v>
      </c>
      <c r="AF5661" s="468" t="s">
        <v>301</v>
      </c>
      <c r="AG5661" s="49"/>
      <c r="AH5661" s="87"/>
      <c r="AI5661" s="87"/>
    </row>
    <row r="5662" spans="1:35" hidden="1">
      <c r="A5662" s="44"/>
      <c r="B5662" s="76"/>
      <c r="C5662" s="77"/>
      <c r="D5662" s="77"/>
      <c r="E5662" s="77"/>
      <c r="F5662" s="77"/>
      <c r="G5662" s="77"/>
      <c r="H5662" s="77"/>
      <c r="I5662" s="77"/>
      <c r="J5662" s="77"/>
      <c r="K5662" s="77"/>
      <c r="L5662" s="77"/>
      <c r="M5662" s="77"/>
      <c r="N5662" s="77"/>
      <c r="O5662" s="77"/>
      <c r="P5662" s="77"/>
      <c r="Q5662" s="77"/>
      <c r="R5662" s="77"/>
      <c r="S5662" s="78"/>
      <c r="T5662" s="79"/>
      <c r="U5662" s="109"/>
      <c r="V5662" s="49"/>
      <c r="W5662" s="432"/>
      <c r="X5662" s="454"/>
      <c r="Y5662" s="433"/>
      <c r="Z5662" s="6"/>
      <c r="AA5662" s="500"/>
      <c r="AB5662" s="562"/>
      <c r="AC5662" s="49"/>
      <c r="AD5662" s="210"/>
      <c r="AE5662" s="434"/>
      <c r="AF5662" s="435"/>
      <c r="AG5662" s="49"/>
      <c r="AH5662" s="87"/>
      <c r="AI5662" s="87"/>
    </row>
    <row r="5663" spans="1:35" hidden="1">
      <c r="A5663" s="80" t="e">
        <f>"A"&amp;E5659</f>
        <v>#N/A</v>
      </c>
      <c r="B5663" s="81">
        <v>1</v>
      </c>
      <c r="C5663" s="82"/>
      <c r="D5663" s="82"/>
      <c r="E5663" s="82"/>
      <c r="F5663" s="82"/>
      <c r="G5663" s="83"/>
      <c r="H5663" s="83"/>
      <c r="I5663" s="84"/>
      <c r="J5663" s="85"/>
      <c r="K5663" s="382"/>
      <c r="L5663" s="85"/>
      <c r="M5663" s="332" t="str">
        <f t="shared" ref="M5663:M5672" si="1681">IF(OR(J5663="",L5663="",H5663="NO"),"",IF(OR(J5663&gt;$P$17,J5663&lt;$O$17,L5663&gt;$P$17,AND(J5663&lt;$O$17,L5663&lt;$O$17)),"FUERA DE RANGO",IF(OR(K5663="---",K5663=""),IF(J5663&gt;=$O$17,ROUND((L5663-J5663+1)/360*12,3),ROUND((L5663-$O$17+1)/360*12,3)),IF(J5663&gt;=$O$17,ROUND((L5663-J5663+1)/360*12-ROUND(K5663,3),3),ROUND((L5663-$O$17+1)/360*12-ROUND(K5663,3),3)))))</f>
        <v/>
      </c>
      <c r="N5663" s="86"/>
      <c r="O5663" s="453" t="str">
        <f>IF(OR(G5663="",N5663=""),"",N5663*G5663)</f>
        <v/>
      </c>
      <c r="P5663" s="538" t="str">
        <f>IF(OR(H5663="",M5663="FUERA DE RANGO"),"",IF(OR(L5663&lt;$O$17,L5663&gt;$P$17,L5663="",H5663="NO"),"",IF(OR(N5663="",O5663=""),"",ROUND(O5663,3))))</f>
        <v/>
      </c>
      <c r="Q5663" s="539" t="str">
        <f t="shared" ref="Q5663:Q5672" si="1682">IF(AND(H5663="SI",P5663&lt;&gt;""),ROUND(P5663/M5663,3),"")</f>
        <v/>
      </c>
      <c r="R5663" s="737"/>
      <c r="S5663" s="738"/>
      <c r="T5663" s="739"/>
      <c r="U5663" s="470"/>
      <c r="V5663" s="165"/>
      <c r="W5663" s="446"/>
      <c r="X5663" s="456"/>
      <c r="Y5663" s="436"/>
      <c r="Z5663" s="437"/>
      <c r="AA5663" s="560"/>
      <c r="AB5663" s="561"/>
      <c r="AC5663" s="87"/>
      <c r="AD5663" s="466"/>
      <c r="AE5663" s="456"/>
      <c r="AF5663" s="467"/>
      <c r="AG5663" s="87"/>
      <c r="AH5663" s="87"/>
      <c r="AI5663" s="87"/>
    </row>
    <row r="5664" spans="1:35" hidden="1">
      <c r="A5664" s="80" t="e">
        <f>"B"&amp;E5659</f>
        <v>#N/A</v>
      </c>
      <c r="B5664" s="81">
        <v>2</v>
      </c>
      <c r="C5664" s="106"/>
      <c r="D5664" s="106"/>
      <c r="E5664" s="106"/>
      <c r="F5664" s="106"/>
      <c r="G5664" s="83"/>
      <c r="H5664" s="83"/>
      <c r="I5664" s="84"/>
      <c r="J5664" s="85"/>
      <c r="K5664" s="382"/>
      <c r="L5664" s="85"/>
      <c r="M5664" s="332" t="str">
        <f t="shared" si="1681"/>
        <v/>
      </c>
      <c r="N5664" s="86"/>
      <c r="O5664" s="453" t="str">
        <f t="shared" ref="O5664:O5672" si="1683">IF(OR(G5664="",N5664=""),"",N5664*G5664)</f>
        <v/>
      </c>
      <c r="P5664" s="538" t="str">
        <f t="shared" ref="P5664:P5672" si="1684">IF(OR(H5664="",M5664="FUERA DE RANGO"),"",IF(OR(L5664&lt;$O$17,L5664&gt;$P$17,L5664="",H5664="NO"),"",IF(OR(N5664="",O5664=""),"",ROUND(O5664,3))))</f>
        <v/>
      </c>
      <c r="Q5664" s="539" t="str">
        <f t="shared" si="1682"/>
        <v/>
      </c>
      <c r="R5664" s="740"/>
      <c r="S5664" s="741"/>
      <c r="T5664" s="742"/>
      <c r="U5664" s="471"/>
      <c r="V5664" s="165"/>
      <c r="W5664" s="446"/>
      <c r="X5664" s="456"/>
      <c r="Y5664" s="436"/>
      <c r="Z5664" s="437"/>
      <c r="AA5664" s="560"/>
      <c r="AB5664" s="561"/>
      <c r="AC5664" s="87"/>
      <c r="AD5664" s="466"/>
      <c r="AE5664" s="456"/>
      <c r="AF5664" s="467"/>
      <c r="AG5664" s="87"/>
      <c r="AH5664" s="87"/>
      <c r="AI5664" s="87"/>
    </row>
    <row r="5665" spans="1:35" hidden="1">
      <c r="A5665" s="80" t="e">
        <f>"C"&amp;E5659</f>
        <v>#N/A</v>
      </c>
      <c r="B5665" s="88">
        <v>3</v>
      </c>
      <c r="C5665" s="82"/>
      <c r="D5665" s="82"/>
      <c r="E5665" s="82"/>
      <c r="F5665" s="82"/>
      <c r="G5665" s="83"/>
      <c r="H5665" s="83"/>
      <c r="I5665" s="84"/>
      <c r="J5665" s="85"/>
      <c r="K5665" s="382"/>
      <c r="L5665" s="85"/>
      <c r="M5665" s="332" t="str">
        <f t="shared" si="1681"/>
        <v/>
      </c>
      <c r="N5665" s="86"/>
      <c r="O5665" s="453" t="str">
        <f t="shared" si="1683"/>
        <v/>
      </c>
      <c r="P5665" s="538" t="str">
        <f t="shared" si="1684"/>
        <v/>
      </c>
      <c r="Q5665" s="539" t="str">
        <f t="shared" si="1682"/>
        <v/>
      </c>
      <c r="R5665" s="706"/>
      <c r="S5665" s="707"/>
      <c r="T5665" s="708"/>
      <c r="U5665" s="472"/>
      <c r="V5665" s="166"/>
      <c r="W5665" s="446"/>
      <c r="X5665" s="456"/>
      <c r="Y5665" s="436"/>
      <c r="Z5665" s="437"/>
      <c r="AA5665" s="560"/>
      <c r="AB5665" s="561"/>
      <c r="AC5665" s="87"/>
      <c r="AD5665" s="466"/>
      <c r="AE5665" s="456"/>
      <c r="AF5665" s="467"/>
      <c r="AG5665" s="87"/>
      <c r="AH5665" s="87"/>
      <c r="AI5665" s="87"/>
    </row>
    <row r="5666" spans="1:35" hidden="1">
      <c r="A5666" s="80" t="e">
        <f>"D"&amp;E5659</f>
        <v>#N/A</v>
      </c>
      <c r="B5666" s="105">
        <v>4</v>
      </c>
      <c r="C5666" s="107"/>
      <c r="D5666" s="107"/>
      <c r="E5666" s="107"/>
      <c r="F5666" s="107"/>
      <c r="G5666" s="83"/>
      <c r="H5666" s="83"/>
      <c r="I5666" s="84"/>
      <c r="J5666" s="85"/>
      <c r="K5666" s="382"/>
      <c r="L5666" s="85"/>
      <c r="M5666" s="332" t="str">
        <f t="shared" si="1681"/>
        <v/>
      </c>
      <c r="N5666" s="86"/>
      <c r="O5666" s="453" t="str">
        <f t="shared" si="1683"/>
        <v/>
      </c>
      <c r="P5666" s="538" t="str">
        <f t="shared" si="1684"/>
        <v/>
      </c>
      <c r="Q5666" s="539" t="str">
        <f t="shared" si="1682"/>
        <v/>
      </c>
      <c r="R5666" s="706"/>
      <c r="S5666" s="707"/>
      <c r="T5666" s="708"/>
      <c r="U5666" s="472"/>
      <c r="V5666" s="166"/>
      <c r="W5666" s="446"/>
      <c r="X5666" s="456"/>
      <c r="Y5666" s="436"/>
      <c r="Z5666" s="437"/>
      <c r="AA5666" s="560"/>
      <c r="AB5666" s="561"/>
      <c r="AC5666" s="87"/>
      <c r="AD5666" s="466"/>
      <c r="AE5666" s="456"/>
      <c r="AF5666" s="467"/>
      <c r="AG5666" s="87"/>
      <c r="AH5666" s="87"/>
      <c r="AI5666" s="87"/>
    </row>
    <row r="5667" spans="1:35" hidden="1">
      <c r="A5667" s="80" t="e">
        <f>"E"&amp;E5659</f>
        <v>#N/A</v>
      </c>
      <c r="B5667" s="105">
        <v>5</v>
      </c>
      <c r="C5667" s="107"/>
      <c r="D5667" s="107"/>
      <c r="E5667" s="107"/>
      <c r="F5667" s="107"/>
      <c r="G5667" s="83"/>
      <c r="H5667" s="83"/>
      <c r="I5667" s="84"/>
      <c r="J5667" s="85"/>
      <c r="K5667" s="382"/>
      <c r="L5667" s="85"/>
      <c r="M5667" s="332" t="str">
        <f t="shared" si="1681"/>
        <v/>
      </c>
      <c r="N5667" s="86"/>
      <c r="O5667" s="453" t="str">
        <f t="shared" si="1683"/>
        <v/>
      </c>
      <c r="P5667" s="538" t="str">
        <f t="shared" si="1684"/>
        <v/>
      </c>
      <c r="Q5667" s="539" t="str">
        <f t="shared" si="1682"/>
        <v/>
      </c>
      <c r="R5667" s="706"/>
      <c r="S5667" s="707"/>
      <c r="T5667" s="708"/>
      <c r="U5667" s="472"/>
      <c r="V5667" s="167"/>
      <c r="W5667" s="446"/>
      <c r="X5667" s="456"/>
      <c r="Y5667" s="436"/>
      <c r="Z5667" s="437"/>
      <c r="AA5667" s="560"/>
      <c r="AB5667" s="561"/>
      <c r="AC5667" s="87"/>
      <c r="AD5667" s="466"/>
      <c r="AE5667" s="456"/>
      <c r="AF5667" s="467"/>
      <c r="AG5667" s="87"/>
      <c r="AH5667" s="87"/>
      <c r="AI5667" s="87"/>
    </row>
    <row r="5668" spans="1:35" hidden="1">
      <c r="A5668" s="80" t="e">
        <f>"F"&amp;E5659</f>
        <v>#N/A</v>
      </c>
      <c r="B5668" s="105">
        <v>6</v>
      </c>
      <c r="C5668" s="107"/>
      <c r="D5668" s="107"/>
      <c r="E5668" s="107"/>
      <c r="F5668" s="107"/>
      <c r="G5668" s="83"/>
      <c r="H5668" s="83"/>
      <c r="I5668" s="84"/>
      <c r="J5668" s="85"/>
      <c r="K5668" s="382"/>
      <c r="L5668" s="85"/>
      <c r="M5668" s="332" t="str">
        <f t="shared" si="1681"/>
        <v/>
      </c>
      <c r="N5668" s="86"/>
      <c r="O5668" s="453" t="str">
        <f t="shared" si="1683"/>
        <v/>
      </c>
      <c r="P5668" s="538" t="str">
        <f t="shared" si="1684"/>
        <v/>
      </c>
      <c r="Q5668" s="539" t="str">
        <f t="shared" si="1682"/>
        <v/>
      </c>
      <c r="R5668" s="706"/>
      <c r="S5668" s="707"/>
      <c r="T5668" s="708"/>
      <c r="U5668" s="472"/>
      <c r="V5668" s="167"/>
      <c r="W5668" s="446"/>
      <c r="X5668" s="456"/>
      <c r="Y5668" s="436"/>
      <c r="Z5668" s="437"/>
      <c r="AA5668" s="560"/>
      <c r="AB5668" s="561"/>
      <c r="AC5668" s="87"/>
      <c r="AD5668" s="466"/>
      <c r="AE5668" s="456"/>
      <c r="AF5668" s="467"/>
      <c r="AG5668" s="87"/>
      <c r="AH5668" s="87"/>
      <c r="AI5668" s="87"/>
    </row>
    <row r="5669" spans="1:35" hidden="1">
      <c r="A5669" s="80" t="e">
        <f>"G"&amp;E5659</f>
        <v>#N/A</v>
      </c>
      <c r="B5669" s="105">
        <v>7</v>
      </c>
      <c r="C5669" s="107"/>
      <c r="D5669" s="107"/>
      <c r="E5669" s="107"/>
      <c r="F5669" s="107"/>
      <c r="G5669" s="83"/>
      <c r="H5669" s="83"/>
      <c r="I5669" s="84"/>
      <c r="J5669" s="85"/>
      <c r="K5669" s="382"/>
      <c r="L5669" s="85"/>
      <c r="M5669" s="332" t="str">
        <f t="shared" si="1681"/>
        <v/>
      </c>
      <c r="N5669" s="86"/>
      <c r="O5669" s="86" t="str">
        <f t="shared" si="1683"/>
        <v/>
      </c>
      <c r="P5669" s="538" t="str">
        <f t="shared" si="1684"/>
        <v/>
      </c>
      <c r="Q5669" s="539" t="str">
        <f t="shared" si="1682"/>
        <v/>
      </c>
      <c r="R5669" s="706"/>
      <c r="S5669" s="707"/>
      <c r="T5669" s="708"/>
      <c r="U5669" s="472"/>
      <c r="V5669" s="167"/>
      <c r="W5669" s="446"/>
      <c r="X5669" s="456"/>
      <c r="Y5669" s="436"/>
      <c r="Z5669" s="437"/>
      <c r="AA5669" s="560"/>
      <c r="AB5669" s="561"/>
      <c r="AC5669" s="87"/>
      <c r="AD5669" s="466"/>
      <c r="AE5669" s="456"/>
      <c r="AF5669" s="467"/>
      <c r="AG5669" s="87"/>
      <c r="AH5669" s="87"/>
      <c r="AI5669" s="87"/>
    </row>
    <row r="5670" spans="1:35" hidden="1">
      <c r="A5670" s="80" t="e">
        <f>"H"&amp;E5659</f>
        <v>#N/A</v>
      </c>
      <c r="B5670" s="105">
        <v>8</v>
      </c>
      <c r="C5670" s="107"/>
      <c r="D5670" s="107"/>
      <c r="E5670" s="107"/>
      <c r="F5670" s="107"/>
      <c r="G5670" s="83"/>
      <c r="H5670" s="83"/>
      <c r="I5670" s="84"/>
      <c r="J5670" s="85"/>
      <c r="K5670" s="382"/>
      <c r="L5670" s="85"/>
      <c r="M5670" s="332" t="str">
        <f t="shared" si="1681"/>
        <v/>
      </c>
      <c r="N5670" s="453"/>
      <c r="O5670" s="86" t="str">
        <f t="shared" si="1683"/>
        <v/>
      </c>
      <c r="P5670" s="538" t="str">
        <f t="shared" si="1684"/>
        <v/>
      </c>
      <c r="Q5670" s="539" t="str">
        <f t="shared" si="1682"/>
        <v/>
      </c>
      <c r="R5670" s="706"/>
      <c r="S5670" s="707"/>
      <c r="T5670" s="708"/>
      <c r="U5670" s="472"/>
      <c r="V5670" s="167"/>
      <c r="W5670" s="446"/>
      <c r="X5670" s="456"/>
      <c r="Y5670" s="436"/>
      <c r="Z5670" s="437"/>
      <c r="AA5670" s="560"/>
      <c r="AB5670" s="561"/>
      <c r="AC5670" s="87"/>
      <c r="AD5670" s="466"/>
      <c r="AE5670" s="456"/>
      <c r="AF5670" s="467"/>
      <c r="AG5670" s="87"/>
      <c r="AH5670" s="87"/>
      <c r="AI5670" s="87"/>
    </row>
    <row r="5671" spans="1:35" hidden="1">
      <c r="A5671" s="80" t="e">
        <f>"I"&amp;E5659</f>
        <v>#N/A</v>
      </c>
      <c r="B5671" s="105">
        <v>9</v>
      </c>
      <c r="C5671" s="107"/>
      <c r="D5671" s="107"/>
      <c r="E5671" s="107"/>
      <c r="F5671" s="107"/>
      <c r="G5671" s="83"/>
      <c r="H5671" s="83"/>
      <c r="I5671" s="84"/>
      <c r="J5671" s="85"/>
      <c r="K5671" s="382"/>
      <c r="L5671" s="85"/>
      <c r="M5671" s="332" t="str">
        <f t="shared" si="1681"/>
        <v/>
      </c>
      <c r="N5671" s="453"/>
      <c r="O5671" s="86" t="str">
        <f t="shared" si="1683"/>
        <v/>
      </c>
      <c r="P5671" s="538" t="str">
        <f t="shared" si="1684"/>
        <v/>
      </c>
      <c r="Q5671" s="539" t="str">
        <f t="shared" si="1682"/>
        <v/>
      </c>
      <c r="R5671" s="706"/>
      <c r="S5671" s="707"/>
      <c r="T5671" s="708"/>
      <c r="U5671" s="472"/>
      <c r="V5671" s="167"/>
      <c r="W5671" s="446"/>
      <c r="X5671" s="456"/>
      <c r="Y5671" s="436"/>
      <c r="Z5671" s="437"/>
      <c r="AA5671" s="560"/>
      <c r="AB5671" s="561"/>
      <c r="AC5671" s="87"/>
      <c r="AD5671" s="466"/>
      <c r="AE5671" s="456"/>
      <c r="AF5671" s="467"/>
      <c r="AG5671" s="87"/>
      <c r="AH5671" s="87"/>
      <c r="AI5671" s="87"/>
    </row>
    <row r="5672" spans="1:35" hidden="1">
      <c r="A5672" s="80" t="e">
        <f>"J"&amp;E5659</f>
        <v>#N/A</v>
      </c>
      <c r="B5672" s="105">
        <v>10</v>
      </c>
      <c r="C5672" s="107"/>
      <c r="D5672" s="107"/>
      <c r="E5672" s="107"/>
      <c r="F5672" s="107"/>
      <c r="G5672" s="83"/>
      <c r="H5672" s="83"/>
      <c r="I5672" s="84"/>
      <c r="J5672" s="85"/>
      <c r="K5672" s="382"/>
      <c r="L5672" s="85"/>
      <c r="M5672" s="332" t="str">
        <f t="shared" si="1681"/>
        <v/>
      </c>
      <c r="N5672" s="453"/>
      <c r="O5672" s="86" t="str">
        <f t="shared" si="1683"/>
        <v/>
      </c>
      <c r="P5672" s="538" t="str">
        <f t="shared" si="1684"/>
        <v/>
      </c>
      <c r="Q5672" s="539" t="str">
        <f t="shared" si="1682"/>
        <v/>
      </c>
      <c r="R5672" s="706"/>
      <c r="S5672" s="707"/>
      <c r="T5672" s="708"/>
      <c r="U5672" s="472"/>
      <c r="V5672" s="167"/>
      <c r="W5672" s="446"/>
      <c r="X5672" s="456"/>
      <c r="Y5672" s="436"/>
      <c r="Z5672" s="437"/>
      <c r="AA5672" s="560"/>
      <c r="AB5672" s="561"/>
      <c r="AC5672" s="87"/>
      <c r="AD5672" s="466"/>
      <c r="AE5672" s="456"/>
      <c r="AF5672" s="467"/>
      <c r="AG5672" s="87"/>
      <c r="AH5672" s="87"/>
      <c r="AI5672" s="87"/>
    </row>
    <row r="5673" spans="1:35" ht="16.5" hidden="1" thickBot="1">
      <c r="A5673" s="44"/>
      <c r="B5673" s="89"/>
      <c r="C5673" s="90"/>
      <c r="D5673" s="90"/>
      <c r="E5673" s="90"/>
      <c r="F5673" s="90"/>
      <c r="G5673" s="90"/>
      <c r="H5673" s="90"/>
      <c r="I5673" s="90"/>
      <c r="J5673" s="90"/>
      <c r="K5673" s="90"/>
      <c r="L5673" s="90"/>
      <c r="M5673" s="90"/>
      <c r="N5673" s="90"/>
      <c r="O5673" s="90"/>
      <c r="P5673" s="90"/>
      <c r="Q5673" s="90"/>
      <c r="R5673" s="90"/>
      <c r="S5673" s="91"/>
      <c r="T5673" s="92"/>
      <c r="U5673" s="473"/>
      <c r="W5673" s="438"/>
      <c r="X5673" s="455"/>
      <c r="Y5673" s="439"/>
      <c r="Z5673" s="437"/>
      <c r="AA5673" s="530"/>
      <c r="AB5673" s="563"/>
      <c r="AC5673" s="87"/>
      <c r="AD5673" s="440"/>
      <c r="AE5673" s="441"/>
      <c r="AF5673" s="442"/>
      <c r="AG5673" s="49"/>
      <c r="AH5673" s="87"/>
      <c r="AI5673" s="87"/>
    </row>
    <row r="5674" spans="1:35" ht="16.5" hidden="1" thickBot="1">
      <c r="A5674" s="93"/>
      <c r="B5674" s="94"/>
      <c r="C5674" s="96"/>
      <c r="D5674" s="96"/>
      <c r="E5674" s="96"/>
      <c r="F5674" s="96"/>
      <c r="G5674" s="96"/>
      <c r="H5674" s="96"/>
      <c r="I5674" s="96"/>
      <c r="J5674" s="96"/>
      <c r="K5674" s="96"/>
      <c r="L5674" s="96"/>
      <c r="M5674" s="136"/>
      <c r="N5674" s="96"/>
      <c r="O5674" s="96"/>
      <c r="P5674" s="97"/>
      <c r="Q5674" s="97"/>
      <c r="R5674" s="98"/>
      <c r="S5674" s="95"/>
      <c r="T5674" s="99"/>
      <c r="U5674" s="469"/>
      <c r="AC5674" s="58"/>
      <c r="AG5674" s="58"/>
      <c r="AH5674" s="87"/>
      <c r="AI5674" s="87"/>
    </row>
    <row r="5675" spans="1:35" ht="16.5" hidden="1" thickBot="1">
      <c r="B5675" s="101"/>
      <c r="C5675" s="101"/>
      <c r="D5675" s="101"/>
      <c r="E5675" s="101"/>
      <c r="F5675" s="101"/>
      <c r="G5675" s="101"/>
      <c r="H5675" s="101"/>
      <c r="I5675" s="101"/>
      <c r="J5675" s="101"/>
      <c r="K5675" s="101"/>
      <c r="L5675" s="101"/>
      <c r="M5675" s="101"/>
      <c r="N5675" s="101"/>
      <c r="O5675" s="101"/>
      <c r="P5675" s="101"/>
      <c r="Q5675" s="101"/>
      <c r="R5675" s="101"/>
      <c r="S5675" s="101"/>
      <c r="U5675" s="50"/>
      <c r="AH5675" s="87"/>
      <c r="AI5675" s="87"/>
    </row>
    <row r="5676" spans="1:35" ht="16.5" hidden="1" customHeight="1" thickBot="1">
      <c r="A5676" s="44"/>
      <c r="B5676" s="705" t="s">
        <v>74</v>
      </c>
      <c r="C5676" s="705"/>
      <c r="D5676" s="705"/>
      <c r="E5676" s="705"/>
      <c r="F5676" s="705"/>
      <c r="G5676" s="705"/>
      <c r="H5676" s="705"/>
      <c r="I5676" s="705"/>
      <c r="J5676" s="705"/>
      <c r="K5676" s="705"/>
      <c r="L5676" s="705"/>
      <c r="M5676" s="705"/>
      <c r="N5676" s="705"/>
      <c r="O5676" s="705"/>
      <c r="P5676" s="705"/>
      <c r="Q5676" s="705"/>
      <c r="R5676" s="705"/>
      <c r="S5676" s="705"/>
      <c r="T5676" s="705"/>
      <c r="U5676" s="108"/>
      <c r="Y5676" s="532" t="s">
        <v>341</v>
      </c>
      <c r="AC5676" s="49"/>
      <c r="AD5676" s="687" t="s">
        <v>302</v>
      </c>
      <c r="AE5676" s="688"/>
      <c r="AF5676" s="689"/>
      <c r="AG5676" s="49"/>
      <c r="AH5676" s="87"/>
      <c r="AI5676" s="87"/>
    </row>
    <row r="5677" spans="1:35" ht="16.5" hidden="1" customHeight="1" thickBot="1">
      <c r="A5677" s="218" t="e">
        <f>"K"&amp;E5659</f>
        <v>#N/A</v>
      </c>
      <c r="B5677" s="701" t="s">
        <v>71</v>
      </c>
      <c r="C5677" s="751" t="s">
        <v>102</v>
      </c>
      <c r="D5677" s="751"/>
      <c r="E5677" s="751"/>
      <c r="F5677" s="751"/>
      <c r="G5677" s="751"/>
      <c r="H5677" s="751"/>
      <c r="I5677" s="751"/>
      <c r="J5677" s="751"/>
      <c r="K5677" s="751"/>
      <c r="L5677" s="722" t="s">
        <v>100</v>
      </c>
      <c r="M5677" s="747" t="s">
        <v>114</v>
      </c>
      <c r="N5677" s="747"/>
      <c r="O5677" s="747"/>
      <c r="P5677" s="747"/>
      <c r="Q5677" s="748"/>
      <c r="R5677" s="758" t="s">
        <v>280</v>
      </c>
      <c r="S5677" s="748"/>
      <c r="T5677" s="762" t="str">
        <f>IF(COUNTIF(AE5677:AF5677,"VERIFICAR")&gt;0,"VERIFICAR",IF(COUNTIF(AE5677:AF5677,"NO CUMPLE")&gt;0,"NO CUMPLE","CUMPLE"))</f>
        <v>VERIFICAR</v>
      </c>
      <c r="U5677" s="108"/>
      <c r="Y5677" s="533" t="e">
        <f>IF(F5678="","",IF(F5678=1,"INDIVIDUAL","ESTRUCTURA PLURAL"))</f>
        <v>#N/A</v>
      </c>
      <c r="AC5677" s="52"/>
      <c r="AD5677" s="475" t="s">
        <v>303</v>
      </c>
      <c r="AE5677" s="476" t="str">
        <f>IF(COUNTIF(AE5663:AE5672,"")=10,"VERIFICAR",IF(COUNTIF(AE5663:AE5672,"SI")&gt;0,"CUMPLE","NO CUMPLE"))</f>
        <v>VERIFICAR</v>
      </c>
      <c r="AF5677" s="477" t="str">
        <f>IF(COUNTIF(AF5663:AF5672,"")=10,"VERIFICAR",IF(COUNTIF(AF5663:AF5672,"SI")&gt;=$AI$22,"CUMPLE","NO CUMPLE"))</f>
        <v>VERIFICAR</v>
      </c>
      <c r="AG5677" s="52"/>
      <c r="AH5677" s="87"/>
      <c r="AI5677" s="87"/>
    </row>
    <row r="5678" spans="1:35" ht="15.75" hidden="1" customHeight="1" thickBot="1">
      <c r="A5678" s="218" t="e">
        <f>"L"&amp;E5659</f>
        <v>#N/A</v>
      </c>
      <c r="B5678" s="702"/>
      <c r="C5678" s="751" t="s">
        <v>103</v>
      </c>
      <c r="D5678" s="751"/>
      <c r="E5678" s="752"/>
      <c r="F5678" s="557" t="e">
        <f>IF(VLOOKUP(E5659,PROPONENTES!$C$19:$E$218,3,0)="","",VLOOKUP(E5659,PROPONENTES!$C$19:$E$218,3,0))</f>
        <v>#N/A</v>
      </c>
      <c r="G5678" s="753" t="s">
        <v>104</v>
      </c>
      <c r="H5678" s="751"/>
      <c r="I5678" s="715" t="e">
        <f>IF(OR(F5678="",F5678=1),"INTERESADO PERSONA NATURAL O JURIDICA","CONSORCIO O UNION TEMPORAL")</f>
        <v>#N/A</v>
      </c>
      <c r="J5678" s="725"/>
      <c r="K5678" s="728"/>
      <c r="L5678" s="723"/>
      <c r="M5678" s="749"/>
      <c r="N5678" s="749"/>
      <c r="O5678" s="749"/>
      <c r="P5678" s="749"/>
      <c r="Q5678" s="750"/>
      <c r="R5678" s="712"/>
      <c r="S5678" s="750"/>
      <c r="T5678" s="763"/>
      <c r="U5678" s="108"/>
      <c r="Y5678" s="534"/>
      <c r="AA5678" s="52"/>
      <c r="AB5678" s="52"/>
      <c r="AC5678" s="52"/>
      <c r="AG5678" s="52"/>
      <c r="AH5678" s="87"/>
      <c r="AI5678" s="87"/>
    </row>
    <row r="5679" spans="1:35" ht="56.25" hidden="1" customHeight="1" thickBot="1">
      <c r="A5679" s="218" t="e">
        <f>"M"&amp;E5659</f>
        <v>#N/A</v>
      </c>
      <c r="B5679" s="702"/>
      <c r="C5679" s="725" t="s">
        <v>101</v>
      </c>
      <c r="D5679" s="716"/>
      <c r="E5679" s="558" t="s">
        <v>105</v>
      </c>
      <c r="F5679" s="554" t="s">
        <v>87</v>
      </c>
      <c r="G5679" s="553" t="s">
        <v>86</v>
      </c>
      <c r="H5679" s="559" t="s">
        <v>85</v>
      </c>
      <c r="I5679" s="554" t="s">
        <v>252</v>
      </c>
      <c r="J5679" s="553" t="str">
        <f>"¿EL INTEGRANTE TIENE UNA PARTICIPACIÓN DEL "&amp;PORCREQUERIDOINT*100&amp;"%?"</f>
        <v>¿EL INTEGRANTE TIENE UNA PARTICIPACIÓN DEL 60%?</v>
      </c>
      <c r="K5679" s="554" t="s">
        <v>107</v>
      </c>
      <c r="L5679" s="724"/>
      <c r="M5679" s="717" t="s">
        <v>115</v>
      </c>
      <c r="N5679" s="718"/>
      <c r="O5679" s="718"/>
      <c r="P5679" s="718"/>
      <c r="Q5679" s="223">
        <f>IF(AND(H5663="SI",P5663&gt;=0),1,0)+IF(AND(H5664="SI",P5664&gt;=0),1,0)+IF(AND(H5665="SI",P5665&gt;=0),1,0)+IF(AND(H5666="SI",P5666&gt;=0),1,0)+IF(AND(H5667="SI",P5667&gt;=0),1,0)+IF(AND(H5668="SI",P5668&gt;=0),1,0)+IF(AND(H5669="SI",P5669&gt;=0),1,0)+IF(AND(H5670="SI",P5670&gt;=0),1,0)+IF(AND(H5671="SI",P5671&gt;=0),1,0)+IF(AND(H5672="SI",P5672&gt;=0),1,0)</f>
        <v>0</v>
      </c>
      <c r="R5679" s="759"/>
      <c r="S5679" s="761"/>
      <c r="T5679" s="764"/>
      <c r="U5679" s="219"/>
      <c r="V5679" s="464"/>
      <c r="Y5679" s="532" t="s">
        <v>342</v>
      </c>
      <c r="AA5679" s="550" t="s">
        <v>344</v>
      </c>
      <c r="AB5679" s="693" t="s">
        <v>345</v>
      </c>
      <c r="AC5679" s="693" t="s">
        <v>346</v>
      </c>
      <c r="AD5679" s="685" t="s">
        <v>347</v>
      </c>
      <c r="AE5679" s="52"/>
      <c r="AF5679" s="52"/>
      <c r="AG5679" s="52"/>
      <c r="AH5679" s="87"/>
      <c r="AI5679" s="87"/>
    </row>
    <row r="5680" spans="1:35" ht="15.75" hidden="1" customHeight="1" thickBot="1">
      <c r="A5680" s="218" t="e">
        <f>"N"&amp;E5659</f>
        <v>#N/A</v>
      </c>
      <c r="B5680" s="702"/>
      <c r="C5680" s="114">
        <v>1</v>
      </c>
      <c r="D5680" s="194" t="e">
        <f>IF(AND(C5680&lt;=F5678,F5678&gt;1,F5678&lt;&gt;""),VLOOKUP(VALUE(E5659&amp;","&amp;C5680),INTEGRANTES!$D$18:$F$235,2,0),"")</f>
        <v>#N/A</v>
      </c>
      <c r="E5680" s="211" t="e">
        <f>IF(D5680&lt;&gt;"",VLOOKUP(VALUE(E5659&amp;","&amp;C5680),INTEGRANTES!$D$18:$F$235,3,0),"")</f>
        <v>#N/A</v>
      </c>
      <c r="F5680" s="547" t="e">
        <f>IF(D5680="","",SUMIF($I5663:$I5672,D5680,$P5663:$P5672))</f>
        <v>#N/A</v>
      </c>
      <c r="G5680" s="333" t="e">
        <f>IF(D5680="","",SUMIF($I5663:$I5672,D5680,$M5663:$M5672))</f>
        <v>#N/A</v>
      </c>
      <c r="H5680" s="535" t="e">
        <f t="shared" ref="H5680:H5685" si="1685">IF(D5680="","",IF(OR(F5680=0,G5680=0),"NO APORTA",ROUND($F5680/$G5680,3)))</f>
        <v>#N/A</v>
      </c>
      <c r="I5680" s="212" t="e">
        <f>IF(D5680="","",IF(H5680="NO APORTA","NO",IF(H5680=MAX($H5680:$H5685),"SI","NO")))</f>
        <v>#N/A</v>
      </c>
      <c r="J5680" s="213" t="e">
        <f t="shared" ref="J5680:J5685" si="1686">IF(D5680="","",IF(E5680&gt;=PORCREQUERIDOINT,"SI","NO"))</f>
        <v>#N/A</v>
      </c>
      <c r="K5680" s="200" t="e">
        <f t="shared" ref="K5680:K5685" si="1687">IF(D5680="","",IF(AND(I5680="SI",J5680="SI"),"CUMPLE",IF(AND(I5680="NO",OR(J5680="SI",J5680="NO")),"","NO CUMPLE")))</f>
        <v>#N/A</v>
      </c>
      <c r="L5680" s="722" t="s">
        <v>108</v>
      </c>
      <c r="M5680" s="726" t="s">
        <v>119</v>
      </c>
      <c r="N5680" s="726"/>
      <c r="O5680" s="726"/>
      <c r="P5680" s="726"/>
      <c r="Q5680" s="727"/>
      <c r="R5680" s="758" t="s">
        <v>80</v>
      </c>
      <c r="S5680" s="747"/>
      <c r="T5680" s="748"/>
      <c r="U5680" s="219"/>
      <c r="V5680" s="464"/>
      <c r="Y5680" s="533" t="e">
        <f>IF(Y5677="","",IF(Y5677="INDIVIDUAL","NO APLICA","VERIFICAR CUADRO"))</f>
        <v>#N/A</v>
      </c>
      <c r="AA5680" s="551"/>
      <c r="AB5680" s="694"/>
      <c r="AC5680" s="694"/>
      <c r="AD5680" s="686"/>
      <c r="AE5680" s="52"/>
      <c r="AF5680" s="52"/>
      <c r="AG5680" s="52"/>
      <c r="AH5680" s="87"/>
      <c r="AI5680" s="87"/>
    </row>
    <row r="5681" spans="1:35" ht="27" hidden="1" customHeight="1" thickBot="1">
      <c r="A5681" s="218" t="e">
        <f>"O"&amp;E5659</f>
        <v>#N/A</v>
      </c>
      <c r="B5681" s="702"/>
      <c r="C5681" s="114">
        <v>2</v>
      </c>
      <c r="D5681" s="194" t="e">
        <f>IF(AND(C5681&lt;=F5678,F5678&lt;&gt;""),VLOOKUP(VALUE(E5659&amp;","&amp;C5681),INTEGRANTES!$D$18:$F$235,2,0),"")</f>
        <v>#N/A</v>
      </c>
      <c r="E5681" s="211" t="e">
        <f>IF(D5681&lt;&gt;"",VLOOKUP(VALUE(E5659&amp;","&amp;C5681),INTEGRANTES!$D$18:$F$235,3,0),"")</f>
        <v>#N/A</v>
      </c>
      <c r="F5681" s="547" t="e">
        <f>IF(D5681="","",SUMIF($I5663:$I5672,D5681,$P5663:$P5672))</f>
        <v>#N/A</v>
      </c>
      <c r="G5681" s="333" t="e">
        <f>IF(D5681="","",SUMIF($I5663:$I5672,D5681,$M5663:$M5672))</f>
        <v>#N/A</v>
      </c>
      <c r="H5681" s="535" t="e">
        <f t="shared" si="1685"/>
        <v>#N/A</v>
      </c>
      <c r="I5681" s="212" t="e">
        <f>IF(D5681="","",IF(H5681="NO APORTA","NO",IF(H5681=MAX($H5680:$H5685),"SI","NO")))</f>
        <v>#N/A</v>
      </c>
      <c r="J5681" s="213" t="e">
        <f t="shared" si="1686"/>
        <v>#N/A</v>
      </c>
      <c r="K5681" s="200" t="e">
        <f t="shared" si="1687"/>
        <v>#N/A</v>
      </c>
      <c r="L5681" s="723"/>
      <c r="M5681" s="715" t="s">
        <v>116</v>
      </c>
      <c r="N5681" s="716"/>
      <c r="O5681" s="556" t="s">
        <v>113</v>
      </c>
      <c r="P5681" s="715" t="s">
        <v>117</v>
      </c>
      <c r="Q5681" s="728"/>
      <c r="R5681" s="759"/>
      <c r="S5681" s="760"/>
      <c r="T5681" s="761"/>
      <c r="U5681" s="219"/>
      <c r="V5681" s="464"/>
      <c r="Y5681" s="414"/>
      <c r="AA5681" s="542" t="e">
        <f>IF(AND(C5680&lt;=F5678,F5678&gt;1,F5678&lt;&gt;""),VLOOKUP(VALUE(E5659&amp;","&amp;C5680),INTEGRANTES!$D$18:$F$235,2,0),"")</f>
        <v>#N/A</v>
      </c>
      <c r="AB5681" s="544" t="e">
        <f t="shared" ref="AB5681:AB5686" si="1688">IF(D5680="","",IF(OR(F5680=0,G5680=0),"NO APORTA",ROUND($F5680/$G5680,3)))</f>
        <v>#N/A</v>
      </c>
      <c r="AC5681" s="529"/>
      <c r="AD5681" s="200" t="e">
        <f t="shared" ref="AD5681:AD5686" si="1689">IF(OR(AA5681="",AB5681=""),"",IF(AND(AC5681="X",AB5681&gt;=EXPREQVTD),"CUMPLE","NO CUMPLE"))</f>
        <v>#N/A</v>
      </c>
      <c r="AE5681" s="52"/>
      <c r="AF5681" s="52"/>
      <c r="AG5681" s="52"/>
      <c r="AH5681" s="87"/>
      <c r="AI5681" s="87"/>
    </row>
    <row r="5682" spans="1:35" ht="16.5" hidden="1" thickBot="1">
      <c r="A5682" s="218" t="e">
        <f>"P"&amp;E5659</f>
        <v>#N/A</v>
      </c>
      <c r="B5682" s="702"/>
      <c r="C5682" s="114">
        <v>3</v>
      </c>
      <c r="D5682" s="194" t="e">
        <f>IF(AND(C5682&lt;=F5678,F5678&lt;&gt;""),VLOOKUP(VALUE(E5659&amp;","&amp;C5682),INTEGRANTES!$D$18:$F$235,2,0),"")</f>
        <v>#N/A</v>
      </c>
      <c r="E5682" s="211" t="e">
        <f>IF(D5682&lt;&gt;"",VLOOKUP(VALUE(E5659&amp;","&amp;C5682),INTEGRANTES!$D$18:$F$235,3,0),"")</f>
        <v>#N/A</v>
      </c>
      <c r="F5682" s="547" t="e">
        <f>IF(D5682="","",SUMIF($I5663:$I5672,D5682,$P5663:$P5672))</f>
        <v>#N/A</v>
      </c>
      <c r="G5682" s="333" t="e">
        <f>IF(D5682="","",SUMIF($I5663:$I5672,D5682,$M5663:$M5672))</f>
        <v>#N/A</v>
      </c>
      <c r="H5682" s="535" t="e">
        <f t="shared" si="1685"/>
        <v>#N/A</v>
      </c>
      <c r="I5682" s="212" t="e">
        <f>IF(D5682="","",IF(H5682="NO APORTA","NO",IF(H5682=MAX($H5680:$H5685),"SI","NO")))</f>
        <v>#N/A</v>
      </c>
      <c r="J5682" s="213" t="e">
        <f t="shared" si="1686"/>
        <v>#N/A</v>
      </c>
      <c r="K5682" s="200" t="e">
        <f t="shared" si="1687"/>
        <v>#N/A</v>
      </c>
      <c r="L5682" s="724"/>
      <c r="M5682" s="729">
        <f>NUMMOD</f>
        <v>1</v>
      </c>
      <c r="N5682" s="730"/>
      <c r="O5682" s="443">
        <f>IF(M5682="","",VLOOKUP(M5682,PRESUPUESTOS!$B$16:$H$16,5,FALSE))</f>
        <v>2</v>
      </c>
      <c r="P5682" s="713">
        <f>IF(OR(COUNTIF(M5663:M5672,"")&gt;=10,Q5679&lt;NUMMINCONT,OR(T5677="NO CUMPLE",T5677="VERIFICAR")),0,ROUND(AVERAGE(M5663:M5672),3))</f>
        <v>0</v>
      </c>
      <c r="Q5682" s="714"/>
      <c r="R5682" s="458"/>
      <c r="S5682" s="459"/>
      <c r="T5682" s="460"/>
      <c r="U5682" s="219"/>
      <c r="V5682" s="464"/>
      <c r="Y5682" s="532" t="str">
        <f>"40% * ("&amp;PRESUPUESTOS!$H$13&amp;")"</f>
        <v>40% * (50% PFMO)</v>
      </c>
      <c r="AA5682" s="540" t="e">
        <f>IF(AND(C5681&lt;=F5678,F5678&lt;&gt;""),VLOOKUP(VALUE(E5659&amp;","&amp;C5681),INTEGRANTES!$D$18:$F$235,2,0),"")</f>
        <v>#N/A</v>
      </c>
      <c r="AB5682" s="545" t="e">
        <f t="shared" si="1688"/>
        <v>#N/A</v>
      </c>
      <c r="AC5682" s="529"/>
      <c r="AD5682" s="200" t="e">
        <f t="shared" si="1689"/>
        <v>#N/A</v>
      </c>
      <c r="AE5682" s="52"/>
      <c r="AF5682" s="52"/>
      <c r="AG5682" s="52"/>
      <c r="AH5682" s="87"/>
      <c r="AI5682" s="87"/>
    </row>
    <row r="5683" spans="1:35" ht="15.75" hidden="1" customHeight="1" thickBot="1">
      <c r="A5683" s="218" t="e">
        <f>"Q"&amp;E5659</f>
        <v>#N/A</v>
      </c>
      <c r="B5683" s="702"/>
      <c r="C5683" s="114">
        <v>4</v>
      </c>
      <c r="D5683" s="194" t="e">
        <f>IF(AND(C5683&lt;=F5678,F5678&lt;&gt;""),VLOOKUP(VALUE(E5659&amp;","&amp;C5683),INTEGRANTES!$D$18:$F$235,2,0),"")</f>
        <v>#N/A</v>
      </c>
      <c r="E5683" s="211" t="e">
        <f>IF(D5683&lt;&gt;"",VLOOKUP(VALUE(E5659&amp;","&amp;C5683),INTEGRANTES!$D$18:$F$235,3,0),"")</f>
        <v>#N/A</v>
      </c>
      <c r="F5683" s="547" t="e">
        <f>IF(D5683="","",SUMIF($I5663:$I5672,D5683,$P5663:$P5672))</f>
        <v>#N/A</v>
      </c>
      <c r="G5683" s="333" t="e">
        <f>IF(D5683="","",SUMIF($I5663:$I5672,D5683,$M5663:$M5672))</f>
        <v>#N/A</v>
      </c>
      <c r="H5683" s="535" t="e">
        <f t="shared" si="1685"/>
        <v>#N/A</v>
      </c>
      <c r="I5683" s="212" t="e">
        <f>IF(D5683="","",IF(H5683="NO APORTA","NO",IF(H5683=MAX($H5680:$H5685),"SI","NO")))</f>
        <v>#N/A</v>
      </c>
      <c r="J5683" s="213" t="e">
        <f t="shared" si="1686"/>
        <v>#N/A</v>
      </c>
      <c r="K5683" s="200" t="e">
        <f t="shared" si="1687"/>
        <v>#N/A</v>
      </c>
      <c r="L5683" s="720" t="s">
        <v>109</v>
      </c>
      <c r="M5683" s="757" t="s">
        <v>120</v>
      </c>
      <c r="N5683" s="726"/>
      <c r="O5683" s="726"/>
      <c r="P5683" s="726"/>
      <c r="Q5683" s="727"/>
      <c r="R5683" s="458"/>
      <c r="S5683" s="459"/>
      <c r="T5683" s="460"/>
      <c r="U5683" s="219"/>
      <c r="V5683" s="464"/>
      <c r="Y5683" s="537">
        <f>0.4*PRESUPUESTOS!$H$16</f>
        <v>10.3124</v>
      </c>
      <c r="AA5683" s="540" t="e">
        <f>IF(AND(C5682&lt;=F5678,F5678&lt;&gt;""),VLOOKUP(VALUE(E5659&amp;","&amp;C5682),INTEGRANTES!$D$18:$F$235,2,0),"")</f>
        <v>#N/A</v>
      </c>
      <c r="AB5683" s="545" t="e">
        <f t="shared" si="1688"/>
        <v>#N/A</v>
      </c>
      <c r="AC5683" s="529"/>
      <c r="AD5683" s="200" t="e">
        <f t="shared" si="1689"/>
        <v>#N/A</v>
      </c>
      <c r="AE5683" s="52"/>
      <c r="AF5683" s="52"/>
      <c r="AG5683" s="52"/>
      <c r="AH5683" s="87"/>
      <c r="AI5683" s="87"/>
    </row>
    <row r="5684" spans="1:35" ht="27" hidden="1" customHeight="1" thickBot="1">
      <c r="A5684" s="218" t="e">
        <f>"R"&amp;E5659</f>
        <v>#N/A</v>
      </c>
      <c r="B5684" s="702"/>
      <c r="C5684" s="114">
        <v>5</v>
      </c>
      <c r="D5684" s="194" t="e">
        <f>IF(AND(C5684&lt;=F5678,F5678&lt;&gt;""),VLOOKUP(VALUE(E5659&amp;","&amp;C5684),INTEGRANTES!$D$18:$F$235,2,0),"")</f>
        <v>#N/A</v>
      </c>
      <c r="E5684" s="211" t="e">
        <f>IF(D5684&lt;&gt;"",VLOOKUP(VALUE(E5659&amp;","&amp;C5684),INTEGRANTES!$D$18:$F$235,3,0),"")</f>
        <v>#N/A</v>
      </c>
      <c r="F5684" s="547" t="e">
        <f>IF(D5684="","",SUMIF($I5663:$I5672,D5684,$P5663:$P5672))</f>
        <v>#N/A</v>
      </c>
      <c r="G5684" s="333" t="e">
        <f>IF(D5684="","",SUMIF($I5663:$I5672,D5684,$M5663:$M5672))</f>
        <v>#N/A</v>
      </c>
      <c r="H5684" s="535" t="e">
        <f t="shared" si="1685"/>
        <v>#N/A</v>
      </c>
      <c r="I5684" s="212" t="e">
        <f>IF(D5684="","",IF(H5684="NO APORTA","NO",IF(H5684=MAX($H5680:$H5685),"SI","NO")))</f>
        <v>#N/A</v>
      </c>
      <c r="J5684" s="213" t="e">
        <f t="shared" si="1686"/>
        <v>#N/A</v>
      </c>
      <c r="K5684" s="200" t="e">
        <f t="shared" si="1687"/>
        <v>#N/A</v>
      </c>
      <c r="L5684" s="721"/>
      <c r="M5684" s="715" t="s">
        <v>116</v>
      </c>
      <c r="N5684" s="716"/>
      <c r="O5684" s="556" t="str">
        <f>PORCREQUERIDO*100&amp;"% PMFO DEL MÓDULO"</f>
        <v>50% PMFO DEL MÓDULO</v>
      </c>
      <c r="P5684" s="715" t="s">
        <v>118</v>
      </c>
      <c r="Q5684" s="728"/>
      <c r="R5684" s="458"/>
      <c r="S5684" s="459"/>
      <c r="T5684" s="460"/>
      <c r="U5684" s="219"/>
      <c r="V5684" s="464"/>
      <c r="Y5684" s="414"/>
      <c r="AA5684" s="540" t="e">
        <f>IF(AND(C5683&lt;=F5678,F5678&lt;&gt;""),VLOOKUP(VALUE(E5659&amp;","&amp;C5683),INTEGRANTES!$D$18:$F$235,2,0),"")</f>
        <v>#N/A</v>
      </c>
      <c r="AB5684" s="545" t="e">
        <f t="shared" si="1688"/>
        <v>#N/A</v>
      </c>
      <c r="AC5684" s="529"/>
      <c r="AD5684" s="200" t="e">
        <f t="shared" si="1689"/>
        <v>#N/A</v>
      </c>
      <c r="AE5684" s="52"/>
      <c r="AF5684" s="52"/>
      <c r="AG5684" s="52"/>
      <c r="AH5684" s="87"/>
      <c r="AI5684" s="87"/>
    </row>
    <row r="5685" spans="1:35" ht="16.5" hidden="1" thickBot="1">
      <c r="A5685" s="218" t="e">
        <f>"S"&amp;E5659</f>
        <v>#N/A</v>
      </c>
      <c r="B5685" s="702"/>
      <c r="C5685" s="215">
        <v>6</v>
      </c>
      <c r="D5685" s="216" t="e">
        <f>IF(AND(C5685&lt;=F5678,F5678&lt;&gt;""),VLOOKUP(VALUE(E5659&amp;","&amp;C5685),INTEGRANTES!$D$18:$F$235,2,0),"")</f>
        <v>#N/A</v>
      </c>
      <c r="E5685" s="217" t="e">
        <f>IF(D5685&lt;&gt;"",VLOOKUP(VALUE(E5659&amp;","&amp;C5685),INTEGRANTES!$D$18:$F$235,3,0),"")</f>
        <v>#N/A</v>
      </c>
      <c r="F5685" s="548" t="e">
        <f>IF(D5685="","",SUMIF($I5663:$I5672,D5685,$P5663:$P5672))</f>
        <v>#N/A</v>
      </c>
      <c r="G5685" s="334" t="e">
        <f>IF(D5685="","",SUMIF($I5663:$I5672,D5685,$M5663:$M5672))</f>
        <v>#N/A</v>
      </c>
      <c r="H5685" s="536" t="e">
        <f t="shared" si="1685"/>
        <v>#N/A</v>
      </c>
      <c r="I5685" s="214" t="e">
        <f>IF(D5685="","",IF(H5685="NO APORTA","NO",IF(H5685=MAX($H5680:$H5685),"SI","NO")))</f>
        <v>#N/A</v>
      </c>
      <c r="J5685" s="213" t="e">
        <f t="shared" si="1686"/>
        <v>#N/A</v>
      </c>
      <c r="K5685" s="200" t="e">
        <f t="shared" si="1687"/>
        <v>#N/A</v>
      </c>
      <c r="L5685" s="721"/>
      <c r="M5685" s="729">
        <f>NUMMOD</f>
        <v>1</v>
      </c>
      <c r="N5685" s="730"/>
      <c r="O5685" s="443">
        <f>IF(M5685="","",ROUND(VLOOKUP(M5685,PRESUPUESTOS!$B$16:$H$16,7,FALSE),3))</f>
        <v>25.780999999999999</v>
      </c>
      <c r="P5685" s="713">
        <f>IF(OR(COUNTIF(P5663:P5672,"")&gt;=10,Q5679&lt;NUMMINCONT,OR(T5677="NO CUMPLE",T5677="VERIFICAR")),0,ROUND((SUM(P5663:P5672)/SUM(M5663:M5672)),3))</f>
        <v>0</v>
      </c>
      <c r="Q5685" s="714"/>
      <c r="R5685" s="458"/>
      <c r="S5685" s="459"/>
      <c r="T5685" s="460"/>
      <c r="U5685" s="219"/>
      <c r="V5685" s="464"/>
      <c r="Y5685" s="532" t="s">
        <v>343</v>
      </c>
      <c r="AA5685" s="540" t="e">
        <f>IF(AND(C5684&lt;=F5678,F5678&lt;&gt;""),VLOOKUP(VALUE(E5659&amp;","&amp;C5684),INTEGRANTES!$D$18:$F$235,2,0),"")</f>
        <v>#N/A</v>
      </c>
      <c r="AB5685" s="545" t="e">
        <f t="shared" si="1688"/>
        <v>#N/A</v>
      </c>
      <c r="AC5685" s="529"/>
      <c r="AD5685" s="200" t="e">
        <f t="shared" si="1689"/>
        <v>#N/A</v>
      </c>
      <c r="AE5685" s="52"/>
      <c r="AF5685" s="52"/>
      <c r="AG5685" s="52"/>
      <c r="AH5685" s="87"/>
      <c r="AI5685" s="87"/>
    </row>
    <row r="5686" spans="1:35" ht="16.5" hidden="1" customHeight="1" thickBot="1">
      <c r="A5686" s="218" t="e">
        <f>"T"&amp;E5659</f>
        <v>#N/A</v>
      </c>
      <c r="B5686" s="703"/>
      <c r="C5686" s="719"/>
      <c r="D5686" s="719"/>
      <c r="E5686" s="719"/>
      <c r="F5686" s="719"/>
      <c r="G5686" s="719"/>
      <c r="H5686" s="719" t="s">
        <v>110</v>
      </c>
      <c r="I5686" s="719"/>
      <c r="J5686" s="719"/>
      <c r="K5686" s="201" t="str">
        <f>IF(COUNTIF(K5680:K5685,"")=6,"",IF(COUNTIF(K5680:K5685,"CUMPLE")&gt;0,"CUMPLE","NO CUMPLE"))</f>
        <v>NO CUMPLE</v>
      </c>
      <c r="L5686" s="754"/>
      <c r="M5686" s="755"/>
      <c r="N5686" s="755"/>
      <c r="O5686" s="755"/>
      <c r="P5686" s="755"/>
      <c r="Q5686" s="756"/>
      <c r="R5686" s="461"/>
      <c r="S5686" s="462"/>
      <c r="T5686" s="463"/>
      <c r="U5686" s="219"/>
      <c r="V5686" s="464"/>
      <c r="Y5686" s="549" t="e">
        <f>IF(Y5680="NO APLICA","NO APLICA",IF(COUNTIF(AD5681:AD5686,"CUMPLE")&gt;0,"CUMPLE","NO CUMPLE"))</f>
        <v>#N/A</v>
      </c>
      <c r="AA5686" s="541" t="e">
        <f>IF(AND(C5685&lt;=F5678,F5678&lt;&gt;""),VLOOKUP(VALUE(E5659&amp;","&amp;C5685),INTEGRANTES!$D$18:$F$235,2,0),"")</f>
        <v>#N/A</v>
      </c>
      <c r="AB5686" s="546" t="e">
        <f t="shared" si="1688"/>
        <v>#N/A</v>
      </c>
      <c r="AC5686" s="543"/>
      <c r="AD5686" s="201" t="e">
        <f t="shared" si="1689"/>
        <v>#N/A</v>
      </c>
      <c r="AE5686" s="52"/>
      <c r="AF5686" s="52"/>
      <c r="AG5686" s="52"/>
      <c r="AH5686" s="87"/>
      <c r="AI5686" s="87"/>
    </row>
    <row r="5687" spans="1:35" hidden="1">
      <c r="AH5687" s="87"/>
      <c r="AI5687" s="87"/>
    </row>
    <row r="5688" spans="1:35" hidden="1">
      <c r="AH5688" s="87"/>
      <c r="AI5688" s="87"/>
    </row>
    <row r="5689" spans="1:35" ht="24" hidden="1" thickBot="1">
      <c r="A5689" s="61">
        <v>190</v>
      </c>
      <c r="B5689" s="704" t="s">
        <v>51</v>
      </c>
      <c r="C5689" s="704"/>
      <c r="D5689" s="704"/>
      <c r="E5689" s="62" t="e">
        <f>VLOOKUP(A5689,PROPONENTES!$B$19:$E$218,2,FALSE)</f>
        <v>#N/A</v>
      </c>
      <c r="F5689" s="63" t="e">
        <f>VLOOKUP(A5689,PROPONENTES!$B$19:$E$218,3,FALSE)</f>
        <v>#N/A</v>
      </c>
      <c r="G5689" s="64"/>
      <c r="H5689" s="64"/>
      <c r="I5689" s="63"/>
      <c r="J5689" s="63"/>
      <c r="K5689" s="65"/>
      <c r="L5689" s="65"/>
      <c r="M5689" s="64"/>
      <c r="N5689" s="64"/>
      <c r="O5689" s="66"/>
      <c r="P5689" s="66"/>
      <c r="Q5689" s="66"/>
      <c r="R5689" s="66"/>
      <c r="S5689" s="67"/>
      <c r="T5689" s="68"/>
      <c r="U5689" s="68"/>
      <c r="AC5689" s="68"/>
      <c r="AD5689" s="68"/>
      <c r="AE5689" s="68"/>
      <c r="AF5689" s="68"/>
      <c r="AG5689" s="68"/>
      <c r="AH5689" s="87"/>
      <c r="AI5689" s="87"/>
    </row>
    <row r="5690" spans="1:35" ht="15.75" hidden="1" customHeight="1">
      <c r="A5690" s="44"/>
      <c r="B5690" s="709" t="s">
        <v>59</v>
      </c>
      <c r="C5690" s="552" t="s">
        <v>60</v>
      </c>
      <c r="D5690" s="70" t="s">
        <v>17</v>
      </c>
      <c r="E5690" s="70"/>
      <c r="F5690" s="70" t="s">
        <v>61</v>
      </c>
      <c r="G5690" s="71"/>
      <c r="H5690" s="699" t="s">
        <v>62</v>
      </c>
      <c r="I5690" s="699" t="s">
        <v>18</v>
      </c>
      <c r="J5690" s="699" t="s">
        <v>63</v>
      </c>
      <c r="K5690" s="699" t="s">
        <v>64</v>
      </c>
      <c r="L5690" s="699" t="s">
        <v>65</v>
      </c>
      <c r="M5690" s="743" t="s">
        <v>66</v>
      </c>
      <c r="N5690" s="699" t="s">
        <v>282</v>
      </c>
      <c r="O5690" s="745" t="s">
        <v>67</v>
      </c>
      <c r="P5690" s="746"/>
      <c r="Q5690" s="102" t="s">
        <v>75</v>
      </c>
      <c r="R5690" s="731" t="s">
        <v>22</v>
      </c>
      <c r="S5690" s="732"/>
      <c r="T5690" s="733"/>
      <c r="U5690" s="712" t="s">
        <v>298</v>
      </c>
      <c r="W5690" s="690" t="s">
        <v>268</v>
      </c>
      <c r="X5690" s="691"/>
      <c r="Y5690" s="692"/>
      <c r="Z5690" s="428"/>
      <c r="AA5690" s="697" t="s">
        <v>315</v>
      </c>
      <c r="AB5690" s="695" t="s">
        <v>322</v>
      </c>
      <c r="AC5690" s="49"/>
      <c r="AD5690" s="690" t="s">
        <v>297</v>
      </c>
      <c r="AE5690" s="691"/>
      <c r="AF5690" s="692"/>
      <c r="AG5690" s="49"/>
      <c r="AH5690" s="87"/>
      <c r="AI5690" s="87"/>
    </row>
    <row r="5691" spans="1:35" ht="72" hidden="1">
      <c r="A5691" s="44"/>
      <c r="B5691" s="710"/>
      <c r="C5691" s="553" t="s">
        <v>68</v>
      </c>
      <c r="D5691" s="73" t="s">
        <v>3</v>
      </c>
      <c r="E5691" s="73" t="s">
        <v>19</v>
      </c>
      <c r="F5691" s="73" t="s">
        <v>69</v>
      </c>
      <c r="G5691" s="74" t="s">
        <v>70</v>
      </c>
      <c r="H5691" s="700"/>
      <c r="I5691" s="700"/>
      <c r="J5691" s="700"/>
      <c r="K5691" s="700"/>
      <c r="L5691" s="700"/>
      <c r="M5691" s="744"/>
      <c r="N5691" s="700"/>
      <c r="O5691" s="553" t="s">
        <v>279</v>
      </c>
      <c r="P5691" s="73" t="s">
        <v>88</v>
      </c>
      <c r="Q5691" s="555" t="s">
        <v>76</v>
      </c>
      <c r="R5691" s="734"/>
      <c r="S5691" s="735"/>
      <c r="T5691" s="736"/>
      <c r="U5691" s="712"/>
      <c r="W5691" s="429" t="s">
        <v>269</v>
      </c>
      <c r="X5691" s="457" t="s">
        <v>278</v>
      </c>
      <c r="Y5691" s="430" t="s">
        <v>324</v>
      </c>
      <c r="Z5691" s="428"/>
      <c r="AA5691" s="698"/>
      <c r="AB5691" s="696"/>
      <c r="AC5691" s="49"/>
      <c r="AD5691" s="429" t="s">
        <v>292</v>
      </c>
      <c r="AE5691" s="431" t="s">
        <v>300</v>
      </c>
      <c r="AF5691" s="468" t="s">
        <v>301</v>
      </c>
      <c r="AG5691" s="49"/>
      <c r="AH5691" s="87"/>
      <c r="AI5691" s="87"/>
    </row>
    <row r="5692" spans="1:35" hidden="1">
      <c r="A5692" s="44"/>
      <c r="B5692" s="76"/>
      <c r="C5692" s="77"/>
      <c r="D5692" s="77"/>
      <c r="E5692" s="77"/>
      <c r="F5692" s="77"/>
      <c r="G5692" s="77"/>
      <c r="H5692" s="77"/>
      <c r="I5692" s="77"/>
      <c r="J5692" s="77"/>
      <c r="K5692" s="77"/>
      <c r="L5692" s="77"/>
      <c r="M5692" s="77"/>
      <c r="N5692" s="77"/>
      <c r="O5692" s="77"/>
      <c r="P5692" s="77"/>
      <c r="Q5692" s="77"/>
      <c r="R5692" s="77"/>
      <c r="S5692" s="78"/>
      <c r="T5692" s="79"/>
      <c r="U5692" s="109"/>
      <c r="V5692" s="49"/>
      <c r="W5692" s="432"/>
      <c r="X5692" s="454"/>
      <c r="Y5692" s="433"/>
      <c r="Z5692" s="6"/>
      <c r="AA5692" s="500"/>
      <c r="AB5692" s="562"/>
      <c r="AC5692" s="49"/>
      <c r="AD5692" s="210"/>
      <c r="AE5692" s="434"/>
      <c r="AF5692" s="435"/>
      <c r="AG5692" s="49"/>
      <c r="AH5692" s="87"/>
      <c r="AI5692" s="87"/>
    </row>
    <row r="5693" spans="1:35" hidden="1">
      <c r="A5693" s="80" t="e">
        <f>"A"&amp;E5689</f>
        <v>#N/A</v>
      </c>
      <c r="B5693" s="81">
        <v>1</v>
      </c>
      <c r="C5693" s="82"/>
      <c r="D5693" s="82"/>
      <c r="E5693" s="82"/>
      <c r="F5693" s="82"/>
      <c r="G5693" s="83"/>
      <c r="H5693" s="83"/>
      <c r="I5693" s="84"/>
      <c r="J5693" s="85"/>
      <c r="K5693" s="382"/>
      <c r="L5693" s="85"/>
      <c r="M5693" s="332" t="str">
        <f t="shared" ref="M5693:M5702" si="1690">IF(OR(J5693="",L5693="",H5693="NO"),"",IF(OR(J5693&gt;$P$17,J5693&lt;$O$17,L5693&gt;$P$17,AND(J5693&lt;$O$17,L5693&lt;$O$17)),"FUERA DE RANGO",IF(OR(K5693="---",K5693=""),IF(J5693&gt;=$O$17,ROUND((L5693-J5693+1)/360*12,3),ROUND((L5693-$O$17+1)/360*12,3)),IF(J5693&gt;=$O$17,ROUND((L5693-J5693+1)/360*12-ROUND(K5693,3),3),ROUND((L5693-$O$17+1)/360*12-ROUND(K5693,3),3)))))</f>
        <v/>
      </c>
      <c r="N5693" s="86"/>
      <c r="O5693" s="453" t="str">
        <f>IF(OR(G5693="",N5693=""),"",N5693*G5693)</f>
        <v/>
      </c>
      <c r="P5693" s="538" t="str">
        <f>IF(OR(H5693="",M5693="FUERA DE RANGO"),"",IF(OR(L5693&lt;$O$17,L5693&gt;$P$17,L5693="",H5693="NO"),"",IF(OR(N5693="",O5693=""),"",ROUND(O5693,3))))</f>
        <v/>
      </c>
      <c r="Q5693" s="539" t="str">
        <f t="shared" ref="Q5693:Q5702" si="1691">IF(AND(H5693="SI",P5693&lt;&gt;""),ROUND(P5693/M5693,3),"")</f>
        <v/>
      </c>
      <c r="R5693" s="737"/>
      <c r="S5693" s="738"/>
      <c r="T5693" s="739"/>
      <c r="U5693" s="470"/>
      <c r="V5693" s="165"/>
      <c r="W5693" s="446"/>
      <c r="X5693" s="456"/>
      <c r="Y5693" s="436"/>
      <c r="Z5693" s="437"/>
      <c r="AA5693" s="560"/>
      <c r="AB5693" s="561"/>
      <c r="AC5693" s="87"/>
      <c r="AD5693" s="466"/>
      <c r="AE5693" s="456"/>
      <c r="AF5693" s="467"/>
      <c r="AG5693" s="87"/>
      <c r="AH5693" s="87"/>
      <c r="AI5693" s="87"/>
    </row>
    <row r="5694" spans="1:35" hidden="1">
      <c r="A5694" s="80" t="e">
        <f>"B"&amp;E5689</f>
        <v>#N/A</v>
      </c>
      <c r="B5694" s="81">
        <v>2</v>
      </c>
      <c r="C5694" s="106"/>
      <c r="D5694" s="106"/>
      <c r="E5694" s="106"/>
      <c r="F5694" s="106"/>
      <c r="G5694" s="83"/>
      <c r="H5694" s="83"/>
      <c r="I5694" s="84"/>
      <c r="J5694" s="85"/>
      <c r="K5694" s="382"/>
      <c r="L5694" s="85"/>
      <c r="M5694" s="332" t="str">
        <f t="shared" si="1690"/>
        <v/>
      </c>
      <c r="N5694" s="86"/>
      <c r="O5694" s="453" t="str">
        <f t="shared" ref="O5694:O5702" si="1692">IF(OR(G5694="",N5694=""),"",N5694*G5694)</f>
        <v/>
      </c>
      <c r="P5694" s="538" t="str">
        <f t="shared" ref="P5694:P5702" si="1693">IF(OR(H5694="",M5694="FUERA DE RANGO"),"",IF(OR(L5694&lt;$O$17,L5694&gt;$P$17,L5694="",H5694="NO"),"",IF(OR(N5694="",O5694=""),"",ROUND(O5694,3))))</f>
        <v/>
      </c>
      <c r="Q5694" s="539" t="str">
        <f t="shared" si="1691"/>
        <v/>
      </c>
      <c r="R5694" s="740"/>
      <c r="S5694" s="741"/>
      <c r="T5694" s="742"/>
      <c r="U5694" s="471"/>
      <c r="V5694" s="165"/>
      <c r="W5694" s="446"/>
      <c r="X5694" s="456"/>
      <c r="Y5694" s="436"/>
      <c r="Z5694" s="437"/>
      <c r="AA5694" s="560"/>
      <c r="AB5694" s="561"/>
      <c r="AC5694" s="87"/>
      <c r="AD5694" s="466"/>
      <c r="AE5694" s="456"/>
      <c r="AF5694" s="467"/>
      <c r="AG5694" s="87"/>
      <c r="AH5694" s="87"/>
      <c r="AI5694" s="87"/>
    </row>
    <row r="5695" spans="1:35" hidden="1">
      <c r="A5695" s="80" t="e">
        <f>"C"&amp;E5689</f>
        <v>#N/A</v>
      </c>
      <c r="B5695" s="88">
        <v>3</v>
      </c>
      <c r="C5695" s="82"/>
      <c r="D5695" s="82"/>
      <c r="E5695" s="82"/>
      <c r="F5695" s="82"/>
      <c r="G5695" s="83"/>
      <c r="H5695" s="83"/>
      <c r="I5695" s="84"/>
      <c r="J5695" s="85"/>
      <c r="K5695" s="382"/>
      <c r="L5695" s="85"/>
      <c r="M5695" s="332" t="str">
        <f t="shared" si="1690"/>
        <v/>
      </c>
      <c r="N5695" s="86"/>
      <c r="O5695" s="453" t="str">
        <f t="shared" si="1692"/>
        <v/>
      </c>
      <c r="P5695" s="538" t="str">
        <f t="shared" si="1693"/>
        <v/>
      </c>
      <c r="Q5695" s="539" t="str">
        <f t="shared" si="1691"/>
        <v/>
      </c>
      <c r="R5695" s="706"/>
      <c r="S5695" s="707"/>
      <c r="T5695" s="708"/>
      <c r="U5695" s="472"/>
      <c r="V5695" s="166"/>
      <c r="W5695" s="446"/>
      <c r="X5695" s="456"/>
      <c r="Y5695" s="436"/>
      <c r="Z5695" s="437"/>
      <c r="AA5695" s="560"/>
      <c r="AB5695" s="561"/>
      <c r="AC5695" s="87"/>
      <c r="AD5695" s="466"/>
      <c r="AE5695" s="456"/>
      <c r="AF5695" s="467"/>
      <c r="AG5695" s="87"/>
      <c r="AH5695" s="87"/>
      <c r="AI5695" s="87"/>
    </row>
    <row r="5696" spans="1:35" hidden="1">
      <c r="A5696" s="80" t="e">
        <f>"D"&amp;E5689</f>
        <v>#N/A</v>
      </c>
      <c r="B5696" s="105">
        <v>4</v>
      </c>
      <c r="C5696" s="107"/>
      <c r="D5696" s="107"/>
      <c r="E5696" s="107"/>
      <c r="F5696" s="107"/>
      <c r="G5696" s="83"/>
      <c r="H5696" s="83"/>
      <c r="I5696" s="84"/>
      <c r="J5696" s="85"/>
      <c r="K5696" s="382"/>
      <c r="L5696" s="85"/>
      <c r="M5696" s="332" t="str">
        <f t="shared" si="1690"/>
        <v/>
      </c>
      <c r="N5696" s="86"/>
      <c r="O5696" s="453" t="str">
        <f t="shared" si="1692"/>
        <v/>
      </c>
      <c r="P5696" s="538" t="str">
        <f t="shared" si="1693"/>
        <v/>
      </c>
      <c r="Q5696" s="539" t="str">
        <f t="shared" si="1691"/>
        <v/>
      </c>
      <c r="R5696" s="706"/>
      <c r="S5696" s="707"/>
      <c r="T5696" s="708"/>
      <c r="U5696" s="472"/>
      <c r="V5696" s="166"/>
      <c r="W5696" s="446"/>
      <c r="X5696" s="456"/>
      <c r="Y5696" s="436"/>
      <c r="Z5696" s="437"/>
      <c r="AA5696" s="560"/>
      <c r="AB5696" s="561"/>
      <c r="AC5696" s="87"/>
      <c r="AD5696" s="466"/>
      <c r="AE5696" s="456"/>
      <c r="AF5696" s="467"/>
      <c r="AG5696" s="87"/>
      <c r="AH5696" s="87"/>
      <c r="AI5696" s="87"/>
    </row>
    <row r="5697" spans="1:35" hidden="1">
      <c r="A5697" s="80" t="e">
        <f>"E"&amp;E5689</f>
        <v>#N/A</v>
      </c>
      <c r="B5697" s="105">
        <v>5</v>
      </c>
      <c r="C5697" s="107"/>
      <c r="D5697" s="107"/>
      <c r="E5697" s="107"/>
      <c r="F5697" s="107"/>
      <c r="G5697" s="83"/>
      <c r="H5697" s="83"/>
      <c r="I5697" s="84"/>
      <c r="J5697" s="85"/>
      <c r="K5697" s="382"/>
      <c r="L5697" s="85"/>
      <c r="M5697" s="332" t="str">
        <f t="shared" si="1690"/>
        <v/>
      </c>
      <c r="N5697" s="86"/>
      <c r="O5697" s="453" t="str">
        <f t="shared" si="1692"/>
        <v/>
      </c>
      <c r="P5697" s="538" t="str">
        <f t="shared" si="1693"/>
        <v/>
      </c>
      <c r="Q5697" s="539" t="str">
        <f t="shared" si="1691"/>
        <v/>
      </c>
      <c r="R5697" s="706"/>
      <c r="S5697" s="707"/>
      <c r="T5697" s="708"/>
      <c r="U5697" s="472"/>
      <c r="V5697" s="167"/>
      <c r="W5697" s="446"/>
      <c r="X5697" s="456"/>
      <c r="Y5697" s="436"/>
      <c r="Z5697" s="437"/>
      <c r="AA5697" s="560"/>
      <c r="AB5697" s="561"/>
      <c r="AC5697" s="87"/>
      <c r="AD5697" s="466"/>
      <c r="AE5697" s="456"/>
      <c r="AF5697" s="467"/>
      <c r="AG5697" s="87"/>
      <c r="AH5697" s="87"/>
      <c r="AI5697" s="87"/>
    </row>
    <row r="5698" spans="1:35" hidden="1">
      <c r="A5698" s="80" t="e">
        <f>"F"&amp;E5689</f>
        <v>#N/A</v>
      </c>
      <c r="B5698" s="105">
        <v>6</v>
      </c>
      <c r="C5698" s="107"/>
      <c r="D5698" s="107"/>
      <c r="E5698" s="107"/>
      <c r="F5698" s="107"/>
      <c r="G5698" s="83"/>
      <c r="H5698" s="83"/>
      <c r="I5698" s="84"/>
      <c r="J5698" s="85"/>
      <c r="K5698" s="382"/>
      <c r="L5698" s="85"/>
      <c r="M5698" s="332" t="str">
        <f t="shared" si="1690"/>
        <v/>
      </c>
      <c r="N5698" s="86"/>
      <c r="O5698" s="453" t="str">
        <f t="shared" si="1692"/>
        <v/>
      </c>
      <c r="P5698" s="538" t="str">
        <f t="shared" si="1693"/>
        <v/>
      </c>
      <c r="Q5698" s="539" t="str">
        <f t="shared" si="1691"/>
        <v/>
      </c>
      <c r="R5698" s="706"/>
      <c r="S5698" s="707"/>
      <c r="T5698" s="708"/>
      <c r="U5698" s="472"/>
      <c r="V5698" s="167"/>
      <c r="W5698" s="446"/>
      <c r="X5698" s="456"/>
      <c r="Y5698" s="436"/>
      <c r="Z5698" s="437"/>
      <c r="AA5698" s="560"/>
      <c r="AB5698" s="561"/>
      <c r="AC5698" s="87"/>
      <c r="AD5698" s="466"/>
      <c r="AE5698" s="456"/>
      <c r="AF5698" s="467"/>
      <c r="AG5698" s="87"/>
      <c r="AH5698" s="87"/>
      <c r="AI5698" s="87"/>
    </row>
    <row r="5699" spans="1:35" hidden="1">
      <c r="A5699" s="80" t="e">
        <f>"G"&amp;E5689</f>
        <v>#N/A</v>
      </c>
      <c r="B5699" s="105">
        <v>7</v>
      </c>
      <c r="C5699" s="107"/>
      <c r="D5699" s="107"/>
      <c r="E5699" s="107"/>
      <c r="F5699" s="107"/>
      <c r="G5699" s="83"/>
      <c r="H5699" s="83"/>
      <c r="I5699" s="84"/>
      <c r="J5699" s="85"/>
      <c r="K5699" s="382"/>
      <c r="L5699" s="85"/>
      <c r="M5699" s="332" t="str">
        <f t="shared" si="1690"/>
        <v/>
      </c>
      <c r="N5699" s="86"/>
      <c r="O5699" s="86" t="str">
        <f t="shared" si="1692"/>
        <v/>
      </c>
      <c r="P5699" s="538" t="str">
        <f t="shared" si="1693"/>
        <v/>
      </c>
      <c r="Q5699" s="539" t="str">
        <f t="shared" si="1691"/>
        <v/>
      </c>
      <c r="R5699" s="706"/>
      <c r="S5699" s="707"/>
      <c r="T5699" s="708"/>
      <c r="U5699" s="472"/>
      <c r="V5699" s="167"/>
      <c r="W5699" s="446"/>
      <c r="X5699" s="456"/>
      <c r="Y5699" s="436"/>
      <c r="Z5699" s="437"/>
      <c r="AA5699" s="560"/>
      <c r="AB5699" s="561"/>
      <c r="AC5699" s="87"/>
      <c r="AD5699" s="466"/>
      <c r="AE5699" s="456"/>
      <c r="AF5699" s="467"/>
      <c r="AG5699" s="87"/>
      <c r="AH5699" s="87"/>
      <c r="AI5699" s="87"/>
    </row>
    <row r="5700" spans="1:35" hidden="1">
      <c r="A5700" s="80" t="e">
        <f>"H"&amp;E5689</f>
        <v>#N/A</v>
      </c>
      <c r="B5700" s="105">
        <v>8</v>
      </c>
      <c r="C5700" s="107"/>
      <c r="D5700" s="107"/>
      <c r="E5700" s="107"/>
      <c r="F5700" s="107"/>
      <c r="G5700" s="83"/>
      <c r="H5700" s="83"/>
      <c r="I5700" s="84"/>
      <c r="J5700" s="85"/>
      <c r="K5700" s="382"/>
      <c r="L5700" s="85"/>
      <c r="M5700" s="332" t="str">
        <f t="shared" si="1690"/>
        <v/>
      </c>
      <c r="N5700" s="453"/>
      <c r="O5700" s="86" t="str">
        <f t="shared" si="1692"/>
        <v/>
      </c>
      <c r="P5700" s="538" t="str">
        <f t="shared" si="1693"/>
        <v/>
      </c>
      <c r="Q5700" s="539" t="str">
        <f t="shared" si="1691"/>
        <v/>
      </c>
      <c r="R5700" s="706"/>
      <c r="S5700" s="707"/>
      <c r="T5700" s="708"/>
      <c r="U5700" s="472"/>
      <c r="V5700" s="167"/>
      <c r="W5700" s="446"/>
      <c r="X5700" s="456"/>
      <c r="Y5700" s="436"/>
      <c r="Z5700" s="437"/>
      <c r="AA5700" s="560"/>
      <c r="AB5700" s="561"/>
      <c r="AC5700" s="87"/>
      <c r="AD5700" s="466"/>
      <c r="AE5700" s="456"/>
      <c r="AF5700" s="467"/>
      <c r="AG5700" s="87"/>
      <c r="AH5700" s="87"/>
      <c r="AI5700" s="87"/>
    </row>
    <row r="5701" spans="1:35" hidden="1">
      <c r="A5701" s="80" t="e">
        <f>"I"&amp;E5689</f>
        <v>#N/A</v>
      </c>
      <c r="B5701" s="105">
        <v>9</v>
      </c>
      <c r="C5701" s="107"/>
      <c r="D5701" s="107"/>
      <c r="E5701" s="107"/>
      <c r="F5701" s="107"/>
      <c r="G5701" s="83"/>
      <c r="H5701" s="83"/>
      <c r="I5701" s="84"/>
      <c r="J5701" s="85"/>
      <c r="K5701" s="382"/>
      <c r="L5701" s="85"/>
      <c r="M5701" s="332" t="str">
        <f t="shared" si="1690"/>
        <v/>
      </c>
      <c r="N5701" s="453"/>
      <c r="O5701" s="86" t="str">
        <f t="shared" si="1692"/>
        <v/>
      </c>
      <c r="P5701" s="538" t="str">
        <f t="shared" si="1693"/>
        <v/>
      </c>
      <c r="Q5701" s="539" t="str">
        <f t="shared" si="1691"/>
        <v/>
      </c>
      <c r="R5701" s="706"/>
      <c r="S5701" s="707"/>
      <c r="T5701" s="708"/>
      <c r="U5701" s="472"/>
      <c r="V5701" s="167"/>
      <c r="W5701" s="446"/>
      <c r="X5701" s="456"/>
      <c r="Y5701" s="436"/>
      <c r="Z5701" s="437"/>
      <c r="AA5701" s="560"/>
      <c r="AB5701" s="561"/>
      <c r="AC5701" s="87"/>
      <c r="AD5701" s="466"/>
      <c r="AE5701" s="456"/>
      <c r="AF5701" s="467"/>
      <c r="AG5701" s="87"/>
      <c r="AH5701" s="87"/>
      <c r="AI5701" s="87"/>
    </row>
    <row r="5702" spans="1:35" hidden="1">
      <c r="A5702" s="80" t="e">
        <f>"J"&amp;E5689</f>
        <v>#N/A</v>
      </c>
      <c r="B5702" s="105">
        <v>10</v>
      </c>
      <c r="C5702" s="107"/>
      <c r="D5702" s="107"/>
      <c r="E5702" s="107"/>
      <c r="F5702" s="107"/>
      <c r="G5702" s="83"/>
      <c r="H5702" s="83"/>
      <c r="I5702" s="84"/>
      <c r="J5702" s="85"/>
      <c r="K5702" s="382"/>
      <c r="L5702" s="85"/>
      <c r="M5702" s="332" t="str">
        <f t="shared" si="1690"/>
        <v/>
      </c>
      <c r="N5702" s="453"/>
      <c r="O5702" s="86" t="str">
        <f t="shared" si="1692"/>
        <v/>
      </c>
      <c r="P5702" s="538" t="str">
        <f t="shared" si="1693"/>
        <v/>
      </c>
      <c r="Q5702" s="539" t="str">
        <f t="shared" si="1691"/>
        <v/>
      </c>
      <c r="R5702" s="706"/>
      <c r="S5702" s="707"/>
      <c r="T5702" s="708"/>
      <c r="U5702" s="472"/>
      <c r="V5702" s="167"/>
      <c r="W5702" s="446"/>
      <c r="X5702" s="456"/>
      <c r="Y5702" s="436"/>
      <c r="Z5702" s="437"/>
      <c r="AA5702" s="560"/>
      <c r="AB5702" s="561"/>
      <c r="AC5702" s="87"/>
      <c r="AD5702" s="466"/>
      <c r="AE5702" s="456"/>
      <c r="AF5702" s="467"/>
      <c r="AG5702" s="87"/>
      <c r="AH5702" s="87"/>
      <c r="AI5702" s="87"/>
    </row>
    <row r="5703" spans="1:35" ht="16.5" hidden="1" thickBot="1">
      <c r="A5703" s="44"/>
      <c r="B5703" s="89"/>
      <c r="C5703" s="90"/>
      <c r="D5703" s="90"/>
      <c r="E5703" s="90"/>
      <c r="F5703" s="90"/>
      <c r="G5703" s="90"/>
      <c r="H5703" s="90"/>
      <c r="I5703" s="90"/>
      <c r="J5703" s="90"/>
      <c r="K5703" s="90"/>
      <c r="L5703" s="90"/>
      <c r="M5703" s="90"/>
      <c r="N5703" s="90"/>
      <c r="O5703" s="90"/>
      <c r="P5703" s="90"/>
      <c r="Q5703" s="90"/>
      <c r="R5703" s="90"/>
      <c r="S5703" s="91"/>
      <c r="T5703" s="92"/>
      <c r="U5703" s="473"/>
      <c r="W5703" s="438"/>
      <c r="X5703" s="455"/>
      <c r="Y5703" s="439"/>
      <c r="Z5703" s="437"/>
      <c r="AA5703" s="530"/>
      <c r="AB5703" s="563"/>
      <c r="AC5703" s="87"/>
      <c r="AD5703" s="440"/>
      <c r="AE5703" s="441"/>
      <c r="AF5703" s="442"/>
      <c r="AG5703" s="49"/>
      <c r="AH5703" s="87"/>
      <c r="AI5703" s="87"/>
    </row>
    <row r="5704" spans="1:35" ht="16.5" hidden="1" thickBot="1">
      <c r="A5704" s="93"/>
      <c r="B5704" s="94"/>
      <c r="C5704" s="96"/>
      <c r="D5704" s="96"/>
      <c r="E5704" s="96"/>
      <c r="F5704" s="96"/>
      <c r="G5704" s="96"/>
      <c r="H5704" s="96"/>
      <c r="I5704" s="96"/>
      <c r="J5704" s="96"/>
      <c r="K5704" s="96"/>
      <c r="L5704" s="96"/>
      <c r="M5704" s="136"/>
      <c r="N5704" s="96"/>
      <c r="O5704" s="96"/>
      <c r="P5704" s="97"/>
      <c r="Q5704" s="97"/>
      <c r="R5704" s="98"/>
      <c r="S5704" s="95"/>
      <c r="T5704" s="99"/>
      <c r="U5704" s="469"/>
      <c r="AC5704" s="58"/>
      <c r="AG5704" s="58"/>
      <c r="AH5704" s="87"/>
      <c r="AI5704" s="87"/>
    </row>
    <row r="5705" spans="1:35" ht="16.5" hidden="1" thickBot="1">
      <c r="B5705" s="101"/>
      <c r="C5705" s="101"/>
      <c r="D5705" s="101"/>
      <c r="E5705" s="101"/>
      <c r="F5705" s="101"/>
      <c r="G5705" s="101"/>
      <c r="H5705" s="101"/>
      <c r="I5705" s="101"/>
      <c r="J5705" s="101"/>
      <c r="K5705" s="101"/>
      <c r="L5705" s="101"/>
      <c r="M5705" s="101"/>
      <c r="N5705" s="101"/>
      <c r="O5705" s="101"/>
      <c r="P5705" s="101"/>
      <c r="Q5705" s="101"/>
      <c r="R5705" s="101"/>
      <c r="S5705" s="101"/>
      <c r="U5705" s="50"/>
      <c r="AH5705" s="87"/>
      <c r="AI5705" s="87"/>
    </row>
    <row r="5706" spans="1:35" ht="16.5" hidden="1" customHeight="1" thickBot="1">
      <c r="A5706" s="44"/>
      <c r="B5706" s="705" t="s">
        <v>74</v>
      </c>
      <c r="C5706" s="705"/>
      <c r="D5706" s="705"/>
      <c r="E5706" s="705"/>
      <c r="F5706" s="705"/>
      <c r="G5706" s="705"/>
      <c r="H5706" s="705"/>
      <c r="I5706" s="705"/>
      <c r="J5706" s="705"/>
      <c r="K5706" s="705"/>
      <c r="L5706" s="705"/>
      <c r="M5706" s="705"/>
      <c r="N5706" s="705"/>
      <c r="O5706" s="705"/>
      <c r="P5706" s="705"/>
      <c r="Q5706" s="705"/>
      <c r="R5706" s="705"/>
      <c r="S5706" s="705"/>
      <c r="T5706" s="705"/>
      <c r="U5706" s="108"/>
      <c r="Y5706" s="532" t="s">
        <v>341</v>
      </c>
      <c r="AC5706" s="49"/>
      <c r="AD5706" s="687" t="s">
        <v>302</v>
      </c>
      <c r="AE5706" s="688"/>
      <c r="AF5706" s="689"/>
      <c r="AG5706" s="49"/>
      <c r="AH5706" s="87"/>
      <c r="AI5706" s="87"/>
    </row>
    <row r="5707" spans="1:35" ht="16.5" hidden="1" customHeight="1" thickBot="1">
      <c r="A5707" s="218" t="e">
        <f>"K"&amp;E5689</f>
        <v>#N/A</v>
      </c>
      <c r="B5707" s="701" t="s">
        <v>71</v>
      </c>
      <c r="C5707" s="751" t="s">
        <v>102</v>
      </c>
      <c r="D5707" s="751"/>
      <c r="E5707" s="751"/>
      <c r="F5707" s="751"/>
      <c r="G5707" s="751"/>
      <c r="H5707" s="751"/>
      <c r="I5707" s="751"/>
      <c r="J5707" s="751"/>
      <c r="K5707" s="751"/>
      <c r="L5707" s="722" t="s">
        <v>100</v>
      </c>
      <c r="M5707" s="747" t="s">
        <v>114</v>
      </c>
      <c r="N5707" s="747"/>
      <c r="O5707" s="747"/>
      <c r="P5707" s="747"/>
      <c r="Q5707" s="748"/>
      <c r="R5707" s="758" t="s">
        <v>280</v>
      </c>
      <c r="S5707" s="748"/>
      <c r="T5707" s="762" t="str">
        <f>IF(COUNTIF(AE5707:AF5707,"VERIFICAR")&gt;0,"VERIFICAR",IF(COUNTIF(AE5707:AF5707,"NO CUMPLE")&gt;0,"NO CUMPLE","CUMPLE"))</f>
        <v>VERIFICAR</v>
      </c>
      <c r="U5707" s="108"/>
      <c r="Y5707" s="533" t="e">
        <f>IF(F5708="","",IF(F5708=1,"INDIVIDUAL","ESTRUCTURA PLURAL"))</f>
        <v>#N/A</v>
      </c>
      <c r="AC5707" s="52"/>
      <c r="AD5707" s="475" t="s">
        <v>303</v>
      </c>
      <c r="AE5707" s="476" t="str">
        <f>IF(COUNTIF(AE5693:AE5702,"")=10,"VERIFICAR",IF(COUNTIF(AE5693:AE5702,"SI")&gt;0,"CUMPLE","NO CUMPLE"))</f>
        <v>VERIFICAR</v>
      </c>
      <c r="AF5707" s="477" t="str">
        <f>IF(COUNTIF(AF5693:AF5702,"")=10,"VERIFICAR",IF(COUNTIF(AF5693:AF5702,"SI")&gt;=$AI$22,"CUMPLE","NO CUMPLE"))</f>
        <v>VERIFICAR</v>
      </c>
      <c r="AG5707" s="52"/>
      <c r="AH5707" s="87"/>
      <c r="AI5707" s="87"/>
    </row>
    <row r="5708" spans="1:35" ht="15.75" hidden="1" customHeight="1" thickBot="1">
      <c r="A5708" s="218" t="e">
        <f>"L"&amp;E5689</f>
        <v>#N/A</v>
      </c>
      <c r="B5708" s="702"/>
      <c r="C5708" s="751" t="s">
        <v>103</v>
      </c>
      <c r="D5708" s="751"/>
      <c r="E5708" s="752"/>
      <c r="F5708" s="557" t="e">
        <f>IF(VLOOKUP(E5689,PROPONENTES!$C$19:$E$218,3,0)="","",VLOOKUP(E5689,PROPONENTES!$C$19:$E$218,3,0))</f>
        <v>#N/A</v>
      </c>
      <c r="G5708" s="753" t="s">
        <v>104</v>
      </c>
      <c r="H5708" s="751"/>
      <c r="I5708" s="715" t="e">
        <f>IF(OR(F5708="",F5708=1),"INTERESADO PERSONA NATURAL O JURIDICA","CONSORCIO O UNION TEMPORAL")</f>
        <v>#N/A</v>
      </c>
      <c r="J5708" s="725"/>
      <c r="K5708" s="728"/>
      <c r="L5708" s="723"/>
      <c r="M5708" s="749"/>
      <c r="N5708" s="749"/>
      <c r="O5708" s="749"/>
      <c r="P5708" s="749"/>
      <c r="Q5708" s="750"/>
      <c r="R5708" s="712"/>
      <c r="S5708" s="750"/>
      <c r="T5708" s="763"/>
      <c r="U5708" s="108"/>
      <c r="Y5708" s="534"/>
      <c r="AA5708" s="52"/>
      <c r="AB5708" s="52"/>
      <c r="AC5708" s="52"/>
      <c r="AG5708" s="52"/>
      <c r="AH5708" s="87"/>
      <c r="AI5708" s="87"/>
    </row>
    <row r="5709" spans="1:35" ht="56.25" hidden="1" customHeight="1" thickBot="1">
      <c r="A5709" s="218" t="e">
        <f>"M"&amp;E5689</f>
        <v>#N/A</v>
      </c>
      <c r="B5709" s="702"/>
      <c r="C5709" s="725" t="s">
        <v>101</v>
      </c>
      <c r="D5709" s="716"/>
      <c r="E5709" s="558" t="s">
        <v>105</v>
      </c>
      <c r="F5709" s="554" t="s">
        <v>87</v>
      </c>
      <c r="G5709" s="553" t="s">
        <v>86</v>
      </c>
      <c r="H5709" s="559" t="s">
        <v>85</v>
      </c>
      <c r="I5709" s="554" t="s">
        <v>252</v>
      </c>
      <c r="J5709" s="553" t="str">
        <f>"¿EL INTEGRANTE TIENE UNA PARTICIPACIÓN DEL "&amp;PORCREQUERIDOINT*100&amp;"%?"</f>
        <v>¿EL INTEGRANTE TIENE UNA PARTICIPACIÓN DEL 60%?</v>
      </c>
      <c r="K5709" s="554" t="s">
        <v>107</v>
      </c>
      <c r="L5709" s="724"/>
      <c r="M5709" s="717" t="s">
        <v>115</v>
      </c>
      <c r="N5709" s="718"/>
      <c r="O5709" s="718"/>
      <c r="P5709" s="718"/>
      <c r="Q5709" s="223">
        <f>IF(AND(H5693="SI",P5693&gt;=0),1,0)+IF(AND(H5694="SI",P5694&gt;=0),1,0)+IF(AND(H5695="SI",P5695&gt;=0),1,0)+IF(AND(H5696="SI",P5696&gt;=0),1,0)+IF(AND(H5697="SI",P5697&gt;=0),1,0)+IF(AND(H5698="SI",P5698&gt;=0),1,0)+IF(AND(H5699="SI",P5699&gt;=0),1,0)+IF(AND(H5700="SI",P5700&gt;=0),1,0)+IF(AND(H5701="SI",P5701&gt;=0),1,0)+IF(AND(H5702="SI",P5702&gt;=0),1,0)</f>
        <v>0</v>
      </c>
      <c r="R5709" s="759"/>
      <c r="S5709" s="761"/>
      <c r="T5709" s="764"/>
      <c r="U5709" s="219"/>
      <c r="V5709" s="464"/>
      <c r="Y5709" s="532" t="s">
        <v>342</v>
      </c>
      <c r="AA5709" s="550" t="s">
        <v>344</v>
      </c>
      <c r="AB5709" s="693" t="s">
        <v>345</v>
      </c>
      <c r="AC5709" s="693" t="s">
        <v>346</v>
      </c>
      <c r="AD5709" s="685" t="s">
        <v>347</v>
      </c>
      <c r="AE5709" s="52"/>
      <c r="AF5709" s="52"/>
      <c r="AG5709" s="52"/>
      <c r="AH5709" s="87"/>
      <c r="AI5709" s="87"/>
    </row>
    <row r="5710" spans="1:35" ht="15.75" hidden="1" customHeight="1" thickBot="1">
      <c r="A5710" s="218" t="e">
        <f>"N"&amp;E5689</f>
        <v>#N/A</v>
      </c>
      <c r="B5710" s="702"/>
      <c r="C5710" s="114">
        <v>1</v>
      </c>
      <c r="D5710" s="194" t="e">
        <f>IF(AND(C5710&lt;=F5708,F5708&gt;1,F5708&lt;&gt;""),VLOOKUP(VALUE(E5689&amp;","&amp;C5710),INTEGRANTES!$D$18:$F$235,2,0),"")</f>
        <v>#N/A</v>
      </c>
      <c r="E5710" s="211" t="e">
        <f>IF(D5710&lt;&gt;"",VLOOKUP(VALUE(E5689&amp;","&amp;C5710),INTEGRANTES!$D$18:$F$235,3,0),"")</f>
        <v>#N/A</v>
      </c>
      <c r="F5710" s="547" t="e">
        <f>IF(D5710="","",SUMIF($I5693:$I5702,D5710,$P5693:$P5702))</f>
        <v>#N/A</v>
      </c>
      <c r="G5710" s="333" t="e">
        <f>IF(D5710="","",SUMIF($I5693:$I5702,D5710,$M5693:$M5702))</f>
        <v>#N/A</v>
      </c>
      <c r="H5710" s="535" t="e">
        <f t="shared" ref="H5710:H5715" si="1694">IF(D5710="","",IF(OR(F5710=0,G5710=0),"NO APORTA",ROUND($F5710/$G5710,3)))</f>
        <v>#N/A</v>
      </c>
      <c r="I5710" s="212" t="e">
        <f>IF(D5710="","",IF(H5710="NO APORTA","NO",IF(H5710=MAX($H5710:$H5715),"SI","NO")))</f>
        <v>#N/A</v>
      </c>
      <c r="J5710" s="213" t="e">
        <f t="shared" ref="J5710:J5715" si="1695">IF(D5710="","",IF(E5710&gt;=PORCREQUERIDOINT,"SI","NO"))</f>
        <v>#N/A</v>
      </c>
      <c r="K5710" s="200" t="e">
        <f t="shared" ref="K5710:K5715" si="1696">IF(D5710="","",IF(AND(I5710="SI",J5710="SI"),"CUMPLE",IF(AND(I5710="NO",OR(J5710="SI",J5710="NO")),"","NO CUMPLE")))</f>
        <v>#N/A</v>
      </c>
      <c r="L5710" s="722" t="s">
        <v>108</v>
      </c>
      <c r="M5710" s="726" t="s">
        <v>119</v>
      </c>
      <c r="N5710" s="726"/>
      <c r="O5710" s="726"/>
      <c r="P5710" s="726"/>
      <c r="Q5710" s="727"/>
      <c r="R5710" s="758" t="s">
        <v>80</v>
      </c>
      <c r="S5710" s="747"/>
      <c r="T5710" s="748"/>
      <c r="U5710" s="219"/>
      <c r="V5710" s="464"/>
      <c r="Y5710" s="533" t="e">
        <f>IF(Y5707="","",IF(Y5707="INDIVIDUAL","NO APLICA","VERIFICAR CUADRO"))</f>
        <v>#N/A</v>
      </c>
      <c r="AA5710" s="551"/>
      <c r="AB5710" s="694"/>
      <c r="AC5710" s="694"/>
      <c r="AD5710" s="686"/>
      <c r="AE5710" s="52"/>
      <c r="AF5710" s="52"/>
      <c r="AG5710" s="52"/>
      <c r="AH5710" s="87"/>
      <c r="AI5710" s="87"/>
    </row>
    <row r="5711" spans="1:35" ht="27" hidden="1" customHeight="1" thickBot="1">
      <c r="A5711" s="218" t="e">
        <f>"O"&amp;E5689</f>
        <v>#N/A</v>
      </c>
      <c r="B5711" s="702"/>
      <c r="C5711" s="114">
        <v>2</v>
      </c>
      <c r="D5711" s="194" t="e">
        <f>IF(AND(C5711&lt;=F5708,F5708&lt;&gt;""),VLOOKUP(VALUE(E5689&amp;","&amp;C5711),INTEGRANTES!$D$18:$F$235,2,0),"")</f>
        <v>#N/A</v>
      </c>
      <c r="E5711" s="211" t="e">
        <f>IF(D5711&lt;&gt;"",VLOOKUP(VALUE(E5689&amp;","&amp;C5711),INTEGRANTES!$D$18:$F$235,3,0),"")</f>
        <v>#N/A</v>
      </c>
      <c r="F5711" s="547" t="e">
        <f>IF(D5711="","",SUMIF($I5693:$I5702,D5711,$P5693:$P5702))</f>
        <v>#N/A</v>
      </c>
      <c r="G5711" s="333" t="e">
        <f>IF(D5711="","",SUMIF($I5693:$I5702,D5711,$M5693:$M5702))</f>
        <v>#N/A</v>
      </c>
      <c r="H5711" s="535" t="e">
        <f t="shared" si="1694"/>
        <v>#N/A</v>
      </c>
      <c r="I5711" s="212" t="e">
        <f>IF(D5711="","",IF(H5711="NO APORTA","NO",IF(H5711=MAX($H5710:$H5715),"SI","NO")))</f>
        <v>#N/A</v>
      </c>
      <c r="J5711" s="213" t="e">
        <f t="shared" si="1695"/>
        <v>#N/A</v>
      </c>
      <c r="K5711" s="200" t="e">
        <f t="shared" si="1696"/>
        <v>#N/A</v>
      </c>
      <c r="L5711" s="723"/>
      <c r="M5711" s="715" t="s">
        <v>116</v>
      </c>
      <c r="N5711" s="716"/>
      <c r="O5711" s="556" t="s">
        <v>113</v>
      </c>
      <c r="P5711" s="715" t="s">
        <v>117</v>
      </c>
      <c r="Q5711" s="728"/>
      <c r="R5711" s="759"/>
      <c r="S5711" s="760"/>
      <c r="T5711" s="761"/>
      <c r="U5711" s="219"/>
      <c r="V5711" s="464"/>
      <c r="Y5711" s="414"/>
      <c r="AA5711" s="542" t="e">
        <f>IF(AND(C5710&lt;=F5708,F5708&gt;1,F5708&lt;&gt;""),VLOOKUP(VALUE(E5689&amp;","&amp;C5710),INTEGRANTES!$D$18:$F$235,2,0),"")</f>
        <v>#N/A</v>
      </c>
      <c r="AB5711" s="544" t="e">
        <f t="shared" ref="AB5711:AB5716" si="1697">IF(D5710="","",IF(OR(F5710=0,G5710=0),"NO APORTA",ROUND($F5710/$G5710,3)))</f>
        <v>#N/A</v>
      </c>
      <c r="AC5711" s="529"/>
      <c r="AD5711" s="200" t="e">
        <f t="shared" ref="AD5711:AD5716" si="1698">IF(OR(AA5711="",AB5711=""),"",IF(AND(AC5711="X",AB5711&gt;=EXPREQVTD),"CUMPLE","NO CUMPLE"))</f>
        <v>#N/A</v>
      </c>
      <c r="AE5711" s="52"/>
      <c r="AF5711" s="52"/>
      <c r="AG5711" s="52"/>
      <c r="AH5711" s="87"/>
      <c r="AI5711" s="87"/>
    </row>
    <row r="5712" spans="1:35" ht="16.5" hidden="1" thickBot="1">
      <c r="A5712" s="218" t="e">
        <f>"P"&amp;E5689</f>
        <v>#N/A</v>
      </c>
      <c r="B5712" s="702"/>
      <c r="C5712" s="114">
        <v>3</v>
      </c>
      <c r="D5712" s="194" t="e">
        <f>IF(AND(C5712&lt;=F5708,F5708&lt;&gt;""),VLOOKUP(VALUE(E5689&amp;","&amp;C5712),INTEGRANTES!$D$18:$F$235,2,0),"")</f>
        <v>#N/A</v>
      </c>
      <c r="E5712" s="211" t="e">
        <f>IF(D5712&lt;&gt;"",VLOOKUP(VALUE(E5689&amp;","&amp;C5712),INTEGRANTES!$D$18:$F$235,3,0),"")</f>
        <v>#N/A</v>
      </c>
      <c r="F5712" s="547" t="e">
        <f>IF(D5712="","",SUMIF($I5693:$I5702,D5712,$P5693:$P5702))</f>
        <v>#N/A</v>
      </c>
      <c r="G5712" s="333" t="e">
        <f>IF(D5712="","",SUMIF($I5693:$I5702,D5712,$M5693:$M5702))</f>
        <v>#N/A</v>
      </c>
      <c r="H5712" s="535" t="e">
        <f t="shared" si="1694"/>
        <v>#N/A</v>
      </c>
      <c r="I5712" s="212" t="e">
        <f>IF(D5712="","",IF(H5712="NO APORTA","NO",IF(H5712=MAX($H5710:$H5715),"SI","NO")))</f>
        <v>#N/A</v>
      </c>
      <c r="J5712" s="213" t="e">
        <f t="shared" si="1695"/>
        <v>#N/A</v>
      </c>
      <c r="K5712" s="200" t="e">
        <f t="shared" si="1696"/>
        <v>#N/A</v>
      </c>
      <c r="L5712" s="724"/>
      <c r="M5712" s="729">
        <f>NUMMOD</f>
        <v>1</v>
      </c>
      <c r="N5712" s="730"/>
      <c r="O5712" s="443">
        <f>IF(M5712="","",VLOOKUP(M5712,PRESUPUESTOS!$B$16:$H$16,5,FALSE))</f>
        <v>2</v>
      </c>
      <c r="P5712" s="713">
        <f>IF(OR(COUNTIF(M5693:M5702,"")&gt;=10,Q5709&lt;NUMMINCONT,OR(T5707="NO CUMPLE",T5707="VERIFICAR")),0,ROUND(AVERAGE(M5693:M5702),3))</f>
        <v>0</v>
      </c>
      <c r="Q5712" s="714"/>
      <c r="R5712" s="458"/>
      <c r="S5712" s="459"/>
      <c r="T5712" s="460"/>
      <c r="U5712" s="219"/>
      <c r="V5712" s="464"/>
      <c r="Y5712" s="532" t="str">
        <f>"40% * ("&amp;PRESUPUESTOS!$H$13&amp;")"</f>
        <v>40% * (50% PFMO)</v>
      </c>
      <c r="AA5712" s="540" t="e">
        <f>IF(AND(C5711&lt;=F5708,F5708&lt;&gt;""),VLOOKUP(VALUE(E5689&amp;","&amp;C5711),INTEGRANTES!$D$18:$F$235,2,0),"")</f>
        <v>#N/A</v>
      </c>
      <c r="AB5712" s="545" t="e">
        <f t="shared" si="1697"/>
        <v>#N/A</v>
      </c>
      <c r="AC5712" s="529"/>
      <c r="AD5712" s="200" t="e">
        <f t="shared" si="1698"/>
        <v>#N/A</v>
      </c>
      <c r="AE5712" s="52"/>
      <c r="AF5712" s="52"/>
      <c r="AG5712" s="52"/>
      <c r="AH5712" s="87"/>
      <c r="AI5712" s="87"/>
    </row>
    <row r="5713" spans="1:35" ht="15.75" hidden="1" customHeight="1" thickBot="1">
      <c r="A5713" s="218" t="e">
        <f>"Q"&amp;E5689</f>
        <v>#N/A</v>
      </c>
      <c r="B5713" s="702"/>
      <c r="C5713" s="114">
        <v>4</v>
      </c>
      <c r="D5713" s="194" t="e">
        <f>IF(AND(C5713&lt;=F5708,F5708&lt;&gt;""),VLOOKUP(VALUE(E5689&amp;","&amp;C5713),INTEGRANTES!$D$18:$F$235,2,0),"")</f>
        <v>#N/A</v>
      </c>
      <c r="E5713" s="211" t="e">
        <f>IF(D5713&lt;&gt;"",VLOOKUP(VALUE(E5689&amp;","&amp;C5713),INTEGRANTES!$D$18:$F$235,3,0),"")</f>
        <v>#N/A</v>
      </c>
      <c r="F5713" s="547" t="e">
        <f>IF(D5713="","",SUMIF($I5693:$I5702,D5713,$P5693:$P5702))</f>
        <v>#N/A</v>
      </c>
      <c r="G5713" s="333" t="e">
        <f>IF(D5713="","",SUMIF($I5693:$I5702,D5713,$M5693:$M5702))</f>
        <v>#N/A</v>
      </c>
      <c r="H5713" s="535" t="e">
        <f t="shared" si="1694"/>
        <v>#N/A</v>
      </c>
      <c r="I5713" s="212" t="e">
        <f>IF(D5713="","",IF(H5713="NO APORTA","NO",IF(H5713=MAX($H5710:$H5715),"SI","NO")))</f>
        <v>#N/A</v>
      </c>
      <c r="J5713" s="213" t="e">
        <f t="shared" si="1695"/>
        <v>#N/A</v>
      </c>
      <c r="K5713" s="200" t="e">
        <f t="shared" si="1696"/>
        <v>#N/A</v>
      </c>
      <c r="L5713" s="720" t="s">
        <v>109</v>
      </c>
      <c r="M5713" s="757" t="s">
        <v>120</v>
      </c>
      <c r="N5713" s="726"/>
      <c r="O5713" s="726"/>
      <c r="P5713" s="726"/>
      <c r="Q5713" s="727"/>
      <c r="R5713" s="458"/>
      <c r="S5713" s="459"/>
      <c r="T5713" s="460"/>
      <c r="U5713" s="219"/>
      <c r="V5713" s="464"/>
      <c r="Y5713" s="537">
        <f>0.4*PRESUPUESTOS!$H$16</f>
        <v>10.3124</v>
      </c>
      <c r="AA5713" s="540" t="e">
        <f>IF(AND(C5712&lt;=F5708,F5708&lt;&gt;""),VLOOKUP(VALUE(E5689&amp;","&amp;C5712),INTEGRANTES!$D$18:$F$235,2,0),"")</f>
        <v>#N/A</v>
      </c>
      <c r="AB5713" s="545" t="e">
        <f t="shared" si="1697"/>
        <v>#N/A</v>
      </c>
      <c r="AC5713" s="529"/>
      <c r="AD5713" s="200" t="e">
        <f t="shared" si="1698"/>
        <v>#N/A</v>
      </c>
      <c r="AE5713" s="52"/>
      <c r="AF5713" s="52"/>
      <c r="AG5713" s="52"/>
      <c r="AH5713" s="87"/>
      <c r="AI5713" s="87"/>
    </row>
    <row r="5714" spans="1:35" ht="27" hidden="1" customHeight="1" thickBot="1">
      <c r="A5714" s="218" t="e">
        <f>"R"&amp;E5689</f>
        <v>#N/A</v>
      </c>
      <c r="B5714" s="702"/>
      <c r="C5714" s="114">
        <v>5</v>
      </c>
      <c r="D5714" s="194" t="e">
        <f>IF(AND(C5714&lt;=F5708,F5708&lt;&gt;""),VLOOKUP(VALUE(E5689&amp;","&amp;C5714),INTEGRANTES!$D$18:$F$235,2,0),"")</f>
        <v>#N/A</v>
      </c>
      <c r="E5714" s="211" t="e">
        <f>IF(D5714&lt;&gt;"",VLOOKUP(VALUE(E5689&amp;","&amp;C5714),INTEGRANTES!$D$18:$F$235,3,0),"")</f>
        <v>#N/A</v>
      </c>
      <c r="F5714" s="547" t="e">
        <f>IF(D5714="","",SUMIF($I5693:$I5702,D5714,$P5693:$P5702))</f>
        <v>#N/A</v>
      </c>
      <c r="G5714" s="333" t="e">
        <f>IF(D5714="","",SUMIF($I5693:$I5702,D5714,$M5693:$M5702))</f>
        <v>#N/A</v>
      </c>
      <c r="H5714" s="535" t="e">
        <f t="shared" si="1694"/>
        <v>#N/A</v>
      </c>
      <c r="I5714" s="212" t="e">
        <f>IF(D5714="","",IF(H5714="NO APORTA","NO",IF(H5714=MAX($H5710:$H5715),"SI","NO")))</f>
        <v>#N/A</v>
      </c>
      <c r="J5714" s="213" t="e">
        <f t="shared" si="1695"/>
        <v>#N/A</v>
      </c>
      <c r="K5714" s="200" t="e">
        <f t="shared" si="1696"/>
        <v>#N/A</v>
      </c>
      <c r="L5714" s="721"/>
      <c r="M5714" s="715" t="s">
        <v>116</v>
      </c>
      <c r="N5714" s="716"/>
      <c r="O5714" s="556" t="str">
        <f>PORCREQUERIDO*100&amp;"% PMFO DEL MÓDULO"</f>
        <v>50% PMFO DEL MÓDULO</v>
      </c>
      <c r="P5714" s="715" t="s">
        <v>118</v>
      </c>
      <c r="Q5714" s="728"/>
      <c r="R5714" s="458"/>
      <c r="S5714" s="459"/>
      <c r="T5714" s="460"/>
      <c r="U5714" s="219"/>
      <c r="V5714" s="464"/>
      <c r="Y5714" s="414"/>
      <c r="AA5714" s="540" t="e">
        <f>IF(AND(C5713&lt;=F5708,F5708&lt;&gt;""),VLOOKUP(VALUE(E5689&amp;","&amp;C5713),INTEGRANTES!$D$18:$F$235,2,0),"")</f>
        <v>#N/A</v>
      </c>
      <c r="AB5714" s="545" t="e">
        <f t="shared" si="1697"/>
        <v>#N/A</v>
      </c>
      <c r="AC5714" s="529"/>
      <c r="AD5714" s="200" t="e">
        <f t="shared" si="1698"/>
        <v>#N/A</v>
      </c>
      <c r="AE5714" s="52"/>
      <c r="AF5714" s="52"/>
      <c r="AG5714" s="52"/>
      <c r="AH5714" s="87"/>
      <c r="AI5714" s="87"/>
    </row>
    <row r="5715" spans="1:35" ht="16.5" hidden="1" thickBot="1">
      <c r="A5715" s="218" t="e">
        <f>"S"&amp;E5689</f>
        <v>#N/A</v>
      </c>
      <c r="B5715" s="702"/>
      <c r="C5715" s="215">
        <v>6</v>
      </c>
      <c r="D5715" s="216" t="e">
        <f>IF(AND(C5715&lt;=F5708,F5708&lt;&gt;""),VLOOKUP(VALUE(E5689&amp;","&amp;C5715),INTEGRANTES!$D$18:$F$235,2,0),"")</f>
        <v>#N/A</v>
      </c>
      <c r="E5715" s="217" t="e">
        <f>IF(D5715&lt;&gt;"",VLOOKUP(VALUE(E5689&amp;","&amp;C5715),INTEGRANTES!$D$18:$F$235,3,0),"")</f>
        <v>#N/A</v>
      </c>
      <c r="F5715" s="548" t="e">
        <f>IF(D5715="","",SUMIF($I5693:$I5702,D5715,$P5693:$P5702))</f>
        <v>#N/A</v>
      </c>
      <c r="G5715" s="334" t="e">
        <f>IF(D5715="","",SUMIF($I5693:$I5702,D5715,$M5693:$M5702))</f>
        <v>#N/A</v>
      </c>
      <c r="H5715" s="536" t="e">
        <f t="shared" si="1694"/>
        <v>#N/A</v>
      </c>
      <c r="I5715" s="214" t="e">
        <f>IF(D5715="","",IF(H5715="NO APORTA","NO",IF(H5715=MAX($H5710:$H5715),"SI","NO")))</f>
        <v>#N/A</v>
      </c>
      <c r="J5715" s="213" t="e">
        <f t="shared" si="1695"/>
        <v>#N/A</v>
      </c>
      <c r="K5715" s="200" t="e">
        <f t="shared" si="1696"/>
        <v>#N/A</v>
      </c>
      <c r="L5715" s="721"/>
      <c r="M5715" s="729">
        <f>NUMMOD</f>
        <v>1</v>
      </c>
      <c r="N5715" s="730"/>
      <c r="O5715" s="443">
        <f>IF(M5715="","",ROUND(VLOOKUP(M5715,PRESUPUESTOS!$B$16:$H$16,7,FALSE),3))</f>
        <v>25.780999999999999</v>
      </c>
      <c r="P5715" s="713">
        <f>IF(OR(COUNTIF(P5693:P5702,"")&gt;=10,Q5709&lt;NUMMINCONT,OR(T5707="NO CUMPLE",T5707="VERIFICAR")),0,ROUND((SUM(P5693:P5702)/SUM(M5693:M5702)),3))</f>
        <v>0</v>
      </c>
      <c r="Q5715" s="714"/>
      <c r="R5715" s="458"/>
      <c r="S5715" s="459"/>
      <c r="T5715" s="460"/>
      <c r="U5715" s="219"/>
      <c r="V5715" s="464"/>
      <c r="Y5715" s="532" t="s">
        <v>343</v>
      </c>
      <c r="AA5715" s="540" t="e">
        <f>IF(AND(C5714&lt;=F5708,F5708&lt;&gt;""),VLOOKUP(VALUE(E5689&amp;","&amp;C5714),INTEGRANTES!$D$18:$F$235,2,0),"")</f>
        <v>#N/A</v>
      </c>
      <c r="AB5715" s="545" t="e">
        <f t="shared" si="1697"/>
        <v>#N/A</v>
      </c>
      <c r="AC5715" s="529"/>
      <c r="AD5715" s="200" t="e">
        <f t="shared" si="1698"/>
        <v>#N/A</v>
      </c>
      <c r="AE5715" s="52"/>
      <c r="AF5715" s="52"/>
      <c r="AG5715" s="52"/>
      <c r="AH5715" s="87"/>
      <c r="AI5715" s="87"/>
    </row>
    <row r="5716" spans="1:35" ht="16.5" hidden="1" customHeight="1" thickBot="1">
      <c r="A5716" s="218" t="e">
        <f>"T"&amp;E5689</f>
        <v>#N/A</v>
      </c>
      <c r="B5716" s="703"/>
      <c r="C5716" s="719"/>
      <c r="D5716" s="719"/>
      <c r="E5716" s="719"/>
      <c r="F5716" s="719"/>
      <c r="G5716" s="719"/>
      <c r="H5716" s="719" t="s">
        <v>110</v>
      </c>
      <c r="I5716" s="719"/>
      <c r="J5716" s="719"/>
      <c r="K5716" s="201" t="str">
        <f>IF(COUNTIF(K5710:K5715,"")=6,"",IF(COUNTIF(K5710:K5715,"CUMPLE")&gt;0,"CUMPLE","NO CUMPLE"))</f>
        <v>NO CUMPLE</v>
      </c>
      <c r="L5716" s="754"/>
      <c r="M5716" s="755"/>
      <c r="N5716" s="755"/>
      <c r="O5716" s="755"/>
      <c r="P5716" s="755"/>
      <c r="Q5716" s="756"/>
      <c r="R5716" s="461"/>
      <c r="S5716" s="462"/>
      <c r="T5716" s="463"/>
      <c r="U5716" s="219"/>
      <c r="V5716" s="464"/>
      <c r="Y5716" s="549" t="e">
        <f>IF(Y5710="NO APLICA","NO APLICA",IF(COUNTIF(AD5711:AD5716,"CUMPLE")&gt;0,"CUMPLE","NO CUMPLE"))</f>
        <v>#N/A</v>
      </c>
      <c r="AA5716" s="541" t="e">
        <f>IF(AND(C5715&lt;=F5708,F5708&lt;&gt;""),VLOOKUP(VALUE(E5689&amp;","&amp;C5715),INTEGRANTES!$D$18:$F$235,2,0),"")</f>
        <v>#N/A</v>
      </c>
      <c r="AB5716" s="546" t="e">
        <f t="shared" si="1697"/>
        <v>#N/A</v>
      </c>
      <c r="AC5716" s="543"/>
      <c r="AD5716" s="201" t="e">
        <f t="shared" si="1698"/>
        <v>#N/A</v>
      </c>
      <c r="AE5716" s="52"/>
      <c r="AF5716" s="52"/>
      <c r="AG5716" s="52"/>
      <c r="AH5716" s="87"/>
      <c r="AI5716" s="87"/>
    </row>
    <row r="5717" spans="1:35" hidden="1">
      <c r="AH5717" s="87"/>
      <c r="AI5717" s="87"/>
    </row>
    <row r="5718" spans="1:35" hidden="1">
      <c r="AH5718" s="87"/>
      <c r="AI5718" s="87"/>
    </row>
    <row r="5719" spans="1:35" ht="24" hidden="1" thickBot="1">
      <c r="A5719" s="61">
        <v>191</v>
      </c>
      <c r="B5719" s="704" t="s">
        <v>51</v>
      </c>
      <c r="C5719" s="704"/>
      <c r="D5719" s="704"/>
      <c r="E5719" s="62" t="e">
        <f>VLOOKUP(A5719,PROPONENTES!$B$19:$E$218,2,FALSE)</f>
        <v>#N/A</v>
      </c>
      <c r="F5719" s="63" t="e">
        <f>VLOOKUP(A5719,PROPONENTES!$B$19:$E$218,3,FALSE)</f>
        <v>#N/A</v>
      </c>
      <c r="G5719" s="64"/>
      <c r="H5719" s="64"/>
      <c r="I5719" s="63"/>
      <c r="J5719" s="63"/>
      <c r="K5719" s="65"/>
      <c r="L5719" s="65"/>
      <c r="M5719" s="64"/>
      <c r="N5719" s="64"/>
      <c r="O5719" s="66"/>
      <c r="P5719" s="66"/>
      <c r="Q5719" s="66"/>
      <c r="R5719" s="66"/>
      <c r="S5719" s="67"/>
      <c r="T5719" s="68"/>
      <c r="U5719" s="68"/>
      <c r="AC5719" s="68"/>
      <c r="AD5719" s="68"/>
      <c r="AE5719" s="68"/>
      <c r="AF5719" s="68"/>
      <c r="AG5719" s="68"/>
      <c r="AH5719" s="87"/>
      <c r="AI5719" s="87"/>
    </row>
    <row r="5720" spans="1:35" ht="15.75" hidden="1" customHeight="1">
      <c r="A5720" s="44"/>
      <c r="B5720" s="709" t="s">
        <v>59</v>
      </c>
      <c r="C5720" s="552" t="s">
        <v>60</v>
      </c>
      <c r="D5720" s="70" t="s">
        <v>17</v>
      </c>
      <c r="E5720" s="70"/>
      <c r="F5720" s="70" t="s">
        <v>61</v>
      </c>
      <c r="G5720" s="71"/>
      <c r="H5720" s="699" t="s">
        <v>62</v>
      </c>
      <c r="I5720" s="699" t="s">
        <v>18</v>
      </c>
      <c r="J5720" s="699" t="s">
        <v>63</v>
      </c>
      <c r="K5720" s="699" t="s">
        <v>64</v>
      </c>
      <c r="L5720" s="699" t="s">
        <v>65</v>
      </c>
      <c r="M5720" s="743" t="s">
        <v>66</v>
      </c>
      <c r="N5720" s="699" t="s">
        <v>282</v>
      </c>
      <c r="O5720" s="745" t="s">
        <v>67</v>
      </c>
      <c r="P5720" s="746"/>
      <c r="Q5720" s="102" t="s">
        <v>75</v>
      </c>
      <c r="R5720" s="731" t="s">
        <v>22</v>
      </c>
      <c r="S5720" s="732"/>
      <c r="T5720" s="733"/>
      <c r="U5720" s="712" t="s">
        <v>298</v>
      </c>
      <c r="W5720" s="690" t="s">
        <v>268</v>
      </c>
      <c r="X5720" s="691"/>
      <c r="Y5720" s="692"/>
      <c r="Z5720" s="428"/>
      <c r="AA5720" s="697" t="s">
        <v>315</v>
      </c>
      <c r="AB5720" s="695" t="s">
        <v>322</v>
      </c>
      <c r="AC5720" s="49"/>
      <c r="AD5720" s="690" t="s">
        <v>297</v>
      </c>
      <c r="AE5720" s="691"/>
      <c r="AF5720" s="692"/>
      <c r="AG5720" s="49"/>
      <c r="AH5720" s="87"/>
      <c r="AI5720" s="87"/>
    </row>
    <row r="5721" spans="1:35" ht="72" hidden="1">
      <c r="A5721" s="44"/>
      <c r="B5721" s="710"/>
      <c r="C5721" s="553" t="s">
        <v>68</v>
      </c>
      <c r="D5721" s="73" t="s">
        <v>3</v>
      </c>
      <c r="E5721" s="73" t="s">
        <v>19</v>
      </c>
      <c r="F5721" s="73" t="s">
        <v>69</v>
      </c>
      <c r="G5721" s="74" t="s">
        <v>70</v>
      </c>
      <c r="H5721" s="700"/>
      <c r="I5721" s="700"/>
      <c r="J5721" s="700"/>
      <c r="K5721" s="700"/>
      <c r="L5721" s="700"/>
      <c r="M5721" s="744"/>
      <c r="N5721" s="700"/>
      <c r="O5721" s="553" t="s">
        <v>279</v>
      </c>
      <c r="P5721" s="73" t="s">
        <v>88</v>
      </c>
      <c r="Q5721" s="555" t="s">
        <v>76</v>
      </c>
      <c r="R5721" s="734"/>
      <c r="S5721" s="735"/>
      <c r="T5721" s="736"/>
      <c r="U5721" s="712"/>
      <c r="W5721" s="429" t="s">
        <v>269</v>
      </c>
      <c r="X5721" s="457" t="s">
        <v>278</v>
      </c>
      <c r="Y5721" s="430" t="s">
        <v>324</v>
      </c>
      <c r="Z5721" s="428"/>
      <c r="AA5721" s="698"/>
      <c r="AB5721" s="696"/>
      <c r="AC5721" s="49"/>
      <c r="AD5721" s="429" t="s">
        <v>292</v>
      </c>
      <c r="AE5721" s="431" t="s">
        <v>300</v>
      </c>
      <c r="AF5721" s="468" t="s">
        <v>301</v>
      </c>
      <c r="AG5721" s="49"/>
      <c r="AH5721" s="87"/>
      <c r="AI5721" s="87"/>
    </row>
    <row r="5722" spans="1:35" hidden="1">
      <c r="A5722" s="44"/>
      <c r="B5722" s="76"/>
      <c r="C5722" s="77"/>
      <c r="D5722" s="77"/>
      <c r="E5722" s="77"/>
      <c r="F5722" s="77"/>
      <c r="G5722" s="77"/>
      <c r="H5722" s="77"/>
      <c r="I5722" s="77"/>
      <c r="J5722" s="77"/>
      <c r="K5722" s="77"/>
      <c r="L5722" s="77"/>
      <c r="M5722" s="77"/>
      <c r="N5722" s="77"/>
      <c r="O5722" s="77"/>
      <c r="P5722" s="77"/>
      <c r="Q5722" s="77"/>
      <c r="R5722" s="77"/>
      <c r="S5722" s="78"/>
      <c r="T5722" s="79"/>
      <c r="U5722" s="109"/>
      <c r="V5722" s="49"/>
      <c r="W5722" s="432"/>
      <c r="X5722" s="454"/>
      <c r="Y5722" s="433"/>
      <c r="Z5722" s="6"/>
      <c r="AA5722" s="500"/>
      <c r="AB5722" s="562"/>
      <c r="AC5722" s="49"/>
      <c r="AD5722" s="210"/>
      <c r="AE5722" s="434"/>
      <c r="AF5722" s="435"/>
      <c r="AG5722" s="49"/>
      <c r="AH5722" s="87"/>
      <c r="AI5722" s="87"/>
    </row>
    <row r="5723" spans="1:35" hidden="1">
      <c r="A5723" s="80" t="e">
        <f>"A"&amp;E5719</f>
        <v>#N/A</v>
      </c>
      <c r="B5723" s="81">
        <v>1</v>
      </c>
      <c r="C5723" s="82"/>
      <c r="D5723" s="82"/>
      <c r="E5723" s="82"/>
      <c r="F5723" s="82"/>
      <c r="G5723" s="83"/>
      <c r="H5723" s="83"/>
      <c r="I5723" s="84"/>
      <c r="J5723" s="85"/>
      <c r="K5723" s="382"/>
      <c r="L5723" s="85"/>
      <c r="M5723" s="332" t="str">
        <f t="shared" ref="M5723:M5732" si="1699">IF(OR(J5723="",L5723="",H5723="NO"),"",IF(OR(J5723&gt;$P$17,J5723&lt;$O$17,L5723&gt;$P$17,AND(J5723&lt;$O$17,L5723&lt;$O$17)),"FUERA DE RANGO",IF(OR(K5723="---",K5723=""),IF(J5723&gt;=$O$17,ROUND((L5723-J5723+1)/360*12,3),ROUND((L5723-$O$17+1)/360*12,3)),IF(J5723&gt;=$O$17,ROUND((L5723-J5723+1)/360*12-ROUND(K5723,3),3),ROUND((L5723-$O$17+1)/360*12-ROUND(K5723,3),3)))))</f>
        <v/>
      </c>
      <c r="N5723" s="86"/>
      <c r="O5723" s="453" t="str">
        <f>IF(OR(G5723="",N5723=""),"",N5723*G5723)</f>
        <v/>
      </c>
      <c r="P5723" s="538" t="str">
        <f>IF(OR(H5723="",M5723="FUERA DE RANGO"),"",IF(OR(L5723&lt;$O$17,L5723&gt;$P$17,L5723="",H5723="NO"),"",IF(OR(N5723="",O5723=""),"",ROUND(O5723,3))))</f>
        <v/>
      </c>
      <c r="Q5723" s="539" t="str">
        <f t="shared" ref="Q5723:Q5732" si="1700">IF(AND(H5723="SI",P5723&lt;&gt;""),ROUND(P5723/M5723,3),"")</f>
        <v/>
      </c>
      <c r="R5723" s="737"/>
      <c r="S5723" s="738"/>
      <c r="T5723" s="739"/>
      <c r="U5723" s="470"/>
      <c r="V5723" s="165"/>
      <c r="W5723" s="446"/>
      <c r="X5723" s="456"/>
      <c r="Y5723" s="436"/>
      <c r="Z5723" s="437"/>
      <c r="AA5723" s="560"/>
      <c r="AB5723" s="561"/>
      <c r="AC5723" s="87"/>
      <c r="AD5723" s="466"/>
      <c r="AE5723" s="456"/>
      <c r="AF5723" s="467"/>
      <c r="AG5723" s="87"/>
      <c r="AH5723" s="87"/>
      <c r="AI5723" s="87"/>
    </row>
    <row r="5724" spans="1:35" hidden="1">
      <c r="A5724" s="80" t="e">
        <f>"B"&amp;E5719</f>
        <v>#N/A</v>
      </c>
      <c r="B5724" s="81">
        <v>2</v>
      </c>
      <c r="C5724" s="106"/>
      <c r="D5724" s="106"/>
      <c r="E5724" s="106"/>
      <c r="F5724" s="106"/>
      <c r="G5724" s="83"/>
      <c r="H5724" s="83"/>
      <c r="I5724" s="84"/>
      <c r="J5724" s="85"/>
      <c r="K5724" s="382"/>
      <c r="L5724" s="85"/>
      <c r="M5724" s="332" t="str">
        <f t="shared" si="1699"/>
        <v/>
      </c>
      <c r="N5724" s="86"/>
      <c r="O5724" s="453" t="str">
        <f t="shared" ref="O5724:O5732" si="1701">IF(OR(G5724="",N5724=""),"",N5724*G5724)</f>
        <v/>
      </c>
      <c r="P5724" s="538" t="str">
        <f t="shared" ref="P5724:P5732" si="1702">IF(OR(H5724="",M5724="FUERA DE RANGO"),"",IF(OR(L5724&lt;$O$17,L5724&gt;$P$17,L5724="",H5724="NO"),"",IF(OR(N5724="",O5724=""),"",ROUND(O5724,3))))</f>
        <v/>
      </c>
      <c r="Q5724" s="539" t="str">
        <f t="shared" si="1700"/>
        <v/>
      </c>
      <c r="R5724" s="740"/>
      <c r="S5724" s="741"/>
      <c r="T5724" s="742"/>
      <c r="U5724" s="471"/>
      <c r="V5724" s="165"/>
      <c r="W5724" s="446"/>
      <c r="X5724" s="456"/>
      <c r="Y5724" s="436"/>
      <c r="Z5724" s="437"/>
      <c r="AA5724" s="560"/>
      <c r="AB5724" s="561"/>
      <c r="AC5724" s="87"/>
      <c r="AD5724" s="466"/>
      <c r="AE5724" s="456"/>
      <c r="AF5724" s="467"/>
      <c r="AG5724" s="87"/>
      <c r="AH5724" s="87"/>
      <c r="AI5724" s="87"/>
    </row>
    <row r="5725" spans="1:35" hidden="1">
      <c r="A5725" s="80" t="e">
        <f>"C"&amp;E5719</f>
        <v>#N/A</v>
      </c>
      <c r="B5725" s="88">
        <v>3</v>
      </c>
      <c r="C5725" s="82"/>
      <c r="D5725" s="82"/>
      <c r="E5725" s="82"/>
      <c r="F5725" s="82"/>
      <c r="G5725" s="83"/>
      <c r="H5725" s="83"/>
      <c r="I5725" s="84"/>
      <c r="J5725" s="85"/>
      <c r="K5725" s="382"/>
      <c r="L5725" s="85"/>
      <c r="M5725" s="332" t="str">
        <f t="shared" si="1699"/>
        <v/>
      </c>
      <c r="N5725" s="86"/>
      <c r="O5725" s="453" t="str">
        <f t="shared" si="1701"/>
        <v/>
      </c>
      <c r="P5725" s="538" t="str">
        <f t="shared" si="1702"/>
        <v/>
      </c>
      <c r="Q5725" s="539" t="str">
        <f t="shared" si="1700"/>
        <v/>
      </c>
      <c r="R5725" s="706"/>
      <c r="S5725" s="707"/>
      <c r="T5725" s="708"/>
      <c r="U5725" s="472"/>
      <c r="V5725" s="166"/>
      <c r="W5725" s="446"/>
      <c r="X5725" s="456"/>
      <c r="Y5725" s="436"/>
      <c r="Z5725" s="437"/>
      <c r="AA5725" s="560"/>
      <c r="AB5725" s="561"/>
      <c r="AC5725" s="87"/>
      <c r="AD5725" s="466"/>
      <c r="AE5725" s="456"/>
      <c r="AF5725" s="467"/>
      <c r="AG5725" s="87"/>
      <c r="AH5725" s="87"/>
      <c r="AI5725" s="87"/>
    </row>
    <row r="5726" spans="1:35" hidden="1">
      <c r="A5726" s="80" t="e">
        <f>"D"&amp;E5719</f>
        <v>#N/A</v>
      </c>
      <c r="B5726" s="105">
        <v>4</v>
      </c>
      <c r="C5726" s="107"/>
      <c r="D5726" s="107"/>
      <c r="E5726" s="107"/>
      <c r="F5726" s="107"/>
      <c r="G5726" s="83"/>
      <c r="H5726" s="83"/>
      <c r="I5726" s="84"/>
      <c r="J5726" s="85"/>
      <c r="K5726" s="382"/>
      <c r="L5726" s="85"/>
      <c r="M5726" s="332" t="str">
        <f t="shared" si="1699"/>
        <v/>
      </c>
      <c r="N5726" s="86"/>
      <c r="O5726" s="453" t="str">
        <f t="shared" si="1701"/>
        <v/>
      </c>
      <c r="P5726" s="538" t="str">
        <f t="shared" si="1702"/>
        <v/>
      </c>
      <c r="Q5726" s="539" t="str">
        <f t="shared" si="1700"/>
        <v/>
      </c>
      <c r="R5726" s="706"/>
      <c r="S5726" s="707"/>
      <c r="T5726" s="708"/>
      <c r="U5726" s="472"/>
      <c r="V5726" s="166"/>
      <c r="W5726" s="446"/>
      <c r="X5726" s="456"/>
      <c r="Y5726" s="436"/>
      <c r="Z5726" s="437"/>
      <c r="AA5726" s="560"/>
      <c r="AB5726" s="561"/>
      <c r="AC5726" s="87"/>
      <c r="AD5726" s="466"/>
      <c r="AE5726" s="456"/>
      <c r="AF5726" s="467"/>
      <c r="AG5726" s="87"/>
      <c r="AH5726" s="87"/>
      <c r="AI5726" s="87"/>
    </row>
    <row r="5727" spans="1:35" hidden="1">
      <c r="A5727" s="80" t="e">
        <f>"E"&amp;E5719</f>
        <v>#N/A</v>
      </c>
      <c r="B5727" s="105">
        <v>5</v>
      </c>
      <c r="C5727" s="107"/>
      <c r="D5727" s="107"/>
      <c r="E5727" s="107"/>
      <c r="F5727" s="107"/>
      <c r="G5727" s="83"/>
      <c r="H5727" s="83"/>
      <c r="I5727" s="84"/>
      <c r="J5727" s="85"/>
      <c r="K5727" s="382"/>
      <c r="L5727" s="85"/>
      <c r="M5727" s="332" t="str">
        <f t="shared" si="1699"/>
        <v/>
      </c>
      <c r="N5727" s="86"/>
      <c r="O5727" s="453" t="str">
        <f t="shared" si="1701"/>
        <v/>
      </c>
      <c r="P5727" s="538" t="str">
        <f t="shared" si="1702"/>
        <v/>
      </c>
      <c r="Q5727" s="539" t="str">
        <f t="shared" si="1700"/>
        <v/>
      </c>
      <c r="R5727" s="706"/>
      <c r="S5727" s="707"/>
      <c r="T5727" s="708"/>
      <c r="U5727" s="472"/>
      <c r="V5727" s="167"/>
      <c r="W5727" s="446"/>
      <c r="X5727" s="456"/>
      <c r="Y5727" s="436"/>
      <c r="Z5727" s="437"/>
      <c r="AA5727" s="560"/>
      <c r="AB5727" s="561"/>
      <c r="AC5727" s="87"/>
      <c r="AD5727" s="466"/>
      <c r="AE5727" s="456"/>
      <c r="AF5727" s="467"/>
      <c r="AG5727" s="87"/>
      <c r="AH5727" s="87"/>
      <c r="AI5727" s="87"/>
    </row>
    <row r="5728" spans="1:35" hidden="1">
      <c r="A5728" s="80" t="e">
        <f>"F"&amp;E5719</f>
        <v>#N/A</v>
      </c>
      <c r="B5728" s="105">
        <v>6</v>
      </c>
      <c r="C5728" s="107"/>
      <c r="D5728" s="107"/>
      <c r="E5728" s="107"/>
      <c r="F5728" s="107"/>
      <c r="G5728" s="83"/>
      <c r="H5728" s="83"/>
      <c r="I5728" s="84"/>
      <c r="J5728" s="85"/>
      <c r="K5728" s="382"/>
      <c r="L5728" s="85"/>
      <c r="M5728" s="332" t="str">
        <f t="shared" si="1699"/>
        <v/>
      </c>
      <c r="N5728" s="86"/>
      <c r="O5728" s="453" t="str">
        <f t="shared" si="1701"/>
        <v/>
      </c>
      <c r="P5728" s="538" t="str">
        <f t="shared" si="1702"/>
        <v/>
      </c>
      <c r="Q5728" s="539" t="str">
        <f t="shared" si="1700"/>
        <v/>
      </c>
      <c r="R5728" s="706"/>
      <c r="S5728" s="707"/>
      <c r="T5728" s="708"/>
      <c r="U5728" s="472"/>
      <c r="V5728" s="167"/>
      <c r="W5728" s="446"/>
      <c r="X5728" s="456"/>
      <c r="Y5728" s="436"/>
      <c r="Z5728" s="437"/>
      <c r="AA5728" s="560"/>
      <c r="AB5728" s="561"/>
      <c r="AC5728" s="87"/>
      <c r="AD5728" s="466"/>
      <c r="AE5728" s="456"/>
      <c r="AF5728" s="467"/>
      <c r="AG5728" s="87"/>
      <c r="AH5728" s="87"/>
      <c r="AI5728" s="87"/>
    </row>
    <row r="5729" spans="1:35" hidden="1">
      <c r="A5729" s="80" t="e">
        <f>"G"&amp;E5719</f>
        <v>#N/A</v>
      </c>
      <c r="B5729" s="105">
        <v>7</v>
      </c>
      <c r="C5729" s="107"/>
      <c r="D5729" s="107"/>
      <c r="E5729" s="107"/>
      <c r="F5729" s="107"/>
      <c r="G5729" s="83"/>
      <c r="H5729" s="83"/>
      <c r="I5729" s="84"/>
      <c r="J5729" s="85"/>
      <c r="K5729" s="382"/>
      <c r="L5729" s="85"/>
      <c r="M5729" s="332" t="str">
        <f t="shared" si="1699"/>
        <v/>
      </c>
      <c r="N5729" s="86"/>
      <c r="O5729" s="86" t="str">
        <f t="shared" si="1701"/>
        <v/>
      </c>
      <c r="P5729" s="538" t="str">
        <f t="shared" si="1702"/>
        <v/>
      </c>
      <c r="Q5729" s="539" t="str">
        <f t="shared" si="1700"/>
        <v/>
      </c>
      <c r="R5729" s="706"/>
      <c r="S5729" s="707"/>
      <c r="T5729" s="708"/>
      <c r="U5729" s="472"/>
      <c r="V5729" s="167"/>
      <c r="W5729" s="446"/>
      <c r="X5729" s="456"/>
      <c r="Y5729" s="436"/>
      <c r="Z5729" s="437"/>
      <c r="AA5729" s="560"/>
      <c r="AB5729" s="561"/>
      <c r="AC5729" s="87"/>
      <c r="AD5729" s="466"/>
      <c r="AE5729" s="456"/>
      <c r="AF5729" s="467"/>
      <c r="AG5729" s="87"/>
      <c r="AH5729" s="87"/>
      <c r="AI5729" s="87"/>
    </row>
    <row r="5730" spans="1:35" hidden="1">
      <c r="A5730" s="80" t="e">
        <f>"H"&amp;E5719</f>
        <v>#N/A</v>
      </c>
      <c r="B5730" s="105">
        <v>8</v>
      </c>
      <c r="C5730" s="107"/>
      <c r="D5730" s="107"/>
      <c r="E5730" s="107"/>
      <c r="F5730" s="107"/>
      <c r="G5730" s="83"/>
      <c r="H5730" s="83"/>
      <c r="I5730" s="84"/>
      <c r="J5730" s="85"/>
      <c r="K5730" s="382"/>
      <c r="L5730" s="85"/>
      <c r="M5730" s="332" t="str">
        <f t="shared" si="1699"/>
        <v/>
      </c>
      <c r="N5730" s="453"/>
      <c r="O5730" s="86" t="str">
        <f t="shared" si="1701"/>
        <v/>
      </c>
      <c r="P5730" s="538" t="str">
        <f t="shared" si="1702"/>
        <v/>
      </c>
      <c r="Q5730" s="539" t="str">
        <f t="shared" si="1700"/>
        <v/>
      </c>
      <c r="R5730" s="706"/>
      <c r="S5730" s="707"/>
      <c r="T5730" s="708"/>
      <c r="U5730" s="472"/>
      <c r="V5730" s="167"/>
      <c r="W5730" s="446"/>
      <c r="X5730" s="456"/>
      <c r="Y5730" s="436"/>
      <c r="Z5730" s="437"/>
      <c r="AA5730" s="560"/>
      <c r="AB5730" s="561"/>
      <c r="AC5730" s="87"/>
      <c r="AD5730" s="466"/>
      <c r="AE5730" s="456"/>
      <c r="AF5730" s="467"/>
      <c r="AG5730" s="87"/>
      <c r="AH5730" s="87"/>
      <c r="AI5730" s="87"/>
    </row>
    <row r="5731" spans="1:35" hidden="1">
      <c r="A5731" s="80" t="e">
        <f>"I"&amp;E5719</f>
        <v>#N/A</v>
      </c>
      <c r="B5731" s="105">
        <v>9</v>
      </c>
      <c r="C5731" s="107"/>
      <c r="D5731" s="107"/>
      <c r="E5731" s="107"/>
      <c r="F5731" s="107"/>
      <c r="G5731" s="83"/>
      <c r="H5731" s="83"/>
      <c r="I5731" s="84"/>
      <c r="J5731" s="85"/>
      <c r="K5731" s="382"/>
      <c r="L5731" s="85"/>
      <c r="M5731" s="332" t="str">
        <f t="shared" si="1699"/>
        <v/>
      </c>
      <c r="N5731" s="453"/>
      <c r="O5731" s="86" t="str">
        <f t="shared" si="1701"/>
        <v/>
      </c>
      <c r="P5731" s="538" t="str">
        <f t="shared" si="1702"/>
        <v/>
      </c>
      <c r="Q5731" s="539" t="str">
        <f t="shared" si="1700"/>
        <v/>
      </c>
      <c r="R5731" s="706"/>
      <c r="S5731" s="707"/>
      <c r="T5731" s="708"/>
      <c r="U5731" s="472"/>
      <c r="V5731" s="167"/>
      <c r="W5731" s="446"/>
      <c r="X5731" s="456"/>
      <c r="Y5731" s="436"/>
      <c r="Z5731" s="437"/>
      <c r="AA5731" s="560"/>
      <c r="AB5731" s="561"/>
      <c r="AC5731" s="87"/>
      <c r="AD5731" s="466"/>
      <c r="AE5731" s="456"/>
      <c r="AF5731" s="467"/>
      <c r="AG5731" s="87"/>
      <c r="AH5731" s="87"/>
      <c r="AI5731" s="87"/>
    </row>
    <row r="5732" spans="1:35" hidden="1">
      <c r="A5732" s="80" t="e">
        <f>"J"&amp;E5719</f>
        <v>#N/A</v>
      </c>
      <c r="B5732" s="105">
        <v>10</v>
      </c>
      <c r="C5732" s="107"/>
      <c r="D5732" s="107"/>
      <c r="E5732" s="107"/>
      <c r="F5732" s="107"/>
      <c r="G5732" s="83"/>
      <c r="H5732" s="83"/>
      <c r="I5732" s="84"/>
      <c r="J5732" s="85"/>
      <c r="K5732" s="382"/>
      <c r="L5732" s="85"/>
      <c r="M5732" s="332" t="str">
        <f t="shared" si="1699"/>
        <v/>
      </c>
      <c r="N5732" s="453"/>
      <c r="O5732" s="86" t="str">
        <f t="shared" si="1701"/>
        <v/>
      </c>
      <c r="P5732" s="538" t="str">
        <f t="shared" si="1702"/>
        <v/>
      </c>
      <c r="Q5732" s="539" t="str">
        <f t="shared" si="1700"/>
        <v/>
      </c>
      <c r="R5732" s="706"/>
      <c r="S5732" s="707"/>
      <c r="T5732" s="708"/>
      <c r="U5732" s="472"/>
      <c r="V5732" s="167"/>
      <c r="W5732" s="446"/>
      <c r="X5732" s="456"/>
      <c r="Y5732" s="436"/>
      <c r="Z5732" s="437"/>
      <c r="AA5732" s="560"/>
      <c r="AB5732" s="561"/>
      <c r="AC5732" s="87"/>
      <c r="AD5732" s="466"/>
      <c r="AE5732" s="456"/>
      <c r="AF5732" s="467"/>
      <c r="AG5732" s="87"/>
      <c r="AH5732" s="87"/>
      <c r="AI5732" s="87"/>
    </row>
    <row r="5733" spans="1:35" ht="16.5" hidden="1" thickBot="1">
      <c r="A5733" s="44"/>
      <c r="B5733" s="89"/>
      <c r="C5733" s="90"/>
      <c r="D5733" s="90"/>
      <c r="E5733" s="90"/>
      <c r="F5733" s="90"/>
      <c r="G5733" s="90"/>
      <c r="H5733" s="90"/>
      <c r="I5733" s="90"/>
      <c r="J5733" s="90"/>
      <c r="K5733" s="90"/>
      <c r="L5733" s="90"/>
      <c r="M5733" s="90"/>
      <c r="N5733" s="90"/>
      <c r="O5733" s="90"/>
      <c r="P5733" s="90"/>
      <c r="Q5733" s="90"/>
      <c r="R5733" s="90"/>
      <c r="S5733" s="91"/>
      <c r="T5733" s="92"/>
      <c r="U5733" s="473"/>
      <c r="W5733" s="438"/>
      <c r="X5733" s="455"/>
      <c r="Y5733" s="439"/>
      <c r="Z5733" s="437"/>
      <c r="AA5733" s="530"/>
      <c r="AB5733" s="563"/>
      <c r="AC5733" s="87"/>
      <c r="AD5733" s="440"/>
      <c r="AE5733" s="441"/>
      <c r="AF5733" s="442"/>
      <c r="AG5733" s="49"/>
      <c r="AH5733" s="87"/>
      <c r="AI5733" s="87"/>
    </row>
    <row r="5734" spans="1:35" ht="16.5" hidden="1" thickBot="1">
      <c r="A5734" s="93"/>
      <c r="B5734" s="94"/>
      <c r="C5734" s="96"/>
      <c r="D5734" s="96"/>
      <c r="E5734" s="96"/>
      <c r="F5734" s="96"/>
      <c r="G5734" s="96"/>
      <c r="H5734" s="96"/>
      <c r="I5734" s="96"/>
      <c r="J5734" s="96"/>
      <c r="K5734" s="96"/>
      <c r="L5734" s="96"/>
      <c r="M5734" s="136"/>
      <c r="N5734" s="96"/>
      <c r="O5734" s="96"/>
      <c r="P5734" s="97"/>
      <c r="Q5734" s="97"/>
      <c r="R5734" s="98"/>
      <c r="S5734" s="95"/>
      <c r="T5734" s="99"/>
      <c r="U5734" s="469"/>
      <c r="AC5734" s="58"/>
      <c r="AG5734" s="58"/>
      <c r="AH5734" s="87"/>
      <c r="AI5734" s="87"/>
    </row>
    <row r="5735" spans="1:35" ht="16.5" hidden="1" thickBot="1">
      <c r="B5735" s="101"/>
      <c r="C5735" s="101"/>
      <c r="D5735" s="101"/>
      <c r="E5735" s="101"/>
      <c r="F5735" s="101"/>
      <c r="G5735" s="101"/>
      <c r="H5735" s="101"/>
      <c r="I5735" s="101"/>
      <c r="J5735" s="101"/>
      <c r="K5735" s="101"/>
      <c r="L5735" s="101"/>
      <c r="M5735" s="101"/>
      <c r="N5735" s="101"/>
      <c r="O5735" s="101"/>
      <c r="P5735" s="101"/>
      <c r="Q5735" s="101"/>
      <c r="R5735" s="101"/>
      <c r="S5735" s="101"/>
      <c r="U5735" s="50"/>
      <c r="AH5735" s="87"/>
      <c r="AI5735" s="87"/>
    </row>
    <row r="5736" spans="1:35" ht="16.5" hidden="1" customHeight="1" thickBot="1">
      <c r="A5736" s="44"/>
      <c r="B5736" s="705" t="s">
        <v>74</v>
      </c>
      <c r="C5736" s="705"/>
      <c r="D5736" s="705"/>
      <c r="E5736" s="705"/>
      <c r="F5736" s="705"/>
      <c r="G5736" s="705"/>
      <c r="H5736" s="705"/>
      <c r="I5736" s="705"/>
      <c r="J5736" s="705"/>
      <c r="K5736" s="705"/>
      <c r="L5736" s="705"/>
      <c r="M5736" s="705"/>
      <c r="N5736" s="705"/>
      <c r="O5736" s="705"/>
      <c r="P5736" s="705"/>
      <c r="Q5736" s="705"/>
      <c r="R5736" s="705"/>
      <c r="S5736" s="705"/>
      <c r="T5736" s="705"/>
      <c r="U5736" s="108"/>
      <c r="Y5736" s="532" t="s">
        <v>341</v>
      </c>
      <c r="AC5736" s="49"/>
      <c r="AD5736" s="687" t="s">
        <v>302</v>
      </c>
      <c r="AE5736" s="688"/>
      <c r="AF5736" s="689"/>
      <c r="AG5736" s="49"/>
      <c r="AH5736" s="87"/>
      <c r="AI5736" s="87"/>
    </row>
    <row r="5737" spans="1:35" ht="16.5" hidden="1" customHeight="1" thickBot="1">
      <c r="A5737" s="218" t="e">
        <f>"K"&amp;E5719</f>
        <v>#N/A</v>
      </c>
      <c r="B5737" s="701" t="s">
        <v>71</v>
      </c>
      <c r="C5737" s="751" t="s">
        <v>102</v>
      </c>
      <c r="D5737" s="751"/>
      <c r="E5737" s="751"/>
      <c r="F5737" s="751"/>
      <c r="G5737" s="751"/>
      <c r="H5737" s="751"/>
      <c r="I5737" s="751"/>
      <c r="J5737" s="751"/>
      <c r="K5737" s="751"/>
      <c r="L5737" s="722" t="s">
        <v>100</v>
      </c>
      <c r="M5737" s="747" t="s">
        <v>114</v>
      </c>
      <c r="N5737" s="747"/>
      <c r="O5737" s="747"/>
      <c r="P5737" s="747"/>
      <c r="Q5737" s="748"/>
      <c r="R5737" s="758" t="s">
        <v>280</v>
      </c>
      <c r="S5737" s="748"/>
      <c r="T5737" s="762" t="str">
        <f>IF(COUNTIF(AE5737:AF5737,"VERIFICAR")&gt;0,"VERIFICAR",IF(COUNTIF(AE5737:AF5737,"NO CUMPLE")&gt;0,"NO CUMPLE","CUMPLE"))</f>
        <v>VERIFICAR</v>
      </c>
      <c r="U5737" s="108"/>
      <c r="Y5737" s="533" t="e">
        <f>IF(F5738="","",IF(F5738=1,"INDIVIDUAL","ESTRUCTURA PLURAL"))</f>
        <v>#N/A</v>
      </c>
      <c r="AC5737" s="52"/>
      <c r="AD5737" s="475" t="s">
        <v>303</v>
      </c>
      <c r="AE5737" s="476" t="str">
        <f>IF(COUNTIF(AE5723:AE5732,"")=10,"VERIFICAR",IF(COUNTIF(AE5723:AE5732,"SI")&gt;0,"CUMPLE","NO CUMPLE"))</f>
        <v>VERIFICAR</v>
      </c>
      <c r="AF5737" s="477" t="str">
        <f>IF(COUNTIF(AF5723:AF5732,"")=10,"VERIFICAR",IF(COUNTIF(AF5723:AF5732,"SI")&gt;=$AI$22,"CUMPLE","NO CUMPLE"))</f>
        <v>VERIFICAR</v>
      </c>
      <c r="AG5737" s="52"/>
      <c r="AH5737" s="87"/>
      <c r="AI5737" s="87"/>
    </row>
    <row r="5738" spans="1:35" ht="15.75" hidden="1" customHeight="1" thickBot="1">
      <c r="A5738" s="218" t="e">
        <f>"L"&amp;E5719</f>
        <v>#N/A</v>
      </c>
      <c r="B5738" s="702"/>
      <c r="C5738" s="751" t="s">
        <v>103</v>
      </c>
      <c r="D5738" s="751"/>
      <c r="E5738" s="752"/>
      <c r="F5738" s="557" t="e">
        <f>IF(VLOOKUP(E5719,PROPONENTES!$C$19:$E$218,3,0)="","",VLOOKUP(E5719,PROPONENTES!$C$19:$E$218,3,0))</f>
        <v>#N/A</v>
      </c>
      <c r="G5738" s="753" t="s">
        <v>104</v>
      </c>
      <c r="H5738" s="751"/>
      <c r="I5738" s="715" t="e">
        <f>IF(OR(F5738="",F5738=1),"INTERESADO PERSONA NATURAL O JURIDICA","CONSORCIO O UNION TEMPORAL")</f>
        <v>#N/A</v>
      </c>
      <c r="J5738" s="725"/>
      <c r="K5738" s="728"/>
      <c r="L5738" s="723"/>
      <c r="M5738" s="749"/>
      <c r="N5738" s="749"/>
      <c r="O5738" s="749"/>
      <c r="P5738" s="749"/>
      <c r="Q5738" s="750"/>
      <c r="R5738" s="712"/>
      <c r="S5738" s="750"/>
      <c r="T5738" s="763"/>
      <c r="U5738" s="108"/>
      <c r="Y5738" s="534"/>
      <c r="AA5738" s="52"/>
      <c r="AB5738" s="52"/>
      <c r="AC5738" s="52"/>
      <c r="AG5738" s="52"/>
      <c r="AH5738" s="87"/>
      <c r="AI5738" s="87"/>
    </row>
    <row r="5739" spans="1:35" ht="56.25" hidden="1" customHeight="1" thickBot="1">
      <c r="A5739" s="218" t="e">
        <f>"M"&amp;E5719</f>
        <v>#N/A</v>
      </c>
      <c r="B5739" s="702"/>
      <c r="C5739" s="725" t="s">
        <v>101</v>
      </c>
      <c r="D5739" s="716"/>
      <c r="E5739" s="558" t="s">
        <v>105</v>
      </c>
      <c r="F5739" s="554" t="s">
        <v>87</v>
      </c>
      <c r="G5739" s="553" t="s">
        <v>86</v>
      </c>
      <c r="H5739" s="559" t="s">
        <v>85</v>
      </c>
      <c r="I5739" s="554" t="s">
        <v>252</v>
      </c>
      <c r="J5739" s="553" t="str">
        <f>"¿EL INTEGRANTE TIENE UNA PARTICIPACIÓN DEL "&amp;PORCREQUERIDOINT*100&amp;"%?"</f>
        <v>¿EL INTEGRANTE TIENE UNA PARTICIPACIÓN DEL 60%?</v>
      </c>
      <c r="K5739" s="554" t="s">
        <v>107</v>
      </c>
      <c r="L5739" s="724"/>
      <c r="M5739" s="717" t="s">
        <v>115</v>
      </c>
      <c r="N5739" s="718"/>
      <c r="O5739" s="718"/>
      <c r="P5739" s="718"/>
      <c r="Q5739" s="223">
        <f>IF(AND(H5723="SI",P5723&gt;=0),1,0)+IF(AND(H5724="SI",P5724&gt;=0),1,0)+IF(AND(H5725="SI",P5725&gt;=0),1,0)+IF(AND(H5726="SI",P5726&gt;=0),1,0)+IF(AND(H5727="SI",P5727&gt;=0),1,0)+IF(AND(H5728="SI",P5728&gt;=0),1,0)+IF(AND(H5729="SI",P5729&gt;=0),1,0)+IF(AND(H5730="SI",P5730&gt;=0),1,0)+IF(AND(H5731="SI",P5731&gt;=0),1,0)+IF(AND(H5732="SI",P5732&gt;=0),1,0)</f>
        <v>0</v>
      </c>
      <c r="R5739" s="759"/>
      <c r="S5739" s="761"/>
      <c r="T5739" s="764"/>
      <c r="U5739" s="219"/>
      <c r="V5739" s="464"/>
      <c r="Y5739" s="532" t="s">
        <v>342</v>
      </c>
      <c r="AA5739" s="550" t="s">
        <v>344</v>
      </c>
      <c r="AB5739" s="693" t="s">
        <v>345</v>
      </c>
      <c r="AC5739" s="693" t="s">
        <v>346</v>
      </c>
      <c r="AD5739" s="685" t="s">
        <v>347</v>
      </c>
      <c r="AE5739" s="52"/>
      <c r="AF5739" s="52"/>
      <c r="AG5739" s="52"/>
      <c r="AH5739" s="87"/>
      <c r="AI5739" s="87"/>
    </row>
    <row r="5740" spans="1:35" ht="15.75" hidden="1" customHeight="1" thickBot="1">
      <c r="A5740" s="218" t="e">
        <f>"N"&amp;E5719</f>
        <v>#N/A</v>
      </c>
      <c r="B5740" s="702"/>
      <c r="C5740" s="114">
        <v>1</v>
      </c>
      <c r="D5740" s="194" t="e">
        <f>IF(AND(C5740&lt;=F5738,F5738&gt;1,F5738&lt;&gt;""),VLOOKUP(VALUE(E5719&amp;","&amp;C5740),INTEGRANTES!$D$18:$F$235,2,0),"")</f>
        <v>#N/A</v>
      </c>
      <c r="E5740" s="211" t="e">
        <f>IF(D5740&lt;&gt;"",VLOOKUP(VALUE(E5719&amp;","&amp;C5740),INTEGRANTES!$D$18:$F$235,3,0),"")</f>
        <v>#N/A</v>
      </c>
      <c r="F5740" s="547" t="e">
        <f>IF(D5740="","",SUMIF($I5723:$I5732,D5740,$P5723:$P5732))</f>
        <v>#N/A</v>
      </c>
      <c r="G5740" s="333" t="e">
        <f>IF(D5740="","",SUMIF($I5723:$I5732,D5740,$M5723:$M5732))</f>
        <v>#N/A</v>
      </c>
      <c r="H5740" s="535" t="e">
        <f t="shared" ref="H5740:H5745" si="1703">IF(D5740="","",IF(OR(F5740=0,G5740=0),"NO APORTA",ROUND($F5740/$G5740,3)))</f>
        <v>#N/A</v>
      </c>
      <c r="I5740" s="212" t="e">
        <f>IF(D5740="","",IF(H5740="NO APORTA","NO",IF(H5740=MAX($H5740:$H5745),"SI","NO")))</f>
        <v>#N/A</v>
      </c>
      <c r="J5740" s="213" t="e">
        <f t="shared" ref="J5740:J5745" si="1704">IF(D5740="","",IF(E5740&gt;=PORCREQUERIDOINT,"SI","NO"))</f>
        <v>#N/A</v>
      </c>
      <c r="K5740" s="200" t="e">
        <f t="shared" ref="K5740:K5745" si="1705">IF(D5740="","",IF(AND(I5740="SI",J5740="SI"),"CUMPLE",IF(AND(I5740="NO",OR(J5740="SI",J5740="NO")),"","NO CUMPLE")))</f>
        <v>#N/A</v>
      </c>
      <c r="L5740" s="722" t="s">
        <v>108</v>
      </c>
      <c r="M5740" s="726" t="s">
        <v>119</v>
      </c>
      <c r="N5740" s="726"/>
      <c r="O5740" s="726"/>
      <c r="P5740" s="726"/>
      <c r="Q5740" s="727"/>
      <c r="R5740" s="758" t="s">
        <v>80</v>
      </c>
      <c r="S5740" s="747"/>
      <c r="T5740" s="748"/>
      <c r="U5740" s="219"/>
      <c r="V5740" s="464"/>
      <c r="Y5740" s="533" t="e">
        <f>IF(Y5737="","",IF(Y5737="INDIVIDUAL","NO APLICA","VERIFICAR CUADRO"))</f>
        <v>#N/A</v>
      </c>
      <c r="AA5740" s="551"/>
      <c r="AB5740" s="694"/>
      <c r="AC5740" s="694"/>
      <c r="AD5740" s="686"/>
      <c r="AE5740" s="52"/>
      <c r="AF5740" s="52"/>
      <c r="AG5740" s="52"/>
      <c r="AH5740" s="87"/>
      <c r="AI5740" s="87"/>
    </row>
    <row r="5741" spans="1:35" ht="27" hidden="1" customHeight="1" thickBot="1">
      <c r="A5741" s="218" t="e">
        <f>"O"&amp;E5719</f>
        <v>#N/A</v>
      </c>
      <c r="B5741" s="702"/>
      <c r="C5741" s="114">
        <v>2</v>
      </c>
      <c r="D5741" s="194" t="e">
        <f>IF(AND(C5741&lt;=F5738,F5738&lt;&gt;""),VLOOKUP(VALUE(E5719&amp;","&amp;C5741),INTEGRANTES!$D$18:$F$235,2,0),"")</f>
        <v>#N/A</v>
      </c>
      <c r="E5741" s="211" t="e">
        <f>IF(D5741&lt;&gt;"",VLOOKUP(VALUE(E5719&amp;","&amp;C5741),INTEGRANTES!$D$18:$F$235,3,0),"")</f>
        <v>#N/A</v>
      </c>
      <c r="F5741" s="547" t="e">
        <f>IF(D5741="","",SUMIF($I5723:$I5732,D5741,$P5723:$P5732))</f>
        <v>#N/A</v>
      </c>
      <c r="G5741" s="333" t="e">
        <f>IF(D5741="","",SUMIF($I5723:$I5732,D5741,$M5723:$M5732))</f>
        <v>#N/A</v>
      </c>
      <c r="H5741" s="535" t="e">
        <f t="shared" si="1703"/>
        <v>#N/A</v>
      </c>
      <c r="I5741" s="212" t="e">
        <f>IF(D5741="","",IF(H5741="NO APORTA","NO",IF(H5741=MAX($H5740:$H5745),"SI","NO")))</f>
        <v>#N/A</v>
      </c>
      <c r="J5741" s="213" t="e">
        <f t="shared" si="1704"/>
        <v>#N/A</v>
      </c>
      <c r="K5741" s="200" t="e">
        <f t="shared" si="1705"/>
        <v>#N/A</v>
      </c>
      <c r="L5741" s="723"/>
      <c r="M5741" s="715" t="s">
        <v>116</v>
      </c>
      <c r="N5741" s="716"/>
      <c r="O5741" s="556" t="s">
        <v>113</v>
      </c>
      <c r="P5741" s="715" t="s">
        <v>117</v>
      </c>
      <c r="Q5741" s="728"/>
      <c r="R5741" s="759"/>
      <c r="S5741" s="760"/>
      <c r="T5741" s="761"/>
      <c r="U5741" s="219"/>
      <c r="V5741" s="464"/>
      <c r="Y5741" s="414"/>
      <c r="AA5741" s="542" t="e">
        <f>IF(AND(C5740&lt;=F5738,F5738&gt;1,F5738&lt;&gt;""),VLOOKUP(VALUE(E5719&amp;","&amp;C5740),INTEGRANTES!$D$18:$F$235,2,0),"")</f>
        <v>#N/A</v>
      </c>
      <c r="AB5741" s="544" t="e">
        <f t="shared" ref="AB5741:AB5746" si="1706">IF(D5740="","",IF(OR(F5740=0,G5740=0),"NO APORTA",ROUND($F5740/$G5740,3)))</f>
        <v>#N/A</v>
      </c>
      <c r="AC5741" s="529"/>
      <c r="AD5741" s="200" t="e">
        <f t="shared" ref="AD5741:AD5746" si="1707">IF(OR(AA5741="",AB5741=""),"",IF(AND(AC5741="X",AB5741&gt;=EXPREQVTD),"CUMPLE","NO CUMPLE"))</f>
        <v>#N/A</v>
      </c>
      <c r="AE5741" s="52"/>
      <c r="AF5741" s="52"/>
      <c r="AG5741" s="52"/>
      <c r="AH5741" s="87"/>
      <c r="AI5741" s="87"/>
    </row>
    <row r="5742" spans="1:35" ht="16.5" hidden="1" thickBot="1">
      <c r="A5742" s="218" t="e">
        <f>"P"&amp;E5719</f>
        <v>#N/A</v>
      </c>
      <c r="B5742" s="702"/>
      <c r="C5742" s="114">
        <v>3</v>
      </c>
      <c r="D5742" s="194" t="e">
        <f>IF(AND(C5742&lt;=F5738,F5738&lt;&gt;""),VLOOKUP(VALUE(E5719&amp;","&amp;C5742),INTEGRANTES!$D$18:$F$235,2,0),"")</f>
        <v>#N/A</v>
      </c>
      <c r="E5742" s="211" t="e">
        <f>IF(D5742&lt;&gt;"",VLOOKUP(VALUE(E5719&amp;","&amp;C5742),INTEGRANTES!$D$18:$F$235,3,0),"")</f>
        <v>#N/A</v>
      </c>
      <c r="F5742" s="547" t="e">
        <f>IF(D5742="","",SUMIF($I5723:$I5732,D5742,$P5723:$P5732))</f>
        <v>#N/A</v>
      </c>
      <c r="G5742" s="333" t="e">
        <f>IF(D5742="","",SUMIF($I5723:$I5732,D5742,$M5723:$M5732))</f>
        <v>#N/A</v>
      </c>
      <c r="H5742" s="535" t="e">
        <f t="shared" si="1703"/>
        <v>#N/A</v>
      </c>
      <c r="I5742" s="212" t="e">
        <f>IF(D5742="","",IF(H5742="NO APORTA","NO",IF(H5742=MAX($H5740:$H5745),"SI","NO")))</f>
        <v>#N/A</v>
      </c>
      <c r="J5742" s="213" t="e">
        <f t="shared" si="1704"/>
        <v>#N/A</v>
      </c>
      <c r="K5742" s="200" t="e">
        <f t="shared" si="1705"/>
        <v>#N/A</v>
      </c>
      <c r="L5742" s="724"/>
      <c r="M5742" s="729">
        <f>NUMMOD</f>
        <v>1</v>
      </c>
      <c r="N5742" s="730"/>
      <c r="O5742" s="443">
        <f>IF(M5742="","",VLOOKUP(M5742,PRESUPUESTOS!$B$16:$H$16,5,FALSE))</f>
        <v>2</v>
      </c>
      <c r="P5742" s="713">
        <f>IF(OR(COUNTIF(M5723:M5732,"")&gt;=10,Q5739&lt;NUMMINCONT,OR(T5737="NO CUMPLE",T5737="VERIFICAR")),0,ROUND(AVERAGE(M5723:M5732),3))</f>
        <v>0</v>
      </c>
      <c r="Q5742" s="714"/>
      <c r="R5742" s="458"/>
      <c r="S5742" s="459"/>
      <c r="T5742" s="460"/>
      <c r="U5742" s="219"/>
      <c r="V5742" s="464"/>
      <c r="Y5742" s="532" t="str">
        <f>"40% * ("&amp;PRESUPUESTOS!$H$13&amp;")"</f>
        <v>40% * (50% PFMO)</v>
      </c>
      <c r="AA5742" s="540" t="e">
        <f>IF(AND(C5741&lt;=F5738,F5738&lt;&gt;""),VLOOKUP(VALUE(E5719&amp;","&amp;C5741),INTEGRANTES!$D$18:$F$235,2,0),"")</f>
        <v>#N/A</v>
      </c>
      <c r="AB5742" s="545" t="e">
        <f t="shared" si="1706"/>
        <v>#N/A</v>
      </c>
      <c r="AC5742" s="529"/>
      <c r="AD5742" s="200" t="e">
        <f t="shared" si="1707"/>
        <v>#N/A</v>
      </c>
      <c r="AE5742" s="52"/>
      <c r="AF5742" s="52"/>
      <c r="AG5742" s="52"/>
      <c r="AH5742" s="87"/>
      <c r="AI5742" s="87"/>
    </row>
    <row r="5743" spans="1:35" ht="15.75" hidden="1" customHeight="1" thickBot="1">
      <c r="A5743" s="218" t="e">
        <f>"Q"&amp;E5719</f>
        <v>#N/A</v>
      </c>
      <c r="B5743" s="702"/>
      <c r="C5743" s="114">
        <v>4</v>
      </c>
      <c r="D5743" s="194" t="e">
        <f>IF(AND(C5743&lt;=F5738,F5738&lt;&gt;""),VLOOKUP(VALUE(E5719&amp;","&amp;C5743),INTEGRANTES!$D$18:$F$235,2,0),"")</f>
        <v>#N/A</v>
      </c>
      <c r="E5743" s="211" t="e">
        <f>IF(D5743&lt;&gt;"",VLOOKUP(VALUE(E5719&amp;","&amp;C5743),INTEGRANTES!$D$18:$F$235,3,0),"")</f>
        <v>#N/A</v>
      </c>
      <c r="F5743" s="547" t="e">
        <f>IF(D5743="","",SUMIF($I5723:$I5732,D5743,$P5723:$P5732))</f>
        <v>#N/A</v>
      </c>
      <c r="G5743" s="333" t="e">
        <f>IF(D5743="","",SUMIF($I5723:$I5732,D5743,$M5723:$M5732))</f>
        <v>#N/A</v>
      </c>
      <c r="H5743" s="535" t="e">
        <f t="shared" si="1703"/>
        <v>#N/A</v>
      </c>
      <c r="I5743" s="212" t="e">
        <f>IF(D5743="","",IF(H5743="NO APORTA","NO",IF(H5743=MAX($H5740:$H5745),"SI","NO")))</f>
        <v>#N/A</v>
      </c>
      <c r="J5743" s="213" t="e">
        <f t="shared" si="1704"/>
        <v>#N/A</v>
      </c>
      <c r="K5743" s="200" t="e">
        <f t="shared" si="1705"/>
        <v>#N/A</v>
      </c>
      <c r="L5743" s="720" t="s">
        <v>109</v>
      </c>
      <c r="M5743" s="757" t="s">
        <v>120</v>
      </c>
      <c r="N5743" s="726"/>
      <c r="O5743" s="726"/>
      <c r="P5743" s="726"/>
      <c r="Q5743" s="727"/>
      <c r="R5743" s="458"/>
      <c r="S5743" s="459"/>
      <c r="T5743" s="460"/>
      <c r="U5743" s="219"/>
      <c r="V5743" s="464"/>
      <c r="Y5743" s="537">
        <f>0.4*PRESUPUESTOS!$H$16</f>
        <v>10.3124</v>
      </c>
      <c r="AA5743" s="540" t="e">
        <f>IF(AND(C5742&lt;=F5738,F5738&lt;&gt;""),VLOOKUP(VALUE(E5719&amp;","&amp;C5742),INTEGRANTES!$D$18:$F$235,2,0),"")</f>
        <v>#N/A</v>
      </c>
      <c r="AB5743" s="545" t="e">
        <f t="shared" si="1706"/>
        <v>#N/A</v>
      </c>
      <c r="AC5743" s="529"/>
      <c r="AD5743" s="200" t="e">
        <f t="shared" si="1707"/>
        <v>#N/A</v>
      </c>
      <c r="AE5743" s="52"/>
      <c r="AF5743" s="52"/>
      <c r="AG5743" s="52"/>
      <c r="AH5743" s="87"/>
      <c r="AI5743" s="87"/>
    </row>
    <row r="5744" spans="1:35" ht="27" hidden="1" customHeight="1" thickBot="1">
      <c r="A5744" s="218" t="e">
        <f>"R"&amp;E5719</f>
        <v>#N/A</v>
      </c>
      <c r="B5744" s="702"/>
      <c r="C5744" s="114">
        <v>5</v>
      </c>
      <c r="D5744" s="194" t="e">
        <f>IF(AND(C5744&lt;=F5738,F5738&lt;&gt;""),VLOOKUP(VALUE(E5719&amp;","&amp;C5744),INTEGRANTES!$D$18:$F$235,2,0),"")</f>
        <v>#N/A</v>
      </c>
      <c r="E5744" s="211" t="e">
        <f>IF(D5744&lt;&gt;"",VLOOKUP(VALUE(E5719&amp;","&amp;C5744),INTEGRANTES!$D$18:$F$235,3,0),"")</f>
        <v>#N/A</v>
      </c>
      <c r="F5744" s="547" t="e">
        <f>IF(D5744="","",SUMIF($I5723:$I5732,D5744,$P5723:$P5732))</f>
        <v>#N/A</v>
      </c>
      <c r="G5744" s="333" t="e">
        <f>IF(D5744="","",SUMIF($I5723:$I5732,D5744,$M5723:$M5732))</f>
        <v>#N/A</v>
      </c>
      <c r="H5744" s="535" t="e">
        <f t="shared" si="1703"/>
        <v>#N/A</v>
      </c>
      <c r="I5744" s="212" t="e">
        <f>IF(D5744="","",IF(H5744="NO APORTA","NO",IF(H5744=MAX($H5740:$H5745),"SI","NO")))</f>
        <v>#N/A</v>
      </c>
      <c r="J5744" s="213" t="e">
        <f t="shared" si="1704"/>
        <v>#N/A</v>
      </c>
      <c r="K5744" s="200" t="e">
        <f t="shared" si="1705"/>
        <v>#N/A</v>
      </c>
      <c r="L5744" s="721"/>
      <c r="M5744" s="715" t="s">
        <v>116</v>
      </c>
      <c r="N5744" s="716"/>
      <c r="O5744" s="556" t="str">
        <f>PORCREQUERIDO*100&amp;"% PMFO DEL MÓDULO"</f>
        <v>50% PMFO DEL MÓDULO</v>
      </c>
      <c r="P5744" s="715" t="s">
        <v>118</v>
      </c>
      <c r="Q5744" s="728"/>
      <c r="R5744" s="458"/>
      <c r="S5744" s="459"/>
      <c r="T5744" s="460"/>
      <c r="U5744" s="219"/>
      <c r="V5744" s="464"/>
      <c r="Y5744" s="414"/>
      <c r="AA5744" s="540" t="e">
        <f>IF(AND(C5743&lt;=F5738,F5738&lt;&gt;""),VLOOKUP(VALUE(E5719&amp;","&amp;C5743),INTEGRANTES!$D$18:$F$235,2,0),"")</f>
        <v>#N/A</v>
      </c>
      <c r="AB5744" s="545" t="e">
        <f t="shared" si="1706"/>
        <v>#N/A</v>
      </c>
      <c r="AC5744" s="529"/>
      <c r="AD5744" s="200" t="e">
        <f t="shared" si="1707"/>
        <v>#N/A</v>
      </c>
      <c r="AE5744" s="52"/>
      <c r="AF5744" s="52"/>
      <c r="AG5744" s="52"/>
      <c r="AH5744" s="87"/>
      <c r="AI5744" s="87"/>
    </row>
    <row r="5745" spans="1:35" ht="16.5" hidden="1" thickBot="1">
      <c r="A5745" s="218" t="e">
        <f>"S"&amp;E5719</f>
        <v>#N/A</v>
      </c>
      <c r="B5745" s="702"/>
      <c r="C5745" s="215">
        <v>6</v>
      </c>
      <c r="D5745" s="216" t="e">
        <f>IF(AND(C5745&lt;=F5738,F5738&lt;&gt;""),VLOOKUP(VALUE(E5719&amp;","&amp;C5745),INTEGRANTES!$D$18:$F$235,2,0),"")</f>
        <v>#N/A</v>
      </c>
      <c r="E5745" s="217" t="e">
        <f>IF(D5745&lt;&gt;"",VLOOKUP(VALUE(E5719&amp;","&amp;C5745),INTEGRANTES!$D$18:$F$235,3,0),"")</f>
        <v>#N/A</v>
      </c>
      <c r="F5745" s="548" t="e">
        <f>IF(D5745="","",SUMIF($I5723:$I5732,D5745,$P5723:$P5732))</f>
        <v>#N/A</v>
      </c>
      <c r="G5745" s="334" t="e">
        <f>IF(D5745="","",SUMIF($I5723:$I5732,D5745,$M5723:$M5732))</f>
        <v>#N/A</v>
      </c>
      <c r="H5745" s="536" t="e">
        <f t="shared" si="1703"/>
        <v>#N/A</v>
      </c>
      <c r="I5745" s="214" t="e">
        <f>IF(D5745="","",IF(H5745="NO APORTA","NO",IF(H5745=MAX($H5740:$H5745),"SI","NO")))</f>
        <v>#N/A</v>
      </c>
      <c r="J5745" s="213" t="e">
        <f t="shared" si="1704"/>
        <v>#N/A</v>
      </c>
      <c r="K5745" s="200" t="e">
        <f t="shared" si="1705"/>
        <v>#N/A</v>
      </c>
      <c r="L5745" s="721"/>
      <c r="M5745" s="729">
        <f>NUMMOD</f>
        <v>1</v>
      </c>
      <c r="N5745" s="730"/>
      <c r="O5745" s="443">
        <f>IF(M5745="","",ROUND(VLOOKUP(M5745,PRESUPUESTOS!$B$16:$H$16,7,FALSE),3))</f>
        <v>25.780999999999999</v>
      </c>
      <c r="P5745" s="713">
        <f>IF(OR(COUNTIF(P5723:P5732,"")&gt;=10,Q5739&lt;NUMMINCONT,OR(T5737="NO CUMPLE",T5737="VERIFICAR")),0,ROUND((SUM(P5723:P5732)/SUM(M5723:M5732)),3))</f>
        <v>0</v>
      </c>
      <c r="Q5745" s="714"/>
      <c r="R5745" s="458"/>
      <c r="S5745" s="459"/>
      <c r="T5745" s="460"/>
      <c r="U5745" s="219"/>
      <c r="V5745" s="464"/>
      <c r="Y5745" s="532" t="s">
        <v>343</v>
      </c>
      <c r="AA5745" s="540" t="e">
        <f>IF(AND(C5744&lt;=F5738,F5738&lt;&gt;""),VLOOKUP(VALUE(E5719&amp;","&amp;C5744),INTEGRANTES!$D$18:$F$235,2,0),"")</f>
        <v>#N/A</v>
      </c>
      <c r="AB5745" s="545" t="e">
        <f t="shared" si="1706"/>
        <v>#N/A</v>
      </c>
      <c r="AC5745" s="529"/>
      <c r="AD5745" s="200" t="e">
        <f t="shared" si="1707"/>
        <v>#N/A</v>
      </c>
      <c r="AE5745" s="52"/>
      <c r="AF5745" s="52"/>
      <c r="AG5745" s="52"/>
      <c r="AH5745" s="87"/>
      <c r="AI5745" s="87"/>
    </row>
    <row r="5746" spans="1:35" ht="16.5" hidden="1" customHeight="1" thickBot="1">
      <c r="A5746" s="218" t="e">
        <f>"T"&amp;E5719</f>
        <v>#N/A</v>
      </c>
      <c r="B5746" s="703"/>
      <c r="C5746" s="719"/>
      <c r="D5746" s="719"/>
      <c r="E5746" s="719"/>
      <c r="F5746" s="719"/>
      <c r="G5746" s="719"/>
      <c r="H5746" s="719" t="s">
        <v>110</v>
      </c>
      <c r="I5746" s="719"/>
      <c r="J5746" s="719"/>
      <c r="K5746" s="201" t="str">
        <f>IF(COUNTIF(K5740:K5745,"")=6,"",IF(COUNTIF(K5740:K5745,"CUMPLE")&gt;0,"CUMPLE","NO CUMPLE"))</f>
        <v>NO CUMPLE</v>
      </c>
      <c r="L5746" s="754"/>
      <c r="M5746" s="755"/>
      <c r="N5746" s="755"/>
      <c r="O5746" s="755"/>
      <c r="P5746" s="755"/>
      <c r="Q5746" s="756"/>
      <c r="R5746" s="461"/>
      <c r="S5746" s="462"/>
      <c r="T5746" s="463"/>
      <c r="U5746" s="219"/>
      <c r="V5746" s="464"/>
      <c r="Y5746" s="549" t="e">
        <f>IF(Y5740="NO APLICA","NO APLICA",IF(COUNTIF(AD5741:AD5746,"CUMPLE")&gt;0,"CUMPLE","NO CUMPLE"))</f>
        <v>#N/A</v>
      </c>
      <c r="AA5746" s="541" t="e">
        <f>IF(AND(C5745&lt;=F5738,F5738&lt;&gt;""),VLOOKUP(VALUE(E5719&amp;","&amp;C5745),INTEGRANTES!$D$18:$F$235,2,0),"")</f>
        <v>#N/A</v>
      </c>
      <c r="AB5746" s="546" t="e">
        <f t="shared" si="1706"/>
        <v>#N/A</v>
      </c>
      <c r="AC5746" s="543"/>
      <c r="AD5746" s="201" t="e">
        <f t="shared" si="1707"/>
        <v>#N/A</v>
      </c>
      <c r="AE5746" s="52"/>
      <c r="AF5746" s="52"/>
      <c r="AG5746" s="52"/>
      <c r="AH5746" s="87"/>
      <c r="AI5746" s="87"/>
    </row>
    <row r="5747" spans="1:35" hidden="1">
      <c r="AH5747" s="87"/>
      <c r="AI5747" s="87"/>
    </row>
    <row r="5748" spans="1:35" hidden="1">
      <c r="AH5748" s="87"/>
      <c r="AI5748" s="87"/>
    </row>
    <row r="5749" spans="1:35" ht="24" hidden="1" thickBot="1">
      <c r="A5749" s="61">
        <v>192</v>
      </c>
      <c r="B5749" s="704" t="s">
        <v>51</v>
      </c>
      <c r="C5749" s="704"/>
      <c r="D5749" s="704"/>
      <c r="E5749" s="62" t="e">
        <f>VLOOKUP(A5749,PROPONENTES!$B$19:$E$218,2,FALSE)</f>
        <v>#N/A</v>
      </c>
      <c r="F5749" s="63" t="e">
        <f>VLOOKUP(A5749,PROPONENTES!$B$19:$E$218,3,FALSE)</f>
        <v>#N/A</v>
      </c>
      <c r="G5749" s="64"/>
      <c r="H5749" s="64"/>
      <c r="I5749" s="63"/>
      <c r="J5749" s="63"/>
      <c r="K5749" s="65"/>
      <c r="L5749" s="65"/>
      <c r="M5749" s="64"/>
      <c r="N5749" s="64"/>
      <c r="O5749" s="66"/>
      <c r="P5749" s="66"/>
      <c r="Q5749" s="66"/>
      <c r="R5749" s="66"/>
      <c r="S5749" s="67"/>
      <c r="T5749" s="68"/>
      <c r="U5749" s="68"/>
      <c r="AC5749" s="68"/>
      <c r="AD5749" s="68"/>
      <c r="AE5749" s="68"/>
      <c r="AF5749" s="68"/>
      <c r="AG5749" s="68"/>
      <c r="AH5749" s="87"/>
      <c r="AI5749" s="87"/>
    </row>
    <row r="5750" spans="1:35" ht="15.75" hidden="1" customHeight="1">
      <c r="A5750" s="44"/>
      <c r="B5750" s="709" t="s">
        <v>59</v>
      </c>
      <c r="C5750" s="552" t="s">
        <v>60</v>
      </c>
      <c r="D5750" s="70" t="s">
        <v>17</v>
      </c>
      <c r="E5750" s="70"/>
      <c r="F5750" s="70" t="s">
        <v>61</v>
      </c>
      <c r="G5750" s="71"/>
      <c r="H5750" s="699" t="s">
        <v>62</v>
      </c>
      <c r="I5750" s="699" t="s">
        <v>18</v>
      </c>
      <c r="J5750" s="699" t="s">
        <v>63</v>
      </c>
      <c r="K5750" s="699" t="s">
        <v>64</v>
      </c>
      <c r="L5750" s="699" t="s">
        <v>65</v>
      </c>
      <c r="M5750" s="743" t="s">
        <v>66</v>
      </c>
      <c r="N5750" s="699" t="s">
        <v>282</v>
      </c>
      <c r="O5750" s="745" t="s">
        <v>67</v>
      </c>
      <c r="P5750" s="746"/>
      <c r="Q5750" s="102" t="s">
        <v>75</v>
      </c>
      <c r="R5750" s="731" t="s">
        <v>22</v>
      </c>
      <c r="S5750" s="732"/>
      <c r="T5750" s="733"/>
      <c r="U5750" s="712" t="s">
        <v>298</v>
      </c>
      <c r="W5750" s="690" t="s">
        <v>268</v>
      </c>
      <c r="X5750" s="691"/>
      <c r="Y5750" s="692"/>
      <c r="Z5750" s="428"/>
      <c r="AA5750" s="697" t="s">
        <v>315</v>
      </c>
      <c r="AB5750" s="695" t="s">
        <v>322</v>
      </c>
      <c r="AC5750" s="49"/>
      <c r="AD5750" s="690" t="s">
        <v>297</v>
      </c>
      <c r="AE5750" s="691"/>
      <c r="AF5750" s="692"/>
      <c r="AG5750" s="49"/>
      <c r="AH5750" s="87"/>
      <c r="AI5750" s="87"/>
    </row>
    <row r="5751" spans="1:35" ht="72" hidden="1">
      <c r="A5751" s="44"/>
      <c r="B5751" s="710"/>
      <c r="C5751" s="553" t="s">
        <v>68</v>
      </c>
      <c r="D5751" s="73" t="s">
        <v>3</v>
      </c>
      <c r="E5751" s="73" t="s">
        <v>19</v>
      </c>
      <c r="F5751" s="73" t="s">
        <v>69</v>
      </c>
      <c r="G5751" s="74" t="s">
        <v>70</v>
      </c>
      <c r="H5751" s="700"/>
      <c r="I5751" s="700"/>
      <c r="J5751" s="700"/>
      <c r="K5751" s="700"/>
      <c r="L5751" s="700"/>
      <c r="M5751" s="744"/>
      <c r="N5751" s="700"/>
      <c r="O5751" s="553" t="s">
        <v>279</v>
      </c>
      <c r="P5751" s="73" t="s">
        <v>88</v>
      </c>
      <c r="Q5751" s="555" t="s">
        <v>76</v>
      </c>
      <c r="R5751" s="734"/>
      <c r="S5751" s="735"/>
      <c r="T5751" s="736"/>
      <c r="U5751" s="712"/>
      <c r="W5751" s="429" t="s">
        <v>269</v>
      </c>
      <c r="X5751" s="457" t="s">
        <v>278</v>
      </c>
      <c r="Y5751" s="430" t="s">
        <v>324</v>
      </c>
      <c r="Z5751" s="428"/>
      <c r="AA5751" s="698"/>
      <c r="AB5751" s="696"/>
      <c r="AC5751" s="49"/>
      <c r="AD5751" s="429" t="s">
        <v>292</v>
      </c>
      <c r="AE5751" s="431" t="s">
        <v>300</v>
      </c>
      <c r="AF5751" s="468" t="s">
        <v>301</v>
      </c>
      <c r="AG5751" s="49"/>
      <c r="AH5751" s="87"/>
      <c r="AI5751" s="87"/>
    </row>
    <row r="5752" spans="1:35" hidden="1">
      <c r="A5752" s="44"/>
      <c r="B5752" s="76"/>
      <c r="C5752" s="77"/>
      <c r="D5752" s="77"/>
      <c r="E5752" s="77"/>
      <c r="F5752" s="77"/>
      <c r="G5752" s="77"/>
      <c r="H5752" s="77"/>
      <c r="I5752" s="77"/>
      <c r="J5752" s="77"/>
      <c r="K5752" s="77"/>
      <c r="L5752" s="77"/>
      <c r="M5752" s="77"/>
      <c r="N5752" s="77"/>
      <c r="O5752" s="77"/>
      <c r="P5752" s="77"/>
      <c r="Q5752" s="77"/>
      <c r="R5752" s="77"/>
      <c r="S5752" s="78"/>
      <c r="T5752" s="79"/>
      <c r="U5752" s="109"/>
      <c r="V5752" s="49"/>
      <c r="W5752" s="432"/>
      <c r="X5752" s="454"/>
      <c r="Y5752" s="433"/>
      <c r="Z5752" s="6"/>
      <c r="AA5752" s="500"/>
      <c r="AB5752" s="562"/>
      <c r="AC5752" s="49"/>
      <c r="AD5752" s="210"/>
      <c r="AE5752" s="434"/>
      <c r="AF5752" s="435"/>
      <c r="AG5752" s="49"/>
      <c r="AH5752" s="87"/>
      <c r="AI5752" s="87"/>
    </row>
    <row r="5753" spans="1:35" hidden="1">
      <c r="A5753" s="80" t="e">
        <f>"A"&amp;E5749</f>
        <v>#N/A</v>
      </c>
      <c r="B5753" s="81">
        <v>1</v>
      </c>
      <c r="C5753" s="82"/>
      <c r="D5753" s="82"/>
      <c r="E5753" s="82"/>
      <c r="F5753" s="82"/>
      <c r="G5753" s="83"/>
      <c r="H5753" s="83"/>
      <c r="I5753" s="84"/>
      <c r="J5753" s="85"/>
      <c r="K5753" s="382"/>
      <c r="L5753" s="85"/>
      <c r="M5753" s="332" t="str">
        <f t="shared" ref="M5753:M5762" si="1708">IF(OR(J5753="",L5753="",H5753="NO"),"",IF(OR(J5753&gt;$P$17,J5753&lt;$O$17,L5753&gt;$P$17,AND(J5753&lt;$O$17,L5753&lt;$O$17)),"FUERA DE RANGO",IF(OR(K5753="---",K5753=""),IF(J5753&gt;=$O$17,ROUND((L5753-J5753+1)/360*12,3),ROUND((L5753-$O$17+1)/360*12,3)),IF(J5753&gt;=$O$17,ROUND((L5753-J5753+1)/360*12-ROUND(K5753,3),3),ROUND((L5753-$O$17+1)/360*12-ROUND(K5753,3),3)))))</f>
        <v/>
      </c>
      <c r="N5753" s="86"/>
      <c r="O5753" s="453" t="str">
        <f>IF(OR(G5753="",N5753=""),"",N5753*G5753)</f>
        <v/>
      </c>
      <c r="P5753" s="538" t="str">
        <f>IF(OR(H5753="",M5753="FUERA DE RANGO"),"",IF(OR(L5753&lt;$O$17,L5753&gt;$P$17,L5753="",H5753="NO"),"",IF(OR(N5753="",O5753=""),"",ROUND(O5753,3))))</f>
        <v/>
      </c>
      <c r="Q5753" s="539" t="str">
        <f t="shared" ref="Q5753:Q5762" si="1709">IF(AND(H5753="SI",P5753&lt;&gt;""),ROUND(P5753/M5753,3),"")</f>
        <v/>
      </c>
      <c r="R5753" s="737"/>
      <c r="S5753" s="738"/>
      <c r="T5753" s="739"/>
      <c r="U5753" s="470"/>
      <c r="V5753" s="165"/>
      <c r="W5753" s="446"/>
      <c r="X5753" s="456"/>
      <c r="Y5753" s="436"/>
      <c r="Z5753" s="437"/>
      <c r="AA5753" s="560"/>
      <c r="AB5753" s="561"/>
      <c r="AC5753" s="87"/>
      <c r="AD5753" s="466"/>
      <c r="AE5753" s="456"/>
      <c r="AF5753" s="467"/>
      <c r="AG5753" s="87"/>
      <c r="AH5753" s="87"/>
      <c r="AI5753" s="87"/>
    </row>
    <row r="5754" spans="1:35" hidden="1">
      <c r="A5754" s="80" t="e">
        <f>"B"&amp;E5749</f>
        <v>#N/A</v>
      </c>
      <c r="B5754" s="81">
        <v>2</v>
      </c>
      <c r="C5754" s="106"/>
      <c r="D5754" s="106"/>
      <c r="E5754" s="106"/>
      <c r="F5754" s="106"/>
      <c r="G5754" s="83"/>
      <c r="H5754" s="83"/>
      <c r="I5754" s="84"/>
      <c r="J5754" s="85"/>
      <c r="K5754" s="382"/>
      <c r="L5754" s="85"/>
      <c r="M5754" s="332" t="str">
        <f t="shared" si="1708"/>
        <v/>
      </c>
      <c r="N5754" s="86"/>
      <c r="O5754" s="453" t="str">
        <f t="shared" ref="O5754:O5762" si="1710">IF(OR(G5754="",N5754=""),"",N5754*G5754)</f>
        <v/>
      </c>
      <c r="P5754" s="538" t="str">
        <f t="shared" ref="P5754:P5762" si="1711">IF(OR(H5754="",M5754="FUERA DE RANGO"),"",IF(OR(L5754&lt;$O$17,L5754&gt;$P$17,L5754="",H5754="NO"),"",IF(OR(N5754="",O5754=""),"",ROUND(O5754,3))))</f>
        <v/>
      </c>
      <c r="Q5754" s="539" t="str">
        <f t="shared" si="1709"/>
        <v/>
      </c>
      <c r="R5754" s="740"/>
      <c r="S5754" s="741"/>
      <c r="T5754" s="742"/>
      <c r="U5754" s="471"/>
      <c r="V5754" s="165"/>
      <c r="W5754" s="446"/>
      <c r="X5754" s="456"/>
      <c r="Y5754" s="436"/>
      <c r="Z5754" s="437"/>
      <c r="AA5754" s="560"/>
      <c r="AB5754" s="561"/>
      <c r="AC5754" s="87"/>
      <c r="AD5754" s="466"/>
      <c r="AE5754" s="456"/>
      <c r="AF5754" s="467"/>
      <c r="AG5754" s="87"/>
      <c r="AH5754" s="87"/>
      <c r="AI5754" s="87"/>
    </row>
    <row r="5755" spans="1:35" hidden="1">
      <c r="A5755" s="80" t="e">
        <f>"C"&amp;E5749</f>
        <v>#N/A</v>
      </c>
      <c r="B5755" s="88">
        <v>3</v>
      </c>
      <c r="C5755" s="82"/>
      <c r="D5755" s="82"/>
      <c r="E5755" s="82"/>
      <c r="F5755" s="82"/>
      <c r="G5755" s="83"/>
      <c r="H5755" s="83"/>
      <c r="I5755" s="84"/>
      <c r="J5755" s="85"/>
      <c r="K5755" s="382"/>
      <c r="L5755" s="85"/>
      <c r="M5755" s="332" t="str">
        <f t="shared" si="1708"/>
        <v/>
      </c>
      <c r="N5755" s="86"/>
      <c r="O5755" s="453" t="str">
        <f t="shared" si="1710"/>
        <v/>
      </c>
      <c r="P5755" s="538" t="str">
        <f t="shared" si="1711"/>
        <v/>
      </c>
      <c r="Q5755" s="539" t="str">
        <f t="shared" si="1709"/>
        <v/>
      </c>
      <c r="R5755" s="706"/>
      <c r="S5755" s="707"/>
      <c r="T5755" s="708"/>
      <c r="U5755" s="472"/>
      <c r="V5755" s="166"/>
      <c r="W5755" s="446"/>
      <c r="X5755" s="456"/>
      <c r="Y5755" s="436"/>
      <c r="Z5755" s="437"/>
      <c r="AA5755" s="560"/>
      <c r="AB5755" s="561"/>
      <c r="AC5755" s="87"/>
      <c r="AD5755" s="466"/>
      <c r="AE5755" s="456"/>
      <c r="AF5755" s="467"/>
      <c r="AG5755" s="87"/>
      <c r="AH5755" s="87"/>
      <c r="AI5755" s="87"/>
    </row>
    <row r="5756" spans="1:35" hidden="1">
      <c r="A5756" s="80" t="e">
        <f>"D"&amp;E5749</f>
        <v>#N/A</v>
      </c>
      <c r="B5756" s="105">
        <v>4</v>
      </c>
      <c r="C5756" s="107"/>
      <c r="D5756" s="107"/>
      <c r="E5756" s="107"/>
      <c r="F5756" s="107"/>
      <c r="G5756" s="83"/>
      <c r="H5756" s="83"/>
      <c r="I5756" s="84"/>
      <c r="J5756" s="85"/>
      <c r="K5756" s="382"/>
      <c r="L5756" s="85"/>
      <c r="M5756" s="332" t="str">
        <f t="shared" si="1708"/>
        <v/>
      </c>
      <c r="N5756" s="86"/>
      <c r="O5756" s="453" t="str">
        <f t="shared" si="1710"/>
        <v/>
      </c>
      <c r="P5756" s="538" t="str">
        <f t="shared" si="1711"/>
        <v/>
      </c>
      <c r="Q5756" s="539" t="str">
        <f t="shared" si="1709"/>
        <v/>
      </c>
      <c r="R5756" s="706"/>
      <c r="S5756" s="707"/>
      <c r="T5756" s="708"/>
      <c r="U5756" s="472"/>
      <c r="V5756" s="166"/>
      <c r="W5756" s="446"/>
      <c r="X5756" s="456"/>
      <c r="Y5756" s="436"/>
      <c r="Z5756" s="437"/>
      <c r="AA5756" s="560"/>
      <c r="AB5756" s="561"/>
      <c r="AC5756" s="87"/>
      <c r="AD5756" s="466"/>
      <c r="AE5756" s="456"/>
      <c r="AF5756" s="467"/>
      <c r="AG5756" s="87"/>
      <c r="AH5756" s="87"/>
      <c r="AI5756" s="87"/>
    </row>
    <row r="5757" spans="1:35" hidden="1">
      <c r="A5757" s="80" t="e">
        <f>"E"&amp;E5749</f>
        <v>#N/A</v>
      </c>
      <c r="B5757" s="105">
        <v>5</v>
      </c>
      <c r="C5757" s="107"/>
      <c r="D5757" s="107"/>
      <c r="E5757" s="107"/>
      <c r="F5757" s="107"/>
      <c r="G5757" s="83"/>
      <c r="H5757" s="83"/>
      <c r="I5757" s="84"/>
      <c r="J5757" s="85"/>
      <c r="K5757" s="382"/>
      <c r="L5757" s="85"/>
      <c r="M5757" s="332" t="str">
        <f t="shared" si="1708"/>
        <v/>
      </c>
      <c r="N5757" s="86"/>
      <c r="O5757" s="453" t="str">
        <f t="shared" si="1710"/>
        <v/>
      </c>
      <c r="P5757" s="538" t="str">
        <f t="shared" si="1711"/>
        <v/>
      </c>
      <c r="Q5757" s="539" t="str">
        <f t="shared" si="1709"/>
        <v/>
      </c>
      <c r="R5757" s="706"/>
      <c r="S5757" s="707"/>
      <c r="T5757" s="708"/>
      <c r="U5757" s="472"/>
      <c r="V5757" s="167"/>
      <c r="W5757" s="446"/>
      <c r="X5757" s="456"/>
      <c r="Y5757" s="436"/>
      <c r="Z5757" s="437"/>
      <c r="AA5757" s="560"/>
      <c r="AB5757" s="561"/>
      <c r="AC5757" s="87"/>
      <c r="AD5757" s="466"/>
      <c r="AE5757" s="456"/>
      <c r="AF5757" s="467"/>
      <c r="AG5757" s="87"/>
      <c r="AH5757" s="87"/>
      <c r="AI5757" s="87"/>
    </row>
    <row r="5758" spans="1:35" hidden="1">
      <c r="A5758" s="80" t="e">
        <f>"F"&amp;E5749</f>
        <v>#N/A</v>
      </c>
      <c r="B5758" s="105">
        <v>6</v>
      </c>
      <c r="C5758" s="107"/>
      <c r="D5758" s="107"/>
      <c r="E5758" s="107"/>
      <c r="F5758" s="107"/>
      <c r="G5758" s="83"/>
      <c r="H5758" s="83"/>
      <c r="I5758" s="84"/>
      <c r="J5758" s="85"/>
      <c r="K5758" s="382"/>
      <c r="L5758" s="85"/>
      <c r="M5758" s="332" t="str">
        <f t="shared" si="1708"/>
        <v/>
      </c>
      <c r="N5758" s="86"/>
      <c r="O5758" s="453" t="str">
        <f t="shared" si="1710"/>
        <v/>
      </c>
      <c r="P5758" s="538" t="str">
        <f t="shared" si="1711"/>
        <v/>
      </c>
      <c r="Q5758" s="539" t="str">
        <f t="shared" si="1709"/>
        <v/>
      </c>
      <c r="R5758" s="706"/>
      <c r="S5758" s="707"/>
      <c r="T5758" s="708"/>
      <c r="U5758" s="472"/>
      <c r="V5758" s="167"/>
      <c r="W5758" s="446"/>
      <c r="X5758" s="456"/>
      <c r="Y5758" s="436"/>
      <c r="Z5758" s="437"/>
      <c r="AA5758" s="560"/>
      <c r="AB5758" s="561"/>
      <c r="AC5758" s="87"/>
      <c r="AD5758" s="466"/>
      <c r="AE5758" s="456"/>
      <c r="AF5758" s="467"/>
      <c r="AG5758" s="87"/>
      <c r="AH5758" s="87"/>
      <c r="AI5758" s="87"/>
    </row>
    <row r="5759" spans="1:35" hidden="1">
      <c r="A5759" s="80" t="e">
        <f>"G"&amp;E5749</f>
        <v>#N/A</v>
      </c>
      <c r="B5759" s="105">
        <v>7</v>
      </c>
      <c r="C5759" s="107"/>
      <c r="D5759" s="107"/>
      <c r="E5759" s="107"/>
      <c r="F5759" s="107"/>
      <c r="G5759" s="83"/>
      <c r="H5759" s="83"/>
      <c r="I5759" s="84"/>
      <c r="J5759" s="85"/>
      <c r="K5759" s="382"/>
      <c r="L5759" s="85"/>
      <c r="M5759" s="332" t="str">
        <f t="shared" si="1708"/>
        <v/>
      </c>
      <c r="N5759" s="86"/>
      <c r="O5759" s="86" t="str">
        <f t="shared" si="1710"/>
        <v/>
      </c>
      <c r="P5759" s="538" t="str">
        <f t="shared" si="1711"/>
        <v/>
      </c>
      <c r="Q5759" s="539" t="str">
        <f t="shared" si="1709"/>
        <v/>
      </c>
      <c r="R5759" s="706"/>
      <c r="S5759" s="707"/>
      <c r="T5759" s="708"/>
      <c r="U5759" s="472"/>
      <c r="V5759" s="167"/>
      <c r="W5759" s="446"/>
      <c r="X5759" s="456"/>
      <c r="Y5759" s="436"/>
      <c r="Z5759" s="437"/>
      <c r="AA5759" s="560"/>
      <c r="AB5759" s="561"/>
      <c r="AC5759" s="87"/>
      <c r="AD5759" s="466"/>
      <c r="AE5759" s="456"/>
      <c r="AF5759" s="467"/>
      <c r="AG5759" s="87"/>
      <c r="AH5759" s="87"/>
      <c r="AI5759" s="87"/>
    </row>
    <row r="5760" spans="1:35" hidden="1">
      <c r="A5760" s="80" t="e">
        <f>"H"&amp;E5749</f>
        <v>#N/A</v>
      </c>
      <c r="B5760" s="105">
        <v>8</v>
      </c>
      <c r="C5760" s="107"/>
      <c r="D5760" s="107"/>
      <c r="E5760" s="107"/>
      <c r="F5760" s="107"/>
      <c r="G5760" s="83"/>
      <c r="H5760" s="83"/>
      <c r="I5760" s="84"/>
      <c r="J5760" s="85"/>
      <c r="K5760" s="382"/>
      <c r="L5760" s="85"/>
      <c r="M5760" s="332" t="str">
        <f t="shared" si="1708"/>
        <v/>
      </c>
      <c r="N5760" s="453"/>
      <c r="O5760" s="86" t="str">
        <f t="shared" si="1710"/>
        <v/>
      </c>
      <c r="P5760" s="538" t="str">
        <f t="shared" si="1711"/>
        <v/>
      </c>
      <c r="Q5760" s="539" t="str">
        <f t="shared" si="1709"/>
        <v/>
      </c>
      <c r="R5760" s="706"/>
      <c r="S5760" s="707"/>
      <c r="T5760" s="708"/>
      <c r="U5760" s="472"/>
      <c r="V5760" s="167"/>
      <c r="W5760" s="446"/>
      <c r="X5760" s="456"/>
      <c r="Y5760" s="436"/>
      <c r="Z5760" s="437"/>
      <c r="AA5760" s="560"/>
      <c r="AB5760" s="561"/>
      <c r="AC5760" s="87"/>
      <c r="AD5760" s="466"/>
      <c r="AE5760" s="456"/>
      <c r="AF5760" s="467"/>
      <c r="AG5760" s="87"/>
      <c r="AH5760" s="87"/>
      <c r="AI5760" s="87"/>
    </row>
    <row r="5761" spans="1:35" hidden="1">
      <c r="A5761" s="80" t="e">
        <f>"I"&amp;E5749</f>
        <v>#N/A</v>
      </c>
      <c r="B5761" s="105">
        <v>9</v>
      </c>
      <c r="C5761" s="107"/>
      <c r="D5761" s="107"/>
      <c r="E5761" s="107"/>
      <c r="F5761" s="107"/>
      <c r="G5761" s="83"/>
      <c r="H5761" s="83"/>
      <c r="I5761" s="84"/>
      <c r="J5761" s="85"/>
      <c r="K5761" s="382"/>
      <c r="L5761" s="85"/>
      <c r="M5761" s="332" t="str">
        <f t="shared" si="1708"/>
        <v/>
      </c>
      <c r="N5761" s="453"/>
      <c r="O5761" s="86" t="str">
        <f t="shared" si="1710"/>
        <v/>
      </c>
      <c r="P5761" s="538" t="str">
        <f t="shared" si="1711"/>
        <v/>
      </c>
      <c r="Q5761" s="539" t="str">
        <f t="shared" si="1709"/>
        <v/>
      </c>
      <c r="R5761" s="706"/>
      <c r="S5761" s="707"/>
      <c r="T5761" s="708"/>
      <c r="U5761" s="472"/>
      <c r="V5761" s="167"/>
      <c r="W5761" s="446"/>
      <c r="X5761" s="456"/>
      <c r="Y5761" s="436"/>
      <c r="Z5761" s="437"/>
      <c r="AA5761" s="560"/>
      <c r="AB5761" s="561"/>
      <c r="AC5761" s="87"/>
      <c r="AD5761" s="466"/>
      <c r="AE5761" s="456"/>
      <c r="AF5761" s="467"/>
      <c r="AG5761" s="87"/>
      <c r="AH5761" s="87"/>
      <c r="AI5761" s="87"/>
    </row>
    <row r="5762" spans="1:35" hidden="1">
      <c r="A5762" s="80" t="e">
        <f>"J"&amp;E5749</f>
        <v>#N/A</v>
      </c>
      <c r="B5762" s="105">
        <v>10</v>
      </c>
      <c r="C5762" s="107"/>
      <c r="D5762" s="107"/>
      <c r="E5762" s="107"/>
      <c r="F5762" s="107"/>
      <c r="G5762" s="83"/>
      <c r="H5762" s="83"/>
      <c r="I5762" s="84"/>
      <c r="J5762" s="85"/>
      <c r="K5762" s="382"/>
      <c r="L5762" s="85"/>
      <c r="M5762" s="332" t="str">
        <f t="shared" si="1708"/>
        <v/>
      </c>
      <c r="N5762" s="453"/>
      <c r="O5762" s="86" t="str">
        <f t="shared" si="1710"/>
        <v/>
      </c>
      <c r="P5762" s="538" t="str">
        <f t="shared" si="1711"/>
        <v/>
      </c>
      <c r="Q5762" s="539" t="str">
        <f t="shared" si="1709"/>
        <v/>
      </c>
      <c r="R5762" s="706"/>
      <c r="S5762" s="707"/>
      <c r="T5762" s="708"/>
      <c r="U5762" s="472"/>
      <c r="V5762" s="167"/>
      <c r="W5762" s="446"/>
      <c r="X5762" s="456"/>
      <c r="Y5762" s="436"/>
      <c r="Z5762" s="437"/>
      <c r="AA5762" s="560"/>
      <c r="AB5762" s="561"/>
      <c r="AC5762" s="87"/>
      <c r="AD5762" s="466"/>
      <c r="AE5762" s="456"/>
      <c r="AF5762" s="467"/>
      <c r="AG5762" s="87"/>
      <c r="AH5762" s="87"/>
      <c r="AI5762" s="87"/>
    </row>
    <row r="5763" spans="1:35" ht="16.5" hidden="1" thickBot="1">
      <c r="A5763" s="44"/>
      <c r="B5763" s="89"/>
      <c r="C5763" s="90"/>
      <c r="D5763" s="90"/>
      <c r="E5763" s="90"/>
      <c r="F5763" s="90"/>
      <c r="G5763" s="90"/>
      <c r="H5763" s="90"/>
      <c r="I5763" s="90"/>
      <c r="J5763" s="90"/>
      <c r="K5763" s="90"/>
      <c r="L5763" s="90"/>
      <c r="M5763" s="90"/>
      <c r="N5763" s="90"/>
      <c r="O5763" s="90"/>
      <c r="P5763" s="90"/>
      <c r="Q5763" s="90"/>
      <c r="R5763" s="90"/>
      <c r="S5763" s="91"/>
      <c r="T5763" s="92"/>
      <c r="U5763" s="473"/>
      <c r="W5763" s="438"/>
      <c r="X5763" s="455"/>
      <c r="Y5763" s="439"/>
      <c r="Z5763" s="437"/>
      <c r="AA5763" s="530"/>
      <c r="AB5763" s="563"/>
      <c r="AC5763" s="87"/>
      <c r="AD5763" s="440"/>
      <c r="AE5763" s="441"/>
      <c r="AF5763" s="442"/>
      <c r="AG5763" s="49"/>
      <c r="AH5763" s="87"/>
      <c r="AI5763" s="87"/>
    </row>
    <row r="5764" spans="1:35" ht="16.5" hidden="1" thickBot="1">
      <c r="A5764" s="93"/>
      <c r="B5764" s="94"/>
      <c r="C5764" s="96"/>
      <c r="D5764" s="96"/>
      <c r="E5764" s="96"/>
      <c r="F5764" s="96"/>
      <c r="G5764" s="96"/>
      <c r="H5764" s="96"/>
      <c r="I5764" s="96"/>
      <c r="J5764" s="96"/>
      <c r="K5764" s="96"/>
      <c r="L5764" s="96"/>
      <c r="M5764" s="136"/>
      <c r="N5764" s="96"/>
      <c r="O5764" s="96"/>
      <c r="P5764" s="97"/>
      <c r="Q5764" s="97"/>
      <c r="R5764" s="98"/>
      <c r="S5764" s="95"/>
      <c r="T5764" s="99"/>
      <c r="U5764" s="469"/>
      <c r="AC5764" s="58"/>
      <c r="AG5764" s="58"/>
      <c r="AH5764" s="87"/>
      <c r="AI5764" s="87"/>
    </row>
    <row r="5765" spans="1:35" ht="16.5" hidden="1" thickBot="1">
      <c r="B5765" s="101"/>
      <c r="C5765" s="101"/>
      <c r="D5765" s="101"/>
      <c r="E5765" s="101"/>
      <c r="F5765" s="101"/>
      <c r="G5765" s="101"/>
      <c r="H5765" s="101"/>
      <c r="I5765" s="101"/>
      <c r="J5765" s="101"/>
      <c r="K5765" s="101"/>
      <c r="L5765" s="101"/>
      <c r="M5765" s="101"/>
      <c r="N5765" s="101"/>
      <c r="O5765" s="101"/>
      <c r="P5765" s="101"/>
      <c r="Q5765" s="101"/>
      <c r="R5765" s="101"/>
      <c r="S5765" s="101"/>
      <c r="U5765" s="50"/>
      <c r="AH5765" s="87"/>
      <c r="AI5765" s="87"/>
    </row>
    <row r="5766" spans="1:35" ht="16.5" hidden="1" customHeight="1" thickBot="1">
      <c r="A5766" s="44"/>
      <c r="B5766" s="705" t="s">
        <v>74</v>
      </c>
      <c r="C5766" s="705"/>
      <c r="D5766" s="705"/>
      <c r="E5766" s="705"/>
      <c r="F5766" s="705"/>
      <c r="G5766" s="705"/>
      <c r="H5766" s="705"/>
      <c r="I5766" s="705"/>
      <c r="J5766" s="705"/>
      <c r="K5766" s="705"/>
      <c r="L5766" s="705"/>
      <c r="M5766" s="705"/>
      <c r="N5766" s="705"/>
      <c r="O5766" s="705"/>
      <c r="P5766" s="705"/>
      <c r="Q5766" s="705"/>
      <c r="R5766" s="705"/>
      <c r="S5766" s="705"/>
      <c r="T5766" s="705"/>
      <c r="U5766" s="108"/>
      <c r="Y5766" s="532" t="s">
        <v>341</v>
      </c>
      <c r="AC5766" s="49"/>
      <c r="AD5766" s="687" t="s">
        <v>302</v>
      </c>
      <c r="AE5766" s="688"/>
      <c r="AF5766" s="689"/>
      <c r="AG5766" s="49"/>
      <c r="AH5766" s="87"/>
      <c r="AI5766" s="87"/>
    </row>
    <row r="5767" spans="1:35" ht="16.5" hidden="1" customHeight="1" thickBot="1">
      <c r="A5767" s="218" t="e">
        <f>"K"&amp;E5749</f>
        <v>#N/A</v>
      </c>
      <c r="B5767" s="701" t="s">
        <v>71</v>
      </c>
      <c r="C5767" s="751" t="s">
        <v>102</v>
      </c>
      <c r="D5767" s="751"/>
      <c r="E5767" s="751"/>
      <c r="F5767" s="751"/>
      <c r="G5767" s="751"/>
      <c r="H5767" s="751"/>
      <c r="I5767" s="751"/>
      <c r="J5767" s="751"/>
      <c r="K5767" s="751"/>
      <c r="L5767" s="722" t="s">
        <v>100</v>
      </c>
      <c r="M5767" s="747" t="s">
        <v>114</v>
      </c>
      <c r="N5767" s="747"/>
      <c r="O5767" s="747"/>
      <c r="P5767" s="747"/>
      <c r="Q5767" s="748"/>
      <c r="R5767" s="758" t="s">
        <v>280</v>
      </c>
      <c r="S5767" s="748"/>
      <c r="T5767" s="762" t="str">
        <f>IF(COUNTIF(AE5767:AF5767,"VERIFICAR")&gt;0,"VERIFICAR",IF(COUNTIF(AE5767:AF5767,"NO CUMPLE")&gt;0,"NO CUMPLE","CUMPLE"))</f>
        <v>VERIFICAR</v>
      </c>
      <c r="U5767" s="108"/>
      <c r="Y5767" s="533" t="e">
        <f>IF(F5768="","",IF(F5768=1,"INDIVIDUAL","ESTRUCTURA PLURAL"))</f>
        <v>#N/A</v>
      </c>
      <c r="AC5767" s="52"/>
      <c r="AD5767" s="475" t="s">
        <v>303</v>
      </c>
      <c r="AE5767" s="476" t="str">
        <f>IF(COUNTIF(AE5753:AE5762,"")=10,"VERIFICAR",IF(COUNTIF(AE5753:AE5762,"SI")&gt;0,"CUMPLE","NO CUMPLE"))</f>
        <v>VERIFICAR</v>
      </c>
      <c r="AF5767" s="477" t="str">
        <f>IF(COUNTIF(AF5753:AF5762,"")=10,"VERIFICAR",IF(COUNTIF(AF5753:AF5762,"SI")&gt;=$AI$22,"CUMPLE","NO CUMPLE"))</f>
        <v>VERIFICAR</v>
      </c>
      <c r="AG5767" s="52"/>
      <c r="AH5767" s="87"/>
      <c r="AI5767" s="87"/>
    </row>
    <row r="5768" spans="1:35" ht="15.75" hidden="1" customHeight="1" thickBot="1">
      <c r="A5768" s="218" t="e">
        <f>"L"&amp;E5749</f>
        <v>#N/A</v>
      </c>
      <c r="B5768" s="702"/>
      <c r="C5768" s="751" t="s">
        <v>103</v>
      </c>
      <c r="D5768" s="751"/>
      <c r="E5768" s="752"/>
      <c r="F5768" s="557" t="e">
        <f>IF(VLOOKUP(E5749,PROPONENTES!$C$19:$E$218,3,0)="","",VLOOKUP(E5749,PROPONENTES!$C$19:$E$218,3,0))</f>
        <v>#N/A</v>
      </c>
      <c r="G5768" s="753" t="s">
        <v>104</v>
      </c>
      <c r="H5768" s="751"/>
      <c r="I5768" s="715" t="e">
        <f>IF(OR(F5768="",F5768=1),"INTERESADO PERSONA NATURAL O JURIDICA","CONSORCIO O UNION TEMPORAL")</f>
        <v>#N/A</v>
      </c>
      <c r="J5768" s="725"/>
      <c r="K5768" s="728"/>
      <c r="L5768" s="723"/>
      <c r="M5768" s="749"/>
      <c r="N5768" s="749"/>
      <c r="O5768" s="749"/>
      <c r="P5768" s="749"/>
      <c r="Q5768" s="750"/>
      <c r="R5768" s="712"/>
      <c r="S5768" s="750"/>
      <c r="T5768" s="763"/>
      <c r="U5768" s="108"/>
      <c r="Y5768" s="534"/>
      <c r="AA5768" s="52"/>
      <c r="AB5768" s="52"/>
      <c r="AC5768" s="52"/>
      <c r="AG5768" s="52"/>
      <c r="AH5768" s="87"/>
      <c r="AI5768" s="87"/>
    </row>
    <row r="5769" spans="1:35" ht="56.25" hidden="1" customHeight="1" thickBot="1">
      <c r="A5769" s="218" t="e">
        <f>"M"&amp;E5749</f>
        <v>#N/A</v>
      </c>
      <c r="B5769" s="702"/>
      <c r="C5769" s="725" t="s">
        <v>101</v>
      </c>
      <c r="D5769" s="716"/>
      <c r="E5769" s="558" t="s">
        <v>105</v>
      </c>
      <c r="F5769" s="554" t="s">
        <v>87</v>
      </c>
      <c r="G5769" s="553" t="s">
        <v>86</v>
      </c>
      <c r="H5769" s="559" t="s">
        <v>85</v>
      </c>
      <c r="I5769" s="554" t="s">
        <v>252</v>
      </c>
      <c r="J5769" s="553" t="str">
        <f>"¿EL INTEGRANTE TIENE UNA PARTICIPACIÓN DEL "&amp;PORCREQUERIDOINT*100&amp;"%?"</f>
        <v>¿EL INTEGRANTE TIENE UNA PARTICIPACIÓN DEL 60%?</v>
      </c>
      <c r="K5769" s="554" t="s">
        <v>107</v>
      </c>
      <c r="L5769" s="724"/>
      <c r="M5769" s="717" t="s">
        <v>115</v>
      </c>
      <c r="N5769" s="718"/>
      <c r="O5769" s="718"/>
      <c r="P5769" s="718"/>
      <c r="Q5769" s="223">
        <f>IF(AND(H5753="SI",P5753&gt;=0),1,0)+IF(AND(H5754="SI",P5754&gt;=0),1,0)+IF(AND(H5755="SI",P5755&gt;=0),1,0)+IF(AND(H5756="SI",P5756&gt;=0),1,0)+IF(AND(H5757="SI",P5757&gt;=0),1,0)+IF(AND(H5758="SI",P5758&gt;=0),1,0)+IF(AND(H5759="SI",P5759&gt;=0),1,0)+IF(AND(H5760="SI",P5760&gt;=0),1,0)+IF(AND(H5761="SI",P5761&gt;=0),1,0)+IF(AND(H5762="SI",P5762&gt;=0),1,0)</f>
        <v>0</v>
      </c>
      <c r="R5769" s="759"/>
      <c r="S5769" s="761"/>
      <c r="T5769" s="764"/>
      <c r="U5769" s="219"/>
      <c r="V5769" s="464"/>
      <c r="Y5769" s="532" t="s">
        <v>342</v>
      </c>
      <c r="AA5769" s="550" t="s">
        <v>344</v>
      </c>
      <c r="AB5769" s="693" t="s">
        <v>345</v>
      </c>
      <c r="AC5769" s="693" t="s">
        <v>346</v>
      </c>
      <c r="AD5769" s="685" t="s">
        <v>347</v>
      </c>
      <c r="AE5769" s="52"/>
      <c r="AF5769" s="52"/>
      <c r="AG5769" s="52"/>
      <c r="AH5769" s="87"/>
      <c r="AI5769" s="87"/>
    </row>
    <row r="5770" spans="1:35" ht="15.75" hidden="1" customHeight="1" thickBot="1">
      <c r="A5770" s="218" t="e">
        <f>"N"&amp;E5749</f>
        <v>#N/A</v>
      </c>
      <c r="B5770" s="702"/>
      <c r="C5770" s="114">
        <v>1</v>
      </c>
      <c r="D5770" s="194" t="e">
        <f>IF(AND(C5770&lt;=F5768,F5768&gt;1,F5768&lt;&gt;""),VLOOKUP(VALUE(E5749&amp;","&amp;C5770),INTEGRANTES!$D$18:$F$235,2,0),"")</f>
        <v>#N/A</v>
      </c>
      <c r="E5770" s="211" t="e">
        <f>IF(D5770&lt;&gt;"",VLOOKUP(VALUE(E5749&amp;","&amp;C5770),INTEGRANTES!$D$18:$F$235,3,0),"")</f>
        <v>#N/A</v>
      </c>
      <c r="F5770" s="547" t="e">
        <f>IF(D5770="","",SUMIF($I5753:$I5762,D5770,$P5753:$P5762))</f>
        <v>#N/A</v>
      </c>
      <c r="G5770" s="333" t="e">
        <f>IF(D5770="","",SUMIF($I5753:$I5762,D5770,$M5753:$M5762))</f>
        <v>#N/A</v>
      </c>
      <c r="H5770" s="535" t="e">
        <f t="shared" ref="H5770:H5775" si="1712">IF(D5770="","",IF(OR(F5770=0,G5770=0),"NO APORTA",ROUND($F5770/$G5770,3)))</f>
        <v>#N/A</v>
      </c>
      <c r="I5770" s="212" t="e">
        <f>IF(D5770="","",IF(H5770="NO APORTA","NO",IF(H5770=MAX($H5770:$H5775),"SI","NO")))</f>
        <v>#N/A</v>
      </c>
      <c r="J5770" s="213" t="e">
        <f t="shared" ref="J5770:J5775" si="1713">IF(D5770="","",IF(E5770&gt;=PORCREQUERIDOINT,"SI","NO"))</f>
        <v>#N/A</v>
      </c>
      <c r="K5770" s="200" t="e">
        <f t="shared" ref="K5770:K5775" si="1714">IF(D5770="","",IF(AND(I5770="SI",J5770="SI"),"CUMPLE",IF(AND(I5770="NO",OR(J5770="SI",J5770="NO")),"","NO CUMPLE")))</f>
        <v>#N/A</v>
      </c>
      <c r="L5770" s="722" t="s">
        <v>108</v>
      </c>
      <c r="M5770" s="726" t="s">
        <v>119</v>
      </c>
      <c r="N5770" s="726"/>
      <c r="O5770" s="726"/>
      <c r="P5770" s="726"/>
      <c r="Q5770" s="727"/>
      <c r="R5770" s="758" t="s">
        <v>80</v>
      </c>
      <c r="S5770" s="747"/>
      <c r="T5770" s="748"/>
      <c r="U5770" s="219"/>
      <c r="V5770" s="464"/>
      <c r="Y5770" s="533" t="e">
        <f>IF(Y5767="","",IF(Y5767="INDIVIDUAL","NO APLICA","VERIFICAR CUADRO"))</f>
        <v>#N/A</v>
      </c>
      <c r="AA5770" s="551"/>
      <c r="AB5770" s="694"/>
      <c r="AC5770" s="694"/>
      <c r="AD5770" s="686"/>
      <c r="AE5770" s="52"/>
      <c r="AF5770" s="52"/>
      <c r="AG5770" s="52"/>
      <c r="AH5770" s="87"/>
      <c r="AI5770" s="87"/>
    </row>
    <row r="5771" spans="1:35" ht="27" hidden="1" customHeight="1" thickBot="1">
      <c r="A5771" s="218" t="e">
        <f>"O"&amp;E5749</f>
        <v>#N/A</v>
      </c>
      <c r="B5771" s="702"/>
      <c r="C5771" s="114">
        <v>2</v>
      </c>
      <c r="D5771" s="194" t="e">
        <f>IF(AND(C5771&lt;=F5768,F5768&lt;&gt;""),VLOOKUP(VALUE(E5749&amp;","&amp;C5771),INTEGRANTES!$D$18:$F$235,2,0),"")</f>
        <v>#N/A</v>
      </c>
      <c r="E5771" s="211" t="e">
        <f>IF(D5771&lt;&gt;"",VLOOKUP(VALUE(E5749&amp;","&amp;C5771),INTEGRANTES!$D$18:$F$235,3,0),"")</f>
        <v>#N/A</v>
      </c>
      <c r="F5771" s="547" t="e">
        <f>IF(D5771="","",SUMIF($I5753:$I5762,D5771,$P5753:$P5762))</f>
        <v>#N/A</v>
      </c>
      <c r="G5771" s="333" t="e">
        <f>IF(D5771="","",SUMIF($I5753:$I5762,D5771,$M5753:$M5762))</f>
        <v>#N/A</v>
      </c>
      <c r="H5771" s="535" t="e">
        <f t="shared" si="1712"/>
        <v>#N/A</v>
      </c>
      <c r="I5771" s="212" t="e">
        <f>IF(D5771="","",IF(H5771="NO APORTA","NO",IF(H5771=MAX($H5770:$H5775),"SI","NO")))</f>
        <v>#N/A</v>
      </c>
      <c r="J5771" s="213" t="e">
        <f t="shared" si="1713"/>
        <v>#N/A</v>
      </c>
      <c r="K5771" s="200" t="e">
        <f t="shared" si="1714"/>
        <v>#N/A</v>
      </c>
      <c r="L5771" s="723"/>
      <c r="M5771" s="715" t="s">
        <v>116</v>
      </c>
      <c r="N5771" s="716"/>
      <c r="O5771" s="556" t="s">
        <v>113</v>
      </c>
      <c r="P5771" s="715" t="s">
        <v>117</v>
      </c>
      <c r="Q5771" s="728"/>
      <c r="R5771" s="759"/>
      <c r="S5771" s="760"/>
      <c r="T5771" s="761"/>
      <c r="U5771" s="219"/>
      <c r="V5771" s="464"/>
      <c r="Y5771" s="414"/>
      <c r="AA5771" s="542" t="e">
        <f>IF(AND(C5770&lt;=F5768,F5768&gt;1,F5768&lt;&gt;""),VLOOKUP(VALUE(E5749&amp;","&amp;C5770),INTEGRANTES!$D$18:$F$235,2,0),"")</f>
        <v>#N/A</v>
      </c>
      <c r="AB5771" s="544" t="e">
        <f t="shared" ref="AB5771:AB5776" si="1715">IF(D5770="","",IF(OR(F5770=0,G5770=0),"NO APORTA",ROUND($F5770/$G5770,3)))</f>
        <v>#N/A</v>
      </c>
      <c r="AC5771" s="529"/>
      <c r="AD5771" s="200" t="e">
        <f t="shared" ref="AD5771:AD5776" si="1716">IF(OR(AA5771="",AB5771=""),"",IF(AND(AC5771="X",AB5771&gt;=EXPREQVTD),"CUMPLE","NO CUMPLE"))</f>
        <v>#N/A</v>
      </c>
      <c r="AE5771" s="52"/>
      <c r="AF5771" s="52"/>
      <c r="AG5771" s="52"/>
      <c r="AH5771" s="87"/>
      <c r="AI5771" s="87"/>
    </row>
    <row r="5772" spans="1:35" ht="16.5" hidden="1" thickBot="1">
      <c r="A5772" s="218" t="e">
        <f>"P"&amp;E5749</f>
        <v>#N/A</v>
      </c>
      <c r="B5772" s="702"/>
      <c r="C5772" s="114">
        <v>3</v>
      </c>
      <c r="D5772" s="194" t="e">
        <f>IF(AND(C5772&lt;=F5768,F5768&lt;&gt;""),VLOOKUP(VALUE(E5749&amp;","&amp;C5772),INTEGRANTES!$D$18:$F$235,2,0),"")</f>
        <v>#N/A</v>
      </c>
      <c r="E5772" s="211" t="e">
        <f>IF(D5772&lt;&gt;"",VLOOKUP(VALUE(E5749&amp;","&amp;C5772),INTEGRANTES!$D$18:$F$235,3,0),"")</f>
        <v>#N/A</v>
      </c>
      <c r="F5772" s="547" t="e">
        <f>IF(D5772="","",SUMIF($I5753:$I5762,D5772,$P5753:$P5762))</f>
        <v>#N/A</v>
      </c>
      <c r="G5772" s="333" t="e">
        <f>IF(D5772="","",SUMIF($I5753:$I5762,D5772,$M5753:$M5762))</f>
        <v>#N/A</v>
      </c>
      <c r="H5772" s="535" t="e">
        <f t="shared" si="1712"/>
        <v>#N/A</v>
      </c>
      <c r="I5772" s="212" t="e">
        <f>IF(D5772="","",IF(H5772="NO APORTA","NO",IF(H5772=MAX($H5770:$H5775),"SI","NO")))</f>
        <v>#N/A</v>
      </c>
      <c r="J5772" s="213" t="e">
        <f t="shared" si="1713"/>
        <v>#N/A</v>
      </c>
      <c r="K5772" s="200" t="e">
        <f t="shared" si="1714"/>
        <v>#N/A</v>
      </c>
      <c r="L5772" s="724"/>
      <c r="M5772" s="729">
        <f>NUMMOD</f>
        <v>1</v>
      </c>
      <c r="N5772" s="730"/>
      <c r="O5772" s="443">
        <f>IF(M5772="","",VLOOKUP(M5772,PRESUPUESTOS!$B$16:$H$16,5,FALSE))</f>
        <v>2</v>
      </c>
      <c r="P5772" s="713">
        <f>IF(OR(COUNTIF(M5753:M5762,"")&gt;=10,Q5769&lt;NUMMINCONT,OR(T5767="NO CUMPLE",T5767="VERIFICAR")),0,ROUND(AVERAGE(M5753:M5762),3))</f>
        <v>0</v>
      </c>
      <c r="Q5772" s="714"/>
      <c r="R5772" s="458"/>
      <c r="S5772" s="459"/>
      <c r="T5772" s="460"/>
      <c r="U5772" s="219"/>
      <c r="V5772" s="464"/>
      <c r="Y5772" s="532" t="str">
        <f>"40% * ("&amp;PRESUPUESTOS!$H$13&amp;")"</f>
        <v>40% * (50% PFMO)</v>
      </c>
      <c r="AA5772" s="540" t="e">
        <f>IF(AND(C5771&lt;=F5768,F5768&lt;&gt;""),VLOOKUP(VALUE(E5749&amp;","&amp;C5771),INTEGRANTES!$D$18:$F$235,2,0),"")</f>
        <v>#N/A</v>
      </c>
      <c r="AB5772" s="545" t="e">
        <f t="shared" si="1715"/>
        <v>#N/A</v>
      </c>
      <c r="AC5772" s="529"/>
      <c r="AD5772" s="200" t="e">
        <f t="shared" si="1716"/>
        <v>#N/A</v>
      </c>
      <c r="AE5772" s="52"/>
      <c r="AF5772" s="52"/>
      <c r="AG5772" s="52"/>
      <c r="AH5772" s="87"/>
      <c r="AI5772" s="87"/>
    </row>
    <row r="5773" spans="1:35" ht="15.75" hidden="1" customHeight="1" thickBot="1">
      <c r="A5773" s="218" t="e">
        <f>"Q"&amp;E5749</f>
        <v>#N/A</v>
      </c>
      <c r="B5773" s="702"/>
      <c r="C5773" s="114">
        <v>4</v>
      </c>
      <c r="D5773" s="194" t="e">
        <f>IF(AND(C5773&lt;=F5768,F5768&lt;&gt;""),VLOOKUP(VALUE(E5749&amp;","&amp;C5773),INTEGRANTES!$D$18:$F$235,2,0),"")</f>
        <v>#N/A</v>
      </c>
      <c r="E5773" s="211" t="e">
        <f>IF(D5773&lt;&gt;"",VLOOKUP(VALUE(E5749&amp;","&amp;C5773),INTEGRANTES!$D$18:$F$235,3,0),"")</f>
        <v>#N/A</v>
      </c>
      <c r="F5773" s="547" t="e">
        <f>IF(D5773="","",SUMIF($I5753:$I5762,D5773,$P5753:$P5762))</f>
        <v>#N/A</v>
      </c>
      <c r="G5773" s="333" t="e">
        <f>IF(D5773="","",SUMIF($I5753:$I5762,D5773,$M5753:$M5762))</f>
        <v>#N/A</v>
      </c>
      <c r="H5773" s="535" t="e">
        <f t="shared" si="1712"/>
        <v>#N/A</v>
      </c>
      <c r="I5773" s="212" t="e">
        <f>IF(D5773="","",IF(H5773="NO APORTA","NO",IF(H5773=MAX($H5770:$H5775),"SI","NO")))</f>
        <v>#N/A</v>
      </c>
      <c r="J5773" s="213" t="e">
        <f t="shared" si="1713"/>
        <v>#N/A</v>
      </c>
      <c r="K5773" s="200" t="e">
        <f t="shared" si="1714"/>
        <v>#N/A</v>
      </c>
      <c r="L5773" s="720" t="s">
        <v>109</v>
      </c>
      <c r="M5773" s="757" t="s">
        <v>120</v>
      </c>
      <c r="N5773" s="726"/>
      <c r="O5773" s="726"/>
      <c r="P5773" s="726"/>
      <c r="Q5773" s="727"/>
      <c r="R5773" s="458"/>
      <c r="S5773" s="459"/>
      <c r="T5773" s="460"/>
      <c r="U5773" s="219"/>
      <c r="V5773" s="464"/>
      <c r="Y5773" s="537">
        <f>0.4*PRESUPUESTOS!$H$16</f>
        <v>10.3124</v>
      </c>
      <c r="AA5773" s="540" t="e">
        <f>IF(AND(C5772&lt;=F5768,F5768&lt;&gt;""),VLOOKUP(VALUE(E5749&amp;","&amp;C5772),INTEGRANTES!$D$18:$F$235,2,0),"")</f>
        <v>#N/A</v>
      </c>
      <c r="AB5773" s="545" t="e">
        <f t="shared" si="1715"/>
        <v>#N/A</v>
      </c>
      <c r="AC5773" s="529"/>
      <c r="AD5773" s="200" t="e">
        <f t="shared" si="1716"/>
        <v>#N/A</v>
      </c>
      <c r="AE5773" s="52"/>
      <c r="AF5773" s="52"/>
      <c r="AG5773" s="52"/>
      <c r="AH5773" s="87"/>
      <c r="AI5773" s="87"/>
    </row>
    <row r="5774" spans="1:35" ht="27" hidden="1" customHeight="1" thickBot="1">
      <c r="A5774" s="218" t="e">
        <f>"R"&amp;E5749</f>
        <v>#N/A</v>
      </c>
      <c r="B5774" s="702"/>
      <c r="C5774" s="114">
        <v>5</v>
      </c>
      <c r="D5774" s="194" t="e">
        <f>IF(AND(C5774&lt;=F5768,F5768&lt;&gt;""),VLOOKUP(VALUE(E5749&amp;","&amp;C5774),INTEGRANTES!$D$18:$F$235,2,0),"")</f>
        <v>#N/A</v>
      </c>
      <c r="E5774" s="211" t="e">
        <f>IF(D5774&lt;&gt;"",VLOOKUP(VALUE(E5749&amp;","&amp;C5774),INTEGRANTES!$D$18:$F$235,3,0),"")</f>
        <v>#N/A</v>
      </c>
      <c r="F5774" s="547" t="e">
        <f>IF(D5774="","",SUMIF($I5753:$I5762,D5774,$P5753:$P5762))</f>
        <v>#N/A</v>
      </c>
      <c r="G5774" s="333" t="e">
        <f>IF(D5774="","",SUMIF($I5753:$I5762,D5774,$M5753:$M5762))</f>
        <v>#N/A</v>
      </c>
      <c r="H5774" s="535" t="e">
        <f t="shared" si="1712"/>
        <v>#N/A</v>
      </c>
      <c r="I5774" s="212" t="e">
        <f>IF(D5774="","",IF(H5774="NO APORTA","NO",IF(H5774=MAX($H5770:$H5775),"SI","NO")))</f>
        <v>#N/A</v>
      </c>
      <c r="J5774" s="213" t="e">
        <f t="shared" si="1713"/>
        <v>#N/A</v>
      </c>
      <c r="K5774" s="200" t="e">
        <f t="shared" si="1714"/>
        <v>#N/A</v>
      </c>
      <c r="L5774" s="721"/>
      <c r="M5774" s="715" t="s">
        <v>116</v>
      </c>
      <c r="N5774" s="716"/>
      <c r="O5774" s="556" t="str">
        <f>PORCREQUERIDO*100&amp;"% PMFO DEL MÓDULO"</f>
        <v>50% PMFO DEL MÓDULO</v>
      </c>
      <c r="P5774" s="715" t="s">
        <v>118</v>
      </c>
      <c r="Q5774" s="728"/>
      <c r="R5774" s="458"/>
      <c r="S5774" s="459"/>
      <c r="T5774" s="460"/>
      <c r="U5774" s="219"/>
      <c r="V5774" s="464"/>
      <c r="Y5774" s="414"/>
      <c r="AA5774" s="540" t="e">
        <f>IF(AND(C5773&lt;=F5768,F5768&lt;&gt;""),VLOOKUP(VALUE(E5749&amp;","&amp;C5773),INTEGRANTES!$D$18:$F$235,2,0),"")</f>
        <v>#N/A</v>
      </c>
      <c r="AB5774" s="545" t="e">
        <f t="shared" si="1715"/>
        <v>#N/A</v>
      </c>
      <c r="AC5774" s="529"/>
      <c r="AD5774" s="200" t="e">
        <f t="shared" si="1716"/>
        <v>#N/A</v>
      </c>
      <c r="AE5774" s="52"/>
      <c r="AF5774" s="52"/>
      <c r="AG5774" s="52"/>
      <c r="AH5774" s="87"/>
      <c r="AI5774" s="87"/>
    </row>
    <row r="5775" spans="1:35" ht="16.5" hidden="1" thickBot="1">
      <c r="A5775" s="218" t="e">
        <f>"S"&amp;E5749</f>
        <v>#N/A</v>
      </c>
      <c r="B5775" s="702"/>
      <c r="C5775" s="215">
        <v>6</v>
      </c>
      <c r="D5775" s="216" t="e">
        <f>IF(AND(C5775&lt;=F5768,F5768&lt;&gt;""),VLOOKUP(VALUE(E5749&amp;","&amp;C5775),INTEGRANTES!$D$18:$F$235,2,0),"")</f>
        <v>#N/A</v>
      </c>
      <c r="E5775" s="217" t="e">
        <f>IF(D5775&lt;&gt;"",VLOOKUP(VALUE(E5749&amp;","&amp;C5775),INTEGRANTES!$D$18:$F$235,3,0),"")</f>
        <v>#N/A</v>
      </c>
      <c r="F5775" s="548" t="e">
        <f>IF(D5775="","",SUMIF($I5753:$I5762,D5775,$P5753:$P5762))</f>
        <v>#N/A</v>
      </c>
      <c r="G5775" s="334" t="e">
        <f>IF(D5775="","",SUMIF($I5753:$I5762,D5775,$M5753:$M5762))</f>
        <v>#N/A</v>
      </c>
      <c r="H5775" s="536" t="e">
        <f t="shared" si="1712"/>
        <v>#N/A</v>
      </c>
      <c r="I5775" s="214" t="e">
        <f>IF(D5775="","",IF(H5775="NO APORTA","NO",IF(H5775=MAX($H5770:$H5775),"SI","NO")))</f>
        <v>#N/A</v>
      </c>
      <c r="J5775" s="213" t="e">
        <f t="shared" si="1713"/>
        <v>#N/A</v>
      </c>
      <c r="K5775" s="200" t="e">
        <f t="shared" si="1714"/>
        <v>#N/A</v>
      </c>
      <c r="L5775" s="721"/>
      <c r="M5775" s="729">
        <f>NUMMOD</f>
        <v>1</v>
      </c>
      <c r="N5775" s="730"/>
      <c r="O5775" s="443">
        <f>IF(M5775="","",ROUND(VLOOKUP(M5775,PRESUPUESTOS!$B$16:$H$16,7,FALSE),3))</f>
        <v>25.780999999999999</v>
      </c>
      <c r="P5775" s="713">
        <f>IF(OR(COUNTIF(P5753:P5762,"")&gt;=10,Q5769&lt;NUMMINCONT,OR(T5767="NO CUMPLE",T5767="VERIFICAR")),0,ROUND((SUM(P5753:P5762)/SUM(M5753:M5762)),3))</f>
        <v>0</v>
      </c>
      <c r="Q5775" s="714"/>
      <c r="R5775" s="458"/>
      <c r="S5775" s="459"/>
      <c r="T5775" s="460"/>
      <c r="U5775" s="219"/>
      <c r="V5775" s="464"/>
      <c r="Y5775" s="532" t="s">
        <v>343</v>
      </c>
      <c r="AA5775" s="540" t="e">
        <f>IF(AND(C5774&lt;=F5768,F5768&lt;&gt;""),VLOOKUP(VALUE(E5749&amp;","&amp;C5774),INTEGRANTES!$D$18:$F$235,2,0),"")</f>
        <v>#N/A</v>
      </c>
      <c r="AB5775" s="545" t="e">
        <f t="shared" si="1715"/>
        <v>#N/A</v>
      </c>
      <c r="AC5775" s="529"/>
      <c r="AD5775" s="200" t="e">
        <f t="shared" si="1716"/>
        <v>#N/A</v>
      </c>
      <c r="AE5775" s="52"/>
      <c r="AF5775" s="52"/>
      <c r="AG5775" s="52"/>
      <c r="AH5775" s="87"/>
      <c r="AI5775" s="87"/>
    </row>
    <row r="5776" spans="1:35" ht="16.5" hidden="1" customHeight="1" thickBot="1">
      <c r="A5776" s="218" t="e">
        <f>"T"&amp;E5749</f>
        <v>#N/A</v>
      </c>
      <c r="B5776" s="703"/>
      <c r="C5776" s="719"/>
      <c r="D5776" s="719"/>
      <c r="E5776" s="719"/>
      <c r="F5776" s="719"/>
      <c r="G5776" s="719"/>
      <c r="H5776" s="719" t="s">
        <v>110</v>
      </c>
      <c r="I5776" s="719"/>
      <c r="J5776" s="719"/>
      <c r="K5776" s="201" t="str">
        <f>IF(COUNTIF(K5770:K5775,"")=6,"",IF(COUNTIF(K5770:K5775,"CUMPLE")&gt;0,"CUMPLE","NO CUMPLE"))</f>
        <v>NO CUMPLE</v>
      </c>
      <c r="L5776" s="754"/>
      <c r="M5776" s="755"/>
      <c r="N5776" s="755"/>
      <c r="O5776" s="755"/>
      <c r="P5776" s="755"/>
      <c r="Q5776" s="756"/>
      <c r="R5776" s="461"/>
      <c r="S5776" s="462"/>
      <c r="T5776" s="463"/>
      <c r="U5776" s="219"/>
      <c r="V5776" s="464"/>
      <c r="Y5776" s="549" t="e">
        <f>IF(Y5770="NO APLICA","NO APLICA",IF(COUNTIF(AD5771:AD5776,"CUMPLE")&gt;0,"CUMPLE","NO CUMPLE"))</f>
        <v>#N/A</v>
      </c>
      <c r="AA5776" s="541" t="e">
        <f>IF(AND(C5775&lt;=F5768,F5768&lt;&gt;""),VLOOKUP(VALUE(E5749&amp;","&amp;C5775),INTEGRANTES!$D$18:$F$235,2,0),"")</f>
        <v>#N/A</v>
      </c>
      <c r="AB5776" s="546" t="e">
        <f t="shared" si="1715"/>
        <v>#N/A</v>
      </c>
      <c r="AC5776" s="543"/>
      <c r="AD5776" s="201" t="e">
        <f t="shared" si="1716"/>
        <v>#N/A</v>
      </c>
      <c r="AE5776" s="52"/>
      <c r="AF5776" s="52"/>
      <c r="AG5776" s="52"/>
      <c r="AH5776" s="87"/>
      <c r="AI5776" s="87"/>
    </row>
    <row r="5777" spans="1:35" hidden="1">
      <c r="AH5777" s="87"/>
      <c r="AI5777" s="87"/>
    </row>
    <row r="5778" spans="1:35" hidden="1">
      <c r="AH5778" s="87"/>
      <c r="AI5778" s="87"/>
    </row>
    <row r="5779" spans="1:35" ht="24" hidden="1" thickBot="1">
      <c r="A5779" s="61">
        <v>193</v>
      </c>
      <c r="B5779" s="704" t="s">
        <v>51</v>
      </c>
      <c r="C5779" s="704"/>
      <c r="D5779" s="704"/>
      <c r="E5779" s="62" t="e">
        <f>VLOOKUP(A5779,PROPONENTES!$B$19:$E$218,2,FALSE)</f>
        <v>#N/A</v>
      </c>
      <c r="F5779" s="63" t="e">
        <f>VLOOKUP(A5779,PROPONENTES!$B$19:$E$218,3,FALSE)</f>
        <v>#N/A</v>
      </c>
      <c r="G5779" s="64"/>
      <c r="H5779" s="64"/>
      <c r="I5779" s="63"/>
      <c r="J5779" s="63"/>
      <c r="K5779" s="65"/>
      <c r="L5779" s="65"/>
      <c r="M5779" s="64"/>
      <c r="N5779" s="64"/>
      <c r="O5779" s="66"/>
      <c r="P5779" s="66"/>
      <c r="Q5779" s="66"/>
      <c r="R5779" s="66"/>
      <c r="S5779" s="67"/>
      <c r="T5779" s="68"/>
      <c r="U5779" s="68"/>
      <c r="AC5779" s="68"/>
      <c r="AD5779" s="68"/>
      <c r="AE5779" s="68"/>
      <c r="AF5779" s="68"/>
      <c r="AG5779" s="68"/>
      <c r="AH5779" s="87"/>
      <c r="AI5779" s="87"/>
    </row>
    <row r="5780" spans="1:35" ht="15.75" hidden="1" customHeight="1">
      <c r="A5780" s="44"/>
      <c r="B5780" s="709" t="s">
        <v>59</v>
      </c>
      <c r="C5780" s="552" t="s">
        <v>60</v>
      </c>
      <c r="D5780" s="70" t="s">
        <v>17</v>
      </c>
      <c r="E5780" s="70"/>
      <c r="F5780" s="70" t="s">
        <v>61</v>
      </c>
      <c r="G5780" s="71"/>
      <c r="H5780" s="699" t="s">
        <v>62</v>
      </c>
      <c r="I5780" s="699" t="s">
        <v>18</v>
      </c>
      <c r="J5780" s="699" t="s">
        <v>63</v>
      </c>
      <c r="K5780" s="699" t="s">
        <v>64</v>
      </c>
      <c r="L5780" s="699" t="s">
        <v>65</v>
      </c>
      <c r="M5780" s="743" t="s">
        <v>66</v>
      </c>
      <c r="N5780" s="699" t="s">
        <v>282</v>
      </c>
      <c r="O5780" s="745" t="s">
        <v>67</v>
      </c>
      <c r="P5780" s="746"/>
      <c r="Q5780" s="102" t="s">
        <v>75</v>
      </c>
      <c r="R5780" s="731" t="s">
        <v>22</v>
      </c>
      <c r="S5780" s="732"/>
      <c r="T5780" s="733"/>
      <c r="U5780" s="712" t="s">
        <v>298</v>
      </c>
      <c r="W5780" s="690" t="s">
        <v>268</v>
      </c>
      <c r="X5780" s="691"/>
      <c r="Y5780" s="692"/>
      <c r="Z5780" s="428"/>
      <c r="AA5780" s="697" t="s">
        <v>315</v>
      </c>
      <c r="AB5780" s="695" t="s">
        <v>322</v>
      </c>
      <c r="AC5780" s="49"/>
      <c r="AD5780" s="690" t="s">
        <v>297</v>
      </c>
      <c r="AE5780" s="691"/>
      <c r="AF5780" s="692"/>
      <c r="AG5780" s="49"/>
      <c r="AH5780" s="87"/>
      <c r="AI5780" s="87"/>
    </row>
    <row r="5781" spans="1:35" ht="72" hidden="1">
      <c r="A5781" s="44"/>
      <c r="B5781" s="710"/>
      <c r="C5781" s="553" t="s">
        <v>68</v>
      </c>
      <c r="D5781" s="73" t="s">
        <v>3</v>
      </c>
      <c r="E5781" s="73" t="s">
        <v>19</v>
      </c>
      <c r="F5781" s="73" t="s">
        <v>69</v>
      </c>
      <c r="G5781" s="74" t="s">
        <v>70</v>
      </c>
      <c r="H5781" s="700"/>
      <c r="I5781" s="700"/>
      <c r="J5781" s="700"/>
      <c r="K5781" s="700"/>
      <c r="L5781" s="700"/>
      <c r="M5781" s="744"/>
      <c r="N5781" s="700"/>
      <c r="O5781" s="553" t="s">
        <v>279</v>
      </c>
      <c r="P5781" s="73" t="s">
        <v>88</v>
      </c>
      <c r="Q5781" s="555" t="s">
        <v>76</v>
      </c>
      <c r="R5781" s="734"/>
      <c r="S5781" s="735"/>
      <c r="T5781" s="736"/>
      <c r="U5781" s="712"/>
      <c r="W5781" s="429" t="s">
        <v>269</v>
      </c>
      <c r="X5781" s="457" t="s">
        <v>278</v>
      </c>
      <c r="Y5781" s="430" t="s">
        <v>324</v>
      </c>
      <c r="Z5781" s="428"/>
      <c r="AA5781" s="698"/>
      <c r="AB5781" s="696"/>
      <c r="AC5781" s="49"/>
      <c r="AD5781" s="429" t="s">
        <v>292</v>
      </c>
      <c r="AE5781" s="431" t="s">
        <v>300</v>
      </c>
      <c r="AF5781" s="468" t="s">
        <v>301</v>
      </c>
      <c r="AG5781" s="49"/>
      <c r="AH5781" s="87"/>
      <c r="AI5781" s="87"/>
    </row>
    <row r="5782" spans="1:35" hidden="1">
      <c r="A5782" s="44"/>
      <c r="B5782" s="76"/>
      <c r="C5782" s="77"/>
      <c r="D5782" s="77"/>
      <c r="E5782" s="77"/>
      <c r="F5782" s="77"/>
      <c r="G5782" s="77"/>
      <c r="H5782" s="77"/>
      <c r="I5782" s="77"/>
      <c r="J5782" s="77"/>
      <c r="K5782" s="77"/>
      <c r="L5782" s="77"/>
      <c r="M5782" s="77"/>
      <c r="N5782" s="77"/>
      <c r="O5782" s="77"/>
      <c r="P5782" s="77"/>
      <c r="Q5782" s="77"/>
      <c r="R5782" s="77"/>
      <c r="S5782" s="78"/>
      <c r="T5782" s="79"/>
      <c r="U5782" s="109"/>
      <c r="V5782" s="49"/>
      <c r="W5782" s="432"/>
      <c r="X5782" s="454"/>
      <c r="Y5782" s="433"/>
      <c r="Z5782" s="6"/>
      <c r="AA5782" s="500"/>
      <c r="AB5782" s="562"/>
      <c r="AC5782" s="49"/>
      <c r="AD5782" s="210"/>
      <c r="AE5782" s="434"/>
      <c r="AF5782" s="435"/>
      <c r="AG5782" s="49"/>
      <c r="AH5782" s="87"/>
      <c r="AI5782" s="87"/>
    </row>
    <row r="5783" spans="1:35" hidden="1">
      <c r="A5783" s="80" t="e">
        <f>"A"&amp;E5779</f>
        <v>#N/A</v>
      </c>
      <c r="B5783" s="81">
        <v>1</v>
      </c>
      <c r="C5783" s="82"/>
      <c r="D5783" s="82"/>
      <c r="E5783" s="82"/>
      <c r="F5783" s="82"/>
      <c r="G5783" s="83"/>
      <c r="H5783" s="83"/>
      <c r="I5783" s="84"/>
      <c r="J5783" s="85"/>
      <c r="K5783" s="382"/>
      <c r="L5783" s="85"/>
      <c r="M5783" s="332" t="str">
        <f t="shared" ref="M5783:M5792" si="1717">IF(OR(J5783="",L5783="",H5783="NO"),"",IF(OR(J5783&gt;$P$17,J5783&lt;$O$17,L5783&gt;$P$17,AND(J5783&lt;$O$17,L5783&lt;$O$17)),"FUERA DE RANGO",IF(OR(K5783="---",K5783=""),IF(J5783&gt;=$O$17,ROUND((L5783-J5783+1)/360*12,3),ROUND((L5783-$O$17+1)/360*12,3)),IF(J5783&gt;=$O$17,ROUND((L5783-J5783+1)/360*12-ROUND(K5783,3),3),ROUND((L5783-$O$17+1)/360*12-ROUND(K5783,3),3)))))</f>
        <v/>
      </c>
      <c r="N5783" s="86"/>
      <c r="O5783" s="453" t="str">
        <f>IF(OR(G5783="",N5783=""),"",N5783*G5783)</f>
        <v/>
      </c>
      <c r="P5783" s="538" t="str">
        <f>IF(OR(H5783="",M5783="FUERA DE RANGO"),"",IF(OR(L5783&lt;$O$17,L5783&gt;$P$17,L5783="",H5783="NO"),"",IF(OR(N5783="",O5783=""),"",ROUND(O5783,3))))</f>
        <v/>
      </c>
      <c r="Q5783" s="539" t="str">
        <f t="shared" ref="Q5783:Q5792" si="1718">IF(AND(H5783="SI",P5783&lt;&gt;""),ROUND(P5783/M5783,3),"")</f>
        <v/>
      </c>
      <c r="R5783" s="737"/>
      <c r="S5783" s="738"/>
      <c r="T5783" s="739"/>
      <c r="U5783" s="470"/>
      <c r="V5783" s="165"/>
      <c r="W5783" s="446"/>
      <c r="X5783" s="456"/>
      <c r="Y5783" s="436"/>
      <c r="Z5783" s="437"/>
      <c r="AA5783" s="560"/>
      <c r="AB5783" s="561"/>
      <c r="AC5783" s="87"/>
      <c r="AD5783" s="466"/>
      <c r="AE5783" s="456"/>
      <c r="AF5783" s="467"/>
      <c r="AG5783" s="87"/>
      <c r="AH5783" s="87"/>
      <c r="AI5783" s="87"/>
    </row>
    <row r="5784" spans="1:35" hidden="1">
      <c r="A5784" s="80" t="e">
        <f>"B"&amp;E5779</f>
        <v>#N/A</v>
      </c>
      <c r="B5784" s="81">
        <v>2</v>
      </c>
      <c r="C5784" s="106"/>
      <c r="D5784" s="106"/>
      <c r="E5784" s="106"/>
      <c r="F5784" s="106"/>
      <c r="G5784" s="83"/>
      <c r="H5784" s="83"/>
      <c r="I5784" s="84"/>
      <c r="J5784" s="85"/>
      <c r="K5784" s="382"/>
      <c r="L5784" s="85"/>
      <c r="M5784" s="332" t="str">
        <f t="shared" si="1717"/>
        <v/>
      </c>
      <c r="N5784" s="86"/>
      <c r="O5784" s="453" t="str">
        <f t="shared" ref="O5784:O5792" si="1719">IF(OR(G5784="",N5784=""),"",N5784*G5784)</f>
        <v/>
      </c>
      <c r="P5784" s="538" t="str">
        <f t="shared" ref="P5784:P5792" si="1720">IF(OR(H5784="",M5784="FUERA DE RANGO"),"",IF(OR(L5784&lt;$O$17,L5784&gt;$P$17,L5784="",H5784="NO"),"",IF(OR(N5784="",O5784=""),"",ROUND(O5784,3))))</f>
        <v/>
      </c>
      <c r="Q5784" s="539" t="str">
        <f t="shared" si="1718"/>
        <v/>
      </c>
      <c r="R5784" s="740"/>
      <c r="S5784" s="741"/>
      <c r="T5784" s="742"/>
      <c r="U5784" s="471"/>
      <c r="V5784" s="165"/>
      <c r="W5784" s="446"/>
      <c r="X5784" s="456"/>
      <c r="Y5784" s="436"/>
      <c r="Z5784" s="437"/>
      <c r="AA5784" s="560"/>
      <c r="AB5784" s="561"/>
      <c r="AC5784" s="87"/>
      <c r="AD5784" s="466"/>
      <c r="AE5784" s="456"/>
      <c r="AF5784" s="467"/>
      <c r="AG5784" s="87"/>
      <c r="AH5784" s="87"/>
      <c r="AI5784" s="87"/>
    </row>
    <row r="5785" spans="1:35" hidden="1">
      <c r="A5785" s="80" t="e">
        <f>"C"&amp;E5779</f>
        <v>#N/A</v>
      </c>
      <c r="B5785" s="88">
        <v>3</v>
      </c>
      <c r="C5785" s="82"/>
      <c r="D5785" s="82"/>
      <c r="E5785" s="82"/>
      <c r="F5785" s="82"/>
      <c r="G5785" s="83"/>
      <c r="H5785" s="83"/>
      <c r="I5785" s="84"/>
      <c r="J5785" s="85"/>
      <c r="K5785" s="382"/>
      <c r="L5785" s="85"/>
      <c r="M5785" s="332" t="str">
        <f t="shared" si="1717"/>
        <v/>
      </c>
      <c r="N5785" s="86"/>
      <c r="O5785" s="453" t="str">
        <f t="shared" si="1719"/>
        <v/>
      </c>
      <c r="P5785" s="538" t="str">
        <f t="shared" si="1720"/>
        <v/>
      </c>
      <c r="Q5785" s="539" t="str">
        <f t="shared" si="1718"/>
        <v/>
      </c>
      <c r="R5785" s="706"/>
      <c r="S5785" s="707"/>
      <c r="T5785" s="708"/>
      <c r="U5785" s="472"/>
      <c r="V5785" s="166"/>
      <c r="W5785" s="446"/>
      <c r="X5785" s="456"/>
      <c r="Y5785" s="436"/>
      <c r="Z5785" s="437"/>
      <c r="AA5785" s="560"/>
      <c r="AB5785" s="561"/>
      <c r="AC5785" s="87"/>
      <c r="AD5785" s="466"/>
      <c r="AE5785" s="456"/>
      <c r="AF5785" s="467"/>
      <c r="AG5785" s="87"/>
      <c r="AH5785" s="87"/>
      <c r="AI5785" s="87"/>
    </row>
    <row r="5786" spans="1:35" hidden="1">
      <c r="A5786" s="80" t="e">
        <f>"D"&amp;E5779</f>
        <v>#N/A</v>
      </c>
      <c r="B5786" s="105">
        <v>4</v>
      </c>
      <c r="C5786" s="107"/>
      <c r="D5786" s="107"/>
      <c r="E5786" s="107"/>
      <c r="F5786" s="107"/>
      <c r="G5786" s="83"/>
      <c r="H5786" s="83"/>
      <c r="I5786" s="84"/>
      <c r="J5786" s="85"/>
      <c r="K5786" s="382"/>
      <c r="L5786" s="85"/>
      <c r="M5786" s="332" t="str">
        <f t="shared" si="1717"/>
        <v/>
      </c>
      <c r="N5786" s="86"/>
      <c r="O5786" s="453" t="str">
        <f t="shared" si="1719"/>
        <v/>
      </c>
      <c r="P5786" s="538" t="str">
        <f t="shared" si="1720"/>
        <v/>
      </c>
      <c r="Q5786" s="539" t="str">
        <f t="shared" si="1718"/>
        <v/>
      </c>
      <c r="R5786" s="706"/>
      <c r="S5786" s="707"/>
      <c r="T5786" s="708"/>
      <c r="U5786" s="472"/>
      <c r="V5786" s="166"/>
      <c r="W5786" s="446"/>
      <c r="X5786" s="456"/>
      <c r="Y5786" s="436"/>
      <c r="Z5786" s="437"/>
      <c r="AA5786" s="560"/>
      <c r="AB5786" s="561"/>
      <c r="AC5786" s="87"/>
      <c r="AD5786" s="466"/>
      <c r="AE5786" s="456"/>
      <c r="AF5786" s="467"/>
      <c r="AG5786" s="87"/>
      <c r="AH5786" s="87"/>
      <c r="AI5786" s="87"/>
    </row>
    <row r="5787" spans="1:35" hidden="1">
      <c r="A5787" s="80" t="e">
        <f>"E"&amp;E5779</f>
        <v>#N/A</v>
      </c>
      <c r="B5787" s="105">
        <v>5</v>
      </c>
      <c r="C5787" s="107"/>
      <c r="D5787" s="107"/>
      <c r="E5787" s="107"/>
      <c r="F5787" s="107"/>
      <c r="G5787" s="83"/>
      <c r="H5787" s="83"/>
      <c r="I5787" s="84"/>
      <c r="J5787" s="85"/>
      <c r="K5787" s="382"/>
      <c r="L5787" s="85"/>
      <c r="M5787" s="332" t="str">
        <f t="shared" si="1717"/>
        <v/>
      </c>
      <c r="N5787" s="86"/>
      <c r="O5787" s="453" t="str">
        <f t="shared" si="1719"/>
        <v/>
      </c>
      <c r="P5787" s="538" t="str">
        <f t="shared" si="1720"/>
        <v/>
      </c>
      <c r="Q5787" s="539" t="str">
        <f t="shared" si="1718"/>
        <v/>
      </c>
      <c r="R5787" s="706"/>
      <c r="S5787" s="707"/>
      <c r="T5787" s="708"/>
      <c r="U5787" s="472"/>
      <c r="V5787" s="167"/>
      <c r="W5787" s="446"/>
      <c r="X5787" s="456"/>
      <c r="Y5787" s="436"/>
      <c r="Z5787" s="437"/>
      <c r="AA5787" s="560"/>
      <c r="AB5787" s="561"/>
      <c r="AC5787" s="87"/>
      <c r="AD5787" s="466"/>
      <c r="AE5787" s="456"/>
      <c r="AF5787" s="467"/>
      <c r="AG5787" s="87"/>
      <c r="AH5787" s="87"/>
      <c r="AI5787" s="87"/>
    </row>
    <row r="5788" spans="1:35" hidden="1">
      <c r="A5788" s="80" t="e">
        <f>"F"&amp;E5779</f>
        <v>#N/A</v>
      </c>
      <c r="B5788" s="105">
        <v>6</v>
      </c>
      <c r="C5788" s="107"/>
      <c r="D5788" s="107"/>
      <c r="E5788" s="107"/>
      <c r="F5788" s="107"/>
      <c r="G5788" s="83"/>
      <c r="H5788" s="83"/>
      <c r="I5788" s="84"/>
      <c r="J5788" s="85"/>
      <c r="K5788" s="382"/>
      <c r="L5788" s="85"/>
      <c r="M5788" s="332" t="str">
        <f t="shared" si="1717"/>
        <v/>
      </c>
      <c r="N5788" s="86"/>
      <c r="O5788" s="453" t="str">
        <f t="shared" si="1719"/>
        <v/>
      </c>
      <c r="P5788" s="538" t="str">
        <f t="shared" si="1720"/>
        <v/>
      </c>
      <c r="Q5788" s="539" t="str">
        <f t="shared" si="1718"/>
        <v/>
      </c>
      <c r="R5788" s="706"/>
      <c r="S5788" s="707"/>
      <c r="T5788" s="708"/>
      <c r="U5788" s="472"/>
      <c r="V5788" s="167"/>
      <c r="W5788" s="446"/>
      <c r="X5788" s="456"/>
      <c r="Y5788" s="436"/>
      <c r="Z5788" s="437"/>
      <c r="AA5788" s="560"/>
      <c r="AB5788" s="561"/>
      <c r="AC5788" s="87"/>
      <c r="AD5788" s="466"/>
      <c r="AE5788" s="456"/>
      <c r="AF5788" s="467"/>
      <c r="AG5788" s="87"/>
      <c r="AH5788" s="87"/>
      <c r="AI5788" s="87"/>
    </row>
    <row r="5789" spans="1:35" hidden="1">
      <c r="A5789" s="80" t="e">
        <f>"G"&amp;E5779</f>
        <v>#N/A</v>
      </c>
      <c r="B5789" s="105">
        <v>7</v>
      </c>
      <c r="C5789" s="107"/>
      <c r="D5789" s="107"/>
      <c r="E5789" s="107"/>
      <c r="F5789" s="107"/>
      <c r="G5789" s="83"/>
      <c r="H5789" s="83"/>
      <c r="I5789" s="84"/>
      <c r="J5789" s="85"/>
      <c r="K5789" s="382"/>
      <c r="L5789" s="85"/>
      <c r="M5789" s="332" t="str">
        <f t="shared" si="1717"/>
        <v/>
      </c>
      <c r="N5789" s="86"/>
      <c r="O5789" s="86" t="str">
        <f t="shared" si="1719"/>
        <v/>
      </c>
      <c r="P5789" s="538" t="str">
        <f t="shared" si="1720"/>
        <v/>
      </c>
      <c r="Q5789" s="539" t="str">
        <f t="shared" si="1718"/>
        <v/>
      </c>
      <c r="R5789" s="706"/>
      <c r="S5789" s="707"/>
      <c r="T5789" s="708"/>
      <c r="U5789" s="472"/>
      <c r="V5789" s="167"/>
      <c r="W5789" s="446"/>
      <c r="X5789" s="456"/>
      <c r="Y5789" s="436"/>
      <c r="Z5789" s="437"/>
      <c r="AA5789" s="560"/>
      <c r="AB5789" s="561"/>
      <c r="AC5789" s="87"/>
      <c r="AD5789" s="466"/>
      <c r="AE5789" s="456"/>
      <c r="AF5789" s="467"/>
      <c r="AG5789" s="87"/>
      <c r="AH5789" s="87"/>
      <c r="AI5789" s="87"/>
    </row>
    <row r="5790" spans="1:35" hidden="1">
      <c r="A5790" s="80" t="e">
        <f>"H"&amp;E5779</f>
        <v>#N/A</v>
      </c>
      <c r="B5790" s="105">
        <v>8</v>
      </c>
      <c r="C5790" s="107"/>
      <c r="D5790" s="107"/>
      <c r="E5790" s="107"/>
      <c r="F5790" s="107"/>
      <c r="G5790" s="83"/>
      <c r="H5790" s="83"/>
      <c r="I5790" s="84"/>
      <c r="J5790" s="85"/>
      <c r="K5790" s="382"/>
      <c r="L5790" s="85"/>
      <c r="M5790" s="332" t="str">
        <f t="shared" si="1717"/>
        <v/>
      </c>
      <c r="N5790" s="453"/>
      <c r="O5790" s="86" t="str">
        <f t="shared" si="1719"/>
        <v/>
      </c>
      <c r="P5790" s="538" t="str">
        <f t="shared" si="1720"/>
        <v/>
      </c>
      <c r="Q5790" s="539" t="str">
        <f t="shared" si="1718"/>
        <v/>
      </c>
      <c r="R5790" s="706"/>
      <c r="S5790" s="707"/>
      <c r="T5790" s="708"/>
      <c r="U5790" s="472"/>
      <c r="V5790" s="167"/>
      <c r="W5790" s="446"/>
      <c r="X5790" s="456"/>
      <c r="Y5790" s="436"/>
      <c r="Z5790" s="437"/>
      <c r="AA5790" s="560"/>
      <c r="AB5790" s="561"/>
      <c r="AC5790" s="87"/>
      <c r="AD5790" s="466"/>
      <c r="AE5790" s="456"/>
      <c r="AF5790" s="467"/>
      <c r="AG5790" s="87"/>
      <c r="AH5790" s="87"/>
      <c r="AI5790" s="87"/>
    </row>
    <row r="5791" spans="1:35" hidden="1">
      <c r="A5791" s="80" t="e">
        <f>"I"&amp;E5779</f>
        <v>#N/A</v>
      </c>
      <c r="B5791" s="105">
        <v>9</v>
      </c>
      <c r="C5791" s="107"/>
      <c r="D5791" s="107"/>
      <c r="E5791" s="107"/>
      <c r="F5791" s="107"/>
      <c r="G5791" s="83"/>
      <c r="H5791" s="83"/>
      <c r="I5791" s="84"/>
      <c r="J5791" s="85"/>
      <c r="K5791" s="382"/>
      <c r="L5791" s="85"/>
      <c r="M5791" s="332" t="str">
        <f t="shared" si="1717"/>
        <v/>
      </c>
      <c r="N5791" s="453"/>
      <c r="O5791" s="86" t="str">
        <f t="shared" si="1719"/>
        <v/>
      </c>
      <c r="P5791" s="538" t="str">
        <f t="shared" si="1720"/>
        <v/>
      </c>
      <c r="Q5791" s="539" t="str">
        <f t="shared" si="1718"/>
        <v/>
      </c>
      <c r="R5791" s="706"/>
      <c r="S5791" s="707"/>
      <c r="T5791" s="708"/>
      <c r="U5791" s="472"/>
      <c r="V5791" s="167"/>
      <c r="W5791" s="446"/>
      <c r="X5791" s="456"/>
      <c r="Y5791" s="436"/>
      <c r="Z5791" s="437"/>
      <c r="AA5791" s="560"/>
      <c r="AB5791" s="561"/>
      <c r="AC5791" s="87"/>
      <c r="AD5791" s="466"/>
      <c r="AE5791" s="456"/>
      <c r="AF5791" s="467"/>
      <c r="AG5791" s="87"/>
      <c r="AH5791" s="87"/>
      <c r="AI5791" s="87"/>
    </row>
    <row r="5792" spans="1:35" hidden="1">
      <c r="A5792" s="80" t="e">
        <f>"J"&amp;E5779</f>
        <v>#N/A</v>
      </c>
      <c r="B5792" s="105">
        <v>10</v>
      </c>
      <c r="C5792" s="107"/>
      <c r="D5792" s="107"/>
      <c r="E5792" s="107"/>
      <c r="F5792" s="107"/>
      <c r="G5792" s="83"/>
      <c r="H5792" s="83"/>
      <c r="I5792" s="84"/>
      <c r="J5792" s="85"/>
      <c r="K5792" s="382"/>
      <c r="L5792" s="85"/>
      <c r="M5792" s="332" t="str">
        <f t="shared" si="1717"/>
        <v/>
      </c>
      <c r="N5792" s="453"/>
      <c r="O5792" s="86" t="str">
        <f t="shared" si="1719"/>
        <v/>
      </c>
      <c r="P5792" s="538" t="str">
        <f t="shared" si="1720"/>
        <v/>
      </c>
      <c r="Q5792" s="539" t="str">
        <f t="shared" si="1718"/>
        <v/>
      </c>
      <c r="R5792" s="706"/>
      <c r="S5792" s="707"/>
      <c r="T5792" s="708"/>
      <c r="U5792" s="472"/>
      <c r="V5792" s="167"/>
      <c r="W5792" s="446"/>
      <c r="X5792" s="456"/>
      <c r="Y5792" s="436"/>
      <c r="Z5792" s="437"/>
      <c r="AA5792" s="560"/>
      <c r="AB5792" s="561"/>
      <c r="AC5792" s="87"/>
      <c r="AD5792" s="466"/>
      <c r="AE5792" s="456"/>
      <c r="AF5792" s="467"/>
      <c r="AG5792" s="87"/>
      <c r="AH5792" s="87"/>
      <c r="AI5792" s="87"/>
    </row>
    <row r="5793" spans="1:35" ht="16.5" hidden="1" thickBot="1">
      <c r="A5793" s="44"/>
      <c r="B5793" s="89"/>
      <c r="C5793" s="90"/>
      <c r="D5793" s="90"/>
      <c r="E5793" s="90"/>
      <c r="F5793" s="90"/>
      <c r="G5793" s="90"/>
      <c r="H5793" s="90"/>
      <c r="I5793" s="90"/>
      <c r="J5793" s="90"/>
      <c r="K5793" s="90"/>
      <c r="L5793" s="90"/>
      <c r="M5793" s="90"/>
      <c r="N5793" s="90"/>
      <c r="O5793" s="90"/>
      <c r="P5793" s="90"/>
      <c r="Q5793" s="90"/>
      <c r="R5793" s="90"/>
      <c r="S5793" s="91"/>
      <c r="T5793" s="92"/>
      <c r="U5793" s="473"/>
      <c r="W5793" s="438"/>
      <c r="X5793" s="455"/>
      <c r="Y5793" s="439"/>
      <c r="Z5793" s="437"/>
      <c r="AA5793" s="530"/>
      <c r="AB5793" s="563"/>
      <c r="AC5793" s="87"/>
      <c r="AD5793" s="440"/>
      <c r="AE5793" s="441"/>
      <c r="AF5793" s="442"/>
      <c r="AG5793" s="49"/>
      <c r="AH5793" s="87"/>
      <c r="AI5793" s="87"/>
    </row>
    <row r="5794" spans="1:35" ht="16.5" hidden="1" thickBot="1">
      <c r="A5794" s="93"/>
      <c r="B5794" s="94"/>
      <c r="C5794" s="96"/>
      <c r="D5794" s="96"/>
      <c r="E5794" s="96"/>
      <c r="F5794" s="96"/>
      <c r="G5794" s="96"/>
      <c r="H5794" s="96"/>
      <c r="I5794" s="96"/>
      <c r="J5794" s="96"/>
      <c r="K5794" s="96"/>
      <c r="L5794" s="96"/>
      <c r="M5794" s="136"/>
      <c r="N5794" s="96"/>
      <c r="O5794" s="96"/>
      <c r="P5794" s="97"/>
      <c r="Q5794" s="97"/>
      <c r="R5794" s="98"/>
      <c r="S5794" s="95"/>
      <c r="T5794" s="99"/>
      <c r="U5794" s="469"/>
      <c r="AC5794" s="58"/>
      <c r="AG5794" s="58"/>
      <c r="AH5794" s="87"/>
      <c r="AI5794" s="87"/>
    </row>
    <row r="5795" spans="1:35" ht="16.5" hidden="1" thickBot="1">
      <c r="B5795" s="101"/>
      <c r="C5795" s="101"/>
      <c r="D5795" s="101"/>
      <c r="E5795" s="101"/>
      <c r="F5795" s="101"/>
      <c r="G5795" s="101"/>
      <c r="H5795" s="101"/>
      <c r="I5795" s="101"/>
      <c r="J5795" s="101"/>
      <c r="K5795" s="101"/>
      <c r="L5795" s="101"/>
      <c r="M5795" s="101"/>
      <c r="N5795" s="101"/>
      <c r="O5795" s="101"/>
      <c r="P5795" s="101"/>
      <c r="Q5795" s="101"/>
      <c r="R5795" s="101"/>
      <c r="S5795" s="101"/>
      <c r="U5795" s="50"/>
      <c r="AH5795" s="87"/>
      <c r="AI5795" s="87"/>
    </row>
    <row r="5796" spans="1:35" ht="16.5" hidden="1" customHeight="1" thickBot="1">
      <c r="A5796" s="44"/>
      <c r="B5796" s="705" t="s">
        <v>74</v>
      </c>
      <c r="C5796" s="705"/>
      <c r="D5796" s="705"/>
      <c r="E5796" s="705"/>
      <c r="F5796" s="705"/>
      <c r="G5796" s="705"/>
      <c r="H5796" s="705"/>
      <c r="I5796" s="705"/>
      <c r="J5796" s="705"/>
      <c r="K5796" s="705"/>
      <c r="L5796" s="705"/>
      <c r="M5796" s="705"/>
      <c r="N5796" s="705"/>
      <c r="O5796" s="705"/>
      <c r="P5796" s="705"/>
      <c r="Q5796" s="705"/>
      <c r="R5796" s="705"/>
      <c r="S5796" s="705"/>
      <c r="T5796" s="705"/>
      <c r="U5796" s="108"/>
      <c r="Y5796" s="532" t="s">
        <v>341</v>
      </c>
      <c r="AC5796" s="49"/>
      <c r="AD5796" s="687" t="s">
        <v>302</v>
      </c>
      <c r="AE5796" s="688"/>
      <c r="AF5796" s="689"/>
      <c r="AG5796" s="49"/>
      <c r="AH5796" s="87"/>
      <c r="AI5796" s="87"/>
    </row>
    <row r="5797" spans="1:35" ht="16.5" hidden="1" customHeight="1" thickBot="1">
      <c r="A5797" s="218" t="e">
        <f>"K"&amp;E5779</f>
        <v>#N/A</v>
      </c>
      <c r="B5797" s="701" t="s">
        <v>71</v>
      </c>
      <c r="C5797" s="751" t="s">
        <v>102</v>
      </c>
      <c r="D5797" s="751"/>
      <c r="E5797" s="751"/>
      <c r="F5797" s="751"/>
      <c r="G5797" s="751"/>
      <c r="H5797" s="751"/>
      <c r="I5797" s="751"/>
      <c r="J5797" s="751"/>
      <c r="K5797" s="751"/>
      <c r="L5797" s="722" t="s">
        <v>100</v>
      </c>
      <c r="M5797" s="747" t="s">
        <v>114</v>
      </c>
      <c r="N5797" s="747"/>
      <c r="O5797" s="747"/>
      <c r="P5797" s="747"/>
      <c r="Q5797" s="748"/>
      <c r="R5797" s="758" t="s">
        <v>280</v>
      </c>
      <c r="S5797" s="748"/>
      <c r="T5797" s="762" t="str">
        <f>IF(COUNTIF(AE5797:AF5797,"VERIFICAR")&gt;0,"VERIFICAR",IF(COUNTIF(AE5797:AF5797,"NO CUMPLE")&gt;0,"NO CUMPLE","CUMPLE"))</f>
        <v>VERIFICAR</v>
      </c>
      <c r="U5797" s="108"/>
      <c r="Y5797" s="533" t="e">
        <f>IF(F5798="","",IF(F5798=1,"INDIVIDUAL","ESTRUCTURA PLURAL"))</f>
        <v>#N/A</v>
      </c>
      <c r="AC5797" s="52"/>
      <c r="AD5797" s="475" t="s">
        <v>303</v>
      </c>
      <c r="AE5797" s="476" t="str">
        <f>IF(COUNTIF(AE5783:AE5792,"")=10,"VERIFICAR",IF(COUNTIF(AE5783:AE5792,"SI")&gt;0,"CUMPLE","NO CUMPLE"))</f>
        <v>VERIFICAR</v>
      </c>
      <c r="AF5797" s="477" t="str">
        <f>IF(COUNTIF(AF5783:AF5792,"")=10,"VERIFICAR",IF(COUNTIF(AF5783:AF5792,"SI")&gt;=$AI$22,"CUMPLE","NO CUMPLE"))</f>
        <v>VERIFICAR</v>
      </c>
      <c r="AG5797" s="52"/>
      <c r="AH5797" s="87"/>
      <c r="AI5797" s="87"/>
    </row>
    <row r="5798" spans="1:35" ht="15.75" hidden="1" customHeight="1" thickBot="1">
      <c r="A5798" s="218" t="e">
        <f>"L"&amp;E5779</f>
        <v>#N/A</v>
      </c>
      <c r="B5798" s="702"/>
      <c r="C5798" s="751" t="s">
        <v>103</v>
      </c>
      <c r="D5798" s="751"/>
      <c r="E5798" s="752"/>
      <c r="F5798" s="557" t="e">
        <f>IF(VLOOKUP(E5779,PROPONENTES!$C$19:$E$218,3,0)="","",VLOOKUP(E5779,PROPONENTES!$C$19:$E$218,3,0))</f>
        <v>#N/A</v>
      </c>
      <c r="G5798" s="753" t="s">
        <v>104</v>
      </c>
      <c r="H5798" s="751"/>
      <c r="I5798" s="715" t="e">
        <f>IF(OR(F5798="",F5798=1),"INTERESADO PERSONA NATURAL O JURIDICA","CONSORCIO O UNION TEMPORAL")</f>
        <v>#N/A</v>
      </c>
      <c r="J5798" s="725"/>
      <c r="K5798" s="728"/>
      <c r="L5798" s="723"/>
      <c r="M5798" s="749"/>
      <c r="N5798" s="749"/>
      <c r="O5798" s="749"/>
      <c r="P5798" s="749"/>
      <c r="Q5798" s="750"/>
      <c r="R5798" s="712"/>
      <c r="S5798" s="750"/>
      <c r="T5798" s="763"/>
      <c r="U5798" s="108"/>
      <c r="Y5798" s="534"/>
      <c r="AA5798" s="52"/>
      <c r="AB5798" s="52"/>
      <c r="AC5798" s="52"/>
      <c r="AG5798" s="52"/>
      <c r="AH5798" s="87"/>
      <c r="AI5798" s="87"/>
    </row>
    <row r="5799" spans="1:35" ht="56.25" hidden="1" customHeight="1" thickBot="1">
      <c r="A5799" s="218" t="e">
        <f>"M"&amp;E5779</f>
        <v>#N/A</v>
      </c>
      <c r="B5799" s="702"/>
      <c r="C5799" s="725" t="s">
        <v>101</v>
      </c>
      <c r="D5799" s="716"/>
      <c r="E5799" s="558" t="s">
        <v>105</v>
      </c>
      <c r="F5799" s="554" t="s">
        <v>87</v>
      </c>
      <c r="G5799" s="553" t="s">
        <v>86</v>
      </c>
      <c r="H5799" s="559" t="s">
        <v>85</v>
      </c>
      <c r="I5799" s="554" t="s">
        <v>252</v>
      </c>
      <c r="J5799" s="553" t="str">
        <f>"¿EL INTEGRANTE TIENE UNA PARTICIPACIÓN DEL "&amp;PORCREQUERIDOINT*100&amp;"%?"</f>
        <v>¿EL INTEGRANTE TIENE UNA PARTICIPACIÓN DEL 60%?</v>
      </c>
      <c r="K5799" s="554" t="s">
        <v>107</v>
      </c>
      <c r="L5799" s="724"/>
      <c r="M5799" s="717" t="s">
        <v>115</v>
      </c>
      <c r="N5799" s="718"/>
      <c r="O5799" s="718"/>
      <c r="P5799" s="718"/>
      <c r="Q5799" s="223">
        <f>IF(AND(H5783="SI",P5783&gt;=0),1,0)+IF(AND(H5784="SI",P5784&gt;=0),1,0)+IF(AND(H5785="SI",P5785&gt;=0),1,0)+IF(AND(H5786="SI",P5786&gt;=0),1,0)+IF(AND(H5787="SI",P5787&gt;=0),1,0)+IF(AND(H5788="SI",P5788&gt;=0),1,0)+IF(AND(H5789="SI",P5789&gt;=0),1,0)+IF(AND(H5790="SI",P5790&gt;=0),1,0)+IF(AND(H5791="SI",P5791&gt;=0),1,0)+IF(AND(H5792="SI",P5792&gt;=0),1,0)</f>
        <v>0</v>
      </c>
      <c r="R5799" s="759"/>
      <c r="S5799" s="761"/>
      <c r="T5799" s="764"/>
      <c r="U5799" s="219"/>
      <c r="V5799" s="464"/>
      <c r="Y5799" s="532" t="s">
        <v>342</v>
      </c>
      <c r="AA5799" s="550" t="s">
        <v>344</v>
      </c>
      <c r="AB5799" s="693" t="s">
        <v>345</v>
      </c>
      <c r="AC5799" s="693" t="s">
        <v>346</v>
      </c>
      <c r="AD5799" s="685" t="s">
        <v>347</v>
      </c>
      <c r="AE5799" s="52"/>
      <c r="AF5799" s="52"/>
      <c r="AG5799" s="52"/>
      <c r="AH5799" s="87"/>
      <c r="AI5799" s="87"/>
    </row>
    <row r="5800" spans="1:35" ht="15.75" hidden="1" customHeight="1" thickBot="1">
      <c r="A5800" s="218" t="e">
        <f>"N"&amp;E5779</f>
        <v>#N/A</v>
      </c>
      <c r="B5800" s="702"/>
      <c r="C5800" s="114">
        <v>1</v>
      </c>
      <c r="D5800" s="194" t="e">
        <f>IF(AND(C5800&lt;=F5798,F5798&gt;1,F5798&lt;&gt;""),VLOOKUP(VALUE(E5779&amp;","&amp;C5800),INTEGRANTES!$D$18:$F$235,2,0),"")</f>
        <v>#N/A</v>
      </c>
      <c r="E5800" s="211" t="e">
        <f>IF(D5800&lt;&gt;"",VLOOKUP(VALUE(E5779&amp;","&amp;C5800),INTEGRANTES!$D$18:$F$235,3,0),"")</f>
        <v>#N/A</v>
      </c>
      <c r="F5800" s="547" t="e">
        <f>IF(D5800="","",SUMIF($I5783:$I5792,D5800,$P5783:$P5792))</f>
        <v>#N/A</v>
      </c>
      <c r="G5800" s="333" t="e">
        <f>IF(D5800="","",SUMIF($I5783:$I5792,D5800,$M5783:$M5792))</f>
        <v>#N/A</v>
      </c>
      <c r="H5800" s="535" t="e">
        <f t="shared" ref="H5800:H5805" si="1721">IF(D5800="","",IF(OR(F5800=0,G5800=0),"NO APORTA",ROUND($F5800/$G5800,3)))</f>
        <v>#N/A</v>
      </c>
      <c r="I5800" s="212" t="e">
        <f>IF(D5800="","",IF(H5800="NO APORTA","NO",IF(H5800=MAX($H5800:$H5805),"SI","NO")))</f>
        <v>#N/A</v>
      </c>
      <c r="J5800" s="213" t="e">
        <f t="shared" ref="J5800:J5805" si="1722">IF(D5800="","",IF(E5800&gt;=PORCREQUERIDOINT,"SI","NO"))</f>
        <v>#N/A</v>
      </c>
      <c r="K5800" s="200" t="e">
        <f t="shared" ref="K5800:K5805" si="1723">IF(D5800="","",IF(AND(I5800="SI",J5800="SI"),"CUMPLE",IF(AND(I5800="NO",OR(J5800="SI",J5800="NO")),"","NO CUMPLE")))</f>
        <v>#N/A</v>
      </c>
      <c r="L5800" s="722" t="s">
        <v>108</v>
      </c>
      <c r="M5800" s="726" t="s">
        <v>119</v>
      </c>
      <c r="N5800" s="726"/>
      <c r="O5800" s="726"/>
      <c r="P5800" s="726"/>
      <c r="Q5800" s="727"/>
      <c r="R5800" s="758" t="s">
        <v>80</v>
      </c>
      <c r="S5800" s="747"/>
      <c r="T5800" s="748"/>
      <c r="U5800" s="219"/>
      <c r="V5800" s="464"/>
      <c r="Y5800" s="533" t="e">
        <f>IF(Y5797="","",IF(Y5797="INDIVIDUAL","NO APLICA","VERIFICAR CUADRO"))</f>
        <v>#N/A</v>
      </c>
      <c r="AA5800" s="551"/>
      <c r="AB5800" s="694"/>
      <c r="AC5800" s="694"/>
      <c r="AD5800" s="686"/>
      <c r="AE5800" s="52"/>
      <c r="AF5800" s="52"/>
      <c r="AG5800" s="52"/>
      <c r="AH5800" s="87"/>
      <c r="AI5800" s="87"/>
    </row>
    <row r="5801" spans="1:35" ht="27" hidden="1" customHeight="1" thickBot="1">
      <c r="A5801" s="218" t="e">
        <f>"O"&amp;E5779</f>
        <v>#N/A</v>
      </c>
      <c r="B5801" s="702"/>
      <c r="C5801" s="114">
        <v>2</v>
      </c>
      <c r="D5801" s="194" t="e">
        <f>IF(AND(C5801&lt;=F5798,F5798&lt;&gt;""),VLOOKUP(VALUE(E5779&amp;","&amp;C5801),INTEGRANTES!$D$18:$F$235,2,0),"")</f>
        <v>#N/A</v>
      </c>
      <c r="E5801" s="211" t="e">
        <f>IF(D5801&lt;&gt;"",VLOOKUP(VALUE(E5779&amp;","&amp;C5801),INTEGRANTES!$D$18:$F$235,3,0),"")</f>
        <v>#N/A</v>
      </c>
      <c r="F5801" s="547" t="e">
        <f>IF(D5801="","",SUMIF($I5783:$I5792,D5801,$P5783:$P5792))</f>
        <v>#N/A</v>
      </c>
      <c r="G5801" s="333" t="e">
        <f>IF(D5801="","",SUMIF($I5783:$I5792,D5801,$M5783:$M5792))</f>
        <v>#N/A</v>
      </c>
      <c r="H5801" s="535" t="e">
        <f t="shared" si="1721"/>
        <v>#N/A</v>
      </c>
      <c r="I5801" s="212" t="e">
        <f>IF(D5801="","",IF(H5801="NO APORTA","NO",IF(H5801=MAX($H5800:$H5805),"SI","NO")))</f>
        <v>#N/A</v>
      </c>
      <c r="J5801" s="213" t="e">
        <f t="shared" si="1722"/>
        <v>#N/A</v>
      </c>
      <c r="K5801" s="200" t="e">
        <f t="shared" si="1723"/>
        <v>#N/A</v>
      </c>
      <c r="L5801" s="723"/>
      <c r="M5801" s="715" t="s">
        <v>116</v>
      </c>
      <c r="N5801" s="716"/>
      <c r="O5801" s="556" t="s">
        <v>113</v>
      </c>
      <c r="P5801" s="715" t="s">
        <v>117</v>
      </c>
      <c r="Q5801" s="728"/>
      <c r="R5801" s="759"/>
      <c r="S5801" s="760"/>
      <c r="T5801" s="761"/>
      <c r="U5801" s="219"/>
      <c r="V5801" s="464"/>
      <c r="Y5801" s="414"/>
      <c r="AA5801" s="542" t="e">
        <f>IF(AND(C5800&lt;=F5798,F5798&gt;1,F5798&lt;&gt;""),VLOOKUP(VALUE(E5779&amp;","&amp;C5800),INTEGRANTES!$D$18:$F$235,2,0),"")</f>
        <v>#N/A</v>
      </c>
      <c r="AB5801" s="544" t="e">
        <f t="shared" ref="AB5801:AB5806" si="1724">IF(D5800="","",IF(OR(F5800=0,G5800=0),"NO APORTA",ROUND($F5800/$G5800,3)))</f>
        <v>#N/A</v>
      </c>
      <c r="AC5801" s="529"/>
      <c r="AD5801" s="200" t="e">
        <f t="shared" ref="AD5801:AD5806" si="1725">IF(OR(AA5801="",AB5801=""),"",IF(AND(AC5801="X",AB5801&gt;=EXPREQVTD),"CUMPLE","NO CUMPLE"))</f>
        <v>#N/A</v>
      </c>
      <c r="AE5801" s="52"/>
      <c r="AF5801" s="52"/>
      <c r="AG5801" s="52"/>
      <c r="AH5801" s="87"/>
      <c r="AI5801" s="87"/>
    </row>
    <row r="5802" spans="1:35" ht="16.5" hidden="1" thickBot="1">
      <c r="A5802" s="218" t="e">
        <f>"P"&amp;E5779</f>
        <v>#N/A</v>
      </c>
      <c r="B5802" s="702"/>
      <c r="C5802" s="114">
        <v>3</v>
      </c>
      <c r="D5802" s="194" t="e">
        <f>IF(AND(C5802&lt;=F5798,F5798&lt;&gt;""),VLOOKUP(VALUE(E5779&amp;","&amp;C5802),INTEGRANTES!$D$18:$F$235,2,0),"")</f>
        <v>#N/A</v>
      </c>
      <c r="E5802" s="211" t="e">
        <f>IF(D5802&lt;&gt;"",VLOOKUP(VALUE(E5779&amp;","&amp;C5802),INTEGRANTES!$D$18:$F$235,3,0),"")</f>
        <v>#N/A</v>
      </c>
      <c r="F5802" s="547" t="e">
        <f>IF(D5802="","",SUMIF($I5783:$I5792,D5802,$P5783:$P5792))</f>
        <v>#N/A</v>
      </c>
      <c r="G5802" s="333" t="e">
        <f>IF(D5802="","",SUMIF($I5783:$I5792,D5802,$M5783:$M5792))</f>
        <v>#N/A</v>
      </c>
      <c r="H5802" s="535" t="e">
        <f t="shared" si="1721"/>
        <v>#N/A</v>
      </c>
      <c r="I5802" s="212" t="e">
        <f>IF(D5802="","",IF(H5802="NO APORTA","NO",IF(H5802=MAX($H5800:$H5805),"SI","NO")))</f>
        <v>#N/A</v>
      </c>
      <c r="J5802" s="213" t="e">
        <f t="shared" si="1722"/>
        <v>#N/A</v>
      </c>
      <c r="K5802" s="200" t="e">
        <f t="shared" si="1723"/>
        <v>#N/A</v>
      </c>
      <c r="L5802" s="724"/>
      <c r="M5802" s="729">
        <f>NUMMOD</f>
        <v>1</v>
      </c>
      <c r="N5802" s="730"/>
      <c r="O5802" s="443">
        <f>IF(M5802="","",VLOOKUP(M5802,PRESUPUESTOS!$B$16:$H$16,5,FALSE))</f>
        <v>2</v>
      </c>
      <c r="P5802" s="713">
        <f>IF(OR(COUNTIF(M5783:M5792,"")&gt;=10,Q5799&lt;NUMMINCONT,OR(T5797="NO CUMPLE",T5797="VERIFICAR")),0,ROUND(AVERAGE(M5783:M5792),3))</f>
        <v>0</v>
      </c>
      <c r="Q5802" s="714"/>
      <c r="R5802" s="458"/>
      <c r="S5802" s="459"/>
      <c r="T5802" s="460"/>
      <c r="U5802" s="219"/>
      <c r="V5802" s="464"/>
      <c r="Y5802" s="532" t="str">
        <f>"40% * ("&amp;PRESUPUESTOS!$H$13&amp;")"</f>
        <v>40% * (50% PFMO)</v>
      </c>
      <c r="AA5802" s="540" t="e">
        <f>IF(AND(C5801&lt;=F5798,F5798&lt;&gt;""),VLOOKUP(VALUE(E5779&amp;","&amp;C5801),INTEGRANTES!$D$18:$F$235,2,0),"")</f>
        <v>#N/A</v>
      </c>
      <c r="AB5802" s="545" t="e">
        <f t="shared" si="1724"/>
        <v>#N/A</v>
      </c>
      <c r="AC5802" s="529"/>
      <c r="AD5802" s="200" t="e">
        <f t="shared" si="1725"/>
        <v>#N/A</v>
      </c>
      <c r="AE5802" s="52"/>
      <c r="AF5802" s="52"/>
      <c r="AG5802" s="52"/>
      <c r="AH5802" s="87"/>
      <c r="AI5802" s="87"/>
    </row>
    <row r="5803" spans="1:35" ht="15.75" hidden="1" customHeight="1" thickBot="1">
      <c r="A5803" s="218" t="e">
        <f>"Q"&amp;E5779</f>
        <v>#N/A</v>
      </c>
      <c r="B5803" s="702"/>
      <c r="C5803" s="114">
        <v>4</v>
      </c>
      <c r="D5803" s="194" t="e">
        <f>IF(AND(C5803&lt;=F5798,F5798&lt;&gt;""),VLOOKUP(VALUE(E5779&amp;","&amp;C5803),INTEGRANTES!$D$18:$F$235,2,0),"")</f>
        <v>#N/A</v>
      </c>
      <c r="E5803" s="211" t="e">
        <f>IF(D5803&lt;&gt;"",VLOOKUP(VALUE(E5779&amp;","&amp;C5803),INTEGRANTES!$D$18:$F$235,3,0),"")</f>
        <v>#N/A</v>
      </c>
      <c r="F5803" s="547" t="e">
        <f>IF(D5803="","",SUMIF($I5783:$I5792,D5803,$P5783:$P5792))</f>
        <v>#N/A</v>
      </c>
      <c r="G5803" s="333" t="e">
        <f>IF(D5803="","",SUMIF($I5783:$I5792,D5803,$M5783:$M5792))</f>
        <v>#N/A</v>
      </c>
      <c r="H5803" s="535" t="e">
        <f t="shared" si="1721"/>
        <v>#N/A</v>
      </c>
      <c r="I5803" s="212" t="e">
        <f>IF(D5803="","",IF(H5803="NO APORTA","NO",IF(H5803=MAX($H5800:$H5805),"SI","NO")))</f>
        <v>#N/A</v>
      </c>
      <c r="J5803" s="213" t="e">
        <f t="shared" si="1722"/>
        <v>#N/A</v>
      </c>
      <c r="K5803" s="200" t="e">
        <f t="shared" si="1723"/>
        <v>#N/A</v>
      </c>
      <c r="L5803" s="720" t="s">
        <v>109</v>
      </c>
      <c r="M5803" s="757" t="s">
        <v>120</v>
      </c>
      <c r="N5803" s="726"/>
      <c r="O5803" s="726"/>
      <c r="P5803" s="726"/>
      <c r="Q5803" s="727"/>
      <c r="R5803" s="458"/>
      <c r="S5803" s="459"/>
      <c r="T5803" s="460"/>
      <c r="U5803" s="219"/>
      <c r="V5803" s="464"/>
      <c r="Y5803" s="537">
        <f>0.4*PRESUPUESTOS!$H$16</f>
        <v>10.3124</v>
      </c>
      <c r="AA5803" s="540" t="e">
        <f>IF(AND(C5802&lt;=F5798,F5798&lt;&gt;""),VLOOKUP(VALUE(E5779&amp;","&amp;C5802),INTEGRANTES!$D$18:$F$235,2,0),"")</f>
        <v>#N/A</v>
      </c>
      <c r="AB5803" s="545" t="e">
        <f t="shared" si="1724"/>
        <v>#N/A</v>
      </c>
      <c r="AC5803" s="529"/>
      <c r="AD5803" s="200" t="e">
        <f t="shared" si="1725"/>
        <v>#N/A</v>
      </c>
      <c r="AE5803" s="52"/>
      <c r="AF5803" s="52"/>
      <c r="AG5803" s="52"/>
      <c r="AH5803" s="87"/>
      <c r="AI5803" s="87"/>
    </row>
    <row r="5804" spans="1:35" ht="27" hidden="1" customHeight="1" thickBot="1">
      <c r="A5804" s="218" t="e">
        <f>"R"&amp;E5779</f>
        <v>#N/A</v>
      </c>
      <c r="B5804" s="702"/>
      <c r="C5804" s="114">
        <v>5</v>
      </c>
      <c r="D5804" s="194" t="e">
        <f>IF(AND(C5804&lt;=F5798,F5798&lt;&gt;""),VLOOKUP(VALUE(E5779&amp;","&amp;C5804),INTEGRANTES!$D$18:$F$235,2,0),"")</f>
        <v>#N/A</v>
      </c>
      <c r="E5804" s="211" t="e">
        <f>IF(D5804&lt;&gt;"",VLOOKUP(VALUE(E5779&amp;","&amp;C5804),INTEGRANTES!$D$18:$F$235,3,0),"")</f>
        <v>#N/A</v>
      </c>
      <c r="F5804" s="547" t="e">
        <f>IF(D5804="","",SUMIF($I5783:$I5792,D5804,$P5783:$P5792))</f>
        <v>#N/A</v>
      </c>
      <c r="G5804" s="333" t="e">
        <f>IF(D5804="","",SUMIF($I5783:$I5792,D5804,$M5783:$M5792))</f>
        <v>#N/A</v>
      </c>
      <c r="H5804" s="535" t="e">
        <f t="shared" si="1721"/>
        <v>#N/A</v>
      </c>
      <c r="I5804" s="212" t="e">
        <f>IF(D5804="","",IF(H5804="NO APORTA","NO",IF(H5804=MAX($H5800:$H5805),"SI","NO")))</f>
        <v>#N/A</v>
      </c>
      <c r="J5804" s="213" t="e">
        <f t="shared" si="1722"/>
        <v>#N/A</v>
      </c>
      <c r="K5804" s="200" t="e">
        <f t="shared" si="1723"/>
        <v>#N/A</v>
      </c>
      <c r="L5804" s="721"/>
      <c r="M5804" s="715" t="s">
        <v>116</v>
      </c>
      <c r="N5804" s="716"/>
      <c r="O5804" s="556" t="str">
        <f>PORCREQUERIDO*100&amp;"% PMFO DEL MÓDULO"</f>
        <v>50% PMFO DEL MÓDULO</v>
      </c>
      <c r="P5804" s="715" t="s">
        <v>118</v>
      </c>
      <c r="Q5804" s="728"/>
      <c r="R5804" s="458"/>
      <c r="S5804" s="459"/>
      <c r="T5804" s="460"/>
      <c r="U5804" s="219"/>
      <c r="V5804" s="464"/>
      <c r="Y5804" s="414"/>
      <c r="AA5804" s="540" t="e">
        <f>IF(AND(C5803&lt;=F5798,F5798&lt;&gt;""),VLOOKUP(VALUE(E5779&amp;","&amp;C5803),INTEGRANTES!$D$18:$F$235,2,0),"")</f>
        <v>#N/A</v>
      </c>
      <c r="AB5804" s="545" t="e">
        <f t="shared" si="1724"/>
        <v>#N/A</v>
      </c>
      <c r="AC5804" s="529"/>
      <c r="AD5804" s="200" t="e">
        <f t="shared" si="1725"/>
        <v>#N/A</v>
      </c>
      <c r="AE5804" s="52"/>
      <c r="AF5804" s="52"/>
      <c r="AG5804" s="52"/>
      <c r="AH5804" s="87"/>
      <c r="AI5804" s="87"/>
    </row>
    <row r="5805" spans="1:35" ht="16.5" hidden="1" thickBot="1">
      <c r="A5805" s="218" t="e">
        <f>"S"&amp;E5779</f>
        <v>#N/A</v>
      </c>
      <c r="B5805" s="702"/>
      <c r="C5805" s="215">
        <v>6</v>
      </c>
      <c r="D5805" s="216" t="e">
        <f>IF(AND(C5805&lt;=F5798,F5798&lt;&gt;""),VLOOKUP(VALUE(E5779&amp;","&amp;C5805),INTEGRANTES!$D$18:$F$235,2,0),"")</f>
        <v>#N/A</v>
      </c>
      <c r="E5805" s="217" t="e">
        <f>IF(D5805&lt;&gt;"",VLOOKUP(VALUE(E5779&amp;","&amp;C5805),INTEGRANTES!$D$18:$F$235,3,0),"")</f>
        <v>#N/A</v>
      </c>
      <c r="F5805" s="548" t="e">
        <f>IF(D5805="","",SUMIF($I5783:$I5792,D5805,$P5783:$P5792))</f>
        <v>#N/A</v>
      </c>
      <c r="G5805" s="334" t="e">
        <f>IF(D5805="","",SUMIF($I5783:$I5792,D5805,$M5783:$M5792))</f>
        <v>#N/A</v>
      </c>
      <c r="H5805" s="536" t="e">
        <f t="shared" si="1721"/>
        <v>#N/A</v>
      </c>
      <c r="I5805" s="214" t="e">
        <f>IF(D5805="","",IF(H5805="NO APORTA","NO",IF(H5805=MAX($H5800:$H5805),"SI","NO")))</f>
        <v>#N/A</v>
      </c>
      <c r="J5805" s="213" t="e">
        <f t="shared" si="1722"/>
        <v>#N/A</v>
      </c>
      <c r="K5805" s="200" t="e">
        <f t="shared" si="1723"/>
        <v>#N/A</v>
      </c>
      <c r="L5805" s="721"/>
      <c r="M5805" s="729">
        <f>NUMMOD</f>
        <v>1</v>
      </c>
      <c r="N5805" s="730"/>
      <c r="O5805" s="443">
        <f>IF(M5805="","",ROUND(VLOOKUP(M5805,PRESUPUESTOS!$B$16:$H$16,7,FALSE),3))</f>
        <v>25.780999999999999</v>
      </c>
      <c r="P5805" s="713">
        <f>IF(OR(COUNTIF(P5783:P5792,"")&gt;=10,Q5799&lt;NUMMINCONT,OR(T5797="NO CUMPLE",T5797="VERIFICAR")),0,ROUND((SUM(P5783:P5792)/SUM(M5783:M5792)),3))</f>
        <v>0</v>
      </c>
      <c r="Q5805" s="714"/>
      <c r="R5805" s="458"/>
      <c r="S5805" s="459"/>
      <c r="T5805" s="460"/>
      <c r="U5805" s="219"/>
      <c r="V5805" s="464"/>
      <c r="Y5805" s="532" t="s">
        <v>343</v>
      </c>
      <c r="AA5805" s="540" t="e">
        <f>IF(AND(C5804&lt;=F5798,F5798&lt;&gt;""),VLOOKUP(VALUE(E5779&amp;","&amp;C5804),INTEGRANTES!$D$18:$F$235,2,0),"")</f>
        <v>#N/A</v>
      </c>
      <c r="AB5805" s="545" t="e">
        <f t="shared" si="1724"/>
        <v>#N/A</v>
      </c>
      <c r="AC5805" s="529"/>
      <c r="AD5805" s="200" t="e">
        <f t="shared" si="1725"/>
        <v>#N/A</v>
      </c>
      <c r="AE5805" s="52"/>
      <c r="AF5805" s="52"/>
      <c r="AG5805" s="52"/>
      <c r="AH5805" s="87"/>
      <c r="AI5805" s="87"/>
    </row>
    <row r="5806" spans="1:35" ht="16.5" hidden="1" customHeight="1" thickBot="1">
      <c r="A5806" s="218" t="e">
        <f>"T"&amp;E5779</f>
        <v>#N/A</v>
      </c>
      <c r="B5806" s="703"/>
      <c r="C5806" s="719"/>
      <c r="D5806" s="719"/>
      <c r="E5806" s="719"/>
      <c r="F5806" s="719"/>
      <c r="G5806" s="719"/>
      <c r="H5806" s="719" t="s">
        <v>110</v>
      </c>
      <c r="I5806" s="719"/>
      <c r="J5806" s="719"/>
      <c r="K5806" s="201" t="str">
        <f>IF(COUNTIF(K5800:K5805,"")=6,"",IF(COUNTIF(K5800:K5805,"CUMPLE")&gt;0,"CUMPLE","NO CUMPLE"))</f>
        <v>NO CUMPLE</v>
      </c>
      <c r="L5806" s="754"/>
      <c r="M5806" s="755"/>
      <c r="N5806" s="755"/>
      <c r="O5806" s="755"/>
      <c r="P5806" s="755"/>
      <c r="Q5806" s="756"/>
      <c r="R5806" s="461"/>
      <c r="S5806" s="462"/>
      <c r="T5806" s="463"/>
      <c r="U5806" s="219"/>
      <c r="V5806" s="464"/>
      <c r="Y5806" s="549" t="e">
        <f>IF(Y5800="NO APLICA","NO APLICA",IF(COUNTIF(AD5801:AD5806,"CUMPLE")&gt;0,"CUMPLE","NO CUMPLE"))</f>
        <v>#N/A</v>
      </c>
      <c r="AA5806" s="541" t="e">
        <f>IF(AND(C5805&lt;=F5798,F5798&lt;&gt;""),VLOOKUP(VALUE(E5779&amp;","&amp;C5805),INTEGRANTES!$D$18:$F$235,2,0),"")</f>
        <v>#N/A</v>
      </c>
      <c r="AB5806" s="546" t="e">
        <f t="shared" si="1724"/>
        <v>#N/A</v>
      </c>
      <c r="AC5806" s="543"/>
      <c r="AD5806" s="201" t="e">
        <f t="shared" si="1725"/>
        <v>#N/A</v>
      </c>
      <c r="AE5806" s="52"/>
      <c r="AF5806" s="52"/>
      <c r="AG5806" s="52"/>
      <c r="AH5806" s="87"/>
      <c r="AI5806" s="87"/>
    </row>
    <row r="5807" spans="1:35" hidden="1">
      <c r="AH5807" s="87"/>
      <c r="AI5807" s="87"/>
    </row>
    <row r="5808" spans="1:35" hidden="1">
      <c r="AH5808" s="87"/>
      <c r="AI5808" s="87"/>
    </row>
    <row r="5809" spans="1:35" ht="24" hidden="1" thickBot="1">
      <c r="A5809" s="61">
        <v>194</v>
      </c>
      <c r="B5809" s="704" t="s">
        <v>51</v>
      </c>
      <c r="C5809" s="704"/>
      <c r="D5809" s="704"/>
      <c r="E5809" s="62" t="e">
        <f>VLOOKUP(A5809,PROPONENTES!$B$19:$E$218,2,FALSE)</f>
        <v>#N/A</v>
      </c>
      <c r="F5809" s="63" t="e">
        <f>VLOOKUP(A5809,PROPONENTES!$B$19:$E$218,3,FALSE)</f>
        <v>#N/A</v>
      </c>
      <c r="G5809" s="64"/>
      <c r="H5809" s="64"/>
      <c r="I5809" s="63"/>
      <c r="J5809" s="63"/>
      <c r="K5809" s="65"/>
      <c r="L5809" s="65"/>
      <c r="M5809" s="64"/>
      <c r="N5809" s="64"/>
      <c r="O5809" s="66"/>
      <c r="P5809" s="66"/>
      <c r="Q5809" s="66"/>
      <c r="R5809" s="66"/>
      <c r="S5809" s="67"/>
      <c r="T5809" s="68"/>
      <c r="U5809" s="68"/>
      <c r="AC5809" s="68"/>
      <c r="AD5809" s="68"/>
      <c r="AE5809" s="68"/>
      <c r="AF5809" s="68"/>
      <c r="AG5809" s="68"/>
      <c r="AH5809" s="87"/>
      <c r="AI5809" s="87"/>
    </row>
    <row r="5810" spans="1:35" ht="15.75" hidden="1" customHeight="1">
      <c r="A5810" s="44"/>
      <c r="B5810" s="709" t="s">
        <v>59</v>
      </c>
      <c r="C5810" s="552" t="s">
        <v>60</v>
      </c>
      <c r="D5810" s="70" t="s">
        <v>17</v>
      </c>
      <c r="E5810" s="70"/>
      <c r="F5810" s="70" t="s">
        <v>61</v>
      </c>
      <c r="G5810" s="71"/>
      <c r="H5810" s="699" t="s">
        <v>62</v>
      </c>
      <c r="I5810" s="699" t="s">
        <v>18</v>
      </c>
      <c r="J5810" s="699" t="s">
        <v>63</v>
      </c>
      <c r="K5810" s="699" t="s">
        <v>64</v>
      </c>
      <c r="L5810" s="699" t="s">
        <v>65</v>
      </c>
      <c r="M5810" s="743" t="s">
        <v>66</v>
      </c>
      <c r="N5810" s="699" t="s">
        <v>282</v>
      </c>
      <c r="O5810" s="745" t="s">
        <v>67</v>
      </c>
      <c r="P5810" s="746"/>
      <c r="Q5810" s="102" t="s">
        <v>75</v>
      </c>
      <c r="R5810" s="731" t="s">
        <v>22</v>
      </c>
      <c r="S5810" s="732"/>
      <c r="T5810" s="733"/>
      <c r="U5810" s="712" t="s">
        <v>298</v>
      </c>
      <c r="W5810" s="690" t="s">
        <v>268</v>
      </c>
      <c r="X5810" s="691"/>
      <c r="Y5810" s="692"/>
      <c r="Z5810" s="428"/>
      <c r="AA5810" s="697" t="s">
        <v>315</v>
      </c>
      <c r="AB5810" s="695" t="s">
        <v>322</v>
      </c>
      <c r="AC5810" s="49"/>
      <c r="AD5810" s="690" t="s">
        <v>297</v>
      </c>
      <c r="AE5810" s="691"/>
      <c r="AF5810" s="692"/>
      <c r="AG5810" s="49"/>
      <c r="AH5810" s="87"/>
      <c r="AI5810" s="87"/>
    </row>
    <row r="5811" spans="1:35" ht="72" hidden="1">
      <c r="A5811" s="44"/>
      <c r="B5811" s="710"/>
      <c r="C5811" s="553" t="s">
        <v>68</v>
      </c>
      <c r="D5811" s="73" t="s">
        <v>3</v>
      </c>
      <c r="E5811" s="73" t="s">
        <v>19</v>
      </c>
      <c r="F5811" s="73" t="s">
        <v>69</v>
      </c>
      <c r="G5811" s="74" t="s">
        <v>70</v>
      </c>
      <c r="H5811" s="700"/>
      <c r="I5811" s="700"/>
      <c r="J5811" s="700"/>
      <c r="K5811" s="700"/>
      <c r="L5811" s="700"/>
      <c r="M5811" s="744"/>
      <c r="N5811" s="700"/>
      <c r="O5811" s="553" t="s">
        <v>279</v>
      </c>
      <c r="P5811" s="73" t="s">
        <v>88</v>
      </c>
      <c r="Q5811" s="555" t="s">
        <v>76</v>
      </c>
      <c r="R5811" s="734"/>
      <c r="S5811" s="735"/>
      <c r="T5811" s="736"/>
      <c r="U5811" s="712"/>
      <c r="W5811" s="429" t="s">
        <v>269</v>
      </c>
      <c r="X5811" s="457" t="s">
        <v>278</v>
      </c>
      <c r="Y5811" s="430" t="s">
        <v>324</v>
      </c>
      <c r="Z5811" s="428"/>
      <c r="AA5811" s="698"/>
      <c r="AB5811" s="696"/>
      <c r="AC5811" s="49"/>
      <c r="AD5811" s="429" t="s">
        <v>292</v>
      </c>
      <c r="AE5811" s="431" t="s">
        <v>300</v>
      </c>
      <c r="AF5811" s="468" t="s">
        <v>301</v>
      </c>
      <c r="AG5811" s="49"/>
      <c r="AH5811" s="87"/>
      <c r="AI5811" s="87"/>
    </row>
    <row r="5812" spans="1:35" hidden="1">
      <c r="A5812" s="44"/>
      <c r="B5812" s="76"/>
      <c r="C5812" s="77"/>
      <c r="D5812" s="77"/>
      <c r="E5812" s="77"/>
      <c r="F5812" s="77"/>
      <c r="G5812" s="77"/>
      <c r="H5812" s="77"/>
      <c r="I5812" s="77"/>
      <c r="J5812" s="77"/>
      <c r="K5812" s="77"/>
      <c r="L5812" s="77"/>
      <c r="M5812" s="77"/>
      <c r="N5812" s="77"/>
      <c r="O5812" s="77"/>
      <c r="P5812" s="77"/>
      <c r="Q5812" s="77"/>
      <c r="R5812" s="77"/>
      <c r="S5812" s="78"/>
      <c r="T5812" s="79"/>
      <c r="U5812" s="109"/>
      <c r="V5812" s="49"/>
      <c r="W5812" s="432"/>
      <c r="X5812" s="454"/>
      <c r="Y5812" s="433"/>
      <c r="Z5812" s="6"/>
      <c r="AA5812" s="500"/>
      <c r="AB5812" s="562"/>
      <c r="AC5812" s="49"/>
      <c r="AD5812" s="210"/>
      <c r="AE5812" s="434"/>
      <c r="AF5812" s="435"/>
      <c r="AG5812" s="49"/>
      <c r="AH5812" s="87"/>
      <c r="AI5812" s="87"/>
    </row>
    <row r="5813" spans="1:35" hidden="1">
      <c r="A5813" s="80" t="e">
        <f>"A"&amp;E5809</f>
        <v>#N/A</v>
      </c>
      <c r="B5813" s="81">
        <v>1</v>
      </c>
      <c r="C5813" s="82"/>
      <c r="D5813" s="82"/>
      <c r="E5813" s="82"/>
      <c r="F5813" s="82"/>
      <c r="G5813" s="83"/>
      <c r="H5813" s="83"/>
      <c r="I5813" s="84"/>
      <c r="J5813" s="85"/>
      <c r="K5813" s="382"/>
      <c r="L5813" s="85"/>
      <c r="M5813" s="332" t="str">
        <f t="shared" ref="M5813:M5822" si="1726">IF(OR(J5813="",L5813="",H5813="NO"),"",IF(OR(J5813&gt;$P$17,J5813&lt;$O$17,L5813&gt;$P$17,AND(J5813&lt;$O$17,L5813&lt;$O$17)),"FUERA DE RANGO",IF(OR(K5813="---",K5813=""),IF(J5813&gt;=$O$17,ROUND((L5813-J5813+1)/360*12,3),ROUND((L5813-$O$17+1)/360*12,3)),IF(J5813&gt;=$O$17,ROUND((L5813-J5813+1)/360*12-ROUND(K5813,3),3),ROUND((L5813-$O$17+1)/360*12-ROUND(K5813,3),3)))))</f>
        <v/>
      </c>
      <c r="N5813" s="86"/>
      <c r="O5813" s="453" t="str">
        <f>IF(OR(G5813="",N5813=""),"",N5813*G5813)</f>
        <v/>
      </c>
      <c r="P5813" s="538" t="str">
        <f>IF(OR(H5813="",M5813="FUERA DE RANGO"),"",IF(OR(L5813&lt;$O$17,L5813&gt;$P$17,L5813="",H5813="NO"),"",IF(OR(N5813="",O5813=""),"",ROUND(O5813,3))))</f>
        <v/>
      </c>
      <c r="Q5813" s="539" t="str">
        <f t="shared" ref="Q5813:Q5822" si="1727">IF(AND(H5813="SI",P5813&lt;&gt;""),ROUND(P5813/M5813,3),"")</f>
        <v/>
      </c>
      <c r="R5813" s="737"/>
      <c r="S5813" s="738"/>
      <c r="T5813" s="739"/>
      <c r="U5813" s="470"/>
      <c r="V5813" s="165"/>
      <c r="W5813" s="446"/>
      <c r="X5813" s="456"/>
      <c r="Y5813" s="436"/>
      <c r="Z5813" s="437"/>
      <c r="AA5813" s="560"/>
      <c r="AB5813" s="561"/>
      <c r="AC5813" s="87"/>
      <c r="AD5813" s="466"/>
      <c r="AE5813" s="456"/>
      <c r="AF5813" s="467"/>
      <c r="AG5813" s="87"/>
      <c r="AH5813" s="87"/>
      <c r="AI5813" s="87"/>
    </row>
    <row r="5814" spans="1:35" hidden="1">
      <c r="A5814" s="80" t="e">
        <f>"B"&amp;E5809</f>
        <v>#N/A</v>
      </c>
      <c r="B5814" s="81">
        <v>2</v>
      </c>
      <c r="C5814" s="106"/>
      <c r="D5814" s="106"/>
      <c r="E5814" s="106"/>
      <c r="F5814" s="106"/>
      <c r="G5814" s="83"/>
      <c r="H5814" s="83"/>
      <c r="I5814" s="84"/>
      <c r="J5814" s="85"/>
      <c r="K5814" s="382"/>
      <c r="L5814" s="85"/>
      <c r="M5814" s="332" t="str">
        <f t="shared" si="1726"/>
        <v/>
      </c>
      <c r="N5814" s="86"/>
      <c r="O5814" s="453" t="str">
        <f t="shared" ref="O5814:O5822" si="1728">IF(OR(G5814="",N5814=""),"",N5814*G5814)</f>
        <v/>
      </c>
      <c r="P5814" s="538" t="str">
        <f t="shared" ref="P5814:P5822" si="1729">IF(OR(H5814="",M5814="FUERA DE RANGO"),"",IF(OR(L5814&lt;$O$17,L5814&gt;$P$17,L5814="",H5814="NO"),"",IF(OR(N5814="",O5814=""),"",ROUND(O5814,3))))</f>
        <v/>
      </c>
      <c r="Q5814" s="539" t="str">
        <f t="shared" si="1727"/>
        <v/>
      </c>
      <c r="R5814" s="740"/>
      <c r="S5814" s="741"/>
      <c r="T5814" s="742"/>
      <c r="U5814" s="471"/>
      <c r="V5814" s="165"/>
      <c r="W5814" s="446"/>
      <c r="X5814" s="456"/>
      <c r="Y5814" s="436"/>
      <c r="Z5814" s="437"/>
      <c r="AA5814" s="560"/>
      <c r="AB5814" s="561"/>
      <c r="AC5814" s="87"/>
      <c r="AD5814" s="466"/>
      <c r="AE5814" s="456"/>
      <c r="AF5814" s="467"/>
      <c r="AG5814" s="87"/>
      <c r="AH5814" s="87"/>
      <c r="AI5814" s="87"/>
    </row>
    <row r="5815" spans="1:35" hidden="1">
      <c r="A5815" s="80" t="e">
        <f>"C"&amp;E5809</f>
        <v>#N/A</v>
      </c>
      <c r="B5815" s="88">
        <v>3</v>
      </c>
      <c r="C5815" s="82"/>
      <c r="D5815" s="82"/>
      <c r="E5815" s="82"/>
      <c r="F5815" s="82"/>
      <c r="G5815" s="83"/>
      <c r="H5815" s="83"/>
      <c r="I5815" s="84"/>
      <c r="J5815" s="85"/>
      <c r="K5815" s="382"/>
      <c r="L5815" s="85"/>
      <c r="M5815" s="332" t="str">
        <f t="shared" si="1726"/>
        <v/>
      </c>
      <c r="N5815" s="86"/>
      <c r="O5815" s="453" t="str">
        <f t="shared" si="1728"/>
        <v/>
      </c>
      <c r="P5815" s="538" t="str">
        <f t="shared" si="1729"/>
        <v/>
      </c>
      <c r="Q5815" s="539" t="str">
        <f t="shared" si="1727"/>
        <v/>
      </c>
      <c r="R5815" s="706"/>
      <c r="S5815" s="707"/>
      <c r="T5815" s="708"/>
      <c r="U5815" s="472"/>
      <c r="V5815" s="166"/>
      <c r="W5815" s="446"/>
      <c r="X5815" s="456"/>
      <c r="Y5815" s="436"/>
      <c r="Z5815" s="437"/>
      <c r="AA5815" s="560"/>
      <c r="AB5815" s="561"/>
      <c r="AC5815" s="87"/>
      <c r="AD5815" s="466"/>
      <c r="AE5815" s="456"/>
      <c r="AF5815" s="467"/>
      <c r="AG5815" s="87"/>
      <c r="AH5815" s="87"/>
      <c r="AI5815" s="87"/>
    </row>
    <row r="5816" spans="1:35" hidden="1">
      <c r="A5816" s="80" t="e">
        <f>"D"&amp;E5809</f>
        <v>#N/A</v>
      </c>
      <c r="B5816" s="105">
        <v>4</v>
      </c>
      <c r="C5816" s="107"/>
      <c r="D5816" s="107"/>
      <c r="E5816" s="107"/>
      <c r="F5816" s="107"/>
      <c r="G5816" s="83"/>
      <c r="H5816" s="83"/>
      <c r="I5816" s="84"/>
      <c r="J5816" s="85"/>
      <c r="K5816" s="382"/>
      <c r="L5816" s="85"/>
      <c r="M5816" s="332" t="str">
        <f t="shared" si="1726"/>
        <v/>
      </c>
      <c r="N5816" s="86"/>
      <c r="O5816" s="453" t="str">
        <f t="shared" si="1728"/>
        <v/>
      </c>
      <c r="P5816" s="538" t="str">
        <f t="shared" si="1729"/>
        <v/>
      </c>
      <c r="Q5816" s="539" t="str">
        <f t="shared" si="1727"/>
        <v/>
      </c>
      <c r="R5816" s="706"/>
      <c r="S5816" s="707"/>
      <c r="T5816" s="708"/>
      <c r="U5816" s="472"/>
      <c r="V5816" s="166"/>
      <c r="W5816" s="446"/>
      <c r="X5816" s="456"/>
      <c r="Y5816" s="436"/>
      <c r="Z5816" s="437"/>
      <c r="AA5816" s="560"/>
      <c r="AB5816" s="561"/>
      <c r="AC5816" s="87"/>
      <c r="AD5816" s="466"/>
      <c r="AE5816" s="456"/>
      <c r="AF5816" s="467"/>
      <c r="AG5816" s="87"/>
      <c r="AH5816" s="87"/>
      <c r="AI5816" s="87"/>
    </row>
    <row r="5817" spans="1:35" hidden="1">
      <c r="A5817" s="80" t="e">
        <f>"E"&amp;E5809</f>
        <v>#N/A</v>
      </c>
      <c r="B5817" s="105">
        <v>5</v>
      </c>
      <c r="C5817" s="107"/>
      <c r="D5817" s="107"/>
      <c r="E5817" s="107"/>
      <c r="F5817" s="107"/>
      <c r="G5817" s="83"/>
      <c r="H5817" s="83"/>
      <c r="I5817" s="84"/>
      <c r="J5817" s="85"/>
      <c r="K5817" s="382"/>
      <c r="L5817" s="85"/>
      <c r="M5817" s="332" t="str">
        <f t="shared" si="1726"/>
        <v/>
      </c>
      <c r="N5817" s="86"/>
      <c r="O5817" s="453" t="str">
        <f t="shared" si="1728"/>
        <v/>
      </c>
      <c r="P5817" s="538" t="str">
        <f t="shared" si="1729"/>
        <v/>
      </c>
      <c r="Q5817" s="539" t="str">
        <f t="shared" si="1727"/>
        <v/>
      </c>
      <c r="R5817" s="706"/>
      <c r="S5817" s="707"/>
      <c r="T5817" s="708"/>
      <c r="U5817" s="472"/>
      <c r="V5817" s="167"/>
      <c r="W5817" s="446"/>
      <c r="X5817" s="456"/>
      <c r="Y5817" s="436"/>
      <c r="Z5817" s="437"/>
      <c r="AA5817" s="560"/>
      <c r="AB5817" s="561"/>
      <c r="AC5817" s="87"/>
      <c r="AD5817" s="466"/>
      <c r="AE5817" s="456"/>
      <c r="AF5817" s="467"/>
      <c r="AG5817" s="87"/>
      <c r="AH5817" s="87"/>
      <c r="AI5817" s="87"/>
    </row>
    <row r="5818" spans="1:35" hidden="1">
      <c r="A5818" s="80" t="e">
        <f>"F"&amp;E5809</f>
        <v>#N/A</v>
      </c>
      <c r="B5818" s="105">
        <v>6</v>
      </c>
      <c r="C5818" s="107"/>
      <c r="D5818" s="107"/>
      <c r="E5818" s="107"/>
      <c r="F5818" s="107"/>
      <c r="G5818" s="83"/>
      <c r="H5818" s="83"/>
      <c r="I5818" s="84"/>
      <c r="J5818" s="85"/>
      <c r="K5818" s="382"/>
      <c r="L5818" s="85"/>
      <c r="M5818" s="332" t="str">
        <f t="shared" si="1726"/>
        <v/>
      </c>
      <c r="N5818" s="86"/>
      <c r="O5818" s="453" t="str">
        <f t="shared" si="1728"/>
        <v/>
      </c>
      <c r="P5818" s="538" t="str">
        <f t="shared" si="1729"/>
        <v/>
      </c>
      <c r="Q5818" s="539" t="str">
        <f t="shared" si="1727"/>
        <v/>
      </c>
      <c r="R5818" s="706"/>
      <c r="S5818" s="707"/>
      <c r="T5818" s="708"/>
      <c r="U5818" s="472"/>
      <c r="V5818" s="167"/>
      <c r="W5818" s="446"/>
      <c r="X5818" s="456"/>
      <c r="Y5818" s="436"/>
      <c r="Z5818" s="437"/>
      <c r="AA5818" s="560"/>
      <c r="AB5818" s="561"/>
      <c r="AC5818" s="87"/>
      <c r="AD5818" s="466"/>
      <c r="AE5818" s="456"/>
      <c r="AF5818" s="467"/>
      <c r="AG5818" s="87"/>
      <c r="AH5818" s="87"/>
      <c r="AI5818" s="87"/>
    </row>
    <row r="5819" spans="1:35" hidden="1">
      <c r="A5819" s="80" t="e">
        <f>"G"&amp;E5809</f>
        <v>#N/A</v>
      </c>
      <c r="B5819" s="105">
        <v>7</v>
      </c>
      <c r="C5819" s="107"/>
      <c r="D5819" s="107"/>
      <c r="E5819" s="107"/>
      <c r="F5819" s="107"/>
      <c r="G5819" s="83"/>
      <c r="H5819" s="83"/>
      <c r="I5819" s="84"/>
      <c r="J5819" s="85"/>
      <c r="K5819" s="382"/>
      <c r="L5819" s="85"/>
      <c r="M5819" s="332" t="str">
        <f t="shared" si="1726"/>
        <v/>
      </c>
      <c r="N5819" s="86"/>
      <c r="O5819" s="86" t="str">
        <f t="shared" si="1728"/>
        <v/>
      </c>
      <c r="P5819" s="538" t="str">
        <f t="shared" si="1729"/>
        <v/>
      </c>
      <c r="Q5819" s="539" t="str">
        <f t="shared" si="1727"/>
        <v/>
      </c>
      <c r="R5819" s="706"/>
      <c r="S5819" s="707"/>
      <c r="T5819" s="708"/>
      <c r="U5819" s="472"/>
      <c r="V5819" s="167"/>
      <c r="W5819" s="446"/>
      <c r="X5819" s="456"/>
      <c r="Y5819" s="436"/>
      <c r="Z5819" s="437"/>
      <c r="AA5819" s="560"/>
      <c r="AB5819" s="561"/>
      <c r="AC5819" s="87"/>
      <c r="AD5819" s="466"/>
      <c r="AE5819" s="456"/>
      <c r="AF5819" s="467"/>
      <c r="AG5819" s="87"/>
      <c r="AH5819" s="87"/>
      <c r="AI5819" s="87"/>
    </row>
    <row r="5820" spans="1:35" hidden="1">
      <c r="A5820" s="80" t="e">
        <f>"H"&amp;E5809</f>
        <v>#N/A</v>
      </c>
      <c r="B5820" s="105">
        <v>8</v>
      </c>
      <c r="C5820" s="107"/>
      <c r="D5820" s="107"/>
      <c r="E5820" s="107"/>
      <c r="F5820" s="107"/>
      <c r="G5820" s="83"/>
      <c r="H5820" s="83"/>
      <c r="I5820" s="84"/>
      <c r="J5820" s="85"/>
      <c r="K5820" s="382"/>
      <c r="L5820" s="85"/>
      <c r="M5820" s="332" t="str">
        <f t="shared" si="1726"/>
        <v/>
      </c>
      <c r="N5820" s="453"/>
      <c r="O5820" s="86" t="str">
        <f t="shared" si="1728"/>
        <v/>
      </c>
      <c r="P5820" s="538" t="str">
        <f t="shared" si="1729"/>
        <v/>
      </c>
      <c r="Q5820" s="539" t="str">
        <f t="shared" si="1727"/>
        <v/>
      </c>
      <c r="R5820" s="706"/>
      <c r="S5820" s="707"/>
      <c r="T5820" s="708"/>
      <c r="U5820" s="472"/>
      <c r="V5820" s="167"/>
      <c r="W5820" s="446"/>
      <c r="X5820" s="456"/>
      <c r="Y5820" s="436"/>
      <c r="Z5820" s="437"/>
      <c r="AA5820" s="560"/>
      <c r="AB5820" s="561"/>
      <c r="AC5820" s="87"/>
      <c r="AD5820" s="466"/>
      <c r="AE5820" s="456"/>
      <c r="AF5820" s="467"/>
      <c r="AG5820" s="87"/>
      <c r="AH5820" s="87"/>
      <c r="AI5820" s="87"/>
    </row>
    <row r="5821" spans="1:35" hidden="1">
      <c r="A5821" s="80" t="e">
        <f>"I"&amp;E5809</f>
        <v>#N/A</v>
      </c>
      <c r="B5821" s="105">
        <v>9</v>
      </c>
      <c r="C5821" s="107"/>
      <c r="D5821" s="107"/>
      <c r="E5821" s="107"/>
      <c r="F5821" s="107"/>
      <c r="G5821" s="83"/>
      <c r="H5821" s="83"/>
      <c r="I5821" s="84"/>
      <c r="J5821" s="85"/>
      <c r="K5821" s="382"/>
      <c r="L5821" s="85"/>
      <c r="M5821" s="332" t="str">
        <f t="shared" si="1726"/>
        <v/>
      </c>
      <c r="N5821" s="453"/>
      <c r="O5821" s="86" t="str">
        <f t="shared" si="1728"/>
        <v/>
      </c>
      <c r="P5821" s="538" t="str">
        <f t="shared" si="1729"/>
        <v/>
      </c>
      <c r="Q5821" s="539" t="str">
        <f t="shared" si="1727"/>
        <v/>
      </c>
      <c r="R5821" s="706"/>
      <c r="S5821" s="707"/>
      <c r="T5821" s="708"/>
      <c r="U5821" s="472"/>
      <c r="V5821" s="167"/>
      <c r="W5821" s="446"/>
      <c r="X5821" s="456"/>
      <c r="Y5821" s="436"/>
      <c r="Z5821" s="437"/>
      <c r="AA5821" s="560"/>
      <c r="AB5821" s="561"/>
      <c r="AC5821" s="87"/>
      <c r="AD5821" s="466"/>
      <c r="AE5821" s="456"/>
      <c r="AF5821" s="467"/>
      <c r="AG5821" s="87"/>
      <c r="AH5821" s="87"/>
      <c r="AI5821" s="87"/>
    </row>
    <row r="5822" spans="1:35" hidden="1">
      <c r="A5822" s="80" t="e">
        <f>"J"&amp;E5809</f>
        <v>#N/A</v>
      </c>
      <c r="B5822" s="105">
        <v>10</v>
      </c>
      <c r="C5822" s="107"/>
      <c r="D5822" s="107"/>
      <c r="E5822" s="107"/>
      <c r="F5822" s="107"/>
      <c r="G5822" s="83"/>
      <c r="H5822" s="83"/>
      <c r="I5822" s="84"/>
      <c r="J5822" s="85"/>
      <c r="K5822" s="382"/>
      <c r="L5822" s="85"/>
      <c r="M5822" s="332" t="str">
        <f t="shared" si="1726"/>
        <v/>
      </c>
      <c r="N5822" s="453"/>
      <c r="O5822" s="86" t="str">
        <f t="shared" si="1728"/>
        <v/>
      </c>
      <c r="P5822" s="538" t="str">
        <f t="shared" si="1729"/>
        <v/>
      </c>
      <c r="Q5822" s="539" t="str">
        <f t="shared" si="1727"/>
        <v/>
      </c>
      <c r="R5822" s="706"/>
      <c r="S5822" s="707"/>
      <c r="T5822" s="708"/>
      <c r="U5822" s="472"/>
      <c r="V5822" s="167"/>
      <c r="W5822" s="446"/>
      <c r="X5822" s="456"/>
      <c r="Y5822" s="436"/>
      <c r="Z5822" s="437"/>
      <c r="AA5822" s="560"/>
      <c r="AB5822" s="561"/>
      <c r="AC5822" s="87"/>
      <c r="AD5822" s="466"/>
      <c r="AE5822" s="456"/>
      <c r="AF5822" s="467"/>
      <c r="AG5822" s="87"/>
      <c r="AH5822" s="87"/>
      <c r="AI5822" s="87"/>
    </row>
    <row r="5823" spans="1:35" ht="16.5" hidden="1" thickBot="1">
      <c r="A5823" s="44"/>
      <c r="B5823" s="89"/>
      <c r="C5823" s="90"/>
      <c r="D5823" s="90"/>
      <c r="E5823" s="90"/>
      <c r="F5823" s="90"/>
      <c r="G5823" s="90"/>
      <c r="H5823" s="90"/>
      <c r="I5823" s="90"/>
      <c r="J5823" s="90"/>
      <c r="K5823" s="90"/>
      <c r="L5823" s="90"/>
      <c r="M5823" s="90"/>
      <c r="N5823" s="90"/>
      <c r="O5823" s="90"/>
      <c r="P5823" s="90"/>
      <c r="Q5823" s="90"/>
      <c r="R5823" s="90"/>
      <c r="S5823" s="91"/>
      <c r="T5823" s="92"/>
      <c r="U5823" s="473"/>
      <c r="W5823" s="438"/>
      <c r="X5823" s="455"/>
      <c r="Y5823" s="439"/>
      <c r="Z5823" s="437"/>
      <c r="AA5823" s="530"/>
      <c r="AB5823" s="563"/>
      <c r="AC5823" s="87"/>
      <c r="AD5823" s="440"/>
      <c r="AE5823" s="441"/>
      <c r="AF5823" s="442"/>
      <c r="AG5823" s="49"/>
      <c r="AH5823" s="87"/>
      <c r="AI5823" s="87"/>
    </row>
    <row r="5824" spans="1:35" ht="16.5" hidden="1" thickBot="1">
      <c r="A5824" s="93"/>
      <c r="B5824" s="94"/>
      <c r="C5824" s="96"/>
      <c r="D5824" s="96"/>
      <c r="E5824" s="96"/>
      <c r="F5824" s="96"/>
      <c r="G5824" s="96"/>
      <c r="H5824" s="96"/>
      <c r="I5824" s="96"/>
      <c r="J5824" s="96"/>
      <c r="K5824" s="96"/>
      <c r="L5824" s="96"/>
      <c r="M5824" s="136"/>
      <c r="N5824" s="96"/>
      <c r="O5824" s="96"/>
      <c r="P5824" s="97"/>
      <c r="Q5824" s="97"/>
      <c r="R5824" s="98"/>
      <c r="S5824" s="95"/>
      <c r="T5824" s="99"/>
      <c r="U5824" s="469"/>
      <c r="AC5824" s="58"/>
      <c r="AG5824" s="58"/>
      <c r="AH5824" s="87"/>
      <c r="AI5824" s="87"/>
    </row>
    <row r="5825" spans="1:35" ht="16.5" hidden="1" thickBot="1">
      <c r="B5825" s="101"/>
      <c r="C5825" s="101"/>
      <c r="D5825" s="101"/>
      <c r="E5825" s="101"/>
      <c r="F5825" s="101"/>
      <c r="G5825" s="101"/>
      <c r="H5825" s="101"/>
      <c r="I5825" s="101"/>
      <c r="J5825" s="101"/>
      <c r="K5825" s="101"/>
      <c r="L5825" s="101"/>
      <c r="M5825" s="101"/>
      <c r="N5825" s="101"/>
      <c r="O5825" s="101"/>
      <c r="P5825" s="101"/>
      <c r="Q5825" s="101"/>
      <c r="R5825" s="101"/>
      <c r="S5825" s="101"/>
      <c r="U5825" s="50"/>
      <c r="AH5825" s="87"/>
      <c r="AI5825" s="87"/>
    </row>
    <row r="5826" spans="1:35" ht="16.5" hidden="1" customHeight="1" thickBot="1">
      <c r="A5826" s="44"/>
      <c r="B5826" s="705" t="s">
        <v>74</v>
      </c>
      <c r="C5826" s="705"/>
      <c r="D5826" s="705"/>
      <c r="E5826" s="705"/>
      <c r="F5826" s="705"/>
      <c r="G5826" s="705"/>
      <c r="H5826" s="705"/>
      <c r="I5826" s="705"/>
      <c r="J5826" s="705"/>
      <c r="K5826" s="705"/>
      <c r="L5826" s="705"/>
      <c r="M5826" s="705"/>
      <c r="N5826" s="705"/>
      <c r="O5826" s="705"/>
      <c r="P5826" s="705"/>
      <c r="Q5826" s="705"/>
      <c r="R5826" s="705"/>
      <c r="S5826" s="705"/>
      <c r="T5826" s="705"/>
      <c r="U5826" s="108"/>
      <c r="Y5826" s="532" t="s">
        <v>341</v>
      </c>
      <c r="AC5826" s="49"/>
      <c r="AD5826" s="687" t="s">
        <v>302</v>
      </c>
      <c r="AE5826" s="688"/>
      <c r="AF5826" s="689"/>
      <c r="AG5826" s="49"/>
      <c r="AH5826" s="87"/>
      <c r="AI5826" s="87"/>
    </row>
    <row r="5827" spans="1:35" ht="16.5" hidden="1" customHeight="1" thickBot="1">
      <c r="A5827" s="218" t="e">
        <f>"K"&amp;E5809</f>
        <v>#N/A</v>
      </c>
      <c r="B5827" s="701" t="s">
        <v>71</v>
      </c>
      <c r="C5827" s="751" t="s">
        <v>102</v>
      </c>
      <c r="D5827" s="751"/>
      <c r="E5827" s="751"/>
      <c r="F5827" s="751"/>
      <c r="G5827" s="751"/>
      <c r="H5827" s="751"/>
      <c r="I5827" s="751"/>
      <c r="J5827" s="751"/>
      <c r="K5827" s="751"/>
      <c r="L5827" s="722" t="s">
        <v>100</v>
      </c>
      <c r="M5827" s="747" t="s">
        <v>114</v>
      </c>
      <c r="N5827" s="747"/>
      <c r="O5827" s="747"/>
      <c r="P5827" s="747"/>
      <c r="Q5827" s="748"/>
      <c r="R5827" s="758" t="s">
        <v>280</v>
      </c>
      <c r="S5827" s="748"/>
      <c r="T5827" s="762" t="str">
        <f>IF(COUNTIF(AE5827:AF5827,"VERIFICAR")&gt;0,"VERIFICAR",IF(COUNTIF(AE5827:AF5827,"NO CUMPLE")&gt;0,"NO CUMPLE","CUMPLE"))</f>
        <v>VERIFICAR</v>
      </c>
      <c r="U5827" s="108"/>
      <c r="Y5827" s="533" t="e">
        <f>IF(F5828="","",IF(F5828=1,"INDIVIDUAL","ESTRUCTURA PLURAL"))</f>
        <v>#N/A</v>
      </c>
      <c r="AC5827" s="52"/>
      <c r="AD5827" s="475" t="s">
        <v>303</v>
      </c>
      <c r="AE5827" s="476" t="str">
        <f>IF(COUNTIF(AE5813:AE5822,"")=10,"VERIFICAR",IF(COUNTIF(AE5813:AE5822,"SI")&gt;0,"CUMPLE","NO CUMPLE"))</f>
        <v>VERIFICAR</v>
      </c>
      <c r="AF5827" s="477" t="str">
        <f>IF(COUNTIF(AF5813:AF5822,"")=10,"VERIFICAR",IF(COUNTIF(AF5813:AF5822,"SI")&gt;=$AI$22,"CUMPLE","NO CUMPLE"))</f>
        <v>VERIFICAR</v>
      </c>
      <c r="AG5827" s="52"/>
      <c r="AH5827" s="87"/>
      <c r="AI5827" s="87"/>
    </row>
    <row r="5828" spans="1:35" ht="15.75" hidden="1" customHeight="1" thickBot="1">
      <c r="A5828" s="218" t="e">
        <f>"L"&amp;E5809</f>
        <v>#N/A</v>
      </c>
      <c r="B5828" s="702"/>
      <c r="C5828" s="751" t="s">
        <v>103</v>
      </c>
      <c r="D5828" s="751"/>
      <c r="E5828" s="752"/>
      <c r="F5828" s="557" t="e">
        <f>IF(VLOOKUP(E5809,PROPONENTES!$C$19:$E$218,3,0)="","",VLOOKUP(E5809,PROPONENTES!$C$19:$E$218,3,0))</f>
        <v>#N/A</v>
      </c>
      <c r="G5828" s="753" t="s">
        <v>104</v>
      </c>
      <c r="H5828" s="751"/>
      <c r="I5828" s="715" t="e">
        <f>IF(OR(F5828="",F5828=1),"INTERESADO PERSONA NATURAL O JURIDICA","CONSORCIO O UNION TEMPORAL")</f>
        <v>#N/A</v>
      </c>
      <c r="J5828" s="725"/>
      <c r="K5828" s="728"/>
      <c r="L5828" s="723"/>
      <c r="M5828" s="749"/>
      <c r="N5828" s="749"/>
      <c r="O5828" s="749"/>
      <c r="P5828" s="749"/>
      <c r="Q5828" s="750"/>
      <c r="R5828" s="712"/>
      <c r="S5828" s="750"/>
      <c r="T5828" s="763"/>
      <c r="U5828" s="108"/>
      <c r="Y5828" s="534"/>
      <c r="AA5828" s="52"/>
      <c r="AB5828" s="52"/>
      <c r="AC5828" s="52"/>
      <c r="AG5828" s="52"/>
      <c r="AH5828" s="87"/>
      <c r="AI5828" s="87"/>
    </row>
    <row r="5829" spans="1:35" ht="56.25" hidden="1" customHeight="1" thickBot="1">
      <c r="A5829" s="218" t="e">
        <f>"M"&amp;E5809</f>
        <v>#N/A</v>
      </c>
      <c r="B5829" s="702"/>
      <c r="C5829" s="725" t="s">
        <v>101</v>
      </c>
      <c r="D5829" s="716"/>
      <c r="E5829" s="558" t="s">
        <v>105</v>
      </c>
      <c r="F5829" s="554" t="s">
        <v>87</v>
      </c>
      <c r="G5829" s="553" t="s">
        <v>86</v>
      </c>
      <c r="H5829" s="559" t="s">
        <v>85</v>
      </c>
      <c r="I5829" s="554" t="s">
        <v>252</v>
      </c>
      <c r="J5829" s="553" t="str">
        <f>"¿EL INTEGRANTE TIENE UNA PARTICIPACIÓN DEL "&amp;PORCREQUERIDOINT*100&amp;"%?"</f>
        <v>¿EL INTEGRANTE TIENE UNA PARTICIPACIÓN DEL 60%?</v>
      </c>
      <c r="K5829" s="554" t="s">
        <v>107</v>
      </c>
      <c r="L5829" s="724"/>
      <c r="M5829" s="717" t="s">
        <v>115</v>
      </c>
      <c r="N5829" s="718"/>
      <c r="O5829" s="718"/>
      <c r="P5829" s="718"/>
      <c r="Q5829" s="223">
        <f>IF(AND(H5813="SI",P5813&gt;=0),1,0)+IF(AND(H5814="SI",P5814&gt;=0),1,0)+IF(AND(H5815="SI",P5815&gt;=0),1,0)+IF(AND(H5816="SI",P5816&gt;=0),1,0)+IF(AND(H5817="SI",P5817&gt;=0),1,0)+IF(AND(H5818="SI",P5818&gt;=0),1,0)+IF(AND(H5819="SI",P5819&gt;=0),1,0)+IF(AND(H5820="SI",P5820&gt;=0),1,0)+IF(AND(H5821="SI",P5821&gt;=0),1,0)+IF(AND(H5822="SI",P5822&gt;=0),1,0)</f>
        <v>0</v>
      </c>
      <c r="R5829" s="759"/>
      <c r="S5829" s="761"/>
      <c r="T5829" s="764"/>
      <c r="U5829" s="219"/>
      <c r="V5829" s="464"/>
      <c r="Y5829" s="532" t="s">
        <v>342</v>
      </c>
      <c r="AA5829" s="550" t="s">
        <v>344</v>
      </c>
      <c r="AB5829" s="693" t="s">
        <v>345</v>
      </c>
      <c r="AC5829" s="693" t="s">
        <v>346</v>
      </c>
      <c r="AD5829" s="685" t="s">
        <v>347</v>
      </c>
      <c r="AE5829" s="52"/>
      <c r="AF5829" s="52"/>
      <c r="AG5829" s="52"/>
      <c r="AH5829" s="87"/>
      <c r="AI5829" s="87"/>
    </row>
    <row r="5830" spans="1:35" ht="15.75" hidden="1" customHeight="1" thickBot="1">
      <c r="A5830" s="218" t="e">
        <f>"N"&amp;E5809</f>
        <v>#N/A</v>
      </c>
      <c r="B5830" s="702"/>
      <c r="C5830" s="114">
        <v>1</v>
      </c>
      <c r="D5830" s="194" t="e">
        <f>IF(AND(C5830&lt;=F5828,F5828&gt;1,F5828&lt;&gt;""),VLOOKUP(VALUE(E5809&amp;","&amp;C5830),INTEGRANTES!$D$18:$F$235,2,0),"")</f>
        <v>#N/A</v>
      </c>
      <c r="E5830" s="211" t="e">
        <f>IF(D5830&lt;&gt;"",VLOOKUP(VALUE(E5809&amp;","&amp;C5830),INTEGRANTES!$D$18:$F$235,3,0),"")</f>
        <v>#N/A</v>
      </c>
      <c r="F5830" s="547" t="e">
        <f>IF(D5830="","",SUMIF($I5813:$I5822,D5830,$P5813:$P5822))</f>
        <v>#N/A</v>
      </c>
      <c r="G5830" s="333" t="e">
        <f>IF(D5830="","",SUMIF($I5813:$I5822,D5830,$M5813:$M5822))</f>
        <v>#N/A</v>
      </c>
      <c r="H5830" s="535" t="e">
        <f t="shared" ref="H5830:H5835" si="1730">IF(D5830="","",IF(OR(F5830=0,G5830=0),"NO APORTA",ROUND($F5830/$G5830,3)))</f>
        <v>#N/A</v>
      </c>
      <c r="I5830" s="212" t="e">
        <f>IF(D5830="","",IF(H5830="NO APORTA","NO",IF(H5830=MAX($H5830:$H5835),"SI","NO")))</f>
        <v>#N/A</v>
      </c>
      <c r="J5830" s="213" t="e">
        <f t="shared" ref="J5830:J5835" si="1731">IF(D5830="","",IF(E5830&gt;=PORCREQUERIDOINT,"SI","NO"))</f>
        <v>#N/A</v>
      </c>
      <c r="K5830" s="200" t="e">
        <f t="shared" ref="K5830:K5835" si="1732">IF(D5830="","",IF(AND(I5830="SI",J5830="SI"),"CUMPLE",IF(AND(I5830="NO",OR(J5830="SI",J5830="NO")),"","NO CUMPLE")))</f>
        <v>#N/A</v>
      </c>
      <c r="L5830" s="722" t="s">
        <v>108</v>
      </c>
      <c r="M5830" s="726" t="s">
        <v>119</v>
      </c>
      <c r="N5830" s="726"/>
      <c r="O5830" s="726"/>
      <c r="P5830" s="726"/>
      <c r="Q5830" s="727"/>
      <c r="R5830" s="758" t="s">
        <v>80</v>
      </c>
      <c r="S5830" s="747"/>
      <c r="T5830" s="748"/>
      <c r="U5830" s="219"/>
      <c r="V5830" s="464"/>
      <c r="Y5830" s="533" t="e">
        <f>IF(Y5827="","",IF(Y5827="INDIVIDUAL","NO APLICA","VERIFICAR CUADRO"))</f>
        <v>#N/A</v>
      </c>
      <c r="AA5830" s="551"/>
      <c r="AB5830" s="694"/>
      <c r="AC5830" s="694"/>
      <c r="AD5830" s="686"/>
      <c r="AE5830" s="52"/>
      <c r="AF5830" s="52"/>
      <c r="AG5830" s="52"/>
      <c r="AH5830" s="87"/>
      <c r="AI5830" s="87"/>
    </row>
    <row r="5831" spans="1:35" ht="27" hidden="1" customHeight="1" thickBot="1">
      <c r="A5831" s="218" t="e">
        <f>"O"&amp;E5809</f>
        <v>#N/A</v>
      </c>
      <c r="B5831" s="702"/>
      <c r="C5831" s="114">
        <v>2</v>
      </c>
      <c r="D5831" s="194" t="e">
        <f>IF(AND(C5831&lt;=F5828,F5828&lt;&gt;""),VLOOKUP(VALUE(E5809&amp;","&amp;C5831),INTEGRANTES!$D$18:$F$235,2,0),"")</f>
        <v>#N/A</v>
      </c>
      <c r="E5831" s="211" t="e">
        <f>IF(D5831&lt;&gt;"",VLOOKUP(VALUE(E5809&amp;","&amp;C5831),INTEGRANTES!$D$18:$F$235,3,0),"")</f>
        <v>#N/A</v>
      </c>
      <c r="F5831" s="547" t="e">
        <f>IF(D5831="","",SUMIF($I5813:$I5822,D5831,$P5813:$P5822))</f>
        <v>#N/A</v>
      </c>
      <c r="G5831" s="333" t="e">
        <f>IF(D5831="","",SUMIF($I5813:$I5822,D5831,$M5813:$M5822))</f>
        <v>#N/A</v>
      </c>
      <c r="H5831" s="535" t="e">
        <f t="shared" si="1730"/>
        <v>#N/A</v>
      </c>
      <c r="I5831" s="212" t="e">
        <f>IF(D5831="","",IF(H5831="NO APORTA","NO",IF(H5831=MAX($H5830:$H5835),"SI","NO")))</f>
        <v>#N/A</v>
      </c>
      <c r="J5831" s="213" t="e">
        <f t="shared" si="1731"/>
        <v>#N/A</v>
      </c>
      <c r="K5831" s="200" t="e">
        <f t="shared" si="1732"/>
        <v>#N/A</v>
      </c>
      <c r="L5831" s="723"/>
      <c r="M5831" s="715" t="s">
        <v>116</v>
      </c>
      <c r="N5831" s="716"/>
      <c r="O5831" s="556" t="s">
        <v>113</v>
      </c>
      <c r="P5831" s="715" t="s">
        <v>117</v>
      </c>
      <c r="Q5831" s="728"/>
      <c r="R5831" s="759"/>
      <c r="S5831" s="760"/>
      <c r="T5831" s="761"/>
      <c r="U5831" s="219"/>
      <c r="V5831" s="464"/>
      <c r="Y5831" s="414"/>
      <c r="AA5831" s="542" t="e">
        <f>IF(AND(C5830&lt;=F5828,F5828&gt;1,F5828&lt;&gt;""),VLOOKUP(VALUE(E5809&amp;","&amp;C5830),INTEGRANTES!$D$18:$F$235,2,0),"")</f>
        <v>#N/A</v>
      </c>
      <c r="AB5831" s="544" t="e">
        <f t="shared" ref="AB5831:AB5836" si="1733">IF(D5830="","",IF(OR(F5830=0,G5830=0),"NO APORTA",ROUND($F5830/$G5830,3)))</f>
        <v>#N/A</v>
      </c>
      <c r="AC5831" s="529"/>
      <c r="AD5831" s="200" t="e">
        <f t="shared" ref="AD5831:AD5836" si="1734">IF(OR(AA5831="",AB5831=""),"",IF(AND(AC5831="X",AB5831&gt;=EXPREQVTD),"CUMPLE","NO CUMPLE"))</f>
        <v>#N/A</v>
      </c>
      <c r="AE5831" s="52"/>
      <c r="AF5831" s="52"/>
      <c r="AG5831" s="52"/>
      <c r="AH5831" s="87"/>
      <c r="AI5831" s="87"/>
    </row>
    <row r="5832" spans="1:35" ht="16.5" hidden="1" thickBot="1">
      <c r="A5832" s="218" t="e">
        <f>"P"&amp;E5809</f>
        <v>#N/A</v>
      </c>
      <c r="B5832" s="702"/>
      <c r="C5832" s="114">
        <v>3</v>
      </c>
      <c r="D5832" s="194" t="e">
        <f>IF(AND(C5832&lt;=F5828,F5828&lt;&gt;""),VLOOKUP(VALUE(E5809&amp;","&amp;C5832),INTEGRANTES!$D$18:$F$235,2,0),"")</f>
        <v>#N/A</v>
      </c>
      <c r="E5832" s="211" t="e">
        <f>IF(D5832&lt;&gt;"",VLOOKUP(VALUE(E5809&amp;","&amp;C5832),INTEGRANTES!$D$18:$F$235,3,0),"")</f>
        <v>#N/A</v>
      </c>
      <c r="F5832" s="547" t="e">
        <f>IF(D5832="","",SUMIF($I5813:$I5822,D5832,$P5813:$P5822))</f>
        <v>#N/A</v>
      </c>
      <c r="G5832" s="333" t="e">
        <f>IF(D5832="","",SUMIF($I5813:$I5822,D5832,$M5813:$M5822))</f>
        <v>#N/A</v>
      </c>
      <c r="H5832" s="535" t="e">
        <f t="shared" si="1730"/>
        <v>#N/A</v>
      </c>
      <c r="I5832" s="212" t="e">
        <f>IF(D5832="","",IF(H5832="NO APORTA","NO",IF(H5832=MAX($H5830:$H5835),"SI","NO")))</f>
        <v>#N/A</v>
      </c>
      <c r="J5832" s="213" t="e">
        <f t="shared" si="1731"/>
        <v>#N/A</v>
      </c>
      <c r="K5832" s="200" t="e">
        <f t="shared" si="1732"/>
        <v>#N/A</v>
      </c>
      <c r="L5832" s="724"/>
      <c r="M5832" s="729">
        <f>NUMMOD</f>
        <v>1</v>
      </c>
      <c r="N5832" s="730"/>
      <c r="O5832" s="443">
        <f>IF(M5832="","",VLOOKUP(M5832,PRESUPUESTOS!$B$16:$H$16,5,FALSE))</f>
        <v>2</v>
      </c>
      <c r="P5832" s="713">
        <f>IF(OR(COUNTIF(M5813:M5822,"")&gt;=10,Q5829&lt;NUMMINCONT,OR(T5827="NO CUMPLE",T5827="VERIFICAR")),0,ROUND(AVERAGE(M5813:M5822),3))</f>
        <v>0</v>
      </c>
      <c r="Q5832" s="714"/>
      <c r="R5832" s="458"/>
      <c r="S5832" s="459"/>
      <c r="T5832" s="460"/>
      <c r="U5832" s="219"/>
      <c r="V5832" s="464"/>
      <c r="Y5832" s="532" t="str">
        <f>"40% * ("&amp;PRESUPUESTOS!$H$13&amp;")"</f>
        <v>40% * (50% PFMO)</v>
      </c>
      <c r="AA5832" s="540" t="e">
        <f>IF(AND(C5831&lt;=F5828,F5828&lt;&gt;""),VLOOKUP(VALUE(E5809&amp;","&amp;C5831),INTEGRANTES!$D$18:$F$235,2,0),"")</f>
        <v>#N/A</v>
      </c>
      <c r="AB5832" s="545" t="e">
        <f t="shared" si="1733"/>
        <v>#N/A</v>
      </c>
      <c r="AC5832" s="529"/>
      <c r="AD5832" s="200" t="e">
        <f t="shared" si="1734"/>
        <v>#N/A</v>
      </c>
      <c r="AE5832" s="52"/>
      <c r="AF5832" s="52"/>
      <c r="AG5832" s="52"/>
      <c r="AH5832" s="87"/>
      <c r="AI5832" s="87"/>
    </row>
    <row r="5833" spans="1:35" ht="15.75" hidden="1" customHeight="1" thickBot="1">
      <c r="A5833" s="218" t="e">
        <f>"Q"&amp;E5809</f>
        <v>#N/A</v>
      </c>
      <c r="B5833" s="702"/>
      <c r="C5833" s="114">
        <v>4</v>
      </c>
      <c r="D5833" s="194" t="e">
        <f>IF(AND(C5833&lt;=F5828,F5828&lt;&gt;""),VLOOKUP(VALUE(E5809&amp;","&amp;C5833),INTEGRANTES!$D$18:$F$235,2,0),"")</f>
        <v>#N/A</v>
      </c>
      <c r="E5833" s="211" t="e">
        <f>IF(D5833&lt;&gt;"",VLOOKUP(VALUE(E5809&amp;","&amp;C5833),INTEGRANTES!$D$18:$F$235,3,0),"")</f>
        <v>#N/A</v>
      </c>
      <c r="F5833" s="547" t="e">
        <f>IF(D5833="","",SUMIF($I5813:$I5822,D5833,$P5813:$P5822))</f>
        <v>#N/A</v>
      </c>
      <c r="G5833" s="333" t="e">
        <f>IF(D5833="","",SUMIF($I5813:$I5822,D5833,$M5813:$M5822))</f>
        <v>#N/A</v>
      </c>
      <c r="H5833" s="535" t="e">
        <f t="shared" si="1730"/>
        <v>#N/A</v>
      </c>
      <c r="I5833" s="212" t="e">
        <f>IF(D5833="","",IF(H5833="NO APORTA","NO",IF(H5833=MAX($H5830:$H5835),"SI","NO")))</f>
        <v>#N/A</v>
      </c>
      <c r="J5833" s="213" t="e">
        <f t="shared" si="1731"/>
        <v>#N/A</v>
      </c>
      <c r="K5833" s="200" t="e">
        <f t="shared" si="1732"/>
        <v>#N/A</v>
      </c>
      <c r="L5833" s="720" t="s">
        <v>109</v>
      </c>
      <c r="M5833" s="757" t="s">
        <v>120</v>
      </c>
      <c r="N5833" s="726"/>
      <c r="O5833" s="726"/>
      <c r="P5833" s="726"/>
      <c r="Q5833" s="727"/>
      <c r="R5833" s="458"/>
      <c r="S5833" s="459"/>
      <c r="T5833" s="460"/>
      <c r="U5833" s="219"/>
      <c r="V5833" s="464"/>
      <c r="Y5833" s="537">
        <f>0.4*PRESUPUESTOS!$H$16</f>
        <v>10.3124</v>
      </c>
      <c r="AA5833" s="540" t="e">
        <f>IF(AND(C5832&lt;=F5828,F5828&lt;&gt;""),VLOOKUP(VALUE(E5809&amp;","&amp;C5832),INTEGRANTES!$D$18:$F$235,2,0),"")</f>
        <v>#N/A</v>
      </c>
      <c r="AB5833" s="545" t="e">
        <f t="shared" si="1733"/>
        <v>#N/A</v>
      </c>
      <c r="AC5833" s="529"/>
      <c r="AD5833" s="200" t="e">
        <f t="shared" si="1734"/>
        <v>#N/A</v>
      </c>
      <c r="AE5833" s="52"/>
      <c r="AF5833" s="52"/>
      <c r="AG5833" s="52"/>
      <c r="AH5833" s="87"/>
      <c r="AI5833" s="87"/>
    </row>
    <row r="5834" spans="1:35" ht="27" hidden="1" customHeight="1" thickBot="1">
      <c r="A5834" s="218" t="e">
        <f>"R"&amp;E5809</f>
        <v>#N/A</v>
      </c>
      <c r="B5834" s="702"/>
      <c r="C5834" s="114">
        <v>5</v>
      </c>
      <c r="D5834" s="194" t="e">
        <f>IF(AND(C5834&lt;=F5828,F5828&lt;&gt;""),VLOOKUP(VALUE(E5809&amp;","&amp;C5834),INTEGRANTES!$D$18:$F$235,2,0),"")</f>
        <v>#N/A</v>
      </c>
      <c r="E5834" s="211" t="e">
        <f>IF(D5834&lt;&gt;"",VLOOKUP(VALUE(E5809&amp;","&amp;C5834),INTEGRANTES!$D$18:$F$235,3,0),"")</f>
        <v>#N/A</v>
      </c>
      <c r="F5834" s="547" t="e">
        <f>IF(D5834="","",SUMIF($I5813:$I5822,D5834,$P5813:$P5822))</f>
        <v>#N/A</v>
      </c>
      <c r="G5834" s="333" t="e">
        <f>IF(D5834="","",SUMIF($I5813:$I5822,D5834,$M5813:$M5822))</f>
        <v>#N/A</v>
      </c>
      <c r="H5834" s="535" t="e">
        <f t="shared" si="1730"/>
        <v>#N/A</v>
      </c>
      <c r="I5834" s="212" t="e">
        <f>IF(D5834="","",IF(H5834="NO APORTA","NO",IF(H5834=MAX($H5830:$H5835),"SI","NO")))</f>
        <v>#N/A</v>
      </c>
      <c r="J5834" s="213" t="e">
        <f t="shared" si="1731"/>
        <v>#N/A</v>
      </c>
      <c r="K5834" s="200" t="e">
        <f t="shared" si="1732"/>
        <v>#N/A</v>
      </c>
      <c r="L5834" s="721"/>
      <c r="M5834" s="715" t="s">
        <v>116</v>
      </c>
      <c r="N5834" s="716"/>
      <c r="O5834" s="556" t="str">
        <f>PORCREQUERIDO*100&amp;"% PMFO DEL MÓDULO"</f>
        <v>50% PMFO DEL MÓDULO</v>
      </c>
      <c r="P5834" s="715" t="s">
        <v>118</v>
      </c>
      <c r="Q5834" s="728"/>
      <c r="R5834" s="458"/>
      <c r="S5834" s="459"/>
      <c r="T5834" s="460"/>
      <c r="U5834" s="219"/>
      <c r="V5834" s="464"/>
      <c r="Y5834" s="414"/>
      <c r="AA5834" s="540" t="e">
        <f>IF(AND(C5833&lt;=F5828,F5828&lt;&gt;""),VLOOKUP(VALUE(E5809&amp;","&amp;C5833),INTEGRANTES!$D$18:$F$235,2,0),"")</f>
        <v>#N/A</v>
      </c>
      <c r="AB5834" s="545" t="e">
        <f t="shared" si="1733"/>
        <v>#N/A</v>
      </c>
      <c r="AC5834" s="529"/>
      <c r="AD5834" s="200" t="e">
        <f t="shared" si="1734"/>
        <v>#N/A</v>
      </c>
      <c r="AE5834" s="52"/>
      <c r="AF5834" s="52"/>
      <c r="AG5834" s="52"/>
      <c r="AH5834" s="87"/>
      <c r="AI5834" s="87"/>
    </row>
    <row r="5835" spans="1:35" ht="16.5" hidden="1" thickBot="1">
      <c r="A5835" s="218" t="e">
        <f>"S"&amp;E5809</f>
        <v>#N/A</v>
      </c>
      <c r="B5835" s="702"/>
      <c r="C5835" s="215">
        <v>6</v>
      </c>
      <c r="D5835" s="216" t="e">
        <f>IF(AND(C5835&lt;=F5828,F5828&lt;&gt;""),VLOOKUP(VALUE(E5809&amp;","&amp;C5835),INTEGRANTES!$D$18:$F$235,2,0),"")</f>
        <v>#N/A</v>
      </c>
      <c r="E5835" s="217" t="e">
        <f>IF(D5835&lt;&gt;"",VLOOKUP(VALUE(E5809&amp;","&amp;C5835),INTEGRANTES!$D$18:$F$235,3,0),"")</f>
        <v>#N/A</v>
      </c>
      <c r="F5835" s="548" t="e">
        <f>IF(D5835="","",SUMIF($I5813:$I5822,D5835,$P5813:$P5822))</f>
        <v>#N/A</v>
      </c>
      <c r="G5835" s="334" t="e">
        <f>IF(D5835="","",SUMIF($I5813:$I5822,D5835,$M5813:$M5822))</f>
        <v>#N/A</v>
      </c>
      <c r="H5835" s="536" t="e">
        <f t="shared" si="1730"/>
        <v>#N/A</v>
      </c>
      <c r="I5835" s="214" t="e">
        <f>IF(D5835="","",IF(H5835="NO APORTA","NO",IF(H5835=MAX($H5830:$H5835),"SI","NO")))</f>
        <v>#N/A</v>
      </c>
      <c r="J5835" s="213" t="e">
        <f t="shared" si="1731"/>
        <v>#N/A</v>
      </c>
      <c r="K5835" s="200" t="e">
        <f t="shared" si="1732"/>
        <v>#N/A</v>
      </c>
      <c r="L5835" s="721"/>
      <c r="M5835" s="729">
        <f>NUMMOD</f>
        <v>1</v>
      </c>
      <c r="N5835" s="730"/>
      <c r="O5835" s="443">
        <f>IF(M5835="","",ROUND(VLOOKUP(M5835,PRESUPUESTOS!$B$16:$H$16,7,FALSE),3))</f>
        <v>25.780999999999999</v>
      </c>
      <c r="P5835" s="713">
        <f>IF(OR(COUNTIF(P5813:P5822,"")&gt;=10,Q5829&lt;NUMMINCONT,OR(T5827="NO CUMPLE",T5827="VERIFICAR")),0,ROUND((SUM(P5813:P5822)/SUM(M5813:M5822)),3))</f>
        <v>0</v>
      </c>
      <c r="Q5835" s="714"/>
      <c r="R5835" s="458"/>
      <c r="S5835" s="459"/>
      <c r="T5835" s="460"/>
      <c r="U5835" s="219"/>
      <c r="V5835" s="464"/>
      <c r="Y5835" s="532" t="s">
        <v>343</v>
      </c>
      <c r="AA5835" s="540" t="e">
        <f>IF(AND(C5834&lt;=F5828,F5828&lt;&gt;""),VLOOKUP(VALUE(E5809&amp;","&amp;C5834),INTEGRANTES!$D$18:$F$235,2,0),"")</f>
        <v>#N/A</v>
      </c>
      <c r="AB5835" s="545" t="e">
        <f t="shared" si="1733"/>
        <v>#N/A</v>
      </c>
      <c r="AC5835" s="529"/>
      <c r="AD5835" s="200" t="e">
        <f t="shared" si="1734"/>
        <v>#N/A</v>
      </c>
      <c r="AE5835" s="52"/>
      <c r="AF5835" s="52"/>
      <c r="AG5835" s="52"/>
      <c r="AH5835" s="87"/>
      <c r="AI5835" s="87"/>
    </row>
    <row r="5836" spans="1:35" ht="16.5" hidden="1" customHeight="1" thickBot="1">
      <c r="A5836" s="218" t="e">
        <f>"T"&amp;E5809</f>
        <v>#N/A</v>
      </c>
      <c r="B5836" s="703"/>
      <c r="C5836" s="719"/>
      <c r="D5836" s="719"/>
      <c r="E5836" s="719"/>
      <c r="F5836" s="719"/>
      <c r="G5836" s="719"/>
      <c r="H5836" s="719" t="s">
        <v>110</v>
      </c>
      <c r="I5836" s="719"/>
      <c r="J5836" s="719"/>
      <c r="K5836" s="201" t="str">
        <f>IF(COUNTIF(K5830:K5835,"")=6,"",IF(COUNTIF(K5830:K5835,"CUMPLE")&gt;0,"CUMPLE","NO CUMPLE"))</f>
        <v>NO CUMPLE</v>
      </c>
      <c r="L5836" s="754"/>
      <c r="M5836" s="755"/>
      <c r="N5836" s="755"/>
      <c r="O5836" s="755"/>
      <c r="P5836" s="755"/>
      <c r="Q5836" s="756"/>
      <c r="R5836" s="461"/>
      <c r="S5836" s="462"/>
      <c r="T5836" s="463"/>
      <c r="U5836" s="219"/>
      <c r="V5836" s="464"/>
      <c r="Y5836" s="549" t="e">
        <f>IF(Y5830="NO APLICA","NO APLICA",IF(COUNTIF(AD5831:AD5836,"CUMPLE")&gt;0,"CUMPLE","NO CUMPLE"))</f>
        <v>#N/A</v>
      </c>
      <c r="AA5836" s="541" t="e">
        <f>IF(AND(C5835&lt;=F5828,F5828&lt;&gt;""),VLOOKUP(VALUE(E5809&amp;","&amp;C5835),INTEGRANTES!$D$18:$F$235,2,0),"")</f>
        <v>#N/A</v>
      </c>
      <c r="AB5836" s="546" t="e">
        <f t="shared" si="1733"/>
        <v>#N/A</v>
      </c>
      <c r="AC5836" s="543"/>
      <c r="AD5836" s="201" t="e">
        <f t="shared" si="1734"/>
        <v>#N/A</v>
      </c>
      <c r="AE5836" s="52"/>
      <c r="AF5836" s="52"/>
      <c r="AG5836" s="52"/>
      <c r="AH5836" s="87"/>
      <c r="AI5836" s="87"/>
    </row>
    <row r="5837" spans="1:35" hidden="1">
      <c r="AH5837" s="87"/>
      <c r="AI5837" s="87"/>
    </row>
    <row r="5838" spans="1:35" hidden="1">
      <c r="AH5838" s="87"/>
      <c r="AI5838" s="87"/>
    </row>
    <row r="5839" spans="1:35" ht="24" hidden="1" thickBot="1">
      <c r="A5839" s="61">
        <v>195</v>
      </c>
      <c r="B5839" s="704" t="s">
        <v>51</v>
      </c>
      <c r="C5839" s="704"/>
      <c r="D5839" s="704"/>
      <c r="E5839" s="62" t="e">
        <f>VLOOKUP(A5839,PROPONENTES!$B$19:$E$218,2,FALSE)</f>
        <v>#N/A</v>
      </c>
      <c r="F5839" s="63" t="e">
        <f>VLOOKUP(A5839,PROPONENTES!$B$19:$E$218,3,FALSE)</f>
        <v>#N/A</v>
      </c>
      <c r="G5839" s="64"/>
      <c r="H5839" s="64"/>
      <c r="I5839" s="63"/>
      <c r="J5839" s="63"/>
      <c r="K5839" s="65"/>
      <c r="L5839" s="65"/>
      <c r="M5839" s="64"/>
      <c r="N5839" s="64"/>
      <c r="O5839" s="66"/>
      <c r="P5839" s="66"/>
      <c r="Q5839" s="66"/>
      <c r="R5839" s="66"/>
      <c r="S5839" s="67"/>
      <c r="T5839" s="68"/>
      <c r="U5839" s="68"/>
      <c r="AC5839" s="68"/>
      <c r="AD5839" s="68"/>
      <c r="AE5839" s="68"/>
      <c r="AF5839" s="68"/>
      <c r="AG5839" s="68"/>
      <c r="AH5839" s="87"/>
      <c r="AI5839" s="87"/>
    </row>
    <row r="5840" spans="1:35" ht="15.75" hidden="1" customHeight="1">
      <c r="A5840" s="44"/>
      <c r="B5840" s="709" t="s">
        <v>59</v>
      </c>
      <c r="C5840" s="552" t="s">
        <v>60</v>
      </c>
      <c r="D5840" s="70" t="s">
        <v>17</v>
      </c>
      <c r="E5840" s="70"/>
      <c r="F5840" s="70" t="s">
        <v>61</v>
      </c>
      <c r="G5840" s="71"/>
      <c r="H5840" s="699" t="s">
        <v>62</v>
      </c>
      <c r="I5840" s="699" t="s">
        <v>18</v>
      </c>
      <c r="J5840" s="699" t="s">
        <v>63</v>
      </c>
      <c r="K5840" s="699" t="s">
        <v>64</v>
      </c>
      <c r="L5840" s="699" t="s">
        <v>65</v>
      </c>
      <c r="M5840" s="743" t="s">
        <v>66</v>
      </c>
      <c r="N5840" s="699" t="s">
        <v>282</v>
      </c>
      <c r="O5840" s="745" t="s">
        <v>67</v>
      </c>
      <c r="P5840" s="746"/>
      <c r="Q5840" s="102" t="s">
        <v>75</v>
      </c>
      <c r="R5840" s="731" t="s">
        <v>22</v>
      </c>
      <c r="S5840" s="732"/>
      <c r="T5840" s="733"/>
      <c r="U5840" s="712" t="s">
        <v>298</v>
      </c>
      <c r="W5840" s="690" t="s">
        <v>268</v>
      </c>
      <c r="X5840" s="691"/>
      <c r="Y5840" s="692"/>
      <c r="Z5840" s="428"/>
      <c r="AA5840" s="697" t="s">
        <v>315</v>
      </c>
      <c r="AB5840" s="695" t="s">
        <v>322</v>
      </c>
      <c r="AC5840" s="49"/>
      <c r="AD5840" s="690" t="s">
        <v>297</v>
      </c>
      <c r="AE5840" s="691"/>
      <c r="AF5840" s="692"/>
      <c r="AG5840" s="49"/>
      <c r="AH5840" s="87"/>
      <c r="AI5840" s="87"/>
    </row>
    <row r="5841" spans="1:35" ht="72" hidden="1">
      <c r="A5841" s="44"/>
      <c r="B5841" s="710"/>
      <c r="C5841" s="553" t="s">
        <v>68</v>
      </c>
      <c r="D5841" s="73" t="s">
        <v>3</v>
      </c>
      <c r="E5841" s="73" t="s">
        <v>19</v>
      </c>
      <c r="F5841" s="73" t="s">
        <v>69</v>
      </c>
      <c r="G5841" s="74" t="s">
        <v>70</v>
      </c>
      <c r="H5841" s="700"/>
      <c r="I5841" s="700"/>
      <c r="J5841" s="700"/>
      <c r="K5841" s="700"/>
      <c r="L5841" s="700"/>
      <c r="M5841" s="744"/>
      <c r="N5841" s="700"/>
      <c r="O5841" s="553" t="s">
        <v>279</v>
      </c>
      <c r="P5841" s="73" t="s">
        <v>88</v>
      </c>
      <c r="Q5841" s="555" t="s">
        <v>76</v>
      </c>
      <c r="R5841" s="734"/>
      <c r="S5841" s="735"/>
      <c r="T5841" s="736"/>
      <c r="U5841" s="712"/>
      <c r="W5841" s="429" t="s">
        <v>269</v>
      </c>
      <c r="X5841" s="457" t="s">
        <v>278</v>
      </c>
      <c r="Y5841" s="430" t="s">
        <v>324</v>
      </c>
      <c r="Z5841" s="428"/>
      <c r="AA5841" s="698"/>
      <c r="AB5841" s="696"/>
      <c r="AC5841" s="49"/>
      <c r="AD5841" s="429" t="s">
        <v>292</v>
      </c>
      <c r="AE5841" s="431" t="s">
        <v>300</v>
      </c>
      <c r="AF5841" s="468" t="s">
        <v>301</v>
      </c>
      <c r="AG5841" s="49"/>
      <c r="AH5841" s="87"/>
      <c r="AI5841" s="87"/>
    </row>
    <row r="5842" spans="1:35" hidden="1">
      <c r="A5842" s="44"/>
      <c r="B5842" s="76"/>
      <c r="C5842" s="77"/>
      <c r="D5842" s="77"/>
      <c r="E5842" s="77"/>
      <c r="F5842" s="77"/>
      <c r="G5842" s="77"/>
      <c r="H5842" s="77"/>
      <c r="I5842" s="77"/>
      <c r="J5842" s="77"/>
      <c r="K5842" s="77"/>
      <c r="L5842" s="77"/>
      <c r="M5842" s="77"/>
      <c r="N5842" s="77"/>
      <c r="O5842" s="77"/>
      <c r="P5842" s="77"/>
      <c r="Q5842" s="77"/>
      <c r="R5842" s="77"/>
      <c r="S5842" s="78"/>
      <c r="T5842" s="79"/>
      <c r="U5842" s="109"/>
      <c r="V5842" s="49"/>
      <c r="W5842" s="432"/>
      <c r="X5842" s="454"/>
      <c r="Y5842" s="433"/>
      <c r="Z5842" s="6"/>
      <c r="AA5842" s="500"/>
      <c r="AB5842" s="562"/>
      <c r="AC5842" s="49"/>
      <c r="AD5842" s="210"/>
      <c r="AE5842" s="434"/>
      <c r="AF5842" s="435"/>
      <c r="AG5842" s="49"/>
      <c r="AH5842" s="87"/>
      <c r="AI5842" s="87"/>
    </row>
    <row r="5843" spans="1:35" hidden="1">
      <c r="A5843" s="80" t="e">
        <f>"A"&amp;E5839</f>
        <v>#N/A</v>
      </c>
      <c r="B5843" s="81">
        <v>1</v>
      </c>
      <c r="C5843" s="82"/>
      <c r="D5843" s="82"/>
      <c r="E5843" s="82"/>
      <c r="F5843" s="82"/>
      <c r="G5843" s="83"/>
      <c r="H5843" s="83"/>
      <c r="I5843" s="84"/>
      <c r="J5843" s="85"/>
      <c r="K5843" s="382"/>
      <c r="L5843" s="85"/>
      <c r="M5843" s="332" t="str">
        <f t="shared" ref="M5843:M5852" si="1735">IF(OR(J5843="",L5843="",H5843="NO"),"",IF(OR(J5843&gt;$P$17,J5843&lt;$O$17,L5843&gt;$P$17,AND(J5843&lt;$O$17,L5843&lt;$O$17)),"FUERA DE RANGO",IF(OR(K5843="---",K5843=""),IF(J5843&gt;=$O$17,ROUND((L5843-J5843+1)/360*12,3),ROUND((L5843-$O$17+1)/360*12,3)),IF(J5843&gt;=$O$17,ROUND((L5843-J5843+1)/360*12-ROUND(K5843,3),3),ROUND((L5843-$O$17+1)/360*12-ROUND(K5843,3),3)))))</f>
        <v/>
      </c>
      <c r="N5843" s="86"/>
      <c r="O5843" s="453" t="str">
        <f>IF(OR(G5843="",N5843=""),"",N5843*G5843)</f>
        <v/>
      </c>
      <c r="P5843" s="538" t="str">
        <f>IF(OR(H5843="",M5843="FUERA DE RANGO"),"",IF(OR(L5843&lt;$O$17,L5843&gt;$P$17,L5843="",H5843="NO"),"",IF(OR(N5843="",O5843=""),"",ROUND(O5843,3))))</f>
        <v/>
      </c>
      <c r="Q5843" s="539" t="str">
        <f t="shared" ref="Q5843:Q5852" si="1736">IF(AND(H5843="SI",P5843&lt;&gt;""),ROUND(P5843/M5843,3),"")</f>
        <v/>
      </c>
      <c r="R5843" s="737"/>
      <c r="S5843" s="738"/>
      <c r="T5843" s="739"/>
      <c r="U5843" s="470"/>
      <c r="V5843" s="165"/>
      <c r="W5843" s="446"/>
      <c r="X5843" s="456"/>
      <c r="Y5843" s="436"/>
      <c r="Z5843" s="437"/>
      <c r="AA5843" s="560"/>
      <c r="AB5843" s="561"/>
      <c r="AC5843" s="87"/>
      <c r="AD5843" s="466"/>
      <c r="AE5843" s="456"/>
      <c r="AF5843" s="467"/>
      <c r="AG5843" s="87"/>
      <c r="AH5843" s="87"/>
      <c r="AI5843" s="87"/>
    </row>
    <row r="5844" spans="1:35" hidden="1">
      <c r="A5844" s="80" t="e">
        <f>"B"&amp;E5839</f>
        <v>#N/A</v>
      </c>
      <c r="B5844" s="81">
        <v>2</v>
      </c>
      <c r="C5844" s="106"/>
      <c r="D5844" s="106"/>
      <c r="E5844" s="106"/>
      <c r="F5844" s="106"/>
      <c r="G5844" s="83"/>
      <c r="H5844" s="83"/>
      <c r="I5844" s="84"/>
      <c r="J5844" s="85"/>
      <c r="K5844" s="382"/>
      <c r="L5844" s="85"/>
      <c r="M5844" s="332" t="str">
        <f t="shared" si="1735"/>
        <v/>
      </c>
      <c r="N5844" s="86"/>
      <c r="O5844" s="453" t="str">
        <f t="shared" ref="O5844:O5852" si="1737">IF(OR(G5844="",N5844=""),"",N5844*G5844)</f>
        <v/>
      </c>
      <c r="P5844" s="538" t="str">
        <f t="shared" ref="P5844:P5852" si="1738">IF(OR(H5844="",M5844="FUERA DE RANGO"),"",IF(OR(L5844&lt;$O$17,L5844&gt;$P$17,L5844="",H5844="NO"),"",IF(OR(N5844="",O5844=""),"",ROUND(O5844,3))))</f>
        <v/>
      </c>
      <c r="Q5844" s="539" t="str">
        <f t="shared" si="1736"/>
        <v/>
      </c>
      <c r="R5844" s="740"/>
      <c r="S5844" s="741"/>
      <c r="T5844" s="742"/>
      <c r="U5844" s="471"/>
      <c r="V5844" s="165"/>
      <c r="W5844" s="446"/>
      <c r="X5844" s="456"/>
      <c r="Y5844" s="436"/>
      <c r="Z5844" s="437"/>
      <c r="AA5844" s="560"/>
      <c r="AB5844" s="561"/>
      <c r="AC5844" s="87"/>
      <c r="AD5844" s="466"/>
      <c r="AE5844" s="456"/>
      <c r="AF5844" s="467"/>
      <c r="AG5844" s="87"/>
      <c r="AH5844" s="87"/>
      <c r="AI5844" s="87"/>
    </row>
    <row r="5845" spans="1:35" hidden="1">
      <c r="A5845" s="80" t="e">
        <f>"C"&amp;E5839</f>
        <v>#N/A</v>
      </c>
      <c r="B5845" s="88">
        <v>3</v>
      </c>
      <c r="C5845" s="82"/>
      <c r="D5845" s="82"/>
      <c r="E5845" s="82"/>
      <c r="F5845" s="82"/>
      <c r="G5845" s="83"/>
      <c r="H5845" s="83"/>
      <c r="I5845" s="84"/>
      <c r="J5845" s="85"/>
      <c r="K5845" s="382"/>
      <c r="L5845" s="85"/>
      <c r="M5845" s="332" t="str">
        <f t="shared" si="1735"/>
        <v/>
      </c>
      <c r="N5845" s="86"/>
      <c r="O5845" s="453" t="str">
        <f t="shared" si="1737"/>
        <v/>
      </c>
      <c r="P5845" s="538" t="str">
        <f t="shared" si="1738"/>
        <v/>
      </c>
      <c r="Q5845" s="539" t="str">
        <f t="shared" si="1736"/>
        <v/>
      </c>
      <c r="R5845" s="706"/>
      <c r="S5845" s="707"/>
      <c r="T5845" s="708"/>
      <c r="U5845" s="472"/>
      <c r="V5845" s="166"/>
      <c r="W5845" s="446"/>
      <c r="X5845" s="456"/>
      <c r="Y5845" s="436"/>
      <c r="Z5845" s="437"/>
      <c r="AA5845" s="560"/>
      <c r="AB5845" s="561"/>
      <c r="AC5845" s="87"/>
      <c r="AD5845" s="466"/>
      <c r="AE5845" s="456"/>
      <c r="AF5845" s="467"/>
      <c r="AG5845" s="87"/>
      <c r="AH5845" s="87"/>
      <c r="AI5845" s="87"/>
    </row>
    <row r="5846" spans="1:35" hidden="1">
      <c r="A5846" s="80" t="e">
        <f>"D"&amp;E5839</f>
        <v>#N/A</v>
      </c>
      <c r="B5846" s="105">
        <v>4</v>
      </c>
      <c r="C5846" s="107"/>
      <c r="D5846" s="107"/>
      <c r="E5846" s="107"/>
      <c r="F5846" s="107"/>
      <c r="G5846" s="83"/>
      <c r="H5846" s="83"/>
      <c r="I5846" s="84"/>
      <c r="J5846" s="85"/>
      <c r="K5846" s="382"/>
      <c r="L5846" s="85"/>
      <c r="M5846" s="332" t="str">
        <f t="shared" si="1735"/>
        <v/>
      </c>
      <c r="N5846" s="86"/>
      <c r="O5846" s="453" t="str">
        <f t="shared" si="1737"/>
        <v/>
      </c>
      <c r="P5846" s="538" t="str">
        <f t="shared" si="1738"/>
        <v/>
      </c>
      <c r="Q5846" s="539" t="str">
        <f t="shared" si="1736"/>
        <v/>
      </c>
      <c r="R5846" s="706"/>
      <c r="S5846" s="707"/>
      <c r="T5846" s="708"/>
      <c r="U5846" s="472"/>
      <c r="V5846" s="166"/>
      <c r="W5846" s="446"/>
      <c r="X5846" s="456"/>
      <c r="Y5846" s="436"/>
      <c r="Z5846" s="437"/>
      <c r="AA5846" s="560"/>
      <c r="AB5846" s="561"/>
      <c r="AC5846" s="87"/>
      <c r="AD5846" s="466"/>
      <c r="AE5846" s="456"/>
      <c r="AF5846" s="467"/>
      <c r="AG5846" s="87"/>
      <c r="AH5846" s="87"/>
      <c r="AI5846" s="87"/>
    </row>
    <row r="5847" spans="1:35" hidden="1">
      <c r="A5847" s="80" t="e">
        <f>"E"&amp;E5839</f>
        <v>#N/A</v>
      </c>
      <c r="B5847" s="105">
        <v>5</v>
      </c>
      <c r="C5847" s="107"/>
      <c r="D5847" s="107"/>
      <c r="E5847" s="107"/>
      <c r="F5847" s="107"/>
      <c r="G5847" s="83"/>
      <c r="H5847" s="83"/>
      <c r="I5847" s="84"/>
      <c r="J5847" s="85"/>
      <c r="K5847" s="382"/>
      <c r="L5847" s="85"/>
      <c r="M5847" s="332" t="str">
        <f t="shared" si="1735"/>
        <v/>
      </c>
      <c r="N5847" s="86"/>
      <c r="O5847" s="453" t="str">
        <f t="shared" si="1737"/>
        <v/>
      </c>
      <c r="P5847" s="538" t="str">
        <f t="shared" si="1738"/>
        <v/>
      </c>
      <c r="Q5847" s="539" t="str">
        <f t="shared" si="1736"/>
        <v/>
      </c>
      <c r="R5847" s="706"/>
      <c r="S5847" s="707"/>
      <c r="T5847" s="708"/>
      <c r="U5847" s="472"/>
      <c r="V5847" s="167"/>
      <c r="W5847" s="446"/>
      <c r="X5847" s="456"/>
      <c r="Y5847" s="436"/>
      <c r="Z5847" s="437"/>
      <c r="AA5847" s="560"/>
      <c r="AB5847" s="561"/>
      <c r="AC5847" s="87"/>
      <c r="AD5847" s="466"/>
      <c r="AE5847" s="456"/>
      <c r="AF5847" s="467"/>
      <c r="AG5847" s="87"/>
      <c r="AH5847" s="87"/>
      <c r="AI5847" s="87"/>
    </row>
    <row r="5848" spans="1:35" hidden="1">
      <c r="A5848" s="80" t="e">
        <f>"F"&amp;E5839</f>
        <v>#N/A</v>
      </c>
      <c r="B5848" s="105">
        <v>6</v>
      </c>
      <c r="C5848" s="107"/>
      <c r="D5848" s="107"/>
      <c r="E5848" s="107"/>
      <c r="F5848" s="107"/>
      <c r="G5848" s="83"/>
      <c r="H5848" s="83"/>
      <c r="I5848" s="84"/>
      <c r="J5848" s="85"/>
      <c r="K5848" s="382"/>
      <c r="L5848" s="85"/>
      <c r="M5848" s="332" t="str">
        <f t="shared" si="1735"/>
        <v/>
      </c>
      <c r="N5848" s="86"/>
      <c r="O5848" s="453" t="str">
        <f t="shared" si="1737"/>
        <v/>
      </c>
      <c r="P5848" s="538" t="str">
        <f t="shared" si="1738"/>
        <v/>
      </c>
      <c r="Q5848" s="539" t="str">
        <f t="shared" si="1736"/>
        <v/>
      </c>
      <c r="R5848" s="706"/>
      <c r="S5848" s="707"/>
      <c r="T5848" s="708"/>
      <c r="U5848" s="472"/>
      <c r="V5848" s="167"/>
      <c r="W5848" s="446"/>
      <c r="X5848" s="456"/>
      <c r="Y5848" s="436"/>
      <c r="Z5848" s="437"/>
      <c r="AA5848" s="560"/>
      <c r="AB5848" s="561"/>
      <c r="AC5848" s="87"/>
      <c r="AD5848" s="466"/>
      <c r="AE5848" s="456"/>
      <c r="AF5848" s="467"/>
      <c r="AG5848" s="87"/>
      <c r="AH5848" s="87"/>
      <c r="AI5848" s="87"/>
    </row>
    <row r="5849" spans="1:35" hidden="1">
      <c r="A5849" s="80" t="e">
        <f>"G"&amp;E5839</f>
        <v>#N/A</v>
      </c>
      <c r="B5849" s="105">
        <v>7</v>
      </c>
      <c r="C5849" s="107"/>
      <c r="D5849" s="107"/>
      <c r="E5849" s="107"/>
      <c r="F5849" s="107"/>
      <c r="G5849" s="83"/>
      <c r="H5849" s="83"/>
      <c r="I5849" s="84"/>
      <c r="J5849" s="85"/>
      <c r="K5849" s="382"/>
      <c r="L5849" s="85"/>
      <c r="M5849" s="332" t="str">
        <f t="shared" si="1735"/>
        <v/>
      </c>
      <c r="N5849" s="86"/>
      <c r="O5849" s="86" t="str">
        <f t="shared" si="1737"/>
        <v/>
      </c>
      <c r="P5849" s="538" t="str">
        <f t="shared" si="1738"/>
        <v/>
      </c>
      <c r="Q5849" s="539" t="str">
        <f t="shared" si="1736"/>
        <v/>
      </c>
      <c r="R5849" s="706"/>
      <c r="S5849" s="707"/>
      <c r="T5849" s="708"/>
      <c r="U5849" s="472"/>
      <c r="V5849" s="167"/>
      <c r="W5849" s="446"/>
      <c r="X5849" s="456"/>
      <c r="Y5849" s="436"/>
      <c r="Z5849" s="437"/>
      <c r="AA5849" s="560"/>
      <c r="AB5849" s="561"/>
      <c r="AC5849" s="87"/>
      <c r="AD5849" s="466"/>
      <c r="AE5849" s="456"/>
      <c r="AF5849" s="467"/>
      <c r="AG5849" s="87"/>
      <c r="AH5849" s="87"/>
      <c r="AI5849" s="87"/>
    </row>
    <row r="5850" spans="1:35" hidden="1">
      <c r="A5850" s="80" t="e">
        <f>"H"&amp;E5839</f>
        <v>#N/A</v>
      </c>
      <c r="B5850" s="105">
        <v>8</v>
      </c>
      <c r="C5850" s="107"/>
      <c r="D5850" s="107"/>
      <c r="E5850" s="107"/>
      <c r="F5850" s="107"/>
      <c r="G5850" s="83"/>
      <c r="H5850" s="83"/>
      <c r="I5850" s="84"/>
      <c r="J5850" s="85"/>
      <c r="K5850" s="382"/>
      <c r="L5850" s="85"/>
      <c r="M5850" s="332" t="str">
        <f t="shared" si="1735"/>
        <v/>
      </c>
      <c r="N5850" s="453"/>
      <c r="O5850" s="86" t="str">
        <f t="shared" si="1737"/>
        <v/>
      </c>
      <c r="P5850" s="538" t="str">
        <f t="shared" si="1738"/>
        <v/>
      </c>
      <c r="Q5850" s="539" t="str">
        <f t="shared" si="1736"/>
        <v/>
      </c>
      <c r="R5850" s="706"/>
      <c r="S5850" s="707"/>
      <c r="T5850" s="708"/>
      <c r="U5850" s="472"/>
      <c r="V5850" s="167"/>
      <c r="W5850" s="446"/>
      <c r="X5850" s="456"/>
      <c r="Y5850" s="436"/>
      <c r="Z5850" s="437"/>
      <c r="AA5850" s="560"/>
      <c r="AB5850" s="561"/>
      <c r="AC5850" s="87"/>
      <c r="AD5850" s="466"/>
      <c r="AE5850" s="456"/>
      <c r="AF5850" s="467"/>
      <c r="AG5850" s="87"/>
      <c r="AH5850" s="87"/>
      <c r="AI5850" s="87"/>
    </row>
    <row r="5851" spans="1:35" hidden="1">
      <c r="A5851" s="80" t="e">
        <f>"I"&amp;E5839</f>
        <v>#N/A</v>
      </c>
      <c r="B5851" s="105">
        <v>9</v>
      </c>
      <c r="C5851" s="107"/>
      <c r="D5851" s="107"/>
      <c r="E5851" s="107"/>
      <c r="F5851" s="107"/>
      <c r="G5851" s="83"/>
      <c r="H5851" s="83"/>
      <c r="I5851" s="84"/>
      <c r="J5851" s="85"/>
      <c r="K5851" s="382"/>
      <c r="L5851" s="85"/>
      <c r="M5851" s="332" t="str">
        <f t="shared" si="1735"/>
        <v/>
      </c>
      <c r="N5851" s="453"/>
      <c r="O5851" s="86" t="str">
        <f t="shared" si="1737"/>
        <v/>
      </c>
      <c r="P5851" s="538" t="str">
        <f t="shared" si="1738"/>
        <v/>
      </c>
      <c r="Q5851" s="539" t="str">
        <f t="shared" si="1736"/>
        <v/>
      </c>
      <c r="R5851" s="706"/>
      <c r="S5851" s="707"/>
      <c r="T5851" s="708"/>
      <c r="U5851" s="472"/>
      <c r="V5851" s="167"/>
      <c r="W5851" s="446"/>
      <c r="X5851" s="456"/>
      <c r="Y5851" s="436"/>
      <c r="Z5851" s="437"/>
      <c r="AA5851" s="560"/>
      <c r="AB5851" s="561"/>
      <c r="AC5851" s="87"/>
      <c r="AD5851" s="466"/>
      <c r="AE5851" s="456"/>
      <c r="AF5851" s="467"/>
      <c r="AG5851" s="87"/>
      <c r="AH5851" s="87"/>
      <c r="AI5851" s="87"/>
    </row>
    <row r="5852" spans="1:35" hidden="1">
      <c r="A5852" s="80" t="e">
        <f>"J"&amp;E5839</f>
        <v>#N/A</v>
      </c>
      <c r="B5852" s="105">
        <v>10</v>
      </c>
      <c r="C5852" s="107"/>
      <c r="D5852" s="107"/>
      <c r="E5852" s="107"/>
      <c r="F5852" s="107"/>
      <c r="G5852" s="83"/>
      <c r="H5852" s="83"/>
      <c r="I5852" s="84"/>
      <c r="J5852" s="85"/>
      <c r="K5852" s="382"/>
      <c r="L5852" s="85"/>
      <c r="M5852" s="332" t="str">
        <f t="shared" si="1735"/>
        <v/>
      </c>
      <c r="N5852" s="453"/>
      <c r="O5852" s="86" t="str">
        <f t="shared" si="1737"/>
        <v/>
      </c>
      <c r="P5852" s="538" t="str">
        <f t="shared" si="1738"/>
        <v/>
      </c>
      <c r="Q5852" s="539" t="str">
        <f t="shared" si="1736"/>
        <v/>
      </c>
      <c r="R5852" s="706"/>
      <c r="S5852" s="707"/>
      <c r="T5852" s="708"/>
      <c r="U5852" s="472"/>
      <c r="V5852" s="167"/>
      <c r="W5852" s="446"/>
      <c r="X5852" s="456"/>
      <c r="Y5852" s="436"/>
      <c r="Z5852" s="437"/>
      <c r="AA5852" s="560"/>
      <c r="AB5852" s="561"/>
      <c r="AC5852" s="87"/>
      <c r="AD5852" s="466"/>
      <c r="AE5852" s="456"/>
      <c r="AF5852" s="467"/>
      <c r="AG5852" s="87"/>
      <c r="AH5852" s="87"/>
      <c r="AI5852" s="87"/>
    </row>
    <row r="5853" spans="1:35" ht="16.5" hidden="1" thickBot="1">
      <c r="A5853" s="44"/>
      <c r="B5853" s="89"/>
      <c r="C5853" s="90"/>
      <c r="D5853" s="90"/>
      <c r="E5853" s="90"/>
      <c r="F5853" s="90"/>
      <c r="G5853" s="90"/>
      <c r="H5853" s="90"/>
      <c r="I5853" s="90"/>
      <c r="J5853" s="90"/>
      <c r="K5853" s="90"/>
      <c r="L5853" s="90"/>
      <c r="M5853" s="90"/>
      <c r="N5853" s="90"/>
      <c r="O5853" s="90"/>
      <c r="P5853" s="90"/>
      <c r="Q5853" s="90"/>
      <c r="R5853" s="90"/>
      <c r="S5853" s="91"/>
      <c r="T5853" s="92"/>
      <c r="U5853" s="473"/>
      <c r="W5853" s="438"/>
      <c r="X5853" s="455"/>
      <c r="Y5853" s="439"/>
      <c r="Z5853" s="437"/>
      <c r="AA5853" s="530"/>
      <c r="AB5853" s="563"/>
      <c r="AC5853" s="87"/>
      <c r="AD5853" s="440"/>
      <c r="AE5853" s="441"/>
      <c r="AF5853" s="442"/>
      <c r="AG5853" s="49"/>
      <c r="AH5853" s="87"/>
      <c r="AI5853" s="87"/>
    </row>
    <row r="5854" spans="1:35" ht="16.5" hidden="1" thickBot="1">
      <c r="A5854" s="93"/>
      <c r="B5854" s="94"/>
      <c r="C5854" s="96"/>
      <c r="D5854" s="96"/>
      <c r="E5854" s="96"/>
      <c r="F5854" s="96"/>
      <c r="G5854" s="96"/>
      <c r="H5854" s="96"/>
      <c r="I5854" s="96"/>
      <c r="J5854" s="96"/>
      <c r="K5854" s="96"/>
      <c r="L5854" s="96"/>
      <c r="M5854" s="136"/>
      <c r="N5854" s="96"/>
      <c r="O5854" s="96"/>
      <c r="P5854" s="97"/>
      <c r="Q5854" s="97"/>
      <c r="R5854" s="98"/>
      <c r="S5854" s="95"/>
      <c r="T5854" s="99"/>
      <c r="U5854" s="469"/>
      <c r="AC5854" s="58"/>
      <c r="AG5854" s="58"/>
      <c r="AH5854" s="87"/>
      <c r="AI5854" s="87"/>
    </row>
    <row r="5855" spans="1:35" ht="16.5" hidden="1" thickBot="1">
      <c r="B5855" s="101"/>
      <c r="C5855" s="101"/>
      <c r="D5855" s="101"/>
      <c r="E5855" s="101"/>
      <c r="F5855" s="101"/>
      <c r="G5855" s="101"/>
      <c r="H5855" s="101"/>
      <c r="I5855" s="101"/>
      <c r="J5855" s="101"/>
      <c r="K5855" s="101"/>
      <c r="L5855" s="101"/>
      <c r="M5855" s="101"/>
      <c r="N5855" s="101"/>
      <c r="O5855" s="101"/>
      <c r="P5855" s="101"/>
      <c r="Q5855" s="101"/>
      <c r="R5855" s="101"/>
      <c r="S5855" s="101"/>
      <c r="U5855" s="50"/>
      <c r="AH5855" s="87"/>
      <c r="AI5855" s="87"/>
    </row>
    <row r="5856" spans="1:35" ht="16.5" hidden="1" customHeight="1" thickBot="1">
      <c r="A5856" s="44"/>
      <c r="B5856" s="705" t="s">
        <v>74</v>
      </c>
      <c r="C5856" s="705"/>
      <c r="D5856" s="705"/>
      <c r="E5856" s="705"/>
      <c r="F5856" s="705"/>
      <c r="G5856" s="705"/>
      <c r="H5856" s="705"/>
      <c r="I5856" s="705"/>
      <c r="J5856" s="705"/>
      <c r="K5856" s="705"/>
      <c r="L5856" s="705"/>
      <c r="M5856" s="705"/>
      <c r="N5856" s="705"/>
      <c r="O5856" s="705"/>
      <c r="P5856" s="705"/>
      <c r="Q5856" s="705"/>
      <c r="R5856" s="705"/>
      <c r="S5856" s="705"/>
      <c r="T5856" s="705"/>
      <c r="U5856" s="108"/>
      <c r="Y5856" s="532" t="s">
        <v>341</v>
      </c>
      <c r="AC5856" s="49"/>
      <c r="AD5856" s="687" t="s">
        <v>302</v>
      </c>
      <c r="AE5856" s="688"/>
      <c r="AF5856" s="689"/>
      <c r="AG5856" s="49"/>
      <c r="AH5856" s="87"/>
      <c r="AI5856" s="87"/>
    </row>
    <row r="5857" spans="1:35" ht="16.5" hidden="1" customHeight="1" thickBot="1">
      <c r="A5857" s="218" t="e">
        <f>"K"&amp;E5839</f>
        <v>#N/A</v>
      </c>
      <c r="B5857" s="701" t="s">
        <v>71</v>
      </c>
      <c r="C5857" s="751" t="s">
        <v>102</v>
      </c>
      <c r="D5857" s="751"/>
      <c r="E5857" s="751"/>
      <c r="F5857" s="751"/>
      <c r="G5857" s="751"/>
      <c r="H5857" s="751"/>
      <c r="I5857" s="751"/>
      <c r="J5857" s="751"/>
      <c r="K5857" s="751"/>
      <c r="L5857" s="722" t="s">
        <v>100</v>
      </c>
      <c r="M5857" s="747" t="s">
        <v>114</v>
      </c>
      <c r="N5857" s="747"/>
      <c r="O5857" s="747"/>
      <c r="P5857" s="747"/>
      <c r="Q5857" s="748"/>
      <c r="R5857" s="758" t="s">
        <v>280</v>
      </c>
      <c r="S5857" s="748"/>
      <c r="T5857" s="762" t="str">
        <f>IF(COUNTIF(AE5857:AF5857,"VERIFICAR")&gt;0,"VERIFICAR",IF(COUNTIF(AE5857:AF5857,"NO CUMPLE")&gt;0,"NO CUMPLE","CUMPLE"))</f>
        <v>VERIFICAR</v>
      </c>
      <c r="U5857" s="108"/>
      <c r="Y5857" s="533" t="e">
        <f>IF(F5858="","",IF(F5858=1,"INDIVIDUAL","ESTRUCTURA PLURAL"))</f>
        <v>#N/A</v>
      </c>
      <c r="AC5857" s="52"/>
      <c r="AD5857" s="475" t="s">
        <v>303</v>
      </c>
      <c r="AE5857" s="476" t="str">
        <f>IF(COUNTIF(AE5843:AE5852,"")=10,"VERIFICAR",IF(COUNTIF(AE5843:AE5852,"SI")&gt;0,"CUMPLE","NO CUMPLE"))</f>
        <v>VERIFICAR</v>
      </c>
      <c r="AF5857" s="477" t="str">
        <f>IF(COUNTIF(AF5843:AF5852,"")=10,"VERIFICAR",IF(COUNTIF(AF5843:AF5852,"SI")&gt;=$AI$22,"CUMPLE","NO CUMPLE"))</f>
        <v>VERIFICAR</v>
      </c>
      <c r="AG5857" s="52"/>
      <c r="AH5857" s="87"/>
      <c r="AI5857" s="87"/>
    </row>
    <row r="5858" spans="1:35" ht="15.75" hidden="1" customHeight="1" thickBot="1">
      <c r="A5858" s="218" t="e">
        <f>"L"&amp;E5839</f>
        <v>#N/A</v>
      </c>
      <c r="B5858" s="702"/>
      <c r="C5858" s="751" t="s">
        <v>103</v>
      </c>
      <c r="D5858" s="751"/>
      <c r="E5858" s="752"/>
      <c r="F5858" s="557" t="e">
        <f>IF(VLOOKUP(E5839,PROPONENTES!$C$19:$E$218,3,0)="","",VLOOKUP(E5839,PROPONENTES!$C$19:$E$218,3,0))</f>
        <v>#N/A</v>
      </c>
      <c r="G5858" s="753" t="s">
        <v>104</v>
      </c>
      <c r="H5858" s="751"/>
      <c r="I5858" s="715" t="e">
        <f>IF(OR(F5858="",F5858=1),"INTERESADO PERSONA NATURAL O JURIDICA","CONSORCIO O UNION TEMPORAL")</f>
        <v>#N/A</v>
      </c>
      <c r="J5858" s="725"/>
      <c r="K5858" s="728"/>
      <c r="L5858" s="723"/>
      <c r="M5858" s="749"/>
      <c r="N5858" s="749"/>
      <c r="O5858" s="749"/>
      <c r="P5858" s="749"/>
      <c r="Q5858" s="750"/>
      <c r="R5858" s="712"/>
      <c r="S5858" s="750"/>
      <c r="T5858" s="763"/>
      <c r="U5858" s="108"/>
      <c r="Y5858" s="534"/>
      <c r="AA5858" s="52"/>
      <c r="AB5858" s="52"/>
      <c r="AC5858" s="52"/>
      <c r="AG5858" s="52"/>
      <c r="AH5858" s="87"/>
      <c r="AI5858" s="87"/>
    </row>
    <row r="5859" spans="1:35" ht="56.25" hidden="1" customHeight="1" thickBot="1">
      <c r="A5859" s="218" t="e">
        <f>"M"&amp;E5839</f>
        <v>#N/A</v>
      </c>
      <c r="B5859" s="702"/>
      <c r="C5859" s="725" t="s">
        <v>101</v>
      </c>
      <c r="D5859" s="716"/>
      <c r="E5859" s="558" t="s">
        <v>105</v>
      </c>
      <c r="F5859" s="554" t="s">
        <v>87</v>
      </c>
      <c r="G5859" s="553" t="s">
        <v>86</v>
      </c>
      <c r="H5859" s="559" t="s">
        <v>85</v>
      </c>
      <c r="I5859" s="554" t="s">
        <v>252</v>
      </c>
      <c r="J5859" s="553" t="str">
        <f>"¿EL INTEGRANTE TIENE UNA PARTICIPACIÓN DEL "&amp;PORCREQUERIDOINT*100&amp;"%?"</f>
        <v>¿EL INTEGRANTE TIENE UNA PARTICIPACIÓN DEL 60%?</v>
      </c>
      <c r="K5859" s="554" t="s">
        <v>107</v>
      </c>
      <c r="L5859" s="724"/>
      <c r="M5859" s="717" t="s">
        <v>115</v>
      </c>
      <c r="N5859" s="718"/>
      <c r="O5859" s="718"/>
      <c r="P5859" s="718"/>
      <c r="Q5859" s="223">
        <f>IF(AND(H5843="SI",P5843&gt;=0),1,0)+IF(AND(H5844="SI",P5844&gt;=0),1,0)+IF(AND(H5845="SI",P5845&gt;=0),1,0)+IF(AND(H5846="SI",P5846&gt;=0),1,0)+IF(AND(H5847="SI",P5847&gt;=0),1,0)+IF(AND(H5848="SI",P5848&gt;=0),1,0)+IF(AND(H5849="SI",P5849&gt;=0),1,0)+IF(AND(H5850="SI",P5850&gt;=0),1,0)+IF(AND(H5851="SI",P5851&gt;=0),1,0)+IF(AND(H5852="SI",P5852&gt;=0),1,0)</f>
        <v>0</v>
      </c>
      <c r="R5859" s="759"/>
      <c r="S5859" s="761"/>
      <c r="T5859" s="764"/>
      <c r="U5859" s="219"/>
      <c r="V5859" s="464"/>
      <c r="Y5859" s="532" t="s">
        <v>342</v>
      </c>
      <c r="AA5859" s="550" t="s">
        <v>344</v>
      </c>
      <c r="AB5859" s="693" t="s">
        <v>345</v>
      </c>
      <c r="AC5859" s="693" t="s">
        <v>346</v>
      </c>
      <c r="AD5859" s="685" t="s">
        <v>347</v>
      </c>
      <c r="AE5859" s="52"/>
      <c r="AF5859" s="52"/>
      <c r="AG5859" s="52"/>
      <c r="AH5859" s="87"/>
      <c r="AI5859" s="87"/>
    </row>
    <row r="5860" spans="1:35" ht="15.75" hidden="1" customHeight="1" thickBot="1">
      <c r="A5860" s="218" t="e">
        <f>"N"&amp;E5839</f>
        <v>#N/A</v>
      </c>
      <c r="B5860" s="702"/>
      <c r="C5860" s="114">
        <v>1</v>
      </c>
      <c r="D5860" s="194" t="e">
        <f>IF(AND(C5860&lt;=F5858,F5858&gt;1,F5858&lt;&gt;""),VLOOKUP(VALUE(E5839&amp;","&amp;C5860),INTEGRANTES!$D$18:$F$235,2,0),"")</f>
        <v>#N/A</v>
      </c>
      <c r="E5860" s="211" t="e">
        <f>IF(D5860&lt;&gt;"",VLOOKUP(VALUE(E5839&amp;","&amp;C5860),INTEGRANTES!$D$18:$F$235,3,0),"")</f>
        <v>#N/A</v>
      </c>
      <c r="F5860" s="547" t="e">
        <f>IF(D5860="","",SUMIF($I5843:$I5852,D5860,$P5843:$P5852))</f>
        <v>#N/A</v>
      </c>
      <c r="G5860" s="333" t="e">
        <f>IF(D5860="","",SUMIF($I5843:$I5852,D5860,$M5843:$M5852))</f>
        <v>#N/A</v>
      </c>
      <c r="H5860" s="535" t="e">
        <f t="shared" ref="H5860:H5865" si="1739">IF(D5860="","",IF(OR(F5860=0,G5860=0),"NO APORTA",ROUND($F5860/$G5860,3)))</f>
        <v>#N/A</v>
      </c>
      <c r="I5860" s="212" t="e">
        <f>IF(D5860="","",IF(H5860="NO APORTA","NO",IF(H5860=MAX($H5860:$H5865),"SI","NO")))</f>
        <v>#N/A</v>
      </c>
      <c r="J5860" s="213" t="e">
        <f t="shared" ref="J5860:J5865" si="1740">IF(D5860="","",IF(E5860&gt;=PORCREQUERIDOINT,"SI","NO"))</f>
        <v>#N/A</v>
      </c>
      <c r="K5860" s="200" t="e">
        <f t="shared" ref="K5860:K5865" si="1741">IF(D5860="","",IF(AND(I5860="SI",J5860="SI"),"CUMPLE",IF(AND(I5860="NO",OR(J5860="SI",J5860="NO")),"","NO CUMPLE")))</f>
        <v>#N/A</v>
      </c>
      <c r="L5860" s="722" t="s">
        <v>108</v>
      </c>
      <c r="M5860" s="726" t="s">
        <v>119</v>
      </c>
      <c r="N5860" s="726"/>
      <c r="O5860" s="726"/>
      <c r="P5860" s="726"/>
      <c r="Q5860" s="727"/>
      <c r="R5860" s="758" t="s">
        <v>80</v>
      </c>
      <c r="S5860" s="747"/>
      <c r="T5860" s="748"/>
      <c r="U5860" s="219"/>
      <c r="V5860" s="464"/>
      <c r="Y5860" s="533" t="e">
        <f>IF(Y5857="","",IF(Y5857="INDIVIDUAL","NO APLICA","VERIFICAR CUADRO"))</f>
        <v>#N/A</v>
      </c>
      <c r="AA5860" s="551"/>
      <c r="AB5860" s="694"/>
      <c r="AC5860" s="694"/>
      <c r="AD5860" s="686"/>
      <c r="AE5860" s="52"/>
      <c r="AF5860" s="52"/>
      <c r="AG5860" s="52"/>
      <c r="AH5860" s="87"/>
      <c r="AI5860" s="87"/>
    </row>
    <row r="5861" spans="1:35" ht="27" hidden="1" customHeight="1" thickBot="1">
      <c r="A5861" s="218" t="e">
        <f>"O"&amp;E5839</f>
        <v>#N/A</v>
      </c>
      <c r="B5861" s="702"/>
      <c r="C5861" s="114">
        <v>2</v>
      </c>
      <c r="D5861" s="194" t="e">
        <f>IF(AND(C5861&lt;=F5858,F5858&lt;&gt;""),VLOOKUP(VALUE(E5839&amp;","&amp;C5861),INTEGRANTES!$D$18:$F$235,2,0),"")</f>
        <v>#N/A</v>
      </c>
      <c r="E5861" s="211" t="e">
        <f>IF(D5861&lt;&gt;"",VLOOKUP(VALUE(E5839&amp;","&amp;C5861),INTEGRANTES!$D$18:$F$235,3,0),"")</f>
        <v>#N/A</v>
      </c>
      <c r="F5861" s="547" t="e">
        <f>IF(D5861="","",SUMIF($I5843:$I5852,D5861,$P5843:$P5852))</f>
        <v>#N/A</v>
      </c>
      <c r="G5861" s="333" t="e">
        <f>IF(D5861="","",SUMIF($I5843:$I5852,D5861,$M5843:$M5852))</f>
        <v>#N/A</v>
      </c>
      <c r="H5861" s="535" t="e">
        <f t="shared" si="1739"/>
        <v>#N/A</v>
      </c>
      <c r="I5861" s="212" t="e">
        <f>IF(D5861="","",IF(H5861="NO APORTA","NO",IF(H5861=MAX($H5860:$H5865),"SI","NO")))</f>
        <v>#N/A</v>
      </c>
      <c r="J5861" s="213" t="e">
        <f t="shared" si="1740"/>
        <v>#N/A</v>
      </c>
      <c r="K5861" s="200" t="e">
        <f t="shared" si="1741"/>
        <v>#N/A</v>
      </c>
      <c r="L5861" s="723"/>
      <c r="M5861" s="715" t="s">
        <v>116</v>
      </c>
      <c r="N5861" s="716"/>
      <c r="O5861" s="556" t="s">
        <v>113</v>
      </c>
      <c r="P5861" s="715" t="s">
        <v>117</v>
      </c>
      <c r="Q5861" s="728"/>
      <c r="R5861" s="759"/>
      <c r="S5861" s="760"/>
      <c r="T5861" s="761"/>
      <c r="U5861" s="219"/>
      <c r="V5861" s="464"/>
      <c r="Y5861" s="414"/>
      <c r="AA5861" s="542" t="e">
        <f>IF(AND(C5860&lt;=F5858,F5858&gt;1,F5858&lt;&gt;""),VLOOKUP(VALUE(E5839&amp;","&amp;C5860),INTEGRANTES!$D$18:$F$235,2,0),"")</f>
        <v>#N/A</v>
      </c>
      <c r="AB5861" s="544" t="e">
        <f t="shared" ref="AB5861:AB5866" si="1742">IF(D5860="","",IF(OR(F5860=0,G5860=0),"NO APORTA",ROUND($F5860/$G5860,3)))</f>
        <v>#N/A</v>
      </c>
      <c r="AC5861" s="529"/>
      <c r="AD5861" s="200" t="e">
        <f t="shared" ref="AD5861:AD5866" si="1743">IF(OR(AA5861="",AB5861=""),"",IF(AND(AC5861="X",AB5861&gt;=EXPREQVTD),"CUMPLE","NO CUMPLE"))</f>
        <v>#N/A</v>
      </c>
      <c r="AE5861" s="52"/>
      <c r="AF5861" s="52"/>
      <c r="AG5861" s="52"/>
      <c r="AH5861" s="87"/>
      <c r="AI5861" s="87"/>
    </row>
    <row r="5862" spans="1:35" ht="16.5" hidden="1" thickBot="1">
      <c r="A5862" s="218" t="e">
        <f>"P"&amp;E5839</f>
        <v>#N/A</v>
      </c>
      <c r="B5862" s="702"/>
      <c r="C5862" s="114">
        <v>3</v>
      </c>
      <c r="D5862" s="194" t="e">
        <f>IF(AND(C5862&lt;=F5858,F5858&lt;&gt;""),VLOOKUP(VALUE(E5839&amp;","&amp;C5862),INTEGRANTES!$D$18:$F$235,2,0),"")</f>
        <v>#N/A</v>
      </c>
      <c r="E5862" s="211" t="e">
        <f>IF(D5862&lt;&gt;"",VLOOKUP(VALUE(E5839&amp;","&amp;C5862),INTEGRANTES!$D$18:$F$235,3,0),"")</f>
        <v>#N/A</v>
      </c>
      <c r="F5862" s="547" t="e">
        <f>IF(D5862="","",SUMIF($I5843:$I5852,D5862,$P5843:$P5852))</f>
        <v>#N/A</v>
      </c>
      <c r="G5862" s="333" t="e">
        <f>IF(D5862="","",SUMIF($I5843:$I5852,D5862,$M5843:$M5852))</f>
        <v>#N/A</v>
      </c>
      <c r="H5862" s="535" t="e">
        <f t="shared" si="1739"/>
        <v>#N/A</v>
      </c>
      <c r="I5862" s="212" t="e">
        <f>IF(D5862="","",IF(H5862="NO APORTA","NO",IF(H5862=MAX($H5860:$H5865),"SI","NO")))</f>
        <v>#N/A</v>
      </c>
      <c r="J5862" s="213" t="e">
        <f t="shared" si="1740"/>
        <v>#N/A</v>
      </c>
      <c r="K5862" s="200" t="e">
        <f t="shared" si="1741"/>
        <v>#N/A</v>
      </c>
      <c r="L5862" s="724"/>
      <c r="M5862" s="729">
        <f>NUMMOD</f>
        <v>1</v>
      </c>
      <c r="N5862" s="730"/>
      <c r="O5862" s="443">
        <f>IF(M5862="","",VLOOKUP(M5862,PRESUPUESTOS!$B$16:$H$16,5,FALSE))</f>
        <v>2</v>
      </c>
      <c r="P5862" s="713">
        <f>IF(OR(COUNTIF(M5843:M5852,"")&gt;=10,Q5859&lt;NUMMINCONT,OR(T5857="NO CUMPLE",T5857="VERIFICAR")),0,ROUND(AVERAGE(M5843:M5852),3))</f>
        <v>0</v>
      </c>
      <c r="Q5862" s="714"/>
      <c r="R5862" s="458"/>
      <c r="S5862" s="459"/>
      <c r="T5862" s="460"/>
      <c r="U5862" s="219"/>
      <c r="V5862" s="464"/>
      <c r="Y5862" s="532" t="str">
        <f>"40% * ("&amp;PRESUPUESTOS!$H$13&amp;")"</f>
        <v>40% * (50% PFMO)</v>
      </c>
      <c r="AA5862" s="540" t="e">
        <f>IF(AND(C5861&lt;=F5858,F5858&lt;&gt;""),VLOOKUP(VALUE(E5839&amp;","&amp;C5861),INTEGRANTES!$D$18:$F$235,2,0),"")</f>
        <v>#N/A</v>
      </c>
      <c r="AB5862" s="545" t="e">
        <f t="shared" si="1742"/>
        <v>#N/A</v>
      </c>
      <c r="AC5862" s="529"/>
      <c r="AD5862" s="200" t="e">
        <f t="shared" si="1743"/>
        <v>#N/A</v>
      </c>
      <c r="AE5862" s="52"/>
      <c r="AF5862" s="52"/>
      <c r="AG5862" s="52"/>
      <c r="AH5862" s="87"/>
      <c r="AI5862" s="87"/>
    </row>
    <row r="5863" spans="1:35" ht="15.75" hidden="1" customHeight="1" thickBot="1">
      <c r="A5863" s="218" t="e">
        <f>"Q"&amp;E5839</f>
        <v>#N/A</v>
      </c>
      <c r="B5863" s="702"/>
      <c r="C5863" s="114">
        <v>4</v>
      </c>
      <c r="D5863" s="194" t="e">
        <f>IF(AND(C5863&lt;=F5858,F5858&lt;&gt;""),VLOOKUP(VALUE(E5839&amp;","&amp;C5863),INTEGRANTES!$D$18:$F$235,2,0),"")</f>
        <v>#N/A</v>
      </c>
      <c r="E5863" s="211" t="e">
        <f>IF(D5863&lt;&gt;"",VLOOKUP(VALUE(E5839&amp;","&amp;C5863),INTEGRANTES!$D$18:$F$235,3,0),"")</f>
        <v>#N/A</v>
      </c>
      <c r="F5863" s="547" t="e">
        <f>IF(D5863="","",SUMIF($I5843:$I5852,D5863,$P5843:$P5852))</f>
        <v>#N/A</v>
      </c>
      <c r="G5863" s="333" t="e">
        <f>IF(D5863="","",SUMIF($I5843:$I5852,D5863,$M5843:$M5852))</f>
        <v>#N/A</v>
      </c>
      <c r="H5863" s="535" t="e">
        <f t="shared" si="1739"/>
        <v>#N/A</v>
      </c>
      <c r="I5863" s="212" t="e">
        <f>IF(D5863="","",IF(H5863="NO APORTA","NO",IF(H5863=MAX($H5860:$H5865),"SI","NO")))</f>
        <v>#N/A</v>
      </c>
      <c r="J5863" s="213" t="e">
        <f t="shared" si="1740"/>
        <v>#N/A</v>
      </c>
      <c r="K5863" s="200" t="e">
        <f t="shared" si="1741"/>
        <v>#N/A</v>
      </c>
      <c r="L5863" s="720" t="s">
        <v>109</v>
      </c>
      <c r="M5863" s="757" t="s">
        <v>120</v>
      </c>
      <c r="N5863" s="726"/>
      <c r="O5863" s="726"/>
      <c r="P5863" s="726"/>
      <c r="Q5863" s="727"/>
      <c r="R5863" s="458"/>
      <c r="S5863" s="459"/>
      <c r="T5863" s="460"/>
      <c r="U5863" s="219"/>
      <c r="V5863" s="464"/>
      <c r="Y5863" s="537">
        <f>0.4*PRESUPUESTOS!$H$16</f>
        <v>10.3124</v>
      </c>
      <c r="AA5863" s="540" t="e">
        <f>IF(AND(C5862&lt;=F5858,F5858&lt;&gt;""),VLOOKUP(VALUE(E5839&amp;","&amp;C5862),INTEGRANTES!$D$18:$F$235,2,0),"")</f>
        <v>#N/A</v>
      </c>
      <c r="AB5863" s="545" t="e">
        <f t="shared" si="1742"/>
        <v>#N/A</v>
      </c>
      <c r="AC5863" s="529"/>
      <c r="AD5863" s="200" t="e">
        <f t="shared" si="1743"/>
        <v>#N/A</v>
      </c>
      <c r="AE5863" s="52"/>
      <c r="AF5863" s="52"/>
      <c r="AG5863" s="52"/>
      <c r="AH5863" s="87"/>
      <c r="AI5863" s="87"/>
    </row>
    <row r="5864" spans="1:35" ht="27" hidden="1" customHeight="1" thickBot="1">
      <c r="A5864" s="218" t="e">
        <f>"R"&amp;E5839</f>
        <v>#N/A</v>
      </c>
      <c r="B5864" s="702"/>
      <c r="C5864" s="114">
        <v>5</v>
      </c>
      <c r="D5864" s="194" t="e">
        <f>IF(AND(C5864&lt;=F5858,F5858&lt;&gt;""),VLOOKUP(VALUE(E5839&amp;","&amp;C5864),INTEGRANTES!$D$18:$F$235,2,0),"")</f>
        <v>#N/A</v>
      </c>
      <c r="E5864" s="211" t="e">
        <f>IF(D5864&lt;&gt;"",VLOOKUP(VALUE(E5839&amp;","&amp;C5864),INTEGRANTES!$D$18:$F$235,3,0),"")</f>
        <v>#N/A</v>
      </c>
      <c r="F5864" s="547" t="e">
        <f>IF(D5864="","",SUMIF($I5843:$I5852,D5864,$P5843:$P5852))</f>
        <v>#N/A</v>
      </c>
      <c r="G5864" s="333" t="e">
        <f>IF(D5864="","",SUMIF($I5843:$I5852,D5864,$M5843:$M5852))</f>
        <v>#N/A</v>
      </c>
      <c r="H5864" s="535" t="e">
        <f t="shared" si="1739"/>
        <v>#N/A</v>
      </c>
      <c r="I5864" s="212" t="e">
        <f>IF(D5864="","",IF(H5864="NO APORTA","NO",IF(H5864=MAX($H5860:$H5865),"SI","NO")))</f>
        <v>#N/A</v>
      </c>
      <c r="J5864" s="213" t="e">
        <f t="shared" si="1740"/>
        <v>#N/A</v>
      </c>
      <c r="K5864" s="200" t="e">
        <f t="shared" si="1741"/>
        <v>#N/A</v>
      </c>
      <c r="L5864" s="721"/>
      <c r="M5864" s="715" t="s">
        <v>116</v>
      </c>
      <c r="N5864" s="716"/>
      <c r="O5864" s="556" t="str">
        <f>PORCREQUERIDO*100&amp;"% PMFO DEL MÓDULO"</f>
        <v>50% PMFO DEL MÓDULO</v>
      </c>
      <c r="P5864" s="715" t="s">
        <v>118</v>
      </c>
      <c r="Q5864" s="728"/>
      <c r="R5864" s="458"/>
      <c r="S5864" s="459"/>
      <c r="T5864" s="460"/>
      <c r="U5864" s="219"/>
      <c r="V5864" s="464"/>
      <c r="Y5864" s="414"/>
      <c r="AA5864" s="540" t="e">
        <f>IF(AND(C5863&lt;=F5858,F5858&lt;&gt;""),VLOOKUP(VALUE(E5839&amp;","&amp;C5863),INTEGRANTES!$D$18:$F$235,2,0),"")</f>
        <v>#N/A</v>
      </c>
      <c r="AB5864" s="545" t="e">
        <f t="shared" si="1742"/>
        <v>#N/A</v>
      </c>
      <c r="AC5864" s="529"/>
      <c r="AD5864" s="200" t="e">
        <f t="shared" si="1743"/>
        <v>#N/A</v>
      </c>
      <c r="AE5864" s="52"/>
      <c r="AF5864" s="52"/>
      <c r="AG5864" s="52"/>
      <c r="AH5864" s="87"/>
      <c r="AI5864" s="87"/>
    </row>
    <row r="5865" spans="1:35" ht="16.5" hidden="1" thickBot="1">
      <c r="A5865" s="218" t="e">
        <f>"S"&amp;E5839</f>
        <v>#N/A</v>
      </c>
      <c r="B5865" s="702"/>
      <c r="C5865" s="215">
        <v>6</v>
      </c>
      <c r="D5865" s="216" t="e">
        <f>IF(AND(C5865&lt;=F5858,F5858&lt;&gt;""),VLOOKUP(VALUE(E5839&amp;","&amp;C5865),INTEGRANTES!$D$18:$F$235,2,0),"")</f>
        <v>#N/A</v>
      </c>
      <c r="E5865" s="217" t="e">
        <f>IF(D5865&lt;&gt;"",VLOOKUP(VALUE(E5839&amp;","&amp;C5865),INTEGRANTES!$D$18:$F$235,3,0),"")</f>
        <v>#N/A</v>
      </c>
      <c r="F5865" s="548" t="e">
        <f>IF(D5865="","",SUMIF($I5843:$I5852,D5865,$P5843:$P5852))</f>
        <v>#N/A</v>
      </c>
      <c r="G5865" s="334" t="e">
        <f>IF(D5865="","",SUMIF($I5843:$I5852,D5865,$M5843:$M5852))</f>
        <v>#N/A</v>
      </c>
      <c r="H5865" s="536" t="e">
        <f t="shared" si="1739"/>
        <v>#N/A</v>
      </c>
      <c r="I5865" s="214" t="e">
        <f>IF(D5865="","",IF(H5865="NO APORTA","NO",IF(H5865=MAX($H5860:$H5865),"SI","NO")))</f>
        <v>#N/A</v>
      </c>
      <c r="J5865" s="213" t="e">
        <f t="shared" si="1740"/>
        <v>#N/A</v>
      </c>
      <c r="K5865" s="200" t="e">
        <f t="shared" si="1741"/>
        <v>#N/A</v>
      </c>
      <c r="L5865" s="721"/>
      <c r="M5865" s="729">
        <f>NUMMOD</f>
        <v>1</v>
      </c>
      <c r="N5865" s="730"/>
      <c r="O5865" s="443">
        <f>IF(M5865="","",ROUND(VLOOKUP(M5865,PRESUPUESTOS!$B$16:$H$16,7,FALSE),3))</f>
        <v>25.780999999999999</v>
      </c>
      <c r="P5865" s="713">
        <f>IF(OR(COUNTIF(P5843:P5852,"")&gt;=10,Q5859&lt;NUMMINCONT,OR(T5857="NO CUMPLE",T5857="VERIFICAR")),0,ROUND((SUM(P5843:P5852)/SUM(M5843:M5852)),3))</f>
        <v>0</v>
      </c>
      <c r="Q5865" s="714"/>
      <c r="R5865" s="458"/>
      <c r="S5865" s="459"/>
      <c r="T5865" s="460"/>
      <c r="U5865" s="219"/>
      <c r="V5865" s="464"/>
      <c r="Y5865" s="532" t="s">
        <v>343</v>
      </c>
      <c r="AA5865" s="540" t="e">
        <f>IF(AND(C5864&lt;=F5858,F5858&lt;&gt;""),VLOOKUP(VALUE(E5839&amp;","&amp;C5864),INTEGRANTES!$D$18:$F$235,2,0),"")</f>
        <v>#N/A</v>
      </c>
      <c r="AB5865" s="545" t="e">
        <f t="shared" si="1742"/>
        <v>#N/A</v>
      </c>
      <c r="AC5865" s="529"/>
      <c r="AD5865" s="200" t="e">
        <f t="shared" si="1743"/>
        <v>#N/A</v>
      </c>
      <c r="AE5865" s="52"/>
      <c r="AF5865" s="52"/>
      <c r="AG5865" s="52"/>
      <c r="AH5865" s="87"/>
      <c r="AI5865" s="87"/>
    </row>
    <row r="5866" spans="1:35" ht="16.5" hidden="1" customHeight="1" thickBot="1">
      <c r="A5866" s="218" t="e">
        <f>"T"&amp;E5839</f>
        <v>#N/A</v>
      </c>
      <c r="B5866" s="703"/>
      <c r="C5866" s="719"/>
      <c r="D5866" s="719"/>
      <c r="E5866" s="719"/>
      <c r="F5866" s="719"/>
      <c r="G5866" s="719"/>
      <c r="H5866" s="719" t="s">
        <v>110</v>
      </c>
      <c r="I5866" s="719"/>
      <c r="J5866" s="719"/>
      <c r="K5866" s="201" t="str">
        <f>IF(COUNTIF(K5860:K5865,"")=6,"",IF(COUNTIF(K5860:K5865,"CUMPLE")&gt;0,"CUMPLE","NO CUMPLE"))</f>
        <v>NO CUMPLE</v>
      </c>
      <c r="L5866" s="754"/>
      <c r="M5866" s="755"/>
      <c r="N5866" s="755"/>
      <c r="O5866" s="755"/>
      <c r="P5866" s="755"/>
      <c r="Q5866" s="756"/>
      <c r="R5866" s="461"/>
      <c r="S5866" s="462"/>
      <c r="T5866" s="463"/>
      <c r="U5866" s="219"/>
      <c r="V5866" s="464"/>
      <c r="Y5866" s="549" t="e">
        <f>IF(Y5860="NO APLICA","NO APLICA",IF(COUNTIF(AD5861:AD5866,"CUMPLE")&gt;0,"CUMPLE","NO CUMPLE"))</f>
        <v>#N/A</v>
      </c>
      <c r="AA5866" s="541" t="e">
        <f>IF(AND(C5865&lt;=F5858,F5858&lt;&gt;""),VLOOKUP(VALUE(E5839&amp;","&amp;C5865),INTEGRANTES!$D$18:$F$235,2,0),"")</f>
        <v>#N/A</v>
      </c>
      <c r="AB5866" s="546" t="e">
        <f t="shared" si="1742"/>
        <v>#N/A</v>
      </c>
      <c r="AC5866" s="543"/>
      <c r="AD5866" s="201" t="e">
        <f t="shared" si="1743"/>
        <v>#N/A</v>
      </c>
      <c r="AE5866" s="52"/>
      <c r="AF5866" s="52"/>
      <c r="AG5866" s="52"/>
      <c r="AH5866" s="87"/>
      <c r="AI5866" s="87"/>
    </row>
    <row r="5867" spans="1:35" hidden="1">
      <c r="AH5867" s="87"/>
      <c r="AI5867" s="87"/>
    </row>
    <row r="5868" spans="1:35" hidden="1">
      <c r="AH5868" s="87"/>
      <c r="AI5868" s="87"/>
    </row>
    <row r="5869" spans="1:35" ht="24" hidden="1" thickBot="1">
      <c r="A5869" s="61">
        <v>196</v>
      </c>
      <c r="B5869" s="704" t="s">
        <v>51</v>
      </c>
      <c r="C5869" s="704"/>
      <c r="D5869" s="704"/>
      <c r="E5869" s="62" t="e">
        <f>VLOOKUP(A5869,PROPONENTES!$B$19:$E$218,2,FALSE)</f>
        <v>#N/A</v>
      </c>
      <c r="F5869" s="63" t="e">
        <f>VLOOKUP(A5869,PROPONENTES!$B$19:$E$218,3,FALSE)</f>
        <v>#N/A</v>
      </c>
      <c r="G5869" s="64"/>
      <c r="H5869" s="64"/>
      <c r="I5869" s="63"/>
      <c r="J5869" s="63"/>
      <c r="K5869" s="65"/>
      <c r="L5869" s="65"/>
      <c r="M5869" s="64"/>
      <c r="N5869" s="64"/>
      <c r="O5869" s="66"/>
      <c r="P5869" s="66"/>
      <c r="Q5869" s="66"/>
      <c r="R5869" s="66"/>
      <c r="S5869" s="67"/>
      <c r="T5869" s="68"/>
      <c r="U5869" s="68"/>
      <c r="AC5869" s="68"/>
      <c r="AD5869" s="68"/>
      <c r="AE5869" s="68"/>
      <c r="AF5869" s="68"/>
      <c r="AG5869" s="68"/>
      <c r="AH5869" s="87"/>
      <c r="AI5869" s="87"/>
    </row>
    <row r="5870" spans="1:35" ht="15.75" hidden="1" customHeight="1">
      <c r="A5870" s="44"/>
      <c r="B5870" s="709" t="s">
        <v>59</v>
      </c>
      <c r="C5870" s="552" t="s">
        <v>60</v>
      </c>
      <c r="D5870" s="70" t="s">
        <v>17</v>
      </c>
      <c r="E5870" s="70"/>
      <c r="F5870" s="70" t="s">
        <v>61</v>
      </c>
      <c r="G5870" s="71"/>
      <c r="H5870" s="699" t="s">
        <v>62</v>
      </c>
      <c r="I5870" s="699" t="s">
        <v>18</v>
      </c>
      <c r="J5870" s="699" t="s">
        <v>63</v>
      </c>
      <c r="K5870" s="699" t="s">
        <v>64</v>
      </c>
      <c r="L5870" s="699" t="s">
        <v>65</v>
      </c>
      <c r="M5870" s="743" t="s">
        <v>66</v>
      </c>
      <c r="N5870" s="699" t="s">
        <v>282</v>
      </c>
      <c r="O5870" s="745" t="s">
        <v>67</v>
      </c>
      <c r="P5870" s="746"/>
      <c r="Q5870" s="102" t="s">
        <v>75</v>
      </c>
      <c r="R5870" s="731" t="s">
        <v>22</v>
      </c>
      <c r="S5870" s="732"/>
      <c r="T5870" s="733"/>
      <c r="U5870" s="712" t="s">
        <v>298</v>
      </c>
      <c r="W5870" s="690" t="s">
        <v>268</v>
      </c>
      <c r="X5870" s="691"/>
      <c r="Y5870" s="692"/>
      <c r="Z5870" s="428"/>
      <c r="AA5870" s="697" t="s">
        <v>315</v>
      </c>
      <c r="AB5870" s="695" t="s">
        <v>322</v>
      </c>
      <c r="AC5870" s="49"/>
      <c r="AD5870" s="690" t="s">
        <v>297</v>
      </c>
      <c r="AE5870" s="691"/>
      <c r="AF5870" s="692"/>
      <c r="AG5870" s="49"/>
      <c r="AH5870" s="87"/>
      <c r="AI5870" s="87"/>
    </row>
    <row r="5871" spans="1:35" ht="72" hidden="1">
      <c r="A5871" s="44"/>
      <c r="B5871" s="710"/>
      <c r="C5871" s="553" t="s">
        <v>68</v>
      </c>
      <c r="D5871" s="73" t="s">
        <v>3</v>
      </c>
      <c r="E5871" s="73" t="s">
        <v>19</v>
      </c>
      <c r="F5871" s="73" t="s">
        <v>69</v>
      </c>
      <c r="G5871" s="74" t="s">
        <v>70</v>
      </c>
      <c r="H5871" s="700"/>
      <c r="I5871" s="700"/>
      <c r="J5871" s="700"/>
      <c r="K5871" s="700"/>
      <c r="L5871" s="700"/>
      <c r="M5871" s="744"/>
      <c r="N5871" s="700"/>
      <c r="O5871" s="553" t="s">
        <v>279</v>
      </c>
      <c r="P5871" s="73" t="s">
        <v>88</v>
      </c>
      <c r="Q5871" s="555" t="s">
        <v>76</v>
      </c>
      <c r="R5871" s="734"/>
      <c r="S5871" s="735"/>
      <c r="T5871" s="736"/>
      <c r="U5871" s="712"/>
      <c r="W5871" s="429" t="s">
        <v>269</v>
      </c>
      <c r="X5871" s="457" t="s">
        <v>278</v>
      </c>
      <c r="Y5871" s="430" t="s">
        <v>324</v>
      </c>
      <c r="Z5871" s="428"/>
      <c r="AA5871" s="698"/>
      <c r="AB5871" s="696"/>
      <c r="AC5871" s="49"/>
      <c r="AD5871" s="429" t="s">
        <v>292</v>
      </c>
      <c r="AE5871" s="431" t="s">
        <v>300</v>
      </c>
      <c r="AF5871" s="468" t="s">
        <v>301</v>
      </c>
      <c r="AG5871" s="49"/>
      <c r="AH5871" s="87"/>
      <c r="AI5871" s="87"/>
    </row>
    <row r="5872" spans="1:35" hidden="1">
      <c r="A5872" s="44"/>
      <c r="B5872" s="76"/>
      <c r="C5872" s="77"/>
      <c r="D5872" s="77"/>
      <c r="E5872" s="77"/>
      <c r="F5872" s="77"/>
      <c r="G5872" s="77"/>
      <c r="H5872" s="77"/>
      <c r="I5872" s="77"/>
      <c r="J5872" s="77"/>
      <c r="K5872" s="77"/>
      <c r="L5872" s="77"/>
      <c r="M5872" s="77"/>
      <c r="N5872" s="77"/>
      <c r="O5872" s="77"/>
      <c r="P5872" s="77"/>
      <c r="Q5872" s="77"/>
      <c r="R5872" s="77"/>
      <c r="S5872" s="78"/>
      <c r="T5872" s="79"/>
      <c r="U5872" s="109"/>
      <c r="V5872" s="49"/>
      <c r="W5872" s="432"/>
      <c r="X5872" s="454"/>
      <c r="Y5872" s="433"/>
      <c r="Z5872" s="6"/>
      <c r="AA5872" s="500"/>
      <c r="AB5872" s="562"/>
      <c r="AC5872" s="49"/>
      <c r="AD5872" s="210"/>
      <c r="AE5872" s="434"/>
      <c r="AF5872" s="435"/>
      <c r="AG5872" s="49"/>
      <c r="AH5872" s="87"/>
      <c r="AI5872" s="87"/>
    </row>
    <row r="5873" spans="1:35" hidden="1">
      <c r="A5873" s="80" t="e">
        <f>"A"&amp;E5869</f>
        <v>#N/A</v>
      </c>
      <c r="B5873" s="81">
        <v>1</v>
      </c>
      <c r="C5873" s="82"/>
      <c r="D5873" s="82"/>
      <c r="E5873" s="82"/>
      <c r="F5873" s="82"/>
      <c r="G5873" s="83"/>
      <c r="H5873" s="83"/>
      <c r="I5873" s="84"/>
      <c r="J5873" s="85"/>
      <c r="K5873" s="382"/>
      <c r="L5873" s="85"/>
      <c r="M5873" s="332" t="str">
        <f t="shared" ref="M5873:M5882" si="1744">IF(OR(J5873="",L5873="",H5873="NO"),"",IF(OR(J5873&gt;$P$17,J5873&lt;$O$17,L5873&gt;$P$17,AND(J5873&lt;$O$17,L5873&lt;$O$17)),"FUERA DE RANGO",IF(OR(K5873="---",K5873=""),IF(J5873&gt;=$O$17,ROUND((L5873-J5873+1)/360*12,3),ROUND((L5873-$O$17+1)/360*12,3)),IF(J5873&gt;=$O$17,ROUND((L5873-J5873+1)/360*12-ROUND(K5873,3),3),ROUND((L5873-$O$17+1)/360*12-ROUND(K5873,3),3)))))</f>
        <v/>
      </c>
      <c r="N5873" s="86"/>
      <c r="O5873" s="453" t="str">
        <f>IF(OR(G5873="",N5873=""),"",N5873*G5873)</f>
        <v/>
      </c>
      <c r="P5873" s="538" t="str">
        <f>IF(OR(H5873="",M5873="FUERA DE RANGO"),"",IF(OR(L5873&lt;$O$17,L5873&gt;$P$17,L5873="",H5873="NO"),"",IF(OR(N5873="",O5873=""),"",ROUND(O5873,3))))</f>
        <v/>
      </c>
      <c r="Q5873" s="539" t="str">
        <f t="shared" ref="Q5873:Q5882" si="1745">IF(AND(H5873="SI",P5873&lt;&gt;""),ROUND(P5873/M5873,3),"")</f>
        <v/>
      </c>
      <c r="R5873" s="737"/>
      <c r="S5873" s="738"/>
      <c r="T5873" s="739"/>
      <c r="U5873" s="470"/>
      <c r="V5873" s="165"/>
      <c r="W5873" s="446"/>
      <c r="X5873" s="456"/>
      <c r="Y5873" s="436"/>
      <c r="Z5873" s="437"/>
      <c r="AA5873" s="560"/>
      <c r="AB5873" s="561"/>
      <c r="AC5873" s="87"/>
      <c r="AD5873" s="466"/>
      <c r="AE5873" s="456"/>
      <c r="AF5873" s="467"/>
      <c r="AG5873" s="87"/>
      <c r="AH5873" s="87"/>
      <c r="AI5873" s="87"/>
    </row>
    <row r="5874" spans="1:35" hidden="1">
      <c r="A5874" s="80" t="e">
        <f>"B"&amp;E5869</f>
        <v>#N/A</v>
      </c>
      <c r="B5874" s="81">
        <v>2</v>
      </c>
      <c r="C5874" s="106"/>
      <c r="D5874" s="106"/>
      <c r="E5874" s="106"/>
      <c r="F5874" s="106"/>
      <c r="G5874" s="83"/>
      <c r="H5874" s="83"/>
      <c r="I5874" s="84"/>
      <c r="J5874" s="85"/>
      <c r="K5874" s="382"/>
      <c r="L5874" s="85"/>
      <c r="M5874" s="332" t="str">
        <f t="shared" si="1744"/>
        <v/>
      </c>
      <c r="N5874" s="86"/>
      <c r="O5874" s="453" t="str">
        <f t="shared" ref="O5874:O5882" si="1746">IF(OR(G5874="",N5874=""),"",N5874*G5874)</f>
        <v/>
      </c>
      <c r="P5874" s="538" t="str">
        <f t="shared" ref="P5874:P5882" si="1747">IF(OR(H5874="",M5874="FUERA DE RANGO"),"",IF(OR(L5874&lt;$O$17,L5874&gt;$P$17,L5874="",H5874="NO"),"",IF(OR(N5874="",O5874=""),"",ROUND(O5874,3))))</f>
        <v/>
      </c>
      <c r="Q5874" s="539" t="str">
        <f t="shared" si="1745"/>
        <v/>
      </c>
      <c r="R5874" s="740"/>
      <c r="S5874" s="741"/>
      <c r="T5874" s="742"/>
      <c r="U5874" s="471"/>
      <c r="V5874" s="165"/>
      <c r="W5874" s="446"/>
      <c r="X5874" s="456"/>
      <c r="Y5874" s="436"/>
      <c r="Z5874" s="437"/>
      <c r="AA5874" s="560"/>
      <c r="AB5874" s="561"/>
      <c r="AC5874" s="87"/>
      <c r="AD5874" s="466"/>
      <c r="AE5874" s="456"/>
      <c r="AF5874" s="467"/>
      <c r="AG5874" s="87"/>
      <c r="AH5874" s="87"/>
      <c r="AI5874" s="87"/>
    </row>
    <row r="5875" spans="1:35" hidden="1">
      <c r="A5875" s="80" t="e">
        <f>"C"&amp;E5869</f>
        <v>#N/A</v>
      </c>
      <c r="B5875" s="88">
        <v>3</v>
      </c>
      <c r="C5875" s="82"/>
      <c r="D5875" s="82"/>
      <c r="E5875" s="82"/>
      <c r="F5875" s="82"/>
      <c r="G5875" s="83"/>
      <c r="H5875" s="83"/>
      <c r="I5875" s="84"/>
      <c r="J5875" s="85"/>
      <c r="K5875" s="382"/>
      <c r="L5875" s="85"/>
      <c r="M5875" s="332" t="str">
        <f t="shared" si="1744"/>
        <v/>
      </c>
      <c r="N5875" s="86"/>
      <c r="O5875" s="453" t="str">
        <f t="shared" si="1746"/>
        <v/>
      </c>
      <c r="P5875" s="538" t="str">
        <f t="shared" si="1747"/>
        <v/>
      </c>
      <c r="Q5875" s="539" t="str">
        <f t="shared" si="1745"/>
        <v/>
      </c>
      <c r="R5875" s="706"/>
      <c r="S5875" s="707"/>
      <c r="T5875" s="708"/>
      <c r="U5875" s="472"/>
      <c r="V5875" s="166"/>
      <c r="W5875" s="446"/>
      <c r="X5875" s="456"/>
      <c r="Y5875" s="436"/>
      <c r="Z5875" s="437"/>
      <c r="AA5875" s="560"/>
      <c r="AB5875" s="561"/>
      <c r="AC5875" s="87"/>
      <c r="AD5875" s="466"/>
      <c r="AE5875" s="456"/>
      <c r="AF5875" s="467"/>
      <c r="AG5875" s="87"/>
      <c r="AH5875" s="87"/>
      <c r="AI5875" s="87"/>
    </row>
    <row r="5876" spans="1:35" hidden="1">
      <c r="A5876" s="80" t="e">
        <f>"D"&amp;E5869</f>
        <v>#N/A</v>
      </c>
      <c r="B5876" s="105">
        <v>4</v>
      </c>
      <c r="C5876" s="107"/>
      <c r="D5876" s="107"/>
      <c r="E5876" s="107"/>
      <c r="F5876" s="107"/>
      <c r="G5876" s="83"/>
      <c r="H5876" s="83"/>
      <c r="I5876" s="84"/>
      <c r="J5876" s="85"/>
      <c r="K5876" s="382"/>
      <c r="L5876" s="85"/>
      <c r="M5876" s="332" t="str">
        <f t="shared" si="1744"/>
        <v/>
      </c>
      <c r="N5876" s="86"/>
      <c r="O5876" s="453" t="str">
        <f t="shared" si="1746"/>
        <v/>
      </c>
      <c r="P5876" s="538" t="str">
        <f t="shared" si="1747"/>
        <v/>
      </c>
      <c r="Q5876" s="539" t="str">
        <f t="shared" si="1745"/>
        <v/>
      </c>
      <c r="R5876" s="706"/>
      <c r="S5876" s="707"/>
      <c r="T5876" s="708"/>
      <c r="U5876" s="472"/>
      <c r="V5876" s="166"/>
      <c r="W5876" s="446"/>
      <c r="X5876" s="456"/>
      <c r="Y5876" s="436"/>
      <c r="Z5876" s="437"/>
      <c r="AA5876" s="560"/>
      <c r="AB5876" s="561"/>
      <c r="AC5876" s="87"/>
      <c r="AD5876" s="466"/>
      <c r="AE5876" s="456"/>
      <c r="AF5876" s="467"/>
      <c r="AG5876" s="87"/>
      <c r="AH5876" s="87"/>
      <c r="AI5876" s="87"/>
    </row>
    <row r="5877" spans="1:35" hidden="1">
      <c r="A5877" s="80" t="e">
        <f>"E"&amp;E5869</f>
        <v>#N/A</v>
      </c>
      <c r="B5877" s="105">
        <v>5</v>
      </c>
      <c r="C5877" s="107"/>
      <c r="D5877" s="107"/>
      <c r="E5877" s="107"/>
      <c r="F5877" s="107"/>
      <c r="G5877" s="83"/>
      <c r="H5877" s="83"/>
      <c r="I5877" s="84"/>
      <c r="J5877" s="85"/>
      <c r="K5877" s="382"/>
      <c r="L5877" s="85"/>
      <c r="M5877" s="332" t="str">
        <f t="shared" si="1744"/>
        <v/>
      </c>
      <c r="N5877" s="86"/>
      <c r="O5877" s="453" t="str">
        <f t="shared" si="1746"/>
        <v/>
      </c>
      <c r="P5877" s="538" t="str">
        <f t="shared" si="1747"/>
        <v/>
      </c>
      <c r="Q5877" s="539" t="str">
        <f t="shared" si="1745"/>
        <v/>
      </c>
      <c r="R5877" s="706"/>
      <c r="S5877" s="707"/>
      <c r="T5877" s="708"/>
      <c r="U5877" s="472"/>
      <c r="V5877" s="167"/>
      <c r="W5877" s="446"/>
      <c r="X5877" s="456"/>
      <c r="Y5877" s="436"/>
      <c r="Z5877" s="437"/>
      <c r="AA5877" s="560"/>
      <c r="AB5877" s="561"/>
      <c r="AC5877" s="87"/>
      <c r="AD5877" s="466"/>
      <c r="AE5877" s="456"/>
      <c r="AF5877" s="467"/>
      <c r="AG5877" s="87"/>
      <c r="AH5877" s="87"/>
      <c r="AI5877" s="87"/>
    </row>
    <row r="5878" spans="1:35" hidden="1">
      <c r="A5878" s="80" t="e">
        <f>"F"&amp;E5869</f>
        <v>#N/A</v>
      </c>
      <c r="B5878" s="105">
        <v>6</v>
      </c>
      <c r="C5878" s="107"/>
      <c r="D5878" s="107"/>
      <c r="E5878" s="107"/>
      <c r="F5878" s="107"/>
      <c r="G5878" s="83"/>
      <c r="H5878" s="83"/>
      <c r="I5878" s="84"/>
      <c r="J5878" s="85"/>
      <c r="K5878" s="382"/>
      <c r="L5878" s="85"/>
      <c r="M5878" s="332" t="str">
        <f t="shared" si="1744"/>
        <v/>
      </c>
      <c r="N5878" s="86"/>
      <c r="O5878" s="453" t="str">
        <f t="shared" si="1746"/>
        <v/>
      </c>
      <c r="P5878" s="538" t="str">
        <f t="shared" si="1747"/>
        <v/>
      </c>
      <c r="Q5878" s="539" t="str">
        <f t="shared" si="1745"/>
        <v/>
      </c>
      <c r="R5878" s="706"/>
      <c r="S5878" s="707"/>
      <c r="T5878" s="708"/>
      <c r="U5878" s="472"/>
      <c r="V5878" s="167"/>
      <c r="W5878" s="446"/>
      <c r="X5878" s="456"/>
      <c r="Y5878" s="436"/>
      <c r="Z5878" s="437"/>
      <c r="AA5878" s="560"/>
      <c r="AB5878" s="561"/>
      <c r="AC5878" s="87"/>
      <c r="AD5878" s="466"/>
      <c r="AE5878" s="456"/>
      <c r="AF5878" s="467"/>
      <c r="AG5878" s="87"/>
      <c r="AH5878" s="87"/>
      <c r="AI5878" s="87"/>
    </row>
    <row r="5879" spans="1:35" hidden="1">
      <c r="A5879" s="80" t="e">
        <f>"G"&amp;E5869</f>
        <v>#N/A</v>
      </c>
      <c r="B5879" s="105">
        <v>7</v>
      </c>
      <c r="C5879" s="107"/>
      <c r="D5879" s="107"/>
      <c r="E5879" s="107"/>
      <c r="F5879" s="107"/>
      <c r="G5879" s="83"/>
      <c r="H5879" s="83"/>
      <c r="I5879" s="84"/>
      <c r="J5879" s="85"/>
      <c r="K5879" s="382"/>
      <c r="L5879" s="85"/>
      <c r="M5879" s="332" t="str">
        <f t="shared" si="1744"/>
        <v/>
      </c>
      <c r="N5879" s="86"/>
      <c r="O5879" s="86" t="str">
        <f t="shared" si="1746"/>
        <v/>
      </c>
      <c r="P5879" s="538" t="str">
        <f t="shared" si="1747"/>
        <v/>
      </c>
      <c r="Q5879" s="539" t="str">
        <f t="shared" si="1745"/>
        <v/>
      </c>
      <c r="R5879" s="706"/>
      <c r="S5879" s="707"/>
      <c r="T5879" s="708"/>
      <c r="U5879" s="472"/>
      <c r="V5879" s="167"/>
      <c r="W5879" s="446"/>
      <c r="X5879" s="456"/>
      <c r="Y5879" s="436"/>
      <c r="Z5879" s="437"/>
      <c r="AA5879" s="560"/>
      <c r="AB5879" s="561"/>
      <c r="AC5879" s="87"/>
      <c r="AD5879" s="466"/>
      <c r="AE5879" s="456"/>
      <c r="AF5879" s="467"/>
      <c r="AG5879" s="87"/>
      <c r="AH5879" s="87"/>
      <c r="AI5879" s="87"/>
    </row>
    <row r="5880" spans="1:35" hidden="1">
      <c r="A5880" s="80" t="e">
        <f>"H"&amp;E5869</f>
        <v>#N/A</v>
      </c>
      <c r="B5880" s="105">
        <v>8</v>
      </c>
      <c r="C5880" s="107"/>
      <c r="D5880" s="107"/>
      <c r="E5880" s="107"/>
      <c r="F5880" s="107"/>
      <c r="G5880" s="83"/>
      <c r="H5880" s="83"/>
      <c r="I5880" s="84"/>
      <c r="J5880" s="85"/>
      <c r="K5880" s="382"/>
      <c r="L5880" s="85"/>
      <c r="M5880" s="332" t="str">
        <f t="shared" si="1744"/>
        <v/>
      </c>
      <c r="N5880" s="453"/>
      <c r="O5880" s="86" t="str">
        <f t="shared" si="1746"/>
        <v/>
      </c>
      <c r="P5880" s="538" t="str">
        <f t="shared" si="1747"/>
        <v/>
      </c>
      <c r="Q5880" s="539" t="str">
        <f t="shared" si="1745"/>
        <v/>
      </c>
      <c r="R5880" s="706"/>
      <c r="S5880" s="707"/>
      <c r="T5880" s="708"/>
      <c r="U5880" s="472"/>
      <c r="V5880" s="167"/>
      <c r="W5880" s="446"/>
      <c r="X5880" s="456"/>
      <c r="Y5880" s="436"/>
      <c r="Z5880" s="437"/>
      <c r="AA5880" s="560"/>
      <c r="AB5880" s="561"/>
      <c r="AC5880" s="87"/>
      <c r="AD5880" s="466"/>
      <c r="AE5880" s="456"/>
      <c r="AF5880" s="467"/>
      <c r="AG5880" s="87"/>
      <c r="AH5880" s="87"/>
      <c r="AI5880" s="87"/>
    </row>
    <row r="5881" spans="1:35" hidden="1">
      <c r="A5881" s="80" t="e">
        <f>"I"&amp;E5869</f>
        <v>#N/A</v>
      </c>
      <c r="B5881" s="105">
        <v>9</v>
      </c>
      <c r="C5881" s="107"/>
      <c r="D5881" s="107"/>
      <c r="E5881" s="107"/>
      <c r="F5881" s="107"/>
      <c r="G5881" s="83"/>
      <c r="H5881" s="83"/>
      <c r="I5881" s="84"/>
      <c r="J5881" s="85"/>
      <c r="K5881" s="382"/>
      <c r="L5881" s="85"/>
      <c r="M5881" s="332" t="str">
        <f t="shared" si="1744"/>
        <v/>
      </c>
      <c r="N5881" s="453"/>
      <c r="O5881" s="86" t="str">
        <f t="shared" si="1746"/>
        <v/>
      </c>
      <c r="P5881" s="538" t="str">
        <f t="shared" si="1747"/>
        <v/>
      </c>
      <c r="Q5881" s="539" t="str">
        <f t="shared" si="1745"/>
        <v/>
      </c>
      <c r="R5881" s="706"/>
      <c r="S5881" s="707"/>
      <c r="T5881" s="708"/>
      <c r="U5881" s="472"/>
      <c r="V5881" s="167"/>
      <c r="W5881" s="446"/>
      <c r="X5881" s="456"/>
      <c r="Y5881" s="436"/>
      <c r="Z5881" s="437"/>
      <c r="AA5881" s="560"/>
      <c r="AB5881" s="561"/>
      <c r="AC5881" s="87"/>
      <c r="AD5881" s="466"/>
      <c r="AE5881" s="456"/>
      <c r="AF5881" s="467"/>
      <c r="AG5881" s="87"/>
      <c r="AH5881" s="87"/>
      <c r="AI5881" s="87"/>
    </row>
    <row r="5882" spans="1:35" hidden="1">
      <c r="A5882" s="80" t="e">
        <f>"J"&amp;E5869</f>
        <v>#N/A</v>
      </c>
      <c r="B5882" s="105">
        <v>10</v>
      </c>
      <c r="C5882" s="107"/>
      <c r="D5882" s="107"/>
      <c r="E5882" s="107"/>
      <c r="F5882" s="107"/>
      <c r="G5882" s="83"/>
      <c r="H5882" s="83"/>
      <c r="I5882" s="84"/>
      <c r="J5882" s="85"/>
      <c r="K5882" s="382"/>
      <c r="L5882" s="85"/>
      <c r="M5882" s="332" t="str">
        <f t="shared" si="1744"/>
        <v/>
      </c>
      <c r="N5882" s="453"/>
      <c r="O5882" s="86" t="str">
        <f t="shared" si="1746"/>
        <v/>
      </c>
      <c r="P5882" s="538" t="str">
        <f t="shared" si="1747"/>
        <v/>
      </c>
      <c r="Q5882" s="539" t="str">
        <f t="shared" si="1745"/>
        <v/>
      </c>
      <c r="R5882" s="706"/>
      <c r="S5882" s="707"/>
      <c r="T5882" s="708"/>
      <c r="U5882" s="472"/>
      <c r="V5882" s="167"/>
      <c r="W5882" s="446"/>
      <c r="X5882" s="456"/>
      <c r="Y5882" s="436"/>
      <c r="Z5882" s="437"/>
      <c r="AA5882" s="560"/>
      <c r="AB5882" s="561"/>
      <c r="AC5882" s="87"/>
      <c r="AD5882" s="466"/>
      <c r="AE5882" s="456"/>
      <c r="AF5882" s="467"/>
      <c r="AG5882" s="87"/>
      <c r="AH5882" s="87"/>
      <c r="AI5882" s="87"/>
    </row>
    <row r="5883" spans="1:35" ht="16.5" hidden="1" thickBot="1">
      <c r="A5883" s="44"/>
      <c r="B5883" s="89"/>
      <c r="C5883" s="90"/>
      <c r="D5883" s="90"/>
      <c r="E5883" s="90"/>
      <c r="F5883" s="90"/>
      <c r="G5883" s="90"/>
      <c r="H5883" s="90"/>
      <c r="I5883" s="90"/>
      <c r="J5883" s="90"/>
      <c r="K5883" s="90"/>
      <c r="L5883" s="90"/>
      <c r="M5883" s="90"/>
      <c r="N5883" s="90"/>
      <c r="O5883" s="90"/>
      <c r="P5883" s="90"/>
      <c r="Q5883" s="90"/>
      <c r="R5883" s="90"/>
      <c r="S5883" s="91"/>
      <c r="T5883" s="92"/>
      <c r="U5883" s="473"/>
      <c r="W5883" s="438"/>
      <c r="X5883" s="455"/>
      <c r="Y5883" s="439"/>
      <c r="Z5883" s="437"/>
      <c r="AA5883" s="530"/>
      <c r="AB5883" s="563"/>
      <c r="AC5883" s="87"/>
      <c r="AD5883" s="440"/>
      <c r="AE5883" s="441"/>
      <c r="AF5883" s="442"/>
      <c r="AG5883" s="49"/>
      <c r="AH5883" s="87"/>
      <c r="AI5883" s="87"/>
    </row>
    <row r="5884" spans="1:35" ht="16.5" hidden="1" thickBot="1">
      <c r="A5884" s="93"/>
      <c r="B5884" s="94"/>
      <c r="C5884" s="96"/>
      <c r="D5884" s="96"/>
      <c r="E5884" s="96"/>
      <c r="F5884" s="96"/>
      <c r="G5884" s="96"/>
      <c r="H5884" s="96"/>
      <c r="I5884" s="96"/>
      <c r="J5884" s="96"/>
      <c r="K5884" s="96"/>
      <c r="L5884" s="96"/>
      <c r="M5884" s="136"/>
      <c r="N5884" s="96"/>
      <c r="O5884" s="96"/>
      <c r="P5884" s="97"/>
      <c r="Q5884" s="97"/>
      <c r="R5884" s="98"/>
      <c r="S5884" s="95"/>
      <c r="T5884" s="99"/>
      <c r="U5884" s="469"/>
      <c r="AC5884" s="58"/>
      <c r="AG5884" s="58"/>
      <c r="AH5884" s="87"/>
      <c r="AI5884" s="87"/>
    </row>
    <row r="5885" spans="1:35" ht="16.5" hidden="1" thickBot="1">
      <c r="B5885" s="101"/>
      <c r="C5885" s="101"/>
      <c r="D5885" s="101"/>
      <c r="E5885" s="101"/>
      <c r="F5885" s="101"/>
      <c r="G5885" s="101"/>
      <c r="H5885" s="101"/>
      <c r="I5885" s="101"/>
      <c r="J5885" s="101"/>
      <c r="K5885" s="101"/>
      <c r="L5885" s="101"/>
      <c r="M5885" s="101"/>
      <c r="N5885" s="101"/>
      <c r="O5885" s="101"/>
      <c r="P5885" s="101"/>
      <c r="Q5885" s="101"/>
      <c r="R5885" s="101"/>
      <c r="S5885" s="101"/>
      <c r="U5885" s="50"/>
      <c r="AH5885" s="87"/>
      <c r="AI5885" s="87"/>
    </row>
    <row r="5886" spans="1:35" ht="16.5" hidden="1" customHeight="1" thickBot="1">
      <c r="A5886" s="44"/>
      <c r="B5886" s="705" t="s">
        <v>74</v>
      </c>
      <c r="C5886" s="705"/>
      <c r="D5886" s="705"/>
      <c r="E5886" s="705"/>
      <c r="F5886" s="705"/>
      <c r="G5886" s="705"/>
      <c r="H5886" s="705"/>
      <c r="I5886" s="705"/>
      <c r="J5886" s="705"/>
      <c r="K5886" s="705"/>
      <c r="L5886" s="705"/>
      <c r="M5886" s="705"/>
      <c r="N5886" s="705"/>
      <c r="O5886" s="705"/>
      <c r="P5886" s="705"/>
      <c r="Q5886" s="705"/>
      <c r="R5886" s="705"/>
      <c r="S5886" s="705"/>
      <c r="T5886" s="705"/>
      <c r="U5886" s="108"/>
      <c r="Y5886" s="532" t="s">
        <v>341</v>
      </c>
      <c r="AC5886" s="49"/>
      <c r="AD5886" s="687" t="s">
        <v>302</v>
      </c>
      <c r="AE5886" s="688"/>
      <c r="AF5886" s="689"/>
      <c r="AG5886" s="49"/>
      <c r="AH5886" s="87"/>
      <c r="AI5886" s="87"/>
    </row>
    <row r="5887" spans="1:35" ht="16.5" hidden="1" customHeight="1" thickBot="1">
      <c r="A5887" s="218" t="e">
        <f>"K"&amp;E5869</f>
        <v>#N/A</v>
      </c>
      <c r="B5887" s="701" t="s">
        <v>71</v>
      </c>
      <c r="C5887" s="751" t="s">
        <v>102</v>
      </c>
      <c r="D5887" s="751"/>
      <c r="E5887" s="751"/>
      <c r="F5887" s="751"/>
      <c r="G5887" s="751"/>
      <c r="H5887" s="751"/>
      <c r="I5887" s="751"/>
      <c r="J5887" s="751"/>
      <c r="K5887" s="751"/>
      <c r="L5887" s="722" t="s">
        <v>100</v>
      </c>
      <c r="M5887" s="747" t="s">
        <v>114</v>
      </c>
      <c r="N5887" s="747"/>
      <c r="O5887" s="747"/>
      <c r="P5887" s="747"/>
      <c r="Q5887" s="748"/>
      <c r="R5887" s="758" t="s">
        <v>280</v>
      </c>
      <c r="S5887" s="748"/>
      <c r="T5887" s="762" t="str">
        <f>IF(COUNTIF(AE5887:AF5887,"VERIFICAR")&gt;0,"VERIFICAR",IF(COUNTIF(AE5887:AF5887,"NO CUMPLE")&gt;0,"NO CUMPLE","CUMPLE"))</f>
        <v>VERIFICAR</v>
      </c>
      <c r="U5887" s="108"/>
      <c r="Y5887" s="533" t="e">
        <f>IF(F5888="","",IF(F5888=1,"INDIVIDUAL","ESTRUCTURA PLURAL"))</f>
        <v>#N/A</v>
      </c>
      <c r="AC5887" s="52"/>
      <c r="AD5887" s="475" t="s">
        <v>303</v>
      </c>
      <c r="AE5887" s="476" t="str">
        <f>IF(COUNTIF(AE5873:AE5882,"")=10,"VERIFICAR",IF(COUNTIF(AE5873:AE5882,"SI")&gt;0,"CUMPLE","NO CUMPLE"))</f>
        <v>VERIFICAR</v>
      </c>
      <c r="AF5887" s="477" t="str">
        <f>IF(COUNTIF(AF5873:AF5882,"")=10,"VERIFICAR",IF(COUNTIF(AF5873:AF5882,"SI")&gt;=$AI$22,"CUMPLE","NO CUMPLE"))</f>
        <v>VERIFICAR</v>
      </c>
      <c r="AG5887" s="52"/>
      <c r="AH5887" s="87"/>
      <c r="AI5887" s="87"/>
    </row>
    <row r="5888" spans="1:35" ht="15.75" hidden="1" customHeight="1" thickBot="1">
      <c r="A5888" s="218" t="e">
        <f>"L"&amp;E5869</f>
        <v>#N/A</v>
      </c>
      <c r="B5888" s="702"/>
      <c r="C5888" s="751" t="s">
        <v>103</v>
      </c>
      <c r="D5888" s="751"/>
      <c r="E5888" s="752"/>
      <c r="F5888" s="557" t="e">
        <f>IF(VLOOKUP(E5869,PROPONENTES!$C$19:$E$218,3,0)="","",VLOOKUP(E5869,PROPONENTES!$C$19:$E$218,3,0))</f>
        <v>#N/A</v>
      </c>
      <c r="G5888" s="753" t="s">
        <v>104</v>
      </c>
      <c r="H5888" s="751"/>
      <c r="I5888" s="715" t="e">
        <f>IF(OR(F5888="",F5888=1),"INTERESADO PERSONA NATURAL O JURIDICA","CONSORCIO O UNION TEMPORAL")</f>
        <v>#N/A</v>
      </c>
      <c r="J5888" s="725"/>
      <c r="K5888" s="728"/>
      <c r="L5888" s="723"/>
      <c r="M5888" s="749"/>
      <c r="N5888" s="749"/>
      <c r="O5888" s="749"/>
      <c r="P5888" s="749"/>
      <c r="Q5888" s="750"/>
      <c r="R5888" s="712"/>
      <c r="S5888" s="750"/>
      <c r="T5888" s="763"/>
      <c r="U5888" s="108"/>
      <c r="Y5888" s="534"/>
      <c r="AA5888" s="52"/>
      <c r="AB5888" s="52"/>
      <c r="AC5888" s="52"/>
      <c r="AG5888" s="52"/>
      <c r="AH5888" s="87"/>
      <c r="AI5888" s="87"/>
    </row>
    <row r="5889" spans="1:35" ht="56.25" hidden="1" customHeight="1" thickBot="1">
      <c r="A5889" s="218" t="e">
        <f>"M"&amp;E5869</f>
        <v>#N/A</v>
      </c>
      <c r="B5889" s="702"/>
      <c r="C5889" s="725" t="s">
        <v>101</v>
      </c>
      <c r="D5889" s="716"/>
      <c r="E5889" s="558" t="s">
        <v>105</v>
      </c>
      <c r="F5889" s="554" t="s">
        <v>87</v>
      </c>
      <c r="G5889" s="553" t="s">
        <v>86</v>
      </c>
      <c r="H5889" s="559" t="s">
        <v>85</v>
      </c>
      <c r="I5889" s="554" t="s">
        <v>252</v>
      </c>
      <c r="J5889" s="553" t="str">
        <f>"¿EL INTEGRANTE TIENE UNA PARTICIPACIÓN DEL "&amp;PORCREQUERIDOINT*100&amp;"%?"</f>
        <v>¿EL INTEGRANTE TIENE UNA PARTICIPACIÓN DEL 60%?</v>
      </c>
      <c r="K5889" s="554" t="s">
        <v>107</v>
      </c>
      <c r="L5889" s="724"/>
      <c r="M5889" s="717" t="s">
        <v>115</v>
      </c>
      <c r="N5889" s="718"/>
      <c r="O5889" s="718"/>
      <c r="P5889" s="718"/>
      <c r="Q5889" s="223">
        <f>IF(AND(H5873="SI",P5873&gt;=0),1,0)+IF(AND(H5874="SI",P5874&gt;=0),1,0)+IF(AND(H5875="SI",P5875&gt;=0),1,0)+IF(AND(H5876="SI",P5876&gt;=0),1,0)+IF(AND(H5877="SI",P5877&gt;=0),1,0)+IF(AND(H5878="SI",P5878&gt;=0),1,0)+IF(AND(H5879="SI",P5879&gt;=0),1,0)+IF(AND(H5880="SI",P5880&gt;=0),1,0)+IF(AND(H5881="SI",P5881&gt;=0),1,0)+IF(AND(H5882="SI",P5882&gt;=0),1,0)</f>
        <v>0</v>
      </c>
      <c r="R5889" s="759"/>
      <c r="S5889" s="761"/>
      <c r="T5889" s="764"/>
      <c r="U5889" s="219"/>
      <c r="V5889" s="464"/>
      <c r="Y5889" s="532" t="s">
        <v>342</v>
      </c>
      <c r="AA5889" s="550" t="s">
        <v>344</v>
      </c>
      <c r="AB5889" s="693" t="s">
        <v>345</v>
      </c>
      <c r="AC5889" s="693" t="s">
        <v>346</v>
      </c>
      <c r="AD5889" s="685" t="s">
        <v>347</v>
      </c>
      <c r="AE5889" s="52"/>
      <c r="AF5889" s="52"/>
      <c r="AG5889" s="52"/>
      <c r="AH5889" s="87"/>
      <c r="AI5889" s="87"/>
    </row>
    <row r="5890" spans="1:35" ht="15.75" hidden="1" customHeight="1" thickBot="1">
      <c r="A5890" s="218" t="e">
        <f>"N"&amp;E5869</f>
        <v>#N/A</v>
      </c>
      <c r="B5890" s="702"/>
      <c r="C5890" s="114">
        <v>1</v>
      </c>
      <c r="D5890" s="194" t="e">
        <f>IF(AND(C5890&lt;=F5888,F5888&gt;1,F5888&lt;&gt;""),VLOOKUP(VALUE(E5869&amp;","&amp;C5890),INTEGRANTES!$D$18:$F$235,2,0),"")</f>
        <v>#N/A</v>
      </c>
      <c r="E5890" s="211" t="e">
        <f>IF(D5890&lt;&gt;"",VLOOKUP(VALUE(E5869&amp;","&amp;C5890),INTEGRANTES!$D$18:$F$235,3,0),"")</f>
        <v>#N/A</v>
      </c>
      <c r="F5890" s="547" t="e">
        <f>IF(D5890="","",SUMIF($I5873:$I5882,D5890,$P5873:$P5882))</f>
        <v>#N/A</v>
      </c>
      <c r="G5890" s="333" t="e">
        <f>IF(D5890="","",SUMIF($I5873:$I5882,D5890,$M5873:$M5882))</f>
        <v>#N/A</v>
      </c>
      <c r="H5890" s="535" t="e">
        <f t="shared" ref="H5890:H5895" si="1748">IF(D5890="","",IF(OR(F5890=0,G5890=0),"NO APORTA",ROUND($F5890/$G5890,3)))</f>
        <v>#N/A</v>
      </c>
      <c r="I5890" s="212" t="e">
        <f>IF(D5890="","",IF(H5890="NO APORTA","NO",IF(H5890=MAX($H5890:$H5895),"SI","NO")))</f>
        <v>#N/A</v>
      </c>
      <c r="J5890" s="213" t="e">
        <f t="shared" ref="J5890:J5895" si="1749">IF(D5890="","",IF(E5890&gt;=PORCREQUERIDOINT,"SI","NO"))</f>
        <v>#N/A</v>
      </c>
      <c r="K5890" s="200" t="e">
        <f t="shared" ref="K5890:K5895" si="1750">IF(D5890="","",IF(AND(I5890="SI",J5890="SI"),"CUMPLE",IF(AND(I5890="NO",OR(J5890="SI",J5890="NO")),"","NO CUMPLE")))</f>
        <v>#N/A</v>
      </c>
      <c r="L5890" s="722" t="s">
        <v>108</v>
      </c>
      <c r="M5890" s="726" t="s">
        <v>119</v>
      </c>
      <c r="N5890" s="726"/>
      <c r="O5890" s="726"/>
      <c r="P5890" s="726"/>
      <c r="Q5890" s="727"/>
      <c r="R5890" s="758" t="s">
        <v>80</v>
      </c>
      <c r="S5890" s="747"/>
      <c r="T5890" s="748"/>
      <c r="U5890" s="219"/>
      <c r="V5890" s="464"/>
      <c r="Y5890" s="533" t="e">
        <f>IF(Y5887="","",IF(Y5887="INDIVIDUAL","NO APLICA","VERIFICAR CUADRO"))</f>
        <v>#N/A</v>
      </c>
      <c r="AA5890" s="551"/>
      <c r="AB5890" s="694"/>
      <c r="AC5890" s="694"/>
      <c r="AD5890" s="686"/>
      <c r="AE5890" s="52"/>
      <c r="AF5890" s="52"/>
      <c r="AG5890" s="52"/>
      <c r="AH5890" s="87"/>
      <c r="AI5890" s="87"/>
    </row>
    <row r="5891" spans="1:35" ht="27" hidden="1" customHeight="1" thickBot="1">
      <c r="A5891" s="218" t="e">
        <f>"O"&amp;E5869</f>
        <v>#N/A</v>
      </c>
      <c r="B5891" s="702"/>
      <c r="C5891" s="114">
        <v>2</v>
      </c>
      <c r="D5891" s="194" t="e">
        <f>IF(AND(C5891&lt;=F5888,F5888&lt;&gt;""),VLOOKUP(VALUE(E5869&amp;","&amp;C5891),INTEGRANTES!$D$18:$F$235,2,0),"")</f>
        <v>#N/A</v>
      </c>
      <c r="E5891" s="211" t="e">
        <f>IF(D5891&lt;&gt;"",VLOOKUP(VALUE(E5869&amp;","&amp;C5891),INTEGRANTES!$D$18:$F$235,3,0),"")</f>
        <v>#N/A</v>
      </c>
      <c r="F5891" s="547" t="e">
        <f>IF(D5891="","",SUMIF($I5873:$I5882,D5891,$P5873:$P5882))</f>
        <v>#N/A</v>
      </c>
      <c r="G5891" s="333" t="e">
        <f>IF(D5891="","",SUMIF($I5873:$I5882,D5891,$M5873:$M5882))</f>
        <v>#N/A</v>
      </c>
      <c r="H5891" s="535" t="e">
        <f t="shared" si="1748"/>
        <v>#N/A</v>
      </c>
      <c r="I5891" s="212" t="e">
        <f>IF(D5891="","",IF(H5891="NO APORTA","NO",IF(H5891=MAX($H5890:$H5895),"SI","NO")))</f>
        <v>#N/A</v>
      </c>
      <c r="J5891" s="213" t="e">
        <f t="shared" si="1749"/>
        <v>#N/A</v>
      </c>
      <c r="K5891" s="200" t="e">
        <f t="shared" si="1750"/>
        <v>#N/A</v>
      </c>
      <c r="L5891" s="723"/>
      <c r="M5891" s="715" t="s">
        <v>116</v>
      </c>
      <c r="N5891" s="716"/>
      <c r="O5891" s="556" t="s">
        <v>113</v>
      </c>
      <c r="P5891" s="715" t="s">
        <v>117</v>
      </c>
      <c r="Q5891" s="728"/>
      <c r="R5891" s="759"/>
      <c r="S5891" s="760"/>
      <c r="T5891" s="761"/>
      <c r="U5891" s="219"/>
      <c r="V5891" s="464"/>
      <c r="Y5891" s="414"/>
      <c r="AA5891" s="542" t="e">
        <f>IF(AND(C5890&lt;=F5888,F5888&gt;1,F5888&lt;&gt;""),VLOOKUP(VALUE(E5869&amp;","&amp;C5890),INTEGRANTES!$D$18:$F$235,2,0),"")</f>
        <v>#N/A</v>
      </c>
      <c r="AB5891" s="544" t="e">
        <f t="shared" ref="AB5891:AB5896" si="1751">IF(D5890="","",IF(OR(F5890=0,G5890=0),"NO APORTA",ROUND($F5890/$G5890,3)))</f>
        <v>#N/A</v>
      </c>
      <c r="AC5891" s="529"/>
      <c r="AD5891" s="200" t="e">
        <f t="shared" ref="AD5891:AD5896" si="1752">IF(OR(AA5891="",AB5891=""),"",IF(AND(AC5891="X",AB5891&gt;=EXPREQVTD),"CUMPLE","NO CUMPLE"))</f>
        <v>#N/A</v>
      </c>
      <c r="AE5891" s="52"/>
      <c r="AF5891" s="52"/>
      <c r="AG5891" s="52"/>
      <c r="AH5891" s="87"/>
      <c r="AI5891" s="87"/>
    </row>
    <row r="5892" spans="1:35" ht="16.5" hidden="1" thickBot="1">
      <c r="A5892" s="218" t="e">
        <f>"P"&amp;E5869</f>
        <v>#N/A</v>
      </c>
      <c r="B5892" s="702"/>
      <c r="C5892" s="114">
        <v>3</v>
      </c>
      <c r="D5892" s="194" t="e">
        <f>IF(AND(C5892&lt;=F5888,F5888&lt;&gt;""),VLOOKUP(VALUE(E5869&amp;","&amp;C5892),INTEGRANTES!$D$18:$F$235,2,0),"")</f>
        <v>#N/A</v>
      </c>
      <c r="E5892" s="211" t="e">
        <f>IF(D5892&lt;&gt;"",VLOOKUP(VALUE(E5869&amp;","&amp;C5892),INTEGRANTES!$D$18:$F$235,3,0),"")</f>
        <v>#N/A</v>
      </c>
      <c r="F5892" s="547" t="e">
        <f>IF(D5892="","",SUMIF($I5873:$I5882,D5892,$P5873:$P5882))</f>
        <v>#N/A</v>
      </c>
      <c r="G5892" s="333" t="e">
        <f>IF(D5892="","",SUMIF($I5873:$I5882,D5892,$M5873:$M5882))</f>
        <v>#N/A</v>
      </c>
      <c r="H5892" s="535" t="e">
        <f t="shared" si="1748"/>
        <v>#N/A</v>
      </c>
      <c r="I5892" s="212" t="e">
        <f>IF(D5892="","",IF(H5892="NO APORTA","NO",IF(H5892=MAX($H5890:$H5895),"SI","NO")))</f>
        <v>#N/A</v>
      </c>
      <c r="J5892" s="213" t="e">
        <f t="shared" si="1749"/>
        <v>#N/A</v>
      </c>
      <c r="K5892" s="200" t="e">
        <f t="shared" si="1750"/>
        <v>#N/A</v>
      </c>
      <c r="L5892" s="724"/>
      <c r="M5892" s="729">
        <f>NUMMOD</f>
        <v>1</v>
      </c>
      <c r="N5892" s="730"/>
      <c r="O5892" s="443">
        <f>IF(M5892="","",VLOOKUP(M5892,PRESUPUESTOS!$B$16:$H$16,5,FALSE))</f>
        <v>2</v>
      </c>
      <c r="P5892" s="713">
        <f>IF(OR(COUNTIF(M5873:M5882,"")&gt;=10,Q5889&lt;NUMMINCONT,OR(T5887="NO CUMPLE",T5887="VERIFICAR")),0,ROUND(AVERAGE(M5873:M5882),3))</f>
        <v>0</v>
      </c>
      <c r="Q5892" s="714"/>
      <c r="R5892" s="458"/>
      <c r="S5892" s="459"/>
      <c r="T5892" s="460"/>
      <c r="U5892" s="219"/>
      <c r="V5892" s="464"/>
      <c r="Y5892" s="532" t="str">
        <f>"40% * ("&amp;PRESUPUESTOS!$H$13&amp;")"</f>
        <v>40% * (50% PFMO)</v>
      </c>
      <c r="AA5892" s="540" t="e">
        <f>IF(AND(C5891&lt;=F5888,F5888&lt;&gt;""),VLOOKUP(VALUE(E5869&amp;","&amp;C5891),INTEGRANTES!$D$18:$F$235,2,0),"")</f>
        <v>#N/A</v>
      </c>
      <c r="AB5892" s="545" t="e">
        <f t="shared" si="1751"/>
        <v>#N/A</v>
      </c>
      <c r="AC5892" s="529"/>
      <c r="AD5892" s="200" t="e">
        <f t="shared" si="1752"/>
        <v>#N/A</v>
      </c>
      <c r="AE5892" s="52"/>
      <c r="AF5892" s="52"/>
      <c r="AG5892" s="52"/>
      <c r="AH5892" s="87"/>
      <c r="AI5892" s="87"/>
    </row>
    <row r="5893" spans="1:35" ht="15.75" hidden="1" customHeight="1" thickBot="1">
      <c r="A5893" s="218" t="e">
        <f>"Q"&amp;E5869</f>
        <v>#N/A</v>
      </c>
      <c r="B5893" s="702"/>
      <c r="C5893" s="114">
        <v>4</v>
      </c>
      <c r="D5893" s="194" t="e">
        <f>IF(AND(C5893&lt;=F5888,F5888&lt;&gt;""),VLOOKUP(VALUE(E5869&amp;","&amp;C5893),INTEGRANTES!$D$18:$F$235,2,0),"")</f>
        <v>#N/A</v>
      </c>
      <c r="E5893" s="211" t="e">
        <f>IF(D5893&lt;&gt;"",VLOOKUP(VALUE(E5869&amp;","&amp;C5893),INTEGRANTES!$D$18:$F$235,3,0),"")</f>
        <v>#N/A</v>
      </c>
      <c r="F5893" s="547" t="e">
        <f>IF(D5893="","",SUMIF($I5873:$I5882,D5893,$P5873:$P5882))</f>
        <v>#N/A</v>
      </c>
      <c r="G5893" s="333" t="e">
        <f>IF(D5893="","",SUMIF($I5873:$I5882,D5893,$M5873:$M5882))</f>
        <v>#N/A</v>
      </c>
      <c r="H5893" s="535" t="e">
        <f t="shared" si="1748"/>
        <v>#N/A</v>
      </c>
      <c r="I5893" s="212" t="e">
        <f>IF(D5893="","",IF(H5893="NO APORTA","NO",IF(H5893=MAX($H5890:$H5895),"SI","NO")))</f>
        <v>#N/A</v>
      </c>
      <c r="J5893" s="213" t="e">
        <f t="shared" si="1749"/>
        <v>#N/A</v>
      </c>
      <c r="K5893" s="200" t="e">
        <f t="shared" si="1750"/>
        <v>#N/A</v>
      </c>
      <c r="L5893" s="720" t="s">
        <v>109</v>
      </c>
      <c r="M5893" s="757" t="s">
        <v>120</v>
      </c>
      <c r="N5893" s="726"/>
      <c r="O5893" s="726"/>
      <c r="P5893" s="726"/>
      <c r="Q5893" s="727"/>
      <c r="R5893" s="458"/>
      <c r="S5893" s="459"/>
      <c r="T5893" s="460"/>
      <c r="U5893" s="219"/>
      <c r="V5893" s="464"/>
      <c r="Y5893" s="537">
        <f>0.4*PRESUPUESTOS!$H$16</f>
        <v>10.3124</v>
      </c>
      <c r="AA5893" s="540" t="e">
        <f>IF(AND(C5892&lt;=F5888,F5888&lt;&gt;""),VLOOKUP(VALUE(E5869&amp;","&amp;C5892),INTEGRANTES!$D$18:$F$235,2,0),"")</f>
        <v>#N/A</v>
      </c>
      <c r="AB5893" s="545" t="e">
        <f t="shared" si="1751"/>
        <v>#N/A</v>
      </c>
      <c r="AC5893" s="529"/>
      <c r="AD5893" s="200" t="e">
        <f t="shared" si="1752"/>
        <v>#N/A</v>
      </c>
      <c r="AE5893" s="52"/>
      <c r="AF5893" s="52"/>
      <c r="AG5893" s="52"/>
      <c r="AH5893" s="87"/>
      <c r="AI5893" s="87"/>
    </row>
    <row r="5894" spans="1:35" ht="27" hidden="1" customHeight="1" thickBot="1">
      <c r="A5894" s="218" t="e">
        <f>"R"&amp;E5869</f>
        <v>#N/A</v>
      </c>
      <c r="B5894" s="702"/>
      <c r="C5894" s="114">
        <v>5</v>
      </c>
      <c r="D5894" s="194" t="e">
        <f>IF(AND(C5894&lt;=F5888,F5888&lt;&gt;""),VLOOKUP(VALUE(E5869&amp;","&amp;C5894),INTEGRANTES!$D$18:$F$235,2,0),"")</f>
        <v>#N/A</v>
      </c>
      <c r="E5894" s="211" t="e">
        <f>IF(D5894&lt;&gt;"",VLOOKUP(VALUE(E5869&amp;","&amp;C5894),INTEGRANTES!$D$18:$F$235,3,0),"")</f>
        <v>#N/A</v>
      </c>
      <c r="F5894" s="547" t="e">
        <f>IF(D5894="","",SUMIF($I5873:$I5882,D5894,$P5873:$P5882))</f>
        <v>#N/A</v>
      </c>
      <c r="G5894" s="333" t="e">
        <f>IF(D5894="","",SUMIF($I5873:$I5882,D5894,$M5873:$M5882))</f>
        <v>#N/A</v>
      </c>
      <c r="H5894" s="535" t="e">
        <f t="shared" si="1748"/>
        <v>#N/A</v>
      </c>
      <c r="I5894" s="212" t="e">
        <f>IF(D5894="","",IF(H5894="NO APORTA","NO",IF(H5894=MAX($H5890:$H5895),"SI","NO")))</f>
        <v>#N/A</v>
      </c>
      <c r="J5894" s="213" t="e">
        <f t="shared" si="1749"/>
        <v>#N/A</v>
      </c>
      <c r="K5894" s="200" t="e">
        <f t="shared" si="1750"/>
        <v>#N/A</v>
      </c>
      <c r="L5894" s="721"/>
      <c r="M5894" s="715" t="s">
        <v>116</v>
      </c>
      <c r="N5894" s="716"/>
      <c r="O5894" s="556" t="str">
        <f>PORCREQUERIDO*100&amp;"% PMFO DEL MÓDULO"</f>
        <v>50% PMFO DEL MÓDULO</v>
      </c>
      <c r="P5894" s="715" t="s">
        <v>118</v>
      </c>
      <c r="Q5894" s="728"/>
      <c r="R5894" s="458"/>
      <c r="S5894" s="459"/>
      <c r="T5894" s="460"/>
      <c r="U5894" s="219"/>
      <c r="V5894" s="464"/>
      <c r="Y5894" s="414"/>
      <c r="AA5894" s="540" t="e">
        <f>IF(AND(C5893&lt;=F5888,F5888&lt;&gt;""),VLOOKUP(VALUE(E5869&amp;","&amp;C5893),INTEGRANTES!$D$18:$F$235,2,0),"")</f>
        <v>#N/A</v>
      </c>
      <c r="AB5894" s="545" t="e">
        <f t="shared" si="1751"/>
        <v>#N/A</v>
      </c>
      <c r="AC5894" s="529"/>
      <c r="AD5894" s="200" t="e">
        <f t="shared" si="1752"/>
        <v>#N/A</v>
      </c>
      <c r="AE5894" s="52"/>
      <c r="AF5894" s="52"/>
      <c r="AG5894" s="52"/>
      <c r="AH5894" s="87"/>
      <c r="AI5894" s="87"/>
    </row>
    <row r="5895" spans="1:35" ht="16.5" hidden="1" thickBot="1">
      <c r="A5895" s="218" t="e">
        <f>"S"&amp;E5869</f>
        <v>#N/A</v>
      </c>
      <c r="B5895" s="702"/>
      <c r="C5895" s="215">
        <v>6</v>
      </c>
      <c r="D5895" s="216" t="e">
        <f>IF(AND(C5895&lt;=F5888,F5888&lt;&gt;""),VLOOKUP(VALUE(E5869&amp;","&amp;C5895),INTEGRANTES!$D$18:$F$235,2,0),"")</f>
        <v>#N/A</v>
      </c>
      <c r="E5895" s="217" t="e">
        <f>IF(D5895&lt;&gt;"",VLOOKUP(VALUE(E5869&amp;","&amp;C5895),INTEGRANTES!$D$18:$F$235,3,0),"")</f>
        <v>#N/A</v>
      </c>
      <c r="F5895" s="548" t="e">
        <f>IF(D5895="","",SUMIF($I5873:$I5882,D5895,$P5873:$P5882))</f>
        <v>#N/A</v>
      </c>
      <c r="G5895" s="334" t="e">
        <f>IF(D5895="","",SUMIF($I5873:$I5882,D5895,$M5873:$M5882))</f>
        <v>#N/A</v>
      </c>
      <c r="H5895" s="536" t="e">
        <f t="shared" si="1748"/>
        <v>#N/A</v>
      </c>
      <c r="I5895" s="214" t="e">
        <f>IF(D5895="","",IF(H5895="NO APORTA","NO",IF(H5895=MAX($H5890:$H5895),"SI","NO")))</f>
        <v>#N/A</v>
      </c>
      <c r="J5895" s="213" t="e">
        <f t="shared" si="1749"/>
        <v>#N/A</v>
      </c>
      <c r="K5895" s="200" t="e">
        <f t="shared" si="1750"/>
        <v>#N/A</v>
      </c>
      <c r="L5895" s="721"/>
      <c r="M5895" s="729">
        <f>NUMMOD</f>
        <v>1</v>
      </c>
      <c r="N5895" s="730"/>
      <c r="O5895" s="443">
        <f>IF(M5895="","",ROUND(VLOOKUP(M5895,PRESUPUESTOS!$B$16:$H$16,7,FALSE),3))</f>
        <v>25.780999999999999</v>
      </c>
      <c r="P5895" s="713">
        <f>IF(OR(COUNTIF(P5873:P5882,"")&gt;=10,Q5889&lt;NUMMINCONT,OR(T5887="NO CUMPLE",T5887="VERIFICAR")),0,ROUND((SUM(P5873:P5882)/SUM(M5873:M5882)),3))</f>
        <v>0</v>
      </c>
      <c r="Q5895" s="714"/>
      <c r="R5895" s="458"/>
      <c r="S5895" s="459"/>
      <c r="T5895" s="460"/>
      <c r="U5895" s="219"/>
      <c r="V5895" s="464"/>
      <c r="Y5895" s="532" t="s">
        <v>343</v>
      </c>
      <c r="AA5895" s="540" t="e">
        <f>IF(AND(C5894&lt;=F5888,F5888&lt;&gt;""),VLOOKUP(VALUE(E5869&amp;","&amp;C5894),INTEGRANTES!$D$18:$F$235,2,0),"")</f>
        <v>#N/A</v>
      </c>
      <c r="AB5895" s="545" t="e">
        <f t="shared" si="1751"/>
        <v>#N/A</v>
      </c>
      <c r="AC5895" s="529"/>
      <c r="AD5895" s="200" t="e">
        <f t="shared" si="1752"/>
        <v>#N/A</v>
      </c>
      <c r="AE5895" s="52"/>
      <c r="AF5895" s="52"/>
      <c r="AG5895" s="52"/>
      <c r="AH5895" s="87"/>
      <c r="AI5895" s="87"/>
    </row>
    <row r="5896" spans="1:35" ht="16.5" hidden="1" customHeight="1" thickBot="1">
      <c r="A5896" s="218" t="e">
        <f>"T"&amp;E5869</f>
        <v>#N/A</v>
      </c>
      <c r="B5896" s="703"/>
      <c r="C5896" s="719"/>
      <c r="D5896" s="719"/>
      <c r="E5896" s="719"/>
      <c r="F5896" s="719"/>
      <c r="G5896" s="719"/>
      <c r="H5896" s="719" t="s">
        <v>110</v>
      </c>
      <c r="I5896" s="719"/>
      <c r="J5896" s="719"/>
      <c r="K5896" s="201" t="str">
        <f>IF(COUNTIF(K5890:K5895,"")=6,"",IF(COUNTIF(K5890:K5895,"CUMPLE")&gt;0,"CUMPLE","NO CUMPLE"))</f>
        <v>NO CUMPLE</v>
      </c>
      <c r="L5896" s="754"/>
      <c r="M5896" s="755"/>
      <c r="N5896" s="755"/>
      <c r="O5896" s="755"/>
      <c r="P5896" s="755"/>
      <c r="Q5896" s="756"/>
      <c r="R5896" s="461"/>
      <c r="S5896" s="462"/>
      <c r="T5896" s="463"/>
      <c r="U5896" s="219"/>
      <c r="V5896" s="464"/>
      <c r="Y5896" s="549" t="e">
        <f>IF(Y5890="NO APLICA","NO APLICA",IF(COUNTIF(AD5891:AD5896,"CUMPLE")&gt;0,"CUMPLE","NO CUMPLE"))</f>
        <v>#N/A</v>
      </c>
      <c r="AA5896" s="541" t="e">
        <f>IF(AND(C5895&lt;=F5888,F5888&lt;&gt;""),VLOOKUP(VALUE(E5869&amp;","&amp;C5895),INTEGRANTES!$D$18:$F$235,2,0),"")</f>
        <v>#N/A</v>
      </c>
      <c r="AB5896" s="546" t="e">
        <f t="shared" si="1751"/>
        <v>#N/A</v>
      </c>
      <c r="AC5896" s="543"/>
      <c r="AD5896" s="201" t="e">
        <f t="shared" si="1752"/>
        <v>#N/A</v>
      </c>
      <c r="AE5896" s="52"/>
      <c r="AF5896" s="52"/>
      <c r="AG5896" s="52"/>
      <c r="AH5896" s="87"/>
      <c r="AI5896" s="87"/>
    </row>
    <row r="5897" spans="1:35" hidden="1">
      <c r="AH5897" s="87"/>
      <c r="AI5897" s="87"/>
    </row>
    <row r="5898" spans="1:35" hidden="1">
      <c r="AH5898" s="87"/>
      <c r="AI5898" s="87"/>
    </row>
    <row r="5899" spans="1:35" ht="24" hidden="1" thickBot="1">
      <c r="A5899" s="61">
        <v>197</v>
      </c>
      <c r="B5899" s="704" t="s">
        <v>51</v>
      </c>
      <c r="C5899" s="704"/>
      <c r="D5899" s="704"/>
      <c r="E5899" s="62" t="e">
        <f>VLOOKUP(A5899,PROPONENTES!$B$19:$E$218,2,FALSE)</f>
        <v>#N/A</v>
      </c>
      <c r="F5899" s="63" t="e">
        <f>VLOOKUP(A5899,PROPONENTES!$B$19:$E$218,3,FALSE)</f>
        <v>#N/A</v>
      </c>
      <c r="G5899" s="64"/>
      <c r="H5899" s="64"/>
      <c r="I5899" s="63"/>
      <c r="J5899" s="63"/>
      <c r="K5899" s="65"/>
      <c r="L5899" s="65"/>
      <c r="M5899" s="64"/>
      <c r="N5899" s="64"/>
      <c r="O5899" s="66"/>
      <c r="P5899" s="66"/>
      <c r="Q5899" s="66"/>
      <c r="R5899" s="66"/>
      <c r="S5899" s="67"/>
      <c r="T5899" s="68"/>
      <c r="U5899" s="68"/>
      <c r="AC5899" s="68"/>
      <c r="AD5899" s="68"/>
      <c r="AE5899" s="68"/>
      <c r="AF5899" s="68"/>
      <c r="AG5899" s="68"/>
      <c r="AH5899" s="87"/>
      <c r="AI5899" s="87"/>
    </row>
    <row r="5900" spans="1:35" ht="15.75" hidden="1" customHeight="1">
      <c r="A5900" s="44"/>
      <c r="B5900" s="709" t="s">
        <v>59</v>
      </c>
      <c r="C5900" s="552" t="s">
        <v>60</v>
      </c>
      <c r="D5900" s="70" t="s">
        <v>17</v>
      </c>
      <c r="E5900" s="70"/>
      <c r="F5900" s="70" t="s">
        <v>61</v>
      </c>
      <c r="G5900" s="71"/>
      <c r="H5900" s="699" t="s">
        <v>62</v>
      </c>
      <c r="I5900" s="699" t="s">
        <v>18</v>
      </c>
      <c r="J5900" s="699" t="s">
        <v>63</v>
      </c>
      <c r="K5900" s="699" t="s">
        <v>64</v>
      </c>
      <c r="L5900" s="699" t="s">
        <v>65</v>
      </c>
      <c r="M5900" s="743" t="s">
        <v>66</v>
      </c>
      <c r="N5900" s="699" t="s">
        <v>282</v>
      </c>
      <c r="O5900" s="745" t="s">
        <v>67</v>
      </c>
      <c r="P5900" s="746"/>
      <c r="Q5900" s="102" t="s">
        <v>75</v>
      </c>
      <c r="R5900" s="731" t="s">
        <v>22</v>
      </c>
      <c r="S5900" s="732"/>
      <c r="T5900" s="733"/>
      <c r="U5900" s="712" t="s">
        <v>298</v>
      </c>
      <c r="W5900" s="690" t="s">
        <v>268</v>
      </c>
      <c r="X5900" s="691"/>
      <c r="Y5900" s="692"/>
      <c r="Z5900" s="428"/>
      <c r="AA5900" s="697" t="s">
        <v>315</v>
      </c>
      <c r="AB5900" s="695" t="s">
        <v>322</v>
      </c>
      <c r="AC5900" s="49"/>
      <c r="AD5900" s="690" t="s">
        <v>297</v>
      </c>
      <c r="AE5900" s="691"/>
      <c r="AF5900" s="692"/>
      <c r="AG5900" s="49"/>
      <c r="AH5900" s="87"/>
      <c r="AI5900" s="87"/>
    </row>
    <row r="5901" spans="1:35" ht="72" hidden="1">
      <c r="A5901" s="44"/>
      <c r="B5901" s="710"/>
      <c r="C5901" s="553" t="s">
        <v>68</v>
      </c>
      <c r="D5901" s="73" t="s">
        <v>3</v>
      </c>
      <c r="E5901" s="73" t="s">
        <v>19</v>
      </c>
      <c r="F5901" s="73" t="s">
        <v>69</v>
      </c>
      <c r="G5901" s="74" t="s">
        <v>70</v>
      </c>
      <c r="H5901" s="700"/>
      <c r="I5901" s="700"/>
      <c r="J5901" s="700"/>
      <c r="K5901" s="700"/>
      <c r="L5901" s="700"/>
      <c r="M5901" s="744"/>
      <c r="N5901" s="700"/>
      <c r="O5901" s="553" t="s">
        <v>279</v>
      </c>
      <c r="P5901" s="73" t="s">
        <v>88</v>
      </c>
      <c r="Q5901" s="555" t="s">
        <v>76</v>
      </c>
      <c r="R5901" s="734"/>
      <c r="S5901" s="735"/>
      <c r="T5901" s="736"/>
      <c r="U5901" s="712"/>
      <c r="W5901" s="429" t="s">
        <v>269</v>
      </c>
      <c r="X5901" s="457" t="s">
        <v>278</v>
      </c>
      <c r="Y5901" s="430" t="s">
        <v>324</v>
      </c>
      <c r="Z5901" s="428"/>
      <c r="AA5901" s="698"/>
      <c r="AB5901" s="696"/>
      <c r="AC5901" s="49"/>
      <c r="AD5901" s="429" t="s">
        <v>292</v>
      </c>
      <c r="AE5901" s="431" t="s">
        <v>300</v>
      </c>
      <c r="AF5901" s="468" t="s">
        <v>301</v>
      </c>
      <c r="AG5901" s="49"/>
      <c r="AH5901" s="87"/>
      <c r="AI5901" s="87"/>
    </row>
    <row r="5902" spans="1:35" hidden="1">
      <c r="A5902" s="44"/>
      <c r="B5902" s="76"/>
      <c r="C5902" s="77"/>
      <c r="D5902" s="77"/>
      <c r="E5902" s="77"/>
      <c r="F5902" s="77"/>
      <c r="G5902" s="77"/>
      <c r="H5902" s="77"/>
      <c r="I5902" s="77"/>
      <c r="J5902" s="77"/>
      <c r="K5902" s="77"/>
      <c r="L5902" s="77"/>
      <c r="M5902" s="77"/>
      <c r="N5902" s="77"/>
      <c r="O5902" s="77"/>
      <c r="P5902" s="77"/>
      <c r="Q5902" s="77"/>
      <c r="R5902" s="77"/>
      <c r="S5902" s="78"/>
      <c r="T5902" s="79"/>
      <c r="U5902" s="109"/>
      <c r="V5902" s="49"/>
      <c r="W5902" s="432"/>
      <c r="X5902" s="454"/>
      <c r="Y5902" s="433"/>
      <c r="Z5902" s="6"/>
      <c r="AA5902" s="500"/>
      <c r="AB5902" s="562"/>
      <c r="AC5902" s="49"/>
      <c r="AD5902" s="210"/>
      <c r="AE5902" s="434"/>
      <c r="AF5902" s="435"/>
      <c r="AG5902" s="49"/>
      <c r="AH5902" s="87"/>
      <c r="AI5902" s="87"/>
    </row>
    <row r="5903" spans="1:35" hidden="1">
      <c r="A5903" s="80" t="e">
        <f>"A"&amp;E5899</f>
        <v>#N/A</v>
      </c>
      <c r="B5903" s="81">
        <v>1</v>
      </c>
      <c r="C5903" s="82"/>
      <c r="D5903" s="82"/>
      <c r="E5903" s="82"/>
      <c r="F5903" s="82"/>
      <c r="G5903" s="83"/>
      <c r="H5903" s="83"/>
      <c r="I5903" s="84"/>
      <c r="J5903" s="85"/>
      <c r="K5903" s="382"/>
      <c r="L5903" s="85"/>
      <c r="M5903" s="332" t="str">
        <f t="shared" ref="M5903:M5912" si="1753">IF(OR(J5903="",L5903="",H5903="NO"),"",IF(OR(J5903&gt;$P$17,J5903&lt;$O$17,L5903&gt;$P$17,AND(J5903&lt;$O$17,L5903&lt;$O$17)),"FUERA DE RANGO",IF(OR(K5903="---",K5903=""),IF(J5903&gt;=$O$17,ROUND((L5903-J5903+1)/360*12,3),ROUND((L5903-$O$17+1)/360*12,3)),IF(J5903&gt;=$O$17,ROUND((L5903-J5903+1)/360*12-ROUND(K5903,3),3),ROUND((L5903-$O$17+1)/360*12-ROUND(K5903,3),3)))))</f>
        <v/>
      </c>
      <c r="N5903" s="86"/>
      <c r="O5903" s="453" t="str">
        <f>IF(OR(G5903="",N5903=""),"",N5903*G5903)</f>
        <v/>
      </c>
      <c r="P5903" s="538" t="str">
        <f>IF(OR(H5903="",M5903="FUERA DE RANGO"),"",IF(OR(L5903&lt;$O$17,L5903&gt;$P$17,L5903="",H5903="NO"),"",IF(OR(N5903="",O5903=""),"",ROUND(O5903,3))))</f>
        <v/>
      </c>
      <c r="Q5903" s="539" t="str">
        <f t="shared" ref="Q5903:Q5912" si="1754">IF(AND(H5903="SI",P5903&lt;&gt;""),ROUND(P5903/M5903,3),"")</f>
        <v/>
      </c>
      <c r="R5903" s="737"/>
      <c r="S5903" s="738"/>
      <c r="T5903" s="739"/>
      <c r="U5903" s="470"/>
      <c r="V5903" s="165"/>
      <c r="W5903" s="446"/>
      <c r="X5903" s="456"/>
      <c r="Y5903" s="436"/>
      <c r="Z5903" s="437"/>
      <c r="AA5903" s="560"/>
      <c r="AB5903" s="561"/>
      <c r="AC5903" s="87"/>
      <c r="AD5903" s="466"/>
      <c r="AE5903" s="456"/>
      <c r="AF5903" s="467"/>
      <c r="AG5903" s="87"/>
      <c r="AH5903" s="87"/>
      <c r="AI5903" s="87"/>
    </row>
    <row r="5904" spans="1:35" hidden="1">
      <c r="A5904" s="80" t="e">
        <f>"B"&amp;E5899</f>
        <v>#N/A</v>
      </c>
      <c r="B5904" s="81">
        <v>2</v>
      </c>
      <c r="C5904" s="106"/>
      <c r="D5904" s="106"/>
      <c r="E5904" s="106"/>
      <c r="F5904" s="106"/>
      <c r="G5904" s="83"/>
      <c r="H5904" s="83"/>
      <c r="I5904" s="84"/>
      <c r="J5904" s="85"/>
      <c r="K5904" s="382"/>
      <c r="L5904" s="85"/>
      <c r="M5904" s="332" t="str">
        <f t="shared" si="1753"/>
        <v/>
      </c>
      <c r="N5904" s="86"/>
      <c r="O5904" s="453" t="str">
        <f t="shared" ref="O5904:O5912" si="1755">IF(OR(G5904="",N5904=""),"",N5904*G5904)</f>
        <v/>
      </c>
      <c r="P5904" s="538" t="str">
        <f t="shared" ref="P5904:P5912" si="1756">IF(OR(H5904="",M5904="FUERA DE RANGO"),"",IF(OR(L5904&lt;$O$17,L5904&gt;$P$17,L5904="",H5904="NO"),"",IF(OR(N5904="",O5904=""),"",ROUND(O5904,3))))</f>
        <v/>
      </c>
      <c r="Q5904" s="539" t="str">
        <f t="shared" si="1754"/>
        <v/>
      </c>
      <c r="R5904" s="740"/>
      <c r="S5904" s="741"/>
      <c r="T5904" s="742"/>
      <c r="U5904" s="471"/>
      <c r="V5904" s="165"/>
      <c r="W5904" s="446"/>
      <c r="X5904" s="456"/>
      <c r="Y5904" s="436"/>
      <c r="Z5904" s="437"/>
      <c r="AA5904" s="560"/>
      <c r="AB5904" s="561"/>
      <c r="AC5904" s="87"/>
      <c r="AD5904" s="466"/>
      <c r="AE5904" s="456"/>
      <c r="AF5904" s="467"/>
      <c r="AG5904" s="87"/>
      <c r="AH5904" s="87"/>
      <c r="AI5904" s="87"/>
    </row>
    <row r="5905" spans="1:35" hidden="1">
      <c r="A5905" s="80" t="e">
        <f>"C"&amp;E5899</f>
        <v>#N/A</v>
      </c>
      <c r="B5905" s="88">
        <v>3</v>
      </c>
      <c r="C5905" s="82"/>
      <c r="D5905" s="82"/>
      <c r="E5905" s="82"/>
      <c r="F5905" s="82"/>
      <c r="G5905" s="83"/>
      <c r="H5905" s="83"/>
      <c r="I5905" s="84"/>
      <c r="J5905" s="85"/>
      <c r="K5905" s="382"/>
      <c r="L5905" s="85"/>
      <c r="M5905" s="332" t="str">
        <f t="shared" si="1753"/>
        <v/>
      </c>
      <c r="N5905" s="86"/>
      <c r="O5905" s="453" t="str">
        <f t="shared" si="1755"/>
        <v/>
      </c>
      <c r="P5905" s="538" t="str">
        <f t="shared" si="1756"/>
        <v/>
      </c>
      <c r="Q5905" s="539" t="str">
        <f t="shared" si="1754"/>
        <v/>
      </c>
      <c r="R5905" s="706"/>
      <c r="S5905" s="707"/>
      <c r="T5905" s="708"/>
      <c r="U5905" s="472"/>
      <c r="V5905" s="166"/>
      <c r="W5905" s="446"/>
      <c r="X5905" s="456"/>
      <c r="Y5905" s="436"/>
      <c r="Z5905" s="437"/>
      <c r="AA5905" s="560"/>
      <c r="AB5905" s="561"/>
      <c r="AC5905" s="87"/>
      <c r="AD5905" s="466"/>
      <c r="AE5905" s="456"/>
      <c r="AF5905" s="467"/>
      <c r="AG5905" s="87"/>
      <c r="AH5905" s="87"/>
      <c r="AI5905" s="87"/>
    </row>
    <row r="5906" spans="1:35" hidden="1">
      <c r="A5906" s="80" t="e">
        <f>"D"&amp;E5899</f>
        <v>#N/A</v>
      </c>
      <c r="B5906" s="105">
        <v>4</v>
      </c>
      <c r="C5906" s="107"/>
      <c r="D5906" s="107"/>
      <c r="E5906" s="107"/>
      <c r="F5906" s="107"/>
      <c r="G5906" s="83"/>
      <c r="H5906" s="83"/>
      <c r="I5906" s="84"/>
      <c r="J5906" s="85"/>
      <c r="K5906" s="382"/>
      <c r="L5906" s="85"/>
      <c r="M5906" s="332" t="str">
        <f t="shared" si="1753"/>
        <v/>
      </c>
      <c r="N5906" s="86"/>
      <c r="O5906" s="453" t="str">
        <f t="shared" si="1755"/>
        <v/>
      </c>
      <c r="P5906" s="538" t="str">
        <f t="shared" si="1756"/>
        <v/>
      </c>
      <c r="Q5906" s="539" t="str">
        <f t="shared" si="1754"/>
        <v/>
      </c>
      <c r="R5906" s="706"/>
      <c r="S5906" s="707"/>
      <c r="T5906" s="708"/>
      <c r="U5906" s="472"/>
      <c r="V5906" s="166"/>
      <c r="W5906" s="446"/>
      <c r="X5906" s="456"/>
      <c r="Y5906" s="436"/>
      <c r="Z5906" s="437"/>
      <c r="AA5906" s="560"/>
      <c r="AB5906" s="561"/>
      <c r="AC5906" s="87"/>
      <c r="AD5906" s="466"/>
      <c r="AE5906" s="456"/>
      <c r="AF5906" s="467"/>
      <c r="AG5906" s="87"/>
      <c r="AH5906" s="87"/>
      <c r="AI5906" s="87"/>
    </row>
    <row r="5907" spans="1:35" hidden="1">
      <c r="A5907" s="80" t="e">
        <f>"E"&amp;E5899</f>
        <v>#N/A</v>
      </c>
      <c r="B5907" s="105">
        <v>5</v>
      </c>
      <c r="C5907" s="107"/>
      <c r="D5907" s="107"/>
      <c r="E5907" s="107"/>
      <c r="F5907" s="107"/>
      <c r="G5907" s="83"/>
      <c r="H5907" s="83"/>
      <c r="I5907" s="84"/>
      <c r="J5907" s="85"/>
      <c r="K5907" s="382"/>
      <c r="L5907" s="85"/>
      <c r="M5907" s="332" t="str">
        <f t="shared" si="1753"/>
        <v/>
      </c>
      <c r="N5907" s="86"/>
      <c r="O5907" s="453" t="str">
        <f t="shared" si="1755"/>
        <v/>
      </c>
      <c r="P5907" s="538" t="str">
        <f t="shared" si="1756"/>
        <v/>
      </c>
      <c r="Q5907" s="539" t="str">
        <f t="shared" si="1754"/>
        <v/>
      </c>
      <c r="R5907" s="706"/>
      <c r="S5907" s="707"/>
      <c r="T5907" s="708"/>
      <c r="U5907" s="472"/>
      <c r="V5907" s="167"/>
      <c r="W5907" s="446"/>
      <c r="X5907" s="456"/>
      <c r="Y5907" s="436"/>
      <c r="Z5907" s="437"/>
      <c r="AA5907" s="560"/>
      <c r="AB5907" s="561"/>
      <c r="AC5907" s="87"/>
      <c r="AD5907" s="466"/>
      <c r="AE5907" s="456"/>
      <c r="AF5907" s="467"/>
      <c r="AG5907" s="87"/>
      <c r="AH5907" s="87"/>
      <c r="AI5907" s="87"/>
    </row>
    <row r="5908" spans="1:35" hidden="1">
      <c r="A5908" s="80" t="e">
        <f>"F"&amp;E5899</f>
        <v>#N/A</v>
      </c>
      <c r="B5908" s="105">
        <v>6</v>
      </c>
      <c r="C5908" s="107"/>
      <c r="D5908" s="107"/>
      <c r="E5908" s="107"/>
      <c r="F5908" s="107"/>
      <c r="G5908" s="83"/>
      <c r="H5908" s="83"/>
      <c r="I5908" s="84"/>
      <c r="J5908" s="85"/>
      <c r="K5908" s="382"/>
      <c r="L5908" s="85"/>
      <c r="M5908" s="332" t="str">
        <f t="shared" si="1753"/>
        <v/>
      </c>
      <c r="N5908" s="86"/>
      <c r="O5908" s="453" t="str">
        <f t="shared" si="1755"/>
        <v/>
      </c>
      <c r="P5908" s="538" t="str">
        <f t="shared" si="1756"/>
        <v/>
      </c>
      <c r="Q5908" s="539" t="str">
        <f t="shared" si="1754"/>
        <v/>
      </c>
      <c r="R5908" s="706"/>
      <c r="S5908" s="707"/>
      <c r="T5908" s="708"/>
      <c r="U5908" s="472"/>
      <c r="V5908" s="167"/>
      <c r="W5908" s="446"/>
      <c r="X5908" s="456"/>
      <c r="Y5908" s="436"/>
      <c r="Z5908" s="437"/>
      <c r="AA5908" s="560"/>
      <c r="AB5908" s="561"/>
      <c r="AC5908" s="87"/>
      <c r="AD5908" s="466"/>
      <c r="AE5908" s="456"/>
      <c r="AF5908" s="467"/>
      <c r="AG5908" s="87"/>
      <c r="AH5908" s="87"/>
      <c r="AI5908" s="87"/>
    </row>
    <row r="5909" spans="1:35" hidden="1">
      <c r="A5909" s="80" t="e">
        <f>"G"&amp;E5899</f>
        <v>#N/A</v>
      </c>
      <c r="B5909" s="105">
        <v>7</v>
      </c>
      <c r="C5909" s="107"/>
      <c r="D5909" s="107"/>
      <c r="E5909" s="107"/>
      <c r="F5909" s="107"/>
      <c r="G5909" s="83"/>
      <c r="H5909" s="83"/>
      <c r="I5909" s="84"/>
      <c r="J5909" s="85"/>
      <c r="K5909" s="382"/>
      <c r="L5909" s="85"/>
      <c r="M5909" s="332" t="str">
        <f t="shared" si="1753"/>
        <v/>
      </c>
      <c r="N5909" s="86"/>
      <c r="O5909" s="86" t="str">
        <f t="shared" si="1755"/>
        <v/>
      </c>
      <c r="P5909" s="538" t="str">
        <f t="shared" si="1756"/>
        <v/>
      </c>
      <c r="Q5909" s="539" t="str">
        <f t="shared" si="1754"/>
        <v/>
      </c>
      <c r="R5909" s="706"/>
      <c r="S5909" s="707"/>
      <c r="T5909" s="708"/>
      <c r="U5909" s="472"/>
      <c r="V5909" s="167"/>
      <c r="W5909" s="446"/>
      <c r="X5909" s="456"/>
      <c r="Y5909" s="436"/>
      <c r="Z5909" s="437"/>
      <c r="AA5909" s="560"/>
      <c r="AB5909" s="561"/>
      <c r="AC5909" s="87"/>
      <c r="AD5909" s="466"/>
      <c r="AE5909" s="456"/>
      <c r="AF5909" s="467"/>
      <c r="AG5909" s="87"/>
      <c r="AH5909" s="87"/>
      <c r="AI5909" s="87"/>
    </row>
    <row r="5910" spans="1:35" hidden="1">
      <c r="A5910" s="80" t="e">
        <f>"H"&amp;E5899</f>
        <v>#N/A</v>
      </c>
      <c r="B5910" s="105">
        <v>8</v>
      </c>
      <c r="C5910" s="107"/>
      <c r="D5910" s="107"/>
      <c r="E5910" s="107"/>
      <c r="F5910" s="107"/>
      <c r="G5910" s="83"/>
      <c r="H5910" s="83"/>
      <c r="I5910" s="84"/>
      <c r="J5910" s="85"/>
      <c r="K5910" s="382"/>
      <c r="L5910" s="85"/>
      <c r="M5910" s="332" t="str">
        <f t="shared" si="1753"/>
        <v/>
      </c>
      <c r="N5910" s="453"/>
      <c r="O5910" s="86" t="str">
        <f t="shared" si="1755"/>
        <v/>
      </c>
      <c r="P5910" s="538" t="str">
        <f t="shared" si="1756"/>
        <v/>
      </c>
      <c r="Q5910" s="539" t="str">
        <f t="shared" si="1754"/>
        <v/>
      </c>
      <c r="R5910" s="706"/>
      <c r="S5910" s="707"/>
      <c r="T5910" s="708"/>
      <c r="U5910" s="472"/>
      <c r="V5910" s="167"/>
      <c r="W5910" s="446"/>
      <c r="X5910" s="456"/>
      <c r="Y5910" s="436"/>
      <c r="Z5910" s="437"/>
      <c r="AA5910" s="560"/>
      <c r="AB5910" s="561"/>
      <c r="AC5910" s="87"/>
      <c r="AD5910" s="466"/>
      <c r="AE5910" s="456"/>
      <c r="AF5910" s="467"/>
      <c r="AG5910" s="87"/>
      <c r="AH5910" s="87"/>
      <c r="AI5910" s="87"/>
    </row>
    <row r="5911" spans="1:35" hidden="1">
      <c r="A5911" s="80" t="e">
        <f>"I"&amp;E5899</f>
        <v>#N/A</v>
      </c>
      <c r="B5911" s="105">
        <v>9</v>
      </c>
      <c r="C5911" s="107"/>
      <c r="D5911" s="107"/>
      <c r="E5911" s="107"/>
      <c r="F5911" s="107"/>
      <c r="G5911" s="83"/>
      <c r="H5911" s="83"/>
      <c r="I5911" s="84"/>
      <c r="J5911" s="85"/>
      <c r="K5911" s="382"/>
      <c r="L5911" s="85"/>
      <c r="M5911" s="332" t="str">
        <f t="shared" si="1753"/>
        <v/>
      </c>
      <c r="N5911" s="453"/>
      <c r="O5911" s="86" t="str">
        <f t="shared" si="1755"/>
        <v/>
      </c>
      <c r="P5911" s="538" t="str">
        <f t="shared" si="1756"/>
        <v/>
      </c>
      <c r="Q5911" s="539" t="str">
        <f t="shared" si="1754"/>
        <v/>
      </c>
      <c r="R5911" s="706"/>
      <c r="S5911" s="707"/>
      <c r="T5911" s="708"/>
      <c r="U5911" s="472"/>
      <c r="V5911" s="167"/>
      <c r="W5911" s="446"/>
      <c r="X5911" s="456"/>
      <c r="Y5911" s="436"/>
      <c r="Z5911" s="437"/>
      <c r="AA5911" s="560"/>
      <c r="AB5911" s="561"/>
      <c r="AC5911" s="87"/>
      <c r="AD5911" s="466"/>
      <c r="AE5911" s="456"/>
      <c r="AF5911" s="467"/>
      <c r="AG5911" s="87"/>
      <c r="AH5911" s="87"/>
      <c r="AI5911" s="87"/>
    </row>
    <row r="5912" spans="1:35" hidden="1">
      <c r="A5912" s="80" t="e">
        <f>"J"&amp;E5899</f>
        <v>#N/A</v>
      </c>
      <c r="B5912" s="105">
        <v>10</v>
      </c>
      <c r="C5912" s="107"/>
      <c r="D5912" s="107"/>
      <c r="E5912" s="107"/>
      <c r="F5912" s="107"/>
      <c r="G5912" s="83"/>
      <c r="H5912" s="83"/>
      <c r="I5912" s="84"/>
      <c r="J5912" s="85"/>
      <c r="K5912" s="382"/>
      <c r="L5912" s="85"/>
      <c r="M5912" s="332" t="str">
        <f t="shared" si="1753"/>
        <v/>
      </c>
      <c r="N5912" s="453"/>
      <c r="O5912" s="86" t="str">
        <f t="shared" si="1755"/>
        <v/>
      </c>
      <c r="P5912" s="538" t="str">
        <f t="shared" si="1756"/>
        <v/>
      </c>
      <c r="Q5912" s="539" t="str">
        <f t="shared" si="1754"/>
        <v/>
      </c>
      <c r="R5912" s="706"/>
      <c r="S5912" s="707"/>
      <c r="T5912" s="708"/>
      <c r="U5912" s="472"/>
      <c r="V5912" s="167"/>
      <c r="W5912" s="446"/>
      <c r="X5912" s="456"/>
      <c r="Y5912" s="436"/>
      <c r="Z5912" s="437"/>
      <c r="AA5912" s="560"/>
      <c r="AB5912" s="561"/>
      <c r="AC5912" s="87"/>
      <c r="AD5912" s="466"/>
      <c r="AE5912" s="456"/>
      <c r="AF5912" s="467"/>
      <c r="AG5912" s="87"/>
      <c r="AH5912" s="87"/>
      <c r="AI5912" s="87"/>
    </row>
    <row r="5913" spans="1:35" ht="16.5" hidden="1" thickBot="1">
      <c r="A5913" s="44"/>
      <c r="B5913" s="89"/>
      <c r="C5913" s="90"/>
      <c r="D5913" s="90"/>
      <c r="E5913" s="90"/>
      <c r="F5913" s="90"/>
      <c r="G5913" s="90"/>
      <c r="H5913" s="90"/>
      <c r="I5913" s="90"/>
      <c r="J5913" s="90"/>
      <c r="K5913" s="90"/>
      <c r="L5913" s="90"/>
      <c r="M5913" s="90"/>
      <c r="N5913" s="90"/>
      <c r="O5913" s="90"/>
      <c r="P5913" s="90"/>
      <c r="Q5913" s="90"/>
      <c r="R5913" s="90"/>
      <c r="S5913" s="91"/>
      <c r="T5913" s="92"/>
      <c r="U5913" s="473"/>
      <c r="W5913" s="438"/>
      <c r="X5913" s="455"/>
      <c r="Y5913" s="439"/>
      <c r="Z5913" s="437"/>
      <c r="AA5913" s="530"/>
      <c r="AB5913" s="563"/>
      <c r="AC5913" s="87"/>
      <c r="AD5913" s="440"/>
      <c r="AE5913" s="441"/>
      <c r="AF5913" s="442"/>
      <c r="AG5913" s="49"/>
      <c r="AH5913" s="87"/>
      <c r="AI5913" s="87"/>
    </row>
    <row r="5914" spans="1:35" ht="16.5" hidden="1" thickBot="1">
      <c r="A5914" s="93"/>
      <c r="B5914" s="94"/>
      <c r="C5914" s="96"/>
      <c r="D5914" s="96"/>
      <c r="E5914" s="96"/>
      <c r="F5914" s="96"/>
      <c r="G5914" s="96"/>
      <c r="H5914" s="96"/>
      <c r="I5914" s="96"/>
      <c r="J5914" s="96"/>
      <c r="K5914" s="96"/>
      <c r="L5914" s="96"/>
      <c r="M5914" s="136"/>
      <c r="N5914" s="96"/>
      <c r="O5914" s="96"/>
      <c r="P5914" s="97"/>
      <c r="Q5914" s="97"/>
      <c r="R5914" s="98"/>
      <c r="S5914" s="95"/>
      <c r="T5914" s="99"/>
      <c r="U5914" s="469"/>
      <c r="AC5914" s="58"/>
      <c r="AG5914" s="58"/>
      <c r="AH5914" s="87"/>
      <c r="AI5914" s="87"/>
    </row>
    <row r="5915" spans="1:35" ht="16.5" hidden="1" thickBot="1">
      <c r="B5915" s="101"/>
      <c r="C5915" s="101"/>
      <c r="D5915" s="101"/>
      <c r="E5915" s="101"/>
      <c r="F5915" s="101"/>
      <c r="G5915" s="101"/>
      <c r="H5915" s="101"/>
      <c r="I5915" s="101"/>
      <c r="J5915" s="101"/>
      <c r="K5915" s="101"/>
      <c r="L5915" s="101"/>
      <c r="M5915" s="101"/>
      <c r="N5915" s="101"/>
      <c r="O5915" s="101"/>
      <c r="P5915" s="101"/>
      <c r="Q5915" s="101"/>
      <c r="R5915" s="101"/>
      <c r="S5915" s="101"/>
      <c r="U5915" s="50"/>
      <c r="AH5915" s="87"/>
      <c r="AI5915" s="87"/>
    </row>
    <row r="5916" spans="1:35" ht="16.5" hidden="1" customHeight="1" thickBot="1">
      <c r="A5916" s="44"/>
      <c r="B5916" s="705" t="s">
        <v>74</v>
      </c>
      <c r="C5916" s="705"/>
      <c r="D5916" s="705"/>
      <c r="E5916" s="705"/>
      <c r="F5916" s="705"/>
      <c r="G5916" s="705"/>
      <c r="H5916" s="705"/>
      <c r="I5916" s="705"/>
      <c r="J5916" s="705"/>
      <c r="K5916" s="705"/>
      <c r="L5916" s="705"/>
      <c r="M5916" s="705"/>
      <c r="N5916" s="705"/>
      <c r="O5916" s="705"/>
      <c r="P5916" s="705"/>
      <c r="Q5916" s="705"/>
      <c r="R5916" s="705"/>
      <c r="S5916" s="705"/>
      <c r="T5916" s="705"/>
      <c r="U5916" s="108"/>
      <c r="Y5916" s="532" t="s">
        <v>341</v>
      </c>
      <c r="AC5916" s="49"/>
      <c r="AD5916" s="687" t="s">
        <v>302</v>
      </c>
      <c r="AE5916" s="688"/>
      <c r="AF5916" s="689"/>
      <c r="AG5916" s="49"/>
      <c r="AH5916" s="87"/>
      <c r="AI5916" s="87"/>
    </row>
    <row r="5917" spans="1:35" ht="16.5" hidden="1" customHeight="1" thickBot="1">
      <c r="A5917" s="218" t="e">
        <f>"K"&amp;E5899</f>
        <v>#N/A</v>
      </c>
      <c r="B5917" s="701" t="s">
        <v>71</v>
      </c>
      <c r="C5917" s="751" t="s">
        <v>102</v>
      </c>
      <c r="D5917" s="751"/>
      <c r="E5917" s="751"/>
      <c r="F5917" s="751"/>
      <c r="G5917" s="751"/>
      <c r="H5917" s="751"/>
      <c r="I5917" s="751"/>
      <c r="J5917" s="751"/>
      <c r="K5917" s="751"/>
      <c r="L5917" s="722" t="s">
        <v>100</v>
      </c>
      <c r="M5917" s="747" t="s">
        <v>114</v>
      </c>
      <c r="N5917" s="747"/>
      <c r="O5917" s="747"/>
      <c r="P5917" s="747"/>
      <c r="Q5917" s="748"/>
      <c r="R5917" s="758" t="s">
        <v>280</v>
      </c>
      <c r="S5917" s="748"/>
      <c r="T5917" s="762" t="str">
        <f>IF(COUNTIF(AE5917:AF5917,"VERIFICAR")&gt;0,"VERIFICAR",IF(COUNTIF(AE5917:AF5917,"NO CUMPLE")&gt;0,"NO CUMPLE","CUMPLE"))</f>
        <v>VERIFICAR</v>
      </c>
      <c r="U5917" s="108"/>
      <c r="Y5917" s="533" t="e">
        <f>IF(F5918="","",IF(F5918=1,"INDIVIDUAL","ESTRUCTURA PLURAL"))</f>
        <v>#N/A</v>
      </c>
      <c r="AC5917" s="52"/>
      <c r="AD5917" s="475" t="s">
        <v>303</v>
      </c>
      <c r="AE5917" s="476" t="str">
        <f>IF(COUNTIF(AE5903:AE5912,"")=10,"VERIFICAR",IF(COUNTIF(AE5903:AE5912,"SI")&gt;0,"CUMPLE","NO CUMPLE"))</f>
        <v>VERIFICAR</v>
      </c>
      <c r="AF5917" s="477" t="str">
        <f>IF(COUNTIF(AF5903:AF5912,"")=10,"VERIFICAR",IF(COUNTIF(AF5903:AF5912,"SI")&gt;=$AI$22,"CUMPLE","NO CUMPLE"))</f>
        <v>VERIFICAR</v>
      </c>
      <c r="AG5917" s="52"/>
      <c r="AH5917" s="87"/>
      <c r="AI5917" s="87"/>
    </row>
    <row r="5918" spans="1:35" ht="15.75" hidden="1" customHeight="1" thickBot="1">
      <c r="A5918" s="218" t="e">
        <f>"L"&amp;E5899</f>
        <v>#N/A</v>
      </c>
      <c r="B5918" s="702"/>
      <c r="C5918" s="751" t="s">
        <v>103</v>
      </c>
      <c r="D5918" s="751"/>
      <c r="E5918" s="752"/>
      <c r="F5918" s="557" t="e">
        <f>IF(VLOOKUP(E5899,PROPONENTES!$C$19:$E$218,3,0)="","",VLOOKUP(E5899,PROPONENTES!$C$19:$E$218,3,0))</f>
        <v>#N/A</v>
      </c>
      <c r="G5918" s="753" t="s">
        <v>104</v>
      </c>
      <c r="H5918" s="751"/>
      <c r="I5918" s="715" t="e">
        <f>IF(OR(F5918="",F5918=1),"INTERESADO PERSONA NATURAL O JURIDICA","CONSORCIO O UNION TEMPORAL")</f>
        <v>#N/A</v>
      </c>
      <c r="J5918" s="725"/>
      <c r="K5918" s="728"/>
      <c r="L5918" s="723"/>
      <c r="M5918" s="749"/>
      <c r="N5918" s="749"/>
      <c r="O5918" s="749"/>
      <c r="P5918" s="749"/>
      <c r="Q5918" s="750"/>
      <c r="R5918" s="712"/>
      <c r="S5918" s="750"/>
      <c r="T5918" s="763"/>
      <c r="U5918" s="108"/>
      <c r="Y5918" s="534"/>
      <c r="AA5918" s="52"/>
      <c r="AB5918" s="52"/>
      <c r="AC5918" s="52"/>
      <c r="AG5918" s="52"/>
      <c r="AH5918" s="87"/>
      <c r="AI5918" s="87"/>
    </row>
    <row r="5919" spans="1:35" ht="56.25" hidden="1" customHeight="1" thickBot="1">
      <c r="A5919" s="218" t="e">
        <f>"M"&amp;E5899</f>
        <v>#N/A</v>
      </c>
      <c r="B5919" s="702"/>
      <c r="C5919" s="725" t="s">
        <v>101</v>
      </c>
      <c r="D5919" s="716"/>
      <c r="E5919" s="558" t="s">
        <v>105</v>
      </c>
      <c r="F5919" s="554" t="s">
        <v>87</v>
      </c>
      <c r="G5919" s="553" t="s">
        <v>86</v>
      </c>
      <c r="H5919" s="559" t="s">
        <v>85</v>
      </c>
      <c r="I5919" s="554" t="s">
        <v>252</v>
      </c>
      <c r="J5919" s="553" t="str">
        <f>"¿EL INTEGRANTE TIENE UNA PARTICIPACIÓN DEL "&amp;PORCREQUERIDOINT*100&amp;"%?"</f>
        <v>¿EL INTEGRANTE TIENE UNA PARTICIPACIÓN DEL 60%?</v>
      </c>
      <c r="K5919" s="554" t="s">
        <v>107</v>
      </c>
      <c r="L5919" s="724"/>
      <c r="M5919" s="717" t="s">
        <v>115</v>
      </c>
      <c r="N5919" s="718"/>
      <c r="O5919" s="718"/>
      <c r="P5919" s="718"/>
      <c r="Q5919" s="223">
        <f>IF(AND(H5903="SI",P5903&gt;=0),1,0)+IF(AND(H5904="SI",P5904&gt;=0),1,0)+IF(AND(H5905="SI",P5905&gt;=0),1,0)+IF(AND(H5906="SI",P5906&gt;=0),1,0)+IF(AND(H5907="SI",P5907&gt;=0),1,0)+IF(AND(H5908="SI",P5908&gt;=0),1,0)+IF(AND(H5909="SI",P5909&gt;=0),1,0)+IF(AND(H5910="SI",P5910&gt;=0),1,0)+IF(AND(H5911="SI",P5911&gt;=0),1,0)+IF(AND(H5912="SI",P5912&gt;=0),1,0)</f>
        <v>0</v>
      </c>
      <c r="R5919" s="759"/>
      <c r="S5919" s="761"/>
      <c r="T5919" s="764"/>
      <c r="U5919" s="219"/>
      <c r="V5919" s="464"/>
      <c r="Y5919" s="532" t="s">
        <v>342</v>
      </c>
      <c r="AA5919" s="550" t="s">
        <v>344</v>
      </c>
      <c r="AB5919" s="693" t="s">
        <v>345</v>
      </c>
      <c r="AC5919" s="693" t="s">
        <v>346</v>
      </c>
      <c r="AD5919" s="685" t="s">
        <v>347</v>
      </c>
      <c r="AE5919" s="52"/>
      <c r="AF5919" s="52"/>
      <c r="AG5919" s="52"/>
      <c r="AH5919" s="87"/>
      <c r="AI5919" s="87"/>
    </row>
    <row r="5920" spans="1:35" ht="15.75" hidden="1" customHeight="1" thickBot="1">
      <c r="A5920" s="218" t="e">
        <f>"N"&amp;E5899</f>
        <v>#N/A</v>
      </c>
      <c r="B5920" s="702"/>
      <c r="C5920" s="114">
        <v>1</v>
      </c>
      <c r="D5920" s="194" t="e">
        <f>IF(AND(C5920&lt;=F5918,F5918&gt;1,F5918&lt;&gt;""),VLOOKUP(VALUE(E5899&amp;","&amp;C5920),INTEGRANTES!$D$18:$F$235,2,0),"")</f>
        <v>#N/A</v>
      </c>
      <c r="E5920" s="211" t="e">
        <f>IF(D5920&lt;&gt;"",VLOOKUP(VALUE(E5899&amp;","&amp;C5920),INTEGRANTES!$D$18:$F$235,3,0),"")</f>
        <v>#N/A</v>
      </c>
      <c r="F5920" s="547" t="e">
        <f>IF(D5920="","",SUMIF($I5903:$I5912,D5920,$P5903:$P5912))</f>
        <v>#N/A</v>
      </c>
      <c r="G5920" s="333" t="e">
        <f>IF(D5920="","",SUMIF($I5903:$I5912,D5920,$M5903:$M5912))</f>
        <v>#N/A</v>
      </c>
      <c r="H5920" s="535" t="e">
        <f t="shared" ref="H5920:H5925" si="1757">IF(D5920="","",IF(OR(F5920=0,G5920=0),"NO APORTA",ROUND($F5920/$G5920,3)))</f>
        <v>#N/A</v>
      </c>
      <c r="I5920" s="212" t="e">
        <f>IF(D5920="","",IF(H5920="NO APORTA","NO",IF(H5920=MAX($H5920:$H5925),"SI","NO")))</f>
        <v>#N/A</v>
      </c>
      <c r="J5920" s="213" t="e">
        <f t="shared" ref="J5920:J5925" si="1758">IF(D5920="","",IF(E5920&gt;=PORCREQUERIDOINT,"SI","NO"))</f>
        <v>#N/A</v>
      </c>
      <c r="K5920" s="200" t="e">
        <f t="shared" ref="K5920:K5925" si="1759">IF(D5920="","",IF(AND(I5920="SI",J5920="SI"),"CUMPLE",IF(AND(I5920="NO",OR(J5920="SI",J5920="NO")),"","NO CUMPLE")))</f>
        <v>#N/A</v>
      </c>
      <c r="L5920" s="722" t="s">
        <v>108</v>
      </c>
      <c r="M5920" s="726" t="s">
        <v>119</v>
      </c>
      <c r="N5920" s="726"/>
      <c r="O5920" s="726"/>
      <c r="P5920" s="726"/>
      <c r="Q5920" s="727"/>
      <c r="R5920" s="758" t="s">
        <v>80</v>
      </c>
      <c r="S5920" s="747"/>
      <c r="T5920" s="748"/>
      <c r="U5920" s="219"/>
      <c r="V5920" s="464"/>
      <c r="Y5920" s="533" t="e">
        <f>IF(Y5917="","",IF(Y5917="INDIVIDUAL","NO APLICA","VERIFICAR CUADRO"))</f>
        <v>#N/A</v>
      </c>
      <c r="AA5920" s="551"/>
      <c r="AB5920" s="694"/>
      <c r="AC5920" s="694"/>
      <c r="AD5920" s="686"/>
      <c r="AE5920" s="52"/>
      <c r="AF5920" s="52"/>
      <c r="AG5920" s="52"/>
      <c r="AH5920" s="87"/>
      <c r="AI5920" s="87"/>
    </row>
    <row r="5921" spans="1:35" ht="27" hidden="1" customHeight="1" thickBot="1">
      <c r="A5921" s="218" t="e">
        <f>"O"&amp;E5899</f>
        <v>#N/A</v>
      </c>
      <c r="B5921" s="702"/>
      <c r="C5921" s="114">
        <v>2</v>
      </c>
      <c r="D5921" s="194" t="e">
        <f>IF(AND(C5921&lt;=F5918,F5918&lt;&gt;""),VLOOKUP(VALUE(E5899&amp;","&amp;C5921),INTEGRANTES!$D$18:$F$235,2,0),"")</f>
        <v>#N/A</v>
      </c>
      <c r="E5921" s="211" t="e">
        <f>IF(D5921&lt;&gt;"",VLOOKUP(VALUE(E5899&amp;","&amp;C5921),INTEGRANTES!$D$18:$F$235,3,0),"")</f>
        <v>#N/A</v>
      </c>
      <c r="F5921" s="547" t="e">
        <f>IF(D5921="","",SUMIF($I5903:$I5912,D5921,$P5903:$P5912))</f>
        <v>#N/A</v>
      </c>
      <c r="G5921" s="333" t="e">
        <f>IF(D5921="","",SUMIF($I5903:$I5912,D5921,$M5903:$M5912))</f>
        <v>#N/A</v>
      </c>
      <c r="H5921" s="535" t="e">
        <f t="shared" si="1757"/>
        <v>#N/A</v>
      </c>
      <c r="I5921" s="212" t="e">
        <f>IF(D5921="","",IF(H5921="NO APORTA","NO",IF(H5921=MAX($H5920:$H5925),"SI","NO")))</f>
        <v>#N/A</v>
      </c>
      <c r="J5921" s="213" t="e">
        <f t="shared" si="1758"/>
        <v>#N/A</v>
      </c>
      <c r="K5921" s="200" t="e">
        <f t="shared" si="1759"/>
        <v>#N/A</v>
      </c>
      <c r="L5921" s="723"/>
      <c r="M5921" s="715" t="s">
        <v>116</v>
      </c>
      <c r="N5921" s="716"/>
      <c r="O5921" s="556" t="s">
        <v>113</v>
      </c>
      <c r="P5921" s="715" t="s">
        <v>117</v>
      </c>
      <c r="Q5921" s="728"/>
      <c r="R5921" s="759"/>
      <c r="S5921" s="760"/>
      <c r="T5921" s="761"/>
      <c r="U5921" s="219"/>
      <c r="V5921" s="464"/>
      <c r="Y5921" s="414"/>
      <c r="AA5921" s="542" t="e">
        <f>IF(AND(C5920&lt;=F5918,F5918&gt;1,F5918&lt;&gt;""),VLOOKUP(VALUE(E5899&amp;","&amp;C5920),INTEGRANTES!$D$18:$F$235,2,0),"")</f>
        <v>#N/A</v>
      </c>
      <c r="AB5921" s="544" t="e">
        <f t="shared" ref="AB5921:AB5926" si="1760">IF(D5920="","",IF(OR(F5920=0,G5920=0),"NO APORTA",ROUND($F5920/$G5920,3)))</f>
        <v>#N/A</v>
      </c>
      <c r="AC5921" s="529"/>
      <c r="AD5921" s="200" t="e">
        <f t="shared" ref="AD5921:AD5926" si="1761">IF(OR(AA5921="",AB5921=""),"",IF(AND(AC5921="X",AB5921&gt;=EXPREQVTD),"CUMPLE","NO CUMPLE"))</f>
        <v>#N/A</v>
      </c>
      <c r="AE5921" s="52"/>
      <c r="AF5921" s="52"/>
      <c r="AG5921" s="52"/>
      <c r="AH5921" s="87"/>
      <c r="AI5921" s="87"/>
    </row>
    <row r="5922" spans="1:35" ht="16.5" hidden="1" thickBot="1">
      <c r="A5922" s="218" t="e">
        <f>"P"&amp;E5899</f>
        <v>#N/A</v>
      </c>
      <c r="B5922" s="702"/>
      <c r="C5922" s="114">
        <v>3</v>
      </c>
      <c r="D5922" s="194" t="e">
        <f>IF(AND(C5922&lt;=F5918,F5918&lt;&gt;""),VLOOKUP(VALUE(E5899&amp;","&amp;C5922),INTEGRANTES!$D$18:$F$235,2,0),"")</f>
        <v>#N/A</v>
      </c>
      <c r="E5922" s="211" t="e">
        <f>IF(D5922&lt;&gt;"",VLOOKUP(VALUE(E5899&amp;","&amp;C5922),INTEGRANTES!$D$18:$F$235,3,0),"")</f>
        <v>#N/A</v>
      </c>
      <c r="F5922" s="547" t="e">
        <f>IF(D5922="","",SUMIF($I5903:$I5912,D5922,$P5903:$P5912))</f>
        <v>#N/A</v>
      </c>
      <c r="G5922" s="333" t="e">
        <f>IF(D5922="","",SUMIF($I5903:$I5912,D5922,$M5903:$M5912))</f>
        <v>#N/A</v>
      </c>
      <c r="H5922" s="535" t="e">
        <f t="shared" si="1757"/>
        <v>#N/A</v>
      </c>
      <c r="I5922" s="212" t="e">
        <f>IF(D5922="","",IF(H5922="NO APORTA","NO",IF(H5922=MAX($H5920:$H5925),"SI","NO")))</f>
        <v>#N/A</v>
      </c>
      <c r="J5922" s="213" t="e">
        <f t="shared" si="1758"/>
        <v>#N/A</v>
      </c>
      <c r="K5922" s="200" t="e">
        <f t="shared" si="1759"/>
        <v>#N/A</v>
      </c>
      <c r="L5922" s="724"/>
      <c r="M5922" s="729">
        <f>NUMMOD</f>
        <v>1</v>
      </c>
      <c r="N5922" s="730"/>
      <c r="O5922" s="443">
        <f>IF(M5922="","",VLOOKUP(M5922,PRESUPUESTOS!$B$16:$H$16,5,FALSE))</f>
        <v>2</v>
      </c>
      <c r="P5922" s="713">
        <f>IF(OR(COUNTIF(M5903:M5912,"")&gt;=10,Q5919&lt;NUMMINCONT,OR(T5917="NO CUMPLE",T5917="VERIFICAR")),0,ROUND(AVERAGE(M5903:M5912),3))</f>
        <v>0</v>
      </c>
      <c r="Q5922" s="714"/>
      <c r="R5922" s="458"/>
      <c r="S5922" s="459"/>
      <c r="T5922" s="460"/>
      <c r="U5922" s="219"/>
      <c r="V5922" s="464"/>
      <c r="Y5922" s="532" t="str">
        <f>"40% * ("&amp;PRESUPUESTOS!$H$13&amp;")"</f>
        <v>40% * (50% PFMO)</v>
      </c>
      <c r="AA5922" s="540" t="e">
        <f>IF(AND(C5921&lt;=F5918,F5918&lt;&gt;""),VLOOKUP(VALUE(E5899&amp;","&amp;C5921),INTEGRANTES!$D$18:$F$235,2,0),"")</f>
        <v>#N/A</v>
      </c>
      <c r="AB5922" s="545" t="e">
        <f t="shared" si="1760"/>
        <v>#N/A</v>
      </c>
      <c r="AC5922" s="529"/>
      <c r="AD5922" s="200" t="e">
        <f t="shared" si="1761"/>
        <v>#N/A</v>
      </c>
      <c r="AE5922" s="52"/>
      <c r="AF5922" s="52"/>
      <c r="AG5922" s="52"/>
      <c r="AH5922" s="87"/>
      <c r="AI5922" s="87"/>
    </row>
    <row r="5923" spans="1:35" ht="15.75" hidden="1" customHeight="1" thickBot="1">
      <c r="A5923" s="218" t="e">
        <f>"Q"&amp;E5899</f>
        <v>#N/A</v>
      </c>
      <c r="B5923" s="702"/>
      <c r="C5923" s="114">
        <v>4</v>
      </c>
      <c r="D5923" s="194" t="e">
        <f>IF(AND(C5923&lt;=F5918,F5918&lt;&gt;""),VLOOKUP(VALUE(E5899&amp;","&amp;C5923),INTEGRANTES!$D$18:$F$235,2,0),"")</f>
        <v>#N/A</v>
      </c>
      <c r="E5923" s="211" t="e">
        <f>IF(D5923&lt;&gt;"",VLOOKUP(VALUE(E5899&amp;","&amp;C5923),INTEGRANTES!$D$18:$F$235,3,0),"")</f>
        <v>#N/A</v>
      </c>
      <c r="F5923" s="547" t="e">
        <f>IF(D5923="","",SUMIF($I5903:$I5912,D5923,$P5903:$P5912))</f>
        <v>#N/A</v>
      </c>
      <c r="G5923" s="333" t="e">
        <f>IF(D5923="","",SUMIF($I5903:$I5912,D5923,$M5903:$M5912))</f>
        <v>#N/A</v>
      </c>
      <c r="H5923" s="535" t="e">
        <f t="shared" si="1757"/>
        <v>#N/A</v>
      </c>
      <c r="I5923" s="212" t="e">
        <f>IF(D5923="","",IF(H5923="NO APORTA","NO",IF(H5923=MAX($H5920:$H5925),"SI","NO")))</f>
        <v>#N/A</v>
      </c>
      <c r="J5923" s="213" t="e">
        <f t="shared" si="1758"/>
        <v>#N/A</v>
      </c>
      <c r="K5923" s="200" t="e">
        <f t="shared" si="1759"/>
        <v>#N/A</v>
      </c>
      <c r="L5923" s="720" t="s">
        <v>109</v>
      </c>
      <c r="M5923" s="757" t="s">
        <v>120</v>
      </c>
      <c r="N5923" s="726"/>
      <c r="O5923" s="726"/>
      <c r="P5923" s="726"/>
      <c r="Q5923" s="727"/>
      <c r="R5923" s="458"/>
      <c r="S5923" s="459"/>
      <c r="T5923" s="460"/>
      <c r="U5923" s="219"/>
      <c r="V5923" s="464"/>
      <c r="Y5923" s="537">
        <f>0.4*PRESUPUESTOS!$H$16</f>
        <v>10.3124</v>
      </c>
      <c r="AA5923" s="540" t="e">
        <f>IF(AND(C5922&lt;=F5918,F5918&lt;&gt;""),VLOOKUP(VALUE(E5899&amp;","&amp;C5922),INTEGRANTES!$D$18:$F$235,2,0),"")</f>
        <v>#N/A</v>
      </c>
      <c r="AB5923" s="545" t="e">
        <f t="shared" si="1760"/>
        <v>#N/A</v>
      </c>
      <c r="AC5923" s="529"/>
      <c r="AD5923" s="200" t="e">
        <f t="shared" si="1761"/>
        <v>#N/A</v>
      </c>
      <c r="AE5923" s="52"/>
      <c r="AF5923" s="52"/>
      <c r="AG5923" s="52"/>
      <c r="AH5923" s="87"/>
      <c r="AI5923" s="87"/>
    </row>
    <row r="5924" spans="1:35" ht="27" hidden="1" customHeight="1" thickBot="1">
      <c r="A5924" s="218" t="e">
        <f>"R"&amp;E5899</f>
        <v>#N/A</v>
      </c>
      <c r="B5924" s="702"/>
      <c r="C5924" s="114">
        <v>5</v>
      </c>
      <c r="D5924" s="194" t="e">
        <f>IF(AND(C5924&lt;=F5918,F5918&lt;&gt;""),VLOOKUP(VALUE(E5899&amp;","&amp;C5924),INTEGRANTES!$D$18:$F$235,2,0),"")</f>
        <v>#N/A</v>
      </c>
      <c r="E5924" s="211" t="e">
        <f>IF(D5924&lt;&gt;"",VLOOKUP(VALUE(E5899&amp;","&amp;C5924),INTEGRANTES!$D$18:$F$235,3,0),"")</f>
        <v>#N/A</v>
      </c>
      <c r="F5924" s="547" t="e">
        <f>IF(D5924="","",SUMIF($I5903:$I5912,D5924,$P5903:$P5912))</f>
        <v>#N/A</v>
      </c>
      <c r="G5924" s="333" t="e">
        <f>IF(D5924="","",SUMIF($I5903:$I5912,D5924,$M5903:$M5912))</f>
        <v>#N/A</v>
      </c>
      <c r="H5924" s="535" t="e">
        <f t="shared" si="1757"/>
        <v>#N/A</v>
      </c>
      <c r="I5924" s="212" t="e">
        <f>IF(D5924="","",IF(H5924="NO APORTA","NO",IF(H5924=MAX($H5920:$H5925),"SI","NO")))</f>
        <v>#N/A</v>
      </c>
      <c r="J5924" s="213" t="e">
        <f t="shared" si="1758"/>
        <v>#N/A</v>
      </c>
      <c r="K5924" s="200" t="e">
        <f t="shared" si="1759"/>
        <v>#N/A</v>
      </c>
      <c r="L5924" s="721"/>
      <c r="M5924" s="715" t="s">
        <v>116</v>
      </c>
      <c r="N5924" s="716"/>
      <c r="O5924" s="556" t="str">
        <f>PORCREQUERIDO*100&amp;"% PMFO DEL MÓDULO"</f>
        <v>50% PMFO DEL MÓDULO</v>
      </c>
      <c r="P5924" s="715" t="s">
        <v>118</v>
      </c>
      <c r="Q5924" s="728"/>
      <c r="R5924" s="458"/>
      <c r="S5924" s="459"/>
      <c r="T5924" s="460"/>
      <c r="U5924" s="219"/>
      <c r="V5924" s="464"/>
      <c r="Y5924" s="414"/>
      <c r="AA5924" s="540" t="e">
        <f>IF(AND(C5923&lt;=F5918,F5918&lt;&gt;""),VLOOKUP(VALUE(E5899&amp;","&amp;C5923),INTEGRANTES!$D$18:$F$235,2,0),"")</f>
        <v>#N/A</v>
      </c>
      <c r="AB5924" s="545" t="e">
        <f t="shared" si="1760"/>
        <v>#N/A</v>
      </c>
      <c r="AC5924" s="529"/>
      <c r="AD5924" s="200" t="e">
        <f t="shared" si="1761"/>
        <v>#N/A</v>
      </c>
      <c r="AE5924" s="52"/>
      <c r="AF5924" s="52"/>
      <c r="AG5924" s="52"/>
      <c r="AH5924" s="87"/>
      <c r="AI5924" s="87"/>
    </row>
    <row r="5925" spans="1:35" ht="16.5" hidden="1" thickBot="1">
      <c r="A5925" s="218" t="e">
        <f>"S"&amp;E5899</f>
        <v>#N/A</v>
      </c>
      <c r="B5925" s="702"/>
      <c r="C5925" s="215">
        <v>6</v>
      </c>
      <c r="D5925" s="216" t="e">
        <f>IF(AND(C5925&lt;=F5918,F5918&lt;&gt;""),VLOOKUP(VALUE(E5899&amp;","&amp;C5925),INTEGRANTES!$D$18:$F$235,2,0),"")</f>
        <v>#N/A</v>
      </c>
      <c r="E5925" s="217" t="e">
        <f>IF(D5925&lt;&gt;"",VLOOKUP(VALUE(E5899&amp;","&amp;C5925),INTEGRANTES!$D$18:$F$235,3,0),"")</f>
        <v>#N/A</v>
      </c>
      <c r="F5925" s="548" t="e">
        <f>IF(D5925="","",SUMIF($I5903:$I5912,D5925,$P5903:$P5912))</f>
        <v>#N/A</v>
      </c>
      <c r="G5925" s="334" t="e">
        <f>IF(D5925="","",SUMIF($I5903:$I5912,D5925,$M5903:$M5912))</f>
        <v>#N/A</v>
      </c>
      <c r="H5925" s="536" t="e">
        <f t="shared" si="1757"/>
        <v>#N/A</v>
      </c>
      <c r="I5925" s="214" t="e">
        <f>IF(D5925="","",IF(H5925="NO APORTA","NO",IF(H5925=MAX($H5920:$H5925),"SI","NO")))</f>
        <v>#N/A</v>
      </c>
      <c r="J5925" s="213" t="e">
        <f t="shared" si="1758"/>
        <v>#N/A</v>
      </c>
      <c r="K5925" s="200" t="e">
        <f t="shared" si="1759"/>
        <v>#N/A</v>
      </c>
      <c r="L5925" s="721"/>
      <c r="M5925" s="729">
        <f>NUMMOD</f>
        <v>1</v>
      </c>
      <c r="N5925" s="730"/>
      <c r="O5925" s="443">
        <f>IF(M5925="","",ROUND(VLOOKUP(M5925,PRESUPUESTOS!$B$16:$H$16,7,FALSE),3))</f>
        <v>25.780999999999999</v>
      </c>
      <c r="P5925" s="713">
        <f>IF(OR(COUNTIF(P5903:P5912,"")&gt;=10,Q5919&lt;NUMMINCONT,OR(T5917="NO CUMPLE",T5917="VERIFICAR")),0,ROUND((SUM(P5903:P5912)/SUM(M5903:M5912)),3))</f>
        <v>0</v>
      </c>
      <c r="Q5925" s="714"/>
      <c r="R5925" s="458"/>
      <c r="S5925" s="459"/>
      <c r="T5925" s="460"/>
      <c r="U5925" s="219"/>
      <c r="V5925" s="464"/>
      <c r="Y5925" s="532" t="s">
        <v>343</v>
      </c>
      <c r="AA5925" s="540" t="e">
        <f>IF(AND(C5924&lt;=F5918,F5918&lt;&gt;""),VLOOKUP(VALUE(E5899&amp;","&amp;C5924),INTEGRANTES!$D$18:$F$235,2,0),"")</f>
        <v>#N/A</v>
      </c>
      <c r="AB5925" s="545" t="e">
        <f t="shared" si="1760"/>
        <v>#N/A</v>
      </c>
      <c r="AC5925" s="529"/>
      <c r="AD5925" s="200" t="e">
        <f t="shared" si="1761"/>
        <v>#N/A</v>
      </c>
      <c r="AE5925" s="52"/>
      <c r="AF5925" s="52"/>
      <c r="AG5925" s="52"/>
      <c r="AH5925" s="87"/>
      <c r="AI5925" s="87"/>
    </row>
    <row r="5926" spans="1:35" ht="16.5" hidden="1" customHeight="1" thickBot="1">
      <c r="A5926" s="218" t="e">
        <f>"T"&amp;E5899</f>
        <v>#N/A</v>
      </c>
      <c r="B5926" s="703"/>
      <c r="C5926" s="719"/>
      <c r="D5926" s="719"/>
      <c r="E5926" s="719"/>
      <c r="F5926" s="719"/>
      <c r="G5926" s="719"/>
      <c r="H5926" s="719" t="s">
        <v>110</v>
      </c>
      <c r="I5926" s="719"/>
      <c r="J5926" s="719"/>
      <c r="K5926" s="201" t="str">
        <f>IF(COUNTIF(K5920:K5925,"")=6,"",IF(COUNTIF(K5920:K5925,"CUMPLE")&gt;0,"CUMPLE","NO CUMPLE"))</f>
        <v>NO CUMPLE</v>
      </c>
      <c r="L5926" s="754"/>
      <c r="M5926" s="755"/>
      <c r="N5926" s="755"/>
      <c r="O5926" s="755"/>
      <c r="P5926" s="755"/>
      <c r="Q5926" s="756"/>
      <c r="R5926" s="461"/>
      <c r="S5926" s="462"/>
      <c r="T5926" s="463"/>
      <c r="U5926" s="219"/>
      <c r="V5926" s="464"/>
      <c r="Y5926" s="549" t="e">
        <f>IF(Y5920="NO APLICA","NO APLICA",IF(COUNTIF(AD5921:AD5926,"CUMPLE")&gt;0,"CUMPLE","NO CUMPLE"))</f>
        <v>#N/A</v>
      </c>
      <c r="AA5926" s="541" t="e">
        <f>IF(AND(C5925&lt;=F5918,F5918&lt;&gt;""),VLOOKUP(VALUE(E5899&amp;","&amp;C5925),INTEGRANTES!$D$18:$F$235,2,0),"")</f>
        <v>#N/A</v>
      </c>
      <c r="AB5926" s="546" t="e">
        <f t="shared" si="1760"/>
        <v>#N/A</v>
      </c>
      <c r="AC5926" s="543"/>
      <c r="AD5926" s="201" t="e">
        <f t="shared" si="1761"/>
        <v>#N/A</v>
      </c>
      <c r="AE5926" s="52"/>
      <c r="AF5926" s="52"/>
      <c r="AG5926" s="52"/>
      <c r="AH5926" s="87"/>
      <c r="AI5926" s="87"/>
    </row>
    <row r="5927" spans="1:35" hidden="1">
      <c r="AH5927" s="87"/>
      <c r="AI5927" s="87"/>
    </row>
    <row r="5928" spans="1:35" hidden="1">
      <c r="AH5928" s="87"/>
      <c r="AI5928" s="87"/>
    </row>
    <row r="5929" spans="1:35" ht="24" hidden="1" thickBot="1">
      <c r="A5929" s="61">
        <v>198</v>
      </c>
      <c r="B5929" s="704" t="s">
        <v>51</v>
      </c>
      <c r="C5929" s="704"/>
      <c r="D5929" s="704"/>
      <c r="E5929" s="62" t="e">
        <f>VLOOKUP(A5929,PROPONENTES!$B$19:$E$218,2,FALSE)</f>
        <v>#N/A</v>
      </c>
      <c r="F5929" s="63" t="e">
        <f>VLOOKUP(A5929,PROPONENTES!$B$19:$E$218,3,FALSE)</f>
        <v>#N/A</v>
      </c>
      <c r="G5929" s="64"/>
      <c r="H5929" s="64"/>
      <c r="I5929" s="63"/>
      <c r="J5929" s="63"/>
      <c r="K5929" s="65"/>
      <c r="L5929" s="65"/>
      <c r="M5929" s="64"/>
      <c r="N5929" s="64"/>
      <c r="O5929" s="66"/>
      <c r="P5929" s="66"/>
      <c r="Q5929" s="66"/>
      <c r="R5929" s="66"/>
      <c r="S5929" s="67"/>
      <c r="T5929" s="68"/>
      <c r="U5929" s="68"/>
      <c r="AC5929" s="68"/>
      <c r="AD5929" s="68"/>
      <c r="AE5929" s="68"/>
      <c r="AF5929" s="68"/>
      <c r="AG5929" s="68"/>
      <c r="AH5929" s="87"/>
      <c r="AI5929" s="87"/>
    </row>
    <row r="5930" spans="1:35" ht="15.75" hidden="1" customHeight="1">
      <c r="A5930" s="44"/>
      <c r="B5930" s="709" t="s">
        <v>59</v>
      </c>
      <c r="C5930" s="552" t="s">
        <v>60</v>
      </c>
      <c r="D5930" s="70" t="s">
        <v>17</v>
      </c>
      <c r="E5930" s="70"/>
      <c r="F5930" s="70" t="s">
        <v>61</v>
      </c>
      <c r="G5930" s="71"/>
      <c r="H5930" s="699" t="s">
        <v>62</v>
      </c>
      <c r="I5930" s="699" t="s">
        <v>18</v>
      </c>
      <c r="J5930" s="699" t="s">
        <v>63</v>
      </c>
      <c r="K5930" s="699" t="s">
        <v>64</v>
      </c>
      <c r="L5930" s="699" t="s">
        <v>65</v>
      </c>
      <c r="M5930" s="743" t="s">
        <v>66</v>
      </c>
      <c r="N5930" s="699" t="s">
        <v>282</v>
      </c>
      <c r="O5930" s="745" t="s">
        <v>67</v>
      </c>
      <c r="P5930" s="746"/>
      <c r="Q5930" s="102" t="s">
        <v>75</v>
      </c>
      <c r="R5930" s="731" t="s">
        <v>22</v>
      </c>
      <c r="S5930" s="732"/>
      <c r="T5930" s="733"/>
      <c r="U5930" s="712" t="s">
        <v>298</v>
      </c>
      <c r="W5930" s="690" t="s">
        <v>268</v>
      </c>
      <c r="X5930" s="691"/>
      <c r="Y5930" s="692"/>
      <c r="Z5930" s="428"/>
      <c r="AA5930" s="697" t="s">
        <v>315</v>
      </c>
      <c r="AB5930" s="695" t="s">
        <v>322</v>
      </c>
      <c r="AC5930" s="49"/>
      <c r="AD5930" s="690" t="s">
        <v>297</v>
      </c>
      <c r="AE5930" s="691"/>
      <c r="AF5930" s="692"/>
      <c r="AG5930" s="49"/>
      <c r="AH5930" s="87"/>
      <c r="AI5930" s="87"/>
    </row>
    <row r="5931" spans="1:35" ht="72" hidden="1">
      <c r="A5931" s="44"/>
      <c r="B5931" s="710"/>
      <c r="C5931" s="553" t="s">
        <v>68</v>
      </c>
      <c r="D5931" s="73" t="s">
        <v>3</v>
      </c>
      <c r="E5931" s="73" t="s">
        <v>19</v>
      </c>
      <c r="F5931" s="73" t="s">
        <v>69</v>
      </c>
      <c r="G5931" s="74" t="s">
        <v>70</v>
      </c>
      <c r="H5931" s="700"/>
      <c r="I5931" s="700"/>
      <c r="J5931" s="700"/>
      <c r="K5931" s="700"/>
      <c r="L5931" s="700"/>
      <c r="M5931" s="744"/>
      <c r="N5931" s="700"/>
      <c r="O5931" s="553" t="s">
        <v>279</v>
      </c>
      <c r="P5931" s="73" t="s">
        <v>88</v>
      </c>
      <c r="Q5931" s="555" t="s">
        <v>76</v>
      </c>
      <c r="R5931" s="734"/>
      <c r="S5931" s="735"/>
      <c r="T5931" s="736"/>
      <c r="U5931" s="712"/>
      <c r="W5931" s="429" t="s">
        <v>269</v>
      </c>
      <c r="X5931" s="457" t="s">
        <v>278</v>
      </c>
      <c r="Y5931" s="430" t="s">
        <v>324</v>
      </c>
      <c r="Z5931" s="428"/>
      <c r="AA5931" s="698"/>
      <c r="AB5931" s="696"/>
      <c r="AC5931" s="49"/>
      <c r="AD5931" s="429" t="s">
        <v>292</v>
      </c>
      <c r="AE5931" s="431" t="s">
        <v>300</v>
      </c>
      <c r="AF5931" s="468" t="s">
        <v>301</v>
      </c>
      <c r="AG5931" s="49"/>
      <c r="AH5931" s="87"/>
      <c r="AI5931" s="87"/>
    </row>
    <row r="5932" spans="1:35" hidden="1">
      <c r="A5932" s="44"/>
      <c r="B5932" s="76"/>
      <c r="C5932" s="77"/>
      <c r="D5932" s="77"/>
      <c r="E5932" s="77"/>
      <c r="F5932" s="77"/>
      <c r="G5932" s="77"/>
      <c r="H5932" s="77"/>
      <c r="I5932" s="77"/>
      <c r="J5932" s="77"/>
      <c r="K5932" s="77"/>
      <c r="L5932" s="77"/>
      <c r="M5932" s="77"/>
      <c r="N5932" s="77"/>
      <c r="O5932" s="77"/>
      <c r="P5932" s="77"/>
      <c r="Q5932" s="77"/>
      <c r="R5932" s="77"/>
      <c r="S5932" s="78"/>
      <c r="T5932" s="79"/>
      <c r="U5932" s="109"/>
      <c r="V5932" s="49"/>
      <c r="W5932" s="432"/>
      <c r="X5932" s="454"/>
      <c r="Y5932" s="433"/>
      <c r="Z5932" s="6"/>
      <c r="AA5932" s="500"/>
      <c r="AB5932" s="562"/>
      <c r="AC5932" s="49"/>
      <c r="AD5932" s="210"/>
      <c r="AE5932" s="434"/>
      <c r="AF5932" s="435"/>
      <c r="AG5932" s="49"/>
      <c r="AH5932" s="87"/>
      <c r="AI5932" s="87"/>
    </row>
    <row r="5933" spans="1:35" hidden="1">
      <c r="A5933" s="80" t="e">
        <f>"A"&amp;E5929</f>
        <v>#N/A</v>
      </c>
      <c r="B5933" s="81">
        <v>1</v>
      </c>
      <c r="C5933" s="82"/>
      <c r="D5933" s="82"/>
      <c r="E5933" s="82"/>
      <c r="F5933" s="82"/>
      <c r="G5933" s="83"/>
      <c r="H5933" s="83"/>
      <c r="I5933" s="84"/>
      <c r="J5933" s="85"/>
      <c r="K5933" s="382"/>
      <c r="L5933" s="85"/>
      <c r="M5933" s="332" t="str">
        <f t="shared" ref="M5933:M5942" si="1762">IF(OR(J5933="",L5933="",H5933="NO"),"",IF(OR(J5933&gt;$P$17,J5933&lt;$O$17,L5933&gt;$P$17,AND(J5933&lt;$O$17,L5933&lt;$O$17)),"FUERA DE RANGO",IF(OR(K5933="---",K5933=""),IF(J5933&gt;=$O$17,ROUND((L5933-J5933+1)/360*12,3),ROUND((L5933-$O$17+1)/360*12,3)),IF(J5933&gt;=$O$17,ROUND((L5933-J5933+1)/360*12-ROUND(K5933,3),3),ROUND((L5933-$O$17+1)/360*12-ROUND(K5933,3),3)))))</f>
        <v/>
      </c>
      <c r="N5933" s="86"/>
      <c r="O5933" s="453" t="str">
        <f>IF(OR(G5933="",N5933=""),"",N5933*G5933)</f>
        <v/>
      </c>
      <c r="P5933" s="538" t="str">
        <f>IF(OR(H5933="",M5933="FUERA DE RANGO"),"",IF(OR(L5933&lt;$O$17,L5933&gt;$P$17,L5933="",H5933="NO"),"",IF(OR(N5933="",O5933=""),"",ROUND(O5933,3))))</f>
        <v/>
      </c>
      <c r="Q5933" s="539" t="str">
        <f t="shared" ref="Q5933:Q5942" si="1763">IF(AND(H5933="SI",P5933&lt;&gt;""),ROUND(P5933/M5933,3),"")</f>
        <v/>
      </c>
      <c r="R5933" s="737"/>
      <c r="S5933" s="738"/>
      <c r="T5933" s="739"/>
      <c r="U5933" s="470"/>
      <c r="V5933" s="165"/>
      <c r="W5933" s="446"/>
      <c r="X5933" s="456"/>
      <c r="Y5933" s="436"/>
      <c r="Z5933" s="437"/>
      <c r="AA5933" s="560"/>
      <c r="AB5933" s="561"/>
      <c r="AC5933" s="87"/>
      <c r="AD5933" s="466"/>
      <c r="AE5933" s="456"/>
      <c r="AF5933" s="467"/>
      <c r="AG5933" s="87"/>
      <c r="AH5933" s="87"/>
      <c r="AI5933" s="87"/>
    </row>
    <row r="5934" spans="1:35" hidden="1">
      <c r="A5934" s="80" t="e">
        <f>"B"&amp;E5929</f>
        <v>#N/A</v>
      </c>
      <c r="B5934" s="81">
        <v>2</v>
      </c>
      <c r="C5934" s="106"/>
      <c r="D5934" s="106"/>
      <c r="E5934" s="106"/>
      <c r="F5934" s="106"/>
      <c r="G5934" s="83"/>
      <c r="H5934" s="83"/>
      <c r="I5934" s="84"/>
      <c r="J5934" s="85"/>
      <c r="K5934" s="382"/>
      <c r="L5934" s="85"/>
      <c r="M5934" s="332" t="str">
        <f t="shared" si="1762"/>
        <v/>
      </c>
      <c r="N5934" s="86"/>
      <c r="O5934" s="453" t="str">
        <f t="shared" ref="O5934:O5942" si="1764">IF(OR(G5934="",N5934=""),"",N5934*G5934)</f>
        <v/>
      </c>
      <c r="P5934" s="538" t="str">
        <f t="shared" ref="P5934:P5942" si="1765">IF(OR(H5934="",M5934="FUERA DE RANGO"),"",IF(OR(L5934&lt;$O$17,L5934&gt;$P$17,L5934="",H5934="NO"),"",IF(OR(N5934="",O5934=""),"",ROUND(O5934,3))))</f>
        <v/>
      </c>
      <c r="Q5934" s="539" t="str">
        <f t="shared" si="1763"/>
        <v/>
      </c>
      <c r="R5934" s="740"/>
      <c r="S5934" s="741"/>
      <c r="T5934" s="742"/>
      <c r="U5934" s="471"/>
      <c r="V5934" s="165"/>
      <c r="W5934" s="446"/>
      <c r="X5934" s="456"/>
      <c r="Y5934" s="436"/>
      <c r="Z5934" s="437"/>
      <c r="AA5934" s="560"/>
      <c r="AB5934" s="561"/>
      <c r="AC5934" s="87"/>
      <c r="AD5934" s="466"/>
      <c r="AE5934" s="456"/>
      <c r="AF5934" s="467"/>
      <c r="AG5934" s="87"/>
      <c r="AH5934" s="87"/>
      <c r="AI5934" s="87"/>
    </row>
    <row r="5935" spans="1:35" hidden="1">
      <c r="A5935" s="80" t="e">
        <f>"C"&amp;E5929</f>
        <v>#N/A</v>
      </c>
      <c r="B5935" s="88">
        <v>3</v>
      </c>
      <c r="C5935" s="82"/>
      <c r="D5935" s="82"/>
      <c r="E5935" s="82"/>
      <c r="F5935" s="82"/>
      <c r="G5935" s="83"/>
      <c r="H5935" s="83"/>
      <c r="I5935" s="84"/>
      <c r="J5935" s="85"/>
      <c r="K5935" s="382"/>
      <c r="L5935" s="85"/>
      <c r="M5935" s="332" t="str">
        <f t="shared" si="1762"/>
        <v/>
      </c>
      <c r="N5935" s="86"/>
      <c r="O5935" s="453" t="str">
        <f t="shared" si="1764"/>
        <v/>
      </c>
      <c r="P5935" s="538" t="str">
        <f t="shared" si="1765"/>
        <v/>
      </c>
      <c r="Q5935" s="539" t="str">
        <f t="shared" si="1763"/>
        <v/>
      </c>
      <c r="R5935" s="706"/>
      <c r="S5935" s="707"/>
      <c r="T5935" s="708"/>
      <c r="U5935" s="472"/>
      <c r="V5935" s="166"/>
      <c r="W5935" s="446"/>
      <c r="X5935" s="456"/>
      <c r="Y5935" s="436"/>
      <c r="Z5935" s="437"/>
      <c r="AA5935" s="560"/>
      <c r="AB5935" s="561"/>
      <c r="AC5935" s="87"/>
      <c r="AD5935" s="466"/>
      <c r="AE5935" s="456"/>
      <c r="AF5935" s="467"/>
      <c r="AG5935" s="87"/>
      <c r="AH5935" s="87"/>
      <c r="AI5935" s="87"/>
    </row>
    <row r="5936" spans="1:35" hidden="1">
      <c r="A5936" s="80" t="e">
        <f>"D"&amp;E5929</f>
        <v>#N/A</v>
      </c>
      <c r="B5936" s="105">
        <v>4</v>
      </c>
      <c r="C5936" s="107"/>
      <c r="D5936" s="107"/>
      <c r="E5936" s="107"/>
      <c r="F5936" s="107"/>
      <c r="G5936" s="83"/>
      <c r="H5936" s="83"/>
      <c r="I5936" s="84"/>
      <c r="J5936" s="85"/>
      <c r="K5936" s="382"/>
      <c r="L5936" s="85"/>
      <c r="M5936" s="332" t="str">
        <f t="shared" si="1762"/>
        <v/>
      </c>
      <c r="N5936" s="86"/>
      <c r="O5936" s="453" t="str">
        <f t="shared" si="1764"/>
        <v/>
      </c>
      <c r="P5936" s="538" t="str">
        <f t="shared" si="1765"/>
        <v/>
      </c>
      <c r="Q5936" s="539" t="str">
        <f t="shared" si="1763"/>
        <v/>
      </c>
      <c r="R5936" s="706"/>
      <c r="S5936" s="707"/>
      <c r="T5936" s="708"/>
      <c r="U5936" s="472"/>
      <c r="V5936" s="166"/>
      <c r="W5936" s="446"/>
      <c r="X5936" s="456"/>
      <c r="Y5936" s="436"/>
      <c r="Z5936" s="437"/>
      <c r="AA5936" s="560"/>
      <c r="AB5936" s="561"/>
      <c r="AC5936" s="87"/>
      <c r="AD5936" s="466"/>
      <c r="AE5936" s="456"/>
      <c r="AF5936" s="467"/>
      <c r="AG5936" s="87"/>
      <c r="AH5936" s="87"/>
      <c r="AI5936" s="87"/>
    </row>
    <row r="5937" spans="1:35" hidden="1">
      <c r="A5937" s="80" t="e">
        <f>"E"&amp;E5929</f>
        <v>#N/A</v>
      </c>
      <c r="B5937" s="105">
        <v>5</v>
      </c>
      <c r="C5937" s="107"/>
      <c r="D5937" s="107"/>
      <c r="E5937" s="107"/>
      <c r="F5937" s="107"/>
      <c r="G5937" s="83"/>
      <c r="H5937" s="83"/>
      <c r="I5937" s="84"/>
      <c r="J5937" s="85"/>
      <c r="K5937" s="382"/>
      <c r="L5937" s="85"/>
      <c r="M5937" s="332" t="str">
        <f t="shared" si="1762"/>
        <v/>
      </c>
      <c r="N5937" s="86"/>
      <c r="O5937" s="453" t="str">
        <f t="shared" si="1764"/>
        <v/>
      </c>
      <c r="P5937" s="538" t="str">
        <f t="shared" si="1765"/>
        <v/>
      </c>
      <c r="Q5937" s="539" t="str">
        <f t="shared" si="1763"/>
        <v/>
      </c>
      <c r="R5937" s="706"/>
      <c r="S5937" s="707"/>
      <c r="T5937" s="708"/>
      <c r="U5937" s="472"/>
      <c r="V5937" s="167"/>
      <c r="W5937" s="446"/>
      <c r="X5937" s="456"/>
      <c r="Y5937" s="436"/>
      <c r="Z5937" s="437"/>
      <c r="AA5937" s="560"/>
      <c r="AB5937" s="561"/>
      <c r="AC5937" s="87"/>
      <c r="AD5937" s="466"/>
      <c r="AE5937" s="456"/>
      <c r="AF5937" s="467"/>
      <c r="AG5937" s="87"/>
      <c r="AH5937" s="87"/>
      <c r="AI5937" s="87"/>
    </row>
    <row r="5938" spans="1:35" hidden="1">
      <c r="A5938" s="80" t="e">
        <f>"F"&amp;E5929</f>
        <v>#N/A</v>
      </c>
      <c r="B5938" s="105">
        <v>6</v>
      </c>
      <c r="C5938" s="107"/>
      <c r="D5938" s="107"/>
      <c r="E5938" s="107"/>
      <c r="F5938" s="107"/>
      <c r="G5938" s="83"/>
      <c r="H5938" s="83"/>
      <c r="I5938" s="84"/>
      <c r="J5938" s="85"/>
      <c r="K5938" s="382"/>
      <c r="L5938" s="85"/>
      <c r="M5938" s="332" t="str">
        <f t="shared" si="1762"/>
        <v/>
      </c>
      <c r="N5938" s="86"/>
      <c r="O5938" s="453" t="str">
        <f t="shared" si="1764"/>
        <v/>
      </c>
      <c r="P5938" s="538" t="str">
        <f t="shared" si="1765"/>
        <v/>
      </c>
      <c r="Q5938" s="539" t="str">
        <f t="shared" si="1763"/>
        <v/>
      </c>
      <c r="R5938" s="706"/>
      <c r="S5938" s="707"/>
      <c r="T5938" s="708"/>
      <c r="U5938" s="472"/>
      <c r="V5938" s="167"/>
      <c r="W5938" s="446"/>
      <c r="X5938" s="456"/>
      <c r="Y5938" s="436"/>
      <c r="Z5938" s="437"/>
      <c r="AA5938" s="560"/>
      <c r="AB5938" s="561"/>
      <c r="AC5938" s="87"/>
      <c r="AD5938" s="466"/>
      <c r="AE5938" s="456"/>
      <c r="AF5938" s="467"/>
      <c r="AG5938" s="87"/>
      <c r="AH5938" s="87"/>
      <c r="AI5938" s="87"/>
    </row>
    <row r="5939" spans="1:35" hidden="1">
      <c r="A5939" s="80" t="e">
        <f>"G"&amp;E5929</f>
        <v>#N/A</v>
      </c>
      <c r="B5939" s="105">
        <v>7</v>
      </c>
      <c r="C5939" s="107"/>
      <c r="D5939" s="107"/>
      <c r="E5939" s="107"/>
      <c r="F5939" s="107"/>
      <c r="G5939" s="83"/>
      <c r="H5939" s="83"/>
      <c r="I5939" s="84"/>
      <c r="J5939" s="85"/>
      <c r="K5939" s="382"/>
      <c r="L5939" s="85"/>
      <c r="M5939" s="332" t="str">
        <f t="shared" si="1762"/>
        <v/>
      </c>
      <c r="N5939" s="86"/>
      <c r="O5939" s="86" t="str">
        <f t="shared" si="1764"/>
        <v/>
      </c>
      <c r="P5939" s="538" t="str">
        <f t="shared" si="1765"/>
        <v/>
      </c>
      <c r="Q5939" s="539" t="str">
        <f t="shared" si="1763"/>
        <v/>
      </c>
      <c r="R5939" s="706"/>
      <c r="S5939" s="707"/>
      <c r="T5939" s="708"/>
      <c r="U5939" s="472"/>
      <c r="V5939" s="167"/>
      <c r="W5939" s="446"/>
      <c r="X5939" s="456"/>
      <c r="Y5939" s="436"/>
      <c r="Z5939" s="437"/>
      <c r="AA5939" s="560"/>
      <c r="AB5939" s="561"/>
      <c r="AC5939" s="87"/>
      <c r="AD5939" s="466"/>
      <c r="AE5939" s="456"/>
      <c r="AF5939" s="467"/>
      <c r="AG5939" s="87"/>
      <c r="AH5939" s="87"/>
      <c r="AI5939" s="87"/>
    </row>
    <row r="5940" spans="1:35" hidden="1">
      <c r="A5940" s="80" t="e">
        <f>"H"&amp;E5929</f>
        <v>#N/A</v>
      </c>
      <c r="B5940" s="105">
        <v>8</v>
      </c>
      <c r="C5940" s="107"/>
      <c r="D5940" s="107"/>
      <c r="E5940" s="107"/>
      <c r="F5940" s="107"/>
      <c r="G5940" s="83"/>
      <c r="H5940" s="83"/>
      <c r="I5940" s="84"/>
      <c r="J5940" s="85"/>
      <c r="K5940" s="382"/>
      <c r="L5940" s="85"/>
      <c r="M5940" s="332" t="str">
        <f t="shared" si="1762"/>
        <v/>
      </c>
      <c r="N5940" s="453"/>
      <c r="O5940" s="86" t="str">
        <f t="shared" si="1764"/>
        <v/>
      </c>
      <c r="P5940" s="538" t="str">
        <f t="shared" si="1765"/>
        <v/>
      </c>
      <c r="Q5940" s="539" t="str">
        <f t="shared" si="1763"/>
        <v/>
      </c>
      <c r="R5940" s="706"/>
      <c r="S5940" s="707"/>
      <c r="T5940" s="708"/>
      <c r="U5940" s="472"/>
      <c r="V5940" s="167"/>
      <c r="W5940" s="446"/>
      <c r="X5940" s="456"/>
      <c r="Y5940" s="436"/>
      <c r="Z5940" s="437"/>
      <c r="AA5940" s="560"/>
      <c r="AB5940" s="561"/>
      <c r="AC5940" s="87"/>
      <c r="AD5940" s="466"/>
      <c r="AE5940" s="456"/>
      <c r="AF5940" s="467"/>
      <c r="AG5940" s="87"/>
      <c r="AH5940" s="87"/>
      <c r="AI5940" s="87"/>
    </row>
    <row r="5941" spans="1:35" hidden="1">
      <c r="A5941" s="80" t="e">
        <f>"I"&amp;E5929</f>
        <v>#N/A</v>
      </c>
      <c r="B5941" s="105">
        <v>9</v>
      </c>
      <c r="C5941" s="107"/>
      <c r="D5941" s="107"/>
      <c r="E5941" s="107"/>
      <c r="F5941" s="107"/>
      <c r="G5941" s="83"/>
      <c r="H5941" s="83"/>
      <c r="I5941" s="84"/>
      <c r="J5941" s="85"/>
      <c r="K5941" s="382"/>
      <c r="L5941" s="85"/>
      <c r="M5941" s="332" t="str">
        <f t="shared" si="1762"/>
        <v/>
      </c>
      <c r="N5941" s="453"/>
      <c r="O5941" s="86" t="str">
        <f t="shared" si="1764"/>
        <v/>
      </c>
      <c r="P5941" s="538" t="str">
        <f t="shared" si="1765"/>
        <v/>
      </c>
      <c r="Q5941" s="539" t="str">
        <f t="shared" si="1763"/>
        <v/>
      </c>
      <c r="R5941" s="706"/>
      <c r="S5941" s="707"/>
      <c r="T5941" s="708"/>
      <c r="U5941" s="472"/>
      <c r="V5941" s="167"/>
      <c r="W5941" s="446"/>
      <c r="X5941" s="456"/>
      <c r="Y5941" s="436"/>
      <c r="Z5941" s="437"/>
      <c r="AA5941" s="560"/>
      <c r="AB5941" s="561"/>
      <c r="AC5941" s="87"/>
      <c r="AD5941" s="466"/>
      <c r="AE5941" s="456"/>
      <c r="AF5941" s="467"/>
      <c r="AG5941" s="87"/>
      <c r="AH5941" s="87"/>
      <c r="AI5941" s="87"/>
    </row>
    <row r="5942" spans="1:35" hidden="1">
      <c r="A5942" s="80" t="e">
        <f>"J"&amp;E5929</f>
        <v>#N/A</v>
      </c>
      <c r="B5942" s="105">
        <v>10</v>
      </c>
      <c r="C5942" s="107"/>
      <c r="D5942" s="107"/>
      <c r="E5942" s="107"/>
      <c r="F5942" s="107"/>
      <c r="G5942" s="83"/>
      <c r="H5942" s="83"/>
      <c r="I5942" s="84"/>
      <c r="J5942" s="85"/>
      <c r="K5942" s="382"/>
      <c r="L5942" s="85"/>
      <c r="M5942" s="332" t="str">
        <f t="shared" si="1762"/>
        <v/>
      </c>
      <c r="N5942" s="453"/>
      <c r="O5942" s="86" t="str">
        <f t="shared" si="1764"/>
        <v/>
      </c>
      <c r="P5942" s="538" t="str">
        <f t="shared" si="1765"/>
        <v/>
      </c>
      <c r="Q5942" s="539" t="str">
        <f t="shared" si="1763"/>
        <v/>
      </c>
      <c r="R5942" s="706"/>
      <c r="S5942" s="707"/>
      <c r="T5942" s="708"/>
      <c r="U5942" s="472"/>
      <c r="V5942" s="167"/>
      <c r="W5942" s="446"/>
      <c r="X5942" s="456"/>
      <c r="Y5942" s="436"/>
      <c r="Z5942" s="437"/>
      <c r="AA5942" s="560"/>
      <c r="AB5942" s="561"/>
      <c r="AC5942" s="87"/>
      <c r="AD5942" s="466"/>
      <c r="AE5942" s="456"/>
      <c r="AF5942" s="467"/>
      <c r="AG5942" s="87"/>
      <c r="AH5942" s="87"/>
      <c r="AI5942" s="87"/>
    </row>
    <row r="5943" spans="1:35" ht="16.5" hidden="1" thickBot="1">
      <c r="A5943" s="44"/>
      <c r="B5943" s="89"/>
      <c r="C5943" s="90"/>
      <c r="D5943" s="90"/>
      <c r="E5943" s="90"/>
      <c r="F5943" s="90"/>
      <c r="G5943" s="90"/>
      <c r="H5943" s="90"/>
      <c r="I5943" s="90"/>
      <c r="J5943" s="90"/>
      <c r="K5943" s="90"/>
      <c r="L5943" s="90"/>
      <c r="M5943" s="90"/>
      <c r="N5943" s="90"/>
      <c r="O5943" s="90"/>
      <c r="P5943" s="90"/>
      <c r="Q5943" s="90"/>
      <c r="R5943" s="90"/>
      <c r="S5943" s="91"/>
      <c r="T5943" s="92"/>
      <c r="U5943" s="473"/>
      <c r="W5943" s="438"/>
      <c r="X5943" s="455"/>
      <c r="Y5943" s="439"/>
      <c r="Z5943" s="437"/>
      <c r="AA5943" s="530"/>
      <c r="AB5943" s="563"/>
      <c r="AC5943" s="87"/>
      <c r="AD5943" s="440"/>
      <c r="AE5943" s="441"/>
      <c r="AF5943" s="442"/>
      <c r="AG5943" s="49"/>
      <c r="AH5943" s="87"/>
      <c r="AI5943" s="87"/>
    </row>
    <row r="5944" spans="1:35" ht="16.5" hidden="1" thickBot="1">
      <c r="A5944" s="93"/>
      <c r="B5944" s="94"/>
      <c r="C5944" s="96"/>
      <c r="D5944" s="96"/>
      <c r="E5944" s="96"/>
      <c r="F5944" s="96"/>
      <c r="G5944" s="96"/>
      <c r="H5944" s="96"/>
      <c r="I5944" s="96"/>
      <c r="J5944" s="96"/>
      <c r="K5944" s="96"/>
      <c r="L5944" s="96"/>
      <c r="M5944" s="136"/>
      <c r="N5944" s="96"/>
      <c r="O5944" s="96"/>
      <c r="P5944" s="97"/>
      <c r="Q5944" s="97"/>
      <c r="R5944" s="98"/>
      <c r="S5944" s="95"/>
      <c r="T5944" s="99"/>
      <c r="U5944" s="469"/>
      <c r="AC5944" s="58"/>
      <c r="AG5944" s="58"/>
      <c r="AH5944" s="87"/>
      <c r="AI5944" s="87"/>
    </row>
    <row r="5945" spans="1:35" ht="16.5" hidden="1" thickBot="1">
      <c r="B5945" s="101"/>
      <c r="C5945" s="101"/>
      <c r="D5945" s="101"/>
      <c r="E5945" s="101"/>
      <c r="F5945" s="101"/>
      <c r="G5945" s="101"/>
      <c r="H5945" s="101"/>
      <c r="I5945" s="101"/>
      <c r="J5945" s="101"/>
      <c r="K5945" s="101"/>
      <c r="L5945" s="101"/>
      <c r="M5945" s="101"/>
      <c r="N5945" s="101"/>
      <c r="O5945" s="101"/>
      <c r="P5945" s="101"/>
      <c r="Q5945" s="101"/>
      <c r="R5945" s="101"/>
      <c r="S5945" s="101"/>
      <c r="U5945" s="50"/>
      <c r="AH5945" s="87"/>
      <c r="AI5945" s="87"/>
    </row>
    <row r="5946" spans="1:35" ht="16.5" hidden="1" customHeight="1" thickBot="1">
      <c r="A5946" s="44"/>
      <c r="B5946" s="705" t="s">
        <v>74</v>
      </c>
      <c r="C5946" s="705"/>
      <c r="D5946" s="705"/>
      <c r="E5946" s="705"/>
      <c r="F5946" s="705"/>
      <c r="G5946" s="705"/>
      <c r="H5946" s="705"/>
      <c r="I5946" s="705"/>
      <c r="J5946" s="705"/>
      <c r="K5946" s="705"/>
      <c r="L5946" s="705"/>
      <c r="M5946" s="705"/>
      <c r="N5946" s="705"/>
      <c r="O5946" s="705"/>
      <c r="P5946" s="705"/>
      <c r="Q5946" s="705"/>
      <c r="R5946" s="705"/>
      <c r="S5946" s="705"/>
      <c r="T5946" s="705"/>
      <c r="U5946" s="108"/>
      <c r="Y5946" s="532" t="s">
        <v>341</v>
      </c>
      <c r="AC5946" s="49"/>
      <c r="AD5946" s="687" t="s">
        <v>302</v>
      </c>
      <c r="AE5946" s="688"/>
      <c r="AF5946" s="689"/>
      <c r="AG5946" s="49"/>
      <c r="AH5946" s="87"/>
      <c r="AI5946" s="87"/>
    </row>
    <row r="5947" spans="1:35" ht="16.5" hidden="1" customHeight="1" thickBot="1">
      <c r="A5947" s="218" t="e">
        <f>"K"&amp;E5929</f>
        <v>#N/A</v>
      </c>
      <c r="B5947" s="701" t="s">
        <v>71</v>
      </c>
      <c r="C5947" s="751" t="s">
        <v>102</v>
      </c>
      <c r="D5947" s="751"/>
      <c r="E5947" s="751"/>
      <c r="F5947" s="751"/>
      <c r="G5947" s="751"/>
      <c r="H5947" s="751"/>
      <c r="I5947" s="751"/>
      <c r="J5947" s="751"/>
      <c r="K5947" s="751"/>
      <c r="L5947" s="722" t="s">
        <v>100</v>
      </c>
      <c r="M5947" s="747" t="s">
        <v>114</v>
      </c>
      <c r="N5947" s="747"/>
      <c r="O5947" s="747"/>
      <c r="P5947" s="747"/>
      <c r="Q5947" s="748"/>
      <c r="R5947" s="758" t="s">
        <v>280</v>
      </c>
      <c r="S5947" s="748"/>
      <c r="T5947" s="762" t="str">
        <f>IF(COUNTIF(AE5947:AF5947,"VERIFICAR")&gt;0,"VERIFICAR",IF(COUNTIF(AE5947:AF5947,"NO CUMPLE")&gt;0,"NO CUMPLE","CUMPLE"))</f>
        <v>VERIFICAR</v>
      </c>
      <c r="U5947" s="108"/>
      <c r="Y5947" s="533" t="e">
        <f>IF(F5948="","",IF(F5948=1,"INDIVIDUAL","ESTRUCTURA PLURAL"))</f>
        <v>#N/A</v>
      </c>
      <c r="AC5947" s="52"/>
      <c r="AD5947" s="475" t="s">
        <v>303</v>
      </c>
      <c r="AE5947" s="476" t="str">
        <f>IF(COUNTIF(AE5933:AE5942,"")=10,"VERIFICAR",IF(COUNTIF(AE5933:AE5942,"SI")&gt;0,"CUMPLE","NO CUMPLE"))</f>
        <v>VERIFICAR</v>
      </c>
      <c r="AF5947" s="477" t="str">
        <f>IF(COUNTIF(AF5933:AF5942,"")=10,"VERIFICAR",IF(COUNTIF(AF5933:AF5942,"SI")&gt;=$AI$22,"CUMPLE","NO CUMPLE"))</f>
        <v>VERIFICAR</v>
      </c>
      <c r="AG5947" s="52"/>
      <c r="AH5947" s="87"/>
      <c r="AI5947" s="87"/>
    </row>
    <row r="5948" spans="1:35" ht="15.75" hidden="1" customHeight="1" thickBot="1">
      <c r="A5948" s="218" t="e">
        <f>"L"&amp;E5929</f>
        <v>#N/A</v>
      </c>
      <c r="B5948" s="702"/>
      <c r="C5948" s="751" t="s">
        <v>103</v>
      </c>
      <c r="D5948" s="751"/>
      <c r="E5948" s="752"/>
      <c r="F5948" s="557" t="e">
        <f>IF(VLOOKUP(E5929,PROPONENTES!$C$19:$E$218,3,0)="","",VLOOKUP(E5929,PROPONENTES!$C$19:$E$218,3,0))</f>
        <v>#N/A</v>
      </c>
      <c r="G5948" s="753" t="s">
        <v>104</v>
      </c>
      <c r="H5948" s="751"/>
      <c r="I5948" s="715" t="e">
        <f>IF(OR(F5948="",F5948=1),"INTERESADO PERSONA NATURAL O JURIDICA","CONSORCIO O UNION TEMPORAL")</f>
        <v>#N/A</v>
      </c>
      <c r="J5948" s="725"/>
      <c r="K5948" s="728"/>
      <c r="L5948" s="723"/>
      <c r="M5948" s="749"/>
      <c r="N5948" s="749"/>
      <c r="O5948" s="749"/>
      <c r="P5948" s="749"/>
      <c r="Q5948" s="750"/>
      <c r="R5948" s="712"/>
      <c r="S5948" s="750"/>
      <c r="T5948" s="763"/>
      <c r="U5948" s="108"/>
      <c r="Y5948" s="534"/>
      <c r="AA5948" s="52"/>
      <c r="AB5948" s="52"/>
      <c r="AC5948" s="52"/>
      <c r="AG5948" s="52"/>
      <c r="AH5948" s="87"/>
      <c r="AI5948" s="87"/>
    </row>
    <row r="5949" spans="1:35" ht="56.25" hidden="1" customHeight="1" thickBot="1">
      <c r="A5949" s="218" t="e">
        <f>"M"&amp;E5929</f>
        <v>#N/A</v>
      </c>
      <c r="B5949" s="702"/>
      <c r="C5949" s="725" t="s">
        <v>101</v>
      </c>
      <c r="D5949" s="716"/>
      <c r="E5949" s="558" t="s">
        <v>105</v>
      </c>
      <c r="F5949" s="554" t="s">
        <v>87</v>
      </c>
      <c r="G5949" s="553" t="s">
        <v>86</v>
      </c>
      <c r="H5949" s="559" t="s">
        <v>85</v>
      </c>
      <c r="I5949" s="554" t="s">
        <v>252</v>
      </c>
      <c r="J5949" s="553" t="str">
        <f>"¿EL INTEGRANTE TIENE UNA PARTICIPACIÓN DEL "&amp;PORCREQUERIDOINT*100&amp;"%?"</f>
        <v>¿EL INTEGRANTE TIENE UNA PARTICIPACIÓN DEL 60%?</v>
      </c>
      <c r="K5949" s="554" t="s">
        <v>107</v>
      </c>
      <c r="L5949" s="724"/>
      <c r="M5949" s="717" t="s">
        <v>115</v>
      </c>
      <c r="N5949" s="718"/>
      <c r="O5949" s="718"/>
      <c r="P5949" s="718"/>
      <c r="Q5949" s="223">
        <f>IF(AND(H5933="SI",P5933&gt;=0),1,0)+IF(AND(H5934="SI",P5934&gt;=0),1,0)+IF(AND(H5935="SI",P5935&gt;=0),1,0)+IF(AND(H5936="SI",P5936&gt;=0),1,0)+IF(AND(H5937="SI",P5937&gt;=0),1,0)+IF(AND(H5938="SI",P5938&gt;=0),1,0)+IF(AND(H5939="SI",P5939&gt;=0),1,0)+IF(AND(H5940="SI",P5940&gt;=0),1,0)+IF(AND(H5941="SI",P5941&gt;=0),1,0)+IF(AND(H5942="SI",P5942&gt;=0),1,0)</f>
        <v>0</v>
      </c>
      <c r="R5949" s="759"/>
      <c r="S5949" s="761"/>
      <c r="T5949" s="764"/>
      <c r="U5949" s="219"/>
      <c r="V5949" s="464"/>
      <c r="Y5949" s="532" t="s">
        <v>342</v>
      </c>
      <c r="AA5949" s="550" t="s">
        <v>344</v>
      </c>
      <c r="AB5949" s="693" t="s">
        <v>345</v>
      </c>
      <c r="AC5949" s="693" t="s">
        <v>346</v>
      </c>
      <c r="AD5949" s="685" t="s">
        <v>347</v>
      </c>
      <c r="AE5949" s="52"/>
      <c r="AF5949" s="52"/>
      <c r="AG5949" s="52"/>
      <c r="AH5949" s="87"/>
      <c r="AI5949" s="87"/>
    </row>
    <row r="5950" spans="1:35" ht="15.75" hidden="1" customHeight="1" thickBot="1">
      <c r="A5950" s="218" t="e">
        <f>"N"&amp;E5929</f>
        <v>#N/A</v>
      </c>
      <c r="B5950" s="702"/>
      <c r="C5950" s="114">
        <v>1</v>
      </c>
      <c r="D5950" s="194" t="e">
        <f>IF(AND(C5950&lt;=F5948,F5948&gt;1,F5948&lt;&gt;""),VLOOKUP(VALUE(E5929&amp;","&amp;C5950),INTEGRANTES!$D$18:$F$235,2,0),"")</f>
        <v>#N/A</v>
      </c>
      <c r="E5950" s="211" t="e">
        <f>IF(D5950&lt;&gt;"",VLOOKUP(VALUE(E5929&amp;","&amp;C5950),INTEGRANTES!$D$18:$F$235,3,0),"")</f>
        <v>#N/A</v>
      </c>
      <c r="F5950" s="547" t="e">
        <f>IF(D5950="","",SUMIF($I5933:$I5942,D5950,$P5933:$P5942))</f>
        <v>#N/A</v>
      </c>
      <c r="G5950" s="333" t="e">
        <f>IF(D5950="","",SUMIF($I5933:$I5942,D5950,$M5933:$M5942))</f>
        <v>#N/A</v>
      </c>
      <c r="H5950" s="535" t="e">
        <f t="shared" ref="H5950:H5955" si="1766">IF(D5950="","",IF(OR(F5950=0,G5950=0),"NO APORTA",ROUND($F5950/$G5950,3)))</f>
        <v>#N/A</v>
      </c>
      <c r="I5950" s="212" t="e">
        <f>IF(D5950="","",IF(H5950="NO APORTA","NO",IF(H5950=MAX($H5950:$H5955),"SI","NO")))</f>
        <v>#N/A</v>
      </c>
      <c r="J5950" s="213" t="e">
        <f t="shared" ref="J5950:J5955" si="1767">IF(D5950="","",IF(E5950&gt;=PORCREQUERIDOINT,"SI","NO"))</f>
        <v>#N/A</v>
      </c>
      <c r="K5950" s="200" t="e">
        <f t="shared" ref="K5950:K5955" si="1768">IF(D5950="","",IF(AND(I5950="SI",J5950="SI"),"CUMPLE",IF(AND(I5950="NO",OR(J5950="SI",J5950="NO")),"","NO CUMPLE")))</f>
        <v>#N/A</v>
      </c>
      <c r="L5950" s="722" t="s">
        <v>108</v>
      </c>
      <c r="M5950" s="726" t="s">
        <v>119</v>
      </c>
      <c r="N5950" s="726"/>
      <c r="O5950" s="726"/>
      <c r="P5950" s="726"/>
      <c r="Q5950" s="727"/>
      <c r="R5950" s="758" t="s">
        <v>80</v>
      </c>
      <c r="S5950" s="747"/>
      <c r="T5950" s="748"/>
      <c r="U5950" s="219"/>
      <c r="V5950" s="464"/>
      <c r="Y5950" s="533" t="e">
        <f>IF(Y5947="","",IF(Y5947="INDIVIDUAL","NO APLICA","VERIFICAR CUADRO"))</f>
        <v>#N/A</v>
      </c>
      <c r="AA5950" s="551"/>
      <c r="AB5950" s="694"/>
      <c r="AC5950" s="694"/>
      <c r="AD5950" s="686"/>
      <c r="AE5950" s="52"/>
      <c r="AF5950" s="52"/>
      <c r="AG5950" s="52"/>
      <c r="AH5950" s="87"/>
      <c r="AI5950" s="87"/>
    </row>
    <row r="5951" spans="1:35" ht="27" hidden="1" customHeight="1" thickBot="1">
      <c r="A5951" s="218" t="e">
        <f>"O"&amp;E5929</f>
        <v>#N/A</v>
      </c>
      <c r="B5951" s="702"/>
      <c r="C5951" s="114">
        <v>2</v>
      </c>
      <c r="D5951" s="194" t="e">
        <f>IF(AND(C5951&lt;=F5948,F5948&lt;&gt;""),VLOOKUP(VALUE(E5929&amp;","&amp;C5951),INTEGRANTES!$D$18:$F$235,2,0),"")</f>
        <v>#N/A</v>
      </c>
      <c r="E5951" s="211" t="e">
        <f>IF(D5951&lt;&gt;"",VLOOKUP(VALUE(E5929&amp;","&amp;C5951),INTEGRANTES!$D$18:$F$235,3,0),"")</f>
        <v>#N/A</v>
      </c>
      <c r="F5951" s="547" t="e">
        <f>IF(D5951="","",SUMIF($I5933:$I5942,D5951,$P5933:$P5942))</f>
        <v>#N/A</v>
      </c>
      <c r="G5951" s="333" t="e">
        <f>IF(D5951="","",SUMIF($I5933:$I5942,D5951,$M5933:$M5942))</f>
        <v>#N/A</v>
      </c>
      <c r="H5951" s="535" t="e">
        <f t="shared" si="1766"/>
        <v>#N/A</v>
      </c>
      <c r="I5951" s="212" t="e">
        <f>IF(D5951="","",IF(H5951="NO APORTA","NO",IF(H5951=MAX($H5950:$H5955),"SI","NO")))</f>
        <v>#N/A</v>
      </c>
      <c r="J5951" s="213" t="e">
        <f t="shared" si="1767"/>
        <v>#N/A</v>
      </c>
      <c r="K5951" s="200" t="e">
        <f t="shared" si="1768"/>
        <v>#N/A</v>
      </c>
      <c r="L5951" s="723"/>
      <c r="M5951" s="715" t="s">
        <v>116</v>
      </c>
      <c r="N5951" s="716"/>
      <c r="O5951" s="556" t="s">
        <v>113</v>
      </c>
      <c r="P5951" s="715" t="s">
        <v>117</v>
      </c>
      <c r="Q5951" s="728"/>
      <c r="R5951" s="759"/>
      <c r="S5951" s="760"/>
      <c r="T5951" s="761"/>
      <c r="U5951" s="219"/>
      <c r="V5951" s="464"/>
      <c r="Y5951" s="414"/>
      <c r="AA5951" s="542" t="e">
        <f>IF(AND(C5950&lt;=F5948,F5948&gt;1,F5948&lt;&gt;""),VLOOKUP(VALUE(E5929&amp;","&amp;C5950),INTEGRANTES!$D$18:$F$235,2,0),"")</f>
        <v>#N/A</v>
      </c>
      <c r="AB5951" s="544" t="e">
        <f t="shared" ref="AB5951:AB5956" si="1769">IF(D5950="","",IF(OR(F5950=0,G5950=0),"NO APORTA",ROUND($F5950/$G5950,3)))</f>
        <v>#N/A</v>
      </c>
      <c r="AC5951" s="529"/>
      <c r="AD5951" s="200" t="e">
        <f t="shared" ref="AD5951:AD5956" si="1770">IF(OR(AA5951="",AB5951=""),"",IF(AND(AC5951="X",AB5951&gt;=EXPREQVTD),"CUMPLE","NO CUMPLE"))</f>
        <v>#N/A</v>
      </c>
      <c r="AE5951" s="52"/>
      <c r="AF5951" s="52"/>
      <c r="AG5951" s="52"/>
      <c r="AH5951" s="87"/>
      <c r="AI5951" s="87"/>
    </row>
    <row r="5952" spans="1:35" ht="16.5" hidden="1" thickBot="1">
      <c r="A5952" s="218" t="e">
        <f>"P"&amp;E5929</f>
        <v>#N/A</v>
      </c>
      <c r="B5952" s="702"/>
      <c r="C5952" s="114">
        <v>3</v>
      </c>
      <c r="D5952" s="194" t="e">
        <f>IF(AND(C5952&lt;=F5948,F5948&lt;&gt;""),VLOOKUP(VALUE(E5929&amp;","&amp;C5952),INTEGRANTES!$D$18:$F$235,2,0),"")</f>
        <v>#N/A</v>
      </c>
      <c r="E5952" s="211" t="e">
        <f>IF(D5952&lt;&gt;"",VLOOKUP(VALUE(E5929&amp;","&amp;C5952),INTEGRANTES!$D$18:$F$235,3,0),"")</f>
        <v>#N/A</v>
      </c>
      <c r="F5952" s="547" t="e">
        <f>IF(D5952="","",SUMIF($I5933:$I5942,D5952,$P5933:$P5942))</f>
        <v>#N/A</v>
      </c>
      <c r="G5952" s="333" t="e">
        <f>IF(D5952="","",SUMIF($I5933:$I5942,D5952,$M5933:$M5942))</f>
        <v>#N/A</v>
      </c>
      <c r="H5952" s="535" t="e">
        <f t="shared" si="1766"/>
        <v>#N/A</v>
      </c>
      <c r="I5952" s="212" t="e">
        <f>IF(D5952="","",IF(H5952="NO APORTA","NO",IF(H5952=MAX($H5950:$H5955),"SI","NO")))</f>
        <v>#N/A</v>
      </c>
      <c r="J5952" s="213" t="e">
        <f t="shared" si="1767"/>
        <v>#N/A</v>
      </c>
      <c r="K5952" s="200" t="e">
        <f t="shared" si="1768"/>
        <v>#N/A</v>
      </c>
      <c r="L5952" s="724"/>
      <c r="M5952" s="729">
        <f>NUMMOD</f>
        <v>1</v>
      </c>
      <c r="N5952" s="730"/>
      <c r="O5952" s="443">
        <f>IF(M5952="","",VLOOKUP(M5952,PRESUPUESTOS!$B$16:$H$16,5,FALSE))</f>
        <v>2</v>
      </c>
      <c r="P5952" s="713">
        <f>IF(OR(COUNTIF(M5933:M5942,"")&gt;=10,Q5949&lt;NUMMINCONT,OR(T5947="NO CUMPLE",T5947="VERIFICAR")),0,ROUND(AVERAGE(M5933:M5942),3))</f>
        <v>0</v>
      </c>
      <c r="Q5952" s="714"/>
      <c r="R5952" s="458"/>
      <c r="S5952" s="459"/>
      <c r="T5952" s="460"/>
      <c r="U5952" s="219"/>
      <c r="V5952" s="464"/>
      <c r="Y5952" s="532" t="str">
        <f>"40% * ("&amp;PRESUPUESTOS!$H$13&amp;")"</f>
        <v>40% * (50% PFMO)</v>
      </c>
      <c r="AA5952" s="540" t="e">
        <f>IF(AND(C5951&lt;=F5948,F5948&lt;&gt;""),VLOOKUP(VALUE(E5929&amp;","&amp;C5951),INTEGRANTES!$D$18:$F$235,2,0),"")</f>
        <v>#N/A</v>
      </c>
      <c r="AB5952" s="545" t="e">
        <f t="shared" si="1769"/>
        <v>#N/A</v>
      </c>
      <c r="AC5952" s="529"/>
      <c r="AD5952" s="200" t="e">
        <f t="shared" si="1770"/>
        <v>#N/A</v>
      </c>
      <c r="AE5952" s="52"/>
      <c r="AF5952" s="52"/>
      <c r="AG5952" s="52"/>
      <c r="AH5952" s="87"/>
      <c r="AI5952" s="87"/>
    </row>
    <row r="5953" spans="1:35" ht="15.75" hidden="1" customHeight="1" thickBot="1">
      <c r="A5953" s="218" t="e">
        <f>"Q"&amp;E5929</f>
        <v>#N/A</v>
      </c>
      <c r="B5953" s="702"/>
      <c r="C5953" s="114">
        <v>4</v>
      </c>
      <c r="D5953" s="194" t="e">
        <f>IF(AND(C5953&lt;=F5948,F5948&lt;&gt;""),VLOOKUP(VALUE(E5929&amp;","&amp;C5953),INTEGRANTES!$D$18:$F$235,2,0),"")</f>
        <v>#N/A</v>
      </c>
      <c r="E5953" s="211" t="e">
        <f>IF(D5953&lt;&gt;"",VLOOKUP(VALUE(E5929&amp;","&amp;C5953),INTEGRANTES!$D$18:$F$235,3,0),"")</f>
        <v>#N/A</v>
      </c>
      <c r="F5953" s="547" t="e">
        <f>IF(D5953="","",SUMIF($I5933:$I5942,D5953,$P5933:$P5942))</f>
        <v>#N/A</v>
      </c>
      <c r="G5953" s="333" t="e">
        <f>IF(D5953="","",SUMIF($I5933:$I5942,D5953,$M5933:$M5942))</f>
        <v>#N/A</v>
      </c>
      <c r="H5953" s="535" t="e">
        <f t="shared" si="1766"/>
        <v>#N/A</v>
      </c>
      <c r="I5953" s="212" t="e">
        <f>IF(D5953="","",IF(H5953="NO APORTA","NO",IF(H5953=MAX($H5950:$H5955),"SI","NO")))</f>
        <v>#N/A</v>
      </c>
      <c r="J5953" s="213" t="e">
        <f t="shared" si="1767"/>
        <v>#N/A</v>
      </c>
      <c r="K5953" s="200" t="e">
        <f t="shared" si="1768"/>
        <v>#N/A</v>
      </c>
      <c r="L5953" s="720" t="s">
        <v>109</v>
      </c>
      <c r="M5953" s="757" t="s">
        <v>120</v>
      </c>
      <c r="N5953" s="726"/>
      <c r="O5953" s="726"/>
      <c r="P5953" s="726"/>
      <c r="Q5953" s="727"/>
      <c r="R5953" s="458"/>
      <c r="S5953" s="459"/>
      <c r="T5953" s="460"/>
      <c r="U5953" s="219"/>
      <c r="V5953" s="464"/>
      <c r="Y5953" s="537">
        <f>0.4*PRESUPUESTOS!$H$16</f>
        <v>10.3124</v>
      </c>
      <c r="AA5953" s="540" t="e">
        <f>IF(AND(C5952&lt;=F5948,F5948&lt;&gt;""),VLOOKUP(VALUE(E5929&amp;","&amp;C5952),INTEGRANTES!$D$18:$F$235,2,0),"")</f>
        <v>#N/A</v>
      </c>
      <c r="AB5953" s="545" t="e">
        <f t="shared" si="1769"/>
        <v>#N/A</v>
      </c>
      <c r="AC5953" s="529"/>
      <c r="AD5953" s="200" t="e">
        <f t="shared" si="1770"/>
        <v>#N/A</v>
      </c>
      <c r="AE5953" s="52"/>
      <c r="AF5953" s="52"/>
      <c r="AG5953" s="52"/>
      <c r="AH5953" s="87"/>
      <c r="AI5953" s="87"/>
    </row>
    <row r="5954" spans="1:35" ht="27" hidden="1" customHeight="1" thickBot="1">
      <c r="A5954" s="218" t="e">
        <f>"R"&amp;E5929</f>
        <v>#N/A</v>
      </c>
      <c r="B5954" s="702"/>
      <c r="C5954" s="114">
        <v>5</v>
      </c>
      <c r="D5954" s="194" t="e">
        <f>IF(AND(C5954&lt;=F5948,F5948&lt;&gt;""),VLOOKUP(VALUE(E5929&amp;","&amp;C5954),INTEGRANTES!$D$18:$F$235,2,0),"")</f>
        <v>#N/A</v>
      </c>
      <c r="E5954" s="211" t="e">
        <f>IF(D5954&lt;&gt;"",VLOOKUP(VALUE(E5929&amp;","&amp;C5954),INTEGRANTES!$D$18:$F$235,3,0),"")</f>
        <v>#N/A</v>
      </c>
      <c r="F5954" s="547" t="e">
        <f>IF(D5954="","",SUMIF($I5933:$I5942,D5954,$P5933:$P5942))</f>
        <v>#N/A</v>
      </c>
      <c r="G5954" s="333" t="e">
        <f>IF(D5954="","",SUMIF($I5933:$I5942,D5954,$M5933:$M5942))</f>
        <v>#N/A</v>
      </c>
      <c r="H5954" s="535" t="e">
        <f t="shared" si="1766"/>
        <v>#N/A</v>
      </c>
      <c r="I5954" s="212" t="e">
        <f>IF(D5954="","",IF(H5954="NO APORTA","NO",IF(H5954=MAX($H5950:$H5955),"SI","NO")))</f>
        <v>#N/A</v>
      </c>
      <c r="J5954" s="213" t="e">
        <f t="shared" si="1767"/>
        <v>#N/A</v>
      </c>
      <c r="K5954" s="200" t="e">
        <f t="shared" si="1768"/>
        <v>#N/A</v>
      </c>
      <c r="L5954" s="721"/>
      <c r="M5954" s="715" t="s">
        <v>116</v>
      </c>
      <c r="N5954" s="716"/>
      <c r="O5954" s="556" t="str">
        <f>PORCREQUERIDO*100&amp;"% PMFO DEL MÓDULO"</f>
        <v>50% PMFO DEL MÓDULO</v>
      </c>
      <c r="P5954" s="715" t="s">
        <v>118</v>
      </c>
      <c r="Q5954" s="728"/>
      <c r="R5954" s="458"/>
      <c r="S5954" s="459"/>
      <c r="T5954" s="460"/>
      <c r="U5954" s="219"/>
      <c r="V5954" s="464"/>
      <c r="Y5954" s="414"/>
      <c r="AA5954" s="540" t="e">
        <f>IF(AND(C5953&lt;=F5948,F5948&lt;&gt;""),VLOOKUP(VALUE(E5929&amp;","&amp;C5953),INTEGRANTES!$D$18:$F$235,2,0),"")</f>
        <v>#N/A</v>
      </c>
      <c r="AB5954" s="545" t="e">
        <f t="shared" si="1769"/>
        <v>#N/A</v>
      </c>
      <c r="AC5954" s="529"/>
      <c r="AD5954" s="200" t="e">
        <f t="shared" si="1770"/>
        <v>#N/A</v>
      </c>
      <c r="AE5954" s="52"/>
      <c r="AF5954" s="52"/>
      <c r="AG5954" s="52"/>
      <c r="AH5954" s="87"/>
      <c r="AI5954" s="87"/>
    </row>
    <row r="5955" spans="1:35" ht="16.5" hidden="1" thickBot="1">
      <c r="A5955" s="218" t="e">
        <f>"S"&amp;E5929</f>
        <v>#N/A</v>
      </c>
      <c r="B5955" s="702"/>
      <c r="C5955" s="215">
        <v>6</v>
      </c>
      <c r="D5955" s="216" t="e">
        <f>IF(AND(C5955&lt;=F5948,F5948&lt;&gt;""),VLOOKUP(VALUE(E5929&amp;","&amp;C5955),INTEGRANTES!$D$18:$F$235,2,0),"")</f>
        <v>#N/A</v>
      </c>
      <c r="E5955" s="217" t="e">
        <f>IF(D5955&lt;&gt;"",VLOOKUP(VALUE(E5929&amp;","&amp;C5955),INTEGRANTES!$D$18:$F$235,3,0),"")</f>
        <v>#N/A</v>
      </c>
      <c r="F5955" s="548" t="e">
        <f>IF(D5955="","",SUMIF($I5933:$I5942,D5955,$P5933:$P5942))</f>
        <v>#N/A</v>
      </c>
      <c r="G5955" s="334" t="e">
        <f>IF(D5955="","",SUMIF($I5933:$I5942,D5955,$M5933:$M5942))</f>
        <v>#N/A</v>
      </c>
      <c r="H5955" s="536" t="e">
        <f t="shared" si="1766"/>
        <v>#N/A</v>
      </c>
      <c r="I5955" s="214" t="e">
        <f>IF(D5955="","",IF(H5955="NO APORTA","NO",IF(H5955=MAX($H5950:$H5955),"SI","NO")))</f>
        <v>#N/A</v>
      </c>
      <c r="J5955" s="213" t="e">
        <f t="shared" si="1767"/>
        <v>#N/A</v>
      </c>
      <c r="K5955" s="200" t="e">
        <f t="shared" si="1768"/>
        <v>#N/A</v>
      </c>
      <c r="L5955" s="721"/>
      <c r="M5955" s="729">
        <f>NUMMOD</f>
        <v>1</v>
      </c>
      <c r="N5955" s="730"/>
      <c r="O5955" s="443">
        <f>IF(M5955="","",ROUND(VLOOKUP(M5955,PRESUPUESTOS!$B$16:$H$16,7,FALSE),3))</f>
        <v>25.780999999999999</v>
      </c>
      <c r="P5955" s="713">
        <f>IF(OR(COUNTIF(P5933:P5942,"")&gt;=10,Q5949&lt;NUMMINCONT,OR(T5947="NO CUMPLE",T5947="VERIFICAR")),0,ROUND((SUM(P5933:P5942)/SUM(M5933:M5942)),3))</f>
        <v>0</v>
      </c>
      <c r="Q5955" s="714"/>
      <c r="R5955" s="458"/>
      <c r="S5955" s="459"/>
      <c r="T5955" s="460"/>
      <c r="U5955" s="219"/>
      <c r="V5955" s="464"/>
      <c r="Y5955" s="532" t="s">
        <v>343</v>
      </c>
      <c r="AA5955" s="540" t="e">
        <f>IF(AND(C5954&lt;=F5948,F5948&lt;&gt;""),VLOOKUP(VALUE(E5929&amp;","&amp;C5954),INTEGRANTES!$D$18:$F$235,2,0),"")</f>
        <v>#N/A</v>
      </c>
      <c r="AB5955" s="545" t="e">
        <f t="shared" si="1769"/>
        <v>#N/A</v>
      </c>
      <c r="AC5955" s="529"/>
      <c r="AD5955" s="200" t="e">
        <f t="shared" si="1770"/>
        <v>#N/A</v>
      </c>
      <c r="AE5955" s="52"/>
      <c r="AF5955" s="52"/>
      <c r="AG5955" s="52"/>
      <c r="AH5955" s="87"/>
      <c r="AI5955" s="87"/>
    </row>
    <row r="5956" spans="1:35" ht="16.5" hidden="1" customHeight="1" thickBot="1">
      <c r="A5956" s="218" t="e">
        <f>"T"&amp;E5929</f>
        <v>#N/A</v>
      </c>
      <c r="B5956" s="703"/>
      <c r="C5956" s="719"/>
      <c r="D5956" s="719"/>
      <c r="E5956" s="719"/>
      <c r="F5956" s="719"/>
      <c r="G5956" s="719"/>
      <c r="H5956" s="719" t="s">
        <v>110</v>
      </c>
      <c r="I5956" s="719"/>
      <c r="J5956" s="719"/>
      <c r="K5956" s="201" t="str">
        <f>IF(COUNTIF(K5950:K5955,"")=6,"",IF(COUNTIF(K5950:K5955,"CUMPLE")&gt;0,"CUMPLE","NO CUMPLE"))</f>
        <v>NO CUMPLE</v>
      </c>
      <c r="L5956" s="754"/>
      <c r="M5956" s="755"/>
      <c r="N5956" s="755"/>
      <c r="O5956" s="755"/>
      <c r="P5956" s="755"/>
      <c r="Q5956" s="756"/>
      <c r="R5956" s="461"/>
      <c r="S5956" s="462"/>
      <c r="T5956" s="463"/>
      <c r="U5956" s="219"/>
      <c r="V5956" s="464"/>
      <c r="Y5956" s="549" t="e">
        <f>IF(Y5950="NO APLICA","NO APLICA",IF(COUNTIF(AD5951:AD5956,"CUMPLE")&gt;0,"CUMPLE","NO CUMPLE"))</f>
        <v>#N/A</v>
      </c>
      <c r="AA5956" s="541" t="e">
        <f>IF(AND(C5955&lt;=F5948,F5948&lt;&gt;""),VLOOKUP(VALUE(E5929&amp;","&amp;C5955),INTEGRANTES!$D$18:$F$235,2,0),"")</f>
        <v>#N/A</v>
      </c>
      <c r="AB5956" s="546" t="e">
        <f t="shared" si="1769"/>
        <v>#N/A</v>
      </c>
      <c r="AC5956" s="543"/>
      <c r="AD5956" s="201" t="e">
        <f t="shared" si="1770"/>
        <v>#N/A</v>
      </c>
      <c r="AE5956" s="52"/>
      <c r="AF5956" s="52"/>
      <c r="AG5956" s="52"/>
      <c r="AH5956" s="87"/>
      <c r="AI5956" s="87"/>
    </row>
    <row r="5957" spans="1:35" hidden="1">
      <c r="AH5957" s="87"/>
      <c r="AI5957" s="87"/>
    </row>
    <row r="5958" spans="1:35" hidden="1">
      <c r="AH5958" s="87"/>
      <c r="AI5958" s="87"/>
    </row>
    <row r="5959" spans="1:35" ht="24" hidden="1" thickBot="1">
      <c r="A5959" s="61">
        <v>199</v>
      </c>
      <c r="B5959" s="704" t="s">
        <v>51</v>
      </c>
      <c r="C5959" s="704"/>
      <c r="D5959" s="704"/>
      <c r="E5959" s="62" t="e">
        <f>VLOOKUP(A5959,PROPONENTES!$B$19:$E$218,2,FALSE)</f>
        <v>#N/A</v>
      </c>
      <c r="F5959" s="63" t="e">
        <f>VLOOKUP(A5959,PROPONENTES!$B$19:$E$218,3,FALSE)</f>
        <v>#N/A</v>
      </c>
      <c r="G5959" s="64"/>
      <c r="H5959" s="64"/>
      <c r="I5959" s="63"/>
      <c r="J5959" s="63"/>
      <c r="K5959" s="65"/>
      <c r="L5959" s="65"/>
      <c r="M5959" s="64"/>
      <c r="N5959" s="64"/>
      <c r="O5959" s="66"/>
      <c r="P5959" s="66"/>
      <c r="Q5959" s="66"/>
      <c r="R5959" s="66"/>
      <c r="S5959" s="67"/>
      <c r="T5959" s="68"/>
      <c r="U5959" s="68"/>
      <c r="AC5959" s="68"/>
      <c r="AD5959" s="68"/>
      <c r="AE5959" s="68"/>
      <c r="AF5959" s="68"/>
      <c r="AG5959" s="68"/>
      <c r="AH5959" s="87"/>
      <c r="AI5959" s="87"/>
    </row>
    <row r="5960" spans="1:35" ht="15.75" hidden="1" customHeight="1">
      <c r="A5960" s="44"/>
      <c r="B5960" s="709" t="s">
        <v>59</v>
      </c>
      <c r="C5960" s="552" t="s">
        <v>60</v>
      </c>
      <c r="D5960" s="70" t="s">
        <v>17</v>
      </c>
      <c r="E5960" s="70"/>
      <c r="F5960" s="70" t="s">
        <v>61</v>
      </c>
      <c r="G5960" s="71"/>
      <c r="H5960" s="699" t="s">
        <v>62</v>
      </c>
      <c r="I5960" s="699" t="s">
        <v>18</v>
      </c>
      <c r="J5960" s="699" t="s">
        <v>63</v>
      </c>
      <c r="K5960" s="699" t="s">
        <v>64</v>
      </c>
      <c r="L5960" s="699" t="s">
        <v>65</v>
      </c>
      <c r="M5960" s="743" t="s">
        <v>66</v>
      </c>
      <c r="N5960" s="699" t="s">
        <v>282</v>
      </c>
      <c r="O5960" s="745" t="s">
        <v>67</v>
      </c>
      <c r="P5960" s="746"/>
      <c r="Q5960" s="102" t="s">
        <v>75</v>
      </c>
      <c r="R5960" s="731" t="s">
        <v>22</v>
      </c>
      <c r="S5960" s="732"/>
      <c r="T5960" s="733"/>
      <c r="U5960" s="712" t="s">
        <v>298</v>
      </c>
      <c r="W5960" s="690" t="s">
        <v>268</v>
      </c>
      <c r="X5960" s="691"/>
      <c r="Y5960" s="692"/>
      <c r="Z5960" s="428"/>
      <c r="AA5960" s="697" t="s">
        <v>315</v>
      </c>
      <c r="AB5960" s="695" t="s">
        <v>322</v>
      </c>
      <c r="AC5960" s="49"/>
      <c r="AD5960" s="690" t="s">
        <v>297</v>
      </c>
      <c r="AE5960" s="691"/>
      <c r="AF5960" s="692"/>
      <c r="AG5960" s="49"/>
      <c r="AH5960" s="87"/>
      <c r="AI5960" s="87"/>
    </row>
    <row r="5961" spans="1:35" ht="72" hidden="1">
      <c r="A5961" s="44"/>
      <c r="B5961" s="710"/>
      <c r="C5961" s="553" t="s">
        <v>68</v>
      </c>
      <c r="D5961" s="73" t="s">
        <v>3</v>
      </c>
      <c r="E5961" s="73" t="s">
        <v>19</v>
      </c>
      <c r="F5961" s="73" t="s">
        <v>69</v>
      </c>
      <c r="G5961" s="74" t="s">
        <v>70</v>
      </c>
      <c r="H5961" s="700"/>
      <c r="I5961" s="700"/>
      <c r="J5961" s="700"/>
      <c r="K5961" s="700"/>
      <c r="L5961" s="700"/>
      <c r="M5961" s="744"/>
      <c r="N5961" s="700"/>
      <c r="O5961" s="553" t="s">
        <v>279</v>
      </c>
      <c r="P5961" s="73" t="s">
        <v>88</v>
      </c>
      <c r="Q5961" s="555" t="s">
        <v>76</v>
      </c>
      <c r="R5961" s="734"/>
      <c r="S5961" s="735"/>
      <c r="T5961" s="736"/>
      <c r="U5961" s="712"/>
      <c r="W5961" s="429" t="s">
        <v>269</v>
      </c>
      <c r="X5961" s="457" t="s">
        <v>278</v>
      </c>
      <c r="Y5961" s="430" t="s">
        <v>324</v>
      </c>
      <c r="Z5961" s="428"/>
      <c r="AA5961" s="698"/>
      <c r="AB5961" s="696"/>
      <c r="AC5961" s="49"/>
      <c r="AD5961" s="429" t="s">
        <v>292</v>
      </c>
      <c r="AE5961" s="431" t="s">
        <v>300</v>
      </c>
      <c r="AF5961" s="468" t="s">
        <v>301</v>
      </c>
      <c r="AG5961" s="49"/>
      <c r="AH5961" s="87"/>
      <c r="AI5961" s="87"/>
    </row>
    <row r="5962" spans="1:35" hidden="1">
      <c r="A5962" s="44"/>
      <c r="B5962" s="76"/>
      <c r="C5962" s="77"/>
      <c r="D5962" s="77"/>
      <c r="E5962" s="77"/>
      <c r="F5962" s="77"/>
      <c r="G5962" s="77"/>
      <c r="H5962" s="77"/>
      <c r="I5962" s="77"/>
      <c r="J5962" s="77"/>
      <c r="K5962" s="77"/>
      <c r="L5962" s="77"/>
      <c r="M5962" s="77"/>
      <c r="N5962" s="77"/>
      <c r="O5962" s="77"/>
      <c r="P5962" s="77"/>
      <c r="Q5962" s="77"/>
      <c r="R5962" s="77"/>
      <c r="S5962" s="78"/>
      <c r="T5962" s="79"/>
      <c r="U5962" s="109"/>
      <c r="V5962" s="49"/>
      <c r="W5962" s="432"/>
      <c r="X5962" s="454"/>
      <c r="Y5962" s="433"/>
      <c r="Z5962" s="6"/>
      <c r="AA5962" s="500"/>
      <c r="AB5962" s="562"/>
      <c r="AC5962" s="49"/>
      <c r="AD5962" s="210"/>
      <c r="AE5962" s="434"/>
      <c r="AF5962" s="435"/>
      <c r="AG5962" s="49"/>
      <c r="AH5962" s="87"/>
      <c r="AI5962" s="87"/>
    </row>
    <row r="5963" spans="1:35" hidden="1">
      <c r="A5963" s="80" t="e">
        <f>"A"&amp;E5959</f>
        <v>#N/A</v>
      </c>
      <c r="B5963" s="81">
        <v>1</v>
      </c>
      <c r="C5963" s="82"/>
      <c r="D5963" s="82"/>
      <c r="E5963" s="82"/>
      <c r="F5963" s="82"/>
      <c r="G5963" s="83"/>
      <c r="H5963" s="83"/>
      <c r="I5963" s="84"/>
      <c r="J5963" s="85"/>
      <c r="K5963" s="382"/>
      <c r="L5963" s="85"/>
      <c r="M5963" s="332" t="str">
        <f t="shared" ref="M5963:M5972" si="1771">IF(OR(J5963="",L5963="",H5963="NO"),"",IF(OR(J5963&gt;$P$17,J5963&lt;$O$17,L5963&gt;$P$17,AND(J5963&lt;$O$17,L5963&lt;$O$17)),"FUERA DE RANGO",IF(OR(K5963="---",K5963=""),IF(J5963&gt;=$O$17,ROUND((L5963-J5963+1)/360*12,3),ROUND((L5963-$O$17+1)/360*12,3)),IF(J5963&gt;=$O$17,ROUND((L5963-J5963+1)/360*12-ROUND(K5963,3),3),ROUND((L5963-$O$17+1)/360*12-ROUND(K5963,3),3)))))</f>
        <v/>
      </c>
      <c r="N5963" s="86"/>
      <c r="O5963" s="453" t="str">
        <f>IF(OR(G5963="",N5963=""),"",N5963*G5963)</f>
        <v/>
      </c>
      <c r="P5963" s="538" t="str">
        <f>IF(OR(H5963="",M5963="FUERA DE RANGO"),"",IF(OR(L5963&lt;$O$17,L5963&gt;$P$17,L5963="",H5963="NO"),"",IF(OR(N5963="",O5963=""),"",ROUND(O5963,3))))</f>
        <v/>
      </c>
      <c r="Q5963" s="539" t="str">
        <f t="shared" ref="Q5963:Q5972" si="1772">IF(AND(H5963="SI",P5963&lt;&gt;""),ROUND(P5963/M5963,3),"")</f>
        <v/>
      </c>
      <c r="R5963" s="737"/>
      <c r="S5963" s="738"/>
      <c r="T5963" s="739"/>
      <c r="U5963" s="470"/>
      <c r="V5963" s="165"/>
      <c r="W5963" s="446"/>
      <c r="X5963" s="456"/>
      <c r="Y5963" s="436"/>
      <c r="Z5963" s="437"/>
      <c r="AA5963" s="560"/>
      <c r="AB5963" s="561"/>
      <c r="AC5963" s="87"/>
      <c r="AD5963" s="466"/>
      <c r="AE5963" s="456"/>
      <c r="AF5963" s="467"/>
      <c r="AG5963" s="87"/>
      <c r="AH5963" s="87"/>
      <c r="AI5963" s="87"/>
    </row>
    <row r="5964" spans="1:35" hidden="1">
      <c r="A5964" s="80" t="e">
        <f>"B"&amp;E5959</f>
        <v>#N/A</v>
      </c>
      <c r="B5964" s="81">
        <v>2</v>
      </c>
      <c r="C5964" s="106"/>
      <c r="D5964" s="106"/>
      <c r="E5964" s="106"/>
      <c r="F5964" s="106"/>
      <c r="G5964" s="83"/>
      <c r="H5964" s="83"/>
      <c r="I5964" s="84"/>
      <c r="J5964" s="85"/>
      <c r="K5964" s="382"/>
      <c r="L5964" s="85"/>
      <c r="M5964" s="332" t="str">
        <f t="shared" si="1771"/>
        <v/>
      </c>
      <c r="N5964" s="86"/>
      <c r="O5964" s="453" t="str">
        <f t="shared" ref="O5964:O5972" si="1773">IF(OR(G5964="",N5964=""),"",N5964*G5964)</f>
        <v/>
      </c>
      <c r="P5964" s="538" t="str">
        <f t="shared" ref="P5964:P5972" si="1774">IF(OR(H5964="",M5964="FUERA DE RANGO"),"",IF(OR(L5964&lt;$O$17,L5964&gt;$P$17,L5964="",H5964="NO"),"",IF(OR(N5964="",O5964=""),"",ROUND(O5964,3))))</f>
        <v/>
      </c>
      <c r="Q5964" s="539" t="str">
        <f t="shared" si="1772"/>
        <v/>
      </c>
      <c r="R5964" s="740"/>
      <c r="S5964" s="741"/>
      <c r="T5964" s="742"/>
      <c r="U5964" s="471"/>
      <c r="V5964" s="165"/>
      <c r="W5964" s="446"/>
      <c r="X5964" s="456"/>
      <c r="Y5964" s="436"/>
      <c r="Z5964" s="437"/>
      <c r="AA5964" s="560"/>
      <c r="AB5964" s="561"/>
      <c r="AC5964" s="87"/>
      <c r="AD5964" s="466"/>
      <c r="AE5964" s="456"/>
      <c r="AF5964" s="467"/>
      <c r="AG5964" s="87"/>
      <c r="AH5964" s="87"/>
      <c r="AI5964" s="87"/>
    </row>
    <row r="5965" spans="1:35" hidden="1">
      <c r="A5965" s="80" t="e">
        <f>"C"&amp;E5959</f>
        <v>#N/A</v>
      </c>
      <c r="B5965" s="88">
        <v>3</v>
      </c>
      <c r="C5965" s="82"/>
      <c r="D5965" s="82"/>
      <c r="E5965" s="82"/>
      <c r="F5965" s="82"/>
      <c r="G5965" s="83"/>
      <c r="H5965" s="83"/>
      <c r="I5965" s="84"/>
      <c r="J5965" s="85"/>
      <c r="K5965" s="382"/>
      <c r="L5965" s="85"/>
      <c r="M5965" s="332" t="str">
        <f t="shared" si="1771"/>
        <v/>
      </c>
      <c r="N5965" s="86"/>
      <c r="O5965" s="453" t="str">
        <f t="shared" si="1773"/>
        <v/>
      </c>
      <c r="P5965" s="538" t="str">
        <f t="shared" si="1774"/>
        <v/>
      </c>
      <c r="Q5965" s="539" t="str">
        <f t="shared" si="1772"/>
        <v/>
      </c>
      <c r="R5965" s="706"/>
      <c r="S5965" s="707"/>
      <c r="T5965" s="708"/>
      <c r="U5965" s="472"/>
      <c r="V5965" s="166"/>
      <c r="W5965" s="446"/>
      <c r="X5965" s="456"/>
      <c r="Y5965" s="436"/>
      <c r="Z5965" s="437"/>
      <c r="AA5965" s="560"/>
      <c r="AB5965" s="561"/>
      <c r="AC5965" s="87"/>
      <c r="AD5965" s="466"/>
      <c r="AE5965" s="456"/>
      <c r="AF5965" s="467"/>
      <c r="AG5965" s="87"/>
      <c r="AH5965" s="87"/>
      <c r="AI5965" s="87"/>
    </row>
    <row r="5966" spans="1:35" hidden="1">
      <c r="A5966" s="80" t="e">
        <f>"D"&amp;E5959</f>
        <v>#N/A</v>
      </c>
      <c r="B5966" s="105">
        <v>4</v>
      </c>
      <c r="C5966" s="107"/>
      <c r="D5966" s="107"/>
      <c r="E5966" s="107"/>
      <c r="F5966" s="107"/>
      <c r="G5966" s="83"/>
      <c r="H5966" s="83"/>
      <c r="I5966" s="84"/>
      <c r="J5966" s="85"/>
      <c r="K5966" s="382"/>
      <c r="L5966" s="85"/>
      <c r="M5966" s="332" t="str">
        <f t="shared" si="1771"/>
        <v/>
      </c>
      <c r="N5966" s="86"/>
      <c r="O5966" s="453" t="str">
        <f t="shared" si="1773"/>
        <v/>
      </c>
      <c r="P5966" s="538" t="str">
        <f t="shared" si="1774"/>
        <v/>
      </c>
      <c r="Q5966" s="539" t="str">
        <f t="shared" si="1772"/>
        <v/>
      </c>
      <c r="R5966" s="706"/>
      <c r="S5966" s="707"/>
      <c r="T5966" s="708"/>
      <c r="U5966" s="472"/>
      <c r="V5966" s="166"/>
      <c r="W5966" s="446"/>
      <c r="X5966" s="456"/>
      <c r="Y5966" s="436"/>
      <c r="Z5966" s="437"/>
      <c r="AA5966" s="560"/>
      <c r="AB5966" s="561"/>
      <c r="AC5966" s="87"/>
      <c r="AD5966" s="466"/>
      <c r="AE5966" s="456"/>
      <c r="AF5966" s="467"/>
      <c r="AG5966" s="87"/>
      <c r="AH5966" s="87"/>
      <c r="AI5966" s="87"/>
    </row>
    <row r="5967" spans="1:35" hidden="1">
      <c r="A5967" s="80" t="e">
        <f>"E"&amp;E5959</f>
        <v>#N/A</v>
      </c>
      <c r="B5967" s="105">
        <v>5</v>
      </c>
      <c r="C5967" s="107"/>
      <c r="D5967" s="107"/>
      <c r="E5967" s="107"/>
      <c r="F5967" s="107"/>
      <c r="G5967" s="83"/>
      <c r="H5967" s="83"/>
      <c r="I5967" s="84"/>
      <c r="J5967" s="85"/>
      <c r="K5967" s="382"/>
      <c r="L5967" s="85"/>
      <c r="M5967" s="332" t="str">
        <f t="shared" si="1771"/>
        <v/>
      </c>
      <c r="N5967" s="86"/>
      <c r="O5967" s="453" t="str">
        <f t="shared" si="1773"/>
        <v/>
      </c>
      <c r="P5967" s="538" t="str">
        <f t="shared" si="1774"/>
        <v/>
      </c>
      <c r="Q5967" s="539" t="str">
        <f t="shared" si="1772"/>
        <v/>
      </c>
      <c r="R5967" s="706"/>
      <c r="S5967" s="707"/>
      <c r="T5967" s="708"/>
      <c r="U5967" s="472"/>
      <c r="V5967" s="167"/>
      <c r="W5967" s="446"/>
      <c r="X5967" s="456"/>
      <c r="Y5967" s="436"/>
      <c r="Z5967" s="437"/>
      <c r="AA5967" s="560"/>
      <c r="AB5967" s="561"/>
      <c r="AC5967" s="87"/>
      <c r="AD5967" s="466"/>
      <c r="AE5967" s="456"/>
      <c r="AF5967" s="467"/>
      <c r="AG5967" s="87"/>
      <c r="AH5967" s="87"/>
      <c r="AI5967" s="87"/>
    </row>
    <row r="5968" spans="1:35" hidden="1">
      <c r="A5968" s="80" t="e">
        <f>"F"&amp;E5959</f>
        <v>#N/A</v>
      </c>
      <c r="B5968" s="105">
        <v>6</v>
      </c>
      <c r="C5968" s="107"/>
      <c r="D5968" s="107"/>
      <c r="E5968" s="107"/>
      <c r="F5968" s="107"/>
      <c r="G5968" s="83"/>
      <c r="H5968" s="83"/>
      <c r="I5968" s="84"/>
      <c r="J5968" s="85"/>
      <c r="K5968" s="382"/>
      <c r="L5968" s="85"/>
      <c r="M5968" s="332" t="str">
        <f t="shared" si="1771"/>
        <v/>
      </c>
      <c r="N5968" s="86"/>
      <c r="O5968" s="453" t="str">
        <f t="shared" si="1773"/>
        <v/>
      </c>
      <c r="P5968" s="538" t="str">
        <f t="shared" si="1774"/>
        <v/>
      </c>
      <c r="Q5968" s="539" t="str">
        <f t="shared" si="1772"/>
        <v/>
      </c>
      <c r="R5968" s="706"/>
      <c r="S5968" s="707"/>
      <c r="T5968" s="708"/>
      <c r="U5968" s="472"/>
      <c r="V5968" s="167"/>
      <c r="W5968" s="446"/>
      <c r="X5968" s="456"/>
      <c r="Y5968" s="436"/>
      <c r="Z5968" s="437"/>
      <c r="AA5968" s="560"/>
      <c r="AB5968" s="561"/>
      <c r="AC5968" s="87"/>
      <c r="AD5968" s="466"/>
      <c r="AE5968" s="456"/>
      <c r="AF5968" s="467"/>
      <c r="AG5968" s="87"/>
      <c r="AH5968" s="87"/>
      <c r="AI5968" s="87"/>
    </row>
    <row r="5969" spans="1:35" hidden="1">
      <c r="A5969" s="80" t="e">
        <f>"G"&amp;E5959</f>
        <v>#N/A</v>
      </c>
      <c r="B5969" s="105">
        <v>7</v>
      </c>
      <c r="C5969" s="107"/>
      <c r="D5969" s="107"/>
      <c r="E5969" s="107"/>
      <c r="F5969" s="107"/>
      <c r="G5969" s="83"/>
      <c r="H5969" s="83"/>
      <c r="I5969" s="84"/>
      <c r="J5969" s="85"/>
      <c r="K5969" s="382"/>
      <c r="L5969" s="85"/>
      <c r="M5969" s="332" t="str">
        <f t="shared" si="1771"/>
        <v/>
      </c>
      <c r="N5969" s="86"/>
      <c r="O5969" s="86" t="str">
        <f t="shared" si="1773"/>
        <v/>
      </c>
      <c r="P5969" s="538" t="str">
        <f t="shared" si="1774"/>
        <v/>
      </c>
      <c r="Q5969" s="539" t="str">
        <f t="shared" si="1772"/>
        <v/>
      </c>
      <c r="R5969" s="706"/>
      <c r="S5969" s="707"/>
      <c r="T5969" s="708"/>
      <c r="U5969" s="472"/>
      <c r="V5969" s="167"/>
      <c r="W5969" s="446"/>
      <c r="X5969" s="456"/>
      <c r="Y5969" s="436"/>
      <c r="Z5969" s="437"/>
      <c r="AA5969" s="560"/>
      <c r="AB5969" s="561"/>
      <c r="AC5969" s="87"/>
      <c r="AD5969" s="466"/>
      <c r="AE5969" s="456"/>
      <c r="AF5969" s="467"/>
      <c r="AG5969" s="87"/>
      <c r="AH5969" s="87"/>
      <c r="AI5969" s="87"/>
    </row>
    <row r="5970" spans="1:35" hidden="1">
      <c r="A5970" s="80" t="e">
        <f>"H"&amp;E5959</f>
        <v>#N/A</v>
      </c>
      <c r="B5970" s="105">
        <v>8</v>
      </c>
      <c r="C5970" s="107"/>
      <c r="D5970" s="107"/>
      <c r="E5970" s="107"/>
      <c r="F5970" s="107"/>
      <c r="G5970" s="83"/>
      <c r="H5970" s="83"/>
      <c r="I5970" s="84"/>
      <c r="J5970" s="85"/>
      <c r="K5970" s="382"/>
      <c r="L5970" s="85"/>
      <c r="M5970" s="332" t="str">
        <f t="shared" si="1771"/>
        <v/>
      </c>
      <c r="N5970" s="453"/>
      <c r="O5970" s="86" t="str">
        <f t="shared" si="1773"/>
        <v/>
      </c>
      <c r="P5970" s="538" t="str">
        <f t="shared" si="1774"/>
        <v/>
      </c>
      <c r="Q5970" s="539" t="str">
        <f t="shared" si="1772"/>
        <v/>
      </c>
      <c r="R5970" s="706"/>
      <c r="S5970" s="707"/>
      <c r="T5970" s="708"/>
      <c r="U5970" s="472"/>
      <c r="V5970" s="167"/>
      <c r="W5970" s="446"/>
      <c r="X5970" s="456"/>
      <c r="Y5970" s="436"/>
      <c r="Z5970" s="437"/>
      <c r="AA5970" s="560"/>
      <c r="AB5970" s="561"/>
      <c r="AC5970" s="87"/>
      <c r="AD5970" s="466"/>
      <c r="AE5970" s="456"/>
      <c r="AF5970" s="467"/>
      <c r="AG5970" s="87"/>
      <c r="AH5970" s="87"/>
      <c r="AI5970" s="87"/>
    </row>
    <row r="5971" spans="1:35" hidden="1">
      <c r="A5971" s="80" t="e">
        <f>"I"&amp;E5959</f>
        <v>#N/A</v>
      </c>
      <c r="B5971" s="105">
        <v>9</v>
      </c>
      <c r="C5971" s="107"/>
      <c r="D5971" s="107"/>
      <c r="E5971" s="107"/>
      <c r="F5971" s="107"/>
      <c r="G5971" s="83"/>
      <c r="H5971" s="83"/>
      <c r="I5971" s="84"/>
      <c r="J5971" s="85"/>
      <c r="K5971" s="382"/>
      <c r="L5971" s="85"/>
      <c r="M5971" s="332" t="str">
        <f t="shared" si="1771"/>
        <v/>
      </c>
      <c r="N5971" s="453"/>
      <c r="O5971" s="86" t="str">
        <f t="shared" si="1773"/>
        <v/>
      </c>
      <c r="P5971" s="538" t="str">
        <f t="shared" si="1774"/>
        <v/>
      </c>
      <c r="Q5971" s="539" t="str">
        <f t="shared" si="1772"/>
        <v/>
      </c>
      <c r="R5971" s="706"/>
      <c r="S5971" s="707"/>
      <c r="T5971" s="708"/>
      <c r="U5971" s="472"/>
      <c r="V5971" s="167"/>
      <c r="W5971" s="446"/>
      <c r="X5971" s="456"/>
      <c r="Y5971" s="436"/>
      <c r="Z5971" s="437"/>
      <c r="AA5971" s="560"/>
      <c r="AB5971" s="561"/>
      <c r="AC5971" s="87"/>
      <c r="AD5971" s="466"/>
      <c r="AE5971" s="456"/>
      <c r="AF5971" s="467"/>
      <c r="AG5971" s="87"/>
      <c r="AH5971" s="87"/>
      <c r="AI5971" s="87"/>
    </row>
    <row r="5972" spans="1:35" hidden="1">
      <c r="A5972" s="80" t="e">
        <f>"J"&amp;E5959</f>
        <v>#N/A</v>
      </c>
      <c r="B5972" s="105">
        <v>10</v>
      </c>
      <c r="C5972" s="107"/>
      <c r="D5972" s="107"/>
      <c r="E5972" s="107"/>
      <c r="F5972" s="107"/>
      <c r="G5972" s="83"/>
      <c r="H5972" s="83"/>
      <c r="I5972" s="84"/>
      <c r="J5972" s="85"/>
      <c r="K5972" s="382"/>
      <c r="L5972" s="85"/>
      <c r="M5972" s="332" t="str">
        <f t="shared" si="1771"/>
        <v/>
      </c>
      <c r="N5972" s="453"/>
      <c r="O5972" s="86" t="str">
        <f t="shared" si="1773"/>
        <v/>
      </c>
      <c r="P5972" s="538" t="str">
        <f t="shared" si="1774"/>
        <v/>
      </c>
      <c r="Q5972" s="539" t="str">
        <f t="shared" si="1772"/>
        <v/>
      </c>
      <c r="R5972" s="706"/>
      <c r="S5972" s="707"/>
      <c r="T5972" s="708"/>
      <c r="U5972" s="472"/>
      <c r="V5972" s="167"/>
      <c r="W5972" s="446"/>
      <c r="X5972" s="456"/>
      <c r="Y5972" s="436"/>
      <c r="Z5972" s="437"/>
      <c r="AA5972" s="560"/>
      <c r="AB5972" s="561"/>
      <c r="AC5972" s="87"/>
      <c r="AD5972" s="466"/>
      <c r="AE5972" s="456"/>
      <c r="AF5972" s="467"/>
      <c r="AG5972" s="87"/>
      <c r="AH5972" s="87"/>
      <c r="AI5972" s="87"/>
    </row>
    <row r="5973" spans="1:35" ht="16.5" hidden="1" thickBot="1">
      <c r="A5973" s="44"/>
      <c r="B5973" s="89"/>
      <c r="C5973" s="90"/>
      <c r="D5973" s="90"/>
      <c r="E5973" s="90"/>
      <c r="F5973" s="90"/>
      <c r="G5973" s="90"/>
      <c r="H5973" s="90"/>
      <c r="I5973" s="90"/>
      <c r="J5973" s="90"/>
      <c r="K5973" s="90"/>
      <c r="L5973" s="90"/>
      <c r="M5973" s="90"/>
      <c r="N5973" s="90"/>
      <c r="O5973" s="90"/>
      <c r="P5973" s="90"/>
      <c r="Q5973" s="90"/>
      <c r="R5973" s="90"/>
      <c r="S5973" s="91"/>
      <c r="T5973" s="92"/>
      <c r="U5973" s="473"/>
      <c r="W5973" s="438"/>
      <c r="X5973" s="455"/>
      <c r="Y5973" s="439"/>
      <c r="Z5973" s="437"/>
      <c r="AA5973" s="530"/>
      <c r="AB5973" s="563"/>
      <c r="AC5973" s="87"/>
      <c r="AD5973" s="440"/>
      <c r="AE5973" s="441"/>
      <c r="AF5973" s="442"/>
      <c r="AG5973" s="49"/>
      <c r="AH5973" s="87"/>
      <c r="AI5973" s="87"/>
    </row>
    <row r="5974" spans="1:35" ht="16.5" hidden="1" thickBot="1">
      <c r="A5974" s="93"/>
      <c r="B5974" s="94"/>
      <c r="C5974" s="96"/>
      <c r="D5974" s="96"/>
      <c r="E5974" s="96"/>
      <c r="F5974" s="96"/>
      <c r="G5974" s="96"/>
      <c r="H5974" s="96"/>
      <c r="I5974" s="96"/>
      <c r="J5974" s="96"/>
      <c r="K5974" s="96"/>
      <c r="L5974" s="96"/>
      <c r="M5974" s="136"/>
      <c r="N5974" s="96"/>
      <c r="O5974" s="96"/>
      <c r="P5974" s="97"/>
      <c r="Q5974" s="97"/>
      <c r="R5974" s="98"/>
      <c r="S5974" s="95"/>
      <c r="T5974" s="99"/>
      <c r="U5974" s="469"/>
      <c r="AC5974" s="58"/>
      <c r="AG5974" s="58"/>
      <c r="AH5974" s="87"/>
      <c r="AI5974" s="87"/>
    </row>
    <row r="5975" spans="1:35" ht="16.5" hidden="1" thickBot="1">
      <c r="B5975" s="101"/>
      <c r="C5975" s="101"/>
      <c r="D5975" s="101"/>
      <c r="E5975" s="101"/>
      <c r="F5975" s="101"/>
      <c r="G5975" s="101"/>
      <c r="H5975" s="101"/>
      <c r="I5975" s="101"/>
      <c r="J5975" s="101"/>
      <c r="K5975" s="101"/>
      <c r="L5975" s="101"/>
      <c r="M5975" s="101"/>
      <c r="N5975" s="101"/>
      <c r="O5975" s="101"/>
      <c r="P5975" s="101"/>
      <c r="Q5975" s="101"/>
      <c r="R5975" s="101"/>
      <c r="S5975" s="101"/>
      <c r="U5975" s="50"/>
      <c r="AH5975" s="87"/>
      <c r="AI5975" s="87"/>
    </row>
    <row r="5976" spans="1:35" ht="16.5" hidden="1" customHeight="1" thickBot="1">
      <c r="A5976" s="44"/>
      <c r="B5976" s="705" t="s">
        <v>74</v>
      </c>
      <c r="C5976" s="705"/>
      <c r="D5976" s="705"/>
      <c r="E5976" s="705"/>
      <c r="F5976" s="705"/>
      <c r="G5976" s="705"/>
      <c r="H5976" s="705"/>
      <c r="I5976" s="705"/>
      <c r="J5976" s="705"/>
      <c r="K5976" s="705"/>
      <c r="L5976" s="705"/>
      <c r="M5976" s="705"/>
      <c r="N5976" s="705"/>
      <c r="O5976" s="705"/>
      <c r="P5976" s="705"/>
      <c r="Q5976" s="705"/>
      <c r="R5976" s="705"/>
      <c r="S5976" s="705"/>
      <c r="T5976" s="705"/>
      <c r="U5976" s="108"/>
      <c r="Y5976" s="532" t="s">
        <v>341</v>
      </c>
      <c r="AC5976" s="49"/>
      <c r="AD5976" s="687" t="s">
        <v>302</v>
      </c>
      <c r="AE5976" s="688"/>
      <c r="AF5976" s="689"/>
      <c r="AG5976" s="49"/>
      <c r="AH5976" s="87"/>
      <c r="AI5976" s="87"/>
    </row>
    <row r="5977" spans="1:35" ht="16.5" hidden="1" customHeight="1" thickBot="1">
      <c r="A5977" s="218" t="e">
        <f>"K"&amp;E5959</f>
        <v>#N/A</v>
      </c>
      <c r="B5977" s="701" t="s">
        <v>71</v>
      </c>
      <c r="C5977" s="751" t="s">
        <v>102</v>
      </c>
      <c r="D5977" s="751"/>
      <c r="E5977" s="751"/>
      <c r="F5977" s="751"/>
      <c r="G5977" s="751"/>
      <c r="H5977" s="751"/>
      <c r="I5977" s="751"/>
      <c r="J5977" s="751"/>
      <c r="K5977" s="751"/>
      <c r="L5977" s="722" t="s">
        <v>100</v>
      </c>
      <c r="M5977" s="747" t="s">
        <v>114</v>
      </c>
      <c r="N5977" s="747"/>
      <c r="O5977" s="747"/>
      <c r="P5977" s="747"/>
      <c r="Q5977" s="748"/>
      <c r="R5977" s="758" t="s">
        <v>280</v>
      </c>
      <c r="S5977" s="748"/>
      <c r="T5977" s="762" t="str">
        <f>IF(COUNTIF(AE5977:AF5977,"VERIFICAR")&gt;0,"VERIFICAR",IF(COUNTIF(AE5977:AF5977,"NO CUMPLE")&gt;0,"NO CUMPLE","CUMPLE"))</f>
        <v>VERIFICAR</v>
      </c>
      <c r="U5977" s="108"/>
      <c r="Y5977" s="533" t="e">
        <f>IF(F5978="","",IF(F5978=1,"INDIVIDUAL","ESTRUCTURA PLURAL"))</f>
        <v>#N/A</v>
      </c>
      <c r="AC5977" s="52"/>
      <c r="AD5977" s="475" t="s">
        <v>303</v>
      </c>
      <c r="AE5977" s="476" t="str">
        <f>IF(COUNTIF(AE5963:AE5972,"")=10,"VERIFICAR",IF(COUNTIF(AE5963:AE5972,"SI")&gt;0,"CUMPLE","NO CUMPLE"))</f>
        <v>VERIFICAR</v>
      </c>
      <c r="AF5977" s="477" t="str">
        <f>IF(COUNTIF(AF5963:AF5972,"")=10,"VERIFICAR",IF(COUNTIF(AF5963:AF5972,"SI")&gt;=$AI$22,"CUMPLE","NO CUMPLE"))</f>
        <v>VERIFICAR</v>
      </c>
      <c r="AG5977" s="52"/>
      <c r="AH5977" s="87"/>
      <c r="AI5977" s="87"/>
    </row>
    <row r="5978" spans="1:35" ht="15.75" hidden="1" customHeight="1" thickBot="1">
      <c r="A5978" s="218" t="e">
        <f>"L"&amp;E5959</f>
        <v>#N/A</v>
      </c>
      <c r="B5978" s="702"/>
      <c r="C5978" s="751" t="s">
        <v>103</v>
      </c>
      <c r="D5978" s="751"/>
      <c r="E5978" s="752"/>
      <c r="F5978" s="557" t="e">
        <f>IF(VLOOKUP(E5959,PROPONENTES!$C$19:$E$218,3,0)="","",VLOOKUP(E5959,PROPONENTES!$C$19:$E$218,3,0))</f>
        <v>#N/A</v>
      </c>
      <c r="G5978" s="753" t="s">
        <v>104</v>
      </c>
      <c r="H5978" s="751"/>
      <c r="I5978" s="715" t="e">
        <f>IF(OR(F5978="",F5978=1),"INTERESADO PERSONA NATURAL O JURIDICA","CONSORCIO O UNION TEMPORAL")</f>
        <v>#N/A</v>
      </c>
      <c r="J5978" s="725"/>
      <c r="K5978" s="728"/>
      <c r="L5978" s="723"/>
      <c r="M5978" s="749"/>
      <c r="N5978" s="749"/>
      <c r="O5978" s="749"/>
      <c r="P5978" s="749"/>
      <c r="Q5978" s="750"/>
      <c r="R5978" s="712"/>
      <c r="S5978" s="750"/>
      <c r="T5978" s="763"/>
      <c r="U5978" s="108"/>
      <c r="Y5978" s="534"/>
      <c r="AA5978" s="52"/>
      <c r="AB5978" s="52"/>
      <c r="AC5978" s="52"/>
      <c r="AG5978" s="52"/>
      <c r="AH5978" s="87"/>
      <c r="AI5978" s="87"/>
    </row>
    <row r="5979" spans="1:35" ht="56.25" hidden="1" customHeight="1" thickBot="1">
      <c r="A5979" s="218" t="e">
        <f>"M"&amp;E5959</f>
        <v>#N/A</v>
      </c>
      <c r="B5979" s="702"/>
      <c r="C5979" s="725" t="s">
        <v>101</v>
      </c>
      <c r="D5979" s="716"/>
      <c r="E5979" s="558" t="s">
        <v>105</v>
      </c>
      <c r="F5979" s="554" t="s">
        <v>87</v>
      </c>
      <c r="G5979" s="553" t="s">
        <v>86</v>
      </c>
      <c r="H5979" s="559" t="s">
        <v>85</v>
      </c>
      <c r="I5979" s="554" t="s">
        <v>252</v>
      </c>
      <c r="J5979" s="553" t="str">
        <f>"¿EL INTEGRANTE TIENE UNA PARTICIPACIÓN DEL "&amp;PORCREQUERIDOINT*100&amp;"%?"</f>
        <v>¿EL INTEGRANTE TIENE UNA PARTICIPACIÓN DEL 60%?</v>
      </c>
      <c r="K5979" s="554" t="s">
        <v>107</v>
      </c>
      <c r="L5979" s="724"/>
      <c r="M5979" s="717" t="s">
        <v>115</v>
      </c>
      <c r="N5979" s="718"/>
      <c r="O5979" s="718"/>
      <c r="P5979" s="718"/>
      <c r="Q5979" s="223">
        <f>IF(AND(H5963="SI",P5963&gt;=0),1,0)+IF(AND(H5964="SI",P5964&gt;=0),1,0)+IF(AND(H5965="SI",P5965&gt;=0),1,0)+IF(AND(H5966="SI",P5966&gt;=0),1,0)+IF(AND(H5967="SI",P5967&gt;=0),1,0)+IF(AND(H5968="SI",P5968&gt;=0),1,0)+IF(AND(H5969="SI",P5969&gt;=0),1,0)+IF(AND(H5970="SI",P5970&gt;=0),1,0)+IF(AND(H5971="SI",P5971&gt;=0),1,0)+IF(AND(H5972="SI",P5972&gt;=0),1,0)</f>
        <v>0</v>
      </c>
      <c r="R5979" s="759"/>
      <c r="S5979" s="761"/>
      <c r="T5979" s="764"/>
      <c r="U5979" s="219"/>
      <c r="V5979" s="464"/>
      <c r="Y5979" s="532" t="s">
        <v>342</v>
      </c>
      <c r="AA5979" s="550" t="s">
        <v>344</v>
      </c>
      <c r="AB5979" s="693" t="s">
        <v>345</v>
      </c>
      <c r="AC5979" s="693" t="s">
        <v>346</v>
      </c>
      <c r="AD5979" s="685" t="s">
        <v>347</v>
      </c>
      <c r="AE5979" s="52"/>
      <c r="AF5979" s="52"/>
      <c r="AG5979" s="52"/>
      <c r="AH5979" s="87"/>
      <c r="AI5979" s="87"/>
    </row>
    <row r="5980" spans="1:35" ht="15.75" hidden="1" customHeight="1" thickBot="1">
      <c r="A5980" s="218" t="e">
        <f>"N"&amp;E5959</f>
        <v>#N/A</v>
      </c>
      <c r="B5980" s="702"/>
      <c r="C5980" s="114">
        <v>1</v>
      </c>
      <c r="D5980" s="194" t="e">
        <f>IF(AND(C5980&lt;=F5978,F5978&gt;1,F5978&lt;&gt;""),VLOOKUP(VALUE(E5959&amp;","&amp;C5980),INTEGRANTES!$D$18:$F$235,2,0),"")</f>
        <v>#N/A</v>
      </c>
      <c r="E5980" s="211" t="e">
        <f>IF(D5980&lt;&gt;"",VLOOKUP(VALUE(E5959&amp;","&amp;C5980),INTEGRANTES!$D$18:$F$235,3,0),"")</f>
        <v>#N/A</v>
      </c>
      <c r="F5980" s="547" t="e">
        <f>IF(D5980="","",SUMIF($I5963:$I5972,D5980,$P5963:$P5972))</f>
        <v>#N/A</v>
      </c>
      <c r="G5980" s="333" t="e">
        <f>IF(D5980="","",SUMIF($I5963:$I5972,D5980,$M5963:$M5972))</f>
        <v>#N/A</v>
      </c>
      <c r="H5980" s="535" t="e">
        <f t="shared" ref="H5980:H5985" si="1775">IF(D5980="","",IF(OR(F5980=0,G5980=0),"NO APORTA",ROUND($F5980/$G5980,3)))</f>
        <v>#N/A</v>
      </c>
      <c r="I5980" s="212" t="e">
        <f>IF(D5980="","",IF(H5980="NO APORTA","NO",IF(H5980=MAX($H5980:$H5985),"SI","NO")))</f>
        <v>#N/A</v>
      </c>
      <c r="J5980" s="213" t="e">
        <f t="shared" ref="J5980:J5985" si="1776">IF(D5980="","",IF(E5980&gt;=PORCREQUERIDOINT,"SI","NO"))</f>
        <v>#N/A</v>
      </c>
      <c r="K5980" s="200" t="e">
        <f t="shared" ref="K5980:K5985" si="1777">IF(D5980="","",IF(AND(I5980="SI",J5980="SI"),"CUMPLE",IF(AND(I5980="NO",OR(J5980="SI",J5980="NO")),"","NO CUMPLE")))</f>
        <v>#N/A</v>
      </c>
      <c r="L5980" s="722" t="s">
        <v>108</v>
      </c>
      <c r="M5980" s="726" t="s">
        <v>119</v>
      </c>
      <c r="N5980" s="726"/>
      <c r="O5980" s="726"/>
      <c r="P5980" s="726"/>
      <c r="Q5980" s="727"/>
      <c r="R5980" s="758" t="s">
        <v>80</v>
      </c>
      <c r="S5980" s="747"/>
      <c r="T5980" s="748"/>
      <c r="U5980" s="219"/>
      <c r="V5980" s="464"/>
      <c r="Y5980" s="533" t="e">
        <f>IF(Y5977="","",IF(Y5977="INDIVIDUAL","NO APLICA","VERIFICAR CUADRO"))</f>
        <v>#N/A</v>
      </c>
      <c r="AA5980" s="551"/>
      <c r="AB5980" s="694"/>
      <c r="AC5980" s="694"/>
      <c r="AD5980" s="686"/>
      <c r="AE5980" s="52"/>
      <c r="AF5980" s="52"/>
      <c r="AG5980" s="52"/>
      <c r="AH5980" s="87"/>
      <c r="AI5980" s="87"/>
    </row>
    <row r="5981" spans="1:35" ht="27" hidden="1" customHeight="1" thickBot="1">
      <c r="A5981" s="218" t="e">
        <f>"O"&amp;E5959</f>
        <v>#N/A</v>
      </c>
      <c r="B5981" s="702"/>
      <c r="C5981" s="114">
        <v>2</v>
      </c>
      <c r="D5981" s="194" t="e">
        <f>IF(AND(C5981&lt;=F5978,F5978&lt;&gt;""),VLOOKUP(VALUE(E5959&amp;","&amp;C5981),INTEGRANTES!$D$18:$F$235,2,0),"")</f>
        <v>#N/A</v>
      </c>
      <c r="E5981" s="211" t="e">
        <f>IF(D5981&lt;&gt;"",VLOOKUP(VALUE(E5959&amp;","&amp;C5981),INTEGRANTES!$D$18:$F$235,3,0),"")</f>
        <v>#N/A</v>
      </c>
      <c r="F5981" s="547" t="e">
        <f>IF(D5981="","",SUMIF($I5963:$I5972,D5981,$P5963:$P5972))</f>
        <v>#N/A</v>
      </c>
      <c r="G5981" s="333" t="e">
        <f>IF(D5981="","",SUMIF($I5963:$I5972,D5981,$M5963:$M5972))</f>
        <v>#N/A</v>
      </c>
      <c r="H5981" s="535" t="e">
        <f t="shared" si="1775"/>
        <v>#N/A</v>
      </c>
      <c r="I5981" s="212" t="e">
        <f>IF(D5981="","",IF(H5981="NO APORTA","NO",IF(H5981=MAX($H5980:$H5985),"SI","NO")))</f>
        <v>#N/A</v>
      </c>
      <c r="J5981" s="213" t="e">
        <f t="shared" si="1776"/>
        <v>#N/A</v>
      </c>
      <c r="K5981" s="200" t="e">
        <f t="shared" si="1777"/>
        <v>#N/A</v>
      </c>
      <c r="L5981" s="723"/>
      <c r="M5981" s="715" t="s">
        <v>116</v>
      </c>
      <c r="N5981" s="716"/>
      <c r="O5981" s="556" t="s">
        <v>113</v>
      </c>
      <c r="P5981" s="715" t="s">
        <v>117</v>
      </c>
      <c r="Q5981" s="728"/>
      <c r="R5981" s="759"/>
      <c r="S5981" s="760"/>
      <c r="T5981" s="761"/>
      <c r="U5981" s="219"/>
      <c r="V5981" s="464"/>
      <c r="Y5981" s="414"/>
      <c r="AA5981" s="542" t="e">
        <f>IF(AND(C5980&lt;=F5978,F5978&gt;1,F5978&lt;&gt;""),VLOOKUP(VALUE(E5959&amp;","&amp;C5980),INTEGRANTES!$D$18:$F$235,2,0),"")</f>
        <v>#N/A</v>
      </c>
      <c r="AB5981" s="544" t="e">
        <f t="shared" ref="AB5981:AB5986" si="1778">IF(D5980="","",IF(OR(F5980=0,G5980=0),"NO APORTA",ROUND($F5980/$G5980,3)))</f>
        <v>#N/A</v>
      </c>
      <c r="AC5981" s="529"/>
      <c r="AD5981" s="200" t="e">
        <f t="shared" ref="AD5981:AD5986" si="1779">IF(OR(AA5981="",AB5981=""),"",IF(AND(AC5981="X",AB5981&gt;=EXPREQVTD),"CUMPLE","NO CUMPLE"))</f>
        <v>#N/A</v>
      </c>
      <c r="AE5981" s="52"/>
      <c r="AF5981" s="52"/>
      <c r="AG5981" s="52"/>
      <c r="AH5981" s="87"/>
      <c r="AI5981" s="87"/>
    </row>
    <row r="5982" spans="1:35" ht="16.5" hidden="1" thickBot="1">
      <c r="A5982" s="218" t="e">
        <f>"P"&amp;E5959</f>
        <v>#N/A</v>
      </c>
      <c r="B5982" s="702"/>
      <c r="C5982" s="114">
        <v>3</v>
      </c>
      <c r="D5982" s="194" t="e">
        <f>IF(AND(C5982&lt;=F5978,F5978&lt;&gt;""),VLOOKUP(VALUE(E5959&amp;","&amp;C5982),INTEGRANTES!$D$18:$F$235,2,0),"")</f>
        <v>#N/A</v>
      </c>
      <c r="E5982" s="211" t="e">
        <f>IF(D5982&lt;&gt;"",VLOOKUP(VALUE(E5959&amp;","&amp;C5982),INTEGRANTES!$D$18:$F$235,3,0),"")</f>
        <v>#N/A</v>
      </c>
      <c r="F5982" s="547" t="e">
        <f>IF(D5982="","",SUMIF($I5963:$I5972,D5982,$P5963:$P5972))</f>
        <v>#N/A</v>
      </c>
      <c r="G5982" s="333" t="e">
        <f>IF(D5982="","",SUMIF($I5963:$I5972,D5982,$M5963:$M5972))</f>
        <v>#N/A</v>
      </c>
      <c r="H5982" s="535" t="e">
        <f t="shared" si="1775"/>
        <v>#N/A</v>
      </c>
      <c r="I5982" s="212" t="e">
        <f>IF(D5982="","",IF(H5982="NO APORTA","NO",IF(H5982=MAX($H5980:$H5985),"SI","NO")))</f>
        <v>#N/A</v>
      </c>
      <c r="J5982" s="213" t="e">
        <f t="shared" si="1776"/>
        <v>#N/A</v>
      </c>
      <c r="K5982" s="200" t="e">
        <f t="shared" si="1777"/>
        <v>#N/A</v>
      </c>
      <c r="L5982" s="724"/>
      <c r="M5982" s="729">
        <f>NUMMOD</f>
        <v>1</v>
      </c>
      <c r="N5982" s="730"/>
      <c r="O5982" s="443">
        <f>IF(M5982="","",VLOOKUP(M5982,PRESUPUESTOS!$B$16:$H$16,5,FALSE))</f>
        <v>2</v>
      </c>
      <c r="P5982" s="713">
        <f>IF(OR(COUNTIF(M5963:M5972,"")&gt;=10,Q5979&lt;NUMMINCONT,OR(T5977="NO CUMPLE",T5977="VERIFICAR")),0,ROUND(AVERAGE(M5963:M5972),3))</f>
        <v>0</v>
      </c>
      <c r="Q5982" s="714"/>
      <c r="R5982" s="458"/>
      <c r="S5982" s="459"/>
      <c r="T5982" s="460"/>
      <c r="U5982" s="219"/>
      <c r="V5982" s="464"/>
      <c r="Y5982" s="532" t="str">
        <f>"40% * ("&amp;PRESUPUESTOS!$H$13&amp;")"</f>
        <v>40% * (50% PFMO)</v>
      </c>
      <c r="AA5982" s="540" t="e">
        <f>IF(AND(C5981&lt;=F5978,F5978&lt;&gt;""),VLOOKUP(VALUE(E5959&amp;","&amp;C5981),INTEGRANTES!$D$18:$F$235,2,0),"")</f>
        <v>#N/A</v>
      </c>
      <c r="AB5982" s="545" t="e">
        <f t="shared" si="1778"/>
        <v>#N/A</v>
      </c>
      <c r="AC5982" s="529"/>
      <c r="AD5982" s="200" t="e">
        <f t="shared" si="1779"/>
        <v>#N/A</v>
      </c>
      <c r="AE5982" s="52"/>
      <c r="AF5982" s="52"/>
      <c r="AG5982" s="52"/>
      <c r="AH5982" s="87"/>
      <c r="AI5982" s="87"/>
    </row>
    <row r="5983" spans="1:35" ht="15.75" hidden="1" customHeight="1" thickBot="1">
      <c r="A5983" s="218" t="e">
        <f>"Q"&amp;E5959</f>
        <v>#N/A</v>
      </c>
      <c r="B5983" s="702"/>
      <c r="C5983" s="114">
        <v>4</v>
      </c>
      <c r="D5983" s="194" t="e">
        <f>IF(AND(C5983&lt;=F5978,F5978&lt;&gt;""),VLOOKUP(VALUE(E5959&amp;","&amp;C5983),INTEGRANTES!$D$18:$F$235,2,0),"")</f>
        <v>#N/A</v>
      </c>
      <c r="E5983" s="211" t="e">
        <f>IF(D5983&lt;&gt;"",VLOOKUP(VALUE(E5959&amp;","&amp;C5983),INTEGRANTES!$D$18:$F$235,3,0),"")</f>
        <v>#N/A</v>
      </c>
      <c r="F5983" s="547" t="e">
        <f>IF(D5983="","",SUMIF($I5963:$I5972,D5983,$P5963:$P5972))</f>
        <v>#N/A</v>
      </c>
      <c r="G5983" s="333" t="e">
        <f>IF(D5983="","",SUMIF($I5963:$I5972,D5983,$M5963:$M5972))</f>
        <v>#N/A</v>
      </c>
      <c r="H5983" s="535" t="e">
        <f t="shared" si="1775"/>
        <v>#N/A</v>
      </c>
      <c r="I5983" s="212" t="e">
        <f>IF(D5983="","",IF(H5983="NO APORTA","NO",IF(H5983=MAX($H5980:$H5985),"SI","NO")))</f>
        <v>#N/A</v>
      </c>
      <c r="J5983" s="213" t="e">
        <f t="shared" si="1776"/>
        <v>#N/A</v>
      </c>
      <c r="K5983" s="200" t="e">
        <f t="shared" si="1777"/>
        <v>#N/A</v>
      </c>
      <c r="L5983" s="720" t="s">
        <v>109</v>
      </c>
      <c r="M5983" s="757" t="s">
        <v>120</v>
      </c>
      <c r="N5983" s="726"/>
      <c r="O5983" s="726"/>
      <c r="P5983" s="726"/>
      <c r="Q5983" s="727"/>
      <c r="R5983" s="458"/>
      <c r="S5983" s="459"/>
      <c r="T5983" s="460"/>
      <c r="U5983" s="219"/>
      <c r="V5983" s="464"/>
      <c r="Y5983" s="537">
        <f>0.4*PRESUPUESTOS!$H$16</f>
        <v>10.3124</v>
      </c>
      <c r="AA5983" s="540" t="e">
        <f>IF(AND(C5982&lt;=F5978,F5978&lt;&gt;""),VLOOKUP(VALUE(E5959&amp;","&amp;C5982),INTEGRANTES!$D$18:$F$235,2,0),"")</f>
        <v>#N/A</v>
      </c>
      <c r="AB5983" s="545" t="e">
        <f t="shared" si="1778"/>
        <v>#N/A</v>
      </c>
      <c r="AC5983" s="529"/>
      <c r="AD5983" s="200" t="e">
        <f t="shared" si="1779"/>
        <v>#N/A</v>
      </c>
      <c r="AE5983" s="52"/>
      <c r="AF5983" s="52"/>
      <c r="AG5983" s="52"/>
      <c r="AH5983" s="87"/>
      <c r="AI5983" s="87"/>
    </row>
    <row r="5984" spans="1:35" ht="27" hidden="1" customHeight="1" thickBot="1">
      <c r="A5984" s="218" t="e">
        <f>"R"&amp;E5959</f>
        <v>#N/A</v>
      </c>
      <c r="B5984" s="702"/>
      <c r="C5984" s="114">
        <v>5</v>
      </c>
      <c r="D5984" s="194" t="e">
        <f>IF(AND(C5984&lt;=F5978,F5978&lt;&gt;""),VLOOKUP(VALUE(E5959&amp;","&amp;C5984),INTEGRANTES!$D$18:$F$235,2,0),"")</f>
        <v>#N/A</v>
      </c>
      <c r="E5984" s="211" t="e">
        <f>IF(D5984&lt;&gt;"",VLOOKUP(VALUE(E5959&amp;","&amp;C5984),INTEGRANTES!$D$18:$F$235,3,0),"")</f>
        <v>#N/A</v>
      </c>
      <c r="F5984" s="547" t="e">
        <f>IF(D5984="","",SUMIF($I5963:$I5972,D5984,$P5963:$P5972))</f>
        <v>#N/A</v>
      </c>
      <c r="G5984" s="333" t="e">
        <f>IF(D5984="","",SUMIF($I5963:$I5972,D5984,$M5963:$M5972))</f>
        <v>#N/A</v>
      </c>
      <c r="H5984" s="535" t="e">
        <f t="shared" si="1775"/>
        <v>#N/A</v>
      </c>
      <c r="I5984" s="212" t="e">
        <f>IF(D5984="","",IF(H5984="NO APORTA","NO",IF(H5984=MAX($H5980:$H5985),"SI","NO")))</f>
        <v>#N/A</v>
      </c>
      <c r="J5984" s="213" t="e">
        <f t="shared" si="1776"/>
        <v>#N/A</v>
      </c>
      <c r="K5984" s="200" t="e">
        <f t="shared" si="1777"/>
        <v>#N/A</v>
      </c>
      <c r="L5984" s="721"/>
      <c r="M5984" s="715" t="s">
        <v>116</v>
      </c>
      <c r="N5984" s="716"/>
      <c r="O5984" s="556" t="str">
        <f>PORCREQUERIDO*100&amp;"% PMFO DEL MÓDULO"</f>
        <v>50% PMFO DEL MÓDULO</v>
      </c>
      <c r="P5984" s="715" t="s">
        <v>118</v>
      </c>
      <c r="Q5984" s="728"/>
      <c r="R5984" s="458"/>
      <c r="S5984" s="459"/>
      <c r="T5984" s="460"/>
      <c r="U5984" s="219"/>
      <c r="V5984" s="464"/>
      <c r="Y5984" s="414"/>
      <c r="AA5984" s="540" t="e">
        <f>IF(AND(C5983&lt;=F5978,F5978&lt;&gt;""),VLOOKUP(VALUE(E5959&amp;","&amp;C5983),INTEGRANTES!$D$18:$F$235,2,0),"")</f>
        <v>#N/A</v>
      </c>
      <c r="AB5984" s="545" t="e">
        <f t="shared" si="1778"/>
        <v>#N/A</v>
      </c>
      <c r="AC5984" s="529"/>
      <c r="AD5984" s="200" t="e">
        <f t="shared" si="1779"/>
        <v>#N/A</v>
      </c>
      <c r="AE5984" s="52"/>
      <c r="AF5984" s="52"/>
      <c r="AG5984" s="52"/>
      <c r="AH5984" s="87"/>
      <c r="AI5984" s="87"/>
    </row>
    <row r="5985" spans="1:35" ht="16.5" hidden="1" thickBot="1">
      <c r="A5985" s="218" t="e">
        <f>"S"&amp;E5959</f>
        <v>#N/A</v>
      </c>
      <c r="B5985" s="702"/>
      <c r="C5985" s="215">
        <v>6</v>
      </c>
      <c r="D5985" s="216" t="e">
        <f>IF(AND(C5985&lt;=F5978,F5978&lt;&gt;""),VLOOKUP(VALUE(E5959&amp;","&amp;C5985),INTEGRANTES!$D$18:$F$235,2,0),"")</f>
        <v>#N/A</v>
      </c>
      <c r="E5985" s="217" t="e">
        <f>IF(D5985&lt;&gt;"",VLOOKUP(VALUE(E5959&amp;","&amp;C5985),INTEGRANTES!$D$18:$F$235,3,0),"")</f>
        <v>#N/A</v>
      </c>
      <c r="F5985" s="548" t="e">
        <f>IF(D5985="","",SUMIF($I5963:$I5972,D5985,$P5963:$P5972))</f>
        <v>#N/A</v>
      </c>
      <c r="G5985" s="334" t="e">
        <f>IF(D5985="","",SUMIF($I5963:$I5972,D5985,$M5963:$M5972))</f>
        <v>#N/A</v>
      </c>
      <c r="H5985" s="536" t="e">
        <f t="shared" si="1775"/>
        <v>#N/A</v>
      </c>
      <c r="I5985" s="214" t="e">
        <f>IF(D5985="","",IF(H5985="NO APORTA","NO",IF(H5985=MAX($H5980:$H5985),"SI","NO")))</f>
        <v>#N/A</v>
      </c>
      <c r="J5985" s="213" t="e">
        <f t="shared" si="1776"/>
        <v>#N/A</v>
      </c>
      <c r="K5985" s="200" t="e">
        <f t="shared" si="1777"/>
        <v>#N/A</v>
      </c>
      <c r="L5985" s="721"/>
      <c r="M5985" s="729">
        <f>NUMMOD</f>
        <v>1</v>
      </c>
      <c r="N5985" s="730"/>
      <c r="O5985" s="443">
        <f>IF(M5985="","",ROUND(VLOOKUP(M5985,PRESUPUESTOS!$B$16:$H$16,7,FALSE),3))</f>
        <v>25.780999999999999</v>
      </c>
      <c r="P5985" s="713">
        <f>IF(OR(COUNTIF(P5963:P5972,"")&gt;=10,Q5979&lt;NUMMINCONT,OR(T5977="NO CUMPLE",T5977="VERIFICAR")),0,ROUND((SUM(P5963:P5972)/SUM(M5963:M5972)),3))</f>
        <v>0</v>
      </c>
      <c r="Q5985" s="714"/>
      <c r="R5985" s="458"/>
      <c r="S5985" s="459"/>
      <c r="T5985" s="460"/>
      <c r="U5985" s="219"/>
      <c r="V5985" s="464"/>
      <c r="Y5985" s="532" t="s">
        <v>343</v>
      </c>
      <c r="AA5985" s="540" t="e">
        <f>IF(AND(C5984&lt;=F5978,F5978&lt;&gt;""),VLOOKUP(VALUE(E5959&amp;","&amp;C5984),INTEGRANTES!$D$18:$F$235,2,0),"")</f>
        <v>#N/A</v>
      </c>
      <c r="AB5985" s="545" t="e">
        <f t="shared" si="1778"/>
        <v>#N/A</v>
      </c>
      <c r="AC5985" s="529"/>
      <c r="AD5985" s="200" t="e">
        <f t="shared" si="1779"/>
        <v>#N/A</v>
      </c>
      <c r="AE5985" s="52"/>
      <c r="AF5985" s="52"/>
      <c r="AG5985" s="52"/>
      <c r="AH5985" s="87"/>
      <c r="AI5985" s="87"/>
    </row>
    <row r="5986" spans="1:35" ht="16.5" hidden="1" customHeight="1" thickBot="1">
      <c r="A5986" s="218" t="e">
        <f>"T"&amp;E5959</f>
        <v>#N/A</v>
      </c>
      <c r="B5986" s="703"/>
      <c r="C5986" s="719"/>
      <c r="D5986" s="719"/>
      <c r="E5986" s="719"/>
      <c r="F5986" s="719"/>
      <c r="G5986" s="719"/>
      <c r="H5986" s="719" t="s">
        <v>110</v>
      </c>
      <c r="I5986" s="719"/>
      <c r="J5986" s="719"/>
      <c r="K5986" s="201" t="str">
        <f>IF(COUNTIF(K5980:K5985,"")=6,"",IF(COUNTIF(K5980:K5985,"CUMPLE")&gt;0,"CUMPLE","NO CUMPLE"))</f>
        <v>NO CUMPLE</v>
      </c>
      <c r="L5986" s="754"/>
      <c r="M5986" s="755"/>
      <c r="N5986" s="755"/>
      <c r="O5986" s="755"/>
      <c r="P5986" s="755"/>
      <c r="Q5986" s="756"/>
      <c r="R5986" s="461"/>
      <c r="S5986" s="462"/>
      <c r="T5986" s="463"/>
      <c r="U5986" s="219"/>
      <c r="V5986" s="464"/>
      <c r="Y5986" s="549" t="e">
        <f>IF(Y5980="NO APLICA","NO APLICA",IF(COUNTIF(AD5981:AD5986,"CUMPLE")&gt;0,"CUMPLE","NO CUMPLE"))</f>
        <v>#N/A</v>
      </c>
      <c r="AA5986" s="541" t="e">
        <f>IF(AND(C5985&lt;=F5978,F5978&lt;&gt;""),VLOOKUP(VALUE(E5959&amp;","&amp;C5985),INTEGRANTES!$D$18:$F$235,2,0),"")</f>
        <v>#N/A</v>
      </c>
      <c r="AB5986" s="546" t="e">
        <f t="shared" si="1778"/>
        <v>#N/A</v>
      </c>
      <c r="AC5986" s="543"/>
      <c r="AD5986" s="201" t="e">
        <f t="shared" si="1779"/>
        <v>#N/A</v>
      </c>
      <c r="AE5986" s="52"/>
      <c r="AF5986" s="52"/>
      <c r="AG5986" s="52"/>
      <c r="AH5986" s="87"/>
      <c r="AI5986" s="87"/>
    </row>
    <row r="5987" spans="1:35" hidden="1">
      <c r="AH5987" s="87"/>
      <c r="AI5987" s="87"/>
    </row>
    <row r="5988" spans="1:35" hidden="1">
      <c r="AH5988" s="87"/>
      <c r="AI5988" s="87"/>
    </row>
    <row r="5989" spans="1:35" ht="24" hidden="1" thickBot="1">
      <c r="A5989" s="61">
        <v>200</v>
      </c>
      <c r="B5989" s="704" t="s">
        <v>51</v>
      </c>
      <c r="C5989" s="704"/>
      <c r="D5989" s="704"/>
      <c r="E5989" s="62" t="e">
        <f>VLOOKUP(A5989,PROPONENTES!$B$19:$E$218,2,FALSE)</f>
        <v>#N/A</v>
      </c>
      <c r="F5989" s="63" t="e">
        <f>VLOOKUP(A5989,PROPONENTES!$B$19:$E$218,3,FALSE)</f>
        <v>#N/A</v>
      </c>
      <c r="G5989" s="64"/>
      <c r="H5989" s="64"/>
      <c r="I5989" s="63"/>
      <c r="J5989" s="63"/>
      <c r="K5989" s="65"/>
      <c r="L5989" s="65"/>
      <c r="M5989" s="64"/>
      <c r="N5989" s="64"/>
      <c r="O5989" s="66"/>
      <c r="P5989" s="66"/>
      <c r="Q5989" s="66"/>
      <c r="R5989" s="66"/>
      <c r="S5989" s="67"/>
      <c r="T5989" s="68"/>
      <c r="U5989" s="68"/>
      <c r="AC5989" s="68"/>
      <c r="AD5989" s="68"/>
      <c r="AE5989" s="68"/>
      <c r="AF5989" s="68"/>
      <c r="AG5989" s="68"/>
      <c r="AH5989" s="87"/>
      <c r="AI5989" s="87"/>
    </row>
    <row r="5990" spans="1:35" ht="15.75" hidden="1" customHeight="1">
      <c r="A5990" s="44"/>
      <c r="B5990" s="709" t="s">
        <v>59</v>
      </c>
      <c r="C5990" s="552" t="s">
        <v>60</v>
      </c>
      <c r="D5990" s="70" t="s">
        <v>17</v>
      </c>
      <c r="E5990" s="70"/>
      <c r="F5990" s="70" t="s">
        <v>61</v>
      </c>
      <c r="G5990" s="71"/>
      <c r="H5990" s="699" t="s">
        <v>62</v>
      </c>
      <c r="I5990" s="699" t="s">
        <v>18</v>
      </c>
      <c r="J5990" s="699" t="s">
        <v>63</v>
      </c>
      <c r="K5990" s="699" t="s">
        <v>64</v>
      </c>
      <c r="L5990" s="699" t="s">
        <v>65</v>
      </c>
      <c r="M5990" s="743" t="s">
        <v>66</v>
      </c>
      <c r="N5990" s="699" t="s">
        <v>282</v>
      </c>
      <c r="O5990" s="745" t="s">
        <v>67</v>
      </c>
      <c r="P5990" s="746"/>
      <c r="Q5990" s="102" t="s">
        <v>75</v>
      </c>
      <c r="R5990" s="731" t="s">
        <v>22</v>
      </c>
      <c r="S5990" s="732"/>
      <c r="T5990" s="733"/>
      <c r="U5990" s="712" t="s">
        <v>298</v>
      </c>
      <c r="W5990" s="690" t="s">
        <v>268</v>
      </c>
      <c r="X5990" s="691"/>
      <c r="Y5990" s="692"/>
      <c r="Z5990" s="428"/>
      <c r="AA5990" s="697" t="s">
        <v>315</v>
      </c>
      <c r="AB5990" s="695" t="s">
        <v>322</v>
      </c>
      <c r="AC5990" s="49"/>
      <c r="AD5990" s="690" t="s">
        <v>297</v>
      </c>
      <c r="AE5990" s="691"/>
      <c r="AF5990" s="692"/>
      <c r="AG5990" s="49"/>
      <c r="AH5990" s="87"/>
      <c r="AI5990" s="87"/>
    </row>
    <row r="5991" spans="1:35" ht="72" hidden="1">
      <c r="A5991" s="44"/>
      <c r="B5991" s="710"/>
      <c r="C5991" s="553" t="s">
        <v>68</v>
      </c>
      <c r="D5991" s="73" t="s">
        <v>3</v>
      </c>
      <c r="E5991" s="73" t="s">
        <v>19</v>
      </c>
      <c r="F5991" s="73" t="s">
        <v>69</v>
      </c>
      <c r="G5991" s="74" t="s">
        <v>70</v>
      </c>
      <c r="H5991" s="700"/>
      <c r="I5991" s="700"/>
      <c r="J5991" s="700"/>
      <c r="K5991" s="700"/>
      <c r="L5991" s="700"/>
      <c r="M5991" s="744"/>
      <c r="N5991" s="700"/>
      <c r="O5991" s="553" t="s">
        <v>279</v>
      </c>
      <c r="P5991" s="73" t="s">
        <v>88</v>
      </c>
      <c r="Q5991" s="555" t="s">
        <v>76</v>
      </c>
      <c r="R5991" s="734"/>
      <c r="S5991" s="735"/>
      <c r="T5991" s="736"/>
      <c r="U5991" s="712"/>
      <c r="W5991" s="429" t="s">
        <v>269</v>
      </c>
      <c r="X5991" s="457" t="s">
        <v>278</v>
      </c>
      <c r="Y5991" s="430" t="s">
        <v>324</v>
      </c>
      <c r="Z5991" s="428"/>
      <c r="AA5991" s="698"/>
      <c r="AB5991" s="696"/>
      <c r="AC5991" s="49"/>
      <c r="AD5991" s="429" t="s">
        <v>292</v>
      </c>
      <c r="AE5991" s="431" t="s">
        <v>300</v>
      </c>
      <c r="AF5991" s="468" t="s">
        <v>301</v>
      </c>
      <c r="AG5991" s="49"/>
      <c r="AH5991" s="87"/>
      <c r="AI5991" s="87"/>
    </row>
    <row r="5992" spans="1:35" hidden="1">
      <c r="A5992" s="44"/>
      <c r="B5992" s="76"/>
      <c r="C5992" s="77"/>
      <c r="D5992" s="77"/>
      <c r="E5992" s="77"/>
      <c r="F5992" s="77"/>
      <c r="G5992" s="77"/>
      <c r="H5992" s="77"/>
      <c r="I5992" s="77"/>
      <c r="J5992" s="77"/>
      <c r="K5992" s="77"/>
      <c r="L5992" s="77"/>
      <c r="M5992" s="77"/>
      <c r="N5992" s="77"/>
      <c r="O5992" s="77"/>
      <c r="P5992" s="77"/>
      <c r="Q5992" s="77"/>
      <c r="R5992" s="77"/>
      <c r="S5992" s="78"/>
      <c r="T5992" s="79"/>
      <c r="U5992" s="109"/>
      <c r="V5992" s="49"/>
      <c r="W5992" s="432"/>
      <c r="X5992" s="454"/>
      <c r="Y5992" s="433"/>
      <c r="Z5992" s="6"/>
      <c r="AA5992" s="500"/>
      <c r="AB5992" s="562"/>
      <c r="AC5992" s="49"/>
      <c r="AD5992" s="210"/>
      <c r="AE5992" s="434"/>
      <c r="AF5992" s="435"/>
      <c r="AG5992" s="49"/>
      <c r="AH5992" s="87"/>
      <c r="AI5992" s="87"/>
    </row>
    <row r="5993" spans="1:35" hidden="1">
      <c r="A5993" s="80" t="e">
        <f>"A"&amp;E5989</f>
        <v>#N/A</v>
      </c>
      <c r="B5993" s="81">
        <v>1</v>
      </c>
      <c r="C5993" s="82"/>
      <c r="D5993" s="82"/>
      <c r="E5993" s="82"/>
      <c r="F5993" s="82"/>
      <c r="G5993" s="83"/>
      <c r="H5993" s="83"/>
      <c r="I5993" s="84"/>
      <c r="J5993" s="85"/>
      <c r="K5993" s="382"/>
      <c r="L5993" s="85"/>
      <c r="M5993" s="332" t="str">
        <f t="shared" ref="M5993:M6002" si="1780">IF(OR(J5993="",L5993="",H5993="NO"),"",IF(OR(J5993&gt;$P$17,J5993&lt;$O$17,L5993&gt;$P$17,AND(J5993&lt;$O$17,L5993&lt;$O$17)),"FUERA DE RANGO",IF(OR(K5993="---",K5993=""),IF(J5993&gt;=$O$17,ROUND((L5993-J5993+1)/360*12,3),ROUND((L5993-$O$17+1)/360*12,3)),IF(J5993&gt;=$O$17,ROUND((L5993-J5993+1)/360*12-ROUND(K5993,3),3),ROUND((L5993-$O$17+1)/360*12-ROUND(K5993,3),3)))))</f>
        <v/>
      </c>
      <c r="N5993" s="86"/>
      <c r="O5993" s="453" t="str">
        <f>IF(OR(G5993="",N5993=""),"",N5993*G5993)</f>
        <v/>
      </c>
      <c r="P5993" s="538" t="str">
        <f>IF(OR(H5993="",M5993="FUERA DE RANGO"),"",IF(OR(L5993&lt;$O$17,L5993&gt;$P$17,L5993="",H5993="NO"),"",IF(OR(N5993="",O5993=""),"",ROUND(O5993,3))))</f>
        <v/>
      </c>
      <c r="Q5993" s="539" t="str">
        <f t="shared" ref="Q5993:Q6002" si="1781">IF(AND(H5993="SI",P5993&lt;&gt;""),ROUND(P5993/M5993,3),"")</f>
        <v/>
      </c>
      <c r="R5993" s="737"/>
      <c r="S5993" s="738"/>
      <c r="T5993" s="739"/>
      <c r="U5993" s="470"/>
      <c r="V5993" s="165"/>
      <c r="W5993" s="446"/>
      <c r="X5993" s="456"/>
      <c r="Y5993" s="436"/>
      <c r="Z5993" s="437"/>
      <c r="AA5993" s="560"/>
      <c r="AB5993" s="561"/>
      <c r="AC5993" s="87"/>
      <c r="AD5993" s="466"/>
      <c r="AE5993" s="456"/>
      <c r="AF5993" s="467"/>
      <c r="AG5993" s="87"/>
      <c r="AH5993" s="87"/>
      <c r="AI5993" s="87"/>
    </row>
    <row r="5994" spans="1:35" hidden="1">
      <c r="A5994" s="80" t="e">
        <f>"B"&amp;E5989</f>
        <v>#N/A</v>
      </c>
      <c r="B5994" s="81">
        <v>2</v>
      </c>
      <c r="C5994" s="106"/>
      <c r="D5994" s="106"/>
      <c r="E5994" s="106"/>
      <c r="F5994" s="106"/>
      <c r="G5994" s="83"/>
      <c r="H5994" s="83"/>
      <c r="I5994" s="84"/>
      <c r="J5994" s="85"/>
      <c r="K5994" s="382"/>
      <c r="L5994" s="85"/>
      <c r="M5994" s="332" t="str">
        <f t="shared" si="1780"/>
        <v/>
      </c>
      <c r="N5994" s="86"/>
      <c r="O5994" s="453" t="str">
        <f t="shared" ref="O5994:O6002" si="1782">IF(OR(G5994="",N5994=""),"",N5994*G5994)</f>
        <v/>
      </c>
      <c r="P5994" s="538" t="str">
        <f t="shared" ref="P5994:P6002" si="1783">IF(OR(H5994="",M5994="FUERA DE RANGO"),"",IF(OR(L5994&lt;$O$17,L5994&gt;$P$17,L5994="",H5994="NO"),"",IF(OR(N5994="",O5994=""),"",ROUND(O5994,3))))</f>
        <v/>
      </c>
      <c r="Q5994" s="539" t="str">
        <f t="shared" si="1781"/>
        <v/>
      </c>
      <c r="R5994" s="740"/>
      <c r="S5994" s="741"/>
      <c r="T5994" s="742"/>
      <c r="U5994" s="471"/>
      <c r="V5994" s="165"/>
      <c r="W5994" s="446"/>
      <c r="X5994" s="456"/>
      <c r="Y5994" s="436"/>
      <c r="Z5994" s="437"/>
      <c r="AA5994" s="560"/>
      <c r="AB5994" s="561"/>
      <c r="AC5994" s="87"/>
      <c r="AD5994" s="466"/>
      <c r="AE5994" s="456"/>
      <c r="AF5994" s="467"/>
      <c r="AG5994" s="87"/>
      <c r="AH5994" s="87"/>
      <c r="AI5994" s="87"/>
    </row>
    <row r="5995" spans="1:35" hidden="1">
      <c r="A5995" s="80" t="e">
        <f>"C"&amp;E5989</f>
        <v>#N/A</v>
      </c>
      <c r="B5995" s="88">
        <v>3</v>
      </c>
      <c r="C5995" s="82"/>
      <c r="D5995" s="82"/>
      <c r="E5995" s="82"/>
      <c r="F5995" s="82"/>
      <c r="G5995" s="83"/>
      <c r="H5995" s="83"/>
      <c r="I5995" s="84"/>
      <c r="J5995" s="85"/>
      <c r="K5995" s="382"/>
      <c r="L5995" s="85"/>
      <c r="M5995" s="332" t="str">
        <f t="shared" si="1780"/>
        <v/>
      </c>
      <c r="N5995" s="86"/>
      <c r="O5995" s="453" t="str">
        <f t="shared" si="1782"/>
        <v/>
      </c>
      <c r="P5995" s="538" t="str">
        <f t="shared" si="1783"/>
        <v/>
      </c>
      <c r="Q5995" s="539" t="str">
        <f t="shared" si="1781"/>
        <v/>
      </c>
      <c r="R5995" s="706"/>
      <c r="S5995" s="707"/>
      <c r="T5995" s="708"/>
      <c r="U5995" s="472"/>
      <c r="V5995" s="166"/>
      <c r="W5995" s="446"/>
      <c r="X5995" s="456"/>
      <c r="Y5995" s="436"/>
      <c r="Z5995" s="437"/>
      <c r="AA5995" s="560"/>
      <c r="AB5995" s="561"/>
      <c r="AC5995" s="87"/>
      <c r="AD5995" s="466"/>
      <c r="AE5995" s="456"/>
      <c r="AF5995" s="467"/>
      <c r="AG5995" s="87"/>
      <c r="AH5995" s="87"/>
      <c r="AI5995" s="87"/>
    </row>
    <row r="5996" spans="1:35" hidden="1">
      <c r="A5996" s="80" t="e">
        <f>"D"&amp;E5989</f>
        <v>#N/A</v>
      </c>
      <c r="B5996" s="105">
        <v>4</v>
      </c>
      <c r="C5996" s="107"/>
      <c r="D5996" s="107"/>
      <c r="E5996" s="107"/>
      <c r="F5996" s="107"/>
      <c r="G5996" s="83"/>
      <c r="H5996" s="83"/>
      <c r="I5996" s="84"/>
      <c r="J5996" s="85"/>
      <c r="K5996" s="382"/>
      <c r="L5996" s="85"/>
      <c r="M5996" s="332" t="str">
        <f t="shared" si="1780"/>
        <v/>
      </c>
      <c r="N5996" s="86"/>
      <c r="O5996" s="453" t="str">
        <f t="shared" si="1782"/>
        <v/>
      </c>
      <c r="P5996" s="538" t="str">
        <f t="shared" si="1783"/>
        <v/>
      </c>
      <c r="Q5996" s="539" t="str">
        <f t="shared" si="1781"/>
        <v/>
      </c>
      <c r="R5996" s="706"/>
      <c r="S5996" s="707"/>
      <c r="T5996" s="708"/>
      <c r="U5996" s="472"/>
      <c r="V5996" s="166"/>
      <c r="W5996" s="446"/>
      <c r="X5996" s="456"/>
      <c r="Y5996" s="436"/>
      <c r="Z5996" s="437"/>
      <c r="AA5996" s="560"/>
      <c r="AB5996" s="561"/>
      <c r="AC5996" s="87"/>
      <c r="AD5996" s="466"/>
      <c r="AE5996" s="456"/>
      <c r="AF5996" s="467"/>
      <c r="AG5996" s="87"/>
      <c r="AH5996" s="87"/>
      <c r="AI5996" s="87"/>
    </row>
    <row r="5997" spans="1:35" hidden="1">
      <c r="A5997" s="80" t="e">
        <f>"E"&amp;E5989</f>
        <v>#N/A</v>
      </c>
      <c r="B5997" s="105">
        <v>5</v>
      </c>
      <c r="C5997" s="107"/>
      <c r="D5997" s="107"/>
      <c r="E5997" s="107"/>
      <c r="F5997" s="107"/>
      <c r="G5997" s="83"/>
      <c r="H5997" s="83"/>
      <c r="I5997" s="84"/>
      <c r="J5997" s="85"/>
      <c r="K5997" s="382"/>
      <c r="L5997" s="85"/>
      <c r="M5997" s="332" t="str">
        <f t="shared" si="1780"/>
        <v/>
      </c>
      <c r="N5997" s="86"/>
      <c r="O5997" s="453" t="str">
        <f t="shared" si="1782"/>
        <v/>
      </c>
      <c r="P5997" s="538" t="str">
        <f t="shared" si="1783"/>
        <v/>
      </c>
      <c r="Q5997" s="539" t="str">
        <f t="shared" si="1781"/>
        <v/>
      </c>
      <c r="R5997" s="706"/>
      <c r="S5997" s="707"/>
      <c r="T5997" s="708"/>
      <c r="U5997" s="472"/>
      <c r="V5997" s="167"/>
      <c r="W5997" s="446"/>
      <c r="X5997" s="456"/>
      <c r="Y5997" s="436"/>
      <c r="Z5997" s="437"/>
      <c r="AA5997" s="560"/>
      <c r="AB5997" s="561"/>
      <c r="AC5997" s="87"/>
      <c r="AD5997" s="466"/>
      <c r="AE5997" s="456"/>
      <c r="AF5997" s="467"/>
      <c r="AG5997" s="87"/>
      <c r="AH5997" s="87"/>
      <c r="AI5997" s="87"/>
    </row>
    <row r="5998" spans="1:35" hidden="1">
      <c r="A5998" s="80" t="e">
        <f>"F"&amp;E5989</f>
        <v>#N/A</v>
      </c>
      <c r="B5998" s="105">
        <v>6</v>
      </c>
      <c r="C5998" s="107"/>
      <c r="D5998" s="107"/>
      <c r="E5998" s="107"/>
      <c r="F5998" s="107"/>
      <c r="G5998" s="83"/>
      <c r="H5998" s="83"/>
      <c r="I5998" s="84"/>
      <c r="J5998" s="85"/>
      <c r="K5998" s="382"/>
      <c r="L5998" s="85"/>
      <c r="M5998" s="332" t="str">
        <f t="shared" si="1780"/>
        <v/>
      </c>
      <c r="N5998" s="86"/>
      <c r="O5998" s="453" t="str">
        <f t="shared" si="1782"/>
        <v/>
      </c>
      <c r="P5998" s="538" t="str">
        <f t="shared" si="1783"/>
        <v/>
      </c>
      <c r="Q5998" s="539" t="str">
        <f t="shared" si="1781"/>
        <v/>
      </c>
      <c r="R5998" s="706"/>
      <c r="S5998" s="707"/>
      <c r="T5998" s="708"/>
      <c r="U5998" s="472"/>
      <c r="V5998" s="167"/>
      <c r="W5998" s="446"/>
      <c r="X5998" s="456"/>
      <c r="Y5998" s="436"/>
      <c r="Z5998" s="437"/>
      <c r="AA5998" s="560"/>
      <c r="AB5998" s="561"/>
      <c r="AC5998" s="87"/>
      <c r="AD5998" s="466"/>
      <c r="AE5998" s="456"/>
      <c r="AF5998" s="467"/>
      <c r="AG5998" s="87"/>
      <c r="AH5998" s="87"/>
      <c r="AI5998" s="87"/>
    </row>
    <row r="5999" spans="1:35" hidden="1">
      <c r="A5999" s="80" t="e">
        <f>"G"&amp;E5989</f>
        <v>#N/A</v>
      </c>
      <c r="B5999" s="105">
        <v>7</v>
      </c>
      <c r="C5999" s="107"/>
      <c r="D5999" s="107"/>
      <c r="E5999" s="107"/>
      <c r="F5999" s="107"/>
      <c r="G5999" s="83"/>
      <c r="H5999" s="83"/>
      <c r="I5999" s="84"/>
      <c r="J5999" s="85"/>
      <c r="K5999" s="382"/>
      <c r="L5999" s="85"/>
      <c r="M5999" s="332" t="str">
        <f t="shared" si="1780"/>
        <v/>
      </c>
      <c r="N5999" s="86"/>
      <c r="O5999" s="86" t="str">
        <f t="shared" si="1782"/>
        <v/>
      </c>
      <c r="P5999" s="538" t="str">
        <f t="shared" si="1783"/>
        <v/>
      </c>
      <c r="Q5999" s="539" t="str">
        <f t="shared" si="1781"/>
        <v/>
      </c>
      <c r="R5999" s="706"/>
      <c r="S5999" s="707"/>
      <c r="T5999" s="708"/>
      <c r="U5999" s="472"/>
      <c r="V5999" s="167"/>
      <c r="W5999" s="446"/>
      <c r="X5999" s="456"/>
      <c r="Y5999" s="436"/>
      <c r="Z5999" s="437"/>
      <c r="AA5999" s="560"/>
      <c r="AB5999" s="561"/>
      <c r="AC5999" s="87"/>
      <c r="AD5999" s="466"/>
      <c r="AE5999" s="456"/>
      <c r="AF5999" s="467"/>
      <c r="AG5999" s="87"/>
      <c r="AH5999" s="87"/>
      <c r="AI5999" s="87"/>
    </row>
    <row r="6000" spans="1:35" hidden="1">
      <c r="A6000" s="80" t="e">
        <f>"H"&amp;E5989</f>
        <v>#N/A</v>
      </c>
      <c r="B6000" s="105">
        <v>8</v>
      </c>
      <c r="C6000" s="107"/>
      <c r="D6000" s="107"/>
      <c r="E6000" s="107"/>
      <c r="F6000" s="107"/>
      <c r="G6000" s="83"/>
      <c r="H6000" s="83"/>
      <c r="I6000" s="84"/>
      <c r="J6000" s="85"/>
      <c r="K6000" s="382"/>
      <c r="L6000" s="85"/>
      <c r="M6000" s="332" t="str">
        <f t="shared" si="1780"/>
        <v/>
      </c>
      <c r="N6000" s="453"/>
      <c r="O6000" s="86" t="str">
        <f t="shared" si="1782"/>
        <v/>
      </c>
      <c r="P6000" s="538" t="str">
        <f t="shared" si="1783"/>
        <v/>
      </c>
      <c r="Q6000" s="539" t="str">
        <f t="shared" si="1781"/>
        <v/>
      </c>
      <c r="R6000" s="706"/>
      <c r="S6000" s="707"/>
      <c r="T6000" s="708"/>
      <c r="U6000" s="472"/>
      <c r="V6000" s="167"/>
      <c r="W6000" s="446"/>
      <c r="X6000" s="456"/>
      <c r="Y6000" s="436"/>
      <c r="Z6000" s="437"/>
      <c r="AA6000" s="560"/>
      <c r="AB6000" s="561"/>
      <c r="AC6000" s="87"/>
      <c r="AD6000" s="466"/>
      <c r="AE6000" s="456"/>
      <c r="AF6000" s="467"/>
      <c r="AG6000" s="87"/>
      <c r="AH6000" s="87"/>
      <c r="AI6000" s="87"/>
    </row>
    <row r="6001" spans="1:35" hidden="1">
      <c r="A6001" s="80" t="e">
        <f>"I"&amp;E5989</f>
        <v>#N/A</v>
      </c>
      <c r="B6001" s="105">
        <v>9</v>
      </c>
      <c r="C6001" s="107"/>
      <c r="D6001" s="107"/>
      <c r="E6001" s="107"/>
      <c r="F6001" s="107"/>
      <c r="G6001" s="83"/>
      <c r="H6001" s="83"/>
      <c r="I6001" s="84"/>
      <c r="J6001" s="85"/>
      <c r="K6001" s="382"/>
      <c r="L6001" s="85"/>
      <c r="M6001" s="332" t="str">
        <f t="shared" si="1780"/>
        <v/>
      </c>
      <c r="N6001" s="453"/>
      <c r="O6001" s="86" t="str">
        <f t="shared" si="1782"/>
        <v/>
      </c>
      <c r="P6001" s="538" t="str">
        <f t="shared" si="1783"/>
        <v/>
      </c>
      <c r="Q6001" s="539" t="str">
        <f t="shared" si="1781"/>
        <v/>
      </c>
      <c r="R6001" s="706"/>
      <c r="S6001" s="707"/>
      <c r="T6001" s="708"/>
      <c r="U6001" s="472"/>
      <c r="V6001" s="167"/>
      <c r="W6001" s="446"/>
      <c r="X6001" s="456"/>
      <c r="Y6001" s="436"/>
      <c r="Z6001" s="437"/>
      <c r="AA6001" s="560"/>
      <c r="AB6001" s="561"/>
      <c r="AC6001" s="87"/>
      <c r="AD6001" s="466"/>
      <c r="AE6001" s="456"/>
      <c r="AF6001" s="467"/>
      <c r="AG6001" s="87"/>
      <c r="AH6001" s="87"/>
      <c r="AI6001" s="87"/>
    </row>
    <row r="6002" spans="1:35" hidden="1">
      <c r="A6002" s="80" t="e">
        <f>"J"&amp;E5989</f>
        <v>#N/A</v>
      </c>
      <c r="B6002" s="105">
        <v>10</v>
      </c>
      <c r="C6002" s="107"/>
      <c r="D6002" s="107"/>
      <c r="E6002" s="107"/>
      <c r="F6002" s="107"/>
      <c r="G6002" s="83"/>
      <c r="H6002" s="83"/>
      <c r="I6002" s="84"/>
      <c r="J6002" s="85"/>
      <c r="K6002" s="382"/>
      <c r="L6002" s="85"/>
      <c r="M6002" s="332" t="str">
        <f t="shared" si="1780"/>
        <v/>
      </c>
      <c r="N6002" s="453"/>
      <c r="O6002" s="86" t="str">
        <f t="shared" si="1782"/>
        <v/>
      </c>
      <c r="P6002" s="538" t="str">
        <f t="shared" si="1783"/>
        <v/>
      </c>
      <c r="Q6002" s="539" t="str">
        <f t="shared" si="1781"/>
        <v/>
      </c>
      <c r="R6002" s="706"/>
      <c r="S6002" s="707"/>
      <c r="T6002" s="708"/>
      <c r="U6002" s="472"/>
      <c r="V6002" s="167"/>
      <c r="W6002" s="446"/>
      <c r="X6002" s="456"/>
      <c r="Y6002" s="436"/>
      <c r="Z6002" s="437"/>
      <c r="AA6002" s="560"/>
      <c r="AB6002" s="561"/>
      <c r="AC6002" s="87"/>
      <c r="AD6002" s="466"/>
      <c r="AE6002" s="456"/>
      <c r="AF6002" s="467"/>
      <c r="AG6002" s="87"/>
      <c r="AH6002" s="87"/>
      <c r="AI6002" s="87"/>
    </row>
    <row r="6003" spans="1:35" ht="16.5" hidden="1" thickBot="1">
      <c r="A6003" s="44"/>
      <c r="B6003" s="89"/>
      <c r="C6003" s="90"/>
      <c r="D6003" s="90"/>
      <c r="E6003" s="90"/>
      <c r="F6003" s="90"/>
      <c r="G6003" s="90"/>
      <c r="H6003" s="90"/>
      <c r="I6003" s="90"/>
      <c r="J6003" s="90"/>
      <c r="K6003" s="90"/>
      <c r="L6003" s="90"/>
      <c r="M6003" s="90"/>
      <c r="N6003" s="90"/>
      <c r="O6003" s="90"/>
      <c r="P6003" s="90"/>
      <c r="Q6003" s="90"/>
      <c r="R6003" s="90"/>
      <c r="S6003" s="91"/>
      <c r="T6003" s="92"/>
      <c r="U6003" s="473"/>
      <c r="W6003" s="438"/>
      <c r="X6003" s="455"/>
      <c r="Y6003" s="439"/>
      <c r="Z6003" s="437"/>
      <c r="AA6003" s="530"/>
      <c r="AB6003" s="563"/>
      <c r="AC6003" s="87"/>
      <c r="AD6003" s="440"/>
      <c r="AE6003" s="441"/>
      <c r="AF6003" s="442"/>
      <c r="AG6003" s="49"/>
      <c r="AH6003" s="87"/>
      <c r="AI6003" s="87"/>
    </row>
    <row r="6004" spans="1:35" ht="16.5" hidden="1" thickBot="1">
      <c r="A6004" s="93"/>
      <c r="B6004" s="94"/>
      <c r="C6004" s="96"/>
      <c r="D6004" s="96"/>
      <c r="E6004" s="96"/>
      <c r="F6004" s="96"/>
      <c r="G6004" s="96"/>
      <c r="H6004" s="96"/>
      <c r="I6004" s="96"/>
      <c r="J6004" s="96"/>
      <c r="K6004" s="96"/>
      <c r="L6004" s="96"/>
      <c r="M6004" s="136"/>
      <c r="N6004" s="96"/>
      <c r="O6004" s="96"/>
      <c r="P6004" s="97"/>
      <c r="Q6004" s="97"/>
      <c r="R6004" s="98"/>
      <c r="S6004" s="95"/>
      <c r="T6004" s="99"/>
      <c r="U6004" s="469"/>
      <c r="AC6004" s="58"/>
      <c r="AG6004" s="58"/>
      <c r="AH6004" s="87"/>
      <c r="AI6004" s="87"/>
    </row>
    <row r="6005" spans="1:35" ht="16.5" hidden="1" thickBot="1">
      <c r="B6005" s="101"/>
      <c r="C6005" s="101"/>
      <c r="D6005" s="101"/>
      <c r="E6005" s="101"/>
      <c r="F6005" s="101"/>
      <c r="G6005" s="101"/>
      <c r="H6005" s="101"/>
      <c r="I6005" s="101"/>
      <c r="J6005" s="101"/>
      <c r="K6005" s="101"/>
      <c r="L6005" s="101"/>
      <c r="M6005" s="101"/>
      <c r="N6005" s="101"/>
      <c r="O6005" s="101"/>
      <c r="P6005" s="101"/>
      <c r="Q6005" s="101"/>
      <c r="R6005" s="101"/>
      <c r="S6005" s="101"/>
      <c r="U6005" s="50"/>
      <c r="AH6005" s="87"/>
      <c r="AI6005" s="87"/>
    </row>
    <row r="6006" spans="1:35" ht="16.5" hidden="1" customHeight="1" thickBot="1">
      <c r="A6006" s="44"/>
      <c r="B6006" s="705" t="s">
        <v>74</v>
      </c>
      <c r="C6006" s="705"/>
      <c r="D6006" s="705"/>
      <c r="E6006" s="705"/>
      <c r="F6006" s="705"/>
      <c r="G6006" s="705"/>
      <c r="H6006" s="705"/>
      <c r="I6006" s="705"/>
      <c r="J6006" s="705"/>
      <c r="K6006" s="705"/>
      <c r="L6006" s="705"/>
      <c r="M6006" s="705"/>
      <c r="N6006" s="705"/>
      <c r="O6006" s="705"/>
      <c r="P6006" s="705"/>
      <c r="Q6006" s="705"/>
      <c r="R6006" s="705"/>
      <c r="S6006" s="705"/>
      <c r="T6006" s="705"/>
      <c r="U6006" s="108"/>
      <c r="Y6006" s="532" t="s">
        <v>341</v>
      </c>
      <c r="AC6006" s="49"/>
      <c r="AD6006" s="687" t="s">
        <v>302</v>
      </c>
      <c r="AE6006" s="688"/>
      <c r="AF6006" s="689"/>
      <c r="AG6006" s="49"/>
      <c r="AH6006" s="87"/>
      <c r="AI6006" s="87"/>
    </row>
    <row r="6007" spans="1:35" ht="16.5" hidden="1" customHeight="1" thickBot="1">
      <c r="A6007" s="218" t="e">
        <f>"K"&amp;E5989</f>
        <v>#N/A</v>
      </c>
      <c r="B6007" s="701" t="s">
        <v>71</v>
      </c>
      <c r="C6007" s="751" t="s">
        <v>102</v>
      </c>
      <c r="D6007" s="751"/>
      <c r="E6007" s="751"/>
      <c r="F6007" s="751"/>
      <c r="G6007" s="751"/>
      <c r="H6007" s="751"/>
      <c r="I6007" s="751"/>
      <c r="J6007" s="751"/>
      <c r="K6007" s="751"/>
      <c r="L6007" s="722" t="s">
        <v>100</v>
      </c>
      <c r="M6007" s="747" t="s">
        <v>114</v>
      </c>
      <c r="N6007" s="747"/>
      <c r="O6007" s="747"/>
      <c r="P6007" s="747"/>
      <c r="Q6007" s="748"/>
      <c r="R6007" s="758" t="s">
        <v>280</v>
      </c>
      <c r="S6007" s="748"/>
      <c r="T6007" s="762" t="str">
        <f>IF(COUNTIF(AE6007:AF6007,"VERIFICAR")&gt;0,"VERIFICAR",IF(COUNTIF(AE6007:AF6007,"NO CUMPLE")&gt;0,"NO CUMPLE","CUMPLE"))</f>
        <v>VERIFICAR</v>
      </c>
      <c r="U6007" s="108"/>
      <c r="Y6007" s="533" t="e">
        <f>IF(F6008="","",IF(F6008=1,"INDIVIDUAL","ESTRUCTURA PLURAL"))</f>
        <v>#N/A</v>
      </c>
      <c r="AC6007" s="52"/>
      <c r="AD6007" s="475" t="s">
        <v>303</v>
      </c>
      <c r="AE6007" s="476" t="str">
        <f>IF(COUNTIF(AE5993:AE6002,"")=10,"VERIFICAR",IF(COUNTIF(AE5993:AE6002,"SI")&gt;0,"CUMPLE","NO CUMPLE"))</f>
        <v>VERIFICAR</v>
      </c>
      <c r="AF6007" s="477" t="str">
        <f>IF(COUNTIF(AF5993:AF6002,"")=10,"VERIFICAR",IF(COUNTIF(AF5993:AF6002,"SI")&gt;=$AI$22,"CUMPLE","NO CUMPLE"))</f>
        <v>VERIFICAR</v>
      </c>
      <c r="AG6007" s="52"/>
      <c r="AH6007" s="87"/>
      <c r="AI6007" s="87"/>
    </row>
    <row r="6008" spans="1:35" ht="15.75" hidden="1" customHeight="1" thickBot="1">
      <c r="A6008" s="218" t="e">
        <f>"L"&amp;E5989</f>
        <v>#N/A</v>
      </c>
      <c r="B6008" s="702"/>
      <c r="C6008" s="751" t="s">
        <v>103</v>
      </c>
      <c r="D6008" s="751"/>
      <c r="E6008" s="752"/>
      <c r="F6008" s="557" t="e">
        <f>IF(VLOOKUP(E5989,PROPONENTES!$C$19:$E$218,3,0)="","",VLOOKUP(E5989,PROPONENTES!$C$19:$E$218,3,0))</f>
        <v>#N/A</v>
      </c>
      <c r="G6008" s="753" t="s">
        <v>104</v>
      </c>
      <c r="H6008" s="751"/>
      <c r="I6008" s="715" t="e">
        <f>IF(OR(F6008="",F6008=1),"INTERESADO PERSONA NATURAL O JURIDICA","CONSORCIO O UNION TEMPORAL")</f>
        <v>#N/A</v>
      </c>
      <c r="J6008" s="725"/>
      <c r="K6008" s="728"/>
      <c r="L6008" s="723"/>
      <c r="M6008" s="749"/>
      <c r="N6008" s="749"/>
      <c r="O6008" s="749"/>
      <c r="P6008" s="749"/>
      <c r="Q6008" s="750"/>
      <c r="R6008" s="712"/>
      <c r="S6008" s="750"/>
      <c r="T6008" s="763"/>
      <c r="U6008" s="108"/>
      <c r="Y6008" s="534"/>
      <c r="AA6008" s="52"/>
      <c r="AB6008" s="52"/>
      <c r="AC6008" s="52"/>
      <c r="AG6008" s="52"/>
      <c r="AH6008" s="87"/>
      <c r="AI6008" s="87"/>
    </row>
    <row r="6009" spans="1:35" ht="56.25" hidden="1" customHeight="1" thickBot="1">
      <c r="A6009" s="218" t="e">
        <f>"M"&amp;E5989</f>
        <v>#N/A</v>
      </c>
      <c r="B6009" s="702"/>
      <c r="C6009" s="725" t="s">
        <v>101</v>
      </c>
      <c r="D6009" s="716"/>
      <c r="E6009" s="558" t="s">
        <v>105</v>
      </c>
      <c r="F6009" s="554" t="s">
        <v>87</v>
      </c>
      <c r="G6009" s="553" t="s">
        <v>86</v>
      </c>
      <c r="H6009" s="559" t="s">
        <v>85</v>
      </c>
      <c r="I6009" s="554" t="s">
        <v>252</v>
      </c>
      <c r="J6009" s="553" t="str">
        <f>"¿EL INTEGRANTE TIENE UNA PARTICIPACIÓN DEL "&amp;PORCREQUERIDOINT*100&amp;"%?"</f>
        <v>¿EL INTEGRANTE TIENE UNA PARTICIPACIÓN DEL 60%?</v>
      </c>
      <c r="K6009" s="554" t="s">
        <v>107</v>
      </c>
      <c r="L6009" s="724"/>
      <c r="M6009" s="717" t="s">
        <v>115</v>
      </c>
      <c r="N6009" s="718"/>
      <c r="O6009" s="718"/>
      <c r="P6009" s="718"/>
      <c r="Q6009" s="223">
        <f>IF(AND(H5993="SI",P5993&gt;=0),1,0)+IF(AND(H5994="SI",P5994&gt;=0),1,0)+IF(AND(H5995="SI",P5995&gt;=0),1,0)+IF(AND(H5996="SI",P5996&gt;=0),1,0)+IF(AND(H5997="SI",P5997&gt;=0),1,0)+IF(AND(H5998="SI",P5998&gt;=0),1,0)+IF(AND(H5999="SI",P5999&gt;=0),1,0)+IF(AND(H6000="SI",P6000&gt;=0),1,0)+IF(AND(H6001="SI",P6001&gt;=0),1,0)+IF(AND(H6002="SI",P6002&gt;=0),1,0)</f>
        <v>0</v>
      </c>
      <c r="R6009" s="759"/>
      <c r="S6009" s="761"/>
      <c r="T6009" s="764"/>
      <c r="U6009" s="219"/>
      <c r="V6009" s="464"/>
      <c r="Y6009" s="532" t="s">
        <v>342</v>
      </c>
      <c r="AA6009" s="550" t="s">
        <v>344</v>
      </c>
      <c r="AB6009" s="693" t="s">
        <v>345</v>
      </c>
      <c r="AC6009" s="693" t="s">
        <v>346</v>
      </c>
      <c r="AD6009" s="685" t="s">
        <v>347</v>
      </c>
      <c r="AE6009" s="52"/>
      <c r="AF6009" s="52"/>
      <c r="AG6009" s="52"/>
      <c r="AH6009" s="87"/>
      <c r="AI6009" s="87"/>
    </row>
    <row r="6010" spans="1:35" ht="15.75" hidden="1" customHeight="1" thickBot="1">
      <c r="A6010" s="218" t="e">
        <f>"N"&amp;E5989</f>
        <v>#N/A</v>
      </c>
      <c r="B6010" s="702"/>
      <c r="C6010" s="114">
        <v>1</v>
      </c>
      <c r="D6010" s="194" t="e">
        <f>IF(AND(C6010&lt;=F6008,F6008&gt;1,F6008&lt;&gt;""),VLOOKUP(VALUE(E5989&amp;","&amp;C6010),INTEGRANTES!$D$18:$F$235,2,0),"")</f>
        <v>#N/A</v>
      </c>
      <c r="E6010" s="211" t="e">
        <f>IF(D6010&lt;&gt;"",VLOOKUP(VALUE(E5989&amp;","&amp;C6010),INTEGRANTES!$D$18:$F$235,3,0),"")</f>
        <v>#N/A</v>
      </c>
      <c r="F6010" s="547" t="e">
        <f>IF(D6010="","",SUMIF($I5993:$I6002,D6010,$P5993:$P6002))</f>
        <v>#N/A</v>
      </c>
      <c r="G6010" s="333" t="e">
        <f>IF(D6010="","",SUMIF($I5993:$I6002,D6010,$M5993:$M6002))</f>
        <v>#N/A</v>
      </c>
      <c r="H6010" s="535" t="e">
        <f t="shared" ref="H6010:H6015" si="1784">IF(D6010="","",IF(OR(F6010=0,G6010=0),"NO APORTA",ROUND($F6010/$G6010,3)))</f>
        <v>#N/A</v>
      </c>
      <c r="I6010" s="212" t="e">
        <f>IF(D6010="","",IF(H6010="NO APORTA","NO",IF(H6010=MAX($H6010:$H6015),"SI","NO")))</f>
        <v>#N/A</v>
      </c>
      <c r="J6010" s="213" t="e">
        <f t="shared" ref="J6010:J6015" si="1785">IF(D6010="","",IF(E6010&gt;=PORCREQUERIDOINT,"SI","NO"))</f>
        <v>#N/A</v>
      </c>
      <c r="K6010" s="200" t="e">
        <f t="shared" ref="K6010:K6015" si="1786">IF(D6010="","",IF(AND(I6010="SI",J6010="SI"),"CUMPLE",IF(AND(I6010="NO",OR(J6010="SI",J6010="NO")),"","NO CUMPLE")))</f>
        <v>#N/A</v>
      </c>
      <c r="L6010" s="722" t="s">
        <v>108</v>
      </c>
      <c r="M6010" s="726" t="s">
        <v>119</v>
      </c>
      <c r="N6010" s="726"/>
      <c r="O6010" s="726"/>
      <c r="P6010" s="726"/>
      <c r="Q6010" s="727"/>
      <c r="R6010" s="758" t="s">
        <v>80</v>
      </c>
      <c r="S6010" s="747"/>
      <c r="T6010" s="748"/>
      <c r="U6010" s="219"/>
      <c r="V6010" s="464"/>
      <c r="Y6010" s="533" t="e">
        <f>IF(Y6007="","",IF(Y6007="INDIVIDUAL","NO APLICA","VERIFICAR CUADRO"))</f>
        <v>#N/A</v>
      </c>
      <c r="AA6010" s="551"/>
      <c r="AB6010" s="694"/>
      <c r="AC6010" s="694"/>
      <c r="AD6010" s="686"/>
      <c r="AE6010" s="52"/>
      <c r="AF6010" s="52"/>
      <c r="AG6010" s="52"/>
      <c r="AH6010" s="87"/>
      <c r="AI6010" s="87"/>
    </row>
    <row r="6011" spans="1:35" ht="27" hidden="1" customHeight="1" thickBot="1">
      <c r="A6011" s="218" t="e">
        <f>"O"&amp;E5989</f>
        <v>#N/A</v>
      </c>
      <c r="B6011" s="702"/>
      <c r="C6011" s="114">
        <v>2</v>
      </c>
      <c r="D6011" s="194" t="e">
        <f>IF(AND(C6011&lt;=F6008,F6008&lt;&gt;""),VLOOKUP(VALUE(E5989&amp;","&amp;C6011),INTEGRANTES!$D$18:$F$235,2,0),"")</f>
        <v>#N/A</v>
      </c>
      <c r="E6011" s="211" t="e">
        <f>IF(D6011&lt;&gt;"",VLOOKUP(VALUE(E5989&amp;","&amp;C6011),INTEGRANTES!$D$18:$F$235,3,0),"")</f>
        <v>#N/A</v>
      </c>
      <c r="F6011" s="547" t="e">
        <f>IF(D6011="","",SUMIF($I5993:$I6002,D6011,$P5993:$P6002))</f>
        <v>#N/A</v>
      </c>
      <c r="G6011" s="333" t="e">
        <f>IF(D6011="","",SUMIF($I5993:$I6002,D6011,$M5993:$M6002))</f>
        <v>#N/A</v>
      </c>
      <c r="H6011" s="535" t="e">
        <f t="shared" si="1784"/>
        <v>#N/A</v>
      </c>
      <c r="I6011" s="212" t="e">
        <f>IF(D6011="","",IF(H6011="NO APORTA","NO",IF(H6011=MAX($H6010:$H6015),"SI","NO")))</f>
        <v>#N/A</v>
      </c>
      <c r="J6011" s="213" t="e">
        <f t="shared" si="1785"/>
        <v>#N/A</v>
      </c>
      <c r="K6011" s="200" t="e">
        <f t="shared" si="1786"/>
        <v>#N/A</v>
      </c>
      <c r="L6011" s="723"/>
      <c r="M6011" s="715" t="s">
        <v>116</v>
      </c>
      <c r="N6011" s="716"/>
      <c r="O6011" s="556" t="s">
        <v>113</v>
      </c>
      <c r="P6011" s="715" t="s">
        <v>117</v>
      </c>
      <c r="Q6011" s="728"/>
      <c r="R6011" s="759"/>
      <c r="S6011" s="760"/>
      <c r="T6011" s="761"/>
      <c r="U6011" s="219"/>
      <c r="V6011" s="464"/>
      <c r="Y6011" s="414"/>
      <c r="AA6011" s="542" t="e">
        <f>IF(AND(C6010&lt;=F6008,F6008&gt;1,F6008&lt;&gt;""),VLOOKUP(VALUE(E5989&amp;","&amp;C6010),INTEGRANTES!$D$18:$F$235,2,0),"")</f>
        <v>#N/A</v>
      </c>
      <c r="AB6011" s="544" t="e">
        <f t="shared" ref="AB6011:AB6016" si="1787">IF(D6010="","",IF(OR(F6010=0,G6010=0),"NO APORTA",ROUND($F6010/$G6010,3)))</f>
        <v>#N/A</v>
      </c>
      <c r="AC6011" s="529"/>
      <c r="AD6011" s="200" t="e">
        <f t="shared" ref="AD6011:AD6016" si="1788">IF(OR(AA6011="",AB6011=""),"",IF(AND(AC6011="X",AB6011&gt;=EXPREQVTD),"CUMPLE","NO CUMPLE"))</f>
        <v>#N/A</v>
      </c>
      <c r="AE6011" s="52"/>
      <c r="AF6011" s="52"/>
      <c r="AG6011" s="52"/>
      <c r="AH6011" s="87"/>
      <c r="AI6011" s="87"/>
    </row>
    <row r="6012" spans="1:35" ht="16.5" hidden="1" thickBot="1">
      <c r="A6012" s="218" t="e">
        <f>"P"&amp;E5989</f>
        <v>#N/A</v>
      </c>
      <c r="B6012" s="702"/>
      <c r="C6012" s="114">
        <v>3</v>
      </c>
      <c r="D6012" s="194" t="e">
        <f>IF(AND(C6012&lt;=F6008,F6008&lt;&gt;""),VLOOKUP(VALUE(E5989&amp;","&amp;C6012),INTEGRANTES!$D$18:$F$235,2,0),"")</f>
        <v>#N/A</v>
      </c>
      <c r="E6012" s="211" t="e">
        <f>IF(D6012&lt;&gt;"",VLOOKUP(VALUE(E5989&amp;","&amp;C6012),INTEGRANTES!$D$18:$F$235,3,0),"")</f>
        <v>#N/A</v>
      </c>
      <c r="F6012" s="547" t="e">
        <f>IF(D6012="","",SUMIF($I5993:$I6002,D6012,$P5993:$P6002))</f>
        <v>#N/A</v>
      </c>
      <c r="G6012" s="333" t="e">
        <f>IF(D6012="","",SUMIF($I5993:$I6002,D6012,$M5993:$M6002))</f>
        <v>#N/A</v>
      </c>
      <c r="H6012" s="535" t="e">
        <f t="shared" si="1784"/>
        <v>#N/A</v>
      </c>
      <c r="I6012" s="212" t="e">
        <f>IF(D6012="","",IF(H6012="NO APORTA","NO",IF(H6012=MAX($H6010:$H6015),"SI","NO")))</f>
        <v>#N/A</v>
      </c>
      <c r="J6012" s="213" t="e">
        <f t="shared" si="1785"/>
        <v>#N/A</v>
      </c>
      <c r="K6012" s="200" t="e">
        <f t="shared" si="1786"/>
        <v>#N/A</v>
      </c>
      <c r="L6012" s="724"/>
      <c r="M6012" s="729">
        <f>NUMMOD</f>
        <v>1</v>
      </c>
      <c r="N6012" s="730"/>
      <c r="O6012" s="443">
        <f>IF(M6012="","",VLOOKUP(M6012,PRESUPUESTOS!$B$16:$H$16,5,FALSE))</f>
        <v>2</v>
      </c>
      <c r="P6012" s="713">
        <f>IF(OR(COUNTIF(M5993:M6002,"")&gt;=10,Q6009&lt;NUMMINCONT,OR(T6007="NO CUMPLE",T6007="VERIFICAR")),0,ROUND(AVERAGE(M5993:M6002),3))</f>
        <v>0</v>
      </c>
      <c r="Q6012" s="714"/>
      <c r="R6012" s="458"/>
      <c r="S6012" s="459"/>
      <c r="T6012" s="460"/>
      <c r="U6012" s="219"/>
      <c r="V6012" s="464"/>
      <c r="Y6012" s="532" t="str">
        <f>"40% * ("&amp;PRESUPUESTOS!$H$13&amp;")"</f>
        <v>40% * (50% PFMO)</v>
      </c>
      <c r="AA6012" s="540" t="e">
        <f>IF(AND(C6011&lt;=F6008,F6008&lt;&gt;""),VLOOKUP(VALUE(E5989&amp;","&amp;C6011),INTEGRANTES!$D$18:$F$235,2,0),"")</f>
        <v>#N/A</v>
      </c>
      <c r="AB6012" s="545" t="e">
        <f t="shared" si="1787"/>
        <v>#N/A</v>
      </c>
      <c r="AC6012" s="529"/>
      <c r="AD6012" s="200" t="e">
        <f t="shared" si="1788"/>
        <v>#N/A</v>
      </c>
      <c r="AE6012" s="52"/>
      <c r="AF6012" s="52"/>
      <c r="AG6012" s="52"/>
      <c r="AH6012" s="87"/>
      <c r="AI6012" s="87"/>
    </row>
    <row r="6013" spans="1:35" ht="15.75" hidden="1" customHeight="1" thickBot="1">
      <c r="A6013" s="218" t="e">
        <f>"Q"&amp;E5989</f>
        <v>#N/A</v>
      </c>
      <c r="B6013" s="702"/>
      <c r="C6013" s="114">
        <v>4</v>
      </c>
      <c r="D6013" s="194" t="e">
        <f>IF(AND(C6013&lt;=F6008,F6008&lt;&gt;""),VLOOKUP(VALUE(E5989&amp;","&amp;C6013),INTEGRANTES!$D$18:$F$235,2,0),"")</f>
        <v>#N/A</v>
      </c>
      <c r="E6013" s="211" t="e">
        <f>IF(D6013&lt;&gt;"",VLOOKUP(VALUE(E5989&amp;","&amp;C6013),INTEGRANTES!$D$18:$F$235,3,0),"")</f>
        <v>#N/A</v>
      </c>
      <c r="F6013" s="547" t="e">
        <f>IF(D6013="","",SUMIF($I5993:$I6002,D6013,$P5993:$P6002))</f>
        <v>#N/A</v>
      </c>
      <c r="G6013" s="333" t="e">
        <f>IF(D6013="","",SUMIF($I5993:$I6002,D6013,$M5993:$M6002))</f>
        <v>#N/A</v>
      </c>
      <c r="H6013" s="535" t="e">
        <f t="shared" si="1784"/>
        <v>#N/A</v>
      </c>
      <c r="I6013" s="212" t="e">
        <f>IF(D6013="","",IF(H6013="NO APORTA","NO",IF(H6013=MAX($H6010:$H6015),"SI","NO")))</f>
        <v>#N/A</v>
      </c>
      <c r="J6013" s="213" t="e">
        <f t="shared" si="1785"/>
        <v>#N/A</v>
      </c>
      <c r="K6013" s="200" t="e">
        <f t="shared" si="1786"/>
        <v>#N/A</v>
      </c>
      <c r="L6013" s="720" t="s">
        <v>109</v>
      </c>
      <c r="M6013" s="757" t="s">
        <v>120</v>
      </c>
      <c r="N6013" s="726"/>
      <c r="O6013" s="726"/>
      <c r="P6013" s="726"/>
      <c r="Q6013" s="727"/>
      <c r="R6013" s="458"/>
      <c r="S6013" s="459"/>
      <c r="T6013" s="460"/>
      <c r="U6013" s="219"/>
      <c r="V6013" s="464"/>
      <c r="Y6013" s="537">
        <f>0.4*PRESUPUESTOS!$H$16</f>
        <v>10.3124</v>
      </c>
      <c r="AA6013" s="540" t="e">
        <f>IF(AND(C6012&lt;=F6008,F6008&lt;&gt;""),VLOOKUP(VALUE(E5989&amp;","&amp;C6012),INTEGRANTES!$D$18:$F$235,2,0),"")</f>
        <v>#N/A</v>
      </c>
      <c r="AB6013" s="545" t="e">
        <f t="shared" si="1787"/>
        <v>#N/A</v>
      </c>
      <c r="AC6013" s="529"/>
      <c r="AD6013" s="200" t="e">
        <f t="shared" si="1788"/>
        <v>#N/A</v>
      </c>
      <c r="AE6013" s="52"/>
      <c r="AF6013" s="52"/>
      <c r="AG6013" s="52"/>
      <c r="AH6013" s="87"/>
      <c r="AI6013" s="87"/>
    </row>
    <row r="6014" spans="1:35" ht="27" hidden="1" customHeight="1" thickBot="1">
      <c r="A6014" s="218" t="e">
        <f>"R"&amp;E5989</f>
        <v>#N/A</v>
      </c>
      <c r="B6014" s="702"/>
      <c r="C6014" s="114">
        <v>5</v>
      </c>
      <c r="D6014" s="194" t="e">
        <f>IF(AND(C6014&lt;=F6008,F6008&lt;&gt;""),VLOOKUP(VALUE(E5989&amp;","&amp;C6014),INTEGRANTES!$D$18:$F$235,2,0),"")</f>
        <v>#N/A</v>
      </c>
      <c r="E6014" s="211" t="e">
        <f>IF(D6014&lt;&gt;"",VLOOKUP(VALUE(E5989&amp;","&amp;C6014),INTEGRANTES!$D$18:$F$235,3,0),"")</f>
        <v>#N/A</v>
      </c>
      <c r="F6014" s="547" t="e">
        <f>IF(D6014="","",SUMIF($I5993:$I6002,D6014,$P5993:$P6002))</f>
        <v>#N/A</v>
      </c>
      <c r="G6014" s="333" t="e">
        <f>IF(D6014="","",SUMIF($I5993:$I6002,D6014,$M5993:$M6002))</f>
        <v>#N/A</v>
      </c>
      <c r="H6014" s="535" t="e">
        <f t="shared" si="1784"/>
        <v>#N/A</v>
      </c>
      <c r="I6014" s="212" t="e">
        <f>IF(D6014="","",IF(H6014="NO APORTA","NO",IF(H6014=MAX($H6010:$H6015),"SI","NO")))</f>
        <v>#N/A</v>
      </c>
      <c r="J6014" s="213" t="e">
        <f t="shared" si="1785"/>
        <v>#N/A</v>
      </c>
      <c r="K6014" s="200" t="e">
        <f t="shared" si="1786"/>
        <v>#N/A</v>
      </c>
      <c r="L6014" s="721"/>
      <c r="M6014" s="715" t="s">
        <v>116</v>
      </c>
      <c r="N6014" s="716"/>
      <c r="O6014" s="556" t="str">
        <f>PORCREQUERIDO*100&amp;"% PMFO DEL MÓDULO"</f>
        <v>50% PMFO DEL MÓDULO</v>
      </c>
      <c r="P6014" s="715" t="s">
        <v>118</v>
      </c>
      <c r="Q6014" s="728"/>
      <c r="R6014" s="458"/>
      <c r="S6014" s="459"/>
      <c r="T6014" s="460"/>
      <c r="U6014" s="219"/>
      <c r="V6014" s="464"/>
      <c r="Y6014" s="414"/>
      <c r="AA6014" s="540" t="e">
        <f>IF(AND(C6013&lt;=F6008,F6008&lt;&gt;""),VLOOKUP(VALUE(E5989&amp;","&amp;C6013),INTEGRANTES!$D$18:$F$235,2,0),"")</f>
        <v>#N/A</v>
      </c>
      <c r="AB6014" s="545" t="e">
        <f t="shared" si="1787"/>
        <v>#N/A</v>
      </c>
      <c r="AC6014" s="529"/>
      <c r="AD6014" s="200" t="e">
        <f t="shared" si="1788"/>
        <v>#N/A</v>
      </c>
      <c r="AE6014" s="52"/>
      <c r="AF6014" s="52"/>
      <c r="AG6014" s="52"/>
      <c r="AH6014" s="52"/>
      <c r="AI6014" s="52"/>
    </row>
    <row r="6015" spans="1:35" ht="16.5" hidden="1" thickBot="1">
      <c r="A6015" s="218" t="e">
        <f>"S"&amp;E5989</f>
        <v>#N/A</v>
      </c>
      <c r="B6015" s="702"/>
      <c r="C6015" s="215">
        <v>6</v>
      </c>
      <c r="D6015" s="216" t="e">
        <f>IF(AND(C6015&lt;=F6008,F6008&lt;&gt;""),VLOOKUP(VALUE(E5989&amp;","&amp;C6015),INTEGRANTES!$D$18:$F$235,2,0),"")</f>
        <v>#N/A</v>
      </c>
      <c r="E6015" s="217" t="e">
        <f>IF(D6015&lt;&gt;"",VLOOKUP(VALUE(E5989&amp;","&amp;C6015),INTEGRANTES!$D$18:$F$235,3,0),"")</f>
        <v>#N/A</v>
      </c>
      <c r="F6015" s="548" t="e">
        <f>IF(D6015="","",SUMIF($I5993:$I6002,D6015,$P5993:$P6002))</f>
        <v>#N/A</v>
      </c>
      <c r="G6015" s="334" t="e">
        <f>IF(D6015="","",SUMIF($I5993:$I6002,D6015,$M5993:$M6002))</f>
        <v>#N/A</v>
      </c>
      <c r="H6015" s="536" t="e">
        <f t="shared" si="1784"/>
        <v>#N/A</v>
      </c>
      <c r="I6015" s="214" t="e">
        <f>IF(D6015="","",IF(H6015="NO APORTA","NO",IF(H6015=MAX($H6010:$H6015),"SI","NO")))</f>
        <v>#N/A</v>
      </c>
      <c r="J6015" s="213" t="e">
        <f t="shared" si="1785"/>
        <v>#N/A</v>
      </c>
      <c r="K6015" s="200" t="e">
        <f t="shared" si="1786"/>
        <v>#N/A</v>
      </c>
      <c r="L6015" s="721"/>
      <c r="M6015" s="729">
        <f>NUMMOD</f>
        <v>1</v>
      </c>
      <c r="N6015" s="730"/>
      <c r="O6015" s="443">
        <f>IF(M6015="","",ROUND(VLOOKUP(M6015,PRESUPUESTOS!$B$16:$H$16,7,FALSE),3))</f>
        <v>25.780999999999999</v>
      </c>
      <c r="P6015" s="713">
        <f>IF(OR(COUNTIF(P5993:P6002,"")&gt;=10,Q6009&lt;NUMMINCONT,OR(T6007="NO CUMPLE",T6007="VERIFICAR")),0,ROUND((SUM(P5993:P6002)/SUM(M5993:M6002)),3))</f>
        <v>0</v>
      </c>
      <c r="Q6015" s="714"/>
      <c r="R6015" s="458"/>
      <c r="S6015" s="459"/>
      <c r="T6015" s="460"/>
      <c r="U6015" s="219"/>
      <c r="V6015" s="464"/>
      <c r="Y6015" s="532" t="s">
        <v>343</v>
      </c>
      <c r="AA6015" s="540" t="e">
        <f>IF(AND(C6014&lt;=F6008,F6008&lt;&gt;""),VLOOKUP(VALUE(E5989&amp;","&amp;C6014),INTEGRANTES!$D$18:$F$235,2,0),"")</f>
        <v>#N/A</v>
      </c>
      <c r="AB6015" s="545" t="e">
        <f t="shared" si="1787"/>
        <v>#N/A</v>
      </c>
      <c r="AC6015" s="529"/>
      <c r="AD6015" s="200" t="e">
        <f t="shared" si="1788"/>
        <v>#N/A</v>
      </c>
      <c r="AE6015" s="52"/>
      <c r="AF6015" s="52"/>
      <c r="AG6015" s="52"/>
      <c r="AH6015" s="52"/>
      <c r="AI6015" s="52"/>
    </row>
    <row r="6016" spans="1:35" ht="16.5" hidden="1" customHeight="1" thickBot="1">
      <c r="A6016" s="218" t="e">
        <f>"T"&amp;E5989</f>
        <v>#N/A</v>
      </c>
      <c r="B6016" s="703"/>
      <c r="C6016" s="719"/>
      <c r="D6016" s="719"/>
      <c r="E6016" s="719"/>
      <c r="F6016" s="719"/>
      <c r="G6016" s="719"/>
      <c r="H6016" s="719" t="s">
        <v>110</v>
      </c>
      <c r="I6016" s="719"/>
      <c r="J6016" s="719"/>
      <c r="K6016" s="201" t="str">
        <f>IF(COUNTIF(K6010:K6015,"")=6,"",IF(COUNTIF(K6010:K6015,"CUMPLE")&gt;0,"CUMPLE","NO CUMPLE"))</f>
        <v>NO CUMPLE</v>
      </c>
      <c r="L6016" s="754"/>
      <c r="M6016" s="755"/>
      <c r="N6016" s="755"/>
      <c r="O6016" s="755"/>
      <c r="P6016" s="755"/>
      <c r="Q6016" s="756"/>
      <c r="R6016" s="461"/>
      <c r="S6016" s="462"/>
      <c r="T6016" s="463"/>
      <c r="U6016" s="219"/>
      <c r="V6016" s="464"/>
      <c r="Y6016" s="549" t="e">
        <f>IF(Y6010="NO APLICA","NO APLICA",IF(COUNTIF(AD6011:AD6016,"CUMPLE")&gt;0,"CUMPLE","NO CUMPLE"))</f>
        <v>#N/A</v>
      </c>
      <c r="AA6016" s="541" t="e">
        <f>IF(AND(C6015&lt;=F6008,F6008&lt;&gt;""),VLOOKUP(VALUE(E5989&amp;","&amp;C6015),INTEGRANTES!$D$18:$F$235,2,0),"")</f>
        <v>#N/A</v>
      </c>
      <c r="AB6016" s="546" t="e">
        <f t="shared" si="1787"/>
        <v>#N/A</v>
      </c>
      <c r="AC6016" s="543"/>
      <c r="AD6016" s="201" t="e">
        <f t="shared" si="1788"/>
        <v>#N/A</v>
      </c>
      <c r="AE6016" s="52"/>
      <c r="AF6016" s="52"/>
      <c r="AG6016" s="52"/>
      <c r="AH6016" s="52"/>
      <c r="AI6016" s="52"/>
    </row>
  </sheetData>
  <dataConsolidate/>
  <mergeCells count="11608">
    <mergeCell ref="U57:U59"/>
    <mergeCell ref="AA57:AA59"/>
    <mergeCell ref="AB57:AB59"/>
    <mergeCell ref="AB40:AB41"/>
    <mergeCell ref="AC40:AC41"/>
    <mergeCell ref="AD40:AD41"/>
    <mergeCell ref="B5989:D5989"/>
    <mergeCell ref="B5990:B5991"/>
    <mergeCell ref="H5990:H5991"/>
    <mergeCell ref="I5990:I5991"/>
    <mergeCell ref="J5990:J5991"/>
    <mergeCell ref="K5990:K5991"/>
    <mergeCell ref="L5990:L5991"/>
    <mergeCell ref="M5990:M5991"/>
    <mergeCell ref="N5990:N5991"/>
    <mergeCell ref="O5990:P5990"/>
    <mergeCell ref="R5990:T5991"/>
    <mergeCell ref="U5990:U5991"/>
    <mergeCell ref="W5990:Y5990"/>
    <mergeCell ref="AD5990:AF5990"/>
    <mergeCell ref="B5959:D5959"/>
    <mergeCell ref="B5960:B5961"/>
    <mergeCell ref="H5960:H5961"/>
    <mergeCell ref="I5960:I5961"/>
    <mergeCell ref="J5960:J5961"/>
    <mergeCell ref="K5960:K5961"/>
    <mergeCell ref="L5960:L5961"/>
    <mergeCell ref="M5960:M5961"/>
    <mergeCell ref="N5960:N5961"/>
    <mergeCell ref="O5960:P5960"/>
    <mergeCell ref="R5960:T5961"/>
    <mergeCell ref="U5960:U5961"/>
    <mergeCell ref="W5960:Y5960"/>
    <mergeCell ref="AD5960:AF5960"/>
    <mergeCell ref="R5963:T5963"/>
    <mergeCell ref="R5964:T5964"/>
    <mergeCell ref="R5965:T5965"/>
    <mergeCell ref="AA5960:AA5961"/>
    <mergeCell ref="AB5960:AB5961"/>
    <mergeCell ref="R5966:T5966"/>
    <mergeCell ref="R5967:T5967"/>
    <mergeCell ref="R5968:T5968"/>
    <mergeCell ref="R5969:T5969"/>
    <mergeCell ref="R5970:T5970"/>
    <mergeCell ref="R5971:T5971"/>
    <mergeCell ref="R5972:T5972"/>
    <mergeCell ref="B5976:T5976"/>
    <mergeCell ref="AD5976:AF5976"/>
    <mergeCell ref="B5977:B5986"/>
    <mergeCell ref="C5977:K5977"/>
    <mergeCell ref="L5977:L5979"/>
    <mergeCell ref="M5977:Q5978"/>
    <mergeCell ref="R5977:S5979"/>
    <mergeCell ref="T5977:T5979"/>
    <mergeCell ref="C5978:E5978"/>
    <mergeCell ref="G5978:H5978"/>
    <mergeCell ref="I5978:K5978"/>
    <mergeCell ref="C5979:D5979"/>
    <mergeCell ref="M5979:P5979"/>
    <mergeCell ref="L5980:L5982"/>
    <mergeCell ref="M5980:Q5980"/>
    <mergeCell ref="R5980:T5981"/>
    <mergeCell ref="M5981:N5981"/>
    <mergeCell ref="P5981:Q5981"/>
    <mergeCell ref="R5993:T5993"/>
    <mergeCell ref="R5994:T5994"/>
    <mergeCell ref="R5995:T5995"/>
    <mergeCell ref="AA5990:AA5991"/>
    <mergeCell ref="AB5990:AB5991"/>
    <mergeCell ref="R5996:T5996"/>
    <mergeCell ref="R5997:T5997"/>
    <mergeCell ref="R5998:T5998"/>
    <mergeCell ref="R5999:T5999"/>
    <mergeCell ref="R6000:T6000"/>
    <mergeCell ref="R6001:T6001"/>
    <mergeCell ref="AD6006:AF6006"/>
    <mergeCell ref="B6007:B6016"/>
    <mergeCell ref="C6007:K6007"/>
    <mergeCell ref="L6007:L6009"/>
    <mergeCell ref="M6007:Q6008"/>
    <mergeCell ref="R6007:S6009"/>
    <mergeCell ref="T6007:T6009"/>
    <mergeCell ref="C6008:E6008"/>
    <mergeCell ref="C6009:D6009"/>
    <mergeCell ref="M6009:P6009"/>
    <mergeCell ref="L6010:L6012"/>
    <mergeCell ref="M6010:Q6010"/>
    <mergeCell ref="R6002:T6002"/>
    <mergeCell ref="B6006:T6006"/>
    <mergeCell ref="M6013:Q6013"/>
    <mergeCell ref="M6014:N6014"/>
    <mergeCell ref="P6014:Q6014"/>
    <mergeCell ref="M6015:N6015"/>
    <mergeCell ref="G6008:H6008"/>
    <mergeCell ref="I6008:K6008"/>
    <mergeCell ref="P6015:Q6015"/>
    <mergeCell ref="C6016:G6016"/>
    <mergeCell ref="H6016:J6016"/>
    <mergeCell ref="L6016:Q6016"/>
    <mergeCell ref="R6010:T6011"/>
    <mergeCell ref="M6011:N6011"/>
    <mergeCell ref="P6011:Q6011"/>
    <mergeCell ref="M6012:N6012"/>
    <mergeCell ref="P6012:Q6012"/>
    <mergeCell ref="L6013:L6015"/>
    <mergeCell ref="AB6009:AB6010"/>
    <mergeCell ref="AC6009:AC6010"/>
    <mergeCell ref="AD6009:AD6010"/>
    <mergeCell ref="M5982:N5982"/>
    <mergeCell ref="P5982:Q5982"/>
    <mergeCell ref="L5983:L5985"/>
    <mergeCell ref="M5983:Q5983"/>
    <mergeCell ref="M5984:N5984"/>
    <mergeCell ref="P5984:Q5984"/>
    <mergeCell ref="M5985:N5985"/>
    <mergeCell ref="P5985:Q5985"/>
    <mergeCell ref="C5986:G5986"/>
    <mergeCell ref="H5986:J5986"/>
    <mergeCell ref="L5986:Q5986"/>
    <mergeCell ref="AB5979:AB5980"/>
    <mergeCell ref="AC5979:AC5980"/>
    <mergeCell ref="AD5979:AD5980"/>
    <mergeCell ref="B5929:D5929"/>
    <mergeCell ref="B5930:B5931"/>
    <mergeCell ref="H5930:H5931"/>
    <mergeCell ref="I5930:I5931"/>
    <mergeCell ref="J5930:J5931"/>
    <mergeCell ref="K5930:K5931"/>
    <mergeCell ref="L5930:L5931"/>
    <mergeCell ref="M5930:M5931"/>
    <mergeCell ref="N5930:N5931"/>
    <mergeCell ref="O5930:P5930"/>
    <mergeCell ref="R5930:T5931"/>
    <mergeCell ref="U5930:U5931"/>
    <mergeCell ref="W5930:Y5930"/>
    <mergeCell ref="AD5930:AF5930"/>
    <mergeCell ref="R5933:T5933"/>
    <mergeCell ref="R5934:T5934"/>
    <mergeCell ref="R5935:T5935"/>
    <mergeCell ref="AA5930:AA5931"/>
    <mergeCell ref="AB5930:AB5931"/>
    <mergeCell ref="R5936:T5936"/>
    <mergeCell ref="R5937:T5937"/>
    <mergeCell ref="R5938:T5938"/>
    <mergeCell ref="R5939:T5939"/>
    <mergeCell ref="R5940:T5940"/>
    <mergeCell ref="R5941:T5941"/>
    <mergeCell ref="R5942:T5942"/>
    <mergeCell ref="B5946:T5946"/>
    <mergeCell ref="AD5946:AF5946"/>
    <mergeCell ref="B5947:B5956"/>
    <mergeCell ref="C5947:K5947"/>
    <mergeCell ref="L5947:L5949"/>
    <mergeCell ref="M5947:Q5948"/>
    <mergeCell ref="R5947:S5949"/>
    <mergeCell ref="T5947:T5949"/>
    <mergeCell ref="C5948:E5948"/>
    <mergeCell ref="G5948:H5948"/>
    <mergeCell ref="I5948:K5948"/>
    <mergeCell ref="C5949:D5949"/>
    <mergeCell ref="M5949:P5949"/>
    <mergeCell ref="L5950:L5952"/>
    <mergeCell ref="M5950:Q5950"/>
    <mergeCell ref="R5950:T5951"/>
    <mergeCell ref="M5951:N5951"/>
    <mergeCell ref="P5951:Q5951"/>
    <mergeCell ref="M5952:N5952"/>
    <mergeCell ref="P5952:Q5952"/>
    <mergeCell ref="L5953:L5955"/>
    <mergeCell ref="M5953:Q5953"/>
    <mergeCell ref="M5954:N5954"/>
    <mergeCell ref="P5954:Q5954"/>
    <mergeCell ref="M5955:N5955"/>
    <mergeCell ref="P5955:Q5955"/>
    <mergeCell ref="C5956:G5956"/>
    <mergeCell ref="H5956:J5956"/>
    <mergeCell ref="L5956:Q5956"/>
    <mergeCell ref="B5899:D5899"/>
    <mergeCell ref="B5900:B5901"/>
    <mergeCell ref="H5900:H5901"/>
    <mergeCell ref="I5900:I5901"/>
    <mergeCell ref="J5900:J5901"/>
    <mergeCell ref="K5900:K5901"/>
    <mergeCell ref="L5900:L5901"/>
    <mergeCell ref="M5900:M5901"/>
    <mergeCell ref="N5900:N5901"/>
    <mergeCell ref="O5900:P5900"/>
    <mergeCell ref="R5900:T5901"/>
    <mergeCell ref="U5900:U5901"/>
    <mergeCell ref="W5900:Y5900"/>
    <mergeCell ref="R5903:T5903"/>
    <mergeCell ref="R5904:T5904"/>
    <mergeCell ref="R5905:T5905"/>
    <mergeCell ref="AA5900:AA5901"/>
    <mergeCell ref="AB5900:AB5901"/>
    <mergeCell ref="R5906:T5906"/>
    <mergeCell ref="R5907:T5907"/>
    <mergeCell ref="R5908:T5908"/>
    <mergeCell ref="R5909:T5909"/>
    <mergeCell ref="R5910:T5910"/>
    <mergeCell ref="R5911:T5911"/>
    <mergeCell ref="R5912:T5912"/>
    <mergeCell ref="B5916:T5916"/>
    <mergeCell ref="AD5916:AF5916"/>
    <mergeCell ref="B5917:B5926"/>
    <mergeCell ref="C5917:K5917"/>
    <mergeCell ref="L5917:L5919"/>
    <mergeCell ref="M5917:Q5918"/>
    <mergeCell ref="R5917:S5919"/>
    <mergeCell ref="T5917:T5919"/>
    <mergeCell ref="C5918:E5918"/>
    <mergeCell ref="G5918:H5918"/>
    <mergeCell ref="I5918:K5918"/>
    <mergeCell ref="C5919:D5919"/>
    <mergeCell ref="M5919:P5919"/>
    <mergeCell ref="L5920:L5922"/>
    <mergeCell ref="M5920:Q5920"/>
    <mergeCell ref="R5920:T5921"/>
    <mergeCell ref="M5921:N5921"/>
    <mergeCell ref="P5921:Q5921"/>
    <mergeCell ref="M5922:N5922"/>
    <mergeCell ref="P5922:Q5922"/>
    <mergeCell ref="L5923:L5925"/>
    <mergeCell ref="M5923:Q5923"/>
    <mergeCell ref="M5924:N5924"/>
    <mergeCell ref="P5924:Q5924"/>
    <mergeCell ref="M5925:N5925"/>
    <mergeCell ref="P5925:Q5925"/>
    <mergeCell ref="C5926:G5926"/>
    <mergeCell ref="H5926:J5926"/>
    <mergeCell ref="L5926:Q5926"/>
    <mergeCell ref="AB5919:AB5920"/>
    <mergeCell ref="AC5919:AC5920"/>
    <mergeCell ref="AD5919:AD5920"/>
    <mergeCell ref="AB5949:AB5950"/>
    <mergeCell ref="AC5949:AC5950"/>
    <mergeCell ref="B5869:D5869"/>
    <mergeCell ref="B5870:B5871"/>
    <mergeCell ref="H5870:H5871"/>
    <mergeCell ref="I5870:I5871"/>
    <mergeCell ref="J5870:J5871"/>
    <mergeCell ref="K5870:K5871"/>
    <mergeCell ref="L5870:L5871"/>
    <mergeCell ref="M5870:M5871"/>
    <mergeCell ref="N5870:N5871"/>
    <mergeCell ref="O5870:P5870"/>
    <mergeCell ref="R5870:T5871"/>
    <mergeCell ref="U5870:U5871"/>
    <mergeCell ref="W5870:Y5870"/>
    <mergeCell ref="AD5870:AF5870"/>
    <mergeCell ref="R5873:T5873"/>
    <mergeCell ref="R5874:T5874"/>
    <mergeCell ref="R5875:T5875"/>
    <mergeCell ref="AA5870:AA5871"/>
    <mergeCell ref="AB5870:AB5871"/>
    <mergeCell ref="R5876:T5876"/>
    <mergeCell ref="R5877:T5877"/>
    <mergeCell ref="R5878:T5878"/>
    <mergeCell ref="R5879:T5879"/>
    <mergeCell ref="R5880:T5880"/>
    <mergeCell ref="R5881:T5881"/>
    <mergeCell ref="R5882:T5882"/>
    <mergeCell ref="B5886:T5886"/>
    <mergeCell ref="AD5886:AF5886"/>
    <mergeCell ref="B5887:B5896"/>
    <mergeCell ref="C5887:K5887"/>
    <mergeCell ref="L5887:L5889"/>
    <mergeCell ref="M5887:Q5888"/>
    <mergeCell ref="R5887:S5889"/>
    <mergeCell ref="T5887:T5889"/>
    <mergeCell ref="C5888:E5888"/>
    <mergeCell ref="G5888:H5888"/>
    <mergeCell ref="I5888:K5888"/>
    <mergeCell ref="C5889:D5889"/>
    <mergeCell ref="M5889:P5889"/>
    <mergeCell ref="L5890:L5892"/>
    <mergeCell ref="M5890:Q5890"/>
    <mergeCell ref="R5890:T5891"/>
    <mergeCell ref="M5891:N5891"/>
    <mergeCell ref="P5891:Q5891"/>
    <mergeCell ref="M5892:N5892"/>
    <mergeCell ref="P5892:Q5892"/>
    <mergeCell ref="L5893:L5895"/>
    <mergeCell ref="M5893:Q5893"/>
    <mergeCell ref="M5894:N5894"/>
    <mergeCell ref="P5894:Q5894"/>
    <mergeCell ref="M5895:N5895"/>
    <mergeCell ref="P5895:Q5895"/>
    <mergeCell ref="C5896:G5896"/>
    <mergeCell ref="H5896:J5896"/>
    <mergeCell ref="L5896:Q5896"/>
    <mergeCell ref="AB5889:AB5890"/>
    <mergeCell ref="AC5889:AC5890"/>
    <mergeCell ref="AD5889:AD5890"/>
    <mergeCell ref="B5839:D5839"/>
    <mergeCell ref="B5840:B5841"/>
    <mergeCell ref="H5840:H5841"/>
    <mergeCell ref="I5840:I5841"/>
    <mergeCell ref="J5840:J5841"/>
    <mergeCell ref="K5840:K5841"/>
    <mergeCell ref="L5840:L5841"/>
    <mergeCell ref="M5840:M5841"/>
    <mergeCell ref="N5840:N5841"/>
    <mergeCell ref="O5840:P5840"/>
    <mergeCell ref="R5840:T5841"/>
    <mergeCell ref="U5840:U5841"/>
    <mergeCell ref="W5840:Y5840"/>
    <mergeCell ref="AD5840:AF5840"/>
    <mergeCell ref="R5843:T5843"/>
    <mergeCell ref="R5844:T5844"/>
    <mergeCell ref="R5845:T5845"/>
    <mergeCell ref="AA5840:AA5841"/>
    <mergeCell ref="AB5840:AB5841"/>
    <mergeCell ref="R5846:T5846"/>
    <mergeCell ref="R5847:T5847"/>
    <mergeCell ref="R5848:T5848"/>
    <mergeCell ref="R5849:T5849"/>
    <mergeCell ref="R5850:T5850"/>
    <mergeCell ref="R5851:T5851"/>
    <mergeCell ref="R5852:T5852"/>
    <mergeCell ref="B5856:T5856"/>
    <mergeCell ref="AD5856:AF5856"/>
    <mergeCell ref="B5857:B5866"/>
    <mergeCell ref="C5857:K5857"/>
    <mergeCell ref="L5857:L5859"/>
    <mergeCell ref="M5857:Q5858"/>
    <mergeCell ref="R5857:S5859"/>
    <mergeCell ref="T5857:T5859"/>
    <mergeCell ref="C5858:E5858"/>
    <mergeCell ref="G5858:H5858"/>
    <mergeCell ref="I5858:K5858"/>
    <mergeCell ref="C5859:D5859"/>
    <mergeCell ref="M5859:P5859"/>
    <mergeCell ref="L5860:L5862"/>
    <mergeCell ref="M5860:Q5860"/>
    <mergeCell ref="R5860:T5861"/>
    <mergeCell ref="M5861:N5861"/>
    <mergeCell ref="P5861:Q5861"/>
    <mergeCell ref="M5862:N5862"/>
    <mergeCell ref="P5862:Q5862"/>
    <mergeCell ref="L5863:L5865"/>
    <mergeCell ref="M5863:Q5863"/>
    <mergeCell ref="M5864:N5864"/>
    <mergeCell ref="P5864:Q5864"/>
    <mergeCell ref="M5865:N5865"/>
    <mergeCell ref="P5865:Q5865"/>
    <mergeCell ref="C5866:G5866"/>
    <mergeCell ref="H5866:J5866"/>
    <mergeCell ref="L5866:Q5866"/>
    <mergeCell ref="AB5859:AB5860"/>
    <mergeCell ref="AC5859:AC5860"/>
    <mergeCell ref="AD5859:AD5860"/>
    <mergeCell ref="B5809:D5809"/>
    <mergeCell ref="B5810:B5811"/>
    <mergeCell ref="H5810:H5811"/>
    <mergeCell ref="I5810:I5811"/>
    <mergeCell ref="J5810:J5811"/>
    <mergeCell ref="K5810:K5811"/>
    <mergeCell ref="L5810:L5811"/>
    <mergeCell ref="M5810:M5811"/>
    <mergeCell ref="N5810:N5811"/>
    <mergeCell ref="O5810:P5810"/>
    <mergeCell ref="R5810:T5811"/>
    <mergeCell ref="U5810:U5811"/>
    <mergeCell ref="W5810:Y5810"/>
    <mergeCell ref="AD5810:AF5810"/>
    <mergeCell ref="R5813:T5813"/>
    <mergeCell ref="R5814:T5814"/>
    <mergeCell ref="R5815:T5815"/>
    <mergeCell ref="AA5810:AA5811"/>
    <mergeCell ref="AB5810:AB5811"/>
    <mergeCell ref="R5816:T5816"/>
    <mergeCell ref="R5817:T5817"/>
    <mergeCell ref="R5818:T5818"/>
    <mergeCell ref="R5819:T5819"/>
    <mergeCell ref="R5820:T5820"/>
    <mergeCell ref="R5821:T5821"/>
    <mergeCell ref="R5822:T5822"/>
    <mergeCell ref="B5826:T5826"/>
    <mergeCell ref="AD5826:AF5826"/>
    <mergeCell ref="B5827:B5836"/>
    <mergeCell ref="C5827:K5827"/>
    <mergeCell ref="L5827:L5829"/>
    <mergeCell ref="M5827:Q5828"/>
    <mergeCell ref="R5827:S5829"/>
    <mergeCell ref="T5827:T5829"/>
    <mergeCell ref="C5828:E5828"/>
    <mergeCell ref="G5828:H5828"/>
    <mergeCell ref="I5828:K5828"/>
    <mergeCell ref="C5829:D5829"/>
    <mergeCell ref="M5829:P5829"/>
    <mergeCell ref="L5830:L5832"/>
    <mergeCell ref="M5830:Q5830"/>
    <mergeCell ref="R5830:T5831"/>
    <mergeCell ref="M5831:N5831"/>
    <mergeCell ref="P5831:Q5831"/>
    <mergeCell ref="M5832:N5832"/>
    <mergeCell ref="P5832:Q5832"/>
    <mergeCell ref="L5833:L5835"/>
    <mergeCell ref="M5833:Q5833"/>
    <mergeCell ref="M5834:N5834"/>
    <mergeCell ref="P5834:Q5834"/>
    <mergeCell ref="M5835:N5835"/>
    <mergeCell ref="P5835:Q5835"/>
    <mergeCell ref="C5836:G5836"/>
    <mergeCell ref="H5836:J5836"/>
    <mergeCell ref="L5836:Q5836"/>
    <mergeCell ref="AB5829:AB5830"/>
    <mergeCell ref="AC5829:AC5830"/>
    <mergeCell ref="AD5829:AD5830"/>
    <mergeCell ref="B5779:D5779"/>
    <mergeCell ref="B5780:B5781"/>
    <mergeCell ref="H5780:H5781"/>
    <mergeCell ref="I5780:I5781"/>
    <mergeCell ref="J5780:J5781"/>
    <mergeCell ref="K5780:K5781"/>
    <mergeCell ref="L5780:L5781"/>
    <mergeCell ref="M5780:M5781"/>
    <mergeCell ref="N5780:N5781"/>
    <mergeCell ref="O5780:P5780"/>
    <mergeCell ref="R5780:T5781"/>
    <mergeCell ref="U5780:U5781"/>
    <mergeCell ref="W5780:Y5780"/>
    <mergeCell ref="AD5780:AF5780"/>
    <mergeCell ref="R5783:T5783"/>
    <mergeCell ref="R5784:T5784"/>
    <mergeCell ref="R5785:T5785"/>
    <mergeCell ref="AA5780:AA5781"/>
    <mergeCell ref="AB5780:AB5781"/>
    <mergeCell ref="R5786:T5786"/>
    <mergeCell ref="R5787:T5787"/>
    <mergeCell ref="R5788:T5788"/>
    <mergeCell ref="R5789:T5789"/>
    <mergeCell ref="R5790:T5790"/>
    <mergeCell ref="R5791:T5791"/>
    <mergeCell ref="R5792:T5792"/>
    <mergeCell ref="B5796:T5796"/>
    <mergeCell ref="AD5796:AF5796"/>
    <mergeCell ref="B5797:B5806"/>
    <mergeCell ref="C5797:K5797"/>
    <mergeCell ref="L5797:L5799"/>
    <mergeCell ref="M5797:Q5798"/>
    <mergeCell ref="R5797:S5799"/>
    <mergeCell ref="T5797:T5799"/>
    <mergeCell ref="C5798:E5798"/>
    <mergeCell ref="G5798:H5798"/>
    <mergeCell ref="I5798:K5798"/>
    <mergeCell ref="C5799:D5799"/>
    <mergeCell ref="M5799:P5799"/>
    <mergeCell ref="L5800:L5802"/>
    <mergeCell ref="M5800:Q5800"/>
    <mergeCell ref="R5800:T5801"/>
    <mergeCell ref="M5801:N5801"/>
    <mergeCell ref="P5801:Q5801"/>
    <mergeCell ref="M5802:N5802"/>
    <mergeCell ref="P5802:Q5802"/>
    <mergeCell ref="L5803:L5805"/>
    <mergeCell ref="M5803:Q5803"/>
    <mergeCell ref="M5804:N5804"/>
    <mergeCell ref="P5804:Q5804"/>
    <mergeCell ref="M5805:N5805"/>
    <mergeCell ref="P5805:Q5805"/>
    <mergeCell ref="C5806:G5806"/>
    <mergeCell ref="H5806:J5806"/>
    <mergeCell ref="L5806:Q5806"/>
    <mergeCell ref="AB5799:AB5800"/>
    <mergeCell ref="AC5799:AC5800"/>
    <mergeCell ref="AD5799:AD5800"/>
    <mergeCell ref="B5749:D5749"/>
    <mergeCell ref="B5750:B5751"/>
    <mergeCell ref="H5750:H5751"/>
    <mergeCell ref="I5750:I5751"/>
    <mergeCell ref="J5750:J5751"/>
    <mergeCell ref="K5750:K5751"/>
    <mergeCell ref="L5750:L5751"/>
    <mergeCell ref="M5750:M5751"/>
    <mergeCell ref="N5750:N5751"/>
    <mergeCell ref="O5750:P5750"/>
    <mergeCell ref="R5750:T5751"/>
    <mergeCell ref="U5750:U5751"/>
    <mergeCell ref="W5750:Y5750"/>
    <mergeCell ref="AD5750:AF5750"/>
    <mergeCell ref="R5753:T5753"/>
    <mergeCell ref="R5754:T5754"/>
    <mergeCell ref="R5755:T5755"/>
    <mergeCell ref="AA5750:AA5751"/>
    <mergeCell ref="AB5750:AB5751"/>
    <mergeCell ref="R5756:T5756"/>
    <mergeCell ref="R5757:T5757"/>
    <mergeCell ref="R5758:T5758"/>
    <mergeCell ref="R5759:T5759"/>
    <mergeCell ref="R5760:T5760"/>
    <mergeCell ref="R5761:T5761"/>
    <mergeCell ref="R5762:T5762"/>
    <mergeCell ref="B5766:T5766"/>
    <mergeCell ref="AD5766:AF5766"/>
    <mergeCell ref="B5767:B5776"/>
    <mergeCell ref="C5767:K5767"/>
    <mergeCell ref="L5767:L5769"/>
    <mergeCell ref="M5767:Q5768"/>
    <mergeCell ref="R5767:S5769"/>
    <mergeCell ref="T5767:T5769"/>
    <mergeCell ref="C5768:E5768"/>
    <mergeCell ref="G5768:H5768"/>
    <mergeCell ref="I5768:K5768"/>
    <mergeCell ref="C5769:D5769"/>
    <mergeCell ref="M5769:P5769"/>
    <mergeCell ref="L5770:L5772"/>
    <mergeCell ref="M5770:Q5770"/>
    <mergeCell ref="R5770:T5771"/>
    <mergeCell ref="M5771:N5771"/>
    <mergeCell ref="P5771:Q5771"/>
    <mergeCell ref="M5772:N5772"/>
    <mergeCell ref="P5772:Q5772"/>
    <mergeCell ref="L5773:L5775"/>
    <mergeCell ref="M5773:Q5773"/>
    <mergeCell ref="M5774:N5774"/>
    <mergeCell ref="P5774:Q5774"/>
    <mergeCell ref="M5775:N5775"/>
    <mergeCell ref="P5775:Q5775"/>
    <mergeCell ref="C5776:G5776"/>
    <mergeCell ref="H5776:J5776"/>
    <mergeCell ref="L5776:Q5776"/>
    <mergeCell ref="AB5769:AB5770"/>
    <mergeCell ref="AC5769:AC5770"/>
    <mergeCell ref="AD5769:AD5770"/>
    <mergeCell ref="B5719:D5719"/>
    <mergeCell ref="B5720:B5721"/>
    <mergeCell ref="H5720:H5721"/>
    <mergeCell ref="I5720:I5721"/>
    <mergeCell ref="J5720:J5721"/>
    <mergeCell ref="K5720:K5721"/>
    <mergeCell ref="L5720:L5721"/>
    <mergeCell ref="M5720:M5721"/>
    <mergeCell ref="N5720:N5721"/>
    <mergeCell ref="O5720:P5720"/>
    <mergeCell ref="R5720:T5721"/>
    <mergeCell ref="U5720:U5721"/>
    <mergeCell ref="W5720:Y5720"/>
    <mergeCell ref="AD5720:AF5720"/>
    <mergeCell ref="R5723:T5723"/>
    <mergeCell ref="R5724:T5724"/>
    <mergeCell ref="R5725:T5725"/>
    <mergeCell ref="AA5720:AA5721"/>
    <mergeCell ref="AB5720:AB5721"/>
    <mergeCell ref="R5726:T5726"/>
    <mergeCell ref="R5727:T5727"/>
    <mergeCell ref="R5728:T5728"/>
    <mergeCell ref="R5729:T5729"/>
    <mergeCell ref="R5730:T5730"/>
    <mergeCell ref="R5731:T5731"/>
    <mergeCell ref="R5732:T5732"/>
    <mergeCell ref="B5736:T5736"/>
    <mergeCell ref="AD5736:AF5736"/>
    <mergeCell ref="B5737:B5746"/>
    <mergeCell ref="C5737:K5737"/>
    <mergeCell ref="L5737:L5739"/>
    <mergeCell ref="M5737:Q5738"/>
    <mergeCell ref="R5737:S5739"/>
    <mergeCell ref="T5737:T5739"/>
    <mergeCell ref="C5738:E5738"/>
    <mergeCell ref="G5738:H5738"/>
    <mergeCell ref="I5738:K5738"/>
    <mergeCell ref="C5739:D5739"/>
    <mergeCell ref="M5739:P5739"/>
    <mergeCell ref="L5740:L5742"/>
    <mergeCell ref="M5740:Q5740"/>
    <mergeCell ref="R5740:T5741"/>
    <mergeCell ref="M5741:N5741"/>
    <mergeCell ref="P5741:Q5741"/>
    <mergeCell ref="M5742:N5742"/>
    <mergeCell ref="P5742:Q5742"/>
    <mergeCell ref="L5743:L5745"/>
    <mergeCell ref="M5743:Q5743"/>
    <mergeCell ref="M5744:N5744"/>
    <mergeCell ref="P5744:Q5744"/>
    <mergeCell ref="M5745:N5745"/>
    <mergeCell ref="P5745:Q5745"/>
    <mergeCell ref="C5746:G5746"/>
    <mergeCell ref="H5746:J5746"/>
    <mergeCell ref="L5746:Q5746"/>
    <mergeCell ref="B5689:D5689"/>
    <mergeCell ref="B5690:B5691"/>
    <mergeCell ref="H5690:H5691"/>
    <mergeCell ref="I5690:I5691"/>
    <mergeCell ref="J5690:J5691"/>
    <mergeCell ref="K5690:K5691"/>
    <mergeCell ref="L5690:L5691"/>
    <mergeCell ref="M5690:M5691"/>
    <mergeCell ref="N5690:N5691"/>
    <mergeCell ref="O5690:P5690"/>
    <mergeCell ref="R5690:T5691"/>
    <mergeCell ref="U5690:U5691"/>
    <mergeCell ref="W5690:Y5690"/>
    <mergeCell ref="AD5690:AF5690"/>
    <mergeCell ref="R5693:T5693"/>
    <mergeCell ref="R5694:T5694"/>
    <mergeCell ref="R5695:T5695"/>
    <mergeCell ref="AA5690:AA5691"/>
    <mergeCell ref="AB5690:AB5691"/>
    <mergeCell ref="R5696:T5696"/>
    <mergeCell ref="R5697:T5697"/>
    <mergeCell ref="R5698:T5698"/>
    <mergeCell ref="R5699:T5699"/>
    <mergeCell ref="R5700:T5700"/>
    <mergeCell ref="R5701:T5701"/>
    <mergeCell ref="R5702:T5702"/>
    <mergeCell ref="B5706:T5706"/>
    <mergeCell ref="AD5706:AF5706"/>
    <mergeCell ref="B5707:B5716"/>
    <mergeCell ref="C5707:K5707"/>
    <mergeCell ref="L5707:L5709"/>
    <mergeCell ref="M5707:Q5708"/>
    <mergeCell ref="R5707:S5709"/>
    <mergeCell ref="T5707:T5709"/>
    <mergeCell ref="C5708:E5708"/>
    <mergeCell ref="G5708:H5708"/>
    <mergeCell ref="I5708:K5708"/>
    <mergeCell ref="C5709:D5709"/>
    <mergeCell ref="M5709:P5709"/>
    <mergeCell ref="L5710:L5712"/>
    <mergeCell ref="M5710:Q5710"/>
    <mergeCell ref="R5710:T5711"/>
    <mergeCell ref="M5711:N5711"/>
    <mergeCell ref="P5711:Q5711"/>
    <mergeCell ref="M5712:N5712"/>
    <mergeCell ref="P5712:Q5712"/>
    <mergeCell ref="L5713:L5715"/>
    <mergeCell ref="M5713:Q5713"/>
    <mergeCell ref="M5714:N5714"/>
    <mergeCell ref="P5714:Q5714"/>
    <mergeCell ref="M5715:N5715"/>
    <mergeCell ref="P5715:Q5715"/>
    <mergeCell ref="C5716:G5716"/>
    <mergeCell ref="H5716:J5716"/>
    <mergeCell ref="L5716:Q5716"/>
    <mergeCell ref="AB5709:AB5710"/>
    <mergeCell ref="AC5709:AC5710"/>
    <mergeCell ref="AD5709:AD5710"/>
    <mergeCell ref="B5659:D5659"/>
    <mergeCell ref="B5660:B5661"/>
    <mergeCell ref="H5660:H5661"/>
    <mergeCell ref="I5660:I5661"/>
    <mergeCell ref="J5660:J5661"/>
    <mergeCell ref="K5660:K5661"/>
    <mergeCell ref="L5660:L5661"/>
    <mergeCell ref="M5660:M5661"/>
    <mergeCell ref="N5660:N5661"/>
    <mergeCell ref="O5660:P5660"/>
    <mergeCell ref="R5660:T5661"/>
    <mergeCell ref="U5660:U5661"/>
    <mergeCell ref="W5660:Y5660"/>
    <mergeCell ref="AD5660:AF5660"/>
    <mergeCell ref="R5663:T5663"/>
    <mergeCell ref="R5664:T5664"/>
    <mergeCell ref="R5665:T5665"/>
    <mergeCell ref="AA5660:AA5661"/>
    <mergeCell ref="AB5660:AB5661"/>
    <mergeCell ref="R5666:T5666"/>
    <mergeCell ref="R5667:T5667"/>
    <mergeCell ref="R5668:T5668"/>
    <mergeCell ref="R5669:T5669"/>
    <mergeCell ref="R5670:T5670"/>
    <mergeCell ref="R5671:T5671"/>
    <mergeCell ref="R5672:T5672"/>
    <mergeCell ref="B5676:T5676"/>
    <mergeCell ref="AD5676:AF5676"/>
    <mergeCell ref="B5677:B5686"/>
    <mergeCell ref="C5677:K5677"/>
    <mergeCell ref="L5677:L5679"/>
    <mergeCell ref="M5677:Q5678"/>
    <mergeCell ref="R5677:S5679"/>
    <mergeCell ref="T5677:T5679"/>
    <mergeCell ref="C5678:E5678"/>
    <mergeCell ref="G5678:H5678"/>
    <mergeCell ref="I5678:K5678"/>
    <mergeCell ref="C5679:D5679"/>
    <mergeCell ref="M5679:P5679"/>
    <mergeCell ref="L5680:L5682"/>
    <mergeCell ref="M5680:Q5680"/>
    <mergeCell ref="R5680:T5681"/>
    <mergeCell ref="M5681:N5681"/>
    <mergeCell ref="P5681:Q5681"/>
    <mergeCell ref="M5682:N5682"/>
    <mergeCell ref="P5682:Q5682"/>
    <mergeCell ref="L5683:L5685"/>
    <mergeCell ref="M5683:Q5683"/>
    <mergeCell ref="M5684:N5684"/>
    <mergeCell ref="P5684:Q5684"/>
    <mergeCell ref="M5685:N5685"/>
    <mergeCell ref="P5685:Q5685"/>
    <mergeCell ref="C5686:G5686"/>
    <mergeCell ref="H5686:J5686"/>
    <mergeCell ref="L5686:Q5686"/>
    <mergeCell ref="AB5679:AB5680"/>
    <mergeCell ref="AC5679:AC5680"/>
    <mergeCell ref="AD5679:AD5680"/>
    <mergeCell ref="B5629:D5629"/>
    <mergeCell ref="B5630:B5631"/>
    <mergeCell ref="H5630:H5631"/>
    <mergeCell ref="I5630:I5631"/>
    <mergeCell ref="J5630:J5631"/>
    <mergeCell ref="K5630:K5631"/>
    <mergeCell ref="L5630:L5631"/>
    <mergeCell ref="M5630:M5631"/>
    <mergeCell ref="N5630:N5631"/>
    <mergeCell ref="O5630:P5630"/>
    <mergeCell ref="R5630:T5631"/>
    <mergeCell ref="U5630:U5631"/>
    <mergeCell ref="W5630:Y5630"/>
    <mergeCell ref="AD5630:AF5630"/>
    <mergeCell ref="R5633:T5633"/>
    <mergeCell ref="R5634:T5634"/>
    <mergeCell ref="R5635:T5635"/>
    <mergeCell ref="AA5630:AA5631"/>
    <mergeCell ref="AB5630:AB5631"/>
    <mergeCell ref="R5636:T5636"/>
    <mergeCell ref="R5637:T5637"/>
    <mergeCell ref="R5638:T5638"/>
    <mergeCell ref="R5639:T5639"/>
    <mergeCell ref="R5640:T5640"/>
    <mergeCell ref="R5641:T5641"/>
    <mergeCell ref="R5642:T5642"/>
    <mergeCell ref="B5646:T5646"/>
    <mergeCell ref="AD5646:AF5646"/>
    <mergeCell ref="B5647:B5656"/>
    <mergeCell ref="C5647:K5647"/>
    <mergeCell ref="L5647:L5649"/>
    <mergeCell ref="M5647:Q5648"/>
    <mergeCell ref="R5647:S5649"/>
    <mergeCell ref="T5647:T5649"/>
    <mergeCell ref="C5648:E5648"/>
    <mergeCell ref="G5648:H5648"/>
    <mergeCell ref="I5648:K5648"/>
    <mergeCell ref="C5649:D5649"/>
    <mergeCell ref="M5649:P5649"/>
    <mergeCell ref="L5650:L5652"/>
    <mergeCell ref="M5650:Q5650"/>
    <mergeCell ref="R5650:T5651"/>
    <mergeCell ref="M5651:N5651"/>
    <mergeCell ref="P5651:Q5651"/>
    <mergeCell ref="M5652:N5652"/>
    <mergeCell ref="P5652:Q5652"/>
    <mergeCell ref="L5653:L5655"/>
    <mergeCell ref="M5653:Q5653"/>
    <mergeCell ref="M5654:N5654"/>
    <mergeCell ref="P5654:Q5654"/>
    <mergeCell ref="M5655:N5655"/>
    <mergeCell ref="P5655:Q5655"/>
    <mergeCell ref="C5656:G5656"/>
    <mergeCell ref="H5656:J5656"/>
    <mergeCell ref="L5656:Q5656"/>
    <mergeCell ref="AB5649:AB5650"/>
    <mergeCell ref="AC5649:AC5650"/>
    <mergeCell ref="AD5649:AD5650"/>
    <mergeCell ref="B5599:D5599"/>
    <mergeCell ref="B5600:B5601"/>
    <mergeCell ref="H5600:H5601"/>
    <mergeCell ref="I5600:I5601"/>
    <mergeCell ref="J5600:J5601"/>
    <mergeCell ref="K5600:K5601"/>
    <mergeCell ref="L5600:L5601"/>
    <mergeCell ref="M5600:M5601"/>
    <mergeCell ref="N5600:N5601"/>
    <mergeCell ref="O5600:P5600"/>
    <mergeCell ref="R5600:T5601"/>
    <mergeCell ref="U5600:U5601"/>
    <mergeCell ref="W5600:Y5600"/>
    <mergeCell ref="AD5600:AF5600"/>
    <mergeCell ref="R5603:T5603"/>
    <mergeCell ref="R5604:T5604"/>
    <mergeCell ref="R5605:T5605"/>
    <mergeCell ref="AA5600:AA5601"/>
    <mergeCell ref="AB5600:AB5601"/>
    <mergeCell ref="R5606:T5606"/>
    <mergeCell ref="R5607:T5607"/>
    <mergeCell ref="R5608:T5608"/>
    <mergeCell ref="R5609:T5609"/>
    <mergeCell ref="R5610:T5610"/>
    <mergeCell ref="R5611:T5611"/>
    <mergeCell ref="R5612:T5612"/>
    <mergeCell ref="B5616:T5616"/>
    <mergeCell ref="AD5616:AF5616"/>
    <mergeCell ref="B5617:B5626"/>
    <mergeCell ref="C5617:K5617"/>
    <mergeCell ref="L5617:L5619"/>
    <mergeCell ref="M5617:Q5618"/>
    <mergeCell ref="R5617:S5619"/>
    <mergeCell ref="T5617:T5619"/>
    <mergeCell ref="C5618:E5618"/>
    <mergeCell ref="G5618:H5618"/>
    <mergeCell ref="I5618:K5618"/>
    <mergeCell ref="C5619:D5619"/>
    <mergeCell ref="M5619:P5619"/>
    <mergeCell ref="L5620:L5622"/>
    <mergeCell ref="M5620:Q5620"/>
    <mergeCell ref="R5620:T5621"/>
    <mergeCell ref="M5621:N5621"/>
    <mergeCell ref="P5621:Q5621"/>
    <mergeCell ref="M5622:N5622"/>
    <mergeCell ref="P5622:Q5622"/>
    <mergeCell ref="L5623:L5625"/>
    <mergeCell ref="M5623:Q5623"/>
    <mergeCell ref="M5624:N5624"/>
    <mergeCell ref="P5624:Q5624"/>
    <mergeCell ref="M5625:N5625"/>
    <mergeCell ref="P5625:Q5625"/>
    <mergeCell ref="C5626:G5626"/>
    <mergeCell ref="H5626:J5626"/>
    <mergeCell ref="L5626:Q5626"/>
    <mergeCell ref="AB5619:AB5620"/>
    <mergeCell ref="AC5619:AC5620"/>
    <mergeCell ref="AD5619:AD5620"/>
    <mergeCell ref="B5569:D5569"/>
    <mergeCell ref="B5570:B5571"/>
    <mergeCell ref="H5570:H5571"/>
    <mergeCell ref="I5570:I5571"/>
    <mergeCell ref="J5570:J5571"/>
    <mergeCell ref="K5570:K5571"/>
    <mergeCell ref="L5570:L5571"/>
    <mergeCell ref="M5570:M5571"/>
    <mergeCell ref="N5570:N5571"/>
    <mergeCell ref="O5570:P5570"/>
    <mergeCell ref="R5570:T5571"/>
    <mergeCell ref="U5570:U5571"/>
    <mergeCell ref="W5570:Y5570"/>
    <mergeCell ref="AD5570:AF5570"/>
    <mergeCell ref="R5573:T5573"/>
    <mergeCell ref="R5574:T5574"/>
    <mergeCell ref="R5575:T5575"/>
    <mergeCell ref="AA5570:AA5571"/>
    <mergeCell ref="AB5570:AB5571"/>
    <mergeCell ref="R5576:T5576"/>
    <mergeCell ref="R5577:T5577"/>
    <mergeCell ref="R5578:T5578"/>
    <mergeCell ref="R5579:T5579"/>
    <mergeCell ref="R5580:T5580"/>
    <mergeCell ref="R5581:T5581"/>
    <mergeCell ref="R5582:T5582"/>
    <mergeCell ref="B5586:T5586"/>
    <mergeCell ref="AD5586:AF5586"/>
    <mergeCell ref="B5587:B5596"/>
    <mergeCell ref="C5587:K5587"/>
    <mergeCell ref="L5587:L5589"/>
    <mergeCell ref="M5587:Q5588"/>
    <mergeCell ref="R5587:S5589"/>
    <mergeCell ref="T5587:T5589"/>
    <mergeCell ref="C5588:E5588"/>
    <mergeCell ref="G5588:H5588"/>
    <mergeCell ref="I5588:K5588"/>
    <mergeCell ref="C5589:D5589"/>
    <mergeCell ref="M5589:P5589"/>
    <mergeCell ref="L5590:L5592"/>
    <mergeCell ref="M5590:Q5590"/>
    <mergeCell ref="R5590:T5591"/>
    <mergeCell ref="M5591:N5591"/>
    <mergeCell ref="P5591:Q5591"/>
    <mergeCell ref="M5592:N5592"/>
    <mergeCell ref="P5592:Q5592"/>
    <mergeCell ref="L5593:L5595"/>
    <mergeCell ref="M5593:Q5593"/>
    <mergeCell ref="M5594:N5594"/>
    <mergeCell ref="P5594:Q5594"/>
    <mergeCell ref="M5595:N5595"/>
    <mergeCell ref="P5595:Q5595"/>
    <mergeCell ref="C5596:G5596"/>
    <mergeCell ref="H5596:J5596"/>
    <mergeCell ref="L5596:Q5596"/>
    <mergeCell ref="AB5589:AB5590"/>
    <mergeCell ref="AC5589:AC5590"/>
    <mergeCell ref="AD5589:AD5590"/>
    <mergeCell ref="B5539:D5539"/>
    <mergeCell ref="B5540:B5541"/>
    <mergeCell ref="H5540:H5541"/>
    <mergeCell ref="I5540:I5541"/>
    <mergeCell ref="J5540:J5541"/>
    <mergeCell ref="K5540:K5541"/>
    <mergeCell ref="L5540:L5541"/>
    <mergeCell ref="M5540:M5541"/>
    <mergeCell ref="N5540:N5541"/>
    <mergeCell ref="O5540:P5540"/>
    <mergeCell ref="R5540:T5541"/>
    <mergeCell ref="U5540:U5541"/>
    <mergeCell ref="W5540:Y5540"/>
    <mergeCell ref="AD5540:AF5540"/>
    <mergeCell ref="R5543:T5543"/>
    <mergeCell ref="R5544:T5544"/>
    <mergeCell ref="R5545:T5545"/>
    <mergeCell ref="AA5540:AA5541"/>
    <mergeCell ref="AB5540:AB5541"/>
    <mergeCell ref="R5546:T5546"/>
    <mergeCell ref="R5547:T5547"/>
    <mergeCell ref="R5548:T5548"/>
    <mergeCell ref="R5549:T5549"/>
    <mergeCell ref="R5550:T5550"/>
    <mergeCell ref="R5551:T5551"/>
    <mergeCell ref="R5552:T5552"/>
    <mergeCell ref="B5556:T5556"/>
    <mergeCell ref="AD5556:AF5556"/>
    <mergeCell ref="B5557:B5566"/>
    <mergeCell ref="C5557:K5557"/>
    <mergeCell ref="L5557:L5559"/>
    <mergeCell ref="M5557:Q5558"/>
    <mergeCell ref="R5557:S5559"/>
    <mergeCell ref="T5557:T5559"/>
    <mergeCell ref="C5558:E5558"/>
    <mergeCell ref="G5558:H5558"/>
    <mergeCell ref="I5558:K5558"/>
    <mergeCell ref="C5559:D5559"/>
    <mergeCell ref="M5559:P5559"/>
    <mergeCell ref="L5560:L5562"/>
    <mergeCell ref="M5560:Q5560"/>
    <mergeCell ref="R5560:T5561"/>
    <mergeCell ref="M5561:N5561"/>
    <mergeCell ref="P5561:Q5561"/>
    <mergeCell ref="M5562:N5562"/>
    <mergeCell ref="P5562:Q5562"/>
    <mergeCell ref="L5563:L5565"/>
    <mergeCell ref="M5563:Q5563"/>
    <mergeCell ref="M5564:N5564"/>
    <mergeCell ref="P5564:Q5564"/>
    <mergeCell ref="M5565:N5565"/>
    <mergeCell ref="P5565:Q5565"/>
    <mergeCell ref="C5566:G5566"/>
    <mergeCell ref="H5566:J5566"/>
    <mergeCell ref="L5566:Q5566"/>
    <mergeCell ref="AB5559:AB5560"/>
    <mergeCell ref="AC5559:AC5560"/>
    <mergeCell ref="AD5559:AD5560"/>
    <mergeCell ref="B5509:D5509"/>
    <mergeCell ref="B5510:B5511"/>
    <mergeCell ref="H5510:H5511"/>
    <mergeCell ref="I5510:I5511"/>
    <mergeCell ref="J5510:J5511"/>
    <mergeCell ref="K5510:K5511"/>
    <mergeCell ref="L5510:L5511"/>
    <mergeCell ref="M5510:M5511"/>
    <mergeCell ref="N5510:N5511"/>
    <mergeCell ref="O5510:P5510"/>
    <mergeCell ref="R5510:T5511"/>
    <mergeCell ref="U5510:U5511"/>
    <mergeCell ref="W5510:Y5510"/>
    <mergeCell ref="AD5510:AF5510"/>
    <mergeCell ref="R5513:T5513"/>
    <mergeCell ref="R5514:T5514"/>
    <mergeCell ref="R5515:T5515"/>
    <mergeCell ref="AA5510:AA5511"/>
    <mergeCell ref="AB5510:AB5511"/>
    <mergeCell ref="R5516:T5516"/>
    <mergeCell ref="R5517:T5517"/>
    <mergeCell ref="R5518:T5518"/>
    <mergeCell ref="R5519:T5519"/>
    <mergeCell ref="R5520:T5520"/>
    <mergeCell ref="R5521:T5521"/>
    <mergeCell ref="R5522:T5522"/>
    <mergeCell ref="B5526:T5526"/>
    <mergeCell ref="AD5526:AF5526"/>
    <mergeCell ref="B5527:B5536"/>
    <mergeCell ref="C5527:K5527"/>
    <mergeCell ref="L5527:L5529"/>
    <mergeCell ref="M5527:Q5528"/>
    <mergeCell ref="R5527:S5529"/>
    <mergeCell ref="T5527:T5529"/>
    <mergeCell ref="C5528:E5528"/>
    <mergeCell ref="G5528:H5528"/>
    <mergeCell ref="I5528:K5528"/>
    <mergeCell ref="C5529:D5529"/>
    <mergeCell ref="M5529:P5529"/>
    <mergeCell ref="L5530:L5532"/>
    <mergeCell ref="M5530:Q5530"/>
    <mergeCell ref="R5530:T5531"/>
    <mergeCell ref="M5531:N5531"/>
    <mergeCell ref="P5531:Q5531"/>
    <mergeCell ref="M5532:N5532"/>
    <mergeCell ref="P5532:Q5532"/>
    <mergeCell ref="L5533:L5535"/>
    <mergeCell ref="M5533:Q5533"/>
    <mergeCell ref="M5534:N5534"/>
    <mergeCell ref="P5534:Q5534"/>
    <mergeCell ref="M5535:N5535"/>
    <mergeCell ref="P5535:Q5535"/>
    <mergeCell ref="C5536:G5536"/>
    <mergeCell ref="H5536:J5536"/>
    <mergeCell ref="L5536:Q5536"/>
    <mergeCell ref="AB5529:AB5530"/>
    <mergeCell ref="AC5529:AC5530"/>
    <mergeCell ref="AD5529:AD5530"/>
    <mergeCell ref="B5479:D5479"/>
    <mergeCell ref="B5480:B5481"/>
    <mergeCell ref="H5480:H5481"/>
    <mergeCell ref="I5480:I5481"/>
    <mergeCell ref="J5480:J5481"/>
    <mergeCell ref="K5480:K5481"/>
    <mergeCell ref="L5480:L5481"/>
    <mergeCell ref="M5480:M5481"/>
    <mergeCell ref="N5480:N5481"/>
    <mergeCell ref="O5480:P5480"/>
    <mergeCell ref="R5480:T5481"/>
    <mergeCell ref="U5480:U5481"/>
    <mergeCell ref="W5480:Y5480"/>
    <mergeCell ref="AD5480:AF5480"/>
    <mergeCell ref="R5483:T5483"/>
    <mergeCell ref="R5484:T5484"/>
    <mergeCell ref="R5485:T5485"/>
    <mergeCell ref="AA5480:AA5481"/>
    <mergeCell ref="AB5480:AB5481"/>
    <mergeCell ref="R5486:T5486"/>
    <mergeCell ref="R5487:T5487"/>
    <mergeCell ref="R5488:T5488"/>
    <mergeCell ref="R5489:T5489"/>
    <mergeCell ref="R5490:T5490"/>
    <mergeCell ref="R5491:T5491"/>
    <mergeCell ref="R5492:T5492"/>
    <mergeCell ref="B5496:T5496"/>
    <mergeCell ref="AD5496:AF5496"/>
    <mergeCell ref="B5497:B5506"/>
    <mergeCell ref="C5497:K5497"/>
    <mergeCell ref="L5497:L5499"/>
    <mergeCell ref="M5497:Q5498"/>
    <mergeCell ref="R5497:S5499"/>
    <mergeCell ref="T5497:T5499"/>
    <mergeCell ref="C5498:E5498"/>
    <mergeCell ref="G5498:H5498"/>
    <mergeCell ref="I5498:K5498"/>
    <mergeCell ref="C5499:D5499"/>
    <mergeCell ref="M5499:P5499"/>
    <mergeCell ref="L5500:L5502"/>
    <mergeCell ref="M5500:Q5500"/>
    <mergeCell ref="R5500:T5501"/>
    <mergeCell ref="M5501:N5501"/>
    <mergeCell ref="P5501:Q5501"/>
    <mergeCell ref="M5502:N5502"/>
    <mergeCell ref="P5502:Q5502"/>
    <mergeCell ref="L5503:L5505"/>
    <mergeCell ref="M5503:Q5503"/>
    <mergeCell ref="M5504:N5504"/>
    <mergeCell ref="P5504:Q5504"/>
    <mergeCell ref="M5505:N5505"/>
    <mergeCell ref="P5505:Q5505"/>
    <mergeCell ref="C5506:G5506"/>
    <mergeCell ref="H5506:J5506"/>
    <mergeCell ref="L5506:Q5506"/>
    <mergeCell ref="AB5499:AB5500"/>
    <mergeCell ref="AC5499:AC5500"/>
    <mergeCell ref="AD5499:AD5500"/>
    <mergeCell ref="B5449:D5449"/>
    <mergeCell ref="B5450:B5451"/>
    <mergeCell ref="H5450:H5451"/>
    <mergeCell ref="I5450:I5451"/>
    <mergeCell ref="J5450:J5451"/>
    <mergeCell ref="K5450:K5451"/>
    <mergeCell ref="L5450:L5451"/>
    <mergeCell ref="M5450:M5451"/>
    <mergeCell ref="N5450:N5451"/>
    <mergeCell ref="O5450:P5450"/>
    <mergeCell ref="R5450:T5451"/>
    <mergeCell ref="U5450:U5451"/>
    <mergeCell ref="W5450:Y5450"/>
    <mergeCell ref="AD5450:AF5450"/>
    <mergeCell ref="R5453:T5453"/>
    <mergeCell ref="R5454:T5454"/>
    <mergeCell ref="R5455:T5455"/>
    <mergeCell ref="AA5450:AA5451"/>
    <mergeCell ref="AB5450:AB5451"/>
    <mergeCell ref="R5456:T5456"/>
    <mergeCell ref="R5457:T5457"/>
    <mergeCell ref="R5458:T5458"/>
    <mergeCell ref="R5459:T5459"/>
    <mergeCell ref="R5460:T5460"/>
    <mergeCell ref="R5461:T5461"/>
    <mergeCell ref="R5462:T5462"/>
    <mergeCell ref="B5466:T5466"/>
    <mergeCell ref="AD5466:AF5466"/>
    <mergeCell ref="B5467:B5476"/>
    <mergeCell ref="C5467:K5467"/>
    <mergeCell ref="L5467:L5469"/>
    <mergeCell ref="M5467:Q5468"/>
    <mergeCell ref="R5467:S5469"/>
    <mergeCell ref="T5467:T5469"/>
    <mergeCell ref="C5468:E5468"/>
    <mergeCell ref="G5468:H5468"/>
    <mergeCell ref="I5468:K5468"/>
    <mergeCell ref="C5469:D5469"/>
    <mergeCell ref="M5469:P5469"/>
    <mergeCell ref="L5470:L5472"/>
    <mergeCell ref="M5470:Q5470"/>
    <mergeCell ref="R5470:T5471"/>
    <mergeCell ref="M5471:N5471"/>
    <mergeCell ref="P5471:Q5471"/>
    <mergeCell ref="M5472:N5472"/>
    <mergeCell ref="P5472:Q5472"/>
    <mergeCell ref="L5473:L5475"/>
    <mergeCell ref="M5473:Q5473"/>
    <mergeCell ref="M5474:N5474"/>
    <mergeCell ref="P5474:Q5474"/>
    <mergeCell ref="M5475:N5475"/>
    <mergeCell ref="P5475:Q5475"/>
    <mergeCell ref="C5476:G5476"/>
    <mergeCell ref="H5476:J5476"/>
    <mergeCell ref="L5476:Q5476"/>
    <mergeCell ref="AB5469:AB5470"/>
    <mergeCell ref="AC5469:AC5470"/>
    <mergeCell ref="AD5469:AD5470"/>
    <mergeCell ref="B5419:D5419"/>
    <mergeCell ref="B5420:B5421"/>
    <mergeCell ref="H5420:H5421"/>
    <mergeCell ref="I5420:I5421"/>
    <mergeCell ref="J5420:J5421"/>
    <mergeCell ref="K5420:K5421"/>
    <mergeCell ref="L5420:L5421"/>
    <mergeCell ref="M5420:M5421"/>
    <mergeCell ref="N5420:N5421"/>
    <mergeCell ref="O5420:P5420"/>
    <mergeCell ref="R5420:T5421"/>
    <mergeCell ref="U5420:U5421"/>
    <mergeCell ref="W5420:Y5420"/>
    <mergeCell ref="AD5420:AF5420"/>
    <mergeCell ref="R5423:T5423"/>
    <mergeCell ref="R5424:T5424"/>
    <mergeCell ref="R5425:T5425"/>
    <mergeCell ref="AA5420:AA5421"/>
    <mergeCell ref="AB5420:AB5421"/>
    <mergeCell ref="R5426:T5426"/>
    <mergeCell ref="R5427:T5427"/>
    <mergeCell ref="R5428:T5428"/>
    <mergeCell ref="R5429:T5429"/>
    <mergeCell ref="R5430:T5430"/>
    <mergeCell ref="R5431:T5431"/>
    <mergeCell ref="R5432:T5432"/>
    <mergeCell ref="B5436:T5436"/>
    <mergeCell ref="AD5436:AF5436"/>
    <mergeCell ref="B5437:B5446"/>
    <mergeCell ref="C5437:K5437"/>
    <mergeCell ref="L5437:L5439"/>
    <mergeCell ref="M5437:Q5438"/>
    <mergeCell ref="R5437:S5439"/>
    <mergeCell ref="T5437:T5439"/>
    <mergeCell ref="C5438:E5438"/>
    <mergeCell ref="G5438:H5438"/>
    <mergeCell ref="I5438:K5438"/>
    <mergeCell ref="C5439:D5439"/>
    <mergeCell ref="M5439:P5439"/>
    <mergeCell ref="L5440:L5442"/>
    <mergeCell ref="M5440:Q5440"/>
    <mergeCell ref="R5440:T5441"/>
    <mergeCell ref="M5441:N5441"/>
    <mergeCell ref="P5441:Q5441"/>
    <mergeCell ref="M5442:N5442"/>
    <mergeCell ref="P5442:Q5442"/>
    <mergeCell ref="L5443:L5445"/>
    <mergeCell ref="M5443:Q5443"/>
    <mergeCell ref="M5444:N5444"/>
    <mergeCell ref="P5444:Q5444"/>
    <mergeCell ref="M5445:N5445"/>
    <mergeCell ref="P5445:Q5445"/>
    <mergeCell ref="C5446:G5446"/>
    <mergeCell ref="H5446:J5446"/>
    <mergeCell ref="L5446:Q5446"/>
    <mergeCell ref="AB5439:AB5440"/>
    <mergeCell ref="AC5439:AC5440"/>
    <mergeCell ref="AD5439:AD5440"/>
    <mergeCell ref="B5389:D5389"/>
    <mergeCell ref="B5390:B5391"/>
    <mergeCell ref="H5390:H5391"/>
    <mergeCell ref="I5390:I5391"/>
    <mergeCell ref="J5390:J5391"/>
    <mergeCell ref="K5390:K5391"/>
    <mergeCell ref="L5390:L5391"/>
    <mergeCell ref="M5390:M5391"/>
    <mergeCell ref="N5390:N5391"/>
    <mergeCell ref="O5390:P5390"/>
    <mergeCell ref="R5390:T5391"/>
    <mergeCell ref="U5390:U5391"/>
    <mergeCell ref="W5390:Y5390"/>
    <mergeCell ref="AD5390:AF5390"/>
    <mergeCell ref="R5393:T5393"/>
    <mergeCell ref="R5394:T5394"/>
    <mergeCell ref="R5395:T5395"/>
    <mergeCell ref="AA5390:AA5391"/>
    <mergeCell ref="AB5390:AB5391"/>
    <mergeCell ref="R5396:T5396"/>
    <mergeCell ref="R5397:T5397"/>
    <mergeCell ref="R5398:T5398"/>
    <mergeCell ref="R5399:T5399"/>
    <mergeCell ref="R5400:T5400"/>
    <mergeCell ref="R5401:T5401"/>
    <mergeCell ref="R5402:T5402"/>
    <mergeCell ref="B5406:T5406"/>
    <mergeCell ref="AD5406:AF5406"/>
    <mergeCell ref="B5407:B5416"/>
    <mergeCell ref="C5407:K5407"/>
    <mergeCell ref="L5407:L5409"/>
    <mergeCell ref="M5407:Q5408"/>
    <mergeCell ref="R5407:S5409"/>
    <mergeCell ref="T5407:T5409"/>
    <mergeCell ref="C5408:E5408"/>
    <mergeCell ref="G5408:H5408"/>
    <mergeCell ref="I5408:K5408"/>
    <mergeCell ref="C5409:D5409"/>
    <mergeCell ref="M5409:P5409"/>
    <mergeCell ref="L5410:L5412"/>
    <mergeCell ref="M5410:Q5410"/>
    <mergeCell ref="R5410:T5411"/>
    <mergeCell ref="M5411:N5411"/>
    <mergeCell ref="P5411:Q5411"/>
    <mergeCell ref="M5412:N5412"/>
    <mergeCell ref="P5412:Q5412"/>
    <mergeCell ref="L5413:L5415"/>
    <mergeCell ref="M5413:Q5413"/>
    <mergeCell ref="M5414:N5414"/>
    <mergeCell ref="P5414:Q5414"/>
    <mergeCell ref="M5415:N5415"/>
    <mergeCell ref="P5415:Q5415"/>
    <mergeCell ref="C5416:G5416"/>
    <mergeCell ref="H5416:J5416"/>
    <mergeCell ref="L5416:Q5416"/>
    <mergeCell ref="AB5409:AB5410"/>
    <mergeCell ref="AC5409:AC5410"/>
    <mergeCell ref="AD5409:AD5410"/>
    <mergeCell ref="B5359:D5359"/>
    <mergeCell ref="B5360:B5361"/>
    <mergeCell ref="H5360:H5361"/>
    <mergeCell ref="I5360:I5361"/>
    <mergeCell ref="J5360:J5361"/>
    <mergeCell ref="K5360:K5361"/>
    <mergeCell ref="L5360:L5361"/>
    <mergeCell ref="M5360:M5361"/>
    <mergeCell ref="N5360:N5361"/>
    <mergeCell ref="O5360:P5360"/>
    <mergeCell ref="R5360:T5361"/>
    <mergeCell ref="U5360:U5361"/>
    <mergeCell ref="W5360:Y5360"/>
    <mergeCell ref="AD5360:AF5360"/>
    <mergeCell ref="R5363:T5363"/>
    <mergeCell ref="R5364:T5364"/>
    <mergeCell ref="R5365:T5365"/>
    <mergeCell ref="AA5360:AA5361"/>
    <mergeCell ref="AB5360:AB5361"/>
    <mergeCell ref="R5366:T5366"/>
    <mergeCell ref="R5367:T5367"/>
    <mergeCell ref="R5368:T5368"/>
    <mergeCell ref="R5369:T5369"/>
    <mergeCell ref="R5370:T5370"/>
    <mergeCell ref="R5371:T5371"/>
    <mergeCell ref="R5372:T5372"/>
    <mergeCell ref="B5376:T5376"/>
    <mergeCell ref="AD5376:AF5376"/>
    <mergeCell ref="B5377:B5386"/>
    <mergeCell ref="C5377:K5377"/>
    <mergeCell ref="L5377:L5379"/>
    <mergeCell ref="M5377:Q5378"/>
    <mergeCell ref="R5377:S5379"/>
    <mergeCell ref="T5377:T5379"/>
    <mergeCell ref="C5378:E5378"/>
    <mergeCell ref="G5378:H5378"/>
    <mergeCell ref="I5378:K5378"/>
    <mergeCell ref="C5379:D5379"/>
    <mergeCell ref="M5379:P5379"/>
    <mergeCell ref="L5380:L5382"/>
    <mergeCell ref="M5380:Q5380"/>
    <mergeCell ref="R5380:T5381"/>
    <mergeCell ref="M5381:N5381"/>
    <mergeCell ref="P5381:Q5381"/>
    <mergeCell ref="M5382:N5382"/>
    <mergeCell ref="P5382:Q5382"/>
    <mergeCell ref="L5383:L5385"/>
    <mergeCell ref="M5383:Q5383"/>
    <mergeCell ref="M5384:N5384"/>
    <mergeCell ref="P5384:Q5384"/>
    <mergeCell ref="M5385:N5385"/>
    <mergeCell ref="P5385:Q5385"/>
    <mergeCell ref="C5386:G5386"/>
    <mergeCell ref="H5386:J5386"/>
    <mergeCell ref="L5386:Q5386"/>
    <mergeCell ref="AB5379:AB5380"/>
    <mergeCell ref="AC5379:AC5380"/>
    <mergeCell ref="AD5379:AD5380"/>
    <mergeCell ref="B5329:D5329"/>
    <mergeCell ref="B5330:B5331"/>
    <mergeCell ref="H5330:H5331"/>
    <mergeCell ref="I5330:I5331"/>
    <mergeCell ref="J5330:J5331"/>
    <mergeCell ref="K5330:K5331"/>
    <mergeCell ref="L5330:L5331"/>
    <mergeCell ref="M5330:M5331"/>
    <mergeCell ref="N5330:N5331"/>
    <mergeCell ref="O5330:P5330"/>
    <mergeCell ref="R5330:T5331"/>
    <mergeCell ref="U5330:U5331"/>
    <mergeCell ref="W5330:Y5330"/>
    <mergeCell ref="AD5330:AF5330"/>
    <mergeCell ref="R5333:T5333"/>
    <mergeCell ref="R5334:T5334"/>
    <mergeCell ref="R5335:T5335"/>
    <mergeCell ref="AA5330:AA5331"/>
    <mergeCell ref="AB5330:AB5331"/>
    <mergeCell ref="R5336:T5336"/>
    <mergeCell ref="R5337:T5337"/>
    <mergeCell ref="R5338:T5338"/>
    <mergeCell ref="R5339:T5339"/>
    <mergeCell ref="R5340:T5340"/>
    <mergeCell ref="R5341:T5341"/>
    <mergeCell ref="R5342:T5342"/>
    <mergeCell ref="B5346:T5346"/>
    <mergeCell ref="AD5346:AF5346"/>
    <mergeCell ref="B5347:B5356"/>
    <mergeCell ref="C5347:K5347"/>
    <mergeCell ref="L5347:L5349"/>
    <mergeCell ref="M5347:Q5348"/>
    <mergeCell ref="R5347:S5349"/>
    <mergeCell ref="T5347:T5349"/>
    <mergeCell ref="C5348:E5348"/>
    <mergeCell ref="G5348:H5348"/>
    <mergeCell ref="I5348:K5348"/>
    <mergeCell ref="C5349:D5349"/>
    <mergeCell ref="M5349:P5349"/>
    <mergeCell ref="L5350:L5352"/>
    <mergeCell ref="M5350:Q5350"/>
    <mergeCell ref="R5350:T5351"/>
    <mergeCell ref="M5351:N5351"/>
    <mergeCell ref="P5351:Q5351"/>
    <mergeCell ref="M5352:N5352"/>
    <mergeCell ref="P5352:Q5352"/>
    <mergeCell ref="L5353:L5355"/>
    <mergeCell ref="M5353:Q5353"/>
    <mergeCell ref="M5354:N5354"/>
    <mergeCell ref="P5354:Q5354"/>
    <mergeCell ref="M5355:N5355"/>
    <mergeCell ref="P5355:Q5355"/>
    <mergeCell ref="C5356:G5356"/>
    <mergeCell ref="H5356:J5356"/>
    <mergeCell ref="L5356:Q5356"/>
    <mergeCell ref="AB5349:AB5350"/>
    <mergeCell ref="AC5349:AC5350"/>
    <mergeCell ref="AD5349:AD5350"/>
    <mergeCell ref="B5299:D5299"/>
    <mergeCell ref="B5300:B5301"/>
    <mergeCell ref="H5300:H5301"/>
    <mergeCell ref="I5300:I5301"/>
    <mergeCell ref="J5300:J5301"/>
    <mergeCell ref="K5300:K5301"/>
    <mergeCell ref="L5300:L5301"/>
    <mergeCell ref="M5300:M5301"/>
    <mergeCell ref="N5300:N5301"/>
    <mergeCell ref="O5300:P5300"/>
    <mergeCell ref="R5300:T5301"/>
    <mergeCell ref="U5300:U5301"/>
    <mergeCell ref="W5300:Y5300"/>
    <mergeCell ref="AD5300:AF5300"/>
    <mergeCell ref="R5303:T5303"/>
    <mergeCell ref="R5304:T5304"/>
    <mergeCell ref="R5305:T5305"/>
    <mergeCell ref="AA5300:AA5301"/>
    <mergeCell ref="AB5300:AB5301"/>
    <mergeCell ref="R5306:T5306"/>
    <mergeCell ref="R5307:T5307"/>
    <mergeCell ref="R5308:T5308"/>
    <mergeCell ref="R5309:T5309"/>
    <mergeCell ref="R5310:T5310"/>
    <mergeCell ref="R5311:T5311"/>
    <mergeCell ref="R5312:T5312"/>
    <mergeCell ref="B5316:T5316"/>
    <mergeCell ref="AD5316:AF5316"/>
    <mergeCell ref="B5317:B5326"/>
    <mergeCell ref="C5317:K5317"/>
    <mergeCell ref="L5317:L5319"/>
    <mergeCell ref="M5317:Q5318"/>
    <mergeCell ref="R5317:S5319"/>
    <mergeCell ref="T5317:T5319"/>
    <mergeCell ref="C5318:E5318"/>
    <mergeCell ref="G5318:H5318"/>
    <mergeCell ref="I5318:K5318"/>
    <mergeCell ref="C5319:D5319"/>
    <mergeCell ref="M5319:P5319"/>
    <mergeCell ref="L5320:L5322"/>
    <mergeCell ref="M5320:Q5320"/>
    <mergeCell ref="R5320:T5321"/>
    <mergeCell ref="M5321:N5321"/>
    <mergeCell ref="P5321:Q5321"/>
    <mergeCell ref="M5322:N5322"/>
    <mergeCell ref="P5322:Q5322"/>
    <mergeCell ref="L5323:L5325"/>
    <mergeCell ref="M5323:Q5323"/>
    <mergeCell ref="M5324:N5324"/>
    <mergeCell ref="P5324:Q5324"/>
    <mergeCell ref="M5325:N5325"/>
    <mergeCell ref="P5325:Q5325"/>
    <mergeCell ref="C5326:G5326"/>
    <mergeCell ref="H5326:J5326"/>
    <mergeCell ref="L5326:Q5326"/>
    <mergeCell ref="AB5319:AB5320"/>
    <mergeCell ref="AC5319:AC5320"/>
    <mergeCell ref="AD5319:AD5320"/>
    <mergeCell ref="B5269:D5269"/>
    <mergeCell ref="B5270:B5271"/>
    <mergeCell ref="H5270:H5271"/>
    <mergeCell ref="I5270:I5271"/>
    <mergeCell ref="J5270:J5271"/>
    <mergeCell ref="K5270:K5271"/>
    <mergeCell ref="L5270:L5271"/>
    <mergeCell ref="M5270:M5271"/>
    <mergeCell ref="N5270:N5271"/>
    <mergeCell ref="O5270:P5270"/>
    <mergeCell ref="R5270:T5271"/>
    <mergeCell ref="U5270:U5271"/>
    <mergeCell ref="W5270:Y5270"/>
    <mergeCell ref="AD5270:AF5270"/>
    <mergeCell ref="R5273:T5273"/>
    <mergeCell ref="R5274:T5274"/>
    <mergeCell ref="R5275:T5275"/>
    <mergeCell ref="AA5270:AA5271"/>
    <mergeCell ref="AB5270:AB5271"/>
    <mergeCell ref="R5276:T5276"/>
    <mergeCell ref="R5277:T5277"/>
    <mergeCell ref="R5278:T5278"/>
    <mergeCell ref="R5279:T5279"/>
    <mergeCell ref="R5280:T5280"/>
    <mergeCell ref="R5281:T5281"/>
    <mergeCell ref="R5282:T5282"/>
    <mergeCell ref="B5286:T5286"/>
    <mergeCell ref="AD5286:AF5286"/>
    <mergeCell ref="B5287:B5296"/>
    <mergeCell ref="C5287:K5287"/>
    <mergeCell ref="L5287:L5289"/>
    <mergeCell ref="M5287:Q5288"/>
    <mergeCell ref="R5287:S5289"/>
    <mergeCell ref="T5287:T5289"/>
    <mergeCell ref="C5288:E5288"/>
    <mergeCell ref="G5288:H5288"/>
    <mergeCell ref="I5288:K5288"/>
    <mergeCell ref="C5289:D5289"/>
    <mergeCell ref="M5289:P5289"/>
    <mergeCell ref="L5290:L5292"/>
    <mergeCell ref="M5290:Q5290"/>
    <mergeCell ref="R5290:T5291"/>
    <mergeCell ref="M5291:N5291"/>
    <mergeCell ref="P5291:Q5291"/>
    <mergeCell ref="M5292:N5292"/>
    <mergeCell ref="P5292:Q5292"/>
    <mergeCell ref="L5293:L5295"/>
    <mergeCell ref="M5293:Q5293"/>
    <mergeCell ref="M5294:N5294"/>
    <mergeCell ref="P5294:Q5294"/>
    <mergeCell ref="M5295:N5295"/>
    <mergeCell ref="P5295:Q5295"/>
    <mergeCell ref="C5296:G5296"/>
    <mergeCell ref="H5296:J5296"/>
    <mergeCell ref="L5296:Q5296"/>
    <mergeCell ref="AB5289:AB5290"/>
    <mergeCell ref="AC5289:AC5290"/>
    <mergeCell ref="AD5289:AD5290"/>
    <mergeCell ref="B5239:D5239"/>
    <mergeCell ref="B5240:B5241"/>
    <mergeCell ref="H5240:H5241"/>
    <mergeCell ref="I5240:I5241"/>
    <mergeCell ref="J5240:J5241"/>
    <mergeCell ref="K5240:K5241"/>
    <mergeCell ref="L5240:L5241"/>
    <mergeCell ref="M5240:M5241"/>
    <mergeCell ref="N5240:N5241"/>
    <mergeCell ref="O5240:P5240"/>
    <mergeCell ref="R5240:T5241"/>
    <mergeCell ref="U5240:U5241"/>
    <mergeCell ref="W5240:Y5240"/>
    <mergeCell ref="AD5240:AF5240"/>
    <mergeCell ref="R5243:T5243"/>
    <mergeCell ref="R5244:T5244"/>
    <mergeCell ref="R5245:T5245"/>
    <mergeCell ref="AA5240:AA5241"/>
    <mergeCell ref="AB5240:AB5241"/>
    <mergeCell ref="R5246:T5246"/>
    <mergeCell ref="R5247:T5247"/>
    <mergeCell ref="R5248:T5248"/>
    <mergeCell ref="R5249:T5249"/>
    <mergeCell ref="R5250:T5250"/>
    <mergeCell ref="R5251:T5251"/>
    <mergeCell ref="R5252:T5252"/>
    <mergeCell ref="B5256:T5256"/>
    <mergeCell ref="AD5256:AF5256"/>
    <mergeCell ref="B5257:B5266"/>
    <mergeCell ref="C5257:K5257"/>
    <mergeCell ref="L5257:L5259"/>
    <mergeCell ref="M5257:Q5258"/>
    <mergeCell ref="R5257:S5259"/>
    <mergeCell ref="T5257:T5259"/>
    <mergeCell ref="C5258:E5258"/>
    <mergeCell ref="G5258:H5258"/>
    <mergeCell ref="I5258:K5258"/>
    <mergeCell ref="C5259:D5259"/>
    <mergeCell ref="M5259:P5259"/>
    <mergeCell ref="L5260:L5262"/>
    <mergeCell ref="M5260:Q5260"/>
    <mergeCell ref="R5260:T5261"/>
    <mergeCell ref="M5261:N5261"/>
    <mergeCell ref="P5261:Q5261"/>
    <mergeCell ref="M5262:N5262"/>
    <mergeCell ref="P5262:Q5262"/>
    <mergeCell ref="L5263:L5265"/>
    <mergeCell ref="M5263:Q5263"/>
    <mergeCell ref="M5264:N5264"/>
    <mergeCell ref="P5264:Q5264"/>
    <mergeCell ref="M5265:N5265"/>
    <mergeCell ref="P5265:Q5265"/>
    <mergeCell ref="C5266:G5266"/>
    <mergeCell ref="H5266:J5266"/>
    <mergeCell ref="L5266:Q5266"/>
    <mergeCell ref="AB5259:AB5260"/>
    <mergeCell ref="AC5259:AC5260"/>
    <mergeCell ref="AD5259:AD5260"/>
    <mergeCell ref="B5209:D5209"/>
    <mergeCell ref="B5210:B5211"/>
    <mergeCell ref="H5210:H5211"/>
    <mergeCell ref="I5210:I5211"/>
    <mergeCell ref="J5210:J5211"/>
    <mergeCell ref="K5210:K5211"/>
    <mergeCell ref="L5210:L5211"/>
    <mergeCell ref="M5210:M5211"/>
    <mergeCell ref="N5210:N5211"/>
    <mergeCell ref="O5210:P5210"/>
    <mergeCell ref="R5210:T5211"/>
    <mergeCell ref="U5210:U5211"/>
    <mergeCell ref="W5210:Y5210"/>
    <mergeCell ref="AD5210:AF5210"/>
    <mergeCell ref="R5213:T5213"/>
    <mergeCell ref="R5214:T5214"/>
    <mergeCell ref="R5215:T5215"/>
    <mergeCell ref="AA5210:AA5211"/>
    <mergeCell ref="AB5210:AB5211"/>
    <mergeCell ref="R5216:T5216"/>
    <mergeCell ref="R5217:T5217"/>
    <mergeCell ref="R5218:T5218"/>
    <mergeCell ref="R5219:T5219"/>
    <mergeCell ref="R5220:T5220"/>
    <mergeCell ref="R5221:T5221"/>
    <mergeCell ref="R5222:T5222"/>
    <mergeCell ref="B5226:T5226"/>
    <mergeCell ref="AD5226:AF5226"/>
    <mergeCell ref="B5227:B5236"/>
    <mergeCell ref="C5227:K5227"/>
    <mergeCell ref="L5227:L5229"/>
    <mergeCell ref="M5227:Q5228"/>
    <mergeCell ref="R5227:S5229"/>
    <mergeCell ref="T5227:T5229"/>
    <mergeCell ref="C5228:E5228"/>
    <mergeCell ref="G5228:H5228"/>
    <mergeCell ref="I5228:K5228"/>
    <mergeCell ref="C5229:D5229"/>
    <mergeCell ref="M5229:P5229"/>
    <mergeCell ref="L5230:L5232"/>
    <mergeCell ref="M5230:Q5230"/>
    <mergeCell ref="R5230:T5231"/>
    <mergeCell ref="M5231:N5231"/>
    <mergeCell ref="P5231:Q5231"/>
    <mergeCell ref="M5232:N5232"/>
    <mergeCell ref="P5232:Q5232"/>
    <mergeCell ref="L5233:L5235"/>
    <mergeCell ref="M5233:Q5233"/>
    <mergeCell ref="M5234:N5234"/>
    <mergeCell ref="P5234:Q5234"/>
    <mergeCell ref="M5235:N5235"/>
    <mergeCell ref="P5235:Q5235"/>
    <mergeCell ref="C5236:G5236"/>
    <mergeCell ref="H5236:J5236"/>
    <mergeCell ref="L5236:Q5236"/>
    <mergeCell ref="AB5229:AB5230"/>
    <mergeCell ref="AC5229:AC5230"/>
    <mergeCell ref="AD5229:AD5230"/>
    <mergeCell ref="B5179:D5179"/>
    <mergeCell ref="B5180:B5181"/>
    <mergeCell ref="H5180:H5181"/>
    <mergeCell ref="I5180:I5181"/>
    <mergeCell ref="J5180:J5181"/>
    <mergeCell ref="K5180:K5181"/>
    <mergeCell ref="L5180:L5181"/>
    <mergeCell ref="M5180:M5181"/>
    <mergeCell ref="N5180:N5181"/>
    <mergeCell ref="O5180:P5180"/>
    <mergeCell ref="R5180:T5181"/>
    <mergeCell ref="U5180:U5181"/>
    <mergeCell ref="W5180:Y5180"/>
    <mergeCell ref="AD5180:AF5180"/>
    <mergeCell ref="R5183:T5183"/>
    <mergeCell ref="R5184:T5184"/>
    <mergeCell ref="R5185:T5185"/>
    <mergeCell ref="AA5180:AA5181"/>
    <mergeCell ref="AB5180:AB5181"/>
    <mergeCell ref="R5186:T5186"/>
    <mergeCell ref="R5187:T5187"/>
    <mergeCell ref="R5188:T5188"/>
    <mergeCell ref="R5189:T5189"/>
    <mergeCell ref="R5190:T5190"/>
    <mergeCell ref="R5191:T5191"/>
    <mergeCell ref="R5192:T5192"/>
    <mergeCell ref="B5196:T5196"/>
    <mergeCell ref="AD5196:AF5196"/>
    <mergeCell ref="B5197:B5206"/>
    <mergeCell ref="C5197:K5197"/>
    <mergeCell ref="L5197:L5199"/>
    <mergeCell ref="M5197:Q5198"/>
    <mergeCell ref="R5197:S5199"/>
    <mergeCell ref="T5197:T5199"/>
    <mergeCell ref="C5198:E5198"/>
    <mergeCell ref="G5198:H5198"/>
    <mergeCell ref="I5198:K5198"/>
    <mergeCell ref="C5199:D5199"/>
    <mergeCell ref="M5199:P5199"/>
    <mergeCell ref="L5200:L5202"/>
    <mergeCell ref="M5200:Q5200"/>
    <mergeCell ref="R5200:T5201"/>
    <mergeCell ref="M5201:N5201"/>
    <mergeCell ref="P5201:Q5201"/>
    <mergeCell ref="M5202:N5202"/>
    <mergeCell ref="P5202:Q5202"/>
    <mergeCell ref="L5203:L5205"/>
    <mergeCell ref="M5203:Q5203"/>
    <mergeCell ref="M5204:N5204"/>
    <mergeCell ref="P5204:Q5204"/>
    <mergeCell ref="M5205:N5205"/>
    <mergeCell ref="P5205:Q5205"/>
    <mergeCell ref="C5206:G5206"/>
    <mergeCell ref="H5206:J5206"/>
    <mergeCell ref="L5206:Q5206"/>
    <mergeCell ref="AB5199:AB5200"/>
    <mergeCell ref="AC5199:AC5200"/>
    <mergeCell ref="AD5199:AD5200"/>
    <mergeCell ref="B5149:D5149"/>
    <mergeCell ref="B5150:B5151"/>
    <mergeCell ref="H5150:H5151"/>
    <mergeCell ref="I5150:I5151"/>
    <mergeCell ref="J5150:J5151"/>
    <mergeCell ref="K5150:K5151"/>
    <mergeCell ref="L5150:L5151"/>
    <mergeCell ref="M5150:M5151"/>
    <mergeCell ref="N5150:N5151"/>
    <mergeCell ref="O5150:P5150"/>
    <mergeCell ref="R5150:T5151"/>
    <mergeCell ref="U5150:U5151"/>
    <mergeCell ref="W5150:Y5150"/>
    <mergeCell ref="AD5150:AF5150"/>
    <mergeCell ref="R5153:T5153"/>
    <mergeCell ref="R5154:T5154"/>
    <mergeCell ref="R5155:T5155"/>
    <mergeCell ref="AA5150:AA5151"/>
    <mergeCell ref="AB5150:AB5151"/>
    <mergeCell ref="R5156:T5156"/>
    <mergeCell ref="R5157:T5157"/>
    <mergeCell ref="R5158:T5158"/>
    <mergeCell ref="R5159:T5159"/>
    <mergeCell ref="R5160:T5160"/>
    <mergeCell ref="R5161:T5161"/>
    <mergeCell ref="R5162:T5162"/>
    <mergeCell ref="B5166:T5166"/>
    <mergeCell ref="AD5166:AF5166"/>
    <mergeCell ref="B5167:B5176"/>
    <mergeCell ref="C5167:K5167"/>
    <mergeCell ref="L5167:L5169"/>
    <mergeCell ref="M5167:Q5168"/>
    <mergeCell ref="R5167:S5169"/>
    <mergeCell ref="T5167:T5169"/>
    <mergeCell ref="C5168:E5168"/>
    <mergeCell ref="G5168:H5168"/>
    <mergeCell ref="I5168:K5168"/>
    <mergeCell ref="C5169:D5169"/>
    <mergeCell ref="M5169:P5169"/>
    <mergeCell ref="L5170:L5172"/>
    <mergeCell ref="M5170:Q5170"/>
    <mergeCell ref="R5170:T5171"/>
    <mergeCell ref="M5171:N5171"/>
    <mergeCell ref="P5171:Q5171"/>
    <mergeCell ref="M5172:N5172"/>
    <mergeCell ref="P5172:Q5172"/>
    <mergeCell ref="L5173:L5175"/>
    <mergeCell ref="M5173:Q5173"/>
    <mergeCell ref="M5174:N5174"/>
    <mergeCell ref="P5174:Q5174"/>
    <mergeCell ref="M5175:N5175"/>
    <mergeCell ref="P5175:Q5175"/>
    <mergeCell ref="C5176:G5176"/>
    <mergeCell ref="H5176:J5176"/>
    <mergeCell ref="L5176:Q5176"/>
    <mergeCell ref="AB5169:AB5170"/>
    <mergeCell ref="AC5169:AC5170"/>
    <mergeCell ref="AD5169:AD5170"/>
    <mergeCell ref="B5119:D5119"/>
    <mergeCell ref="B5120:B5121"/>
    <mergeCell ref="H5120:H5121"/>
    <mergeCell ref="I5120:I5121"/>
    <mergeCell ref="J5120:J5121"/>
    <mergeCell ref="K5120:K5121"/>
    <mergeCell ref="L5120:L5121"/>
    <mergeCell ref="M5120:M5121"/>
    <mergeCell ref="N5120:N5121"/>
    <mergeCell ref="O5120:P5120"/>
    <mergeCell ref="R5120:T5121"/>
    <mergeCell ref="U5120:U5121"/>
    <mergeCell ref="W5120:Y5120"/>
    <mergeCell ref="AD5120:AF5120"/>
    <mergeCell ref="R5123:T5123"/>
    <mergeCell ref="R5124:T5124"/>
    <mergeCell ref="R5125:T5125"/>
    <mergeCell ref="AA5120:AA5121"/>
    <mergeCell ref="AB5120:AB5121"/>
    <mergeCell ref="R5126:T5126"/>
    <mergeCell ref="R5127:T5127"/>
    <mergeCell ref="R5128:T5128"/>
    <mergeCell ref="R5129:T5129"/>
    <mergeCell ref="R5130:T5130"/>
    <mergeCell ref="R5131:T5131"/>
    <mergeCell ref="R5132:T5132"/>
    <mergeCell ref="B5136:T5136"/>
    <mergeCell ref="AD5136:AF5136"/>
    <mergeCell ref="B5137:B5146"/>
    <mergeCell ref="C5137:K5137"/>
    <mergeCell ref="L5137:L5139"/>
    <mergeCell ref="M5137:Q5138"/>
    <mergeCell ref="R5137:S5139"/>
    <mergeCell ref="T5137:T5139"/>
    <mergeCell ref="C5138:E5138"/>
    <mergeCell ref="G5138:H5138"/>
    <mergeCell ref="I5138:K5138"/>
    <mergeCell ref="C5139:D5139"/>
    <mergeCell ref="M5139:P5139"/>
    <mergeCell ref="L5140:L5142"/>
    <mergeCell ref="M5140:Q5140"/>
    <mergeCell ref="R5140:T5141"/>
    <mergeCell ref="M5141:N5141"/>
    <mergeCell ref="P5141:Q5141"/>
    <mergeCell ref="M5142:N5142"/>
    <mergeCell ref="P5142:Q5142"/>
    <mergeCell ref="L5143:L5145"/>
    <mergeCell ref="M5143:Q5143"/>
    <mergeCell ref="M5144:N5144"/>
    <mergeCell ref="P5144:Q5144"/>
    <mergeCell ref="M5145:N5145"/>
    <mergeCell ref="P5145:Q5145"/>
    <mergeCell ref="C5146:G5146"/>
    <mergeCell ref="H5146:J5146"/>
    <mergeCell ref="L5146:Q5146"/>
    <mergeCell ref="AB5139:AB5140"/>
    <mergeCell ref="AC5139:AC5140"/>
    <mergeCell ref="AD5139:AD5140"/>
    <mergeCell ref="B5089:D5089"/>
    <mergeCell ref="B5090:B5091"/>
    <mergeCell ref="H5090:H5091"/>
    <mergeCell ref="I5090:I5091"/>
    <mergeCell ref="J5090:J5091"/>
    <mergeCell ref="K5090:K5091"/>
    <mergeCell ref="L5090:L5091"/>
    <mergeCell ref="M5090:M5091"/>
    <mergeCell ref="N5090:N5091"/>
    <mergeCell ref="O5090:P5090"/>
    <mergeCell ref="R5090:T5091"/>
    <mergeCell ref="U5090:U5091"/>
    <mergeCell ref="W5090:Y5090"/>
    <mergeCell ref="AD5090:AF5090"/>
    <mergeCell ref="R5093:T5093"/>
    <mergeCell ref="R5094:T5094"/>
    <mergeCell ref="R5095:T5095"/>
    <mergeCell ref="AA5090:AA5091"/>
    <mergeCell ref="AB5090:AB5091"/>
    <mergeCell ref="R5096:T5096"/>
    <mergeCell ref="R5097:T5097"/>
    <mergeCell ref="R5098:T5098"/>
    <mergeCell ref="R5099:T5099"/>
    <mergeCell ref="R5100:T5100"/>
    <mergeCell ref="R5101:T5101"/>
    <mergeCell ref="R5102:T5102"/>
    <mergeCell ref="B5106:T5106"/>
    <mergeCell ref="AD5106:AF5106"/>
    <mergeCell ref="B5107:B5116"/>
    <mergeCell ref="C5107:K5107"/>
    <mergeCell ref="L5107:L5109"/>
    <mergeCell ref="M5107:Q5108"/>
    <mergeCell ref="R5107:S5109"/>
    <mergeCell ref="T5107:T5109"/>
    <mergeCell ref="C5108:E5108"/>
    <mergeCell ref="G5108:H5108"/>
    <mergeCell ref="I5108:K5108"/>
    <mergeCell ref="C5109:D5109"/>
    <mergeCell ref="M5109:P5109"/>
    <mergeCell ref="L5110:L5112"/>
    <mergeCell ref="M5110:Q5110"/>
    <mergeCell ref="R5110:T5111"/>
    <mergeCell ref="M5111:N5111"/>
    <mergeCell ref="P5111:Q5111"/>
    <mergeCell ref="M5112:N5112"/>
    <mergeCell ref="P5112:Q5112"/>
    <mergeCell ref="L5113:L5115"/>
    <mergeCell ref="M5113:Q5113"/>
    <mergeCell ref="M5114:N5114"/>
    <mergeCell ref="P5114:Q5114"/>
    <mergeCell ref="M5115:N5115"/>
    <mergeCell ref="P5115:Q5115"/>
    <mergeCell ref="C5116:G5116"/>
    <mergeCell ref="H5116:J5116"/>
    <mergeCell ref="L5116:Q5116"/>
    <mergeCell ref="AB5109:AB5110"/>
    <mergeCell ref="AC5109:AC5110"/>
    <mergeCell ref="AD5109:AD5110"/>
    <mergeCell ref="B5059:D5059"/>
    <mergeCell ref="B5060:B5061"/>
    <mergeCell ref="H5060:H5061"/>
    <mergeCell ref="I5060:I5061"/>
    <mergeCell ref="J5060:J5061"/>
    <mergeCell ref="K5060:K5061"/>
    <mergeCell ref="L5060:L5061"/>
    <mergeCell ref="M5060:M5061"/>
    <mergeCell ref="N5060:N5061"/>
    <mergeCell ref="O5060:P5060"/>
    <mergeCell ref="R5060:T5061"/>
    <mergeCell ref="U5060:U5061"/>
    <mergeCell ref="W5060:Y5060"/>
    <mergeCell ref="AD5060:AF5060"/>
    <mergeCell ref="R5063:T5063"/>
    <mergeCell ref="R5064:T5064"/>
    <mergeCell ref="R5065:T5065"/>
    <mergeCell ref="AA5060:AA5061"/>
    <mergeCell ref="AB5060:AB5061"/>
    <mergeCell ref="R5066:T5066"/>
    <mergeCell ref="R5067:T5067"/>
    <mergeCell ref="R5068:T5068"/>
    <mergeCell ref="R5069:T5069"/>
    <mergeCell ref="R5070:T5070"/>
    <mergeCell ref="R5071:T5071"/>
    <mergeCell ref="R5072:T5072"/>
    <mergeCell ref="B5076:T5076"/>
    <mergeCell ref="AD5076:AF5076"/>
    <mergeCell ref="B5077:B5086"/>
    <mergeCell ref="C5077:K5077"/>
    <mergeCell ref="L5077:L5079"/>
    <mergeCell ref="M5077:Q5078"/>
    <mergeCell ref="R5077:S5079"/>
    <mergeCell ref="T5077:T5079"/>
    <mergeCell ref="C5078:E5078"/>
    <mergeCell ref="G5078:H5078"/>
    <mergeCell ref="I5078:K5078"/>
    <mergeCell ref="C5079:D5079"/>
    <mergeCell ref="M5079:P5079"/>
    <mergeCell ref="L5080:L5082"/>
    <mergeCell ref="M5080:Q5080"/>
    <mergeCell ref="R5080:T5081"/>
    <mergeCell ref="M5081:N5081"/>
    <mergeCell ref="P5081:Q5081"/>
    <mergeCell ref="M5082:N5082"/>
    <mergeCell ref="P5082:Q5082"/>
    <mergeCell ref="L5083:L5085"/>
    <mergeCell ref="M5083:Q5083"/>
    <mergeCell ref="M5084:N5084"/>
    <mergeCell ref="P5084:Q5084"/>
    <mergeCell ref="M5085:N5085"/>
    <mergeCell ref="P5085:Q5085"/>
    <mergeCell ref="C5086:G5086"/>
    <mergeCell ref="H5086:J5086"/>
    <mergeCell ref="L5086:Q5086"/>
    <mergeCell ref="AB5079:AB5080"/>
    <mergeCell ref="AC5079:AC5080"/>
    <mergeCell ref="AD5079:AD5080"/>
    <mergeCell ref="B5029:D5029"/>
    <mergeCell ref="B5030:B5031"/>
    <mergeCell ref="H5030:H5031"/>
    <mergeCell ref="I5030:I5031"/>
    <mergeCell ref="J5030:J5031"/>
    <mergeCell ref="K5030:K5031"/>
    <mergeCell ref="L5030:L5031"/>
    <mergeCell ref="M5030:M5031"/>
    <mergeCell ref="N5030:N5031"/>
    <mergeCell ref="O5030:P5030"/>
    <mergeCell ref="R5030:T5031"/>
    <mergeCell ref="U5030:U5031"/>
    <mergeCell ref="W5030:Y5030"/>
    <mergeCell ref="AD5030:AF5030"/>
    <mergeCell ref="R5033:T5033"/>
    <mergeCell ref="R5034:T5034"/>
    <mergeCell ref="R5035:T5035"/>
    <mergeCell ref="AA5030:AA5031"/>
    <mergeCell ref="AB5030:AB5031"/>
    <mergeCell ref="R5036:T5036"/>
    <mergeCell ref="R5037:T5037"/>
    <mergeCell ref="R5038:T5038"/>
    <mergeCell ref="R5039:T5039"/>
    <mergeCell ref="R5040:T5040"/>
    <mergeCell ref="R5041:T5041"/>
    <mergeCell ref="R5042:T5042"/>
    <mergeCell ref="B5046:T5046"/>
    <mergeCell ref="AD5046:AF5046"/>
    <mergeCell ref="B5047:B5056"/>
    <mergeCell ref="C5047:K5047"/>
    <mergeCell ref="L5047:L5049"/>
    <mergeCell ref="M5047:Q5048"/>
    <mergeCell ref="R5047:S5049"/>
    <mergeCell ref="T5047:T5049"/>
    <mergeCell ref="C5048:E5048"/>
    <mergeCell ref="G5048:H5048"/>
    <mergeCell ref="I5048:K5048"/>
    <mergeCell ref="C5049:D5049"/>
    <mergeCell ref="M5049:P5049"/>
    <mergeCell ref="L5050:L5052"/>
    <mergeCell ref="M5050:Q5050"/>
    <mergeCell ref="R5050:T5051"/>
    <mergeCell ref="M5051:N5051"/>
    <mergeCell ref="P5051:Q5051"/>
    <mergeCell ref="M5052:N5052"/>
    <mergeCell ref="P5052:Q5052"/>
    <mergeCell ref="L5053:L5055"/>
    <mergeCell ref="M5053:Q5053"/>
    <mergeCell ref="M5054:N5054"/>
    <mergeCell ref="P5054:Q5054"/>
    <mergeCell ref="M5055:N5055"/>
    <mergeCell ref="P5055:Q5055"/>
    <mergeCell ref="C5056:G5056"/>
    <mergeCell ref="H5056:J5056"/>
    <mergeCell ref="L5056:Q5056"/>
    <mergeCell ref="AB5049:AB5050"/>
    <mergeCell ref="AC5049:AC5050"/>
    <mergeCell ref="AD5049:AD5050"/>
    <mergeCell ref="B4999:D4999"/>
    <mergeCell ref="B5000:B5001"/>
    <mergeCell ref="H5000:H5001"/>
    <mergeCell ref="I5000:I5001"/>
    <mergeCell ref="J5000:J5001"/>
    <mergeCell ref="K5000:K5001"/>
    <mergeCell ref="L5000:L5001"/>
    <mergeCell ref="M5000:M5001"/>
    <mergeCell ref="N5000:N5001"/>
    <mergeCell ref="O5000:P5000"/>
    <mergeCell ref="R5000:T5001"/>
    <mergeCell ref="U5000:U5001"/>
    <mergeCell ref="W5000:Y5000"/>
    <mergeCell ref="AD5000:AF5000"/>
    <mergeCell ref="R5003:T5003"/>
    <mergeCell ref="R5004:T5004"/>
    <mergeCell ref="R5005:T5005"/>
    <mergeCell ref="AA5000:AA5001"/>
    <mergeCell ref="AB5000:AB5001"/>
    <mergeCell ref="R5006:T5006"/>
    <mergeCell ref="R5007:T5007"/>
    <mergeCell ref="R5008:T5008"/>
    <mergeCell ref="R5009:T5009"/>
    <mergeCell ref="R5010:T5010"/>
    <mergeCell ref="R5011:T5011"/>
    <mergeCell ref="R5012:T5012"/>
    <mergeCell ref="B5016:T5016"/>
    <mergeCell ref="AD5016:AF5016"/>
    <mergeCell ref="B5017:B5026"/>
    <mergeCell ref="C5017:K5017"/>
    <mergeCell ref="L5017:L5019"/>
    <mergeCell ref="M5017:Q5018"/>
    <mergeCell ref="R5017:S5019"/>
    <mergeCell ref="T5017:T5019"/>
    <mergeCell ref="C5018:E5018"/>
    <mergeCell ref="G5018:H5018"/>
    <mergeCell ref="I5018:K5018"/>
    <mergeCell ref="C5019:D5019"/>
    <mergeCell ref="M5019:P5019"/>
    <mergeCell ref="L5020:L5022"/>
    <mergeCell ref="M5020:Q5020"/>
    <mergeCell ref="R5020:T5021"/>
    <mergeCell ref="M5021:N5021"/>
    <mergeCell ref="P5021:Q5021"/>
    <mergeCell ref="M5022:N5022"/>
    <mergeCell ref="P5022:Q5022"/>
    <mergeCell ref="L5023:L5025"/>
    <mergeCell ref="M5023:Q5023"/>
    <mergeCell ref="M5024:N5024"/>
    <mergeCell ref="P5024:Q5024"/>
    <mergeCell ref="M5025:N5025"/>
    <mergeCell ref="P5025:Q5025"/>
    <mergeCell ref="C5026:G5026"/>
    <mergeCell ref="H5026:J5026"/>
    <mergeCell ref="L5026:Q5026"/>
    <mergeCell ref="AB5019:AB5020"/>
    <mergeCell ref="AC5019:AC5020"/>
    <mergeCell ref="AD5019:AD5020"/>
    <mergeCell ref="B4969:D4969"/>
    <mergeCell ref="B4970:B4971"/>
    <mergeCell ref="H4970:H4971"/>
    <mergeCell ref="I4970:I4971"/>
    <mergeCell ref="J4970:J4971"/>
    <mergeCell ref="K4970:K4971"/>
    <mergeCell ref="L4970:L4971"/>
    <mergeCell ref="M4970:M4971"/>
    <mergeCell ref="N4970:N4971"/>
    <mergeCell ref="O4970:P4970"/>
    <mergeCell ref="R4970:T4971"/>
    <mergeCell ref="U4970:U4971"/>
    <mergeCell ref="W4970:Y4970"/>
    <mergeCell ref="AD4970:AF4970"/>
    <mergeCell ref="R4973:T4973"/>
    <mergeCell ref="R4974:T4974"/>
    <mergeCell ref="R4975:T4975"/>
    <mergeCell ref="AA4970:AA4971"/>
    <mergeCell ref="AB4970:AB4971"/>
    <mergeCell ref="R4976:T4976"/>
    <mergeCell ref="R4977:T4977"/>
    <mergeCell ref="R4978:T4978"/>
    <mergeCell ref="R4979:T4979"/>
    <mergeCell ref="R4980:T4980"/>
    <mergeCell ref="R4981:T4981"/>
    <mergeCell ref="R4982:T4982"/>
    <mergeCell ref="B4986:T4986"/>
    <mergeCell ref="AD4986:AF4986"/>
    <mergeCell ref="B4987:B4996"/>
    <mergeCell ref="C4987:K4987"/>
    <mergeCell ref="L4987:L4989"/>
    <mergeCell ref="M4987:Q4988"/>
    <mergeCell ref="R4987:S4989"/>
    <mergeCell ref="T4987:T4989"/>
    <mergeCell ref="C4988:E4988"/>
    <mergeCell ref="G4988:H4988"/>
    <mergeCell ref="I4988:K4988"/>
    <mergeCell ref="C4989:D4989"/>
    <mergeCell ref="M4989:P4989"/>
    <mergeCell ref="L4990:L4992"/>
    <mergeCell ref="M4990:Q4990"/>
    <mergeCell ref="R4990:T4991"/>
    <mergeCell ref="M4991:N4991"/>
    <mergeCell ref="P4991:Q4991"/>
    <mergeCell ref="M4992:N4992"/>
    <mergeCell ref="P4992:Q4992"/>
    <mergeCell ref="L4993:L4995"/>
    <mergeCell ref="M4993:Q4993"/>
    <mergeCell ref="M4994:N4994"/>
    <mergeCell ref="P4994:Q4994"/>
    <mergeCell ref="M4995:N4995"/>
    <mergeCell ref="P4995:Q4995"/>
    <mergeCell ref="C4996:G4996"/>
    <mergeCell ref="H4996:J4996"/>
    <mergeCell ref="L4996:Q4996"/>
    <mergeCell ref="AB4989:AB4990"/>
    <mergeCell ref="AC4989:AC4990"/>
    <mergeCell ref="AD4989:AD4990"/>
    <mergeCell ref="B4939:D4939"/>
    <mergeCell ref="B4940:B4941"/>
    <mergeCell ref="H4940:H4941"/>
    <mergeCell ref="I4940:I4941"/>
    <mergeCell ref="J4940:J4941"/>
    <mergeCell ref="K4940:K4941"/>
    <mergeCell ref="L4940:L4941"/>
    <mergeCell ref="M4940:M4941"/>
    <mergeCell ref="N4940:N4941"/>
    <mergeCell ref="O4940:P4940"/>
    <mergeCell ref="R4940:T4941"/>
    <mergeCell ref="U4940:U4941"/>
    <mergeCell ref="W4940:Y4940"/>
    <mergeCell ref="AD4940:AF4940"/>
    <mergeCell ref="R4943:T4943"/>
    <mergeCell ref="R4944:T4944"/>
    <mergeCell ref="R4945:T4945"/>
    <mergeCell ref="AA4940:AA4941"/>
    <mergeCell ref="AB4940:AB4941"/>
    <mergeCell ref="R4946:T4946"/>
    <mergeCell ref="R4947:T4947"/>
    <mergeCell ref="R4948:T4948"/>
    <mergeCell ref="R4949:T4949"/>
    <mergeCell ref="R4950:T4950"/>
    <mergeCell ref="R4951:T4951"/>
    <mergeCell ref="R4952:T4952"/>
    <mergeCell ref="B4956:T4956"/>
    <mergeCell ref="AD4956:AF4956"/>
    <mergeCell ref="B4957:B4966"/>
    <mergeCell ref="C4957:K4957"/>
    <mergeCell ref="L4957:L4959"/>
    <mergeCell ref="M4957:Q4958"/>
    <mergeCell ref="R4957:S4959"/>
    <mergeCell ref="T4957:T4959"/>
    <mergeCell ref="C4958:E4958"/>
    <mergeCell ref="G4958:H4958"/>
    <mergeCell ref="I4958:K4958"/>
    <mergeCell ref="C4959:D4959"/>
    <mergeCell ref="M4959:P4959"/>
    <mergeCell ref="L4960:L4962"/>
    <mergeCell ref="M4960:Q4960"/>
    <mergeCell ref="R4960:T4961"/>
    <mergeCell ref="M4961:N4961"/>
    <mergeCell ref="P4961:Q4961"/>
    <mergeCell ref="M4962:N4962"/>
    <mergeCell ref="P4962:Q4962"/>
    <mergeCell ref="L4963:L4965"/>
    <mergeCell ref="M4963:Q4963"/>
    <mergeCell ref="M4964:N4964"/>
    <mergeCell ref="P4964:Q4964"/>
    <mergeCell ref="M4965:N4965"/>
    <mergeCell ref="P4965:Q4965"/>
    <mergeCell ref="C4966:G4966"/>
    <mergeCell ref="H4966:J4966"/>
    <mergeCell ref="L4966:Q4966"/>
    <mergeCell ref="AB4959:AB4960"/>
    <mergeCell ref="AC4959:AC4960"/>
    <mergeCell ref="AD4959:AD4960"/>
    <mergeCell ref="B4909:D4909"/>
    <mergeCell ref="B4910:B4911"/>
    <mergeCell ref="H4910:H4911"/>
    <mergeCell ref="I4910:I4911"/>
    <mergeCell ref="J4910:J4911"/>
    <mergeCell ref="K4910:K4911"/>
    <mergeCell ref="L4910:L4911"/>
    <mergeCell ref="M4910:M4911"/>
    <mergeCell ref="N4910:N4911"/>
    <mergeCell ref="O4910:P4910"/>
    <mergeCell ref="R4910:T4911"/>
    <mergeCell ref="U4910:U4911"/>
    <mergeCell ref="W4910:Y4910"/>
    <mergeCell ref="AD4910:AF4910"/>
    <mergeCell ref="R4913:T4913"/>
    <mergeCell ref="R4914:T4914"/>
    <mergeCell ref="R4915:T4915"/>
    <mergeCell ref="AA4910:AA4911"/>
    <mergeCell ref="AB4910:AB4911"/>
    <mergeCell ref="R4916:T4916"/>
    <mergeCell ref="R4917:T4917"/>
    <mergeCell ref="R4918:T4918"/>
    <mergeCell ref="R4919:T4919"/>
    <mergeCell ref="R4920:T4920"/>
    <mergeCell ref="R4921:T4921"/>
    <mergeCell ref="R4922:T4922"/>
    <mergeCell ref="B4926:T4926"/>
    <mergeCell ref="AD4926:AF4926"/>
    <mergeCell ref="B4927:B4936"/>
    <mergeCell ref="C4927:K4927"/>
    <mergeCell ref="L4927:L4929"/>
    <mergeCell ref="M4927:Q4928"/>
    <mergeCell ref="R4927:S4929"/>
    <mergeCell ref="T4927:T4929"/>
    <mergeCell ref="C4928:E4928"/>
    <mergeCell ref="G4928:H4928"/>
    <mergeCell ref="I4928:K4928"/>
    <mergeCell ref="C4929:D4929"/>
    <mergeCell ref="M4929:P4929"/>
    <mergeCell ref="L4930:L4932"/>
    <mergeCell ref="M4930:Q4930"/>
    <mergeCell ref="R4930:T4931"/>
    <mergeCell ref="M4931:N4931"/>
    <mergeCell ref="P4931:Q4931"/>
    <mergeCell ref="M4932:N4932"/>
    <mergeCell ref="P4932:Q4932"/>
    <mergeCell ref="L4933:L4935"/>
    <mergeCell ref="M4933:Q4933"/>
    <mergeCell ref="M4934:N4934"/>
    <mergeCell ref="P4934:Q4934"/>
    <mergeCell ref="M4935:N4935"/>
    <mergeCell ref="P4935:Q4935"/>
    <mergeCell ref="C4936:G4936"/>
    <mergeCell ref="H4936:J4936"/>
    <mergeCell ref="L4936:Q4936"/>
    <mergeCell ref="AB4929:AB4930"/>
    <mergeCell ref="AC4929:AC4930"/>
    <mergeCell ref="AD4929:AD4930"/>
    <mergeCell ref="B4879:D4879"/>
    <mergeCell ref="B4880:B4881"/>
    <mergeCell ref="H4880:H4881"/>
    <mergeCell ref="I4880:I4881"/>
    <mergeCell ref="J4880:J4881"/>
    <mergeCell ref="K4880:K4881"/>
    <mergeCell ref="L4880:L4881"/>
    <mergeCell ref="M4880:M4881"/>
    <mergeCell ref="N4880:N4881"/>
    <mergeCell ref="O4880:P4880"/>
    <mergeCell ref="R4880:T4881"/>
    <mergeCell ref="U4880:U4881"/>
    <mergeCell ref="W4880:Y4880"/>
    <mergeCell ref="AD4880:AF4880"/>
    <mergeCell ref="R4883:T4883"/>
    <mergeCell ref="R4884:T4884"/>
    <mergeCell ref="R4885:T4885"/>
    <mergeCell ref="AA4880:AA4881"/>
    <mergeCell ref="AB4880:AB4881"/>
    <mergeCell ref="R4886:T4886"/>
    <mergeCell ref="R4887:T4887"/>
    <mergeCell ref="R4888:T4888"/>
    <mergeCell ref="R4889:T4889"/>
    <mergeCell ref="R4890:T4890"/>
    <mergeCell ref="R4891:T4891"/>
    <mergeCell ref="R4892:T4892"/>
    <mergeCell ref="B4896:T4896"/>
    <mergeCell ref="AD4896:AF4896"/>
    <mergeCell ref="B4897:B4906"/>
    <mergeCell ref="C4897:K4897"/>
    <mergeCell ref="L4897:L4899"/>
    <mergeCell ref="M4897:Q4898"/>
    <mergeCell ref="R4897:S4899"/>
    <mergeCell ref="T4897:T4899"/>
    <mergeCell ref="C4898:E4898"/>
    <mergeCell ref="G4898:H4898"/>
    <mergeCell ref="I4898:K4898"/>
    <mergeCell ref="C4899:D4899"/>
    <mergeCell ref="M4899:P4899"/>
    <mergeCell ref="L4900:L4902"/>
    <mergeCell ref="M4900:Q4900"/>
    <mergeCell ref="R4900:T4901"/>
    <mergeCell ref="M4901:N4901"/>
    <mergeCell ref="P4901:Q4901"/>
    <mergeCell ref="M4902:N4902"/>
    <mergeCell ref="P4902:Q4902"/>
    <mergeCell ref="L4903:L4905"/>
    <mergeCell ref="M4903:Q4903"/>
    <mergeCell ref="M4904:N4904"/>
    <mergeCell ref="P4904:Q4904"/>
    <mergeCell ref="M4905:N4905"/>
    <mergeCell ref="P4905:Q4905"/>
    <mergeCell ref="C4906:G4906"/>
    <mergeCell ref="H4906:J4906"/>
    <mergeCell ref="L4906:Q4906"/>
    <mergeCell ref="AB4899:AB4900"/>
    <mergeCell ref="AC4899:AC4900"/>
    <mergeCell ref="AD4899:AD4900"/>
    <mergeCell ref="B4849:D4849"/>
    <mergeCell ref="B4850:B4851"/>
    <mergeCell ref="H4850:H4851"/>
    <mergeCell ref="I4850:I4851"/>
    <mergeCell ref="J4850:J4851"/>
    <mergeCell ref="K4850:K4851"/>
    <mergeCell ref="L4850:L4851"/>
    <mergeCell ref="M4850:M4851"/>
    <mergeCell ref="N4850:N4851"/>
    <mergeCell ref="O4850:P4850"/>
    <mergeCell ref="R4850:T4851"/>
    <mergeCell ref="U4850:U4851"/>
    <mergeCell ref="W4850:Y4850"/>
    <mergeCell ref="AD4850:AF4850"/>
    <mergeCell ref="R4853:T4853"/>
    <mergeCell ref="R4854:T4854"/>
    <mergeCell ref="R4855:T4855"/>
    <mergeCell ref="AA4850:AA4851"/>
    <mergeCell ref="AB4850:AB4851"/>
    <mergeCell ref="R4856:T4856"/>
    <mergeCell ref="R4857:T4857"/>
    <mergeCell ref="R4858:T4858"/>
    <mergeCell ref="R4859:T4859"/>
    <mergeCell ref="R4860:T4860"/>
    <mergeCell ref="R4861:T4861"/>
    <mergeCell ref="R4862:T4862"/>
    <mergeCell ref="B4866:T4866"/>
    <mergeCell ref="AD4866:AF4866"/>
    <mergeCell ref="B4867:B4876"/>
    <mergeCell ref="C4867:K4867"/>
    <mergeCell ref="L4867:L4869"/>
    <mergeCell ref="M4867:Q4868"/>
    <mergeCell ref="R4867:S4869"/>
    <mergeCell ref="T4867:T4869"/>
    <mergeCell ref="C4868:E4868"/>
    <mergeCell ref="G4868:H4868"/>
    <mergeCell ref="I4868:K4868"/>
    <mergeCell ref="C4869:D4869"/>
    <mergeCell ref="M4869:P4869"/>
    <mergeCell ref="L4870:L4872"/>
    <mergeCell ref="M4870:Q4870"/>
    <mergeCell ref="R4870:T4871"/>
    <mergeCell ref="M4871:N4871"/>
    <mergeCell ref="P4871:Q4871"/>
    <mergeCell ref="M4872:N4872"/>
    <mergeCell ref="P4872:Q4872"/>
    <mergeCell ref="L4873:L4875"/>
    <mergeCell ref="M4873:Q4873"/>
    <mergeCell ref="M4874:N4874"/>
    <mergeCell ref="P4874:Q4874"/>
    <mergeCell ref="M4875:N4875"/>
    <mergeCell ref="P4875:Q4875"/>
    <mergeCell ref="C4876:G4876"/>
    <mergeCell ref="H4876:J4876"/>
    <mergeCell ref="L4876:Q4876"/>
    <mergeCell ref="AB4869:AB4870"/>
    <mergeCell ref="AC4869:AC4870"/>
    <mergeCell ref="AD4869:AD4870"/>
    <mergeCell ref="B4819:D4819"/>
    <mergeCell ref="B4820:B4821"/>
    <mergeCell ref="H4820:H4821"/>
    <mergeCell ref="I4820:I4821"/>
    <mergeCell ref="J4820:J4821"/>
    <mergeCell ref="K4820:K4821"/>
    <mergeCell ref="L4820:L4821"/>
    <mergeCell ref="M4820:M4821"/>
    <mergeCell ref="N4820:N4821"/>
    <mergeCell ref="O4820:P4820"/>
    <mergeCell ref="R4820:T4821"/>
    <mergeCell ref="U4820:U4821"/>
    <mergeCell ref="W4820:Y4820"/>
    <mergeCell ref="AD4820:AF4820"/>
    <mergeCell ref="R4823:T4823"/>
    <mergeCell ref="R4824:T4824"/>
    <mergeCell ref="R4825:T4825"/>
    <mergeCell ref="AA4820:AA4821"/>
    <mergeCell ref="AB4820:AB4821"/>
    <mergeCell ref="R4826:T4826"/>
    <mergeCell ref="R4827:T4827"/>
    <mergeCell ref="R4828:T4828"/>
    <mergeCell ref="R4829:T4829"/>
    <mergeCell ref="R4830:T4830"/>
    <mergeCell ref="R4831:T4831"/>
    <mergeCell ref="R4832:T4832"/>
    <mergeCell ref="B4836:T4836"/>
    <mergeCell ref="AD4836:AF4836"/>
    <mergeCell ref="B4837:B4846"/>
    <mergeCell ref="C4837:K4837"/>
    <mergeCell ref="L4837:L4839"/>
    <mergeCell ref="M4837:Q4838"/>
    <mergeCell ref="R4837:S4839"/>
    <mergeCell ref="T4837:T4839"/>
    <mergeCell ref="C4838:E4838"/>
    <mergeCell ref="G4838:H4838"/>
    <mergeCell ref="I4838:K4838"/>
    <mergeCell ref="C4839:D4839"/>
    <mergeCell ref="M4839:P4839"/>
    <mergeCell ref="L4840:L4842"/>
    <mergeCell ref="M4840:Q4840"/>
    <mergeCell ref="R4840:T4841"/>
    <mergeCell ref="M4841:N4841"/>
    <mergeCell ref="P4841:Q4841"/>
    <mergeCell ref="M4842:N4842"/>
    <mergeCell ref="P4842:Q4842"/>
    <mergeCell ref="L4843:L4845"/>
    <mergeCell ref="M4843:Q4843"/>
    <mergeCell ref="M4844:N4844"/>
    <mergeCell ref="P4844:Q4844"/>
    <mergeCell ref="M4845:N4845"/>
    <mergeCell ref="P4845:Q4845"/>
    <mergeCell ref="C4846:G4846"/>
    <mergeCell ref="H4846:J4846"/>
    <mergeCell ref="L4846:Q4846"/>
    <mergeCell ref="AB4839:AB4840"/>
    <mergeCell ref="AC4839:AC4840"/>
    <mergeCell ref="AD4839:AD4840"/>
    <mergeCell ref="B4789:D4789"/>
    <mergeCell ref="B4790:B4791"/>
    <mergeCell ref="H4790:H4791"/>
    <mergeCell ref="I4790:I4791"/>
    <mergeCell ref="J4790:J4791"/>
    <mergeCell ref="K4790:K4791"/>
    <mergeCell ref="L4790:L4791"/>
    <mergeCell ref="M4790:M4791"/>
    <mergeCell ref="N4790:N4791"/>
    <mergeCell ref="O4790:P4790"/>
    <mergeCell ref="R4790:T4791"/>
    <mergeCell ref="U4790:U4791"/>
    <mergeCell ref="W4790:Y4790"/>
    <mergeCell ref="AD4790:AF4790"/>
    <mergeCell ref="R4793:T4793"/>
    <mergeCell ref="R4794:T4794"/>
    <mergeCell ref="R4795:T4795"/>
    <mergeCell ref="AA4790:AA4791"/>
    <mergeCell ref="AB4790:AB4791"/>
    <mergeCell ref="R4796:T4796"/>
    <mergeCell ref="R4797:T4797"/>
    <mergeCell ref="R4798:T4798"/>
    <mergeCell ref="R4799:T4799"/>
    <mergeCell ref="R4800:T4800"/>
    <mergeCell ref="R4801:T4801"/>
    <mergeCell ref="R4802:T4802"/>
    <mergeCell ref="B4806:T4806"/>
    <mergeCell ref="AD4806:AF4806"/>
    <mergeCell ref="B4807:B4816"/>
    <mergeCell ref="C4807:K4807"/>
    <mergeCell ref="L4807:L4809"/>
    <mergeCell ref="M4807:Q4808"/>
    <mergeCell ref="R4807:S4809"/>
    <mergeCell ref="T4807:T4809"/>
    <mergeCell ref="C4808:E4808"/>
    <mergeCell ref="G4808:H4808"/>
    <mergeCell ref="I4808:K4808"/>
    <mergeCell ref="C4809:D4809"/>
    <mergeCell ref="M4809:P4809"/>
    <mergeCell ref="L4810:L4812"/>
    <mergeCell ref="M4810:Q4810"/>
    <mergeCell ref="R4810:T4811"/>
    <mergeCell ref="M4811:N4811"/>
    <mergeCell ref="P4811:Q4811"/>
    <mergeCell ref="M4812:N4812"/>
    <mergeCell ref="P4812:Q4812"/>
    <mergeCell ref="L4813:L4815"/>
    <mergeCell ref="M4813:Q4813"/>
    <mergeCell ref="M4814:N4814"/>
    <mergeCell ref="P4814:Q4814"/>
    <mergeCell ref="M4815:N4815"/>
    <mergeCell ref="P4815:Q4815"/>
    <mergeCell ref="C4816:G4816"/>
    <mergeCell ref="H4816:J4816"/>
    <mergeCell ref="L4816:Q4816"/>
    <mergeCell ref="AB4809:AB4810"/>
    <mergeCell ref="AC4809:AC4810"/>
    <mergeCell ref="AD4809:AD4810"/>
    <mergeCell ref="B4759:D4759"/>
    <mergeCell ref="B4760:B4761"/>
    <mergeCell ref="H4760:H4761"/>
    <mergeCell ref="I4760:I4761"/>
    <mergeCell ref="J4760:J4761"/>
    <mergeCell ref="K4760:K4761"/>
    <mergeCell ref="L4760:L4761"/>
    <mergeCell ref="M4760:M4761"/>
    <mergeCell ref="N4760:N4761"/>
    <mergeCell ref="O4760:P4760"/>
    <mergeCell ref="R4760:T4761"/>
    <mergeCell ref="U4760:U4761"/>
    <mergeCell ref="W4760:Y4760"/>
    <mergeCell ref="AD4760:AF4760"/>
    <mergeCell ref="R4763:T4763"/>
    <mergeCell ref="R4764:T4764"/>
    <mergeCell ref="R4765:T4765"/>
    <mergeCell ref="AA4760:AA4761"/>
    <mergeCell ref="AB4760:AB4761"/>
    <mergeCell ref="R4766:T4766"/>
    <mergeCell ref="R4767:T4767"/>
    <mergeCell ref="R4768:T4768"/>
    <mergeCell ref="R4769:T4769"/>
    <mergeCell ref="R4770:T4770"/>
    <mergeCell ref="R4771:T4771"/>
    <mergeCell ref="R4772:T4772"/>
    <mergeCell ref="B4776:T4776"/>
    <mergeCell ref="AD4776:AF4776"/>
    <mergeCell ref="B4777:B4786"/>
    <mergeCell ref="C4777:K4777"/>
    <mergeCell ref="L4777:L4779"/>
    <mergeCell ref="M4777:Q4778"/>
    <mergeCell ref="R4777:S4779"/>
    <mergeCell ref="T4777:T4779"/>
    <mergeCell ref="C4778:E4778"/>
    <mergeCell ref="G4778:H4778"/>
    <mergeCell ref="I4778:K4778"/>
    <mergeCell ref="C4779:D4779"/>
    <mergeCell ref="M4779:P4779"/>
    <mergeCell ref="L4780:L4782"/>
    <mergeCell ref="M4780:Q4780"/>
    <mergeCell ref="R4780:T4781"/>
    <mergeCell ref="M4781:N4781"/>
    <mergeCell ref="P4781:Q4781"/>
    <mergeCell ref="M4782:N4782"/>
    <mergeCell ref="P4782:Q4782"/>
    <mergeCell ref="L4783:L4785"/>
    <mergeCell ref="M4783:Q4783"/>
    <mergeCell ref="M4784:N4784"/>
    <mergeCell ref="P4784:Q4784"/>
    <mergeCell ref="M4785:N4785"/>
    <mergeCell ref="P4785:Q4785"/>
    <mergeCell ref="C4786:G4786"/>
    <mergeCell ref="H4786:J4786"/>
    <mergeCell ref="L4786:Q4786"/>
    <mergeCell ref="AB4779:AB4780"/>
    <mergeCell ref="AC4779:AC4780"/>
    <mergeCell ref="AD4779:AD4780"/>
    <mergeCell ref="B4729:D4729"/>
    <mergeCell ref="B4730:B4731"/>
    <mergeCell ref="H4730:H4731"/>
    <mergeCell ref="I4730:I4731"/>
    <mergeCell ref="J4730:J4731"/>
    <mergeCell ref="K4730:K4731"/>
    <mergeCell ref="L4730:L4731"/>
    <mergeCell ref="M4730:M4731"/>
    <mergeCell ref="N4730:N4731"/>
    <mergeCell ref="O4730:P4730"/>
    <mergeCell ref="R4730:T4731"/>
    <mergeCell ref="U4730:U4731"/>
    <mergeCell ref="W4730:Y4730"/>
    <mergeCell ref="AD4730:AF4730"/>
    <mergeCell ref="R4733:T4733"/>
    <mergeCell ref="R4734:T4734"/>
    <mergeCell ref="R4735:T4735"/>
    <mergeCell ref="AA4730:AA4731"/>
    <mergeCell ref="AB4730:AB4731"/>
    <mergeCell ref="R4736:T4736"/>
    <mergeCell ref="R4737:T4737"/>
    <mergeCell ref="R4738:T4738"/>
    <mergeCell ref="R4739:T4739"/>
    <mergeCell ref="R4740:T4740"/>
    <mergeCell ref="R4741:T4741"/>
    <mergeCell ref="R4742:T4742"/>
    <mergeCell ref="B4746:T4746"/>
    <mergeCell ref="AD4746:AF4746"/>
    <mergeCell ref="B4747:B4756"/>
    <mergeCell ref="C4747:K4747"/>
    <mergeCell ref="L4747:L4749"/>
    <mergeCell ref="M4747:Q4748"/>
    <mergeCell ref="R4747:S4749"/>
    <mergeCell ref="T4747:T4749"/>
    <mergeCell ref="C4748:E4748"/>
    <mergeCell ref="G4748:H4748"/>
    <mergeCell ref="I4748:K4748"/>
    <mergeCell ref="C4749:D4749"/>
    <mergeCell ref="M4749:P4749"/>
    <mergeCell ref="L4750:L4752"/>
    <mergeCell ref="M4750:Q4750"/>
    <mergeCell ref="R4750:T4751"/>
    <mergeCell ref="M4751:N4751"/>
    <mergeCell ref="P4751:Q4751"/>
    <mergeCell ref="M4752:N4752"/>
    <mergeCell ref="P4752:Q4752"/>
    <mergeCell ref="L4753:L4755"/>
    <mergeCell ref="M4753:Q4753"/>
    <mergeCell ref="M4754:N4754"/>
    <mergeCell ref="P4754:Q4754"/>
    <mergeCell ref="M4755:N4755"/>
    <mergeCell ref="P4755:Q4755"/>
    <mergeCell ref="C4756:G4756"/>
    <mergeCell ref="H4756:J4756"/>
    <mergeCell ref="L4756:Q4756"/>
    <mergeCell ref="AB4749:AB4750"/>
    <mergeCell ref="AC4749:AC4750"/>
    <mergeCell ref="AD4749:AD4750"/>
    <mergeCell ref="B4699:D4699"/>
    <mergeCell ref="B4700:B4701"/>
    <mergeCell ref="H4700:H4701"/>
    <mergeCell ref="I4700:I4701"/>
    <mergeCell ref="J4700:J4701"/>
    <mergeCell ref="K4700:K4701"/>
    <mergeCell ref="L4700:L4701"/>
    <mergeCell ref="M4700:M4701"/>
    <mergeCell ref="N4700:N4701"/>
    <mergeCell ref="O4700:P4700"/>
    <mergeCell ref="R4700:T4701"/>
    <mergeCell ref="U4700:U4701"/>
    <mergeCell ref="W4700:Y4700"/>
    <mergeCell ref="AD4700:AF4700"/>
    <mergeCell ref="R4703:T4703"/>
    <mergeCell ref="R4704:T4704"/>
    <mergeCell ref="R4705:T4705"/>
    <mergeCell ref="AA4700:AA4701"/>
    <mergeCell ref="AB4700:AB4701"/>
    <mergeCell ref="R4706:T4706"/>
    <mergeCell ref="R4707:T4707"/>
    <mergeCell ref="R4708:T4708"/>
    <mergeCell ref="R4709:T4709"/>
    <mergeCell ref="R4710:T4710"/>
    <mergeCell ref="R4711:T4711"/>
    <mergeCell ref="R4712:T4712"/>
    <mergeCell ref="B4716:T4716"/>
    <mergeCell ref="AD4716:AF4716"/>
    <mergeCell ref="B4717:B4726"/>
    <mergeCell ref="C4717:K4717"/>
    <mergeCell ref="L4717:L4719"/>
    <mergeCell ref="M4717:Q4718"/>
    <mergeCell ref="R4717:S4719"/>
    <mergeCell ref="T4717:T4719"/>
    <mergeCell ref="C4718:E4718"/>
    <mergeCell ref="G4718:H4718"/>
    <mergeCell ref="I4718:K4718"/>
    <mergeCell ref="C4719:D4719"/>
    <mergeCell ref="M4719:P4719"/>
    <mergeCell ref="L4720:L4722"/>
    <mergeCell ref="M4720:Q4720"/>
    <mergeCell ref="R4720:T4721"/>
    <mergeCell ref="M4721:N4721"/>
    <mergeCell ref="P4721:Q4721"/>
    <mergeCell ref="M4722:N4722"/>
    <mergeCell ref="P4722:Q4722"/>
    <mergeCell ref="L4723:L4725"/>
    <mergeCell ref="M4723:Q4723"/>
    <mergeCell ref="M4724:N4724"/>
    <mergeCell ref="P4724:Q4724"/>
    <mergeCell ref="M4725:N4725"/>
    <mergeCell ref="P4725:Q4725"/>
    <mergeCell ref="C4726:G4726"/>
    <mergeCell ref="H4726:J4726"/>
    <mergeCell ref="L4726:Q4726"/>
    <mergeCell ref="AB4719:AB4720"/>
    <mergeCell ref="AC4719:AC4720"/>
    <mergeCell ref="AD4719:AD4720"/>
    <mergeCell ref="B4669:D4669"/>
    <mergeCell ref="B4670:B4671"/>
    <mergeCell ref="H4670:H4671"/>
    <mergeCell ref="I4670:I4671"/>
    <mergeCell ref="J4670:J4671"/>
    <mergeCell ref="K4670:K4671"/>
    <mergeCell ref="L4670:L4671"/>
    <mergeCell ref="M4670:M4671"/>
    <mergeCell ref="N4670:N4671"/>
    <mergeCell ref="O4670:P4670"/>
    <mergeCell ref="R4670:T4671"/>
    <mergeCell ref="U4670:U4671"/>
    <mergeCell ref="W4670:Y4670"/>
    <mergeCell ref="AD4670:AF4670"/>
    <mergeCell ref="R4673:T4673"/>
    <mergeCell ref="R4674:T4674"/>
    <mergeCell ref="R4675:T4675"/>
    <mergeCell ref="AA4670:AA4671"/>
    <mergeCell ref="AB4670:AB4671"/>
    <mergeCell ref="R4676:T4676"/>
    <mergeCell ref="R4677:T4677"/>
    <mergeCell ref="R4678:T4678"/>
    <mergeCell ref="R4679:T4679"/>
    <mergeCell ref="R4680:T4680"/>
    <mergeCell ref="R4681:T4681"/>
    <mergeCell ref="R4682:T4682"/>
    <mergeCell ref="B4686:T4686"/>
    <mergeCell ref="AD4686:AF4686"/>
    <mergeCell ref="B4687:B4696"/>
    <mergeCell ref="C4687:K4687"/>
    <mergeCell ref="L4687:L4689"/>
    <mergeCell ref="M4687:Q4688"/>
    <mergeCell ref="R4687:S4689"/>
    <mergeCell ref="T4687:T4689"/>
    <mergeCell ref="C4688:E4688"/>
    <mergeCell ref="G4688:H4688"/>
    <mergeCell ref="I4688:K4688"/>
    <mergeCell ref="C4689:D4689"/>
    <mergeCell ref="M4689:P4689"/>
    <mergeCell ref="L4690:L4692"/>
    <mergeCell ref="M4690:Q4690"/>
    <mergeCell ref="R4690:T4691"/>
    <mergeCell ref="M4691:N4691"/>
    <mergeCell ref="P4691:Q4691"/>
    <mergeCell ref="M4692:N4692"/>
    <mergeCell ref="P4692:Q4692"/>
    <mergeCell ref="L4693:L4695"/>
    <mergeCell ref="M4693:Q4693"/>
    <mergeCell ref="M4694:N4694"/>
    <mergeCell ref="P4694:Q4694"/>
    <mergeCell ref="M4695:N4695"/>
    <mergeCell ref="P4695:Q4695"/>
    <mergeCell ref="C4696:G4696"/>
    <mergeCell ref="H4696:J4696"/>
    <mergeCell ref="L4696:Q4696"/>
    <mergeCell ref="AB4689:AB4690"/>
    <mergeCell ref="AC4689:AC4690"/>
    <mergeCell ref="AD4689:AD4690"/>
    <mergeCell ref="B4639:D4639"/>
    <mergeCell ref="B4640:B4641"/>
    <mergeCell ref="H4640:H4641"/>
    <mergeCell ref="I4640:I4641"/>
    <mergeCell ref="J4640:J4641"/>
    <mergeCell ref="K4640:K4641"/>
    <mergeCell ref="L4640:L4641"/>
    <mergeCell ref="M4640:M4641"/>
    <mergeCell ref="N4640:N4641"/>
    <mergeCell ref="O4640:P4640"/>
    <mergeCell ref="R4640:T4641"/>
    <mergeCell ref="U4640:U4641"/>
    <mergeCell ref="W4640:Y4640"/>
    <mergeCell ref="AD4640:AF4640"/>
    <mergeCell ref="R4643:T4643"/>
    <mergeCell ref="R4644:T4644"/>
    <mergeCell ref="R4645:T4645"/>
    <mergeCell ref="AA4640:AA4641"/>
    <mergeCell ref="AB4640:AB4641"/>
    <mergeCell ref="R4646:T4646"/>
    <mergeCell ref="R4647:T4647"/>
    <mergeCell ref="R4648:T4648"/>
    <mergeCell ref="R4649:T4649"/>
    <mergeCell ref="R4650:T4650"/>
    <mergeCell ref="R4651:T4651"/>
    <mergeCell ref="R4652:T4652"/>
    <mergeCell ref="B4656:T4656"/>
    <mergeCell ref="AD4656:AF4656"/>
    <mergeCell ref="B4657:B4666"/>
    <mergeCell ref="C4657:K4657"/>
    <mergeCell ref="L4657:L4659"/>
    <mergeCell ref="M4657:Q4658"/>
    <mergeCell ref="R4657:S4659"/>
    <mergeCell ref="T4657:T4659"/>
    <mergeCell ref="C4658:E4658"/>
    <mergeCell ref="G4658:H4658"/>
    <mergeCell ref="I4658:K4658"/>
    <mergeCell ref="C4659:D4659"/>
    <mergeCell ref="M4659:P4659"/>
    <mergeCell ref="L4660:L4662"/>
    <mergeCell ref="M4660:Q4660"/>
    <mergeCell ref="R4660:T4661"/>
    <mergeCell ref="M4661:N4661"/>
    <mergeCell ref="P4661:Q4661"/>
    <mergeCell ref="M4662:N4662"/>
    <mergeCell ref="P4662:Q4662"/>
    <mergeCell ref="L4663:L4665"/>
    <mergeCell ref="M4663:Q4663"/>
    <mergeCell ref="M4664:N4664"/>
    <mergeCell ref="P4664:Q4664"/>
    <mergeCell ref="M4665:N4665"/>
    <mergeCell ref="P4665:Q4665"/>
    <mergeCell ref="C4666:G4666"/>
    <mergeCell ref="H4666:J4666"/>
    <mergeCell ref="L4666:Q4666"/>
    <mergeCell ref="AB4659:AB4660"/>
    <mergeCell ref="AC4659:AC4660"/>
    <mergeCell ref="AD4659:AD4660"/>
    <mergeCell ref="B4609:D4609"/>
    <mergeCell ref="B4610:B4611"/>
    <mergeCell ref="H4610:H4611"/>
    <mergeCell ref="I4610:I4611"/>
    <mergeCell ref="J4610:J4611"/>
    <mergeCell ref="K4610:K4611"/>
    <mergeCell ref="L4610:L4611"/>
    <mergeCell ref="M4610:M4611"/>
    <mergeCell ref="N4610:N4611"/>
    <mergeCell ref="O4610:P4610"/>
    <mergeCell ref="R4610:T4611"/>
    <mergeCell ref="U4610:U4611"/>
    <mergeCell ref="W4610:Y4610"/>
    <mergeCell ref="AD4610:AF4610"/>
    <mergeCell ref="R4613:T4613"/>
    <mergeCell ref="R4614:T4614"/>
    <mergeCell ref="R4615:T4615"/>
    <mergeCell ref="AA4610:AA4611"/>
    <mergeCell ref="AB4610:AB4611"/>
    <mergeCell ref="R4616:T4616"/>
    <mergeCell ref="R4617:T4617"/>
    <mergeCell ref="R4618:T4618"/>
    <mergeCell ref="R4619:T4619"/>
    <mergeCell ref="R4620:T4620"/>
    <mergeCell ref="R4621:T4621"/>
    <mergeCell ref="R4622:T4622"/>
    <mergeCell ref="B4626:T4626"/>
    <mergeCell ref="AD4626:AF4626"/>
    <mergeCell ref="B4627:B4636"/>
    <mergeCell ref="C4627:K4627"/>
    <mergeCell ref="L4627:L4629"/>
    <mergeCell ref="M4627:Q4628"/>
    <mergeCell ref="R4627:S4629"/>
    <mergeCell ref="T4627:T4629"/>
    <mergeCell ref="C4628:E4628"/>
    <mergeCell ref="G4628:H4628"/>
    <mergeCell ref="I4628:K4628"/>
    <mergeCell ref="C4629:D4629"/>
    <mergeCell ref="M4629:P4629"/>
    <mergeCell ref="L4630:L4632"/>
    <mergeCell ref="M4630:Q4630"/>
    <mergeCell ref="R4630:T4631"/>
    <mergeCell ref="M4631:N4631"/>
    <mergeCell ref="P4631:Q4631"/>
    <mergeCell ref="M4632:N4632"/>
    <mergeCell ref="P4632:Q4632"/>
    <mergeCell ref="L4633:L4635"/>
    <mergeCell ref="M4633:Q4633"/>
    <mergeCell ref="M4634:N4634"/>
    <mergeCell ref="P4634:Q4634"/>
    <mergeCell ref="M4635:N4635"/>
    <mergeCell ref="P4635:Q4635"/>
    <mergeCell ref="C4636:G4636"/>
    <mergeCell ref="H4636:J4636"/>
    <mergeCell ref="L4636:Q4636"/>
    <mergeCell ref="AB4629:AB4630"/>
    <mergeCell ref="AC4629:AC4630"/>
    <mergeCell ref="AD4629:AD4630"/>
    <mergeCell ref="B4579:D4579"/>
    <mergeCell ref="B4580:B4581"/>
    <mergeCell ref="H4580:H4581"/>
    <mergeCell ref="I4580:I4581"/>
    <mergeCell ref="J4580:J4581"/>
    <mergeCell ref="K4580:K4581"/>
    <mergeCell ref="L4580:L4581"/>
    <mergeCell ref="M4580:M4581"/>
    <mergeCell ref="N4580:N4581"/>
    <mergeCell ref="O4580:P4580"/>
    <mergeCell ref="R4580:T4581"/>
    <mergeCell ref="U4580:U4581"/>
    <mergeCell ref="W4580:Y4580"/>
    <mergeCell ref="AD4580:AF4580"/>
    <mergeCell ref="R4583:T4583"/>
    <mergeCell ref="R4584:T4584"/>
    <mergeCell ref="R4585:T4585"/>
    <mergeCell ref="AA4580:AA4581"/>
    <mergeCell ref="AB4580:AB4581"/>
    <mergeCell ref="R4586:T4586"/>
    <mergeCell ref="R4587:T4587"/>
    <mergeCell ref="R4588:T4588"/>
    <mergeCell ref="R4589:T4589"/>
    <mergeCell ref="R4590:T4590"/>
    <mergeCell ref="R4591:T4591"/>
    <mergeCell ref="R4592:T4592"/>
    <mergeCell ref="B4596:T4596"/>
    <mergeCell ref="AD4596:AF4596"/>
    <mergeCell ref="B4597:B4606"/>
    <mergeCell ref="C4597:K4597"/>
    <mergeCell ref="L4597:L4599"/>
    <mergeCell ref="M4597:Q4598"/>
    <mergeCell ref="R4597:S4599"/>
    <mergeCell ref="T4597:T4599"/>
    <mergeCell ref="C4598:E4598"/>
    <mergeCell ref="G4598:H4598"/>
    <mergeCell ref="I4598:K4598"/>
    <mergeCell ref="C4599:D4599"/>
    <mergeCell ref="M4599:P4599"/>
    <mergeCell ref="L4600:L4602"/>
    <mergeCell ref="M4600:Q4600"/>
    <mergeCell ref="R4600:T4601"/>
    <mergeCell ref="M4601:N4601"/>
    <mergeCell ref="P4601:Q4601"/>
    <mergeCell ref="M4602:N4602"/>
    <mergeCell ref="P4602:Q4602"/>
    <mergeCell ref="L4603:L4605"/>
    <mergeCell ref="M4603:Q4603"/>
    <mergeCell ref="M4604:N4604"/>
    <mergeCell ref="P4604:Q4604"/>
    <mergeCell ref="M4605:N4605"/>
    <mergeCell ref="P4605:Q4605"/>
    <mergeCell ref="C4606:G4606"/>
    <mergeCell ref="H4606:J4606"/>
    <mergeCell ref="L4606:Q4606"/>
    <mergeCell ref="AB4599:AB4600"/>
    <mergeCell ref="AC4599:AC4600"/>
    <mergeCell ref="AD4599:AD4600"/>
    <mergeCell ref="B4549:D4549"/>
    <mergeCell ref="B4550:B4551"/>
    <mergeCell ref="H4550:H4551"/>
    <mergeCell ref="I4550:I4551"/>
    <mergeCell ref="J4550:J4551"/>
    <mergeCell ref="K4550:K4551"/>
    <mergeCell ref="L4550:L4551"/>
    <mergeCell ref="M4550:M4551"/>
    <mergeCell ref="N4550:N4551"/>
    <mergeCell ref="O4550:P4550"/>
    <mergeCell ref="R4550:T4551"/>
    <mergeCell ref="U4550:U4551"/>
    <mergeCell ref="W4550:Y4550"/>
    <mergeCell ref="AD4550:AF4550"/>
    <mergeCell ref="R4553:T4553"/>
    <mergeCell ref="R4554:T4554"/>
    <mergeCell ref="R4555:T4555"/>
    <mergeCell ref="AA4550:AA4551"/>
    <mergeCell ref="AB4550:AB4551"/>
    <mergeCell ref="R4556:T4556"/>
    <mergeCell ref="R4557:T4557"/>
    <mergeCell ref="R4558:T4558"/>
    <mergeCell ref="R4559:T4559"/>
    <mergeCell ref="R4560:T4560"/>
    <mergeCell ref="R4561:T4561"/>
    <mergeCell ref="R4562:T4562"/>
    <mergeCell ref="B4566:T4566"/>
    <mergeCell ref="AD4566:AF4566"/>
    <mergeCell ref="B4567:B4576"/>
    <mergeCell ref="C4567:K4567"/>
    <mergeCell ref="L4567:L4569"/>
    <mergeCell ref="M4567:Q4568"/>
    <mergeCell ref="R4567:S4569"/>
    <mergeCell ref="T4567:T4569"/>
    <mergeCell ref="C4568:E4568"/>
    <mergeCell ref="G4568:H4568"/>
    <mergeCell ref="I4568:K4568"/>
    <mergeCell ref="C4569:D4569"/>
    <mergeCell ref="M4569:P4569"/>
    <mergeCell ref="L4570:L4572"/>
    <mergeCell ref="M4570:Q4570"/>
    <mergeCell ref="R4570:T4571"/>
    <mergeCell ref="M4571:N4571"/>
    <mergeCell ref="P4571:Q4571"/>
    <mergeCell ref="M4572:N4572"/>
    <mergeCell ref="P4572:Q4572"/>
    <mergeCell ref="L4573:L4575"/>
    <mergeCell ref="M4573:Q4573"/>
    <mergeCell ref="M4574:N4574"/>
    <mergeCell ref="P4574:Q4574"/>
    <mergeCell ref="M4575:N4575"/>
    <mergeCell ref="P4575:Q4575"/>
    <mergeCell ref="C4576:G4576"/>
    <mergeCell ref="H4576:J4576"/>
    <mergeCell ref="L4576:Q4576"/>
    <mergeCell ref="AB4569:AB4570"/>
    <mergeCell ref="AC4569:AC4570"/>
    <mergeCell ref="AD4569:AD4570"/>
    <mergeCell ref="B4519:D4519"/>
    <mergeCell ref="B4520:B4521"/>
    <mergeCell ref="H4520:H4521"/>
    <mergeCell ref="I4520:I4521"/>
    <mergeCell ref="J4520:J4521"/>
    <mergeCell ref="K4520:K4521"/>
    <mergeCell ref="L4520:L4521"/>
    <mergeCell ref="M4520:M4521"/>
    <mergeCell ref="N4520:N4521"/>
    <mergeCell ref="O4520:P4520"/>
    <mergeCell ref="R4520:T4521"/>
    <mergeCell ref="U4520:U4521"/>
    <mergeCell ref="W4520:Y4520"/>
    <mergeCell ref="AD4520:AF4520"/>
    <mergeCell ref="R4523:T4523"/>
    <mergeCell ref="R4524:T4524"/>
    <mergeCell ref="R4525:T4525"/>
    <mergeCell ref="AA4520:AA4521"/>
    <mergeCell ref="AB4520:AB4521"/>
    <mergeCell ref="R4526:T4526"/>
    <mergeCell ref="R4527:T4527"/>
    <mergeCell ref="R4528:T4528"/>
    <mergeCell ref="R4529:T4529"/>
    <mergeCell ref="R4530:T4530"/>
    <mergeCell ref="R4531:T4531"/>
    <mergeCell ref="R4532:T4532"/>
    <mergeCell ref="B4536:T4536"/>
    <mergeCell ref="AD4536:AF4536"/>
    <mergeCell ref="B4537:B4546"/>
    <mergeCell ref="C4537:K4537"/>
    <mergeCell ref="L4537:L4539"/>
    <mergeCell ref="M4537:Q4538"/>
    <mergeCell ref="R4537:S4539"/>
    <mergeCell ref="T4537:T4539"/>
    <mergeCell ref="C4538:E4538"/>
    <mergeCell ref="G4538:H4538"/>
    <mergeCell ref="I4538:K4538"/>
    <mergeCell ref="C4539:D4539"/>
    <mergeCell ref="M4539:P4539"/>
    <mergeCell ref="L4540:L4542"/>
    <mergeCell ref="M4540:Q4540"/>
    <mergeCell ref="R4540:T4541"/>
    <mergeCell ref="M4541:N4541"/>
    <mergeCell ref="P4541:Q4541"/>
    <mergeCell ref="M4542:N4542"/>
    <mergeCell ref="P4542:Q4542"/>
    <mergeCell ref="L4543:L4545"/>
    <mergeCell ref="M4543:Q4543"/>
    <mergeCell ref="M4544:N4544"/>
    <mergeCell ref="P4544:Q4544"/>
    <mergeCell ref="M4545:N4545"/>
    <mergeCell ref="P4545:Q4545"/>
    <mergeCell ref="C4546:G4546"/>
    <mergeCell ref="H4546:J4546"/>
    <mergeCell ref="L4546:Q4546"/>
    <mergeCell ref="AB4539:AB4540"/>
    <mergeCell ref="AC4539:AC4540"/>
    <mergeCell ref="AD4539:AD4540"/>
    <mergeCell ref="B4489:D4489"/>
    <mergeCell ref="B4490:B4491"/>
    <mergeCell ref="H4490:H4491"/>
    <mergeCell ref="I4490:I4491"/>
    <mergeCell ref="J4490:J4491"/>
    <mergeCell ref="K4490:K4491"/>
    <mergeCell ref="L4490:L4491"/>
    <mergeCell ref="M4490:M4491"/>
    <mergeCell ref="N4490:N4491"/>
    <mergeCell ref="O4490:P4490"/>
    <mergeCell ref="R4490:T4491"/>
    <mergeCell ref="U4490:U4491"/>
    <mergeCell ref="W4490:Y4490"/>
    <mergeCell ref="AD4490:AF4490"/>
    <mergeCell ref="R4493:T4493"/>
    <mergeCell ref="R4494:T4494"/>
    <mergeCell ref="R4495:T4495"/>
    <mergeCell ref="AA4490:AA4491"/>
    <mergeCell ref="AB4490:AB4491"/>
    <mergeCell ref="R4496:T4496"/>
    <mergeCell ref="R4497:T4497"/>
    <mergeCell ref="R4498:T4498"/>
    <mergeCell ref="R4499:T4499"/>
    <mergeCell ref="R4500:T4500"/>
    <mergeCell ref="R4501:T4501"/>
    <mergeCell ref="R4502:T4502"/>
    <mergeCell ref="B4506:T4506"/>
    <mergeCell ref="AD4506:AF4506"/>
    <mergeCell ref="B4507:B4516"/>
    <mergeCell ref="C4507:K4507"/>
    <mergeCell ref="L4507:L4509"/>
    <mergeCell ref="M4507:Q4508"/>
    <mergeCell ref="R4507:S4509"/>
    <mergeCell ref="T4507:T4509"/>
    <mergeCell ref="C4508:E4508"/>
    <mergeCell ref="G4508:H4508"/>
    <mergeCell ref="I4508:K4508"/>
    <mergeCell ref="C4509:D4509"/>
    <mergeCell ref="M4509:P4509"/>
    <mergeCell ref="L4510:L4512"/>
    <mergeCell ref="M4510:Q4510"/>
    <mergeCell ref="R4510:T4511"/>
    <mergeCell ref="M4511:N4511"/>
    <mergeCell ref="P4511:Q4511"/>
    <mergeCell ref="M4512:N4512"/>
    <mergeCell ref="P4512:Q4512"/>
    <mergeCell ref="L4513:L4515"/>
    <mergeCell ref="M4513:Q4513"/>
    <mergeCell ref="M4514:N4514"/>
    <mergeCell ref="P4514:Q4514"/>
    <mergeCell ref="M4515:N4515"/>
    <mergeCell ref="P4515:Q4515"/>
    <mergeCell ref="C4516:G4516"/>
    <mergeCell ref="H4516:J4516"/>
    <mergeCell ref="L4516:Q4516"/>
    <mergeCell ref="AB4509:AB4510"/>
    <mergeCell ref="AC4509:AC4510"/>
    <mergeCell ref="AD4509:AD4510"/>
    <mergeCell ref="B4459:D4459"/>
    <mergeCell ref="B4460:B4461"/>
    <mergeCell ref="H4460:H4461"/>
    <mergeCell ref="I4460:I4461"/>
    <mergeCell ref="J4460:J4461"/>
    <mergeCell ref="K4460:K4461"/>
    <mergeCell ref="L4460:L4461"/>
    <mergeCell ref="M4460:M4461"/>
    <mergeCell ref="N4460:N4461"/>
    <mergeCell ref="O4460:P4460"/>
    <mergeCell ref="R4460:T4461"/>
    <mergeCell ref="U4460:U4461"/>
    <mergeCell ref="W4460:Y4460"/>
    <mergeCell ref="AD4460:AF4460"/>
    <mergeCell ref="R4463:T4463"/>
    <mergeCell ref="R4464:T4464"/>
    <mergeCell ref="R4465:T4465"/>
    <mergeCell ref="AA4460:AA4461"/>
    <mergeCell ref="AB4460:AB4461"/>
    <mergeCell ref="R4466:T4466"/>
    <mergeCell ref="R4467:T4467"/>
    <mergeCell ref="R4468:T4468"/>
    <mergeCell ref="R4469:T4469"/>
    <mergeCell ref="R4470:T4470"/>
    <mergeCell ref="R4471:T4471"/>
    <mergeCell ref="R4472:T4472"/>
    <mergeCell ref="B4476:T4476"/>
    <mergeCell ref="AD4476:AF4476"/>
    <mergeCell ref="B4477:B4486"/>
    <mergeCell ref="C4477:K4477"/>
    <mergeCell ref="L4477:L4479"/>
    <mergeCell ref="M4477:Q4478"/>
    <mergeCell ref="R4477:S4479"/>
    <mergeCell ref="T4477:T4479"/>
    <mergeCell ref="C4478:E4478"/>
    <mergeCell ref="G4478:H4478"/>
    <mergeCell ref="I4478:K4478"/>
    <mergeCell ref="C4479:D4479"/>
    <mergeCell ref="M4479:P4479"/>
    <mergeCell ref="L4480:L4482"/>
    <mergeCell ref="M4480:Q4480"/>
    <mergeCell ref="R4480:T4481"/>
    <mergeCell ref="M4481:N4481"/>
    <mergeCell ref="P4481:Q4481"/>
    <mergeCell ref="M4482:N4482"/>
    <mergeCell ref="P4482:Q4482"/>
    <mergeCell ref="L4483:L4485"/>
    <mergeCell ref="M4483:Q4483"/>
    <mergeCell ref="M4484:N4484"/>
    <mergeCell ref="P4484:Q4484"/>
    <mergeCell ref="M4485:N4485"/>
    <mergeCell ref="P4485:Q4485"/>
    <mergeCell ref="C4486:G4486"/>
    <mergeCell ref="H4486:J4486"/>
    <mergeCell ref="L4486:Q4486"/>
    <mergeCell ref="AB4479:AB4480"/>
    <mergeCell ref="AC4479:AC4480"/>
    <mergeCell ref="AD4479:AD4480"/>
    <mergeCell ref="B4429:D4429"/>
    <mergeCell ref="B4430:B4431"/>
    <mergeCell ref="H4430:H4431"/>
    <mergeCell ref="I4430:I4431"/>
    <mergeCell ref="J4430:J4431"/>
    <mergeCell ref="K4430:K4431"/>
    <mergeCell ref="L4430:L4431"/>
    <mergeCell ref="M4430:M4431"/>
    <mergeCell ref="N4430:N4431"/>
    <mergeCell ref="O4430:P4430"/>
    <mergeCell ref="R4430:T4431"/>
    <mergeCell ref="U4430:U4431"/>
    <mergeCell ref="W4430:Y4430"/>
    <mergeCell ref="AD4430:AF4430"/>
    <mergeCell ref="R4433:T4433"/>
    <mergeCell ref="R4434:T4434"/>
    <mergeCell ref="R4435:T4435"/>
    <mergeCell ref="AA4430:AA4431"/>
    <mergeCell ref="AB4430:AB4431"/>
    <mergeCell ref="R4436:T4436"/>
    <mergeCell ref="R4437:T4437"/>
    <mergeCell ref="R4438:T4438"/>
    <mergeCell ref="R4439:T4439"/>
    <mergeCell ref="R4440:T4440"/>
    <mergeCell ref="R4441:T4441"/>
    <mergeCell ref="R4442:T4442"/>
    <mergeCell ref="B4446:T4446"/>
    <mergeCell ref="AD4446:AF4446"/>
    <mergeCell ref="B4447:B4456"/>
    <mergeCell ref="C4447:K4447"/>
    <mergeCell ref="L4447:L4449"/>
    <mergeCell ref="M4447:Q4448"/>
    <mergeCell ref="R4447:S4449"/>
    <mergeCell ref="T4447:T4449"/>
    <mergeCell ref="C4448:E4448"/>
    <mergeCell ref="G4448:H4448"/>
    <mergeCell ref="I4448:K4448"/>
    <mergeCell ref="C4449:D4449"/>
    <mergeCell ref="M4449:P4449"/>
    <mergeCell ref="L4450:L4452"/>
    <mergeCell ref="M4450:Q4450"/>
    <mergeCell ref="R4450:T4451"/>
    <mergeCell ref="M4451:N4451"/>
    <mergeCell ref="P4451:Q4451"/>
    <mergeCell ref="M4452:N4452"/>
    <mergeCell ref="P4452:Q4452"/>
    <mergeCell ref="L4453:L4455"/>
    <mergeCell ref="M4453:Q4453"/>
    <mergeCell ref="M4454:N4454"/>
    <mergeCell ref="P4454:Q4454"/>
    <mergeCell ref="M4455:N4455"/>
    <mergeCell ref="P4455:Q4455"/>
    <mergeCell ref="C4456:G4456"/>
    <mergeCell ref="H4456:J4456"/>
    <mergeCell ref="L4456:Q4456"/>
    <mergeCell ref="AB4449:AB4450"/>
    <mergeCell ref="AC4449:AC4450"/>
    <mergeCell ref="AD4449:AD4450"/>
    <mergeCell ref="B4399:D4399"/>
    <mergeCell ref="B4400:B4401"/>
    <mergeCell ref="H4400:H4401"/>
    <mergeCell ref="I4400:I4401"/>
    <mergeCell ref="J4400:J4401"/>
    <mergeCell ref="K4400:K4401"/>
    <mergeCell ref="L4400:L4401"/>
    <mergeCell ref="M4400:M4401"/>
    <mergeCell ref="N4400:N4401"/>
    <mergeCell ref="O4400:P4400"/>
    <mergeCell ref="R4400:T4401"/>
    <mergeCell ref="U4400:U4401"/>
    <mergeCell ref="W4400:Y4400"/>
    <mergeCell ref="AD4400:AF4400"/>
    <mergeCell ref="R4403:T4403"/>
    <mergeCell ref="R4404:T4404"/>
    <mergeCell ref="R4405:T4405"/>
    <mergeCell ref="AA4400:AA4401"/>
    <mergeCell ref="AB4400:AB4401"/>
    <mergeCell ref="R4406:T4406"/>
    <mergeCell ref="R4407:T4407"/>
    <mergeCell ref="R4408:T4408"/>
    <mergeCell ref="R4409:T4409"/>
    <mergeCell ref="R4410:T4410"/>
    <mergeCell ref="R4411:T4411"/>
    <mergeCell ref="R4412:T4412"/>
    <mergeCell ref="B4416:T4416"/>
    <mergeCell ref="AD4416:AF4416"/>
    <mergeCell ref="B4417:B4426"/>
    <mergeCell ref="C4417:K4417"/>
    <mergeCell ref="L4417:L4419"/>
    <mergeCell ref="M4417:Q4418"/>
    <mergeCell ref="R4417:S4419"/>
    <mergeCell ref="T4417:T4419"/>
    <mergeCell ref="C4418:E4418"/>
    <mergeCell ref="G4418:H4418"/>
    <mergeCell ref="I4418:K4418"/>
    <mergeCell ref="C4419:D4419"/>
    <mergeCell ref="M4419:P4419"/>
    <mergeCell ref="L4420:L4422"/>
    <mergeCell ref="M4420:Q4420"/>
    <mergeCell ref="R4420:T4421"/>
    <mergeCell ref="M4421:N4421"/>
    <mergeCell ref="P4421:Q4421"/>
    <mergeCell ref="M4422:N4422"/>
    <mergeCell ref="P4422:Q4422"/>
    <mergeCell ref="L4423:L4425"/>
    <mergeCell ref="M4423:Q4423"/>
    <mergeCell ref="M4424:N4424"/>
    <mergeCell ref="P4424:Q4424"/>
    <mergeCell ref="M4425:N4425"/>
    <mergeCell ref="P4425:Q4425"/>
    <mergeCell ref="C4426:G4426"/>
    <mergeCell ref="H4426:J4426"/>
    <mergeCell ref="L4426:Q4426"/>
    <mergeCell ref="AB4419:AB4420"/>
    <mergeCell ref="AC4419:AC4420"/>
    <mergeCell ref="AD4419:AD4420"/>
    <mergeCell ref="B4369:D4369"/>
    <mergeCell ref="B4370:B4371"/>
    <mergeCell ref="H4370:H4371"/>
    <mergeCell ref="I4370:I4371"/>
    <mergeCell ref="J4370:J4371"/>
    <mergeCell ref="K4370:K4371"/>
    <mergeCell ref="L4370:L4371"/>
    <mergeCell ref="M4370:M4371"/>
    <mergeCell ref="N4370:N4371"/>
    <mergeCell ref="O4370:P4370"/>
    <mergeCell ref="R4370:T4371"/>
    <mergeCell ref="U4370:U4371"/>
    <mergeCell ref="W4370:Y4370"/>
    <mergeCell ref="AD4370:AF4370"/>
    <mergeCell ref="R4373:T4373"/>
    <mergeCell ref="R4374:T4374"/>
    <mergeCell ref="R4375:T4375"/>
    <mergeCell ref="AA4370:AA4371"/>
    <mergeCell ref="AB4370:AB4371"/>
    <mergeCell ref="R4376:T4376"/>
    <mergeCell ref="R4377:T4377"/>
    <mergeCell ref="R4378:T4378"/>
    <mergeCell ref="R4379:T4379"/>
    <mergeCell ref="R4380:T4380"/>
    <mergeCell ref="R4381:T4381"/>
    <mergeCell ref="R4382:T4382"/>
    <mergeCell ref="B4386:T4386"/>
    <mergeCell ref="AD4386:AF4386"/>
    <mergeCell ref="B4387:B4396"/>
    <mergeCell ref="C4387:K4387"/>
    <mergeCell ref="L4387:L4389"/>
    <mergeCell ref="M4387:Q4388"/>
    <mergeCell ref="R4387:S4389"/>
    <mergeCell ref="T4387:T4389"/>
    <mergeCell ref="C4388:E4388"/>
    <mergeCell ref="G4388:H4388"/>
    <mergeCell ref="I4388:K4388"/>
    <mergeCell ref="C4389:D4389"/>
    <mergeCell ref="M4389:P4389"/>
    <mergeCell ref="L4390:L4392"/>
    <mergeCell ref="M4390:Q4390"/>
    <mergeCell ref="R4390:T4391"/>
    <mergeCell ref="M4391:N4391"/>
    <mergeCell ref="P4391:Q4391"/>
    <mergeCell ref="M4392:N4392"/>
    <mergeCell ref="P4392:Q4392"/>
    <mergeCell ref="L4393:L4395"/>
    <mergeCell ref="M4393:Q4393"/>
    <mergeCell ref="M4394:N4394"/>
    <mergeCell ref="P4394:Q4394"/>
    <mergeCell ref="M4395:N4395"/>
    <mergeCell ref="P4395:Q4395"/>
    <mergeCell ref="C4396:G4396"/>
    <mergeCell ref="H4396:J4396"/>
    <mergeCell ref="L4396:Q4396"/>
    <mergeCell ref="AB4389:AB4390"/>
    <mergeCell ref="AC4389:AC4390"/>
    <mergeCell ref="AD4389:AD4390"/>
    <mergeCell ref="B4339:D4339"/>
    <mergeCell ref="B4340:B4341"/>
    <mergeCell ref="H4340:H4341"/>
    <mergeCell ref="I4340:I4341"/>
    <mergeCell ref="J4340:J4341"/>
    <mergeCell ref="K4340:K4341"/>
    <mergeCell ref="L4340:L4341"/>
    <mergeCell ref="M4340:M4341"/>
    <mergeCell ref="N4340:N4341"/>
    <mergeCell ref="O4340:P4340"/>
    <mergeCell ref="R4340:T4341"/>
    <mergeCell ref="U4340:U4341"/>
    <mergeCell ref="W4340:Y4340"/>
    <mergeCell ref="AD4340:AF4340"/>
    <mergeCell ref="R4343:T4343"/>
    <mergeCell ref="R4344:T4344"/>
    <mergeCell ref="R4345:T4345"/>
    <mergeCell ref="AA4340:AA4341"/>
    <mergeCell ref="AB4340:AB4341"/>
    <mergeCell ref="R4346:T4346"/>
    <mergeCell ref="R4347:T4347"/>
    <mergeCell ref="R4348:T4348"/>
    <mergeCell ref="R4349:T4349"/>
    <mergeCell ref="R4350:T4350"/>
    <mergeCell ref="R4351:T4351"/>
    <mergeCell ref="R4352:T4352"/>
    <mergeCell ref="B4356:T4356"/>
    <mergeCell ref="AD4356:AF4356"/>
    <mergeCell ref="B4357:B4366"/>
    <mergeCell ref="C4357:K4357"/>
    <mergeCell ref="L4357:L4359"/>
    <mergeCell ref="M4357:Q4358"/>
    <mergeCell ref="R4357:S4359"/>
    <mergeCell ref="T4357:T4359"/>
    <mergeCell ref="C4358:E4358"/>
    <mergeCell ref="G4358:H4358"/>
    <mergeCell ref="I4358:K4358"/>
    <mergeCell ref="C4359:D4359"/>
    <mergeCell ref="M4359:P4359"/>
    <mergeCell ref="L4360:L4362"/>
    <mergeCell ref="M4360:Q4360"/>
    <mergeCell ref="R4360:T4361"/>
    <mergeCell ref="M4361:N4361"/>
    <mergeCell ref="P4361:Q4361"/>
    <mergeCell ref="M4362:N4362"/>
    <mergeCell ref="P4362:Q4362"/>
    <mergeCell ref="L4363:L4365"/>
    <mergeCell ref="M4363:Q4363"/>
    <mergeCell ref="M4364:N4364"/>
    <mergeCell ref="P4364:Q4364"/>
    <mergeCell ref="M4365:N4365"/>
    <mergeCell ref="P4365:Q4365"/>
    <mergeCell ref="C4366:G4366"/>
    <mergeCell ref="H4366:J4366"/>
    <mergeCell ref="L4366:Q4366"/>
    <mergeCell ref="AB4359:AB4360"/>
    <mergeCell ref="AC4359:AC4360"/>
    <mergeCell ref="AD4359:AD4360"/>
    <mergeCell ref="B4309:D4309"/>
    <mergeCell ref="B4310:B4311"/>
    <mergeCell ref="H4310:H4311"/>
    <mergeCell ref="I4310:I4311"/>
    <mergeCell ref="J4310:J4311"/>
    <mergeCell ref="K4310:K4311"/>
    <mergeCell ref="L4310:L4311"/>
    <mergeCell ref="M4310:M4311"/>
    <mergeCell ref="N4310:N4311"/>
    <mergeCell ref="O4310:P4310"/>
    <mergeCell ref="R4310:T4311"/>
    <mergeCell ref="U4310:U4311"/>
    <mergeCell ref="W4310:Y4310"/>
    <mergeCell ref="AD4310:AF4310"/>
    <mergeCell ref="R4313:T4313"/>
    <mergeCell ref="R4314:T4314"/>
    <mergeCell ref="R4315:T4315"/>
    <mergeCell ref="AA4310:AA4311"/>
    <mergeCell ref="AB4310:AB4311"/>
    <mergeCell ref="R4316:T4316"/>
    <mergeCell ref="R4317:T4317"/>
    <mergeCell ref="R4318:T4318"/>
    <mergeCell ref="R4319:T4319"/>
    <mergeCell ref="R4320:T4320"/>
    <mergeCell ref="R4321:T4321"/>
    <mergeCell ref="R4322:T4322"/>
    <mergeCell ref="B4326:T4326"/>
    <mergeCell ref="AD4326:AF4326"/>
    <mergeCell ref="B4327:B4336"/>
    <mergeCell ref="C4327:K4327"/>
    <mergeCell ref="L4327:L4329"/>
    <mergeCell ref="M4327:Q4328"/>
    <mergeCell ref="R4327:S4329"/>
    <mergeCell ref="T4327:T4329"/>
    <mergeCell ref="C4328:E4328"/>
    <mergeCell ref="G4328:H4328"/>
    <mergeCell ref="I4328:K4328"/>
    <mergeCell ref="C4329:D4329"/>
    <mergeCell ref="M4329:P4329"/>
    <mergeCell ref="L4330:L4332"/>
    <mergeCell ref="M4330:Q4330"/>
    <mergeCell ref="R4330:T4331"/>
    <mergeCell ref="M4331:N4331"/>
    <mergeCell ref="P4331:Q4331"/>
    <mergeCell ref="M4332:N4332"/>
    <mergeCell ref="P4332:Q4332"/>
    <mergeCell ref="L4333:L4335"/>
    <mergeCell ref="M4333:Q4333"/>
    <mergeCell ref="M4334:N4334"/>
    <mergeCell ref="P4334:Q4334"/>
    <mergeCell ref="M4335:N4335"/>
    <mergeCell ref="P4335:Q4335"/>
    <mergeCell ref="C4336:G4336"/>
    <mergeCell ref="H4336:J4336"/>
    <mergeCell ref="L4336:Q4336"/>
    <mergeCell ref="AB4329:AB4330"/>
    <mergeCell ref="AC4329:AC4330"/>
    <mergeCell ref="AD4329:AD4330"/>
    <mergeCell ref="B4279:D4279"/>
    <mergeCell ref="B4280:B4281"/>
    <mergeCell ref="H4280:H4281"/>
    <mergeCell ref="I4280:I4281"/>
    <mergeCell ref="J4280:J4281"/>
    <mergeCell ref="K4280:K4281"/>
    <mergeCell ref="L4280:L4281"/>
    <mergeCell ref="M4280:M4281"/>
    <mergeCell ref="N4280:N4281"/>
    <mergeCell ref="O4280:P4280"/>
    <mergeCell ref="R4280:T4281"/>
    <mergeCell ref="U4280:U4281"/>
    <mergeCell ref="W4280:Y4280"/>
    <mergeCell ref="AD4280:AF4280"/>
    <mergeCell ref="R4283:T4283"/>
    <mergeCell ref="R4284:T4284"/>
    <mergeCell ref="R4285:T4285"/>
    <mergeCell ref="AA4280:AA4281"/>
    <mergeCell ref="AB4280:AB4281"/>
    <mergeCell ref="R4286:T4286"/>
    <mergeCell ref="R4287:T4287"/>
    <mergeCell ref="R4288:T4288"/>
    <mergeCell ref="R4289:T4289"/>
    <mergeCell ref="R4290:T4290"/>
    <mergeCell ref="R4291:T4291"/>
    <mergeCell ref="R4292:T4292"/>
    <mergeCell ref="B4296:T4296"/>
    <mergeCell ref="AD4296:AF4296"/>
    <mergeCell ref="B4297:B4306"/>
    <mergeCell ref="C4297:K4297"/>
    <mergeCell ref="L4297:L4299"/>
    <mergeCell ref="M4297:Q4298"/>
    <mergeCell ref="R4297:S4299"/>
    <mergeCell ref="T4297:T4299"/>
    <mergeCell ref="C4298:E4298"/>
    <mergeCell ref="G4298:H4298"/>
    <mergeCell ref="I4298:K4298"/>
    <mergeCell ref="C4299:D4299"/>
    <mergeCell ref="M4299:P4299"/>
    <mergeCell ref="L4300:L4302"/>
    <mergeCell ref="M4300:Q4300"/>
    <mergeCell ref="R4300:T4301"/>
    <mergeCell ref="M4301:N4301"/>
    <mergeCell ref="P4301:Q4301"/>
    <mergeCell ref="M4302:N4302"/>
    <mergeCell ref="P4302:Q4302"/>
    <mergeCell ref="L4303:L4305"/>
    <mergeCell ref="M4303:Q4303"/>
    <mergeCell ref="M4304:N4304"/>
    <mergeCell ref="P4304:Q4304"/>
    <mergeCell ref="M4305:N4305"/>
    <mergeCell ref="P4305:Q4305"/>
    <mergeCell ref="C4306:G4306"/>
    <mergeCell ref="H4306:J4306"/>
    <mergeCell ref="L4306:Q4306"/>
    <mergeCell ref="AB4299:AB4300"/>
    <mergeCell ref="AC4299:AC4300"/>
    <mergeCell ref="AD4299:AD4300"/>
    <mergeCell ref="B4249:D4249"/>
    <mergeCell ref="B4250:B4251"/>
    <mergeCell ref="H4250:H4251"/>
    <mergeCell ref="I4250:I4251"/>
    <mergeCell ref="J4250:J4251"/>
    <mergeCell ref="K4250:K4251"/>
    <mergeCell ref="L4250:L4251"/>
    <mergeCell ref="M4250:M4251"/>
    <mergeCell ref="N4250:N4251"/>
    <mergeCell ref="O4250:P4250"/>
    <mergeCell ref="R4250:T4251"/>
    <mergeCell ref="U4250:U4251"/>
    <mergeCell ref="W4250:Y4250"/>
    <mergeCell ref="AD4250:AF4250"/>
    <mergeCell ref="R4253:T4253"/>
    <mergeCell ref="R4254:T4254"/>
    <mergeCell ref="R4255:T4255"/>
    <mergeCell ref="AA4250:AA4251"/>
    <mergeCell ref="AB4250:AB4251"/>
    <mergeCell ref="R4256:T4256"/>
    <mergeCell ref="R4257:T4257"/>
    <mergeCell ref="R4258:T4258"/>
    <mergeCell ref="R4259:T4259"/>
    <mergeCell ref="R4260:T4260"/>
    <mergeCell ref="R4261:T4261"/>
    <mergeCell ref="R4262:T4262"/>
    <mergeCell ref="B4266:T4266"/>
    <mergeCell ref="AD4266:AF4266"/>
    <mergeCell ref="B4267:B4276"/>
    <mergeCell ref="C4267:K4267"/>
    <mergeCell ref="L4267:L4269"/>
    <mergeCell ref="M4267:Q4268"/>
    <mergeCell ref="R4267:S4269"/>
    <mergeCell ref="T4267:T4269"/>
    <mergeCell ref="C4268:E4268"/>
    <mergeCell ref="G4268:H4268"/>
    <mergeCell ref="I4268:K4268"/>
    <mergeCell ref="C4269:D4269"/>
    <mergeCell ref="M4269:P4269"/>
    <mergeCell ref="L4270:L4272"/>
    <mergeCell ref="M4270:Q4270"/>
    <mergeCell ref="R4270:T4271"/>
    <mergeCell ref="M4271:N4271"/>
    <mergeCell ref="P4271:Q4271"/>
    <mergeCell ref="M4272:N4272"/>
    <mergeCell ref="P4272:Q4272"/>
    <mergeCell ref="L4273:L4275"/>
    <mergeCell ref="M4273:Q4273"/>
    <mergeCell ref="M4274:N4274"/>
    <mergeCell ref="P4274:Q4274"/>
    <mergeCell ref="M4275:N4275"/>
    <mergeCell ref="P4275:Q4275"/>
    <mergeCell ref="C4276:G4276"/>
    <mergeCell ref="H4276:J4276"/>
    <mergeCell ref="L4276:Q4276"/>
    <mergeCell ref="AB4269:AB4270"/>
    <mergeCell ref="AC4269:AC4270"/>
    <mergeCell ref="AD4269:AD4270"/>
    <mergeCell ref="B4219:D4219"/>
    <mergeCell ref="B4220:B4221"/>
    <mergeCell ref="H4220:H4221"/>
    <mergeCell ref="I4220:I4221"/>
    <mergeCell ref="J4220:J4221"/>
    <mergeCell ref="K4220:K4221"/>
    <mergeCell ref="L4220:L4221"/>
    <mergeCell ref="M4220:M4221"/>
    <mergeCell ref="N4220:N4221"/>
    <mergeCell ref="O4220:P4220"/>
    <mergeCell ref="R4220:T4221"/>
    <mergeCell ref="U4220:U4221"/>
    <mergeCell ref="W4220:Y4220"/>
    <mergeCell ref="AD4220:AF4220"/>
    <mergeCell ref="R4223:T4223"/>
    <mergeCell ref="R4224:T4224"/>
    <mergeCell ref="R4225:T4225"/>
    <mergeCell ref="AA4220:AA4221"/>
    <mergeCell ref="AB4220:AB4221"/>
    <mergeCell ref="R4226:T4226"/>
    <mergeCell ref="R4227:T4227"/>
    <mergeCell ref="R4228:T4228"/>
    <mergeCell ref="R4229:T4229"/>
    <mergeCell ref="R4230:T4230"/>
    <mergeCell ref="R4231:T4231"/>
    <mergeCell ref="R4232:T4232"/>
    <mergeCell ref="B4236:T4236"/>
    <mergeCell ref="AD4236:AF4236"/>
    <mergeCell ref="B4237:B4246"/>
    <mergeCell ref="C4237:K4237"/>
    <mergeCell ref="L4237:L4239"/>
    <mergeCell ref="M4237:Q4238"/>
    <mergeCell ref="R4237:S4239"/>
    <mergeCell ref="T4237:T4239"/>
    <mergeCell ref="C4238:E4238"/>
    <mergeCell ref="G4238:H4238"/>
    <mergeCell ref="I4238:K4238"/>
    <mergeCell ref="C4239:D4239"/>
    <mergeCell ref="M4239:P4239"/>
    <mergeCell ref="L4240:L4242"/>
    <mergeCell ref="M4240:Q4240"/>
    <mergeCell ref="R4240:T4241"/>
    <mergeCell ref="M4241:N4241"/>
    <mergeCell ref="P4241:Q4241"/>
    <mergeCell ref="M4242:N4242"/>
    <mergeCell ref="P4242:Q4242"/>
    <mergeCell ref="L4243:L4245"/>
    <mergeCell ref="M4243:Q4243"/>
    <mergeCell ref="M4244:N4244"/>
    <mergeCell ref="P4244:Q4244"/>
    <mergeCell ref="M4245:N4245"/>
    <mergeCell ref="P4245:Q4245"/>
    <mergeCell ref="C4246:G4246"/>
    <mergeCell ref="H4246:J4246"/>
    <mergeCell ref="L4246:Q4246"/>
    <mergeCell ref="AB4239:AB4240"/>
    <mergeCell ref="AC4239:AC4240"/>
    <mergeCell ref="AD4239:AD4240"/>
    <mergeCell ref="B4189:D4189"/>
    <mergeCell ref="B4190:B4191"/>
    <mergeCell ref="H4190:H4191"/>
    <mergeCell ref="I4190:I4191"/>
    <mergeCell ref="J4190:J4191"/>
    <mergeCell ref="K4190:K4191"/>
    <mergeCell ref="L4190:L4191"/>
    <mergeCell ref="M4190:M4191"/>
    <mergeCell ref="N4190:N4191"/>
    <mergeCell ref="O4190:P4190"/>
    <mergeCell ref="R4190:T4191"/>
    <mergeCell ref="U4190:U4191"/>
    <mergeCell ref="W4190:Y4190"/>
    <mergeCell ref="AD4190:AF4190"/>
    <mergeCell ref="R4193:T4193"/>
    <mergeCell ref="R4194:T4194"/>
    <mergeCell ref="R4195:T4195"/>
    <mergeCell ref="AA4190:AA4191"/>
    <mergeCell ref="AB4190:AB4191"/>
    <mergeCell ref="R4196:T4196"/>
    <mergeCell ref="R4197:T4197"/>
    <mergeCell ref="R4198:T4198"/>
    <mergeCell ref="R4199:T4199"/>
    <mergeCell ref="R4200:T4200"/>
    <mergeCell ref="R4201:T4201"/>
    <mergeCell ref="R4202:T4202"/>
    <mergeCell ref="B4206:T4206"/>
    <mergeCell ref="AD4206:AF4206"/>
    <mergeCell ref="B4207:B4216"/>
    <mergeCell ref="C4207:K4207"/>
    <mergeCell ref="L4207:L4209"/>
    <mergeCell ref="M4207:Q4208"/>
    <mergeCell ref="R4207:S4209"/>
    <mergeCell ref="T4207:T4209"/>
    <mergeCell ref="C4208:E4208"/>
    <mergeCell ref="G4208:H4208"/>
    <mergeCell ref="I4208:K4208"/>
    <mergeCell ref="C4209:D4209"/>
    <mergeCell ref="M4209:P4209"/>
    <mergeCell ref="L4210:L4212"/>
    <mergeCell ref="M4210:Q4210"/>
    <mergeCell ref="R4210:T4211"/>
    <mergeCell ref="M4211:N4211"/>
    <mergeCell ref="P4211:Q4211"/>
    <mergeCell ref="M4212:N4212"/>
    <mergeCell ref="P4212:Q4212"/>
    <mergeCell ref="L4213:L4215"/>
    <mergeCell ref="M4213:Q4213"/>
    <mergeCell ref="M4214:N4214"/>
    <mergeCell ref="P4214:Q4214"/>
    <mergeCell ref="M4215:N4215"/>
    <mergeCell ref="P4215:Q4215"/>
    <mergeCell ref="C4216:G4216"/>
    <mergeCell ref="H4216:J4216"/>
    <mergeCell ref="L4216:Q4216"/>
    <mergeCell ref="AB4209:AB4210"/>
    <mergeCell ref="AC4209:AC4210"/>
    <mergeCell ref="AD4209:AD4210"/>
    <mergeCell ref="B4159:D4159"/>
    <mergeCell ref="B4160:B4161"/>
    <mergeCell ref="H4160:H4161"/>
    <mergeCell ref="I4160:I4161"/>
    <mergeCell ref="J4160:J4161"/>
    <mergeCell ref="K4160:K4161"/>
    <mergeCell ref="L4160:L4161"/>
    <mergeCell ref="M4160:M4161"/>
    <mergeCell ref="N4160:N4161"/>
    <mergeCell ref="O4160:P4160"/>
    <mergeCell ref="R4160:T4161"/>
    <mergeCell ref="U4160:U4161"/>
    <mergeCell ref="W4160:Y4160"/>
    <mergeCell ref="AD4160:AF4160"/>
    <mergeCell ref="R4163:T4163"/>
    <mergeCell ref="R4164:T4164"/>
    <mergeCell ref="R4165:T4165"/>
    <mergeCell ref="AA4160:AA4161"/>
    <mergeCell ref="AB4160:AB4161"/>
    <mergeCell ref="R4166:T4166"/>
    <mergeCell ref="R4167:T4167"/>
    <mergeCell ref="R4168:T4168"/>
    <mergeCell ref="R4169:T4169"/>
    <mergeCell ref="R4170:T4170"/>
    <mergeCell ref="R4171:T4171"/>
    <mergeCell ref="R4172:T4172"/>
    <mergeCell ref="B4176:T4176"/>
    <mergeCell ref="AD4176:AF4176"/>
    <mergeCell ref="B4177:B4186"/>
    <mergeCell ref="C4177:K4177"/>
    <mergeCell ref="L4177:L4179"/>
    <mergeCell ref="M4177:Q4178"/>
    <mergeCell ref="R4177:S4179"/>
    <mergeCell ref="T4177:T4179"/>
    <mergeCell ref="C4178:E4178"/>
    <mergeCell ref="G4178:H4178"/>
    <mergeCell ref="I4178:K4178"/>
    <mergeCell ref="C4179:D4179"/>
    <mergeCell ref="M4179:P4179"/>
    <mergeCell ref="L4180:L4182"/>
    <mergeCell ref="M4180:Q4180"/>
    <mergeCell ref="R4180:T4181"/>
    <mergeCell ref="M4181:N4181"/>
    <mergeCell ref="P4181:Q4181"/>
    <mergeCell ref="M4182:N4182"/>
    <mergeCell ref="P4182:Q4182"/>
    <mergeCell ref="L4183:L4185"/>
    <mergeCell ref="M4183:Q4183"/>
    <mergeCell ref="M4184:N4184"/>
    <mergeCell ref="P4184:Q4184"/>
    <mergeCell ref="M4185:N4185"/>
    <mergeCell ref="P4185:Q4185"/>
    <mergeCell ref="C4186:G4186"/>
    <mergeCell ref="H4186:J4186"/>
    <mergeCell ref="L4186:Q4186"/>
    <mergeCell ref="AB4179:AB4180"/>
    <mergeCell ref="AC4179:AC4180"/>
    <mergeCell ref="AD4179:AD4180"/>
    <mergeCell ref="B4129:D4129"/>
    <mergeCell ref="B4130:B4131"/>
    <mergeCell ref="H4130:H4131"/>
    <mergeCell ref="I4130:I4131"/>
    <mergeCell ref="J4130:J4131"/>
    <mergeCell ref="K4130:K4131"/>
    <mergeCell ref="L4130:L4131"/>
    <mergeCell ref="M4130:M4131"/>
    <mergeCell ref="N4130:N4131"/>
    <mergeCell ref="O4130:P4130"/>
    <mergeCell ref="R4130:T4131"/>
    <mergeCell ref="U4130:U4131"/>
    <mergeCell ref="W4130:Y4130"/>
    <mergeCell ref="AD4130:AF4130"/>
    <mergeCell ref="R4133:T4133"/>
    <mergeCell ref="R4134:T4134"/>
    <mergeCell ref="R4135:T4135"/>
    <mergeCell ref="AA4130:AA4131"/>
    <mergeCell ref="AB4130:AB4131"/>
    <mergeCell ref="R4136:T4136"/>
    <mergeCell ref="R4137:T4137"/>
    <mergeCell ref="R4138:T4138"/>
    <mergeCell ref="R4139:T4139"/>
    <mergeCell ref="R4140:T4140"/>
    <mergeCell ref="R4141:T4141"/>
    <mergeCell ref="R4142:T4142"/>
    <mergeCell ref="B4146:T4146"/>
    <mergeCell ref="AD4146:AF4146"/>
    <mergeCell ref="B4147:B4156"/>
    <mergeCell ref="C4147:K4147"/>
    <mergeCell ref="L4147:L4149"/>
    <mergeCell ref="M4147:Q4148"/>
    <mergeCell ref="R4147:S4149"/>
    <mergeCell ref="T4147:T4149"/>
    <mergeCell ref="C4148:E4148"/>
    <mergeCell ref="G4148:H4148"/>
    <mergeCell ref="I4148:K4148"/>
    <mergeCell ref="C4149:D4149"/>
    <mergeCell ref="M4149:P4149"/>
    <mergeCell ref="L4150:L4152"/>
    <mergeCell ref="M4150:Q4150"/>
    <mergeCell ref="R4150:T4151"/>
    <mergeCell ref="M4151:N4151"/>
    <mergeCell ref="P4151:Q4151"/>
    <mergeCell ref="M4152:N4152"/>
    <mergeCell ref="P4152:Q4152"/>
    <mergeCell ref="L4153:L4155"/>
    <mergeCell ref="M4153:Q4153"/>
    <mergeCell ref="M4154:N4154"/>
    <mergeCell ref="P4154:Q4154"/>
    <mergeCell ref="M4155:N4155"/>
    <mergeCell ref="P4155:Q4155"/>
    <mergeCell ref="C4156:G4156"/>
    <mergeCell ref="H4156:J4156"/>
    <mergeCell ref="L4156:Q4156"/>
    <mergeCell ref="AB4149:AB4150"/>
    <mergeCell ref="AC4149:AC4150"/>
    <mergeCell ref="AD4149:AD4150"/>
    <mergeCell ref="B4099:D4099"/>
    <mergeCell ref="B4100:B4101"/>
    <mergeCell ref="H4100:H4101"/>
    <mergeCell ref="I4100:I4101"/>
    <mergeCell ref="J4100:J4101"/>
    <mergeCell ref="K4100:K4101"/>
    <mergeCell ref="L4100:L4101"/>
    <mergeCell ref="M4100:M4101"/>
    <mergeCell ref="N4100:N4101"/>
    <mergeCell ref="O4100:P4100"/>
    <mergeCell ref="R4100:T4101"/>
    <mergeCell ref="U4100:U4101"/>
    <mergeCell ref="W4100:Y4100"/>
    <mergeCell ref="AD4100:AF4100"/>
    <mergeCell ref="R4103:T4103"/>
    <mergeCell ref="R4104:T4104"/>
    <mergeCell ref="R4105:T4105"/>
    <mergeCell ref="AA4100:AA4101"/>
    <mergeCell ref="AB4100:AB4101"/>
    <mergeCell ref="R4106:T4106"/>
    <mergeCell ref="R4107:T4107"/>
    <mergeCell ref="R4108:T4108"/>
    <mergeCell ref="R4109:T4109"/>
    <mergeCell ref="R4110:T4110"/>
    <mergeCell ref="R4111:T4111"/>
    <mergeCell ref="R4112:T4112"/>
    <mergeCell ref="B4116:T4116"/>
    <mergeCell ref="AD4116:AF4116"/>
    <mergeCell ref="B4117:B4126"/>
    <mergeCell ref="C4117:K4117"/>
    <mergeCell ref="L4117:L4119"/>
    <mergeCell ref="M4117:Q4118"/>
    <mergeCell ref="R4117:S4119"/>
    <mergeCell ref="T4117:T4119"/>
    <mergeCell ref="C4118:E4118"/>
    <mergeCell ref="G4118:H4118"/>
    <mergeCell ref="I4118:K4118"/>
    <mergeCell ref="C4119:D4119"/>
    <mergeCell ref="M4119:P4119"/>
    <mergeCell ref="L4120:L4122"/>
    <mergeCell ref="M4120:Q4120"/>
    <mergeCell ref="R4120:T4121"/>
    <mergeCell ref="M4121:N4121"/>
    <mergeCell ref="P4121:Q4121"/>
    <mergeCell ref="M4122:N4122"/>
    <mergeCell ref="P4122:Q4122"/>
    <mergeCell ref="L4123:L4125"/>
    <mergeCell ref="M4123:Q4123"/>
    <mergeCell ref="M4124:N4124"/>
    <mergeCell ref="P4124:Q4124"/>
    <mergeCell ref="M4125:N4125"/>
    <mergeCell ref="P4125:Q4125"/>
    <mergeCell ref="C4126:G4126"/>
    <mergeCell ref="H4126:J4126"/>
    <mergeCell ref="L4126:Q4126"/>
    <mergeCell ref="AB4119:AB4120"/>
    <mergeCell ref="AC4119:AC4120"/>
    <mergeCell ref="AD4119:AD4120"/>
    <mergeCell ref="B4069:D4069"/>
    <mergeCell ref="B4070:B4071"/>
    <mergeCell ref="H4070:H4071"/>
    <mergeCell ref="I4070:I4071"/>
    <mergeCell ref="J4070:J4071"/>
    <mergeCell ref="K4070:K4071"/>
    <mergeCell ref="L4070:L4071"/>
    <mergeCell ref="M4070:M4071"/>
    <mergeCell ref="N4070:N4071"/>
    <mergeCell ref="O4070:P4070"/>
    <mergeCell ref="R4070:T4071"/>
    <mergeCell ref="U4070:U4071"/>
    <mergeCell ref="W4070:Y4070"/>
    <mergeCell ref="AD4070:AF4070"/>
    <mergeCell ref="R4073:T4073"/>
    <mergeCell ref="R4074:T4074"/>
    <mergeCell ref="R4075:T4075"/>
    <mergeCell ref="AA4070:AA4071"/>
    <mergeCell ref="AB4070:AB4071"/>
    <mergeCell ref="R4076:T4076"/>
    <mergeCell ref="R4077:T4077"/>
    <mergeCell ref="R4078:T4078"/>
    <mergeCell ref="R4079:T4079"/>
    <mergeCell ref="R4080:T4080"/>
    <mergeCell ref="R4081:T4081"/>
    <mergeCell ref="R4082:T4082"/>
    <mergeCell ref="B4086:T4086"/>
    <mergeCell ref="AD4086:AF4086"/>
    <mergeCell ref="B4087:B4096"/>
    <mergeCell ref="C4087:K4087"/>
    <mergeCell ref="L4087:L4089"/>
    <mergeCell ref="M4087:Q4088"/>
    <mergeCell ref="R4087:S4089"/>
    <mergeCell ref="T4087:T4089"/>
    <mergeCell ref="C4088:E4088"/>
    <mergeCell ref="G4088:H4088"/>
    <mergeCell ref="I4088:K4088"/>
    <mergeCell ref="C4089:D4089"/>
    <mergeCell ref="M4089:P4089"/>
    <mergeCell ref="L4090:L4092"/>
    <mergeCell ref="M4090:Q4090"/>
    <mergeCell ref="R4090:T4091"/>
    <mergeCell ref="M4091:N4091"/>
    <mergeCell ref="P4091:Q4091"/>
    <mergeCell ref="M4092:N4092"/>
    <mergeCell ref="P4092:Q4092"/>
    <mergeCell ref="L4093:L4095"/>
    <mergeCell ref="M4093:Q4093"/>
    <mergeCell ref="M4094:N4094"/>
    <mergeCell ref="P4094:Q4094"/>
    <mergeCell ref="M4095:N4095"/>
    <mergeCell ref="P4095:Q4095"/>
    <mergeCell ref="C4096:G4096"/>
    <mergeCell ref="H4096:J4096"/>
    <mergeCell ref="L4096:Q4096"/>
    <mergeCell ref="AB4089:AB4090"/>
    <mergeCell ref="AC4089:AC4090"/>
    <mergeCell ref="AD4089:AD4090"/>
    <mergeCell ref="B4039:D4039"/>
    <mergeCell ref="B4040:B4041"/>
    <mergeCell ref="H4040:H4041"/>
    <mergeCell ref="I4040:I4041"/>
    <mergeCell ref="J4040:J4041"/>
    <mergeCell ref="K4040:K4041"/>
    <mergeCell ref="L4040:L4041"/>
    <mergeCell ref="M4040:M4041"/>
    <mergeCell ref="N4040:N4041"/>
    <mergeCell ref="O4040:P4040"/>
    <mergeCell ref="R4040:T4041"/>
    <mergeCell ref="U4040:U4041"/>
    <mergeCell ref="W4040:Y4040"/>
    <mergeCell ref="AD4040:AF4040"/>
    <mergeCell ref="R4043:T4043"/>
    <mergeCell ref="R4044:T4044"/>
    <mergeCell ref="R4045:T4045"/>
    <mergeCell ref="AA4040:AA4041"/>
    <mergeCell ref="AB4040:AB4041"/>
    <mergeCell ref="R4046:T4046"/>
    <mergeCell ref="R4047:T4047"/>
    <mergeCell ref="R4048:T4048"/>
    <mergeCell ref="R4049:T4049"/>
    <mergeCell ref="R4050:T4050"/>
    <mergeCell ref="R4051:T4051"/>
    <mergeCell ref="R4052:T4052"/>
    <mergeCell ref="B4056:T4056"/>
    <mergeCell ref="AD4056:AF4056"/>
    <mergeCell ref="B4057:B4066"/>
    <mergeCell ref="C4057:K4057"/>
    <mergeCell ref="L4057:L4059"/>
    <mergeCell ref="M4057:Q4058"/>
    <mergeCell ref="R4057:S4059"/>
    <mergeCell ref="T4057:T4059"/>
    <mergeCell ref="C4058:E4058"/>
    <mergeCell ref="G4058:H4058"/>
    <mergeCell ref="I4058:K4058"/>
    <mergeCell ref="C4059:D4059"/>
    <mergeCell ref="M4059:P4059"/>
    <mergeCell ref="L4060:L4062"/>
    <mergeCell ref="M4060:Q4060"/>
    <mergeCell ref="R4060:T4061"/>
    <mergeCell ref="M4061:N4061"/>
    <mergeCell ref="P4061:Q4061"/>
    <mergeCell ref="M4062:N4062"/>
    <mergeCell ref="P4062:Q4062"/>
    <mergeCell ref="L4063:L4065"/>
    <mergeCell ref="M4063:Q4063"/>
    <mergeCell ref="M4064:N4064"/>
    <mergeCell ref="P4064:Q4064"/>
    <mergeCell ref="M4065:N4065"/>
    <mergeCell ref="P4065:Q4065"/>
    <mergeCell ref="C4066:G4066"/>
    <mergeCell ref="H4066:J4066"/>
    <mergeCell ref="L4066:Q4066"/>
    <mergeCell ref="AB4059:AB4060"/>
    <mergeCell ref="AC4059:AC4060"/>
    <mergeCell ref="AD4059:AD4060"/>
    <mergeCell ref="B4009:D4009"/>
    <mergeCell ref="B4010:B4011"/>
    <mergeCell ref="H4010:H4011"/>
    <mergeCell ref="I4010:I4011"/>
    <mergeCell ref="J4010:J4011"/>
    <mergeCell ref="K4010:K4011"/>
    <mergeCell ref="L4010:L4011"/>
    <mergeCell ref="M4010:M4011"/>
    <mergeCell ref="N4010:N4011"/>
    <mergeCell ref="O4010:P4010"/>
    <mergeCell ref="R4010:T4011"/>
    <mergeCell ref="U4010:U4011"/>
    <mergeCell ref="W4010:Y4010"/>
    <mergeCell ref="AD4010:AF4010"/>
    <mergeCell ref="R4013:T4013"/>
    <mergeCell ref="R4014:T4014"/>
    <mergeCell ref="R4015:T4015"/>
    <mergeCell ref="AA4010:AA4011"/>
    <mergeCell ref="AB4010:AB4011"/>
    <mergeCell ref="R4016:T4016"/>
    <mergeCell ref="R4017:T4017"/>
    <mergeCell ref="R4018:T4018"/>
    <mergeCell ref="R4019:T4019"/>
    <mergeCell ref="R4020:T4020"/>
    <mergeCell ref="R4021:T4021"/>
    <mergeCell ref="R4022:T4022"/>
    <mergeCell ref="B4026:T4026"/>
    <mergeCell ref="AD4026:AF4026"/>
    <mergeCell ref="B4027:B4036"/>
    <mergeCell ref="C4027:K4027"/>
    <mergeCell ref="L4027:L4029"/>
    <mergeCell ref="M4027:Q4028"/>
    <mergeCell ref="R4027:S4029"/>
    <mergeCell ref="T4027:T4029"/>
    <mergeCell ref="C4028:E4028"/>
    <mergeCell ref="G4028:H4028"/>
    <mergeCell ref="I4028:K4028"/>
    <mergeCell ref="C4029:D4029"/>
    <mergeCell ref="M4029:P4029"/>
    <mergeCell ref="L4030:L4032"/>
    <mergeCell ref="M4030:Q4030"/>
    <mergeCell ref="R4030:T4031"/>
    <mergeCell ref="M4031:N4031"/>
    <mergeCell ref="P4031:Q4031"/>
    <mergeCell ref="M4032:N4032"/>
    <mergeCell ref="P4032:Q4032"/>
    <mergeCell ref="L4033:L4035"/>
    <mergeCell ref="M4033:Q4033"/>
    <mergeCell ref="M4034:N4034"/>
    <mergeCell ref="P4034:Q4034"/>
    <mergeCell ref="M4035:N4035"/>
    <mergeCell ref="P4035:Q4035"/>
    <mergeCell ref="C4036:G4036"/>
    <mergeCell ref="H4036:J4036"/>
    <mergeCell ref="L4036:Q4036"/>
    <mergeCell ref="AB4029:AB4030"/>
    <mergeCell ref="AC4029:AC4030"/>
    <mergeCell ref="AD4029:AD4030"/>
    <mergeCell ref="B3979:D3979"/>
    <mergeCell ref="B3980:B3981"/>
    <mergeCell ref="H3980:H3981"/>
    <mergeCell ref="I3980:I3981"/>
    <mergeCell ref="J3980:J3981"/>
    <mergeCell ref="K3980:K3981"/>
    <mergeCell ref="L3980:L3981"/>
    <mergeCell ref="M3980:M3981"/>
    <mergeCell ref="N3980:N3981"/>
    <mergeCell ref="O3980:P3980"/>
    <mergeCell ref="R3980:T3981"/>
    <mergeCell ref="U3980:U3981"/>
    <mergeCell ref="W3980:Y3980"/>
    <mergeCell ref="AD3980:AF3980"/>
    <mergeCell ref="R3983:T3983"/>
    <mergeCell ref="R3984:T3984"/>
    <mergeCell ref="R3985:T3985"/>
    <mergeCell ref="AA3980:AA3981"/>
    <mergeCell ref="AB3980:AB3981"/>
    <mergeCell ref="R3986:T3986"/>
    <mergeCell ref="R3987:T3987"/>
    <mergeCell ref="R3988:T3988"/>
    <mergeCell ref="R3989:T3989"/>
    <mergeCell ref="R3990:T3990"/>
    <mergeCell ref="R3991:T3991"/>
    <mergeCell ref="R3992:T3992"/>
    <mergeCell ref="B3996:T3996"/>
    <mergeCell ref="AD3996:AF3996"/>
    <mergeCell ref="B3997:B4006"/>
    <mergeCell ref="C3997:K3997"/>
    <mergeCell ref="L3997:L3999"/>
    <mergeCell ref="M3997:Q3998"/>
    <mergeCell ref="R3997:S3999"/>
    <mergeCell ref="T3997:T3999"/>
    <mergeCell ref="C3998:E3998"/>
    <mergeCell ref="G3998:H3998"/>
    <mergeCell ref="I3998:K3998"/>
    <mergeCell ref="C3999:D3999"/>
    <mergeCell ref="M3999:P3999"/>
    <mergeCell ref="L4000:L4002"/>
    <mergeCell ref="M4000:Q4000"/>
    <mergeCell ref="R4000:T4001"/>
    <mergeCell ref="M4001:N4001"/>
    <mergeCell ref="P4001:Q4001"/>
    <mergeCell ref="M4002:N4002"/>
    <mergeCell ref="P4002:Q4002"/>
    <mergeCell ref="L4003:L4005"/>
    <mergeCell ref="M4003:Q4003"/>
    <mergeCell ref="M4004:N4004"/>
    <mergeCell ref="P4004:Q4004"/>
    <mergeCell ref="M4005:N4005"/>
    <mergeCell ref="P4005:Q4005"/>
    <mergeCell ref="C4006:G4006"/>
    <mergeCell ref="H4006:J4006"/>
    <mergeCell ref="L4006:Q4006"/>
    <mergeCell ref="AB3999:AB4000"/>
    <mergeCell ref="AC3999:AC4000"/>
    <mergeCell ref="AD3999:AD4000"/>
    <mergeCell ref="B3949:D3949"/>
    <mergeCell ref="B3950:B3951"/>
    <mergeCell ref="H3950:H3951"/>
    <mergeCell ref="I3950:I3951"/>
    <mergeCell ref="J3950:J3951"/>
    <mergeCell ref="K3950:K3951"/>
    <mergeCell ref="L3950:L3951"/>
    <mergeCell ref="M3950:M3951"/>
    <mergeCell ref="N3950:N3951"/>
    <mergeCell ref="O3950:P3950"/>
    <mergeCell ref="R3950:T3951"/>
    <mergeCell ref="U3950:U3951"/>
    <mergeCell ref="W3950:Y3950"/>
    <mergeCell ref="AD3950:AF3950"/>
    <mergeCell ref="R3953:T3953"/>
    <mergeCell ref="R3954:T3954"/>
    <mergeCell ref="R3955:T3955"/>
    <mergeCell ref="AA3950:AA3951"/>
    <mergeCell ref="AB3950:AB3951"/>
    <mergeCell ref="R3956:T3956"/>
    <mergeCell ref="R3957:T3957"/>
    <mergeCell ref="R3958:T3958"/>
    <mergeCell ref="R3959:T3959"/>
    <mergeCell ref="R3960:T3960"/>
    <mergeCell ref="R3961:T3961"/>
    <mergeCell ref="R3962:T3962"/>
    <mergeCell ref="B3966:T3966"/>
    <mergeCell ref="AD3966:AF3966"/>
    <mergeCell ref="B3967:B3976"/>
    <mergeCell ref="C3967:K3967"/>
    <mergeCell ref="L3967:L3969"/>
    <mergeCell ref="M3967:Q3968"/>
    <mergeCell ref="R3967:S3969"/>
    <mergeCell ref="T3967:T3969"/>
    <mergeCell ref="C3968:E3968"/>
    <mergeCell ref="G3968:H3968"/>
    <mergeCell ref="I3968:K3968"/>
    <mergeCell ref="C3969:D3969"/>
    <mergeCell ref="M3969:P3969"/>
    <mergeCell ref="L3970:L3972"/>
    <mergeCell ref="M3970:Q3970"/>
    <mergeCell ref="R3970:T3971"/>
    <mergeCell ref="M3971:N3971"/>
    <mergeCell ref="P3971:Q3971"/>
    <mergeCell ref="M3972:N3972"/>
    <mergeCell ref="P3972:Q3972"/>
    <mergeCell ref="L3973:L3975"/>
    <mergeCell ref="M3973:Q3973"/>
    <mergeCell ref="M3974:N3974"/>
    <mergeCell ref="P3974:Q3974"/>
    <mergeCell ref="M3975:N3975"/>
    <mergeCell ref="P3975:Q3975"/>
    <mergeCell ref="C3976:G3976"/>
    <mergeCell ref="H3976:J3976"/>
    <mergeCell ref="L3976:Q3976"/>
    <mergeCell ref="AB3969:AB3970"/>
    <mergeCell ref="AC3969:AC3970"/>
    <mergeCell ref="AD3969:AD3970"/>
    <mergeCell ref="B3919:D3919"/>
    <mergeCell ref="B3920:B3921"/>
    <mergeCell ref="H3920:H3921"/>
    <mergeCell ref="I3920:I3921"/>
    <mergeCell ref="J3920:J3921"/>
    <mergeCell ref="K3920:K3921"/>
    <mergeCell ref="L3920:L3921"/>
    <mergeCell ref="M3920:M3921"/>
    <mergeCell ref="N3920:N3921"/>
    <mergeCell ref="O3920:P3920"/>
    <mergeCell ref="R3920:T3921"/>
    <mergeCell ref="U3920:U3921"/>
    <mergeCell ref="W3920:Y3920"/>
    <mergeCell ref="AD3920:AF3920"/>
    <mergeCell ref="R3923:T3923"/>
    <mergeCell ref="R3924:T3924"/>
    <mergeCell ref="R3925:T3925"/>
    <mergeCell ref="AA3920:AA3921"/>
    <mergeCell ref="AB3920:AB3921"/>
    <mergeCell ref="R3926:T3926"/>
    <mergeCell ref="R3927:T3927"/>
    <mergeCell ref="R3928:T3928"/>
    <mergeCell ref="R3929:T3929"/>
    <mergeCell ref="R3930:T3930"/>
    <mergeCell ref="R3931:T3931"/>
    <mergeCell ref="R3932:T3932"/>
    <mergeCell ref="B3936:T3936"/>
    <mergeCell ref="AD3936:AF3936"/>
    <mergeCell ref="B3937:B3946"/>
    <mergeCell ref="C3937:K3937"/>
    <mergeCell ref="L3937:L3939"/>
    <mergeCell ref="M3937:Q3938"/>
    <mergeCell ref="R3937:S3939"/>
    <mergeCell ref="T3937:T3939"/>
    <mergeCell ref="C3938:E3938"/>
    <mergeCell ref="G3938:H3938"/>
    <mergeCell ref="I3938:K3938"/>
    <mergeCell ref="C3939:D3939"/>
    <mergeCell ref="M3939:P3939"/>
    <mergeCell ref="L3940:L3942"/>
    <mergeCell ref="M3940:Q3940"/>
    <mergeCell ref="R3940:T3941"/>
    <mergeCell ref="M3941:N3941"/>
    <mergeCell ref="P3941:Q3941"/>
    <mergeCell ref="M3942:N3942"/>
    <mergeCell ref="P3942:Q3942"/>
    <mergeCell ref="L3943:L3945"/>
    <mergeCell ref="M3943:Q3943"/>
    <mergeCell ref="M3944:N3944"/>
    <mergeCell ref="P3944:Q3944"/>
    <mergeCell ref="M3945:N3945"/>
    <mergeCell ref="P3945:Q3945"/>
    <mergeCell ref="C3946:G3946"/>
    <mergeCell ref="H3946:J3946"/>
    <mergeCell ref="L3946:Q3946"/>
    <mergeCell ref="AB3939:AB3940"/>
    <mergeCell ref="AC3939:AC3940"/>
    <mergeCell ref="AD3939:AD3940"/>
    <mergeCell ref="B3889:D3889"/>
    <mergeCell ref="B3890:B3891"/>
    <mergeCell ref="H3890:H3891"/>
    <mergeCell ref="I3890:I3891"/>
    <mergeCell ref="J3890:J3891"/>
    <mergeCell ref="K3890:K3891"/>
    <mergeCell ref="L3890:L3891"/>
    <mergeCell ref="M3890:M3891"/>
    <mergeCell ref="N3890:N3891"/>
    <mergeCell ref="O3890:P3890"/>
    <mergeCell ref="R3890:T3891"/>
    <mergeCell ref="U3890:U3891"/>
    <mergeCell ref="W3890:Y3890"/>
    <mergeCell ref="AD3890:AF3890"/>
    <mergeCell ref="R3893:T3893"/>
    <mergeCell ref="R3894:T3894"/>
    <mergeCell ref="R3895:T3895"/>
    <mergeCell ref="AA3890:AA3891"/>
    <mergeCell ref="AB3890:AB3891"/>
    <mergeCell ref="R3896:T3896"/>
    <mergeCell ref="R3897:T3897"/>
    <mergeCell ref="R3898:T3898"/>
    <mergeCell ref="R3899:T3899"/>
    <mergeCell ref="R3900:T3900"/>
    <mergeCell ref="R3901:T3901"/>
    <mergeCell ref="R3902:T3902"/>
    <mergeCell ref="B3906:T3906"/>
    <mergeCell ref="AD3906:AF3906"/>
    <mergeCell ref="B3907:B3916"/>
    <mergeCell ref="C3907:K3907"/>
    <mergeCell ref="L3907:L3909"/>
    <mergeCell ref="M3907:Q3908"/>
    <mergeCell ref="R3907:S3909"/>
    <mergeCell ref="T3907:T3909"/>
    <mergeCell ref="C3908:E3908"/>
    <mergeCell ref="G3908:H3908"/>
    <mergeCell ref="I3908:K3908"/>
    <mergeCell ref="C3909:D3909"/>
    <mergeCell ref="M3909:P3909"/>
    <mergeCell ref="L3910:L3912"/>
    <mergeCell ref="M3910:Q3910"/>
    <mergeCell ref="R3910:T3911"/>
    <mergeCell ref="M3911:N3911"/>
    <mergeCell ref="P3911:Q3911"/>
    <mergeCell ref="M3912:N3912"/>
    <mergeCell ref="P3912:Q3912"/>
    <mergeCell ref="L3913:L3915"/>
    <mergeCell ref="M3913:Q3913"/>
    <mergeCell ref="M3914:N3914"/>
    <mergeCell ref="P3914:Q3914"/>
    <mergeCell ref="M3915:N3915"/>
    <mergeCell ref="P3915:Q3915"/>
    <mergeCell ref="C3916:G3916"/>
    <mergeCell ref="H3916:J3916"/>
    <mergeCell ref="L3916:Q3916"/>
    <mergeCell ref="AB3909:AB3910"/>
    <mergeCell ref="AC3909:AC3910"/>
    <mergeCell ref="AD3909:AD3910"/>
    <mergeCell ref="B3859:D3859"/>
    <mergeCell ref="B3860:B3861"/>
    <mergeCell ref="H3860:H3861"/>
    <mergeCell ref="I3860:I3861"/>
    <mergeCell ref="J3860:J3861"/>
    <mergeCell ref="K3860:K3861"/>
    <mergeCell ref="L3860:L3861"/>
    <mergeCell ref="M3860:M3861"/>
    <mergeCell ref="N3860:N3861"/>
    <mergeCell ref="O3860:P3860"/>
    <mergeCell ref="R3860:T3861"/>
    <mergeCell ref="U3860:U3861"/>
    <mergeCell ref="W3860:Y3860"/>
    <mergeCell ref="AD3860:AF3860"/>
    <mergeCell ref="R3863:T3863"/>
    <mergeCell ref="R3864:T3864"/>
    <mergeCell ref="R3865:T3865"/>
    <mergeCell ref="AA3860:AA3861"/>
    <mergeCell ref="AB3860:AB3861"/>
    <mergeCell ref="R3866:T3866"/>
    <mergeCell ref="R3867:T3867"/>
    <mergeCell ref="R3868:T3868"/>
    <mergeCell ref="R3869:T3869"/>
    <mergeCell ref="R3870:T3870"/>
    <mergeCell ref="R3871:T3871"/>
    <mergeCell ref="R3872:T3872"/>
    <mergeCell ref="B3876:T3876"/>
    <mergeCell ref="AD3876:AF3876"/>
    <mergeCell ref="B3877:B3886"/>
    <mergeCell ref="C3877:K3877"/>
    <mergeCell ref="L3877:L3879"/>
    <mergeCell ref="M3877:Q3878"/>
    <mergeCell ref="R3877:S3879"/>
    <mergeCell ref="T3877:T3879"/>
    <mergeCell ref="C3878:E3878"/>
    <mergeCell ref="G3878:H3878"/>
    <mergeCell ref="I3878:K3878"/>
    <mergeCell ref="C3879:D3879"/>
    <mergeCell ref="M3879:P3879"/>
    <mergeCell ref="L3880:L3882"/>
    <mergeCell ref="M3880:Q3880"/>
    <mergeCell ref="R3880:T3881"/>
    <mergeCell ref="M3881:N3881"/>
    <mergeCell ref="P3881:Q3881"/>
    <mergeCell ref="M3882:N3882"/>
    <mergeCell ref="P3882:Q3882"/>
    <mergeCell ref="L3883:L3885"/>
    <mergeCell ref="M3883:Q3883"/>
    <mergeCell ref="M3884:N3884"/>
    <mergeCell ref="P3884:Q3884"/>
    <mergeCell ref="M3885:N3885"/>
    <mergeCell ref="P3885:Q3885"/>
    <mergeCell ref="C3886:G3886"/>
    <mergeCell ref="H3886:J3886"/>
    <mergeCell ref="L3886:Q3886"/>
    <mergeCell ref="AB3879:AB3880"/>
    <mergeCell ref="AC3879:AC3880"/>
    <mergeCell ref="AD3879:AD3880"/>
    <mergeCell ref="B3829:D3829"/>
    <mergeCell ref="B3830:B3831"/>
    <mergeCell ref="H3830:H3831"/>
    <mergeCell ref="I3830:I3831"/>
    <mergeCell ref="J3830:J3831"/>
    <mergeCell ref="K3830:K3831"/>
    <mergeCell ref="L3830:L3831"/>
    <mergeCell ref="M3830:M3831"/>
    <mergeCell ref="N3830:N3831"/>
    <mergeCell ref="O3830:P3830"/>
    <mergeCell ref="R3830:T3831"/>
    <mergeCell ref="U3830:U3831"/>
    <mergeCell ref="W3830:Y3830"/>
    <mergeCell ref="AD3830:AF3830"/>
    <mergeCell ref="R3833:T3833"/>
    <mergeCell ref="R3834:T3834"/>
    <mergeCell ref="R3835:T3835"/>
    <mergeCell ref="AA3830:AA3831"/>
    <mergeCell ref="AB3830:AB3831"/>
    <mergeCell ref="R3836:T3836"/>
    <mergeCell ref="R3837:T3837"/>
    <mergeCell ref="R3838:T3838"/>
    <mergeCell ref="R3839:T3839"/>
    <mergeCell ref="R3840:T3840"/>
    <mergeCell ref="R3841:T3841"/>
    <mergeCell ref="R3842:T3842"/>
    <mergeCell ref="B3846:T3846"/>
    <mergeCell ref="AD3846:AF3846"/>
    <mergeCell ref="B3847:B3856"/>
    <mergeCell ref="C3847:K3847"/>
    <mergeCell ref="L3847:L3849"/>
    <mergeCell ref="M3847:Q3848"/>
    <mergeCell ref="R3847:S3849"/>
    <mergeCell ref="T3847:T3849"/>
    <mergeCell ref="C3848:E3848"/>
    <mergeCell ref="G3848:H3848"/>
    <mergeCell ref="I3848:K3848"/>
    <mergeCell ref="C3849:D3849"/>
    <mergeCell ref="M3849:P3849"/>
    <mergeCell ref="L3850:L3852"/>
    <mergeCell ref="M3850:Q3850"/>
    <mergeCell ref="R3850:T3851"/>
    <mergeCell ref="M3851:N3851"/>
    <mergeCell ref="P3851:Q3851"/>
    <mergeCell ref="M3852:N3852"/>
    <mergeCell ref="P3852:Q3852"/>
    <mergeCell ref="L3853:L3855"/>
    <mergeCell ref="M3853:Q3853"/>
    <mergeCell ref="M3854:N3854"/>
    <mergeCell ref="P3854:Q3854"/>
    <mergeCell ref="M3855:N3855"/>
    <mergeCell ref="P3855:Q3855"/>
    <mergeCell ref="C3856:G3856"/>
    <mergeCell ref="H3856:J3856"/>
    <mergeCell ref="L3856:Q3856"/>
    <mergeCell ref="AB3849:AB3850"/>
    <mergeCell ref="AC3849:AC3850"/>
    <mergeCell ref="AD3849:AD3850"/>
    <mergeCell ref="B3799:D3799"/>
    <mergeCell ref="B3800:B3801"/>
    <mergeCell ref="H3800:H3801"/>
    <mergeCell ref="I3800:I3801"/>
    <mergeCell ref="J3800:J3801"/>
    <mergeCell ref="K3800:K3801"/>
    <mergeCell ref="L3800:L3801"/>
    <mergeCell ref="M3800:M3801"/>
    <mergeCell ref="N3800:N3801"/>
    <mergeCell ref="O3800:P3800"/>
    <mergeCell ref="R3800:T3801"/>
    <mergeCell ref="U3800:U3801"/>
    <mergeCell ref="W3800:Y3800"/>
    <mergeCell ref="AD3800:AF3800"/>
    <mergeCell ref="R3803:T3803"/>
    <mergeCell ref="R3804:T3804"/>
    <mergeCell ref="R3805:T3805"/>
    <mergeCell ref="AA3800:AA3801"/>
    <mergeCell ref="AB3800:AB3801"/>
    <mergeCell ref="R3806:T3806"/>
    <mergeCell ref="R3807:T3807"/>
    <mergeCell ref="R3808:T3808"/>
    <mergeCell ref="R3809:T3809"/>
    <mergeCell ref="R3810:T3810"/>
    <mergeCell ref="R3811:T3811"/>
    <mergeCell ref="R3812:T3812"/>
    <mergeCell ref="B3816:T3816"/>
    <mergeCell ref="AD3816:AF3816"/>
    <mergeCell ref="B3817:B3826"/>
    <mergeCell ref="C3817:K3817"/>
    <mergeCell ref="L3817:L3819"/>
    <mergeCell ref="M3817:Q3818"/>
    <mergeCell ref="R3817:S3819"/>
    <mergeCell ref="T3817:T3819"/>
    <mergeCell ref="C3818:E3818"/>
    <mergeCell ref="G3818:H3818"/>
    <mergeCell ref="I3818:K3818"/>
    <mergeCell ref="C3819:D3819"/>
    <mergeCell ref="M3819:P3819"/>
    <mergeCell ref="L3820:L3822"/>
    <mergeCell ref="M3820:Q3820"/>
    <mergeCell ref="R3820:T3821"/>
    <mergeCell ref="M3821:N3821"/>
    <mergeCell ref="P3821:Q3821"/>
    <mergeCell ref="M3822:N3822"/>
    <mergeCell ref="P3822:Q3822"/>
    <mergeCell ref="L3823:L3825"/>
    <mergeCell ref="M3823:Q3823"/>
    <mergeCell ref="M3824:N3824"/>
    <mergeCell ref="P3824:Q3824"/>
    <mergeCell ref="M3825:N3825"/>
    <mergeCell ref="P3825:Q3825"/>
    <mergeCell ref="C3826:G3826"/>
    <mergeCell ref="H3826:J3826"/>
    <mergeCell ref="L3826:Q3826"/>
    <mergeCell ref="AB3819:AB3820"/>
    <mergeCell ref="AC3819:AC3820"/>
    <mergeCell ref="AD3819:AD3820"/>
    <mergeCell ref="B3769:D3769"/>
    <mergeCell ref="B3770:B3771"/>
    <mergeCell ref="H3770:H3771"/>
    <mergeCell ref="I3770:I3771"/>
    <mergeCell ref="J3770:J3771"/>
    <mergeCell ref="K3770:K3771"/>
    <mergeCell ref="L3770:L3771"/>
    <mergeCell ref="M3770:M3771"/>
    <mergeCell ref="N3770:N3771"/>
    <mergeCell ref="O3770:P3770"/>
    <mergeCell ref="R3770:T3771"/>
    <mergeCell ref="U3770:U3771"/>
    <mergeCell ref="W3770:Y3770"/>
    <mergeCell ref="AD3770:AF3770"/>
    <mergeCell ref="R3773:T3773"/>
    <mergeCell ref="R3774:T3774"/>
    <mergeCell ref="R3775:T3775"/>
    <mergeCell ref="AA3770:AA3771"/>
    <mergeCell ref="AB3770:AB3771"/>
    <mergeCell ref="R3776:T3776"/>
    <mergeCell ref="R3777:T3777"/>
    <mergeCell ref="R3778:T3778"/>
    <mergeCell ref="R3779:T3779"/>
    <mergeCell ref="R3780:T3780"/>
    <mergeCell ref="R3781:T3781"/>
    <mergeCell ref="R3782:T3782"/>
    <mergeCell ref="B3786:T3786"/>
    <mergeCell ref="AD3786:AF3786"/>
    <mergeCell ref="B3787:B3796"/>
    <mergeCell ref="C3787:K3787"/>
    <mergeCell ref="L3787:L3789"/>
    <mergeCell ref="M3787:Q3788"/>
    <mergeCell ref="R3787:S3789"/>
    <mergeCell ref="T3787:T3789"/>
    <mergeCell ref="C3788:E3788"/>
    <mergeCell ref="G3788:H3788"/>
    <mergeCell ref="I3788:K3788"/>
    <mergeCell ref="C3789:D3789"/>
    <mergeCell ref="M3789:P3789"/>
    <mergeCell ref="L3790:L3792"/>
    <mergeCell ref="M3790:Q3790"/>
    <mergeCell ref="R3790:T3791"/>
    <mergeCell ref="M3791:N3791"/>
    <mergeCell ref="P3791:Q3791"/>
    <mergeCell ref="M3792:N3792"/>
    <mergeCell ref="P3792:Q3792"/>
    <mergeCell ref="L3793:L3795"/>
    <mergeCell ref="M3793:Q3793"/>
    <mergeCell ref="M3794:N3794"/>
    <mergeCell ref="P3794:Q3794"/>
    <mergeCell ref="M3795:N3795"/>
    <mergeCell ref="P3795:Q3795"/>
    <mergeCell ref="C3796:G3796"/>
    <mergeCell ref="H3796:J3796"/>
    <mergeCell ref="L3796:Q3796"/>
    <mergeCell ref="AB3789:AB3790"/>
    <mergeCell ref="AC3789:AC3790"/>
    <mergeCell ref="AD3789:AD3790"/>
    <mergeCell ref="B3739:D3739"/>
    <mergeCell ref="B3740:B3741"/>
    <mergeCell ref="H3740:H3741"/>
    <mergeCell ref="I3740:I3741"/>
    <mergeCell ref="J3740:J3741"/>
    <mergeCell ref="K3740:K3741"/>
    <mergeCell ref="L3740:L3741"/>
    <mergeCell ref="M3740:M3741"/>
    <mergeCell ref="N3740:N3741"/>
    <mergeCell ref="O3740:P3740"/>
    <mergeCell ref="R3740:T3741"/>
    <mergeCell ref="U3740:U3741"/>
    <mergeCell ref="W3740:Y3740"/>
    <mergeCell ref="AD3740:AF3740"/>
    <mergeCell ref="R3743:T3743"/>
    <mergeCell ref="R3744:T3744"/>
    <mergeCell ref="R3745:T3745"/>
    <mergeCell ref="AA3740:AA3741"/>
    <mergeCell ref="AB3740:AB3741"/>
    <mergeCell ref="R3746:T3746"/>
    <mergeCell ref="R3747:T3747"/>
    <mergeCell ref="R3748:T3748"/>
    <mergeCell ref="R3749:T3749"/>
    <mergeCell ref="R3750:T3750"/>
    <mergeCell ref="R3751:T3751"/>
    <mergeCell ref="R3752:T3752"/>
    <mergeCell ref="B3756:T3756"/>
    <mergeCell ref="AD3756:AF3756"/>
    <mergeCell ref="B3757:B3766"/>
    <mergeCell ref="C3757:K3757"/>
    <mergeCell ref="L3757:L3759"/>
    <mergeCell ref="M3757:Q3758"/>
    <mergeCell ref="R3757:S3759"/>
    <mergeCell ref="T3757:T3759"/>
    <mergeCell ref="C3758:E3758"/>
    <mergeCell ref="G3758:H3758"/>
    <mergeCell ref="I3758:K3758"/>
    <mergeCell ref="C3759:D3759"/>
    <mergeCell ref="M3759:P3759"/>
    <mergeCell ref="L3760:L3762"/>
    <mergeCell ref="M3760:Q3760"/>
    <mergeCell ref="R3760:T3761"/>
    <mergeCell ref="M3761:N3761"/>
    <mergeCell ref="P3761:Q3761"/>
    <mergeCell ref="M3762:N3762"/>
    <mergeCell ref="P3762:Q3762"/>
    <mergeCell ref="L3763:L3765"/>
    <mergeCell ref="M3763:Q3763"/>
    <mergeCell ref="M3764:N3764"/>
    <mergeCell ref="P3764:Q3764"/>
    <mergeCell ref="M3765:N3765"/>
    <mergeCell ref="P3765:Q3765"/>
    <mergeCell ref="C3766:G3766"/>
    <mergeCell ref="H3766:J3766"/>
    <mergeCell ref="L3766:Q3766"/>
    <mergeCell ref="AB3759:AB3760"/>
    <mergeCell ref="AC3759:AC3760"/>
    <mergeCell ref="AD3759:AD3760"/>
    <mergeCell ref="B3709:D3709"/>
    <mergeCell ref="B3710:B3711"/>
    <mergeCell ref="H3710:H3711"/>
    <mergeCell ref="I3710:I3711"/>
    <mergeCell ref="J3710:J3711"/>
    <mergeCell ref="K3710:K3711"/>
    <mergeCell ref="L3710:L3711"/>
    <mergeCell ref="M3710:M3711"/>
    <mergeCell ref="N3710:N3711"/>
    <mergeCell ref="O3710:P3710"/>
    <mergeCell ref="R3710:T3711"/>
    <mergeCell ref="U3710:U3711"/>
    <mergeCell ref="W3710:Y3710"/>
    <mergeCell ref="AD3710:AF3710"/>
    <mergeCell ref="R3713:T3713"/>
    <mergeCell ref="R3714:T3714"/>
    <mergeCell ref="R3715:T3715"/>
    <mergeCell ref="AA3710:AA3711"/>
    <mergeCell ref="AB3710:AB3711"/>
    <mergeCell ref="R3716:T3716"/>
    <mergeCell ref="R3717:T3717"/>
    <mergeCell ref="R3718:T3718"/>
    <mergeCell ref="R3719:T3719"/>
    <mergeCell ref="R3720:T3720"/>
    <mergeCell ref="R3721:T3721"/>
    <mergeCell ref="R3722:T3722"/>
    <mergeCell ref="B3726:T3726"/>
    <mergeCell ref="AD3726:AF3726"/>
    <mergeCell ref="B3727:B3736"/>
    <mergeCell ref="C3727:K3727"/>
    <mergeCell ref="L3727:L3729"/>
    <mergeCell ref="M3727:Q3728"/>
    <mergeCell ref="R3727:S3729"/>
    <mergeCell ref="T3727:T3729"/>
    <mergeCell ref="C3728:E3728"/>
    <mergeCell ref="G3728:H3728"/>
    <mergeCell ref="I3728:K3728"/>
    <mergeCell ref="C3729:D3729"/>
    <mergeCell ref="M3729:P3729"/>
    <mergeCell ref="L3730:L3732"/>
    <mergeCell ref="M3730:Q3730"/>
    <mergeCell ref="R3730:T3731"/>
    <mergeCell ref="M3731:N3731"/>
    <mergeCell ref="P3731:Q3731"/>
    <mergeCell ref="M3732:N3732"/>
    <mergeCell ref="P3732:Q3732"/>
    <mergeCell ref="L3733:L3735"/>
    <mergeCell ref="M3733:Q3733"/>
    <mergeCell ref="M3734:N3734"/>
    <mergeCell ref="P3734:Q3734"/>
    <mergeCell ref="M3735:N3735"/>
    <mergeCell ref="P3735:Q3735"/>
    <mergeCell ref="C3736:G3736"/>
    <mergeCell ref="H3736:J3736"/>
    <mergeCell ref="L3736:Q3736"/>
    <mergeCell ref="AB3729:AB3730"/>
    <mergeCell ref="AC3729:AC3730"/>
    <mergeCell ref="AD3729:AD3730"/>
    <mergeCell ref="B3679:D3679"/>
    <mergeCell ref="B3680:B3681"/>
    <mergeCell ref="H3680:H3681"/>
    <mergeCell ref="I3680:I3681"/>
    <mergeCell ref="J3680:J3681"/>
    <mergeCell ref="K3680:K3681"/>
    <mergeCell ref="L3680:L3681"/>
    <mergeCell ref="M3680:M3681"/>
    <mergeCell ref="N3680:N3681"/>
    <mergeCell ref="O3680:P3680"/>
    <mergeCell ref="R3680:T3681"/>
    <mergeCell ref="U3680:U3681"/>
    <mergeCell ref="W3680:Y3680"/>
    <mergeCell ref="AD3680:AF3680"/>
    <mergeCell ref="R3683:T3683"/>
    <mergeCell ref="R3684:T3684"/>
    <mergeCell ref="R3685:T3685"/>
    <mergeCell ref="AA3680:AA3681"/>
    <mergeCell ref="AB3680:AB3681"/>
    <mergeCell ref="R3686:T3686"/>
    <mergeCell ref="R3687:T3687"/>
    <mergeCell ref="R3688:T3688"/>
    <mergeCell ref="R3689:T3689"/>
    <mergeCell ref="R3690:T3690"/>
    <mergeCell ref="R3691:T3691"/>
    <mergeCell ref="R3692:T3692"/>
    <mergeCell ref="B3696:T3696"/>
    <mergeCell ref="AD3696:AF3696"/>
    <mergeCell ref="B3697:B3706"/>
    <mergeCell ref="C3697:K3697"/>
    <mergeCell ref="L3697:L3699"/>
    <mergeCell ref="M3697:Q3698"/>
    <mergeCell ref="R3697:S3699"/>
    <mergeCell ref="T3697:T3699"/>
    <mergeCell ref="C3698:E3698"/>
    <mergeCell ref="G3698:H3698"/>
    <mergeCell ref="I3698:K3698"/>
    <mergeCell ref="C3699:D3699"/>
    <mergeCell ref="M3699:P3699"/>
    <mergeCell ref="L3700:L3702"/>
    <mergeCell ref="M3700:Q3700"/>
    <mergeCell ref="R3700:T3701"/>
    <mergeCell ref="M3701:N3701"/>
    <mergeCell ref="P3701:Q3701"/>
    <mergeCell ref="M3702:N3702"/>
    <mergeCell ref="P3702:Q3702"/>
    <mergeCell ref="L3703:L3705"/>
    <mergeCell ref="M3703:Q3703"/>
    <mergeCell ref="M3704:N3704"/>
    <mergeCell ref="P3704:Q3704"/>
    <mergeCell ref="M3705:N3705"/>
    <mergeCell ref="P3705:Q3705"/>
    <mergeCell ref="C3706:G3706"/>
    <mergeCell ref="H3706:J3706"/>
    <mergeCell ref="L3706:Q3706"/>
    <mergeCell ref="AB3699:AB3700"/>
    <mergeCell ref="AC3699:AC3700"/>
    <mergeCell ref="AD3699:AD3700"/>
    <mergeCell ref="B3649:D3649"/>
    <mergeCell ref="B3650:B3651"/>
    <mergeCell ref="H3650:H3651"/>
    <mergeCell ref="I3650:I3651"/>
    <mergeCell ref="J3650:J3651"/>
    <mergeCell ref="K3650:K3651"/>
    <mergeCell ref="L3650:L3651"/>
    <mergeCell ref="M3650:M3651"/>
    <mergeCell ref="N3650:N3651"/>
    <mergeCell ref="O3650:P3650"/>
    <mergeCell ref="R3650:T3651"/>
    <mergeCell ref="U3650:U3651"/>
    <mergeCell ref="W3650:Y3650"/>
    <mergeCell ref="AD3650:AF3650"/>
    <mergeCell ref="R3653:T3653"/>
    <mergeCell ref="R3654:T3654"/>
    <mergeCell ref="R3655:T3655"/>
    <mergeCell ref="AA3650:AA3651"/>
    <mergeCell ref="AB3650:AB3651"/>
    <mergeCell ref="R3656:T3656"/>
    <mergeCell ref="R3657:T3657"/>
    <mergeCell ref="R3658:T3658"/>
    <mergeCell ref="R3659:T3659"/>
    <mergeCell ref="R3660:T3660"/>
    <mergeCell ref="R3661:T3661"/>
    <mergeCell ref="R3662:T3662"/>
    <mergeCell ref="B3666:T3666"/>
    <mergeCell ref="AD3666:AF3666"/>
    <mergeCell ref="B3667:B3676"/>
    <mergeCell ref="C3667:K3667"/>
    <mergeCell ref="L3667:L3669"/>
    <mergeCell ref="M3667:Q3668"/>
    <mergeCell ref="R3667:S3669"/>
    <mergeCell ref="T3667:T3669"/>
    <mergeCell ref="C3668:E3668"/>
    <mergeCell ref="G3668:H3668"/>
    <mergeCell ref="I3668:K3668"/>
    <mergeCell ref="C3669:D3669"/>
    <mergeCell ref="M3669:P3669"/>
    <mergeCell ref="L3670:L3672"/>
    <mergeCell ref="M3670:Q3670"/>
    <mergeCell ref="R3670:T3671"/>
    <mergeCell ref="M3671:N3671"/>
    <mergeCell ref="P3671:Q3671"/>
    <mergeCell ref="M3672:N3672"/>
    <mergeCell ref="P3672:Q3672"/>
    <mergeCell ref="L3673:L3675"/>
    <mergeCell ref="M3673:Q3673"/>
    <mergeCell ref="M3674:N3674"/>
    <mergeCell ref="P3674:Q3674"/>
    <mergeCell ref="M3675:N3675"/>
    <mergeCell ref="P3675:Q3675"/>
    <mergeCell ref="C3676:G3676"/>
    <mergeCell ref="H3676:J3676"/>
    <mergeCell ref="L3676:Q3676"/>
    <mergeCell ref="AB3669:AB3670"/>
    <mergeCell ref="AC3669:AC3670"/>
    <mergeCell ref="AD3669:AD3670"/>
    <mergeCell ref="B3619:D3619"/>
    <mergeCell ref="B3620:B3621"/>
    <mergeCell ref="H3620:H3621"/>
    <mergeCell ref="I3620:I3621"/>
    <mergeCell ref="J3620:J3621"/>
    <mergeCell ref="K3620:K3621"/>
    <mergeCell ref="L3620:L3621"/>
    <mergeCell ref="M3620:M3621"/>
    <mergeCell ref="N3620:N3621"/>
    <mergeCell ref="O3620:P3620"/>
    <mergeCell ref="R3620:T3621"/>
    <mergeCell ref="U3620:U3621"/>
    <mergeCell ref="W3620:Y3620"/>
    <mergeCell ref="AD3620:AF3620"/>
    <mergeCell ref="R3623:T3623"/>
    <mergeCell ref="R3624:T3624"/>
    <mergeCell ref="R3625:T3625"/>
    <mergeCell ref="AA3620:AA3621"/>
    <mergeCell ref="AB3620:AB3621"/>
    <mergeCell ref="R3626:T3626"/>
    <mergeCell ref="R3627:T3627"/>
    <mergeCell ref="R3628:T3628"/>
    <mergeCell ref="R3629:T3629"/>
    <mergeCell ref="R3630:T3630"/>
    <mergeCell ref="R3631:T3631"/>
    <mergeCell ref="R3632:T3632"/>
    <mergeCell ref="B3636:T3636"/>
    <mergeCell ref="AD3636:AF3636"/>
    <mergeCell ref="B3637:B3646"/>
    <mergeCell ref="C3637:K3637"/>
    <mergeCell ref="L3637:L3639"/>
    <mergeCell ref="M3637:Q3638"/>
    <mergeCell ref="R3637:S3639"/>
    <mergeCell ref="T3637:T3639"/>
    <mergeCell ref="C3638:E3638"/>
    <mergeCell ref="G3638:H3638"/>
    <mergeCell ref="I3638:K3638"/>
    <mergeCell ref="C3639:D3639"/>
    <mergeCell ref="M3639:P3639"/>
    <mergeCell ref="L3640:L3642"/>
    <mergeCell ref="M3640:Q3640"/>
    <mergeCell ref="R3640:T3641"/>
    <mergeCell ref="M3641:N3641"/>
    <mergeCell ref="P3641:Q3641"/>
    <mergeCell ref="M3642:N3642"/>
    <mergeCell ref="P3642:Q3642"/>
    <mergeCell ref="L3643:L3645"/>
    <mergeCell ref="M3643:Q3643"/>
    <mergeCell ref="M3644:N3644"/>
    <mergeCell ref="P3644:Q3644"/>
    <mergeCell ref="M3645:N3645"/>
    <mergeCell ref="P3645:Q3645"/>
    <mergeCell ref="C3646:G3646"/>
    <mergeCell ref="H3646:J3646"/>
    <mergeCell ref="L3646:Q3646"/>
    <mergeCell ref="AB3639:AB3640"/>
    <mergeCell ref="AC3639:AC3640"/>
    <mergeCell ref="AD3639:AD3640"/>
    <mergeCell ref="B3589:D3589"/>
    <mergeCell ref="B3590:B3591"/>
    <mergeCell ref="H3590:H3591"/>
    <mergeCell ref="I3590:I3591"/>
    <mergeCell ref="J3590:J3591"/>
    <mergeCell ref="K3590:K3591"/>
    <mergeCell ref="L3590:L3591"/>
    <mergeCell ref="M3590:M3591"/>
    <mergeCell ref="N3590:N3591"/>
    <mergeCell ref="O3590:P3590"/>
    <mergeCell ref="R3590:T3591"/>
    <mergeCell ref="U3590:U3591"/>
    <mergeCell ref="W3590:Y3590"/>
    <mergeCell ref="AD3590:AF3590"/>
    <mergeCell ref="R3593:T3593"/>
    <mergeCell ref="R3594:T3594"/>
    <mergeCell ref="R3595:T3595"/>
    <mergeCell ref="AA3590:AA3591"/>
    <mergeCell ref="AB3590:AB3591"/>
    <mergeCell ref="R3596:T3596"/>
    <mergeCell ref="R3597:T3597"/>
    <mergeCell ref="R3598:T3598"/>
    <mergeCell ref="R3599:T3599"/>
    <mergeCell ref="R3600:T3600"/>
    <mergeCell ref="R3601:T3601"/>
    <mergeCell ref="R3602:T3602"/>
    <mergeCell ref="B3606:T3606"/>
    <mergeCell ref="AD3606:AF3606"/>
    <mergeCell ref="B3607:B3616"/>
    <mergeCell ref="C3607:K3607"/>
    <mergeCell ref="L3607:L3609"/>
    <mergeCell ref="M3607:Q3608"/>
    <mergeCell ref="R3607:S3609"/>
    <mergeCell ref="T3607:T3609"/>
    <mergeCell ref="C3608:E3608"/>
    <mergeCell ref="G3608:H3608"/>
    <mergeCell ref="I3608:K3608"/>
    <mergeCell ref="C3609:D3609"/>
    <mergeCell ref="M3609:P3609"/>
    <mergeCell ref="L3610:L3612"/>
    <mergeCell ref="M3610:Q3610"/>
    <mergeCell ref="R3610:T3611"/>
    <mergeCell ref="M3611:N3611"/>
    <mergeCell ref="P3611:Q3611"/>
    <mergeCell ref="M3612:N3612"/>
    <mergeCell ref="P3612:Q3612"/>
    <mergeCell ref="L3613:L3615"/>
    <mergeCell ref="M3613:Q3613"/>
    <mergeCell ref="M3614:N3614"/>
    <mergeCell ref="P3614:Q3614"/>
    <mergeCell ref="M3615:N3615"/>
    <mergeCell ref="P3615:Q3615"/>
    <mergeCell ref="C3616:G3616"/>
    <mergeCell ref="H3616:J3616"/>
    <mergeCell ref="L3616:Q3616"/>
    <mergeCell ref="AB3609:AB3610"/>
    <mergeCell ref="AC3609:AC3610"/>
    <mergeCell ref="AD3609:AD3610"/>
    <mergeCell ref="B3559:D3559"/>
    <mergeCell ref="B3560:B3561"/>
    <mergeCell ref="H3560:H3561"/>
    <mergeCell ref="I3560:I3561"/>
    <mergeCell ref="J3560:J3561"/>
    <mergeCell ref="K3560:K3561"/>
    <mergeCell ref="L3560:L3561"/>
    <mergeCell ref="M3560:M3561"/>
    <mergeCell ref="N3560:N3561"/>
    <mergeCell ref="O3560:P3560"/>
    <mergeCell ref="R3560:T3561"/>
    <mergeCell ref="U3560:U3561"/>
    <mergeCell ref="W3560:Y3560"/>
    <mergeCell ref="AD3560:AF3560"/>
    <mergeCell ref="R3563:T3563"/>
    <mergeCell ref="R3564:T3564"/>
    <mergeCell ref="R3565:T3565"/>
    <mergeCell ref="AA3560:AA3561"/>
    <mergeCell ref="AB3560:AB3561"/>
    <mergeCell ref="R3566:T3566"/>
    <mergeCell ref="R3567:T3567"/>
    <mergeCell ref="R3568:T3568"/>
    <mergeCell ref="R3569:T3569"/>
    <mergeCell ref="R3570:T3570"/>
    <mergeCell ref="R3571:T3571"/>
    <mergeCell ref="R3572:T3572"/>
    <mergeCell ref="B3576:T3576"/>
    <mergeCell ref="AD3576:AF3576"/>
    <mergeCell ref="B3577:B3586"/>
    <mergeCell ref="C3577:K3577"/>
    <mergeCell ref="L3577:L3579"/>
    <mergeCell ref="M3577:Q3578"/>
    <mergeCell ref="R3577:S3579"/>
    <mergeCell ref="T3577:T3579"/>
    <mergeCell ref="C3578:E3578"/>
    <mergeCell ref="G3578:H3578"/>
    <mergeCell ref="I3578:K3578"/>
    <mergeCell ref="C3579:D3579"/>
    <mergeCell ref="M3579:P3579"/>
    <mergeCell ref="L3580:L3582"/>
    <mergeCell ref="M3580:Q3580"/>
    <mergeCell ref="R3580:T3581"/>
    <mergeCell ref="M3581:N3581"/>
    <mergeCell ref="P3581:Q3581"/>
    <mergeCell ref="M3582:N3582"/>
    <mergeCell ref="P3582:Q3582"/>
    <mergeCell ref="L3583:L3585"/>
    <mergeCell ref="M3583:Q3583"/>
    <mergeCell ref="M3584:N3584"/>
    <mergeCell ref="P3584:Q3584"/>
    <mergeCell ref="M3585:N3585"/>
    <mergeCell ref="P3585:Q3585"/>
    <mergeCell ref="C3586:G3586"/>
    <mergeCell ref="H3586:J3586"/>
    <mergeCell ref="L3586:Q3586"/>
    <mergeCell ref="AB3579:AB3580"/>
    <mergeCell ref="AC3579:AC3580"/>
    <mergeCell ref="AD3579:AD3580"/>
    <mergeCell ref="B3529:D3529"/>
    <mergeCell ref="B3530:B3531"/>
    <mergeCell ref="H3530:H3531"/>
    <mergeCell ref="I3530:I3531"/>
    <mergeCell ref="J3530:J3531"/>
    <mergeCell ref="K3530:K3531"/>
    <mergeCell ref="L3530:L3531"/>
    <mergeCell ref="M3530:M3531"/>
    <mergeCell ref="N3530:N3531"/>
    <mergeCell ref="O3530:P3530"/>
    <mergeCell ref="R3530:T3531"/>
    <mergeCell ref="U3530:U3531"/>
    <mergeCell ref="W3530:Y3530"/>
    <mergeCell ref="AD3530:AF3530"/>
    <mergeCell ref="R3533:T3533"/>
    <mergeCell ref="R3534:T3534"/>
    <mergeCell ref="R3535:T3535"/>
    <mergeCell ref="AA3530:AA3531"/>
    <mergeCell ref="AB3530:AB3531"/>
    <mergeCell ref="R3536:T3536"/>
    <mergeCell ref="R3537:T3537"/>
    <mergeCell ref="R3538:T3538"/>
    <mergeCell ref="R3539:T3539"/>
    <mergeCell ref="R3540:T3540"/>
    <mergeCell ref="R3541:T3541"/>
    <mergeCell ref="R3542:T3542"/>
    <mergeCell ref="B3546:T3546"/>
    <mergeCell ref="AD3546:AF3546"/>
    <mergeCell ref="B3547:B3556"/>
    <mergeCell ref="C3547:K3547"/>
    <mergeCell ref="L3547:L3549"/>
    <mergeCell ref="M3547:Q3548"/>
    <mergeCell ref="R3547:S3549"/>
    <mergeCell ref="T3547:T3549"/>
    <mergeCell ref="C3548:E3548"/>
    <mergeCell ref="G3548:H3548"/>
    <mergeCell ref="I3548:K3548"/>
    <mergeCell ref="C3549:D3549"/>
    <mergeCell ref="M3549:P3549"/>
    <mergeCell ref="L3550:L3552"/>
    <mergeCell ref="M3550:Q3550"/>
    <mergeCell ref="R3550:T3551"/>
    <mergeCell ref="M3551:N3551"/>
    <mergeCell ref="P3551:Q3551"/>
    <mergeCell ref="M3552:N3552"/>
    <mergeCell ref="P3552:Q3552"/>
    <mergeCell ref="L3553:L3555"/>
    <mergeCell ref="M3553:Q3553"/>
    <mergeCell ref="M3554:N3554"/>
    <mergeCell ref="P3554:Q3554"/>
    <mergeCell ref="M3555:N3555"/>
    <mergeCell ref="P3555:Q3555"/>
    <mergeCell ref="C3556:G3556"/>
    <mergeCell ref="H3556:J3556"/>
    <mergeCell ref="L3556:Q3556"/>
    <mergeCell ref="AB3549:AB3550"/>
    <mergeCell ref="AC3549:AC3550"/>
    <mergeCell ref="AD3549:AD3550"/>
    <mergeCell ref="B3499:D3499"/>
    <mergeCell ref="B3500:B3501"/>
    <mergeCell ref="H3500:H3501"/>
    <mergeCell ref="I3500:I3501"/>
    <mergeCell ref="J3500:J3501"/>
    <mergeCell ref="K3500:K3501"/>
    <mergeCell ref="L3500:L3501"/>
    <mergeCell ref="M3500:M3501"/>
    <mergeCell ref="N3500:N3501"/>
    <mergeCell ref="O3500:P3500"/>
    <mergeCell ref="R3500:T3501"/>
    <mergeCell ref="U3500:U3501"/>
    <mergeCell ref="W3500:Y3500"/>
    <mergeCell ref="AD3500:AF3500"/>
    <mergeCell ref="R3503:T3503"/>
    <mergeCell ref="R3504:T3504"/>
    <mergeCell ref="R3505:T3505"/>
    <mergeCell ref="AA3500:AA3501"/>
    <mergeCell ref="AB3500:AB3501"/>
    <mergeCell ref="R3506:T3506"/>
    <mergeCell ref="R3507:T3507"/>
    <mergeCell ref="R3508:T3508"/>
    <mergeCell ref="R3509:T3509"/>
    <mergeCell ref="R3510:T3510"/>
    <mergeCell ref="R3511:T3511"/>
    <mergeCell ref="R3512:T3512"/>
    <mergeCell ref="B3516:T3516"/>
    <mergeCell ref="AD3516:AF3516"/>
    <mergeCell ref="B3517:B3526"/>
    <mergeCell ref="C3517:K3517"/>
    <mergeCell ref="L3517:L3519"/>
    <mergeCell ref="M3517:Q3518"/>
    <mergeCell ref="R3517:S3519"/>
    <mergeCell ref="T3517:T3519"/>
    <mergeCell ref="C3518:E3518"/>
    <mergeCell ref="G3518:H3518"/>
    <mergeCell ref="I3518:K3518"/>
    <mergeCell ref="C3519:D3519"/>
    <mergeCell ref="M3519:P3519"/>
    <mergeCell ref="L3520:L3522"/>
    <mergeCell ref="M3520:Q3520"/>
    <mergeCell ref="R3520:T3521"/>
    <mergeCell ref="M3521:N3521"/>
    <mergeCell ref="P3521:Q3521"/>
    <mergeCell ref="M3522:N3522"/>
    <mergeCell ref="P3522:Q3522"/>
    <mergeCell ref="L3523:L3525"/>
    <mergeCell ref="M3523:Q3523"/>
    <mergeCell ref="M3524:N3524"/>
    <mergeCell ref="P3524:Q3524"/>
    <mergeCell ref="M3525:N3525"/>
    <mergeCell ref="P3525:Q3525"/>
    <mergeCell ref="C3526:G3526"/>
    <mergeCell ref="H3526:J3526"/>
    <mergeCell ref="L3526:Q3526"/>
    <mergeCell ref="AB3519:AB3520"/>
    <mergeCell ref="AC3519:AC3520"/>
    <mergeCell ref="AD3519:AD3520"/>
    <mergeCell ref="B3469:D3469"/>
    <mergeCell ref="B3470:B3471"/>
    <mergeCell ref="H3470:H3471"/>
    <mergeCell ref="I3470:I3471"/>
    <mergeCell ref="J3470:J3471"/>
    <mergeCell ref="K3470:K3471"/>
    <mergeCell ref="L3470:L3471"/>
    <mergeCell ref="M3470:M3471"/>
    <mergeCell ref="N3470:N3471"/>
    <mergeCell ref="O3470:P3470"/>
    <mergeCell ref="R3470:T3471"/>
    <mergeCell ref="U3470:U3471"/>
    <mergeCell ref="W3470:Y3470"/>
    <mergeCell ref="AD3470:AF3470"/>
    <mergeCell ref="R3473:T3473"/>
    <mergeCell ref="R3474:T3474"/>
    <mergeCell ref="R3475:T3475"/>
    <mergeCell ref="AA3470:AA3471"/>
    <mergeCell ref="AB3470:AB3471"/>
    <mergeCell ref="R3476:T3476"/>
    <mergeCell ref="R3477:T3477"/>
    <mergeCell ref="R3478:T3478"/>
    <mergeCell ref="R3479:T3479"/>
    <mergeCell ref="R3480:T3480"/>
    <mergeCell ref="R3481:T3481"/>
    <mergeCell ref="R3482:T3482"/>
    <mergeCell ref="B3486:T3486"/>
    <mergeCell ref="AD3486:AF3486"/>
    <mergeCell ref="B3487:B3496"/>
    <mergeCell ref="C3487:K3487"/>
    <mergeCell ref="L3487:L3489"/>
    <mergeCell ref="M3487:Q3488"/>
    <mergeCell ref="R3487:S3489"/>
    <mergeCell ref="T3487:T3489"/>
    <mergeCell ref="C3488:E3488"/>
    <mergeCell ref="G3488:H3488"/>
    <mergeCell ref="I3488:K3488"/>
    <mergeCell ref="C3489:D3489"/>
    <mergeCell ref="M3489:P3489"/>
    <mergeCell ref="L3490:L3492"/>
    <mergeCell ref="M3490:Q3490"/>
    <mergeCell ref="R3490:T3491"/>
    <mergeCell ref="M3491:N3491"/>
    <mergeCell ref="P3491:Q3491"/>
    <mergeCell ref="M3492:N3492"/>
    <mergeCell ref="P3492:Q3492"/>
    <mergeCell ref="L3493:L3495"/>
    <mergeCell ref="M3493:Q3493"/>
    <mergeCell ref="M3494:N3494"/>
    <mergeCell ref="P3494:Q3494"/>
    <mergeCell ref="M3495:N3495"/>
    <mergeCell ref="P3495:Q3495"/>
    <mergeCell ref="C3496:G3496"/>
    <mergeCell ref="H3496:J3496"/>
    <mergeCell ref="L3496:Q3496"/>
    <mergeCell ref="AB3489:AB3490"/>
    <mergeCell ref="AC3489:AC3490"/>
    <mergeCell ref="AD3489:AD3490"/>
    <mergeCell ref="B3439:D3439"/>
    <mergeCell ref="B3440:B3441"/>
    <mergeCell ref="H3440:H3441"/>
    <mergeCell ref="I3440:I3441"/>
    <mergeCell ref="J3440:J3441"/>
    <mergeCell ref="K3440:K3441"/>
    <mergeCell ref="L3440:L3441"/>
    <mergeCell ref="M3440:M3441"/>
    <mergeCell ref="N3440:N3441"/>
    <mergeCell ref="O3440:P3440"/>
    <mergeCell ref="R3440:T3441"/>
    <mergeCell ref="U3440:U3441"/>
    <mergeCell ref="W3440:Y3440"/>
    <mergeCell ref="AD3440:AF3440"/>
    <mergeCell ref="R3443:T3443"/>
    <mergeCell ref="R3444:T3444"/>
    <mergeCell ref="R3445:T3445"/>
    <mergeCell ref="AA3440:AA3441"/>
    <mergeCell ref="AB3440:AB3441"/>
    <mergeCell ref="R3446:T3446"/>
    <mergeCell ref="R3447:T3447"/>
    <mergeCell ref="R3448:T3448"/>
    <mergeCell ref="R3449:T3449"/>
    <mergeCell ref="R3450:T3450"/>
    <mergeCell ref="R3451:T3451"/>
    <mergeCell ref="R3452:T3452"/>
    <mergeCell ref="B3456:T3456"/>
    <mergeCell ref="AD3456:AF3456"/>
    <mergeCell ref="B3457:B3466"/>
    <mergeCell ref="C3457:K3457"/>
    <mergeCell ref="L3457:L3459"/>
    <mergeCell ref="M3457:Q3458"/>
    <mergeCell ref="R3457:S3459"/>
    <mergeCell ref="T3457:T3459"/>
    <mergeCell ref="C3458:E3458"/>
    <mergeCell ref="G3458:H3458"/>
    <mergeCell ref="I3458:K3458"/>
    <mergeCell ref="C3459:D3459"/>
    <mergeCell ref="M3459:P3459"/>
    <mergeCell ref="L3460:L3462"/>
    <mergeCell ref="M3460:Q3460"/>
    <mergeCell ref="R3460:T3461"/>
    <mergeCell ref="M3461:N3461"/>
    <mergeCell ref="P3461:Q3461"/>
    <mergeCell ref="M3462:N3462"/>
    <mergeCell ref="P3462:Q3462"/>
    <mergeCell ref="L3463:L3465"/>
    <mergeCell ref="M3463:Q3463"/>
    <mergeCell ref="M3464:N3464"/>
    <mergeCell ref="P3464:Q3464"/>
    <mergeCell ref="M3465:N3465"/>
    <mergeCell ref="P3465:Q3465"/>
    <mergeCell ref="C3466:G3466"/>
    <mergeCell ref="H3466:J3466"/>
    <mergeCell ref="L3466:Q3466"/>
    <mergeCell ref="AB3459:AB3460"/>
    <mergeCell ref="AC3459:AC3460"/>
    <mergeCell ref="AD3459:AD3460"/>
    <mergeCell ref="B3409:D3409"/>
    <mergeCell ref="B3410:B3411"/>
    <mergeCell ref="H3410:H3411"/>
    <mergeCell ref="I3410:I3411"/>
    <mergeCell ref="J3410:J3411"/>
    <mergeCell ref="K3410:K3411"/>
    <mergeCell ref="L3410:L3411"/>
    <mergeCell ref="M3410:M3411"/>
    <mergeCell ref="N3410:N3411"/>
    <mergeCell ref="O3410:P3410"/>
    <mergeCell ref="R3410:T3411"/>
    <mergeCell ref="U3410:U3411"/>
    <mergeCell ref="W3410:Y3410"/>
    <mergeCell ref="AD3410:AF3410"/>
    <mergeCell ref="R3413:T3413"/>
    <mergeCell ref="R3414:T3414"/>
    <mergeCell ref="R3415:T3415"/>
    <mergeCell ref="AA3410:AA3411"/>
    <mergeCell ref="AB3410:AB3411"/>
    <mergeCell ref="R3416:T3416"/>
    <mergeCell ref="R3417:T3417"/>
    <mergeCell ref="R3418:T3418"/>
    <mergeCell ref="R3419:T3419"/>
    <mergeCell ref="R3420:T3420"/>
    <mergeCell ref="R3421:T3421"/>
    <mergeCell ref="R3422:T3422"/>
    <mergeCell ref="B3426:T3426"/>
    <mergeCell ref="AD3426:AF3426"/>
    <mergeCell ref="B3427:B3436"/>
    <mergeCell ref="C3427:K3427"/>
    <mergeCell ref="L3427:L3429"/>
    <mergeCell ref="M3427:Q3428"/>
    <mergeCell ref="R3427:S3429"/>
    <mergeCell ref="T3427:T3429"/>
    <mergeCell ref="C3428:E3428"/>
    <mergeCell ref="G3428:H3428"/>
    <mergeCell ref="I3428:K3428"/>
    <mergeCell ref="C3429:D3429"/>
    <mergeCell ref="M3429:P3429"/>
    <mergeCell ref="L3430:L3432"/>
    <mergeCell ref="M3430:Q3430"/>
    <mergeCell ref="R3430:T3431"/>
    <mergeCell ref="M3431:N3431"/>
    <mergeCell ref="P3431:Q3431"/>
    <mergeCell ref="M3432:N3432"/>
    <mergeCell ref="P3432:Q3432"/>
    <mergeCell ref="L3433:L3435"/>
    <mergeCell ref="M3433:Q3433"/>
    <mergeCell ref="M3434:N3434"/>
    <mergeCell ref="P3434:Q3434"/>
    <mergeCell ref="M3435:N3435"/>
    <mergeCell ref="P3435:Q3435"/>
    <mergeCell ref="C3436:G3436"/>
    <mergeCell ref="H3436:J3436"/>
    <mergeCell ref="L3436:Q3436"/>
    <mergeCell ref="AB3429:AB3430"/>
    <mergeCell ref="AC3429:AC3430"/>
    <mergeCell ref="AD3429:AD3430"/>
    <mergeCell ref="B3379:D3379"/>
    <mergeCell ref="B3380:B3381"/>
    <mergeCell ref="H3380:H3381"/>
    <mergeCell ref="I3380:I3381"/>
    <mergeCell ref="J3380:J3381"/>
    <mergeCell ref="K3380:K3381"/>
    <mergeCell ref="L3380:L3381"/>
    <mergeCell ref="M3380:M3381"/>
    <mergeCell ref="N3380:N3381"/>
    <mergeCell ref="O3380:P3380"/>
    <mergeCell ref="R3380:T3381"/>
    <mergeCell ref="U3380:U3381"/>
    <mergeCell ref="W3380:Y3380"/>
    <mergeCell ref="AD3380:AF3380"/>
    <mergeCell ref="R3383:T3383"/>
    <mergeCell ref="R3384:T3384"/>
    <mergeCell ref="R3385:T3385"/>
    <mergeCell ref="AA3380:AA3381"/>
    <mergeCell ref="AB3380:AB3381"/>
    <mergeCell ref="R3386:T3386"/>
    <mergeCell ref="R3387:T3387"/>
    <mergeCell ref="R3388:T3388"/>
    <mergeCell ref="R3389:T3389"/>
    <mergeCell ref="R3390:T3390"/>
    <mergeCell ref="R3391:T3391"/>
    <mergeCell ref="R3392:T3392"/>
    <mergeCell ref="B3396:T3396"/>
    <mergeCell ref="AD3396:AF3396"/>
    <mergeCell ref="B3397:B3406"/>
    <mergeCell ref="C3397:K3397"/>
    <mergeCell ref="L3397:L3399"/>
    <mergeCell ref="M3397:Q3398"/>
    <mergeCell ref="R3397:S3399"/>
    <mergeCell ref="T3397:T3399"/>
    <mergeCell ref="C3398:E3398"/>
    <mergeCell ref="G3398:H3398"/>
    <mergeCell ref="I3398:K3398"/>
    <mergeCell ref="C3399:D3399"/>
    <mergeCell ref="M3399:P3399"/>
    <mergeCell ref="L3400:L3402"/>
    <mergeCell ref="M3400:Q3400"/>
    <mergeCell ref="R3400:T3401"/>
    <mergeCell ref="M3401:N3401"/>
    <mergeCell ref="P3401:Q3401"/>
    <mergeCell ref="M3402:N3402"/>
    <mergeCell ref="P3402:Q3402"/>
    <mergeCell ref="L3403:L3405"/>
    <mergeCell ref="M3403:Q3403"/>
    <mergeCell ref="M3404:N3404"/>
    <mergeCell ref="P3404:Q3404"/>
    <mergeCell ref="M3405:N3405"/>
    <mergeCell ref="P3405:Q3405"/>
    <mergeCell ref="C3406:G3406"/>
    <mergeCell ref="H3406:J3406"/>
    <mergeCell ref="L3406:Q3406"/>
    <mergeCell ref="AB3399:AB3400"/>
    <mergeCell ref="AC3399:AC3400"/>
    <mergeCell ref="AD3399:AD3400"/>
    <mergeCell ref="B3349:D3349"/>
    <mergeCell ref="B3350:B3351"/>
    <mergeCell ref="H3350:H3351"/>
    <mergeCell ref="I3350:I3351"/>
    <mergeCell ref="J3350:J3351"/>
    <mergeCell ref="K3350:K3351"/>
    <mergeCell ref="L3350:L3351"/>
    <mergeCell ref="M3350:M3351"/>
    <mergeCell ref="N3350:N3351"/>
    <mergeCell ref="O3350:P3350"/>
    <mergeCell ref="R3350:T3351"/>
    <mergeCell ref="U3350:U3351"/>
    <mergeCell ref="W3350:Y3350"/>
    <mergeCell ref="AD3350:AF3350"/>
    <mergeCell ref="R3353:T3353"/>
    <mergeCell ref="R3354:T3354"/>
    <mergeCell ref="R3355:T3355"/>
    <mergeCell ref="AA3350:AA3351"/>
    <mergeCell ref="AB3350:AB3351"/>
    <mergeCell ref="R3356:T3356"/>
    <mergeCell ref="R3357:T3357"/>
    <mergeCell ref="R3358:T3358"/>
    <mergeCell ref="R3359:T3359"/>
    <mergeCell ref="R3360:T3360"/>
    <mergeCell ref="R3361:T3361"/>
    <mergeCell ref="R3362:T3362"/>
    <mergeCell ref="B3366:T3366"/>
    <mergeCell ref="AD3366:AF3366"/>
    <mergeCell ref="B3367:B3376"/>
    <mergeCell ref="C3367:K3367"/>
    <mergeCell ref="L3367:L3369"/>
    <mergeCell ref="M3367:Q3368"/>
    <mergeCell ref="R3367:S3369"/>
    <mergeCell ref="T3367:T3369"/>
    <mergeCell ref="C3368:E3368"/>
    <mergeCell ref="G3368:H3368"/>
    <mergeCell ref="I3368:K3368"/>
    <mergeCell ref="C3369:D3369"/>
    <mergeCell ref="M3369:P3369"/>
    <mergeCell ref="L3370:L3372"/>
    <mergeCell ref="M3370:Q3370"/>
    <mergeCell ref="R3370:T3371"/>
    <mergeCell ref="M3371:N3371"/>
    <mergeCell ref="P3371:Q3371"/>
    <mergeCell ref="M3372:N3372"/>
    <mergeCell ref="P3372:Q3372"/>
    <mergeCell ref="L3373:L3375"/>
    <mergeCell ref="M3373:Q3373"/>
    <mergeCell ref="M3374:N3374"/>
    <mergeCell ref="P3374:Q3374"/>
    <mergeCell ref="M3375:N3375"/>
    <mergeCell ref="P3375:Q3375"/>
    <mergeCell ref="C3376:G3376"/>
    <mergeCell ref="H3376:J3376"/>
    <mergeCell ref="L3376:Q3376"/>
    <mergeCell ref="AB3369:AB3370"/>
    <mergeCell ref="AC3369:AC3370"/>
    <mergeCell ref="AD3369:AD3370"/>
    <mergeCell ref="B3319:D3319"/>
    <mergeCell ref="B3320:B3321"/>
    <mergeCell ref="H3320:H3321"/>
    <mergeCell ref="I3320:I3321"/>
    <mergeCell ref="J3320:J3321"/>
    <mergeCell ref="K3320:K3321"/>
    <mergeCell ref="L3320:L3321"/>
    <mergeCell ref="M3320:M3321"/>
    <mergeCell ref="N3320:N3321"/>
    <mergeCell ref="O3320:P3320"/>
    <mergeCell ref="R3320:T3321"/>
    <mergeCell ref="U3320:U3321"/>
    <mergeCell ref="W3320:Y3320"/>
    <mergeCell ref="AD3320:AF3320"/>
    <mergeCell ref="R3323:T3323"/>
    <mergeCell ref="R3324:T3324"/>
    <mergeCell ref="R3325:T3325"/>
    <mergeCell ref="AA3320:AA3321"/>
    <mergeCell ref="AB3320:AB3321"/>
    <mergeCell ref="R3326:T3326"/>
    <mergeCell ref="R3327:T3327"/>
    <mergeCell ref="R3328:T3328"/>
    <mergeCell ref="R3329:T3329"/>
    <mergeCell ref="R3330:T3330"/>
    <mergeCell ref="R3331:T3331"/>
    <mergeCell ref="R3332:T3332"/>
    <mergeCell ref="B3336:T3336"/>
    <mergeCell ref="AD3336:AF3336"/>
    <mergeCell ref="B3337:B3346"/>
    <mergeCell ref="C3337:K3337"/>
    <mergeCell ref="L3337:L3339"/>
    <mergeCell ref="M3337:Q3338"/>
    <mergeCell ref="R3337:S3339"/>
    <mergeCell ref="T3337:T3339"/>
    <mergeCell ref="C3338:E3338"/>
    <mergeCell ref="G3338:H3338"/>
    <mergeCell ref="I3338:K3338"/>
    <mergeCell ref="C3339:D3339"/>
    <mergeCell ref="M3339:P3339"/>
    <mergeCell ref="L3340:L3342"/>
    <mergeCell ref="M3340:Q3340"/>
    <mergeCell ref="R3340:T3341"/>
    <mergeCell ref="M3341:N3341"/>
    <mergeCell ref="P3341:Q3341"/>
    <mergeCell ref="M3342:N3342"/>
    <mergeCell ref="P3342:Q3342"/>
    <mergeCell ref="L3343:L3345"/>
    <mergeCell ref="M3343:Q3343"/>
    <mergeCell ref="M3344:N3344"/>
    <mergeCell ref="P3344:Q3344"/>
    <mergeCell ref="M3345:N3345"/>
    <mergeCell ref="P3345:Q3345"/>
    <mergeCell ref="C3346:G3346"/>
    <mergeCell ref="H3346:J3346"/>
    <mergeCell ref="L3346:Q3346"/>
    <mergeCell ref="AB3339:AB3340"/>
    <mergeCell ref="AC3339:AC3340"/>
    <mergeCell ref="AD3339:AD3340"/>
    <mergeCell ref="B3289:D3289"/>
    <mergeCell ref="B3290:B3291"/>
    <mergeCell ref="H3290:H3291"/>
    <mergeCell ref="I3290:I3291"/>
    <mergeCell ref="J3290:J3291"/>
    <mergeCell ref="K3290:K3291"/>
    <mergeCell ref="L3290:L3291"/>
    <mergeCell ref="M3290:M3291"/>
    <mergeCell ref="N3290:N3291"/>
    <mergeCell ref="O3290:P3290"/>
    <mergeCell ref="R3290:T3291"/>
    <mergeCell ref="U3290:U3291"/>
    <mergeCell ref="W3290:Y3290"/>
    <mergeCell ref="AD3290:AF3290"/>
    <mergeCell ref="R3293:T3293"/>
    <mergeCell ref="R3294:T3294"/>
    <mergeCell ref="R3295:T3295"/>
    <mergeCell ref="AA3290:AA3291"/>
    <mergeCell ref="AB3290:AB3291"/>
    <mergeCell ref="R3296:T3296"/>
    <mergeCell ref="R3297:T3297"/>
    <mergeCell ref="R3298:T3298"/>
    <mergeCell ref="R3299:T3299"/>
    <mergeCell ref="R3300:T3300"/>
    <mergeCell ref="R3301:T3301"/>
    <mergeCell ref="R3302:T3302"/>
    <mergeCell ref="B3306:T3306"/>
    <mergeCell ref="AD3306:AF3306"/>
    <mergeCell ref="B3307:B3316"/>
    <mergeCell ref="C3307:K3307"/>
    <mergeCell ref="L3307:L3309"/>
    <mergeCell ref="M3307:Q3308"/>
    <mergeCell ref="R3307:S3309"/>
    <mergeCell ref="T3307:T3309"/>
    <mergeCell ref="C3308:E3308"/>
    <mergeCell ref="G3308:H3308"/>
    <mergeCell ref="I3308:K3308"/>
    <mergeCell ref="C3309:D3309"/>
    <mergeCell ref="M3309:P3309"/>
    <mergeCell ref="L3310:L3312"/>
    <mergeCell ref="M3310:Q3310"/>
    <mergeCell ref="R3310:T3311"/>
    <mergeCell ref="M3311:N3311"/>
    <mergeCell ref="P3311:Q3311"/>
    <mergeCell ref="M3312:N3312"/>
    <mergeCell ref="P3312:Q3312"/>
    <mergeCell ref="L3313:L3315"/>
    <mergeCell ref="M3313:Q3313"/>
    <mergeCell ref="M3314:N3314"/>
    <mergeCell ref="P3314:Q3314"/>
    <mergeCell ref="M3315:N3315"/>
    <mergeCell ref="P3315:Q3315"/>
    <mergeCell ref="C3316:G3316"/>
    <mergeCell ref="H3316:J3316"/>
    <mergeCell ref="L3316:Q3316"/>
    <mergeCell ref="AB3309:AB3310"/>
    <mergeCell ref="AC3309:AC3310"/>
    <mergeCell ref="AD3309:AD3310"/>
    <mergeCell ref="B3259:D3259"/>
    <mergeCell ref="B3260:B3261"/>
    <mergeCell ref="H3260:H3261"/>
    <mergeCell ref="I3260:I3261"/>
    <mergeCell ref="J3260:J3261"/>
    <mergeCell ref="K3260:K3261"/>
    <mergeCell ref="L3260:L3261"/>
    <mergeCell ref="M3260:M3261"/>
    <mergeCell ref="N3260:N3261"/>
    <mergeCell ref="O3260:P3260"/>
    <mergeCell ref="R3260:T3261"/>
    <mergeCell ref="U3260:U3261"/>
    <mergeCell ref="W3260:Y3260"/>
    <mergeCell ref="AD3260:AF3260"/>
    <mergeCell ref="R3263:T3263"/>
    <mergeCell ref="R3264:T3264"/>
    <mergeCell ref="R3265:T3265"/>
    <mergeCell ref="AA3260:AA3261"/>
    <mergeCell ref="AB3260:AB3261"/>
    <mergeCell ref="R3266:T3266"/>
    <mergeCell ref="R3267:T3267"/>
    <mergeCell ref="R3268:T3268"/>
    <mergeCell ref="R3269:T3269"/>
    <mergeCell ref="R3270:T3270"/>
    <mergeCell ref="R3271:T3271"/>
    <mergeCell ref="R3272:T3272"/>
    <mergeCell ref="B3276:T3276"/>
    <mergeCell ref="AD3276:AF3276"/>
    <mergeCell ref="B3277:B3286"/>
    <mergeCell ref="C3277:K3277"/>
    <mergeCell ref="L3277:L3279"/>
    <mergeCell ref="M3277:Q3278"/>
    <mergeCell ref="R3277:S3279"/>
    <mergeCell ref="T3277:T3279"/>
    <mergeCell ref="C3278:E3278"/>
    <mergeCell ref="G3278:H3278"/>
    <mergeCell ref="I3278:K3278"/>
    <mergeCell ref="C3279:D3279"/>
    <mergeCell ref="M3279:P3279"/>
    <mergeCell ref="L3280:L3282"/>
    <mergeCell ref="M3280:Q3280"/>
    <mergeCell ref="R3280:T3281"/>
    <mergeCell ref="M3281:N3281"/>
    <mergeCell ref="P3281:Q3281"/>
    <mergeCell ref="M3282:N3282"/>
    <mergeCell ref="P3282:Q3282"/>
    <mergeCell ref="L3283:L3285"/>
    <mergeCell ref="M3283:Q3283"/>
    <mergeCell ref="M3284:N3284"/>
    <mergeCell ref="P3284:Q3284"/>
    <mergeCell ref="M3285:N3285"/>
    <mergeCell ref="P3285:Q3285"/>
    <mergeCell ref="C3286:G3286"/>
    <mergeCell ref="H3286:J3286"/>
    <mergeCell ref="L3286:Q3286"/>
    <mergeCell ref="AB3279:AB3280"/>
    <mergeCell ref="AC3279:AC3280"/>
    <mergeCell ref="AD3279:AD3280"/>
    <mergeCell ref="B3229:D3229"/>
    <mergeCell ref="B3230:B3231"/>
    <mergeCell ref="H3230:H3231"/>
    <mergeCell ref="I3230:I3231"/>
    <mergeCell ref="J3230:J3231"/>
    <mergeCell ref="K3230:K3231"/>
    <mergeCell ref="L3230:L3231"/>
    <mergeCell ref="M3230:M3231"/>
    <mergeCell ref="N3230:N3231"/>
    <mergeCell ref="O3230:P3230"/>
    <mergeCell ref="R3230:T3231"/>
    <mergeCell ref="U3230:U3231"/>
    <mergeCell ref="W3230:Y3230"/>
    <mergeCell ref="AD3230:AF3230"/>
    <mergeCell ref="R3233:T3233"/>
    <mergeCell ref="R3234:T3234"/>
    <mergeCell ref="R3235:T3235"/>
    <mergeCell ref="AA3230:AA3231"/>
    <mergeCell ref="AB3230:AB3231"/>
    <mergeCell ref="R3236:T3236"/>
    <mergeCell ref="R3237:T3237"/>
    <mergeCell ref="R3238:T3238"/>
    <mergeCell ref="R3239:T3239"/>
    <mergeCell ref="R3240:T3240"/>
    <mergeCell ref="R3241:T3241"/>
    <mergeCell ref="R3242:T3242"/>
    <mergeCell ref="B3246:T3246"/>
    <mergeCell ref="AD3246:AF3246"/>
    <mergeCell ref="B3247:B3256"/>
    <mergeCell ref="C3247:K3247"/>
    <mergeCell ref="L3247:L3249"/>
    <mergeCell ref="M3247:Q3248"/>
    <mergeCell ref="R3247:S3249"/>
    <mergeCell ref="T3247:T3249"/>
    <mergeCell ref="C3248:E3248"/>
    <mergeCell ref="G3248:H3248"/>
    <mergeCell ref="I3248:K3248"/>
    <mergeCell ref="C3249:D3249"/>
    <mergeCell ref="M3249:P3249"/>
    <mergeCell ref="L3250:L3252"/>
    <mergeCell ref="M3250:Q3250"/>
    <mergeCell ref="R3250:T3251"/>
    <mergeCell ref="M3251:N3251"/>
    <mergeCell ref="P3251:Q3251"/>
    <mergeCell ref="M3252:N3252"/>
    <mergeCell ref="P3252:Q3252"/>
    <mergeCell ref="L3253:L3255"/>
    <mergeCell ref="M3253:Q3253"/>
    <mergeCell ref="M3254:N3254"/>
    <mergeCell ref="P3254:Q3254"/>
    <mergeCell ref="M3255:N3255"/>
    <mergeCell ref="P3255:Q3255"/>
    <mergeCell ref="C3256:G3256"/>
    <mergeCell ref="H3256:J3256"/>
    <mergeCell ref="L3256:Q3256"/>
    <mergeCell ref="AB3249:AB3250"/>
    <mergeCell ref="AC3249:AC3250"/>
    <mergeCell ref="AD3249:AD3250"/>
    <mergeCell ref="B3199:D3199"/>
    <mergeCell ref="B3200:B3201"/>
    <mergeCell ref="H3200:H3201"/>
    <mergeCell ref="I3200:I3201"/>
    <mergeCell ref="J3200:J3201"/>
    <mergeCell ref="K3200:K3201"/>
    <mergeCell ref="L3200:L3201"/>
    <mergeCell ref="M3200:M3201"/>
    <mergeCell ref="N3200:N3201"/>
    <mergeCell ref="O3200:P3200"/>
    <mergeCell ref="R3200:T3201"/>
    <mergeCell ref="U3200:U3201"/>
    <mergeCell ref="W3200:Y3200"/>
    <mergeCell ref="AD3200:AF3200"/>
    <mergeCell ref="R3203:T3203"/>
    <mergeCell ref="R3204:T3204"/>
    <mergeCell ref="R3205:T3205"/>
    <mergeCell ref="AA3200:AA3201"/>
    <mergeCell ref="AB3200:AB3201"/>
    <mergeCell ref="R3206:T3206"/>
    <mergeCell ref="R3207:T3207"/>
    <mergeCell ref="R3208:T3208"/>
    <mergeCell ref="R3209:T3209"/>
    <mergeCell ref="R3210:T3210"/>
    <mergeCell ref="R3211:T3211"/>
    <mergeCell ref="R3212:T3212"/>
    <mergeCell ref="B3216:T3216"/>
    <mergeCell ref="AD3216:AF3216"/>
    <mergeCell ref="B3217:B3226"/>
    <mergeCell ref="C3217:K3217"/>
    <mergeCell ref="L3217:L3219"/>
    <mergeCell ref="M3217:Q3218"/>
    <mergeCell ref="R3217:S3219"/>
    <mergeCell ref="T3217:T3219"/>
    <mergeCell ref="C3218:E3218"/>
    <mergeCell ref="G3218:H3218"/>
    <mergeCell ref="I3218:K3218"/>
    <mergeCell ref="C3219:D3219"/>
    <mergeCell ref="M3219:P3219"/>
    <mergeCell ref="L3220:L3222"/>
    <mergeCell ref="M3220:Q3220"/>
    <mergeCell ref="R3220:T3221"/>
    <mergeCell ref="M3221:N3221"/>
    <mergeCell ref="P3221:Q3221"/>
    <mergeCell ref="M3222:N3222"/>
    <mergeCell ref="P3222:Q3222"/>
    <mergeCell ref="L3223:L3225"/>
    <mergeCell ref="M3223:Q3223"/>
    <mergeCell ref="M3224:N3224"/>
    <mergeCell ref="P3224:Q3224"/>
    <mergeCell ref="M3225:N3225"/>
    <mergeCell ref="P3225:Q3225"/>
    <mergeCell ref="C3226:G3226"/>
    <mergeCell ref="H3226:J3226"/>
    <mergeCell ref="L3226:Q3226"/>
    <mergeCell ref="B3169:D3169"/>
    <mergeCell ref="B3170:B3171"/>
    <mergeCell ref="H3170:H3171"/>
    <mergeCell ref="I3170:I3171"/>
    <mergeCell ref="J3170:J3171"/>
    <mergeCell ref="K3170:K3171"/>
    <mergeCell ref="L3170:L3171"/>
    <mergeCell ref="M3170:M3171"/>
    <mergeCell ref="N3170:N3171"/>
    <mergeCell ref="O3170:P3170"/>
    <mergeCell ref="R3170:T3171"/>
    <mergeCell ref="U3170:U3171"/>
    <mergeCell ref="W3170:Y3170"/>
    <mergeCell ref="AD3170:AF3170"/>
    <mergeCell ref="R3173:T3173"/>
    <mergeCell ref="R3174:T3174"/>
    <mergeCell ref="R3175:T3175"/>
    <mergeCell ref="AA3170:AA3171"/>
    <mergeCell ref="AB3170:AB3171"/>
    <mergeCell ref="R3176:T3176"/>
    <mergeCell ref="R3177:T3177"/>
    <mergeCell ref="R3178:T3178"/>
    <mergeCell ref="R3179:T3179"/>
    <mergeCell ref="R3180:T3180"/>
    <mergeCell ref="R3181:T3181"/>
    <mergeCell ref="R3182:T3182"/>
    <mergeCell ref="B3186:T3186"/>
    <mergeCell ref="AD3186:AF3186"/>
    <mergeCell ref="B3187:B3196"/>
    <mergeCell ref="C3187:K3187"/>
    <mergeCell ref="L3187:L3189"/>
    <mergeCell ref="M3187:Q3188"/>
    <mergeCell ref="R3187:S3189"/>
    <mergeCell ref="T3187:T3189"/>
    <mergeCell ref="C3188:E3188"/>
    <mergeCell ref="G3188:H3188"/>
    <mergeCell ref="I3188:K3188"/>
    <mergeCell ref="C3189:D3189"/>
    <mergeCell ref="M3189:P3189"/>
    <mergeCell ref="L3190:L3192"/>
    <mergeCell ref="M3190:Q3190"/>
    <mergeCell ref="R3190:T3191"/>
    <mergeCell ref="M3191:N3191"/>
    <mergeCell ref="P3191:Q3191"/>
    <mergeCell ref="M3192:N3192"/>
    <mergeCell ref="P3192:Q3192"/>
    <mergeCell ref="L3193:L3195"/>
    <mergeCell ref="M3193:Q3193"/>
    <mergeCell ref="M3194:N3194"/>
    <mergeCell ref="P3194:Q3194"/>
    <mergeCell ref="M3195:N3195"/>
    <mergeCell ref="P3195:Q3195"/>
    <mergeCell ref="C3196:G3196"/>
    <mergeCell ref="H3196:J3196"/>
    <mergeCell ref="L3196:Q3196"/>
    <mergeCell ref="B3139:D3139"/>
    <mergeCell ref="B3140:B3141"/>
    <mergeCell ref="H3140:H3141"/>
    <mergeCell ref="I3140:I3141"/>
    <mergeCell ref="J3140:J3141"/>
    <mergeCell ref="K3140:K3141"/>
    <mergeCell ref="L3140:L3141"/>
    <mergeCell ref="M3140:M3141"/>
    <mergeCell ref="N3140:N3141"/>
    <mergeCell ref="O3140:P3140"/>
    <mergeCell ref="R3140:T3141"/>
    <mergeCell ref="U3140:U3141"/>
    <mergeCell ref="W3140:Y3140"/>
    <mergeCell ref="AD3140:AF3140"/>
    <mergeCell ref="R3143:T3143"/>
    <mergeCell ref="R3144:T3144"/>
    <mergeCell ref="R3145:T3145"/>
    <mergeCell ref="AA3140:AA3141"/>
    <mergeCell ref="AB3140:AB3141"/>
    <mergeCell ref="R3146:T3146"/>
    <mergeCell ref="R3147:T3147"/>
    <mergeCell ref="R3148:T3148"/>
    <mergeCell ref="R3149:T3149"/>
    <mergeCell ref="R3150:T3150"/>
    <mergeCell ref="R3151:T3151"/>
    <mergeCell ref="R3152:T3152"/>
    <mergeCell ref="B3156:T3156"/>
    <mergeCell ref="AD3156:AF3156"/>
    <mergeCell ref="B3157:B3166"/>
    <mergeCell ref="C3157:K3157"/>
    <mergeCell ref="L3157:L3159"/>
    <mergeCell ref="M3157:Q3158"/>
    <mergeCell ref="R3157:S3159"/>
    <mergeCell ref="T3157:T3159"/>
    <mergeCell ref="C3158:E3158"/>
    <mergeCell ref="G3158:H3158"/>
    <mergeCell ref="I3158:K3158"/>
    <mergeCell ref="C3159:D3159"/>
    <mergeCell ref="M3159:P3159"/>
    <mergeCell ref="L3160:L3162"/>
    <mergeCell ref="M3160:Q3160"/>
    <mergeCell ref="R3160:T3161"/>
    <mergeCell ref="M3161:N3161"/>
    <mergeCell ref="P3161:Q3161"/>
    <mergeCell ref="M3162:N3162"/>
    <mergeCell ref="P3162:Q3162"/>
    <mergeCell ref="L3163:L3165"/>
    <mergeCell ref="M3163:Q3163"/>
    <mergeCell ref="M3164:N3164"/>
    <mergeCell ref="P3164:Q3164"/>
    <mergeCell ref="M3165:N3165"/>
    <mergeCell ref="P3165:Q3165"/>
    <mergeCell ref="C3166:G3166"/>
    <mergeCell ref="H3166:J3166"/>
    <mergeCell ref="L3166:Q3166"/>
    <mergeCell ref="B3109:D3109"/>
    <mergeCell ref="B3110:B3111"/>
    <mergeCell ref="H3110:H3111"/>
    <mergeCell ref="I3110:I3111"/>
    <mergeCell ref="J3110:J3111"/>
    <mergeCell ref="K3110:K3111"/>
    <mergeCell ref="L3110:L3111"/>
    <mergeCell ref="M3110:M3111"/>
    <mergeCell ref="N3110:N3111"/>
    <mergeCell ref="O3110:P3110"/>
    <mergeCell ref="R3110:T3111"/>
    <mergeCell ref="U3110:U3111"/>
    <mergeCell ref="W3110:Y3110"/>
    <mergeCell ref="AD3110:AF3110"/>
    <mergeCell ref="R3113:T3113"/>
    <mergeCell ref="R3114:T3114"/>
    <mergeCell ref="R3115:T3115"/>
    <mergeCell ref="AA3110:AA3111"/>
    <mergeCell ref="AB3110:AB3111"/>
    <mergeCell ref="R3116:T3116"/>
    <mergeCell ref="R3117:T3117"/>
    <mergeCell ref="R3118:T3118"/>
    <mergeCell ref="R3119:T3119"/>
    <mergeCell ref="R3120:T3120"/>
    <mergeCell ref="R3121:T3121"/>
    <mergeCell ref="R3122:T3122"/>
    <mergeCell ref="B3126:T3126"/>
    <mergeCell ref="AD3126:AF3126"/>
    <mergeCell ref="B3127:B3136"/>
    <mergeCell ref="C3127:K3127"/>
    <mergeCell ref="L3127:L3129"/>
    <mergeCell ref="M3127:Q3128"/>
    <mergeCell ref="R3127:S3129"/>
    <mergeCell ref="T3127:T3129"/>
    <mergeCell ref="C3128:E3128"/>
    <mergeCell ref="G3128:H3128"/>
    <mergeCell ref="I3128:K3128"/>
    <mergeCell ref="C3129:D3129"/>
    <mergeCell ref="M3129:P3129"/>
    <mergeCell ref="L3130:L3132"/>
    <mergeCell ref="M3130:Q3130"/>
    <mergeCell ref="R3130:T3131"/>
    <mergeCell ref="M3131:N3131"/>
    <mergeCell ref="P3131:Q3131"/>
    <mergeCell ref="M3132:N3132"/>
    <mergeCell ref="P3132:Q3132"/>
    <mergeCell ref="L3133:L3135"/>
    <mergeCell ref="M3133:Q3133"/>
    <mergeCell ref="M3134:N3134"/>
    <mergeCell ref="P3134:Q3134"/>
    <mergeCell ref="M3135:N3135"/>
    <mergeCell ref="P3135:Q3135"/>
    <mergeCell ref="C3136:G3136"/>
    <mergeCell ref="H3136:J3136"/>
    <mergeCell ref="L3136:Q3136"/>
    <mergeCell ref="B3079:D3079"/>
    <mergeCell ref="B3080:B3081"/>
    <mergeCell ref="H3080:H3081"/>
    <mergeCell ref="I3080:I3081"/>
    <mergeCell ref="J3080:J3081"/>
    <mergeCell ref="K3080:K3081"/>
    <mergeCell ref="L3080:L3081"/>
    <mergeCell ref="M3080:M3081"/>
    <mergeCell ref="N3080:N3081"/>
    <mergeCell ref="O3080:P3080"/>
    <mergeCell ref="R3080:T3081"/>
    <mergeCell ref="U3080:U3081"/>
    <mergeCell ref="W3080:Y3080"/>
    <mergeCell ref="AD3080:AF3080"/>
    <mergeCell ref="R3083:T3083"/>
    <mergeCell ref="R3084:T3084"/>
    <mergeCell ref="R3085:T3085"/>
    <mergeCell ref="AA3080:AA3081"/>
    <mergeCell ref="AB3080:AB3081"/>
    <mergeCell ref="R3086:T3086"/>
    <mergeCell ref="R3087:T3087"/>
    <mergeCell ref="R3088:T3088"/>
    <mergeCell ref="R3089:T3089"/>
    <mergeCell ref="R3090:T3090"/>
    <mergeCell ref="R3091:T3091"/>
    <mergeCell ref="R3092:T3092"/>
    <mergeCell ref="B3096:T3096"/>
    <mergeCell ref="AD3096:AF3096"/>
    <mergeCell ref="B3097:B3106"/>
    <mergeCell ref="C3097:K3097"/>
    <mergeCell ref="L3097:L3099"/>
    <mergeCell ref="M3097:Q3098"/>
    <mergeCell ref="R3097:S3099"/>
    <mergeCell ref="T3097:T3099"/>
    <mergeCell ref="C3098:E3098"/>
    <mergeCell ref="G3098:H3098"/>
    <mergeCell ref="I3098:K3098"/>
    <mergeCell ref="C3099:D3099"/>
    <mergeCell ref="M3099:P3099"/>
    <mergeCell ref="L3100:L3102"/>
    <mergeCell ref="M3100:Q3100"/>
    <mergeCell ref="R3100:T3101"/>
    <mergeCell ref="M3101:N3101"/>
    <mergeCell ref="P3101:Q3101"/>
    <mergeCell ref="M3102:N3102"/>
    <mergeCell ref="P3102:Q3102"/>
    <mergeCell ref="L3103:L3105"/>
    <mergeCell ref="M3103:Q3103"/>
    <mergeCell ref="M3104:N3104"/>
    <mergeCell ref="P3104:Q3104"/>
    <mergeCell ref="M3105:N3105"/>
    <mergeCell ref="P3105:Q3105"/>
    <mergeCell ref="C3106:G3106"/>
    <mergeCell ref="H3106:J3106"/>
    <mergeCell ref="L3106:Q3106"/>
    <mergeCell ref="B3049:D3049"/>
    <mergeCell ref="B3050:B3051"/>
    <mergeCell ref="H3050:H3051"/>
    <mergeCell ref="I3050:I3051"/>
    <mergeCell ref="J3050:J3051"/>
    <mergeCell ref="K3050:K3051"/>
    <mergeCell ref="L3050:L3051"/>
    <mergeCell ref="M3050:M3051"/>
    <mergeCell ref="N3050:N3051"/>
    <mergeCell ref="O3050:P3050"/>
    <mergeCell ref="R3050:T3051"/>
    <mergeCell ref="U3050:U3051"/>
    <mergeCell ref="W3050:Y3050"/>
    <mergeCell ref="AD3050:AF3050"/>
    <mergeCell ref="R3053:T3053"/>
    <mergeCell ref="R3054:T3054"/>
    <mergeCell ref="R3055:T3055"/>
    <mergeCell ref="AA3050:AA3051"/>
    <mergeCell ref="AB3050:AB3051"/>
    <mergeCell ref="R3056:T3056"/>
    <mergeCell ref="R3057:T3057"/>
    <mergeCell ref="R3058:T3058"/>
    <mergeCell ref="R3059:T3059"/>
    <mergeCell ref="R3060:T3060"/>
    <mergeCell ref="R3061:T3061"/>
    <mergeCell ref="R3062:T3062"/>
    <mergeCell ref="B3066:T3066"/>
    <mergeCell ref="AD3066:AF3066"/>
    <mergeCell ref="B3067:B3076"/>
    <mergeCell ref="C3067:K3067"/>
    <mergeCell ref="L3067:L3069"/>
    <mergeCell ref="M3067:Q3068"/>
    <mergeCell ref="R3067:S3069"/>
    <mergeCell ref="T3067:T3069"/>
    <mergeCell ref="C3068:E3068"/>
    <mergeCell ref="G3068:H3068"/>
    <mergeCell ref="I3068:K3068"/>
    <mergeCell ref="C3069:D3069"/>
    <mergeCell ref="M3069:P3069"/>
    <mergeCell ref="L3070:L3072"/>
    <mergeCell ref="M3070:Q3070"/>
    <mergeCell ref="R3070:T3071"/>
    <mergeCell ref="M3071:N3071"/>
    <mergeCell ref="P3071:Q3071"/>
    <mergeCell ref="M3072:N3072"/>
    <mergeCell ref="P3072:Q3072"/>
    <mergeCell ref="L3073:L3075"/>
    <mergeCell ref="M3073:Q3073"/>
    <mergeCell ref="M3074:N3074"/>
    <mergeCell ref="P3074:Q3074"/>
    <mergeCell ref="M3075:N3075"/>
    <mergeCell ref="P3075:Q3075"/>
    <mergeCell ref="C3076:G3076"/>
    <mergeCell ref="H3076:J3076"/>
    <mergeCell ref="L3076:Q3076"/>
    <mergeCell ref="R3023:T3023"/>
    <mergeCell ref="R3024:T3024"/>
    <mergeCell ref="R3025:T3025"/>
    <mergeCell ref="AA3020:AA3021"/>
    <mergeCell ref="AB3020:AB3021"/>
    <mergeCell ref="R3026:T3026"/>
    <mergeCell ref="R3027:T3027"/>
    <mergeCell ref="R3028:T3028"/>
    <mergeCell ref="R3029:T3029"/>
    <mergeCell ref="R3030:T3030"/>
    <mergeCell ref="R3031:T3031"/>
    <mergeCell ref="R3032:T3032"/>
    <mergeCell ref="B3036:T3036"/>
    <mergeCell ref="AD3036:AF3036"/>
    <mergeCell ref="B3037:B3046"/>
    <mergeCell ref="C3037:K3037"/>
    <mergeCell ref="L3037:L3039"/>
    <mergeCell ref="M3037:Q3038"/>
    <mergeCell ref="R3037:S3039"/>
    <mergeCell ref="T3037:T3039"/>
    <mergeCell ref="C3038:E3038"/>
    <mergeCell ref="G3038:H3038"/>
    <mergeCell ref="I3038:K3038"/>
    <mergeCell ref="C3039:D3039"/>
    <mergeCell ref="M3039:P3039"/>
    <mergeCell ref="L3040:L3042"/>
    <mergeCell ref="M3040:Q3040"/>
    <mergeCell ref="R3040:T3041"/>
    <mergeCell ref="M3041:N3041"/>
    <mergeCell ref="P3041:Q3041"/>
    <mergeCell ref="M3042:N3042"/>
    <mergeCell ref="P3042:Q3042"/>
    <mergeCell ref="L3043:L3045"/>
    <mergeCell ref="M3043:Q3043"/>
    <mergeCell ref="M3044:N3044"/>
    <mergeCell ref="P3044:Q3044"/>
    <mergeCell ref="M3045:N3045"/>
    <mergeCell ref="P3045:Q3045"/>
    <mergeCell ref="C3046:G3046"/>
    <mergeCell ref="H3046:J3046"/>
    <mergeCell ref="L3046:Q3046"/>
    <mergeCell ref="R2990:T2991"/>
    <mergeCell ref="K2990:K2991"/>
    <mergeCell ref="R2940:T2940"/>
    <mergeCell ref="R2941:T2941"/>
    <mergeCell ref="R2995:T2995"/>
    <mergeCell ref="W2870:Y2870"/>
    <mergeCell ref="W2900:Y2900"/>
    <mergeCell ref="R2728:T2728"/>
    <mergeCell ref="B2766:T2766"/>
    <mergeCell ref="R2882:T2882"/>
    <mergeCell ref="B2886:T2886"/>
    <mergeCell ref="B2887:B2896"/>
    <mergeCell ref="C2887:K2887"/>
    <mergeCell ref="W2930:Y2930"/>
    <mergeCell ref="R2936:T2936"/>
    <mergeCell ref="R2937:T2937"/>
    <mergeCell ref="R2938:T2938"/>
    <mergeCell ref="R2939:T2939"/>
    <mergeCell ref="R2935:T2935"/>
    <mergeCell ref="R2934:T2934"/>
    <mergeCell ref="U2930:U2931"/>
    <mergeCell ref="W2960:Y2960"/>
    <mergeCell ref="R2966:T2966"/>
    <mergeCell ref="R2967:T2967"/>
    <mergeCell ref="R2965:T2965"/>
    <mergeCell ref="R2964:T2964"/>
    <mergeCell ref="R2977:S2979"/>
    <mergeCell ref="B3020:B3021"/>
    <mergeCell ref="H3020:H3021"/>
    <mergeCell ref="I3020:I3021"/>
    <mergeCell ref="J3020:J3021"/>
    <mergeCell ref="K3020:K3021"/>
    <mergeCell ref="L3020:L3021"/>
    <mergeCell ref="M3020:M3021"/>
    <mergeCell ref="N3020:N3021"/>
    <mergeCell ref="O3020:P3020"/>
    <mergeCell ref="R3020:T3021"/>
    <mergeCell ref="U3020:U3021"/>
    <mergeCell ref="W3020:Y3020"/>
    <mergeCell ref="U2960:U2961"/>
    <mergeCell ref="R2968:T2968"/>
    <mergeCell ref="R2969:T2969"/>
    <mergeCell ref="R2970:T2970"/>
    <mergeCell ref="B2917:B2926"/>
    <mergeCell ref="R2887:S2889"/>
    <mergeCell ref="T2887:T2889"/>
    <mergeCell ref="R2917:S2919"/>
    <mergeCell ref="T2917:T2919"/>
    <mergeCell ref="R2906:T2906"/>
    <mergeCell ref="R2907:T2907"/>
    <mergeCell ref="R2908:T2908"/>
    <mergeCell ref="R2909:T2909"/>
    <mergeCell ref="R2911:T2911"/>
    <mergeCell ref="R2912:T2912"/>
    <mergeCell ref="R2890:T2891"/>
    <mergeCell ref="B2959:D2959"/>
    <mergeCell ref="B2960:B2961"/>
    <mergeCell ref="H2960:H2961"/>
    <mergeCell ref="I2960:I2961"/>
    <mergeCell ref="J2960:J2961"/>
    <mergeCell ref="K2960:K2961"/>
    <mergeCell ref="M2955:N2955"/>
    <mergeCell ref="P2955:Q2955"/>
    <mergeCell ref="C2956:G2956"/>
    <mergeCell ref="AD366:AF366"/>
    <mergeCell ref="AD396:AF396"/>
    <mergeCell ref="AD426:AF426"/>
    <mergeCell ref="AD456:AF456"/>
    <mergeCell ref="AD486:AF486"/>
    <mergeCell ref="AD516:AF516"/>
    <mergeCell ref="AD410:AF410"/>
    <mergeCell ref="AD440:AF440"/>
    <mergeCell ref="AD470:AF470"/>
    <mergeCell ref="AD500:AF500"/>
    <mergeCell ref="AD696:AF696"/>
    <mergeCell ref="AD726:AF726"/>
    <mergeCell ref="AD846:AF846"/>
    <mergeCell ref="AD876:AF876"/>
    <mergeCell ref="AD906:AF906"/>
    <mergeCell ref="AD770:AF770"/>
    <mergeCell ref="AD800:AF800"/>
    <mergeCell ref="AD830:AF830"/>
    <mergeCell ref="AD860:AF860"/>
    <mergeCell ref="AD890:AF890"/>
    <mergeCell ref="AD936:AF936"/>
    <mergeCell ref="AD966:AF966"/>
    <mergeCell ref="AD996:AF996"/>
    <mergeCell ref="AD1026:AF1026"/>
    <mergeCell ref="AD1056:AF1056"/>
    <mergeCell ref="AD1086:AF1086"/>
    <mergeCell ref="AD1206:AF1206"/>
    <mergeCell ref="B3019:D3019"/>
    <mergeCell ref="U2780:U2781"/>
    <mergeCell ref="U2810:U2811"/>
    <mergeCell ref="U2840:U2841"/>
    <mergeCell ref="U2870:U2871"/>
    <mergeCell ref="U2900:U2901"/>
    <mergeCell ref="U2600:U2601"/>
    <mergeCell ref="U2630:U2631"/>
    <mergeCell ref="U2660:U2661"/>
    <mergeCell ref="U2690:U2691"/>
    <mergeCell ref="U2720:U2721"/>
    <mergeCell ref="AD2976:AF2976"/>
    <mergeCell ref="R3007:S3009"/>
    <mergeCell ref="T3007:T3009"/>
    <mergeCell ref="R3010:T3011"/>
    <mergeCell ref="R2920:T2921"/>
    <mergeCell ref="R2947:S2949"/>
    <mergeCell ref="T2947:T2949"/>
    <mergeCell ref="R2950:T2951"/>
    <mergeCell ref="T2977:T2979"/>
    <mergeCell ref="R2971:T2971"/>
    <mergeCell ref="R2997:T2997"/>
    <mergeCell ref="R2999:T2999"/>
    <mergeCell ref="R3000:T3000"/>
    <mergeCell ref="R3001:T3001"/>
    <mergeCell ref="W2990:Y2990"/>
    <mergeCell ref="R2972:T2972"/>
    <mergeCell ref="B2976:T2976"/>
    <mergeCell ref="B2977:B2986"/>
    <mergeCell ref="C2977:K2977"/>
    <mergeCell ref="M2990:M2991"/>
    <mergeCell ref="N2990:N2991"/>
    <mergeCell ref="R2998:T2998"/>
    <mergeCell ref="R2942:T2942"/>
    <mergeCell ref="B2946:T2946"/>
    <mergeCell ref="R2963:T2963"/>
    <mergeCell ref="R2910:T2910"/>
    <mergeCell ref="AD2150:AF2150"/>
    <mergeCell ref="AD2180:AF2180"/>
    <mergeCell ref="AD2916:AF2916"/>
    <mergeCell ref="AD2946:AF2946"/>
    <mergeCell ref="AD2720:AF2720"/>
    <mergeCell ref="AD2390:AF2390"/>
    <mergeCell ref="AD2420:AF2420"/>
    <mergeCell ref="AD2450:AF2450"/>
    <mergeCell ref="AD2480:AF2480"/>
    <mergeCell ref="AD2510:AF2510"/>
    <mergeCell ref="AD2540:AF2540"/>
    <mergeCell ref="AD2750:AF2750"/>
    <mergeCell ref="AD2780:AF2780"/>
    <mergeCell ref="AD2810:AF2810"/>
    <mergeCell ref="AD2840:AF2840"/>
    <mergeCell ref="AD2870:AF2870"/>
    <mergeCell ref="AD2900:AF2900"/>
    <mergeCell ref="AD2196:AF2196"/>
    <mergeCell ref="AD2226:AF2226"/>
    <mergeCell ref="AD2256:AF2256"/>
    <mergeCell ref="AD2000:AF2000"/>
    <mergeCell ref="AD1926:AF1926"/>
    <mergeCell ref="AD1956:AF1956"/>
    <mergeCell ref="AD1986:AF1986"/>
    <mergeCell ref="AD1910:AF1910"/>
    <mergeCell ref="AD1940:AF1940"/>
    <mergeCell ref="AD1970:AF1970"/>
    <mergeCell ref="AD2016:AF2016"/>
    <mergeCell ref="AD2046:AF2046"/>
    <mergeCell ref="AD2076:AF2076"/>
    <mergeCell ref="AD2106:AF2106"/>
    <mergeCell ref="AD2136:AF2136"/>
    <mergeCell ref="AD2166:AF2166"/>
    <mergeCell ref="AD2286:AF2286"/>
    <mergeCell ref="AD2316:AF2316"/>
    <mergeCell ref="AD2346:AF2346"/>
    <mergeCell ref="AD2210:AF2210"/>
    <mergeCell ref="AD2240:AF2240"/>
    <mergeCell ref="AD2270:AF2270"/>
    <mergeCell ref="AD2300:AF2300"/>
    <mergeCell ref="AD2330:AF2330"/>
    <mergeCell ref="AD2376:AF2376"/>
    <mergeCell ref="AD2406:AF2406"/>
    <mergeCell ref="AD2436:AF2436"/>
    <mergeCell ref="AD2466:AF2466"/>
    <mergeCell ref="AD2496:AF2496"/>
    <mergeCell ref="AD2526:AF2526"/>
    <mergeCell ref="AD2646:AF2646"/>
    <mergeCell ref="AD2676:AF2676"/>
    <mergeCell ref="AD2706:AF2706"/>
    <mergeCell ref="AD2570:AF2570"/>
    <mergeCell ref="AD2600:AF2600"/>
    <mergeCell ref="AD2630:AF2630"/>
    <mergeCell ref="AD2660:AF2660"/>
    <mergeCell ref="AD2690:AF2690"/>
    <mergeCell ref="AD2736:AF2736"/>
    <mergeCell ref="AD2766:AF2766"/>
    <mergeCell ref="AD2796:AF2796"/>
    <mergeCell ref="AD2826:AF2826"/>
    <mergeCell ref="AD2856:AF2856"/>
    <mergeCell ref="AD2886:AF2886"/>
    <mergeCell ref="AD2930:AF2930"/>
    <mergeCell ref="AD1806:AF1806"/>
    <mergeCell ref="AD1850:AF1850"/>
    <mergeCell ref="AD1880:AF1880"/>
    <mergeCell ref="U500:U501"/>
    <mergeCell ref="U530:U531"/>
    <mergeCell ref="U560:U561"/>
    <mergeCell ref="W560:Y560"/>
    <mergeCell ref="U740:U741"/>
    <mergeCell ref="U770:U771"/>
    <mergeCell ref="U800:U801"/>
    <mergeCell ref="U830:U831"/>
    <mergeCell ref="U860:U861"/>
    <mergeCell ref="U890:U891"/>
    <mergeCell ref="U920:U921"/>
    <mergeCell ref="U950:U951"/>
    <mergeCell ref="U980:U981"/>
    <mergeCell ref="U1010:U1011"/>
    <mergeCell ref="U1040:U1041"/>
    <mergeCell ref="U1070:U1071"/>
    <mergeCell ref="U1100:U1101"/>
    <mergeCell ref="U1130:U1131"/>
    <mergeCell ref="U1160:U1161"/>
    <mergeCell ref="U1190:U1191"/>
    <mergeCell ref="W470:Y470"/>
    <mergeCell ref="W380:Y380"/>
    <mergeCell ref="W350:Y350"/>
    <mergeCell ref="AD1236:AF1236"/>
    <mergeCell ref="AD1266:AF1266"/>
    <mergeCell ref="AD1130:AF1130"/>
    <mergeCell ref="AD1160:AF1160"/>
    <mergeCell ref="AD1190:AF1190"/>
    <mergeCell ref="AD1220:AF1220"/>
    <mergeCell ref="AD1250:AF1250"/>
    <mergeCell ref="AD1296:AF1296"/>
    <mergeCell ref="AD1326:AF1326"/>
    <mergeCell ref="AD1356:AF1356"/>
    <mergeCell ref="U1220:U1221"/>
    <mergeCell ref="U1250:U1251"/>
    <mergeCell ref="W1070:Y1070"/>
    <mergeCell ref="W740:Y740"/>
    <mergeCell ref="W410:Y410"/>
    <mergeCell ref="AB1310:AB1311"/>
    <mergeCell ref="AB1340:AB1341"/>
    <mergeCell ref="U1280:U1281"/>
    <mergeCell ref="AD1116:AF1116"/>
    <mergeCell ref="AD1146:AF1146"/>
    <mergeCell ref="AD1176:AF1176"/>
    <mergeCell ref="AD920:AF920"/>
    <mergeCell ref="AD590:AF590"/>
    <mergeCell ref="AD620:AF620"/>
    <mergeCell ref="AD650:AF650"/>
    <mergeCell ref="AD680:AF680"/>
    <mergeCell ref="AD710:AF710"/>
    <mergeCell ref="AD740:AF740"/>
    <mergeCell ref="AA830:AA831"/>
    <mergeCell ref="AA950:AA951"/>
    <mergeCell ref="AA1070:AA1071"/>
    <mergeCell ref="AD1446:AF1446"/>
    <mergeCell ref="AD1566:AF1566"/>
    <mergeCell ref="AD1596:AF1596"/>
    <mergeCell ref="AD1626:AF1626"/>
    <mergeCell ref="AD1490:AF1490"/>
    <mergeCell ref="AD1520:AF1520"/>
    <mergeCell ref="AD1550:AF1550"/>
    <mergeCell ref="W1010:Y1010"/>
    <mergeCell ref="W920:Y920"/>
    <mergeCell ref="W830:Y830"/>
    <mergeCell ref="AB1070:AB1071"/>
    <mergeCell ref="AA1100:AA1101"/>
    <mergeCell ref="W1130:Y1130"/>
    <mergeCell ref="W1040:Y1040"/>
    <mergeCell ref="AD1386:AF1386"/>
    <mergeCell ref="AD1416:AF1416"/>
    <mergeCell ref="AD21:AF21"/>
    <mergeCell ref="AD51:AF51"/>
    <mergeCell ref="R41:T42"/>
    <mergeCell ref="R38:S40"/>
    <mergeCell ref="T38:T40"/>
    <mergeCell ref="U21:U22"/>
    <mergeCell ref="AD37:AF37"/>
    <mergeCell ref="AA21:AA22"/>
    <mergeCell ref="C76:G76"/>
    <mergeCell ref="H76:J76"/>
    <mergeCell ref="L76:Q76"/>
    <mergeCell ref="R127:S129"/>
    <mergeCell ref="T127:T129"/>
    <mergeCell ref="R121:T121"/>
    <mergeCell ref="R130:T131"/>
    <mergeCell ref="AD230:AF230"/>
    <mergeCell ref="AD260:AF260"/>
    <mergeCell ref="AD290:AF290"/>
    <mergeCell ref="AD320:AF320"/>
    <mergeCell ref="AD350:AF350"/>
    <mergeCell ref="AD380:AF380"/>
    <mergeCell ref="AD246:AF246"/>
    <mergeCell ref="AD276:AF276"/>
    <mergeCell ref="AD306:AF306"/>
    <mergeCell ref="AD336:AF336"/>
    <mergeCell ref="AD756:AF756"/>
    <mergeCell ref="AD786:AF786"/>
    <mergeCell ref="AD816:AF816"/>
    <mergeCell ref="AD530:AF530"/>
    <mergeCell ref="AD560:AF560"/>
    <mergeCell ref="AD546:AF546"/>
    <mergeCell ref="AD576:AF576"/>
    <mergeCell ref="AD606:AF606"/>
    <mergeCell ref="AD636:AF636"/>
    <mergeCell ref="AD666:AF666"/>
    <mergeCell ref="U590:U591"/>
    <mergeCell ref="U620:U621"/>
    <mergeCell ref="U650:U651"/>
    <mergeCell ref="U680:U681"/>
    <mergeCell ref="U710:U711"/>
    <mergeCell ref="AA590:AA591"/>
    <mergeCell ref="AA710:AA711"/>
    <mergeCell ref="W800:Y800"/>
    <mergeCell ref="R806:T806"/>
    <mergeCell ref="R807:T807"/>
    <mergeCell ref="R805:T805"/>
    <mergeCell ref="R804:T804"/>
    <mergeCell ref="R782:T782"/>
    <mergeCell ref="AD1280:AF1280"/>
    <mergeCell ref="AD66:AF66"/>
    <mergeCell ref="AD96:AF96"/>
    <mergeCell ref="AD126:AF126"/>
    <mergeCell ref="AD156:AF156"/>
    <mergeCell ref="AD186:AF186"/>
    <mergeCell ref="AD216:AF216"/>
    <mergeCell ref="R688:T688"/>
    <mergeCell ref="R689:T689"/>
    <mergeCell ref="R685:T685"/>
    <mergeCell ref="W710:Y710"/>
    <mergeCell ref="R716:T716"/>
    <mergeCell ref="R717:T717"/>
    <mergeCell ref="R715:T715"/>
    <mergeCell ref="U110:U111"/>
    <mergeCell ref="U140:U141"/>
    <mergeCell ref="AA2270:AA2271"/>
    <mergeCell ref="AA2390:AA2391"/>
    <mergeCell ref="AA2510:AA2511"/>
    <mergeCell ref="AA2630:AA2631"/>
    <mergeCell ref="U1310:U1311"/>
    <mergeCell ref="U1340:U1341"/>
    <mergeCell ref="U1370:U1371"/>
    <mergeCell ref="U1400:U1401"/>
    <mergeCell ref="U1430:U1431"/>
    <mergeCell ref="U1520:U1521"/>
    <mergeCell ref="U1550:U1551"/>
    <mergeCell ref="U1580:U1581"/>
    <mergeCell ref="U1610:U1611"/>
    <mergeCell ref="U1640:U1641"/>
    <mergeCell ref="U1670:U1671"/>
    <mergeCell ref="U1700:U1701"/>
    <mergeCell ref="U1730:U1731"/>
    <mergeCell ref="U1760:U1761"/>
    <mergeCell ref="U1790:U1791"/>
    <mergeCell ref="U1820:U1821"/>
    <mergeCell ref="U1850:U1851"/>
    <mergeCell ref="U1880:U1881"/>
    <mergeCell ref="U1910:U1911"/>
    <mergeCell ref="U1940:U1941"/>
    <mergeCell ref="U1970:U1971"/>
    <mergeCell ref="U2000:U2001"/>
    <mergeCell ref="U2030:U2031"/>
    <mergeCell ref="U2060:U2061"/>
    <mergeCell ref="U2090:U2091"/>
    <mergeCell ref="U2120:U2121"/>
    <mergeCell ref="U2150:U2151"/>
    <mergeCell ref="U2180:U2181"/>
    <mergeCell ref="U2210:U2211"/>
    <mergeCell ref="U2240:U2241"/>
    <mergeCell ref="U2270:U2271"/>
    <mergeCell ref="W2540:Y2540"/>
    <mergeCell ref="W2420:Y2420"/>
    <mergeCell ref="W2300:Y2300"/>
    <mergeCell ref="U2300:U2301"/>
    <mergeCell ref="W2090:Y2090"/>
    <mergeCell ref="W2000:Y2000"/>
    <mergeCell ref="W1880:Y1880"/>
    <mergeCell ref="W1760:Y1760"/>
    <mergeCell ref="W1550:Y1550"/>
    <mergeCell ref="W1460:Y1460"/>
    <mergeCell ref="W1340:Y1340"/>
    <mergeCell ref="W2450:Y2450"/>
    <mergeCell ref="W2330:Y2330"/>
    <mergeCell ref="AA1190:AA1191"/>
    <mergeCell ref="AA1310:AA1311"/>
    <mergeCell ref="AA1430:AA1431"/>
    <mergeCell ref="AA1550:AA1551"/>
    <mergeCell ref="AA1670:AA1671"/>
    <mergeCell ref="AA1790:AA1791"/>
    <mergeCell ref="W1220:Y1220"/>
    <mergeCell ref="W2210:Y2210"/>
    <mergeCell ref="W2120:Y2120"/>
    <mergeCell ref="W2150:Y2150"/>
    <mergeCell ref="W1670:Y1670"/>
    <mergeCell ref="W1580:Y1580"/>
    <mergeCell ref="W1610:Y1610"/>
    <mergeCell ref="AA1340:AA1341"/>
    <mergeCell ref="AA1370:AA1371"/>
    <mergeCell ref="AA1490:AA1491"/>
    <mergeCell ref="AA2240:AA2241"/>
    <mergeCell ref="U1460:U1461"/>
    <mergeCell ref="U1490:U1491"/>
    <mergeCell ref="R460:T461"/>
    <mergeCell ref="R487:S489"/>
    <mergeCell ref="R2996:T2996"/>
    <mergeCell ref="R2878:T2878"/>
    <mergeCell ref="R2879:T2879"/>
    <mergeCell ref="R2880:T2880"/>
    <mergeCell ref="R2881:T2881"/>
    <mergeCell ref="R2905:T2905"/>
    <mergeCell ref="R2903:T2903"/>
    <mergeCell ref="R2904:T2904"/>
    <mergeCell ref="R62:T62"/>
    <mergeCell ref="B66:T66"/>
    <mergeCell ref="B67:B76"/>
    <mergeCell ref="C67:K67"/>
    <mergeCell ref="L67:L69"/>
    <mergeCell ref="M67:Q68"/>
    <mergeCell ref="R67:S69"/>
    <mergeCell ref="T517:T519"/>
    <mergeCell ref="R510:T510"/>
    <mergeCell ref="R511:T511"/>
    <mergeCell ref="R512:T512"/>
    <mergeCell ref="B516:T516"/>
    <mergeCell ref="B517:B526"/>
    <mergeCell ref="C517:K517"/>
    <mergeCell ref="R520:T521"/>
    <mergeCell ref="C526:G526"/>
    <mergeCell ref="M525:N525"/>
    <mergeCell ref="R577:S579"/>
    <mergeCell ref="T577:T579"/>
    <mergeCell ref="R566:T566"/>
    <mergeCell ref="R567:T567"/>
    <mergeCell ref="R568:T568"/>
    <mergeCell ref="R569:T569"/>
    <mergeCell ref="R570:T570"/>
    <mergeCell ref="R571:T571"/>
    <mergeCell ref="R572:T572"/>
    <mergeCell ref="B576:T576"/>
    <mergeCell ref="R580:T581"/>
    <mergeCell ref="R607:S609"/>
    <mergeCell ref="T607:T609"/>
    <mergeCell ref="R610:T611"/>
    <mergeCell ref="R2731:T2731"/>
    <mergeCell ref="R2698:T2698"/>
    <mergeCell ref="R2699:T2699"/>
    <mergeCell ref="R2700:T2700"/>
    <mergeCell ref="R2701:T2701"/>
    <mergeCell ref="R2725:T2725"/>
    <mergeCell ref="R2723:T2723"/>
    <mergeCell ref="R2724:T2724"/>
    <mergeCell ref="W680:Y680"/>
    <mergeCell ref="R686:T686"/>
    <mergeCell ref="R687:T687"/>
    <mergeCell ref="H2956:J2956"/>
    <mergeCell ref="L2956:Q2956"/>
    <mergeCell ref="L2953:L2955"/>
    <mergeCell ref="M2953:Q2953"/>
    <mergeCell ref="M2954:N2954"/>
    <mergeCell ref="W2750:Y2750"/>
    <mergeCell ref="R2756:T2756"/>
    <mergeCell ref="R2757:T2757"/>
    <mergeCell ref="R2758:T2758"/>
    <mergeCell ref="R2759:T2759"/>
    <mergeCell ref="R2755:T2755"/>
    <mergeCell ref="U2750:U2751"/>
    <mergeCell ref="B2779:D2779"/>
    <mergeCell ref="R2810:T2811"/>
    <mergeCell ref="K2810:K2811"/>
    <mergeCell ref="R2760:T2760"/>
    <mergeCell ref="R2761:T2761"/>
    <mergeCell ref="W2780:Y2780"/>
    <mergeCell ref="R2786:T2786"/>
    <mergeCell ref="R2787:T2787"/>
    <mergeCell ref="R2785:T2785"/>
    <mergeCell ref="R2784:T2784"/>
    <mergeCell ref="R2762:T2762"/>
    <mergeCell ref="M2862:N2862"/>
    <mergeCell ref="P2862:Q2862"/>
    <mergeCell ref="W2810:Y2810"/>
    <mergeCell ref="R2792:T2792"/>
    <mergeCell ref="B2796:T2796"/>
    <mergeCell ref="B2797:B2806"/>
    <mergeCell ref="C2797:K2797"/>
    <mergeCell ref="M2810:M2811"/>
    <mergeCell ref="N2810:N2811"/>
    <mergeCell ref="O2810:P2810"/>
    <mergeCell ref="R2816:T2816"/>
    <mergeCell ref="R2817:T2817"/>
    <mergeCell ref="R2818:T2818"/>
    <mergeCell ref="R2819:T2819"/>
    <mergeCell ref="R2820:T2820"/>
    <mergeCell ref="R2821:T2821"/>
    <mergeCell ref="W2840:Y2840"/>
    <mergeCell ref="R2846:T2846"/>
    <mergeCell ref="R2847:T2847"/>
    <mergeCell ref="R2848:T2848"/>
    <mergeCell ref="R2849:T2849"/>
    <mergeCell ref="R2845:T2845"/>
    <mergeCell ref="B2856:T2856"/>
    <mergeCell ref="B2857:B2866"/>
    <mergeCell ref="B2839:D2839"/>
    <mergeCell ref="B2840:B2841"/>
    <mergeCell ref="H2840:H2841"/>
    <mergeCell ref="I2840:I2841"/>
    <mergeCell ref="J2840:J2841"/>
    <mergeCell ref="K2840:K2841"/>
    <mergeCell ref="L2840:L2841"/>
    <mergeCell ref="L2860:L2862"/>
    <mergeCell ref="M2840:M2841"/>
    <mergeCell ref="N2840:N2841"/>
    <mergeCell ref="O2840:P2840"/>
    <mergeCell ref="R2840:T2841"/>
    <mergeCell ref="R2843:T2843"/>
    <mergeCell ref="R2844:T2844"/>
    <mergeCell ref="M2860:Q2860"/>
    <mergeCell ref="M2861:N2861"/>
    <mergeCell ref="P2861:Q2861"/>
    <mergeCell ref="C2857:K2857"/>
    <mergeCell ref="L2857:L2859"/>
    <mergeCell ref="M2857:Q2858"/>
    <mergeCell ref="C2858:E2858"/>
    <mergeCell ref="G2858:H2858"/>
    <mergeCell ref="R2707:S2709"/>
    <mergeCell ref="T2707:T2709"/>
    <mergeCell ref="R2710:T2711"/>
    <mergeCell ref="R2737:S2739"/>
    <mergeCell ref="T2737:T2739"/>
    <mergeCell ref="R2726:T2726"/>
    <mergeCell ref="R2727:T2727"/>
    <mergeCell ref="R2729:T2729"/>
    <mergeCell ref="R2730:T2730"/>
    <mergeCell ref="R2767:S2769"/>
    <mergeCell ref="T2767:T2769"/>
    <mergeCell ref="R2732:T2732"/>
    <mergeCell ref="I2858:K2858"/>
    <mergeCell ref="C2859:D2859"/>
    <mergeCell ref="M2859:P2859"/>
    <mergeCell ref="P2864:Q2864"/>
    <mergeCell ref="M2865:N2865"/>
    <mergeCell ref="P2865:Q2865"/>
    <mergeCell ref="C2866:G2866"/>
    <mergeCell ref="H2866:J2866"/>
    <mergeCell ref="L2866:Q2866"/>
    <mergeCell ref="L2863:L2865"/>
    <mergeCell ref="M2863:Q2863"/>
    <mergeCell ref="M2864:N2864"/>
    <mergeCell ref="R2857:S2859"/>
    <mergeCell ref="T2857:T2859"/>
    <mergeCell ref="R2850:T2850"/>
    <mergeCell ref="R2851:T2851"/>
    <mergeCell ref="R2852:T2852"/>
    <mergeCell ref="R2860:T2861"/>
    <mergeCell ref="L2810:L2811"/>
    <mergeCell ref="P2802:Q2802"/>
    <mergeCell ref="L2803:L2805"/>
    <mergeCell ref="M2803:Q2803"/>
    <mergeCell ref="M2804:N2804"/>
    <mergeCell ref="P2804:Q2804"/>
    <mergeCell ref="M2805:N2805"/>
    <mergeCell ref="P2805:Q2805"/>
    <mergeCell ref="R2813:T2813"/>
    <mergeCell ref="R2814:T2814"/>
    <mergeCell ref="C2806:G2806"/>
    <mergeCell ref="H2806:J2806"/>
    <mergeCell ref="L2806:Q2806"/>
    <mergeCell ref="B2809:D2809"/>
    <mergeCell ref="B2810:B2811"/>
    <mergeCell ref="H2810:H2811"/>
    <mergeCell ref="I2810:I2811"/>
    <mergeCell ref="J2810:J2811"/>
    <mergeCell ref="R2815:T2815"/>
    <mergeCell ref="R2822:T2822"/>
    <mergeCell ref="B2826:T2826"/>
    <mergeCell ref="B2827:B2836"/>
    <mergeCell ref="C2827:K2827"/>
    <mergeCell ref="L2827:L2829"/>
    <mergeCell ref="M2827:Q2828"/>
    <mergeCell ref="C2828:E2828"/>
    <mergeCell ref="G2828:H2828"/>
    <mergeCell ref="I2828:K2828"/>
    <mergeCell ref="C2829:D2829"/>
    <mergeCell ref="W2630:Y2630"/>
    <mergeCell ref="R2612:T2612"/>
    <mergeCell ref="B2616:T2616"/>
    <mergeCell ref="B2617:B2626"/>
    <mergeCell ref="C2617:K2617"/>
    <mergeCell ref="M2630:M2631"/>
    <mergeCell ref="N2630:N2631"/>
    <mergeCell ref="O2630:P2630"/>
    <mergeCell ref="R2630:T2631"/>
    <mergeCell ref="K2630:K2631"/>
    <mergeCell ref="R2636:T2636"/>
    <mergeCell ref="R2637:T2637"/>
    <mergeCell ref="R2638:T2638"/>
    <mergeCell ref="R2639:T2639"/>
    <mergeCell ref="R2640:T2640"/>
    <mergeCell ref="R2641:T2641"/>
    <mergeCell ref="W2660:Y2660"/>
    <mergeCell ref="R2666:T2666"/>
    <mergeCell ref="R2667:T2667"/>
    <mergeCell ref="R2668:T2668"/>
    <mergeCell ref="R2669:T2669"/>
    <mergeCell ref="R2665:T2665"/>
    <mergeCell ref="W2690:Y2690"/>
    <mergeCell ref="R2696:T2696"/>
    <mergeCell ref="R2697:T2697"/>
    <mergeCell ref="R2695:T2695"/>
    <mergeCell ref="R2694:T2694"/>
    <mergeCell ref="R2693:T2693"/>
    <mergeCell ref="R2690:T2691"/>
    <mergeCell ref="W2720:Y2720"/>
    <mergeCell ref="R2702:T2702"/>
    <mergeCell ref="B2706:T2706"/>
    <mergeCell ref="B2707:B2716"/>
    <mergeCell ref="C2707:K2707"/>
    <mergeCell ref="M2720:M2721"/>
    <mergeCell ref="N2720:N2721"/>
    <mergeCell ref="O2720:P2720"/>
    <mergeCell ref="R2720:T2721"/>
    <mergeCell ref="C2716:G2716"/>
    <mergeCell ref="R2617:S2619"/>
    <mergeCell ref="T2617:T2619"/>
    <mergeCell ref="R2647:S2649"/>
    <mergeCell ref="T2647:T2649"/>
    <mergeCell ref="R2650:T2651"/>
    <mergeCell ref="R2677:S2679"/>
    <mergeCell ref="T2677:T2679"/>
    <mergeCell ref="R2670:T2670"/>
    <mergeCell ref="R2671:T2671"/>
    <mergeCell ref="R2672:T2672"/>
    <mergeCell ref="B2676:T2676"/>
    <mergeCell ref="B2677:B2686"/>
    <mergeCell ref="R2680:T2681"/>
    <mergeCell ref="B2689:D2689"/>
    <mergeCell ref="B2690:B2691"/>
    <mergeCell ref="H2690:H2691"/>
    <mergeCell ref="I2690:I2691"/>
    <mergeCell ref="J2690:J2691"/>
    <mergeCell ref="K2690:K2691"/>
    <mergeCell ref="L2690:L2691"/>
    <mergeCell ref="L2707:L2709"/>
    <mergeCell ref="M2707:Q2708"/>
    <mergeCell ref="C2708:E2708"/>
    <mergeCell ref="G2708:H2708"/>
    <mergeCell ref="M2690:M2691"/>
    <mergeCell ref="R2522:T2522"/>
    <mergeCell ref="B2526:T2526"/>
    <mergeCell ref="B2527:B2536"/>
    <mergeCell ref="C2527:K2527"/>
    <mergeCell ref="M2540:M2541"/>
    <mergeCell ref="N2540:N2541"/>
    <mergeCell ref="O2540:P2540"/>
    <mergeCell ref="R2540:T2541"/>
    <mergeCell ref="C2536:G2536"/>
    <mergeCell ref="R2551:T2551"/>
    <mergeCell ref="R2518:T2518"/>
    <mergeCell ref="R2519:T2519"/>
    <mergeCell ref="R2520:T2520"/>
    <mergeCell ref="R2521:T2521"/>
    <mergeCell ref="R2545:T2545"/>
    <mergeCell ref="R2543:T2543"/>
    <mergeCell ref="R2544:T2544"/>
    <mergeCell ref="R2548:T2548"/>
    <mergeCell ref="W2570:Y2570"/>
    <mergeCell ref="R2576:T2576"/>
    <mergeCell ref="R2577:T2577"/>
    <mergeCell ref="R2578:T2578"/>
    <mergeCell ref="R2579:T2579"/>
    <mergeCell ref="R2575:T2575"/>
    <mergeCell ref="R2580:T2580"/>
    <mergeCell ref="R2581:T2581"/>
    <mergeCell ref="W2600:Y2600"/>
    <mergeCell ref="R2606:T2606"/>
    <mergeCell ref="R2607:T2607"/>
    <mergeCell ref="R2605:T2605"/>
    <mergeCell ref="R2604:T2604"/>
    <mergeCell ref="R2582:T2582"/>
    <mergeCell ref="B2586:T2586"/>
    <mergeCell ref="R2603:T2603"/>
    <mergeCell ref="R2527:S2529"/>
    <mergeCell ref="T2527:T2529"/>
    <mergeCell ref="R2530:T2531"/>
    <mergeCell ref="R2557:S2559"/>
    <mergeCell ref="T2557:T2559"/>
    <mergeCell ref="R2546:T2546"/>
    <mergeCell ref="R2547:T2547"/>
    <mergeCell ref="R2549:T2549"/>
    <mergeCell ref="R2550:T2550"/>
    <mergeCell ref="R2560:T2561"/>
    <mergeCell ref="R2587:S2589"/>
    <mergeCell ref="T2587:T2589"/>
    <mergeCell ref="R2590:T2591"/>
    <mergeCell ref="U2540:U2541"/>
    <mergeCell ref="U2570:U2571"/>
    <mergeCell ref="R2573:T2573"/>
    <mergeCell ref="R2574:T2574"/>
    <mergeCell ref="B2587:B2596"/>
    <mergeCell ref="C2587:K2587"/>
    <mergeCell ref="L2587:L2589"/>
    <mergeCell ref="M2587:Q2588"/>
    <mergeCell ref="C2588:E2588"/>
    <mergeCell ref="G2588:H2588"/>
    <mergeCell ref="I2588:K2588"/>
    <mergeCell ref="C2589:D2589"/>
    <mergeCell ref="M2589:P2589"/>
    <mergeCell ref="L2590:L2592"/>
    <mergeCell ref="M2590:Q2590"/>
    <mergeCell ref="M2591:N2591"/>
    <mergeCell ref="P2591:Q2591"/>
    <mergeCell ref="R2432:T2432"/>
    <mergeCell ref="B2436:T2436"/>
    <mergeCell ref="B2437:B2446"/>
    <mergeCell ref="C2437:K2437"/>
    <mergeCell ref="M2450:M2451"/>
    <mergeCell ref="N2450:N2451"/>
    <mergeCell ref="O2450:P2450"/>
    <mergeCell ref="R2450:T2451"/>
    <mergeCell ref="K2450:K2451"/>
    <mergeCell ref="R2456:T2456"/>
    <mergeCell ref="R2457:T2457"/>
    <mergeCell ref="R2458:T2458"/>
    <mergeCell ref="R2459:T2459"/>
    <mergeCell ref="R2460:T2460"/>
    <mergeCell ref="R2461:T2461"/>
    <mergeCell ref="W2480:Y2480"/>
    <mergeCell ref="R2486:T2486"/>
    <mergeCell ref="R2487:T2487"/>
    <mergeCell ref="R2488:T2488"/>
    <mergeCell ref="R2489:T2489"/>
    <mergeCell ref="R2485:T2485"/>
    <mergeCell ref="W2510:Y2510"/>
    <mergeCell ref="R2516:T2516"/>
    <mergeCell ref="R2517:T2517"/>
    <mergeCell ref="R2515:T2515"/>
    <mergeCell ref="R2514:T2514"/>
    <mergeCell ref="R2513:T2513"/>
    <mergeCell ref="R2510:T2511"/>
    <mergeCell ref="R2407:S2409"/>
    <mergeCell ref="T2407:T2409"/>
    <mergeCell ref="R2410:T2411"/>
    <mergeCell ref="R2437:S2439"/>
    <mergeCell ref="T2437:T2439"/>
    <mergeCell ref="R2428:T2428"/>
    <mergeCell ref="R2429:T2429"/>
    <mergeCell ref="R2430:T2430"/>
    <mergeCell ref="R2431:T2431"/>
    <mergeCell ref="R2467:S2469"/>
    <mergeCell ref="T2467:T2469"/>
    <mergeCell ref="R2470:T2471"/>
    <mergeCell ref="R2497:S2499"/>
    <mergeCell ref="T2497:T2499"/>
    <mergeCell ref="R2490:T2490"/>
    <mergeCell ref="R2491:T2491"/>
    <mergeCell ref="R2492:T2492"/>
    <mergeCell ref="B2496:T2496"/>
    <mergeCell ref="B2497:B2506"/>
    <mergeCell ref="R2500:T2501"/>
    <mergeCell ref="U2420:U2421"/>
    <mergeCell ref="U2450:U2451"/>
    <mergeCell ref="U2480:U2481"/>
    <mergeCell ref="U2510:U2511"/>
    <mergeCell ref="B2509:D2509"/>
    <mergeCell ref="B2510:B2511"/>
    <mergeCell ref="H2510:H2511"/>
    <mergeCell ref="I2510:I2511"/>
    <mergeCell ref="J2510:J2511"/>
    <mergeCell ref="K2510:K2511"/>
    <mergeCell ref="L2510:L2511"/>
    <mergeCell ref="R2480:T2481"/>
    <mergeCell ref="R2483:T2483"/>
    <mergeCell ref="R2484:T2484"/>
    <mergeCell ref="L2450:L2451"/>
    <mergeCell ref="P2442:Q2442"/>
    <mergeCell ref="W2360:Y2360"/>
    <mergeCell ref="R2342:T2342"/>
    <mergeCell ref="B2346:T2346"/>
    <mergeCell ref="B2347:B2356"/>
    <mergeCell ref="C2347:K2347"/>
    <mergeCell ref="M2360:M2361"/>
    <mergeCell ref="N2360:N2361"/>
    <mergeCell ref="O2360:P2360"/>
    <mergeCell ref="R2360:T2361"/>
    <mergeCell ref="C2356:G2356"/>
    <mergeCell ref="R2371:T2371"/>
    <mergeCell ref="R2338:T2338"/>
    <mergeCell ref="R2339:T2339"/>
    <mergeCell ref="R2340:T2340"/>
    <mergeCell ref="R2341:T2341"/>
    <mergeCell ref="R2365:T2365"/>
    <mergeCell ref="R2363:T2363"/>
    <mergeCell ref="R2364:T2364"/>
    <mergeCell ref="R2368:T2368"/>
    <mergeCell ref="W2390:Y2390"/>
    <mergeCell ref="R2317:S2319"/>
    <mergeCell ref="T2317:T2319"/>
    <mergeCell ref="R2310:T2310"/>
    <mergeCell ref="R2311:T2311"/>
    <mergeCell ref="R2312:T2312"/>
    <mergeCell ref="B2316:T2316"/>
    <mergeCell ref="B2317:B2326"/>
    <mergeCell ref="R2320:T2321"/>
    <mergeCell ref="R2347:S2349"/>
    <mergeCell ref="T2347:T2349"/>
    <mergeCell ref="R2350:T2351"/>
    <mergeCell ref="R2377:S2379"/>
    <mergeCell ref="T2377:T2379"/>
    <mergeCell ref="R2366:T2366"/>
    <mergeCell ref="R2367:T2367"/>
    <mergeCell ref="R2369:T2369"/>
    <mergeCell ref="R2370:T2370"/>
    <mergeCell ref="R2380:T2381"/>
    <mergeCell ref="U2330:U2331"/>
    <mergeCell ref="U2360:U2361"/>
    <mergeCell ref="U2390:U2391"/>
    <mergeCell ref="R2372:T2372"/>
    <mergeCell ref="B2376:T2376"/>
    <mergeCell ref="B2377:B2386"/>
    <mergeCell ref="C2377:K2377"/>
    <mergeCell ref="L2377:L2379"/>
    <mergeCell ref="M2377:Q2378"/>
    <mergeCell ref="C2378:E2378"/>
    <mergeCell ref="G2378:H2378"/>
    <mergeCell ref="I2378:K2378"/>
    <mergeCell ref="C2379:D2379"/>
    <mergeCell ref="M2379:P2379"/>
    <mergeCell ref="L2380:L2382"/>
    <mergeCell ref="M2380:Q2380"/>
    <mergeCell ref="M2381:N2381"/>
    <mergeCell ref="P2381:Q2381"/>
    <mergeCell ref="M2382:N2382"/>
    <mergeCell ref="P2382:Q2382"/>
    <mergeCell ref="L2383:L2385"/>
    <mergeCell ref="M2383:Q2383"/>
    <mergeCell ref="M2384:N2384"/>
    <mergeCell ref="P2384:Q2384"/>
    <mergeCell ref="M2385:N2385"/>
    <mergeCell ref="P2385:Q2385"/>
    <mergeCell ref="R2216:T2216"/>
    <mergeCell ref="R2217:T2217"/>
    <mergeCell ref="R2218:T2218"/>
    <mergeCell ref="R2219:T2219"/>
    <mergeCell ref="R2215:T2215"/>
    <mergeCell ref="R2220:T2220"/>
    <mergeCell ref="R2221:T2221"/>
    <mergeCell ref="W2240:Y2240"/>
    <mergeCell ref="R2246:T2246"/>
    <mergeCell ref="R2247:T2247"/>
    <mergeCell ref="R2245:T2245"/>
    <mergeCell ref="R2244:T2244"/>
    <mergeCell ref="R2222:T2222"/>
    <mergeCell ref="B2226:T2226"/>
    <mergeCell ref="R2243:T2243"/>
    <mergeCell ref="W2270:Y2270"/>
    <mergeCell ref="R2252:T2252"/>
    <mergeCell ref="B2256:T2256"/>
    <mergeCell ref="B2257:B2266"/>
    <mergeCell ref="C2257:K2257"/>
    <mergeCell ref="M2270:M2271"/>
    <mergeCell ref="N2270:N2271"/>
    <mergeCell ref="O2270:P2270"/>
    <mergeCell ref="R2270:T2271"/>
    <mergeCell ref="K2270:K2271"/>
    <mergeCell ref="R2167:S2169"/>
    <mergeCell ref="T2167:T2169"/>
    <mergeCell ref="R2170:T2171"/>
    <mergeCell ref="R2197:S2199"/>
    <mergeCell ref="T2197:T2199"/>
    <mergeCell ref="R2186:T2186"/>
    <mergeCell ref="R2187:T2187"/>
    <mergeCell ref="R2189:T2189"/>
    <mergeCell ref="R2190:T2190"/>
    <mergeCell ref="R2200:T2201"/>
    <mergeCell ref="R2227:S2229"/>
    <mergeCell ref="T2227:T2229"/>
    <mergeCell ref="R2230:T2231"/>
    <mergeCell ref="R2257:S2259"/>
    <mergeCell ref="T2257:T2259"/>
    <mergeCell ref="R2248:T2248"/>
    <mergeCell ref="R2249:T2249"/>
    <mergeCell ref="R2250:T2250"/>
    <mergeCell ref="R2251:T2251"/>
    <mergeCell ref="L2270:L2271"/>
    <mergeCell ref="P2262:Q2262"/>
    <mergeCell ref="L2263:L2265"/>
    <mergeCell ref="M2263:Q2263"/>
    <mergeCell ref="M2264:N2264"/>
    <mergeCell ref="P2264:Q2264"/>
    <mergeCell ref="M2265:N2265"/>
    <mergeCell ref="P2265:Q2265"/>
    <mergeCell ref="R2213:T2213"/>
    <mergeCell ref="R2214:T2214"/>
    <mergeCell ref="W2180:Y2180"/>
    <mergeCell ref="R2180:T2181"/>
    <mergeCell ref="C2176:G2176"/>
    <mergeCell ref="B2227:B2236"/>
    <mergeCell ref="C2227:K2227"/>
    <mergeCell ref="L2227:L2229"/>
    <mergeCell ref="M2227:Q2228"/>
    <mergeCell ref="C2228:E2228"/>
    <mergeCell ref="G2228:H2228"/>
    <mergeCell ref="I2228:K2228"/>
    <mergeCell ref="R2077:S2079"/>
    <mergeCell ref="T2077:T2079"/>
    <mergeCell ref="R2107:S2109"/>
    <mergeCell ref="T2107:T2109"/>
    <mergeCell ref="R2110:T2111"/>
    <mergeCell ref="R2137:S2139"/>
    <mergeCell ref="T2137:T2139"/>
    <mergeCell ref="R2130:T2130"/>
    <mergeCell ref="R2131:T2131"/>
    <mergeCell ref="R2132:T2132"/>
    <mergeCell ref="B2136:T2136"/>
    <mergeCell ref="B2137:B2146"/>
    <mergeCell ref="R2140:T2141"/>
    <mergeCell ref="B2149:D2149"/>
    <mergeCell ref="B2150:B2151"/>
    <mergeCell ref="H2150:H2151"/>
    <mergeCell ref="I2150:I2151"/>
    <mergeCell ref="J2150:J2151"/>
    <mergeCell ref="K2150:K2151"/>
    <mergeCell ref="L2150:L2151"/>
    <mergeCell ref="L2167:L2169"/>
    <mergeCell ref="M2167:Q2168"/>
    <mergeCell ref="C2168:E2168"/>
    <mergeCell ref="G2168:H2168"/>
    <mergeCell ref="M2150:M2151"/>
    <mergeCell ref="N2150:N2151"/>
    <mergeCell ref="R2191:T2191"/>
    <mergeCell ref="R2158:T2158"/>
    <mergeCell ref="R2159:T2159"/>
    <mergeCell ref="R2160:T2160"/>
    <mergeCell ref="R2161:T2161"/>
    <mergeCell ref="R2185:T2185"/>
    <mergeCell ref="R2183:T2183"/>
    <mergeCell ref="R2184:T2184"/>
    <mergeCell ref="R2188:T2188"/>
    <mergeCell ref="M2090:M2091"/>
    <mergeCell ref="N2090:N2091"/>
    <mergeCell ref="O2090:P2090"/>
    <mergeCell ref="R2090:T2091"/>
    <mergeCell ref="K2090:K2091"/>
    <mergeCell ref="R2096:T2096"/>
    <mergeCell ref="R2097:T2097"/>
    <mergeCell ref="R2098:T2098"/>
    <mergeCell ref="R2099:T2099"/>
    <mergeCell ref="R2100:T2100"/>
    <mergeCell ref="R2101:T2101"/>
    <mergeCell ref="R2126:T2126"/>
    <mergeCell ref="R2127:T2127"/>
    <mergeCell ref="R2128:T2128"/>
    <mergeCell ref="R2129:T2129"/>
    <mergeCell ref="R2125:T2125"/>
    <mergeCell ref="R2156:T2156"/>
    <mergeCell ref="R2157:T2157"/>
    <mergeCell ref="R2155:T2155"/>
    <mergeCell ref="R2154:T2154"/>
    <mergeCell ref="R2153:T2153"/>
    <mergeCell ref="R2150:T2151"/>
    <mergeCell ref="R2162:T2162"/>
    <mergeCell ref="B2166:T2166"/>
    <mergeCell ref="B2167:B2176"/>
    <mergeCell ref="C2167:K2167"/>
    <mergeCell ref="M2180:M2181"/>
    <mergeCell ref="N2180:N2181"/>
    <mergeCell ref="O2180:P2180"/>
    <mergeCell ref="W2030:Y2030"/>
    <mergeCell ref="R2036:T2036"/>
    <mergeCell ref="R2037:T2037"/>
    <mergeCell ref="R2038:T2038"/>
    <mergeCell ref="R2039:T2039"/>
    <mergeCell ref="R2035:T2035"/>
    <mergeCell ref="R2040:T2040"/>
    <mergeCell ref="R2041:T2041"/>
    <mergeCell ref="W2060:Y2060"/>
    <mergeCell ref="R2066:T2066"/>
    <mergeCell ref="R2067:T2067"/>
    <mergeCell ref="R2065:T2065"/>
    <mergeCell ref="R2064:T2064"/>
    <mergeCell ref="R2042:T2042"/>
    <mergeCell ref="B2046:T2046"/>
    <mergeCell ref="R2063:T2063"/>
    <mergeCell ref="R1987:S1989"/>
    <mergeCell ref="T1987:T1989"/>
    <mergeCell ref="R1990:T1991"/>
    <mergeCell ref="R2017:S2019"/>
    <mergeCell ref="T2017:T2019"/>
    <mergeCell ref="R2006:T2006"/>
    <mergeCell ref="R2007:T2007"/>
    <mergeCell ref="R2009:T2009"/>
    <mergeCell ref="R2010:T2010"/>
    <mergeCell ref="R2020:T2021"/>
    <mergeCell ref="R2047:S2049"/>
    <mergeCell ref="T2047:T2049"/>
    <mergeCell ref="R2050:T2051"/>
    <mergeCell ref="R2012:T2012"/>
    <mergeCell ref="B2016:T2016"/>
    <mergeCell ref="B2017:B2026"/>
    <mergeCell ref="C2017:K2017"/>
    <mergeCell ref="L2017:L2019"/>
    <mergeCell ref="M2017:Q2018"/>
    <mergeCell ref="C2018:E2018"/>
    <mergeCell ref="G2018:H2018"/>
    <mergeCell ref="I2018:K2018"/>
    <mergeCell ref="C2019:D2019"/>
    <mergeCell ref="M2019:P2019"/>
    <mergeCell ref="L2020:L2022"/>
    <mergeCell ref="M2020:Q2020"/>
    <mergeCell ref="M2021:N2021"/>
    <mergeCell ref="P2021:Q2021"/>
    <mergeCell ref="M2022:N2022"/>
    <mergeCell ref="P2022:Q2022"/>
    <mergeCell ref="L2023:L2025"/>
    <mergeCell ref="M2023:Q2023"/>
    <mergeCell ref="M2024:N2024"/>
    <mergeCell ref="P2024:Q2024"/>
    <mergeCell ref="M2025:N2025"/>
    <mergeCell ref="P2025:Q2025"/>
    <mergeCell ref="C2026:G2026"/>
    <mergeCell ref="H2026:J2026"/>
    <mergeCell ref="L2026:Q2026"/>
    <mergeCell ref="B2029:D2029"/>
    <mergeCell ref="B2030:B2031"/>
    <mergeCell ref="H2030:H2031"/>
    <mergeCell ref="I2030:I2031"/>
    <mergeCell ref="J2030:J2031"/>
    <mergeCell ref="K2030:K2031"/>
    <mergeCell ref="L2030:L2031"/>
    <mergeCell ref="M2030:M2031"/>
    <mergeCell ref="N2030:N2031"/>
    <mergeCell ref="R1886:T1886"/>
    <mergeCell ref="R1887:T1887"/>
    <mergeCell ref="R1885:T1885"/>
    <mergeCell ref="R1884:T1884"/>
    <mergeCell ref="R1862:T1862"/>
    <mergeCell ref="B1866:T1866"/>
    <mergeCell ref="R1883:T1883"/>
    <mergeCell ref="W1910:Y1910"/>
    <mergeCell ref="R1892:T1892"/>
    <mergeCell ref="B1896:T1896"/>
    <mergeCell ref="B1897:B1906"/>
    <mergeCell ref="C1897:K1897"/>
    <mergeCell ref="M1910:M1911"/>
    <mergeCell ref="N1910:N1911"/>
    <mergeCell ref="O1910:P1910"/>
    <mergeCell ref="R1910:T1911"/>
    <mergeCell ref="K1910:K1911"/>
    <mergeCell ref="R1916:T1916"/>
    <mergeCell ref="R1917:T1917"/>
    <mergeCell ref="R1918:T1918"/>
    <mergeCell ref="R1919:T1919"/>
    <mergeCell ref="R1920:T1920"/>
    <mergeCell ref="R1921:T1921"/>
    <mergeCell ref="W1940:Y1940"/>
    <mergeCell ref="R1946:T1946"/>
    <mergeCell ref="R1947:T1947"/>
    <mergeCell ref="R1948:T1948"/>
    <mergeCell ref="R1949:T1949"/>
    <mergeCell ref="R1945:T1945"/>
    <mergeCell ref="W1970:Y1970"/>
    <mergeCell ref="R1976:T1976"/>
    <mergeCell ref="R1977:T1977"/>
    <mergeCell ref="R1975:T1975"/>
    <mergeCell ref="R1974:T1974"/>
    <mergeCell ref="R1973:T1973"/>
    <mergeCell ref="R1970:T1971"/>
    <mergeCell ref="R1867:S1869"/>
    <mergeCell ref="T1867:T1869"/>
    <mergeCell ref="R1870:T1871"/>
    <mergeCell ref="R1897:S1899"/>
    <mergeCell ref="T1897:T1899"/>
    <mergeCell ref="R1888:T1888"/>
    <mergeCell ref="R1889:T1889"/>
    <mergeCell ref="R1890:T1890"/>
    <mergeCell ref="R1891:T1891"/>
    <mergeCell ref="R1927:S1929"/>
    <mergeCell ref="T1927:T1929"/>
    <mergeCell ref="R1930:T1931"/>
    <mergeCell ref="R1957:S1959"/>
    <mergeCell ref="T1957:T1959"/>
    <mergeCell ref="R1950:T1950"/>
    <mergeCell ref="R1951:T1951"/>
    <mergeCell ref="R1952:T1952"/>
    <mergeCell ref="B1956:T1956"/>
    <mergeCell ref="B1957:B1966"/>
    <mergeCell ref="R1960:T1961"/>
    <mergeCell ref="B1939:D1939"/>
    <mergeCell ref="B1940:B1941"/>
    <mergeCell ref="H1940:H1941"/>
    <mergeCell ref="I1940:I1941"/>
    <mergeCell ref="J1940:J1941"/>
    <mergeCell ref="K1940:K1941"/>
    <mergeCell ref="L1940:L1941"/>
    <mergeCell ref="L1960:L1962"/>
    <mergeCell ref="R1766:T1766"/>
    <mergeCell ref="R1767:T1767"/>
    <mergeCell ref="R1768:T1768"/>
    <mergeCell ref="R1769:T1769"/>
    <mergeCell ref="R1765:T1765"/>
    <mergeCell ref="W1790:Y1790"/>
    <mergeCell ref="R1796:T1796"/>
    <mergeCell ref="R1797:T1797"/>
    <mergeCell ref="R1795:T1795"/>
    <mergeCell ref="R1794:T1794"/>
    <mergeCell ref="R1793:T1793"/>
    <mergeCell ref="R1790:T1791"/>
    <mergeCell ref="W1820:Y1820"/>
    <mergeCell ref="R1802:T1802"/>
    <mergeCell ref="B1806:T1806"/>
    <mergeCell ref="B1807:B1816"/>
    <mergeCell ref="C1807:K1807"/>
    <mergeCell ref="M1820:M1821"/>
    <mergeCell ref="N1820:N1821"/>
    <mergeCell ref="O1820:P1820"/>
    <mergeCell ref="R1820:T1821"/>
    <mergeCell ref="C1816:G1816"/>
    <mergeCell ref="R1831:T1831"/>
    <mergeCell ref="R1798:T1798"/>
    <mergeCell ref="R1799:T1799"/>
    <mergeCell ref="R1800:T1800"/>
    <mergeCell ref="R1801:T1801"/>
    <mergeCell ref="R1825:T1825"/>
    <mergeCell ref="R1823:T1823"/>
    <mergeCell ref="R1824:T1824"/>
    <mergeCell ref="R1828:T1828"/>
    <mergeCell ref="W1850:Y1850"/>
    <mergeCell ref="R1777:S1779"/>
    <mergeCell ref="T1777:T1779"/>
    <mergeCell ref="R1770:T1770"/>
    <mergeCell ref="R1771:T1771"/>
    <mergeCell ref="R1772:T1772"/>
    <mergeCell ref="B1776:T1776"/>
    <mergeCell ref="B1777:B1786"/>
    <mergeCell ref="R1780:T1781"/>
    <mergeCell ref="R1807:S1809"/>
    <mergeCell ref="T1807:T1809"/>
    <mergeCell ref="R1810:T1811"/>
    <mergeCell ref="R1837:S1839"/>
    <mergeCell ref="T1837:T1839"/>
    <mergeCell ref="R1826:T1826"/>
    <mergeCell ref="R1827:T1827"/>
    <mergeCell ref="R1829:T1829"/>
    <mergeCell ref="R1830:T1830"/>
    <mergeCell ref="R1840:T1841"/>
    <mergeCell ref="B1789:D1789"/>
    <mergeCell ref="B1790:B1791"/>
    <mergeCell ref="H1790:H1791"/>
    <mergeCell ref="I1790:I1791"/>
    <mergeCell ref="J1790:J1791"/>
    <mergeCell ref="K1790:K1791"/>
    <mergeCell ref="L1790:L1791"/>
    <mergeCell ref="L1807:L1809"/>
    <mergeCell ref="M1807:Q1808"/>
    <mergeCell ref="C1808:E1808"/>
    <mergeCell ref="G1808:H1808"/>
    <mergeCell ref="M1790:M1791"/>
    <mergeCell ref="N1790:N1791"/>
    <mergeCell ref="O1790:P1790"/>
    <mergeCell ref="R1676:T1676"/>
    <mergeCell ref="R1677:T1677"/>
    <mergeCell ref="R1678:T1678"/>
    <mergeCell ref="R1679:T1679"/>
    <mergeCell ref="R1675:T1675"/>
    <mergeCell ref="R1680:T1680"/>
    <mergeCell ref="R1681:T1681"/>
    <mergeCell ref="W1700:Y1700"/>
    <mergeCell ref="R1706:T1706"/>
    <mergeCell ref="R1707:T1707"/>
    <mergeCell ref="R1705:T1705"/>
    <mergeCell ref="R1704:T1704"/>
    <mergeCell ref="R1682:T1682"/>
    <mergeCell ref="B1686:T1686"/>
    <mergeCell ref="R1703:T1703"/>
    <mergeCell ref="W1730:Y1730"/>
    <mergeCell ref="R1712:T1712"/>
    <mergeCell ref="B1716:T1716"/>
    <mergeCell ref="B1717:B1726"/>
    <mergeCell ref="C1717:K1717"/>
    <mergeCell ref="M1730:M1731"/>
    <mergeCell ref="N1730:N1731"/>
    <mergeCell ref="O1730:P1730"/>
    <mergeCell ref="R1730:T1731"/>
    <mergeCell ref="K1730:K1731"/>
    <mergeCell ref="R1627:S1629"/>
    <mergeCell ref="T1627:T1629"/>
    <mergeCell ref="R1630:T1631"/>
    <mergeCell ref="R1657:S1659"/>
    <mergeCell ref="T1657:T1659"/>
    <mergeCell ref="R1646:T1646"/>
    <mergeCell ref="R1647:T1647"/>
    <mergeCell ref="R1649:T1649"/>
    <mergeCell ref="R1650:T1650"/>
    <mergeCell ref="R1660:T1661"/>
    <mergeCell ref="R1687:S1689"/>
    <mergeCell ref="T1687:T1689"/>
    <mergeCell ref="R1690:T1691"/>
    <mergeCell ref="R1717:S1719"/>
    <mergeCell ref="T1717:T1719"/>
    <mergeCell ref="R1708:T1708"/>
    <mergeCell ref="R1709:T1709"/>
    <mergeCell ref="R1710:T1710"/>
    <mergeCell ref="R1711:T1711"/>
    <mergeCell ref="M1722:N1722"/>
    <mergeCell ref="R1652:T1652"/>
    <mergeCell ref="B1656:T1656"/>
    <mergeCell ref="B1657:B1666"/>
    <mergeCell ref="C1657:K1657"/>
    <mergeCell ref="L1657:L1659"/>
    <mergeCell ref="M1657:Q1658"/>
    <mergeCell ref="C1658:E1658"/>
    <mergeCell ref="G1658:H1658"/>
    <mergeCell ref="I1658:K1658"/>
    <mergeCell ref="W1640:Y1640"/>
    <mergeCell ref="R1640:T1641"/>
    <mergeCell ref="C1636:G1636"/>
    <mergeCell ref="C1659:D1659"/>
    <mergeCell ref="M1659:P1659"/>
    <mergeCell ref="L1660:L1662"/>
    <mergeCell ref="M1660:Q1660"/>
    <mergeCell ref="M1661:N1661"/>
    <mergeCell ref="P1661:Q1661"/>
    <mergeCell ref="M1662:N1662"/>
    <mergeCell ref="R1537:S1539"/>
    <mergeCell ref="T1537:T1539"/>
    <mergeCell ref="R1567:S1569"/>
    <mergeCell ref="T1567:T1569"/>
    <mergeCell ref="R1570:T1571"/>
    <mergeCell ref="R1597:S1599"/>
    <mergeCell ref="T1597:T1599"/>
    <mergeCell ref="R1590:T1590"/>
    <mergeCell ref="R1591:T1591"/>
    <mergeCell ref="R1592:T1592"/>
    <mergeCell ref="B1596:T1596"/>
    <mergeCell ref="B1597:B1606"/>
    <mergeCell ref="R1600:T1601"/>
    <mergeCell ref="K1640:K1641"/>
    <mergeCell ref="L1640:L1641"/>
    <mergeCell ref="B1579:D1579"/>
    <mergeCell ref="B1580:B1581"/>
    <mergeCell ref="H1580:H1581"/>
    <mergeCell ref="I1580:I1581"/>
    <mergeCell ref="J1580:J1581"/>
    <mergeCell ref="K1580:K1581"/>
    <mergeCell ref="L1580:L1581"/>
    <mergeCell ref="L1600:L1602"/>
    <mergeCell ref="M1580:M1581"/>
    <mergeCell ref="N1580:N1581"/>
    <mergeCell ref="O1580:P1580"/>
    <mergeCell ref="R1651:T1651"/>
    <mergeCell ref="R1618:T1618"/>
    <mergeCell ref="R1619:T1619"/>
    <mergeCell ref="R1620:T1620"/>
    <mergeCell ref="R1621:T1621"/>
    <mergeCell ref="R1645:T1645"/>
    <mergeCell ref="R1643:T1643"/>
    <mergeCell ref="R1644:T1644"/>
    <mergeCell ref="R1648:T1648"/>
    <mergeCell ref="M1550:M1551"/>
    <mergeCell ref="N1550:N1551"/>
    <mergeCell ref="O1550:P1550"/>
    <mergeCell ref="R1550:T1551"/>
    <mergeCell ref="K1550:K1551"/>
    <mergeCell ref="R1556:T1556"/>
    <mergeCell ref="R1557:T1557"/>
    <mergeCell ref="R1558:T1558"/>
    <mergeCell ref="R1559:T1559"/>
    <mergeCell ref="R1560:T1560"/>
    <mergeCell ref="R1561:T1561"/>
    <mergeCell ref="R1586:T1586"/>
    <mergeCell ref="R1587:T1587"/>
    <mergeCell ref="R1588:T1588"/>
    <mergeCell ref="R1589:T1589"/>
    <mergeCell ref="R1585:T1585"/>
    <mergeCell ref="R1616:T1616"/>
    <mergeCell ref="R1617:T1617"/>
    <mergeCell ref="R1615:T1615"/>
    <mergeCell ref="R1614:T1614"/>
    <mergeCell ref="R1613:T1613"/>
    <mergeCell ref="R1610:T1611"/>
    <mergeCell ref="R1622:T1622"/>
    <mergeCell ref="B1626:T1626"/>
    <mergeCell ref="B1627:B1636"/>
    <mergeCell ref="C1627:K1627"/>
    <mergeCell ref="M1640:M1641"/>
    <mergeCell ref="N1640:N1641"/>
    <mergeCell ref="O1640:P1640"/>
    <mergeCell ref="W1490:Y1490"/>
    <mergeCell ref="R1496:T1496"/>
    <mergeCell ref="R1497:T1497"/>
    <mergeCell ref="R1498:T1498"/>
    <mergeCell ref="R1499:T1499"/>
    <mergeCell ref="R1495:T1495"/>
    <mergeCell ref="R1500:T1500"/>
    <mergeCell ref="R1501:T1501"/>
    <mergeCell ref="W1520:Y1520"/>
    <mergeCell ref="R1526:T1526"/>
    <mergeCell ref="R1527:T1527"/>
    <mergeCell ref="R1525:T1525"/>
    <mergeCell ref="R1524:T1524"/>
    <mergeCell ref="R1502:T1502"/>
    <mergeCell ref="B1506:T1506"/>
    <mergeCell ref="R1523:T1523"/>
    <mergeCell ref="R1447:S1449"/>
    <mergeCell ref="T1447:T1449"/>
    <mergeCell ref="R1450:T1451"/>
    <mergeCell ref="R1477:S1479"/>
    <mergeCell ref="T1477:T1479"/>
    <mergeCell ref="R1466:T1466"/>
    <mergeCell ref="R1467:T1467"/>
    <mergeCell ref="R1469:T1469"/>
    <mergeCell ref="R1470:T1470"/>
    <mergeCell ref="R1480:T1481"/>
    <mergeCell ref="R1507:S1509"/>
    <mergeCell ref="T1507:T1509"/>
    <mergeCell ref="R1510:T1511"/>
    <mergeCell ref="R1472:T1472"/>
    <mergeCell ref="B1476:T1476"/>
    <mergeCell ref="B1477:B1486"/>
    <mergeCell ref="C1477:K1477"/>
    <mergeCell ref="L1477:L1479"/>
    <mergeCell ref="M1477:Q1478"/>
    <mergeCell ref="C1478:E1478"/>
    <mergeCell ref="G1478:H1478"/>
    <mergeCell ref="I1478:K1478"/>
    <mergeCell ref="C1479:D1479"/>
    <mergeCell ref="M1479:P1479"/>
    <mergeCell ref="L1480:L1482"/>
    <mergeCell ref="M1480:Q1480"/>
    <mergeCell ref="M1481:N1481"/>
    <mergeCell ref="P1481:Q1481"/>
    <mergeCell ref="M1482:N1482"/>
    <mergeCell ref="P1482:Q1482"/>
    <mergeCell ref="L1483:L1485"/>
    <mergeCell ref="M1483:Q1483"/>
    <mergeCell ref="M1484:N1484"/>
    <mergeCell ref="P1484:Q1484"/>
    <mergeCell ref="M1485:N1485"/>
    <mergeCell ref="P1485:Q1485"/>
    <mergeCell ref="C1486:G1486"/>
    <mergeCell ref="H1486:J1486"/>
    <mergeCell ref="L1486:Q1486"/>
    <mergeCell ref="B1489:D1489"/>
    <mergeCell ref="B1490:B1491"/>
    <mergeCell ref="H1490:H1491"/>
    <mergeCell ref="I1490:I1491"/>
    <mergeCell ref="J1490:J1491"/>
    <mergeCell ref="K1490:K1491"/>
    <mergeCell ref="L1490:L1491"/>
    <mergeCell ref="M1490:M1491"/>
    <mergeCell ref="N1490:N1491"/>
    <mergeCell ref="R1346:T1346"/>
    <mergeCell ref="R1347:T1347"/>
    <mergeCell ref="R1345:T1345"/>
    <mergeCell ref="R1344:T1344"/>
    <mergeCell ref="R1322:T1322"/>
    <mergeCell ref="B1326:T1326"/>
    <mergeCell ref="R1343:T1343"/>
    <mergeCell ref="W1370:Y1370"/>
    <mergeCell ref="R1352:T1352"/>
    <mergeCell ref="B1356:T1356"/>
    <mergeCell ref="B1357:B1366"/>
    <mergeCell ref="C1357:K1357"/>
    <mergeCell ref="M1370:M1371"/>
    <mergeCell ref="N1370:N1371"/>
    <mergeCell ref="O1370:P1370"/>
    <mergeCell ref="R1370:T1371"/>
    <mergeCell ref="K1370:K1371"/>
    <mergeCell ref="R1376:T1376"/>
    <mergeCell ref="R1377:T1377"/>
    <mergeCell ref="R1378:T1378"/>
    <mergeCell ref="R1379:T1379"/>
    <mergeCell ref="R1380:T1380"/>
    <mergeCell ref="R1381:T1381"/>
    <mergeCell ref="W1400:Y1400"/>
    <mergeCell ref="R1406:T1406"/>
    <mergeCell ref="R1407:T1407"/>
    <mergeCell ref="R1408:T1408"/>
    <mergeCell ref="R1409:T1409"/>
    <mergeCell ref="R1405:T1405"/>
    <mergeCell ref="W1430:Y1430"/>
    <mergeCell ref="R1436:T1436"/>
    <mergeCell ref="R1437:T1437"/>
    <mergeCell ref="R1435:T1435"/>
    <mergeCell ref="R1434:T1434"/>
    <mergeCell ref="R1433:T1433"/>
    <mergeCell ref="R1430:T1431"/>
    <mergeCell ref="R1327:S1329"/>
    <mergeCell ref="T1327:T1329"/>
    <mergeCell ref="R1330:T1331"/>
    <mergeCell ref="R1357:S1359"/>
    <mergeCell ref="T1357:T1359"/>
    <mergeCell ref="R1348:T1348"/>
    <mergeCell ref="R1349:T1349"/>
    <mergeCell ref="R1350:T1350"/>
    <mergeCell ref="R1351:T1351"/>
    <mergeCell ref="R1387:S1389"/>
    <mergeCell ref="T1387:T1389"/>
    <mergeCell ref="R1390:T1391"/>
    <mergeCell ref="R1417:S1419"/>
    <mergeCell ref="T1417:T1419"/>
    <mergeCell ref="R1410:T1410"/>
    <mergeCell ref="R1411:T1411"/>
    <mergeCell ref="R1412:T1412"/>
    <mergeCell ref="B1416:T1416"/>
    <mergeCell ref="B1417:B1426"/>
    <mergeCell ref="R1420:T1421"/>
    <mergeCell ref="B1399:D1399"/>
    <mergeCell ref="B1400:B1401"/>
    <mergeCell ref="H1400:H1401"/>
    <mergeCell ref="I1400:I1401"/>
    <mergeCell ref="J1400:J1401"/>
    <mergeCell ref="K1400:K1401"/>
    <mergeCell ref="L1400:L1401"/>
    <mergeCell ref="L1420:L1422"/>
    <mergeCell ref="R1226:T1226"/>
    <mergeCell ref="R1227:T1227"/>
    <mergeCell ref="R1228:T1228"/>
    <mergeCell ref="R1229:T1229"/>
    <mergeCell ref="R1225:T1225"/>
    <mergeCell ref="W1250:Y1250"/>
    <mergeCell ref="R1256:T1256"/>
    <mergeCell ref="R1257:T1257"/>
    <mergeCell ref="R1255:T1255"/>
    <mergeCell ref="R1254:T1254"/>
    <mergeCell ref="R1253:T1253"/>
    <mergeCell ref="R1250:T1251"/>
    <mergeCell ref="W1280:Y1280"/>
    <mergeCell ref="R1262:T1262"/>
    <mergeCell ref="B1266:T1266"/>
    <mergeCell ref="B1267:B1276"/>
    <mergeCell ref="C1267:K1267"/>
    <mergeCell ref="M1280:M1281"/>
    <mergeCell ref="N1280:N1281"/>
    <mergeCell ref="O1280:P1280"/>
    <mergeCell ref="R1280:T1281"/>
    <mergeCell ref="C1276:G1276"/>
    <mergeCell ref="R1291:T1291"/>
    <mergeCell ref="R1258:T1258"/>
    <mergeCell ref="R1259:T1259"/>
    <mergeCell ref="R1260:T1260"/>
    <mergeCell ref="R1261:T1261"/>
    <mergeCell ref="R1285:T1285"/>
    <mergeCell ref="R1283:T1283"/>
    <mergeCell ref="R1284:T1284"/>
    <mergeCell ref="R1288:T1288"/>
    <mergeCell ref="W1310:Y1310"/>
    <mergeCell ref="R1237:S1239"/>
    <mergeCell ref="T1237:T1239"/>
    <mergeCell ref="R1230:T1230"/>
    <mergeCell ref="R1231:T1231"/>
    <mergeCell ref="R1232:T1232"/>
    <mergeCell ref="B1236:T1236"/>
    <mergeCell ref="B1237:B1246"/>
    <mergeCell ref="R1240:T1241"/>
    <mergeCell ref="R1267:S1269"/>
    <mergeCell ref="T1267:T1269"/>
    <mergeCell ref="R1270:T1271"/>
    <mergeCell ref="R1297:S1299"/>
    <mergeCell ref="T1297:T1299"/>
    <mergeCell ref="R1286:T1286"/>
    <mergeCell ref="R1287:T1287"/>
    <mergeCell ref="R1289:T1289"/>
    <mergeCell ref="R1290:T1290"/>
    <mergeCell ref="R1300:T1301"/>
    <mergeCell ref="B1249:D1249"/>
    <mergeCell ref="B1250:B1251"/>
    <mergeCell ref="H1250:H1251"/>
    <mergeCell ref="I1250:I1251"/>
    <mergeCell ref="J1250:J1251"/>
    <mergeCell ref="K1250:K1251"/>
    <mergeCell ref="L1250:L1251"/>
    <mergeCell ref="L1267:L1269"/>
    <mergeCell ref="M1267:Q1268"/>
    <mergeCell ref="C1268:E1268"/>
    <mergeCell ref="G1268:H1268"/>
    <mergeCell ref="M1250:M1251"/>
    <mergeCell ref="N1250:N1251"/>
    <mergeCell ref="O1250:P1250"/>
    <mergeCell ref="R1136:T1136"/>
    <mergeCell ref="R1137:T1137"/>
    <mergeCell ref="R1138:T1138"/>
    <mergeCell ref="R1139:T1139"/>
    <mergeCell ref="R1135:T1135"/>
    <mergeCell ref="R1140:T1140"/>
    <mergeCell ref="R1141:T1141"/>
    <mergeCell ref="W1160:Y1160"/>
    <mergeCell ref="R1166:T1166"/>
    <mergeCell ref="R1167:T1167"/>
    <mergeCell ref="R1165:T1165"/>
    <mergeCell ref="R1164:T1164"/>
    <mergeCell ref="R1142:T1142"/>
    <mergeCell ref="B1146:T1146"/>
    <mergeCell ref="R1163:T1163"/>
    <mergeCell ref="W1190:Y1190"/>
    <mergeCell ref="R1172:T1172"/>
    <mergeCell ref="B1176:T1176"/>
    <mergeCell ref="B1177:B1186"/>
    <mergeCell ref="C1177:K1177"/>
    <mergeCell ref="M1190:M1191"/>
    <mergeCell ref="N1190:N1191"/>
    <mergeCell ref="O1190:P1190"/>
    <mergeCell ref="R1190:T1191"/>
    <mergeCell ref="K1190:K1191"/>
    <mergeCell ref="R1087:S1089"/>
    <mergeCell ref="T1087:T1089"/>
    <mergeCell ref="R1090:T1091"/>
    <mergeCell ref="R1117:S1119"/>
    <mergeCell ref="T1117:T1119"/>
    <mergeCell ref="R1106:T1106"/>
    <mergeCell ref="R1107:T1107"/>
    <mergeCell ref="R1109:T1109"/>
    <mergeCell ref="R1110:T1110"/>
    <mergeCell ref="R1120:T1121"/>
    <mergeCell ref="R1147:S1149"/>
    <mergeCell ref="T1147:T1149"/>
    <mergeCell ref="R1150:T1151"/>
    <mergeCell ref="R1177:S1179"/>
    <mergeCell ref="T1177:T1179"/>
    <mergeCell ref="R1168:T1168"/>
    <mergeCell ref="R1169:T1169"/>
    <mergeCell ref="R1170:T1170"/>
    <mergeCell ref="R1171:T1171"/>
    <mergeCell ref="M1182:N1182"/>
    <mergeCell ref="R1112:T1112"/>
    <mergeCell ref="B1116:T1116"/>
    <mergeCell ref="B1117:B1126"/>
    <mergeCell ref="C1117:K1117"/>
    <mergeCell ref="L1117:L1119"/>
    <mergeCell ref="M1117:Q1118"/>
    <mergeCell ref="C1118:E1118"/>
    <mergeCell ref="G1118:H1118"/>
    <mergeCell ref="I1118:K1118"/>
    <mergeCell ref="W1100:Y1100"/>
    <mergeCell ref="R1100:T1101"/>
    <mergeCell ref="C1096:G1096"/>
    <mergeCell ref="C1119:D1119"/>
    <mergeCell ref="M1119:P1119"/>
    <mergeCell ref="L1120:L1122"/>
    <mergeCell ref="M1120:Q1120"/>
    <mergeCell ref="M1121:N1121"/>
    <mergeCell ref="P1121:Q1121"/>
    <mergeCell ref="M1122:N1122"/>
    <mergeCell ref="R997:S999"/>
    <mergeCell ref="T997:T999"/>
    <mergeCell ref="R1027:S1029"/>
    <mergeCell ref="T1027:T1029"/>
    <mergeCell ref="R1030:T1031"/>
    <mergeCell ref="R1057:S1059"/>
    <mergeCell ref="T1057:T1059"/>
    <mergeCell ref="R1050:T1050"/>
    <mergeCell ref="R1051:T1051"/>
    <mergeCell ref="R1052:T1052"/>
    <mergeCell ref="B1056:T1056"/>
    <mergeCell ref="B1057:B1066"/>
    <mergeCell ref="R1060:T1061"/>
    <mergeCell ref="K1100:K1101"/>
    <mergeCell ref="L1100:L1101"/>
    <mergeCell ref="B1039:D1039"/>
    <mergeCell ref="B1040:B1041"/>
    <mergeCell ref="H1040:H1041"/>
    <mergeCell ref="I1040:I1041"/>
    <mergeCell ref="J1040:J1041"/>
    <mergeCell ref="K1040:K1041"/>
    <mergeCell ref="L1040:L1041"/>
    <mergeCell ref="L1060:L1062"/>
    <mergeCell ref="M1040:M1041"/>
    <mergeCell ref="N1040:N1041"/>
    <mergeCell ref="O1040:P1040"/>
    <mergeCell ref="R1111:T1111"/>
    <mergeCell ref="R1078:T1078"/>
    <mergeCell ref="R1079:T1079"/>
    <mergeCell ref="R1080:T1080"/>
    <mergeCell ref="R1081:T1081"/>
    <mergeCell ref="R1105:T1105"/>
    <mergeCell ref="R1103:T1103"/>
    <mergeCell ref="R1104:T1104"/>
    <mergeCell ref="R1108:T1108"/>
    <mergeCell ref="M1010:M1011"/>
    <mergeCell ref="N1010:N1011"/>
    <mergeCell ref="O1010:P1010"/>
    <mergeCell ref="R1010:T1011"/>
    <mergeCell ref="K1010:K1011"/>
    <mergeCell ref="R1016:T1016"/>
    <mergeCell ref="R1017:T1017"/>
    <mergeCell ref="R1018:T1018"/>
    <mergeCell ref="R1019:T1019"/>
    <mergeCell ref="R1020:T1020"/>
    <mergeCell ref="R1021:T1021"/>
    <mergeCell ref="R1046:T1046"/>
    <mergeCell ref="R1047:T1047"/>
    <mergeCell ref="R1048:T1048"/>
    <mergeCell ref="R1049:T1049"/>
    <mergeCell ref="R1045:T1045"/>
    <mergeCell ref="R1076:T1076"/>
    <mergeCell ref="R1077:T1077"/>
    <mergeCell ref="R1075:T1075"/>
    <mergeCell ref="R1074:T1074"/>
    <mergeCell ref="R1073:T1073"/>
    <mergeCell ref="R1070:T1071"/>
    <mergeCell ref="R1082:T1082"/>
    <mergeCell ref="B1086:T1086"/>
    <mergeCell ref="B1087:B1096"/>
    <mergeCell ref="C1087:K1087"/>
    <mergeCell ref="M1100:M1101"/>
    <mergeCell ref="N1100:N1101"/>
    <mergeCell ref="O1100:P1100"/>
    <mergeCell ref="W950:Y950"/>
    <mergeCell ref="R956:T956"/>
    <mergeCell ref="R957:T957"/>
    <mergeCell ref="R958:T958"/>
    <mergeCell ref="R959:T959"/>
    <mergeCell ref="R955:T955"/>
    <mergeCell ref="R960:T960"/>
    <mergeCell ref="R961:T961"/>
    <mergeCell ref="W980:Y980"/>
    <mergeCell ref="R986:T986"/>
    <mergeCell ref="R987:T987"/>
    <mergeCell ref="R985:T985"/>
    <mergeCell ref="R984:T984"/>
    <mergeCell ref="R962:T962"/>
    <mergeCell ref="B966:T966"/>
    <mergeCell ref="R983:T983"/>
    <mergeCell ref="R907:S909"/>
    <mergeCell ref="T907:T909"/>
    <mergeCell ref="R910:T911"/>
    <mergeCell ref="R937:S939"/>
    <mergeCell ref="T937:T939"/>
    <mergeCell ref="R926:T926"/>
    <mergeCell ref="R927:T927"/>
    <mergeCell ref="R929:T929"/>
    <mergeCell ref="R930:T930"/>
    <mergeCell ref="R940:T941"/>
    <mergeCell ref="R967:S969"/>
    <mergeCell ref="T967:T969"/>
    <mergeCell ref="R970:T971"/>
    <mergeCell ref="R932:T932"/>
    <mergeCell ref="B936:T936"/>
    <mergeCell ref="B937:B946"/>
    <mergeCell ref="C937:K937"/>
    <mergeCell ref="L937:L939"/>
    <mergeCell ref="M937:Q938"/>
    <mergeCell ref="C938:E938"/>
    <mergeCell ref="G938:H938"/>
    <mergeCell ref="I938:K938"/>
    <mergeCell ref="C939:D939"/>
    <mergeCell ref="M939:P939"/>
    <mergeCell ref="L940:L942"/>
    <mergeCell ref="M940:Q940"/>
    <mergeCell ref="M941:N941"/>
    <mergeCell ref="P941:Q941"/>
    <mergeCell ref="M942:N942"/>
    <mergeCell ref="P942:Q942"/>
    <mergeCell ref="L943:L945"/>
    <mergeCell ref="M943:Q943"/>
    <mergeCell ref="M944:N944"/>
    <mergeCell ref="P944:Q944"/>
    <mergeCell ref="M945:N945"/>
    <mergeCell ref="P945:Q945"/>
    <mergeCell ref="C946:G946"/>
    <mergeCell ref="H946:J946"/>
    <mergeCell ref="L946:Q946"/>
    <mergeCell ref="B949:D949"/>
    <mergeCell ref="B950:B951"/>
    <mergeCell ref="H950:H951"/>
    <mergeCell ref="I950:I951"/>
    <mergeCell ref="J950:J951"/>
    <mergeCell ref="K950:K951"/>
    <mergeCell ref="L950:L951"/>
    <mergeCell ref="M950:M951"/>
    <mergeCell ref="N950:N951"/>
    <mergeCell ref="W860:Y860"/>
    <mergeCell ref="R866:T866"/>
    <mergeCell ref="R867:T867"/>
    <mergeCell ref="R868:T868"/>
    <mergeCell ref="R869:T869"/>
    <mergeCell ref="R865:T865"/>
    <mergeCell ref="W890:Y890"/>
    <mergeCell ref="R896:T896"/>
    <mergeCell ref="R897:T897"/>
    <mergeCell ref="R895:T895"/>
    <mergeCell ref="R894:T894"/>
    <mergeCell ref="R893:T893"/>
    <mergeCell ref="R890:T891"/>
    <mergeCell ref="R787:S789"/>
    <mergeCell ref="T787:T789"/>
    <mergeCell ref="R790:T791"/>
    <mergeCell ref="R817:S819"/>
    <mergeCell ref="T817:T819"/>
    <mergeCell ref="R808:T808"/>
    <mergeCell ref="R809:T809"/>
    <mergeCell ref="R810:T810"/>
    <mergeCell ref="R811:T811"/>
    <mergeCell ref="R847:S849"/>
    <mergeCell ref="T847:T849"/>
    <mergeCell ref="R850:T851"/>
    <mergeCell ref="R877:S879"/>
    <mergeCell ref="T877:T879"/>
    <mergeCell ref="R870:T870"/>
    <mergeCell ref="R871:T871"/>
    <mergeCell ref="R872:T872"/>
    <mergeCell ref="B876:T876"/>
    <mergeCell ref="B877:B886"/>
    <mergeCell ref="R880:T881"/>
    <mergeCell ref="B859:D859"/>
    <mergeCell ref="B860:B861"/>
    <mergeCell ref="H860:H861"/>
    <mergeCell ref="I860:I861"/>
    <mergeCell ref="J860:J861"/>
    <mergeCell ref="K860:K861"/>
    <mergeCell ref="L860:L861"/>
    <mergeCell ref="L880:L882"/>
    <mergeCell ref="M860:M861"/>
    <mergeCell ref="N860:N861"/>
    <mergeCell ref="O860:P860"/>
    <mergeCell ref="R860:T861"/>
    <mergeCell ref="R863:T863"/>
    <mergeCell ref="R864:T864"/>
    <mergeCell ref="M880:Q880"/>
    <mergeCell ref="M881:N881"/>
    <mergeCell ref="P881:Q881"/>
    <mergeCell ref="C877:K877"/>
    <mergeCell ref="L877:L879"/>
    <mergeCell ref="M877:Q878"/>
    <mergeCell ref="C878:E878"/>
    <mergeCell ref="G878:H878"/>
    <mergeCell ref="R803:T803"/>
    <mergeCell ref="R812:T812"/>
    <mergeCell ref="B816:T816"/>
    <mergeCell ref="C879:D879"/>
    <mergeCell ref="M879:P879"/>
    <mergeCell ref="M882:N882"/>
    <mergeCell ref="P882:Q882"/>
    <mergeCell ref="P884:Q884"/>
    <mergeCell ref="M885:N885"/>
    <mergeCell ref="R721:T721"/>
    <mergeCell ref="R745:T745"/>
    <mergeCell ref="R743:T743"/>
    <mergeCell ref="R744:T744"/>
    <mergeCell ref="R748:T748"/>
    <mergeCell ref="W770:Y770"/>
    <mergeCell ref="R697:S699"/>
    <mergeCell ref="T697:T699"/>
    <mergeCell ref="R690:T690"/>
    <mergeCell ref="R691:T691"/>
    <mergeCell ref="R692:T692"/>
    <mergeCell ref="B696:T696"/>
    <mergeCell ref="B697:B706"/>
    <mergeCell ref="R700:T701"/>
    <mergeCell ref="R727:S729"/>
    <mergeCell ref="T727:T729"/>
    <mergeCell ref="R730:T731"/>
    <mergeCell ref="R757:S759"/>
    <mergeCell ref="T757:T759"/>
    <mergeCell ref="R746:T746"/>
    <mergeCell ref="R747:T747"/>
    <mergeCell ref="R749:T749"/>
    <mergeCell ref="R750:T750"/>
    <mergeCell ref="R760:T761"/>
    <mergeCell ref="R752:T752"/>
    <mergeCell ref="B756:T756"/>
    <mergeCell ref="B757:B766"/>
    <mergeCell ref="C757:K757"/>
    <mergeCell ref="L757:L759"/>
    <mergeCell ref="M757:Q758"/>
    <mergeCell ref="C758:E758"/>
    <mergeCell ref="G758:H758"/>
    <mergeCell ref="I758:K758"/>
    <mergeCell ref="C759:D759"/>
    <mergeCell ref="M759:P759"/>
    <mergeCell ref="L760:L762"/>
    <mergeCell ref="M760:Q760"/>
    <mergeCell ref="M761:N761"/>
    <mergeCell ref="P761:Q761"/>
    <mergeCell ref="M762:N762"/>
    <mergeCell ref="P762:Q762"/>
    <mergeCell ref="L763:L765"/>
    <mergeCell ref="M763:Q763"/>
    <mergeCell ref="M764:N764"/>
    <mergeCell ref="P764:Q764"/>
    <mergeCell ref="M765:N765"/>
    <mergeCell ref="P765:Q765"/>
    <mergeCell ref="C766:G766"/>
    <mergeCell ref="H766:J766"/>
    <mergeCell ref="L766:Q766"/>
    <mergeCell ref="B769:D769"/>
    <mergeCell ref="B770:B771"/>
    <mergeCell ref="H770:H771"/>
    <mergeCell ref="I770:I771"/>
    <mergeCell ref="J770:J771"/>
    <mergeCell ref="K770:K771"/>
    <mergeCell ref="L770:L771"/>
    <mergeCell ref="M770:M771"/>
    <mergeCell ref="N770:N771"/>
    <mergeCell ref="O770:P770"/>
    <mergeCell ref="R770:T771"/>
    <mergeCell ref="B709:D709"/>
    <mergeCell ref="B710:B711"/>
    <mergeCell ref="H710:H711"/>
    <mergeCell ref="R564:T564"/>
    <mergeCell ref="R547:S549"/>
    <mergeCell ref="T547:T549"/>
    <mergeCell ref="R550:T551"/>
    <mergeCell ref="W590:Y590"/>
    <mergeCell ref="R596:T596"/>
    <mergeCell ref="R597:T597"/>
    <mergeCell ref="R598:T598"/>
    <mergeCell ref="R599:T599"/>
    <mergeCell ref="R595:T595"/>
    <mergeCell ref="R594:T594"/>
    <mergeCell ref="R600:T600"/>
    <mergeCell ref="R601:T601"/>
    <mergeCell ref="W620:Y620"/>
    <mergeCell ref="R626:T626"/>
    <mergeCell ref="R627:T627"/>
    <mergeCell ref="R625:T625"/>
    <mergeCell ref="R624:T624"/>
    <mergeCell ref="R602:T602"/>
    <mergeCell ref="B606:T606"/>
    <mergeCell ref="R623:T623"/>
    <mergeCell ref="W650:Y650"/>
    <mergeCell ref="R632:T632"/>
    <mergeCell ref="B636:T636"/>
    <mergeCell ref="B637:B646"/>
    <mergeCell ref="C637:K637"/>
    <mergeCell ref="M650:M651"/>
    <mergeCell ref="N650:N651"/>
    <mergeCell ref="O650:P650"/>
    <mergeCell ref="R650:T651"/>
    <mergeCell ref="K650:K651"/>
    <mergeCell ref="R656:T656"/>
    <mergeCell ref="R657:T657"/>
    <mergeCell ref="R637:S639"/>
    <mergeCell ref="T637:T639"/>
    <mergeCell ref="R628:T628"/>
    <mergeCell ref="R629:T629"/>
    <mergeCell ref="R630:T630"/>
    <mergeCell ref="R631:T631"/>
    <mergeCell ref="R654:T654"/>
    <mergeCell ref="C646:G646"/>
    <mergeCell ref="H646:J646"/>
    <mergeCell ref="L646:Q646"/>
    <mergeCell ref="B649:D649"/>
    <mergeCell ref="B650:B651"/>
    <mergeCell ref="H650:H651"/>
    <mergeCell ref="I650:I651"/>
    <mergeCell ref="J650:J651"/>
    <mergeCell ref="R655:T655"/>
    <mergeCell ref="B619:D619"/>
    <mergeCell ref="B620:B621"/>
    <mergeCell ref="H620:H621"/>
    <mergeCell ref="I620:I621"/>
    <mergeCell ref="J620:J621"/>
    <mergeCell ref="K620:K621"/>
    <mergeCell ref="R640:T641"/>
    <mergeCell ref="L637:L639"/>
    <mergeCell ref="M637:Q638"/>
    <mergeCell ref="C638:E638"/>
    <mergeCell ref="G638:H638"/>
    <mergeCell ref="M620:M621"/>
    <mergeCell ref="N620:N621"/>
    <mergeCell ref="O620:P620"/>
    <mergeCell ref="R620:T621"/>
    <mergeCell ref="R452:T452"/>
    <mergeCell ref="B456:T456"/>
    <mergeCell ref="B457:B466"/>
    <mergeCell ref="C457:K457"/>
    <mergeCell ref="M470:M471"/>
    <mergeCell ref="N470:N471"/>
    <mergeCell ref="O470:P470"/>
    <mergeCell ref="R448:T448"/>
    <mergeCell ref="R470:T471"/>
    <mergeCell ref="R476:T476"/>
    <mergeCell ref="R477:T477"/>
    <mergeCell ref="R478:T478"/>
    <mergeCell ref="R479:T479"/>
    <mergeCell ref="R480:T480"/>
    <mergeCell ref="R475:T475"/>
    <mergeCell ref="R473:T473"/>
    <mergeCell ref="R474:T474"/>
    <mergeCell ref="R481:T481"/>
    <mergeCell ref="W500:Y500"/>
    <mergeCell ref="R506:T506"/>
    <mergeCell ref="R507:T507"/>
    <mergeCell ref="R508:T508"/>
    <mergeCell ref="T487:T489"/>
    <mergeCell ref="R490:T491"/>
    <mergeCell ref="R482:T482"/>
    <mergeCell ref="B486:T486"/>
    <mergeCell ref="R503:T503"/>
    <mergeCell ref="R509:T509"/>
    <mergeCell ref="R505:T505"/>
    <mergeCell ref="W530:Y530"/>
    <mergeCell ref="R536:T536"/>
    <mergeCell ref="R537:T537"/>
    <mergeCell ref="R535:T535"/>
    <mergeCell ref="R534:T534"/>
    <mergeCell ref="R533:T533"/>
    <mergeCell ref="R530:T531"/>
    <mergeCell ref="R517:S519"/>
    <mergeCell ref="P524:Q524"/>
    <mergeCell ref="R504:T504"/>
    <mergeCell ref="P525:Q525"/>
    <mergeCell ref="C518:E518"/>
    <mergeCell ref="G518:H518"/>
    <mergeCell ref="I518:K518"/>
    <mergeCell ref="C519:D519"/>
    <mergeCell ref="M519:P519"/>
    <mergeCell ref="M520:Q520"/>
    <mergeCell ref="L520:L522"/>
    <mergeCell ref="L530:L531"/>
    <mergeCell ref="M517:Q518"/>
    <mergeCell ref="H526:J526"/>
    <mergeCell ref="L526:Q526"/>
    <mergeCell ref="L523:L525"/>
    <mergeCell ref="M523:Q523"/>
    <mergeCell ref="M524:N524"/>
    <mergeCell ref="P521:Q521"/>
    <mergeCell ref="M522:N522"/>
    <mergeCell ref="P522:Q522"/>
    <mergeCell ref="B529:D529"/>
    <mergeCell ref="B530:B531"/>
    <mergeCell ref="H530:H531"/>
    <mergeCell ref="I530:I531"/>
    <mergeCell ref="J530:J531"/>
    <mergeCell ref="K530:K531"/>
    <mergeCell ref="U470:U471"/>
    <mergeCell ref="W440:Y440"/>
    <mergeCell ref="R446:T446"/>
    <mergeCell ref="R447:T447"/>
    <mergeCell ref="R445:T445"/>
    <mergeCell ref="R444:T444"/>
    <mergeCell ref="AD80:AF80"/>
    <mergeCell ref="AD110:AF110"/>
    <mergeCell ref="AD140:AF140"/>
    <mergeCell ref="AD170:AF170"/>
    <mergeCell ref="AD200:AF200"/>
    <mergeCell ref="L440:L441"/>
    <mergeCell ref="M435:N435"/>
    <mergeCell ref="P435:Q435"/>
    <mergeCell ref="M440:M441"/>
    <mergeCell ref="N440:N441"/>
    <mergeCell ref="O440:P440"/>
    <mergeCell ref="C436:G436"/>
    <mergeCell ref="W290:Y290"/>
    <mergeCell ref="R272:T272"/>
    <mergeCell ref="B276:T276"/>
    <mergeCell ref="B277:B286"/>
    <mergeCell ref="C277:K277"/>
    <mergeCell ref="R280:T281"/>
    <mergeCell ref="R290:T291"/>
    <mergeCell ref="P282:Q282"/>
    <mergeCell ref="L283:L285"/>
    <mergeCell ref="M290:M291"/>
    <mergeCell ref="R296:T296"/>
    <mergeCell ref="R297:T297"/>
    <mergeCell ref="R298:T298"/>
    <mergeCell ref="R299:T299"/>
    <mergeCell ref="R300:T300"/>
    <mergeCell ref="R301:T301"/>
    <mergeCell ref="W320:Y320"/>
    <mergeCell ref="R326:T326"/>
    <mergeCell ref="R327:T327"/>
    <mergeCell ref="R328:T328"/>
    <mergeCell ref="R329:T329"/>
    <mergeCell ref="R325:T325"/>
    <mergeCell ref="R320:T321"/>
    <mergeCell ref="R323:T323"/>
    <mergeCell ref="R324:T324"/>
    <mergeCell ref="R330:T330"/>
    <mergeCell ref="R331:T331"/>
    <mergeCell ref="U170:U171"/>
    <mergeCell ref="U200:U201"/>
    <mergeCell ref="U230:U231"/>
    <mergeCell ref="U260:U261"/>
    <mergeCell ref="U290:U291"/>
    <mergeCell ref="U320:U321"/>
    <mergeCell ref="U350:U351"/>
    <mergeCell ref="U380:U381"/>
    <mergeCell ref="U410:U411"/>
    <mergeCell ref="U440:U441"/>
    <mergeCell ref="W170:Y170"/>
    <mergeCell ref="R176:T176"/>
    <mergeCell ref="R177:T177"/>
    <mergeCell ref="R170:T171"/>
    <mergeCell ref="R173:T173"/>
    <mergeCell ref="R174:T174"/>
    <mergeCell ref="R175:T175"/>
    <mergeCell ref="B187:B196"/>
    <mergeCell ref="C187:K187"/>
    <mergeCell ref="L187:L189"/>
    <mergeCell ref="M187:Q188"/>
    <mergeCell ref="C188:E188"/>
    <mergeCell ref="G188:H188"/>
    <mergeCell ref="I188:K188"/>
    <mergeCell ref="C189:D189"/>
    <mergeCell ref="R356:T356"/>
    <mergeCell ref="R357:T357"/>
    <mergeCell ref="R355:T355"/>
    <mergeCell ref="R354:T354"/>
    <mergeCell ref="R332:T332"/>
    <mergeCell ref="B336:T336"/>
    <mergeCell ref="R350:T351"/>
    <mergeCell ref="R157:S159"/>
    <mergeCell ref="R152:T152"/>
    <mergeCell ref="R178:T178"/>
    <mergeCell ref="R179:T179"/>
    <mergeCell ref="R180:T180"/>
    <mergeCell ref="R181:T181"/>
    <mergeCell ref="W200:Y200"/>
    <mergeCell ref="R182:T182"/>
    <mergeCell ref="B186:T186"/>
    <mergeCell ref="L200:L201"/>
    <mergeCell ref="M200:M201"/>
    <mergeCell ref="R190:T191"/>
    <mergeCell ref="R206:T206"/>
    <mergeCell ref="R207:T207"/>
    <mergeCell ref="R208:T208"/>
    <mergeCell ref="R209:T209"/>
    <mergeCell ref="R210:T210"/>
    <mergeCell ref="R211:T211"/>
    <mergeCell ref="W230:Y230"/>
    <mergeCell ref="R236:T236"/>
    <mergeCell ref="R237:T237"/>
    <mergeCell ref="R238:T238"/>
    <mergeCell ref="R239:T239"/>
    <mergeCell ref="R235:T235"/>
    <mergeCell ref="W260:Y260"/>
    <mergeCell ref="R266:T266"/>
    <mergeCell ref="R267:T267"/>
    <mergeCell ref="R265:T265"/>
    <mergeCell ref="R264:T264"/>
    <mergeCell ref="R242:T242"/>
    <mergeCell ref="B246:T246"/>
    <mergeCell ref="R268:T268"/>
    <mergeCell ref="R269:T269"/>
    <mergeCell ref="M255:N255"/>
    <mergeCell ref="P255:Q255"/>
    <mergeCell ref="C256:G256"/>
    <mergeCell ref="H256:J256"/>
    <mergeCell ref="R204:T204"/>
    <mergeCell ref="R205:T205"/>
    <mergeCell ref="R212:T212"/>
    <mergeCell ref="R220:T221"/>
    <mergeCell ref="B216:T216"/>
    <mergeCell ref="O320:P320"/>
    <mergeCell ref="M340:Q340"/>
    <mergeCell ref="M341:N341"/>
    <mergeCell ref="P341:Q341"/>
    <mergeCell ref="C346:G346"/>
    <mergeCell ref="H346:J346"/>
    <mergeCell ref="L346:Q346"/>
    <mergeCell ref="L343:L345"/>
    <mergeCell ref="M343:Q343"/>
    <mergeCell ref="C337:K337"/>
    <mergeCell ref="W80:Y80"/>
    <mergeCell ref="R86:T86"/>
    <mergeCell ref="R87:T87"/>
    <mergeCell ref="R83:T83"/>
    <mergeCell ref="R84:T84"/>
    <mergeCell ref="R85:T85"/>
    <mergeCell ref="U80:U81"/>
    <mergeCell ref="W110:Y110"/>
    <mergeCell ref="R92:T92"/>
    <mergeCell ref="R116:T116"/>
    <mergeCell ref="R117:T117"/>
    <mergeCell ref="R115:T115"/>
    <mergeCell ref="R114:T114"/>
    <mergeCell ref="T97:T99"/>
    <mergeCell ref="R100:T101"/>
    <mergeCell ref="R97:S99"/>
    <mergeCell ref="W140:Y140"/>
    <mergeCell ref="R122:T122"/>
    <mergeCell ref="B126:T126"/>
    <mergeCell ref="B127:B136"/>
    <mergeCell ref="C127:K127"/>
    <mergeCell ref="C128:E128"/>
    <mergeCell ref="G128:H128"/>
    <mergeCell ref="I128:K128"/>
    <mergeCell ref="C129:D129"/>
    <mergeCell ref="M129:P129"/>
    <mergeCell ref="R146:T146"/>
    <mergeCell ref="R145:T145"/>
    <mergeCell ref="W51:Y51"/>
    <mergeCell ref="P135:Q135"/>
    <mergeCell ref="L130:L132"/>
    <mergeCell ref="M130:Q130"/>
    <mergeCell ref="M131:N131"/>
    <mergeCell ref="P131:Q131"/>
    <mergeCell ref="M132:N132"/>
    <mergeCell ref="P132:Q132"/>
    <mergeCell ref="M110:M111"/>
    <mergeCell ref="N110:N111"/>
    <mergeCell ref="O110:P110"/>
    <mergeCell ref="R110:T111"/>
    <mergeCell ref="R113:T113"/>
    <mergeCell ref="L127:L129"/>
    <mergeCell ref="M127:Q128"/>
    <mergeCell ref="R118:T118"/>
    <mergeCell ref="R119:T119"/>
    <mergeCell ref="R120:T120"/>
    <mergeCell ref="C106:G106"/>
    <mergeCell ref="H106:J106"/>
    <mergeCell ref="L106:Q106"/>
    <mergeCell ref="B109:D109"/>
    <mergeCell ref="B110:B111"/>
    <mergeCell ref="H110:H111"/>
    <mergeCell ref="I110:I111"/>
    <mergeCell ref="J110:J111"/>
    <mergeCell ref="K110:K111"/>
    <mergeCell ref="L110:L111"/>
    <mergeCell ref="U51:U52"/>
    <mergeCell ref="M140:M141"/>
    <mergeCell ref="R90:T90"/>
    <mergeCell ref="R91:T91"/>
    <mergeCell ref="H136:J136"/>
    <mergeCell ref="L136:Q136"/>
    <mergeCell ref="B139:D139"/>
    <mergeCell ref="B140:B141"/>
    <mergeCell ref="R2993:T2993"/>
    <mergeCell ref="R2994:T2994"/>
    <mergeCell ref="C2986:G2986"/>
    <mergeCell ref="H2986:J2986"/>
    <mergeCell ref="L2986:Q2986"/>
    <mergeCell ref="B2989:D2989"/>
    <mergeCell ref="B2990:B2991"/>
    <mergeCell ref="H2990:H2991"/>
    <mergeCell ref="I2990:I2991"/>
    <mergeCell ref="J2990:J2991"/>
    <mergeCell ref="R3002:T3002"/>
    <mergeCell ref="B3006:T3006"/>
    <mergeCell ref="B3007:B3016"/>
    <mergeCell ref="C3007:K3007"/>
    <mergeCell ref="L3007:L3009"/>
    <mergeCell ref="M3007:Q3008"/>
    <mergeCell ref="C3008:E3008"/>
    <mergeCell ref="G3008:H3008"/>
    <mergeCell ref="I3008:K3008"/>
    <mergeCell ref="P3015:Q3015"/>
    <mergeCell ref="C3009:D3009"/>
    <mergeCell ref="M3009:P3009"/>
    <mergeCell ref="L3010:L3012"/>
    <mergeCell ref="M3010:Q3010"/>
    <mergeCell ref="M3011:N3011"/>
    <mergeCell ref="P3011:Q3011"/>
    <mergeCell ref="M3012:N3012"/>
    <mergeCell ref="P3012:Q3012"/>
    <mergeCell ref="R420:T420"/>
    <mergeCell ref="R421:T421"/>
    <mergeCell ref="C3016:G3016"/>
    <mergeCell ref="H3016:J3016"/>
    <mergeCell ref="L3016:Q3016"/>
    <mergeCell ref="L3013:L3015"/>
    <mergeCell ref="M3013:Q3013"/>
    <mergeCell ref="M3014:N3014"/>
    <mergeCell ref="P3014:Q3014"/>
    <mergeCell ref="M3015:N3015"/>
    <mergeCell ref="R427:S429"/>
    <mergeCell ref="T427:T429"/>
    <mergeCell ref="R430:T431"/>
    <mergeCell ref="R457:S459"/>
    <mergeCell ref="T457:T459"/>
    <mergeCell ref="R443:T443"/>
    <mergeCell ref="R440:T441"/>
    <mergeCell ref="R449:T449"/>
    <mergeCell ref="R450:T450"/>
    <mergeCell ref="R451:T451"/>
    <mergeCell ref="R542:T542"/>
    <mergeCell ref="B546:T546"/>
    <mergeCell ref="B547:B556"/>
    <mergeCell ref="C547:K547"/>
    <mergeCell ref="M560:M561"/>
    <mergeCell ref="N560:N561"/>
    <mergeCell ref="O560:P560"/>
    <mergeCell ref="R560:T561"/>
    <mergeCell ref="C556:G556"/>
    <mergeCell ref="H556:J556"/>
    <mergeCell ref="R538:T538"/>
    <mergeCell ref="R539:T539"/>
    <mergeCell ref="R540:T540"/>
    <mergeCell ref="R541:T541"/>
    <mergeCell ref="R565:T565"/>
    <mergeCell ref="R563:T563"/>
    <mergeCell ref="R2980:T2981"/>
    <mergeCell ref="L2977:L2979"/>
    <mergeCell ref="M2977:Q2978"/>
    <mergeCell ref="C2978:E2978"/>
    <mergeCell ref="G2978:H2978"/>
    <mergeCell ref="M2960:M2961"/>
    <mergeCell ref="N2960:N2961"/>
    <mergeCell ref="O2960:P2960"/>
    <mergeCell ref="R2960:T2961"/>
    <mergeCell ref="L2960:L2961"/>
    <mergeCell ref="I2978:K2978"/>
    <mergeCell ref="C2979:D2979"/>
    <mergeCell ref="M2979:P2979"/>
    <mergeCell ref="L2980:L2982"/>
    <mergeCell ref="M2980:Q2980"/>
    <mergeCell ref="M2981:N2981"/>
    <mergeCell ref="P2981:Q2981"/>
    <mergeCell ref="M2982:N2982"/>
    <mergeCell ref="L2990:L2991"/>
    <mergeCell ref="P2982:Q2982"/>
    <mergeCell ref="L2983:L2985"/>
    <mergeCell ref="M2983:Q2983"/>
    <mergeCell ref="M2984:N2984"/>
    <mergeCell ref="P2984:Q2984"/>
    <mergeCell ref="M2985:N2985"/>
    <mergeCell ref="P2985:Q2985"/>
    <mergeCell ref="O2990:P2990"/>
    <mergeCell ref="L2923:L2925"/>
    <mergeCell ref="M2923:Q2923"/>
    <mergeCell ref="M2924:N2924"/>
    <mergeCell ref="P2924:Q2924"/>
    <mergeCell ref="M2925:N2925"/>
    <mergeCell ref="P2925:Q2925"/>
    <mergeCell ref="C2926:G2926"/>
    <mergeCell ref="H2926:J2926"/>
    <mergeCell ref="L2926:Q2926"/>
    <mergeCell ref="B2929:D2929"/>
    <mergeCell ref="B2930:B2931"/>
    <mergeCell ref="H2930:H2931"/>
    <mergeCell ref="I2930:I2931"/>
    <mergeCell ref="J2930:J2931"/>
    <mergeCell ref="K2930:K2931"/>
    <mergeCell ref="L2930:L2931"/>
    <mergeCell ref="M2930:M2931"/>
    <mergeCell ref="N2930:N2931"/>
    <mergeCell ref="O2930:P2930"/>
    <mergeCell ref="R2930:T2931"/>
    <mergeCell ref="R2933:T2933"/>
    <mergeCell ref="B2947:B2956"/>
    <mergeCell ref="C2947:K2947"/>
    <mergeCell ref="L2947:L2949"/>
    <mergeCell ref="M2947:Q2948"/>
    <mergeCell ref="C2948:E2948"/>
    <mergeCell ref="G2948:H2948"/>
    <mergeCell ref="I2948:K2948"/>
    <mergeCell ref="C2949:D2949"/>
    <mergeCell ref="M2949:P2949"/>
    <mergeCell ref="L2950:L2952"/>
    <mergeCell ref="M2950:Q2950"/>
    <mergeCell ref="M2951:N2951"/>
    <mergeCell ref="P2951:Q2951"/>
    <mergeCell ref="M2952:N2952"/>
    <mergeCell ref="P2952:Q2952"/>
    <mergeCell ref="P2954:Q2954"/>
    <mergeCell ref="B2869:D2869"/>
    <mergeCell ref="B2870:B2871"/>
    <mergeCell ref="H2870:H2871"/>
    <mergeCell ref="I2870:I2871"/>
    <mergeCell ref="J2870:J2871"/>
    <mergeCell ref="K2870:K2871"/>
    <mergeCell ref="L2870:L2871"/>
    <mergeCell ref="L2887:L2889"/>
    <mergeCell ref="M2887:Q2888"/>
    <mergeCell ref="C2888:E2888"/>
    <mergeCell ref="G2888:H2888"/>
    <mergeCell ref="M2870:M2871"/>
    <mergeCell ref="N2870:N2871"/>
    <mergeCell ref="O2870:P2870"/>
    <mergeCell ref="I2888:K2888"/>
    <mergeCell ref="C2889:D2889"/>
    <mergeCell ref="M2889:P2889"/>
    <mergeCell ref="M2894:N2894"/>
    <mergeCell ref="P2894:Q2894"/>
    <mergeCell ref="M2895:N2895"/>
    <mergeCell ref="P2895:Q2895"/>
    <mergeCell ref="L2890:L2892"/>
    <mergeCell ref="M2890:Q2890"/>
    <mergeCell ref="M2891:N2891"/>
    <mergeCell ref="P2891:Q2891"/>
    <mergeCell ref="M2892:N2892"/>
    <mergeCell ref="P2892:Q2892"/>
    <mergeCell ref="L2920:L2922"/>
    <mergeCell ref="H2896:J2896"/>
    <mergeCell ref="L2896:Q2896"/>
    <mergeCell ref="B2899:D2899"/>
    <mergeCell ref="B2900:B2901"/>
    <mergeCell ref="H2900:H2901"/>
    <mergeCell ref="I2900:I2901"/>
    <mergeCell ref="J2900:J2901"/>
    <mergeCell ref="K2900:K2901"/>
    <mergeCell ref="L2900:L2901"/>
    <mergeCell ref="C2917:K2917"/>
    <mergeCell ref="L2917:L2919"/>
    <mergeCell ref="M2917:Q2918"/>
    <mergeCell ref="C2918:E2918"/>
    <mergeCell ref="G2918:H2918"/>
    <mergeCell ref="I2918:K2918"/>
    <mergeCell ref="C2919:D2919"/>
    <mergeCell ref="M2919:P2919"/>
    <mergeCell ref="B2916:T2916"/>
    <mergeCell ref="M2920:Q2920"/>
    <mergeCell ref="M2921:N2921"/>
    <mergeCell ref="P2921:Q2921"/>
    <mergeCell ref="M2922:N2922"/>
    <mergeCell ref="P2922:Q2922"/>
    <mergeCell ref="L2893:L2895"/>
    <mergeCell ref="M2893:Q2893"/>
    <mergeCell ref="M2900:M2901"/>
    <mergeCell ref="N2900:N2901"/>
    <mergeCell ref="O2900:P2900"/>
    <mergeCell ref="R2900:T2901"/>
    <mergeCell ref="C2896:G2896"/>
    <mergeCell ref="R2876:T2876"/>
    <mergeCell ref="R2877:T2877"/>
    <mergeCell ref="R2875:T2875"/>
    <mergeCell ref="R2874:T2874"/>
    <mergeCell ref="R2873:T2873"/>
    <mergeCell ref="R2870:T2871"/>
    <mergeCell ref="M2829:P2829"/>
    <mergeCell ref="L2830:L2832"/>
    <mergeCell ref="M2830:Q2830"/>
    <mergeCell ref="M2831:N2831"/>
    <mergeCell ref="P2831:Q2831"/>
    <mergeCell ref="M2832:N2832"/>
    <mergeCell ref="P2832:Q2832"/>
    <mergeCell ref="L2833:L2835"/>
    <mergeCell ref="M2833:Q2833"/>
    <mergeCell ref="M2834:N2834"/>
    <mergeCell ref="P2834:Q2834"/>
    <mergeCell ref="M2835:N2835"/>
    <mergeCell ref="P2835:Q2835"/>
    <mergeCell ref="C2836:G2836"/>
    <mergeCell ref="H2836:J2836"/>
    <mergeCell ref="L2836:Q2836"/>
    <mergeCell ref="R2827:S2829"/>
    <mergeCell ref="T2827:T2829"/>
    <mergeCell ref="R2830:T2831"/>
    <mergeCell ref="R2753:T2753"/>
    <mergeCell ref="R2754:T2754"/>
    <mergeCell ref="C2768:E2768"/>
    <mergeCell ref="G2768:H2768"/>
    <mergeCell ref="I2768:K2768"/>
    <mergeCell ref="C2769:D2769"/>
    <mergeCell ref="M2769:P2769"/>
    <mergeCell ref="L2770:L2772"/>
    <mergeCell ref="M2770:Q2770"/>
    <mergeCell ref="M2771:N2771"/>
    <mergeCell ref="P2771:Q2771"/>
    <mergeCell ref="M2772:N2772"/>
    <mergeCell ref="P2772:Q2772"/>
    <mergeCell ref="P2774:Q2774"/>
    <mergeCell ref="P2775:Q2775"/>
    <mergeCell ref="C2776:G2776"/>
    <mergeCell ref="H2776:J2776"/>
    <mergeCell ref="L2776:Q2776"/>
    <mergeCell ref="L2773:L2775"/>
    <mergeCell ref="M2773:Q2773"/>
    <mergeCell ref="M2774:N2774"/>
    <mergeCell ref="B2780:B2781"/>
    <mergeCell ref="H2780:H2781"/>
    <mergeCell ref="I2780:I2781"/>
    <mergeCell ref="J2780:J2781"/>
    <mergeCell ref="K2780:K2781"/>
    <mergeCell ref="M2775:N2775"/>
    <mergeCell ref="B2767:B2776"/>
    <mergeCell ref="C2767:K2767"/>
    <mergeCell ref="L2767:L2769"/>
    <mergeCell ref="M2767:Q2768"/>
    <mergeCell ref="R2800:T2801"/>
    <mergeCell ref="L2797:L2799"/>
    <mergeCell ref="M2797:Q2798"/>
    <mergeCell ref="C2798:E2798"/>
    <mergeCell ref="G2798:H2798"/>
    <mergeCell ref="M2780:M2781"/>
    <mergeCell ref="N2780:N2781"/>
    <mergeCell ref="O2780:P2780"/>
    <mergeCell ref="R2780:T2781"/>
    <mergeCell ref="L2780:L2781"/>
    <mergeCell ref="I2798:K2798"/>
    <mergeCell ref="C2799:D2799"/>
    <mergeCell ref="M2799:P2799"/>
    <mergeCell ref="L2800:L2802"/>
    <mergeCell ref="M2800:Q2800"/>
    <mergeCell ref="M2801:N2801"/>
    <mergeCell ref="P2801:Q2801"/>
    <mergeCell ref="M2802:N2802"/>
    <mergeCell ref="R2770:T2771"/>
    <mergeCell ref="R2797:S2799"/>
    <mergeCell ref="T2797:T2799"/>
    <mergeCell ref="R2788:T2788"/>
    <mergeCell ref="R2789:T2789"/>
    <mergeCell ref="R2790:T2790"/>
    <mergeCell ref="R2791:T2791"/>
    <mergeCell ref="R2783:T2783"/>
    <mergeCell ref="B2736:T2736"/>
    <mergeCell ref="B2737:B2746"/>
    <mergeCell ref="C2737:K2737"/>
    <mergeCell ref="L2737:L2739"/>
    <mergeCell ref="M2737:Q2738"/>
    <mergeCell ref="C2738:E2738"/>
    <mergeCell ref="G2738:H2738"/>
    <mergeCell ref="I2738:K2738"/>
    <mergeCell ref="C2739:D2739"/>
    <mergeCell ref="M2739:P2739"/>
    <mergeCell ref="L2740:L2742"/>
    <mergeCell ref="M2740:Q2740"/>
    <mergeCell ref="M2741:N2741"/>
    <mergeCell ref="P2741:Q2741"/>
    <mergeCell ref="M2742:N2742"/>
    <mergeCell ref="P2742:Q2742"/>
    <mergeCell ref="L2743:L2745"/>
    <mergeCell ref="M2743:Q2743"/>
    <mergeCell ref="M2744:N2744"/>
    <mergeCell ref="P2744:Q2744"/>
    <mergeCell ref="M2745:N2745"/>
    <mergeCell ref="P2745:Q2745"/>
    <mergeCell ref="C2746:G2746"/>
    <mergeCell ref="H2746:J2746"/>
    <mergeCell ref="L2746:Q2746"/>
    <mergeCell ref="B2749:D2749"/>
    <mergeCell ref="B2750:B2751"/>
    <mergeCell ref="H2750:H2751"/>
    <mergeCell ref="I2750:I2751"/>
    <mergeCell ref="J2750:J2751"/>
    <mergeCell ref="K2750:K2751"/>
    <mergeCell ref="L2750:L2751"/>
    <mergeCell ref="M2750:M2751"/>
    <mergeCell ref="N2750:N2751"/>
    <mergeCell ref="O2750:P2750"/>
    <mergeCell ref="R2750:T2751"/>
    <mergeCell ref="R2740:T2741"/>
    <mergeCell ref="N2690:N2691"/>
    <mergeCell ref="O2690:P2690"/>
    <mergeCell ref="I2708:K2708"/>
    <mergeCell ref="C2709:D2709"/>
    <mergeCell ref="M2709:P2709"/>
    <mergeCell ref="L2710:L2712"/>
    <mergeCell ref="M2710:Q2710"/>
    <mergeCell ref="M2711:N2711"/>
    <mergeCell ref="P2711:Q2711"/>
    <mergeCell ref="M2712:N2712"/>
    <mergeCell ref="P2712:Q2712"/>
    <mergeCell ref="L2713:L2715"/>
    <mergeCell ref="M2713:Q2713"/>
    <mergeCell ref="M2714:N2714"/>
    <mergeCell ref="P2714:Q2714"/>
    <mergeCell ref="M2715:N2715"/>
    <mergeCell ref="P2715:Q2715"/>
    <mergeCell ref="H2716:J2716"/>
    <mergeCell ref="L2716:Q2716"/>
    <mergeCell ref="B2719:D2719"/>
    <mergeCell ref="B2720:B2721"/>
    <mergeCell ref="H2720:H2721"/>
    <mergeCell ref="I2720:I2721"/>
    <mergeCell ref="J2720:J2721"/>
    <mergeCell ref="K2720:K2721"/>
    <mergeCell ref="L2720:L2721"/>
    <mergeCell ref="B2659:D2659"/>
    <mergeCell ref="B2660:B2661"/>
    <mergeCell ref="H2660:H2661"/>
    <mergeCell ref="I2660:I2661"/>
    <mergeCell ref="J2660:J2661"/>
    <mergeCell ref="K2660:K2661"/>
    <mergeCell ref="L2660:L2661"/>
    <mergeCell ref="L2680:L2682"/>
    <mergeCell ref="M2660:M2661"/>
    <mergeCell ref="N2660:N2661"/>
    <mergeCell ref="O2660:P2660"/>
    <mergeCell ref="R2660:T2661"/>
    <mergeCell ref="R2663:T2663"/>
    <mergeCell ref="R2664:T2664"/>
    <mergeCell ref="M2680:Q2680"/>
    <mergeCell ref="M2681:N2681"/>
    <mergeCell ref="P2681:Q2681"/>
    <mergeCell ref="C2677:K2677"/>
    <mergeCell ref="L2677:L2679"/>
    <mergeCell ref="M2677:Q2678"/>
    <mergeCell ref="C2678:E2678"/>
    <mergeCell ref="G2678:H2678"/>
    <mergeCell ref="I2678:K2678"/>
    <mergeCell ref="C2679:D2679"/>
    <mergeCell ref="M2679:P2679"/>
    <mergeCell ref="M2682:N2682"/>
    <mergeCell ref="P2682:Q2682"/>
    <mergeCell ref="P2684:Q2684"/>
    <mergeCell ref="M2685:N2685"/>
    <mergeCell ref="P2685:Q2685"/>
    <mergeCell ref="C2686:G2686"/>
    <mergeCell ref="H2686:J2686"/>
    <mergeCell ref="L2686:Q2686"/>
    <mergeCell ref="L2683:L2685"/>
    <mergeCell ref="M2683:Q2683"/>
    <mergeCell ref="M2684:N2684"/>
    <mergeCell ref="L2630:L2631"/>
    <mergeCell ref="P2622:Q2622"/>
    <mergeCell ref="L2623:L2625"/>
    <mergeCell ref="M2623:Q2623"/>
    <mergeCell ref="M2624:N2624"/>
    <mergeCell ref="P2624:Q2624"/>
    <mergeCell ref="M2625:N2625"/>
    <mergeCell ref="P2625:Q2625"/>
    <mergeCell ref="R2633:T2633"/>
    <mergeCell ref="R2634:T2634"/>
    <mergeCell ref="C2626:G2626"/>
    <mergeCell ref="H2626:J2626"/>
    <mergeCell ref="L2626:Q2626"/>
    <mergeCell ref="B2629:D2629"/>
    <mergeCell ref="B2630:B2631"/>
    <mergeCell ref="H2630:H2631"/>
    <mergeCell ref="I2630:I2631"/>
    <mergeCell ref="J2630:J2631"/>
    <mergeCell ref="R2635:T2635"/>
    <mergeCell ref="R2642:T2642"/>
    <mergeCell ref="B2646:T2646"/>
    <mergeCell ref="B2647:B2656"/>
    <mergeCell ref="C2647:K2647"/>
    <mergeCell ref="L2647:L2649"/>
    <mergeCell ref="M2647:Q2648"/>
    <mergeCell ref="C2648:E2648"/>
    <mergeCell ref="G2648:H2648"/>
    <mergeCell ref="I2648:K2648"/>
    <mergeCell ref="C2649:D2649"/>
    <mergeCell ref="M2649:P2649"/>
    <mergeCell ref="L2650:L2652"/>
    <mergeCell ref="M2650:Q2650"/>
    <mergeCell ref="M2651:N2651"/>
    <mergeCell ref="P2651:Q2651"/>
    <mergeCell ref="M2652:N2652"/>
    <mergeCell ref="P2652:Q2652"/>
    <mergeCell ref="L2653:L2655"/>
    <mergeCell ref="M2653:Q2653"/>
    <mergeCell ref="M2654:N2654"/>
    <mergeCell ref="P2654:Q2654"/>
    <mergeCell ref="M2655:N2655"/>
    <mergeCell ref="P2655:Q2655"/>
    <mergeCell ref="C2656:G2656"/>
    <mergeCell ref="H2656:J2656"/>
    <mergeCell ref="L2656:Q2656"/>
    <mergeCell ref="M2592:N2592"/>
    <mergeCell ref="P2592:Q2592"/>
    <mergeCell ref="P2594:Q2594"/>
    <mergeCell ref="M2595:N2595"/>
    <mergeCell ref="P2595:Q2595"/>
    <mergeCell ref="C2596:G2596"/>
    <mergeCell ref="H2596:J2596"/>
    <mergeCell ref="L2596:Q2596"/>
    <mergeCell ref="L2593:L2595"/>
    <mergeCell ref="M2593:Q2593"/>
    <mergeCell ref="M2594:N2594"/>
    <mergeCell ref="B2599:D2599"/>
    <mergeCell ref="B2600:B2601"/>
    <mergeCell ref="H2600:H2601"/>
    <mergeCell ref="I2600:I2601"/>
    <mergeCell ref="J2600:J2601"/>
    <mergeCell ref="K2600:K2601"/>
    <mergeCell ref="R2620:T2621"/>
    <mergeCell ref="L2617:L2619"/>
    <mergeCell ref="M2617:Q2618"/>
    <mergeCell ref="C2618:E2618"/>
    <mergeCell ref="G2618:H2618"/>
    <mergeCell ref="M2600:M2601"/>
    <mergeCell ref="N2600:N2601"/>
    <mergeCell ref="O2600:P2600"/>
    <mergeCell ref="R2600:T2601"/>
    <mergeCell ref="L2600:L2601"/>
    <mergeCell ref="I2618:K2618"/>
    <mergeCell ref="C2619:D2619"/>
    <mergeCell ref="M2619:P2619"/>
    <mergeCell ref="L2620:L2622"/>
    <mergeCell ref="M2620:Q2620"/>
    <mergeCell ref="M2621:N2621"/>
    <mergeCell ref="P2621:Q2621"/>
    <mergeCell ref="M2622:N2622"/>
    <mergeCell ref="R2608:T2608"/>
    <mergeCell ref="R2609:T2609"/>
    <mergeCell ref="R2610:T2610"/>
    <mergeCell ref="R2611:T2611"/>
    <mergeCell ref="R2552:T2552"/>
    <mergeCell ref="B2556:T2556"/>
    <mergeCell ref="B2557:B2566"/>
    <mergeCell ref="C2557:K2557"/>
    <mergeCell ref="L2557:L2559"/>
    <mergeCell ref="M2557:Q2558"/>
    <mergeCell ref="C2558:E2558"/>
    <mergeCell ref="G2558:H2558"/>
    <mergeCell ref="I2558:K2558"/>
    <mergeCell ref="C2559:D2559"/>
    <mergeCell ref="M2559:P2559"/>
    <mergeCell ref="L2560:L2562"/>
    <mergeCell ref="M2560:Q2560"/>
    <mergeCell ref="M2561:N2561"/>
    <mergeCell ref="P2561:Q2561"/>
    <mergeCell ref="M2562:N2562"/>
    <mergeCell ref="P2562:Q2562"/>
    <mergeCell ref="L2563:L2565"/>
    <mergeCell ref="M2563:Q2563"/>
    <mergeCell ref="M2564:N2564"/>
    <mergeCell ref="P2564:Q2564"/>
    <mergeCell ref="M2565:N2565"/>
    <mergeCell ref="P2565:Q2565"/>
    <mergeCell ref="C2566:G2566"/>
    <mergeCell ref="H2566:J2566"/>
    <mergeCell ref="L2566:Q2566"/>
    <mergeCell ref="B2569:D2569"/>
    <mergeCell ref="B2570:B2571"/>
    <mergeCell ref="H2570:H2571"/>
    <mergeCell ref="I2570:I2571"/>
    <mergeCell ref="J2570:J2571"/>
    <mergeCell ref="K2570:K2571"/>
    <mergeCell ref="L2570:L2571"/>
    <mergeCell ref="M2570:M2571"/>
    <mergeCell ref="N2570:N2571"/>
    <mergeCell ref="O2570:P2570"/>
    <mergeCell ref="R2570:T2571"/>
    <mergeCell ref="L2527:L2529"/>
    <mergeCell ref="M2527:Q2528"/>
    <mergeCell ref="C2528:E2528"/>
    <mergeCell ref="G2528:H2528"/>
    <mergeCell ref="M2510:M2511"/>
    <mergeCell ref="N2510:N2511"/>
    <mergeCell ref="O2510:P2510"/>
    <mergeCell ref="I2528:K2528"/>
    <mergeCell ref="C2529:D2529"/>
    <mergeCell ref="M2529:P2529"/>
    <mergeCell ref="L2530:L2532"/>
    <mergeCell ref="M2530:Q2530"/>
    <mergeCell ref="M2531:N2531"/>
    <mergeCell ref="P2531:Q2531"/>
    <mergeCell ref="M2532:N2532"/>
    <mergeCell ref="P2532:Q2532"/>
    <mergeCell ref="L2533:L2535"/>
    <mergeCell ref="M2533:Q2533"/>
    <mergeCell ref="M2534:N2534"/>
    <mergeCell ref="P2534:Q2534"/>
    <mergeCell ref="M2535:N2535"/>
    <mergeCell ref="P2535:Q2535"/>
    <mergeCell ref="H2536:J2536"/>
    <mergeCell ref="L2536:Q2536"/>
    <mergeCell ref="B2539:D2539"/>
    <mergeCell ref="B2540:B2541"/>
    <mergeCell ref="H2540:H2541"/>
    <mergeCell ref="I2540:I2541"/>
    <mergeCell ref="J2540:J2541"/>
    <mergeCell ref="K2540:K2541"/>
    <mergeCell ref="L2540:L2541"/>
    <mergeCell ref="B2479:D2479"/>
    <mergeCell ref="B2480:B2481"/>
    <mergeCell ref="H2480:H2481"/>
    <mergeCell ref="I2480:I2481"/>
    <mergeCell ref="J2480:J2481"/>
    <mergeCell ref="K2480:K2481"/>
    <mergeCell ref="L2480:L2481"/>
    <mergeCell ref="L2500:L2502"/>
    <mergeCell ref="M2480:M2481"/>
    <mergeCell ref="N2480:N2481"/>
    <mergeCell ref="O2480:P2480"/>
    <mergeCell ref="M2500:Q2500"/>
    <mergeCell ref="M2501:N2501"/>
    <mergeCell ref="P2501:Q2501"/>
    <mergeCell ref="C2497:K2497"/>
    <mergeCell ref="L2497:L2499"/>
    <mergeCell ref="M2497:Q2498"/>
    <mergeCell ref="C2498:E2498"/>
    <mergeCell ref="G2498:H2498"/>
    <mergeCell ref="I2498:K2498"/>
    <mergeCell ref="C2499:D2499"/>
    <mergeCell ref="M2499:P2499"/>
    <mergeCell ref="M2502:N2502"/>
    <mergeCell ref="P2502:Q2502"/>
    <mergeCell ref="P2504:Q2504"/>
    <mergeCell ref="M2505:N2505"/>
    <mergeCell ref="P2505:Q2505"/>
    <mergeCell ref="C2506:G2506"/>
    <mergeCell ref="H2506:J2506"/>
    <mergeCell ref="L2506:Q2506"/>
    <mergeCell ref="L2503:L2505"/>
    <mergeCell ref="M2503:Q2503"/>
    <mergeCell ref="M2504:N2504"/>
    <mergeCell ref="L2443:L2445"/>
    <mergeCell ref="M2443:Q2443"/>
    <mergeCell ref="M2444:N2444"/>
    <mergeCell ref="P2444:Q2444"/>
    <mergeCell ref="M2445:N2445"/>
    <mergeCell ref="P2445:Q2445"/>
    <mergeCell ref="R2453:T2453"/>
    <mergeCell ref="R2454:T2454"/>
    <mergeCell ref="C2446:G2446"/>
    <mergeCell ref="H2446:J2446"/>
    <mergeCell ref="L2446:Q2446"/>
    <mergeCell ref="B2449:D2449"/>
    <mergeCell ref="B2450:B2451"/>
    <mergeCell ref="H2450:H2451"/>
    <mergeCell ref="I2450:I2451"/>
    <mergeCell ref="J2450:J2451"/>
    <mergeCell ref="R2455:T2455"/>
    <mergeCell ref="R2462:T2462"/>
    <mergeCell ref="B2466:T2466"/>
    <mergeCell ref="B2467:B2476"/>
    <mergeCell ref="C2467:K2467"/>
    <mergeCell ref="L2467:L2469"/>
    <mergeCell ref="M2467:Q2468"/>
    <mergeCell ref="C2468:E2468"/>
    <mergeCell ref="G2468:H2468"/>
    <mergeCell ref="I2468:K2468"/>
    <mergeCell ref="C2469:D2469"/>
    <mergeCell ref="M2469:P2469"/>
    <mergeCell ref="L2470:L2472"/>
    <mergeCell ref="M2470:Q2470"/>
    <mergeCell ref="M2471:N2471"/>
    <mergeCell ref="P2471:Q2471"/>
    <mergeCell ref="M2472:N2472"/>
    <mergeCell ref="P2472:Q2472"/>
    <mergeCell ref="L2473:L2475"/>
    <mergeCell ref="M2473:Q2473"/>
    <mergeCell ref="M2474:N2474"/>
    <mergeCell ref="P2474:Q2474"/>
    <mergeCell ref="M2475:N2475"/>
    <mergeCell ref="P2475:Q2475"/>
    <mergeCell ref="C2476:G2476"/>
    <mergeCell ref="H2476:J2476"/>
    <mergeCell ref="L2476:Q2476"/>
    <mergeCell ref="R2393:T2393"/>
    <mergeCell ref="R2394:T2394"/>
    <mergeCell ref="B2407:B2416"/>
    <mergeCell ref="C2407:K2407"/>
    <mergeCell ref="L2407:L2409"/>
    <mergeCell ref="M2407:Q2408"/>
    <mergeCell ref="C2408:E2408"/>
    <mergeCell ref="G2408:H2408"/>
    <mergeCell ref="I2408:K2408"/>
    <mergeCell ref="C2409:D2409"/>
    <mergeCell ref="M2409:P2409"/>
    <mergeCell ref="L2410:L2412"/>
    <mergeCell ref="M2410:Q2410"/>
    <mergeCell ref="M2411:N2411"/>
    <mergeCell ref="P2411:Q2411"/>
    <mergeCell ref="M2412:N2412"/>
    <mergeCell ref="P2412:Q2412"/>
    <mergeCell ref="P2414:Q2414"/>
    <mergeCell ref="M2415:N2415"/>
    <mergeCell ref="P2415:Q2415"/>
    <mergeCell ref="C2416:G2416"/>
    <mergeCell ref="H2416:J2416"/>
    <mergeCell ref="L2416:Q2416"/>
    <mergeCell ref="L2413:L2415"/>
    <mergeCell ref="M2413:Q2413"/>
    <mergeCell ref="M2414:N2414"/>
    <mergeCell ref="B2419:D2419"/>
    <mergeCell ref="B2420:B2421"/>
    <mergeCell ref="H2420:H2421"/>
    <mergeCell ref="I2420:I2421"/>
    <mergeCell ref="J2420:J2421"/>
    <mergeCell ref="K2420:K2421"/>
    <mergeCell ref="R2440:T2441"/>
    <mergeCell ref="L2437:L2439"/>
    <mergeCell ref="M2437:Q2438"/>
    <mergeCell ref="C2438:E2438"/>
    <mergeCell ref="G2438:H2438"/>
    <mergeCell ref="M2420:M2421"/>
    <mergeCell ref="N2420:N2421"/>
    <mergeCell ref="O2420:P2420"/>
    <mergeCell ref="R2420:T2421"/>
    <mergeCell ref="L2420:L2421"/>
    <mergeCell ref="I2438:K2438"/>
    <mergeCell ref="C2439:D2439"/>
    <mergeCell ref="M2439:P2439"/>
    <mergeCell ref="L2440:L2442"/>
    <mergeCell ref="M2440:Q2440"/>
    <mergeCell ref="M2441:N2441"/>
    <mergeCell ref="P2441:Q2441"/>
    <mergeCell ref="M2442:N2442"/>
    <mergeCell ref="R2396:T2396"/>
    <mergeCell ref="R2397:T2397"/>
    <mergeCell ref="R2398:T2398"/>
    <mergeCell ref="R2399:T2399"/>
    <mergeCell ref="R2395:T2395"/>
    <mergeCell ref="R2400:T2400"/>
    <mergeCell ref="R2401:T2401"/>
    <mergeCell ref="R2426:T2426"/>
    <mergeCell ref="R2427:T2427"/>
    <mergeCell ref="R2425:T2425"/>
    <mergeCell ref="R2424:T2424"/>
    <mergeCell ref="R2402:T2402"/>
    <mergeCell ref="B2406:T2406"/>
    <mergeCell ref="R2423:T2423"/>
    <mergeCell ref="C2386:G2386"/>
    <mergeCell ref="H2386:J2386"/>
    <mergeCell ref="L2386:Q2386"/>
    <mergeCell ref="B2389:D2389"/>
    <mergeCell ref="B2390:B2391"/>
    <mergeCell ref="H2390:H2391"/>
    <mergeCell ref="I2390:I2391"/>
    <mergeCell ref="J2390:J2391"/>
    <mergeCell ref="K2390:K2391"/>
    <mergeCell ref="L2390:L2391"/>
    <mergeCell ref="M2390:M2391"/>
    <mergeCell ref="N2390:N2391"/>
    <mergeCell ref="O2390:P2390"/>
    <mergeCell ref="R2390:T2391"/>
    <mergeCell ref="B2329:D2329"/>
    <mergeCell ref="B2330:B2331"/>
    <mergeCell ref="H2330:H2331"/>
    <mergeCell ref="I2330:I2331"/>
    <mergeCell ref="J2330:J2331"/>
    <mergeCell ref="K2330:K2331"/>
    <mergeCell ref="L2330:L2331"/>
    <mergeCell ref="L2347:L2349"/>
    <mergeCell ref="M2347:Q2348"/>
    <mergeCell ref="C2348:E2348"/>
    <mergeCell ref="G2348:H2348"/>
    <mergeCell ref="M2330:M2331"/>
    <mergeCell ref="N2330:N2331"/>
    <mergeCell ref="O2330:P2330"/>
    <mergeCell ref="I2348:K2348"/>
    <mergeCell ref="C2349:D2349"/>
    <mergeCell ref="M2349:P2349"/>
    <mergeCell ref="L2350:L2352"/>
    <mergeCell ref="M2350:Q2350"/>
    <mergeCell ref="M2351:N2351"/>
    <mergeCell ref="P2351:Q2351"/>
    <mergeCell ref="M2352:N2352"/>
    <mergeCell ref="P2352:Q2352"/>
    <mergeCell ref="L2353:L2355"/>
    <mergeCell ref="M2353:Q2353"/>
    <mergeCell ref="M2354:N2354"/>
    <mergeCell ref="P2354:Q2354"/>
    <mergeCell ref="M2355:N2355"/>
    <mergeCell ref="P2355:Q2355"/>
    <mergeCell ref="H2356:J2356"/>
    <mergeCell ref="L2356:Q2356"/>
    <mergeCell ref="B2359:D2359"/>
    <mergeCell ref="B2360:B2361"/>
    <mergeCell ref="H2360:H2361"/>
    <mergeCell ref="I2360:I2361"/>
    <mergeCell ref="J2360:J2361"/>
    <mergeCell ref="K2360:K2361"/>
    <mergeCell ref="L2360:L2361"/>
    <mergeCell ref="R2336:T2336"/>
    <mergeCell ref="R2337:T2337"/>
    <mergeCell ref="R2335:T2335"/>
    <mergeCell ref="R2334:T2334"/>
    <mergeCell ref="R2333:T2333"/>
    <mergeCell ref="R2330:T2331"/>
    <mergeCell ref="B2299:D2299"/>
    <mergeCell ref="B2300:B2301"/>
    <mergeCell ref="H2300:H2301"/>
    <mergeCell ref="I2300:I2301"/>
    <mergeCell ref="J2300:J2301"/>
    <mergeCell ref="K2300:K2301"/>
    <mergeCell ref="L2300:L2301"/>
    <mergeCell ref="L2320:L2322"/>
    <mergeCell ref="M2300:M2301"/>
    <mergeCell ref="N2300:N2301"/>
    <mergeCell ref="O2300:P2300"/>
    <mergeCell ref="R2300:T2301"/>
    <mergeCell ref="R2303:T2303"/>
    <mergeCell ref="R2304:T2304"/>
    <mergeCell ref="M2320:Q2320"/>
    <mergeCell ref="M2321:N2321"/>
    <mergeCell ref="P2321:Q2321"/>
    <mergeCell ref="C2317:K2317"/>
    <mergeCell ref="L2317:L2319"/>
    <mergeCell ref="M2317:Q2318"/>
    <mergeCell ref="C2318:E2318"/>
    <mergeCell ref="G2318:H2318"/>
    <mergeCell ref="I2318:K2318"/>
    <mergeCell ref="C2319:D2319"/>
    <mergeCell ref="M2319:P2319"/>
    <mergeCell ref="M2322:N2322"/>
    <mergeCell ref="P2322:Q2322"/>
    <mergeCell ref="P2324:Q2324"/>
    <mergeCell ref="M2325:N2325"/>
    <mergeCell ref="P2325:Q2325"/>
    <mergeCell ref="C2326:G2326"/>
    <mergeCell ref="H2326:J2326"/>
    <mergeCell ref="L2326:Q2326"/>
    <mergeCell ref="L2323:L2325"/>
    <mergeCell ref="M2323:Q2323"/>
    <mergeCell ref="M2324:N2324"/>
    <mergeCell ref="R2306:T2306"/>
    <mergeCell ref="R2307:T2307"/>
    <mergeCell ref="R2308:T2308"/>
    <mergeCell ref="R2309:T2309"/>
    <mergeCell ref="R2305:T2305"/>
    <mergeCell ref="R2273:T2273"/>
    <mergeCell ref="R2274:T2274"/>
    <mergeCell ref="C2266:G2266"/>
    <mergeCell ref="H2266:J2266"/>
    <mergeCell ref="L2266:Q2266"/>
    <mergeCell ref="B2269:D2269"/>
    <mergeCell ref="B2270:B2271"/>
    <mergeCell ref="H2270:H2271"/>
    <mergeCell ref="I2270:I2271"/>
    <mergeCell ref="J2270:J2271"/>
    <mergeCell ref="R2275:T2275"/>
    <mergeCell ref="R2282:T2282"/>
    <mergeCell ref="B2286:T2286"/>
    <mergeCell ref="B2287:B2296"/>
    <mergeCell ref="C2287:K2287"/>
    <mergeCell ref="L2287:L2289"/>
    <mergeCell ref="M2287:Q2288"/>
    <mergeCell ref="C2288:E2288"/>
    <mergeCell ref="G2288:H2288"/>
    <mergeCell ref="I2288:K2288"/>
    <mergeCell ref="C2289:D2289"/>
    <mergeCell ref="M2289:P2289"/>
    <mergeCell ref="L2290:L2292"/>
    <mergeCell ref="M2290:Q2290"/>
    <mergeCell ref="M2291:N2291"/>
    <mergeCell ref="P2291:Q2291"/>
    <mergeCell ref="M2292:N2292"/>
    <mergeCell ref="P2292:Q2292"/>
    <mergeCell ref="L2293:L2295"/>
    <mergeCell ref="M2293:Q2293"/>
    <mergeCell ref="M2294:N2294"/>
    <mergeCell ref="P2294:Q2294"/>
    <mergeCell ref="M2295:N2295"/>
    <mergeCell ref="P2295:Q2295"/>
    <mergeCell ref="C2296:G2296"/>
    <mergeCell ref="H2296:J2296"/>
    <mergeCell ref="L2296:Q2296"/>
    <mergeCell ref="R2276:T2276"/>
    <mergeCell ref="R2277:T2277"/>
    <mergeCell ref="R2278:T2278"/>
    <mergeCell ref="R2279:T2279"/>
    <mergeCell ref="R2280:T2280"/>
    <mergeCell ref="R2281:T2281"/>
    <mergeCell ref="R2287:S2289"/>
    <mergeCell ref="T2287:T2289"/>
    <mergeCell ref="R2290:T2291"/>
    <mergeCell ref="C2229:D2229"/>
    <mergeCell ref="M2229:P2229"/>
    <mergeCell ref="L2230:L2232"/>
    <mergeCell ref="M2230:Q2230"/>
    <mergeCell ref="M2231:N2231"/>
    <mergeCell ref="P2231:Q2231"/>
    <mergeCell ref="M2232:N2232"/>
    <mergeCell ref="P2232:Q2232"/>
    <mergeCell ref="P2234:Q2234"/>
    <mergeCell ref="M2235:N2235"/>
    <mergeCell ref="P2235:Q2235"/>
    <mergeCell ref="C2236:G2236"/>
    <mergeCell ref="H2236:J2236"/>
    <mergeCell ref="L2236:Q2236"/>
    <mergeCell ref="L2233:L2235"/>
    <mergeCell ref="M2233:Q2233"/>
    <mergeCell ref="M2234:N2234"/>
    <mergeCell ref="B2239:D2239"/>
    <mergeCell ref="B2240:B2241"/>
    <mergeCell ref="H2240:H2241"/>
    <mergeCell ref="I2240:I2241"/>
    <mergeCell ref="J2240:J2241"/>
    <mergeCell ref="K2240:K2241"/>
    <mergeCell ref="R2260:T2261"/>
    <mergeCell ref="L2257:L2259"/>
    <mergeCell ref="M2257:Q2258"/>
    <mergeCell ref="C2258:E2258"/>
    <mergeCell ref="G2258:H2258"/>
    <mergeCell ref="M2240:M2241"/>
    <mergeCell ref="N2240:N2241"/>
    <mergeCell ref="O2240:P2240"/>
    <mergeCell ref="R2240:T2241"/>
    <mergeCell ref="L2240:L2241"/>
    <mergeCell ref="I2258:K2258"/>
    <mergeCell ref="C2259:D2259"/>
    <mergeCell ref="M2259:P2259"/>
    <mergeCell ref="L2260:L2262"/>
    <mergeCell ref="M2260:Q2260"/>
    <mergeCell ref="M2261:N2261"/>
    <mergeCell ref="P2261:Q2261"/>
    <mergeCell ref="M2262:N2262"/>
    <mergeCell ref="R2192:T2192"/>
    <mergeCell ref="B2196:T2196"/>
    <mergeCell ref="B2197:B2206"/>
    <mergeCell ref="C2197:K2197"/>
    <mergeCell ref="L2197:L2199"/>
    <mergeCell ref="M2197:Q2198"/>
    <mergeCell ref="C2198:E2198"/>
    <mergeCell ref="G2198:H2198"/>
    <mergeCell ref="I2198:K2198"/>
    <mergeCell ref="C2199:D2199"/>
    <mergeCell ref="M2199:P2199"/>
    <mergeCell ref="L2200:L2202"/>
    <mergeCell ref="M2200:Q2200"/>
    <mergeCell ref="M2201:N2201"/>
    <mergeCell ref="P2201:Q2201"/>
    <mergeCell ref="M2202:N2202"/>
    <mergeCell ref="P2202:Q2202"/>
    <mergeCell ref="L2203:L2205"/>
    <mergeCell ref="M2203:Q2203"/>
    <mergeCell ref="M2204:N2204"/>
    <mergeCell ref="P2204:Q2204"/>
    <mergeCell ref="M2205:N2205"/>
    <mergeCell ref="P2205:Q2205"/>
    <mergeCell ref="C2206:G2206"/>
    <mergeCell ref="H2206:J2206"/>
    <mergeCell ref="L2206:Q2206"/>
    <mergeCell ref="B2209:D2209"/>
    <mergeCell ref="B2210:B2211"/>
    <mergeCell ref="H2210:H2211"/>
    <mergeCell ref="I2210:I2211"/>
    <mergeCell ref="J2210:J2211"/>
    <mergeCell ref="K2210:K2211"/>
    <mergeCell ref="L2210:L2211"/>
    <mergeCell ref="M2210:M2211"/>
    <mergeCell ref="N2210:N2211"/>
    <mergeCell ref="O2210:P2210"/>
    <mergeCell ref="R2210:T2211"/>
    <mergeCell ref="O2150:P2150"/>
    <mergeCell ref="I2168:K2168"/>
    <mergeCell ref="C2169:D2169"/>
    <mergeCell ref="M2169:P2169"/>
    <mergeCell ref="L2170:L2172"/>
    <mergeCell ref="M2170:Q2170"/>
    <mergeCell ref="M2171:N2171"/>
    <mergeCell ref="P2171:Q2171"/>
    <mergeCell ref="M2172:N2172"/>
    <mergeCell ref="P2172:Q2172"/>
    <mergeCell ref="L2173:L2175"/>
    <mergeCell ref="M2173:Q2173"/>
    <mergeCell ref="M2174:N2174"/>
    <mergeCell ref="P2174:Q2174"/>
    <mergeCell ref="M2175:N2175"/>
    <mergeCell ref="P2175:Q2175"/>
    <mergeCell ref="H2176:J2176"/>
    <mergeCell ref="L2176:Q2176"/>
    <mergeCell ref="B2179:D2179"/>
    <mergeCell ref="B2180:B2181"/>
    <mergeCell ref="H2180:H2181"/>
    <mergeCell ref="I2180:I2181"/>
    <mergeCell ref="J2180:J2181"/>
    <mergeCell ref="K2180:K2181"/>
    <mergeCell ref="L2180:L2181"/>
    <mergeCell ref="B2119:D2119"/>
    <mergeCell ref="B2120:B2121"/>
    <mergeCell ref="H2120:H2121"/>
    <mergeCell ref="I2120:I2121"/>
    <mergeCell ref="J2120:J2121"/>
    <mergeCell ref="K2120:K2121"/>
    <mergeCell ref="L2120:L2121"/>
    <mergeCell ref="L2140:L2142"/>
    <mergeCell ref="M2120:M2121"/>
    <mergeCell ref="N2120:N2121"/>
    <mergeCell ref="O2120:P2120"/>
    <mergeCell ref="R2120:T2121"/>
    <mergeCell ref="R2123:T2123"/>
    <mergeCell ref="R2124:T2124"/>
    <mergeCell ref="M2140:Q2140"/>
    <mergeCell ref="M2141:N2141"/>
    <mergeCell ref="P2141:Q2141"/>
    <mergeCell ref="C2137:K2137"/>
    <mergeCell ref="L2137:L2139"/>
    <mergeCell ref="M2137:Q2138"/>
    <mergeCell ref="C2138:E2138"/>
    <mergeCell ref="G2138:H2138"/>
    <mergeCell ref="I2138:K2138"/>
    <mergeCell ref="C2139:D2139"/>
    <mergeCell ref="M2139:P2139"/>
    <mergeCell ref="M2142:N2142"/>
    <mergeCell ref="P2142:Q2142"/>
    <mergeCell ref="P2144:Q2144"/>
    <mergeCell ref="M2145:N2145"/>
    <mergeCell ref="P2145:Q2145"/>
    <mergeCell ref="C2146:G2146"/>
    <mergeCell ref="H2146:J2146"/>
    <mergeCell ref="L2146:Q2146"/>
    <mergeCell ref="L2143:L2145"/>
    <mergeCell ref="M2143:Q2143"/>
    <mergeCell ref="M2144:N2144"/>
    <mergeCell ref="L2090:L2091"/>
    <mergeCell ref="P2082:Q2082"/>
    <mergeCell ref="L2083:L2085"/>
    <mergeCell ref="M2083:Q2083"/>
    <mergeCell ref="M2084:N2084"/>
    <mergeCell ref="P2084:Q2084"/>
    <mergeCell ref="M2085:N2085"/>
    <mergeCell ref="P2085:Q2085"/>
    <mergeCell ref="R2093:T2093"/>
    <mergeCell ref="R2094:T2094"/>
    <mergeCell ref="C2086:G2086"/>
    <mergeCell ref="H2086:J2086"/>
    <mergeCell ref="L2086:Q2086"/>
    <mergeCell ref="B2089:D2089"/>
    <mergeCell ref="B2090:B2091"/>
    <mergeCell ref="H2090:H2091"/>
    <mergeCell ref="I2090:I2091"/>
    <mergeCell ref="J2090:J2091"/>
    <mergeCell ref="R2095:T2095"/>
    <mergeCell ref="R2102:T2102"/>
    <mergeCell ref="B2106:T2106"/>
    <mergeCell ref="B2107:B2116"/>
    <mergeCell ref="C2107:K2107"/>
    <mergeCell ref="L2107:L2109"/>
    <mergeCell ref="M2107:Q2108"/>
    <mergeCell ref="C2108:E2108"/>
    <mergeCell ref="G2108:H2108"/>
    <mergeCell ref="I2108:K2108"/>
    <mergeCell ref="C2109:D2109"/>
    <mergeCell ref="M2109:P2109"/>
    <mergeCell ref="L2110:L2112"/>
    <mergeCell ref="M2110:Q2110"/>
    <mergeCell ref="M2111:N2111"/>
    <mergeCell ref="P2111:Q2111"/>
    <mergeCell ref="M2112:N2112"/>
    <mergeCell ref="P2112:Q2112"/>
    <mergeCell ref="L2113:L2115"/>
    <mergeCell ref="M2113:Q2113"/>
    <mergeCell ref="M2114:N2114"/>
    <mergeCell ref="P2114:Q2114"/>
    <mergeCell ref="M2115:N2115"/>
    <mergeCell ref="P2115:Q2115"/>
    <mergeCell ref="C2116:G2116"/>
    <mergeCell ref="H2116:J2116"/>
    <mergeCell ref="L2116:Q2116"/>
    <mergeCell ref="R2033:T2033"/>
    <mergeCell ref="R2034:T2034"/>
    <mergeCell ref="B2047:B2056"/>
    <mergeCell ref="C2047:K2047"/>
    <mergeCell ref="L2047:L2049"/>
    <mergeCell ref="M2047:Q2048"/>
    <mergeCell ref="C2048:E2048"/>
    <mergeCell ref="G2048:H2048"/>
    <mergeCell ref="I2048:K2048"/>
    <mergeCell ref="C2049:D2049"/>
    <mergeCell ref="M2049:P2049"/>
    <mergeCell ref="L2050:L2052"/>
    <mergeCell ref="M2050:Q2050"/>
    <mergeCell ref="M2051:N2051"/>
    <mergeCell ref="P2051:Q2051"/>
    <mergeCell ref="M2052:N2052"/>
    <mergeCell ref="P2052:Q2052"/>
    <mergeCell ref="P2054:Q2054"/>
    <mergeCell ref="M2055:N2055"/>
    <mergeCell ref="P2055:Q2055"/>
    <mergeCell ref="C2056:G2056"/>
    <mergeCell ref="H2056:J2056"/>
    <mergeCell ref="L2056:Q2056"/>
    <mergeCell ref="L2053:L2055"/>
    <mergeCell ref="M2053:Q2053"/>
    <mergeCell ref="M2054:N2054"/>
    <mergeCell ref="B2059:D2059"/>
    <mergeCell ref="B2060:B2061"/>
    <mergeCell ref="H2060:H2061"/>
    <mergeCell ref="I2060:I2061"/>
    <mergeCell ref="J2060:J2061"/>
    <mergeCell ref="K2060:K2061"/>
    <mergeCell ref="R2080:T2081"/>
    <mergeCell ref="L2077:L2079"/>
    <mergeCell ref="M2077:Q2078"/>
    <mergeCell ref="C2078:E2078"/>
    <mergeCell ref="G2078:H2078"/>
    <mergeCell ref="M2060:M2061"/>
    <mergeCell ref="N2060:N2061"/>
    <mergeCell ref="O2060:P2060"/>
    <mergeCell ref="R2060:T2061"/>
    <mergeCell ref="L2060:L2061"/>
    <mergeCell ref="I2078:K2078"/>
    <mergeCell ref="C2079:D2079"/>
    <mergeCell ref="M2079:P2079"/>
    <mergeCell ref="L2080:L2082"/>
    <mergeCell ref="M2080:Q2080"/>
    <mergeCell ref="M2081:N2081"/>
    <mergeCell ref="P2081:Q2081"/>
    <mergeCell ref="M2082:N2082"/>
    <mergeCell ref="R2068:T2068"/>
    <mergeCell ref="R2069:T2069"/>
    <mergeCell ref="R2070:T2070"/>
    <mergeCell ref="R2071:T2071"/>
    <mergeCell ref="R2072:T2072"/>
    <mergeCell ref="B2076:T2076"/>
    <mergeCell ref="B2077:B2086"/>
    <mergeCell ref="C2077:K2077"/>
    <mergeCell ref="O2030:P2030"/>
    <mergeCell ref="R2030:T2031"/>
    <mergeCell ref="B1969:D1969"/>
    <mergeCell ref="B1970:B1971"/>
    <mergeCell ref="H1970:H1971"/>
    <mergeCell ref="I1970:I1971"/>
    <mergeCell ref="J1970:J1971"/>
    <mergeCell ref="K1970:K1971"/>
    <mergeCell ref="L1970:L1971"/>
    <mergeCell ref="L1987:L1989"/>
    <mergeCell ref="M1987:Q1988"/>
    <mergeCell ref="C1988:E1988"/>
    <mergeCell ref="G1988:H1988"/>
    <mergeCell ref="M1970:M1971"/>
    <mergeCell ref="N1970:N1971"/>
    <mergeCell ref="O1970:P1970"/>
    <mergeCell ref="I1988:K1988"/>
    <mergeCell ref="C1989:D1989"/>
    <mergeCell ref="M1989:P1989"/>
    <mergeCell ref="L1990:L1992"/>
    <mergeCell ref="M1990:Q1990"/>
    <mergeCell ref="M1991:N1991"/>
    <mergeCell ref="P1991:Q1991"/>
    <mergeCell ref="M1992:N1992"/>
    <mergeCell ref="P1992:Q1992"/>
    <mergeCell ref="L1993:L1995"/>
    <mergeCell ref="M1993:Q1993"/>
    <mergeCell ref="M1994:N1994"/>
    <mergeCell ref="P1994:Q1994"/>
    <mergeCell ref="M1995:N1995"/>
    <mergeCell ref="P1995:Q1995"/>
    <mergeCell ref="H1996:J1996"/>
    <mergeCell ref="L1996:Q1996"/>
    <mergeCell ref="B1999:D1999"/>
    <mergeCell ref="B2000:B2001"/>
    <mergeCell ref="H2000:H2001"/>
    <mergeCell ref="I2000:I2001"/>
    <mergeCell ref="J2000:J2001"/>
    <mergeCell ref="K2000:K2001"/>
    <mergeCell ref="L2000:L2001"/>
    <mergeCell ref="R1982:T1982"/>
    <mergeCell ref="B1986:T1986"/>
    <mergeCell ref="B1987:B1996"/>
    <mergeCell ref="C1987:K1987"/>
    <mergeCell ref="M2000:M2001"/>
    <mergeCell ref="N2000:N2001"/>
    <mergeCell ref="O2000:P2000"/>
    <mergeCell ref="R2000:T2001"/>
    <mergeCell ref="C1996:G1996"/>
    <mergeCell ref="R2011:T2011"/>
    <mergeCell ref="R1978:T1978"/>
    <mergeCell ref="R1979:T1979"/>
    <mergeCell ref="R1980:T1980"/>
    <mergeCell ref="R1981:T1981"/>
    <mergeCell ref="R2005:T2005"/>
    <mergeCell ref="R2003:T2003"/>
    <mergeCell ref="R2004:T2004"/>
    <mergeCell ref="R2008:T2008"/>
    <mergeCell ref="M1940:M1941"/>
    <mergeCell ref="N1940:N1941"/>
    <mergeCell ref="O1940:P1940"/>
    <mergeCell ref="R1940:T1941"/>
    <mergeCell ref="R1943:T1943"/>
    <mergeCell ref="R1944:T1944"/>
    <mergeCell ref="M1960:Q1960"/>
    <mergeCell ref="M1961:N1961"/>
    <mergeCell ref="P1961:Q1961"/>
    <mergeCell ref="C1957:K1957"/>
    <mergeCell ref="L1957:L1959"/>
    <mergeCell ref="M1957:Q1958"/>
    <mergeCell ref="C1958:E1958"/>
    <mergeCell ref="G1958:H1958"/>
    <mergeCell ref="I1958:K1958"/>
    <mergeCell ref="C1959:D1959"/>
    <mergeCell ref="M1959:P1959"/>
    <mergeCell ref="M1962:N1962"/>
    <mergeCell ref="P1962:Q1962"/>
    <mergeCell ref="P1964:Q1964"/>
    <mergeCell ref="M1965:N1965"/>
    <mergeCell ref="P1965:Q1965"/>
    <mergeCell ref="C1966:G1966"/>
    <mergeCell ref="H1966:J1966"/>
    <mergeCell ref="L1966:Q1966"/>
    <mergeCell ref="L1963:L1965"/>
    <mergeCell ref="M1963:Q1963"/>
    <mergeCell ref="M1964:N1964"/>
    <mergeCell ref="L1910:L1911"/>
    <mergeCell ref="P1902:Q1902"/>
    <mergeCell ref="L1903:L1905"/>
    <mergeCell ref="M1903:Q1903"/>
    <mergeCell ref="M1904:N1904"/>
    <mergeCell ref="P1904:Q1904"/>
    <mergeCell ref="M1905:N1905"/>
    <mergeCell ref="P1905:Q1905"/>
    <mergeCell ref="R1913:T1913"/>
    <mergeCell ref="R1914:T1914"/>
    <mergeCell ref="C1906:G1906"/>
    <mergeCell ref="H1906:J1906"/>
    <mergeCell ref="L1906:Q1906"/>
    <mergeCell ref="B1909:D1909"/>
    <mergeCell ref="B1910:B1911"/>
    <mergeCell ref="H1910:H1911"/>
    <mergeCell ref="I1910:I1911"/>
    <mergeCell ref="J1910:J1911"/>
    <mergeCell ref="R1915:T1915"/>
    <mergeCell ref="R1922:T1922"/>
    <mergeCell ref="B1926:T1926"/>
    <mergeCell ref="B1927:B1936"/>
    <mergeCell ref="C1927:K1927"/>
    <mergeCell ref="L1927:L1929"/>
    <mergeCell ref="C1928:E1928"/>
    <mergeCell ref="G1928:H1928"/>
    <mergeCell ref="M1927:Q1928"/>
    <mergeCell ref="I1928:K1928"/>
    <mergeCell ref="C1929:D1929"/>
    <mergeCell ref="M1929:P1929"/>
    <mergeCell ref="L1930:L1932"/>
    <mergeCell ref="M1930:Q1930"/>
    <mergeCell ref="M1931:N1931"/>
    <mergeCell ref="P1931:Q1931"/>
    <mergeCell ref="M1932:N1932"/>
    <mergeCell ref="P1932:Q1932"/>
    <mergeCell ref="L1933:L1935"/>
    <mergeCell ref="M1933:Q1933"/>
    <mergeCell ref="M1934:N1934"/>
    <mergeCell ref="P1934:Q1934"/>
    <mergeCell ref="M1935:N1935"/>
    <mergeCell ref="P1935:Q1935"/>
    <mergeCell ref="C1936:G1936"/>
    <mergeCell ref="H1936:J1936"/>
    <mergeCell ref="L1936:Q1936"/>
    <mergeCell ref="R1853:T1853"/>
    <mergeCell ref="R1854:T1854"/>
    <mergeCell ref="B1867:B1876"/>
    <mergeCell ref="C1867:K1867"/>
    <mergeCell ref="L1867:L1869"/>
    <mergeCell ref="M1867:Q1868"/>
    <mergeCell ref="C1868:E1868"/>
    <mergeCell ref="G1868:H1868"/>
    <mergeCell ref="I1868:K1868"/>
    <mergeCell ref="C1869:D1869"/>
    <mergeCell ref="M1869:P1869"/>
    <mergeCell ref="L1870:L1872"/>
    <mergeCell ref="M1870:Q1870"/>
    <mergeCell ref="M1871:N1871"/>
    <mergeCell ref="P1871:Q1871"/>
    <mergeCell ref="M1872:N1872"/>
    <mergeCell ref="P1872:Q1872"/>
    <mergeCell ref="P1874:Q1874"/>
    <mergeCell ref="M1875:N1875"/>
    <mergeCell ref="P1875:Q1875"/>
    <mergeCell ref="C1876:G1876"/>
    <mergeCell ref="H1876:J1876"/>
    <mergeCell ref="L1876:Q1876"/>
    <mergeCell ref="L1873:L1875"/>
    <mergeCell ref="M1873:Q1873"/>
    <mergeCell ref="M1874:N1874"/>
    <mergeCell ref="B1879:D1879"/>
    <mergeCell ref="B1880:B1881"/>
    <mergeCell ref="H1880:H1881"/>
    <mergeCell ref="I1880:I1881"/>
    <mergeCell ref="J1880:J1881"/>
    <mergeCell ref="K1880:K1881"/>
    <mergeCell ref="R1900:T1901"/>
    <mergeCell ref="L1897:L1899"/>
    <mergeCell ref="M1897:Q1898"/>
    <mergeCell ref="C1898:E1898"/>
    <mergeCell ref="G1898:H1898"/>
    <mergeCell ref="M1880:M1881"/>
    <mergeCell ref="N1880:N1881"/>
    <mergeCell ref="O1880:P1880"/>
    <mergeCell ref="R1880:T1881"/>
    <mergeCell ref="L1880:L1881"/>
    <mergeCell ref="I1898:K1898"/>
    <mergeCell ref="C1899:D1899"/>
    <mergeCell ref="M1899:P1899"/>
    <mergeCell ref="L1900:L1902"/>
    <mergeCell ref="M1900:Q1900"/>
    <mergeCell ref="M1901:N1901"/>
    <mergeCell ref="P1901:Q1901"/>
    <mergeCell ref="M1902:N1902"/>
    <mergeCell ref="R1856:T1856"/>
    <mergeCell ref="R1857:T1857"/>
    <mergeCell ref="R1858:T1858"/>
    <mergeCell ref="R1859:T1859"/>
    <mergeCell ref="R1855:T1855"/>
    <mergeCell ref="R1860:T1860"/>
    <mergeCell ref="R1861:T1861"/>
    <mergeCell ref="R1832:T1832"/>
    <mergeCell ref="B1836:T1836"/>
    <mergeCell ref="B1837:B1846"/>
    <mergeCell ref="C1837:K1837"/>
    <mergeCell ref="L1837:L1839"/>
    <mergeCell ref="M1837:Q1838"/>
    <mergeCell ref="C1838:E1838"/>
    <mergeCell ref="G1838:H1838"/>
    <mergeCell ref="I1838:K1838"/>
    <mergeCell ref="C1839:D1839"/>
    <mergeCell ref="M1839:P1839"/>
    <mergeCell ref="L1840:L1842"/>
    <mergeCell ref="M1840:Q1840"/>
    <mergeCell ref="M1841:N1841"/>
    <mergeCell ref="P1841:Q1841"/>
    <mergeCell ref="M1842:N1842"/>
    <mergeCell ref="P1842:Q1842"/>
    <mergeCell ref="L1843:L1845"/>
    <mergeCell ref="M1843:Q1843"/>
    <mergeCell ref="M1844:N1844"/>
    <mergeCell ref="P1844:Q1844"/>
    <mergeCell ref="M1845:N1845"/>
    <mergeCell ref="P1845:Q1845"/>
    <mergeCell ref="C1846:G1846"/>
    <mergeCell ref="H1846:J1846"/>
    <mergeCell ref="L1846:Q1846"/>
    <mergeCell ref="B1849:D1849"/>
    <mergeCell ref="B1850:B1851"/>
    <mergeCell ref="H1850:H1851"/>
    <mergeCell ref="I1850:I1851"/>
    <mergeCell ref="J1850:J1851"/>
    <mergeCell ref="K1850:K1851"/>
    <mergeCell ref="L1850:L1851"/>
    <mergeCell ref="M1850:M1851"/>
    <mergeCell ref="N1850:N1851"/>
    <mergeCell ref="O1850:P1850"/>
    <mergeCell ref="R1850:T1851"/>
    <mergeCell ref="I1808:K1808"/>
    <mergeCell ref="C1809:D1809"/>
    <mergeCell ref="M1809:P1809"/>
    <mergeCell ref="L1810:L1812"/>
    <mergeCell ref="M1810:Q1810"/>
    <mergeCell ref="M1811:N1811"/>
    <mergeCell ref="P1811:Q1811"/>
    <mergeCell ref="M1812:N1812"/>
    <mergeCell ref="P1812:Q1812"/>
    <mergeCell ref="L1813:L1815"/>
    <mergeCell ref="M1813:Q1813"/>
    <mergeCell ref="M1814:N1814"/>
    <mergeCell ref="P1814:Q1814"/>
    <mergeCell ref="M1815:N1815"/>
    <mergeCell ref="P1815:Q1815"/>
    <mergeCell ref="H1816:J1816"/>
    <mergeCell ref="L1816:Q1816"/>
    <mergeCell ref="B1819:D1819"/>
    <mergeCell ref="B1820:B1821"/>
    <mergeCell ref="H1820:H1821"/>
    <mergeCell ref="I1820:I1821"/>
    <mergeCell ref="J1820:J1821"/>
    <mergeCell ref="K1820:K1821"/>
    <mergeCell ref="L1820:L1821"/>
    <mergeCell ref="B1759:D1759"/>
    <mergeCell ref="B1760:B1761"/>
    <mergeCell ref="H1760:H1761"/>
    <mergeCell ref="I1760:I1761"/>
    <mergeCell ref="J1760:J1761"/>
    <mergeCell ref="K1760:K1761"/>
    <mergeCell ref="L1760:L1761"/>
    <mergeCell ref="L1780:L1782"/>
    <mergeCell ref="M1760:M1761"/>
    <mergeCell ref="N1760:N1761"/>
    <mergeCell ref="O1760:P1760"/>
    <mergeCell ref="R1760:T1761"/>
    <mergeCell ref="R1763:T1763"/>
    <mergeCell ref="R1764:T1764"/>
    <mergeCell ref="M1780:Q1780"/>
    <mergeCell ref="M1781:N1781"/>
    <mergeCell ref="P1781:Q1781"/>
    <mergeCell ref="C1777:K1777"/>
    <mergeCell ref="L1777:L1779"/>
    <mergeCell ref="M1777:Q1778"/>
    <mergeCell ref="C1778:E1778"/>
    <mergeCell ref="G1778:H1778"/>
    <mergeCell ref="I1778:K1778"/>
    <mergeCell ref="C1779:D1779"/>
    <mergeCell ref="M1779:P1779"/>
    <mergeCell ref="M1782:N1782"/>
    <mergeCell ref="P1782:Q1782"/>
    <mergeCell ref="P1784:Q1784"/>
    <mergeCell ref="M1785:N1785"/>
    <mergeCell ref="P1785:Q1785"/>
    <mergeCell ref="C1786:G1786"/>
    <mergeCell ref="H1786:J1786"/>
    <mergeCell ref="L1786:Q1786"/>
    <mergeCell ref="L1783:L1785"/>
    <mergeCell ref="M1783:Q1783"/>
    <mergeCell ref="M1784:N1784"/>
    <mergeCell ref="L1730:L1731"/>
    <mergeCell ref="P1722:Q1722"/>
    <mergeCell ref="L1723:L1725"/>
    <mergeCell ref="M1723:Q1723"/>
    <mergeCell ref="M1724:N1724"/>
    <mergeCell ref="P1724:Q1724"/>
    <mergeCell ref="M1725:N1725"/>
    <mergeCell ref="P1725:Q1725"/>
    <mergeCell ref="R1733:T1733"/>
    <mergeCell ref="R1734:T1734"/>
    <mergeCell ref="C1726:G1726"/>
    <mergeCell ref="H1726:J1726"/>
    <mergeCell ref="L1726:Q1726"/>
    <mergeCell ref="B1729:D1729"/>
    <mergeCell ref="B1730:B1731"/>
    <mergeCell ref="H1730:H1731"/>
    <mergeCell ref="I1730:I1731"/>
    <mergeCell ref="J1730:J1731"/>
    <mergeCell ref="R1735:T1735"/>
    <mergeCell ref="R1742:T1742"/>
    <mergeCell ref="B1746:T1746"/>
    <mergeCell ref="B1747:B1756"/>
    <mergeCell ref="C1747:K1747"/>
    <mergeCell ref="L1747:L1749"/>
    <mergeCell ref="M1747:Q1748"/>
    <mergeCell ref="C1748:E1748"/>
    <mergeCell ref="G1748:H1748"/>
    <mergeCell ref="I1748:K1748"/>
    <mergeCell ref="C1749:D1749"/>
    <mergeCell ref="M1749:P1749"/>
    <mergeCell ref="L1750:L1752"/>
    <mergeCell ref="M1750:Q1750"/>
    <mergeCell ref="M1751:N1751"/>
    <mergeCell ref="P1751:Q1751"/>
    <mergeCell ref="M1752:N1752"/>
    <mergeCell ref="P1752:Q1752"/>
    <mergeCell ref="L1753:L1755"/>
    <mergeCell ref="M1753:Q1753"/>
    <mergeCell ref="M1754:N1754"/>
    <mergeCell ref="P1754:Q1754"/>
    <mergeCell ref="M1755:N1755"/>
    <mergeCell ref="P1755:Q1755"/>
    <mergeCell ref="C1756:G1756"/>
    <mergeCell ref="H1756:J1756"/>
    <mergeCell ref="L1756:Q1756"/>
    <mergeCell ref="R1736:T1736"/>
    <mergeCell ref="R1737:T1737"/>
    <mergeCell ref="R1738:T1738"/>
    <mergeCell ref="R1739:T1739"/>
    <mergeCell ref="R1740:T1740"/>
    <mergeCell ref="R1741:T1741"/>
    <mergeCell ref="R1747:S1749"/>
    <mergeCell ref="T1747:T1749"/>
    <mergeCell ref="R1750:T1751"/>
    <mergeCell ref="R1673:T1673"/>
    <mergeCell ref="R1674:T1674"/>
    <mergeCell ref="B1687:B1696"/>
    <mergeCell ref="C1687:K1687"/>
    <mergeCell ref="L1687:L1689"/>
    <mergeCell ref="M1687:Q1688"/>
    <mergeCell ref="C1688:E1688"/>
    <mergeCell ref="G1688:H1688"/>
    <mergeCell ref="I1688:K1688"/>
    <mergeCell ref="C1689:D1689"/>
    <mergeCell ref="M1689:P1689"/>
    <mergeCell ref="L1690:L1692"/>
    <mergeCell ref="M1690:Q1690"/>
    <mergeCell ref="M1691:N1691"/>
    <mergeCell ref="P1691:Q1691"/>
    <mergeCell ref="M1692:N1692"/>
    <mergeCell ref="P1692:Q1692"/>
    <mergeCell ref="P1694:Q1694"/>
    <mergeCell ref="M1695:N1695"/>
    <mergeCell ref="P1695:Q1695"/>
    <mergeCell ref="C1696:G1696"/>
    <mergeCell ref="H1696:J1696"/>
    <mergeCell ref="L1696:Q1696"/>
    <mergeCell ref="L1693:L1695"/>
    <mergeCell ref="M1693:Q1693"/>
    <mergeCell ref="M1694:N1694"/>
    <mergeCell ref="B1699:D1699"/>
    <mergeCell ref="B1700:B1701"/>
    <mergeCell ref="H1700:H1701"/>
    <mergeCell ref="I1700:I1701"/>
    <mergeCell ref="J1700:J1701"/>
    <mergeCell ref="K1700:K1701"/>
    <mergeCell ref="R1720:T1721"/>
    <mergeCell ref="L1717:L1719"/>
    <mergeCell ref="M1717:Q1718"/>
    <mergeCell ref="C1718:E1718"/>
    <mergeCell ref="G1718:H1718"/>
    <mergeCell ref="M1700:M1701"/>
    <mergeCell ref="N1700:N1701"/>
    <mergeCell ref="O1700:P1700"/>
    <mergeCell ref="R1700:T1701"/>
    <mergeCell ref="L1700:L1701"/>
    <mergeCell ref="I1718:K1718"/>
    <mergeCell ref="C1719:D1719"/>
    <mergeCell ref="M1719:P1719"/>
    <mergeCell ref="L1720:L1722"/>
    <mergeCell ref="M1720:Q1720"/>
    <mergeCell ref="M1721:N1721"/>
    <mergeCell ref="P1721:Q1721"/>
    <mergeCell ref="P1662:Q1662"/>
    <mergeCell ref="L1663:L1665"/>
    <mergeCell ref="M1663:Q1663"/>
    <mergeCell ref="M1664:N1664"/>
    <mergeCell ref="P1664:Q1664"/>
    <mergeCell ref="M1665:N1665"/>
    <mergeCell ref="P1665:Q1665"/>
    <mergeCell ref="C1666:G1666"/>
    <mergeCell ref="H1666:J1666"/>
    <mergeCell ref="L1666:Q1666"/>
    <mergeCell ref="B1669:D1669"/>
    <mergeCell ref="B1670:B1671"/>
    <mergeCell ref="H1670:H1671"/>
    <mergeCell ref="I1670:I1671"/>
    <mergeCell ref="J1670:J1671"/>
    <mergeCell ref="K1670:K1671"/>
    <mergeCell ref="L1670:L1671"/>
    <mergeCell ref="M1670:M1671"/>
    <mergeCell ref="N1670:N1671"/>
    <mergeCell ref="O1670:P1670"/>
    <mergeCell ref="R1670:T1671"/>
    <mergeCell ref="B1609:D1609"/>
    <mergeCell ref="B1610:B1611"/>
    <mergeCell ref="H1610:H1611"/>
    <mergeCell ref="I1610:I1611"/>
    <mergeCell ref="J1610:J1611"/>
    <mergeCell ref="K1610:K1611"/>
    <mergeCell ref="L1610:L1611"/>
    <mergeCell ref="L1627:L1629"/>
    <mergeCell ref="M1627:Q1628"/>
    <mergeCell ref="C1628:E1628"/>
    <mergeCell ref="G1628:H1628"/>
    <mergeCell ref="M1610:M1611"/>
    <mergeCell ref="N1610:N1611"/>
    <mergeCell ref="O1610:P1610"/>
    <mergeCell ref="I1628:K1628"/>
    <mergeCell ref="C1629:D1629"/>
    <mergeCell ref="M1629:P1629"/>
    <mergeCell ref="L1630:L1632"/>
    <mergeCell ref="M1630:Q1630"/>
    <mergeCell ref="M1631:N1631"/>
    <mergeCell ref="P1631:Q1631"/>
    <mergeCell ref="M1632:N1632"/>
    <mergeCell ref="P1632:Q1632"/>
    <mergeCell ref="L1633:L1635"/>
    <mergeCell ref="M1633:Q1633"/>
    <mergeCell ref="M1634:N1634"/>
    <mergeCell ref="P1634:Q1634"/>
    <mergeCell ref="M1635:N1635"/>
    <mergeCell ref="P1635:Q1635"/>
    <mergeCell ref="H1636:J1636"/>
    <mergeCell ref="L1636:Q1636"/>
    <mergeCell ref="B1639:D1639"/>
    <mergeCell ref="B1640:B1641"/>
    <mergeCell ref="H1640:H1641"/>
    <mergeCell ref="I1640:I1641"/>
    <mergeCell ref="J1640:J1641"/>
    <mergeCell ref="R1580:T1581"/>
    <mergeCell ref="R1583:T1583"/>
    <mergeCell ref="R1584:T1584"/>
    <mergeCell ref="M1600:Q1600"/>
    <mergeCell ref="M1601:N1601"/>
    <mergeCell ref="P1601:Q1601"/>
    <mergeCell ref="C1597:K1597"/>
    <mergeCell ref="L1597:L1599"/>
    <mergeCell ref="M1597:Q1598"/>
    <mergeCell ref="C1598:E1598"/>
    <mergeCell ref="G1598:H1598"/>
    <mergeCell ref="I1598:K1598"/>
    <mergeCell ref="C1599:D1599"/>
    <mergeCell ref="M1599:P1599"/>
    <mergeCell ref="M1602:N1602"/>
    <mergeCell ref="P1602:Q1602"/>
    <mergeCell ref="P1604:Q1604"/>
    <mergeCell ref="M1605:N1605"/>
    <mergeCell ref="P1605:Q1605"/>
    <mergeCell ref="C1606:G1606"/>
    <mergeCell ref="H1606:J1606"/>
    <mergeCell ref="L1606:Q1606"/>
    <mergeCell ref="L1603:L1605"/>
    <mergeCell ref="M1603:Q1603"/>
    <mergeCell ref="M1604:N1604"/>
    <mergeCell ref="L1550:L1551"/>
    <mergeCell ref="P1542:Q1542"/>
    <mergeCell ref="L1543:L1545"/>
    <mergeCell ref="M1543:Q1543"/>
    <mergeCell ref="M1544:N1544"/>
    <mergeCell ref="P1544:Q1544"/>
    <mergeCell ref="M1545:N1545"/>
    <mergeCell ref="P1545:Q1545"/>
    <mergeCell ref="R1553:T1553"/>
    <mergeCell ref="R1554:T1554"/>
    <mergeCell ref="C1546:G1546"/>
    <mergeCell ref="H1546:J1546"/>
    <mergeCell ref="L1546:Q1546"/>
    <mergeCell ref="B1549:D1549"/>
    <mergeCell ref="B1550:B1551"/>
    <mergeCell ref="H1550:H1551"/>
    <mergeCell ref="I1550:I1551"/>
    <mergeCell ref="J1550:J1551"/>
    <mergeCell ref="R1555:T1555"/>
    <mergeCell ref="R1562:T1562"/>
    <mergeCell ref="B1566:T1566"/>
    <mergeCell ref="B1567:B1576"/>
    <mergeCell ref="C1567:K1567"/>
    <mergeCell ref="L1567:L1569"/>
    <mergeCell ref="M1567:Q1568"/>
    <mergeCell ref="C1568:E1568"/>
    <mergeCell ref="G1568:H1568"/>
    <mergeCell ref="I1568:K1568"/>
    <mergeCell ref="C1569:D1569"/>
    <mergeCell ref="M1569:P1569"/>
    <mergeCell ref="L1570:L1572"/>
    <mergeCell ref="M1570:Q1570"/>
    <mergeCell ref="M1571:N1571"/>
    <mergeCell ref="P1571:Q1571"/>
    <mergeCell ref="M1572:N1572"/>
    <mergeCell ref="P1572:Q1572"/>
    <mergeCell ref="L1573:L1575"/>
    <mergeCell ref="M1573:Q1573"/>
    <mergeCell ref="M1574:N1574"/>
    <mergeCell ref="P1574:Q1574"/>
    <mergeCell ref="M1575:N1575"/>
    <mergeCell ref="P1575:Q1575"/>
    <mergeCell ref="C1576:G1576"/>
    <mergeCell ref="H1576:J1576"/>
    <mergeCell ref="L1576:Q1576"/>
    <mergeCell ref="R1493:T1493"/>
    <mergeCell ref="R1494:T1494"/>
    <mergeCell ref="B1507:B1516"/>
    <mergeCell ref="C1507:K1507"/>
    <mergeCell ref="L1507:L1509"/>
    <mergeCell ref="M1507:Q1508"/>
    <mergeCell ref="C1508:E1508"/>
    <mergeCell ref="G1508:H1508"/>
    <mergeCell ref="I1508:K1508"/>
    <mergeCell ref="C1509:D1509"/>
    <mergeCell ref="M1509:P1509"/>
    <mergeCell ref="L1510:L1512"/>
    <mergeCell ref="M1510:Q1510"/>
    <mergeCell ref="M1511:N1511"/>
    <mergeCell ref="P1511:Q1511"/>
    <mergeCell ref="M1512:N1512"/>
    <mergeCell ref="P1512:Q1512"/>
    <mergeCell ref="P1514:Q1514"/>
    <mergeCell ref="M1515:N1515"/>
    <mergeCell ref="P1515:Q1515"/>
    <mergeCell ref="C1516:G1516"/>
    <mergeCell ref="H1516:J1516"/>
    <mergeCell ref="L1516:Q1516"/>
    <mergeCell ref="L1513:L1515"/>
    <mergeCell ref="M1513:Q1513"/>
    <mergeCell ref="M1514:N1514"/>
    <mergeCell ref="B1519:D1519"/>
    <mergeCell ref="B1520:B1521"/>
    <mergeCell ref="H1520:H1521"/>
    <mergeCell ref="I1520:I1521"/>
    <mergeCell ref="J1520:J1521"/>
    <mergeCell ref="K1520:K1521"/>
    <mergeCell ref="R1540:T1541"/>
    <mergeCell ref="L1537:L1539"/>
    <mergeCell ref="M1537:Q1538"/>
    <mergeCell ref="C1538:E1538"/>
    <mergeCell ref="G1538:H1538"/>
    <mergeCell ref="M1520:M1521"/>
    <mergeCell ref="N1520:N1521"/>
    <mergeCell ref="O1520:P1520"/>
    <mergeCell ref="R1520:T1521"/>
    <mergeCell ref="L1520:L1521"/>
    <mergeCell ref="I1538:K1538"/>
    <mergeCell ref="C1539:D1539"/>
    <mergeCell ref="M1539:P1539"/>
    <mergeCell ref="L1540:L1542"/>
    <mergeCell ref="M1540:Q1540"/>
    <mergeCell ref="M1541:N1541"/>
    <mergeCell ref="P1541:Q1541"/>
    <mergeCell ref="M1542:N1542"/>
    <mergeCell ref="R1528:T1528"/>
    <mergeCell ref="R1529:T1529"/>
    <mergeCell ref="R1530:T1530"/>
    <mergeCell ref="R1531:T1531"/>
    <mergeCell ref="R1532:T1532"/>
    <mergeCell ref="B1536:T1536"/>
    <mergeCell ref="B1537:B1546"/>
    <mergeCell ref="C1537:K1537"/>
    <mergeCell ref="O1490:P1490"/>
    <mergeCell ref="R1490:T1491"/>
    <mergeCell ref="B1429:D1429"/>
    <mergeCell ref="B1430:B1431"/>
    <mergeCell ref="H1430:H1431"/>
    <mergeCell ref="I1430:I1431"/>
    <mergeCell ref="J1430:J1431"/>
    <mergeCell ref="K1430:K1431"/>
    <mergeCell ref="L1430:L1431"/>
    <mergeCell ref="L1447:L1449"/>
    <mergeCell ref="M1447:Q1448"/>
    <mergeCell ref="C1448:E1448"/>
    <mergeCell ref="G1448:H1448"/>
    <mergeCell ref="M1430:M1431"/>
    <mergeCell ref="N1430:N1431"/>
    <mergeCell ref="O1430:P1430"/>
    <mergeCell ref="I1448:K1448"/>
    <mergeCell ref="C1449:D1449"/>
    <mergeCell ref="M1449:P1449"/>
    <mergeCell ref="L1450:L1452"/>
    <mergeCell ref="M1450:Q1450"/>
    <mergeCell ref="M1451:N1451"/>
    <mergeCell ref="P1451:Q1451"/>
    <mergeCell ref="M1452:N1452"/>
    <mergeCell ref="P1452:Q1452"/>
    <mergeCell ref="L1453:L1455"/>
    <mergeCell ref="M1453:Q1453"/>
    <mergeCell ref="M1454:N1454"/>
    <mergeCell ref="P1454:Q1454"/>
    <mergeCell ref="M1455:N1455"/>
    <mergeCell ref="P1455:Q1455"/>
    <mergeCell ref="H1456:J1456"/>
    <mergeCell ref="L1456:Q1456"/>
    <mergeCell ref="B1459:D1459"/>
    <mergeCell ref="B1460:B1461"/>
    <mergeCell ref="H1460:H1461"/>
    <mergeCell ref="I1460:I1461"/>
    <mergeCell ref="J1460:J1461"/>
    <mergeCell ref="K1460:K1461"/>
    <mergeCell ref="L1460:L1461"/>
    <mergeCell ref="R1442:T1442"/>
    <mergeCell ref="B1446:T1446"/>
    <mergeCell ref="B1447:B1456"/>
    <mergeCell ref="C1447:K1447"/>
    <mergeCell ref="M1460:M1461"/>
    <mergeCell ref="N1460:N1461"/>
    <mergeCell ref="O1460:P1460"/>
    <mergeCell ref="R1460:T1461"/>
    <mergeCell ref="C1456:G1456"/>
    <mergeCell ref="R1471:T1471"/>
    <mergeCell ref="R1438:T1438"/>
    <mergeCell ref="R1439:T1439"/>
    <mergeCell ref="R1440:T1440"/>
    <mergeCell ref="R1441:T1441"/>
    <mergeCell ref="R1465:T1465"/>
    <mergeCell ref="R1463:T1463"/>
    <mergeCell ref="R1464:T1464"/>
    <mergeCell ref="R1468:T1468"/>
    <mergeCell ref="M1400:M1401"/>
    <mergeCell ref="N1400:N1401"/>
    <mergeCell ref="O1400:P1400"/>
    <mergeCell ref="R1400:T1401"/>
    <mergeCell ref="R1403:T1403"/>
    <mergeCell ref="R1404:T1404"/>
    <mergeCell ref="M1420:Q1420"/>
    <mergeCell ref="M1421:N1421"/>
    <mergeCell ref="P1421:Q1421"/>
    <mergeCell ref="C1417:K1417"/>
    <mergeCell ref="L1417:L1419"/>
    <mergeCell ref="M1417:Q1418"/>
    <mergeCell ref="C1418:E1418"/>
    <mergeCell ref="G1418:H1418"/>
    <mergeCell ref="I1418:K1418"/>
    <mergeCell ref="C1419:D1419"/>
    <mergeCell ref="M1419:P1419"/>
    <mergeCell ref="M1422:N1422"/>
    <mergeCell ref="P1422:Q1422"/>
    <mergeCell ref="P1424:Q1424"/>
    <mergeCell ref="M1425:N1425"/>
    <mergeCell ref="P1425:Q1425"/>
    <mergeCell ref="C1426:G1426"/>
    <mergeCell ref="H1426:J1426"/>
    <mergeCell ref="L1426:Q1426"/>
    <mergeCell ref="L1423:L1425"/>
    <mergeCell ref="M1423:Q1423"/>
    <mergeCell ref="M1424:N1424"/>
    <mergeCell ref="L1370:L1371"/>
    <mergeCell ref="P1362:Q1362"/>
    <mergeCell ref="L1363:L1365"/>
    <mergeCell ref="M1363:Q1363"/>
    <mergeCell ref="M1364:N1364"/>
    <mergeCell ref="P1364:Q1364"/>
    <mergeCell ref="M1365:N1365"/>
    <mergeCell ref="P1365:Q1365"/>
    <mergeCell ref="R1373:T1373"/>
    <mergeCell ref="R1374:T1374"/>
    <mergeCell ref="C1366:G1366"/>
    <mergeCell ref="H1366:J1366"/>
    <mergeCell ref="L1366:Q1366"/>
    <mergeCell ref="B1369:D1369"/>
    <mergeCell ref="B1370:B1371"/>
    <mergeCell ref="H1370:H1371"/>
    <mergeCell ref="I1370:I1371"/>
    <mergeCell ref="J1370:J1371"/>
    <mergeCell ref="R1375:T1375"/>
    <mergeCell ref="R1382:T1382"/>
    <mergeCell ref="B1386:T1386"/>
    <mergeCell ref="B1387:B1396"/>
    <mergeCell ref="C1387:K1387"/>
    <mergeCell ref="L1387:L1389"/>
    <mergeCell ref="M1387:Q1388"/>
    <mergeCell ref="C1388:E1388"/>
    <mergeCell ref="G1388:H1388"/>
    <mergeCell ref="I1388:K1388"/>
    <mergeCell ref="C1389:D1389"/>
    <mergeCell ref="M1389:P1389"/>
    <mergeCell ref="L1390:L1392"/>
    <mergeCell ref="M1390:Q1390"/>
    <mergeCell ref="M1391:N1391"/>
    <mergeCell ref="P1391:Q1391"/>
    <mergeCell ref="M1392:N1392"/>
    <mergeCell ref="P1392:Q1392"/>
    <mergeCell ref="L1393:L1395"/>
    <mergeCell ref="M1393:Q1393"/>
    <mergeCell ref="M1394:N1394"/>
    <mergeCell ref="P1394:Q1394"/>
    <mergeCell ref="M1395:N1395"/>
    <mergeCell ref="P1395:Q1395"/>
    <mergeCell ref="C1396:G1396"/>
    <mergeCell ref="H1396:J1396"/>
    <mergeCell ref="L1396:Q1396"/>
    <mergeCell ref="R1313:T1313"/>
    <mergeCell ref="R1314:T1314"/>
    <mergeCell ref="B1327:B1336"/>
    <mergeCell ref="C1327:K1327"/>
    <mergeCell ref="L1327:L1329"/>
    <mergeCell ref="M1327:Q1328"/>
    <mergeCell ref="C1328:E1328"/>
    <mergeCell ref="G1328:H1328"/>
    <mergeCell ref="I1328:K1328"/>
    <mergeCell ref="C1329:D1329"/>
    <mergeCell ref="M1329:P1329"/>
    <mergeCell ref="L1330:L1332"/>
    <mergeCell ref="M1330:Q1330"/>
    <mergeCell ref="M1331:N1331"/>
    <mergeCell ref="P1331:Q1331"/>
    <mergeCell ref="M1332:N1332"/>
    <mergeCell ref="P1332:Q1332"/>
    <mergeCell ref="P1334:Q1334"/>
    <mergeCell ref="M1335:N1335"/>
    <mergeCell ref="P1335:Q1335"/>
    <mergeCell ref="C1336:G1336"/>
    <mergeCell ref="H1336:J1336"/>
    <mergeCell ref="L1336:Q1336"/>
    <mergeCell ref="L1333:L1335"/>
    <mergeCell ref="M1333:Q1333"/>
    <mergeCell ref="M1334:N1334"/>
    <mergeCell ref="B1339:D1339"/>
    <mergeCell ref="B1340:B1341"/>
    <mergeCell ref="H1340:H1341"/>
    <mergeCell ref="I1340:I1341"/>
    <mergeCell ref="J1340:J1341"/>
    <mergeCell ref="K1340:K1341"/>
    <mergeCell ref="R1360:T1361"/>
    <mergeCell ref="L1357:L1359"/>
    <mergeCell ref="M1357:Q1358"/>
    <mergeCell ref="C1358:E1358"/>
    <mergeCell ref="G1358:H1358"/>
    <mergeCell ref="M1340:M1341"/>
    <mergeCell ref="N1340:N1341"/>
    <mergeCell ref="O1340:P1340"/>
    <mergeCell ref="R1340:T1341"/>
    <mergeCell ref="L1340:L1341"/>
    <mergeCell ref="I1358:K1358"/>
    <mergeCell ref="C1359:D1359"/>
    <mergeCell ref="M1359:P1359"/>
    <mergeCell ref="L1360:L1362"/>
    <mergeCell ref="M1360:Q1360"/>
    <mergeCell ref="M1361:N1361"/>
    <mergeCell ref="P1361:Q1361"/>
    <mergeCell ref="M1362:N1362"/>
    <mergeCell ref="R1316:T1316"/>
    <mergeCell ref="R1317:T1317"/>
    <mergeCell ref="R1318:T1318"/>
    <mergeCell ref="R1319:T1319"/>
    <mergeCell ref="R1315:T1315"/>
    <mergeCell ref="R1320:T1320"/>
    <mergeCell ref="R1321:T1321"/>
    <mergeCell ref="R1292:T1292"/>
    <mergeCell ref="B1296:T1296"/>
    <mergeCell ref="B1297:B1306"/>
    <mergeCell ref="C1297:K1297"/>
    <mergeCell ref="L1297:L1299"/>
    <mergeCell ref="M1297:Q1298"/>
    <mergeCell ref="C1298:E1298"/>
    <mergeCell ref="G1298:H1298"/>
    <mergeCell ref="I1298:K1298"/>
    <mergeCell ref="C1299:D1299"/>
    <mergeCell ref="M1299:P1299"/>
    <mergeCell ref="L1300:L1302"/>
    <mergeCell ref="M1300:Q1300"/>
    <mergeCell ref="M1301:N1301"/>
    <mergeCell ref="P1301:Q1301"/>
    <mergeCell ref="M1302:N1302"/>
    <mergeCell ref="P1302:Q1302"/>
    <mergeCell ref="L1303:L1305"/>
    <mergeCell ref="M1303:Q1303"/>
    <mergeCell ref="M1304:N1304"/>
    <mergeCell ref="P1304:Q1304"/>
    <mergeCell ref="M1305:N1305"/>
    <mergeCell ref="P1305:Q1305"/>
    <mergeCell ref="C1306:G1306"/>
    <mergeCell ref="H1306:J1306"/>
    <mergeCell ref="L1306:Q1306"/>
    <mergeCell ref="B1309:D1309"/>
    <mergeCell ref="B1310:B1311"/>
    <mergeCell ref="H1310:H1311"/>
    <mergeCell ref="I1310:I1311"/>
    <mergeCell ref="J1310:J1311"/>
    <mergeCell ref="K1310:K1311"/>
    <mergeCell ref="L1310:L1311"/>
    <mergeCell ref="M1310:M1311"/>
    <mergeCell ref="N1310:N1311"/>
    <mergeCell ref="O1310:P1310"/>
    <mergeCell ref="R1310:T1311"/>
    <mergeCell ref="I1268:K1268"/>
    <mergeCell ref="C1269:D1269"/>
    <mergeCell ref="M1269:P1269"/>
    <mergeCell ref="L1270:L1272"/>
    <mergeCell ref="M1270:Q1270"/>
    <mergeCell ref="M1271:N1271"/>
    <mergeCell ref="P1271:Q1271"/>
    <mergeCell ref="M1272:N1272"/>
    <mergeCell ref="P1272:Q1272"/>
    <mergeCell ref="L1273:L1275"/>
    <mergeCell ref="M1273:Q1273"/>
    <mergeCell ref="M1274:N1274"/>
    <mergeCell ref="P1274:Q1274"/>
    <mergeCell ref="M1275:N1275"/>
    <mergeCell ref="P1275:Q1275"/>
    <mergeCell ref="H1276:J1276"/>
    <mergeCell ref="L1276:Q1276"/>
    <mergeCell ref="B1279:D1279"/>
    <mergeCell ref="B1280:B1281"/>
    <mergeCell ref="H1280:H1281"/>
    <mergeCell ref="I1280:I1281"/>
    <mergeCell ref="J1280:J1281"/>
    <mergeCell ref="K1280:K1281"/>
    <mergeCell ref="L1280:L1281"/>
    <mergeCell ref="B1219:D1219"/>
    <mergeCell ref="B1220:B1221"/>
    <mergeCell ref="H1220:H1221"/>
    <mergeCell ref="I1220:I1221"/>
    <mergeCell ref="J1220:J1221"/>
    <mergeCell ref="K1220:K1221"/>
    <mergeCell ref="L1220:L1221"/>
    <mergeCell ref="L1240:L1242"/>
    <mergeCell ref="M1220:M1221"/>
    <mergeCell ref="N1220:N1221"/>
    <mergeCell ref="O1220:P1220"/>
    <mergeCell ref="R1220:T1221"/>
    <mergeCell ref="R1223:T1223"/>
    <mergeCell ref="R1224:T1224"/>
    <mergeCell ref="M1240:Q1240"/>
    <mergeCell ref="M1241:N1241"/>
    <mergeCell ref="P1241:Q1241"/>
    <mergeCell ref="C1237:K1237"/>
    <mergeCell ref="L1237:L1239"/>
    <mergeCell ref="M1237:Q1238"/>
    <mergeCell ref="C1238:E1238"/>
    <mergeCell ref="G1238:H1238"/>
    <mergeCell ref="I1238:K1238"/>
    <mergeCell ref="C1239:D1239"/>
    <mergeCell ref="M1239:P1239"/>
    <mergeCell ref="M1242:N1242"/>
    <mergeCell ref="P1242:Q1242"/>
    <mergeCell ref="P1244:Q1244"/>
    <mergeCell ref="M1245:N1245"/>
    <mergeCell ref="P1245:Q1245"/>
    <mergeCell ref="C1246:G1246"/>
    <mergeCell ref="H1246:J1246"/>
    <mergeCell ref="L1246:Q1246"/>
    <mergeCell ref="L1243:L1245"/>
    <mergeCell ref="M1243:Q1243"/>
    <mergeCell ref="M1244:N1244"/>
    <mergeCell ref="L1190:L1191"/>
    <mergeCell ref="P1182:Q1182"/>
    <mergeCell ref="L1183:L1185"/>
    <mergeCell ref="M1183:Q1183"/>
    <mergeCell ref="M1184:N1184"/>
    <mergeCell ref="P1184:Q1184"/>
    <mergeCell ref="M1185:N1185"/>
    <mergeCell ref="P1185:Q1185"/>
    <mergeCell ref="R1193:T1193"/>
    <mergeCell ref="R1194:T1194"/>
    <mergeCell ref="C1186:G1186"/>
    <mergeCell ref="H1186:J1186"/>
    <mergeCell ref="L1186:Q1186"/>
    <mergeCell ref="B1189:D1189"/>
    <mergeCell ref="B1190:B1191"/>
    <mergeCell ref="H1190:H1191"/>
    <mergeCell ref="I1190:I1191"/>
    <mergeCell ref="J1190:J1191"/>
    <mergeCell ref="R1195:T1195"/>
    <mergeCell ref="R1202:T1202"/>
    <mergeCell ref="B1206:T1206"/>
    <mergeCell ref="B1207:B1216"/>
    <mergeCell ref="C1207:K1207"/>
    <mergeCell ref="L1207:L1209"/>
    <mergeCell ref="M1207:Q1208"/>
    <mergeCell ref="C1208:E1208"/>
    <mergeCell ref="G1208:H1208"/>
    <mergeCell ref="I1208:K1208"/>
    <mergeCell ref="C1209:D1209"/>
    <mergeCell ref="M1209:P1209"/>
    <mergeCell ref="L1210:L1212"/>
    <mergeCell ref="M1210:Q1210"/>
    <mergeCell ref="M1211:N1211"/>
    <mergeCell ref="P1211:Q1211"/>
    <mergeCell ref="M1212:N1212"/>
    <mergeCell ref="P1212:Q1212"/>
    <mergeCell ref="L1213:L1215"/>
    <mergeCell ref="M1213:Q1213"/>
    <mergeCell ref="M1214:N1214"/>
    <mergeCell ref="P1214:Q1214"/>
    <mergeCell ref="M1215:N1215"/>
    <mergeCell ref="P1215:Q1215"/>
    <mergeCell ref="C1216:G1216"/>
    <mergeCell ref="H1216:J1216"/>
    <mergeCell ref="L1216:Q1216"/>
    <mergeCell ref="R1196:T1196"/>
    <mergeCell ref="R1197:T1197"/>
    <mergeCell ref="R1198:T1198"/>
    <mergeCell ref="R1199:T1199"/>
    <mergeCell ref="R1200:T1200"/>
    <mergeCell ref="R1201:T1201"/>
    <mergeCell ref="R1207:S1209"/>
    <mergeCell ref="T1207:T1209"/>
    <mergeCell ref="R1210:T1211"/>
    <mergeCell ref="R1133:T1133"/>
    <mergeCell ref="R1134:T1134"/>
    <mergeCell ref="B1147:B1156"/>
    <mergeCell ref="C1147:K1147"/>
    <mergeCell ref="L1147:L1149"/>
    <mergeCell ref="M1147:Q1148"/>
    <mergeCell ref="C1148:E1148"/>
    <mergeCell ref="G1148:H1148"/>
    <mergeCell ref="I1148:K1148"/>
    <mergeCell ref="C1149:D1149"/>
    <mergeCell ref="M1149:P1149"/>
    <mergeCell ref="L1150:L1152"/>
    <mergeCell ref="M1150:Q1150"/>
    <mergeCell ref="M1151:N1151"/>
    <mergeCell ref="P1151:Q1151"/>
    <mergeCell ref="M1152:N1152"/>
    <mergeCell ref="P1152:Q1152"/>
    <mergeCell ref="P1154:Q1154"/>
    <mergeCell ref="M1155:N1155"/>
    <mergeCell ref="P1155:Q1155"/>
    <mergeCell ref="C1156:G1156"/>
    <mergeCell ref="H1156:J1156"/>
    <mergeCell ref="L1156:Q1156"/>
    <mergeCell ref="L1153:L1155"/>
    <mergeCell ref="M1153:Q1153"/>
    <mergeCell ref="M1154:N1154"/>
    <mergeCell ref="B1159:D1159"/>
    <mergeCell ref="B1160:B1161"/>
    <mergeCell ref="H1160:H1161"/>
    <mergeCell ref="I1160:I1161"/>
    <mergeCell ref="J1160:J1161"/>
    <mergeCell ref="K1160:K1161"/>
    <mergeCell ref="R1180:T1181"/>
    <mergeCell ref="L1177:L1179"/>
    <mergeCell ref="M1177:Q1178"/>
    <mergeCell ref="C1178:E1178"/>
    <mergeCell ref="G1178:H1178"/>
    <mergeCell ref="M1160:M1161"/>
    <mergeCell ref="N1160:N1161"/>
    <mergeCell ref="O1160:P1160"/>
    <mergeCell ref="R1160:T1161"/>
    <mergeCell ref="L1160:L1161"/>
    <mergeCell ref="I1178:K1178"/>
    <mergeCell ref="C1179:D1179"/>
    <mergeCell ref="M1179:P1179"/>
    <mergeCell ref="L1180:L1182"/>
    <mergeCell ref="M1180:Q1180"/>
    <mergeCell ref="M1181:N1181"/>
    <mergeCell ref="P1181:Q1181"/>
    <mergeCell ref="P1122:Q1122"/>
    <mergeCell ref="L1123:L1125"/>
    <mergeCell ref="M1123:Q1123"/>
    <mergeCell ref="M1124:N1124"/>
    <mergeCell ref="P1124:Q1124"/>
    <mergeCell ref="M1125:N1125"/>
    <mergeCell ref="P1125:Q1125"/>
    <mergeCell ref="C1126:G1126"/>
    <mergeCell ref="H1126:J1126"/>
    <mergeCell ref="L1126:Q1126"/>
    <mergeCell ref="B1129:D1129"/>
    <mergeCell ref="B1130:B1131"/>
    <mergeCell ref="H1130:H1131"/>
    <mergeCell ref="I1130:I1131"/>
    <mergeCell ref="J1130:J1131"/>
    <mergeCell ref="K1130:K1131"/>
    <mergeCell ref="L1130:L1131"/>
    <mergeCell ref="M1130:M1131"/>
    <mergeCell ref="N1130:N1131"/>
    <mergeCell ref="O1130:P1130"/>
    <mergeCell ref="R1130:T1131"/>
    <mergeCell ref="B1069:D1069"/>
    <mergeCell ref="B1070:B1071"/>
    <mergeCell ref="H1070:H1071"/>
    <mergeCell ref="I1070:I1071"/>
    <mergeCell ref="J1070:J1071"/>
    <mergeCell ref="K1070:K1071"/>
    <mergeCell ref="L1070:L1071"/>
    <mergeCell ref="L1087:L1089"/>
    <mergeCell ref="M1087:Q1088"/>
    <mergeCell ref="C1088:E1088"/>
    <mergeCell ref="G1088:H1088"/>
    <mergeCell ref="M1070:M1071"/>
    <mergeCell ref="N1070:N1071"/>
    <mergeCell ref="O1070:P1070"/>
    <mergeCell ref="I1088:K1088"/>
    <mergeCell ref="C1089:D1089"/>
    <mergeCell ref="M1089:P1089"/>
    <mergeCell ref="L1090:L1092"/>
    <mergeCell ref="M1090:Q1090"/>
    <mergeCell ref="M1091:N1091"/>
    <mergeCell ref="P1091:Q1091"/>
    <mergeCell ref="M1092:N1092"/>
    <mergeCell ref="P1092:Q1092"/>
    <mergeCell ref="L1093:L1095"/>
    <mergeCell ref="M1093:Q1093"/>
    <mergeCell ref="M1094:N1094"/>
    <mergeCell ref="P1094:Q1094"/>
    <mergeCell ref="M1095:N1095"/>
    <mergeCell ref="P1095:Q1095"/>
    <mergeCell ref="H1096:J1096"/>
    <mergeCell ref="L1096:Q1096"/>
    <mergeCell ref="B1099:D1099"/>
    <mergeCell ref="B1100:B1101"/>
    <mergeCell ref="H1100:H1101"/>
    <mergeCell ref="I1100:I1101"/>
    <mergeCell ref="J1100:J1101"/>
    <mergeCell ref="R1040:T1041"/>
    <mergeCell ref="R1043:T1043"/>
    <mergeCell ref="R1044:T1044"/>
    <mergeCell ref="M1060:Q1060"/>
    <mergeCell ref="M1061:N1061"/>
    <mergeCell ref="P1061:Q1061"/>
    <mergeCell ref="C1057:K1057"/>
    <mergeCell ref="L1057:L1059"/>
    <mergeCell ref="M1057:Q1058"/>
    <mergeCell ref="C1058:E1058"/>
    <mergeCell ref="G1058:H1058"/>
    <mergeCell ref="I1058:K1058"/>
    <mergeCell ref="C1059:D1059"/>
    <mergeCell ref="M1059:P1059"/>
    <mergeCell ref="M1062:N1062"/>
    <mergeCell ref="P1062:Q1062"/>
    <mergeCell ref="P1064:Q1064"/>
    <mergeCell ref="M1065:N1065"/>
    <mergeCell ref="P1065:Q1065"/>
    <mergeCell ref="C1066:G1066"/>
    <mergeCell ref="H1066:J1066"/>
    <mergeCell ref="L1066:Q1066"/>
    <mergeCell ref="L1063:L1065"/>
    <mergeCell ref="M1063:Q1063"/>
    <mergeCell ref="M1064:N1064"/>
    <mergeCell ref="L1010:L1011"/>
    <mergeCell ref="P1002:Q1002"/>
    <mergeCell ref="L1003:L1005"/>
    <mergeCell ref="M1003:Q1003"/>
    <mergeCell ref="M1004:N1004"/>
    <mergeCell ref="P1004:Q1004"/>
    <mergeCell ref="M1005:N1005"/>
    <mergeCell ref="P1005:Q1005"/>
    <mergeCell ref="R1013:T1013"/>
    <mergeCell ref="R1014:T1014"/>
    <mergeCell ref="C1006:G1006"/>
    <mergeCell ref="H1006:J1006"/>
    <mergeCell ref="L1006:Q1006"/>
    <mergeCell ref="B1009:D1009"/>
    <mergeCell ref="B1010:B1011"/>
    <mergeCell ref="H1010:H1011"/>
    <mergeCell ref="I1010:I1011"/>
    <mergeCell ref="J1010:J1011"/>
    <mergeCell ref="R1015:T1015"/>
    <mergeCell ref="R1022:T1022"/>
    <mergeCell ref="B1026:T1026"/>
    <mergeCell ref="B1027:B1036"/>
    <mergeCell ref="C1027:K1027"/>
    <mergeCell ref="L1027:L1029"/>
    <mergeCell ref="M1027:Q1028"/>
    <mergeCell ref="C1028:E1028"/>
    <mergeCell ref="G1028:H1028"/>
    <mergeCell ref="I1028:K1028"/>
    <mergeCell ref="C1029:D1029"/>
    <mergeCell ref="M1029:P1029"/>
    <mergeCell ref="L1030:L1032"/>
    <mergeCell ref="M1030:Q1030"/>
    <mergeCell ref="M1031:N1031"/>
    <mergeCell ref="P1031:Q1031"/>
    <mergeCell ref="M1032:N1032"/>
    <mergeCell ref="P1032:Q1032"/>
    <mergeCell ref="L1033:L1035"/>
    <mergeCell ref="M1033:Q1033"/>
    <mergeCell ref="M1034:N1034"/>
    <mergeCell ref="P1034:Q1034"/>
    <mergeCell ref="M1035:N1035"/>
    <mergeCell ref="P1035:Q1035"/>
    <mergeCell ref="C1036:G1036"/>
    <mergeCell ref="H1036:J1036"/>
    <mergeCell ref="L1036:Q1036"/>
    <mergeCell ref="R953:T953"/>
    <mergeCell ref="R954:T954"/>
    <mergeCell ref="B967:B976"/>
    <mergeCell ref="C967:K967"/>
    <mergeCell ref="L967:L969"/>
    <mergeCell ref="M967:Q968"/>
    <mergeCell ref="C968:E968"/>
    <mergeCell ref="G968:H968"/>
    <mergeCell ref="I968:K968"/>
    <mergeCell ref="C969:D969"/>
    <mergeCell ref="M969:P969"/>
    <mergeCell ref="L970:L972"/>
    <mergeCell ref="M970:Q970"/>
    <mergeCell ref="M971:N971"/>
    <mergeCell ref="P971:Q971"/>
    <mergeCell ref="M972:N972"/>
    <mergeCell ref="P972:Q972"/>
    <mergeCell ref="P974:Q974"/>
    <mergeCell ref="M975:N975"/>
    <mergeCell ref="P975:Q975"/>
    <mergeCell ref="C976:G976"/>
    <mergeCell ref="H976:J976"/>
    <mergeCell ref="L976:Q976"/>
    <mergeCell ref="L973:L975"/>
    <mergeCell ref="M973:Q973"/>
    <mergeCell ref="M974:N974"/>
    <mergeCell ref="B979:D979"/>
    <mergeCell ref="B980:B981"/>
    <mergeCell ref="H980:H981"/>
    <mergeCell ref="I980:I981"/>
    <mergeCell ref="J980:J981"/>
    <mergeCell ref="K980:K981"/>
    <mergeCell ref="R1000:T1001"/>
    <mergeCell ref="L997:L999"/>
    <mergeCell ref="M997:Q998"/>
    <mergeCell ref="C998:E998"/>
    <mergeCell ref="G998:H998"/>
    <mergeCell ref="M980:M981"/>
    <mergeCell ref="N980:N981"/>
    <mergeCell ref="O980:P980"/>
    <mergeCell ref="R980:T981"/>
    <mergeCell ref="L980:L981"/>
    <mergeCell ref="I998:K998"/>
    <mergeCell ref="C999:D999"/>
    <mergeCell ref="M999:P999"/>
    <mergeCell ref="L1000:L1002"/>
    <mergeCell ref="M1000:Q1000"/>
    <mergeCell ref="M1001:N1001"/>
    <mergeCell ref="P1001:Q1001"/>
    <mergeCell ref="M1002:N1002"/>
    <mergeCell ref="R988:T988"/>
    <mergeCell ref="R989:T989"/>
    <mergeCell ref="R990:T990"/>
    <mergeCell ref="R991:T991"/>
    <mergeCell ref="R992:T992"/>
    <mergeCell ref="B996:T996"/>
    <mergeCell ref="B997:B1006"/>
    <mergeCell ref="C997:K997"/>
    <mergeCell ref="O950:P950"/>
    <mergeCell ref="R950:T951"/>
    <mergeCell ref="B889:D889"/>
    <mergeCell ref="B890:B891"/>
    <mergeCell ref="H890:H891"/>
    <mergeCell ref="I890:I891"/>
    <mergeCell ref="J890:J891"/>
    <mergeCell ref="K890:K891"/>
    <mergeCell ref="L890:L891"/>
    <mergeCell ref="L907:L909"/>
    <mergeCell ref="M907:Q908"/>
    <mergeCell ref="C908:E908"/>
    <mergeCell ref="G908:H908"/>
    <mergeCell ref="M890:M891"/>
    <mergeCell ref="N890:N891"/>
    <mergeCell ref="O890:P890"/>
    <mergeCell ref="I908:K908"/>
    <mergeCell ref="C909:D909"/>
    <mergeCell ref="M909:P909"/>
    <mergeCell ref="L910:L912"/>
    <mergeCell ref="M910:Q910"/>
    <mergeCell ref="M911:N911"/>
    <mergeCell ref="P911:Q911"/>
    <mergeCell ref="M912:N912"/>
    <mergeCell ref="P912:Q912"/>
    <mergeCell ref="L913:L915"/>
    <mergeCell ref="M913:Q913"/>
    <mergeCell ref="M914:N914"/>
    <mergeCell ref="P914:Q914"/>
    <mergeCell ref="M915:N915"/>
    <mergeCell ref="P915:Q915"/>
    <mergeCell ref="H916:J916"/>
    <mergeCell ref="L916:Q916"/>
    <mergeCell ref="B919:D919"/>
    <mergeCell ref="B920:B921"/>
    <mergeCell ref="H920:H921"/>
    <mergeCell ref="I920:I921"/>
    <mergeCell ref="J920:J921"/>
    <mergeCell ref="K920:K921"/>
    <mergeCell ref="L920:L921"/>
    <mergeCell ref="R902:T902"/>
    <mergeCell ref="B906:T906"/>
    <mergeCell ref="B907:B916"/>
    <mergeCell ref="C907:K907"/>
    <mergeCell ref="M920:M921"/>
    <mergeCell ref="N920:N921"/>
    <mergeCell ref="O920:P920"/>
    <mergeCell ref="R920:T921"/>
    <mergeCell ref="C916:G916"/>
    <mergeCell ref="R931:T931"/>
    <mergeCell ref="R898:T898"/>
    <mergeCell ref="R899:T899"/>
    <mergeCell ref="R900:T900"/>
    <mergeCell ref="R901:T901"/>
    <mergeCell ref="R925:T925"/>
    <mergeCell ref="R923:T923"/>
    <mergeCell ref="R924:T924"/>
    <mergeCell ref="R928:T928"/>
    <mergeCell ref="P885:Q885"/>
    <mergeCell ref="C886:G886"/>
    <mergeCell ref="H886:J886"/>
    <mergeCell ref="L886:Q886"/>
    <mergeCell ref="L883:L885"/>
    <mergeCell ref="M883:Q883"/>
    <mergeCell ref="M884:N884"/>
    <mergeCell ref="L830:L831"/>
    <mergeCell ref="P822:Q822"/>
    <mergeCell ref="L823:L825"/>
    <mergeCell ref="M823:Q823"/>
    <mergeCell ref="M824:N824"/>
    <mergeCell ref="P824:Q824"/>
    <mergeCell ref="M825:N825"/>
    <mergeCell ref="P825:Q825"/>
    <mergeCell ref="R833:T833"/>
    <mergeCell ref="R834:T834"/>
    <mergeCell ref="C826:G826"/>
    <mergeCell ref="H826:J826"/>
    <mergeCell ref="L826:Q826"/>
    <mergeCell ref="B829:D829"/>
    <mergeCell ref="B830:B831"/>
    <mergeCell ref="H830:H831"/>
    <mergeCell ref="I830:I831"/>
    <mergeCell ref="J830:J831"/>
    <mergeCell ref="R835:T835"/>
    <mergeCell ref="R842:T842"/>
    <mergeCell ref="B846:T846"/>
    <mergeCell ref="B847:B856"/>
    <mergeCell ref="C847:K847"/>
    <mergeCell ref="L847:L849"/>
    <mergeCell ref="M847:Q848"/>
    <mergeCell ref="C848:E848"/>
    <mergeCell ref="G848:H848"/>
    <mergeCell ref="I848:K848"/>
    <mergeCell ref="C849:D849"/>
    <mergeCell ref="M849:P849"/>
    <mergeCell ref="L850:L852"/>
    <mergeCell ref="M850:Q850"/>
    <mergeCell ref="M851:N851"/>
    <mergeCell ref="P851:Q851"/>
    <mergeCell ref="M852:N852"/>
    <mergeCell ref="P852:Q852"/>
    <mergeCell ref="L853:L855"/>
    <mergeCell ref="M853:Q853"/>
    <mergeCell ref="M854:N854"/>
    <mergeCell ref="P854:Q854"/>
    <mergeCell ref="M855:N855"/>
    <mergeCell ref="P855:Q855"/>
    <mergeCell ref="C856:G856"/>
    <mergeCell ref="H856:J856"/>
    <mergeCell ref="L856:Q856"/>
    <mergeCell ref="B817:B826"/>
    <mergeCell ref="M830:M831"/>
    <mergeCell ref="N830:N831"/>
    <mergeCell ref="O830:P830"/>
    <mergeCell ref="R830:T831"/>
    <mergeCell ref="K830:K831"/>
    <mergeCell ref="B799:D799"/>
    <mergeCell ref="B800:B801"/>
    <mergeCell ref="H800:H801"/>
    <mergeCell ref="I800:I801"/>
    <mergeCell ref="J800:J801"/>
    <mergeCell ref="K800:K801"/>
    <mergeCell ref="R820:T821"/>
    <mergeCell ref="L817:L819"/>
    <mergeCell ref="M817:Q818"/>
    <mergeCell ref="C818:E818"/>
    <mergeCell ref="G818:H818"/>
    <mergeCell ref="M800:M801"/>
    <mergeCell ref="N800:N801"/>
    <mergeCell ref="O800:P800"/>
    <mergeCell ref="R800:T801"/>
    <mergeCell ref="L800:L801"/>
    <mergeCell ref="I818:K818"/>
    <mergeCell ref="C819:D819"/>
    <mergeCell ref="M819:P819"/>
    <mergeCell ref="L820:L822"/>
    <mergeCell ref="M820:Q820"/>
    <mergeCell ref="M821:N821"/>
    <mergeCell ref="P821:Q821"/>
    <mergeCell ref="M822:N822"/>
    <mergeCell ref="R776:T776"/>
    <mergeCell ref="R777:T777"/>
    <mergeCell ref="R778:T778"/>
    <mergeCell ref="R779:T779"/>
    <mergeCell ref="R775:T775"/>
    <mergeCell ref="R780:T780"/>
    <mergeCell ref="R781:T781"/>
    <mergeCell ref="C817:K817"/>
    <mergeCell ref="I878:K878"/>
    <mergeCell ref="R836:T836"/>
    <mergeCell ref="R837:T837"/>
    <mergeCell ref="R838:T838"/>
    <mergeCell ref="R839:T839"/>
    <mergeCell ref="R840:T840"/>
    <mergeCell ref="R841:T841"/>
    <mergeCell ref="B786:T786"/>
    <mergeCell ref="C729:D729"/>
    <mergeCell ref="M729:P729"/>
    <mergeCell ref="L730:L732"/>
    <mergeCell ref="M730:Q730"/>
    <mergeCell ref="M731:N731"/>
    <mergeCell ref="P731:Q731"/>
    <mergeCell ref="M732:N732"/>
    <mergeCell ref="P732:Q732"/>
    <mergeCell ref="L733:L735"/>
    <mergeCell ref="M733:Q733"/>
    <mergeCell ref="M734:N734"/>
    <mergeCell ref="P734:Q734"/>
    <mergeCell ref="M735:N735"/>
    <mergeCell ref="P735:Q735"/>
    <mergeCell ref="H736:J736"/>
    <mergeCell ref="L736:Q736"/>
    <mergeCell ref="B739:D739"/>
    <mergeCell ref="B740:B741"/>
    <mergeCell ref="H740:H741"/>
    <mergeCell ref="I740:I741"/>
    <mergeCell ref="J740:J741"/>
    <mergeCell ref="K740:K741"/>
    <mergeCell ref="L740:L741"/>
    <mergeCell ref="R773:T773"/>
    <mergeCell ref="R774:T774"/>
    <mergeCell ref="B787:B796"/>
    <mergeCell ref="C787:K787"/>
    <mergeCell ref="L787:L789"/>
    <mergeCell ref="M787:Q788"/>
    <mergeCell ref="C788:E788"/>
    <mergeCell ref="G788:H788"/>
    <mergeCell ref="I788:K788"/>
    <mergeCell ref="C789:D789"/>
    <mergeCell ref="M789:P789"/>
    <mergeCell ref="L790:L792"/>
    <mergeCell ref="M790:Q790"/>
    <mergeCell ref="M791:N791"/>
    <mergeCell ref="P791:Q791"/>
    <mergeCell ref="M792:N792"/>
    <mergeCell ref="P792:Q792"/>
    <mergeCell ref="P794:Q794"/>
    <mergeCell ref="M795:N795"/>
    <mergeCell ref="P795:Q795"/>
    <mergeCell ref="C796:G796"/>
    <mergeCell ref="H796:J796"/>
    <mergeCell ref="L796:Q796"/>
    <mergeCell ref="L793:L795"/>
    <mergeCell ref="M793:Q793"/>
    <mergeCell ref="M794:N794"/>
    <mergeCell ref="R714:T714"/>
    <mergeCell ref="R713:T713"/>
    <mergeCell ref="R710:T711"/>
    <mergeCell ref="R722:T722"/>
    <mergeCell ref="B726:T726"/>
    <mergeCell ref="B727:B736"/>
    <mergeCell ref="C727:K727"/>
    <mergeCell ref="M740:M741"/>
    <mergeCell ref="N740:N741"/>
    <mergeCell ref="O740:P740"/>
    <mergeCell ref="R740:T741"/>
    <mergeCell ref="C736:G736"/>
    <mergeCell ref="R751:T751"/>
    <mergeCell ref="R718:T718"/>
    <mergeCell ref="R719:T719"/>
    <mergeCell ref="R720:T720"/>
    <mergeCell ref="B679:D679"/>
    <mergeCell ref="B680:B681"/>
    <mergeCell ref="H680:H681"/>
    <mergeCell ref="I680:I681"/>
    <mergeCell ref="J680:J681"/>
    <mergeCell ref="K680:K681"/>
    <mergeCell ref="L680:L681"/>
    <mergeCell ref="L700:L702"/>
    <mergeCell ref="M680:M681"/>
    <mergeCell ref="N680:N681"/>
    <mergeCell ref="O680:P680"/>
    <mergeCell ref="R680:T681"/>
    <mergeCell ref="R683:T683"/>
    <mergeCell ref="R684:T684"/>
    <mergeCell ref="M700:Q700"/>
    <mergeCell ref="M701:N701"/>
    <mergeCell ref="P701:Q701"/>
    <mergeCell ref="C697:K697"/>
    <mergeCell ref="L697:L699"/>
    <mergeCell ref="M697:Q698"/>
    <mergeCell ref="C698:E698"/>
    <mergeCell ref="G698:H698"/>
    <mergeCell ref="I698:K698"/>
    <mergeCell ref="C699:D699"/>
    <mergeCell ref="M699:P699"/>
    <mergeCell ref="M702:N702"/>
    <mergeCell ref="P702:Q702"/>
    <mergeCell ref="P704:Q704"/>
    <mergeCell ref="M705:N705"/>
    <mergeCell ref="P705:Q705"/>
    <mergeCell ref="C706:G706"/>
    <mergeCell ref="H706:J706"/>
    <mergeCell ref="L706:Q706"/>
    <mergeCell ref="L703:L705"/>
    <mergeCell ref="M703:Q703"/>
    <mergeCell ref="M704:N704"/>
    <mergeCell ref="I710:I711"/>
    <mergeCell ref="J710:J711"/>
    <mergeCell ref="K710:K711"/>
    <mergeCell ref="L710:L711"/>
    <mergeCell ref="L727:L729"/>
    <mergeCell ref="M727:Q728"/>
    <mergeCell ref="C728:E728"/>
    <mergeCell ref="G728:H728"/>
    <mergeCell ref="M710:M711"/>
    <mergeCell ref="N710:N711"/>
    <mergeCell ref="O710:P710"/>
    <mergeCell ref="I728:K728"/>
    <mergeCell ref="R662:T662"/>
    <mergeCell ref="B666:T666"/>
    <mergeCell ref="B667:B676"/>
    <mergeCell ref="C667:K667"/>
    <mergeCell ref="L667:L669"/>
    <mergeCell ref="M667:Q668"/>
    <mergeCell ref="C668:E668"/>
    <mergeCell ref="G668:H668"/>
    <mergeCell ref="I668:K668"/>
    <mergeCell ref="C669:D669"/>
    <mergeCell ref="M669:P669"/>
    <mergeCell ref="L670:L672"/>
    <mergeCell ref="M670:Q670"/>
    <mergeCell ref="M671:N671"/>
    <mergeCell ref="P671:Q671"/>
    <mergeCell ref="M672:N672"/>
    <mergeCell ref="P672:Q672"/>
    <mergeCell ref="L673:L675"/>
    <mergeCell ref="M673:Q673"/>
    <mergeCell ref="M674:N674"/>
    <mergeCell ref="P674:Q674"/>
    <mergeCell ref="M675:N675"/>
    <mergeCell ref="P675:Q675"/>
    <mergeCell ref="C676:G676"/>
    <mergeCell ref="H676:J676"/>
    <mergeCell ref="L676:Q676"/>
    <mergeCell ref="R658:T658"/>
    <mergeCell ref="R659:T659"/>
    <mergeCell ref="R660:T660"/>
    <mergeCell ref="R661:T661"/>
    <mergeCell ref="R667:S669"/>
    <mergeCell ref="T667:T669"/>
    <mergeCell ref="R670:T671"/>
    <mergeCell ref="L620:L621"/>
    <mergeCell ref="I638:K638"/>
    <mergeCell ref="C639:D639"/>
    <mergeCell ref="M639:P639"/>
    <mergeCell ref="L640:L642"/>
    <mergeCell ref="M640:Q640"/>
    <mergeCell ref="M641:N641"/>
    <mergeCell ref="P641:Q641"/>
    <mergeCell ref="M642:N642"/>
    <mergeCell ref="L650:L651"/>
    <mergeCell ref="P642:Q642"/>
    <mergeCell ref="L643:L645"/>
    <mergeCell ref="M643:Q643"/>
    <mergeCell ref="M644:N644"/>
    <mergeCell ref="P644:Q644"/>
    <mergeCell ref="M645:N645"/>
    <mergeCell ref="P645:Q645"/>
    <mergeCell ref="R653:T653"/>
    <mergeCell ref="B589:D589"/>
    <mergeCell ref="B590:B591"/>
    <mergeCell ref="H590:H591"/>
    <mergeCell ref="I590:I591"/>
    <mergeCell ref="J590:J591"/>
    <mergeCell ref="K590:K591"/>
    <mergeCell ref="L590:L591"/>
    <mergeCell ref="M590:M591"/>
    <mergeCell ref="N590:N591"/>
    <mergeCell ref="O590:P590"/>
    <mergeCell ref="R590:T591"/>
    <mergeCell ref="R593:T593"/>
    <mergeCell ref="B607:B616"/>
    <mergeCell ref="C607:K607"/>
    <mergeCell ref="L607:L609"/>
    <mergeCell ref="M607:Q608"/>
    <mergeCell ref="C608:E608"/>
    <mergeCell ref="G608:H608"/>
    <mergeCell ref="I608:K608"/>
    <mergeCell ref="C609:D609"/>
    <mergeCell ref="M609:P609"/>
    <mergeCell ref="L610:L612"/>
    <mergeCell ref="M610:Q610"/>
    <mergeCell ref="M611:N611"/>
    <mergeCell ref="P611:Q611"/>
    <mergeCell ref="M612:N612"/>
    <mergeCell ref="P612:Q612"/>
    <mergeCell ref="P614:Q614"/>
    <mergeCell ref="M615:N615"/>
    <mergeCell ref="P615:Q615"/>
    <mergeCell ref="C616:G616"/>
    <mergeCell ref="H616:J616"/>
    <mergeCell ref="L616:Q616"/>
    <mergeCell ref="L613:L615"/>
    <mergeCell ref="M613:Q613"/>
    <mergeCell ref="M614:N614"/>
    <mergeCell ref="L550:L552"/>
    <mergeCell ref="M550:Q550"/>
    <mergeCell ref="M551:N551"/>
    <mergeCell ref="P551:Q551"/>
    <mergeCell ref="M552:N552"/>
    <mergeCell ref="P552:Q552"/>
    <mergeCell ref="L553:L555"/>
    <mergeCell ref="M553:Q553"/>
    <mergeCell ref="M554:N554"/>
    <mergeCell ref="P554:Q554"/>
    <mergeCell ref="M555:N555"/>
    <mergeCell ref="P555:Q555"/>
    <mergeCell ref="L556:Q556"/>
    <mergeCell ref="B559:D559"/>
    <mergeCell ref="B560:B561"/>
    <mergeCell ref="H560:H561"/>
    <mergeCell ref="I560:I561"/>
    <mergeCell ref="J560:J561"/>
    <mergeCell ref="K560:K561"/>
    <mergeCell ref="L560:L561"/>
    <mergeCell ref="B577:B586"/>
    <mergeCell ref="C577:K577"/>
    <mergeCell ref="L577:L579"/>
    <mergeCell ref="M577:Q578"/>
    <mergeCell ref="C578:E578"/>
    <mergeCell ref="G578:H578"/>
    <mergeCell ref="I578:K578"/>
    <mergeCell ref="C579:D579"/>
    <mergeCell ref="M579:P579"/>
    <mergeCell ref="L580:L582"/>
    <mergeCell ref="M580:Q580"/>
    <mergeCell ref="M581:N581"/>
    <mergeCell ref="P581:Q581"/>
    <mergeCell ref="M582:N582"/>
    <mergeCell ref="P582:Q582"/>
    <mergeCell ref="L583:L585"/>
    <mergeCell ref="M583:Q583"/>
    <mergeCell ref="M584:N584"/>
    <mergeCell ref="P584:Q584"/>
    <mergeCell ref="M585:N585"/>
    <mergeCell ref="P585:Q585"/>
    <mergeCell ref="C586:G586"/>
    <mergeCell ref="H586:J586"/>
    <mergeCell ref="L586:Q586"/>
    <mergeCell ref="L547:L549"/>
    <mergeCell ref="M547:Q548"/>
    <mergeCell ref="C548:E548"/>
    <mergeCell ref="G548:H548"/>
    <mergeCell ref="M530:M531"/>
    <mergeCell ref="N530:N531"/>
    <mergeCell ref="O530:P530"/>
    <mergeCell ref="I548:K548"/>
    <mergeCell ref="C549:D549"/>
    <mergeCell ref="M549:P549"/>
    <mergeCell ref="P494:Q494"/>
    <mergeCell ref="B487:B496"/>
    <mergeCell ref="C487:K487"/>
    <mergeCell ref="L487:L489"/>
    <mergeCell ref="M487:Q488"/>
    <mergeCell ref="C488:E488"/>
    <mergeCell ref="G488:H488"/>
    <mergeCell ref="I488:K488"/>
    <mergeCell ref="C489:D489"/>
    <mergeCell ref="M489:P489"/>
    <mergeCell ref="I500:I501"/>
    <mergeCell ref="M490:Q490"/>
    <mergeCell ref="M491:N491"/>
    <mergeCell ref="P491:Q491"/>
    <mergeCell ref="M492:N492"/>
    <mergeCell ref="P492:Q492"/>
    <mergeCell ref="L500:L501"/>
    <mergeCell ref="L493:L495"/>
    <mergeCell ref="M493:Q493"/>
    <mergeCell ref="M494:N494"/>
    <mergeCell ref="R500:T501"/>
    <mergeCell ref="M495:N495"/>
    <mergeCell ref="P495:Q495"/>
    <mergeCell ref="M521:N521"/>
    <mergeCell ref="C496:G496"/>
    <mergeCell ref="H496:J496"/>
    <mergeCell ref="L496:Q496"/>
    <mergeCell ref="B499:D499"/>
    <mergeCell ref="B500:B501"/>
    <mergeCell ref="H500:H501"/>
    <mergeCell ref="L517:L519"/>
    <mergeCell ref="J500:J501"/>
    <mergeCell ref="K500:K501"/>
    <mergeCell ref="M500:M501"/>
    <mergeCell ref="N500:N501"/>
    <mergeCell ref="O500:P500"/>
    <mergeCell ref="B439:D439"/>
    <mergeCell ref="B440:B441"/>
    <mergeCell ref="H440:H441"/>
    <mergeCell ref="I440:I441"/>
    <mergeCell ref="J440:J441"/>
    <mergeCell ref="C458:E458"/>
    <mergeCell ref="G458:H458"/>
    <mergeCell ref="I458:K458"/>
    <mergeCell ref="K440:K441"/>
    <mergeCell ref="M459:P459"/>
    <mergeCell ref="L457:L459"/>
    <mergeCell ref="M457:Q458"/>
    <mergeCell ref="C459:D459"/>
    <mergeCell ref="L460:L462"/>
    <mergeCell ref="M460:Q460"/>
    <mergeCell ref="M461:N461"/>
    <mergeCell ref="P461:Q461"/>
    <mergeCell ref="M462:N462"/>
    <mergeCell ref="P462:Q462"/>
    <mergeCell ref="L470:L471"/>
    <mergeCell ref="L463:L465"/>
    <mergeCell ref="M463:Q463"/>
    <mergeCell ref="M464:N464"/>
    <mergeCell ref="P464:Q464"/>
    <mergeCell ref="M465:N465"/>
    <mergeCell ref="P465:Q465"/>
    <mergeCell ref="L490:L492"/>
    <mergeCell ref="C466:G466"/>
    <mergeCell ref="H466:J466"/>
    <mergeCell ref="L466:Q466"/>
    <mergeCell ref="B469:D469"/>
    <mergeCell ref="B470:B471"/>
    <mergeCell ref="H470:H471"/>
    <mergeCell ref="I470:I471"/>
    <mergeCell ref="J470:J471"/>
    <mergeCell ref="K470:K471"/>
    <mergeCell ref="B409:D409"/>
    <mergeCell ref="B410:B411"/>
    <mergeCell ref="H410:H411"/>
    <mergeCell ref="I410:I411"/>
    <mergeCell ref="J410:J411"/>
    <mergeCell ref="K410:K411"/>
    <mergeCell ref="L430:L432"/>
    <mergeCell ref="M410:M411"/>
    <mergeCell ref="N410:N411"/>
    <mergeCell ref="O410:P410"/>
    <mergeCell ref="R410:T411"/>
    <mergeCell ref="R413:T413"/>
    <mergeCell ref="R414:T414"/>
    <mergeCell ref="R422:T422"/>
    <mergeCell ref="B426:T426"/>
    <mergeCell ref="L410:L411"/>
    <mergeCell ref="P434:Q434"/>
    <mergeCell ref="B427:B436"/>
    <mergeCell ref="C427:K427"/>
    <mergeCell ref="L427:L429"/>
    <mergeCell ref="M427:Q428"/>
    <mergeCell ref="C428:E428"/>
    <mergeCell ref="G428:H428"/>
    <mergeCell ref="I428:K428"/>
    <mergeCell ref="C429:D429"/>
    <mergeCell ref="M429:P429"/>
    <mergeCell ref="H436:J436"/>
    <mergeCell ref="L436:Q436"/>
    <mergeCell ref="L433:L435"/>
    <mergeCell ref="M433:Q433"/>
    <mergeCell ref="M434:N434"/>
    <mergeCell ref="M430:Q430"/>
    <mergeCell ref="M431:N431"/>
    <mergeCell ref="P431:Q431"/>
    <mergeCell ref="M432:N432"/>
    <mergeCell ref="P432:Q432"/>
    <mergeCell ref="R416:T416"/>
    <mergeCell ref="R417:T417"/>
    <mergeCell ref="R418:T418"/>
    <mergeCell ref="R419:T419"/>
    <mergeCell ref="R415:T415"/>
    <mergeCell ref="R383:T383"/>
    <mergeCell ref="R384:T384"/>
    <mergeCell ref="C376:G376"/>
    <mergeCell ref="H376:J376"/>
    <mergeCell ref="L376:Q376"/>
    <mergeCell ref="B379:D379"/>
    <mergeCell ref="B380:B381"/>
    <mergeCell ref="H380:H381"/>
    <mergeCell ref="I380:I381"/>
    <mergeCell ref="L380:L381"/>
    <mergeCell ref="C397:K397"/>
    <mergeCell ref="L397:L399"/>
    <mergeCell ref="M397:Q398"/>
    <mergeCell ref="C398:E398"/>
    <mergeCell ref="G398:H398"/>
    <mergeCell ref="M380:M381"/>
    <mergeCell ref="N380:N381"/>
    <mergeCell ref="O380:P380"/>
    <mergeCell ref="J380:J381"/>
    <mergeCell ref="K380:K381"/>
    <mergeCell ref="I398:K398"/>
    <mergeCell ref="C399:D399"/>
    <mergeCell ref="M399:P399"/>
    <mergeCell ref="L400:L402"/>
    <mergeCell ref="M400:Q400"/>
    <mergeCell ref="M401:N401"/>
    <mergeCell ref="P401:Q401"/>
    <mergeCell ref="M402:N402"/>
    <mergeCell ref="P402:Q402"/>
    <mergeCell ref="L403:L405"/>
    <mergeCell ref="M403:Q403"/>
    <mergeCell ref="M404:N404"/>
    <mergeCell ref="P404:Q404"/>
    <mergeCell ref="M405:N405"/>
    <mergeCell ref="P405:Q405"/>
    <mergeCell ref="R397:S399"/>
    <mergeCell ref="T397:T399"/>
    <mergeCell ref="R385:T385"/>
    <mergeCell ref="R392:T392"/>
    <mergeCell ref="B396:T396"/>
    <mergeCell ref="B397:B406"/>
    <mergeCell ref="R400:T401"/>
    <mergeCell ref="C406:G406"/>
    <mergeCell ref="H406:J406"/>
    <mergeCell ref="L406:Q406"/>
    <mergeCell ref="B367:B376"/>
    <mergeCell ref="C367:K367"/>
    <mergeCell ref="R380:T381"/>
    <mergeCell ref="P372:Q372"/>
    <mergeCell ref="L373:L375"/>
    <mergeCell ref="M373:Q373"/>
    <mergeCell ref="R386:T386"/>
    <mergeCell ref="R387:T387"/>
    <mergeCell ref="R388:T388"/>
    <mergeCell ref="R389:T389"/>
    <mergeCell ref="R390:T390"/>
    <mergeCell ref="R391:T391"/>
    <mergeCell ref="R358:T358"/>
    <mergeCell ref="L367:L369"/>
    <mergeCell ref="M367:Q368"/>
    <mergeCell ref="R359:T359"/>
    <mergeCell ref="R360:T360"/>
    <mergeCell ref="C368:E368"/>
    <mergeCell ref="G368:H368"/>
    <mergeCell ref="R361:T361"/>
    <mergeCell ref="M374:N374"/>
    <mergeCell ref="P374:Q374"/>
    <mergeCell ref="M375:N375"/>
    <mergeCell ref="P375:Q375"/>
    <mergeCell ref="L370:L372"/>
    <mergeCell ref="M370:Q370"/>
    <mergeCell ref="M371:N371"/>
    <mergeCell ref="P371:Q371"/>
    <mergeCell ref="M372:N372"/>
    <mergeCell ref="B337:B346"/>
    <mergeCell ref="R340:T341"/>
    <mergeCell ref="R367:S369"/>
    <mergeCell ref="T367:T369"/>
    <mergeCell ref="R370:T371"/>
    <mergeCell ref="R353:T353"/>
    <mergeCell ref="I368:K368"/>
    <mergeCell ref="C369:D369"/>
    <mergeCell ref="M369:P369"/>
    <mergeCell ref="R337:S339"/>
    <mergeCell ref="T337:T339"/>
    <mergeCell ref="L313:L315"/>
    <mergeCell ref="M313:Q313"/>
    <mergeCell ref="M314:N314"/>
    <mergeCell ref="P314:Q314"/>
    <mergeCell ref="M315:N315"/>
    <mergeCell ref="P315:Q315"/>
    <mergeCell ref="L350:L351"/>
    <mergeCell ref="M342:N342"/>
    <mergeCell ref="P342:Q342"/>
    <mergeCell ref="P344:Q344"/>
    <mergeCell ref="M345:N345"/>
    <mergeCell ref="P345:Q345"/>
    <mergeCell ref="M350:M351"/>
    <mergeCell ref="N350:N351"/>
    <mergeCell ref="O350:P350"/>
    <mergeCell ref="M344:N344"/>
    <mergeCell ref="B349:D349"/>
    <mergeCell ref="B350:B351"/>
    <mergeCell ref="R362:T362"/>
    <mergeCell ref="B366:T366"/>
    <mergeCell ref="C316:G316"/>
    <mergeCell ref="H316:J316"/>
    <mergeCell ref="L316:Q316"/>
    <mergeCell ref="B319:D319"/>
    <mergeCell ref="B320:B321"/>
    <mergeCell ref="H320:H321"/>
    <mergeCell ref="I320:I321"/>
    <mergeCell ref="J320:J321"/>
    <mergeCell ref="K320:K321"/>
    <mergeCell ref="L320:L321"/>
    <mergeCell ref="I338:K338"/>
    <mergeCell ref="C339:D339"/>
    <mergeCell ref="M339:P339"/>
    <mergeCell ref="L340:L342"/>
    <mergeCell ref="M320:M321"/>
    <mergeCell ref="N320:N321"/>
    <mergeCell ref="L337:L339"/>
    <mergeCell ref="M337:Q338"/>
    <mergeCell ref="C338:E338"/>
    <mergeCell ref="G338:H338"/>
    <mergeCell ref="B307:B316"/>
    <mergeCell ref="H350:H351"/>
    <mergeCell ref="I350:I351"/>
    <mergeCell ref="J350:J351"/>
    <mergeCell ref="K350:K351"/>
    <mergeCell ref="L280:L282"/>
    <mergeCell ref="M280:Q280"/>
    <mergeCell ref="M281:N281"/>
    <mergeCell ref="P281:Q281"/>
    <mergeCell ref="M282:N282"/>
    <mergeCell ref="L260:L261"/>
    <mergeCell ref="M285:N285"/>
    <mergeCell ref="P285:Q285"/>
    <mergeCell ref="R293:T293"/>
    <mergeCell ref="R294:T294"/>
    <mergeCell ref="C286:G286"/>
    <mergeCell ref="H286:J286"/>
    <mergeCell ref="L286:Q286"/>
    <mergeCell ref="B289:D289"/>
    <mergeCell ref="B290:B291"/>
    <mergeCell ref="M307:Q308"/>
    <mergeCell ref="C308:E308"/>
    <mergeCell ref="G308:H308"/>
    <mergeCell ref="M283:Q283"/>
    <mergeCell ref="M284:N284"/>
    <mergeCell ref="N290:N291"/>
    <mergeCell ref="O290:P290"/>
    <mergeCell ref="J290:J291"/>
    <mergeCell ref="K290:K291"/>
    <mergeCell ref="P284:Q284"/>
    <mergeCell ref="P311:Q311"/>
    <mergeCell ref="M312:N312"/>
    <mergeCell ref="P312:Q312"/>
    <mergeCell ref="C309:D309"/>
    <mergeCell ref="M309:P309"/>
    <mergeCell ref="H290:H291"/>
    <mergeCell ref="I290:I291"/>
    <mergeCell ref="L290:L291"/>
    <mergeCell ref="C307:K307"/>
    <mergeCell ref="L307:L309"/>
    <mergeCell ref="I308:K308"/>
    <mergeCell ref="R307:S309"/>
    <mergeCell ref="T307:T309"/>
    <mergeCell ref="R310:T311"/>
    <mergeCell ref="R295:T295"/>
    <mergeCell ref="R302:T302"/>
    <mergeCell ref="B306:T306"/>
    <mergeCell ref="R277:S279"/>
    <mergeCell ref="T277:T279"/>
    <mergeCell ref="R263:T263"/>
    <mergeCell ref="R260:T261"/>
    <mergeCell ref="R270:T270"/>
    <mergeCell ref="R271:T271"/>
    <mergeCell ref="L310:L312"/>
    <mergeCell ref="M310:Q310"/>
    <mergeCell ref="M311:N311"/>
    <mergeCell ref="R234:T234"/>
    <mergeCell ref="B247:B256"/>
    <mergeCell ref="C247:K247"/>
    <mergeCell ref="L247:L249"/>
    <mergeCell ref="M247:Q248"/>
    <mergeCell ref="C248:E248"/>
    <mergeCell ref="G248:H248"/>
    <mergeCell ref="I248:K248"/>
    <mergeCell ref="C249:D249"/>
    <mergeCell ref="M249:P249"/>
    <mergeCell ref="L250:L252"/>
    <mergeCell ref="M250:Q250"/>
    <mergeCell ref="M251:N251"/>
    <mergeCell ref="P251:Q251"/>
    <mergeCell ref="M252:N252"/>
    <mergeCell ref="P252:Q252"/>
    <mergeCell ref="P254:Q254"/>
    <mergeCell ref="L256:Q256"/>
    <mergeCell ref="L253:L255"/>
    <mergeCell ref="M253:Q253"/>
    <mergeCell ref="M254:N254"/>
    <mergeCell ref="L277:L279"/>
    <mergeCell ref="M277:Q278"/>
    <mergeCell ref="M279:P279"/>
    <mergeCell ref="M260:M261"/>
    <mergeCell ref="N260:N261"/>
    <mergeCell ref="O260:P260"/>
    <mergeCell ref="C279:D279"/>
    <mergeCell ref="B259:D259"/>
    <mergeCell ref="B260:B261"/>
    <mergeCell ref="H260:H261"/>
    <mergeCell ref="I260:I261"/>
    <mergeCell ref="J260:J261"/>
    <mergeCell ref="C278:E278"/>
    <mergeCell ref="G278:H278"/>
    <mergeCell ref="I278:K278"/>
    <mergeCell ref="K260:K261"/>
    <mergeCell ref="R240:T240"/>
    <mergeCell ref="R241:T241"/>
    <mergeCell ref="R247:S249"/>
    <mergeCell ref="T247:T249"/>
    <mergeCell ref="R250:T251"/>
    <mergeCell ref="M217:Q218"/>
    <mergeCell ref="C218:E218"/>
    <mergeCell ref="G218:H218"/>
    <mergeCell ref="I218:K218"/>
    <mergeCell ref="C219:D219"/>
    <mergeCell ref="M219:P219"/>
    <mergeCell ref="L220:L222"/>
    <mergeCell ref="M220:Q220"/>
    <mergeCell ref="M221:N221"/>
    <mergeCell ref="P221:Q221"/>
    <mergeCell ref="M222:N222"/>
    <mergeCell ref="P222:Q222"/>
    <mergeCell ref="L223:L225"/>
    <mergeCell ref="M223:Q223"/>
    <mergeCell ref="M224:N224"/>
    <mergeCell ref="P224:Q224"/>
    <mergeCell ref="M225:N225"/>
    <mergeCell ref="P225:Q225"/>
    <mergeCell ref="C226:G226"/>
    <mergeCell ref="H226:J226"/>
    <mergeCell ref="L226:Q226"/>
    <mergeCell ref="B229:D229"/>
    <mergeCell ref="B230:B231"/>
    <mergeCell ref="H230:H231"/>
    <mergeCell ref="I230:I231"/>
    <mergeCell ref="J230:J231"/>
    <mergeCell ref="K230:K231"/>
    <mergeCell ref="L230:L231"/>
    <mergeCell ref="M230:M231"/>
    <mergeCell ref="N230:N231"/>
    <mergeCell ref="O230:P230"/>
    <mergeCell ref="R230:T231"/>
    <mergeCell ref="R233:T233"/>
    <mergeCell ref="R217:S219"/>
    <mergeCell ref="T217:T219"/>
    <mergeCell ref="B217:B226"/>
    <mergeCell ref="C217:K217"/>
    <mergeCell ref="L217:L219"/>
    <mergeCell ref="M189:P189"/>
    <mergeCell ref="L190:L192"/>
    <mergeCell ref="M190:Q190"/>
    <mergeCell ref="M191:N191"/>
    <mergeCell ref="P191:Q191"/>
    <mergeCell ref="M192:N192"/>
    <mergeCell ref="P192:Q192"/>
    <mergeCell ref="P194:Q194"/>
    <mergeCell ref="M195:N195"/>
    <mergeCell ref="P195:Q195"/>
    <mergeCell ref="C196:G196"/>
    <mergeCell ref="H196:J196"/>
    <mergeCell ref="L196:Q196"/>
    <mergeCell ref="L193:L195"/>
    <mergeCell ref="M193:Q193"/>
    <mergeCell ref="M194:N194"/>
    <mergeCell ref="N200:N201"/>
    <mergeCell ref="O200:P200"/>
    <mergeCell ref="R200:T201"/>
    <mergeCell ref="R203:T203"/>
    <mergeCell ref="B199:D199"/>
    <mergeCell ref="B200:B201"/>
    <mergeCell ref="H200:H201"/>
    <mergeCell ref="I200:I201"/>
    <mergeCell ref="J200:J201"/>
    <mergeCell ref="K200:K201"/>
    <mergeCell ref="P102:Q102"/>
    <mergeCell ref="L103:L105"/>
    <mergeCell ref="M103:Q103"/>
    <mergeCell ref="M104:N104"/>
    <mergeCell ref="P104:Q104"/>
    <mergeCell ref="M105:N105"/>
    <mergeCell ref="P105:Q105"/>
    <mergeCell ref="B97:B106"/>
    <mergeCell ref="C97:K97"/>
    <mergeCell ref="L97:L99"/>
    <mergeCell ref="M97:Q98"/>
    <mergeCell ref="C98:E98"/>
    <mergeCell ref="G98:H98"/>
    <mergeCell ref="I98:K98"/>
    <mergeCell ref="C99:D99"/>
    <mergeCell ref="M99:P99"/>
    <mergeCell ref="L100:L102"/>
    <mergeCell ref="T157:T159"/>
    <mergeCell ref="R160:T161"/>
    <mergeCell ref="R187:S189"/>
    <mergeCell ref="T187:T189"/>
    <mergeCell ref="M100:Q100"/>
    <mergeCell ref="M101:N101"/>
    <mergeCell ref="P101:Q101"/>
    <mergeCell ref="M102:N102"/>
    <mergeCell ref="R147:T147"/>
    <mergeCell ref="R148:T148"/>
    <mergeCell ref="R149:T149"/>
    <mergeCell ref="R150:T150"/>
    <mergeCell ref="R151:T151"/>
    <mergeCell ref="J140:J141"/>
    <mergeCell ref="K140:K141"/>
    <mergeCell ref="L140:L141"/>
    <mergeCell ref="L133:L135"/>
    <mergeCell ref="M133:Q133"/>
    <mergeCell ref="M134:N134"/>
    <mergeCell ref="P134:Q134"/>
    <mergeCell ref="M135:N135"/>
    <mergeCell ref="C166:G166"/>
    <mergeCell ref="H166:J166"/>
    <mergeCell ref="L166:Q166"/>
    <mergeCell ref="B169:D169"/>
    <mergeCell ref="B170:B171"/>
    <mergeCell ref="H170:H171"/>
    <mergeCell ref="B157:B166"/>
    <mergeCell ref="C157:K157"/>
    <mergeCell ref="I158:K158"/>
    <mergeCell ref="K170:K171"/>
    <mergeCell ref="L170:L171"/>
    <mergeCell ref="L163:L165"/>
    <mergeCell ref="M159:P159"/>
    <mergeCell ref="I170:I171"/>
    <mergeCell ref="J170:J171"/>
    <mergeCell ref="M170:M171"/>
    <mergeCell ref="N170:N171"/>
    <mergeCell ref="O170:P170"/>
    <mergeCell ref="P162:Q162"/>
    <mergeCell ref="M163:Q163"/>
    <mergeCell ref="M164:N164"/>
    <mergeCell ref="P164:Q164"/>
    <mergeCell ref="M165:N165"/>
    <mergeCell ref="P165:Q165"/>
    <mergeCell ref="L157:L159"/>
    <mergeCell ref="M157:Q158"/>
    <mergeCell ref="C158:E158"/>
    <mergeCell ref="G158:H158"/>
    <mergeCell ref="C159:D159"/>
    <mergeCell ref="L160:L162"/>
    <mergeCell ref="M160:Q160"/>
    <mergeCell ref="M161:N161"/>
    <mergeCell ref="P161:Q161"/>
    <mergeCell ref="M162:N162"/>
    <mergeCell ref="M73:Q73"/>
    <mergeCell ref="M74:N74"/>
    <mergeCell ref="P74:Q74"/>
    <mergeCell ref="M75:N75"/>
    <mergeCell ref="P75:Q75"/>
    <mergeCell ref="L70:L72"/>
    <mergeCell ref="M70:Q70"/>
    <mergeCell ref="R70:T71"/>
    <mergeCell ref="M71:N71"/>
    <mergeCell ref="P71:Q71"/>
    <mergeCell ref="M72:N72"/>
    <mergeCell ref="P72:Q72"/>
    <mergeCell ref="T67:T69"/>
    <mergeCell ref="C68:E68"/>
    <mergeCell ref="G68:H68"/>
    <mergeCell ref="I68:K68"/>
    <mergeCell ref="C69:D69"/>
    <mergeCell ref="M69:P69"/>
    <mergeCell ref="O51:P51"/>
    <mergeCell ref="R56:T56"/>
    <mergeCell ref="R51:T52"/>
    <mergeCell ref="R54:T54"/>
    <mergeCell ref="R55:T55"/>
    <mergeCell ref="M51:M52"/>
    <mergeCell ref="J51:J52"/>
    <mergeCell ref="K51:K52"/>
    <mergeCell ref="L51:L52"/>
    <mergeCell ref="B9:T9"/>
    <mergeCell ref="B11:T11"/>
    <mergeCell ref="B13:T13"/>
    <mergeCell ref="B14:T14"/>
    <mergeCell ref="N80:N81"/>
    <mergeCell ref="O80:P80"/>
    <mergeCell ref="R80:T81"/>
    <mergeCell ref="B79:D79"/>
    <mergeCell ref="B80:B81"/>
    <mergeCell ref="H80:H81"/>
    <mergeCell ref="R57:T59"/>
    <mergeCell ref="R28:T28"/>
    <mergeCell ref="B1:T1"/>
    <mergeCell ref="B2:T2"/>
    <mergeCell ref="B3:T3"/>
    <mergeCell ref="B4:T4"/>
    <mergeCell ref="B6:T6"/>
    <mergeCell ref="B7:T7"/>
    <mergeCell ref="U2990:U2991"/>
    <mergeCell ref="R31:T31"/>
    <mergeCell ref="R32:T32"/>
    <mergeCell ref="W21:Y21"/>
    <mergeCell ref="R27:T27"/>
    <mergeCell ref="R29:T29"/>
    <mergeCell ref="R30:T30"/>
    <mergeCell ref="R26:T26"/>
    <mergeCell ref="B156:T156"/>
    <mergeCell ref="P46:Q46"/>
    <mergeCell ref="M42:N42"/>
    <mergeCell ref="R33:T33"/>
    <mergeCell ref="B37:T37"/>
    <mergeCell ref="M40:P40"/>
    <mergeCell ref="C47:G47"/>
    <mergeCell ref="L44:L46"/>
    <mergeCell ref="L41:L43"/>
    <mergeCell ref="C40:D40"/>
    <mergeCell ref="M41:Q41"/>
    <mergeCell ref="P42:Q42"/>
    <mergeCell ref="M45:N45"/>
    <mergeCell ref="P45:Q45"/>
    <mergeCell ref="M43:N43"/>
    <mergeCell ref="R21:T22"/>
    <mergeCell ref="R24:T24"/>
    <mergeCell ref="R25:T25"/>
    <mergeCell ref="K21:K22"/>
    <mergeCell ref="L21:L22"/>
    <mergeCell ref="M21:M22"/>
    <mergeCell ref="N21:N22"/>
    <mergeCell ref="O21:P21"/>
    <mergeCell ref="M38:Q39"/>
    <mergeCell ref="L38:L40"/>
    <mergeCell ref="I39:K39"/>
    <mergeCell ref="B20:D20"/>
    <mergeCell ref="B21:B22"/>
    <mergeCell ref="H21:H22"/>
    <mergeCell ref="I21:I22"/>
    <mergeCell ref="N140:N141"/>
    <mergeCell ref="O140:P140"/>
    <mergeCell ref="R140:T141"/>
    <mergeCell ref="R143:T143"/>
    <mergeCell ref="R144:T144"/>
    <mergeCell ref="C136:G136"/>
    <mergeCell ref="K80:K81"/>
    <mergeCell ref="L80:L81"/>
    <mergeCell ref="M80:M81"/>
    <mergeCell ref="H140:H141"/>
    <mergeCell ref="I140:I141"/>
    <mergeCell ref="C39:E39"/>
    <mergeCell ref="G39:H39"/>
    <mergeCell ref="C38:K38"/>
    <mergeCell ref="H47:J47"/>
    <mergeCell ref="L47:Q47"/>
    <mergeCell ref="M44:Q44"/>
    <mergeCell ref="M46:N46"/>
    <mergeCell ref="P43:Q43"/>
    <mergeCell ref="L73:L75"/>
    <mergeCell ref="AA1580:AA1581"/>
    <mergeCell ref="J21:J22"/>
    <mergeCell ref="B38:B47"/>
    <mergeCell ref="AB710:AB711"/>
    <mergeCell ref="AA740:AA741"/>
    <mergeCell ref="AB740:AB741"/>
    <mergeCell ref="AA770:AA771"/>
    <mergeCell ref="AB770:AB771"/>
    <mergeCell ref="AA800:AA801"/>
    <mergeCell ref="AB800:AB801"/>
    <mergeCell ref="AB590:AB591"/>
    <mergeCell ref="AA620:AA621"/>
    <mergeCell ref="AB620:AB621"/>
    <mergeCell ref="AA650:AA651"/>
    <mergeCell ref="AB650:AB651"/>
    <mergeCell ref="AA680:AA681"/>
    <mergeCell ref="AB680:AB681"/>
    <mergeCell ref="AA500:AA501"/>
    <mergeCell ref="AB500:AB501"/>
    <mergeCell ref="AA530:AA531"/>
    <mergeCell ref="AB530:AB531"/>
    <mergeCell ref="AA560:AA561"/>
    <mergeCell ref="AB560:AB561"/>
    <mergeCell ref="AA410:AA411"/>
    <mergeCell ref="AB410:AB411"/>
    <mergeCell ref="AA440:AA441"/>
    <mergeCell ref="AB440:AB441"/>
    <mergeCell ref="AA470:AA471"/>
    <mergeCell ref="AB470:AB471"/>
    <mergeCell ref="AA320:AA321"/>
    <mergeCell ref="AB320:AB321"/>
    <mergeCell ref="AA350:AA351"/>
    <mergeCell ref="AB350:AB351"/>
    <mergeCell ref="AA380:AA381"/>
    <mergeCell ref="AB380:AB381"/>
    <mergeCell ref="AA230:AA231"/>
    <mergeCell ref="AB230:AB231"/>
    <mergeCell ref="AA260:AA261"/>
    <mergeCell ref="AB260:AB261"/>
    <mergeCell ref="AA290:AA291"/>
    <mergeCell ref="AB290:AB291"/>
    <mergeCell ref="N51:N52"/>
    <mergeCell ref="B50:D50"/>
    <mergeCell ref="AA140:AA141"/>
    <mergeCell ref="AB140:AB141"/>
    <mergeCell ref="AA170:AA171"/>
    <mergeCell ref="AB170:AB171"/>
    <mergeCell ref="AA200:AA201"/>
    <mergeCell ref="AB200:AB201"/>
    <mergeCell ref="AB21:AB22"/>
    <mergeCell ref="AA51:AA52"/>
    <mergeCell ref="AB51:AB52"/>
    <mergeCell ref="AA80:AA81"/>
    <mergeCell ref="AB80:AB81"/>
    <mergeCell ref="AA110:AA111"/>
    <mergeCell ref="AB110:AB111"/>
    <mergeCell ref="I80:I81"/>
    <mergeCell ref="J80:J81"/>
    <mergeCell ref="B96:T96"/>
    <mergeCell ref="R88:T88"/>
    <mergeCell ref="R89:T89"/>
    <mergeCell ref="B51:B52"/>
    <mergeCell ref="H51:H52"/>
    <mergeCell ref="I51:I52"/>
    <mergeCell ref="AA2480:AA2481"/>
    <mergeCell ref="AB2480:AB2481"/>
    <mergeCell ref="AB2330:AB2331"/>
    <mergeCell ref="AA2360:AA2361"/>
    <mergeCell ref="AB2360:AB2361"/>
    <mergeCell ref="AB2150:AB2151"/>
    <mergeCell ref="AA2180:AA2181"/>
    <mergeCell ref="AB2180:AB2181"/>
    <mergeCell ref="AA2210:AA2211"/>
    <mergeCell ref="AB2210:AB2211"/>
    <mergeCell ref="AB1370:AB1371"/>
    <mergeCell ref="AA1400:AA1401"/>
    <mergeCell ref="AB1400:AB1401"/>
    <mergeCell ref="AB1190:AB1191"/>
    <mergeCell ref="AA1220:AA1221"/>
    <mergeCell ref="AB1220:AB1221"/>
    <mergeCell ref="AA1250:AA1251"/>
    <mergeCell ref="AB1250:AB1251"/>
    <mergeCell ref="AA1280:AA1281"/>
    <mergeCell ref="AB1280:AB1281"/>
    <mergeCell ref="AB1100:AB1101"/>
    <mergeCell ref="AA1130:AA1131"/>
    <mergeCell ref="AB1130:AB1131"/>
    <mergeCell ref="AA1160:AA1161"/>
    <mergeCell ref="AB1160:AB1161"/>
    <mergeCell ref="AB950:AB951"/>
    <mergeCell ref="AA980:AA981"/>
    <mergeCell ref="AB980:AB981"/>
    <mergeCell ref="AA1010:AA1011"/>
    <mergeCell ref="AB1010:AB1011"/>
    <mergeCell ref="AA1040:AA1041"/>
    <mergeCell ref="AB1040:AB1041"/>
    <mergeCell ref="AB830:AB831"/>
    <mergeCell ref="AA860:AA861"/>
    <mergeCell ref="AB860:AB861"/>
    <mergeCell ref="AA890:AA891"/>
    <mergeCell ref="AB890:AB891"/>
    <mergeCell ref="AA920:AA921"/>
    <mergeCell ref="AB920:AB921"/>
    <mergeCell ref="AA2090:AA2091"/>
    <mergeCell ref="AB2090:AB2091"/>
    <mergeCell ref="AA2120:AA2121"/>
    <mergeCell ref="AB2120:AB2121"/>
    <mergeCell ref="AB1910:AB1911"/>
    <mergeCell ref="AA1940:AA1941"/>
    <mergeCell ref="AB1940:AB1941"/>
    <mergeCell ref="AA1970:AA1971"/>
    <mergeCell ref="AB1970:AB1971"/>
    <mergeCell ref="AA2000:AA2001"/>
    <mergeCell ref="AB2000:AB2001"/>
    <mergeCell ref="AB1790:AB1791"/>
    <mergeCell ref="AA1820:AA1821"/>
    <mergeCell ref="AB1820:AB1821"/>
    <mergeCell ref="AA1850:AA1851"/>
    <mergeCell ref="AB1850:AB1851"/>
    <mergeCell ref="AA1880:AA1881"/>
    <mergeCell ref="AB1880:AB1881"/>
    <mergeCell ref="AB1670:AB1671"/>
    <mergeCell ref="AA1700:AA1701"/>
    <mergeCell ref="AB1700:AB1701"/>
    <mergeCell ref="AA1730:AA1731"/>
    <mergeCell ref="AB1730:AB1731"/>
    <mergeCell ref="AA1760:AA1761"/>
    <mergeCell ref="AB1760:AB1761"/>
    <mergeCell ref="AA2300:AA2301"/>
    <mergeCell ref="AB2300:AB2301"/>
    <mergeCell ref="AA2330:AA2331"/>
    <mergeCell ref="AB2169:AB2170"/>
    <mergeCell ref="AB1809:AB1810"/>
    <mergeCell ref="AB1449:AB1450"/>
    <mergeCell ref="AB1089:AB1090"/>
    <mergeCell ref="AB729:AB730"/>
    <mergeCell ref="AB369:AB370"/>
    <mergeCell ref="AB2240:AB2241"/>
    <mergeCell ref="AB2030:AB2031"/>
    <mergeCell ref="AA2060:AA2061"/>
    <mergeCell ref="AB2060:AB2061"/>
    <mergeCell ref="AB1580:AB1581"/>
    <mergeCell ref="AA1610:AA1611"/>
    <mergeCell ref="AB1610:AB1611"/>
    <mergeCell ref="AA1640:AA1641"/>
    <mergeCell ref="AB1640:AB1641"/>
    <mergeCell ref="AB1430:AB1431"/>
    <mergeCell ref="AA1460:AA1461"/>
    <mergeCell ref="AB1460:AB1461"/>
    <mergeCell ref="AA2150:AA2151"/>
    <mergeCell ref="AB1490:AB1491"/>
    <mergeCell ref="AA1520:AA1521"/>
    <mergeCell ref="AB1520:AB1521"/>
    <mergeCell ref="AA1910:AA1911"/>
    <mergeCell ref="AA2030:AA2031"/>
    <mergeCell ref="AA2930:AA2931"/>
    <mergeCell ref="AB2930:AB2931"/>
    <mergeCell ref="AA2960:AA2961"/>
    <mergeCell ref="AB2960:AB2961"/>
    <mergeCell ref="AA2990:AA2991"/>
    <mergeCell ref="AB2990:AB2991"/>
    <mergeCell ref="AA2840:AA2841"/>
    <mergeCell ref="AB2840:AB2841"/>
    <mergeCell ref="AA2870:AA2871"/>
    <mergeCell ref="AB2870:AB2871"/>
    <mergeCell ref="AA2900:AA2901"/>
    <mergeCell ref="AB2900:AB2901"/>
    <mergeCell ref="AA2750:AA2751"/>
    <mergeCell ref="AB2750:AB2751"/>
    <mergeCell ref="AA2780:AA2781"/>
    <mergeCell ref="AB2780:AB2781"/>
    <mergeCell ref="AA2810:AA2811"/>
    <mergeCell ref="AB2810:AB2811"/>
    <mergeCell ref="AB2630:AB2631"/>
    <mergeCell ref="AA2660:AA2661"/>
    <mergeCell ref="AB2660:AB2661"/>
    <mergeCell ref="AA2690:AA2691"/>
    <mergeCell ref="AB2690:AB2691"/>
    <mergeCell ref="AA2720:AA2721"/>
    <mergeCell ref="AB2720:AB2721"/>
    <mergeCell ref="AB2510:AB2511"/>
    <mergeCell ref="AA2540:AA2541"/>
    <mergeCell ref="AB2540:AB2541"/>
    <mergeCell ref="AA2570:AA2571"/>
    <mergeCell ref="AB2570:AB2571"/>
    <mergeCell ref="AA2600:AA2601"/>
    <mergeCell ref="AB2600:AB2601"/>
    <mergeCell ref="AB2390:AB2391"/>
    <mergeCell ref="AA2420:AA2421"/>
    <mergeCell ref="AB2420:AB2421"/>
    <mergeCell ref="AA2450:AA2451"/>
    <mergeCell ref="AB2450:AB2451"/>
    <mergeCell ref="AB69:AB70"/>
    <mergeCell ref="AC69:AC70"/>
    <mergeCell ref="AD69:AD70"/>
    <mergeCell ref="AB99:AB100"/>
    <mergeCell ref="AC99:AC100"/>
    <mergeCell ref="AD99:AD100"/>
    <mergeCell ref="AB129:AB130"/>
    <mergeCell ref="AC129:AC130"/>
    <mergeCell ref="AD129:AD130"/>
    <mergeCell ref="AB159:AB160"/>
    <mergeCell ref="AC159:AC160"/>
    <mergeCell ref="AD159:AD160"/>
    <mergeCell ref="AB189:AB190"/>
    <mergeCell ref="AC189:AC190"/>
    <mergeCell ref="AD189:AD190"/>
    <mergeCell ref="AB219:AB220"/>
    <mergeCell ref="AC219:AC220"/>
    <mergeCell ref="AD219:AD220"/>
    <mergeCell ref="AB249:AB250"/>
    <mergeCell ref="AC249:AC250"/>
    <mergeCell ref="AD249:AD250"/>
    <mergeCell ref="AB279:AB280"/>
    <mergeCell ref="AC279:AC280"/>
    <mergeCell ref="AD279:AD280"/>
    <mergeCell ref="AB309:AB310"/>
    <mergeCell ref="AC309:AC310"/>
    <mergeCell ref="AD309:AD310"/>
    <mergeCell ref="AB339:AB340"/>
    <mergeCell ref="AC339:AC340"/>
    <mergeCell ref="AD339:AD340"/>
    <mergeCell ref="AB5739:AB5740"/>
    <mergeCell ref="AC5739:AC5740"/>
    <mergeCell ref="AD5739:AD5740"/>
    <mergeCell ref="AB2889:AB2890"/>
    <mergeCell ref="AB2529:AB2530"/>
    <mergeCell ref="AB2270:AB2271"/>
    <mergeCell ref="AB1550:AB1551"/>
    <mergeCell ref="AD950:AF950"/>
    <mergeCell ref="AD980:AF980"/>
    <mergeCell ref="AD1010:AF1010"/>
    <mergeCell ref="AD1040:AF1040"/>
    <mergeCell ref="AD1070:AF1070"/>
    <mergeCell ref="AD1100:AF1100"/>
    <mergeCell ref="AD1836:AF1836"/>
    <mergeCell ref="AD1866:AF1866"/>
    <mergeCell ref="AD1896:AF1896"/>
    <mergeCell ref="AD1640:AF1640"/>
    <mergeCell ref="AD1310:AF1310"/>
    <mergeCell ref="AD1340:AF1340"/>
    <mergeCell ref="AD1370:AF1370"/>
    <mergeCell ref="AD1400:AF1400"/>
    <mergeCell ref="AD1430:AF1430"/>
    <mergeCell ref="AD1460:AF1460"/>
    <mergeCell ref="AD1670:AF1670"/>
    <mergeCell ref="AD1700:AF1700"/>
    <mergeCell ref="AD1730:AF1730"/>
    <mergeCell ref="AD1760:AF1760"/>
    <mergeCell ref="AD1790:AF1790"/>
    <mergeCell ref="AD1820:AF1820"/>
    <mergeCell ref="AD1656:AF1656"/>
    <mergeCell ref="AD1686:AF1686"/>
    <mergeCell ref="AD1716:AF1716"/>
    <mergeCell ref="AD1746:AF1746"/>
    <mergeCell ref="AD1776:AF1776"/>
    <mergeCell ref="AC369:AC370"/>
    <mergeCell ref="AD369:AD370"/>
    <mergeCell ref="AB399:AB400"/>
    <mergeCell ref="AC399:AC400"/>
    <mergeCell ref="AD399:AD400"/>
    <mergeCell ref="AB429:AB430"/>
    <mergeCell ref="AC429:AC430"/>
    <mergeCell ref="AD429:AD430"/>
    <mergeCell ref="AB459:AB460"/>
    <mergeCell ref="AC459:AC460"/>
    <mergeCell ref="AD459:AD460"/>
    <mergeCell ref="AB489:AB490"/>
    <mergeCell ref="AC489:AC490"/>
    <mergeCell ref="AD489:AD490"/>
    <mergeCell ref="AB519:AB520"/>
    <mergeCell ref="AC519:AC520"/>
    <mergeCell ref="AD519:AD520"/>
    <mergeCell ref="AB549:AB550"/>
    <mergeCell ref="AC549:AC550"/>
    <mergeCell ref="AD549:AD550"/>
    <mergeCell ref="AB579:AB580"/>
    <mergeCell ref="AC579:AC580"/>
    <mergeCell ref="AD579:AD580"/>
    <mergeCell ref="AB609:AB610"/>
    <mergeCell ref="AC609:AC610"/>
    <mergeCell ref="AD609:AD610"/>
    <mergeCell ref="AB639:AB640"/>
    <mergeCell ref="AC639:AC640"/>
    <mergeCell ref="AD639:AD640"/>
    <mergeCell ref="AB669:AB670"/>
    <mergeCell ref="AC669:AC670"/>
    <mergeCell ref="AD669:AD670"/>
    <mergeCell ref="AB699:AB700"/>
    <mergeCell ref="AC699:AC700"/>
    <mergeCell ref="AD699:AD700"/>
    <mergeCell ref="AC729:AC730"/>
    <mergeCell ref="AD729:AD730"/>
    <mergeCell ref="AB759:AB760"/>
    <mergeCell ref="AC759:AC760"/>
    <mergeCell ref="AD759:AD760"/>
    <mergeCell ref="AB789:AB790"/>
    <mergeCell ref="AC789:AC790"/>
    <mergeCell ref="AD789:AD790"/>
    <mergeCell ref="AB819:AB820"/>
    <mergeCell ref="AC819:AC820"/>
    <mergeCell ref="AD819:AD820"/>
    <mergeCell ref="AB849:AB850"/>
    <mergeCell ref="AC849:AC850"/>
    <mergeCell ref="AD849:AD850"/>
    <mergeCell ref="AB879:AB880"/>
    <mergeCell ref="AC879:AC880"/>
    <mergeCell ref="AD879:AD880"/>
    <mergeCell ref="AB909:AB910"/>
    <mergeCell ref="AC909:AC910"/>
    <mergeCell ref="AD909:AD910"/>
    <mergeCell ref="AB939:AB940"/>
    <mergeCell ref="AC939:AC940"/>
    <mergeCell ref="AD939:AD940"/>
    <mergeCell ref="AB969:AB970"/>
    <mergeCell ref="AC969:AC970"/>
    <mergeCell ref="AD969:AD970"/>
    <mergeCell ref="AB999:AB1000"/>
    <mergeCell ref="AC999:AC1000"/>
    <mergeCell ref="AD999:AD1000"/>
    <mergeCell ref="AB1029:AB1030"/>
    <mergeCell ref="AC1029:AC1030"/>
    <mergeCell ref="AD1029:AD1030"/>
    <mergeCell ref="AB1059:AB1060"/>
    <mergeCell ref="AC1059:AC1060"/>
    <mergeCell ref="AD1059:AD1060"/>
    <mergeCell ref="AC1089:AC1090"/>
    <mergeCell ref="AD1089:AD1090"/>
    <mergeCell ref="AB1119:AB1120"/>
    <mergeCell ref="AC1119:AC1120"/>
    <mergeCell ref="AD1119:AD1120"/>
    <mergeCell ref="AB1149:AB1150"/>
    <mergeCell ref="AC1149:AC1150"/>
    <mergeCell ref="AD1149:AD1150"/>
    <mergeCell ref="AB1179:AB1180"/>
    <mergeCell ref="AC1179:AC1180"/>
    <mergeCell ref="AD1179:AD1180"/>
    <mergeCell ref="AB1209:AB1210"/>
    <mergeCell ref="AC1209:AC1210"/>
    <mergeCell ref="AD1209:AD1210"/>
    <mergeCell ref="AB1239:AB1240"/>
    <mergeCell ref="AC1239:AC1240"/>
    <mergeCell ref="AD1239:AD1240"/>
    <mergeCell ref="AB1269:AB1270"/>
    <mergeCell ref="AC1269:AC1270"/>
    <mergeCell ref="AD1269:AD1270"/>
    <mergeCell ref="AB1299:AB1300"/>
    <mergeCell ref="AC1299:AC1300"/>
    <mergeCell ref="AD1299:AD1300"/>
    <mergeCell ref="AB1329:AB1330"/>
    <mergeCell ref="AC1329:AC1330"/>
    <mergeCell ref="AD1329:AD1330"/>
    <mergeCell ref="AB1359:AB1360"/>
    <mergeCell ref="AC1359:AC1360"/>
    <mergeCell ref="AD1359:AD1360"/>
    <mergeCell ref="AB1389:AB1390"/>
    <mergeCell ref="AC1389:AC1390"/>
    <mergeCell ref="AD1389:AD1390"/>
    <mergeCell ref="AB1419:AB1420"/>
    <mergeCell ref="AC1419:AC1420"/>
    <mergeCell ref="AD1419:AD1420"/>
    <mergeCell ref="AC1449:AC1450"/>
    <mergeCell ref="AD1449:AD1450"/>
    <mergeCell ref="AB1479:AB1480"/>
    <mergeCell ref="AC1479:AC1480"/>
    <mergeCell ref="AD1479:AD1480"/>
    <mergeCell ref="AB1509:AB1510"/>
    <mergeCell ref="AC1509:AC1510"/>
    <mergeCell ref="AD1509:AD1510"/>
    <mergeCell ref="AB1539:AB1540"/>
    <mergeCell ref="AC1539:AC1540"/>
    <mergeCell ref="AD1539:AD1540"/>
    <mergeCell ref="AB1569:AB1570"/>
    <mergeCell ref="AC1569:AC1570"/>
    <mergeCell ref="AD1569:AD1570"/>
    <mergeCell ref="AB1599:AB1600"/>
    <mergeCell ref="AC1599:AC1600"/>
    <mergeCell ref="AD1599:AD1600"/>
    <mergeCell ref="AB1629:AB1630"/>
    <mergeCell ref="AC1629:AC1630"/>
    <mergeCell ref="AD1629:AD1630"/>
    <mergeCell ref="AB1659:AB1660"/>
    <mergeCell ref="AC1659:AC1660"/>
    <mergeCell ref="AD1659:AD1660"/>
    <mergeCell ref="AB1689:AB1690"/>
    <mergeCell ref="AC1689:AC1690"/>
    <mergeCell ref="AD1689:AD1690"/>
    <mergeCell ref="AB1719:AB1720"/>
    <mergeCell ref="AC1719:AC1720"/>
    <mergeCell ref="AD1719:AD1720"/>
    <mergeCell ref="AB1749:AB1750"/>
    <mergeCell ref="AC1749:AC1750"/>
    <mergeCell ref="AD1749:AD1750"/>
    <mergeCell ref="AB1779:AB1780"/>
    <mergeCell ref="AC1779:AC1780"/>
    <mergeCell ref="AD1779:AD1780"/>
    <mergeCell ref="AD1580:AF1580"/>
    <mergeCell ref="AD1610:AF1610"/>
    <mergeCell ref="AD1476:AF1476"/>
    <mergeCell ref="AD1506:AF1506"/>
    <mergeCell ref="AD1536:AF1536"/>
    <mergeCell ref="AC1809:AC1810"/>
    <mergeCell ref="AD1809:AD1810"/>
    <mergeCell ref="AB1839:AB1840"/>
    <mergeCell ref="AC1839:AC1840"/>
    <mergeCell ref="AD1839:AD1840"/>
    <mergeCell ref="AB1869:AB1870"/>
    <mergeCell ref="AC1869:AC1870"/>
    <mergeCell ref="AD1869:AD1870"/>
    <mergeCell ref="AB1899:AB1900"/>
    <mergeCell ref="AC1899:AC1900"/>
    <mergeCell ref="AD1899:AD1900"/>
    <mergeCell ref="AB1929:AB1930"/>
    <mergeCell ref="AC1929:AC1930"/>
    <mergeCell ref="AD1929:AD1930"/>
    <mergeCell ref="AB1959:AB1960"/>
    <mergeCell ref="AC1959:AC1960"/>
    <mergeCell ref="AD1959:AD1960"/>
    <mergeCell ref="AB1989:AB1990"/>
    <mergeCell ref="AC1989:AC1990"/>
    <mergeCell ref="AD1989:AD1990"/>
    <mergeCell ref="AB2019:AB2020"/>
    <mergeCell ref="AC2019:AC2020"/>
    <mergeCell ref="AD2019:AD2020"/>
    <mergeCell ref="AB2049:AB2050"/>
    <mergeCell ref="AC2049:AC2050"/>
    <mergeCell ref="AD2049:AD2050"/>
    <mergeCell ref="AB2079:AB2080"/>
    <mergeCell ref="AC2079:AC2080"/>
    <mergeCell ref="AD2079:AD2080"/>
    <mergeCell ref="AB2109:AB2110"/>
    <mergeCell ref="AC2109:AC2110"/>
    <mergeCell ref="AD2109:AD2110"/>
    <mergeCell ref="AB2139:AB2140"/>
    <mergeCell ref="AC2139:AC2140"/>
    <mergeCell ref="AD2139:AD2140"/>
    <mergeCell ref="AD2030:AF2030"/>
    <mergeCell ref="AD2060:AF2060"/>
    <mergeCell ref="AD2090:AF2090"/>
    <mergeCell ref="AD2120:AF2120"/>
    <mergeCell ref="AC2169:AC2170"/>
    <mergeCell ref="AD2169:AD2170"/>
    <mergeCell ref="AB2199:AB2200"/>
    <mergeCell ref="AC2199:AC2200"/>
    <mergeCell ref="AD2199:AD2200"/>
    <mergeCell ref="AB2229:AB2230"/>
    <mergeCell ref="AC2229:AC2230"/>
    <mergeCell ref="AD2229:AD2230"/>
    <mergeCell ref="AB2259:AB2260"/>
    <mergeCell ref="AC2259:AC2260"/>
    <mergeCell ref="AD2259:AD2260"/>
    <mergeCell ref="AB2289:AB2290"/>
    <mergeCell ref="AC2289:AC2290"/>
    <mergeCell ref="AD2289:AD2290"/>
    <mergeCell ref="AB2319:AB2320"/>
    <mergeCell ref="AC2319:AC2320"/>
    <mergeCell ref="AD2319:AD2320"/>
    <mergeCell ref="AB2349:AB2350"/>
    <mergeCell ref="AC2349:AC2350"/>
    <mergeCell ref="AD2349:AD2350"/>
    <mergeCell ref="AB2379:AB2380"/>
    <mergeCell ref="AC2379:AC2380"/>
    <mergeCell ref="AD2379:AD2380"/>
    <mergeCell ref="AB2409:AB2410"/>
    <mergeCell ref="AC2409:AC2410"/>
    <mergeCell ref="AD2409:AD2410"/>
    <mergeCell ref="AB2439:AB2440"/>
    <mergeCell ref="AC2439:AC2440"/>
    <mergeCell ref="AD2439:AD2440"/>
    <mergeCell ref="AB2469:AB2470"/>
    <mergeCell ref="AC2469:AC2470"/>
    <mergeCell ref="AD2469:AD2470"/>
    <mergeCell ref="AB2499:AB2500"/>
    <mergeCell ref="AC2499:AC2500"/>
    <mergeCell ref="AD2499:AD2500"/>
    <mergeCell ref="AD2360:AF2360"/>
    <mergeCell ref="AC2529:AC2530"/>
    <mergeCell ref="AD2529:AD2530"/>
    <mergeCell ref="AB2559:AB2560"/>
    <mergeCell ref="AC2559:AC2560"/>
    <mergeCell ref="AD2559:AD2560"/>
    <mergeCell ref="AB2589:AB2590"/>
    <mergeCell ref="AC2589:AC2590"/>
    <mergeCell ref="AD2589:AD2590"/>
    <mergeCell ref="AB2619:AB2620"/>
    <mergeCell ref="AC2619:AC2620"/>
    <mergeCell ref="AD2619:AD2620"/>
    <mergeCell ref="AB2649:AB2650"/>
    <mergeCell ref="AC2649:AC2650"/>
    <mergeCell ref="AD2649:AD2650"/>
    <mergeCell ref="AB2679:AB2680"/>
    <mergeCell ref="AC2679:AC2680"/>
    <mergeCell ref="AD2679:AD2680"/>
    <mergeCell ref="AB2709:AB2710"/>
    <mergeCell ref="AC2709:AC2710"/>
    <mergeCell ref="AD2709:AD2710"/>
    <mergeCell ref="AB2739:AB2740"/>
    <mergeCell ref="AC2739:AC2740"/>
    <mergeCell ref="AD2739:AD2740"/>
    <mergeCell ref="AB2769:AB2770"/>
    <mergeCell ref="AC2769:AC2770"/>
    <mergeCell ref="AD2769:AD2770"/>
    <mergeCell ref="AB2799:AB2800"/>
    <mergeCell ref="AC2799:AC2800"/>
    <mergeCell ref="AD2799:AD2800"/>
    <mergeCell ref="AB2829:AB2830"/>
    <mergeCell ref="AC2829:AC2830"/>
    <mergeCell ref="AD2829:AD2830"/>
    <mergeCell ref="AB2859:AB2860"/>
    <mergeCell ref="AC2859:AC2860"/>
    <mergeCell ref="AD2859:AD2860"/>
    <mergeCell ref="AD2556:AF2556"/>
    <mergeCell ref="AD2586:AF2586"/>
    <mergeCell ref="AD2616:AF2616"/>
    <mergeCell ref="AD5949:AD5950"/>
    <mergeCell ref="AD3006:AF3006"/>
    <mergeCell ref="AD2960:AF2960"/>
    <mergeCell ref="AD2990:AF2990"/>
    <mergeCell ref="AD3020:AF3020"/>
    <mergeCell ref="AC2889:AC2890"/>
    <mergeCell ref="AD2889:AD2890"/>
    <mergeCell ref="AB2919:AB2920"/>
    <mergeCell ref="AC2919:AC2920"/>
    <mergeCell ref="AD2919:AD2920"/>
    <mergeCell ref="AB2949:AB2950"/>
    <mergeCell ref="AC2949:AC2950"/>
    <mergeCell ref="AD2949:AD2950"/>
    <mergeCell ref="AB2979:AB2980"/>
    <mergeCell ref="AC2979:AC2980"/>
    <mergeCell ref="AD2979:AD2980"/>
    <mergeCell ref="AB3009:AB3010"/>
    <mergeCell ref="AC3009:AC3010"/>
    <mergeCell ref="AD3009:AD3010"/>
    <mergeCell ref="AB3039:AB3040"/>
    <mergeCell ref="AC3039:AC3040"/>
    <mergeCell ref="AD3039:AD3040"/>
    <mergeCell ref="AB3069:AB3070"/>
    <mergeCell ref="AC3069:AC3070"/>
    <mergeCell ref="AD3069:AD3070"/>
    <mergeCell ref="AB3099:AB3100"/>
    <mergeCell ref="AC3099:AC3100"/>
    <mergeCell ref="AD3099:AD3100"/>
    <mergeCell ref="AB3129:AB3130"/>
    <mergeCell ref="AC3129:AC3130"/>
    <mergeCell ref="AD3129:AD3130"/>
    <mergeCell ref="AB3159:AB3160"/>
    <mergeCell ref="AC3159:AC3160"/>
    <mergeCell ref="AD3159:AD3160"/>
    <mergeCell ref="AB3189:AB3190"/>
    <mergeCell ref="AC3189:AC3190"/>
    <mergeCell ref="AD3189:AD3190"/>
    <mergeCell ref="AB3219:AB3220"/>
    <mergeCell ref="AC3219:AC3220"/>
    <mergeCell ref="AD3219:AD3220"/>
    <mergeCell ref="AD5900:AF5900"/>
  </mergeCells>
  <conditionalFormatting sqref="M24:M33 M60:M62">
    <cfRule type="cellIs" dxfId="12725" priority="184754" stopIfTrue="1" operator="lessThan">
      <formula>0</formula>
    </cfRule>
  </conditionalFormatting>
  <conditionalFormatting sqref="B25:B32 B33:O33 B24:O24 J25:O32 Q27:Q33 O30:O33 P29:P33 C26:D32 C25:I25 F26:I32 Q24:R26 J60:Q62 H60:I61 R60:R61 P55:P59 Q57:Q59">
    <cfRule type="cellIs" dxfId="12724" priority="184753" stopIfTrue="1" operator="greaterThan">
      <formula>0</formula>
    </cfRule>
  </conditionalFormatting>
  <conditionalFormatting sqref="C26:D32">
    <cfRule type="cellIs" dxfId="12723" priority="184689" stopIfTrue="1" operator="greaterThan">
      <formula>0</formula>
    </cfRule>
  </conditionalFormatting>
  <conditionalFormatting sqref="C24:M24 K25:M32 J25:J33 L25:M33 C26:D32 C25:I25 F26:I32">
    <cfRule type="cellIs" dxfId="12722" priority="184686" stopIfTrue="1" operator="greaterThan">
      <formula>0</formula>
    </cfRule>
  </conditionalFormatting>
  <conditionalFormatting sqref="M24:M33">
    <cfRule type="cellIs" dxfId="12721" priority="184683" stopIfTrue="1" operator="lessThan">
      <formula>0</formula>
    </cfRule>
  </conditionalFormatting>
  <conditionalFormatting sqref="J25:J33 L25:O33 C24:O24 C25:C26 I25:I26">
    <cfRule type="cellIs" dxfId="12720" priority="184682" stopIfTrue="1" operator="greaterThan">
      <formula>0</formula>
    </cfRule>
  </conditionalFormatting>
  <conditionalFormatting sqref="K26:M33 H26:I32">
    <cfRule type="cellIs" dxfId="12719" priority="184679" stopIfTrue="1" operator="greaterThan">
      <formula>0</formula>
    </cfRule>
  </conditionalFormatting>
  <conditionalFormatting sqref="I25:I26">
    <cfRule type="cellIs" dxfId="12718" priority="184677" stopIfTrue="1" operator="greaterThan">
      <formula>0</formula>
    </cfRule>
  </conditionalFormatting>
  <conditionalFormatting sqref="I33">
    <cfRule type="cellIs" dxfId="12717" priority="184672" stopIfTrue="1" operator="greaterThan">
      <formula>0</formula>
    </cfRule>
  </conditionalFormatting>
  <conditionalFormatting sqref="E26:E32">
    <cfRule type="cellIs" dxfId="12716" priority="184540" stopIfTrue="1" operator="greaterThan">
      <formula>0</formula>
    </cfRule>
  </conditionalFormatting>
  <conditionalFormatting sqref="K41:K46">
    <cfRule type="containsText" dxfId="12715" priority="183347" stopIfTrue="1" operator="containsText" text="NO CUMPLE">
      <formula>NOT(ISERROR(SEARCH("NO CUMPLE",K41)))</formula>
    </cfRule>
    <cfRule type="containsText" dxfId="12714" priority="183348" stopIfTrue="1" operator="containsText" text="CUMPLE">
      <formula>NOT(ISERROR(SEARCH("CUMPLE",K41)))</formula>
    </cfRule>
  </conditionalFormatting>
  <conditionalFormatting sqref="K47">
    <cfRule type="containsText" dxfId="12713" priority="183345" stopIfTrue="1" operator="containsText" text="NO CUMPLE">
      <formula>NOT(ISERROR(SEARCH("NO CUMPLE",K47)))</formula>
    </cfRule>
    <cfRule type="containsText" dxfId="12712" priority="183346" stopIfTrue="1" operator="containsText" text="CUMPLE">
      <formula>NOT(ISERROR(SEARCH("CUMPLE",K47)))</formula>
    </cfRule>
  </conditionalFormatting>
  <conditionalFormatting sqref="Q40">
    <cfRule type="cellIs" dxfId="12711" priority="183343" operator="greaterThanOrEqual">
      <formula>NUMMINCONT</formula>
    </cfRule>
    <cfRule type="cellIs" dxfId="12710" priority="183344" operator="lessThan">
      <formula>NUMMINCONT</formula>
    </cfRule>
  </conditionalFormatting>
  <conditionalFormatting sqref="W24:Y27 W29:Y32 X28:Y28 W54:Y61 AD59:AF61">
    <cfRule type="cellIs" dxfId="12709" priority="179689" stopIfTrue="1" operator="equal">
      <formula>"NO"</formula>
    </cfRule>
    <cfRule type="cellIs" dxfId="12708" priority="179690" stopIfTrue="1" operator="equal">
      <formula>"SI"</formula>
    </cfRule>
  </conditionalFormatting>
  <conditionalFormatting sqref="R27">
    <cfRule type="cellIs" dxfId="12707" priority="179688" stopIfTrue="1" operator="greaterThan">
      <formula>0</formula>
    </cfRule>
  </conditionalFormatting>
  <conditionalFormatting sqref="R29">
    <cfRule type="cellIs" dxfId="12706" priority="179686" stopIfTrue="1" operator="greaterThan">
      <formula>0</formula>
    </cfRule>
  </conditionalFormatting>
  <conditionalFormatting sqref="R30">
    <cfRule type="cellIs" dxfId="12705" priority="179685" stopIfTrue="1" operator="greaterThan">
      <formula>0</formula>
    </cfRule>
  </conditionalFormatting>
  <conditionalFormatting sqref="R31">
    <cfRule type="cellIs" dxfId="12704" priority="179684" stopIfTrue="1" operator="greaterThan">
      <formula>0</formula>
    </cfRule>
  </conditionalFormatting>
  <conditionalFormatting sqref="R32">
    <cfRule type="cellIs" dxfId="12703" priority="179683" stopIfTrue="1" operator="greaterThan">
      <formula>0</formula>
    </cfRule>
  </conditionalFormatting>
  <conditionalFormatting sqref="R33">
    <cfRule type="cellIs" dxfId="12702" priority="179682" stopIfTrue="1" operator="greaterThan">
      <formula>0</formula>
    </cfRule>
  </conditionalFormatting>
  <conditionalFormatting sqref="W24:X24 W25:W27 W59:Y61">
    <cfRule type="cellIs" dxfId="12701" priority="163562" stopIfTrue="1" operator="equal">
      <formula>"NO APLICA"</formula>
    </cfRule>
  </conditionalFormatting>
  <conditionalFormatting sqref="W25:X27 X28">
    <cfRule type="cellIs" dxfId="12700" priority="163561" stopIfTrue="1" operator="equal">
      <formula>"NO APLICA"</formula>
    </cfRule>
  </conditionalFormatting>
  <conditionalFormatting sqref="W25:X25 W26:W27">
    <cfRule type="cellIs" dxfId="12699" priority="163560" stopIfTrue="1" operator="equal">
      <formula>"NO APLICA"</formula>
    </cfRule>
  </conditionalFormatting>
  <conditionalFormatting sqref="Y24:Y28">
    <cfRule type="cellIs" dxfId="12698" priority="163559" stopIfTrue="1" operator="equal">
      <formula>"NO APLICA"</formula>
    </cfRule>
  </conditionalFormatting>
  <conditionalFormatting sqref="Y25:Y28">
    <cfRule type="cellIs" dxfId="12697" priority="163558" stopIfTrue="1" operator="equal">
      <formula>"NO APLICA"</formula>
    </cfRule>
  </conditionalFormatting>
  <conditionalFormatting sqref="W29:X32">
    <cfRule type="cellIs" dxfId="12696" priority="197249" stopIfTrue="1" operator="equal">
      <formula>"NO APLICA"</formula>
    </cfRule>
  </conditionalFormatting>
  <conditionalFormatting sqref="W29:X29">
    <cfRule type="cellIs" dxfId="12695" priority="197248" stopIfTrue="1" operator="equal">
      <formula>"NO APLICA"</formula>
    </cfRule>
  </conditionalFormatting>
  <conditionalFormatting sqref="Y29:Y32">
    <cfRule type="cellIs" dxfId="12694" priority="197247" stopIfTrue="1" operator="equal">
      <formula>"NO APLICA"</formula>
    </cfRule>
  </conditionalFormatting>
  <conditionalFormatting sqref="T38">
    <cfRule type="cellIs" dxfId="12693" priority="181721" operator="equal">
      <formula>"CUMPLE"</formula>
    </cfRule>
    <cfRule type="cellIs" dxfId="12692" priority="181722" operator="equal">
      <formula>"NO CUMPLE"</formula>
    </cfRule>
  </conditionalFormatting>
  <conditionalFormatting sqref="T38:T40">
    <cfRule type="cellIs" dxfId="12691" priority="181720" operator="equal">
      <formula>"VERIFICAR"</formula>
    </cfRule>
  </conditionalFormatting>
  <conditionalFormatting sqref="AD24:AF28">
    <cfRule type="cellIs" dxfId="12690" priority="226277" stopIfTrue="1" operator="equal">
      <formula>"NO"</formula>
    </cfRule>
    <cfRule type="cellIs" dxfId="12689" priority="226278" stopIfTrue="1" operator="equal">
      <formula>"SI"</formula>
    </cfRule>
  </conditionalFormatting>
  <conditionalFormatting sqref="AD29:AF32">
    <cfRule type="cellIs" dxfId="12688" priority="226123" stopIfTrue="1" operator="equal">
      <formula>"NO"</formula>
    </cfRule>
    <cfRule type="cellIs" dxfId="12687" priority="226124" stopIfTrue="1" operator="equal">
      <formula>"SI"</formula>
    </cfRule>
  </conditionalFormatting>
  <conditionalFormatting sqref="W33:Y33">
    <cfRule type="cellIs" dxfId="12686" priority="220327" stopIfTrue="1" operator="equal">
      <formula>"NO"</formula>
    </cfRule>
    <cfRule type="cellIs" dxfId="12685" priority="220328" stopIfTrue="1" operator="equal">
      <formula>"SI"</formula>
    </cfRule>
  </conditionalFormatting>
  <conditionalFormatting sqref="W33:X33">
    <cfRule type="cellIs" dxfId="12684" priority="220330" stopIfTrue="1" operator="equal">
      <formula>"NO APLICA"</formula>
    </cfRule>
  </conditionalFormatting>
  <conditionalFormatting sqref="Y33">
    <cfRule type="cellIs" dxfId="12683" priority="220329" stopIfTrue="1" operator="equal">
      <formula>"NO APLICA"</formula>
    </cfRule>
  </conditionalFormatting>
  <conditionalFormatting sqref="AD33:AF33">
    <cfRule type="cellIs" dxfId="12682" priority="220325" stopIfTrue="1" operator="equal">
      <formula>"NO"</formula>
    </cfRule>
    <cfRule type="cellIs" dxfId="12681" priority="220326" stopIfTrue="1" operator="equal">
      <formula>"SI"</formula>
    </cfRule>
  </conditionalFormatting>
  <conditionalFormatting sqref="AE38">
    <cfRule type="cellIs" dxfId="12680" priority="216783" stopIfTrue="1" operator="equal">
      <formula>"VERIFICAR"</formula>
    </cfRule>
    <cfRule type="cellIs" dxfId="12679" priority="216786" stopIfTrue="1" operator="equal">
      <formula>"NO CUMPLE"</formula>
    </cfRule>
    <cfRule type="cellIs" dxfId="12678" priority="216787" stopIfTrue="1" operator="equal">
      <formula>"CUMPLE"</formula>
    </cfRule>
  </conditionalFormatting>
  <conditionalFormatting sqref="AF38">
    <cfRule type="cellIs" dxfId="12677" priority="216780" stopIfTrue="1" operator="equal">
      <formula>"VERIFICAR"</formula>
    </cfRule>
    <cfRule type="cellIs" dxfId="12676" priority="216781" stopIfTrue="1" operator="equal">
      <formula>"NO CUMPLE"</formula>
    </cfRule>
    <cfRule type="cellIs" dxfId="12675" priority="216782" stopIfTrue="1" operator="equal">
      <formula>"CUMPLE"</formula>
    </cfRule>
  </conditionalFormatting>
  <conditionalFormatting sqref="Y41">
    <cfRule type="cellIs" dxfId="12674" priority="72733" operator="equal">
      <formula>"VERIFICAR CUADRO"</formula>
    </cfRule>
  </conditionalFormatting>
  <conditionalFormatting sqref="AC42:AC47">
    <cfRule type="cellIs" dxfId="12673" priority="72724" stopIfTrue="1" operator="greaterThan">
      <formula>0</formula>
    </cfRule>
  </conditionalFormatting>
  <conditionalFormatting sqref="AC42:AC47">
    <cfRule type="cellIs" dxfId="12672" priority="72723" stopIfTrue="1" operator="greaterThan">
      <formula>0</formula>
    </cfRule>
  </conditionalFormatting>
  <conditionalFormatting sqref="AD42:AD47">
    <cfRule type="containsText" dxfId="12671" priority="72721" stopIfTrue="1" operator="containsText" text="NO CUMPLE">
      <formula>NOT(ISERROR(SEARCH("NO CUMPLE",AD42)))</formula>
    </cfRule>
    <cfRule type="containsText" dxfId="12670" priority="72722" stopIfTrue="1" operator="containsText" text="CUMPLE">
      <formula>NOT(ISERROR(SEARCH("CUMPLE",AD42)))</formula>
    </cfRule>
  </conditionalFormatting>
  <conditionalFormatting sqref="Y47">
    <cfRule type="containsText" dxfId="12669" priority="72719" stopIfTrue="1" operator="containsText" text="NO CUMPLE">
      <formula>NOT(ISERROR(SEARCH("NO CUMPLE",Y47)))</formula>
    </cfRule>
    <cfRule type="containsText" dxfId="12668" priority="72720" stopIfTrue="1" operator="containsText" text="CUMPLE">
      <formula>NOT(ISERROR(SEARCH("CUMPLE",Y47)))</formula>
    </cfRule>
  </conditionalFormatting>
  <conditionalFormatting sqref="AA24:AA33 AA54:AA57 AA60:AA62">
    <cfRule type="cellIs" dxfId="12667" priority="12619" stopIfTrue="1" operator="equal">
      <formula>"NO APLICA"</formula>
    </cfRule>
    <cfRule type="cellIs" dxfId="12666" priority="12620" stopIfTrue="1" operator="equal">
      <formula>"TERCIARIA"</formula>
    </cfRule>
  </conditionalFormatting>
  <conditionalFormatting sqref="AB24:AB33 AB54:AB57 AB60:AB62">
    <cfRule type="cellIs" dxfId="12665" priority="12617" stopIfTrue="1" operator="equal">
      <formula>"N/A"</formula>
    </cfRule>
    <cfRule type="cellIs" dxfId="12664" priority="12618" stopIfTrue="1" operator="equal">
      <formula>"NO"</formula>
    </cfRule>
  </conditionalFormatting>
  <conditionalFormatting sqref="M54:M59">
    <cfRule type="cellIs" dxfId="12663" priority="12616" stopIfTrue="1" operator="lessThan">
      <formula>0</formula>
    </cfRule>
  </conditionalFormatting>
  <conditionalFormatting sqref="B62:O62 Q55:R56 F57:J57 F60:O61 B60:D61 F54:H56 K54:K56 I57:I59 M54:M56 O55:O56 R54 B57:C57 B54:B59 F58:H59 L57:O57 M58:O59">
    <cfRule type="cellIs" dxfId="12662" priority="12615" stopIfTrue="1" operator="greaterThan">
      <formula>0</formula>
    </cfRule>
  </conditionalFormatting>
  <conditionalFormatting sqref="C60:D61 C57">
    <cfRule type="cellIs" dxfId="12661" priority="12614" stopIfTrue="1" operator="greaterThan">
      <formula>0</formula>
    </cfRule>
  </conditionalFormatting>
  <conditionalFormatting sqref="L62:M62 C60:D61 F57:J57 F60:I61 C57 F54:H56 K54:K56 I57:I59 M54:M56 L57:M57 F58:H59 M58:M59">
    <cfRule type="cellIs" dxfId="12660" priority="12613" stopIfTrue="1" operator="greaterThan">
      <formula>0</formula>
    </cfRule>
  </conditionalFormatting>
  <conditionalFormatting sqref="M54:M59">
    <cfRule type="cellIs" dxfId="12659" priority="12612" stopIfTrue="1" operator="lessThan">
      <formula>0</formula>
    </cfRule>
  </conditionalFormatting>
  <conditionalFormatting sqref="J57 L57:O57 F54:H54 K54 M54:M56 M58:O59 O55:O59">
    <cfRule type="cellIs" dxfId="12658" priority="12611" stopIfTrue="1" operator="greaterThan">
      <formula>0</formula>
    </cfRule>
  </conditionalFormatting>
  <conditionalFormatting sqref="L57:M57 H57:I57 H56 I57:I59 K56 M56 H58:H59 M58:M59">
    <cfRule type="cellIs" dxfId="12657" priority="12610" stopIfTrue="1" operator="greaterThan">
      <formula>0</formula>
    </cfRule>
  </conditionalFormatting>
  <conditionalFormatting sqref="I62">
    <cfRule type="cellIs" dxfId="12656" priority="12608" stopIfTrue="1" operator="greaterThan">
      <formula>0</formula>
    </cfRule>
  </conditionalFormatting>
  <conditionalFormatting sqref="E60:E61">
    <cfRule type="cellIs" dxfId="12655" priority="12607" stopIfTrue="1" operator="greaterThan">
      <formula>0</formula>
    </cfRule>
  </conditionalFormatting>
  <conditionalFormatting sqref="K70:K75">
    <cfRule type="containsText" dxfId="12654" priority="12605" stopIfTrue="1" operator="containsText" text="NO CUMPLE">
      <formula>NOT(ISERROR(SEARCH("NO CUMPLE",K70)))</formula>
    </cfRule>
    <cfRule type="containsText" dxfId="12653" priority="12606" stopIfTrue="1" operator="containsText" text="CUMPLE">
      <formula>NOT(ISERROR(SEARCH("CUMPLE",K70)))</formula>
    </cfRule>
  </conditionalFormatting>
  <conditionalFormatting sqref="K76">
    <cfRule type="containsText" dxfId="12652" priority="12603" stopIfTrue="1" operator="containsText" text="NO CUMPLE">
      <formula>NOT(ISERROR(SEARCH("NO CUMPLE",K76)))</formula>
    </cfRule>
    <cfRule type="containsText" dxfId="12651" priority="12604" stopIfTrue="1" operator="containsText" text="CUMPLE">
      <formula>NOT(ISERROR(SEARCH("CUMPLE",K76)))</formula>
    </cfRule>
  </conditionalFormatting>
  <conditionalFormatting sqref="R57">
    <cfRule type="cellIs" dxfId="12650" priority="12598" stopIfTrue="1" operator="greaterThan">
      <formula>0</formula>
    </cfRule>
  </conditionalFormatting>
  <conditionalFormatting sqref="R62">
    <cfRule type="cellIs" dxfId="12649" priority="12592" stopIfTrue="1" operator="greaterThan">
      <formula>0</formula>
    </cfRule>
  </conditionalFormatting>
  <conditionalFormatting sqref="W54:X54">
    <cfRule type="cellIs" dxfId="12648" priority="12591" stopIfTrue="1" operator="equal">
      <formula>"NO APLICA"</formula>
    </cfRule>
  </conditionalFormatting>
  <conditionalFormatting sqref="W55:X58 W59">
    <cfRule type="cellIs" dxfId="12647" priority="12590" stopIfTrue="1" operator="equal">
      <formula>"NO APLICA"</formula>
    </cfRule>
  </conditionalFormatting>
  <conditionalFormatting sqref="W55:X55">
    <cfRule type="cellIs" dxfId="12646" priority="12589" stopIfTrue="1" operator="equal">
      <formula>"NO APLICA"</formula>
    </cfRule>
  </conditionalFormatting>
  <conditionalFormatting sqref="Y54">
    <cfRule type="cellIs" dxfId="12645" priority="12588" stopIfTrue="1" operator="equal">
      <formula>"NO APLICA"</formula>
    </cfRule>
  </conditionalFormatting>
  <conditionalFormatting sqref="Y55:Y58">
    <cfRule type="cellIs" dxfId="12644" priority="12587" stopIfTrue="1" operator="equal">
      <formula>"NO APLICA"</formula>
    </cfRule>
  </conditionalFormatting>
  <conditionalFormatting sqref="W59:X59">
    <cfRule type="cellIs" dxfId="12643" priority="12585" stopIfTrue="1" operator="equal">
      <formula>"NO APLICA"</formula>
    </cfRule>
  </conditionalFormatting>
  <conditionalFormatting sqref="T67">
    <cfRule type="cellIs" dxfId="12642" priority="12582" operator="equal">
      <formula>"CUMPLE"</formula>
    </cfRule>
    <cfRule type="cellIs" dxfId="12641" priority="12583" operator="equal">
      <formula>"NO CUMPLE"</formula>
    </cfRule>
  </conditionalFormatting>
  <conditionalFormatting sqref="T67:T69">
    <cfRule type="cellIs" dxfId="12640" priority="12581" operator="equal">
      <formula>"VERIFICAR"</formula>
    </cfRule>
  </conditionalFormatting>
  <conditionalFormatting sqref="AD54:AF58">
    <cfRule type="cellIs" dxfId="12639" priority="12579" stopIfTrue="1" operator="equal">
      <formula>"NO"</formula>
    </cfRule>
    <cfRule type="cellIs" dxfId="12638" priority="12580" stopIfTrue="1" operator="equal">
      <formula>"SI"</formula>
    </cfRule>
  </conditionalFormatting>
  <conditionalFormatting sqref="W62:Y62">
    <cfRule type="cellIs" dxfId="12637" priority="12575" stopIfTrue="1" operator="equal">
      <formula>"NO"</formula>
    </cfRule>
    <cfRule type="cellIs" dxfId="12636" priority="12576" stopIfTrue="1" operator="equal">
      <formula>"SI"</formula>
    </cfRule>
  </conditionalFormatting>
  <conditionalFormatting sqref="W62:X62">
    <cfRule type="cellIs" dxfId="12635" priority="12574" stopIfTrue="1" operator="equal">
      <formula>"NO APLICA"</formula>
    </cfRule>
  </conditionalFormatting>
  <conditionalFormatting sqref="Y62">
    <cfRule type="cellIs" dxfId="12634" priority="12573" stopIfTrue="1" operator="equal">
      <formula>"NO APLICA"</formula>
    </cfRule>
  </conditionalFormatting>
  <conditionalFormatting sqref="AD62:AF62">
    <cfRule type="cellIs" dxfId="12633" priority="12571" stopIfTrue="1" operator="equal">
      <formula>"NO"</formula>
    </cfRule>
    <cfRule type="cellIs" dxfId="12632" priority="12572" stopIfTrue="1" operator="equal">
      <formula>"SI"</formula>
    </cfRule>
  </conditionalFormatting>
  <conditionalFormatting sqref="AE67">
    <cfRule type="cellIs" dxfId="12631" priority="12568" stopIfTrue="1" operator="equal">
      <formula>"VERIFICAR"</formula>
    </cfRule>
    <cfRule type="cellIs" dxfId="12630" priority="12569" stopIfTrue="1" operator="equal">
      <formula>"NO CUMPLE"</formula>
    </cfRule>
    <cfRule type="cellIs" dxfId="12629" priority="12570" stopIfTrue="1" operator="equal">
      <formula>"CUMPLE"</formula>
    </cfRule>
  </conditionalFormatting>
  <conditionalFormatting sqref="AF67">
    <cfRule type="cellIs" dxfId="12628" priority="12565" stopIfTrue="1" operator="equal">
      <formula>"VERIFICAR"</formula>
    </cfRule>
    <cfRule type="cellIs" dxfId="12627" priority="12566" stopIfTrue="1" operator="equal">
      <formula>"NO CUMPLE"</formula>
    </cfRule>
    <cfRule type="cellIs" dxfId="12626" priority="12567" stopIfTrue="1" operator="equal">
      <formula>"CUMPLE"</formula>
    </cfRule>
  </conditionalFormatting>
  <conditionalFormatting sqref="Y70">
    <cfRule type="cellIs" dxfId="12625" priority="12564" operator="equal">
      <formula>"VERIFICAR CUADRO"</formula>
    </cfRule>
  </conditionalFormatting>
  <conditionalFormatting sqref="AC71:AC76">
    <cfRule type="cellIs" dxfId="12624" priority="12563" stopIfTrue="1" operator="greaterThan">
      <formula>0</formula>
    </cfRule>
  </conditionalFormatting>
  <conditionalFormatting sqref="AC71:AC76">
    <cfRule type="cellIs" dxfId="12623" priority="12562" stopIfTrue="1" operator="greaterThan">
      <formula>0</formula>
    </cfRule>
  </conditionalFormatting>
  <conditionalFormatting sqref="AD71:AD76">
    <cfRule type="containsText" dxfId="12622" priority="12560" stopIfTrue="1" operator="containsText" text="NO CUMPLE">
      <formula>NOT(ISERROR(SEARCH("NO CUMPLE",AD71)))</formula>
    </cfRule>
    <cfRule type="containsText" dxfId="12621" priority="12561" stopIfTrue="1" operator="containsText" text="CUMPLE">
      <formula>NOT(ISERROR(SEARCH("CUMPLE",AD71)))</formula>
    </cfRule>
  </conditionalFormatting>
  <conditionalFormatting sqref="Y76">
    <cfRule type="containsText" dxfId="12620" priority="12558" stopIfTrue="1" operator="containsText" text="NO CUMPLE">
      <formula>NOT(ISERROR(SEARCH("NO CUMPLE",Y76)))</formula>
    </cfRule>
    <cfRule type="containsText" dxfId="12619" priority="12559" stopIfTrue="1" operator="containsText" text="CUMPLE">
      <formula>NOT(ISERROR(SEARCH("CUMPLE",Y76)))</formula>
    </cfRule>
  </conditionalFormatting>
  <conditionalFormatting sqref="M89:M92">
    <cfRule type="cellIs" dxfId="12618" priority="12553" stopIfTrue="1" operator="lessThan">
      <formula>0</formula>
    </cfRule>
  </conditionalFormatting>
  <conditionalFormatting sqref="C89:D91 B92:O92 B83:B91 F89:O91 P89:Q92 R83:R85">
    <cfRule type="cellIs" dxfId="12617" priority="12552" stopIfTrue="1" operator="greaterThan">
      <formula>0</formula>
    </cfRule>
  </conditionalFormatting>
  <conditionalFormatting sqref="C89:D91">
    <cfRule type="cellIs" dxfId="12616" priority="12551" stopIfTrue="1" operator="greaterThan">
      <formula>0</formula>
    </cfRule>
  </conditionalFormatting>
  <conditionalFormatting sqref="C89:D91 K89:M91 L92:M92 F89:I91 J89:J92">
    <cfRule type="cellIs" dxfId="12615" priority="12550" stopIfTrue="1" operator="greaterThan">
      <formula>0</formula>
    </cfRule>
  </conditionalFormatting>
  <conditionalFormatting sqref="M89:M92">
    <cfRule type="cellIs" dxfId="12614" priority="12549" stopIfTrue="1" operator="lessThan">
      <formula>0</formula>
    </cfRule>
  </conditionalFormatting>
  <conditionalFormatting sqref="J89:J92 L89:O92">
    <cfRule type="cellIs" dxfId="12613" priority="12548" stopIfTrue="1" operator="greaterThan">
      <formula>0</formula>
    </cfRule>
  </conditionalFormatting>
  <conditionalFormatting sqref="K89:M92 H89:I91">
    <cfRule type="cellIs" dxfId="12612" priority="12547" stopIfTrue="1" operator="greaterThan">
      <formula>0</formula>
    </cfRule>
  </conditionalFormatting>
  <conditionalFormatting sqref="I92">
    <cfRule type="cellIs" dxfId="12611" priority="12545" stopIfTrue="1" operator="greaterThan">
      <formula>0</formula>
    </cfRule>
  </conditionalFormatting>
  <conditionalFormatting sqref="E89:E91">
    <cfRule type="cellIs" dxfId="12610" priority="12544" stopIfTrue="1" operator="greaterThan">
      <formula>0</formula>
    </cfRule>
  </conditionalFormatting>
  <conditionalFormatting sqref="K100:K105">
    <cfRule type="containsText" dxfId="12609" priority="12542" stopIfTrue="1" operator="containsText" text="NO CUMPLE">
      <formula>NOT(ISERROR(SEARCH("NO CUMPLE",K100)))</formula>
    </cfRule>
    <cfRule type="containsText" dxfId="12608" priority="12543" stopIfTrue="1" operator="containsText" text="CUMPLE">
      <formula>NOT(ISERROR(SEARCH("CUMPLE",K100)))</formula>
    </cfRule>
  </conditionalFormatting>
  <conditionalFormatting sqref="K106">
    <cfRule type="containsText" dxfId="12607" priority="12540" stopIfTrue="1" operator="containsText" text="NO CUMPLE">
      <formula>NOT(ISERROR(SEARCH("NO CUMPLE",K106)))</formula>
    </cfRule>
    <cfRule type="containsText" dxfId="12606" priority="12541" stopIfTrue="1" operator="containsText" text="CUMPLE">
      <formula>NOT(ISERROR(SEARCH("CUMPLE",K106)))</formula>
    </cfRule>
  </conditionalFormatting>
  <conditionalFormatting sqref="Q99">
    <cfRule type="cellIs" dxfId="12605" priority="12538" operator="greaterThanOrEqual">
      <formula>NUMMINCONT</formula>
    </cfRule>
    <cfRule type="cellIs" dxfId="12604" priority="12539" operator="lessThan">
      <formula>NUMMINCONT</formula>
    </cfRule>
  </conditionalFormatting>
  <conditionalFormatting sqref="W83:Y91">
    <cfRule type="cellIs" dxfId="12603" priority="12536" stopIfTrue="1" operator="equal">
      <formula>"NO"</formula>
    </cfRule>
    <cfRule type="cellIs" dxfId="12602" priority="12537" stopIfTrue="1" operator="equal">
      <formula>"SI"</formula>
    </cfRule>
  </conditionalFormatting>
  <conditionalFormatting sqref="R86">
    <cfRule type="cellIs" dxfId="12601" priority="12535" stopIfTrue="1" operator="greaterThan">
      <formula>0</formula>
    </cfRule>
  </conditionalFormatting>
  <conditionalFormatting sqref="R87">
    <cfRule type="cellIs" dxfId="12600" priority="12534" stopIfTrue="1" operator="greaterThan">
      <formula>0</formula>
    </cfRule>
  </conditionalFormatting>
  <conditionalFormatting sqref="R88">
    <cfRule type="cellIs" dxfId="12599" priority="12533" stopIfTrue="1" operator="greaterThan">
      <formula>0</formula>
    </cfRule>
  </conditionalFormatting>
  <conditionalFormatting sqref="R89">
    <cfRule type="cellIs" dxfId="12598" priority="12532" stopIfTrue="1" operator="greaterThan">
      <formula>0</formula>
    </cfRule>
  </conditionalFormatting>
  <conditionalFormatting sqref="R90">
    <cfRule type="cellIs" dxfId="12597" priority="12531" stopIfTrue="1" operator="greaterThan">
      <formula>0</formula>
    </cfRule>
  </conditionalFormatting>
  <conditionalFormatting sqref="R91">
    <cfRule type="cellIs" dxfId="12596" priority="12530" stopIfTrue="1" operator="greaterThan">
      <formula>0</formula>
    </cfRule>
  </conditionalFormatting>
  <conditionalFormatting sqref="R92">
    <cfRule type="cellIs" dxfId="12595" priority="12529" stopIfTrue="1" operator="greaterThan">
      <formula>0</formula>
    </cfRule>
  </conditionalFormatting>
  <conditionalFormatting sqref="W83:X83">
    <cfRule type="cellIs" dxfId="12594" priority="12528" stopIfTrue="1" operator="equal">
      <formula>"NO APLICA"</formula>
    </cfRule>
  </conditionalFormatting>
  <conditionalFormatting sqref="W84:X87">
    <cfRule type="cellIs" dxfId="12593" priority="12527" stopIfTrue="1" operator="equal">
      <formula>"NO APLICA"</formula>
    </cfRule>
  </conditionalFormatting>
  <conditionalFormatting sqref="W84:X84">
    <cfRule type="cellIs" dxfId="12592" priority="12526" stopIfTrue="1" operator="equal">
      <formula>"NO APLICA"</formula>
    </cfRule>
  </conditionalFormatting>
  <conditionalFormatting sqref="Y83">
    <cfRule type="cellIs" dxfId="12591" priority="12525" stopIfTrue="1" operator="equal">
      <formula>"NO APLICA"</formula>
    </cfRule>
  </conditionalFormatting>
  <conditionalFormatting sqref="Y84:Y87">
    <cfRule type="cellIs" dxfId="12590" priority="12524" stopIfTrue="1" operator="equal">
      <formula>"NO APLICA"</formula>
    </cfRule>
  </conditionalFormatting>
  <conditionalFormatting sqref="W88:X91">
    <cfRule type="cellIs" dxfId="12589" priority="12523" stopIfTrue="1" operator="equal">
      <formula>"NO APLICA"</formula>
    </cfRule>
  </conditionalFormatting>
  <conditionalFormatting sqref="W88:X88">
    <cfRule type="cellIs" dxfId="12588" priority="12522" stopIfTrue="1" operator="equal">
      <formula>"NO APLICA"</formula>
    </cfRule>
  </conditionalFormatting>
  <conditionalFormatting sqref="Y88:Y91">
    <cfRule type="cellIs" dxfId="12587" priority="12521" stopIfTrue="1" operator="equal">
      <formula>"NO APLICA"</formula>
    </cfRule>
  </conditionalFormatting>
  <conditionalFormatting sqref="T97">
    <cfRule type="cellIs" dxfId="12586" priority="12519" operator="equal">
      <formula>"CUMPLE"</formula>
    </cfRule>
    <cfRule type="cellIs" dxfId="12585" priority="12520" operator="equal">
      <formula>"NO CUMPLE"</formula>
    </cfRule>
  </conditionalFormatting>
  <conditionalFormatting sqref="T97:T99">
    <cfRule type="cellIs" dxfId="12584" priority="12518" operator="equal">
      <formula>"VERIFICAR"</formula>
    </cfRule>
  </conditionalFormatting>
  <conditionalFormatting sqref="AD83:AF87">
    <cfRule type="cellIs" dxfId="12583" priority="12516" stopIfTrue="1" operator="equal">
      <formula>"NO"</formula>
    </cfRule>
    <cfRule type="cellIs" dxfId="12582" priority="12517" stopIfTrue="1" operator="equal">
      <formula>"SI"</formula>
    </cfRule>
  </conditionalFormatting>
  <conditionalFormatting sqref="AD88:AF91">
    <cfRule type="cellIs" dxfId="12581" priority="12514" stopIfTrue="1" operator="equal">
      <formula>"NO"</formula>
    </cfRule>
    <cfRule type="cellIs" dxfId="12580" priority="12515" stopIfTrue="1" operator="equal">
      <formula>"SI"</formula>
    </cfRule>
  </conditionalFormatting>
  <conditionalFormatting sqref="W92:Y92">
    <cfRule type="cellIs" dxfId="12579" priority="12512" stopIfTrue="1" operator="equal">
      <formula>"NO"</formula>
    </cfRule>
    <cfRule type="cellIs" dxfId="12578" priority="12513" stopIfTrue="1" operator="equal">
      <formula>"SI"</formula>
    </cfRule>
  </conditionalFormatting>
  <conditionalFormatting sqref="W92:X92">
    <cfRule type="cellIs" dxfId="12577" priority="12511" stopIfTrue="1" operator="equal">
      <formula>"NO APLICA"</formula>
    </cfRule>
  </conditionalFormatting>
  <conditionalFormatting sqref="Y92">
    <cfRule type="cellIs" dxfId="12576" priority="12510" stopIfTrue="1" operator="equal">
      <formula>"NO APLICA"</formula>
    </cfRule>
  </conditionalFormatting>
  <conditionalFormatting sqref="AD92:AF92">
    <cfRule type="cellIs" dxfId="12575" priority="12508" stopIfTrue="1" operator="equal">
      <formula>"NO"</formula>
    </cfRule>
    <cfRule type="cellIs" dxfId="12574" priority="12509" stopIfTrue="1" operator="equal">
      <formula>"SI"</formula>
    </cfRule>
  </conditionalFormatting>
  <conditionalFormatting sqref="AE97">
    <cfRule type="cellIs" dxfId="12573" priority="12505" stopIfTrue="1" operator="equal">
      <formula>"VERIFICAR"</formula>
    </cfRule>
    <cfRule type="cellIs" dxfId="12572" priority="12506" stopIfTrue="1" operator="equal">
      <formula>"NO CUMPLE"</formula>
    </cfRule>
    <cfRule type="cellIs" dxfId="12571" priority="12507" stopIfTrue="1" operator="equal">
      <formula>"CUMPLE"</formula>
    </cfRule>
  </conditionalFormatting>
  <conditionalFormatting sqref="AF97">
    <cfRule type="cellIs" dxfId="12570" priority="12502" stopIfTrue="1" operator="equal">
      <formula>"VERIFICAR"</formula>
    </cfRule>
    <cfRule type="cellIs" dxfId="12569" priority="12503" stopIfTrue="1" operator="equal">
      <formula>"NO CUMPLE"</formula>
    </cfRule>
    <cfRule type="cellIs" dxfId="12568" priority="12504" stopIfTrue="1" operator="equal">
      <formula>"CUMPLE"</formula>
    </cfRule>
  </conditionalFormatting>
  <conditionalFormatting sqref="Y100">
    <cfRule type="cellIs" dxfId="12567" priority="12501" operator="equal">
      <formula>"VERIFICAR CUADRO"</formula>
    </cfRule>
  </conditionalFormatting>
  <conditionalFormatting sqref="AC101:AC106">
    <cfRule type="cellIs" dxfId="12566" priority="12500" stopIfTrue="1" operator="greaterThan">
      <formula>0</formula>
    </cfRule>
  </conditionalFormatting>
  <conditionalFormatting sqref="AC101:AC106">
    <cfRule type="cellIs" dxfId="12565" priority="12499" stopIfTrue="1" operator="greaterThan">
      <formula>0</formula>
    </cfRule>
  </conditionalFormatting>
  <conditionalFormatting sqref="AD101:AD106">
    <cfRule type="containsText" dxfId="12564" priority="12497" stopIfTrue="1" operator="containsText" text="NO CUMPLE">
      <formula>NOT(ISERROR(SEARCH("NO CUMPLE",AD101)))</formula>
    </cfRule>
    <cfRule type="containsText" dxfId="12563" priority="12498" stopIfTrue="1" operator="containsText" text="CUMPLE">
      <formula>NOT(ISERROR(SEARCH("CUMPLE",AD101)))</formula>
    </cfRule>
  </conditionalFormatting>
  <conditionalFormatting sqref="Y106">
    <cfRule type="containsText" dxfId="12562" priority="12495" stopIfTrue="1" operator="containsText" text="NO CUMPLE">
      <formula>NOT(ISERROR(SEARCH("NO CUMPLE",Y106)))</formula>
    </cfRule>
    <cfRule type="containsText" dxfId="12561" priority="12496" stopIfTrue="1" operator="containsText" text="CUMPLE">
      <formula>NOT(ISERROR(SEARCH("CUMPLE",Y106)))</formula>
    </cfRule>
  </conditionalFormatting>
  <conditionalFormatting sqref="AA83:AA92">
    <cfRule type="cellIs" dxfId="12560" priority="12493" stopIfTrue="1" operator="equal">
      <formula>"NO APLICA"</formula>
    </cfRule>
    <cfRule type="cellIs" dxfId="12559" priority="12494" stopIfTrue="1" operator="equal">
      <formula>"TERCIARIA"</formula>
    </cfRule>
  </conditionalFormatting>
  <conditionalFormatting sqref="AB83:AB92">
    <cfRule type="cellIs" dxfId="12558" priority="12491" stopIfTrue="1" operator="equal">
      <formula>"N/A"</formula>
    </cfRule>
    <cfRule type="cellIs" dxfId="12557" priority="12492" stopIfTrue="1" operator="equal">
      <formula>"NO"</formula>
    </cfRule>
  </conditionalFormatting>
  <conditionalFormatting sqref="M118:M122">
    <cfRule type="cellIs" dxfId="12556" priority="12490" stopIfTrue="1" operator="lessThan">
      <formula>0</formula>
    </cfRule>
  </conditionalFormatting>
  <conditionalFormatting sqref="B114:B121 B122:O122 B113:C113 P118:Q122 F118:O121 C118:D121 C114:C117 R113:R115">
    <cfRule type="cellIs" dxfId="12555" priority="12489" stopIfTrue="1" operator="greaterThan">
      <formula>0</formula>
    </cfRule>
  </conditionalFormatting>
  <conditionalFormatting sqref="C118:D121 C115:C117">
    <cfRule type="cellIs" dxfId="12554" priority="12488" stopIfTrue="1" operator="greaterThan">
      <formula>0</formula>
    </cfRule>
  </conditionalFormatting>
  <conditionalFormatting sqref="L122:M122 F118:I121 J118:J122 K118:M121 C118:D121 C113:C117">
    <cfRule type="cellIs" dxfId="12553" priority="12487" stopIfTrue="1" operator="greaterThan">
      <formula>0</formula>
    </cfRule>
  </conditionalFormatting>
  <conditionalFormatting sqref="M118:M122">
    <cfRule type="cellIs" dxfId="12552" priority="12486" stopIfTrue="1" operator="lessThan">
      <formula>0</formula>
    </cfRule>
  </conditionalFormatting>
  <conditionalFormatting sqref="C113 J118:J122 L118:O122">
    <cfRule type="cellIs" dxfId="12551" priority="12485" stopIfTrue="1" operator="greaterThan">
      <formula>0</formula>
    </cfRule>
  </conditionalFormatting>
  <conditionalFormatting sqref="H118:I121 K118:M122">
    <cfRule type="cellIs" dxfId="12550" priority="12484" stopIfTrue="1" operator="greaterThan">
      <formula>0</formula>
    </cfRule>
  </conditionalFormatting>
  <conditionalFormatting sqref="I122">
    <cfRule type="cellIs" dxfId="12549" priority="12482" stopIfTrue="1" operator="greaterThan">
      <formula>0</formula>
    </cfRule>
  </conditionalFormatting>
  <conditionalFormatting sqref="E118:E121">
    <cfRule type="cellIs" dxfId="12548" priority="12481" stopIfTrue="1" operator="greaterThan">
      <formula>0</formula>
    </cfRule>
  </conditionalFormatting>
  <conditionalFormatting sqref="K130:K135">
    <cfRule type="containsText" dxfId="12547" priority="12479" stopIfTrue="1" operator="containsText" text="NO CUMPLE">
      <formula>NOT(ISERROR(SEARCH("NO CUMPLE",K130)))</formula>
    </cfRule>
    <cfRule type="containsText" dxfId="12546" priority="12480" stopIfTrue="1" operator="containsText" text="CUMPLE">
      <formula>NOT(ISERROR(SEARCH("CUMPLE",K130)))</formula>
    </cfRule>
  </conditionalFormatting>
  <conditionalFormatting sqref="K136">
    <cfRule type="containsText" dxfId="12545" priority="12477" stopIfTrue="1" operator="containsText" text="NO CUMPLE">
      <formula>NOT(ISERROR(SEARCH("NO CUMPLE",K136)))</formula>
    </cfRule>
    <cfRule type="containsText" dxfId="12544" priority="12478" stopIfTrue="1" operator="containsText" text="CUMPLE">
      <formula>NOT(ISERROR(SEARCH("CUMPLE",K136)))</formula>
    </cfRule>
  </conditionalFormatting>
  <conditionalFormatting sqref="Q129">
    <cfRule type="cellIs" dxfId="12543" priority="12475" operator="greaterThanOrEqual">
      <formula>NUMMINCONT</formula>
    </cfRule>
    <cfRule type="cellIs" dxfId="12542" priority="12476" operator="lessThan">
      <formula>NUMMINCONT</formula>
    </cfRule>
  </conditionalFormatting>
  <conditionalFormatting sqref="W113:Y121">
    <cfRule type="cellIs" dxfId="12541" priority="12473" stopIfTrue="1" operator="equal">
      <formula>"NO"</formula>
    </cfRule>
    <cfRule type="cellIs" dxfId="12540" priority="12474" stopIfTrue="1" operator="equal">
      <formula>"SI"</formula>
    </cfRule>
  </conditionalFormatting>
  <conditionalFormatting sqref="R116">
    <cfRule type="cellIs" dxfId="12539" priority="12472" stopIfTrue="1" operator="greaterThan">
      <formula>0</formula>
    </cfRule>
  </conditionalFormatting>
  <conditionalFormatting sqref="R117">
    <cfRule type="cellIs" dxfId="12538" priority="12471" stopIfTrue="1" operator="greaterThan">
      <formula>0</formula>
    </cfRule>
  </conditionalFormatting>
  <conditionalFormatting sqref="R118">
    <cfRule type="cellIs" dxfId="12537" priority="12470" stopIfTrue="1" operator="greaterThan">
      <formula>0</formula>
    </cfRule>
  </conditionalFormatting>
  <conditionalFormatting sqref="R119">
    <cfRule type="cellIs" dxfId="12536" priority="12469" stopIfTrue="1" operator="greaterThan">
      <formula>0</formula>
    </cfRule>
  </conditionalFormatting>
  <conditionalFormatting sqref="R120">
    <cfRule type="cellIs" dxfId="12535" priority="12468" stopIfTrue="1" operator="greaterThan">
      <formula>0</formula>
    </cfRule>
  </conditionalFormatting>
  <conditionalFormatting sqref="R121">
    <cfRule type="cellIs" dxfId="12534" priority="12467" stopIfTrue="1" operator="greaterThan">
      <formula>0</formula>
    </cfRule>
  </conditionalFormatting>
  <conditionalFormatting sqref="R122">
    <cfRule type="cellIs" dxfId="12533" priority="12466" stopIfTrue="1" operator="greaterThan">
      <formula>0</formula>
    </cfRule>
  </conditionalFormatting>
  <conditionalFormatting sqref="W113:X113">
    <cfRule type="cellIs" dxfId="12532" priority="12465" stopIfTrue="1" operator="equal">
      <formula>"NO APLICA"</formula>
    </cfRule>
  </conditionalFormatting>
  <conditionalFormatting sqref="W114:X117 W118">
    <cfRule type="cellIs" dxfId="12531" priority="12464" stopIfTrue="1" operator="equal">
      <formula>"NO APLICA"</formula>
    </cfRule>
  </conditionalFormatting>
  <conditionalFormatting sqref="W114:X114">
    <cfRule type="cellIs" dxfId="12530" priority="12463" stopIfTrue="1" operator="equal">
      <formula>"NO APLICA"</formula>
    </cfRule>
  </conditionalFormatting>
  <conditionalFormatting sqref="Y113">
    <cfRule type="cellIs" dxfId="12529" priority="12462" stopIfTrue="1" operator="equal">
      <formula>"NO APLICA"</formula>
    </cfRule>
  </conditionalFormatting>
  <conditionalFormatting sqref="Y114:Y118">
    <cfRule type="cellIs" dxfId="12528" priority="12461" stopIfTrue="1" operator="equal">
      <formula>"NO APLICA"</formula>
    </cfRule>
  </conditionalFormatting>
  <conditionalFormatting sqref="W118:X121">
    <cfRule type="cellIs" dxfId="12527" priority="12460" stopIfTrue="1" operator="equal">
      <formula>"NO APLICA"</formula>
    </cfRule>
  </conditionalFormatting>
  <conditionalFormatting sqref="W118:X118">
    <cfRule type="cellIs" dxfId="12526" priority="12459" stopIfTrue="1" operator="equal">
      <formula>"NO APLICA"</formula>
    </cfRule>
  </conditionalFormatting>
  <conditionalFormatting sqref="Y118:Y121">
    <cfRule type="cellIs" dxfId="12525" priority="12458" stopIfTrue="1" operator="equal">
      <formula>"NO APLICA"</formula>
    </cfRule>
  </conditionalFormatting>
  <conditionalFormatting sqref="T127">
    <cfRule type="cellIs" dxfId="12524" priority="12456" operator="equal">
      <formula>"CUMPLE"</formula>
    </cfRule>
    <cfRule type="cellIs" dxfId="12523" priority="12457" operator="equal">
      <formula>"NO CUMPLE"</formula>
    </cfRule>
  </conditionalFormatting>
  <conditionalFormatting sqref="T127:T129">
    <cfRule type="cellIs" dxfId="12522" priority="12455" operator="equal">
      <formula>"VERIFICAR"</formula>
    </cfRule>
  </conditionalFormatting>
  <conditionalFormatting sqref="AD113:AF117">
    <cfRule type="cellIs" dxfId="12521" priority="12453" stopIfTrue="1" operator="equal">
      <formula>"NO"</formula>
    </cfRule>
    <cfRule type="cellIs" dxfId="12520" priority="12454" stopIfTrue="1" operator="equal">
      <formula>"SI"</formula>
    </cfRule>
  </conditionalFormatting>
  <conditionalFormatting sqref="AD118:AF121">
    <cfRule type="cellIs" dxfId="12519" priority="12451" stopIfTrue="1" operator="equal">
      <formula>"NO"</formula>
    </cfRule>
    <cfRule type="cellIs" dxfId="12518" priority="12452" stopIfTrue="1" operator="equal">
      <formula>"SI"</formula>
    </cfRule>
  </conditionalFormatting>
  <conditionalFormatting sqref="W122:Y122">
    <cfRule type="cellIs" dxfId="12517" priority="12449" stopIfTrue="1" operator="equal">
      <formula>"NO"</formula>
    </cfRule>
    <cfRule type="cellIs" dxfId="12516" priority="12450" stopIfTrue="1" operator="equal">
      <formula>"SI"</formula>
    </cfRule>
  </conditionalFormatting>
  <conditionalFormatting sqref="W122:X122">
    <cfRule type="cellIs" dxfId="12515" priority="12448" stopIfTrue="1" operator="equal">
      <formula>"NO APLICA"</formula>
    </cfRule>
  </conditionalFormatting>
  <conditionalFormatting sqref="Y122">
    <cfRule type="cellIs" dxfId="12514" priority="12447" stopIfTrue="1" operator="equal">
      <formula>"NO APLICA"</formula>
    </cfRule>
  </conditionalFormatting>
  <conditionalFormatting sqref="AD122:AF122">
    <cfRule type="cellIs" dxfId="12513" priority="12445" stopIfTrue="1" operator="equal">
      <formula>"NO"</formula>
    </cfRule>
    <cfRule type="cellIs" dxfId="12512" priority="12446" stopIfTrue="1" operator="equal">
      <formula>"SI"</formula>
    </cfRule>
  </conditionalFormatting>
  <conditionalFormatting sqref="AE127">
    <cfRule type="cellIs" dxfId="12511" priority="12442" stopIfTrue="1" operator="equal">
      <formula>"VERIFICAR"</formula>
    </cfRule>
    <cfRule type="cellIs" dxfId="12510" priority="12443" stopIfTrue="1" operator="equal">
      <formula>"NO CUMPLE"</formula>
    </cfRule>
    <cfRule type="cellIs" dxfId="12509" priority="12444" stopIfTrue="1" operator="equal">
      <formula>"CUMPLE"</formula>
    </cfRule>
  </conditionalFormatting>
  <conditionalFormatting sqref="AF127">
    <cfRule type="cellIs" dxfId="12508" priority="12439" stopIfTrue="1" operator="equal">
      <formula>"VERIFICAR"</formula>
    </cfRule>
    <cfRule type="cellIs" dxfId="12507" priority="12440" stopIfTrue="1" operator="equal">
      <formula>"NO CUMPLE"</formula>
    </cfRule>
    <cfRule type="cellIs" dxfId="12506" priority="12441" stopIfTrue="1" operator="equal">
      <formula>"CUMPLE"</formula>
    </cfRule>
  </conditionalFormatting>
  <conditionalFormatting sqref="Y130">
    <cfRule type="cellIs" dxfId="12505" priority="12438" operator="equal">
      <formula>"VERIFICAR CUADRO"</formula>
    </cfRule>
  </conditionalFormatting>
  <conditionalFormatting sqref="AC131:AC136">
    <cfRule type="cellIs" dxfId="12504" priority="12437" stopIfTrue="1" operator="greaterThan">
      <formula>0</formula>
    </cfRule>
  </conditionalFormatting>
  <conditionalFormatting sqref="AC131:AC136">
    <cfRule type="cellIs" dxfId="12503" priority="12436" stopIfTrue="1" operator="greaterThan">
      <formula>0</formula>
    </cfRule>
  </conditionalFormatting>
  <conditionalFormatting sqref="AD131:AD136">
    <cfRule type="containsText" dxfId="12502" priority="12434" stopIfTrue="1" operator="containsText" text="NO CUMPLE">
      <formula>NOT(ISERROR(SEARCH("NO CUMPLE",AD131)))</formula>
    </cfRule>
    <cfRule type="containsText" dxfId="12501" priority="12435" stopIfTrue="1" operator="containsText" text="CUMPLE">
      <formula>NOT(ISERROR(SEARCH("CUMPLE",AD131)))</formula>
    </cfRule>
  </conditionalFormatting>
  <conditionalFormatting sqref="Y136">
    <cfRule type="containsText" dxfId="12500" priority="12432" stopIfTrue="1" operator="containsText" text="NO CUMPLE">
      <formula>NOT(ISERROR(SEARCH("NO CUMPLE",Y136)))</formula>
    </cfRule>
    <cfRule type="containsText" dxfId="12499" priority="12433" stopIfTrue="1" operator="containsText" text="CUMPLE">
      <formula>NOT(ISERROR(SEARCH("CUMPLE",Y136)))</formula>
    </cfRule>
  </conditionalFormatting>
  <conditionalFormatting sqref="AA113:AA122">
    <cfRule type="cellIs" dxfId="12498" priority="12430" stopIfTrue="1" operator="equal">
      <formula>"NO APLICA"</formula>
    </cfRule>
    <cfRule type="cellIs" dxfId="12497" priority="12431" stopIfTrue="1" operator="equal">
      <formula>"TERCIARIA"</formula>
    </cfRule>
  </conditionalFormatting>
  <conditionalFormatting sqref="AB113:AB122">
    <cfRule type="cellIs" dxfId="12496" priority="12428" stopIfTrue="1" operator="equal">
      <formula>"N/A"</formula>
    </cfRule>
    <cfRule type="cellIs" dxfId="12495" priority="12429" stopIfTrue="1" operator="equal">
      <formula>"NO"</formula>
    </cfRule>
  </conditionalFormatting>
  <conditionalFormatting sqref="M148:M152">
    <cfRule type="cellIs" dxfId="12494" priority="12427" stopIfTrue="1" operator="lessThan">
      <formula>0</formula>
    </cfRule>
  </conditionalFormatting>
  <conditionalFormatting sqref="B144:B151 B152:O152 B143:C143 P148:Q152 C148:D151 F148:O151 C144:C147 R143:R145">
    <cfRule type="cellIs" dxfId="12493" priority="12426" stopIfTrue="1" operator="greaterThan">
      <formula>0</formula>
    </cfRule>
  </conditionalFormatting>
  <conditionalFormatting sqref="C148:D151 C145:C147">
    <cfRule type="cellIs" dxfId="12492" priority="12425" stopIfTrue="1" operator="greaterThan">
      <formula>0</formula>
    </cfRule>
  </conditionalFormatting>
  <conditionalFormatting sqref="K148:M151 J148:J152 L152:M152 C148:D151 F148:I151 C143:C147">
    <cfRule type="cellIs" dxfId="12491" priority="12424" stopIfTrue="1" operator="greaterThan">
      <formula>0</formula>
    </cfRule>
  </conditionalFormatting>
  <conditionalFormatting sqref="M148:M152">
    <cfRule type="cellIs" dxfId="12490" priority="12423" stopIfTrue="1" operator="lessThan">
      <formula>0</formula>
    </cfRule>
  </conditionalFormatting>
  <conditionalFormatting sqref="J148:J152 L148:O152 C143:C146">
    <cfRule type="cellIs" dxfId="12489" priority="12422" stopIfTrue="1" operator="greaterThan">
      <formula>0</formula>
    </cfRule>
  </conditionalFormatting>
  <conditionalFormatting sqref="K148:M152 H148:I151">
    <cfRule type="cellIs" dxfId="12488" priority="12421" stopIfTrue="1" operator="greaterThan">
      <formula>0</formula>
    </cfRule>
  </conditionalFormatting>
  <conditionalFormatting sqref="I152">
    <cfRule type="cellIs" dxfId="12487" priority="12419" stopIfTrue="1" operator="greaterThan">
      <formula>0</formula>
    </cfRule>
  </conditionalFormatting>
  <conditionalFormatting sqref="E148:E151">
    <cfRule type="cellIs" dxfId="12486" priority="12418" stopIfTrue="1" operator="greaterThan">
      <formula>0</formula>
    </cfRule>
  </conditionalFormatting>
  <conditionalFormatting sqref="K160:K165">
    <cfRule type="containsText" dxfId="12485" priority="12416" stopIfTrue="1" operator="containsText" text="NO CUMPLE">
      <formula>NOT(ISERROR(SEARCH("NO CUMPLE",K160)))</formula>
    </cfRule>
    <cfRule type="containsText" dxfId="12484" priority="12417" stopIfTrue="1" operator="containsText" text="CUMPLE">
      <formula>NOT(ISERROR(SEARCH("CUMPLE",K160)))</formula>
    </cfRule>
  </conditionalFormatting>
  <conditionalFormatting sqref="K166">
    <cfRule type="containsText" dxfId="12483" priority="12414" stopIfTrue="1" operator="containsText" text="NO CUMPLE">
      <formula>NOT(ISERROR(SEARCH("NO CUMPLE",K166)))</formula>
    </cfRule>
    <cfRule type="containsText" dxfId="12482" priority="12415" stopIfTrue="1" operator="containsText" text="CUMPLE">
      <formula>NOT(ISERROR(SEARCH("CUMPLE",K166)))</formula>
    </cfRule>
  </conditionalFormatting>
  <conditionalFormatting sqref="Q159">
    <cfRule type="cellIs" dxfId="12481" priority="12412" operator="greaterThanOrEqual">
      <formula>NUMMINCONT</formula>
    </cfRule>
    <cfRule type="cellIs" dxfId="12480" priority="12413" operator="lessThan">
      <formula>NUMMINCONT</formula>
    </cfRule>
  </conditionalFormatting>
  <conditionalFormatting sqref="W143:Y151">
    <cfRule type="cellIs" dxfId="12479" priority="12410" stopIfTrue="1" operator="equal">
      <formula>"NO"</formula>
    </cfRule>
    <cfRule type="cellIs" dxfId="12478" priority="12411" stopIfTrue="1" operator="equal">
      <formula>"SI"</formula>
    </cfRule>
  </conditionalFormatting>
  <conditionalFormatting sqref="R146">
    <cfRule type="cellIs" dxfId="12477" priority="12409" stopIfTrue="1" operator="greaterThan">
      <formula>0</formula>
    </cfRule>
  </conditionalFormatting>
  <conditionalFormatting sqref="R147">
    <cfRule type="cellIs" dxfId="12476" priority="12408" stopIfTrue="1" operator="greaterThan">
      <formula>0</formula>
    </cfRule>
  </conditionalFormatting>
  <conditionalFormatting sqref="R148">
    <cfRule type="cellIs" dxfId="12475" priority="12407" stopIfTrue="1" operator="greaterThan">
      <formula>0</formula>
    </cfRule>
  </conditionalFormatting>
  <conditionalFormatting sqref="R149">
    <cfRule type="cellIs" dxfId="12474" priority="12406" stopIfTrue="1" operator="greaterThan">
      <formula>0</formula>
    </cfRule>
  </conditionalFormatting>
  <conditionalFormatting sqref="R150">
    <cfRule type="cellIs" dxfId="12473" priority="12405" stopIfTrue="1" operator="greaterThan">
      <formula>0</formula>
    </cfRule>
  </conditionalFormatting>
  <conditionalFormatting sqref="R151">
    <cfRule type="cellIs" dxfId="12472" priority="12404" stopIfTrue="1" operator="greaterThan">
      <formula>0</formula>
    </cfRule>
  </conditionalFormatting>
  <conditionalFormatting sqref="R152">
    <cfRule type="cellIs" dxfId="12471" priority="12403" stopIfTrue="1" operator="greaterThan">
      <formula>0</formula>
    </cfRule>
  </conditionalFormatting>
  <conditionalFormatting sqref="W143:X143">
    <cfRule type="cellIs" dxfId="12470" priority="12402" stopIfTrue="1" operator="equal">
      <formula>"NO APLICA"</formula>
    </cfRule>
  </conditionalFormatting>
  <conditionalFormatting sqref="W144:X147">
    <cfRule type="cellIs" dxfId="12469" priority="12401" stopIfTrue="1" operator="equal">
      <formula>"NO APLICA"</formula>
    </cfRule>
  </conditionalFormatting>
  <conditionalFormatting sqref="W144:X144">
    <cfRule type="cellIs" dxfId="12468" priority="12400" stopIfTrue="1" operator="equal">
      <formula>"NO APLICA"</formula>
    </cfRule>
  </conditionalFormatting>
  <conditionalFormatting sqref="Y143:Y146">
    <cfRule type="cellIs" dxfId="12467" priority="12399" stopIfTrue="1" operator="equal">
      <formula>"NO APLICA"</formula>
    </cfRule>
  </conditionalFormatting>
  <conditionalFormatting sqref="Y144:Y147">
    <cfRule type="cellIs" dxfId="12466" priority="12398" stopIfTrue="1" operator="equal">
      <formula>"NO APLICA"</formula>
    </cfRule>
  </conditionalFormatting>
  <conditionalFormatting sqref="W148:X151">
    <cfRule type="cellIs" dxfId="12465" priority="12397" stopIfTrue="1" operator="equal">
      <formula>"NO APLICA"</formula>
    </cfRule>
  </conditionalFormatting>
  <conditionalFormatting sqref="W148:X148">
    <cfRule type="cellIs" dxfId="12464" priority="12396" stopIfTrue="1" operator="equal">
      <formula>"NO APLICA"</formula>
    </cfRule>
  </conditionalFormatting>
  <conditionalFormatting sqref="Y148:Y151">
    <cfRule type="cellIs" dxfId="12463" priority="12395" stopIfTrue="1" operator="equal">
      <formula>"NO APLICA"</formula>
    </cfRule>
  </conditionalFormatting>
  <conditionalFormatting sqref="T157">
    <cfRule type="cellIs" dxfId="12462" priority="12393" operator="equal">
      <formula>"CUMPLE"</formula>
    </cfRule>
    <cfRule type="cellIs" dxfId="12461" priority="12394" operator="equal">
      <formula>"NO CUMPLE"</formula>
    </cfRule>
  </conditionalFormatting>
  <conditionalFormatting sqref="T157:T159">
    <cfRule type="cellIs" dxfId="12460" priority="12392" operator="equal">
      <formula>"VERIFICAR"</formula>
    </cfRule>
  </conditionalFormatting>
  <conditionalFormatting sqref="AD143:AF147">
    <cfRule type="cellIs" dxfId="12459" priority="12390" stopIfTrue="1" operator="equal">
      <formula>"NO"</formula>
    </cfRule>
    <cfRule type="cellIs" dxfId="12458" priority="12391" stopIfTrue="1" operator="equal">
      <formula>"SI"</formula>
    </cfRule>
  </conditionalFormatting>
  <conditionalFormatting sqref="AD148:AF151">
    <cfRule type="cellIs" dxfId="12457" priority="12388" stopIfTrue="1" operator="equal">
      <formula>"NO"</formula>
    </cfRule>
    <cfRule type="cellIs" dxfId="12456" priority="12389" stopIfTrue="1" operator="equal">
      <formula>"SI"</formula>
    </cfRule>
  </conditionalFormatting>
  <conditionalFormatting sqref="W152:Y152">
    <cfRule type="cellIs" dxfId="12455" priority="12386" stopIfTrue="1" operator="equal">
      <formula>"NO"</formula>
    </cfRule>
    <cfRule type="cellIs" dxfId="12454" priority="12387" stopIfTrue="1" operator="equal">
      <formula>"SI"</formula>
    </cfRule>
  </conditionalFormatting>
  <conditionalFormatting sqref="W152:X152">
    <cfRule type="cellIs" dxfId="12453" priority="12385" stopIfTrue="1" operator="equal">
      <formula>"NO APLICA"</formula>
    </cfRule>
  </conditionalFormatting>
  <conditionalFormatting sqref="Y152">
    <cfRule type="cellIs" dxfId="12452" priority="12384" stopIfTrue="1" operator="equal">
      <formula>"NO APLICA"</formula>
    </cfRule>
  </conditionalFormatting>
  <conditionalFormatting sqref="AD152:AF152">
    <cfRule type="cellIs" dxfId="12451" priority="12382" stopIfTrue="1" operator="equal">
      <formula>"NO"</formula>
    </cfRule>
    <cfRule type="cellIs" dxfId="12450" priority="12383" stopIfTrue="1" operator="equal">
      <formula>"SI"</formula>
    </cfRule>
  </conditionalFormatting>
  <conditionalFormatting sqref="AE157">
    <cfRule type="cellIs" dxfId="12449" priority="12379" stopIfTrue="1" operator="equal">
      <formula>"VERIFICAR"</formula>
    </cfRule>
    <cfRule type="cellIs" dxfId="12448" priority="12380" stopIfTrue="1" operator="equal">
      <formula>"NO CUMPLE"</formula>
    </cfRule>
    <cfRule type="cellIs" dxfId="12447" priority="12381" stopIfTrue="1" operator="equal">
      <formula>"CUMPLE"</formula>
    </cfRule>
  </conditionalFormatting>
  <conditionalFormatting sqref="AF157">
    <cfRule type="cellIs" dxfId="12446" priority="12376" stopIfTrue="1" operator="equal">
      <formula>"VERIFICAR"</formula>
    </cfRule>
    <cfRule type="cellIs" dxfId="12445" priority="12377" stopIfTrue="1" operator="equal">
      <formula>"NO CUMPLE"</formula>
    </cfRule>
    <cfRule type="cellIs" dxfId="12444" priority="12378" stopIfTrue="1" operator="equal">
      <formula>"CUMPLE"</formula>
    </cfRule>
  </conditionalFormatting>
  <conditionalFormatting sqref="Y160">
    <cfRule type="cellIs" dxfId="12443" priority="12375" operator="equal">
      <formula>"VERIFICAR CUADRO"</formula>
    </cfRule>
  </conditionalFormatting>
  <conditionalFormatting sqref="AC161:AC166">
    <cfRule type="cellIs" dxfId="12442" priority="12374" stopIfTrue="1" operator="greaterThan">
      <formula>0</formula>
    </cfRule>
  </conditionalFormatting>
  <conditionalFormatting sqref="AC161:AC166">
    <cfRule type="cellIs" dxfId="12441" priority="12373" stopIfTrue="1" operator="greaterThan">
      <formula>0</formula>
    </cfRule>
  </conditionalFormatting>
  <conditionalFormatting sqref="AD161:AD166">
    <cfRule type="containsText" dxfId="12440" priority="12371" stopIfTrue="1" operator="containsText" text="NO CUMPLE">
      <formula>NOT(ISERROR(SEARCH("NO CUMPLE",AD161)))</formula>
    </cfRule>
    <cfRule type="containsText" dxfId="12439" priority="12372" stopIfTrue="1" operator="containsText" text="CUMPLE">
      <formula>NOT(ISERROR(SEARCH("CUMPLE",AD161)))</formula>
    </cfRule>
  </conditionalFormatting>
  <conditionalFormatting sqref="Y166">
    <cfRule type="containsText" dxfId="12438" priority="12369" stopIfTrue="1" operator="containsText" text="NO CUMPLE">
      <formula>NOT(ISERROR(SEARCH("NO CUMPLE",Y166)))</formula>
    </cfRule>
    <cfRule type="containsText" dxfId="12437" priority="12370" stopIfTrue="1" operator="containsText" text="CUMPLE">
      <formula>NOT(ISERROR(SEARCH("CUMPLE",Y166)))</formula>
    </cfRule>
  </conditionalFormatting>
  <conditionalFormatting sqref="AA143:AA152">
    <cfRule type="cellIs" dxfId="12436" priority="12367" stopIfTrue="1" operator="equal">
      <formula>"NO APLICA"</formula>
    </cfRule>
    <cfRule type="cellIs" dxfId="12435" priority="12368" stopIfTrue="1" operator="equal">
      <formula>"TERCIARIA"</formula>
    </cfRule>
  </conditionalFormatting>
  <conditionalFormatting sqref="AB143:AB152">
    <cfRule type="cellIs" dxfId="12434" priority="12365" stopIfTrue="1" operator="equal">
      <formula>"N/A"</formula>
    </cfRule>
    <cfRule type="cellIs" dxfId="12433" priority="12366" stopIfTrue="1" operator="equal">
      <formula>"NO"</formula>
    </cfRule>
  </conditionalFormatting>
  <conditionalFormatting sqref="M173:M182">
    <cfRule type="cellIs" dxfId="12432" priority="12364" stopIfTrue="1" operator="lessThan">
      <formula>0</formula>
    </cfRule>
  </conditionalFormatting>
  <conditionalFormatting sqref="C175:D181 B174:B181 B182:O182 B173:R173 Q174:R175 J174:O181 Q176:Q182 P174:P182 C174:I174 F175:I181">
    <cfRule type="cellIs" dxfId="12431" priority="12363" stopIfTrue="1" operator="greaterThan">
      <formula>0</formula>
    </cfRule>
  </conditionalFormatting>
  <conditionalFormatting sqref="C175:D181">
    <cfRule type="cellIs" dxfId="12430" priority="12362" stopIfTrue="1" operator="greaterThan">
      <formula>0</formula>
    </cfRule>
  </conditionalFormatting>
  <conditionalFormatting sqref="C173:M173 C175:D181 K174:M181 J174:J182 L182:M182 C174:I174 F175:I181">
    <cfRule type="cellIs" dxfId="12429" priority="12361" stopIfTrue="1" operator="greaterThan">
      <formula>0</formula>
    </cfRule>
  </conditionalFormatting>
  <conditionalFormatting sqref="M173:M182">
    <cfRule type="cellIs" dxfId="12428" priority="12360" stopIfTrue="1" operator="lessThan">
      <formula>0</formula>
    </cfRule>
  </conditionalFormatting>
  <conditionalFormatting sqref="J174:J182 L174:O182 C173:O173 I174:I175">
    <cfRule type="cellIs" dxfId="12427" priority="12359" stopIfTrue="1" operator="greaterThan">
      <formula>0</formula>
    </cfRule>
  </conditionalFormatting>
  <conditionalFormatting sqref="K175:M182 H175:I181">
    <cfRule type="cellIs" dxfId="12426" priority="12358" stopIfTrue="1" operator="greaterThan">
      <formula>0</formula>
    </cfRule>
  </conditionalFormatting>
  <conditionalFormatting sqref="I174:I175">
    <cfRule type="cellIs" dxfId="12425" priority="12357" stopIfTrue="1" operator="greaterThan">
      <formula>0</formula>
    </cfRule>
  </conditionalFormatting>
  <conditionalFormatting sqref="I182">
    <cfRule type="cellIs" dxfId="12424" priority="12356" stopIfTrue="1" operator="greaterThan">
      <formula>0</formula>
    </cfRule>
  </conditionalFormatting>
  <conditionalFormatting sqref="E175:E181">
    <cfRule type="cellIs" dxfId="12423" priority="12355" stopIfTrue="1" operator="greaterThan">
      <formula>0</formula>
    </cfRule>
  </conditionalFormatting>
  <conditionalFormatting sqref="K190:K195">
    <cfRule type="containsText" dxfId="12422" priority="12353" stopIfTrue="1" operator="containsText" text="NO CUMPLE">
      <formula>NOT(ISERROR(SEARCH("NO CUMPLE",K190)))</formula>
    </cfRule>
    <cfRule type="containsText" dxfId="12421" priority="12354" stopIfTrue="1" operator="containsText" text="CUMPLE">
      <formula>NOT(ISERROR(SEARCH("CUMPLE",K190)))</formula>
    </cfRule>
  </conditionalFormatting>
  <conditionalFormatting sqref="K196">
    <cfRule type="containsText" dxfId="12420" priority="12351" stopIfTrue="1" operator="containsText" text="NO CUMPLE">
      <formula>NOT(ISERROR(SEARCH("NO CUMPLE",K196)))</formula>
    </cfRule>
    <cfRule type="containsText" dxfId="12419" priority="12352" stopIfTrue="1" operator="containsText" text="CUMPLE">
      <formula>NOT(ISERROR(SEARCH("CUMPLE",K196)))</formula>
    </cfRule>
  </conditionalFormatting>
  <conditionalFormatting sqref="Q189">
    <cfRule type="cellIs" dxfId="12418" priority="12349" operator="greaterThanOrEqual">
      <formula>NUMMINCONT</formula>
    </cfRule>
    <cfRule type="cellIs" dxfId="12417" priority="12350" operator="lessThan">
      <formula>NUMMINCONT</formula>
    </cfRule>
  </conditionalFormatting>
  <conditionalFormatting sqref="W173:Y181">
    <cfRule type="cellIs" dxfId="12416" priority="12347" stopIfTrue="1" operator="equal">
      <formula>"NO"</formula>
    </cfRule>
    <cfRule type="cellIs" dxfId="12415" priority="12348" stopIfTrue="1" operator="equal">
      <formula>"SI"</formula>
    </cfRule>
  </conditionalFormatting>
  <conditionalFormatting sqref="R176">
    <cfRule type="cellIs" dxfId="12414" priority="12346" stopIfTrue="1" operator="greaterThan">
      <formula>0</formula>
    </cfRule>
  </conditionalFormatting>
  <conditionalFormatting sqref="R177">
    <cfRule type="cellIs" dxfId="12413" priority="12345" stopIfTrue="1" operator="greaterThan">
      <formula>0</formula>
    </cfRule>
  </conditionalFormatting>
  <conditionalFormatting sqref="R178">
    <cfRule type="cellIs" dxfId="12412" priority="12344" stopIfTrue="1" operator="greaterThan">
      <formula>0</formula>
    </cfRule>
  </conditionalFormatting>
  <conditionalFormatting sqref="R179">
    <cfRule type="cellIs" dxfId="12411" priority="12343" stopIfTrue="1" operator="greaterThan">
      <formula>0</formula>
    </cfRule>
  </conditionalFormatting>
  <conditionalFormatting sqref="R180">
    <cfRule type="cellIs" dxfId="12410" priority="12342" stopIfTrue="1" operator="greaterThan">
      <formula>0</formula>
    </cfRule>
  </conditionalFormatting>
  <conditionalFormatting sqref="R181">
    <cfRule type="cellIs" dxfId="12409" priority="12341" stopIfTrue="1" operator="greaterThan">
      <formula>0</formula>
    </cfRule>
  </conditionalFormatting>
  <conditionalFormatting sqref="R182">
    <cfRule type="cellIs" dxfId="12408" priority="12340" stopIfTrue="1" operator="greaterThan">
      <formula>0</formula>
    </cfRule>
  </conditionalFormatting>
  <conditionalFormatting sqref="W173:X173">
    <cfRule type="cellIs" dxfId="12407" priority="12339" stopIfTrue="1" operator="equal">
      <formula>"NO APLICA"</formula>
    </cfRule>
  </conditionalFormatting>
  <conditionalFormatting sqref="W174:X177 X178">
    <cfRule type="cellIs" dxfId="12406" priority="12338" stopIfTrue="1" operator="equal">
      <formula>"NO APLICA"</formula>
    </cfRule>
  </conditionalFormatting>
  <conditionalFormatting sqref="W174:X174">
    <cfRule type="cellIs" dxfId="12405" priority="12337" stopIfTrue="1" operator="equal">
      <formula>"NO APLICA"</formula>
    </cfRule>
  </conditionalFormatting>
  <conditionalFormatting sqref="Y173:Y174">
    <cfRule type="cellIs" dxfId="12404" priority="12336" stopIfTrue="1" operator="equal">
      <formula>"NO APLICA"</formula>
    </cfRule>
  </conditionalFormatting>
  <conditionalFormatting sqref="Y174:Y177">
    <cfRule type="cellIs" dxfId="12403" priority="12335" stopIfTrue="1" operator="equal">
      <formula>"NO APLICA"</formula>
    </cfRule>
  </conditionalFormatting>
  <conditionalFormatting sqref="W178:X181">
    <cfRule type="cellIs" dxfId="12402" priority="12334" stopIfTrue="1" operator="equal">
      <formula>"NO APLICA"</formula>
    </cfRule>
  </conditionalFormatting>
  <conditionalFormatting sqref="W178:X178">
    <cfRule type="cellIs" dxfId="12401" priority="12333" stopIfTrue="1" operator="equal">
      <formula>"NO APLICA"</formula>
    </cfRule>
  </conditionalFormatting>
  <conditionalFormatting sqref="Y178:Y181">
    <cfRule type="cellIs" dxfId="12400" priority="12332" stopIfTrue="1" operator="equal">
      <formula>"NO APLICA"</formula>
    </cfRule>
  </conditionalFormatting>
  <conditionalFormatting sqref="T187">
    <cfRule type="cellIs" dxfId="12399" priority="12330" operator="equal">
      <formula>"CUMPLE"</formula>
    </cfRule>
    <cfRule type="cellIs" dxfId="12398" priority="12331" operator="equal">
      <formula>"NO CUMPLE"</formula>
    </cfRule>
  </conditionalFormatting>
  <conditionalFormatting sqref="T187:T189">
    <cfRule type="cellIs" dxfId="12397" priority="12329" operator="equal">
      <formula>"VERIFICAR"</formula>
    </cfRule>
  </conditionalFormatting>
  <conditionalFormatting sqref="AD173:AF177 AD178">
    <cfRule type="cellIs" dxfId="12396" priority="12327" stopIfTrue="1" operator="equal">
      <formula>"NO"</formula>
    </cfRule>
    <cfRule type="cellIs" dxfId="12395" priority="12328" stopIfTrue="1" operator="equal">
      <formula>"SI"</formula>
    </cfRule>
  </conditionalFormatting>
  <conditionalFormatting sqref="AD179:AF181 AE178:AF178">
    <cfRule type="cellIs" dxfId="12394" priority="12325" stopIfTrue="1" operator="equal">
      <formula>"NO"</formula>
    </cfRule>
    <cfRule type="cellIs" dxfId="12393" priority="12326" stopIfTrue="1" operator="equal">
      <formula>"SI"</formula>
    </cfRule>
  </conditionalFormatting>
  <conditionalFormatting sqref="W182:Y182">
    <cfRule type="cellIs" dxfId="12392" priority="12323" stopIfTrue="1" operator="equal">
      <formula>"NO"</formula>
    </cfRule>
    <cfRule type="cellIs" dxfId="12391" priority="12324" stopIfTrue="1" operator="equal">
      <formula>"SI"</formula>
    </cfRule>
  </conditionalFormatting>
  <conditionalFormatting sqref="W182:X182">
    <cfRule type="cellIs" dxfId="12390" priority="12322" stopIfTrue="1" operator="equal">
      <formula>"NO APLICA"</formula>
    </cfRule>
  </conditionalFormatting>
  <conditionalFormatting sqref="Y182">
    <cfRule type="cellIs" dxfId="12389" priority="12321" stopIfTrue="1" operator="equal">
      <formula>"NO APLICA"</formula>
    </cfRule>
  </conditionalFormatting>
  <conditionalFormatting sqref="AD182:AF182">
    <cfRule type="cellIs" dxfId="12388" priority="12319" stopIfTrue="1" operator="equal">
      <formula>"NO"</formula>
    </cfRule>
    <cfRule type="cellIs" dxfId="12387" priority="12320" stopIfTrue="1" operator="equal">
      <formula>"SI"</formula>
    </cfRule>
  </conditionalFormatting>
  <conditionalFormatting sqref="AE187">
    <cfRule type="cellIs" dxfId="12386" priority="12316" stopIfTrue="1" operator="equal">
      <formula>"VERIFICAR"</formula>
    </cfRule>
    <cfRule type="cellIs" dxfId="12385" priority="12317" stopIfTrue="1" operator="equal">
      <formula>"NO CUMPLE"</formula>
    </cfRule>
    <cfRule type="cellIs" dxfId="12384" priority="12318" stopIfTrue="1" operator="equal">
      <formula>"CUMPLE"</formula>
    </cfRule>
  </conditionalFormatting>
  <conditionalFormatting sqref="AF187">
    <cfRule type="cellIs" dxfId="12383" priority="12313" stopIfTrue="1" operator="equal">
      <formula>"VERIFICAR"</formula>
    </cfRule>
    <cfRule type="cellIs" dxfId="12382" priority="12314" stopIfTrue="1" operator="equal">
      <formula>"NO CUMPLE"</formula>
    </cfRule>
    <cfRule type="cellIs" dxfId="12381" priority="12315" stopIfTrue="1" operator="equal">
      <formula>"CUMPLE"</formula>
    </cfRule>
  </conditionalFormatting>
  <conditionalFormatting sqref="Y190">
    <cfRule type="cellIs" dxfId="12380" priority="12312" operator="equal">
      <formula>"VERIFICAR CUADRO"</formula>
    </cfRule>
  </conditionalFormatting>
  <conditionalFormatting sqref="AC191:AC196">
    <cfRule type="cellIs" dxfId="12379" priority="12311" stopIfTrue="1" operator="greaterThan">
      <formula>0</formula>
    </cfRule>
  </conditionalFormatting>
  <conditionalFormatting sqref="AC191:AC196">
    <cfRule type="cellIs" dxfId="12378" priority="12310" stopIfTrue="1" operator="greaterThan">
      <formula>0</formula>
    </cfRule>
  </conditionalFormatting>
  <conditionalFormatting sqref="AD191:AD196">
    <cfRule type="containsText" dxfId="12377" priority="12308" stopIfTrue="1" operator="containsText" text="NO CUMPLE">
      <formula>NOT(ISERROR(SEARCH("NO CUMPLE",AD191)))</formula>
    </cfRule>
    <cfRule type="containsText" dxfId="12376" priority="12309" stopIfTrue="1" operator="containsText" text="CUMPLE">
      <formula>NOT(ISERROR(SEARCH("CUMPLE",AD191)))</formula>
    </cfRule>
  </conditionalFormatting>
  <conditionalFormatting sqref="Y196">
    <cfRule type="containsText" dxfId="12375" priority="12306" stopIfTrue="1" operator="containsText" text="NO CUMPLE">
      <formula>NOT(ISERROR(SEARCH("NO CUMPLE",Y196)))</formula>
    </cfRule>
    <cfRule type="containsText" dxfId="12374" priority="12307" stopIfTrue="1" operator="containsText" text="CUMPLE">
      <formula>NOT(ISERROR(SEARCH("CUMPLE",Y196)))</formula>
    </cfRule>
  </conditionalFormatting>
  <conditionalFormatting sqref="AA173:AA182">
    <cfRule type="cellIs" dxfId="12373" priority="12304" stopIfTrue="1" operator="equal">
      <formula>"NO APLICA"</formula>
    </cfRule>
    <cfRule type="cellIs" dxfId="12372" priority="12305" stopIfTrue="1" operator="equal">
      <formula>"TERCIARIA"</formula>
    </cfRule>
  </conditionalFormatting>
  <conditionalFormatting sqref="AB173:AB182">
    <cfRule type="cellIs" dxfId="12371" priority="12302" stopIfTrue="1" operator="equal">
      <formula>"N/A"</formula>
    </cfRule>
    <cfRule type="cellIs" dxfId="12370" priority="12303" stopIfTrue="1" operator="equal">
      <formula>"NO"</formula>
    </cfRule>
  </conditionalFormatting>
  <conditionalFormatting sqref="M203:M212">
    <cfRule type="cellIs" dxfId="12369" priority="12301" stopIfTrue="1" operator="lessThan">
      <formula>0</formula>
    </cfRule>
  </conditionalFormatting>
  <conditionalFormatting sqref="C205:D211 B204:B211 B212:O212 B203:R203 Q204:R205 J204:O211 Q206:Q212 P204:P212 C204:I204 F205:I211">
    <cfRule type="cellIs" dxfId="12368" priority="12300" stopIfTrue="1" operator="greaterThan">
      <formula>0</formula>
    </cfRule>
  </conditionalFormatting>
  <conditionalFormatting sqref="C205:D211">
    <cfRule type="cellIs" dxfId="12367" priority="12299" stopIfTrue="1" operator="greaterThan">
      <formula>0</formula>
    </cfRule>
  </conditionalFormatting>
  <conditionalFormatting sqref="C203:M203 C205:D211 K204:M211 J204:J212 L212:M212 C204:I204 F205:I211">
    <cfRule type="cellIs" dxfId="12366" priority="12298" stopIfTrue="1" operator="greaterThan">
      <formula>0</formula>
    </cfRule>
  </conditionalFormatting>
  <conditionalFormatting sqref="M203:M212">
    <cfRule type="cellIs" dxfId="12365" priority="12297" stopIfTrue="1" operator="lessThan">
      <formula>0</formula>
    </cfRule>
  </conditionalFormatting>
  <conditionalFormatting sqref="J204:J212 L204:O212 C203:O203 H204:I205 H206">
    <cfRule type="cellIs" dxfId="12364" priority="12296" stopIfTrue="1" operator="greaterThan">
      <formula>0</formula>
    </cfRule>
  </conditionalFormatting>
  <conditionalFormatting sqref="K205:M212 H205:I211">
    <cfRule type="cellIs" dxfId="12363" priority="12295" stopIfTrue="1" operator="greaterThan">
      <formula>0</formula>
    </cfRule>
  </conditionalFormatting>
  <conditionalFormatting sqref="I204:I205">
    <cfRule type="cellIs" dxfId="12362" priority="12294" stopIfTrue="1" operator="greaterThan">
      <formula>0</formula>
    </cfRule>
  </conditionalFormatting>
  <conditionalFormatting sqref="I212">
    <cfRule type="cellIs" dxfId="12361" priority="12293" stopIfTrue="1" operator="greaterThan">
      <formula>0</formula>
    </cfRule>
  </conditionalFormatting>
  <conditionalFormatting sqref="E205:E211">
    <cfRule type="cellIs" dxfId="12360" priority="12292" stopIfTrue="1" operator="greaterThan">
      <formula>0</formula>
    </cfRule>
  </conditionalFormatting>
  <conditionalFormatting sqref="K220:K225">
    <cfRule type="containsText" dxfId="12359" priority="12290" stopIfTrue="1" operator="containsText" text="NO CUMPLE">
      <formula>NOT(ISERROR(SEARCH("NO CUMPLE",K220)))</formula>
    </cfRule>
    <cfRule type="containsText" dxfId="12358" priority="12291" stopIfTrue="1" operator="containsText" text="CUMPLE">
      <formula>NOT(ISERROR(SEARCH("CUMPLE",K220)))</formula>
    </cfRule>
  </conditionalFormatting>
  <conditionalFormatting sqref="K226">
    <cfRule type="containsText" dxfId="12357" priority="12288" stopIfTrue="1" operator="containsText" text="NO CUMPLE">
      <formula>NOT(ISERROR(SEARCH("NO CUMPLE",K226)))</formula>
    </cfRule>
    <cfRule type="containsText" dxfId="12356" priority="12289" stopIfTrue="1" operator="containsText" text="CUMPLE">
      <formula>NOT(ISERROR(SEARCH("CUMPLE",K226)))</formula>
    </cfRule>
  </conditionalFormatting>
  <conditionalFormatting sqref="Q219">
    <cfRule type="cellIs" dxfId="12355" priority="12286" operator="greaterThanOrEqual">
      <formula>NUMMINCONT</formula>
    </cfRule>
    <cfRule type="cellIs" dxfId="12354" priority="12287" operator="lessThan">
      <formula>NUMMINCONT</formula>
    </cfRule>
  </conditionalFormatting>
  <conditionalFormatting sqref="W203:Y211">
    <cfRule type="cellIs" dxfId="12353" priority="12284" stopIfTrue="1" operator="equal">
      <formula>"NO"</formula>
    </cfRule>
    <cfRule type="cellIs" dxfId="12352" priority="12285" stopIfTrue="1" operator="equal">
      <formula>"SI"</formula>
    </cfRule>
  </conditionalFormatting>
  <conditionalFormatting sqref="R206">
    <cfRule type="cellIs" dxfId="12351" priority="12283" stopIfTrue="1" operator="greaterThan">
      <formula>0</formula>
    </cfRule>
  </conditionalFormatting>
  <conditionalFormatting sqref="R207">
    <cfRule type="cellIs" dxfId="12350" priority="12282" stopIfTrue="1" operator="greaterThan">
      <formula>0</formula>
    </cfRule>
  </conditionalFormatting>
  <conditionalFormatting sqref="R208">
    <cfRule type="cellIs" dxfId="12349" priority="12281" stopIfTrue="1" operator="greaterThan">
      <formula>0</formula>
    </cfRule>
  </conditionalFormatting>
  <conditionalFormatting sqref="R209">
    <cfRule type="cellIs" dxfId="12348" priority="12280" stopIfTrue="1" operator="greaterThan">
      <formula>0</formula>
    </cfRule>
  </conditionalFormatting>
  <conditionalFormatting sqref="R210">
    <cfRule type="cellIs" dxfId="12347" priority="12279" stopIfTrue="1" operator="greaterThan">
      <formula>0</formula>
    </cfRule>
  </conditionalFormatting>
  <conditionalFormatting sqref="R211">
    <cfRule type="cellIs" dxfId="12346" priority="12278" stopIfTrue="1" operator="greaterThan">
      <formula>0</formula>
    </cfRule>
  </conditionalFormatting>
  <conditionalFormatting sqref="R212">
    <cfRule type="cellIs" dxfId="12345" priority="12277" stopIfTrue="1" operator="greaterThan">
      <formula>0</formula>
    </cfRule>
  </conditionalFormatting>
  <conditionalFormatting sqref="W203:X203">
    <cfRule type="cellIs" dxfId="12344" priority="12276" stopIfTrue="1" operator="equal">
      <formula>"NO APLICA"</formula>
    </cfRule>
  </conditionalFormatting>
  <conditionalFormatting sqref="W204:X207">
    <cfRule type="cellIs" dxfId="12343" priority="12275" stopIfTrue="1" operator="equal">
      <formula>"NO APLICA"</formula>
    </cfRule>
  </conditionalFormatting>
  <conditionalFormatting sqref="W204:X204">
    <cfRule type="cellIs" dxfId="12342" priority="12274" stopIfTrue="1" operator="equal">
      <formula>"NO APLICA"</formula>
    </cfRule>
  </conditionalFormatting>
  <conditionalFormatting sqref="Y203:Y206">
    <cfRule type="cellIs" dxfId="12341" priority="12273" stopIfTrue="1" operator="equal">
      <formula>"NO APLICA"</formula>
    </cfRule>
  </conditionalFormatting>
  <conditionalFormatting sqref="Y204:Y207">
    <cfRule type="cellIs" dxfId="12340" priority="12272" stopIfTrue="1" operator="equal">
      <formula>"NO APLICA"</formula>
    </cfRule>
  </conditionalFormatting>
  <conditionalFormatting sqref="W208:X211">
    <cfRule type="cellIs" dxfId="12339" priority="12271" stopIfTrue="1" operator="equal">
      <formula>"NO APLICA"</formula>
    </cfRule>
  </conditionalFormatting>
  <conditionalFormatting sqref="W208:X208">
    <cfRule type="cellIs" dxfId="12338" priority="12270" stopIfTrue="1" operator="equal">
      <formula>"NO APLICA"</formula>
    </cfRule>
  </conditionalFormatting>
  <conditionalFormatting sqref="Y208:Y211">
    <cfRule type="cellIs" dxfId="12337" priority="12269" stopIfTrue="1" operator="equal">
      <formula>"NO APLICA"</formula>
    </cfRule>
  </conditionalFormatting>
  <conditionalFormatting sqref="T217">
    <cfRule type="cellIs" dxfId="12336" priority="12267" operator="equal">
      <formula>"CUMPLE"</formula>
    </cfRule>
    <cfRule type="cellIs" dxfId="12335" priority="12268" operator="equal">
      <formula>"NO CUMPLE"</formula>
    </cfRule>
  </conditionalFormatting>
  <conditionalFormatting sqref="T217:T219">
    <cfRule type="cellIs" dxfId="12334" priority="12266" operator="equal">
      <formula>"VERIFICAR"</formula>
    </cfRule>
  </conditionalFormatting>
  <conditionalFormatting sqref="AD203:AF207">
    <cfRule type="cellIs" dxfId="12333" priority="12264" stopIfTrue="1" operator="equal">
      <formula>"NO"</formula>
    </cfRule>
    <cfRule type="cellIs" dxfId="12332" priority="12265" stopIfTrue="1" operator="equal">
      <formula>"SI"</formula>
    </cfRule>
  </conditionalFormatting>
  <conditionalFormatting sqref="AD208:AF211">
    <cfRule type="cellIs" dxfId="12331" priority="12262" stopIfTrue="1" operator="equal">
      <formula>"NO"</formula>
    </cfRule>
    <cfRule type="cellIs" dxfId="12330" priority="12263" stopIfTrue="1" operator="equal">
      <formula>"SI"</formula>
    </cfRule>
  </conditionalFormatting>
  <conditionalFormatting sqref="W212:Y212">
    <cfRule type="cellIs" dxfId="12329" priority="12260" stopIfTrue="1" operator="equal">
      <formula>"NO"</formula>
    </cfRule>
    <cfRule type="cellIs" dxfId="12328" priority="12261" stopIfTrue="1" operator="equal">
      <formula>"SI"</formula>
    </cfRule>
  </conditionalFormatting>
  <conditionalFormatting sqref="W212:X212">
    <cfRule type="cellIs" dxfId="12327" priority="12259" stopIfTrue="1" operator="equal">
      <formula>"NO APLICA"</formula>
    </cfRule>
  </conditionalFormatting>
  <conditionalFormatting sqref="Y212">
    <cfRule type="cellIs" dxfId="12326" priority="12258" stopIfTrue="1" operator="equal">
      <formula>"NO APLICA"</formula>
    </cfRule>
  </conditionalFormatting>
  <conditionalFormatting sqref="AD212:AF212">
    <cfRule type="cellIs" dxfId="12325" priority="12256" stopIfTrue="1" operator="equal">
      <formula>"NO"</formula>
    </cfRule>
    <cfRule type="cellIs" dxfId="12324" priority="12257" stopIfTrue="1" operator="equal">
      <formula>"SI"</formula>
    </cfRule>
  </conditionalFormatting>
  <conditionalFormatting sqref="AE217">
    <cfRule type="cellIs" dxfId="12323" priority="12253" stopIfTrue="1" operator="equal">
      <formula>"VERIFICAR"</formula>
    </cfRule>
    <cfRule type="cellIs" dxfId="12322" priority="12254" stopIfTrue="1" operator="equal">
      <formula>"NO CUMPLE"</formula>
    </cfRule>
    <cfRule type="cellIs" dxfId="12321" priority="12255" stopIfTrue="1" operator="equal">
      <formula>"CUMPLE"</formula>
    </cfRule>
  </conditionalFormatting>
  <conditionalFormatting sqref="AF217">
    <cfRule type="cellIs" dxfId="12320" priority="12250" stopIfTrue="1" operator="equal">
      <formula>"VERIFICAR"</formula>
    </cfRule>
    <cfRule type="cellIs" dxfId="12319" priority="12251" stopIfTrue="1" operator="equal">
      <formula>"NO CUMPLE"</formula>
    </cfRule>
    <cfRule type="cellIs" dxfId="12318" priority="12252" stopIfTrue="1" operator="equal">
      <formula>"CUMPLE"</formula>
    </cfRule>
  </conditionalFormatting>
  <conditionalFormatting sqref="Y220">
    <cfRule type="cellIs" dxfId="12317" priority="12249" operator="equal">
      <formula>"VERIFICAR CUADRO"</formula>
    </cfRule>
  </conditionalFormatting>
  <conditionalFormatting sqref="AC221:AC226">
    <cfRule type="cellIs" dxfId="12316" priority="12248" stopIfTrue="1" operator="greaterThan">
      <formula>0</formula>
    </cfRule>
  </conditionalFormatting>
  <conditionalFormatting sqref="AC221:AC226">
    <cfRule type="cellIs" dxfId="12315" priority="12247" stopIfTrue="1" operator="greaterThan">
      <formula>0</formula>
    </cfRule>
  </conditionalFormatting>
  <conditionalFormatting sqref="AD221:AD226">
    <cfRule type="containsText" dxfId="12314" priority="12245" stopIfTrue="1" operator="containsText" text="NO CUMPLE">
      <formula>NOT(ISERROR(SEARCH("NO CUMPLE",AD221)))</formula>
    </cfRule>
    <cfRule type="containsText" dxfId="12313" priority="12246" stopIfTrue="1" operator="containsText" text="CUMPLE">
      <formula>NOT(ISERROR(SEARCH("CUMPLE",AD221)))</formula>
    </cfRule>
  </conditionalFormatting>
  <conditionalFormatting sqref="Y226">
    <cfRule type="containsText" dxfId="12312" priority="12243" stopIfTrue="1" operator="containsText" text="NO CUMPLE">
      <formula>NOT(ISERROR(SEARCH("NO CUMPLE",Y226)))</formula>
    </cfRule>
    <cfRule type="containsText" dxfId="12311" priority="12244" stopIfTrue="1" operator="containsText" text="CUMPLE">
      <formula>NOT(ISERROR(SEARCH("CUMPLE",Y226)))</formula>
    </cfRule>
  </conditionalFormatting>
  <conditionalFormatting sqref="AA203:AA212">
    <cfRule type="cellIs" dxfId="12310" priority="12241" stopIfTrue="1" operator="equal">
      <formula>"NO APLICA"</formula>
    </cfRule>
    <cfRule type="cellIs" dxfId="12309" priority="12242" stopIfTrue="1" operator="equal">
      <formula>"TERCIARIA"</formula>
    </cfRule>
  </conditionalFormatting>
  <conditionalFormatting sqref="AB203:AB212">
    <cfRule type="cellIs" dxfId="12308" priority="12239" stopIfTrue="1" operator="equal">
      <formula>"N/A"</formula>
    </cfRule>
    <cfRule type="cellIs" dxfId="12307" priority="12240" stopIfTrue="1" operator="equal">
      <formula>"NO"</formula>
    </cfRule>
  </conditionalFormatting>
  <conditionalFormatting sqref="M233:M242">
    <cfRule type="cellIs" dxfId="12306" priority="12238" stopIfTrue="1" operator="lessThan">
      <formula>0</formula>
    </cfRule>
  </conditionalFormatting>
  <conditionalFormatting sqref="B234:B241 B242:O242 B233:R233 Q234:R235 J234:O241 Q236:Q242 P234:P242 C235:D241 C234:I234 F235:I241">
    <cfRule type="cellIs" dxfId="12305" priority="12237" stopIfTrue="1" operator="greaterThan">
      <formula>0</formula>
    </cfRule>
  </conditionalFormatting>
  <conditionalFormatting sqref="C235:D241">
    <cfRule type="cellIs" dxfId="12304" priority="12236" stopIfTrue="1" operator="greaterThan">
      <formula>0</formula>
    </cfRule>
  </conditionalFormatting>
  <conditionalFormatting sqref="C233:M233 K234:M241 J234:J242 L242:M242 C235:D241 C234:I234 F235:I241">
    <cfRule type="cellIs" dxfId="12303" priority="12235" stopIfTrue="1" operator="greaterThan">
      <formula>0</formula>
    </cfRule>
  </conditionalFormatting>
  <conditionalFormatting sqref="M233:M242">
    <cfRule type="cellIs" dxfId="12302" priority="12234" stopIfTrue="1" operator="lessThan">
      <formula>0</formula>
    </cfRule>
  </conditionalFormatting>
  <conditionalFormatting sqref="J234:J242 L234:O242 C233:O233 C234:C235 I234:I235">
    <cfRule type="cellIs" dxfId="12301" priority="12233" stopIfTrue="1" operator="greaterThan">
      <formula>0</formula>
    </cfRule>
  </conditionalFormatting>
  <conditionalFormatting sqref="K235:M242 H235:I241">
    <cfRule type="cellIs" dxfId="12300" priority="12232" stopIfTrue="1" operator="greaterThan">
      <formula>0</formula>
    </cfRule>
  </conditionalFormatting>
  <conditionalFormatting sqref="I234:I235">
    <cfRule type="cellIs" dxfId="12299" priority="12231" stopIfTrue="1" operator="greaterThan">
      <formula>0</formula>
    </cfRule>
  </conditionalFormatting>
  <conditionalFormatting sqref="I242">
    <cfRule type="cellIs" dxfId="12298" priority="12230" stopIfTrue="1" operator="greaterThan">
      <formula>0</formula>
    </cfRule>
  </conditionalFormatting>
  <conditionalFormatting sqref="E235:E241">
    <cfRule type="cellIs" dxfId="12297" priority="12229" stopIfTrue="1" operator="greaterThan">
      <formula>0</formula>
    </cfRule>
  </conditionalFormatting>
  <conditionalFormatting sqref="K250:K255">
    <cfRule type="containsText" dxfId="12296" priority="12227" stopIfTrue="1" operator="containsText" text="NO CUMPLE">
      <formula>NOT(ISERROR(SEARCH("NO CUMPLE",K250)))</formula>
    </cfRule>
    <cfRule type="containsText" dxfId="12295" priority="12228" stopIfTrue="1" operator="containsText" text="CUMPLE">
      <formula>NOT(ISERROR(SEARCH("CUMPLE",K250)))</formula>
    </cfRule>
  </conditionalFormatting>
  <conditionalFormatting sqref="K256">
    <cfRule type="containsText" dxfId="12294" priority="12225" stopIfTrue="1" operator="containsText" text="NO CUMPLE">
      <formula>NOT(ISERROR(SEARCH("NO CUMPLE",K256)))</formula>
    </cfRule>
    <cfRule type="containsText" dxfId="12293" priority="12226" stopIfTrue="1" operator="containsText" text="CUMPLE">
      <formula>NOT(ISERROR(SEARCH("CUMPLE",K256)))</formula>
    </cfRule>
  </conditionalFormatting>
  <conditionalFormatting sqref="Q249">
    <cfRule type="cellIs" dxfId="12292" priority="12223" operator="greaterThanOrEqual">
      <formula>NUMMINCONT</formula>
    </cfRule>
    <cfRule type="cellIs" dxfId="12291" priority="12224" operator="lessThan">
      <formula>NUMMINCONT</formula>
    </cfRule>
  </conditionalFormatting>
  <conditionalFormatting sqref="W233:Y241">
    <cfRule type="cellIs" dxfId="12290" priority="12221" stopIfTrue="1" operator="equal">
      <formula>"NO"</formula>
    </cfRule>
    <cfRule type="cellIs" dxfId="12289" priority="12222" stopIfTrue="1" operator="equal">
      <formula>"SI"</formula>
    </cfRule>
  </conditionalFormatting>
  <conditionalFormatting sqref="R236">
    <cfRule type="cellIs" dxfId="12288" priority="12220" stopIfTrue="1" operator="greaterThan">
      <formula>0</formula>
    </cfRule>
  </conditionalFormatting>
  <conditionalFormatting sqref="R237">
    <cfRule type="cellIs" dxfId="12287" priority="12219" stopIfTrue="1" operator="greaterThan">
      <formula>0</formula>
    </cfRule>
  </conditionalFormatting>
  <conditionalFormatting sqref="R238">
    <cfRule type="cellIs" dxfId="12286" priority="12218" stopIfTrue="1" operator="greaterThan">
      <formula>0</formula>
    </cfRule>
  </conditionalFormatting>
  <conditionalFormatting sqref="R239">
    <cfRule type="cellIs" dxfId="12285" priority="12217" stopIfTrue="1" operator="greaterThan">
      <formula>0</formula>
    </cfRule>
  </conditionalFormatting>
  <conditionalFormatting sqref="R240">
    <cfRule type="cellIs" dxfId="12284" priority="12216" stopIfTrue="1" operator="greaterThan">
      <formula>0</formula>
    </cfRule>
  </conditionalFormatting>
  <conditionalFormatting sqref="R241">
    <cfRule type="cellIs" dxfId="12283" priority="12215" stopIfTrue="1" operator="greaterThan">
      <formula>0</formula>
    </cfRule>
  </conditionalFormatting>
  <conditionalFormatting sqref="R242">
    <cfRule type="cellIs" dxfId="12282" priority="12214" stopIfTrue="1" operator="greaterThan">
      <formula>0</formula>
    </cfRule>
  </conditionalFormatting>
  <conditionalFormatting sqref="W233:X233">
    <cfRule type="cellIs" dxfId="12281" priority="12213" stopIfTrue="1" operator="equal">
      <formula>"NO APLICA"</formula>
    </cfRule>
  </conditionalFormatting>
  <conditionalFormatting sqref="W234:X237">
    <cfRule type="cellIs" dxfId="12280" priority="12212" stopIfTrue="1" operator="equal">
      <formula>"NO APLICA"</formula>
    </cfRule>
  </conditionalFormatting>
  <conditionalFormatting sqref="W234:X234">
    <cfRule type="cellIs" dxfId="12279" priority="12211" stopIfTrue="1" operator="equal">
      <formula>"NO APLICA"</formula>
    </cfRule>
  </conditionalFormatting>
  <conditionalFormatting sqref="Y233">
    <cfRule type="cellIs" dxfId="12278" priority="12210" stopIfTrue="1" operator="equal">
      <formula>"NO APLICA"</formula>
    </cfRule>
  </conditionalFormatting>
  <conditionalFormatting sqref="Y234:Y237">
    <cfRule type="cellIs" dxfId="12277" priority="12209" stopIfTrue="1" operator="equal">
      <formula>"NO APLICA"</formula>
    </cfRule>
  </conditionalFormatting>
  <conditionalFormatting sqref="W238:X241">
    <cfRule type="cellIs" dxfId="12276" priority="12208" stopIfTrue="1" operator="equal">
      <formula>"NO APLICA"</formula>
    </cfRule>
  </conditionalFormatting>
  <conditionalFormatting sqref="W238:X238">
    <cfRule type="cellIs" dxfId="12275" priority="12207" stopIfTrue="1" operator="equal">
      <formula>"NO APLICA"</formula>
    </cfRule>
  </conditionalFormatting>
  <conditionalFormatting sqref="Y238:Y241">
    <cfRule type="cellIs" dxfId="12274" priority="12206" stopIfTrue="1" operator="equal">
      <formula>"NO APLICA"</formula>
    </cfRule>
  </conditionalFormatting>
  <conditionalFormatting sqref="T247">
    <cfRule type="cellIs" dxfId="12273" priority="12204" operator="equal">
      <formula>"CUMPLE"</formula>
    </cfRule>
    <cfRule type="cellIs" dxfId="12272" priority="12205" operator="equal">
      <formula>"NO CUMPLE"</formula>
    </cfRule>
  </conditionalFormatting>
  <conditionalFormatting sqref="T247:T249">
    <cfRule type="cellIs" dxfId="12271" priority="12203" operator="equal">
      <formula>"VERIFICAR"</formula>
    </cfRule>
  </conditionalFormatting>
  <conditionalFormatting sqref="AD233:AF237">
    <cfRule type="cellIs" dxfId="12270" priority="12201" stopIfTrue="1" operator="equal">
      <formula>"NO"</formula>
    </cfRule>
    <cfRule type="cellIs" dxfId="12269" priority="12202" stopIfTrue="1" operator="equal">
      <formula>"SI"</formula>
    </cfRule>
  </conditionalFormatting>
  <conditionalFormatting sqref="AD238:AF241">
    <cfRule type="cellIs" dxfId="12268" priority="12199" stopIfTrue="1" operator="equal">
      <formula>"NO"</formula>
    </cfRule>
    <cfRule type="cellIs" dxfId="12267" priority="12200" stopIfTrue="1" operator="equal">
      <formula>"SI"</formula>
    </cfRule>
  </conditionalFormatting>
  <conditionalFormatting sqref="W242:Y242">
    <cfRule type="cellIs" dxfId="12266" priority="12197" stopIfTrue="1" operator="equal">
      <formula>"NO"</formula>
    </cfRule>
    <cfRule type="cellIs" dxfId="12265" priority="12198" stopIfTrue="1" operator="equal">
      <formula>"SI"</formula>
    </cfRule>
  </conditionalFormatting>
  <conditionalFormatting sqref="W242:X242">
    <cfRule type="cellIs" dxfId="12264" priority="12196" stopIfTrue="1" operator="equal">
      <formula>"NO APLICA"</formula>
    </cfRule>
  </conditionalFormatting>
  <conditionalFormatting sqref="Y242">
    <cfRule type="cellIs" dxfId="12263" priority="12195" stopIfTrue="1" operator="equal">
      <formula>"NO APLICA"</formula>
    </cfRule>
  </conditionalFormatting>
  <conditionalFormatting sqref="AD242:AF242">
    <cfRule type="cellIs" dxfId="12262" priority="12193" stopIfTrue="1" operator="equal">
      <formula>"NO"</formula>
    </cfRule>
    <cfRule type="cellIs" dxfId="12261" priority="12194" stopIfTrue="1" operator="equal">
      <formula>"SI"</formula>
    </cfRule>
  </conditionalFormatting>
  <conditionalFormatting sqref="AE247">
    <cfRule type="cellIs" dxfId="12260" priority="12190" stopIfTrue="1" operator="equal">
      <formula>"VERIFICAR"</formula>
    </cfRule>
    <cfRule type="cellIs" dxfId="12259" priority="12191" stopIfTrue="1" operator="equal">
      <formula>"NO CUMPLE"</formula>
    </cfRule>
    <cfRule type="cellIs" dxfId="12258" priority="12192" stopIfTrue="1" operator="equal">
      <formula>"CUMPLE"</formula>
    </cfRule>
  </conditionalFormatting>
  <conditionalFormatting sqref="AF247">
    <cfRule type="cellIs" dxfId="12257" priority="12187" stopIfTrue="1" operator="equal">
      <formula>"VERIFICAR"</formula>
    </cfRule>
    <cfRule type="cellIs" dxfId="12256" priority="12188" stopIfTrue="1" operator="equal">
      <formula>"NO CUMPLE"</formula>
    </cfRule>
    <cfRule type="cellIs" dxfId="12255" priority="12189" stopIfTrue="1" operator="equal">
      <formula>"CUMPLE"</formula>
    </cfRule>
  </conditionalFormatting>
  <conditionalFormatting sqref="Y250">
    <cfRule type="cellIs" dxfId="12254" priority="12186" operator="equal">
      <formula>"VERIFICAR CUADRO"</formula>
    </cfRule>
  </conditionalFormatting>
  <conditionalFormatting sqref="AC251:AC256">
    <cfRule type="cellIs" dxfId="12253" priority="12185" stopIfTrue="1" operator="greaterThan">
      <formula>0</formula>
    </cfRule>
  </conditionalFormatting>
  <conditionalFormatting sqref="AC251:AC256">
    <cfRule type="cellIs" dxfId="12252" priority="12184" stopIfTrue="1" operator="greaterThan">
      <formula>0</formula>
    </cfRule>
  </conditionalFormatting>
  <conditionalFormatting sqref="AD251:AD256">
    <cfRule type="containsText" dxfId="12251" priority="12182" stopIfTrue="1" operator="containsText" text="NO CUMPLE">
      <formula>NOT(ISERROR(SEARCH("NO CUMPLE",AD251)))</formula>
    </cfRule>
    <cfRule type="containsText" dxfId="12250" priority="12183" stopIfTrue="1" operator="containsText" text="CUMPLE">
      <formula>NOT(ISERROR(SEARCH("CUMPLE",AD251)))</formula>
    </cfRule>
  </conditionalFormatting>
  <conditionalFormatting sqref="Y256">
    <cfRule type="containsText" dxfId="12249" priority="12180" stopIfTrue="1" operator="containsText" text="NO CUMPLE">
      <formula>NOT(ISERROR(SEARCH("NO CUMPLE",Y256)))</formula>
    </cfRule>
    <cfRule type="containsText" dxfId="12248" priority="12181" stopIfTrue="1" operator="containsText" text="CUMPLE">
      <formula>NOT(ISERROR(SEARCH("CUMPLE",Y256)))</formula>
    </cfRule>
  </conditionalFormatting>
  <conditionalFormatting sqref="AA233:AA242">
    <cfRule type="cellIs" dxfId="12247" priority="12178" stopIfTrue="1" operator="equal">
      <formula>"NO APLICA"</formula>
    </cfRule>
    <cfRule type="cellIs" dxfId="12246" priority="12179" stopIfTrue="1" operator="equal">
      <formula>"TERCIARIA"</formula>
    </cfRule>
  </conditionalFormatting>
  <conditionalFormatting sqref="AB233:AB242">
    <cfRule type="cellIs" dxfId="12245" priority="12176" stopIfTrue="1" operator="equal">
      <formula>"N/A"</formula>
    </cfRule>
    <cfRule type="cellIs" dxfId="12244" priority="12177" stopIfTrue="1" operator="equal">
      <formula>"NO"</formula>
    </cfRule>
  </conditionalFormatting>
  <conditionalFormatting sqref="M263:M272">
    <cfRule type="cellIs" dxfId="12243" priority="12175" stopIfTrue="1" operator="lessThan">
      <formula>0</formula>
    </cfRule>
  </conditionalFormatting>
  <conditionalFormatting sqref="B264:B271 B272:O272 B263:R263 Q264:R265 J264:O271 Q266:Q272 P264:P272 C265:D271 C264:I264 F265:I271">
    <cfRule type="cellIs" dxfId="12242" priority="12174" stopIfTrue="1" operator="greaterThan">
      <formula>0</formula>
    </cfRule>
  </conditionalFormatting>
  <conditionalFormatting sqref="C265:D271">
    <cfRule type="cellIs" dxfId="12241" priority="12173" stopIfTrue="1" operator="greaterThan">
      <formula>0</formula>
    </cfRule>
  </conditionalFormatting>
  <conditionalFormatting sqref="C263:M263 K264:M271 J264:J272 L272:M272 C265:D271 C264:I264 F265:I271">
    <cfRule type="cellIs" dxfId="12240" priority="12172" stopIfTrue="1" operator="greaterThan">
      <formula>0</formula>
    </cfRule>
  </conditionalFormatting>
  <conditionalFormatting sqref="M263:M272">
    <cfRule type="cellIs" dxfId="12239" priority="12171" stopIfTrue="1" operator="lessThan">
      <formula>0</formula>
    </cfRule>
  </conditionalFormatting>
  <conditionalFormatting sqref="J264:J272 L264:O272 C263:O263 H264:I266">
    <cfRule type="cellIs" dxfId="12238" priority="12170" stopIfTrue="1" operator="greaterThan">
      <formula>0</formula>
    </cfRule>
  </conditionalFormatting>
  <conditionalFormatting sqref="K265:M272 H265:I271">
    <cfRule type="cellIs" dxfId="12237" priority="12169" stopIfTrue="1" operator="greaterThan">
      <formula>0</formula>
    </cfRule>
  </conditionalFormatting>
  <conditionalFormatting sqref="I264:I266">
    <cfRule type="cellIs" dxfId="12236" priority="12168" stopIfTrue="1" operator="greaterThan">
      <formula>0</formula>
    </cfRule>
  </conditionalFormatting>
  <conditionalFormatting sqref="I272">
    <cfRule type="cellIs" dxfId="12235" priority="12167" stopIfTrue="1" operator="greaterThan">
      <formula>0</formula>
    </cfRule>
  </conditionalFormatting>
  <conditionalFormatting sqref="E265:E271">
    <cfRule type="cellIs" dxfId="12234" priority="12166" stopIfTrue="1" operator="greaterThan">
      <formula>0</formula>
    </cfRule>
  </conditionalFormatting>
  <conditionalFormatting sqref="K280:K285">
    <cfRule type="containsText" dxfId="12233" priority="12164" stopIfTrue="1" operator="containsText" text="NO CUMPLE">
      <formula>NOT(ISERROR(SEARCH("NO CUMPLE",K280)))</formula>
    </cfRule>
    <cfRule type="containsText" dxfId="12232" priority="12165" stopIfTrue="1" operator="containsText" text="CUMPLE">
      <formula>NOT(ISERROR(SEARCH("CUMPLE",K280)))</formula>
    </cfRule>
  </conditionalFormatting>
  <conditionalFormatting sqref="K286">
    <cfRule type="containsText" dxfId="12231" priority="12162" stopIfTrue="1" operator="containsText" text="NO CUMPLE">
      <formula>NOT(ISERROR(SEARCH("NO CUMPLE",K286)))</formula>
    </cfRule>
    <cfRule type="containsText" dxfId="12230" priority="12163" stopIfTrue="1" operator="containsText" text="CUMPLE">
      <formula>NOT(ISERROR(SEARCH("CUMPLE",K286)))</formula>
    </cfRule>
  </conditionalFormatting>
  <conditionalFormatting sqref="Q279">
    <cfRule type="cellIs" dxfId="12229" priority="12160" operator="greaterThanOrEqual">
      <formula>NUMMINCONT</formula>
    </cfRule>
    <cfRule type="cellIs" dxfId="12228" priority="12161" operator="lessThan">
      <formula>NUMMINCONT</formula>
    </cfRule>
  </conditionalFormatting>
  <conditionalFormatting sqref="W263:Y271">
    <cfRule type="cellIs" dxfId="12227" priority="12158" stopIfTrue="1" operator="equal">
      <formula>"NO"</formula>
    </cfRule>
    <cfRule type="cellIs" dxfId="12226" priority="12159" stopIfTrue="1" operator="equal">
      <formula>"SI"</formula>
    </cfRule>
  </conditionalFormatting>
  <conditionalFormatting sqref="R266">
    <cfRule type="cellIs" dxfId="12225" priority="12157" stopIfTrue="1" operator="greaterThan">
      <formula>0</formula>
    </cfRule>
  </conditionalFormatting>
  <conditionalFormatting sqref="R267">
    <cfRule type="cellIs" dxfId="12224" priority="12156" stopIfTrue="1" operator="greaterThan">
      <formula>0</formula>
    </cfRule>
  </conditionalFormatting>
  <conditionalFormatting sqref="R268">
    <cfRule type="cellIs" dxfId="12223" priority="12155" stopIfTrue="1" operator="greaterThan">
      <formula>0</formula>
    </cfRule>
  </conditionalFormatting>
  <conditionalFormatting sqref="R269">
    <cfRule type="cellIs" dxfId="12222" priority="12154" stopIfTrue="1" operator="greaterThan">
      <formula>0</formula>
    </cfRule>
  </conditionalFormatting>
  <conditionalFormatting sqref="R270">
    <cfRule type="cellIs" dxfId="12221" priority="12153" stopIfTrue="1" operator="greaterThan">
      <formula>0</formula>
    </cfRule>
  </conditionalFormatting>
  <conditionalFormatting sqref="R271">
    <cfRule type="cellIs" dxfId="12220" priority="12152" stopIfTrue="1" operator="greaterThan">
      <formula>0</formula>
    </cfRule>
  </conditionalFormatting>
  <conditionalFormatting sqref="R272">
    <cfRule type="cellIs" dxfId="12219" priority="12151" stopIfTrue="1" operator="greaterThan">
      <formula>0</formula>
    </cfRule>
  </conditionalFormatting>
  <conditionalFormatting sqref="W263:X263">
    <cfRule type="cellIs" dxfId="12218" priority="12150" stopIfTrue="1" operator="equal">
      <formula>"NO APLICA"</formula>
    </cfRule>
  </conditionalFormatting>
  <conditionalFormatting sqref="W264:X267">
    <cfRule type="cellIs" dxfId="12217" priority="12149" stopIfTrue="1" operator="equal">
      <formula>"NO APLICA"</formula>
    </cfRule>
  </conditionalFormatting>
  <conditionalFormatting sqref="W264:X264 W265:W266">
    <cfRule type="cellIs" dxfId="12216" priority="12148" stopIfTrue="1" operator="equal">
      <formula>"NO APLICA"</formula>
    </cfRule>
  </conditionalFormatting>
  <conditionalFormatting sqref="Y263">
    <cfRule type="cellIs" dxfId="12215" priority="12147" stopIfTrue="1" operator="equal">
      <formula>"NO APLICA"</formula>
    </cfRule>
  </conditionalFormatting>
  <conditionalFormatting sqref="Y264:Y267">
    <cfRule type="cellIs" dxfId="12214" priority="12146" stopIfTrue="1" operator="equal">
      <formula>"NO APLICA"</formula>
    </cfRule>
  </conditionalFormatting>
  <conditionalFormatting sqref="W268:X271">
    <cfRule type="cellIs" dxfId="12213" priority="12145" stopIfTrue="1" operator="equal">
      <formula>"NO APLICA"</formula>
    </cfRule>
  </conditionalFormatting>
  <conditionalFormatting sqref="W268:X268">
    <cfRule type="cellIs" dxfId="12212" priority="12144" stopIfTrue="1" operator="equal">
      <formula>"NO APLICA"</formula>
    </cfRule>
  </conditionalFormatting>
  <conditionalFormatting sqref="Y268:Y271">
    <cfRule type="cellIs" dxfId="12211" priority="12143" stopIfTrue="1" operator="equal">
      <formula>"NO APLICA"</formula>
    </cfRule>
  </conditionalFormatting>
  <conditionalFormatting sqref="T277">
    <cfRule type="cellIs" dxfId="12210" priority="12141" operator="equal">
      <formula>"CUMPLE"</formula>
    </cfRule>
    <cfRule type="cellIs" dxfId="12209" priority="12142" operator="equal">
      <formula>"NO CUMPLE"</formula>
    </cfRule>
  </conditionalFormatting>
  <conditionalFormatting sqref="T277:T279">
    <cfRule type="cellIs" dxfId="12208" priority="12140" operator="equal">
      <formula>"VERIFICAR"</formula>
    </cfRule>
  </conditionalFormatting>
  <conditionalFormatting sqref="AD263:AF267">
    <cfRule type="cellIs" dxfId="12207" priority="12138" stopIfTrue="1" operator="equal">
      <formula>"NO"</formula>
    </cfRule>
    <cfRule type="cellIs" dxfId="12206" priority="12139" stopIfTrue="1" operator="equal">
      <formula>"SI"</formula>
    </cfRule>
  </conditionalFormatting>
  <conditionalFormatting sqref="AD268:AF271">
    <cfRule type="cellIs" dxfId="12205" priority="12136" stopIfTrue="1" operator="equal">
      <formula>"NO"</formula>
    </cfRule>
    <cfRule type="cellIs" dxfId="12204" priority="12137" stopIfTrue="1" operator="equal">
      <formula>"SI"</formula>
    </cfRule>
  </conditionalFormatting>
  <conditionalFormatting sqref="W272:Y272">
    <cfRule type="cellIs" dxfId="12203" priority="12134" stopIfTrue="1" operator="equal">
      <formula>"NO"</formula>
    </cfRule>
    <cfRule type="cellIs" dxfId="12202" priority="12135" stopIfTrue="1" operator="equal">
      <formula>"SI"</formula>
    </cfRule>
  </conditionalFormatting>
  <conditionalFormatting sqref="W272:X272">
    <cfRule type="cellIs" dxfId="12201" priority="12133" stopIfTrue="1" operator="equal">
      <formula>"NO APLICA"</formula>
    </cfRule>
  </conditionalFormatting>
  <conditionalFormatting sqref="Y272">
    <cfRule type="cellIs" dxfId="12200" priority="12132" stopIfTrue="1" operator="equal">
      <formula>"NO APLICA"</formula>
    </cfRule>
  </conditionalFormatting>
  <conditionalFormatting sqref="AD272:AF272">
    <cfRule type="cellIs" dxfId="12199" priority="12130" stopIfTrue="1" operator="equal">
      <formula>"NO"</formula>
    </cfRule>
    <cfRule type="cellIs" dxfId="12198" priority="12131" stopIfTrue="1" operator="equal">
      <formula>"SI"</formula>
    </cfRule>
  </conditionalFormatting>
  <conditionalFormatting sqref="AE277">
    <cfRule type="cellIs" dxfId="12197" priority="12127" stopIfTrue="1" operator="equal">
      <formula>"VERIFICAR"</formula>
    </cfRule>
    <cfRule type="cellIs" dxfId="12196" priority="12128" stopIfTrue="1" operator="equal">
      <formula>"NO CUMPLE"</formula>
    </cfRule>
    <cfRule type="cellIs" dxfId="12195" priority="12129" stopIfTrue="1" operator="equal">
      <formula>"CUMPLE"</formula>
    </cfRule>
  </conditionalFormatting>
  <conditionalFormatting sqref="AF277">
    <cfRule type="cellIs" dxfId="12194" priority="12124" stopIfTrue="1" operator="equal">
      <formula>"VERIFICAR"</formula>
    </cfRule>
    <cfRule type="cellIs" dxfId="12193" priority="12125" stopIfTrue="1" operator="equal">
      <formula>"NO CUMPLE"</formula>
    </cfRule>
    <cfRule type="cellIs" dxfId="12192" priority="12126" stopIfTrue="1" operator="equal">
      <formula>"CUMPLE"</formula>
    </cfRule>
  </conditionalFormatting>
  <conditionalFormatting sqref="Y280">
    <cfRule type="cellIs" dxfId="12191" priority="12123" operator="equal">
      <formula>"VERIFICAR CUADRO"</formula>
    </cfRule>
  </conditionalFormatting>
  <conditionalFormatting sqref="AC281:AC286">
    <cfRule type="cellIs" dxfId="12190" priority="12122" stopIfTrue="1" operator="greaterThan">
      <formula>0</formula>
    </cfRule>
  </conditionalFormatting>
  <conditionalFormatting sqref="AC281:AC286">
    <cfRule type="cellIs" dxfId="12189" priority="12121" stopIfTrue="1" operator="greaterThan">
      <formula>0</formula>
    </cfRule>
  </conditionalFormatting>
  <conditionalFormatting sqref="AD281:AD286">
    <cfRule type="containsText" dxfId="12188" priority="12119" stopIfTrue="1" operator="containsText" text="NO CUMPLE">
      <formula>NOT(ISERROR(SEARCH("NO CUMPLE",AD281)))</formula>
    </cfRule>
    <cfRule type="containsText" dxfId="12187" priority="12120" stopIfTrue="1" operator="containsText" text="CUMPLE">
      <formula>NOT(ISERROR(SEARCH("CUMPLE",AD281)))</formula>
    </cfRule>
  </conditionalFormatting>
  <conditionalFormatting sqref="Y286">
    <cfRule type="containsText" dxfId="12186" priority="12117" stopIfTrue="1" operator="containsText" text="NO CUMPLE">
      <formula>NOT(ISERROR(SEARCH("NO CUMPLE",Y286)))</formula>
    </cfRule>
    <cfRule type="containsText" dxfId="12185" priority="12118" stopIfTrue="1" operator="containsText" text="CUMPLE">
      <formula>NOT(ISERROR(SEARCH("CUMPLE",Y286)))</formula>
    </cfRule>
  </conditionalFormatting>
  <conditionalFormatting sqref="AA263:AA272">
    <cfRule type="cellIs" dxfId="12184" priority="12115" stopIfTrue="1" operator="equal">
      <formula>"NO APLICA"</formula>
    </cfRule>
    <cfRule type="cellIs" dxfId="12183" priority="12116" stopIfTrue="1" operator="equal">
      <formula>"TERCIARIA"</formula>
    </cfRule>
  </conditionalFormatting>
  <conditionalFormatting sqref="AB263:AB272">
    <cfRule type="cellIs" dxfId="12182" priority="12113" stopIfTrue="1" operator="equal">
      <formula>"N/A"</formula>
    </cfRule>
    <cfRule type="cellIs" dxfId="12181" priority="12114" stopIfTrue="1" operator="equal">
      <formula>"NO"</formula>
    </cfRule>
  </conditionalFormatting>
  <conditionalFormatting sqref="M293:M302">
    <cfRule type="cellIs" dxfId="12180" priority="12112" stopIfTrue="1" operator="lessThan">
      <formula>0</formula>
    </cfRule>
  </conditionalFormatting>
  <conditionalFormatting sqref="C295:D301 B294:B301 B302:O302 B293:R293 Q294:R295 J294:O301 Q296:Q302 P294:P302 C294:I294 F295:I301">
    <cfRule type="cellIs" dxfId="12179" priority="12111" stopIfTrue="1" operator="greaterThan">
      <formula>0</formula>
    </cfRule>
  </conditionalFormatting>
  <conditionalFormatting sqref="C295:D301">
    <cfRule type="cellIs" dxfId="12178" priority="12110" stopIfTrue="1" operator="greaterThan">
      <formula>0</formula>
    </cfRule>
  </conditionalFormatting>
  <conditionalFormatting sqref="C293:M293 C295:D301 K294:M301 J294:J302 L302:M302 C294:I294 F295:I301">
    <cfRule type="cellIs" dxfId="12177" priority="12109" stopIfTrue="1" operator="greaterThan">
      <formula>0</formula>
    </cfRule>
  </conditionalFormatting>
  <conditionalFormatting sqref="M293:M302">
    <cfRule type="cellIs" dxfId="12176" priority="12108" stopIfTrue="1" operator="lessThan">
      <formula>0</formula>
    </cfRule>
  </conditionalFormatting>
  <conditionalFormatting sqref="J294:J302 L294:O302 C293:O293 G294:G296 I294:I297">
    <cfRule type="cellIs" dxfId="12175" priority="12107" stopIfTrue="1" operator="greaterThan">
      <formula>0</formula>
    </cfRule>
  </conditionalFormatting>
  <conditionalFormatting sqref="K295:M302 H295:I301">
    <cfRule type="cellIs" dxfId="12174" priority="12106" stopIfTrue="1" operator="greaterThan">
      <formula>0</formula>
    </cfRule>
  </conditionalFormatting>
  <conditionalFormatting sqref="I294:I297">
    <cfRule type="cellIs" dxfId="12173" priority="12105" stopIfTrue="1" operator="greaterThan">
      <formula>0</formula>
    </cfRule>
  </conditionalFormatting>
  <conditionalFormatting sqref="I302">
    <cfRule type="cellIs" dxfId="12172" priority="12104" stopIfTrue="1" operator="greaterThan">
      <formula>0</formula>
    </cfRule>
  </conditionalFormatting>
  <conditionalFormatting sqref="E295:E301">
    <cfRule type="cellIs" dxfId="12171" priority="12103" stopIfTrue="1" operator="greaterThan">
      <formula>0</formula>
    </cfRule>
  </conditionalFormatting>
  <conditionalFormatting sqref="K310:K315">
    <cfRule type="containsText" dxfId="12170" priority="12101" stopIfTrue="1" operator="containsText" text="NO CUMPLE">
      <formula>NOT(ISERROR(SEARCH("NO CUMPLE",K310)))</formula>
    </cfRule>
    <cfRule type="containsText" dxfId="12169" priority="12102" stopIfTrue="1" operator="containsText" text="CUMPLE">
      <formula>NOT(ISERROR(SEARCH("CUMPLE",K310)))</formula>
    </cfRule>
  </conditionalFormatting>
  <conditionalFormatting sqref="K316">
    <cfRule type="containsText" dxfId="12168" priority="12099" stopIfTrue="1" operator="containsText" text="NO CUMPLE">
      <formula>NOT(ISERROR(SEARCH("NO CUMPLE",K316)))</formula>
    </cfRule>
    <cfRule type="containsText" dxfId="12167" priority="12100" stopIfTrue="1" operator="containsText" text="CUMPLE">
      <formula>NOT(ISERROR(SEARCH("CUMPLE",K316)))</formula>
    </cfRule>
  </conditionalFormatting>
  <conditionalFormatting sqref="Q309">
    <cfRule type="cellIs" dxfId="12166" priority="12097" operator="greaterThanOrEqual">
      <formula>NUMMINCONT</formula>
    </cfRule>
    <cfRule type="cellIs" dxfId="12165" priority="12098" operator="lessThan">
      <formula>NUMMINCONT</formula>
    </cfRule>
  </conditionalFormatting>
  <conditionalFormatting sqref="W293:Y301">
    <cfRule type="cellIs" dxfId="12164" priority="12095" stopIfTrue="1" operator="equal">
      <formula>"NO"</formula>
    </cfRule>
    <cfRule type="cellIs" dxfId="12163" priority="12096" stopIfTrue="1" operator="equal">
      <formula>"SI"</formula>
    </cfRule>
  </conditionalFormatting>
  <conditionalFormatting sqref="R296">
    <cfRule type="cellIs" dxfId="12162" priority="12094" stopIfTrue="1" operator="greaterThan">
      <formula>0</formula>
    </cfRule>
  </conditionalFormatting>
  <conditionalFormatting sqref="R297">
    <cfRule type="cellIs" dxfId="12161" priority="12093" stopIfTrue="1" operator="greaterThan">
      <formula>0</formula>
    </cfRule>
  </conditionalFormatting>
  <conditionalFormatting sqref="R298">
    <cfRule type="cellIs" dxfId="12160" priority="12092" stopIfTrue="1" operator="greaterThan">
      <formula>0</formula>
    </cfRule>
  </conditionalFormatting>
  <conditionalFormatting sqref="R299">
    <cfRule type="cellIs" dxfId="12159" priority="12091" stopIfTrue="1" operator="greaterThan">
      <formula>0</formula>
    </cfRule>
  </conditionalFormatting>
  <conditionalFormatting sqref="R300">
    <cfRule type="cellIs" dxfId="12158" priority="12090" stopIfTrue="1" operator="greaterThan">
      <formula>0</formula>
    </cfRule>
  </conditionalFormatting>
  <conditionalFormatting sqref="R301">
    <cfRule type="cellIs" dxfId="12157" priority="12089" stopIfTrue="1" operator="greaterThan">
      <formula>0</formula>
    </cfRule>
  </conditionalFormatting>
  <conditionalFormatting sqref="R302">
    <cfRule type="cellIs" dxfId="12156" priority="12088" stopIfTrue="1" operator="greaterThan">
      <formula>0</formula>
    </cfRule>
  </conditionalFormatting>
  <conditionalFormatting sqref="W293:X293">
    <cfRule type="cellIs" dxfId="12155" priority="12087" stopIfTrue="1" operator="equal">
      <formula>"NO APLICA"</formula>
    </cfRule>
  </conditionalFormatting>
  <conditionalFormatting sqref="W294:X297">
    <cfRule type="cellIs" dxfId="12154" priority="12086" stopIfTrue="1" operator="equal">
      <formula>"NO APLICA"</formula>
    </cfRule>
  </conditionalFormatting>
  <conditionalFormatting sqref="W294:X294">
    <cfRule type="cellIs" dxfId="12153" priority="12085" stopIfTrue="1" operator="equal">
      <formula>"NO APLICA"</formula>
    </cfRule>
  </conditionalFormatting>
  <conditionalFormatting sqref="Y293">
    <cfRule type="cellIs" dxfId="12152" priority="12084" stopIfTrue="1" operator="equal">
      <formula>"NO APLICA"</formula>
    </cfRule>
  </conditionalFormatting>
  <conditionalFormatting sqref="Y294:Y297">
    <cfRule type="cellIs" dxfId="12151" priority="12083" stopIfTrue="1" operator="equal">
      <formula>"NO APLICA"</formula>
    </cfRule>
  </conditionalFormatting>
  <conditionalFormatting sqref="W298:X301">
    <cfRule type="cellIs" dxfId="12150" priority="12082" stopIfTrue="1" operator="equal">
      <formula>"NO APLICA"</formula>
    </cfRule>
  </conditionalFormatting>
  <conditionalFormatting sqref="W298:X298">
    <cfRule type="cellIs" dxfId="12149" priority="12081" stopIfTrue="1" operator="equal">
      <formula>"NO APLICA"</formula>
    </cfRule>
  </conditionalFormatting>
  <conditionalFormatting sqref="Y298:Y301">
    <cfRule type="cellIs" dxfId="12148" priority="12080" stopIfTrue="1" operator="equal">
      <formula>"NO APLICA"</formula>
    </cfRule>
  </conditionalFormatting>
  <conditionalFormatting sqref="T307">
    <cfRule type="cellIs" dxfId="12147" priority="12078" operator="equal">
      <formula>"CUMPLE"</formula>
    </cfRule>
    <cfRule type="cellIs" dxfId="12146" priority="12079" operator="equal">
      <formula>"NO CUMPLE"</formula>
    </cfRule>
  </conditionalFormatting>
  <conditionalFormatting sqref="T307:T309">
    <cfRule type="cellIs" dxfId="12145" priority="12077" operator="equal">
      <formula>"VERIFICAR"</formula>
    </cfRule>
  </conditionalFormatting>
  <conditionalFormatting sqref="AD293:AF297">
    <cfRule type="cellIs" dxfId="12144" priority="12075" stopIfTrue="1" operator="equal">
      <formula>"NO"</formula>
    </cfRule>
    <cfRule type="cellIs" dxfId="12143" priority="12076" stopIfTrue="1" operator="equal">
      <formula>"SI"</formula>
    </cfRule>
  </conditionalFormatting>
  <conditionalFormatting sqref="AD298:AF301">
    <cfRule type="cellIs" dxfId="12142" priority="12073" stopIfTrue="1" operator="equal">
      <formula>"NO"</formula>
    </cfRule>
    <cfRule type="cellIs" dxfId="12141" priority="12074" stopIfTrue="1" operator="equal">
      <formula>"SI"</formula>
    </cfRule>
  </conditionalFormatting>
  <conditionalFormatting sqref="W302:Y302">
    <cfRule type="cellIs" dxfId="12140" priority="12071" stopIfTrue="1" operator="equal">
      <formula>"NO"</formula>
    </cfRule>
    <cfRule type="cellIs" dxfId="12139" priority="12072" stopIfTrue="1" operator="equal">
      <formula>"SI"</formula>
    </cfRule>
  </conditionalFormatting>
  <conditionalFormatting sqref="W302:X302">
    <cfRule type="cellIs" dxfId="12138" priority="12070" stopIfTrue="1" operator="equal">
      <formula>"NO APLICA"</formula>
    </cfRule>
  </conditionalFormatting>
  <conditionalFormatting sqref="Y302">
    <cfRule type="cellIs" dxfId="12137" priority="12069" stopIfTrue="1" operator="equal">
      <formula>"NO APLICA"</formula>
    </cfRule>
  </conditionalFormatting>
  <conditionalFormatting sqref="AD302:AF302">
    <cfRule type="cellIs" dxfId="12136" priority="12067" stopIfTrue="1" operator="equal">
      <formula>"NO"</formula>
    </cfRule>
    <cfRule type="cellIs" dxfId="12135" priority="12068" stopIfTrue="1" operator="equal">
      <formula>"SI"</formula>
    </cfRule>
  </conditionalFormatting>
  <conditionalFormatting sqref="AE307">
    <cfRule type="cellIs" dxfId="12134" priority="12064" stopIfTrue="1" operator="equal">
      <formula>"VERIFICAR"</formula>
    </cfRule>
    <cfRule type="cellIs" dxfId="12133" priority="12065" stopIfTrue="1" operator="equal">
      <formula>"NO CUMPLE"</formula>
    </cfRule>
    <cfRule type="cellIs" dxfId="12132" priority="12066" stopIfTrue="1" operator="equal">
      <formula>"CUMPLE"</formula>
    </cfRule>
  </conditionalFormatting>
  <conditionalFormatting sqref="AF307">
    <cfRule type="cellIs" dxfId="12131" priority="12061" stopIfTrue="1" operator="equal">
      <formula>"VERIFICAR"</formula>
    </cfRule>
    <cfRule type="cellIs" dxfId="12130" priority="12062" stopIfTrue="1" operator="equal">
      <formula>"NO CUMPLE"</formula>
    </cfRule>
    <cfRule type="cellIs" dxfId="12129" priority="12063" stopIfTrue="1" operator="equal">
      <formula>"CUMPLE"</formula>
    </cfRule>
  </conditionalFormatting>
  <conditionalFormatting sqref="Y310">
    <cfRule type="cellIs" dxfId="12128" priority="12060" operator="equal">
      <formula>"VERIFICAR CUADRO"</formula>
    </cfRule>
  </conditionalFormatting>
  <conditionalFormatting sqref="AC311:AC316">
    <cfRule type="cellIs" dxfId="12127" priority="12059" stopIfTrue="1" operator="greaterThan">
      <formula>0</formula>
    </cfRule>
  </conditionalFormatting>
  <conditionalFormatting sqref="AC311:AC316">
    <cfRule type="cellIs" dxfId="12126" priority="12058" stopIfTrue="1" operator="greaterThan">
      <formula>0</formula>
    </cfRule>
  </conditionalFormatting>
  <conditionalFormatting sqref="AD311:AD316">
    <cfRule type="containsText" dxfId="12125" priority="12056" stopIfTrue="1" operator="containsText" text="NO CUMPLE">
      <formula>NOT(ISERROR(SEARCH("NO CUMPLE",AD311)))</formula>
    </cfRule>
    <cfRule type="containsText" dxfId="12124" priority="12057" stopIfTrue="1" operator="containsText" text="CUMPLE">
      <formula>NOT(ISERROR(SEARCH("CUMPLE",AD311)))</formula>
    </cfRule>
  </conditionalFormatting>
  <conditionalFormatting sqref="Y316">
    <cfRule type="containsText" dxfId="12123" priority="12054" stopIfTrue="1" operator="containsText" text="NO CUMPLE">
      <formula>NOT(ISERROR(SEARCH("NO CUMPLE",Y316)))</formula>
    </cfRule>
    <cfRule type="containsText" dxfId="12122" priority="12055" stopIfTrue="1" operator="containsText" text="CUMPLE">
      <formula>NOT(ISERROR(SEARCH("CUMPLE",Y316)))</formula>
    </cfRule>
  </conditionalFormatting>
  <conditionalFormatting sqref="AA293:AA302">
    <cfRule type="cellIs" dxfId="12121" priority="12052" stopIfTrue="1" operator="equal">
      <formula>"NO APLICA"</formula>
    </cfRule>
    <cfRule type="cellIs" dxfId="12120" priority="12053" stopIfTrue="1" operator="equal">
      <formula>"TERCIARIA"</formula>
    </cfRule>
  </conditionalFormatting>
  <conditionalFormatting sqref="AB293:AB302">
    <cfRule type="cellIs" dxfId="12119" priority="12050" stopIfTrue="1" operator="equal">
      <formula>"N/A"</formula>
    </cfRule>
    <cfRule type="cellIs" dxfId="12118" priority="12051" stopIfTrue="1" operator="equal">
      <formula>"NO"</formula>
    </cfRule>
  </conditionalFormatting>
  <conditionalFormatting sqref="M323:M332">
    <cfRule type="cellIs" dxfId="12117" priority="12049" stopIfTrue="1" operator="lessThan">
      <formula>0</formula>
    </cfRule>
  </conditionalFormatting>
  <conditionalFormatting sqref="C325:D331 B324:B331 B332:O332 B323:R323 Q324:R325 J324:O331 Q326:Q332 P324:P332 C324:I324 F325:I331">
    <cfRule type="cellIs" dxfId="12116" priority="12048" stopIfTrue="1" operator="greaterThan">
      <formula>0</formula>
    </cfRule>
  </conditionalFormatting>
  <conditionalFormatting sqref="C325:D331">
    <cfRule type="cellIs" dxfId="12115" priority="12047" stopIfTrue="1" operator="greaterThan">
      <formula>0</formula>
    </cfRule>
  </conditionalFormatting>
  <conditionalFormatting sqref="C323:M323 C325:D331 K324:M331 J324:J332 L332:M332 C324:I324 F325:I331">
    <cfRule type="cellIs" dxfId="12114" priority="12046" stopIfTrue="1" operator="greaterThan">
      <formula>0</formula>
    </cfRule>
  </conditionalFormatting>
  <conditionalFormatting sqref="M323:M332">
    <cfRule type="cellIs" dxfId="12113" priority="12045" stopIfTrue="1" operator="lessThan">
      <formula>0</formula>
    </cfRule>
  </conditionalFormatting>
  <conditionalFormatting sqref="J324:J332 L324:O332 C323:O323 H324:I326">
    <cfRule type="cellIs" dxfId="12112" priority="12044" stopIfTrue="1" operator="greaterThan">
      <formula>0</formula>
    </cfRule>
  </conditionalFormatting>
  <conditionalFormatting sqref="K325:M332 H325:I331">
    <cfRule type="cellIs" dxfId="12111" priority="12043" stopIfTrue="1" operator="greaterThan">
      <formula>0</formula>
    </cfRule>
  </conditionalFormatting>
  <conditionalFormatting sqref="I324:I326">
    <cfRule type="cellIs" dxfId="12110" priority="12042" stopIfTrue="1" operator="greaterThan">
      <formula>0</formula>
    </cfRule>
  </conditionalFormatting>
  <conditionalFormatting sqref="I332">
    <cfRule type="cellIs" dxfId="12109" priority="12041" stopIfTrue="1" operator="greaterThan">
      <formula>0</formula>
    </cfRule>
  </conditionalFormatting>
  <conditionalFormatting sqref="E325:E331">
    <cfRule type="cellIs" dxfId="12108" priority="12040" stopIfTrue="1" operator="greaterThan">
      <formula>0</formula>
    </cfRule>
  </conditionalFormatting>
  <conditionalFormatting sqref="K340:K345">
    <cfRule type="containsText" dxfId="12107" priority="12038" stopIfTrue="1" operator="containsText" text="NO CUMPLE">
      <formula>NOT(ISERROR(SEARCH("NO CUMPLE",K340)))</formula>
    </cfRule>
    <cfRule type="containsText" dxfId="12106" priority="12039" stopIfTrue="1" operator="containsText" text="CUMPLE">
      <formula>NOT(ISERROR(SEARCH("CUMPLE",K340)))</formula>
    </cfRule>
  </conditionalFormatting>
  <conditionalFormatting sqref="K346">
    <cfRule type="containsText" dxfId="12105" priority="12036" stopIfTrue="1" operator="containsText" text="NO CUMPLE">
      <formula>NOT(ISERROR(SEARCH("NO CUMPLE",K346)))</formula>
    </cfRule>
    <cfRule type="containsText" dxfId="12104" priority="12037" stopIfTrue="1" operator="containsText" text="CUMPLE">
      <formula>NOT(ISERROR(SEARCH("CUMPLE",K346)))</formula>
    </cfRule>
  </conditionalFormatting>
  <conditionalFormatting sqref="Q339">
    <cfRule type="cellIs" dxfId="12103" priority="12034" operator="greaterThanOrEqual">
      <formula>NUMMINCONT</formula>
    </cfRule>
    <cfRule type="cellIs" dxfId="12102" priority="12035" operator="lessThan">
      <formula>NUMMINCONT</formula>
    </cfRule>
  </conditionalFormatting>
  <conditionalFormatting sqref="W323:Y331">
    <cfRule type="cellIs" dxfId="12101" priority="12032" stopIfTrue="1" operator="equal">
      <formula>"NO"</formula>
    </cfRule>
    <cfRule type="cellIs" dxfId="12100" priority="12033" stopIfTrue="1" operator="equal">
      <formula>"SI"</formula>
    </cfRule>
  </conditionalFormatting>
  <conditionalFormatting sqref="R326">
    <cfRule type="cellIs" dxfId="12099" priority="12031" stopIfTrue="1" operator="greaterThan">
      <formula>0</formula>
    </cfRule>
  </conditionalFormatting>
  <conditionalFormatting sqref="R327">
    <cfRule type="cellIs" dxfId="12098" priority="12030" stopIfTrue="1" operator="greaterThan">
      <formula>0</formula>
    </cfRule>
  </conditionalFormatting>
  <conditionalFormatting sqref="R328">
    <cfRule type="cellIs" dxfId="12097" priority="12029" stopIfTrue="1" operator="greaterThan">
      <formula>0</formula>
    </cfRule>
  </conditionalFormatting>
  <conditionalFormatting sqref="R329">
    <cfRule type="cellIs" dxfId="12096" priority="12028" stopIfTrue="1" operator="greaterThan">
      <formula>0</formula>
    </cfRule>
  </conditionalFormatting>
  <conditionalFormatting sqref="R330">
    <cfRule type="cellIs" dxfId="12095" priority="12027" stopIfTrue="1" operator="greaterThan">
      <formula>0</formula>
    </cfRule>
  </conditionalFormatting>
  <conditionalFormatting sqref="R331">
    <cfRule type="cellIs" dxfId="12094" priority="12026" stopIfTrue="1" operator="greaterThan">
      <formula>0</formula>
    </cfRule>
  </conditionalFormatting>
  <conditionalFormatting sqref="R332">
    <cfRule type="cellIs" dxfId="12093" priority="12025" stopIfTrue="1" operator="greaterThan">
      <formula>0</formula>
    </cfRule>
  </conditionalFormatting>
  <conditionalFormatting sqref="W323:X323">
    <cfRule type="cellIs" dxfId="12092" priority="12024" stopIfTrue="1" operator="equal">
      <formula>"NO APLICA"</formula>
    </cfRule>
  </conditionalFormatting>
  <conditionalFormatting sqref="W324:X327">
    <cfRule type="cellIs" dxfId="12091" priority="12023" stopIfTrue="1" operator="equal">
      <formula>"NO APLICA"</formula>
    </cfRule>
  </conditionalFormatting>
  <conditionalFormatting sqref="W324:X324">
    <cfRule type="cellIs" dxfId="12090" priority="12022" stopIfTrue="1" operator="equal">
      <formula>"NO APLICA"</formula>
    </cfRule>
  </conditionalFormatting>
  <conditionalFormatting sqref="Y323">
    <cfRule type="cellIs" dxfId="12089" priority="12021" stopIfTrue="1" operator="equal">
      <formula>"NO APLICA"</formula>
    </cfRule>
  </conditionalFormatting>
  <conditionalFormatting sqref="Y324:Y327">
    <cfRule type="cellIs" dxfId="12088" priority="12020" stopIfTrue="1" operator="equal">
      <formula>"NO APLICA"</formula>
    </cfRule>
  </conditionalFormatting>
  <conditionalFormatting sqref="W328:X331">
    <cfRule type="cellIs" dxfId="12087" priority="12019" stopIfTrue="1" operator="equal">
      <formula>"NO APLICA"</formula>
    </cfRule>
  </conditionalFormatting>
  <conditionalFormatting sqref="W328:X328">
    <cfRule type="cellIs" dxfId="12086" priority="12018" stopIfTrue="1" operator="equal">
      <formula>"NO APLICA"</formula>
    </cfRule>
  </conditionalFormatting>
  <conditionalFormatting sqref="Y328:Y331">
    <cfRule type="cellIs" dxfId="12085" priority="12017" stopIfTrue="1" operator="equal">
      <formula>"NO APLICA"</formula>
    </cfRule>
  </conditionalFormatting>
  <conditionalFormatting sqref="T337">
    <cfRule type="cellIs" dxfId="12084" priority="12015" operator="equal">
      <formula>"CUMPLE"</formula>
    </cfRule>
    <cfRule type="cellIs" dxfId="12083" priority="12016" operator="equal">
      <formula>"NO CUMPLE"</formula>
    </cfRule>
  </conditionalFormatting>
  <conditionalFormatting sqref="T337:T339">
    <cfRule type="cellIs" dxfId="12082" priority="12014" operator="equal">
      <formula>"VERIFICAR"</formula>
    </cfRule>
  </conditionalFormatting>
  <conditionalFormatting sqref="AD323:AF327">
    <cfRule type="cellIs" dxfId="12081" priority="12012" stopIfTrue="1" operator="equal">
      <formula>"NO"</formula>
    </cfRule>
    <cfRule type="cellIs" dxfId="12080" priority="12013" stopIfTrue="1" operator="equal">
      <formula>"SI"</formula>
    </cfRule>
  </conditionalFormatting>
  <conditionalFormatting sqref="AD328:AF331">
    <cfRule type="cellIs" dxfId="12079" priority="12010" stopIfTrue="1" operator="equal">
      <formula>"NO"</formula>
    </cfRule>
    <cfRule type="cellIs" dxfId="12078" priority="12011" stopIfTrue="1" operator="equal">
      <formula>"SI"</formula>
    </cfRule>
  </conditionalFormatting>
  <conditionalFormatting sqref="W332:Y332">
    <cfRule type="cellIs" dxfId="12077" priority="12008" stopIfTrue="1" operator="equal">
      <formula>"NO"</formula>
    </cfRule>
    <cfRule type="cellIs" dxfId="12076" priority="12009" stopIfTrue="1" operator="equal">
      <formula>"SI"</formula>
    </cfRule>
  </conditionalFormatting>
  <conditionalFormatting sqref="W332:X332">
    <cfRule type="cellIs" dxfId="12075" priority="12007" stopIfTrue="1" operator="equal">
      <formula>"NO APLICA"</formula>
    </cfRule>
  </conditionalFormatting>
  <conditionalFormatting sqref="Y332">
    <cfRule type="cellIs" dxfId="12074" priority="12006" stopIfTrue="1" operator="equal">
      <formula>"NO APLICA"</formula>
    </cfRule>
  </conditionalFormatting>
  <conditionalFormatting sqref="AD332:AF332">
    <cfRule type="cellIs" dxfId="12073" priority="12004" stopIfTrue="1" operator="equal">
      <formula>"NO"</formula>
    </cfRule>
    <cfRule type="cellIs" dxfId="12072" priority="12005" stopIfTrue="1" operator="equal">
      <formula>"SI"</formula>
    </cfRule>
  </conditionalFormatting>
  <conditionalFormatting sqref="AE337">
    <cfRule type="cellIs" dxfId="12071" priority="12001" stopIfTrue="1" operator="equal">
      <formula>"VERIFICAR"</formula>
    </cfRule>
    <cfRule type="cellIs" dxfId="12070" priority="12002" stopIfTrue="1" operator="equal">
      <formula>"NO CUMPLE"</formula>
    </cfRule>
    <cfRule type="cellIs" dxfId="12069" priority="12003" stopIfTrue="1" operator="equal">
      <formula>"CUMPLE"</formula>
    </cfRule>
  </conditionalFormatting>
  <conditionalFormatting sqref="AF337">
    <cfRule type="cellIs" dxfId="12068" priority="11998" stopIfTrue="1" operator="equal">
      <formula>"VERIFICAR"</formula>
    </cfRule>
    <cfRule type="cellIs" dxfId="12067" priority="11999" stopIfTrue="1" operator="equal">
      <formula>"NO CUMPLE"</formula>
    </cfRule>
    <cfRule type="cellIs" dxfId="12066" priority="12000" stopIfTrue="1" operator="equal">
      <formula>"CUMPLE"</formula>
    </cfRule>
  </conditionalFormatting>
  <conditionalFormatting sqref="Y340">
    <cfRule type="cellIs" dxfId="12065" priority="11997" operator="equal">
      <formula>"VERIFICAR CUADRO"</formula>
    </cfRule>
  </conditionalFormatting>
  <conditionalFormatting sqref="AC341:AC346">
    <cfRule type="cellIs" dxfId="12064" priority="11996" stopIfTrue="1" operator="greaterThan">
      <formula>0</formula>
    </cfRule>
  </conditionalFormatting>
  <conditionalFormatting sqref="AC341:AC346">
    <cfRule type="cellIs" dxfId="12063" priority="11995" stopIfTrue="1" operator="greaterThan">
      <formula>0</formula>
    </cfRule>
  </conditionalFormatting>
  <conditionalFormatting sqref="AD341:AD346">
    <cfRule type="containsText" dxfId="12062" priority="11993" stopIfTrue="1" operator="containsText" text="NO CUMPLE">
      <formula>NOT(ISERROR(SEARCH("NO CUMPLE",AD341)))</formula>
    </cfRule>
    <cfRule type="containsText" dxfId="12061" priority="11994" stopIfTrue="1" operator="containsText" text="CUMPLE">
      <formula>NOT(ISERROR(SEARCH("CUMPLE",AD341)))</formula>
    </cfRule>
  </conditionalFormatting>
  <conditionalFormatting sqref="Y346">
    <cfRule type="containsText" dxfId="12060" priority="11991" stopIfTrue="1" operator="containsText" text="NO CUMPLE">
      <formula>NOT(ISERROR(SEARCH("NO CUMPLE",Y346)))</formula>
    </cfRule>
    <cfRule type="containsText" dxfId="12059" priority="11992" stopIfTrue="1" operator="containsText" text="CUMPLE">
      <formula>NOT(ISERROR(SEARCH("CUMPLE",Y346)))</formula>
    </cfRule>
  </conditionalFormatting>
  <conditionalFormatting sqref="AA323:AA332">
    <cfRule type="cellIs" dxfId="12058" priority="11989" stopIfTrue="1" operator="equal">
      <formula>"NO APLICA"</formula>
    </cfRule>
    <cfRule type="cellIs" dxfId="12057" priority="11990" stopIfTrue="1" operator="equal">
      <formula>"TERCIARIA"</formula>
    </cfRule>
  </conditionalFormatting>
  <conditionalFormatting sqref="AB323:AB332">
    <cfRule type="cellIs" dxfId="12056" priority="11987" stopIfTrue="1" operator="equal">
      <formula>"N/A"</formula>
    </cfRule>
    <cfRule type="cellIs" dxfId="12055" priority="11988" stopIfTrue="1" operator="equal">
      <formula>"NO"</formula>
    </cfRule>
  </conditionalFormatting>
  <conditionalFormatting sqref="M353:M362">
    <cfRule type="cellIs" dxfId="12054" priority="11986" stopIfTrue="1" operator="lessThan">
      <formula>0</formula>
    </cfRule>
  </conditionalFormatting>
  <conditionalFormatting sqref="C355:D361 B354:B361 B362:O362 B353:R353 Q354:R355 J354:O361 Q356:Q362 P354:P362 C354:I354 F355:I361">
    <cfRule type="cellIs" dxfId="12053" priority="11985" stopIfTrue="1" operator="greaterThan">
      <formula>0</formula>
    </cfRule>
  </conditionalFormatting>
  <conditionalFormatting sqref="C355:D361">
    <cfRule type="cellIs" dxfId="12052" priority="11984" stopIfTrue="1" operator="greaterThan">
      <formula>0</formula>
    </cfRule>
  </conditionalFormatting>
  <conditionalFormatting sqref="C353:M353 C355:D361 K354:M361 J354:J362 L362:M362 C354:I354 F355:I361">
    <cfRule type="cellIs" dxfId="12051" priority="11983" stopIfTrue="1" operator="greaterThan">
      <formula>0</formula>
    </cfRule>
  </conditionalFormatting>
  <conditionalFormatting sqref="M353:M362">
    <cfRule type="cellIs" dxfId="12050" priority="11982" stopIfTrue="1" operator="lessThan">
      <formula>0</formula>
    </cfRule>
  </conditionalFormatting>
  <conditionalFormatting sqref="J354:J362 L354:O362 C353:O353 H354:H357">
    <cfRule type="cellIs" dxfId="12049" priority="11981" stopIfTrue="1" operator="greaterThan">
      <formula>0</formula>
    </cfRule>
  </conditionalFormatting>
  <conditionalFormatting sqref="K355:M362 H355:I361">
    <cfRule type="cellIs" dxfId="12048" priority="11980" stopIfTrue="1" operator="greaterThan">
      <formula>0</formula>
    </cfRule>
  </conditionalFormatting>
  <conditionalFormatting sqref="I354">
    <cfRule type="cellIs" dxfId="12047" priority="11979" stopIfTrue="1" operator="greaterThan">
      <formula>0</formula>
    </cfRule>
  </conditionalFormatting>
  <conditionalFormatting sqref="I362">
    <cfRule type="cellIs" dxfId="12046" priority="11978" stopIfTrue="1" operator="greaterThan">
      <formula>0</formula>
    </cfRule>
  </conditionalFormatting>
  <conditionalFormatting sqref="E355:E361">
    <cfRule type="cellIs" dxfId="12045" priority="11977" stopIfTrue="1" operator="greaterThan">
      <formula>0</formula>
    </cfRule>
  </conditionalFormatting>
  <conditionalFormatting sqref="K370:K375">
    <cfRule type="containsText" dxfId="12044" priority="11975" stopIfTrue="1" operator="containsText" text="NO CUMPLE">
      <formula>NOT(ISERROR(SEARCH("NO CUMPLE",K370)))</formula>
    </cfRule>
    <cfRule type="containsText" dxfId="12043" priority="11976" stopIfTrue="1" operator="containsText" text="CUMPLE">
      <formula>NOT(ISERROR(SEARCH("CUMPLE",K370)))</formula>
    </cfRule>
  </conditionalFormatting>
  <conditionalFormatting sqref="K376">
    <cfRule type="containsText" dxfId="12042" priority="11973" stopIfTrue="1" operator="containsText" text="NO CUMPLE">
      <formula>NOT(ISERROR(SEARCH("NO CUMPLE",K376)))</formula>
    </cfRule>
    <cfRule type="containsText" dxfId="12041" priority="11974" stopIfTrue="1" operator="containsText" text="CUMPLE">
      <formula>NOT(ISERROR(SEARCH("CUMPLE",K376)))</formula>
    </cfRule>
  </conditionalFormatting>
  <conditionalFormatting sqref="Q369">
    <cfRule type="cellIs" dxfId="12040" priority="11971" operator="greaterThanOrEqual">
      <formula>NUMMINCONT</formula>
    </cfRule>
    <cfRule type="cellIs" dxfId="12039" priority="11972" operator="lessThan">
      <formula>NUMMINCONT</formula>
    </cfRule>
  </conditionalFormatting>
  <conditionalFormatting sqref="W353:Y361">
    <cfRule type="cellIs" dxfId="12038" priority="11969" stopIfTrue="1" operator="equal">
      <formula>"NO"</formula>
    </cfRule>
    <cfRule type="cellIs" dxfId="12037" priority="11970" stopIfTrue="1" operator="equal">
      <formula>"SI"</formula>
    </cfRule>
  </conditionalFormatting>
  <conditionalFormatting sqref="R356">
    <cfRule type="cellIs" dxfId="12036" priority="11968" stopIfTrue="1" operator="greaterThan">
      <formula>0</formula>
    </cfRule>
  </conditionalFormatting>
  <conditionalFormatting sqref="R357">
    <cfRule type="cellIs" dxfId="12035" priority="11967" stopIfTrue="1" operator="greaterThan">
      <formula>0</formula>
    </cfRule>
  </conditionalFormatting>
  <conditionalFormatting sqref="R358">
    <cfRule type="cellIs" dxfId="12034" priority="11966" stopIfTrue="1" operator="greaterThan">
      <formula>0</formula>
    </cfRule>
  </conditionalFormatting>
  <conditionalFormatting sqref="R359">
    <cfRule type="cellIs" dxfId="12033" priority="11965" stopIfTrue="1" operator="greaterThan">
      <formula>0</formula>
    </cfRule>
  </conditionalFormatting>
  <conditionalFormatting sqref="R360">
    <cfRule type="cellIs" dxfId="12032" priority="11964" stopIfTrue="1" operator="greaterThan">
      <formula>0</formula>
    </cfRule>
  </conditionalFormatting>
  <conditionalFormatting sqref="R361">
    <cfRule type="cellIs" dxfId="12031" priority="11963" stopIfTrue="1" operator="greaterThan">
      <formula>0</formula>
    </cfRule>
  </conditionalFormatting>
  <conditionalFormatting sqref="R362">
    <cfRule type="cellIs" dxfId="12030" priority="11962" stopIfTrue="1" operator="greaterThan">
      <formula>0</formula>
    </cfRule>
  </conditionalFormatting>
  <conditionalFormatting sqref="W353:X353">
    <cfRule type="cellIs" dxfId="12029" priority="11961" stopIfTrue="1" operator="equal">
      <formula>"NO APLICA"</formula>
    </cfRule>
  </conditionalFormatting>
  <conditionalFormatting sqref="W354:X357">
    <cfRule type="cellIs" dxfId="12028" priority="11960" stopIfTrue="1" operator="equal">
      <formula>"NO APLICA"</formula>
    </cfRule>
  </conditionalFormatting>
  <conditionalFormatting sqref="W354:X354">
    <cfRule type="cellIs" dxfId="12027" priority="11959" stopIfTrue="1" operator="equal">
      <formula>"NO APLICA"</formula>
    </cfRule>
  </conditionalFormatting>
  <conditionalFormatting sqref="Y353">
    <cfRule type="cellIs" dxfId="12026" priority="11958" stopIfTrue="1" operator="equal">
      <formula>"NO APLICA"</formula>
    </cfRule>
  </conditionalFormatting>
  <conditionalFormatting sqref="Y354:Y357">
    <cfRule type="cellIs" dxfId="12025" priority="11957" stopIfTrue="1" operator="equal">
      <formula>"NO APLICA"</formula>
    </cfRule>
  </conditionalFormatting>
  <conditionalFormatting sqref="W358:X361">
    <cfRule type="cellIs" dxfId="12024" priority="11956" stopIfTrue="1" operator="equal">
      <formula>"NO APLICA"</formula>
    </cfRule>
  </conditionalFormatting>
  <conditionalFormatting sqref="W358:X358">
    <cfRule type="cellIs" dxfId="12023" priority="11955" stopIfTrue="1" operator="equal">
      <formula>"NO APLICA"</formula>
    </cfRule>
  </conditionalFormatting>
  <conditionalFormatting sqref="Y358:Y361">
    <cfRule type="cellIs" dxfId="12022" priority="11954" stopIfTrue="1" operator="equal">
      <formula>"NO APLICA"</formula>
    </cfRule>
  </conditionalFormatting>
  <conditionalFormatting sqref="T367">
    <cfRule type="cellIs" dxfId="12021" priority="11952" operator="equal">
      <formula>"CUMPLE"</formula>
    </cfRule>
    <cfRule type="cellIs" dxfId="12020" priority="11953" operator="equal">
      <formula>"NO CUMPLE"</formula>
    </cfRule>
  </conditionalFormatting>
  <conditionalFormatting sqref="T367:T369">
    <cfRule type="cellIs" dxfId="12019" priority="11951" operator="equal">
      <formula>"VERIFICAR"</formula>
    </cfRule>
  </conditionalFormatting>
  <conditionalFormatting sqref="AD353:AF357">
    <cfRule type="cellIs" dxfId="12018" priority="11949" stopIfTrue="1" operator="equal">
      <formula>"NO"</formula>
    </cfRule>
    <cfRule type="cellIs" dxfId="12017" priority="11950" stopIfTrue="1" operator="equal">
      <formula>"SI"</formula>
    </cfRule>
  </conditionalFormatting>
  <conditionalFormatting sqref="AD358:AF361">
    <cfRule type="cellIs" dxfId="12016" priority="11947" stopIfTrue="1" operator="equal">
      <formula>"NO"</formula>
    </cfRule>
    <cfRule type="cellIs" dxfId="12015" priority="11948" stopIfTrue="1" operator="equal">
      <formula>"SI"</formula>
    </cfRule>
  </conditionalFormatting>
  <conditionalFormatting sqref="W362:Y362">
    <cfRule type="cellIs" dxfId="12014" priority="11945" stopIfTrue="1" operator="equal">
      <formula>"NO"</formula>
    </cfRule>
    <cfRule type="cellIs" dxfId="12013" priority="11946" stopIfTrue="1" operator="equal">
      <formula>"SI"</formula>
    </cfRule>
  </conditionalFormatting>
  <conditionalFormatting sqref="W362:X362">
    <cfRule type="cellIs" dxfId="12012" priority="11944" stopIfTrue="1" operator="equal">
      <formula>"NO APLICA"</formula>
    </cfRule>
  </conditionalFormatting>
  <conditionalFormatting sqref="Y362">
    <cfRule type="cellIs" dxfId="12011" priority="11943" stopIfTrue="1" operator="equal">
      <formula>"NO APLICA"</formula>
    </cfRule>
  </conditionalFormatting>
  <conditionalFormatting sqref="AD362:AF362">
    <cfRule type="cellIs" dxfId="12010" priority="11941" stopIfTrue="1" operator="equal">
      <formula>"NO"</formula>
    </cfRule>
    <cfRule type="cellIs" dxfId="12009" priority="11942" stopIfTrue="1" operator="equal">
      <formula>"SI"</formula>
    </cfRule>
  </conditionalFormatting>
  <conditionalFormatting sqref="AE367">
    <cfRule type="cellIs" dxfId="12008" priority="11938" stopIfTrue="1" operator="equal">
      <formula>"VERIFICAR"</formula>
    </cfRule>
    <cfRule type="cellIs" dxfId="12007" priority="11939" stopIfTrue="1" operator="equal">
      <formula>"NO CUMPLE"</formula>
    </cfRule>
    <cfRule type="cellIs" dxfId="12006" priority="11940" stopIfTrue="1" operator="equal">
      <formula>"CUMPLE"</formula>
    </cfRule>
  </conditionalFormatting>
  <conditionalFormatting sqref="AF367">
    <cfRule type="cellIs" dxfId="12005" priority="11935" stopIfTrue="1" operator="equal">
      <formula>"VERIFICAR"</formula>
    </cfRule>
    <cfRule type="cellIs" dxfId="12004" priority="11936" stopIfTrue="1" operator="equal">
      <formula>"NO CUMPLE"</formula>
    </cfRule>
    <cfRule type="cellIs" dxfId="12003" priority="11937" stopIfTrue="1" operator="equal">
      <formula>"CUMPLE"</formula>
    </cfRule>
  </conditionalFormatting>
  <conditionalFormatting sqref="Y370">
    <cfRule type="cellIs" dxfId="12002" priority="11934" operator="equal">
      <formula>"VERIFICAR CUADRO"</formula>
    </cfRule>
  </conditionalFormatting>
  <conditionalFormatting sqref="AC371:AC376">
    <cfRule type="cellIs" dxfId="12001" priority="11933" stopIfTrue="1" operator="greaterThan">
      <formula>0</formula>
    </cfRule>
  </conditionalFormatting>
  <conditionalFormatting sqref="AC371:AC376">
    <cfRule type="cellIs" dxfId="12000" priority="11932" stopIfTrue="1" operator="greaterThan">
      <formula>0</formula>
    </cfRule>
  </conditionalFormatting>
  <conditionalFormatting sqref="AD371:AD376">
    <cfRule type="containsText" dxfId="11999" priority="11930" stopIfTrue="1" operator="containsText" text="NO CUMPLE">
      <formula>NOT(ISERROR(SEARCH("NO CUMPLE",AD371)))</formula>
    </cfRule>
    <cfRule type="containsText" dxfId="11998" priority="11931" stopIfTrue="1" operator="containsText" text="CUMPLE">
      <formula>NOT(ISERROR(SEARCH("CUMPLE",AD371)))</formula>
    </cfRule>
  </conditionalFormatting>
  <conditionalFormatting sqref="Y376">
    <cfRule type="containsText" dxfId="11997" priority="11928" stopIfTrue="1" operator="containsText" text="NO CUMPLE">
      <formula>NOT(ISERROR(SEARCH("NO CUMPLE",Y376)))</formula>
    </cfRule>
    <cfRule type="containsText" dxfId="11996" priority="11929" stopIfTrue="1" operator="containsText" text="CUMPLE">
      <formula>NOT(ISERROR(SEARCH("CUMPLE",Y376)))</formula>
    </cfRule>
  </conditionalFormatting>
  <conditionalFormatting sqref="AA353:AA362">
    <cfRule type="cellIs" dxfId="11995" priority="11926" stopIfTrue="1" operator="equal">
      <formula>"NO APLICA"</formula>
    </cfRule>
    <cfRule type="cellIs" dxfId="11994" priority="11927" stopIfTrue="1" operator="equal">
      <formula>"TERCIARIA"</formula>
    </cfRule>
  </conditionalFormatting>
  <conditionalFormatting sqref="AB353:AB362">
    <cfRule type="cellIs" dxfId="11993" priority="11924" stopIfTrue="1" operator="equal">
      <formula>"N/A"</formula>
    </cfRule>
    <cfRule type="cellIs" dxfId="11992" priority="11925" stopIfTrue="1" operator="equal">
      <formula>"NO"</formula>
    </cfRule>
  </conditionalFormatting>
  <conditionalFormatting sqref="M383:M392">
    <cfRule type="cellIs" dxfId="11991" priority="11923" stopIfTrue="1" operator="lessThan">
      <formula>0</formula>
    </cfRule>
  </conditionalFormatting>
  <conditionalFormatting sqref="C385:D391 B384:B391 B392:O392 B383:R383 Q384:R385 J384:O391 Q386:Q392 P384:P392 C384:I384 F385:I391">
    <cfRule type="cellIs" dxfId="11990" priority="11922" stopIfTrue="1" operator="greaterThan">
      <formula>0</formula>
    </cfRule>
  </conditionalFormatting>
  <conditionalFormatting sqref="C385:D391">
    <cfRule type="cellIs" dxfId="11989" priority="11921" stopIfTrue="1" operator="greaterThan">
      <formula>0</formula>
    </cfRule>
  </conditionalFormatting>
  <conditionalFormatting sqref="C383:M383 C385:D391 K384:M391 J384:J392 L392:M392 C384:I384 F385:I391">
    <cfRule type="cellIs" dxfId="11988" priority="11920" stopIfTrue="1" operator="greaterThan">
      <formula>0</formula>
    </cfRule>
  </conditionalFormatting>
  <conditionalFormatting sqref="M383:M392">
    <cfRule type="cellIs" dxfId="11987" priority="11919" stopIfTrue="1" operator="lessThan">
      <formula>0</formula>
    </cfRule>
  </conditionalFormatting>
  <conditionalFormatting sqref="J384:J392 L384:O392 C383:O383 C384 I384">
    <cfRule type="cellIs" dxfId="11986" priority="11918" stopIfTrue="1" operator="greaterThan">
      <formula>0</formula>
    </cfRule>
  </conditionalFormatting>
  <conditionalFormatting sqref="K385:M392 H385:I391">
    <cfRule type="cellIs" dxfId="11985" priority="11917" stopIfTrue="1" operator="greaterThan">
      <formula>0</formula>
    </cfRule>
  </conditionalFormatting>
  <conditionalFormatting sqref="I384">
    <cfRule type="cellIs" dxfId="11984" priority="11916" stopIfTrue="1" operator="greaterThan">
      <formula>0</formula>
    </cfRule>
  </conditionalFormatting>
  <conditionalFormatting sqref="I392">
    <cfRule type="cellIs" dxfId="11983" priority="11915" stopIfTrue="1" operator="greaterThan">
      <formula>0</formula>
    </cfRule>
  </conditionalFormatting>
  <conditionalFormatting sqref="E385:E391">
    <cfRule type="cellIs" dxfId="11982" priority="11914" stopIfTrue="1" operator="greaterThan">
      <formula>0</formula>
    </cfRule>
  </conditionalFormatting>
  <conditionalFormatting sqref="K400:K405">
    <cfRule type="containsText" dxfId="11981" priority="11912" stopIfTrue="1" operator="containsText" text="NO CUMPLE">
      <formula>NOT(ISERROR(SEARCH("NO CUMPLE",K400)))</formula>
    </cfRule>
    <cfRule type="containsText" dxfId="11980" priority="11913" stopIfTrue="1" operator="containsText" text="CUMPLE">
      <formula>NOT(ISERROR(SEARCH("CUMPLE",K400)))</formula>
    </cfRule>
  </conditionalFormatting>
  <conditionalFormatting sqref="K406">
    <cfRule type="containsText" dxfId="11979" priority="11910" stopIfTrue="1" operator="containsText" text="NO CUMPLE">
      <formula>NOT(ISERROR(SEARCH("NO CUMPLE",K406)))</formula>
    </cfRule>
    <cfRule type="containsText" dxfId="11978" priority="11911" stopIfTrue="1" operator="containsText" text="CUMPLE">
      <formula>NOT(ISERROR(SEARCH("CUMPLE",K406)))</formula>
    </cfRule>
  </conditionalFormatting>
  <conditionalFormatting sqref="Q399">
    <cfRule type="cellIs" dxfId="11977" priority="11908" operator="greaterThanOrEqual">
      <formula>NUMMINCONT</formula>
    </cfRule>
    <cfRule type="cellIs" dxfId="11976" priority="11909" operator="lessThan">
      <formula>NUMMINCONT</formula>
    </cfRule>
  </conditionalFormatting>
  <conditionalFormatting sqref="W383:Y391">
    <cfRule type="cellIs" dxfId="11975" priority="11906" stopIfTrue="1" operator="equal">
      <formula>"NO"</formula>
    </cfRule>
    <cfRule type="cellIs" dxfId="11974" priority="11907" stopIfTrue="1" operator="equal">
      <formula>"SI"</formula>
    </cfRule>
  </conditionalFormatting>
  <conditionalFormatting sqref="R386">
    <cfRule type="cellIs" dxfId="11973" priority="11905" stopIfTrue="1" operator="greaterThan">
      <formula>0</formula>
    </cfRule>
  </conditionalFormatting>
  <conditionalFormatting sqref="R387">
    <cfRule type="cellIs" dxfId="11972" priority="11904" stopIfTrue="1" operator="greaterThan">
      <formula>0</formula>
    </cfRule>
  </conditionalFormatting>
  <conditionalFormatting sqref="R388">
    <cfRule type="cellIs" dxfId="11971" priority="11903" stopIfTrue="1" operator="greaterThan">
      <formula>0</formula>
    </cfRule>
  </conditionalFormatting>
  <conditionalFormatting sqref="R389">
    <cfRule type="cellIs" dxfId="11970" priority="11902" stopIfTrue="1" operator="greaterThan">
      <formula>0</formula>
    </cfRule>
  </conditionalFormatting>
  <conditionalFormatting sqref="R390">
    <cfRule type="cellIs" dxfId="11969" priority="11901" stopIfTrue="1" operator="greaterThan">
      <formula>0</formula>
    </cfRule>
  </conditionalFormatting>
  <conditionalFormatting sqref="R391">
    <cfRule type="cellIs" dxfId="11968" priority="11900" stopIfTrue="1" operator="greaterThan">
      <formula>0</formula>
    </cfRule>
  </conditionalFormatting>
  <conditionalFormatting sqref="R392">
    <cfRule type="cellIs" dxfId="11967" priority="11899" stopIfTrue="1" operator="greaterThan">
      <formula>0</formula>
    </cfRule>
  </conditionalFormatting>
  <conditionalFormatting sqref="W383:X383">
    <cfRule type="cellIs" dxfId="11966" priority="11898" stopIfTrue="1" operator="equal">
      <formula>"NO APLICA"</formula>
    </cfRule>
  </conditionalFormatting>
  <conditionalFormatting sqref="W384:X387">
    <cfRule type="cellIs" dxfId="11965" priority="11897" stopIfTrue="1" operator="equal">
      <formula>"NO APLICA"</formula>
    </cfRule>
  </conditionalFormatting>
  <conditionalFormatting sqref="W384:X384">
    <cfRule type="cellIs" dxfId="11964" priority="11896" stopIfTrue="1" operator="equal">
      <formula>"NO APLICA"</formula>
    </cfRule>
  </conditionalFormatting>
  <conditionalFormatting sqref="Y383">
    <cfRule type="cellIs" dxfId="11963" priority="11895" stopIfTrue="1" operator="equal">
      <formula>"NO APLICA"</formula>
    </cfRule>
  </conditionalFormatting>
  <conditionalFormatting sqref="Y384:Y387">
    <cfRule type="cellIs" dxfId="11962" priority="11894" stopIfTrue="1" operator="equal">
      <formula>"NO APLICA"</formula>
    </cfRule>
  </conditionalFormatting>
  <conditionalFormatting sqref="W388:X391">
    <cfRule type="cellIs" dxfId="11961" priority="11893" stopIfTrue="1" operator="equal">
      <formula>"NO APLICA"</formula>
    </cfRule>
  </conditionalFormatting>
  <conditionalFormatting sqref="W388:X388">
    <cfRule type="cellIs" dxfId="11960" priority="11892" stopIfTrue="1" operator="equal">
      <formula>"NO APLICA"</formula>
    </cfRule>
  </conditionalFormatting>
  <conditionalFormatting sqref="Y388:Y391">
    <cfRule type="cellIs" dxfId="11959" priority="11891" stopIfTrue="1" operator="equal">
      <formula>"NO APLICA"</formula>
    </cfRule>
  </conditionalFormatting>
  <conditionalFormatting sqref="T397">
    <cfRule type="cellIs" dxfId="11958" priority="11889" operator="equal">
      <formula>"CUMPLE"</formula>
    </cfRule>
    <cfRule type="cellIs" dxfId="11957" priority="11890" operator="equal">
      <formula>"NO CUMPLE"</formula>
    </cfRule>
  </conditionalFormatting>
  <conditionalFormatting sqref="T397:T399">
    <cfRule type="cellIs" dxfId="11956" priority="11888" operator="equal">
      <formula>"VERIFICAR"</formula>
    </cfRule>
  </conditionalFormatting>
  <conditionalFormatting sqref="AD383:AF387">
    <cfRule type="cellIs" dxfId="11955" priority="11886" stopIfTrue="1" operator="equal">
      <formula>"NO"</formula>
    </cfRule>
    <cfRule type="cellIs" dxfId="11954" priority="11887" stopIfTrue="1" operator="equal">
      <formula>"SI"</formula>
    </cfRule>
  </conditionalFormatting>
  <conditionalFormatting sqref="AD388:AF391">
    <cfRule type="cellIs" dxfId="11953" priority="11884" stopIfTrue="1" operator="equal">
      <formula>"NO"</formula>
    </cfRule>
    <cfRule type="cellIs" dxfId="11952" priority="11885" stopIfTrue="1" operator="equal">
      <formula>"SI"</formula>
    </cfRule>
  </conditionalFormatting>
  <conditionalFormatting sqref="W392:Y392">
    <cfRule type="cellIs" dxfId="11951" priority="11882" stopIfTrue="1" operator="equal">
      <formula>"NO"</formula>
    </cfRule>
    <cfRule type="cellIs" dxfId="11950" priority="11883" stopIfTrue="1" operator="equal">
      <formula>"SI"</formula>
    </cfRule>
  </conditionalFormatting>
  <conditionalFormatting sqref="W392:X392">
    <cfRule type="cellIs" dxfId="11949" priority="11881" stopIfTrue="1" operator="equal">
      <formula>"NO APLICA"</formula>
    </cfRule>
  </conditionalFormatting>
  <conditionalFormatting sqref="Y392">
    <cfRule type="cellIs" dxfId="11948" priority="11880" stopIfTrue="1" operator="equal">
      <formula>"NO APLICA"</formula>
    </cfRule>
  </conditionalFormatting>
  <conditionalFormatting sqref="AD392:AF392">
    <cfRule type="cellIs" dxfId="11947" priority="11878" stopIfTrue="1" operator="equal">
      <formula>"NO"</formula>
    </cfRule>
    <cfRule type="cellIs" dxfId="11946" priority="11879" stopIfTrue="1" operator="equal">
      <formula>"SI"</formula>
    </cfRule>
  </conditionalFormatting>
  <conditionalFormatting sqref="AE397">
    <cfRule type="cellIs" dxfId="11945" priority="11875" stopIfTrue="1" operator="equal">
      <formula>"VERIFICAR"</formula>
    </cfRule>
    <cfRule type="cellIs" dxfId="11944" priority="11876" stopIfTrue="1" operator="equal">
      <formula>"NO CUMPLE"</formula>
    </cfRule>
    <cfRule type="cellIs" dxfId="11943" priority="11877" stopIfTrue="1" operator="equal">
      <formula>"CUMPLE"</formula>
    </cfRule>
  </conditionalFormatting>
  <conditionalFormatting sqref="AF397">
    <cfRule type="cellIs" dxfId="11942" priority="11872" stopIfTrue="1" operator="equal">
      <formula>"VERIFICAR"</formula>
    </cfRule>
    <cfRule type="cellIs" dxfId="11941" priority="11873" stopIfTrue="1" operator="equal">
      <formula>"NO CUMPLE"</formula>
    </cfRule>
    <cfRule type="cellIs" dxfId="11940" priority="11874" stopIfTrue="1" operator="equal">
      <formula>"CUMPLE"</formula>
    </cfRule>
  </conditionalFormatting>
  <conditionalFormatting sqref="Y400">
    <cfRule type="cellIs" dxfId="11939" priority="11871" operator="equal">
      <formula>"VERIFICAR CUADRO"</formula>
    </cfRule>
  </conditionalFormatting>
  <conditionalFormatting sqref="AC401:AC406">
    <cfRule type="cellIs" dxfId="11938" priority="11870" stopIfTrue="1" operator="greaterThan">
      <formula>0</formula>
    </cfRule>
  </conditionalFormatting>
  <conditionalFormatting sqref="AC401:AC406">
    <cfRule type="cellIs" dxfId="11937" priority="11869" stopIfTrue="1" operator="greaterThan">
      <formula>0</formula>
    </cfRule>
  </conditionalFormatting>
  <conditionalFormatting sqref="AD401:AD406">
    <cfRule type="containsText" dxfId="11936" priority="11867" stopIfTrue="1" operator="containsText" text="NO CUMPLE">
      <formula>NOT(ISERROR(SEARCH("NO CUMPLE",AD401)))</formula>
    </cfRule>
    <cfRule type="containsText" dxfId="11935" priority="11868" stopIfTrue="1" operator="containsText" text="CUMPLE">
      <formula>NOT(ISERROR(SEARCH("CUMPLE",AD401)))</formula>
    </cfRule>
  </conditionalFormatting>
  <conditionalFormatting sqref="Y406">
    <cfRule type="containsText" dxfId="11934" priority="11865" stopIfTrue="1" operator="containsText" text="NO CUMPLE">
      <formula>NOT(ISERROR(SEARCH("NO CUMPLE",Y406)))</formula>
    </cfRule>
    <cfRule type="containsText" dxfId="11933" priority="11866" stopIfTrue="1" operator="containsText" text="CUMPLE">
      <formula>NOT(ISERROR(SEARCH("CUMPLE",Y406)))</formula>
    </cfRule>
  </conditionalFormatting>
  <conditionalFormatting sqref="AA383:AA392">
    <cfRule type="cellIs" dxfId="11932" priority="11863" stopIfTrue="1" operator="equal">
      <formula>"NO APLICA"</formula>
    </cfRule>
    <cfRule type="cellIs" dxfId="11931" priority="11864" stopIfTrue="1" operator="equal">
      <formula>"TERCIARIA"</formula>
    </cfRule>
  </conditionalFormatting>
  <conditionalFormatting sqref="AB383:AB392">
    <cfRule type="cellIs" dxfId="11930" priority="11861" stopIfTrue="1" operator="equal">
      <formula>"N/A"</formula>
    </cfRule>
    <cfRule type="cellIs" dxfId="11929" priority="11862" stopIfTrue="1" operator="equal">
      <formula>"NO"</formula>
    </cfRule>
  </conditionalFormatting>
  <conditionalFormatting sqref="M413:M422">
    <cfRule type="cellIs" dxfId="11928" priority="11860" stopIfTrue="1" operator="lessThan">
      <formula>0</formula>
    </cfRule>
  </conditionalFormatting>
  <conditionalFormatting sqref="B414:B421 B422:O422 B413:R413 Q414:R415 J414:O421 Q416:Q422 P414:P422 C415:D421 E415:E416 C414:I414 F415:I421">
    <cfRule type="cellIs" dxfId="11927" priority="11859" stopIfTrue="1" operator="greaterThan">
      <formula>0</formula>
    </cfRule>
  </conditionalFormatting>
  <conditionalFormatting sqref="C415:D421">
    <cfRule type="cellIs" dxfId="11926" priority="11858" stopIfTrue="1" operator="greaterThan">
      <formula>0</formula>
    </cfRule>
  </conditionalFormatting>
  <conditionalFormatting sqref="C413:M413 K414:M421 J414:J422 L422:M422 C415:D421 E415:E416 C414:I414 F415:I421">
    <cfRule type="cellIs" dxfId="11925" priority="11857" stopIfTrue="1" operator="greaterThan">
      <formula>0</formula>
    </cfRule>
  </conditionalFormatting>
  <conditionalFormatting sqref="M413:M422">
    <cfRule type="cellIs" dxfId="11924" priority="11856" stopIfTrue="1" operator="lessThan">
      <formula>0</formula>
    </cfRule>
  </conditionalFormatting>
  <conditionalFormatting sqref="J414:J422 L414:O422 C413:O413 C414:C416 E414:E416 I414:I416">
    <cfRule type="cellIs" dxfId="11923" priority="11855" stopIfTrue="1" operator="greaterThan">
      <formula>0</formula>
    </cfRule>
  </conditionalFormatting>
  <conditionalFormatting sqref="K415:M422 H415:I421">
    <cfRule type="cellIs" dxfId="11922" priority="11854" stopIfTrue="1" operator="greaterThan">
      <formula>0</formula>
    </cfRule>
  </conditionalFormatting>
  <conditionalFormatting sqref="I414:I416">
    <cfRule type="cellIs" dxfId="11921" priority="11853" stopIfTrue="1" operator="greaterThan">
      <formula>0</formula>
    </cfRule>
  </conditionalFormatting>
  <conditionalFormatting sqref="I422">
    <cfRule type="cellIs" dxfId="11920" priority="11852" stopIfTrue="1" operator="greaterThan">
      <formula>0</formula>
    </cfRule>
  </conditionalFormatting>
  <conditionalFormatting sqref="E417:E421">
    <cfRule type="cellIs" dxfId="11919" priority="11851" stopIfTrue="1" operator="greaterThan">
      <formula>0</formula>
    </cfRule>
  </conditionalFormatting>
  <conditionalFormatting sqref="K430:K435">
    <cfRule type="containsText" dxfId="11918" priority="11849" stopIfTrue="1" operator="containsText" text="NO CUMPLE">
      <formula>NOT(ISERROR(SEARCH("NO CUMPLE",K430)))</formula>
    </cfRule>
    <cfRule type="containsText" dxfId="11917" priority="11850" stopIfTrue="1" operator="containsText" text="CUMPLE">
      <formula>NOT(ISERROR(SEARCH("CUMPLE",K430)))</formula>
    </cfRule>
  </conditionalFormatting>
  <conditionalFormatting sqref="K436">
    <cfRule type="containsText" dxfId="11916" priority="11847" stopIfTrue="1" operator="containsText" text="NO CUMPLE">
      <formula>NOT(ISERROR(SEARCH("NO CUMPLE",K436)))</formula>
    </cfRule>
    <cfRule type="containsText" dxfId="11915" priority="11848" stopIfTrue="1" operator="containsText" text="CUMPLE">
      <formula>NOT(ISERROR(SEARCH("CUMPLE",K436)))</formula>
    </cfRule>
  </conditionalFormatting>
  <conditionalFormatting sqref="Q429">
    <cfRule type="cellIs" dxfId="11914" priority="11845" operator="greaterThanOrEqual">
      <formula>NUMMINCONT</formula>
    </cfRule>
    <cfRule type="cellIs" dxfId="11913" priority="11846" operator="lessThan">
      <formula>NUMMINCONT</formula>
    </cfRule>
  </conditionalFormatting>
  <conditionalFormatting sqref="W413:Y421">
    <cfRule type="cellIs" dxfId="11912" priority="11843" stopIfTrue="1" operator="equal">
      <formula>"NO"</formula>
    </cfRule>
    <cfRule type="cellIs" dxfId="11911" priority="11844" stopIfTrue="1" operator="equal">
      <formula>"SI"</formula>
    </cfRule>
  </conditionalFormatting>
  <conditionalFormatting sqref="R416">
    <cfRule type="cellIs" dxfId="11910" priority="11842" stopIfTrue="1" operator="greaterThan">
      <formula>0</formula>
    </cfRule>
  </conditionalFormatting>
  <conditionalFormatting sqref="R417">
    <cfRule type="cellIs" dxfId="11909" priority="11841" stopIfTrue="1" operator="greaterThan">
      <formula>0</formula>
    </cfRule>
  </conditionalFormatting>
  <conditionalFormatting sqref="R418">
    <cfRule type="cellIs" dxfId="11908" priority="11840" stopIfTrue="1" operator="greaterThan">
      <formula>0</formula>
    </cfRule>
  </conditionalFormatting>
  <conditionalFormatting sqref="R419">
    <cfRule type="cellIs" dxfId="11907" priority="11839" stopIfTrue="1" operator="greaterThan">
      <formula>0</formula>
    </cfRule>
  </conditionalFormatting>
  <conditionalFormatting sqref="R420">
    <cfRule type="cellIs" dxfId="11906" priority="11838" stopIfTrue="1" operator="greaterThan">
      <formula>0</formula>
    </cfRule>
  </conditionalFormatting>
  <conditionalFormatting sqref="R421">
    <cfRule type="cellIs" dxfId="11905" priority="11837" stopIfTrue="1" operator="greaterThan">
      <formula>0</formula>
    </cfRule>
  </conditionalFormatting>
  <conditionalFormatting sqref="R422">
    <cfRule type="cellIs" dxfId="11904" priority="11836" stopIfTrue="1" operator="greaterThan">
      <formula>0</formula>
    </cfRule>
  </conditionalFormatting>
  <conditionalFormatting sqref="W413:X413">
    <cfRule type="cellIs" dxfId="11903" priority="11835" stopIfTrue="1" operator="equal">
      <formula>"NO APLICA"</formula>
    </cfRule>
  </conditionalFormatting>
  <conditionalFormatting sqref="W414:X417">
    <cfRule type="cellIs" dxfId="11902" priority="11834" stopIfTrue="1" operator="equal">
      <formula>"NO APLICA"</formula>
    </cfRule>
  </conditionalFormatting>
  <conditionalFormatting sqref="W414:X414">
    <cfRule type="cellIs" dxfId="11901" priority="11833" stopIfTrue="1" operator="equal">
      <formula>"NO APLICA"</formula>
    </cfRule>
  </conditionalFormatting>
  <conditionalFormatting sqref="Y413">
    <cfRule type="cellIs" dxfId="11900" priority="11832" stopIfTrue="1" operator="equal">
      <formula>"NO APLICA"</formula>
    </cfRule>
  </conditionalFormatting>
  <conditionalFormatting sqref="Y414:Y417">
    <cfRule type="cellIs" dxfId="11899" priority="11831" stopIfTrue="1" operator="equal">
      <formula>"NO APLICA"</formula>
    </cfRule>
  </conditionalFormatting>
  <conditionalFormatting sqref="W418:X421">
    <cfRule type="cellIs" dxfId="11898" priority="11830" stopIfTrue="1" operator="equal">
      <formula>"NO APLICA"</formula>
    </cfRule>
  </conditionalFormatting>
  <conditionalFormatting sqref="W418:X418">
    <cfRule type="cellIs" dxfId="11897" priority="11829" stopIfTrue="1" operator="equal">
      <formula>"NO APLICA"</formula>
    </cfRule>
  </conditionalFormatting>
  <conditionalFormatting sqref="Y418:Y421">
    <cfRule type="cellIs" dxfId="11896" priority="11828" stopIfTrue="1" operator="equal">
      <formula>"NO APLICA"</formula>
    </cfRule>
  </conditionalFormatting>
  <conditionalFormatting sqref="T427">
    <cfRule type="cellIs" dxfId="11895" priority="11826" operator="equal">
      <formula>"CUMPLE"</formula>
    </cfRule>
    <cfRule type="cellIs" dxfId="11894" priority="11827" operator="equal">
      <formula>"NO CUMPLE"</formula>
    </cfRule>
  </conditionalFormatting>
  <conditionalFormatting sqref="T427:T429">
    <cfRule type="cellIs" dxfId="11893" priority="11825" operator="equal">
      <formula>"VERIFICAR"</formula>
    </cfRule>
  </conditionalFormatting>
  <conditionalFormatting sqref="AD413:AF417">
    <cfRule type="cellIs" dxfId="11892" priority="11823" stopIfTrue="1" operator="equal">
      <formula>"NO"</formula>
    </cfRule>
    <cfRule type="cellIs" dxfId="11891" priority="11824" stopIfTrue="1" operator="equal">
      <formula>"SI"</formula>
    </cfRule>
  </conditionalFormatting>
  <conditionalFormatting sqref="AD418:AF421">
    <cfRule type="cellIs" dxfId="11890" priority="11821" stopIfTrue="1" operator="equal">
      <formula>"NO"</formula>
    </cfRule>
    <cfRule type="cellIs" dxfId="11889" priority="11822" stopIfTrue="1" operator="equal">
      <formula>"SI"</formula>
    </cfRule>
  </conditionalFormatting>
  <conditionalFormatting sqref="W422:Y422">
    <cfRule type="cellIs" dxfId="11888" priority="11819" stopIfTrue="1" operator="equal">
      <formula>"NO"</formula>
    </cfRule>
    <cfRule type="cellIs" dxfId="11887" priority="11820" stopIfTrue="1" operator="equal">
      <formula>"SI"</formula>
    </cfRule>
  </conditionalFormatting>
  <conditionalFormatting sqref="W422:X422">
    <cfRule type="cellIs" dxfId="11886" priority="11818" stopIfTrue="1" operator="equal">
      <formula>"NO APLICA"</formula>
    </cfRule>
  </conditionalFormatting>
  <conditionalFormatting sqref="Y422">
    <cfRule type="cellIs" dxfId="11885" priority="11817" stopIfTrue="1" operator="equal">
      <formula>"NO APLICA"</formula>
    </cfRule>
  </conditionalFormatting>
  <conditionalFormatting sqref="AD422:AF422">
    <cfRule type="cellIs" dxfId="11884" priority="11815" stopIfTrue="1" operator="equal">
      <formula>"NO"</formula>
    </cfRule>
    <cfRule type="cellIs" dxfId="11883" priority="11816" stopIfTrue="1" operator="equal">
      <formula>"SI"</formula>
    </cfRule>
  </conditionalFormatting>
  <conditionalFormatting sqref="AE427">
    <cfRule type="cellIs" dxfId="11882" priority="11812" stopIfTrue="1" operator="equal">
      <formula>"VERIFICAR"</formula>
    </cfRule>
    <cfRule type="cellIs" dxfId="11881" priority="11813" stopIfTrue="1" operator="equal">
      <formula>"NO CUMPLE"</formula>
    </cfRule>
    <cfRule type="cellIs" dxfId="11880" priority="11814" stopIfTrue="1" operator="equal">
      <formula>"CUMPLE"</formula>
    </cfRule>
  </conditionalFormatting>
  <conditionalFormatting sqref="AF427">
    <cfRule type="cellIs" dxfId="11879" priority="11809" stopIfTrue="1" operator="equal">
      <formula>"VERIFICAR"</formula>
    </cfRule>
    <cfRule type="cellIs" dxfId="11878" priority="11810" stopIfTrue="1" operator="equal">
      <formula>"NO CUMPLE"</formula>
    </cfRule>
    <cfRule type="cellIs" dxfId="11877" priority="11811" stopIfTrue="1" operator="equal">
      <formula>"CUMPLE"</formula>
    </cfRule>
  </conditionalFormatting>
  <conditionalFormatting sqref="Y430">
    <cfRule type="cellIs" dxfId="11876" priority="11808" operator="equal">
      <formula>"VERIFICAR CUADRO"</formula>
    </cfRule>
  </conditionalFormatting>
  <conditionalFormatting sqref="AC431:AC436">
    <cfRule type="cellIs" dxfId="11875" priority="11807" stopIfTrue="1" operator="greaterThan">
      <formula>0</formula>
    </cfRule>
  </conditionalFormatting>
  <conditionalFormatting sqref="AC431:AC436">
    <cfRule type="cellIs" dxfId="11874" priority="11806" stopIfTrue="1" operator="greaterThan">
      <formula>0</formula>
    </cfRule>
  </conditionalFormatting>
  <conditionalFormatting sqref="AD431:AD436">
    <cfRule type="containsText" dxfId="11873" priority="11804" stopIfTrue="1" operator="containsText" text="NO CUMPLE">
      <formula>NOT(ISERROR(SEARCH("NO CUMPLE",AD431)))</formula>
    </cfRule>
    <cfRule type="containsText" dxfId="11872" priority="11805" stopIfTrue="1" operator="containsText" text="CUMPLE">
      <formula>NOT(ISERROR(SEARCH("CUMPLE",AD431)))</formula>
    </cfRule>
  </conditionalFormatting>
  <conditionalFormatting sqref="Y436">
    <cfRule type="containsText" dxfId="11871" priority="11802" stopIfTrue="1" operator="containsText" text="NO CUMPLE">
      <formula>NOT(ISERROR(SEARCH("NO CUMPLE",Y436)))</formula>
    </cfRule>
    <cfRule type="containsText" dxfId="11870" priority="11803" stopIfTrue="1" operator="containsText" text="CUMPLE">
      <formula>NOT(ISERROR(SEARCH("CUMPLE",Y436)))</formula>
    </cfRule>
  </conditionalFormatting>
  <conditionalFormatting sqref="AA413:AA422">
    <cfRule type="cellIs" dxfId="11869" priority="11800" stopIfTrue="1" operator="equal">
      <formula>"NO APLICA"</formula>
    </cfRule>
    <cfRule type="cellIs" dxfId="11868" priority="11801" stopIfTrue="1" operator="equal">
      <formula>"TERCIARIA"</formula>
    </cfRule>
  </conditionalFormatting>
  <conditionalFormatting sqref="AB413:AB422">
    <cfRule type="cellIs" dxfId="11867" priority="11798" stopIfTrue="1" operator="equal">
      <formula>"N/A"</formula>
    </cfRule>
    <cfRule type="cellIs" dxfId="11866" priority="11799" stopIfTrue="1" operator="equal">
      <formula>"NO"</formula>
    </cfRule>
  </conditionalFormatting>
  <conditionalFormatting sqref="M443:M452">
    <cfRule type="cellIs" dxfId="11865" priority="11797" stopIfTrue="1" operator="lessThan">
      <formula>0</formula>
    </cfRule>
  </conditionalFormatting>
  <conditionalFormatting sqref="C445:D451 B444:B451 F445:I451 C444:I444 B452:O452 B443:R443 Q444:R445 J444:O451 Q446:Q452 P444:P452">
    <cfRule type="cellIs" dxfId="11864" priority="11796" stopIfTrue="1" operator="greaterThan">
      <formula>0</formula>
    </cfRule>
  </conditionalFormatting>
  <conditionalFormatting sqref="C445:D451">
    <cfRule type="cellIs" dxfId="11863" priority="11795" stopIfTrue="1" operator="greaterThan">
      <formula>0</formula>
    </cfRule>
  </conditionalFormatting>
  <conditionalFormatting sqref="C443:M443 C445:D451 F445:I451 C444:I444 K444:M451 J444:J452 L452:M452">
    <cfRule type="cellIs" dxfId="11862" priority="11794" stopIfTrue="1" operator="greaterThan">
      <formula>0</formula>
    </cfRule>
  </conditionalFormatting>
  <conditionalFormatting sqref="M443:M452">
    <cfRule type="cellIs" dxfId="11861" priority="11793" stopIfTrue="1" operator="lessThan">
      <formula>0</formula>
    </cfRule>
  </conditionalFormatting>
  <conditionalFormatting sqref="J444:J452 L444:O452 C443:O443">
    <cfRule type="cellIs" dxfId="11860" priority="11792" stopIfTrue="1" operator="greaterThan">
      <formula>0</formula>
    </cfRule>
  </conditionalFormatting>
  <conditionalFormatting sqref="H445:I451 K445:M452">
    <cfRule type="cellIs" dxfId="11859" priority="11791" stopIfTrue="1" operator="greaterThan">
      <formula>0</formula>
    </cfRule>
  </conditionalFormatting>
  <conditionalFormatting sqref="I444">
    <cfRule type="cellIs" dxfId="11858" priority="11790" stopIfTrue="1" operator="greaterThan">
      <formula>0</formula>
    </cfRule>
  </conditionalFormatting>
  <conditionalFormatting sqref="I452">
    <cfRule type="cellIs" dxfId="11857" priority="11789" stopIfTrue="1" operator="greaterThan">
      <formula>0</formula>
    </cfRule>
  </conditionalFormatting>
  <conditionalFormatting sqref="E445:E451">
    <cfRule type="cellIs" dxfId="11856" priority="11788" stopIfTrue="1" operator="greaterThan">
      <formula>0</formula>
    </cfRule>
  </conditionalFormatting>
  <conditionalFormatting sqref="K460:K465">
    <cfRule type="containsText" dxfId="11855" priority="11786" stopIfTrue="1" operator="containsText" text="NO CUMPLE">
      <formula>NOT(ISERROR(SEARCH("NO CUMPLE",K460)))</formula>
    </cfRule>
    <cfRule type="containsText" dxfId="11854" priority="11787" stopIfTrue="1" operator="containsText" text="CUMPLE">
      <formula>NOT(ISERROR(SEARCH("CUMPLE",K460)))</formula>
    </cfRule>
  </conditionalFormatting>
  <conditionalFormatting sqref="K466">
    <cfRule type="containsText" dxfId="11853" priority="11784" stopIfTrue="1" operator="containsText" text="NO CUMPLE">
      <formula>NOT(ISERROR(SEARCH("NO CUMPLE",K466)))</formula>
    </cfRule>
    <cfRule type="containsText" dxfId="11852" priority="11785" stopIfTrue="1" operator="containsText" text="CUMPLE">
      <formula>NOT(ISERROR(SEARCH("CUMPLE",K466)))</formula>
    </cfRule>
  </conditionalFormatting>
  <conditionalFormatting sqref="Q459">
    <cfRule type="cellIs" dxfId="11851" priority="11782" operator="greaterThanOrEqual">
      <formula>NUMMINCONT</formula>
    </cfRule>
    <cfRule type="cellIs" dxfId="11850" priority="11783" operator="lessThan">
      <formula>NUMMINCONT</formula>
    </cfRule>
  </conditionalFormatting>
  <conditionalFormatting sqref="W443:Y451">
    <cfRule type="cellIs" dxfId="11849" priority="11780" stopIfTrue="1" operator="equal">
      <formula>"NO"</formula>
    </cfRule>
    <cfRule type="cellIs" dxfId="11848" priority="11781" stopIfTrue="1" operator="equal">
      <formula>"SI"</formula>
    </cfRule>
  </conditionalFormatting>
  <conditionalFormatting sqref="R446">
    <cfRule type="cellIs" dxfId="11847" priority="11779" stopIfTrue="1" operator="greaterThan">
      <formula>0</formula>
    </cfRule>
  </conditionalFormatting>
  <conditionalFormatting sqref="R447">
    <cfRule type="cellIs" dxfId="11846" priority="11778" stopIfTrue="1" operator="greaterThan">
      <formula>0</formula>
    </cfRule>
  </conditionalFormatting>
  <conditionalFormatting sqref="R448">
    <cfRule type="cellIs" dxfId="11845" priority="11777" stopIfTrue="1" operator="greaterThan">
      <formula>0</formula>
    </cfRule>
  </conditionalFormatting>
  <conditionalFormatting sqref="R449">
    <cfRule type="cellIs" dxfId="11844" priority="11776" stopIfTrue="1" operator="greaterThan">
      <formula>0</formula>
    </cfRule>
  </conditionalFormatting>
  <conditionalFormatting sqref="R450">
    <cfRule type="cellIs" dxfId="11843" priority="11775" stopIfTrue="1" operator="greaterThan">
      <formula>0</formula>
    </cfRule>
  </conditionalFormatting>
  <conditionalFormatting sqref="R451">
    <cfRule type="cellIs" dxfId="11842" priority="11774" stopIfTrue="1" operator="greaterThan">
      <formula>0</formula>
    </cfRule>
  </conditionalFormatting>
  <conditionalFormatting sqref="R452">
    <cfRule type="cellIs" dxfId="11841" priority="11773" stopIfTrue="1" operator="greaterThan">
      <formula>0</formula>
    </cfRule>
  </conditionalFormatting>
  <conditionalFormatting sqref="W443:X443">
    <cfRule type="cellIs" dxfId="11840" priority="11772" stopIfTrue="1" operator="equal">
      <formula>"NO APLICA"</formula>
    </cfRule>
  </conditionalFormatting>
  <conditionalFormatting sqref="W444:X447">
    <cfRule type="cellIs" dxfId="11839" priority="11771" stopIfTrue="1" operator="equal">
      <formula>"NO APLICA"</formula>
    </cfRule>
  </conditionalFormatting>
  <conditionalFormatting sqref="W444:X444">
    <cfRule type="cellIs" dxfId="11838" priority="11770" stopIfTrue="1" operator="equal">
      <formula>"NO APLICA"</formula>
    </cfRule>
  </conditionalFormatting>
  <conditionalFormatting sqref="Y443">
    <cfRule type="cellIs" dxfId="11837" priority="11769" stopIfTrue="1" operator="equal">
      <formula>"NO APLICA"</formula>
    </cfRule>
  </conditionalFormatting>
  <conditionalFormatting sqref="Y444:Y447">
    <cfRule type="cellIs" dxfId="11836" priority="11768" stopIfTrue="1" operator="equal">
      <formula>"NO APLICA"</formula>
    </cfRule>
  </conditionalFormatting>
  <conditionalFormatting sqref="W448:X451">
    <cfRule type="cellIs" dxfId="11835" priority="11767" stopIfTrue="1" operator="equal">
      <formula>"NO APLICA"</formula>
    </cfRule>
  </conditionalFormatting>
  <conditionalFormatting sqref="W448:X448">
    <cfRule type="cellIs" dxfId="11834" priority="11766" stopIfTrue="1" operator="equal">
      <formula>"NO APLICA"</formula>
    </cfRule>
  </conditionalFormatting>
  <conditionalFormatting sqref="Y448:Y451">
    <cfRule type="cellIs" dxfId="11833" priority="11765" stopIfTrue="1" operator="equal">
      <formula>"NO APLICA"</formula>
    </cfRule>
  </conditionalFormatting>
  <conditionalFormatting sqref="T457">
    <cfRule type="cellIs" dxfId="11832" priority="11763" operator="equal">
      <formula>"CUMPLE"</formula>
    </cfRule>
    <cfRule type="cellIs" dxfId="11831" priority="11764" operator="equal">
      <formula>"NO CUMPLE"</formula>
    </cfRule>
  </conditionalFormatting>
  <conditionalFormatting sqref="T457:T459">
    <cfRule type="cellIs" dxfId="11830" priority="11762" operator="equal">
      <formula>"VERIFICAR"</formula>
    </cfRule>
  </conditionalFormatting>
  <conditionalFormatting sqref="AD443:AF447">
    <cfRule type="cellIs" dxfId="11829" priority="11760" stopIfTrue="1" operator="equal">
      <formula>"NO"</formula>
    </cfRule>
    <cfRule type="cellIs" dxfId="11828" priority="11761" stopIfTrue="1" operator="equal">
      <formula>"SI"</formula>
    </cfRule>
  </conditionalFormatting>
  <conditionalFormatting sqref="AD448:AF451">
    <cfRule type="cellIs" dxfId="11827" priority="11758" stopIfTrue="1" operator="equal">
      <formula>"NO"</formula>
    </cfRule>
    <cfRule type="cellIs" dxfId="11826" priority="11759" stopIfTrue="1" operator="equal">
      <formula>"SI"</formula>
    </cfRule>
  </conditionalFormatting>
  <conditionalFormatting sqref="W452:Y452">
    <cfRule type="cellIs" dxfId="11825" priority="11756" stopIfTrue="1" operator="equal">
      <formula>"NO"</formula>
    </cfRule>
    <cfRule type="cellIs" dxfId="11824" priority="11757" stopIfTrue="1" operator="equal">
      <formula>"SI"</formula>
    </cfRule>
  </conditionalFormatting>
  <conditionalFormatting sqref="W452:X452">
    <cfRule type="cellIs" dxfId="11823" priority="11755" stopIfTrue="1" operator="equal">
      <formula>"NO APLICA"</formula>
    </cfRule>
  </conditionalFormatting>
  <conditionalFormatting sqref="Y452">
    <cfRule type="cellIs" dxfId="11822" priority="11754" stopIfTrue="1" operator="equal">
      <formula>"NO APLICA"</formula>
    </cfRule>
  </conditionalFormatting>
  <conditionalFormatting sqref="AD452:AF452">
    <cfRule type="cellIs" dxfId="11821" priority="11752" stopIfTrue="1" operator="equal">
      <formula>"NO"</formula>
    </cfRule>
    <cfRule type="cellIs" dxfId="11820" priority="11753" stopIfTrue="1" operator="equal">
      <formula>"SI"</formula>
    </cfRule>
  </conditionalFormatting>
  <conditionalFormatting sqref="AE457">
    <cfRule type="cellIs" dxfId="11819" priority="11749" stopIfTrue="1" operator="equal">
      <formula>"VERIFICAR"</formula>
    </cfRule>
    <cfRule type="cellIs" dxfId="11818" priority="11750" stopIfTrue="1" operator="equal">
      <formula>"NO CUMPLE"</formula>
    </cfRule>
    <cfRule type="cellIs" dxfId="11817" priority="11751" stopIfTrue="1" operator="equal">
      <formula>"CUMPLE"</formula>
    </cfRule>
  </conditionalFormatting>
  <conditionalFormatting sqref="AF457">
    <cfRule type="cellIs" dxfId="11816" priority="11746" stopIfTrue="1" operator="equal">
      <formula>"VERIFICAR"</formula>
    </cfRule>
    <cfRule type="cellIs" dxfId="11815" priority="11747" stopIfTrue="1" operator="equal">
      <formula>"NO CUMPLE"</formula>
    </cfRule>
    <cfRule type="cellIs" dxfId="11814" priority="11748" stopIfTrue="1" operator="equal">
      <formula>"CUMPLE"</formula>
    </cfRule>
  </conditionalFormatting>
  <conditionalFormatting sqref="Y460">
    <cfRule type="cellIs" dxfId="11813" priority="11745" operator="equal">
      <formula>"VERIFICAR CUADRO"</formula>
    </cfRule>
  </conditionalFormatting>
  <conditionalFormatting sqref="AC461:AC466">
    <cfRule type="cellIs" dxfId="11812" priority="11744" stopIfTrue="1" operator="greaterThan">
      <formula>0</formula>
    </cfRule>
  </conditionalFormatting>
  <conditionalFormatting sqref="AC461:AC466">
    <cfRule type="cellIs" dxfId="11811" priority="11743" stopIfTrue="1" operator="greaterThan">
      <formula>0</formula>
    </cfRule>
  </conditionalFormatting>
  <conditionalFormatting sqref="AD461:AD466">
    <cfRule type="containsText" dxfId="11810" priority="11741" stopIfTrue="1" operator="containsText" text="NO CUMPLE">
      <formula>NOT(ISERROR(SEARCH("NO CUMPLE",AD461)))</formula>
    </cfRule>
    <cfRule type="containsText" dxfId="11809" priority="11742" stopIfTrue="1" operator="containsText" text="CUMPLE">
      <formula>NOT(ISERROR(SEARCH("CUMPLE",AD461)))</formula>
    </cfRule>
  </conditionalFormatting>
  <conditionalFormatting sqref="Y466">
    <cfRule type="containsText" dxfId="11808" priority="11739" stopIfTrue="1" operator="containsText" text="NO CUMPLE">
      <formula>NOT(ISERROR(SEARCH("NO CUMPLE",Y466)))</formula>
    </cfRule>
    <cfRule type="containsText" dxfId="11807" priority="11740" stopIfTrue="1" operator="containsText" text="CUMPLE">
      <formula>NOT(ISERROR(SEARCH("CUMPLE",Y466)))</formula>
    </cfRule>
  </conditionalFormatting>
  <conditionalFormatting sqref="AA443:AA452">
    <cfRule type="cellIs" dxfId="11806" priority="11737" stopIfTrue="1" operator="equal">
      <formula>"NO APLICA"</formula>
    </cfRule>
    <cfRule type="cellIs" dxfId="11805" priority="11738" stopIfTrue="1" operator="equal">
      <formula>"TERCIARIA"</formula>
    </cfRule>
  </conditionalFormatting>
  <conditionalFormatting sqref="AB443:AB452">
    <cfRule type="cellIs" dxfId="11804" priority="11735" stopIfTrue="1" operator="equal">
      <formula>"N/A"</formula>
    </cfRule>
    <cfRule type="cellIs" dxfId="11803" priority="11736" stopIfTrue="1" operator="equal">
      <formula>"NO"</formula>
    </cfRule>
  </conditionalFormatting>
  <conditionalFormatting sqref="M473:M482">
    <cfRule type="cellIs" dxfId="11802" priority="11734" stopIfTrue="1" operator="lessThan">
      <formula>0</formula>
    </cfRule>
  </conditionalFormatting>
  <conditionalFormatting sqref="C475:D481 B474:B481 F475:I481 C474:I474 B482:O482 B473:R473 Q474:R475 J474:O481 Q476:Q482 P474:P482">
    <cfRule type="cellIs" dxfId="11801" priority="11733" stopIfTrue="1" operator="greaterThan">
      <formula>0</formula>
    </cfRule>
  </conditionalFormatting>
  <conditionalFormatting sqref="C475:D481">
    <cfRule type="cellIs" dxfId="11800" priority="11732" stopIfTrue="1" operator="greaterThan">
      <formula>0</formula>
    </cfRule>
  </conditionalFormatting>
  <conditionalFormatting sqref="C473:M473 C475:D481 F475:I481 C474:I474 K474:M481 J474:J482 L482:M482">
    <cfRule type="cellIs" dxfId="11799" priority="11731" stopIfTrue="1" operator="greaterThan">
      <formula>0</formula>
    </cfRule>
  </conditionalFormatting>
  <conditionalFormatting sqref="M473:M482">
    <cfRule type="cellIs" dxfId="11798" priority="11730" stopIfTrue="1" operator="lessThan">
      <formula>0</formula>
    </cfRule>
  </conditionalFormatting>
  <conditionalFormatting sqref="J474:J482 L474:O482 C473:O473">
    <cfRule type="cellIs" dxfId="11797" priority="11729" stopIfTrue="1" operator="greaterThan">
      <formula>0</formula>
    </cfRule>
  </conditionalFormatting>
  <conditionalFormatting sqref="H475:I481 K475:M482">
    <cfRule type="cellIs" dxfId="11796" priority="11728" stopIfTrue="1" operator="greaterThan">
      <formula>0</formula>
    </cfRule>
  </conditionalFormatting>
  <conditionalFormatting sqref="I474">
    <cfRule type="cellIs" dxfId="11795" priority="11727" stopIfTrue="1" operator="greaterThan">
      <formula>0</formula>
    </cfRule>
  </conditionalFormatting>
  <conditionalFormatting sqref="I482">
    <cfRule type="cellIs" dxfId="11794" priority="11726" stopIfTrue="1" operator="greaterThan">
      <formula>0</formula>
    </cfRule>
  </conditionalFormatting>
  <conditionalFormatting sqref="E475:E481">
    <cfRule type="cellIs" dxfId="11793" priority="11725" stopIfTrue="1" operator="greaterThan">
      <formula>0</formula>
    </cfRule>
  </conditionalFormatting>
  <conditionalFormatting sqref="K490:K495">
    <cfRule type="containsText" dxfId="11792" priority="11723" stopIfTrue="1" operator="containsText" text="NO CUMPLE">
      <formula>NOT(ISERROR(SEARCH("NO CUMPLE",K490)))</formula>
    </cfRule>
    <cfRule type="containsText" dxfId="11791" priority="11724" stopIfTrue="1" operator="containsText" text="CUMPLE">
      <formula>NOT(ISERROR(SEARCH("CUMPLE",K490)))</formula>
    </cfRule>
  </conditionalFormatting>
  <conditionalFormatting sqref="K496">
    <cfRule type="containsText" dxfId="11790" priority="11721" stopIfTrue="1" operator="containsText" text="NO CUMPLE">
      <formula>NOT(ISERROR(SEARCH("NO CUMPLE",K496)))</formula>
    </cfRule>
    <cfRule type="containsText" dxfId="11789" priority="11722" stopIfTrue="1" operator="containsText" text="CUMPLE">
      <formula>NOT(ISERROR(SEARCH("CUMPLE",K496)))</formula>
    </cfRule>
  </conditionalFormatting>
  <conditionalFormatting sqref="Q489">
    <cfRule type="cellIs" dxfId="11788" priority="11719" operator="greaterThanOrEqual">
      <formula>NUMMINCONT</formula>
    </cfRule>
    <cfRule type="cellIs" dxfId="11787" priority="11720" operator="lessThan">
      <formula>NUMMINCONT</formula>
    </cfRule>
  </conditionalFormatting>
  <conditionalFormatting sqref="W473:Y481">
    <cfRule type="cellIs" dxfId="11786" priority="11717" stopIfTrue="1" operator="equal">
      <formula>"NO"</formula>
    </cfRule>
    <cfRule type="cellIs" dxfId="11785" priority="11718" stopIfTrue="1" operator="equal">
      <formula>"SI"</formula>
    </cfRule>
  </conditionalFormatting>
  <conditionalFormatting sqref="R476">
    <cfRule type="cellIs" dxfId="11784" priority="11716" stopIfTrue="1" operator="greaterThan">
      <formula>0</formula>
    </cfRule>
  </conditionalFormatting>
  <conditionalFormatting sqref="R477">
    <cfRule type="cellIs" dxfId="11783" priority="11715" stopIfTrue="1" operator="greaterThan">
      <formula>0</formula>
    </cfRule>
  </conditionalFormatting>
  <conditionalFormatting sqref="R478">
    <cfRule type="cellIs" dxfId="11782" priority="11714" stopIfTrue="1" operator="greaterThan">
      <formula>0</formula>
    </cfRule>
  </conditionalFormatting>
  <conditionalFormatting sqref="R479">
    <cfRule type="cellIs" dxfId="11781" priority="11713" stopIfTrue="1" operator="greaterThan">
      <formula>0</formula>
    </cfRule>
  </conditionalFormatting>
  <conditionalFormatting sqref="R480">
    <cfRule type="cellIs" dxfId="11780" priority="11712" stopIfTrue="1" operator="greaterThan">
      <formula>0</formula>
    </cfRule>
  </conditionalFormatting>
  <conditionalFormatting sqref="R481">
    <cfRule type="cellIs" dxfId="11779" priority="11711" stopIfTrue="1" operator="greaterThan">
      <formula>0</formula>
    </cfRule>
  </conditionalFormatting>
  <conditionalFormatting sqref="R482">
    <cfRule type="cellIs" dxfId="11778" priority="11710" stopIfTrue="1" operator="greaterThan">
      <formula>0</formula>
    </cfRule>
  </conditionalFormatting>
  <conditionalFormatting sqref="W473:X473">
    <cfRule type="cellIs" dxfId="11777" priority="11709" stopIfTrue="1" operator="equal">
      <formula>"NO APLICA"</formula>
    </cfRule>
  </conditionalFormatting>
  <conditionalFormatting sqref="W474:X477">
    <cfRule type="cellIs" dxfId="11776" priority="11708" stopIfTrue="1" operator="equal">
      <formula>"NO APLICA"</formula>
    </cfRule>
  </conditionalFormatting>
  <conditionalFormatting sqref="W474:X474">
    <cfRule type="cellIs" dxfId="11775" priority="11707" stopIfTrue="1" operator="equal">
      <formula>"NO APLICA"</formula>
    </cfRule>
  </conditionalFormatting>
  <conditionalFormatting sqref="Y473">
    <cfRule type="cellIs" dxfId="11774" priority="11706" stopIfTrue="1" operator="equal">
      <formula>"NO APLICA"</formula>
    </cfRule>
  </conditionalFormatting>
  <conditionalFormatting sqref="Y474:Y477">
    <cfRule type="cellIs" dxfId="11773" priority="11705" stopIfTrue="1" operator="equal">
      <formula>"NO APLICA"</formula>
    </cfRule>
  </conditionalFormatting>
  <conditionalFormatting sqref="W478:X481">
    <cfRule type="cellIs" dxfId="11772" priority="11704" stopIfTrue="1" operator="equal">
      <formula>"NO APLICA"</formula>
    </cfRule>
  </conditionalFormatting>
  <conditionalFormatting sqref="W478:X478">
    <cfRule type="cellIs" dxfId="11771" priority="11703" stopIfTrue="1" operator="equal">
      <formula>"NO APLICA"</formula>
    </cfRule>
  </conditionalFormatting>
  <conditionalFormatting sqref="Y478:Y481">
    <cfRule type="cellIs" dxfId="11770" priority="11702" stopIfTrue="1" operator="equal">
      <formula>"NO APLICA"</formula>
    </cfRule>
  </conditionalFormatting>
  <conditionalFormatting sqref="T487">
    <cfRule type="cellIs" dxfId="11769" priority="11700" operator="equal">
      <formula>"CUMPLE"</formula>
    </cfRule>
    <cfRule type="cellIs" dxfId="11768" priority="11701" operator="equal">
      <formula>"NO CUMPLE"</formula>
    </cfRule>
  </conditionalFormatting>
  <conditionalFormatting sqref="T487:T489">
    <cfRule type="cellIs" dxfId="11767" priority="11699" operator="equal">
      <formula>"VERIFICAR"</formula>
    </cfRule>
  </conditionalFormatting>
  <conditionalFormatting sqref="AD473:AF477">
    <cfRule type="cellIs" dxfId="11766" priority="11697" stopIfTrue="1" operator="equal">
      <formula>"NO"</formula>
    </cfRule>
    <cfRule type="cellIs" dxfId="11765" priority="11698" stopIfTrue="1" operator="equal">
      <formula>"SI"</formula>
    </cfRule>
  </conditionalFormatting>
  <conditionalFormatting sqref="AD478:AF481">
    <cfRule type="cellIs" dxfId="11764" priority="11695" stopIfTrue="1" operator="equal">
      <formula>"NO"</formula>
    </cfRule>
    <cfRule type="cellIs" dxfId="11763" priority="11696" stopIfTrue="1" operator="equal">
      <formula>"SI"</formula>
    </cfRule>
  </conditionalFormatting>
  <conditionalFormatting sqref="W482:Y482">
    <cfRule type="cellIs" dxfId="11762" priority="11693" stopIfTrue="1" operator="equal">
      <formula>"NO"</formula>
    </cfRule>
    <cfRule type="cellIs" dxfId="11761" priority="11694" stopIfTrue="1" operator="equal">
      <formula>"SI"</formula>
    </cfRule>
  </conditionalFormatting>
  <conditionalFormatting sqref="W482:X482">
    <cfRule type="cellIs" dxfId="11760" priority="11692" stopIfTrue="1" operator="equal">
      <formula>"NO APLICA"</formula>
    </cfRule>
  </conditionalFormatting>
  <conditionalFormatting sqref="Y482">
    <cfRule type="cellIs" dxfId="11759" priority="11691" stopIfTrue="1" operator="equal">
      <formula>"NO APLICA"</formula>
    </cfRule>
  </conditionalFormatting>
  <conditionalFormatting sqref="AD482:AF482">
    <cfRule type="cellIs" dxfId="11758" priority="11689" stopIfTrue="1" operator="equal">
      <formula>"NO"</formula>
    </cfRule>
    <cfRule type="cellIs" dxfId="11757" priority="11690" stopIfTrue="1" operator="equal">
      <formula>"SI"</formula>
    </cfRule>
  </conditionalFormatting>
  <conditionalFormatting sqref="AE487">
    <cfRule type="cellIs" dxfId="11756" priority="11686" stopIfTrue="1" operator="equal">
      <formula>"VERIFICAR"</formula>
    </cfRule>
    <cfRule type="cellIs" dxfId="11755" priority="11687" stopIfTrue="1" operator="equal">
      <formula>"NO CUMPLE"</formula>
    </cfRule>
    <cfRule type="cellIs" dxfId="11754" priority="11688" stopIfTrue="1" operator="equal">
      <formula>"CUMPLE"</formula>
    </cfRule>
  </conditionalFormatting>
  <conditionalFormatting sqref="AF487">
    <cfRule type="cellIs" dxfId="11753" priority="11683" stopIfTrue="1" operator="equal">
      <formula>"VERIFICAR"</formula>
    </cfRule>
    <cfRule type="cellIs" dxfId="11752" priority="11684" stopIfTrue="1" operator="equal">
      <formula>"NO CUMPLE"</formula>
    </cfRule>
    <cfRule type="cellIs" dxfId="11751" priority="11685" stopIfTrue="1" operator="equal">
      <formula>"CUMPLE"</formula>
    </cfRule>
  </conditionalFormatting>
  <conditionalFormatting sqref="Y490">
    <cfRule type="cellIs" dxfId="11750" priority="11682" operator="equal">
      <formula>"VERIFICAR CUADRO"</formula>
    </cfRule>
  </conditionalFormatting>
  <conditionalFormatting sqref="AC491:AC496">
    <cfRule type="cellIs" dxfId="11749" priority="11681" stopIfTrue="1" operator="greaterThan">
      <formula>0</formula>
    </cfRule>
  </conditionalFormatting>
  <conditionalFormatting sqref="AC491:AC496">
    <cfRule type="cellIs" dxfId="11748" priority="11680" stopIfTrue="1" operator="greaterThan">
      <formula>0</formula>
    </cfRule>
  </conditionalFormatting>
  <conditionalFormatting sqref="AD491:AD496">
    <cfRule type="containsText" dxfId="11747" priority="11678" stopIfTrue="1" operator="containsText" text="NO CUMPLE">
      <formula>NOT(ISERROR(SEARCH("NO CUMPLE",AD491)))</formula>
    </cfRule>
    <cfRule type="containsText" dxfId="11746" priority="11679" stopIfTrue="1" operator="containsText" text="CUMPLE">
      <formula>NOT(ISERROR(SEARCH("CUMPLE",AD491)))</formula>
    </cfRule>
  </conditionalFormatting>
  <conditionalFormatting sqref="Y496">
    <cfRule type="containsText" dxfId="11745" priority="11676" stopIfTrue="1" operator="containsText" text="NO CUMPLE">
      <formula>NOT(ISERROR(SEARCH("NO CUMPLE",Y496)))</formula>
    </cfRule>
    <cfRule type="containsText" dxfId="11744" priority="11677" stopIfTrue="1" operator="containsText" text="CUMPLE">
      <formula>NOT(ISERROR(SEARCH("CUMPLE",Y496)))</formula>
    </cfRule>
  </conditionalFormatting>
  <conditionalFormatting sqref="AA473:AA482">
    <cfRule type="cellIs" dxfId="11743" priority="11674" stopIfTrue="1" operator="equal">
      <formula>"NO APLICA"</formula>
    </cfRule>
    <cfRule type="cellIs" dxfId="11742" priority="11675" stopIfTrue="1" operator="equal">
      <formula>"TERCIARIA"</formula>
    </cfRule>
  </conditionalFormatting>
  <conditionalFormatting sqref="AB473:AB482">
    <cfRule type="cellIs" dxfId="11741" priority="11672" stopIfTrue="1" operator="equal">
      <formula>"N/A"</formula>
    </cfRule>
    <cfRule type="cellIs" dxfId="11740" priority="11673" stopIfTrue="1" operator="equal">
      <formula>"NO"</formula>
    </cfRule>
  </conditionalFormatting>
  <conditionalFormatting sqref="M503:M512">
    <cfRule type="cellIs" dxfId="11739" priority="11671" stopIfTrue="1" operator="lessThan">
      <formula>0</formula>
    </cfRule>
  </conditionalFormatting>
  <conditionalFormatting sqref="C505:D511 B504:B511 F505:I511 C504:I504 B512:O512 B503:R503 Q504:R505 J504:O511 Q506:Q512 P504:P512">
    <cfRule type="cellIs" dxfId="11738" priority="11670" stopIfTrue="1" operator="greaterThan">
      <formula>0</formula>
    </cfRule>
  </conditionalFormatting>
  <conditionalFormatting sqref="C505:D511">
    <cfRule type="cellIs" dxfId="11737" priority="11669" stopIfTrue="1" operator="greaterThan">
      <formula>0</formula>
    </cfRule>
  </conditionalFormatting>
  <conditionalFormatting sqref="C503:M503 C505:D511 F505:I511 C504:I504 K504:M511 J504:J512 L512:M512">
    <cfRule type="cellIs" dxfId="11736" priority="11668" stopIfTrue="1" operator="greaterThan">
      <formula>0</formula>
    </cfRule>
  </conditionalFormatting>
  <conditionalFormatting sqref="M503:M512">
    <cfRule type="cellIs" dxfId="11735" priority="11667" stopIfTrue="1" operator="lessThan">
      <formula>0</formula>
    </cfRule>
  </conditionalFormatting>
  <conditionalFormatting sqref="J504:J512 L504:O512 C503:O503">
    <cfRule type="cellIs" dxfId="11734" priority="11666" stopIfTrue="1" operator="greaterThan">
      <formula>0</formula>
    </cfRule>
  </conditionalFormatting>
  <conditionalFormatting sqref="H505:I511 K505:M512">
    <cfRule type="cellIs" dxfId="11733" priority="11665" stopIfTrue="1" operator="greaterThan">
      <formula>0</formula>
    </cfRule>
  </conditionalFormatting>
  <conditionalFormatting sqref="I504">
    <cfRule type="cellIs" dxfId="11732" priority="11664" stopIfTrue="1" operator="greaterThan">
      <formula>0</formula>
    </cfRule>
  </conditionalFormatting>
  <conditionalFormatting sqref="I512">
    <cfRule type="cellIs" dxfId="11731" priority="11663" stopIfTrue="1" operator="greaterThan">
      <formula>0</formula>
    </cfRule>
  </conditionalFormatting>
  <conditionalFormatting sqref="E505:E511">
    <cfRule type="cellIs" dxfId="11730" priority="11662" stopIfTrue="1" operator="greaterThan">
      <formula>0</formula>
    </cfRule>
  </conditionalFormatting>
  <conditionalFormatting sqref="K520:K525">
    <cfRule type="containsText" dxfId="11729" priority="11660" stopIfTrue="1" operator="containsText" text="NO CUMPLE">
      <formula>NOT(ISERROR(SEARCH("NO CUMPLE",K520)))</formula>
    </cfRule>
    <cfRule type="containsText" dxfId="11728" priority="11661" stopIfTrue="1" operator="containsText" text="CUMPLE">
      <formula>NOT(ISERROR(SEARCH("CUMPLE",K520)))</formula>
    </cfRule>
  </conditionalFormatting>
  <conditionalFormatting sqref="K526">
    <cfRule type="containsText" dxfId="11727" priority="11658" stopIfTrue="1" operator="containsText" text="NO CUMPLE">
      <formula>NOT(ISERROR(SEARCH("NO CUMPLE",K526)))</formula>
    </cfRule>
    <cfRule type="containsText" dxfId="11726" priority="11659" stopIfTrue="1" operator="containsText" text="CUMPLE">
      <formula>NOT(ISERROR(SEARCH("CUMPLE",K526)))</formula>
    </cfRule>
  </conditionalFormatting>
  <conditionalFormatting sqref="Q519">
    <cfRule type="cellIs" dxfId="11725" priority="11656" operator="greaterThanOrEqual">
      <formula>NUMMINCONT</formula>
    </cfRule>
    <cfRule type="cellIs" dxfId="11724" priority="11657" operator="lessThan">
      <formula>NUMMINCONT</formula>
    </cfRule>
  </conditionalFormatting>
  <conditionalFormatting sqref="W503:Y511">
    <cfRule type="cellIs" dxfId="11723" priority="11654" stopIfTrue="1" operator="equal">
      <formula>"NO"</formula>
    </cfRule>
    <cfRule type="cellIs" dxfId="11722" priority="11655" stopIfTrue="1" operator="equal">
      <formula>"SI"</formula>
    </cfRule>
  </conditionalFormatting>
  <conditionalFormatting sqref="R506">
    <cfRule type="cellIs" dxfId="11721" priority="11653" stopIfTrue="1" operator="greaterThan">
      <formula>0</formula>
    </cfRule>
  </conditionalFormatting>
  <conditionalFormatting sqref="R507">
    <cfRule type="cellIs" dxfId="11720" priority="11652" stopIfTrue="1" operator="greaterThan">
      <formula>0</formula>
    </cfRule>
  </conditionalFormatting>
  <conditionalFormatting sqref="R508">
    <cfRule type="cellIs" dxfId="11719" priority="11651" stopIfTrue="1" operator="greaterThan">
      <formula>0</formula>
    </cfRule>
  </conditionalFormatting>
  <conditionalFormatting sqref="R509">
    <cfRule type="cellIs" dxfId="11718" priority="11650" stopIfTrue="1" operator="greaterThan">
      <formula>0</formula>
    </cfRule>
  </conditionalFormatting>
  <conditionalFormatting sqref="R510">
    <cfRule type="cellIs" dxfId="11717" priority="11649" stopIfTrue="1" operator="greaterThan">
      <formula>0</formula>
    </cfRule>
  </conditionalFormatting>
  <conditionalFormatting sqref="R511">
    <cfRule type="cellIs" dxfId="11716" priority="11648" stopIfTrue="1" operator="greaterThan">
      <formula>0</formula>
    </cfRule>
  </conditionalFormatting>
  <conditionalFormatting sqref="R512">
    <cfRule type="cellIs" dxfId="11715" priority="11647" stopIfTrue="1" operator="greaterThan">
      <formula>0</formula>
    </cfRule>
  </conditionalFormatting>
  <conditionalFormatting sqref="W503:X503">
    <cfRule type="cellIs" dxfId="11714" priority="11646" stopIfTrue="1" operator="equal">
      <formula>"NO APLICA"</formula>
    </cfRule>
  </conditionalFormatting>
  <conditionalFormatting sqref="W504:X507">
    <cfRule type="cellIs" dxfId="11713" priority="11645" stopIfTrue="1" operator="equal">
      <formula>"NO APLICA"</formula>
    </cfRule>
  </conditionalFormatting>
  <conditionalFormatting sqref="W504:X504">
    <cfRule type="cellIs" dxfId="11712" priority="11644" stopIfTrue="1" operator="equal">
      <formula>"NO APLICA"</formula>
    </cfRule>
  </conditionalFormatting>
  <conditionalFormatting sqref="Y503">
    <cfRule type="cellIs" dxfId="11711" priority="11643" stopIfTrue="1" operator="equal">
      <formula>"NO APLICA"</formula>
    </cfRule>
  </conditionalFormatting>
  <conditionalFormatting sqref="Y504:Y507">
    <cfRule type="cellIs" dxfId="11710" priority="11642" stopIfTrue="1" operator="equal">
      <formula>"NO APLICA"</formula>
    </cfRule>
  </conditionalFormatting>
  <conditionalFormatting sqref="W508:X511">
    <cfRule type="cellIs" dxfId="11709" priority="11641" stopIfTrue="1" operator="equal">
      <formula>"NO APLICA"</formula>
    </cfRule>
  </conditionalFormatting>
  <conditionalFormatting sqref="W508:X508">
    <cfRule type="cellIs" dxfId="11708" priority="11640" stopIfTrue="1" operator="equal">
      <formula>"NO APLICA"</formula>
    </cfRule>
  </conditionalFormatting>
  <conditionalFormatting sqref="Y508:Y511">
    <cfRule type="cellIs" dxfId="11707" priority="11639" stopIfTrue="1" operator="equal">
      <formula>"NO APLICA"</formula>
    </cfRule>
  </conditionalFormatting>
  <conditionalFormatting sqref="T517">
    <cfRule type="cellIs" dxfId="11706" priority="11637" operator="equal">
      <formula>"CUMPLE"</formula>
    </cfRule>
    <cfRule type="cellIs" dxfId="11705" priority="11638" operator="equal">
      <formula>"NO CUMPLE"</formula>
    </cfRule>
  </conditionalFormatting>
  <conditionalFormatting sqref="T517:T519">
    <cfRule type="cellIs" dxfId="11704" priority="11636" operator="equal">
      <formula>"VERIFICAR"</formula>
    </cfRule>
  </conditionalFormatting>
  <conditionalFormatting sqref="AD503:AF507">
    <cfRule type="cellIs" dxfId="11703" priority="11634" stopIfTrue="1" operator="equal">
      <formula>"NO"</formula>
    </cfRule>
    <cfRule type="cellIs" dxfId="11702" priority="11635" stopIfTrue="1" operator="equal">
      <formula>"SI"</formula>
    </cfRule>
  </conditionalFormatting>
  <conditionalFormatting sqref="AD508:AF511">
    <cfRule type="cellIs" dxfId="11701" priority="11632" stopIfTrue="1" operator="equal">
      <formula>"NO"</formula>
    </cfRule>
    <cfRule type="cellIs" dxfId="11700" priority="11633" stopIfTrue="1" operator="equal">
      <formula>"SI"</formula>
    </cfRule>
  </conditionalFormatting>
  <conditionalFormatting sqref="W512:Y512">
    <cfRule type="cellIs" dxfId="11699" priority="11630" stopIfTrue="1" operator="equal">
      <formula>"NO"</formula>
    </cfRule>
    <cfRule type="cellIs" dxfId="11698" priority="11631" stopIfTrue="1" operator="equal">
      <formula>"SI"</formula>
    </cfRule>
  </conditionalFormatting>
  <conditionalFormatting sqref="W512:X512">
    <cfRule type="cellIs" dxfId="11697" priority="11629" stopIfTrue="1" operator="equal">
      <formula>"NO APLICA"</formula>
    </cfRule>
  </conditionalFormatting>
  <conditionalFormatting sqref="Y512">
    <cfRule type="cellIs" dxfId="11696" priority="11628" stopIfTrue="1" operator="equal">
      <formula>"NO APLICA"</formula>
    </cfRule>
  </conditionalFormatting>
  <conditionalFormatting sqref="AD512:AF512">
    <cfRule type="cellIs" dxfId="11695" priority="11626" stopIfTrue="1" operator="equal">
      <formula>"NO"</formula>
    </cfRule>
    <cfRule type="cellIs" dxfId="11694" priority="11627" stopIfTrue="1" operator="equal">
      <formula>"SI"</formula>
    </cfRule>
  </conditionalFormatting>
  <conditionalFormatting sqref="AE517">
    <cfRule type="cellIs" dxfId="11693" priority="11623" stopIfTrue="1" operator="equal">
      <formula>"VERIFICAR"</formula>
    </cfRule>
    <cfRule type="cellIs" dxfId="11692" priority="11624" stopIfTrue="1" operator="equal">
      <formula>"NO CUMPLE"</formula>
    </cfRule>
    <cfRule type="cellIs" dxfId="11691" priority="11625" stopIfTrue="1" operator="equal">
      <formula>"CUMPLE"</formula>
    </cfRule>
  </conditionalFormatting>
  <conditionalFormatting sqref="AF517">
    <cfRule type="cellIs" dxfId="11690" priority="11620" stopIfTrue="1" operator="equal">
      <formula>"VERIFICAR"</formula>
    </cfRule>
    <cfRule type="cellIs" dxfId="11689" priority="11621" stopIfTrue="1" operator="equal">
      <formula>"NO CUMPLE"</formula>
    </cfRule>
    <cfRule type="cellIs" dxfId="11688" priority="11622" stopIfTrue="1" operator="equal">
      <formula>"CUMPLE"</formula>
    </cfRule>
  </conditionalFormatting>
  <conditionalFormatting sqref="Y520">
    <cfRule type="cellIs" dxfId="11687" priority="11619" operator="equal">
      <formula>"VERIFICAR CUADRO"</formula>
    </cfRule>
  </conditionalFormatting>
  <conditionalFormatting sqref="AC521:AC526">
    <cfRule type="cellIs" dxfId="11686" priority="11618" stopIfTrue="1" operator="greaterThan">
      <formula>0</formula>
    </cfRule>
  </conditionalFormatting>
  <conditionalFormatting sqref="AC521:AC526">
    <cfRule type="cellIs" dxfId="11685" priority="11617" stopIfTrue="1" operator="greaterThan">
      <formula>0</formula>
    </cfRule>
  </conditionalFormatting>
  <conditionalFormatting sqref="AD521:AD526">
    <cfRule type="containsText" dxfId="11684" priority="11615" stopIfTrue="1" operator="containsText" text="NO CUMPLE">
      <formula>NOT(ISERROR(SEARCH("NO CUMPLE",AD521)))</formula>
    </cfRule>
    <cfRule type="containsText" dxfId="11683" priority="11616" stopIfTrue="1" operator="containsText" text="CUMPLE">
      <formula>NOT(ISERROR(SEARCH("CUMPLE",AD521)))</formula>
    </cfRule>
  </conditionalFormatting>
  <conditionalFormatting sqref="Y526">
    <cfRule type="containsText" dxfId="11682" priority="11613" stopIfTrue="1" operator="containsText" text="NO CUMPLE">
      <formula>NOT(ISERROR(SEARCH("NO CUMPLE",Y526)))</formula>
    </cfRule>
    <cfRule type="containsText" dxfId="11681" priority="11614" stopIfTrue="1" operator="containsText" text="CUMPLE">
      <formula>NOT(ISERROR(SEARCH("CUMPLE",Y526)))</formula>
    </cfRule>
  </conditionalFormatting>
  <conditionalFormatting sqref="AA503:AA512">
    <cfRule type="cellIs" dxfId="11680" priority="11611" stopIfTrue="1" operator="equal">
      <formula>"NO APLICA"</formula>
    </cfRule>
    <cfRule type="cellIs" dxfId="11679" priority="11612" stopIfTrue="1" operator="equal">
      <formula>"TERCIARIA"</formula>
    </cfRule>
  </conditionalFormatting>
  <conditionalFormatting sqref="AB503:AB512">
    <cfRule type="cellIs" dxfId="11678" priority="11609" stopIfTrue="1" operator="equal">
      <formula>"N/A"</formula>
    </cfRule>
    <cfRule type="cellIs" dxfId="11677" priority="11610" stopIfTrue="1" operator="equal">
      <formula>"NO"</formula>
    </cfRule>
  </conditionalFormatting>
  <conditionalFormatting sqref="M533:M542">
    <cfRule type="cellIs" dxfId="11676" priority="11608" stopIfTrue="1" operator="lessThan">
      <formula>0</formula>
    </cfRule>
  </conditionalFormatting>
  <conditionalFormatting sqref="C535:D541 B534:B541 F535:I541 C534:I534 B542:O542 B533:R533 Q534:R535 J534:O541 Q536:Q542 P534:P542">
    <cfRule type="cellIs" dxfId="11675" priority="11607" stopIfTrue="1" operator="greaterThan">
      <formula>0</formula>
    </cfRule>
  </conditionalFormatting>
  <conditionalFormatting sqref="C535:D541">
    <cfRule type="cellIs" dxfId="11674" priority="11606" stopIfTrue="1" operator="greaterThan">
      <formula>0</formula>
    </cfRule>
  </conditionalFormatting>
  <conditionalFormatting sqref="C533:M533 C535:D541 F535:I541 C534:I534 K534:M541 J534:J542 L542:M542">
    <cfRule type="cellIs" dxfId="11673" priority="11605" stopIfTrue="1" operator="greaterThan">
      <formula>0</formula>
    </cfRule>
  </conditionalFormatting>
  <conditionalFormatting sqref="M533:M542">
    <cfRule type="cellIs" dxfId="11672" priority="11604" stopIfTrue="1" operator="lessThan">
      <formula>0</formula>
    </cfRule>
  </conditionalFormatting>
  <conditionalFormatting sqref="J534:J542 L534:O542 C533:O533">
    <cfRule type="cellIs" dxfId="11671" priority="11603" stopIfTrue="1" operator="greaterThan">
      <formula>0</formula>
    </cfRule>
  </conditionalFormatting>
  <conditionalFormatting sqref="H535:I541 K535:M542">
    <cfRule type="cellIs" dxfId="11670" priority="11602" stopIfTrue="1" operator="greaterThan">
      <formula>0</formula>
    </cfRule>
  </conditionalFormatting>
  <conditionalFormatting sqref="I534">
    <cfRule type="cellIs" dxfId="11669" priority="11601" stopIfTrue="1" operator="greaterThan">
      <formula>0</formula>
    </cfRule>
  </conditionalFormatting>
  <conditionalFormatting sqref="I542">
    <cfRule type="cellIs" dxfId="11668" priority="11600" stopIfTrue="1" operator="greaterThan">
      <formula>0</formula>
    </cfRule>
  </conditionalFormatting>
  <conditionalFormatting sqref="E535:E541">
    <cfRule type="cellIs" dxfId="11667" priority="11599" stopIfTrue="1" operator="greaterThan">
      <formula>0</formula>
    </cfRule>
  </conditionalFormatting>
  <conditionalFormatting sqref="K550:K555">
    <cfRule type="containsText" dxfId="11666" priority="11597" stopIfTrue="1" operator="containsText" text="NO CUMPLE">
      <formula>NOT(ISERROR(SEARCH("NO CUMPLE",K550)))</formula>
    </cfRule>
    <cfRule type="containsText" dxfId="11665" priority="11598" stopIfTrue="1" operator="containsText" text="CUMPLE">
      <formula>NOT(ISERROR(SEARCH("CUMPLE",K550)))</formula>
    </cfRule>
  </conditionalFormatting>
  <conditionalFormatting sqref="K556">
    <cfRule type="containsText" dxfId="11664" priority="11595" stopIfTrue="1" operator="containsText" text="NO CUMPLE">
      <formula>NOT(ISERROR(SEARCH("NO CUMPLE",K556)))</formula>
    </cfRule>
    <cfRule type="containsText" dxfId="11663" priority="11596" stopIfTrue="1" operator="containsText" text="CUMPLE">
      <formula>NOT(ISERROR(SEARCH("CUMPLE",K556)))</formula>
    </cfRule>
  </conditionalFormatting>
  <conditionalFormatting sqref="Q549">
    <cfRule type="cellIs" dxfId="11662" priority="11593" operator="greaterThanOrEqual">
      <formula>NUMMINCONT</formula>
    </cfRule>
    <cfRule type="cellIs" dxfId="11661" priority="11594" operator="lessThan">
      <formula>NUMMINCONT</formula>
    </cfRule>
  </conditionalFormatting>
  <conditionalFormatting sqref="W533:Y541">
    <cfRule type="cellIs" dxfId="11660" priority="11591" stopIfTrue="1" operator="equal">
      <formula>"NO"</formula>
    </cfRule>
    <cfRule type="cellIs" dxfId="11659" priority="11592" stopIfTrue="1" operator="equal">
      <formula>"SI"</formula>
    </cfRule>
  </conditionalFormatting>
  <conditionalFormatting sqref="R536">
    <cfRule type="cellIs" dxfId="11658" priority="11590" stopIfTrue="1" operator="greaterThan">
      <formula>0</formula>
    </cfRule>
  </conditionalFormatting>
  <conditionalFormatting sqref="R537">
    <cfRule type="cellIs" dxfId="11657" priority="11589" stopIfTrue="1" operator="greaterThan">
      <formula>0</formula>
    </cfRule>
  </conditionalFormatting>
  <conditionalFormatting sqref="R538">
    <cfRule type="cellIs" dxfId="11656" priority="11588" stopIfTrue="1" operator="greaterThan">
      <formula>0</formula>
    </cfRule>
  </conditionalFormatting>
  <conditionalFormatting sqref="R539">
    <cfRule type="cellIs" dxfId="11655" priority="11587" stopIfTrue="1" operator="greaterThan">
      <formula>0</formula>
    </cfRule>
  </conditionalFormatting>
  <conditionalFormatting sqref="R540">
    <cfRule type="cellIs" dxfId="11654" priority="11586" stopIfTrue="1" operator="greaterThan">
      <formula>0</formula>
    </cfRule>
  </conditionalFormatting>
  <conditionalFormatting sqref="R541">
    <cfRule type="cellIs" dxfId="11653" priority="11585" stopIfTrue="1" operator="greaterThan">
      <formula>0</formula>
    </cfRule>
  </conditionalFormatting>
  <conditionalFormatting sqref="R542">
    <cfRule type="cellIs" dxfId="11652" priority="11584" stopIfTrue="1" operator="greaterThan">
      <formula>0</formula>
    </cfRule>
  </conditionalFormatting>
  <conditionalFormatting sqref="W533:X533">
    <cfRule type="cellIs" dxfId="11651" priority="11583" stopIfTrue="1" operator="equal">
      <formula>"NO APLICA"</formula>
    </cfRule>
  </conditionalFormatting>
  <conditionalFormatting sqref="W534:X537">
    <cfRule type="cellIs" dxfId="11650" priority="11582" stopIfTrue="1" operator="equal">
      <formula>"NO APLICA"</formula>
    </cfRule>
  </conditionalFormatting>
  <conditionalFormatting sqref="W534:X534">
    <cfRule type="cellIs" dxfId="11649" priority="11581" stopIfTrue="1" operator="equal">
      <formula>"NO APLICA"</formula>
    </cfRule>
  </conditionalFormatting>
  <conditionalFormatting sqref="Y533">
    <cfRule type="cellIs" dxfId="11648" priority="11580" stopIfTrue="1" operator="equal">
      <formula>"NO APLICA"</formula>
    </cfRule>
  </conditionalFormatting>
  <conditionalFormatting sqref="Y534:Y537">
    <cfRule type="cellIs" dxfId="11647" priority="11579" stopIfTrue="1" operator="equal">
      <formula>"NO APLICA"</formula>
    </cfRule>
  </conditionalFormatting>
  <conditionalFormatting sqref="W538:X541">
    <cfRule type="cellIs" dxfId="11646" priority="11578" stopIfTrue="1" operator="equal">
      <formula>"NO APLICA"</formula>
    </cfRule>
  </conditionalFormatting>
  <conditionalFormatting sqref="W538:X538">
    <cfRule type="cellIs" dxfId="11645" priority="11577" stopIfTrue="1" operator="equal">
      <formula>"NO APLICA"</formula>
    </cfRule>
  </conditionalFormatting>
  <conditionalFormatting sqref="Y538:Y541">
    <cfRule type="cellIs" dxfId="11644" priority="11576" stopIfTrue="1" operator="equal">
      <formula>"NO APLICA"</formula>
    </cfRule>
  </conditionalFormatting>
  <conditionalFormatting sqref="T547">
    <cfRule type="cellIs" dxfId="11643" priority="11574" operator="equal">
      <formula>"CUMPLE"</formula>
    </cfRule>
    <cfRule type="cellIs" dxfId="11642" priority="11575" operator="equal">
      <formula>"NO CUMPLE"</formula>
    </cfRule>
  </conditionalFormatting>
  <conditionalFormatting sqref="T547:T549">
    <cfRule type="cellIs" dxfId="11641" priority="11573" operator="equal">
      <formula>"VERIFICAR"</formula>
    </cfRule>
  </conditionalFormatting>
  <conditionalFormatting sqref="AD533:AF537">
    <cfRule type="cellIs" dxfId="11640" priority="11571" stopIfTrue="1" operator="equal">
      <formula>"NO"</formula>
    </cfRule>
    <cfRule type="cellIs" dxfId="11639" priority="11572" stopIfTrue="1" operator="equal">
      <formula>"SI"</formula>
    </cfRule>
  </conditionalFormatting>
  <conditionalFormatting sqref="AD538:AF541">
    <cfRule type="cellIs" dxfId="11638" priority="11569" stopIfTrue="1" operator="equal">
      <formula>"NO"</formula>
    </cfRule>
    <cfRule type="cellIs" dxfId="11637" priority="11570" stopIfTrue="1" operator="equal">
      <formula>"SI"</formula>
    </cfRule>
  </conditionalFormatting>
  <conditionalFormatting sqref="W542:Y542">
    <cfRule type="cellIs" dxfId="11636" priority="11567" stopIfTrue="1" operator="equal">
      <formula>"NO"</formula>
    </cfRule>
    <cfRule type="cellIs" dxfId="11635" priority="11568" stopIfTrue="1" operator="equal">
      <formula>"SI"</formula>
    </cfRule>
  </conditionalFormatting>
  <conditionalFormatting sqref="W542:X542">
    <cfRule type="cellIs" dxfId="11634" priority="11566" stopIfTrue="1" operator="equal">
      <formula>"NO APLICA"</formula>
    </cfRule>
  </conditionalFormatting>
  <conditionalFormatting sqref="Y542">
    <cfRule type="cellIs" dxfId="11633" priority="11565" stopIfTrue="1" operator="equal">
      <formula>"NO APLICA"</formula>
    </cfRule>
  </conditionalFormatting>
  <conditionalFormatting sqref="AD542:AF542">
    <cfRule type="cellIs" dxfId="11632" priority="11563" stopIfTrue="1" operator="equal">
      <formula>"NO"</formula>
    </cfRule>
    <cfRule type="cellIs" dxfId="11631" priority="11564" stopIfTrue="1" operator="equal">
      <formula>"SI"</formula>
    </cfRule>
  </conditionalFormatting>
  <conditionalFormatting sqref="AE547">
    <cfRule type="cellIs" dxfId="11630" priority="11560" stopIfTrue="1" operator="equal">
      <formula>"VERIFICAR"</formula>
    </cfRule>
    <cfRule type="cellIs" dxfId="11629" priority="11561" stopIfTrue="1" operator="equal">
      <formula>"NO CUMPLE"</formula>
    </cfRule>
    <cfRule type="cellIs" dxfId="11628" priority="11562" stopIfTrue="1" operator="equal">
      <formula>"CUMPLE"</formula>
    </cfRule>
  </conditionalFormatting>
  <conditionalFormatting sqref="AF547">
    <cfRule type="cellIs" dxfId="11627" priority="11557" stopIfTrue="1" operator="equal">
      <formula>"VERIFICAR"</formula>
    </cfRule>
    <cfRule type="cellIs" dxfId="11626" priority="11558" stopIfTrue="1" operator="equal">
      <formula>"NO CUMPLE"</formula>
    </cfRule>
    <cfRule type="cellIs" dxfId="11625" priority="11559" stopIfTrue="1" operator="equal">
      <formula>"CUMPLE"</formula>
    </cfRule>
  </conditionalFormatting>
  <conditionalFormatting sqref="Y550">
    <cfRule type="cellIs" dxfId="11624" priority="11556" operator="equal">
      <formula>"VERIFICAR CUADRO"</formula>
    </cfRule>
  </conditionalFormatting>
  <conditionalFormatting sqref="AC551:AC556">
    <cfRule type="cellIs" dxfId="11623" priority="11555" stopIfTrue="1" operator="greaterThan">
      <formula>0</formula>
    </cfRule>
  </conditionalFormatting>
  <conditionalFormatting sqref="AC551:AC556">
    <cfRule type="cellIs" dxfId="11622" priority="11554" stopIfTrue="1" operator="greaterThan">
      <formula>0</formula>
    </cfRule>
  </conditionalFormatting>
  <conditionalFormatting sqref="AD551:AD556">
    <cfRule type="containsText" dxfId="11621" priority="11552" stopIfTrue="1" operator="containsText" text="NO CUMPLE">
      <formula>NOT(ISERROR(SEARCH("NO CUMPLE",AD551)))</formula>
    </cfRule>
    <cfRule type="containsText" dxfId="11620" priority="11553" stopIfTrue="1" operator="containsText" text="CUMPLE">
      <formula>NOT(ISERROR(SEARCH("CUMPLE",AD551)))</formula>
    </cfRule>
  </conditionalFormatting>
  <conditionalFormatting sqref="Y556">
    <cfRule type="containsText" dxfId="11619" priority="11550" stopIfTrue="1" operator="containsText" text="NO CUMPLE">
      <formula>NOT(ISERROR(SEARCH("NO CUMPLE",Y556)))</formula>
    </cfRule>
    <cfRule type="containsText" dxfId="11618" priority="11551" stopIfTrue="1" operator="containsText" text="CUMPLE">
      <formula>NOT(ISERROR(SEARCH("CUMPLE",Y556)))</formula>
    </cfRule>
  </conditionalFormatting>
  <conditionalFormatting sqref="AA533:AA542">
    <cfRule type="cellIs" dxfId="11617" priority="11548" stopIfTrue="1" operator="equal">
      <formula>"NO APLICA"</formula>
    </cfRule>
    <cfRule type="cellIs" dxfId="11616" priority="11549" stopIfTrue="1" operator="equal">
      <formula>"TERCIARIA"</formula>
    </cfRule>
  </conditionalFormatting>
  <conditionalFormatting sqref="AB533:AB542">
    <cfRule type="cellIs" dxfId="11615" priority="11546" stopIfTrue="1" operator="equal">
      <formula>"N/A"</formula>
    </cfRule>
    <cfRule type="cellIs" dxfId="11614" priority="11547" stopIfTrue="1" operator="equal">
      <formula>"NO"</formula>
    </cfRule>
  </conditionalFormatting>
  <conditionalFormatting sqref="M563:M572">
    <cfRule type="cellIs" dxfId="11613" priority="11545" stopIfTrue="1" operator="lessThan">
      <formula>0</formula>
    </cfRule>
  </conditionalFormatting>
  <conditionalFormatting sqref="C565:D571 B564:B571 F565:I571 C564:I564 B572:O572 B563:R563 Q564:R565 J564:O571 Q566:Q572 P564:P572">
    <cfRule type="cellIs" dxfId="11612" priority="11544" stopIfTrue="1" operator="greaterThan">
      <formula>0</formula>
    </cfRule>
  </conditionalFormatting>
  <conditionalFormatting sqref="C565:D571">
    <cfRule type="cellIs" dxfId="11611" priority="11543" stopIfTrue="1" operator="greaterThan">
      <formula>0</formula>
    </cfRule>
  </conditionalFormatting>
  <conditionalFormatting sqref="C563:M563 C565:D571 F565:I571 C564:I564 K564:M571 J564:J572 L572:M572">
    <cfRule type="cellIs" dxfId="11610" priority="11542" stopIfTrue="1" operator="greaterThan">
      <formula>0</formula>
    </cfRule>
  </conditionalFormatting>
  <conditionalFormatting sqref="M563:M572">
    <cfRule type="cellIs" dxfId="11609" priority="11541" stopIfTrue="1" operator="lessThan">
      <formula>0</formula>
    </cfRule>
  </conditionalFormatting>
  <conditionalFormatting sqref="J564:J572 L564:O572 C563:O563">
    <cfRule type="cellIs" dxfId="11608" priority="11540" stopIfTrue="1" operator="greaterThan">
      <formula>0</formula>
    </cfRule>
  </conditionalFormatting>
  <conditionalFormatting sqref="H565:I571 K565:M572">
    <cfRule type="cellIs" dxfId="11607" priority="11539" stopIfTrue="1" operator="greaterThan">
      <formula>0</formula>
    </cfRule>
  </conditionalFormatting>
  <conditionalFormatting sqref="I564">
    <cfRule type="cellIs" dxfId="11606" priority="11538" stopIfTrue="1" operator="greaterThan">
      <formula>0</formula>
    </cfRule>
  </conditionalFormatting>
  <conditionalFormatting sqref="I572">
    <cfRule type="cellIs" dxfId="11605" priority="11537" stopIfTrue="1" operator="greaterThan">
      <formula>0</formula>
    </cfRule>
  </conditionalFormatting>
  <conditionalFormatting sqref="E565:E571">
    <cfRule type="cellIs" dxfId="11604" priority="11536" stopIfTrue="1" operator="greaterThan">
      <formula>0</formula>
    </cfRule>
  </conditionalFormatting>
  <conditionalFormatting sqref="K580:K585">
    <cfRule type="containsText" dxfId="11603" priority="11534" stopIfTrue="1" operator="containsText" text="NO CUMPLE">
      <formula>NOT(ISERROR(SEARCH("NO CUMPLE",K580)))</formula>
    </cfRule>
    <cfRule type="containsText" dxfId="11602" priority="11535" stopIfTrue="1" operator="containsText" text="CUMPLE">
      <formula>NOT(ISERROR(SEARCH("CUMPLE",K580)))</formula>
    </cfRule>
  </conditionalFormatting>
  <conditionalFormatting sqref="K586">
    <cfRule type="containsText" dxfId="11601" priority="11532" stopIfTrue="1" operator="containsText" text="NO CUMPLE">
      <formula>NOT(ISERROR(SEARCH("NO CUMPLE",K586)))</formula>
    </cfRule>
    <cfRule type="containsText" dxfId="11600" priority="11533" stopIfTrue="1" operator="containsText" text="CUMPLE">
      <formula>NOT(ISERROR(SEARCH("CUMPLE",K586)))</formula>
    </cfRule>
  </conditionalFormatting>
  <conditionalFormatting sqref="Q579">
    <cfRule type="cellIs" dxfId="11599" priority="11530" operator="greaterThanOrEqual">
      <formula>NUMMINCONT</formula>
    </cfRule>
    <cfRule type="cellIs" dxfId="11598" priority="11531" operator="lessThan">
      <formula>NUMMINCONT</formula>
    </cfRule>
  </conditionalFormatting>
  <conditionalFormatting sqref="W563:Y571">
    <cfRule type="cellIs" dxfId="11597" priority="11528" stopIfTrue="1" operator="equal">
      <formula>"NO"</formula>
    </cfRule>
    <cfRule type="cellIs" dxfId="11596" priority="11529" stopIfTrue="1" operator="equal">
      <formula>"SI"</formula>
    </cfRule>
  </conditionalFormatting>
  <conditionalFormatting sqref="R566">
    <cfRule type="cellIs" dxfId="11595" priority="11527" stopIfTrue="1" operator="greaterThan">
      <formula>0</formula>
    </cfRule>
  </conditionalFormatting>
  <conditionalFormatting sqref="R567">
    <cfRule type="cellIs" dxfId="11594" priority="11526" stopIfTrue="1" operator="greaterThan">
      <formula>0</formula>
    </cfRule>
  </conditionalFormatting>
  <conditionalFormatting sqref="R568">
    <cfRule type="cellIs" dxfId="11593" priority="11525" stopIfTrue="1" operator="greaterThan">
      <formula>0</formula>
    </cfRule>
  </conditionalFormatting>
  <conditionalFormatting sqref="R569">
    <cfRule type="cellIs" dxfId="11592" priority="11524" stopIfTrue="1" operator="greaterThan">
      <formula>0</formula>
    </cfRule>
  </conditionalFormatting>
  <conditionalFormatting sqref="R570">
    <cfRule type="cellIs" dxfId="11591" priority="11523" stopIfTrue="1" operator="greaterThan">
      <formula>0</formula>
    </cfRule>
  </conditionalFormatting>
  <conditionalFormatting sqref="R571">
    <cfRule type="cellIs" dxfId="11590" priority="11522" stopIfTrue="1" operator="greaterThan">
      <formula>0</formula>
    </cfRule>
  </conditionalFormatting>
  <conditionalFormatting sqref="R572">
    <cfRule type="cellIs" dxfId="11589" priority="11521" stopIfTrue="1" operator="greaterThan">
      <formula>0</formula>
    </cfRule>
  </conditionalFormatting>
  <conditionalFormatting sqref="W563:X563">
    <cfRule type="cellIs" dxfId="11588" priority="11520" stopIfTrue="1" operator="equal">
      <formula>"NO APLICA"</formula>
    </cfRule>
  </conditionalFormatting>
  <conditionalFormatting sqref="W564:X567">
    <cfRule type="cellIs" dxfId="11587" priority="11519" stopIfTrue="1" operator="equal">
      <formula>"NO APLICA"</formula>
    </cfRule>
  </conditionalFormatting>
  <conditionalFormatting sqref="W564:X564">
    <cfRule type="cellIs" dxfId="11586" priority="11518" stopIfTrue="1" operator="equal">
      <formula>"NO APLICA"</formula>
    </cfRule>
  </conditionalFormatting>
  <conditionalFormatting sqref="Y563">
    <cfRule type="cellIs" dxfId="11585" priority="11517" stopIfTrue="1" operator="equal">
      <formula>"NO APLICA"</formula>
    </cfRule>
  </conditionalFormatting>
  <conditionalFormatting sqref="Y564:Y567">
    <cfRule type="cellIs" dxfId="11584" priority="11516" stopIfTrue="1" operator="equal">
      <formula>"NO APLICA"</formula>
    </cfRule>
  </conditionalFormatting>
  <conditionalFormatting sqref="W568:X571">
    <cfRule type="cellIs" dxfId="11583" priority="11515" stopIfTrue="1" operator="equal">
      <formula>"NO APLICA"</formula>
    </cfRule>
  </conditionalFormatting>
  <conditionalFormatting sqref="W568:X568">
    <cfRule type="cellIs" dxfId="11582" priority="11514" stopIfTrue="1" operator="equal">
      <formula>"NO APLICA"</formula>
    </cfRule>
  </conditionalFormatting>
  <conditionalFormatting sqref="Y568:Y571">
    <cfRule type="cellIs" dxfId="11581" priority="11513" stopIfTrue="1" operator="equal">
      <formula>"NO APLICA"</formula>
    </cfRule>
  </conditionalFormatting>
  <conditionalFormatting sqref="T577">
    <cfRule type="cellIs" dxfId="11580" priority="11511" operator="equal">
      <formula>"CUMPLE"</formula>
    </cfRule>
    <cfRule type="cellIs" dxfId="11579" priority="11512" operator="equal">
      <formula>"NO CUMPLE"</formula>
    </cfRule>
  </conditionalFormatting>
  <conditionalFormatting sqref="T577:T579">
    <cfRule type="cellIs" dxfId="11578" priority="11510" operator="equal">
      <formula>"VERIFICAR"</formula>
    </cfRule>
  </conditionalFormatting>
  <conditionalFormatting sqref="AD563:AF567">
    <cfRule type="cellIs" dxfId="11577" priority="11508" stopIfTrue="1" operator="equal">
      <formula>"NO"</formula>
    </cfRule>
    <cfRule type="cellIs" dxfId="11576" priority="11509" stopIfTrue="1" operator="equal">
      <formula>"SI"</formula>
    </cfRule>
  </conditionalFormatting>
  <conditionalFormatting sqref="AD568:AF571">
    <cfRule type="cellIs" dxfId="11575" priority="11506" stopIfTrue="1" operator="equal">
      <formula>"NO"</formula>
    </cfRule>
    <cfRule type="cellIs" dxfId="11574" priority="11507" stopIfTrue="1" operator="equal">
      <formula>"SI"</formula>
    </cfRule>
  </conditionalFormatting>
  <conditionalFormatting sqref="W572:Y572">
    <cfRule type="cellIs" dxfId="11573" priority="11504" stopIfTrue="1" operator="equal">
      <formula>"NO"</formula>
    </cfRule>
    <cfRule type="cellIs" dxfId="11572" priority="11505" stopIfTrue="1" operator="equal">
      <formula>"SI"</formula>
    </cfRule>
  </conditionalFormatting>
  <conditionalFormatting sqref="W572:X572">
    <cfRule type="cellIs" dxfId="11571" priority="11503" stopIfTrue="1" operator="equal">
      <formula>"NO APLICA"</formula>
    </cfRule>
  </conditionalFormatting>
  <conditionalFormatting sqref="Y572">
    <cfRule type="cellIs" dxfId="11570" priority="11502" stopIfTrue="1" operator="equal">
      <formula>"NO APLICA"</formula>
    </cfRule>
  </conditionalFormatting>
  <conditionalFormatting sqref="AD572:AF572">
    <cfRule type="cellIs" dxfId="11569" priority="11500" stopIfTrue="1" operator="equal">
      <formula>"NO"</formula>
    </cfRule>
    <cfRule type="cellIs" dxfId="11568" priority="11501" stopIfTrue="1" operator="equal">
      <formula>"SI"</formula>
    </cfRule>
  </conditionalFormatting>
  <conditionalFormatting sqref="AE577">
    <cfRule type="cellIs" dxfId="11567" priority="11497" stopIfTrue="1" operator="equal">
      <formula>"VERIFICAR"</formula>
    </cfRule>
    <cfRule type="cellIs" dxfId="11566" priority="11498" stopIfTrue="1" operator="equal">
      <formula>"NO CUMPLE"</formula>
    </cfRule>
    <cfRule type="cellIs" dxfId="11565" priority="11499" stopIfTrue="1" operator="equal">
      <formula>"CUMPLE"</formula>
    </cfRule>
  </conditionalFormatting>
  <conditionalFormatting sqref="AF577">
    <cfRule type="cellIs" dxfId="11564" priority="11494" stopIfTrue="1" operator="equal">
      <formula>"VERIFICAR"</formula>
    </cfRule>
    <cfRule type="cellIs" dxfId="11563" priority="11495" stopIfTrue="1" operator="equal">
      <formula>"NO CUMPLE"</formula>
    </cfRule>
    <cfRule type="cellIs" dxfId="11562" priority="11496" stopIfTrue="1" operator="equal">
      <formula>"CUMPLE"</formula>
    </cfRule>
  </conditionalFormatting>
  <conditionalFormatting sqref="Y580">
    <cfRule type="cellIs" dxfId="11561" priority="11493" operator="equal">
      <formula>"VERIFICAR CUADRO"</formula>
    </cfRule>
  </conditionalFormatting>
  <conditionalFormatting sqref="AC581:AC586">
    <cfRule type="cellIs" dxfId="11560" priority="11492" stopIfTrue="1" operator="greaterThan">
      <formula>0</formula>
    </cfRule>
  </conditionalFormatting>
  <conditionalFormatting sqref="AC581:AC586">
    <cfRule type="cellIs" dxfId="11559" priority="11491" stopIfTrue="1" operator="greaterThan">
      <formula>0</formula>
    </cfRule>
  </conditionalFormatting>
  <conditionalFormatting sqref="AD581:AD586">
    <cfRule type="containsText" dxfId="11558" priority="11489" stopIfTrue="1" operator="containsText" text="NO CUMPLE">
      <formula>NOT(ISERROR(SEARCH("NO CUMPLE",AD581)))</formula>
    </cfRule>
    <cfRule type="containsText" dxfId="11557" priority="11490" stopIfTrue="1" operator="containsText" text="CUMPLE">
      <formula>NOT(ISERROR(SEARCH("CUMPLE",AD581)))</formula>
    </cfRule>
  </conditionalFormatting>
  <conditionalFormatting sqref="Y586">
    <cfRule type="containsText" dxfId="11556" priority="11487" stopIfTrue="1" operator="containsText" text="NO CUMPLE">
      <formula>NOT(ISERROR(SEARCH("NO CUMPLE",Y586)))</formula>
    </cfRule>
    <cfRule type="containsText" dxfId="11555" priority="11488" stopIfTrue="1" operator="containsText" text="CUMPLE">
      <formula>NOT(ISERROR(SEARCH("CUMPLE",Y586)))</formula>
    </cfRule>
  </conditionalFormatting>
  <conditionalFormatting sqref="AA563:AA572">
    <cfRule type="cellIs" dxfId="11554" priority="11485" stopIfTrue="1" operator="equal">
      <formula>"NO APLICA"</formula>
    </cfRule>
    <cfRule type="cellIs" dxfId="11553" priority="11486" stopIfTrue="1" operator="equal">
      <formula>"TERCIARIA"</formula>
    </cfRule>
  </conditionalFormatting>
  <conditionalFormatting sqref="AB563:AB572">
    <cfRule type="cellIs" dxfId="11552" priority="11483" stopIfTrue="1" operator="equal">
      <formula>"N/A"</formula>
    </cfRule>
    <cfRule type="cellIs" dxfId="11551" priority="11484" stopIfTrue="1" operator="equal">
      <formula>"NO"</formula>
    </cfRule>
  </conditionalFormatting>
  <conditionalFormatting sqref="M593:M602">
    <cfRule type="cellIs" dxfId="11550" priority="11482" stopIfTrue="1" operator="lessThan">
      <formula>0</formula>
    </cfRule>
  </conditionalFormatting>
  <conditionalFormatting sqref="C595:D601 B594:B601 F595:I601 C594:I594 B602:O602 B593:R593 Q594:R595 J594:O601 Q596:Q602 P594:P602">
    <cfRule type="cellIs" dxfId="11549" priority="11481" stopIfTrue="1" operator="greaterThan">
      <formula>0</formula>
    </cfRule>
  </conditionalFormatting>
  <conditionalFormatting sqref="C595:D601">
    <cfRule type="cellIs" dxfId="11548" priority="11480" stopIfTrue="1" operator="greaterThan">
      <formula>0</formula>
    </cfRule>
  </conditionalFormatting>
  <conditionalFormatting sqref="C593:M593 C595:D601 F595:I601 C594:I594 K594:M601 J594:J602 L602:M602">
    <cfRule type="cellIs" dxfId="11547" priority="11479" stopIfTrue="1" operator="greaterThan">
      <formula>0</formula>
    </cfRule>
  </conditionalFormatting>
  <conditionalFormatting sqref="M593:M602">
    <cfRule type="cellIs" dxfId="11546" priority="11478" stopIfTrue="1" operator="lessThan">
      <formula>0</formula>
    </cfRule>
  </conditionalFormatting>
  <conditionalFormatting sqref="J594:J602 L594:O602 C593:O593">
    <cfRule type="cellIs" dxfId="11545" priority="11477" stopIfTrue="1" operator="greaterThan">
      <formula>0</formula>
    </cfRule>
  </conditionalFormatting>
  <conditionalFormatting sqref="H595:I601 K595:M602">
    <cfRule type="cellIs" dxfId="11544" priority="11476" stopIfTrue="1" operator="greaterThan">
      <formula>0</formula>
    </cfRule>
  </conditionalFormatting>
  <conditionalFormatting sqref="I594">
    <cfRule type="cellIs" dxfId="11543" priority="11475" stopIfTrue="1" operator="greaterThan">
      <formula>0</formula>
    </cfRule>
  </conditionalFormatting>
  <conditionalFormatting sqref="I602">
    <cfRule type="cellIs" dxfId="11542" priority="11474" stopIfTrue="1" operator="greaterThan">
      <formula>0</formula>
    </cfRule>
  </conditionalFormatting>
  <conditionalFormatting sqref="E595:E601">
    <cfRule type="cellIs" dxfId="11541" priority="11473" stopIfTrue="1" operator="greaterThan">
      <formula>0</formula>
    </cfRule>
  </conditionalFormatting>
  <conditionalFormatting sqref="K610:K615">
    <cfRule type="containsText" dxfId="11540" priority="11471" stopIfTrue="1" operator="containsText" text="NO CUMPLE">
      <formula>NOT(ISERROR(SEARCH("NO CUMPLE",K610)))</formula>
    </cfRule>
    <cfRule type="containsText" dxfId="11539" priority="11472" stopIfTrue="1" operator="containsText" text="CUMPLE">
      <formula>NOT(ISERROR(SEARCH("CUMPLE",K610)))</formula>
    </cfRule>
  </conditionalFormatting>
  <conditionalFormatting sqref="K616">
    <cfRule type="containsText" dxfId="11538" priority="11469" stopIfTrue="1" operator="containsText" text="NO CUMPLE">
      <formula>NOT(ISERROR(SEARCH("NO CUMPLE",K616)))</formula>
    </cfRule>
    <cfRule type="containsText" dxfId="11537" priority="11470" stopIfTrue="1" operator="containsText" text="CUMPLE">
      <formula>NOT(ISERROR(SEARCH("CUMPLE",K616)))</formula>
    </cfRule>
  </conditionalFormatting>
  <conditionalFormatting sqref="Q609">
    <cfRule type="cellIs" dxfId="11536" priority="11467" operator="greaterThanOrEqual">
      <formula>NUMMINCONT</formula>
    </cfRule>
    <cfRule type="cellIs" dxfId="11535" priority="11468" operator="lessThan">
      <formula>NUMMINCONT</formula>
    </cfRule>
  </conditionalFormatting>
  <conditionalFormatting sqref="W593:Y601">
    <cfRule type="cellIs" dxfId="11534" priority="11465" stopIfTrue="1" operator="equal">
      <formula>"NO"</formula>
    </cfRule>
    <cfRule type="cellIs" dxfId="11533" priority="11466" stopIfTrue="1" operator="equal">
      <formula>"SI"</formula>
    </cfRule>
  </conditionalFormatting>
  <conditionalFormatting sqref="R596">
    <cfRule type="cellIs" dxfId="11532" priority="11464" stopIfTrue="1" operator="greaterThan">
      <formula>0</formula>
    </cfRule>
  </conditionalFormatting>
  <conditionalFormatting sqref="R597">
    <cfRule type="cellIs" dxfId="11531" priority="11463" stopIfTrue="1" operator="greaterThan">
      <formula>0</formula>
    </cfRule>
  </conditionalFormatting>
  <conditionalFormatting sqref="R598">
    <cfRule type="cellIs" dxfId="11530" priority="11462" stopIfTrue="1" operator="greaterThan">
      <formula>0</formula>
    </cfRule>
  </conditionalFormatting>
  <conditionalFormatting sqref="R599">
    <cfRule type="cellIs" dxfId="11529" priority="11461" stopIfTrue="1" operator="greaterThan">
      <formula>0</formula>
    </cfRule>
  </conditionalFormatting>
  <conditionalFormatting sqref="R600">
    <cfRule type="cellIs" dxfId="11528" priority="11460" stopIfTrue="1" operator="greaterThan">
      <formula>0</formula>
    </cfRule>
  </conditionalFormatting>
  <conditionalFormatting sqref="R601">
    <cfRule type="cellIs" dxfId="11527" priority="11459" stopIfTrue="1" operator="greaterThan">
      <formula>0</formula>
    </cfRule>
  </conditionalFormatting>
  <conditionalFormatting sqref="R602">
    <cfRule type="cellIs" dxfId="11526" priority="11458" stopIfTrue="1" operator="greaterThan">
      <formula>0</formula>
    </cfRule>
  </conditionalFormatting>
  <conditionalFormatting sqref="W593:X593">
    <cfRule type="cellIs" dxfId="11525" priority="11457" stopIfTrue="1" operator="equal">
      <formula>"NO APLICA"</formula>
    </cfRule>
  </conditionalFormatting>
  <conditionalFormatting sqref="W594:X597">
    <cfRule type="cellIs" dxfId="11524" priority="11456" stopIfTrue="1" operator="equal">
      <formula>"NO APLICA"</formula>
    </cfRule>
  </conditionalFormatting>
  <conditionalFormatting sqref="W594:X594">
    <cfRule type="cellIs" dxfId="11523" priority="11455" stopIfTrue="1" operator="equal">
      <formula>"NO APLICA"</formula>
    </cfRule>
  </conditionalFormatting>
  <conditionalFormatting sqref="Y593">
    <cfRule type="cellIs" dxfId="11522" priority="11454" stopIfTrue="1" operator="equal">
      <formula>"NO APLICA"</formula>
    </cfRule>
  </conditionalFormatting>
  <conditionalFormatting sqref="Y594:Y597">
    <cfRule type="cellIs" dxfId="11521" priority="11453" stopIfTrue="1" operator="equal">
      <formula>"NO APLICA"</formula>
    </cfRule>
  </conditionalFormatting>
  <conditionalFormatting sqref="W598:X601">
    <cfRule type="cellIs" dxfId="11520" priority="11452" stopIfTrue="1" operator="equal">
      <formula>"NO APLICA"</formula>
    </cfRule>
  </conditionalFormatting>
  <conditionalFormatting sqref="W598:X598">
    <cfRule type="cellIs" dxfId="11519" priority="11451" stopIfTrue="1" operator="equal">
      <formula>"NO APLICA"</formula>
    </cfRule>
  </conditionalFormatting>
  <conditionalFormatting sqref="Y598:Y601">
    <cfRule type="cellIs" dxfId="11518" priority="11450" stopIfTrue="1" operator="equal">
      <formula>"NO APLICA"</formula>
    </cfRule>
  </conditionalFormatting>
  <conditionalFormatting sqref="T607">
    <cfRule type="cellIs" dxfId="11517" priority="11448" operator="equal">
      <formula>"CUMPLE"</formula>
    </cfRule>
    <cfRule type="cellIs" dxfId="11516" priority="11449" operator="equal">
      <formula>"NO CUMPLE"</formula>
    </cfRule>
  </conditionalFormatting>
  <conditionalFormatting sqref="T607:T609">
    <cfRule type="cellIs" dxfId="11515" priority="11447" operator="equal">
      <formula>"VERIFICAR"</formula>
    </cfRule>
  </conditionalFormatting>
  <conditionalFormatting sqref="AD593:AF597">
    <cfRule type="cellIs" dxfId="11514" priority="11445" stopIfTrue="1" operator="equal">
      <formula>"NO"</formula>
    </cfRule>
    <cfRule type="cellIs" dxfId="11513" priority="11446" stopIfTrue="1" operator="equal">
      <formula>"SI"</formula>
    </cfRule>
  </conditionalFormatting>
  <conditionalFormatting sqref="AD598:AF601">
    <cfRule type="cellIs" dxfId="11512" priority="11443" stopIfTrue="1" operator="equal">
      <formula>"NO"</formula>
    </cfRule>
    <cfRule type="cellIs" dxfId="11511" priority="11444" stopIfTrue="1" operator="equal">
      <formula>"SI"</formula>
    </cfRule>
  </conditionalFormatting>
  <conditionalFormatting sqref="W602:Y602">
    <cfRule type="cellIs" dxfId="11510" priority="11441" stopIfTrue="1" operator="equal">
      <formula>"NO"</formula>
    </cfRule>
    <cfRule type="cellIs" dxfId="11509" priority="11442" stopIfTrue="1" operator="equal">
      <formula>"SI"</formula>
    </cfRule>
  </conditionalFormatting>
  <conditionalFormatting sqref="W602:X602">
    <cfRule type="cellIs" dxfId="11508" priority="11440" stopIfTrue="1" operator="equal">
      <formula>"NO APLICA"</formula>
    </cfRule>
  </conditionalFormatting>
  <conditionalFormatting sqref="Y602">
    <cfRule type="cellIs" dxfId="11507" priority="11439" stopIfTrue="1" operator="equal">
      <formula>"NO APLICA"</formula>
    </cfRule>
  </conditionalFormatting>
  <conditionalFormatting sqref="AD602:AF602">
    <cfRule type="cellIs" dxfId="11506" priority="11437" stopIfTrue="1" operator="equal">
      <formula>"NO"</formula>
    </cfRule>
    <cfRule type="cellIs" dxfId="11505" priority="11438" stopIfTrue="1" operator="equal">
      <formula>"SI"</formula>
    </cfRule>
  </conditionalFormatting>
  <conditionalFormatting sqref="AE607">
    <cfRule type="cellIs" dxfId="11504" priority="11434" stopIfTrue="1" operator="equal">
      <formula>"VERIFICAR"</formula>
    </cfRule>
    <cfRule type="cellIs" dxfId="11503" priority="11435" stopIfTrue="1" operator="equal">
      <formula>"NO CUMPLE"</formula>
    </cfRule>
    <cfRule type="cellIs" dxfId="11502" priority="11436" stopIfTrue="1" operator="equal">
      <formula>"CUMPLE"</formula>
    </cfRule>
  </conditionalFormatting>
  <conditionalFormatting sqref="AF607">
    <cfRule type="cellIs" dxfId="11501" priority="11431" stopIfTrue="1" operator="equal">
      <formula>"VERIFICAR"</formula>
    </cfRule>
    <cfRule type="cellIs" dxfId="11500" priority="11432" stopIfTrue="1" operator="equal">
      <formula>"NO CUMPLE"</formula>
    </cfRule>
    <cfRule type="cellIs" dxfId="11499" priority="11433" stopIfTrue="1" operator="equal">
      <formula>"CUMPLE"</formula>
    </cfRule>
  </conditionalFormatting>
  <conditionalFormatting sqref="Y610">
    <cfRule type="cellIs" dxfId="11498" priority="11430" operator="equal">
      <formula>"VERIFICAR CUADRO"</formula>
    </cfRule>
  </conditionalFormatting>
  <conditionalFormatting sqref="AC611:AC616">
    <cfRule type="cellIs" dxfId="11497" priority="11429" stopIfTrue="1" operator="greaterThan">
      <formula>0</formula>
    </cfRule>
  </conditionalFormatting>
  <conditionalFormatting sqref="AC611:AC616">
    <cfRule type="cellIs" dxfId="11496" priority="11428" stopIfTrue="1" operator="greaterThan">
      <formula>0</formula>
    </cfRule>
  </conditionalFormatting>
  <conditionalFormatting sqref="AD611:AD616">
    <cfRule type="containsText" dxfId="11495" priority="11426" stopIfTrue="1" operator="containsText" text="NO CUMPLE">
      <formula>NOT(ISERROR(SEARCH("NO CUMPLE",AD611)))</formula>
    </cfRule>
    <cfRule type="containsText" dxfId="11494" priority="11427" stopIfTrue="1" operator="containsText" text="CUMPLE">
      <formula>NOT(ISERROR(SEARCH("CUMPLE",AD611)))</formula>
    </cfRule>
  </conditionalFormatting>
  <conditionalFormatting sqref="Y616">
    <cfRule type="containsText" dxfId="11493" priority="11424" stopIfTrue="1" operator="containsText" text="NO CUMPLE">
      <formula>NOT(ISERROR(SEARCH("NO CUMPLE",Y616)))</formula>
    </cfRule>
    <cfRule type="containsText" dxfId="11492" priority="11425" stopIfTrue="1" operator="containsText" text="CUMPLE">
      <formula>NOT(ISERROR(SEARCH("CUMPLE",Y616)))</formula>
    </cfRule>
  </conditionalFormatting>
  <conditionalFormatting sqref="AA593:AA602">
    <cfRule type="cellIs" dxfId="11491" priority="11422" stopIfTrue="1" operator="equal">
      <formula>"NO APLICA"</formula>
    </cfRule>
    <cfRule type="cellIs" dxfId="11490" priority="11423" stopIfTrue="1" operator="equal">
      <formula>"TERCIARIA"</formula>
    </cfRule>
  </conditionalFormatting>
  <conditionalFormatting sqref="AB593:AB602">
    <cfRule type="cellIs" dxfId="11489" priority="11420" stopIfTrue="1" operator="equal">
      <formula>"N/A"</formula>
    </cfRule>
    <cfRule type="cellIs" dxfId="11488" priority="11421" stopIfTrue="1" operator="equal">
      <formula>"NO"</formula>
    </cfRule>
  </conditionalFormatting>
  <conditionalFormatting sqref="M623:M632">
    <cfRule type="cellIs" dxfId="11487" priority="11419" stopIfTrue="1" operator="lessThan">
      <formula>0</formula>
    </cfRule>
  </conditionalFormatting>
  <conditionalFormatting sqref="C625:D631 B624:B631 F625:I631 C624:I624 B632:O632 B623:R623 Q624:R625 J624:O631 Q626:Q632 P624:P632">
    <cfRule type="cellIs" dxfId="11486" priority="11418" stopIfTrue="1" operator="greaterThan">
      <formula>0</formula>
    </cfRule>
  </conditionalFormatting>
  <conditionalFormatting sqref="C625:D631">
    <cfRule type="cellIs" dxfId="11485" priority="11417" stopIfTrue="1" operator="greaterThan">
      <formula>0</formula>
    </cfRule>
  </conditionalFormatting>
  <conditionalFormatting sqref="C623:M623 C625:D631 F625:I631 C624:I624 K624:M631 J624:J632 L632:M632">
    <cfRule type="cellIs" dxfId="11484" priority="11416" stopIfTrue="1" operator="greaterThan">
      <formula>0</formula>
    </cfRule>
  </conditionalFormatting>
  <conditionalFormatting sqref="M623:M632">
    <cfRule type="cellIs" dxfId="11483" priority="11415" stopIfTrue="1" operator="lessThan">
      <formula>0</formula>
    </cfRule>
  </conditionalFormatting>
  <conditionalFormatting sqref="J624:J632 L624:O632 C623:O623">
    <cfRule type="cellIs" dxfId="11482" priority="11414" stopIfTrue="1" operator="greaterThan">
      <formula>0</formula>
    </cfRule>
  </conditionalFormatting>
  <conditionalFormatting sqref="H625:I631 K625:M632">
    <cfRule type="cellIs" dxfId="11481" priority="11413" stopIfTrue="1" operator="greaterThan">
      <formula>0</formula>
    </cfRule>
  </conditionalFormatting>
  <conditionalFormatting sqref="I624">
    <cfRule type="cellIs" dxfId="11480" priority="11412" stopIfTrue="1" operator="greaterThan">
      <formula>0</formula>
    </cfRule>
  </conditionalFormatting>
  <conditionalFormatting sqref="I632">
    <cfRule type="cellIs" dxfId="11479" priority="11411" stopIfTrue="1" operator="greaterThan">
      <formula>0</formula>
    </cfRule>
  </conditionalFormatting>
  <conditionalFormatting sqref="E625:E631">
    <cfRule type="cellIs" dxfId="11478" priority="11410" stopIfTrue="1" operator="greaterThan">
      <formula>0</formula>
    </cfRule>
  </conditionalFormatting>
  <conditionalFormatting sqref="K640:K645">
    <cfRule type="containsText" dxfId="11477" priority="11408" stopIfTrue="1" operator="containsText" text="NO CUMPLE">
      <formula>NOT(ISERROR(SEARCH("NO CUMPLE",K640)))</formula>
    </cfRule>
    <cfRule type="containsText" dxfId="11476" priority="11409" stopIfTrue="1" operator="containsText" text="CUMPLE">
      <formula>NOT(ISERROR(SEARCH("CUMPLE",K640)))</formula>
    </cfRule>
  </conditionalFormatting>
  <conditionalFormatting sqref="K646">
    <cfRule type="containsText" dxfId="11475" priority="11406" stopIfTrue="1" operator="containsText" text="NO CUMPLE">
      <formula>NOT(ISERROR(SEARCH("NO CUMPLE",K646)))</formula>
    </cfRule>
    <cfRule type="containsText" dxfId="11474" priority="11407" stopIfTrue="1" operator="containsText" text="CUMPLE">
      <formula>NOT(ISERROR(SEARCH("CUMPLE",K646)))</formula>
    </cfRule>
  </conditionalFormatting>
  <conditionalFormatting sqref="Q639">
    <cfRule type="cellIs" dxfId="11473" priority="11404" operator="greaterThanOrEqual">
      <formula>NUMMINCONT</formula>
    </cfRule>
    <cfRule type="cellIs" dxfId="11472" priority="11405" operator="lessThan">
      <formula>NUMMINCONT</formula>
    </cfRule>
  </conditionalFormatting>
  <conditionalFormatting sqref="W623:Y631">
    <cfRule type="cellIs" dxfId="11471" priority="11402" stopIfTrue="1" operator="equal">
      <formula>"NO"</formula>
    </cfRule>
    <cfRule type="cellIs" dxfId="11470" priority="11403" stopIfTrue="1" operator="equal">
      <formula>"SI"</formula>
    </cfRule>
  </conditionalFormatting>
  <conditionalFormatting sqref="R626">
    <cfRule type="cellIs" dxfId="11469" priority="11401" stopIfTrue="1" operator="greaterThan">
      <formula>0</formula>
    </cfRule>
  </conditionalFormatting>
  <conditionalFormatting sqref="R627">
    <cfRule type="cellIs" dxfId="11468" priority="11400" stopIfTrue="1" operator="greaterThan">
      <formula>0</formula>
    </cfRule>
  </conditionalFormatting>
  <conditionalFormatting sqref="R628">
    <cfRule type="cellIs" dxfId="11467" priority="11399" stopIfTrue="1" operator="greaterThan">
      <formula>0</formula>
    </cfRule>
  </conditionalFormatting>
  <conditionalFormatting sqref="R629">
    <cfRule type="cellIs" dxfId="11466" priority="11398" stopIfTrue="1" operator="greaterThan">
      <formula>0</formula>
    </cfRule>
  </conditionalFormatting>
  <conditionalFormatting sqref="R630">
    <cfRule type="cellIs" dxfId="11465" priority="11397" stopIfTrue="1" operator="greaterThan">
      <formula>0</formula>
    </cfRule>
  </conditionalFormatting>
  <conditionalFormatting sqref="R631">
    <cfRule type="cellIs" dxfId="11464" priority="11396" stopIfTrue="1" operator="greaterThan">
      <formula>0</formula>
    </cfRule>
  </conditionalFormatting>
  <conditionalFormatting sqref="R632">
    <cfRule type="cellIs" dxfId="11463" priority="11395" stopIfTrue="1" operator="greaterThan">
      <formula>0</formula>
    </cfRule>
  </conditionalFormatting>
  <conditionalFormatting sqref="W623:X623">
    <cfRule type="cellIs" dxfId="11462" priority="11394" stopIfTrue="1" operator="equal">
      <formula>"NO APLICA"</formula>
    </cfRule>
  </conditionalFormatting>
  <conditionalFormatting sqref="W624:X627">
    <cfRule type="cellIs" dxfId="11461" priority="11393" stopIfTrue="1" operator="equal">
      <formula>"NO APLICA"</formula>
    </cfRule>
  </conditionalFormatting>
  <conditionalFormatting sqref="W624:X624">
    <cfRule type="cellIs" dxfId="11460" priority="11392" stopIfTrue="1" operator="equal">
      <formula>"NO APLICA"</formula>
    </cfRule>
  </conditionalFormatting>
  <conditionalFormatting sqref="Y623">
    <cfRule type="cellIs" dxfId="11459" priority="11391" stopIfTrue="1" operator="equal">
      <formula>"NO APLICA"</formula>
    </cfRule>
  </conditionalFormatting>
  <conditionalFormatting sqref="Y624:Y627">
    <cfRule type="cellIs" dxfId="11458" priority="11390" stopIfTrue="1" operator="equal">
      <formula>"NO APLICA"</formula>
    </cfRule>
  </conditionalFormatting>
  <conditionalFormatting sqref="W628:X631">
    <cfRule type="cellIs" dxfId="11457" priority="11389" stopIfTrue="1" operator="equal">
      <formula>"NO APLICA"</formula>
    </cfRule>
  </conditionalFormatting>
  <conditionalFormatting sqref="W628:X628">
    <cfRule type="cellIs" dxfId="11456" priority="11388" stopIfTrue="1" operator="equal">
      <formula>"NO APLICA"</formula>
    </cfRule>
  </conditionalFormatting>
  <conditionalFormatting sqref="Y628:Y631">
    <cfRule type="cellIs" dxfId="11455" priority="11387" stopIfTrue="1" operator="equal">
      <formula>"NO APLICA"</formula>
    </cfRule>
  </conditionalFormatting>
  <conditionalFormatting sqref="T637">
    <cfRule type="cellIs" dxfId="11454" priority="11385" operator="equal">
      <formula>"CUMPLE"</formula>
    </cfRule>
    <cfRule type="cellIs" dxfId="11453" priority="11386" operator="equal">
      <formula>"NO CUMPLE"</formula>
    </cfRule>
  </conditionalFormatting>
  <conditionalFormatting sqref="T637:T639">
    <cfRule type="cellIs" dxfId="11452" priority="11384" operator="equal">
      <formula>"VERIFICAR"</formula>
    </cfRule>
  </conditionalFormatting>
  <conditionalFormatting sqref="AD623:AF627">
    <cfRule type="cellIs" dxfId="11451" priority="11382" stopIfTrue="1" operator="equal">
      <formula>"NO"</formula>
    </cfRule>
    <cfRule type="cellIs" dxfId="11450" priority="11383" stopIfTrue="1" operator="equal">
      <formula>"SI"</formula>
    </cfRule>
  </conditionalFormatting>
  <conditionalFormatting sqref="AD628:AF631">
    <cfRule type="cellIs" dxfId="11449" priority="11380" stopIfTrue="1" operator="equal">
      <formula>"NO"</formula>
    </cfRule>
    <cfRule type="cellIs" dxfId="11448" priority="11381" stopIfTrue="1" operator="equal">
      <formula>"SI"</formula>
    </cfRule>
  </conditionalFormatting>
  <conditionalFormatting sqref="W632:Y632">
    <cfRule type="cellIs" dxfId="11447" priority="11378" stopIfTrue="1" operator="equal">
      <formula>"NO"</formula>
    </cfRule>
    <cfRule type="cellIs" dxfId="11446" priority="11379" stopIfTrue="1" operator="equal">
      <formula>"SI"</formula>
    </cfRule>
  </conditionalFormatting>
  <conditionalFormatting sqref="W632:X632">
    <cfRule type="cellIs" dxfId="11445" priority="11377" stopIfTrue="1" operator="equal">
      <formula>"NO APLICA"</formula>
    </cfRule>
  </conditionalFormatting>
  <conditionalFormatting sqref="Y632">
    <cfRule type="cellIs" dxfId="11444" priority="11376" stopIfTrue="1" operator="equal">
      <formula>"NO APLICA"</formula>
    </cfRule>
  </conditionalFormatting>
  <conditionalFormatting sqref="AD632:AF632">
    <cfRule type="cellIs" dxfId="11443" priority="11374" stopIfTrue="1" operator="equal">
      <formula>"NO"</formula>
    </cfRule>
    <cfRule type="cellIs" dxfId="11442" priority="11375" stopIfTrue="1" operator="equal">
      <formula>"SI"</formula>
    </cfRule>
  </conditionalFormatting>
  <conditionalFormatting sqref="AE637">
    <cfRule type="cellIs" dxfId="11441" priority="11371" stopIfTrue="1" operator="equal">
      <formula>"VERIFICAR"</formula>
    </cfRule>
    <cfRule type="cellIs" dxfId="11440" priority="11372" stopIfTrue="1" operator="equal">
      <formula>"NO CUMPLE"</formula>
    </cfRule>
    <cfRule type="cellIs" dxfId="11439" priority="11373" stopIfTrue="1" operator="equal">
      <formula>"CUMPLE"</formula>
    </cfRule>
  </conditionalFormatting>
  <conditionalFormatting sqref="AF637">
    <cfRule type="cellIs" dxfId="11438" priority="11368" stopIfTrue="1" operator="equal">
      <formula>"VERIFICAR"</formula>
    </cfRule>
    <cfRule type="cellIs" dxfId="11437" priority="11369" stopIfTrue="1" operator="equal">
      <formula>"NO CUMPLE"</formula>
    </cfRule>
    <cfRule type="cellIs" dxfId="11436" priority="11370" stopIfTrue="1" operator="equal">
      <formula>"CUMPLE"</formula>
    </cfRule>
  </conditionalFormatting>
  <conditionalFormatting sqref="Y640">
    <cfRule type="cellIs" dxfId="11435" priority="11367" operator="equal">
      <formula>"VERIFICAR CUADRO"</formula>
    </cfRule>
  </conditionalFormatting>
  <conditionalFormatting sqref="AC641:AC646">
    <cfRule type="cellIs" dxfId="11434" priority="11366" stopIfTrue="1" operator="greaterThan">
      <formula>0</formula>
    </cfRule>
  </conditionalFormatting>
  <conditionalFormatting sqref="AC641:AC646">
    <cfRule type="cellIs" dxfId="11433" priority="11365" stopIfTrue="1" operator="greaterThan">
      <formula>0</formula>
    </cfRule>
  </conditionalFormatting>
  <conditionalFormatting sqref="AD641:AD646">
    <cfRule type="containsText" dxfId="11432" priority="11363" stopIfTrue="1" operator="containsText" text="NO CUMPLE">
      <formula>NOT(ISERROR(SEARCH("NO CUMPLE",AD641)))</formula>
    </cfRule>
    <cfRule type="containsText" dxfId="11431" priority="11364" stopIfTrue="1" operator="containsText" text="CUMPLE">
      <formula>NOT(ISERROR(SEARCH("CUMPLE",AD641)))</formula>
    </cfRule>
  </conditionalFormatting>
  <conditionalFormatting sqref="Y646">
    <cfRule type="containsText" dxfId="11430" priority="11361" stopIfTrue="1" operator="containsText" text="NO CUMPLE">
      <formula>NOT(ISERROR(SEARCH("NO CUMPLE",Y646)))</formula>
    </cfRule>
    <cfRule type="containsText" dxfId="11429" priority="11362" stopIfTrue="1" operator="containsText" text="CUMPLE">
      <formula>NOT(ISERROR(SEARCH("CUMPLE",Y646)))</formula>
    </cfRule>
  </conditionalFormatting>
  <conditionalFormatting sqref="AA623:AA632">
    <cfRule type="cellIs" dxfId="11428" priority="11359" stopIfTrue="1" operator="equal">
      <formula>"NO APLICA"</formula>
    </cfRule>
    <cfRule type="cellIs" dxfId="11427" priority="11360" stopIfTrue="1" operator="equal">
      <formula>"TERCIARIA"</formula>
    </cfRule>
  </conditionalFormatting>
  <conditionalFormatting sqref="AB623:AB632">
    <cfRule type="cellIs" dxfId="11426" priority="11357" stopIfTrue="1" operator="equal">
      <formula>"N/A"</formula>
    </cfRule>
    <cfRule type="cellIs" dxfId="11425" priority="11358" stopIfTrue="1" operator="equal">
      <formula>"NO"</formula>
    </cfRule>
  </conditionalFormatting>
  <conditionalFormatting sqref="M653:M662">
    <cfRule type="cellIs" dxfId="11424" priority="11356" stopIfTrue="1" operator="lessThan">
      <formula>0</formula>
    </cfRule>
  </conditionalFormatting>
  <conditionalFormatting sqref="C655:D661 B654:B661 F655:I661 C654:I654 B662:O662 B653:R653 Q654:R655 J654:O661 Q656:Q662 P654:P662">
    <cfRule type="cellIs" dxfId="11423" priority="11355" stopIfTrue="1" operator="greaterThan">
      <formula>0</formula>
    </cfRule>
  </conditionalFormatting>
  <conditionalFormatting sqref="C655:D661">
    <cfRule type="cellIs" dxfId="11422" priority="11354" stopIfTrue="1" operator="greaterThan">
      <formula>0</formula>
    </cfRule>
  </conditionalFormatting>
  <conditionalFormatting sqref="C653:M653 C655:D661 F655:I661 C654:I654 K654:M661 J654:J662 L662:M662">
    <cfRule type="cellIs" dxfId="11421" priority="11353" stopIfTrue="1" operator="greaterThan">
      <formula>0</formula>
    </cfRule>
  </conditionalFormatting>
  <conditionalFormatting sqref="M653:M662">
    <cfRule type="cellIs" dxfId="11420" priority="11352" stopIfTrue="1" operator="lessThan">
      <formula>0</formula>
    </cfRule>
  </conditionalFormatting>
  <conditionalFormatting sqref="J654:J662 L654:O662 C653:O653">
    <cfRule type="cellIs" dxfId="11419" priority="11351" stopIfTrue="1" operator="greaterThan">
      <formula>0</formula>
    </cfRule>
  </conditionalFormatting>
  <conditionalFormatting sqref="H655:I661 K655:M662">
    <cfRule type="cellIs" dxfId="11418" priority="11350" stopIfTrue="1" operator="greaterThan">
      <formula>0</formula>
    </cfRule>
  </conditionalFormatting>
  <conditionalFormatting sqref="I654">
    <cfRule type="cellIs" dxfId="11417" priority="11349" stopIfTrue="1" operator="greaterThan">
      <formula>0</formula>
    </cfRule>
  </conditionalFormatting>
  <conditionalFormatting sqref="I662">
    <cfRule type="cellIs" dxfId="11416" priority="11348" stopIfTrue="1" operator="greaterThan">
      <formula>0</formula>
    </cfRule>
  </conditionalFormatting>
  <conditionalFormatting sqref="E655:E661">
    <cfRule type="cellIs" dxfId="11415" priority="11347" stopIfTrue="1" operator="greaterThan">
      <formula>0</formula>
    </cfRule>
  </conditionalFormatting>
  <conditionalFormatting sqref="K670:K675">
    <cfRule type="containsText" dxfId="11414" priority="11345" stopIfTrue="1" operator="containsText" text="NO CUMPLE">
      <formula>NOT(ISERROR(SEARCH("NO CUMPLE",K670)))</formula>
    </cfRule>
    <cfRule type="containsText" dxfId="11413" priority="11346" stopIfTrue="1" operator="containsText" text="CUMPLE">
      <formula>NOT(ISERROR(SEARCH("CUMPLE",K670)))</formula>
    </cfRule>
  </conditionalFormatting>
  <conditionalFormatting sqref="K676">
    <cfRule type="containsText" dxfId="11412" priority="11343" stopIfTrue="1" operator="containsText" text="NO CUMPLE">
      <formula>NOT(ISERROR(SEARCH("NO CUMPLE",K676)))</formula>
    </cfRule>
    <cfRule type="containsText" dxfId="11411" priority="11344" stopIfTrue="1" operator="containsText" text="CUMPLE">
      <formula>NOT(ISERROR(SEARCH("CUMPLE",K676)))</formula>
    </cfRule>
  </conditionalFormatting>
  <conditionalFormatting sqref="Q669">
    <cfRule type="cellIs" dxfId="11410" priority="11341" operator="greaterThanOrEqual">
      <formula>NUMMINCONT</formula>
    </cfRule>
    <cfRule type="cellIs" dxfId="11409" priority="11342" operator="lessThan">
      <formula>NUMMINCONT</formula>
    </cfRule>
  </conditionalFormatting>
  <conditionalFormatting sqref="W653:Y661">
    <cfRule type="cellIs" dxfId="11408" priority="11339" stopIfTrue="1" operator="equal">
      <formula>"NO"</formula>
    </cfRule>
    <cfRule type="cellIs" dxfId="11407" priority="11340" stopIfTrue="1" operator="equal">
      <formula>"SI"</formula>
    </cfRule>
  </conditionalFormatting>
  <conditionalFormatting sqref="R656">
    <cfRule type="cellIs" dxfId="11406" priority="11338" stopIfTrue="1" operator="greaterThan">
      <formula>0</formula>
    </cfRule>
  </conditionalFormatting>
  <conditionalFormatting sqref="R657">
    <cfRule type="cellIs" dxfId="11405" priority="11337" stopIfTrue="1" operator="greaterThan">
      <formula>0</formula>
    </cfRule>
  </conditionalFormatting>
  <conditionalFormatting sqref="R658">
    <cfRule type="cellIs" dxfId="11404" priority="11336" stopIfTrue="1" operator="greaterThan">
      <formula>0</formula>
    </cfRule>
  </conditionalFormatting>
  <conditionalFormatting sqref="R659">
    <cfRule type="cellIs" dxfId="11403" priority="11335" stopIfTrue="1" operator="greaterThan">
      <formula>0</formula>
    </cfRule>
  </conditionalFormatting>
  <conditionalFormatting sqref="R660">
    <cfRule type="cellIs" dxfId="11402" priority="11334" stopIfTrue="1" operator="greaterThan">
      <formula>0</formula>
    </cfRule>
  </conditionalFormatting>
  <conditionalFormatting sqref="R661">
    <cfRule type="cellIs" dxfId="11401" priority="11333" stopIfTrue="1" operator="greaterThan">
      <formula>0</formula>
    </cfRule>
  </conditionalFormatting>
  <conditionalFormatting sqref="R662">
    <cfRule type="cellIs" dxfId="11400" priority="11332" stopIfTrue="1" operator="greaterThan">
      <formula>0</formula>
    </cfRule>
  </conditionalFormatting>
  <conditionalFormatting sqref="W653:X653">
    <cfRule type="cellIs" dxfId="11399" priority="11331" stopIfTrue="1" operator="equal">
      <formula>"NO APLICA"</formula>
    </cfRule>
  </conditionalFormatting>
  <conditionalFormatting sqref="W654:X657">
    <cfRule type="cellIs" dxfId="11398" priority="11330" stopIfTrue="1" operator="equal">
      <formula>"NO APLICA"</formula>
    </cfRule>
  </conditionalFormatting>
  <conditionalFormatting sqref="W654:X654">
    <cfRule type="cellIs" dxfId="11397" priority="11329" stopIfTrue="1" operator="equal">
      <formula>"NO APLICA"</formula>
    </cfRule>
  </conditionalFormatting>
  <conditionalFormatting sqref="Y653">
    <cfRule type="cellIs" dxfId="11396" priority="11328" stopIfTrue="1" operator="equal">
      <formula>"NO APLICA"</formula>
    </cfRule>
  </conditionalFormatting>
  <conditionalFormatting sqref="Y654:Y657">
    <cfRule type="cellIs" dxfId="11395" priority="11327" stopIfTrue="1" operator="equal">
      <formula>"NO APLICA"</formula>
    </cfRule>
  </conditionalFormatting>
  <conditionalFormatting sqref="W658:X661">
    <cfRule type="cellIs" dxfId="11394" priority="11326" stopIfTrue="1" operator="equal">
      <formula>"NO APLICA"</formula>
    </cfRule>
  </conditionalFormatting>
  <conditionalFormatting sqref="W658:X658">
    <cfRule type="cellIs" dxfId="11393" priority="11325" stopIfTrue="1" operator="equal">
      <formula>"NO APLICA"</formula>
    </cfRule>
  </conditionalFormatting>
  <conditionalFormatting sqref="Y658:Y661">
    <cfRule type="cellIs" dxfId="11392" priority="11324" stopIfTrue="1" operator="equal">
      <formula>"NO APLICA"</formula>
    </cfRule>
  </conditionalFormatting>
  <conditionalFormatting sqref="T667">
    <cfRule type="cellIs" dxfId="11391" priority="11322" operator="equal">
      <formula>"CUMPLE"</formula>
    </cfRule>
    <cfRule type="cellIs" dxfId="11390" priority="11323" operator="equal">
      <formula>"NO CUMPLE"</formula>
    </cfRule>
  </conditionalFormatting>
  <conditionalFormatting sqref="T667:T669">
    <cfRule type="cellIs" dxfId="11389" priority="11321" operator="equal">
      <formula>"VERIFICAR"</formula>
    </cfRule>
  </conditionalFormatting>
  <conditionalFormatting sqref="AD653:AF657">
    <cfRule type="cellIs" dxfId="11388" priority="11319" stopIfTrue="1" operator="equal">
      <formula>"NO"</formula>
    </cfRule>
    <cfRule type="cellIs" dxfId="11387" priority="11320" stopIfTrue="1" operator="equal">
      <formula>"SI"</formula>
    </cfRule>
  </conditionalFormatting>
  <conditionalFormatting sqref="AD658:AF661">
    <cfRule type="cellIs" dxfId="11386" priority="11317" stopIfTrue="1" operator="equal">
      <formula>"NO"</formula>
    </cfRule>
    <cfRule type="cellIs" dxfId="11385" priority="11318" stopIfTrue="1" operator="equal">
      <formula>"SI"</formula>
    </cfRule>
  </conditionalFormatting>
  <conditionalFormatting sqref="W662:Y662">
    <cfRule type="cellIs" dxfId="11384" priority="11315" stopIfTrue="1" operator="equal">
      <formula>"NO"</formula>
    </cfRule>
    <cfRule type="cellIs" dxfId="11383" priority="11316" stopIfTrue="1" operator="equal">
      <formula>"SI"</formula>
    </cfRule>
  </conditionalFormatting>
  <conditionalFormatting sqref="W662:X662">
    <cfRule type="cellIs" dxfId="11382" priority="11314" stopIfTrue="1" operator="equal">
      <formula>"NO APLICA"</formula>
    </cfRule>
  </conditionalFormatting>
  <conditionalFormatting sqref="Y662">
    <cfRule type="cellIs" dxfId="11381" priority="11313" stopIfTrue="1" operator="equal">
      <formula>"NO APLICA"</formula>
    </cfRule>
  </conditionalFormatting>
  <conditionalFormatting sqref="AD662:AF662">
    <cfRule type="cellIs" dxfId="11380" priority="11311" stopIfTrue="1" operator="equal">
      <formula>"NO"</formula>
    </cfRule>
    <cfRule type="cellIs" dxfId="11379" priority="11312" stopIfTrue="1" operator="equal">
      <formula>"SI"</formula>
    </cfRule>
  </conditionalFormatting>
  <conditionalFormatting sqref="AE667">
    <cfRule type="cellIs" dxfId="11378" priority="11308" stopIfTrue="1" operator="equal">
      <formula>"VERIFICAR"</formula>
    </cfRule>
    <cfRule type="cellIs" dxfId="11377" priority="11309" stopIfTrue="1" operator="equal">
      <formula>"NO CUMPLE"</formula>
    </cfRule>
    <cfRule type="cellIs" dxfId="11376" priority="11310" stopIfTrue="1" operator="equal">
      <formula>"CUMPLE"</formula>
    </cfRule>
  </conditionalFormatting>
  <conditionalFormatting sqref="AF667">
    <cfRule type="cellIs" dxfId="11375" priority="11305" stopIfTrue="1" operator="equal">
      <formula>"VERIFICAR"</formula>
    </cfRule>
    <cfRule type="cellIs" dxfId="11374" priority="11306" stopIfTrue="1" operator="equal">
      <formula>"NO CUMPLE"</formula>
    </cfRule>
    <cfRule type="cellIs" dxfId="11373" priority="11307" stopIfTrue="1" operator="equal">
      <formula>"CUMPLE"</formula>
    </cfRule>
  </conditionalFormatting>
  <conditionalFormatting sqref="Y670">
    <cfRule type="cellIs" dxfId="11372" priority="11304" operator="equal">
      <formula>"VERIFICAR CUADRO"</formula>
    </cfRule>
  </conditionalFormatting>
  <conditionalFormatting sqref="AC671:AC676">
    <cfRule type="cellIs" dxfId="11371" priority="11303" stopIfTrue="1" operator="greaterThan">
      <formula>0</formula>
    </cfRule>
  </conditionalFormatting>
  <conditionalFormatting sqref="AC671:AC676">
    <cfRule type="cellIs" dxfId="11370" priority="11302" stopIfTrue="1" operator="greaterThan">
      <formula>0</formula>
    </cfRule>
  </conditionalFormatting>
  <conditionalFormatting sqref="AD671:AD676">
    <cfRule type="containsText" dxfId="11369" priority="11300" stopIfTrue="1" operator="containsText" text="NO CUMPLE">
      <formula>NOT(ISERROR(SEARCH("NO CUMPLE",AD671)))</formula>
    </cfRule>
    <cfRule type="containsText" dxfId="11368" priority="11301" stopIfTrue="1" operator="containsText" text="CUMPLE">
      <formula>NOT(ISERROR(SEARCH("CUMPLE",AD671)))</formula>
    </cfRule>
  </conditionalFormatting>
  <conditionalFormatting sqref="Y676">
    <cfRule type="containsText" dxfId="11367" priority="11298" stopIfTrue="1" operator="containsText" text="NO CUMPLE">
      <formula>NOT(ISERROR(SEARCH("NO CUMPLE",Y676)))</formula>
    </cfRule>
    <cfRule type="containsText" dxfId="11366" priority="11299" stopIfTrue="1" operator="containsText" text="CUMPLE">
      <formula>NOT(ISERROR(SEARCH("CUMPLE",Y676)))</formula>
    </cfRule>
  </conditionalFormatting>
  <conditionalFormatting sqref="AA653:AA662">
    <cfRule type="cellIs" dxfId="11365" priority="11296" stopIfTrue="1" operator="equal">
      <formula>"NO APLICA"</formula>
    </cfRule>
    <cfRule type="cellIs" dxfId="11364" priority="11297" stopIfTrue="1" operator="equal">
      <formula>"TERCIARIA"</formula>
    </cfRule>
  </conditionalFormatting>
  <conditionalFormatting sqref="AB653:AB662">
    <cfRule type="cellIs" dxfId="11363" priority="11294" stopIfTrue="1" operator="equal">
      <formula>"N/A"</formula>
    </cfRule>
    <cfRule type="cellIs" dxfId="11362" priority="11295" stopIfTrue="1" operator="equal">
      <formula>"NO"</formula>
    </cfRule>
  </conditionalFormatting>
  <conditionalFormatting sqref="M683:M692">
    <cfRule type="cellIs" dxfId="11361" priority="11293" stopIfTrue="1" operator="lessThan">
      <formula>0</formula>
    </cfRule>
  </conditionalFormatting>
  <conditionalFormatting sqref="C685:D691 B684:B691 F685:I691 C684:I684 B692:O692 B683:R683 Q684:R685 J684:O691 Q686:Q692 P684:P692">
    <cfRule type="cellIs" dxfId="11360" priority="11292" stopIfTrue="1" operator="greaterThan">
      <formula>0</formula>
    </cfRule>
  </conditionalFormatting>
  <conditionalFormatting sqref="C685:D691">
    <cfRule type="cellIs" dxfId="11359" priority="11291" stopIfTrue="1" operator="greaterThan">
      <formula>0</formula>
    </cfRule>
  </conditionalFormatting>
  <conditionalFormatting sqref="C683:M683 C685:D691 F685:I691 C684:I684 K684:M691 J684:J692 L692:M692">
    <cfRule type="cellIs" dxfId="11358" priority="11290" stopIfTrue="1" operator="greaterThan">
      <formula>0</formula>
    </cfRule>
  </conditionalFormatting>
  <conditionalFormatting sqref="M683:M692">
    <cfRule type="cellIs" dxfId="11357" priority="11289" stopIfTrue="1" operator="lessThan">
      <formula>0</formula>
    </cfRule>
  </conditionalFormatting>
  <conditionalFormatting sqref="J684:J692 L684:O692 C683:O683">
    <cfRule type="cellIs" dxfId="11356" priority="11288" stopIfTrue="1" operator="greaterThan">
      <formula>0</formula>
    </cfRule>
  </conditionalFormatting>
  <conditionalFormatting sqref="H685:I691 K685:M692">
    <cfRule type="cellIs" dxfId="11355" priority="11287" stopIfTrue="1" operator="greaterThan">
      <formula>0</formula>
    </cfRule>
  </conditionalFormatting>
  <conditionalFormatting sqref="I684">
    <cfRule type="cellIs" dxfId="11354" priority="11286" stopIfTrue="1" operator="greaterThan">
      <formula>0</formula>
    </cfRule>
  </conditionalFormatting>
  <conditionalFormatting sqref="I692">
    <cfRule type="cellIs" dxfId="11353" priority="11285" stopIfTrue="1" operator="greaterThan">
      <formula>0</formula>
    </cfRule>
  </conditionalFormatting>
  <conditionalFormatting sqref="E685:E691">
    <cfRule type="cellIs" dxfId="11352" priority="11284" stopIfTrue="1" operator="greaterThan">
      <formula>0</formula>
    </cfRule>
  </conditionalFormatting>
  <conditionalFormatting sqref="K700:K705">
    <cfRule type="containsText" dxfId="11351" priority="11282" stopIfTrue="1" operator="containsText" text="NO CUMPLE">
      <formula>NOT(ISERROR(SEARCH("NO CUMPLE",K700)))</formula>
    </cfRule>
    <cfRule type="containsText" dxfId="11350" priority="11283" stopIfTrue="1" operator="containsText" text="CUMPLE">
      <formula>NOT(ISERROR(SEARCH("CUMPLE",K700)))</formula>
    </cfRule>
  </conditionalFormatting>
  <conditionalFormatting sqref="K706">
    <cfRule type="containsText" dxfId="11349" priority="11280" stopIfTrue="1" operator="containsText" text="NO CUMPLE">
      <formula>NOT(ISERROR(SEARCH("NO CUMPLE",K706)))</formula>
    </cfRule>
    <cfRule type="containsText" dxfId="11348" priority="11281" stopIfTrue="1" operator="containsText" text="CUMPLE">
      <formula>NOT(ISERROR(SEARCH("CUMPLE",K706)))</formula>
    </cfRule>
  </conditionalFormatting>
  <conditionalFormatting sqref="Q699">
    <cfRule type="cellIs" dxfId="11347" priority="11278" operator="greaterThanOrEqual">
      <formula>NUMMINCONT</formula>
    </cfRule>
    <cfRule type="cellIs" dxfId="11346" priority="11279" operator="lessThan">
      <formula>NUMMINCONT</formula>
    </cfRule>
  </conditionalFormatting>
  <conditionalFormatting sqref="W683:Y691">
    <cfRule type="cellIs" dxfId="11345" priority="11276" stopIfTrue="1" operator="equal">
      <formula>"NO"</formula>
    </cfRule>
    <cfRule type="cellIs" dxfId="11344" priority="11277" stopIfTrue="1" operator="equal">
      <formula>"SI"</formula>
    </cfRule>
  </conditionalFormatting>
  <conditionalFormatting sqref="R686">
    <cfRule type="cellIs" dxfId="11343" priority="11275" stopIfTrue="1" operator="greaterThan">
      <formula>0</formula>
    </cfRule>
  </conditionalFormatting>
  <conditionalFormatting sqref="R687">
    <cfRule type="cellIs" dxfId="11342" priority="11274" stopIfTrue="1" operator="greaterThan">
      <formula>0</formula>
    </cfRule>
  </conditionalFormatting>
  <conditionalFormatting sqref="R688">
    <cfRule type="cellIs" dxfId="11341" priority="11273" stopIfTrue="1" operator="greaterThan">
      <formula>0</formula>
    </cfRule>
  </conditionalFormatting>
  <conditionalFormatting sqref="R689">
    <cfRule type="cellIs" dxfId="11340" priority="11272" stopIfTrue="1" operator="greaterThan">
      <formula>0</formula>
    </cfRule>
  </conditionalFormatting>
  <conditionalFormatting sqref="R690">
    <cfRule type="cellIs" dxfId="11339" priority="11271" stopIfTrue="1" operator="greaterThan">
      <formula>0</formula>
    </cfRule>
  </conditionalFormatting>
  <conditionalFormatting sqref="R691">
    <cfRule type="cellIs" dxfId="11338" priority="11270" stopIfTrue="1" operator="greaterThan">
      <formula>0</formula>
    </cfRule>
  </conditionalFormatting>
  <conditionalFormatting sqref="R692">
    <cfRule type="cellIs" dxfId="11337" priority="11269" stopIfTrue="1" operator="greaterThan">
      <formula>0</formula>
    </cfRule>
  </conditionalFormatting>
  <conditionalFormatting sqref="W683:X683">
    <cfRule type="cellIs" dxfId="11336" priority="11268" stopIfTrue="1" operator="equal">
      <formula>"NO APLICA"</formula>
    </cfRule>
  </conditionalFormatting>
  <conditionalFormatting sqref="W684:X687">
    <cfRule type="cellIs" dxfId="11335" priority="11267" stopIfTrue="1" operator="equal">
      <formula>"NO APLICA"</formula>
    </cfRule>
  </conditionalFormatting>
  <conditionalFormatting sqref="W684:X684">
    <cfRule type="cellIs" dxfId="11334" priority="11266" stopIfTrue="1" operator="equal">
      <formula>"NO APLICA"</formula>
    </cfRule>
  </conditionalFormatting>
  <conditionalFormatting sqref="Y683">
    <cfRule type="cellIs" dxfId="11333" priority="11265" stopIfTrue="1" operator="equal">
      <formula>"NO APLICA"</formula>
    </cfRule>
  </conditionalFormatting>
  <conditionalFormatting sqref="Y684:Y687">
    <cfRule type="cellIs" dxfId="11332" priority="11264" stopIfTrue="1" operator="equal">
      <formula>"NO APLICA"</formula>
    </cfRule>
  </conditionalFormatting>
  <conditionalFormatting sqref="W688:X691">
    <cfRule type="cellIs" dxfId="11331" priority="11263" stopIfTrue="1" operator="equal">
      <formula>"NO APLICA"</formula>
    </cfRule>
  </conditionalFormatting>
  <conditionalFormatting sqref="W688:X688">
    <cfRule type="cellIs" dxfId="11330" priority="11262" stopIfTrue="1" operator="equal">
      <formula>"NO APLICA"</formula>
    </cfRule>
  </conditionalFormatting>
  <conditionalFormatting sqref="Y688:Y691">
    <cfRule type="cellIs" dxfId="11329" priority="11261" stopIfTrue="1" operator="equal">
      <formula>"NO APLICA"</formula>
    </cfRule>
  </conditionalFormatting>
  <conditionalFormatting sqref="T697">
    <cfRule type="cellIs" dxfId="11328" priority="11259" operator="equal">
      <formula>"CUMPLE"</formula>
    </cfRule>
    <cfRule type="cellIs" dxfId="11327" priority="11260" operator="equal">
      <formula>"NO CUMPLE"</formula>
    </cfRule>
  </conditionalFormatting>
  <conditionalFormatting sqref="T697:T699">
    <cfRule type="cellIs" dxfId="11326" priority="11258" operator="equal">
      <formula>"VERIFICAR"</formula>
    </cfRule>
  </conditionalFormatting>
  <conditionalFormatting sqref="AD683:AF687">
    <cfRule type="cellIs" dxfId="11325" priority="11256" stopIfTrue="1" operator="equal">
      <formula>"NO"</formula>
    </cfRule>
    <cfRule type="cellIs" dxfId="11324" priority="11257" stopIfTrue="1" operator="equal">
      <formula>"SI"</formula>
    </cfRule>
  </conditionalFormatting>
  <conditionalFormatting sqref="AD688:AF691">
    <cfRule type="cellIs" dxfId="11323" priority="11254" stopIfTrue="1" operator="equal">
      <formula>"NO"</formula>
    </cfRule>
    <cfRule type="cellIs" dxfId="11322" priority="11255" stopIfTrue="1" operator="equal">
      <formula>"SI"</formula>
    </cfRule>
  </conditionalFormatting>
  <conditionalFormatting sqref="W692:Y692">
    <cfRule type="cellIs" dxfId="11321" priority="11252" stopIfTrue="1" operator="equal">
      <formula>"NO"</formula>
    </cfRule>
    <cfRule type="cellIs" dxfId="11320" priority="11253" stopIfTrue="1" operator="equal">
      <formula>"SI"</formula>
    </cfRule>
  </conditionalFormatting>
  <conditionalFormatting sqref="W692:X692">
    <cfRule type="cellIs" dxfId="11319" priority="11251" stopIfTrue="1" operator="equal">
      <formula>"NO APLICA"</formula>
    </cfRule>
  </conditionalFormatting>
  <conditionalFormatting sqref="Y692">
    <cfRule type="cellIs" dxfId="11318" priority="11250" stopIfTrue="1" operator="equal">
      <formula>"NO APLICA"</formula>
    </cfRule>
  </conditionalFormatting>
  <conditionalFormatting sqref="AD692:AF692">
    <cfRule type="cellIs" dxfId="11317" priority="11248" stopIfTrue="1" operator="equal">
      <formula>"NO"</formula>
    </cfRule>
    <cfRule type="cellIs" dxfId="11316" priority="11249" stopIfTrue="1" operator="equal">
      <formula>"SI"</formula>
    </cfRule>
  </conditionalFormatting>
  <conditionalFormatting sqref="AE697">
    <cfRule type="cellIs" dxfId="11315" priority="11245" stopIfTrue="1" operator="equal">
      <formula>"VERIFICAR"</formula>
    </cfRule>
    <cfRule type="cellIs" dxfId="11314" priority="11246" stopIfTrue="1" operator="equal">
      <formula>"NO CUMPLE"</formula>
    </cfRule>
    <cfRule type="cellIs" dxfId="11313" priority="11247" stopIfTrue="1" operator="equal">
      <formula>"CUMPLE"</formula>
    </cfRule>
  </conditionalFormatting>
  <conditionalFormatting sqref="AF697">
    <cfRule type="cellIs" dxfId="11312" priority="11242" stopIfTrue="1" operator="equal">
      <formula>"VERIFICAR"</formula>
    </cfRule>
    <cfRule type="cellIs" dxfId="11311" priority="11243" stopIfTrue="1" operator="equal">
      <formula>"NO CUMPLE"</formula>
    </cfRule>
    <cfRule type="cellIs" dxfId="11310" priority="11244" stopIfTrue="1" operator="equal">
      <formula>"CUMPLE"</formula>
    </cfRule>
  </conditionalFormatting>
  <conditionalFormatting sqref="Y700">
    <cfRule type="cellIs" dxfId="11309" priority="11241" operator="equal">
      <formula>"VERIFICAR CUADRO"</formula>
    </cfRule>
  </conditionalFormatting>
  <conditionalFormatting sqref="AC701:AC706">
    <cfRule type="cellIs" dxfId="11308" priority="11240" stopIfTrue="1" operator="greaterThan">
      <formula>0</formula>
    </cfRule>
  </conditionalFormatting>
  <conditionalFormatting sqref="AC701:AC706">
    <cfRule type="cellIs" dxfId="11307" priority="11239" stopIfTrue="1" operator="greaterThan">
      <formula>0</formula>
    </cfRule>
  </conditionalFormatting>
  <conditionalFormatting sqref="AD701:AD706">
    <cfRule type="containsText" dxfId="11306" priority="11237" stopIfTrue="1" operator="containsText" text="NO CUMPLE">
      <formula>NOT(ISERROR(SEARCH("NO CUMPLE",AD701)))</formula>
    </cfRule>
    <cfRule type="containsText" dxfId="11305" priority="11238" stopIfTrue="1" operator="containsText" text="CUMPLE">
      <formula>NOT(ISERROR(SEARCH("CUMPLE",AD701)))</formula>
    </cfRule>
  </conditionalFormatting>
  <conditionalFormatting sqref="Y706">
    <cfRule type="containsText" dxfId="11304" priority="11235" stopIfTrue="1" operator="containsText" text="NO CUMPLE">
      <formula>NOT(ISERROR(SEARCH("NO CUMPLE",Y706)))</formula>
    </cfRule>
    <cfRule type="containsText" dxfId="11303" priority="11236" stopIfTrue="1" operator="containsText" text="CUMPLE">
      <formula>NOT(ISERROR(SEARCH("CUMPLE",Y706)))</formula>
    </cfRule>
  </conditionalFormatting>
  <conditionalFormatting sqref="AA683:AA692">
    <cfRule type="cellIs" dxfId="11302" priority="11233" stopIfTrue="1" operator="equal">
      <formula>"NO APLICA"</formula>
    </cfRule>
    <cfRule type="cellIs" dxfId="11301" priority="11234" stopIfTrue="1" operator="equal">
      <formula>"TERCIARIA"</formula>
    </cfRule>
  </conditionalFormatting>
  <conditionalFormatting sqref="AB683:AB692">
    <cfRule type="cellIs" dxfId="11300" priority="11231" stopIfTrue="1" operator="equal">
      <formula>"N/A"</formula>
    </cfRule>
    <cfRule type="cellIs" dxfId="11299" priority="11232" stopIfTrue="1" operator="equal">
      <formula>"NO"</formula>
    </cfRule>
  </conditionalFormatting>
  <conditionalFormatting sqref="M713:M722">
    <cfRule type="cellIs" dxfId="11298" priority="11230" stopIfTrue="1" operator="lessThan">
      <formula>0</formula>
    </cfRule>
  </conditionalFormatting>
  <conditionalFormatting sqref="C715:D721 B714:B721 F715:I721 C714:I714 B722:O722 B713:R713 Q714:R715 J714:O721 Q716:Q722 P714:P722">
    <cfRule type="cellIs" dxfId="11297" priority="11229" stopIfTrue="1" operator="greaterThan">
      <formula>0</formula>
    </cfRule>
  </conditionalFormatting>
  <conditionalFormatting sqref="C715:D721">
    <cfRule type="cellIs" dxfId="11296" priority="11228" stopIfTrue="1" operator="greaterThan">
      <formula>0</formula>
    </cfRule>
  </conditionalFormatting>
  <conditionalFormatting sqref="C713:M713 C715:D721 F715:I721 C714:I714 K714:M721 J714:J722 L722:M722">
    <cfRule type="cellIs" dxfId="11295" priority="11227" stopIfTrue="1" operator="greaterThan">
      <formula>0</formula>
    </cfRule>
  </conditionalFormatting>
  <conditionalFormatting sqref="M713:M722">
    <cfRule type="cellIs" dxfId="11294" priority="11226" stopIfTrue="1" operator="lessThan">
      <formula>0</formula>
    </cfRule>
  </conditionalFormatting>
  <conditionalFormatting sqref="J714:J722 L714:O722 C713:O713">
    <cfRule type="cellIs" dxfId="11293" priority="11225" stopIfTrue="1" operator="greaterThan">
      <formula>0</formula>
    </cfRule>
  </conditionalFormatting>
  <conditionalFormatting sqref="H715:I721 K715:M722">
    <cfRule type="cellIs" dxfId="11292" priority="11224" stopIfTrue="1" operator="greaterThan">
      <formula>0</formula>
    </cfRule>
  </conditionalFormatting>
  <conditionalFormatting sqref="I714">
    <cfRule type="cellIs" dxfId="11291" priority="11223" stopIfTrue="1" operator="greaterThan">
      <formula>0</formula>
    </cfRule>
  </conditionalFormatting>
  <conditionalFormatting sqref="I722">
    <cfRule type="cellIs" dxfId="11290" priority="11222" stopIfTrue="1" operator="greaterThan">
      <formula>0</formula>
    </cfRule>
  </conditionalFormatting>
  <conditionalFormatting sqref="E715:E721">
    <cfRule type="cellIs" dxfId="11289" priority="11221" stopIfTrue="1" operator="greaterThan">
      <formula>0</formula>
    </cfRule>
  </conditionalFormatting>
  <conditionalFormatting sqref="K730:K735">
    <cfRule type="containsText" dxfId="11288" priority="11219" stopIfTrue="1" operator="containsText" text="NO CUMPLE">
      <formula>NOT(ISERROR(SEARCH("NO CUMPLE",K730)))</formula>
    </cfRule>
    <cfRule type="containsText" dxfId="11287" priority="11220" stopIfTrue="1" operator="containsText" text="CUMPLE">
      <formula>NOT(ISERROR(SEARCH("CUMPLE",K730)))</formula>
    </cfRule>
  </conditionalFormatting>
  <conditionalFormatting sqref="K736">
    <cfRule type="containsText" dxfId="11286" priority="11217" stopIfTrue="1" operator="containsText" text="NO CUMPLE">
      <formula>NOT(ISERROR(SEARCH("NO CUMPLE",K736)))</formula>
    </cfRule>
    <cfRule type="containsText" dxfId="11285" priority="11218" stopIfTrue="1" operator="containsText" text="CUMPLE">
      <formula>NOT(ISERROR(SEARCH("CUMPLE",K736)))</formula>
    </cfRule>
  </conditionalFormatting>
  <conditionalFormatting sqref="Q729">
    <cfRule type="cellIs" dxfId="11284" priority="11215" operator="greaterThanOrEqual">
      <formula>NUMMINCONT</formula>
    </cfRule>
    <cfRule type="cellIs" dxfId="11283" priority="11216" operator="lessThan">
      <formula>NUMMINCONT</formula>
    </cfRule>
  </conditionalFormatting>
  <conditionalFormatting sqref="W713:Y721">
    <cfRule type="cellIs" dxfId="11282" priority="11213" stopIfTrue="1" operator="equal">
      <formula>"NO"</formula>
    </cfRule>
    <cfRule type="cellIs" dxfId="11281" priority="11214" stopIfTrue="1" operator="equal">
      <formula>"SI"</formula>
    </cfRule>
  </conditionalFormatting>
  <conditionalFormatting sqref="R716">
    <cfRule type="cellIs" dxfId="11280" priority="11212" stopIfTrue="1" operator="greaterThan">
      <formula>0</formula>
    </cfRule>
  </conditionalFormatting>
  <conditionalFormatting sqref="R717">
    <cfRule type="cellIs" dxfId="11279" priority="11211" stopIfTrue="1" operator="greaterThan">
      <formula>0</formula>
    </cfRule>
  </conditionalFormatting>
  <conditionalFormatting sqref="R718">
    <cfRule type="cellIs" dxfId="11278" priority="11210" stopIfTrue="1" operator="greaterThan">
      <formula>0</formula>
    </cfRule>
  </conditionalFormatting>
  <conditionalFormatting sqref="R719">
    <cfRule type="cellIs" dxfId="11277" priority="11209" stopIfTrue="1" operator="greaterThan">
      <formula>0</formula>
    </cfRule>
  </conditionalFormatting>
  <conditionalFormatting sqref="R720">
    <cfRule type="cellIs" dxfId="11276" priority="11208" stopIfTrue="1" operator="greaterThan">
      <formula>0</formula>
    </cfRule>
  </conditionalFormatting>
  <conditionalFormatting sqref="R721">
    <cfRule type="cellIs" dxfId="11275" priority="11207" stopIfTrue="1" operator="greaterThan">
      <formula>0</formula>
    </cfRule>
  </conditionalFormatting>
  <conditionalFormatting sqref="R722">
    <cfRule type="cellIs" dxfId="11274" priority="11206" stopIfTrue="1" operator="greaterThan">
      <formula>0</formula>
    </cfRule>
  </conditionalFormatting>
  <conditionalFormatting sqref="W713:X713">
    <cfRule type="cellIs" dxfId="11273" priority="11205" stopIfTrue="1" operator="equal">
      <formula>"NO APLICA"</formula>
    </cfRule>
  </conditionalFormatting>
  <conditionalFormatting sqref="W714:X717">
    <cfRule type="cellIs" dxfId="11272" priority="11204" stopIfTrue="1" operator="equal">
      <formula>"NO APLICA"</formula>
    </cfRule>
  </conditionalFormatting>
  <conditionalFormatting sqref="W714:X714">
    <cfRule type="cellIs" dxfId="11271" priority="11203" stopIfTrue="1" operator="equal">
      <formula>"NO APLICA"</formula>
    </cfRule>
  </conditionalFormatting>
  <conditionalFormatting sqref="Y713">
    <cfRule type="cellIs" dxfId="11270" priority="11202" stopIfTrue="1" operator="equal">
      <formula>"NO APLICA"</formula>
    </cfRule>
  </conditionalFormatting>
  <conditionalFormatting sqref="Y714:Y717">
    <cfRule type="cellIs" dxfId="11269" priority="11201" stopIfTrue="1" operator="equal">
      <formula>"NO APLICA"</formula>
    </cfRule>
  </conditionalFormatting>
  <conditionalFormatting sqref="W718:X721">
    <cfRule type="cellIs" dxfId="11268" priority="11200" stopIfTrue="1" operator="equal">
      <formula>"NO APLICA"</formula>
    </cfRule>
  </conditionalFormatting>
  <conditionalFormatting sqref="W718:X718">
    <cfRule type="cellIs" dxfId="11267" priority="11199" stopIfTrue="1" operator="equal">
      <formula>"NO APLICA"</formula>
    </cfRule>
  </conditionalFormatting>
  <conditionalFormatting sqref="Y718:Y721">
    <cfRule type="cellIs" dxfId="11266" priority="11198" stopIfTrue="1" operator="equal">
      <formula>"NO APLICA"</formula>
    </cfRule>
  </conditionalFormatting>
  <conditionalFormatting sqref="T727">
    <cfRule type="cellIs" dxfId="11265" priority="11196" operator="equal">
      <formula>"CUMPLE"</formula>
    </cfRule>
    <cfRule type="cellIs" dxfId="11264" priority="11197" operator="equal">
      <formula>"NO CUMPLE"</formula>
    </cfRule>
  </conditionalFormatting>
  <conditionalFormatting sqref="T727:T729">
    <cfRule type="cellIs" dxfId="11263" priority="11195" operator="equal">
      <formula>"VERIFICAR"</formula>
    </cfRule>
  </conditionalFormatting>
  <conditionalFormatting sqref="AD713:AF717">
    <cfRule type="cellIs" dxfId="11262" priority="11193" stopIfTrue="1" operator="equal">
      <formula>"NO"</formula>
    </cfRule>
    <cfRule type="cellIs" dxfId="11261" priority="11194" stopIfTrue="1" operator="equal">
      <formula>"SI"</formula>
    </cfRule>
  </conditionalFormatting>
  <conditionalFormatting sqref="AD718:AF721">
    <cfRule type="cellIs" dxfId="11260" priority="11191" stopIfTrue="1" operator="equal">
      <formula>"NO"</formula>
    </cfRule>
    <cfRule type="cellIs" dxfId="11259" priority="11192" stopIfTrue="1" operator="equal">
      <formula>"SI"</formula>
    </cfRule>
  </conditionalFormatting>
  <conditionalFormatting sqref="W722:Y722">
    <cfRule type="cellIs" dxfId="11258" priority="11189" stopIfTrue="1" operator="equal">
      <formula>"NO"</formula>
    </cfRule>
    <cfRule type="cellIs" dxfId="11257" priority="11190" stopIfTrue="1" operator="equal">
      <formula>"SI"</formula>
    </cfRule>
  </conditionalFormatting>
  <conditionalFormatting sqref="W722:X722">
    <cfRule type="cellIs" dxfId="11256" priority="11188" stopIfTrue="1" operator="equal">
      <formula>"NO APLICA"</formula>
    </cfRule>
  </conditionalFormatting>
  <conditionalFormatting sqref="Y722">
    <cfRule type="cellIs" dxfId="11255" priority="11187" stopIfTrue="1" operator="equal">
      <formula>"NO APLICA"</formula>
    </cfRule>
  </conditionalFormatting>
  <conditionalFormatting sqref="AD722:AF722">
    <cfRule type="cellIs" dxfId="11254" priority="11185" stopIfTrue="1" operator="equal">
      <formula>"NO"</formula>
    </cfRule>
    <cfRule type="cellIs" dxfId="11253" priority="11186" stopIfTrue="1" operator="equal">
      <formula>"SI"</formula>
    </cfRule>
  </conditionalFormatting>
  <conditionalFormatting sqref="AE727">
    <cfRule type="cellIs" dxfId="11252" priority="11182" stopIfTrue="1" operator="equal">
      <formula>"VERIFICAR"</formula>
    </cfRule>
    <cfRule type="cellIs" dxfId="11251" priority="11183" stopIfTrue="1" operator="equal">
      <formula>"NO CUMPLE"</formula>
    </cfRule>
    <cfRule type="cellIs" dxfId="11250" priority="11184" stopIfTrue="1" operator="equal">
      <formula>"CUMPLE"</formula>
    </cfRule>
  </conditionalFormatting>
  <conditionalFormatting sqref="AF727">
    <cfRule type="cellIs" dxfId="11249" priority="11179" stopIfTrue="1" operator="equal">
      <formula>"VERIFICAR"</formula>
    </cfRule>
    <cfRule type="cellIs" dxfId="11248" priority="11180" stopIfTrue="1" operator="equal">
      <formula>"NO CUMPLE"</formula>
    </cfRule>
    <cfRule type="cellIs" dxfId="11247" priority="11181" stopIfTrue="1" operator="equal">
      <formula>"CUMPLE"</formula>
    </cfRule>
  </conditionalFormatting>
  <conditionalFormatting sqref="Y730">
    <cfRule type="cellIs" dxfId="11246" priority="11178" operator="equal">
      <formula>"VERIFICAR CUADRO"</formula>
    </cfRule>
  </conditionalFormatting>
  <conditionalFormatting sqref="AC731:AC736">
    <cfRule type="cellIs" dxfId="11245" priority="11177" stopIfTrue="1" operator="greaterThan">
      <formula>0</formula>
    </cfRule>
  </conditionalFormatting>
  <conditionalFormatting sqref="AC731:AC736">
    <cfRule type="cellIs" dxfId="11244" priority="11176" stopIfTrue="1" operator="greaterThan">
      <formula>0</formula>
    </cfRule>
  </conditionalFormatting>
  <conditionalFormatting sqref="AD731:AD736">
    <cfRule type="containsText" dxfId="11243" priority="11174" stopIfTrue="1" operator="containsText" text="NO CUMPLE">
      <formula>NOT(ISERROR(SEARCH("NO CUMPLE",AD731)))</formula>
    </cfRule>
    <cfRule type="containsText" dxfId="11242" priority="11175" stopIfTrue="1" operator="containsText" text="CUMPLE">
      <formula>NOT(ISERROR(SEARCH("CUMPLE",AD731)))</formula>
    </cfRule>
  </conditionalFormatting>
  <conditionalFormatting sqref="Y736">
    <cfRule type="containsText" dxfId="11241" priority="11172" stopIfTrue="1" operator="containsText" text="NO CUMPLE">
      <formula>NOT(ISERROR(SEARCH("NO CUMPLE",Y736)))</formula>
    </cfRule>
    <cfRule type="containsText" dxfId="11240" priority="11173" stopIfTrue="1" operator="containsText" text="CUMPLE">
      <formula>NOT(ISERROR(SEARCH("CUMPLE",Y736)))</formula>
    </cfRule>
  </conditionalFormatting>
  <conditionalFormatting sqref="AA713:AA722">
    <cfRule type="cellIs" dxfId="11239" priority="11170" stopIfTrue="1" operator="equal">
      <formula>"NO APLICA"</formula>
    </cfRule>
    <cfRule type="cellIs" dxfId="11238" priority="11171" stopIfTrue="1" operator="equal">
      <formula>"TERCIARIA"</formula>
    </cfRule>
  </conditionalFormatting>
  <conditionalFormatting sqref="AB713:AB722">
    <cfRule type="cellIs" dxfId="11237" priority="11168" stopIfTrue="1" operator="equal">
      <formula>"N/A"</formula>
    </cfRule>
    <cfRule type="cellIs" dxfId="11236" priority="11169" stopIfTrue="1" operator="equal">
      <formula>"NO"</formula>
    </cfRule>
  </conditionalFormatting>
  <conditionalFormatting sqref="M743:M752">
    <cfRule type="cellIs" dxfId="11235" priority="11167" stopIfTrue="1" operator="lessThan">
      <formula>0</formula>
    </cfRule>
  </conditionalFormatting>
  <conditionalFormatting sqref="C745:D751 B744:B751 F745:I751 C744:I744 B752:O752 B743:R743 Q744:R745 J744:O751 Q746:Q752 P744:P752">
    <cfRule type="cellIs" dxfId="11234" priority="11166" stopIfTrue="1" operator="greaterThan">
      <formula>0</formula>
    </cfRule>
  </conditionalFormatting>
  <conditionalFormatting sqref="C745:D751">
    <cfRule type="cellIs" dxfId="11233" priority="11165" stopIfTrue="1" operator="greaterThan">
      <formula>0</formula>
    </cfRule>
  </conditionalFormatting>
  <conditionalFormatting sqref="C743:M743 C745:D751 F745:I751 C744:I744 K744:M751 J744:J752 L752:M752">
    <cfRule type="cellIs" dxfId="11232" priority="11164" stopIfTrue="1" operator="greaterThan">
      <formula>0</formula>
    </cfRule>
  </conditionalFormatting>
  <conditionalFormatting sqref="M743:M752">
    <cfRule type="cellIs" dxfId="11231" priority="11163" stopIfTrue="1" operator="lessThan">
      <formula>0</formula>
    </cfRule>
  </conditionalFormatting>
  <conditionalFormatting sqref="J744:J752 L744:O752 C743:O743">
    <cfRule type="cellIs" dxfId="11230" priority="11162" stopIfTrue="1" operator="greaterThan">
      <formula>0</formula>
    </cfRule>
  </conditionalFormatting>
  <conditionalFormatting sqref="H745:I751 K745:M752">
    <cfRule type="cellIs" dxfId="11229" priority="11161" stopIfTrue="1" operator="greaterThan">
      <formula>0</formula>
    </cfRule>
  </conditionalFormatting>
  <conditionalFormatting sqref="I744">
    <cfRule type="cellIs" dxfId="11228" priority="11160" stopIfTrue="1" operator="greaterThan">
      <formula>0</formula>
    </cfRule>
  </conditionalFormatting>
  <conditionalFormatting sqref="I752">
    <cfRule type="cellIs" dxfId="11227" priority="11159" stopIfTrue="1" operator="greaterThan">
      <formula>0</formula>
    </cfRule>
  </conditionalFormatting>
  <conditionalFormatting sqref="E745:E751">
    <cfRule type="cellIs" dxfId="11226" priority="11158" stopIfTrue="1" operator="greaterThan">
      <formula>0</formula>
    </cfRule>
  </conditionalFormatting>
  <conditionalFormatting sqref="K760:K765">
    <cfRule type="containsText" dxfId="11225" priority="11156" stopIfTrue="1" operator="containsText" text="NO CUMPLE">
      <formula>NOT(ISERROR(SEARCH("NO CUMPLE",K760)))</formula>
    </cfRule>
    <cfRule type="containsText" dxfId="11224" priority="11157" stopIfTrue="1" operator="containsText" text="CUMPLE">
      <formula>NOT(ISERROR(SEARCH("CUMPLE",K760)))</formula>
    </cfRule>
  </conditionalFormatting>
  <conditionalFormatting sqref="K766">
    <cfRule type="containsText" dxfId="11223" priority="11154" stopIfTrue="1" operator="containsText" text="NO CUMPLE">
      <formula>NOT(ISERROR(SEARCH("NO CUMPLE",K766)))</formula>
    </cfRule>
    <cfRule type="containsText" dxfId="11222" priority="11155" stopIfTrue="1" operator="containsText" text="CUMPLE">
      <formula>NOT(ISERROR(SEARCH("CUMPLE",K766)))</formula>
    </cfRule>
  </conditionalFormatting>
  <conditionalFormatting sqref="Q759">
    <cfRule type="cellIs" dxfId="11221" priority="11152" operator="greaterThanOrEqual">
      <formula>NUMMINCONT</formula>
    </cfRule>
    <cfRule type="cellIs" dxfId="11220" priority="11153" operator="lessThan">
      <formula>NUMMINCONT</formula>
    </cfRule>
  </conditionalFormatting>
  <conditionalFormatting sqref="W743:Y751">
    <cfRule type="cellIs" dxfId="11219" priority="11150" stopIfTrue="1" operator="equal">
      <formula>"NO"</formula>
    </cfRule>
    <cfRule type="cellIs" dxfId="11218" priority="11151" stopIfTrue="1" operator="equal">
      <formula>"SI"</formula>
    </cfRule>
  </conditionalFormatting>
  <conditionalFormatting sqref="R746">
    <cfRule type="cellIs" dxfId="11217" priority="11149" stopIfTrue="1" operator="greaterThan">
      <formula>0</formula>
    </cfRule>
  </conditionalFormatting>
  <conditionalFormatting sqref="R747">
    <cfRule type="cellIs" dxfId="11216" priority="11148" stopIfTrue="1" operator="greaterThan">
      <formula>0</formula>
    </cfRule>
  </conditionalFormatting>
  <conditionalFormatting sqref="R748">
    <cfRule type="cellIs" dxfId="11215" priority="11147" stopIfTrue="1" operator="greaterThan">
      <formula>0</formula>
    </cfRule>
  </conditionalFormatting>
  <conditionalFormatting sqref="R749">
    <cfRule type="cellIs" dxfId="11214" priority="11146" stopIfTrue="1" operator="greaterThan">
      <formula>0</formula>
    </cfRule>
  </conditionalFormatting>
  <conditionalFormatting sqref="R750">
    <cfRule type="cellIs" dxfId="11213" priority="11145" stopIfTrue="1" operator="greaterThan">
      <formula>0</formula>
    </cfRule>
  </conditionalFormatting>
  <conditionalFormatting sqref="R751">
    <cfRule type="cellIs" dxfId="11212" priority="11144" stopIfTrue="1" operator="greaterThan">
      <formula>0</formula>
    </cfRule>
  </conditionalFormatting>
  <conditionalFormatting sqref="R752">
    <cfRule type="cellIs" dxfId="11211" priority="11143" stopIfTrue="1" operator="greaterThan">
      <formula>0</formula>
    </cfRule>
  </conditionalFormatting>
  <conditionalFormatting sqref="W743:X743">
    <cfRule type="cellIs" dxfId="11210" priority="11142" stopIfTrue="1" operator="equal">
      <formula>"NO APLICA"</formula>
    </cfRule>
  </conditionalFormatting>
  <conditionalFormatting sqref="W744:X747">
    <cfRule type="cellIs" dxfId="11209" priority="11141" stopIfTrue="1" operator="equal">
      <formula>"NO APLICA"</formula>
    </cfRule>
  </conditionalFormatting>
  <conditionalFormatting sqref="W744:X744">
    <cfRule type="cellIs" dxfId="11208" priority="11140" stopIfTrue="1" operator="equal">
      <formula>"NO APLICA"</formula>
    </cfRule>
  </conditionalFormatting>
  <conditionalFormatting sqref="Y743">
    <cfRule type="cellIs" dxfId="11207" priority="11139" stopIfTrue="1" operator="equal">
      <formula>"NO APLICA"</formula>
    </cfRule>
  </conditionalFormatting>
  <conditionalFormatting sqref="Y744:Y747">
    <cfRule type="cellIs" dxfId="11206" priority="11138" stopIfTrue="1" operator="equal">
      <formula>"NO APLICA"</formula>
    </cfRule>
  </conditionalFormatting>
  <conditionalFormatting sqref="W748:X751">
    <cfRule type="cellIs" dxfId="11205" priority="11137" stopIfTrue="1" operator="equal">
      <formula>"NO APLICA"</formula>
    </cfRule>
  </conditionalFormatting>
  <conditionalFormatting sqref="W748:X748">
    <cfRule type="cellIs" dxfId="11204" priority="11136" stopIfTrue="1" operator="equal">
      <formula>"NO APLICA"</formula>
    </cfRule>
  </conditionalFormatting>
  <conditionalFormatting sqref="Y748:Y751">
    <cfRule type="cellIs" dxfId="11203" priority="11135" stopIfTrue="1" operator="equal">
      <formula>"NO APLICA"</formula>
    </cfRule>
  </conditionalFormatting>
  <conditionalFormatting sqref="T757">
    <cfRule type="cellIs" dxfId="11202" priority="11133" operator="equal">
      <formula>"CUMPLE"</formula>
    </cfRule>
    <cfRule type="cellIs" dxfId="11201" priority="11134" operator="equal">
      <formula>"NO CUMPLE"</formula>
    </cfRule>
  </conditionalFormatting>
  <conditionalFormatting sqref="T757:T759">
    <cfRule type="cellIs" dxfId="11200" priority="11132" operator="equal">
      <formula>"VERIFICAR"</formula>
    </cfRule>
  </conditionalFormatting>
  <conditionalFormatting sqref="AD743:AF747">
    <cfRule type="cellIs" dxfId="11199" priority="11130" stopIfTrue="1" operator="equal">
      <formula>"NO"</formula>
    </cfRule>
    <cfRule type="cellIs" dxfId="11198" priority="11131" stopIfTrue="1" operator="equal">
      <formula>"SI"</formula>
    </cfRule>
  </conditionalFormatting>
  <conditionalFormatting sqref="AD748:AF751">
    <cfRule type="cellIs" dxfId="11197" priority="11128" stopIfTrue="1" operator="equal">
      <formula>"NO"</formula>
    </cfRule>
    <cfRule type="cellIs" dxfId="11196" priority="11129" stopIfTrue="1" operator="equal">
      <formula>"SI"</formula>
    </cfRule>
  </conditionalFormatting>
  <conditionalFormatting sqref="W752:Y752">
    <cfRule type="cellIs" dxfId="11195" priority="11126" stopIfTrue="1" operator="equal">
      <formula>"NO"</formula>
    </cfRule>
    <cfRule type="cellIs" dxfId="11194" priority="11127" stopIfTrue="1" operator="equal">
      <formula>"SI"</formula>
    </cfRule>
  </conditionalFormatting>
  <conditionalFormatting sqref="W752:X752">
    <cfRule type="cellIs" dxfId="11193" priority="11125" stopIfTrue="1" operator="equal">
      <formula>"NO APLICA"</formula>
    </cfRule>
  </conditionalFormatting>
  <conditionalFormatting sqref="Y752">
    <cfRule type="cellIs" dxfId="11192" priority="11124" stopIfTrue="1" operator="equal">
      <formula>"NO APLICA"</formula>
    </cfRule>
  </conditionalFormatting>
  <conditionalFormatting sqref="AD752:AF752">
    <cfRule type="cellIs" dxfId="11191" priority="11122" stopIfTrue="1" operator="equal">
      <formula>"NO"</formula>
    </cfRule>
    <cfRule type="cellIs" dxfId="11190" priority="11123" stopIfTrue="1" operator="equal">
      <formula>"SI"</formula>
    </cfRule>
  </conditionalFormatting>
  <conditionalFormatting sqref="AE757">
    <cfRule type="cellIs" dxfId="11189" priority="11119" stopIfTrue="1" operator="equal">
      <formula>"VERIFICAR"</formula>
    </cfRule>
    <cfRule type="cellIs" dxfId="11188" priority="11120" stopIfTrue="1" operator="equal">
      <formula>"NO CUMPLE"</formula>
    </cfRule>
    <cfRule type="cellIs" dxfId="11187" priority="11121" stopIfTrue="1" operator="equal">
      <formula>"CUMPLE"</formula>
    </cfRule>
  </conditionalFormatting>
  <conditionalFormatting sqref="AF757">
    <cfRule type="cellIs" dxfId="11186" priority="11116" stopIfTrue="1" operator="equal">
      <formula>"VERIFICAR"</formula>
    </cfRule>
    <cfRule type="cellIs" dxfId="11185" priority="11117" stopIfTrue="1" operator="equal">
      <formula>"NO CUMPLE"</formula>
    </cfRule>
    <cfRule type="cellIs" dxfId="11184" priority="11118" stopIfTrue="1" operator="equal">
      <formula>"CUMPLE"</formula>
    </cfRule>
  </conditionalFormatting>
  <conditionalFormatting sqref="Y760">
    <cfRule type="cellIs" dxfId="11183" priority="11115" operator="equal">
      <formula>"VERIFICAR CUADRO"</formula>
    </cfRule>
  </conditionalFormatting>
  <conditionalFormatting sqref="AC761:AC766">
    <cfRule type="cellIs" dxfId="11182" priority="11114" stopIfTrue="1" operator="greaterThan">
      <formula>0</formula>
    </cfRule>
  </conditionalFormatting>
  <conditionalFormatting sqref="AC761:AC766">
    <cfRule type="cellIs" dxfId="11181" priority="11113" stopIfTrue="1" operator="greaterThan">
      <formula>0</formula>
    </cfRule>
  </conditionalFormatting>
  <conditionalFormatting sqref="AD761:AD766">
    <cfRule type="containsText" dxfId="11180" priority="11111" stopIfTrue="1" operator="containsText" text="NO CUMPLE">
      <formula>NOT(ISERROR(SEARCH("NO CUMPLE",AD761)))</formula>
    </cfRule>
    <cfRule type="containsText" dxfId="11179" priority="11112" stopIfTrue="1" operator="containsText" text="CUMPLE">
      <formula>NOT(ISERROR(SEARCH("CUMPLE",AD761)))</formula>
    </cfRule>
  </conditionalFormatting>
  <conditionalFormatting sqref="Y766">
    <cfRule type="containsText" dxfId="11178" priority="11109" stopIfTrue="1" operator="containsText" text="NO CUMPLE">
      <formula>NOT(ISERROR(SEARCH("NO CUMPLE",Y766)))</formula>
    </cfRule>
    <cfRule type="containsText" dxfId="11177" priority="11110" stopIfTrue="1" operator="containsText" text="CUMPLE">
      <formula>NOT(ISERROR(SEARCH("CUMPLE",Y766)))</formula>
    </cfRule>
  </conditionalFormatting>
  <conditionalFormatting sqref="AA743:AA752">
    <cfRule type="cellIs" dxfId="11176" priority="11107" stopIfTrue="1" operator="equal">
      <formula>"NO APLICA"</formula>
    </cfRule>
    <cfRule type="cellIs" dxfId="11175" priority="11108" stopIfTrue="1" operator="equal">
      <formula>"TERCIARIA"</formula>
    </cfRule>
  </conditionalFormatting>
  <conditionalFormatting sqref="AB743:AB752">
    <cfRule type="cellIs" dxfId="11174" priority="11105" stopIfTrue="1" operator="equal">
      <formula>"N/A"</formula>
    </cfRule>
    <cfRule type="cellIs" dxfId="11173" priority="11106" stopIfTrue="1" operator="equal">
      <formula>"NO"</formula>
    </cfRule>
  </conditionalFormatting>
  <conditionalFormatting sqref="M773:M782">
    <cfRule type="cellIs" dxfId="11172" priority="11104" stopIfTrue="1" operator="lessThan">
      <formula>0</formula>
    </cfRule>
  </conditionalFormatting>
  <conditionalFormatting sqref="C775:D781 B774:B781 F775:I781 C774:I774 B782:O782 B773:R773 Q774:R775 J774:O781 Q776:Q782 P774:P782">
    <cfRule type="cellIs" dxfId="11171" priority="11103" stopIfTrue="1" operator="greaterThan">
      <formula>0</formula>
    </cfRule>
  </conditionalFormatting>
  <conditionalFormatting sqref="C775:D781">
    <cfRule type="cellIs" dxfId="11170" priority="11102" stopIfTrue="1" operator="greaterThan">
      <formula>0</formula>
    </cfRule>
  </conditionalFormatting>
  <conditionalFormatting sqref="C773:M773 C775:D781 F775:I781 C774:I774 K774:M781 J774:J782 L782:M782">
    <cfRule type="cellIs" dxfId="11169" priority="11101" stopIfTrue="1" operator="greaterThan">
      <formula>0</formula>
    </cfRule>
  </conditionalFormatting>
  <conditionalFormatting sqref="M773:M782">
    <cfRule type="cellIs" dxfId="11168" priority="11100" stopIfTrue="1" operator="lessThan">
      <formula>0</formula>
    </cfRule>
  </conditionalFormatting>
  <conditionalFormatting sqref="J774:J782 L774:O782 C773:O773">
    <cfRule type="cellIs" dxfId="11167" priority="11099" stopIfTrue="1" operator="greaterThan">
      <formula>0</formula>
    </cfRule>
  </conditionalFormatting>
  <conditionalFormatting sqref="H775:I781 K775:M782">
    <cfRule type="cellIs" dxfId="11166" priority="11098" stopIfTrue="1" operator="greaterThan">
      <formula>0</formula>
    </cfRule>
  </conditionalFormatting>
  <conditionalFormatting sqref="I774">
    <cfRule type="cellIs" dxfId="11165" priority="11097" stopIfTrue="1" operator="greaterThan">
      <formula>0</formula>
    </cfRule>
  </conditionalFormatting>
  <conditionalFormatting sqref="I782">
    <cfRule type="cellIs" dxfId="11164" priority="11096" stopIfTrue="1" operator="greaterThan">
      <formula>0</formula>
    </cfRule>
  </conditionalFormatting>
  <conditionalFormatting sqref="E775:E781">
    <cfRule type="cellIs" dxfId="11163" priority="11095" stopIfTrue="1" operator="greaterThan">
      <formula>0</formula>
    </cfRule>
  </conditionalFormatting>
  <conditionalFormatting sqref="K790:K795">
    <cfRule type="containsText" dxfId="11162" priority="11093" stopIfTrue="1" operator="containsText" text="NO CUMPLE">
      <formula>NOT(ISERROR(SEARCH("NO CUMPLE",K790)))</formula>
    </cfRule>
    <cfRule type="containsText" dxfId="11161" priority="11094" stopIfTrue="1" operator="containsText" text="CUMPLE">
      <formula>NOT(ISERROR(SEARCH("CUMPLE",K790)))</formula>
    </cfRule>
  </conditionalFormatting>
  <conditionalFormatting sqref="K796">
    <cfRule type="containsText" dxfId="11160" priority="11091" stopIfTrue="1" operator="containsText" text="NO CUMPLE">
      <formula>NOT(ISERROR(SEARCH("NO CUMPLE",K796)))</formula>
    </cfRule>
    <cfRule type="containsText" dxfId="11159" priority="11092" stopIfTrue="1" operator="containsText" text="CUMPLE">
      <formula>NOT(ISERROR(SEARCH("CUMPLE",K796)))</formula>
    </cfRule>
  </conditionalFormatting>
  <conditionalFormatting sqref="Q789">
    <cfRule type="cellIs" dxfId="11158" priority="11089" operator="greaterThanOrEqual">
      <formula>NUMMINCONT</formula>
    </cfRule>
    <cfRule type="cellIs" dxfId="11157" priority="11090" operator="lessThan">
      <formula>NUMMINCONT</formula>
    </cfRule>
  </conditionalFormatting>
  <conditionalFormatting sqref="W773:Y781">
    <cfRule type="cellIs" dxfId="11156" priority="11087" stopIfTrue="1" operator="equal">
      <formula>"NO"</formula>
    </cfRule>
    <cfRule type="cellIs" dxfId="11155" priority="11088" stopIfTrue="1" operator="equal">
      <formula>"SI"</formula>
    </cfRule>
  </conditionalFormatting>
  <conditionalFormatting sqref="R776">
    <cfRule type="cellIs" dxfId="11154" priority="11086" stopIfTrue="1" operator="greaterThan">
      <formula>0</formula>
    </cfRule>
  </conditionalFormatting>
  <conditionalFormatting sqref="R777">
    <cfRule type="cellIs" dxfId="11153" priority="11085" stopIfTrue="1" operator="greaterThan">
      <formula>0</formula>
    </cfRule>
  </conditionalFormatting>
  <conditionalFormatting sqref="R778">
    <cfRule type="cellIs" dxfId="11152" priority="11084" stopIfTrue="1" operator="greaterThan">
      <formula>0</formula>
    </cfRule>
  </conditionalFormatting>
  <conditionalFormatting sqref="R779">
    <cfRule type="cellIs" dxfId="11151" priority="11083" stopIfTrue="1" operator="greaterThan">
      <formula>0</formula>
    </cfRule>
  </conditionalFormatting>
  <conditionalFormatting sqref="R780">
    <cfRule type="cellIs" dxfId="11150" priority="11082" stopIfTrue="1" operator="greaterThan">
      <formula>0</formula>
    </cfRule>
  </conditionalFormatting>
  <conditionalFormatting sqref="R781">
    <cfRule type="cellIs" dxfId="11149" priority="11081" stopIfTrue="1" operator="greaterThan">
      <formula>0</formula>
    </cfRule>
  </conditionalFormatting>
  <conditionalFormatting sqref="R782">
    <cfRule type="cellIs" dxfId="11148" priority="11080" stopIfTrue="1" operator="greaterThan">
      <formula>0</formula>
    </cfRule>
  </conditionalFormatting>
  <conditionalFormatting sqref="W773:X773">
    <cfRule type="cellIs" dxfId="11147" priority="11079" stopIfTrue="1" operator="equal">
      <formula>"NO APLICA"</formula>
    </cfRule>
  </conditionalFormatting>
  <conditionalFormatting sqref="W774:X777">
    <cfRule type="cellIs" dxfId="11146" priority="11078" stopIfTrue="1" operator="equal">
      <formula>"NO APLICA"</formula>
    </cfRule>
  </conditionalFormatting>
  <conditionalFormatting sqref="W774:X774">
    <cfRule type="cellIs" dxfId="11145" priority="11077" stopIfTrue="1" operator="equal">
      <formula>"NO APLICA"</formula>
    </cfRule>
  </conditionalFormatting>
  <conditionalFormatting sqref="Y773">
    <cfRule type="cellIs" dxfId="11144" priority="11076" stopIfTrue="1" operator="equal">
      <formula>"NO APLICA"</formula>
    </cfRule>
  </conditionalFormatting>
  <conditionalFormatting sqref="Y774:Y777">
    <cfRule type="cellIs" dxfId="11143" priority="11075" stopIfTrue="1" operator="equal">
      <formula>"NO APLICA"</formula>
    </cfRule>
  </conditionalFormatting>
  <conditionalFormatting sqref="W778:X781">
    <cfRule type="cellIs" dxfId="11142" priority="11074" stopIfTrue="1" operator="equal">
      <formula>"NO APLICA"</formula>
    </cfRule>
  </conditionalFormatting>
  <conditionalFormatting sqref="W778:X778">
    <cfRule type="cellIs" dxfId="11141" priority="11073" stopIfTrue="1" operator="equal">
      <formula>"NO APLICA"</formula>
    </cfRule>
  </conditionalFormatting>
  <conditionalFormatting sqref="Y778:Y781">
    <cfRule type="cellIs" dxfId="11140" priority="11072" stopIfTrue="1" operator="equal">
      <formula>"NO APLICA"</formula>
    </cfRule>
  </conditionalFormatting>
  <conditionalFormatting sqref="T787">
    <cfRule type="cellIs" dxfId="11139" priority="11070" operator="equal">
      <formula>"CUMPLE"</formula>
    </cfRule>
    <cfRule type="cellIs" dxfId="11138" priority="11071" operator="equal">
      <formula>"NO CUMPLE"</formula>
    </cfRule>
  </conditionalFormatting>
  <conditionalFormatting sqref="T787:T789">
    <cfRule type="cellIs" dxfId="11137" priority="11069" operator="equal">
      <formula>"VERIFICAR"</formula>
    </cfRule>
  </conditionalFormatting>
  <conditionalFormatting sqref="AD773:AF777">
    <cfRule type="cellIs" dxfId="11136" priority="11067" stopIfTrue="1" operator="equal">
      <formula>"NO"</formula>
    </cfRule>
    <cfRule type="cellIs" dxfId="11135" priority="11068" stopIfTrue="1" operator="equal">
      <formula>"SI"</formula>
    </cfRule>
  </conditionalFormatting>
  <conditionalFormatting sqref="AD778:AF781">
    <cfRule type="cellIs" dxfId="11134" priority="11065" stopIfTrue="1" operator="equal">
      <formula>"NO"</formula>
    </cfRule>
    <cfRule type="cellIs" dxfId="11133" priority="11066" stopIfTrue="1" operator="equal">
      <formula>"SI"</formula>
    </cfRule>
  </conditionalFormatting>
  <conditionalFormatting sqref="W782:Y782">
    <cfRule type="cellIs" dxfId="11132" priority="11063" stopIfTrue="1" operator="equal">
      <formula>"NO"</formula>
    </cfRule>
    <cfRule type="cellIs" dxfId="11131" priority="11064" stopIfTrue="1" operator="equal">
      <formula>"SI"</formula>
    </cfRule>
  </conditionalFormatting>
  <conditionalFormatting sqref="W782:X782">
    <cfRule type="cellIs" dxfId="11130" priority="11062" stopIfTrue="1" operator="equal">
      <formula>"NO APLICA"</formula>
    </cfRule>
  </conditionalFormatting>
  <conditionalFormatting sqref="Y782">
    <cfRule type="cellIs" dxfId="11129" priority="11061" stopIfTrue="1" operator="equal">
      <formula>"NO APLICA"</formula>
    </cfRule>
  </conditionalFormatting>
  <conditionalFormatting sqref="AD782:AF782">
    <cfRule type="cellIs" dxfId="11128" priority="11059" stopIfTrue="1" operator="equal">
      <formula>"NO"</formula>
    </cfRule>
    <cfRule type="cellIs" dxfId="11127" priority="11060" stopIfTrue="1" operator="equal">
      <formula>"SI"</formula>
    </cfRule>
  </conditionalFormatting>
  <conditionalFormatting sqref="AE787">
    <cfRule type="cellIs" dxfId="11126" priority="11056" stopIfTrue="1" operator="equal">
      <formula>"VERIFICAR"</formula>
    </cfRule>
    <cfRule type="cellIs" dxfId="11125" priority="11057" stopIfTrue="1" operator="equal">
      <formula>"NO CUMPLE"</formula>
    </cfRule>
    <cfRule type="cellIs" dxfId="11124" priority="11058" stopIfTrue="1" operator="equal">
      <formula>"CUMPLE"</formula>
    </cfRule>
  </conditionalFormatting>
  <conditionalFormatting sqref="AF787">
    <cfRule type="cellIs" dxfId="11123" priority="11053" stopIfTrue="1" operator="equal">
      <formula>"VERIFICAR"</formula>
    </cfRule>
    <cfRule type="cellIs" dxfId="11122" priority="11054" stopIfTrue="1" operator="equal">
      <formula>"NO CUMPLE"</formula>
    </cfRule>
    <cfRule type="cellIs" dxfId="11121" priority="11055" stopIfTrue="1" operator="equal">
      <formula>"CUMPLE"</formula>
    </cfRule>
  </conditionalFormatting>
  <conditionalFormatting sqref="Y790">
    <cfRule type="cellIs" dxfId="11120" priority="11052" operator="equal">
      <formula>"VERIFICAR CUADRO"</formula>
    </cfRule>
  </conditionalFormatting>
  <conditionalFormatting sqref="AC791:AC796">
    <cfRule type="cellIs" dxfId="11119" priority="11051" stopIfTrue="1" operator="greaterThan">
      <formula>0</formula>
    </cfRule>
  </conditionalFormatting>
  <conditionalFormatting sqref="AC791:AC796">
    <cfRule type="cellIs" dxfId="11118" priority="11050" stopIfTrue="1" operator="greaterThan">
      <formula>0</formula>
    </cfRule>
  </conditionalFormatting>
  <conditionalFormatting sqref="AD791:AD796">
    <cfRule type="containsText" dxfId="11117" priority="11048" stopIfTrue="1" operator="containsText" text="NO CUMPLE">
      <formula>NOT(ISERROR(SEARCH("NO CUMPLE",AD791)))</formula>
    </cfRule>
    <cfRule type="containsText" dxfId="11116" priority="11049" stopIfTrue="1" operator="containsText" text="CUMPLE">
      <formula>NOT(ISERROR(SEARCH("CUMPLE",AD791)))</formula>
    </cfRule>
  </conditionalFormatting>
  <conditionalFormatting sqref="Y796">
    <cfRule type="containsText" dxfId="11115" priority="11046" stopIfTrue="1" operator="containsText" text="NO CUMPLE">
      <formula>NOT(ISERROR(SEARCH("NO CUMPLE",Y796)))</formula>
    </cfRule>
    <cfRule type="containsText" dxfId="11114" priority="11047" stopIfTrue="1" operator="containsText" text="CUMPLE">
      <formula>NOT(ISERROR(SEARCH("CUMPLE",Y796)))</formula>
    </cfRule>
  </conditionalFormatting>
  <conditionalFormatting sqref="AA773:AA782">
    <cfRule type="cellIs" dxfId="11113" priority="11044" stopIfTrue="1" operator="equal">
      <formula>"NO APLICA"</formula>
    </cfRule>
    <cfRule type="cellIs" dxfId="11112" priority="11045" stopIfTrue="1" operator="equal">
      <formula>"TERCIARIA"</formula>
    </cfRule>
  </conditionalFormatting>
  <conditionalFormatting sqref="AB773:AB782">
    <cfRule type="cellIs" dxfId="11111" priority="11042" stopIfTrue="1" operator="equal">
      <formula>"N/A"</formula>
    </cfRule>
    <cfRule type="cellIs" dxfId="11110" priority="11043" stopIfTrue="1" operator="equal">
      <formula>"NO"</formula>
    </cfRule>
  </conditionalFormatting>
  <conditionalFormatting sqref="M803:M812">
    <cfRule type="cellIs" dxfId="11109" priority="11041" stopIfTrue="1" operator="lessThan">
      <formula>0</formula>
    </cfRule>
  </conditionalFormatting>
  <conditionalFormatting sqref="C805:D811 B804:B811 F805:I811 C804:I804 B812:O812 B803:R803 Q804:R805 J804:O811 Q806:Q812 P804:P812">
    <cfRule type="cellIs" dxfId="11108" priority="11040" stopIfTrue="1" operator="greaterThan">
      <formula>0</formula>
    </cfRule>
  </conditionalFormatting>
  <conditionalFormatting sqref="C805:D811">
    <cfRule type="cellIs" dxfId="11107" priority="11039" stopIfTrue="1" operator="greaterThan">
      <formula>0</formula>
    </cfRule>
  </conditionalFormatting>
  <conditionalFormatting sqref="C803:M803 C805:D811 F805:I811 C804:I804 K804:M811 J804:J812 L812:M812">
    <cfRule type="cellIs" dxfId="11106" priority="11038" stopIfTrue="1" operator="greaterThan">
      <formula>0</formula>
    </cfRule>
  </conditionalFormatting>
  <conditionalFormatting sqref="M803:M812">
    <cfRule type="cellIs" dxfId="11105" priority="11037" stopIfTrue="1" operator="lessThan">
      <formula>0</formula>
    </cfRule>
  </conditionalFormatting>
  <conditionalFormatting sqref="J804:J812 L804:O812 C803:O803">
    <cfRule type="cellIs" dxfId="11104" priority="11036" stopIfTrue="1" operator="greaterThan">
      <formula>0</formula>
    </cfRule>
  </conditionalFormatting>
  <conditionalFormatting sqref="H805:I811 K805:M812">
    <cfRule type="cellIs" dxfId="11103" priority="11035" stopIfTrue="1" operator="greaterThan">
      <formula>0</formula>
    </cfRule>
  </conditionalFormatting>
  <conditionalFormatting sqref="I804">
    <cfRule type="cellIs" dxfId="11102" priority="11034" stopIfTrue="1" operator="greaterThan">
      <formula>0</formula>
    </cfRule>
  </conditionalFormatting>
  <conditionalFormatting sqref="I812">
    <cfRule type="cellIs" dxfId="11101" priority="11033" stopIfTrue="1" operator="greaterThan">
      <formula>0</formula>
    </cfRule>
  </conditionalFormatting>
  <conditionalFormatting sqref="E805:E811">
    <cfRule type="cellIs" dxfId="11100" priority="11032" stopIfTrue="1" operator="greaterThan">
      <formula>0</formula>
    </cfRule>
  </conditionalFormatting>
  <conditionalFormatting sqref="K820:K825">
    <cfRule type="containsText" dxfId="11099" priority="11030" stopIfTrue="1" operator="containsText" text="NO CUMPLE">
      <formula>NOT(ISERROR(SEARCH("NO CUMPLE",K820)))</formula>
    </cfRule>
    <cfRule type="containsText" dxfId="11098" priority="11031" stopIfTrue="1" operator="containsText" text="CUMPLE">
      <formula>NOT(ISERROR(SEARCH("CUMPLE",K820)))</formula>
    </cfRule>
  </conditionalFormatting>
  <conditionalFormatting sqref="K826">
    <cfRule type="containsText" dxfId="11097" priority="11028" stopIfTrue="1" operator="containsText" text="NO CUMPLE">
      <formula>NOT(ISERROR(SEARCH("NO CUMPLE",K826)))</formula>
    </cfRule>
    <cfRule type="containsText" dxfId="11096" priority="11029" stopIfTrue="1" operator="containsText" text="CUMPLE">
      <formula>NOT(ISERROR(SEARCH("CUMPLE",K826)))</formula>
    </cfRule>
  </conditionalFormatting>
  <conditionalFormatting sqref="Q819">
    <cfRule type="cellIs" dxfId="11095" priority="11026" operator="greaterThanOrEqual">
      <formula>NUMMINCONT</formula>
    </cfRule>
    <cfRule type="cellIs" dxfId="11094" priority="11027" operator="lessThan">
      <formula>NUMMINCONT</formula>
    </cfRule>
  </conditionalFormatting>
  <conditionalFormatting sqref="W803:Y811">
    <cfRule type="cellIs" dxfId="11093" priority="11024" stopIfTrue="1" operator="equal">
      <formula>"NO"</formula>
    </cfRule>
    <cfRule type="cellIs" dxfId="11092" priority="11025" stopIfTrue="1" operator="equal">
      <formula>"SI"</formula>
    </cfRule>
  </conditionalFormatting>
  <conditionalFormatting sqref="R806">
    <cfRule type="cellIs" dxfId="11091" priority="11023" stopIfTrue="1" operator="greaterThan">
      <formula>0</formula>
    </cfRule>
  </conditionalFormatting>
  <conditionalFormatting sqref="R807">
    <cfRule type="cellIs" dxfId="11090" priority="11022" stopIfTrue="1" operator="greaterThan">
      <formula>0</formula>
    </cfRule>
  </conditionalFormatting>
  <conditionalFormatting sqref="R808">
    <cfRule type="cellIs" dxfId="11089" priority="11021" stopIfTrue="1" operator="greaterThan">
      <formula>0</formula>
    </cfRule>
  </conditionalFormatting>
  <conditionalFormatting sqref="R809">
    <cfRule type="cellIs" dxfId="11088" priority="11020" stopIfTrue="1" operator="greaterThan">
      <formula>0</formula>
    </cfRule>
  </conditionalFormatting>
  <conditionalFormatting sqref="R810">
    <cfRule type="cellIs" dxfId="11087" priority="11019" stopIfTrue="1" operator="greaterThan">
      <formula>0</formula>
    </cfRule>
  </conditionalFormatting>
  <conditionalFormatting sqref="R811">
    <cfRule type="cellIs" dxfId="11086" priority="11018" stopIfTrue="1" operator="greaterThan">
      <formula>0</formula>
    </cfRule>
  </conditionalFormatting>
  <conditionalFormatting sqref="R812">
    <cfRule type="cellIs" dxfId="11085" priority="11017" stopIfTrue="1" operator="greaterThan">
      <formula>0</formula>
    </cfRule>
  </conditionalFormatting>
  <conditionalFormatting sqref="W803:X803">
    <cfRule type="cellIs" dxfId="11084" priority="11016" stopIfTrue="1" operator="equal">
      <formula>"NO APLICA"</formula>
    </cfRule>
  </conditionalFormatting>
  <conditionalFormatting sqref="W804:X807">
    <cfRule type="cellIs" dxfId="11083" priority="11015" stopIfTrue="1" operator="equal">
      <formula>"NO APLICA"</formula>
    </cfRule>
  </conditionalFormatting>
  <conditionalFormatting sqref="W804:X804">
    <cfRule type="cellIs" dxfId="11082" priority="11014" stopIfTrue="1" operator="equal">
      <formula>"NO APLICA"</formula>
    </cfRule>
  </conditionalFormatting>
  <conditionalFormatting sqref="Y803">
    <cfRule type="cellIs" dxfId="11081" priority="11013" stopIfTrue="1" operator="equal">
      <formula>"NO APLICA"</formula>
    </cfRule>
  </conditionalFormatting>
  <conditionalFormatting sqref="Y804:Y807">
    <cfRule type="cellIs" dxfId="11080" priority="11012" stopIfTrue="1" operator="equal">
      <formula>"NO APLICA"</formula>
    </cfRule>
  </conditionalFormatting>
  <conditionalFormatting sqref="W808:X811">
    <cfRule type="cellIs" dxfId="11079" priority="11011" stopIfTrue="1" operator="equal">
      <formula>"NO APLICA"</formula>
    </cfRule>
  </conditionalFormatting>
  <conditionalFormatting sqref="W808:X808">
    <cfRule type="cellIs" dxfId="11078" priority="11010" stopIfTrue="1" operator="equal">
      <formula>"NO APLICA"</formula>
    </cfRule>
  </conditionalFormatting>
  <conditionalFormatting sqref="Y808:Y811">
    <cfRule type="cellIs" dxfId="11077" priority="11009" stopIfTrue="1" operator="equal">
      <formula>"NO APLICA"</formula>
    </cfRule>
  </conditionalFormatting>
  <conditionalFormatting sqref="T817">
    <cfRule type="cellIs" dxfId="11076" priority="11007" operator="equal">
      <formula>"CUMPLE"</formula>
    </cfRule>
    <cfRule type="cellIs" dxfId="11075" priority="11008" operator="equal">
      <formula>"NO CUMPLE"</formula>
    </cfRule>
  </conditionalFormatting>
  <conditionalFormatting sqref="T817:T819">
    <cfRule type="cellIs" dxfId="11074" priority="11006" operator="equal">
      <formula>"VERIFICAR"</formula>
    </cfRule>
  </conditionalFormatting>
  <conditionalFormatting sqref="AD803:AF807">
    <cfRule type="cellIs" dxfId="11073" priority="11004" stopIfTrue="1" operator="equal">
      <formula>"NO"</formula>
    </cfRule>
    <cfRule type="cellIs" dxfId="11072" priority="11005" stopIfTrue="1" operator="equal">
      <formula>"SI"</formula>
    </cfRule>
  </conditionalFormatting>
  <conditionalFormatting sqref="AD808:AF811">
    <cfRule type="cellIs" dxfId="11071" priority="11002" stopIfTrue="1" operator="equal">
      <formula>"NO"</formula>
    </cfRule>
    <cfRule type="cellIs" dxfId="11070" priority="11003" stopIfTrue="1" operator="equal">
      <formula>"SI"</formula>
    </cfRule>
  </conditionalFormatting>
  <conditionalFormatting sqref="W812:Y812">
    <cfRule type="cellIs" dxfId="11069" priority="11000" stopIfTrue="1" operator="equal">
      <formula>"NO"</formula>
    </cfRule>
    <cfRule type="cellIs" dxfId="11068" priority="11001" stopIfTrue="1" operator="equal">
      <formula>"SI"</formula>
    </cfRule>
  </conditionalFormatting>
  <conditionalFormatting sqref="W812:X812">
    <cfRule type="cellIs" dxfId="11067" priority="10999" stopIfTrue="1" operator="equal">
      <formula>"NO APLICA"</formula>
    </cfRule>
  </conditionalFormatting>
  <conditionalFormatting sqref="Y812">
    <cfRule type="cellIs" dxfId="11066" priority="10998" stopIfTrue="1" operator="equal">
      <formula>"NO APLICA"</formula>
    </cfRule>
  </conditionalFormatting>
  <conditionalFormatting sqref="AD812:AF812">
    <cfRule type="cellIs" dxfId="11065" priority="10996" stopIfTrue="1" operator="equal">
      <formula>"NO"</formula>
    </cfRule>
    <cfRule type="cellIs" dxfId="11064" priority="10997" stopIfTrue="1" operator="equal">
      <formula>"SI"</formula>
    </cfRule>
  </conditionalFormatting>
  <conditionalFormatting sqref="AE817">
    <cfRule type="cellIs" dxfId="11063" priority="10993" stopIfTrue="1" operator="equal">
      <formula>"VERIFICAR"</formula>
    </cfRule>
    <cfRule type="cellIs" dxfId="11062" priority="10994" stopIfTrue="1" operator="equal">
      <formula>"NO CUMPLE"</formula>
    </cfRule>
    <cfRule type="cellIs" dxfId="11061" priority="10995" stopIfTrue="1" operator="equal">
      <formula>"CUMPLE"</formula>
    </cfRule>
  </conditionalFormatting>
  <conditionalFormatting sqref="AF817">
    <cfRule type="cellIs" dxfId="11060" priority="10990" stopIfTrue="1" operator="equal">
      <formula>"VERIFICAR"</formula>
    </cfRule>
    <cfRule type="cellIs" dxfId="11059" priority="10991" stopIfTrue="1" operator="equal">
      <formula>"NO CUMPLE"</formula>
    </cfRule>
    <cfRule type="cellIs" dxfId="11058" priority="10992" stopIfTrue="1" operator="equal">
      <formula>"CUMPLE"</formula>
    </cfRule>
  </conditionalFormatting>
  <conditionalFormatting sqref="Y820">
    <cfRule type="cellIs" dxfId="11057" priority="10989" operator="equal">
      <formula>"VERIFICAR CUADRO"</formula>
    </cfRule>
  </conditionalFormatting>
  <conditionalFormatting sqref="AC821:AC826">
    <cfRule type="cellIs" dxfId="11056" priority="10988" stopIfTrue="1" operator="greaterThan">
      <formula>0</formula>
    </cfRule>
  </conditionalFormatting>
  <conditionalFormatting sqref="AC821:AC826">
    <cfRule type="cellIs" dxfId="11055" priority="10987" stopIfTrue="1" operator="greaterThan">
      <formula>0</formula>
    </cfRule>
  </conditionalFormatting>
  <conditionalFormatting sqref="AD821:AD826">
    <cfRule type="containsText" dxfId="11054" priority="10985" stopIfTrue="1" operator="containsText" text="NO CUMPLE">
      <formula>NOT(ISERROR(SEARCH("NO CUMPLE",AD821)))</formula>
    </cfRule>
    <cfRule type="containsText" dxfId="11053" priority="10986" stopIfTrue="1" operator="containsText" text="CUMPLE">
      <formula>NOT(ISERROR(SEARCH("CUMPLE",AD821)))</formula>
    </cfRule>
  </conditionalFormatting>
  <conditionalFormatting sqref="Y826">
    <cfRule type="containsText" dxfId="11052" priority="10983" stopIfTrue="1" operator="containsText" text="NO CUMPLE">
      <formula>NOT(ISERROR(SEARCH("NO CUMPLE",Y826)))</formula>
    </cfRule>
    <cfRule type="containsText" dxfId="11051" priority="10984" stopIfTrue="1" operator="containsText" text="CUMPLE">
      <formula>NOT(ISERROR(SEARCH("CUMPLE",Y826)))</formula>
    </cfRule>
  </conditionalFormatting>
  <conditionalFormatting sqref="AA803:AA812">
    <cfRule type="cellIs" dxfId="11050" priority="10981" stopIfTrue="1" operator="equal">
      <formula>"NO APLICA"</formula>
    </cfRule>
    <cfRule type="cellIs" dxfId="11049" priority="10982" stopIfTrue="1" operator="equal">
      <formula>"TERCIARIA"</formula>
    </cfRule>
  </conditionalFormatting>
  <conditionalFormatting sqref="AB803:AB812">
    <cfRule type="cellIs" dxfId="11048" priority="10979" stopIfTrue="1" operator="equal">
      <formula>"N/A"</formula>
    </cfRule>
    <cfRule type="cellIs" dxfId="11047" priority="10980" stopIfTrue="1" operator="equal">
      <formula>"NO"</formula>
    </cfRule>
  </conditionalFormatting>
  <conditionalFormatting sqref="M833:M842">
    <cfRule type="cellIs" dxfId="11046" priority="10978" stopIfTrue="1" operator="lessThan">
      <formula>0</formula>
    </cfRule>
  </conditionalFormatting>
  <conditionalFormatting sqref="C835:D841 B834:B841 F835:I841 C834:I834 B842:O842 B833:R833 Q834:R835 J834:O841 Q836:Q842 P834:P842">
    <cfRule type="cellIs" dxfId="11045" priority="10977" stopIfTrue="1" operator="greaterThan">
      <formula>0</formula>
    </cfRule>
  </conditionalFormatting>
  <conditionalFormatting sqref="C835:D841">
    <cfRule type="cellIs" dxfId="11044" priority="10976" stopIfTrue="1" operator="greaterThan">
      <formula>0</formula>
    </cfRule>
  </conditionalFormatting>
  <conditionalFormatting sqref="C833:M833 C835:D841 F835:I841 C834:I834 K834:M841 J834:J842 L842:M842">
    <cfRule type="cellIs" dxfId="11043" priority="10975" stopIfTrue="1" operator="greaterThan">
      <formula>0</formula>
    </cfRule>
  </conditionalFormatting>
  <conditionalFormatting sqref="M833:M842">
    <cfRule type="cellIs" dxfId="11042" priority="10974" stopIfTrue="1" operator="lessThan">
      <formula>0</formula>
    </cfRule>
  </conditionalFormatting>
  <conditionalFormatting sqref="J834:J842 L834:O842 C833:O833">
    <cfRule type="cellIs" dxfId="11041" priority="10973" stopIfTrue="1" operator="greaterThan">
      <formula>0</formula>
    </cfRule>
  </conditionalFormatting>
  <conditionalFormatting sqref="H835:I841 K835:M842">
    <cfRule type="cellIs" dxfId="11040" priority="10972" stopIfTrue="1" operator="greaterThan">
      <formula>0</formula>
    </cfRule>
  </conditionalFormatting>
  <conditionalFormatting sqref="I834">
    <cfRule type="cellIs" dxfId="11039" priority="10971" stopIfTrue="1" operator="greaterThan">
      <formula>0</formula>
    </cfRule>
  </conditionalFormatting>
  <conditionalFormatting sqref="I842">
    <cfRule type="cellIs" dxfId="11038" priority="10970" stopIfTrue="1" operator="greaterThan">
      <formula>0</formula>
    </cfRule>
  </conditionalFormatting>
  <conditionalFormatting sqref="E835:E841">
    <cfRule type="cellIs" dxfId="11037" priority="10969" stopIfTrue="1" operator="greaterThan">
      <formula>0</formula>
    </cfRule>
  </conditionalFormatting>
  <conditionalFormatting sqref="K850:K855">
    <cfRule type="containsText" dxfId="11036" priority="10967" stopIfTrue="1" operator="containsText" text="NO CUMPLE">
      <formula>NOT(ISERROR(SEARCH("NO CUMPLE",K850)))</formula>
    </cfRule>
    <cfRule type="containsText" dxfId="11035" priority="10968" stopIfTrue="1" operator="containsText" text="CUMPLE">
      <formula>NOT(ISERROR(SEARCH("CUMPLE",K850)))</formula>
    </cfRule>
  </conditionalFormatting>
  <conditionalFormatting sqref="K856">
    <cfRule type="containsText" dxfId="11034" priority="10965" stopIfTrue="1" operator="containsText" text="NO CUMPLE">
      <formula>NOT(ISERROR(SEARCH("NO CUMPLE",K856)))</formula>
    </cfRule>
    <cfRule type="containsText" dxfId="11033" priority="10966" stopIfTrue="1" operator="containsText" text="CUMPLE">
      <formula>NOT(ISERROR(SEARCH("CUMPLE",K856)))</formula>
    </cfRule>
  </conditionalFormatting>
  <conditionalFormatting sqref="Q849">
    <cfRule type="cellIs" dxfId="11032" priority="10963" operator="greaterThanOrEqual">
      <formula>NUMMINCONT</formula>
    </cfRule>
    <cfRule type="cellIs" dxfId="11031" priority="10964" operator="lessThan">
      <formula>NUMMINCONT</formula>
    </cfRule>
  </conditionalFormatting>
  <conditionalFormatting sqref="W833:Y841">
    <cfRule type="cellIs" dxfId="11030" priority="10961" stopIfTrue="1" operator="equal">
      <formula>"NO"</formula>
    </cfRule>
    <cfRule type="cellIs" dxfId="11029" priority="10962" stopIfTrue="1" operator="equal">
      <formula>"SI"</formula>
    </cfRule>
  </conditionalFormatting>
  <conditionalFormatting sqref="R836">
    <cfRule type="cellIs" dxfId="11028" priority="10960" stopIfTrue="1" operator="greaterThan">
      <formula>0</formula>
    </cfRule>
  </conditionalFormatting>
  <conditionalFormatting sqref="R837">
    <cfRule type="cellIs" dxfId="11027" priority="10959" stopIfTrue="1" operator="greaterThan">
      <formula>0</formula>
    </cfRule>
  </conditionalFormatting>
  <conditionalFormatting sqref="R838">
    <cfRule type="cellIs" dxfId="11026" priority="10958" stopIfTrue="1" operator="greaterThan">
      <formula>0</formula>
    </cfRule>
  </conditionalFormatting>
  <conditionalFormatting sqref="R839">
    <cfRule type="cellIs" dxfId="11025" priority="10957" stopIfTrue="1" operator="greaterThan">
      <formula>0</formula>
    </cfRule>
  </conditionalFormatting>
  <conditionalFormatting sqref="R840">
    <cfRule type="cellIs" dxfId="11024" priority="10956" stopIfTrue="1" operator="greaterThan">
      <formula>0</formula>
    </cfRule>
  </conditionalFormatting>
  <conditionalFormatting sqref="R841">
    <cfRule type="cellIs" dxfId="11023" priority="10955" stopIfTrue="1" operator="greaterThan">
      <formula>0</formula>
    </cfRule>
  </conditionalFormatting>
  <conditionalFormatting sqref="R842">
    <cfRule type="cellIs" dxfId="11022" priority="10954" stopIfTrue="1" operator="greaterThan">
      <formula>0</formula>
    </cfRule>
  </conditionalFormatting>
  <conditionalFormatting sqref="W833:X833">
    <cfRule type="cellIs" dxfId="11021" priority="10953" stopIfTrue="1" operator="equal">
      <formula>"NO APLICA"</formula>
    </cfRule>
  </conditionalFormatting>
  <conditionalFormatting sqref="W834:X837">
    <cfRule type="cellIs" dxfId="11020" priority="10952" stopIfTrue="1" operator="equal">
      <formula>"NO APLICA"</formula>
    </cfRule>
  </conditionalFormatting>
  <conditionalFormatting sqref="W834:X834">
    <cfRule type="cellIs" dxfId="11019" priority="10951" stopIfTrue="1" operator="equal">
      <formula>"NO APLICA"</formula>
    </cfRule>
  </conditionalFormatting>
  <conditionalFormatting sqref="Y833">
    <cfRule type="cellIs" dxfId="11018" priority="10950" stopIfTrue="1" operator="equal">
      <formula>"NO APLICA"</formula>
    </cfRule>
  </conditionalFormatting>
  <conditionalFormatting sqref="Y834:Y837">
    <cfRule type="cellIs" dxfId="11017" priority="10949" stopIfTrue="1" operator="equal">
      <formula>"NO APLICA"</formula>
    </cfRule>
  </conditionalFormatting>
  <conditionalFormatting sqref="W838:X841">
    <cfRule type="cellIs" dxfId="11016" priority="10948" stopIfTrue="1" operator="equal">
      <formula>"NO APLICA"</formula>
    </cfRule>
  </conditionalFormatting>
  <conditionalFormatting sqref="W838:X838">
    <cfRule type="cellIs" dxfId="11015" priority="10947" stopIfTrue="1" operator="equal">
      <formula>"NO APLICA"</formula>
    </cfRule>
  </conditionalFormatting>
  <conditionalFormatting sqref="Y838:Y841">
    <cfRule type="cellIs" dxfId="11014" priority="10946" stopIfTrue="1" operator="equal">
      <formula>"NO APLICA"</formula>
    </cfRule>
  </conditionalFormatting>
  <conditionalFormatting sqref="T847">
    <cfRule type="cellIs" dxfId="11013" priority="10944" operator="equal">
      <formula>"CUMPLE"</formula>
    </cfRule>
    <cfRule type="cellIs" dxfId="11012" priority="10945" operator="equal">
      <formula>"NO CUMPLE"</formula>
    </cfRule>
  </conditionalFormatting>
  <conditionalFormatting sqref="T847:T849">
    <cfRule type="cellIs" dxfId="11011" priority="10943" operator="equal">
      <formula>"VERIFICAR"</formula>
    </cfRule>
  </conditionalFormatting>
  <conditionalFormatting sqref="AD833:AF837">
    <cfRule type="cellIs" dxfId="11010" priority="10941" stopIfTrue="1" operator="equal">
      <formula>"NO"</formula>
    </cfRule>
    <cfRule type="cellIs" dxfId="11009" priority="10942" stopIfTrue="1" operator="equal">
      <formula>"SI"</formula>
    </cfRule>
  </conditionalFormatting>
  <conditionalFormatting sqref="AD838:AF841">
    <cfRule type="cellIs" dxfId="11008" priority="10939" stopIfTrue="1" operator="equal">
      <formula>"NO"</formula>
    </cfRule>
    <cfRule type="cellIs" dxfId="11007" priority="10940" stopIfTrue="1" operator="equal">
      <formula>"SI"</formula>
    </cfRule>
  </conditionalFormatting>
  <conditionalFormatting sqref="W842:Y842">
    <cfRule type="cellIs" dxfId="11006" priority="10937" stopIfTrue="1" operator="equal">
      <formula>"NO"</formula>
    </cfRule>
    <cfRule type="cellIs" dxfId="11005" priority="10938" stopIfTrue="1" operator="equal">
      <formula>"SI"</formula>
    </cfRule>
  </conditionalFormatting>
  <conditionalFormatting sqref="W842:X842">
    <cfRule type="cellIs" dxfId="11004" priority="10936" stopIfTrue="1" operator="equal">
      <formula>"NO APLICA"</formula>
    </cfRule>
  </conditionalFormatting>
  <conditionalFormatting sqref="Y842">
    <cfRule type="cellIs" dxfId="11003" priority="10935" stopIfTrue="1" operator="equal">
      <formula>"NO APLICA"</formula>
    </cfRule>
  </conditionalFormatting>
  <conditionalFormatting sqref="AD842:AF842">
    <cfRule type="cellIs" dxfId="11002" priority="10933" stopIfTrue="1" operator="equal">
      <formula>"NO"</formula>
    </cfRule>
    <cfRule type="cellIs" dxfId="11001" priority="10934" stopIfTrue="1" operator="equal">
      <formula>"SI"</formula>
    </cfRule>
  </conditionalFormatting>
  <conditionalFormatting sqref="AE847">
    <cfRule type="cellIs" dxfId="11000" priority="10930" stopIfTrue="1" operator="equal">
      <formula>"VERIFICAR"</formula>
    </cfRule>
    <cfRule type="cellIs" dxfId="10999" priority="10931" stopIfTrue="1" operator="equal">
      <formula>"NO CUMPLE"</formula>
    </cfRule>
    <cfRule type="cellIs" dxfId="10998" priority="10932" stopIfTrue="1" operator="equal">
      <formula>"CUMPLE"</formula>
    </cfRule>
  </conditionalFormatting>
  <conditionalFormatting sqref="AF847">
    <cfRule type="cellIs" dxfId="10997" priority="10927" stopIfTrue="1" operator="equal">
      <formula>"VERIFICAR"</formula>
    </cfRule>
    <cfRule type="cellIs" dxfId="10996" priority="10928" stopIfTrue="1" operator="equal">
      <formula>"NO CUMPLE"</formula>
    </cfRule>
    <cfRule type="cellIs" dxfId="10995" priority="10929" stopIfTrue="1" operator="equal">
      <formula>"CUMPLE"</formula>
    </cfRule>
  </conditionalFormatting>
  <conditionalFormatting sqref="Y850">
    <cfRule type="cellIs" dxfId="10994" priority="10926" operator="equal">
      <formula>"VERIFICAR CUADRO"</formula>
    </cfRule>
  </conditionalFormatting>
  <conditionalFormatting sqref="AC851:AC856">
    <cfRule type="cellIs" dxfId="10993" priority="10925" stopIfTrue="1" operator="greaterThan">
      <formula>0</formula>
    </cfRule>
  </conditionalFormatting>
  <conditionalFormatting sqref="AC851:AC856">
    <cfRule type="cellIs" dxfId="10992" priority="10924" stopIfTrue="1" operator="greaterThan">
      <formula>0</formula>
    </cfRule>
  </conditionalFormatting>
  <conditionalFormatting sqref="AD851:AD856">
    <cfRule type="containsText" dxfId="10991" priority="10922" stopIfTrue="1" operator="containsText" text="NO CUMPLE">
      <formula>NOT(ISERROR(SEARCH("NO CUMPLE",AD851)))</formula>
    </cfRule>
    <cfRule type="containsText" dxfId="10990" priority="10923" stopIfTrue="1" operator="containsText" text="CUMPLE">
      <formula>NOT(ISERROR(SEARCH("CUMPLE",AD851)))</formula>
    </cfRule>
  </conditionalFormatting>
  <conditionalFormatting sqref="Y856">
    <cfRule type="containsText" dxfId="10989" priority="10920" stopIfTrue="1" operator="containsText" text="NO CUMPLE">
      <formula>NOT(ISERROR(SEARCH("NO CUMPLE",Y856)))</formula>
    </cfRule>
    <cfRule type="containsText" dxfId="10988" priority="10921" stopIfTrue="1" operator="containsText" text="CUMPLE">
      <formula>NOT(ISERROR(SEARCH("CUMPLE",Y856)))</formula>
    </cfRule>
  </conditionalFormatting>
  <conditionalFormatting sqref="AA833:AA842">
    <cfRule type="cellIs" dxfId="10987" priority="10918" stopIfTrue="1" operator="equal">
      <formula>"NO APLICA"</formula>
    </cfRule>
    <cfRule type="cellIs" dxfId="10986" priority="10919" stopIfTrue="1" operator="equal">
      <formula>"TERCIARIA"</formula>
    </cfRule>
  </conditionalFormatting>
  <conditionalFormatting sqref="AB833:AB842">
    <cfRule type="cellIs" dxfId="10985" priority="10916" stopIfTrue="1" operator="equal">
      <formula>"N/A"</formula>
    </cfRule>
    <cfRule type="cellIs" dxfId="10984" priority="10917" stopIfTrue="1" operator="equal">
      <formula>"NO"</formula>
    </cfRule>
  </conditionalFormatting>
  <conditionalFormatting sqref="M863:M872">
    <cfRule type="cellIs" dxfId="10983" priority="10915" stopIfTrue="1" operator="lessThan">
      <formula>0</formula>
    </cfRule>
  </conditionalFormatting>
  <conditionalFormatting sqref="C865:D871 B864:B871 F865:I871 C864:I864 B872:O872 B863:R863 Q864:R865 J864:O871 Q866:Q872 P864:P872">
    <cfRule type="cellIs" dxfId="10982" priority="10914" stopIfTrue="1" operator="greaterThan">
      <formula>0</formula>
    </cfRule>
  </conditionalFormatting>
  <conditionalFormatting sqref="C865:D871">
    <cfRule type="cellIs" dxfId="10981" priority="10913" stopIfTrue="1" operator="greaterThan">
      <formula>0</formula>
    </cfRule>
  </conditionalFormatting>
  <conditionalFormatting sqref="C863:M863 C865:D871 F865:I871 C864:I864 K864:M871 J864:J872 L872:M872">
    <cfRule type="cellIs" dxfId="10980" priority="10912" stopIfTrue="1" operator="greaterThan">
      <formula>0</formula>
    </cfRule>
  </conditionalFormatting>
  <conditionalFormatting sqref="M863:M872">
    <cfRule type="cellIs" dxfId="10979" priority="10911" stopIfTrue="1" operator="lessThan">
      <formula>0</formula>
    </cfRule>
  </conditionalFormatting>
  <conditionalFormatting sqref="J864:J872 L864:O872 C863:O863">
    <cfRule type="cellIs" dxfId="10978" priority="10910" stopIfTrue="1" operator="greaterThan">
      <formula>0</formula>
    </cfRule>
  </conditionalFormatting>
  <conditionalFormatting sqref="H865:I871 K865:M872">
    <cfRule type="cellIs" dxfId="10977" priority="10909" stopIfTrue="1" operator="greaterThan">
      <formula>0</formula>
    </cfRule>
  </conditionalFormatting>
  <conditionalFormatting sqref="I864">
    <cfRule type="cellIs" dxfId="10976" priority="10908" stopIfTrue="1" operator="greaterThan">
      <formula>0</formula>
    </cfRule>
  </conditionalFormatting>
  <conditionalFormatting sqref="I872">
    <cfRule type="cellIs" dxfId="10975" priority="10907" stopIfTrue="1" operator="greaterThan">
      <formula>0</formula>
    </cfRule>
  </conditionalFormatting>
  <conditionalFormatting sqref="E865:E871">
    <cfRule type="cellIs" dxfId="10974" priority="10906" stopIfTrue="1" operator="greaterThan">
      <formula>0</formula>
    </cfRule>
  </conditionalFormatting>
  <conditionalFormatting sqref="K880:K885">
    <cfRule type="containsText" dxfId="10973" priority="10904" stopIfTrue="1" operator="containsText" text="NO CUMPLE">
      <formula>NOT(ISERROR(SEARCH("NO CUMPLE",K880)))</formula>
    </cfRule>
    <cfRule type="containsText" dxfId="10972" priority="10905" stopIfTrue="1" operator="containsText" text="CUMPLE">
      <formula>NOT(ISERROR(SEARCH("CUMPLE",K880)))</formula>
    </cfRule>
  </conditionalFormatting>
  <conditionalFormatting sqref="K886">
    <cfRule type="containsText" dxfId="10971" priority="10902" stopIfTrue="1" operator="containsText" text="NO CUMPLE">
      <formula>NOT(ISERROR(SEARCH("NO CUMPLE",K886)))</formula>
    </cfRule>
    <cfRule type="containsText" dxfId="10970" priority="10903" stopIfTrue="1" operator="containsText" text="CUMPLE">
      <formula>NOT(ISERROR(SEARCH("CUMPLE",K886)))</formula>
    </cfRule>
  </conditionalFormatting>
  <conditionalFormatting sqref="Q879">
    <cfRule type="cellIs" dxfId="10969" priority="10900" operator="greaterThanOrEqual">
      <formula>NUMMINCONT</formula>
    </cfRule>
    <cfRule type="cellIs" dxfId="10968" priority="10901" operator="lessThan">
      <formula>NUMMINCONT</formula>
    </cfRule>
  </conditionalFormatting>
  <conditionalFormatting sqref="W863:Y871">
    <cfRule type="cellIs" dxfId="10967" priority="10898" stopIfTrue="1" operator="equal">
      <formula>"NO"</formula>
    </cfRule>
    <cfRule type="cellIs" dxfId="10966" priority="10899" stopIfTrue="1" operator="equal">
      <formula>"SI"</formula>
    </cfRule>
  </conditionalFormatting>
  <conditionalFormatting sqref="R866">
    <cfRule type="cellIs" dxfId="10965" priority="10897" stopIfTrue="1" operator="greaterThan">
      <formula>0</formula>
    </cfRule>
  </conditionalFormatting>
  <conditionalFormatting sqref="R867">
    <cfRule type="cellIs" dxfId="10964" priority="10896" stopIfTrue="1" operator="greaterThan">
      <formula>0</formula>
    </cfRule>
  </conditionalFormatting>
  <conditionalFormatting sqref="R868">
    <cfRule type="cellIs" dxfId="10963" priority="10895" stopIfTrue="1" operator="greaterThan">
      <formula>0</formula>
    </cfRule>
  </conditionalFormatting>
  <conditionalFormatting sqref="R869">
    <cfRule type="cellIs" dxfId="10962" priority="10894" stopIfTrue="1" operator="greaterThan">
      <formula>0</formula>
    </cfRule>
  </conditionalFormatting>
  <conditionalFormatting sqref="R870">
    <cfRule type="cellIs" dxfId="10961" priority="10893" stopIfTrue="1" operator="greaterThan">
      <formula>0</formula>
    </cfRule>
  </conditionalFormatting>
  <conditionalFormatting sqref="R871">
    <cfRule type="cellIs" dxfId="10960" priority="10892" stopIfTrue="1" operator="greaterThan">
      <formula>0</formula>
    </cfRule>
  </conditionalFormatting>
  <conditionalFormatting sqref="R872">
    <cfRule type="cellIs" dxfId="10959" priority="10891" stopIfTrue="1" operator="greaterThan">
      <formula>0</formula>
    </cfRule>
  </conditionalFormatting>
  <conditionalFormatting sqref="W863:X863">
    <cfRule type="cellIs" dxfId="10958" priority="10890" stopIfTrue="1" operator="equal">
      <formula>"NO APLICA"</formula>
    </cfRule>
  </conditionalFormatting>
  <conditionalFormatting sqref="W864:X867">
    <cfRule type="cellIs" dxfId="10957" priority="10889" stopIfTrue="1" operator="equal">
      <formula>"NO APLICA"</formula>
    </cfRule>
  </conditionalFormatting>
  <conditionalFormatting sqref="W864:X864">
    <cfRule type="cellIs" dxfId="10956" priority="10888" stopIfTrue="1" operator="equal">
      <formula>"NO APLICA"</formula>
    </cfRule>
  </conditionalFormatting>
  <conditionalFormatting sqref="Y863">
    <cfRule type="cellIs" dxfId="10955" priority="10887" stopIfTrue="1" operator="equal">
      <formula>"NO APLICA"</formula>
    </cfRule>
  </conditionalFormatting>
  <conditionalFormatting sqref="Y864:Y867">
    <cfRule type="cellIs" dxfId="10954" priority="10886" stopIfTrue="1" operator="equal">
      <formula>"NO APLICA"</formula>
    </cfRule>
  </conditionalFormatting>
  <conditionalFormatting sqref="W868:X871">
    <cfRule type="cellIs" dxfId="10953" priority="10885" stopIfTrue="1" operator="equal">
      <formula>"NO APLICA"</formula>
    </cfRule>
  </conditionalFormatting>
  <conditionalFormatting sqref="W868:X868">
    <cfRule type="cellIs" dxfId="10952" priority="10884" stopIfTrue="1" operator="equal">
      <formula>"NO APLICA"</formula>
    </cfRule>
  </conditionalFormatting>
  <conditionalFormatting sqref="Y868:Y871">
    <cfRule type="cellIs" dxfId="10951" priority="10883" stopIfTrue="1" operator="equal">
      <formula>"NO APLICA"</formula>
    </cfRule>
  </conditionalFormatting>
  <conditionalFormatting sqref="T877">
    <cfRule type="cellIs" dxfId="10950" priority="10881" operator="equal">
      <formula>"CUMPLE"</formula>
    </cfRule>
    <cfRule type="cellIs" dxfId="10949" priority="10882" operator="equal">
      <formula>"NO CUMPLE"</formula>
    </cfRule>
  </conditionalFormatting>
  <conditionalFormatting sqref="T877:T879">
    <cfRule type="cellIs" dxfId="10948" priority="10880" operator="equal">
      <formula>"VERIFICAR"</formula>
    </cfRule>
  </conditionalFormatting>
  <conditionalFormatting sqref="AD863:AF867">
    <cfRule type="cellIs" dxfId="10947" priority="10878" stopIfTrue="1" operator="equal">
      <formula>"NO"</formula>
    </cfRule>
    <cfRule type="cellIs" dxfId="10946" priority="10879" stopIfTrue="1" operator="equal">
      <formula>"SI"</formula>
    </cfRule>
  </conditionalFormatting>
  <conditionalFormatting sqref="AD868:AF871">
    <cfRule type="cellIs" dxfId="10945" priority="10876" stopIfTrue="1" operator="equal">
      <formula>"NO"</formula>
    </cfRule>
    <cfRule type="cellIs" dxfId="10944" priority="10877" stopIfTrue="1" operator="equal">
      <formula>"SI"</formula>
    </cfRule>
  </conditionalFormatting>
  <conditionalFormatting sqref="W872:Y872">
    <cfRule type="cellIs" dxfId="10943" priority="10874" stopIfTrue="1" operator="equal">
      <formula>"NO"</formula>
    </cfRule>
    <cfRule type="cellIs" dxfId="10942" priority="10875" stopIfTrue="1" operator="equal">
      <formula>"SI"</formula>
    </cfRule>
  </conditionalFormatting>
  <conditionalFormatting sqref="W872:X872">
    <cfRule type="cellIs" dxfId="10941" priority="10873" stopIfTrue="1" operator="equal">
      <formula>"NO APLICA"</formula>
    </cfRule>
  </conditionalFormatting>
  <conditionalFormatting sqref="Y872">
    <cfRule type="cellIs" dxfId="10940" priority="10872" stopIfTrue="1" operator="equal">
      <formula>"NO APLICA"</formula>
    </cfRule>
  </conditionalFormatting>
  <conditionalFormatting sqref="AD872:AF872">
    <cfRule type="cellIs" dxfId="10939" priority="10870" stopIfTrue="1" operator="equal">
      <formula>"NO"</formula>
    </cfRule>
    <cfRule type="cellIs" dxfId="10938" priority="10871" stopIfTrue="1" operator="equal">
      <formula>"SI"</formula>
    </cfRule>
  </conditionalFormatting>
  <conditionalFormatting sqref="AE877">
    <cfRule type="cellIs" dxfId="10937" priority="10867" stopIfTrue="1" operator="equal">
      <formula>"VERIFICAR"</formula>
    </cfRule>
    <cfRule type="cellIs" dxfId="10936" priority="10868" stopIfTrue="1" operator="equal">
      <formula>"NO CUMPLE"</formula>
    </cfRule>
    <cfRule type="cellIs" dxfId="10935" priority="10869" stopIfTrue="1" operator="equal">
      <formula>"CUMPLE"</formula>
    </cfRule>
  </conditionalFormatting>
  <conditionalFormatting sqref="AF877">
    <cfRule type="cellIs" dxfId="10934" priority="10864" stopIfTrue="1" operator="equal">
      <formula>"VERIFICAR"</formula>
    </cfRule>
    <cfRule type="cellIs" dxfId="10933" priority="10865" stopIfTrue="1" operator="equal">
      <formula>"NO CUMPLE"</formula>
    </cfRule>
    <cfRule type="cellIs" dxfId="10932" priority="10866" stopIfTrue="1" operator="equal">
      <formula>"CUMPLE"</formula>
    </cfRule>
  </conditionalFormatting>
  <conditionalFormatting sqref="Y880">
    <cfRule type="cellIs" dxfId="10931" priority="10863" operator="equal">
      <formula>"VERIFICAR CUADRO"</formula>
    </cfRule>
  </conditionalFormatting>
  <conditionalFormatting sqref="AC881:AC886">
    <cfRule type="cellIs" dxfId="10930" priority="10862" stopIfTrue="1" operator="greaterThan">
      <formula>0</formula>
    </cfRule>
  </conditionalFormatting>
  <conditionalFormatting sqref="AC881:AC886">
    <cfRule type="cellIs" dxfId="10929" priority="10861" stopIfTrue="1" operator="greaterThan">
      <formula>0</formula>
    </cfRule>
  </conditionalFormatting>
  <conditionalFormatting sqref="AD881:AD886">
    <cfRule type="containsText" dxfId="10928" priority="10859" stopIfTrue="1" operator="containsText" text="NO CUMPLE">
      <formula>NOT(ISERROR(SEARCH("NO CUMPLE",AD881)))</formula>
    </cfRule>
    <cfRule type="containsText" dxfId="10927" priority="10860" stopIfTrue="1" operator="containsText" text="CUMPLE">
      <formula>NOT(ISERROR(SEARCH("CUMPLE",AD881)))</formula>
    </cfRule>
  </conditionalFormatting>
  <conditionalFormatting sqref="Y886">
    <cfRule type="containsText" dxfId="10926" priority="10857" stopIfTrue="1" operator="containsText" text="NO CUMPLE">
      <formula>NOT(ISERROR(SEARCH("NO CUMPLE",Y886)))</formula>
    </cfRule>
    <cfRule type="containsText" dxfId="10925" priority="10858" stopIfTrue="1" operator="containsText" text="CUMPLE">
      <formula>NOT(ISERROR(SEARCH("CUMPLE",Y886)))</formula>
    </cfRule>
  </conditionalFormatting>
  <conditionalFormatting sqref="AA863:AA872">
    <cfRule type="cellIs" dxfId="10924" priority="10855" stopIfTrue="1" operator="equal">
      <formula>"NO APLICA"</formula>
    </cfRule>
    <cfRule type="cellIs" dxfId="10923" priority="10856" stopIfTrue="1" operator="equal">
      <formula>"TERCIARIA"</formula>
    </cfRule>
  </conditionalFormatting>
  <conditionalFormatting sqref="AB863:AB872">
    <cfRule type="cellIs" dxfId="10922" priority="10853" stopIfTrue="1" operator="equal">
      <formula>"N/A"</formula>
    </cfRule>
    <cfRule type="cellIs" dxfId="10921" priority="10854" stopIfTrue="1" operator="equal">
      <formula>"NO"</formula>
    </cfRule>
  </conditionalFormatting>
  <conditionalFormatting sqref="M893:M902">
    <cfRule type="cellIs" dxfId="10920" priority="10852" stopIfTrue="1" operator="lessThan">
      <formula>0</formula>
    </cfRule>
  </conditionalFormatting>
  <conditionalFormatting sqref="C895:D901 B894:B901 F895:I901 C894:I894 B902:O902 B893:R893 Q894:R895 J894:O901 Q896:Q902 P894:P902">
    <cfRule type="cellIs" dxfId="10919" priority="10851" stopIfTrue="1" operator="greaterThan">
      <formula>0</formula>
    </cfRule>
  </conditionalFormatting>
  <conditionalFormatting sqref="C895:D901">
    <cfRule type="cellIs" dxfId="10918" priority="10850" stopIfTrue="1" operator="greaterThan">
      <formula>0</formula>
    </cfRule>
  </conditionalFormatting>
  <conditionalFormatting sqref="C893:M893 C895:D901 F895:I901 C894:I894 K894:M901 J894:J902 L902:M902">
    <cfRule type="cellIs" dxfId="10917" priority="10849" stopIfTrue="1" operator="greaterThan">
      <formula>0</formula>
    </cfRule>
  </conditionalFormatting>
  <conditionalFormatting sqref="M893:M902">
    <cfRule type="cellIs" dxfId="10916" priority="10848" stopIfTrue="1" operator="lessThan">
      <formula>0</formula>
    </cfRule>
  </conditionalFormatting>
  <conditionalFormatting sqref="J894:J902 L894:O902 C893:O893">
    <cfRule type="cellIs" dxfId="10915" priority="10847" stopIfTrue="1" operator="greaterThan">
      <formula>0</formula>
    </cfRule>
  </conditionalFormatting>
  <conditionalFormatting sqref="H895:I901 K895:M902">
    <cfRule type="cellIs" dxfId="10914" priority="10846" stopIfTrue="1" operator="greaterThan">
      <formula>0</formula>
    </cfRule>
  </conditionalFormatting>
  <conditionalFormatting sqref="I894">
    <cfRule type="cellIs" dxfId="10913" priority="10845" stopIfTrue="1" operator="greaterThan">
      <formula>0</formula>
    </cfRule>
  </conditionalFormatting>
  <conditionalFormatting sqref="I902">
    <cfRule type="cellIs" dxfId="10912" priority="10844" stopIfTrue="1" operator="greaterThan">
      <formula>0</formula>
    </cfRule>
  </conditionalFormatting>
  <conditionalFormatting sqref="E895:E901">
    <cfRule type="cellIs" dxfId="10911" priority="10843" stopIfTrue="1" operator="greaterThan">
      <formula>0</formula>
    </cfRule>
  </conditionalFormatting>
  <conditionalFormatting sqref="K910:K915">
    <cfRule type="containsText" dxfId="10910" priority="10841" stopIfTrue="1" operator="containsText" text="NO CUMPLE">
      <formula>NOT(ISERROR(SEARCH("NO CUMPLE",K910)))</formula>
    </cfRule>
    <cfRule type="containsText" dxfId="10909" priority="10842" stopIfTrue="1" operator="containsText" text="CUMPLE">
      <formula>NOT(ISERROR(SEARCH("CUMPLE",K910)))</formula>
    </cfRule>
  </conditionalFormatting>
  <conditionalFormatting sqref="K916">
    <cfRule type="containsText" dxfId="10908" priority="10839" stopIfTrue="1" operator="containsText" text="NO CUMPLE">
      <formula>NOT(ISERROR(SEARCH("NO CUMPLE",K916)))</formula>
    </cfRule>
    <cfRule type="containsText" dxfId="10907" priority="10840" stopIfTrue="1" operator="containsText" text="CUMPLE">
      <formula>NOT(ISERROR(SEARCH("CUMPLE",K916)))</formula>
    </cfRule>
  </conditionalFormatting>
  <conditionalFormatting sqref="Q909">
    <cfRule type="cellIs" dxfId="10906" priority="10837" operator="greaterThanOrEqual">
      <formula>NUMMINCONT</formula>
    </cfRule>
    <cfRule type="cellIs" dxfId="10905" priority="10838" operator="lessThan">
      <formula>NUMMINCONT</formula>
    </cfRule>
  </conditionalFormatting>
  <conditionalFormatting sqref="W893:Y901">
    <cfRule type="cellIs" dxfId="10904" priority="10835" stopIfTrue="1" operator="equal">
      <formula>"NO"</formula>
    </cfRule>
    <cfRule type="cellIs" dxfId="10903" priority="10836" stopIfTrue="1" operator="equal">
      <formula>"SI"</formula>
    </cfRule>
  </conditionalFormatting>
  <conditionalFormatting sqref="R896">
    <cfRule type="cellIs" dxfId="10902" priority="10834" stopIfTrue="1" operator="greaterThan">
      <formula>0</formula>
    </cfRule>
  </conditionalFormatting>
  <conditionalFormatting sqref="R897">
    <cfRule type="cellIs" dxfId="10901" priority="10833" stopIfTrue="1" operator="greaterThan">
      <formula>0</formula>
    </cfRule>
  </conditionalFormatting>
  <conditionalFormatting sqref="R898">
    <cfRule type="cellIs" dxfId="10900" priority="10832" stopIfTrue="1" operator="greaterThan">
      <formula>0</formula>
    </cfRule>
  </conditionalFormatting>
  <conditionalFormatting sqref="R899">
    <cfRule type="cellIs" dxfId="10899" priority="10831" stopIfTrue="1" operator="greaterThan">
      <formula>0</formula>
    </cfRule>
  </conditionalFormatting>
  <conditionalFormatting sqref="R900">
    <cfRule type="cellIs" dxfId="10898" priority="10830" stopIfTrue="1" operator="greaterThan">
      <formula>0</formula>
    </cfRule>
  </conditionalFormatting>
  <conditionalFormatting sqref="R901">
    <cfRule type="cellIs" dxfId="10897" priority="10829" stopIfTrue="1" operator="greaterThan">
      <formula>0</formula>
    </cfRule>
  </conditionalFormatting>
  <conditionalFormatting sqref="R902">
    <cfRule type="cellIs" dxfId="10896" priority="10828" stopIfTrue="1" operator="greaterThan">
      <formula>0</formula>
    </cfRule>
  </conditionalFormatting>
  <conditionalFormatting sqref="W893:X893">
    <cfRule type="cellIs" dxfId="10895" priority="10827" stopIfTrue="1" operator="equal">
      <formula>"NO APLICA"</formula>
    </cfRule>
  </conditionalFormatting>
  <conditionalFormatting sqref="W894:X897">
    <cfRule type="cellIs" dxfId="10894" priority="10826" stopIfTrue="1" operator="equal">
      <formula>"NO APLICA"</formula>
    </cfRule>
  </conditionalFormatting>
  <conditionalFormatting sqref="W894:X894">
    <cfRule type="cellIs" dxfId="10893" priority="10825" stopIfTrue="1" operator="equal">
      <formula>"NO APLICA"</formula>
    </cfRule>
  </conditionalFormatting>
  <conditionalFormatting sqref="Y893">
    <cfRule type="cellIs" dxfId="10892" priority="10824" stopIfTrue="1" operator="equal">
      <formula>"NO APLICA"</formula>
    </cfRule>
  </conditionalFormatting>
  <conditionalFormatting sqref="Y894:Y897">
    <cfRule type="cellIs" dxfId="10891" priority="10823" stopIfTrue="1" operator="equal">
      <formula>"NO APLICA"</formula>
    </cfRule>
  </conditionalFormatting>
  <conditionalFormatting sqref="W898:X901">
    <cfRule type="cellIs" dxfId="10890" priority="10822" stopIfTrue="1" operator="equal">
      <formula>"NO APLICA"</formula>
    </cfRule>
  </conditionalFormatting>
  <conditionalFormatting sqref="W898:X898">
    <cfRule type="cellIs" dxfId="10889" priority="10821" stopIfTrue="1" operator="equal">
      <formula>"NO APLICA"</formula>
    </cfRule>
  </conditionalFormatting>
  <conditionalFormatting sqref="Y898:Y901">
    <cfRule type="cellIs" dxfId="10888" priority="10820" stopIfTrue="1" operator="equal">
      <formula>"NO APLICA"</formula>
    </cfRule>
  </conditionalFormatting>
  <conditionalFormatting sqref="T907">
    <cfRule type="cellIs" dxfId="10887" priority="10818" operator="equal">
      <formula>"CUMPLE"</formula>
    </cfRule>
    <cfRule type="cellIs" dxfId="10886" priority="10819" operator="equal">
      <formula>"NO CUMPLE"</formula>
    </cfRule>
  </conditionalFormatting>
  <conditionalFormatting sqref="T907:T909">
    <cfRule type="cellIs" dxfId="10885" priority="10817" operator="equal">
      <formula>"VERIFICAR"</formula>
    </cfRule>
  </conditionalFormatting>
  <conditionalFormatting sqref="AD893:AF897">
    <cfRule type="cellIs" dxfId="10884" priority="10815" stopIfTrue="1" operator="equal">
      <formula>"NO"</formula>
    </cfRule>
    <cfRule type="cellIs" dxfId="10883" priority="10816" stopIfTrue="1" operator="equal">
      <formula>"SI"</formula>
    </cfRule>
  </conditionalFormatting>
  <conditionalFormatting sqref="AD898:AF901">
    <cfRule type="cellIs" dxfId="10882" priority="10813" stopIfTrue="1" operator="equal">
      <formula>"NO"</formula>
    </cfRule>
    <cfRule type="cellIs" dxfId="10881" priority="10814" stopIfTrue="1" operator="equal">
      <formula>"SI"</formula>
    </cfRule>
  </conditionalFormatting>
  <conditionalFormatting sqref="W902:Y902">
    <cfRule type="cellIs" dxfId="10880" priority="10811" stopIfTrue="1" operator="equal">
      <formula>"NO"</formula>
    </cfRule>
    <cfRule type="cellIs" dxfId="10879" priority="10812" stopIfTrue="1" operator="equal">
      <formula>"SI"</formula>
    </cfRule>
  </conditionalFormatting>
  <conditionalFormatting sqref="W902:X902">
    <cfRule type="cellIs" dxfId="10878" priority="10810" stopIfTrue="1" operator="equal">
      <formula>"NO APLICA"</formula>
    </cfRule>
  </conditionalFormatting>
  <conditionalFormatting sqref="Y902">
    <cfRule type="cellIs" dxfId="10877" priority="10809" stopIfTrue="1" operator="equal">
      <formula>"NO APLICA"</formula>
    </cfRule>
  </conditionalFormatting>
  <conditionalFormatting sqref="AD902:AF902">
    <cfRule type="cellIs" dxfId="10876" priority="10807" stopIfTrue="1" operator="equal">
      <formula>"NO"</formula>
    </cfRule>
    <cfRule type="cellIs" dxfId="10875" priority="10808" stopIfTrue="1" operator="equal">
      <formula>"SI"</formula>
    </cfRule>
  </conditionalFormatting>
  <conditionalFormatting sqref="AE907">
    <cfRule type="cellIs" dxfId="10874" priority="10804" stopIfTrue="1" operator="equal">
      <formula>"VERIFICAR"</formula>
    </cfRule>
    <cfRule type="cellIs" dxfId="10873" priority="10805" stopIfTrue="1" operator="equal">
      <formula>"NO CUMPLE"</formula>
    </cfRule>
    <cfRule type="cellIs" dxfId="10872" priority="10806" stopIfTrue="1" operator="equal">
      <formula>"CUMPLE"</formula>
    </cfRule>
  </conditionalFormatting>
  <conditionalFormatting sqref="AF907">
    <cfRule type="cellIs" dxfId="10871" priority="10801" stopIfTrue="1" operator="equal">
      <formula>"VERIFICAR"</formula>
    </cfRule>
    <cfRule type="cellIs" dxfId="10870" priority="10802" stopIfTrue="1" operator="equal">
      <formula>"NO CUMPLE"</formula>
    </cfRule>
    <cfRule type="cellIs" dxfId="10869" priority="10803" stopIfTrue="1" operator="equal">
      <formula>"CUMPLE"</formula>
    </cfRule>
  </conditionalFormatting>
  <conditionalFormatting sqref="Y910">
    <cfRule type="cellIs" dxfId="10868" priority="10800" operator="equal">
      <formula>"VERIFICAR CUADRO"</formula>
    </cfRule>
  </conditionalFormatting>
  <conditionalFormatting sqref="AC911:AC916">
    <cfRule type="cellIs" dxfId="10867" priority="10799" stopIfTrue="1" operator="greaterThan">
      <formula>0</formula>
    </cfRule>
  </conditionalFormatting>
  <conditionalFormatting sqref="AC911:AC916">
    <cfRule type="cellIs" dxfId="10866" priority="10798" stopIfTrue="1" operator="greaterThan">
      <formula>0</formula>
    </cfRule>
  </conditionalFormatting>
  <conditionalFormatting sqref="AD911:AD916">
    <cfRule type="containsText" dxfId="10865" priority="10796" stopIfTrue="1" operator="containsText" text="NO CUMPLE">
      <formula>NOT(ISERROR(SEARCH("NO CUMPLE",AD911)))</formula>
    </cfRule>
    <cfRule type="containsText" dxfId="10864" priority="10797" stopIfTrue="1" operator="containsText" text="CUMPLE">
      <formula>NOT(ISERROR(SEARCH("CUMPLE",AD911)))</formula>
    </cfRule>
  </conditionalFormatting>
  <conditionalFormatting sqref="Y916">
    <cfRule type="containsText" dxfId="10863" priority="10794" stopIfTrue="1" operator="containsText" text="NO CUMPLE">
      <formula>NOT(ISERROR(SEARCH("NO CUMPLE",Y916)))</formula>
    </cfRule>
    <cfRule type="containsText" dxfId="10862" priority="10795" stopIfTrue="1" operator="containsText" text="CUMPLE">
      <formula>NOT(ISERROR(SEARCH("CUMPLE",Y916)))</formula>
    </cfRule>
  </conditionalFormatting>
  <conditionalFormatting sqref="AA893:AA902">
    <cfRule type="cellIs" dxfId="10861" priority="10792" stopIfTrue="1" operator="equal">
      <formula>"NO APLICA"</formula>
    </cfRule>
    <cfRule type="cellIs" dxfId="10860" priority="10793" stopIfTrue="1" operator="equal">
      <formula>"TERCIARIA"</formula>
    </cfRule>
  </conditionalFormatting>
  <conditionalFormatting sqref="AB893:AB902">
    <cfRule type="cellIs" dxfId="10859" priority="10790" stopIfTrue="1" operator="equal">
      <formula>"N/A"</formula>
    </cfRule>
    <cfRule type="cellIs" dxfId="10858" priority="10791" stopIfTrue="1" operator="equal">
      <formula>"NO"</formula>
    </cfRule>
  </conditionalFormatting>
  <conditionalFormatting sqref="M923:M932">
    <cfRule type="cellIs" dxfId="10857" priority="10789" stopIfTrue="1" operator="lessThan">
      <formula>0</formula>
    </cfRule>
  </conditionalFormatting>
  <conditionalFormatting sqref="C925:D931 B924:B931 F925:I931 C924:I924 B932:O932 B923:R923 Q924:R925 J924:O931 Q926:Q932 P924:P932">
    <cfRule type="cellIs" dxfId="10856" priority="10788" stopIfTrue="1" operator="greaterThan">
      <formula>0</formula>
    </cfRule>
  </conditionalFormatting>
  <conditionalFormatting sqref="C925:D931">
    <cfRule type="cellIs" dxfId="10855" priority="10787" stopIfTrue="1" operator="greaterThan">
      <formula>0</formula>
    </cfRule>
  </conditionalFormatting>
  <conditionalFormatting sqref="C923:M923 C925:D931 F925:I931 C924:I924 K924:M931 J924:J932 L932:M932">
    <cfRule type="cellIs" dxfId="10854" priority="10786" stopIfTrue="1" operator="greaterThan">
      <formula>0</formula>
    </cfRule>
  </conditionalFormatting>
  <conditionalFormatting sqref="M923:M932">
    <cfRule type="cellIs" dxfId="10853" priority="10785" stopIfTrue="1" operator="lessThan">
      <formula>0</formula>
    </cfRule>
  </conditionalFormatting>
  <conditionalFormatting sqref="J924:J932 L924:O932 C923:O923">
    <cfRule type="cellIs" dxfId="10852" priority="10784" stopIfTrue="1" operator="greaterThan">
      <formula>0</formula>
    </cfRule>
  </conditionalFormatting>
  <conditionalFormatting sqref="H925:I931 K925:M932">
    <cfRule type="cellIs" dxfId="10851" priority="10783" stopIfTrue="1" operator="greaterThan">
      <formula>0</formula>
    </cfRule>
  </conditionalFormatting>
  <conditionalFormatting sqref="I924">
    <cfRule type="cellIs" dxfId="10850" priority="10782" stopIfTrue="1" operator="greaterThan">
      <formula>0</formula>
    </cfRule>
  </conditionalFormatting>
  <conditionalFormatting sqref="I932">
    <cfRule type="cellIs" dxfId="10849" priority="10781" stopIfTrue="1" operator="greaterThan">
      <formula>0</formula>
    </cfRule>
  </conditionalFormatting>
  <conditionalFormatting sqref="E925:E931">
    <cfRule type="cellIs" dxfId="10848" priority="10780" stopIfTrue="1" operator="greaterThan">
      <formula>0</formula>
    </cfRule>
  </conditionalFormatting>
  <conditionalFormatting sqref="K940:K945">
    <cfRule type="containsText" dxfId="10847" priority="10778" stopIfTrue="1" operator="containsText" text="NO CUMPLE">
      <formula>NOT(ISERROR(SEARCH("NO CUMPLE",K940)))</formula>
    </cfRule>
    <cfRule type="containsText" dxfId="10846" priority="10779" stopIfTrue="1" operator="containsText" text="CUMPLE">
      <formula>NOT(ISERROR(SEARCH("CUMPLE",K940)))</formula>
    </cfRule>
  </conditionalFormatting>
  <conditionalFormatting sqref="K946">
    <cfRule type="containsText" dxfId="10845" priority="10776" stopIfTrue="1" operator="containsText" text="NO CUMPLE">
      <formula>NOT(ISERROR(SEARCH("NO CUMPLE",K946)))</formula>
    </cfRule>
    <cfRule type="containsText" dxfId="10844" priority="10777" stopIfTrue="1" operator="containsText" text="CUMPLE">
      <formula>NOT(ISERROR(SEARCH("CUMPLE",K946)))</formula>
    </cfRule>
  </conditionalFormatting>
  <conditionalFormatting sqref="Q939">
    <cfRule type="cellIs" dxfId="10843" priority="10774" operator="greaterThanOrEqual">
      <formula>NUMMINCONT</formula>
    </cfRule>
    <cfRule type="cellIs" dxfId="10842" priority="10775" operator="lessThan">
      <formula>NUMMINCONT</formula>
    </cfRule>
  </conditionalFormatting>
  <conditionalFormatting sqref="W923:Y931">
    <cfRule type="cellIs" dxfId="10841" priority="10772" stopIfTrue="1" operator="equal">
      <formula>"NO"</formula>
    </cfRule>
    <cfRule type="cellIs" dxfId="10840" priority="10773" stopIfTrue="1" operator="equal">
      <formula>"SI"</formula>
    </cfRule>
  </conditionalFormatting>
  <conditionalFormatting sqref="R926">
    <cfRule type="cellIs" dxfId="10839" priority="10771" stopIfTrue="1" operator="greaterThan">
      <formula>0</formula>
    </cfRule>
  </conditionalFormatting>
  <conditionalFormatting sqref="R927">
    <cfRule type="cellIs" dxfId="10838" priority="10770" stopIfTrue="1" operator="greaterThan">
      <formula>0</formula>
    </cfRule>
  </conditionalFormatting>
  <conditionalFormatting sqref="R928">
    <cfRule type="cellIs" dxfId="10837" priority="10769" stopIfTrue="1" operator="greaterThan">
      <formula>0</formula>
    </cfRule>
  </conditionalFormatting>
  <conditionalFormatting sqref="R929">
    <cfRule type="cellIs" dxfId="10836" priority="10768" stopIfTrue="1" operator="greaterThan">
      <formula>0</formula>
    </cfRule>
  </conditionalFormatting>
  <conditionalFormatting sqref="R930">
    <cfRule type="cellIs" dxfId="10835" priority="10767" stopIfTrue="1" operator="greaterThan">
      <formula>0</formula>
    </cfRule>
  </conditionalFormatting>
  <conditionalFormatting sqref="R931">
    <cfRule type="cellIs" dxfId="10834" priority="10766" stopIfTrue="1" operator="greaterThan">
      <formula>0</formula>
    </cfRule>
  </conditionalFormatting>
  <conditionalFormatting sqref="R932">
    <cfRule type="cellIs" dxfId="10833" priority="10765" stopIfTrue="1" operator="greaterThan">
      <formula>0</formula>
    </cfRule>
  </conditionalFormatting>
  <conditionalFormatting sqref="W923:X923">
    <cfRule type="cellIs" dxfId="10832" priority="10764" stopIfTrue="1" operator="equal">
      <formula>"NO APLICA"</formula>
    </cfRule>
  </conditionalFormatting>
  <conditionalFormatting sqref="W924:X927">
    <cfRule type="cellIs" dxfId="10831" priority="10763" stopIfTrue="1" operator="equal">
      <formula>"NO APLICA"</formula>
    </cfRule>
  </conditionalFormatting>
  <conditionalFormatting sqref="W924:X924">
    <cfRule type="cellIs" dxfId="10830" priority="10762" stopIfTrue="1" operator="equal">
      <formula>"NO APLICA"</formula>
    </cfRule>
  </conditionalFormatting>
  <conditionalFormatting sqref="Y923">
    <cfRule type="cellIs" dxfId="10829" priority="10761" stopIfTrue="1" operator="equal">
      <formula>"NO APLICA"</formula>
    </cfRule>
  </conditionalFormatting>
  <conditionalFormatting sqref="Y924:Y927">
    <cfRule type="cellIs" dxfId="10828" priority="10760" stopIfTrue="1" operator="equal">
      <formula>"NO APLICA"</formula>
    </cfRule>
  </conditionalFormatting>
  <conditionalFormatting sqref="W928:X931">
    <cfRule type="cellIs" dxfId="10827" priority="10759" stopIfTrue="1" operator="equal">
      <formula>"NO APLICA"</formula>
    </cfRule>
  </conditionalFormatting>
  <conditionalFormatting sqref="W928:X928">
    <cfRule type="cellIs" dxfId="10826" priority="10758" stopIfTrue="1" operator="equal">
      <formula>"NO APLICA"</formula>
    </cfRule>
  </conditionalFormatting>
  <conditionalFormatting sqref="Y928:Y931">
    <cfRule type="cellIs" dxfId="10825" priority="10757" stopIfTrue="1" operator="equal">
      <formula>"NO APLICA"</formula>
    </cfRule>
  </conditionalFormatting>
  <conditionalFormatting sqref="T937">
    <cfRule type="cellIs" dxfId="10824" priority="10755" operator="equal">
      <formula>"CUMPLE"</formula>
    </cfRule>
    <cfRule type="cellIs" dxfId="10823" priority="10756" operator="equal">
      <formula>"NO CUMPLE"</formula>
    </cfRule>
  </conditionalFormatting>
  <conditionalFormatting sqref="T937:T939">
    <cfRule type="cellIs" dxfId="10822" priority="10754" operator="equal">
      <formula>"VERIFICAR"</formula>
    </cfRule>
  </conditionalFormatting>
  <conditionalFormatting sqref="AD923:AF927">
    <cfRule type="cellIs" dxfId="10821" priority="10752" stopIfTrue="1" operator="equal">
      <formula>"NO"</formula>
    </cfRule>
    <cfRule type="cellIs" dxfId="10820" priority="10753" stopIfTrue="1" operator="equal">
      <formula>"SI"</formula>
    </cfRule>
  </conditionalFormatting>
  <conditionalFormatting sqref="AD928:AF931">
    <cfRule type="cellIs" dxfId="10819" priority="10750" stopIfTrue="1" operator="equal">
      <formula>"NO"</formula>
    </cfRule>
    <cfRule type="cellIs" dxfId="10818" priority="10751" stopIfTrue="1" operator="equal">
      <formula>"SI"</formula>
    </cfRule>
  </conditionalFormatting>
  <conditionalFormatting sqref="W932:Y932">
    <cfRule type="cellIs" dxfId="10817" priority="10748" stopIfTrue="1" operator="equal">
      <formula>"NO"</formula>
    </cfRule>
    <cfRule type="cellIs" dxfId="10816" priority="10749" stopIfTrue="1" operator="equal">
      <formula>"SI"</formula>
    </cfRule>
  </conditionalFormatting>
  <conditionalFormatting sqref="W932:X932">
    <cfRule type="cellIs" dxfId="10815" priority="10747" stopIfTrue="1" operator="equal">
      <formula>"NO APLICA"</formula>
    </cfRule>
  </conditionalFormatting>
  <conditionalFormatting sqref="Y932">
    <cfRule type="cellIs" dxfId="10814" priority="10746" stopIfTrue="1" operator="equal">
      <formula>"NO APLICA"</formula>
    </cfRule>
  </conditionalFormatting>
  <conditionalFormatting sqref="AD932:AF932">
    <cfRule type="cellIs" dxfId="10813" priority="10744" stopIfTrue="1" operator="equal">
      <formula>"NO"</formula>
    </cfRule>
    <cfRule type="cellIs" dxfId="10812" priority="10745" stopIfTrue="1" operator="equal">
      <formula>"SI"</formula>
    </cfRule>
  </conditionalFormatting>
  <conditionalFormatting sqref="AE937">
    <cfRule type="cellIs" dxfId="10811" priority="10741" stopIfTrue="1" operator="equal">
      <formula>"VERIFICAR"</formula>
    </cfRule>
    <cfRule type="cellIs" dxfId="10810" priority="10742" stopIfTrue="1" operator="equal">
      <formula>"NO CUMPLE"</formula>
    </cfRule>
    <cfRule type="cellIs" dxfId="10809" priority="10743" stopIfTrue="1" operator="equal">
      <formula>"CUMPLE"</formula>
    </cfRule>
  </conditionalFormatting>
  <conditionalFormatting sqref="AF937">
    <cfRule type="cellIs" dxfId="10808" priority="10738" stopIfTrue="1" operator="equal">
      <formula>"VERIFICAR"</formula>
    </cfRule>
    <cfRule type="cellIs" dxfId="10807" priority="10739" stopIfTrue="1" operator="equal">
      <formula>"NO CUMPLE"</formula>
    </cfRule>
    <cfRule type="cellIs" dxfId="10806" priority="10740" stopIfTrue="1" operator="equal">
      <formula>"CUMPLE"</formula>
    </cfRule>
  </conditionalFormatting>
  <conditionalFormatting sqref="Y940">
    <cfRule type="cellIs" dxfId="10805" priority="10737" operator="equal">
      <formula>"VERIFICAR CUADRO"</formula>
    </cfRule>
  </conditionalFormatting>
  <conditionalFormatting sqref="AC941:AC946">
    <cfRule type="cellIs" dxfId="10804" priority="10736" stopIfTrue="1" operator="greaterThan">
      <formula>0</formula>
    </cfRule>
  </conditionalFormatting>
  <conditionalFormatting sqref="AC941:AC946">
    <cfRule type="cellIs" dxfId="10803" priority="10735" stopIfTrue="1" operator="greaterThan">
      <formula>0</formula>
    </cfRule>
  </conditionalFormatting>
  <conditionalFormatting sqref="AD941:AD946">
    <cfRule type="containsText" dxfId="10802" priority="10733" stopIfTrue="1" operator="containsText" text="NO CUMPLE">
      <formula>NOT(ISERROR(SEARCH("NO CUMPLE",AD941)))</formula>
    </cfRule>
    <cfRule type="containsText" dxfId="10801" priority="10734" stopIfTrue="1" operator="containsText" text="CUMPLE">
      <formula>NOT(ISERROR(SEARCH("CUMPLE",AD941)))</formula>
    </cfRule>
  </conditionalFormatting>
  <conditionalFormatting sqref="Y946">
    <cfRule type="containsText" dxfId="10800" priority="10731" stopIfTrue="1" operator="containsText" text="NO CUMPLE">
      <formula>NOT(ISERROR(SEARCH("NO CUMPLE",Y946)))</formula>
    </cfRule>
    <cfRule type="containsText" dxfId="10799" priority="10732" stopIfTrue="1" operator="containsText" text="CUMPLE">
      <formula>NOT(ISERROR(SEARCH("CUMPLE",Y946)))</formula>
    </cfRule>
  </conditionalFormatting>
  <conditionalFormatting sqref="AA923:AA932">
    <cfRule type="cellIs" dxfId="10798" priority="10729" stopIfTrue="1" operator="equal">
      <formula>"NO APLICA"</formula>
    </cfRule>
    <cfRule type="cellIs" dxfId="10797" priority="10730" stopIfTrue="1" operator="equal">
      <formula>"TERCIARIA"</formula>
    </cfRule>
  </conditionalFormatting>
  <conditionalFormatting sqref="AB923:AB932">
    <cfRule type="cellIs" dxfId="10796" priority="10727" stopIfTrue="1" operator="equal">
      <formula>"N/A"</formula>
    </cfRule>
    <cfRule type="cellIs" dxfId="10795" priority="10728" stopIfTrue="1" operator="equal">
      <formula>"NO"</formula>
    </cfRule>
  </conditionalFormatting>
  <conditionalFormatting sqref="M953:M962">
    <cfRule type="cellIs" dxfId="10794" priority="10726" stopIfTrue="1" operator="lessThan">
      <formula>0</formula>
    </cfRule>
  </conditionalFormatting>
  <conditionalFormatting sqref="C955:D961 B954:B961 F955:I961 C954:I954 B962:O962 B953:R953 Q954:R955 J954:O961 Q956:Q962 P954:P962">
    <cfRule type="cellIs" dxfId="10793" priority="10725" stopIfTrue="1" operator="greaterThan">
      <formula>0</formula>
    </cfRule>
  </conditionalFormatting>
  <conditionalFormatting sqref="C955:D961">
    <cfRule type="cellIs" dxfId="10792" priority="10724" stopIfTrue="1" operator="greaterThan">
      <formula>0</formula>
    </cfRule>
  </conditionalFormatting>
  <conditionalFormatting sqref="C953:M953 C955:D961 F955:I961 C954:I954 K954:M961 J954:J962 L962:M962">
    <cfRule type="cellIs" dxfId="10791" priority="10723" stopIfTrue="1" operator="greaterThan">
      <formula>0</formula>
    </cfRule>
  </conditionalFormatting>
  <conditionalFormatting sqref="M953:M962">
    <cfRule type="cellIs" dxfId="10790" priority="10722" stopIfTrue="1" operator="lessThan">
      <formula>0</formula>
    </cfRule>
  </conditionalFormatting>
  <conditionalFormatting sqref="J954:J962 L954:O962 C953:O953">
    <cfRule type="cellIs" dxfId="10789" priority="10721" stopIfTrue="1" operator="greaterThan">
      <formula>0</formula>
    </cfRule>
  </conditionalFormatting>
  <conditionalFormatting sqref="H955:I961 K955:M962">
    <cfRule type="cellIs" dxfId="10788" priority="10720" stopIfTrue="1" operator="greaterThan">
      <formula>0</formula>
    </cfRule>
  </conditionalFormatting>
  <conditionalFormatting sqref="I954">
    <cfRule type="cellIs" dxfId="10787" priority="10719" stopIfTrue="1" operator="greaterThan">
      <formula>0</formula>
    </cfRule>
  </conditionalFormatting>
  <conditionalFormatting sqref="I962">
    <cfRule type="cellIs" dxfId="10786" priority="10718" stopIfTrue="1" operator="greaterThan">
      <formula>0</formula>
    </cfRule>
  </conditionalFormatting>
  <conditionalFormatting sqref="E955:E961">
    <cfRule type="cellIs" dxfId="10785" priority="10717" stopIfTrue="1" operator="greaterThan">
      <formula>0</formula>
    </cfRule>
  </conditionalFormatting>
  <conditionalFormatting sqref="K970:K975">
    <cfRule type="containsText" dxfId="10784" priority="10715" stopIfTrue="1" operator="containsText" text="NO CUMPLE">
      <formula>NOT(ISERROR(SEARCH("NO CUMPLE",K970)))</formula>
    </cfRule>
    <cfRule type="containsText" dxfId="10783" priority="10716" stopIfTrue="1" operator="containsText" text="CUMPLE">
      <formula>NOT(ISERROR(SEARCH("CUMPLE",K970)))</formula>
    </cfRule>
  </conditionalFormatting>
  <conditionalFormatting sqref="K976">
    <cfRule type="containsText" dxfId="10782" priority="10713" stopIfTrue="1" operator="containsText" text="NO CUMPLE">
      <formula>NOT(ISERROR(SEARCH("NO CUMPLE",K976)))</formula>
    </cfRule>
    <cfRule type="containsText" dxfId="10781" priority="10714" stopIfTrue="1" operator="containsText" text="CUMPLE">
      <formula>NOT(ISERROR(SEARCH("CUMPLE",K976)))</formula>
    </cfRule>
  </conditionalFormatting>
  <conditionalFormatting sqref="Q969">
    <cfRule type="cellIs" dxfId="10780" priority="10711" operator="greaterThanOrEqual">
      <formula>NUMMINCONT</formula>
    </cfRule>
    <cfRule type="cellIs" dxfId="10779" priority="10712" operator="lessThan">
      <formula>NUMMINCONT</formula>
    </cfRule>
  </conditionalFormatting>
  <conditionalFormatting sqref="W953:Y961">
    <cfRule type="cellIs" dxfId="10778" priority="10709" stopIfTrue="1" operator="equal">
      <formula>"NO"</formula>
    </cfRule>
    <cfRule type="cellIs" dxfId="10777" priority="10710" stopIfTrue="1" operator="equal">
      <formula>"SI"</formula>
    </cfRule>
  </conditionalFormatting>
  <conditionalFormatting sqref="R956">
    <cfRule type="cellIs" dxfId="10776" priority="10708" stopIfTrue="1" operator="greaterThan">
      <formula>0</formula>
    </cfRule>
  </conditionalFormatting>
  <conditionalFormatting sqref="R957">
    <cfRule type="cellIs" dxfId="10775" priority="10707" stopIfTrue="1" operator="greaterThan">
      <formula>0</formula>
    </cfRule>
  </conditionalFormatting>
  <conditionalFormatting sqref="R958">
    <cfRule type="cellIs" dxfId="10774" priority="10706" stopIfTrue="1" operator="greaterThan">
      <formula>0</formula>
    </cfRule>
  </conditionalFormatting>
  <conditionalFormatting sqref="R959">
    <cfRule type="cellIs" dxfId="10773" priority="10705" stopIfTrue="1" operator="greaterThan">
      <formula>0</formula>
    </cfRule>
  </conditionalFormatting>
  <conditionalFormatting sqref="R960">
    <cfRule type="cellIs" dxfId="10772" priority="10704" stopIfTrue="1" operator="greaterThan">
      <formula>0</formula>
    </cfRule>
  </conditionalFormatting>
  <conditionalFormatting sqref="R961">
    <cfRule type="cellIs" dxfId="10771" priority="10703" stopIfTrue="1" operator="greaterThan">
      <formula>0</formula>
    </cfRule>
  </conditionalFormatting>
  <conditionalFormatting sqref="R962">
    <cfRule type="cellIs" dxfId="10770" priority="10702" stopIfTrue="1" operator="greaterThan">
      <formula>0</formula>
    </cfRule>
  </conditionalFormatting>
  <conditionalFormatting sqref="W953:X953">
    <cfRule type="cellIs" dxfId="10769" priority="10701" stopIfTrue="1" operator="equal">
      <formula>"NO APLICA"</formula>
    </cfRule>
  </conditionalFormatting>
  <conditionalFormatting sqref="W954:X957">
    <cfRule type="cellIs" dxfId="10768" priority="10700" stopIfTrue="1" operator="equal">
      <formula>"NO APLICA"</formula>
    </cfRule>
  </conditionalFormatting>
  <conditionalFormatting sqref="W954:X954">
    <cfRule type="cellIs" dxfId="10767" priority="10699" stopIfTrue="1" operator="equal">
      <formula>"NO APLICA"</formula>
    </cfRule>
  </conditionalFormatting>
  <conditionalFormatting sqref="Y953">
    <cfRule type="cellIs" dxfId="10766" priority="10698" stopIfTrue="1" operator="equal">
      <formula>"NO APLICA"</formula>
    </cfRule>
  </conditionalFormatting>
  <conditionalFormatting sqref="Y954:Y957">
    <cfRule type="cellIs" dxfId="10765" priority="10697" stopIfTrue="1" operator="equal">
      <formula>"NO APLICA"</formula>
    </cfRule>
  </conditionalFormatting>
  <conditionalFormatting sqref="W958:X961">
    <cfRule type="cellIs" dxfId="10764" priority="10696" stopIfTrue="1" operator="equal">
      <formula>"NO APLICA"</formula>
    </cfRule>
  </conditionalFormatting>
  <conditionalFormatting sqref="W958:X958">
    <cfRule type="cellIs" dxfId="10763" priority="10695" stopIfTrue="1" operator="equal">
      <formula>"NO APLICA"</formula>
    </cfRule>
  </conditionalFormatting>
  <conditionalFormatting sqref="Y958:Y961">
    <cfRule type="cellIs" dxfId="10762" priority="10694" stopIfTrue="1" operator="equal">
      <formula>"NO APLICA"</formula>
    </cfRule>
  </conditionalFormatting>
  <conditionalFormatting sqref="T967">
    <cfRule type="cellIs" dxfId="10761" priority="10692" operator="equal">
      <formula>"CUMPLE"</formula>
    </cfRule>
    <cfRule type="cellIs" dxfId="10760" priority="10693" operator="equal">
      <formula>"NO CUMPLE"</formula>
    </cfRule>
  </conditionalFormatting>
  <conditionalFormatting sqref="T967:T969">
    <cfRule type="cellIs" dxfId="10759" priority="10691" operator="equal">
      <formula>"VERIFICAR"</formula>
    </cfRule>
  </conditionalFormatting>
  <conditionalFormatting sqref="AD953:AF957">
    <cfRule type="cellIs" dxfId="10758" priority="10689" stopIfTrue="1" operator="equal">
      <formula>"NO"</formula>
    </cfRule>
    <cfRule type="cellIs" dxfId="10757" priority="10690" stopIfTrue="1" operator="equal">
      <formula>"SI"</formula>
    </cfRule>
  </conditionalFormatting>
  <conditionalFormatting sqref="AD958:AF961">
    <cfRule type="cellIs" dxfId="10756" priority="10687" stopIfTrue="1" operator="equal">
      <formula>"NO"</formula>
    </cfRule>
    <cfRule type="cellIs" dxfId="10755" priority="10688" stopIfTrue="1" operator="equal">
      <formula>"SI"</formula>
    </cfRule>
  </conditionalFormatting>
  <conditionalFormatting sqref="W962:Y962">
    <cfRule type="cellIs" dxfId="10754" priority="10685" stopIfTrue="1" operator="equal">
      <formula>"NO"</formula>
    </cfRule>
    <cfRule type="cellIs" dxfId="10753" priority="10686" stopIfTrue="1" operator="equal">
      <formula>"SI"</formula>
    </cfRule>
  </conditionalFormatting>
  <conditionalFormatting sqref="W962:X962">
    <cfRule type="cellIs" dxfId="10752" priority="10684" stopIfTrue="1" operator="equal">
      <formula>"NO APLICA"</formula>
    </cfRule>
  </conditionalFormatting>
  <conditionalFormatting sqref="Y962">
    <cfRule type="cellIs" dxfId="10751" priority="10683" stopIfTrue="1" operator="equal">
      <formula>"NO APLICA"</formula>
    </cfRule>
  </conditionalFormatting>
  <conditionalFormatting sqref="AD962:AF962">
    <cfRule type="cellIs" dxfId="10750" priority="10681" stopIfTrue="1" operator="equal">
      <formula>"NO"</formula>
    </cfRule>
    <cfRule type="cellIs" dxfId="10749" priority="10682" stopIfTrue="1" operator="equal">
      <formula>"SI"</formula>
    </cfRule>
  </conditionalFormatting>
  <conditionalFormatting sqref="AE967">
    <cfRule type="cellIs" dxfId="10748" priority="10678" stopIfTrue="1" operator="equal">
      <formula>"VERIFICAR"</formula>
    </cfRule>
    <cfRule type="cellIs" dxfId="10747" priority="10679" stopIfTrue="1" operator="equal">
      <formula>"NO CUMPLE"</formula>
    </cfRule>
    <cfRule type="cellIs" dxfId="10746" priority="10680" stopIfTrue="1" operator="equal">
      <formula>"CUMPLE"</formula>
    </cfRule>
  </conditionalFormatting>
  <conditionalFormatting sqref="AF967">
    <cfRule type="cellIs" dxfId="10745" priority="10675" stopIfTrue="1" operator="equal">
      <formula>"VERIFICAR"</formula>
    </cfRule>
    <cfRule type="cellIs" dxfId="10744" priority="10676" stopIfTrue="1" operator="equal">
      <formula>"NO CUMPLE"</formula>
    </cfRule>
    <cfRule type="cellIs" dxfId="10743" priority="10677" stopIfTrue="1" operator="equal">
      <formula>"CUMPLE"</formula>
    </cfRule>
  </conditionalFormatting>
  <conditionalFormatting sqref="Y970">
    <cfRule type="cellIs" dxfId="10742" priority="10674" operator="equal">
      <formula>"VERIFICAR CUADRO"</formula>
    </cfRule>
  </conditionalFormatting>
  <conditionalFormatting sqref="AC971:AC976">
    <cfRule type="cellIs" dxfId="10741" priority="10673" stopIfTrue="1" operator="greaterThan">
      <formula>0</formula>
    </cfRule>
  </conditionalFormatting>
  <conditionalFormatting sqref="AC971:AC976">
    <cfRule type="cellIs" dxfId="10740" priority="10672" stopIfTrue="1" operator="greaterThan">
      <formula>0</formula>
    </cfRule>
  </conditionalFormatting>
  <conditionalFormatting sqref="AD971:AD976">
    <cfRule type="containsText" dxfId="10739" priority="10670" stopIfTrue="1" operator="containsText" text="NO CUMPLE">
      <formula>NOT(ISERROR(SEARCH("NO CUMPLE",AD971)))</formula>
    </cfRule>
    <cfRule type="containsText" dxfId="10738" priority="10671" stopIfTrue="1" operator="containsText" text="CUMPLE">
      <formula>NOT(ISERROR(SEARCH("CUMPLE",AD971)))</formula>
    </cfRule>
  </conditionalFormatting>
  <conditionalFormatting sqref="Y976">
    <cfRule type="containsText" dxfId="10737" priority="10668" stopIfTrue="1" operator="containsText" text="NO CUMPLE">
      <formula>NOT(ISERROR(SEARCH("NO CUMPLE",Y976)))</formula>
    </cfRule>
    <cfRule type="containsText" dxfId="10736" priority="10669" stopIfTrue="1" operator="containsText" text="CUMPLE">
      <formula>NOT(ISERROR(SEARCH("CUMPLE",Y976)))</formula>
    </cfRule>
  </conditionalFormatting>
  <conditionalFormatting sqref="AA953:AA962">
    <cfRule type="cellIs" dxfId="10735" priority="10666" stopIfTrue="1" operator="equal">
      <formula>"NO APLICA"</formula>
    </cfRule>
    <cfRule type="cellIs" dxfId="10734" priority="10667" stopIfTrue="1" operator="equal">
      <formula>"TERCIARIA"</formula>
    </cfRule>
  </conditionalFormatting>
  <conditionalFormatting sqref="AB953:AB962">
    <cfRule type="cellIs" dxfId="10733" priority="10664" stopIfTrue="1" operator="equal">
      <formula>"N/A"</formula>
    </cfRule>
    <cfRule type="cellIs" dxfId="10732" priority="10665" stopIfTrue="1" operator="equal">
      <formula>"NO"</formula>
    </cfRule>
  </conditionalFormatting>
  <conditionalFormatting sqref="M983:M992">
    <cfRule type="cellIs" dxfId="10731" priority="10663" stopIfTrue="1" operator="lessThan">
      <formula>0</formula>
    </cfRule>
  </conditionalFormatting>
  <conditionalFormatting sqref="C985:D991 B984:B991 F985:I991 C984:I984 B992:O992 B983:R983 Q984:R985 J984:O991 Q986:Q992 P984:P992">
    <cfRule type="cellIs" dxfId="10730" priority="10662" stopIfTrue="1" operator="greaterThan">
      <formula>0</formula>
    </cfRule>
  </conditionalFormatting>
  <conditionalFormatting sqref="C985:D991">
    <cfRule type="cellIs" dxfId="10729" priority="10661" stopIfTrue="1" operator="greaterThan">
      <formula>0</formula>
    </cfRule>
  </conditionalFormatting>
  <conditionalFormatting sqref="C983:M983 C985:D991 F985:I991 C984:I984 K984:M991 J984:J992 L992:M992">
    <cfRule type="cellIs" dxfId="10728" priority="10660" stopIfTrue="1" operator="greaterThan">
      <formula>0</formula>
    </cfRule>
  </conditionalFormatting>
  <conditionalFormatting sqref="M983:M992">
    <cfRule type="cellIs" dxfId="10727" priority="10659" stopIfTrue="1" operator="lessThan">
      <formula>0</formula>
    </cfRule>
  </conditionalFormatting>
  <conditionalFormatting sqref="J984:J992 L984:O992 C983:O983">
    <cfRule type="cellIs" dxfId="10726" priority="10658" stopIfTrue="1" operator="greaterThan">
      <formula>0</formula>
    </cfRule>
  </conditionalFormatting>
  <conditionalFormatting sqref="H985:I991 K985:M992">
    <cfRule type="cellIs" dxfId="10725" priority="10657" stopIfTrue="1" operator="greaterThan">
      <formula>0</formula>
    </cfRule>
  </conditionalFormatting>
  <conditionalFormatting sqref="I984">
    <cfRule type="cellIs" dxfId="10724" priority="10656" stopIfTrue="1" operator="greaterThan">
      <formula>0</formula>
    </cfRule>
  </conditionalFormatting>
  <conditionalFormatting sqref="I992">
    <cfRule type="cellIs" dxfId="10723" priority="10655" stopIfTrue="1" operator="greaterThan">
      <formula>0</formula>
    </cfRule>
  </conditionalFormatting>
  <conditionalFormatting sqref="E985:E991">
    <cfRule type="cellIs" dxfId="10722" priority="10654" stopIfTrue="1" operator="greaterThan">
      <formula>0</formula>
    </cfRule>
  </conditionalFormatting>
  <conditionalFormatting sqref="K1000:K1005">
    <cfRule type="containsText" dxfId="10721" priority="10652" stopIfTrue="1" operator="containsText" text="NO CUMPLE">
      <formula>NOT(ISERROR(SEARCH("NO CUMPLE",K1000)))</formula>
    </cfRule>
    <cfRule type="containsText" dxfId="10720" priority="10653" stopIfTrue="1" operator="containsText" text="CUMPLE">
      <formula>NOT(ISERROR(SEARCH("CUMPLE",K1000)))</formula>
    </cfRule>
  </conditionalFormatting>
  <conditionalFormatting sqref="K1006">
    <cfRule type="containsText" dxfId="10719" priority="10650" stopIfTrue="1" operator="containsText" text="NO CUMPLE">
      <formula>NOT(ISERROR(SEARCH("NO CUMPLE",K1006)))</formula>
    </cfRule>
    <cfRule type="containsText" dxfId="10718" priority="10651" stopIfTrue="1" operator="containsText" text="CUMPLE">
      <formula>NOT(ISERROR(SEARCH("CUMPLE",K1006)))</formula>
    </cfRule>
  </conditionalFormatting>
  <conditionalFormatting sqref="Q999">
    <cfRule type="cellIs" dxfId="10717" priority="10648" operator="greaterThanOrEqual">
      <formula>NUMMINCONT</formula>
    </cfRule>
    <cfRule type="cellIs" dxfId="10716" priority="10649" operator="lessThan">
      <formula>NUMMINCONT</formula>
    </cfRule>
  </conditionalFormatting>
  <conditionalFormatting sqref="W983:Y991">
    <cfRule type="cellIs" dxfId="10715" priority="10646" stopIfTrue="1" operator="equal">
      <formula>"NO"</formula>
    </cfRule>
    <cfRule type="cellIs" dxfId="10714" priority="10647" stopIfTrue="1" operator="equal">
      <formula>"SI"</formula>
    </cfRule>
  </conditionalFormatting>
  <conditionalFormatting sqref="R986">
    <cfRule type="cellIs" dxfId="10713" priority="10645" stopIfTrue="1" operator="greaterThan">
      <formula>0</formula>
    </cfRule>
  </conditionalFormatting>
  <conditionalFormatting sqref="R987">
    <cfRule type="cellIs" dxfId="10712" priority="10644" stopIfTrue="1" operator="greaterThan">
      <formula>0</formula>
    </cfRule>
  </conditionalFormatting>
  <conditionalFormatting sqref="R988">
    <cfRule type="cellIs" dxfId="10711" priority="10643" stopIfTrue="1" operator="greaterThan">
      <formula>0</formula>
    </cfRule>
  </conditionalFormatting>
  <conditionalFormatting sqref="R989">
    <cfRule type="cellIs" dxfId="10710" priority="10642" stopIfTrue="1" operator="greaterThan">
      <formula>0</formula>
    </cfRule>
  </conditionalFormatting>
  <conditionalFormatting sqref="R990">
    <cfRule type="cellIs" dxfId="10709" priority="10641" stopIfTrue="1" operator="greaterThan">
      <formula>0</formula>
    </cfRule>
  </conditionalFormatting>
  <conditionalFormatting sqref="R991">
    <cfRule type="cellIs" dxfId="10708" priority="10640" stopIfTrue="1" operator="greaterThan">
      <formula>0</formula>
    </cfRule>
  </conditionalFormatting>
  <conditionalFormatting sqref="R992">
    <cfRule type="cellIs" dxfId="10707" priority="10639" stopIfTrue="1" operator="greaterThan">
      <formula>0</formula>
    </cfRule>
  </conditionalFormatting>
  <conditionalFormatting sqref="W983:X983">
    <cfRule type="cellIs" dxfId="10706" priority="10638" stopIfTrue="1" operator="equal">
      <formula>"NO APLICA"</formula>
    </cfRule>
  </conditionalFormatting>
  <conditionalFormatting sqref="W984:X987">
    <cfRule type="cellIs" dxfId="10705" priority="10637" stopIfTrue="1" operator="equal">
      <formula>"NO APLICA"</formula>
    </cfRule>
  </conditionalFormatting>
  <conditionalFormatting sqref="W984:X984">
    <cfRule type="cellIs" dxfId="10704" priority="10636" stopIfTrue="1" operator="equal">
      <formula>"NO APLICA"</formula>
    </cfRule>
  </conditionalFormatting>
  <conditionalFormatting sqref="Y983">
    <cfRule type="cellIs" dxfId="10703" priority="10635" stopIfTrue="1" operator="equal">
      <formula>"NO APLICA"</formula>
    </cfRule>
  </conditionalFormatting>
  <conditionalFormatting sqref="Y984:Y987">
    <cfRule type="cellIs" dxfId="10702" priority="10634" stopIfTrue="1" operator="equal">
      <formula>"NO APLICA"</formula>
    </cfRule>
  </conditionalFormatting>
  <conditionalFormatting sqref="W988:X991">
    <cfRule type="cellIs" dxfId="10701" priority="10633" stopIfTrue="1" operator="equal">
      <formula>"NO APLICA"</formula>
    </cfRule>
  </conditionalFormatting>
  <conditionalFormatting sqref="W988:X988">
    <cfRule type="cellIs" dxfId="10700" priority="10632" stopIfTrue="1" operator="equal">
      <formula>"NO APLICA"</formula>
    </cfRule>
  </conditionalFormatting>
  <conditionalFormatting sqref="Y988:Y991">
    <cfRule type="cellIs" dxfId="10699" priority="10631" stopIfTrue="1" operator="equal">
      <formula>"NO APLICA"</formula>
    </cfRule>
  </conditionalFormatting>
  <conditionalFormatting sqref="T997">
    <cfRule type="cellIs" dxfId="10698" priority="10629" operator="equal">
      <formula>"CUMPLE"</formula>
    </cfRule>
    <cfRule type="cellIs" dxfId="10697" priority="10630" operator="equal">
      <formula>"NO CUMPLE"</formula>
    </cfRule>
  </conditionalFormatting>
  <conditionalFormatting sqref="T997:T999">
    <cfRule type="cellIs" dxfId="10696" priority="10628" operator="equal">
      <formula>"VERIFICAR"</formula>
    </cfRule>
  </conditionalFormatting>
  <conditionalFormatting sqref="AD983:AF987">
    <cfRule type="cellIs" dxfId="10695" priority="10626" stopIfTrue="1" operator="equal">
      <formula>"NO"</formula>
    </cfRule>
    <cfRule type="cellIs" dxfId="10694" priority="10627" stopIfTrue="1" operator="equal">
      <formula>"SI"</formula>
    </cfRule>
  </conditionalFormatting>
  <conditionalFormatting sqref="AD988:AF991">
    <cfRule type="cellIs" dxfId="10693" priority="10624" stopIfTrue="1" operator="equal">
      <formula>"NO"</formula>
    </cfRule>
    <cfRule type="cellIs" dxfId="10692" priority="10625" stopIfTrue="1" operator="equal">
      <formula>"SI"</formula>
    </cfRule>
  </conditionalFormatting>
  <conditionalFormatting sqref="W992:Y992">
    <cfRule type="cellIs" dxfId="10691" priority="10622" stopIfTrue="1" operator="equal">
      <formula>"NO"</formula>
    </cfRule>
    <cfRule type="cellIs" dxfId="10690" priority="10623" stopIfTrue="1" operator="equal">
      <formula>"SI"</formula>
    </cfRule>
  </conditionalFormatting>
  <conditionalFormatting sqref="W992:X992">
    <cfRule type="cellIs" dxfId="10689" priority="10621" stopIfTrue="1" operator="equal">
      <formula>"NO APLICA"</formula>
    </cfRule>
  </conditionalFormatting>
  <conditionalFormatting sqref="Y992">
    <cfRule type="cellIs" dxfId="10688" priority="10620" stopIfTrue="1" operator="equal">
      <formula>"NO APLICA"</formula>
    </cfRule>
  </conditionalFormatting>
  <conditionalFormatting sqref="AD992:AF992">
    <cfRule type="cellIs" dxfId="10687" priority="10618" stopIfTrue="1" operator="equal">
      <formula>"NO"</formula>
    </cfRule>
    <cfRule type="cellIs" dxfId="10686" priority="10619" stopIfTrue="1" operator="equal">
      <formula>"SI"</formula>
    </cfRule>
  </conditionalFormatting>
  <conditionalFormatting sqref="AE997">
    <cfRule type="cellIs" dxfId="10685" priority="10615" stopIfTrue="1" operator="equal">
      <formula>"VERIFICAR"</formula>
    </cfRule>
    <cfRule type="cellIs" dxfId="10684" priority="10616" stopIfTrue="1" operator="equal">
      <formula>"NO CUMPLE"</formula>
    </cfRule>
    <cfRule type="cellIs" dxfId="10683" priority="10617" stopIfTrue="1" operator="equal">
      <formula>"CUMPLE"</formula>
    </cfRule>
  </conditionalFormatting>
  <conditionalFormatting sqref="AF997">
    <cfRule type="cellIs" dxfId="10682" priority="10612" stopIfTrue="1" operator="equal">
      <formula>"VERIFICAR"</formula>
    </cfRule>
    <cfRule type="cellIs" dxfId="10681" priority="10613" stopIfTrue="1" operator="equal">
      <formula>"NO CUMPLE"</formula>
    </cfRule>
    <cfRule type="cellIs" dxfId="10680" priority="10614" stopIfTrue="1" operator="equal">
      <formula>"CUMPLE"</formula>
    </cfRule>
  </conditionalFormatting>
  <conditionalFormatting sqref="Y1000">
    <cfRule type="cellIs" dxfId="10679" priority="10611" operator="equal">
      <formula>"VERIFICAR CUADRO"</formula>
    </cfRule>
  </conditionalFormatting>
  <conditionalFormatting sqref="AC1001:AC1006">
    <cfRule type="cellIs" dxfId="10678" priority="10610" stopIfTrue="1" operator="greaterThan">
      <formula>0</formula>
    </cfRule>
  </conditionalFormatting>
  <conditionalFormatting sqref="AC1001:AC1006">
    <cfRule type="cellIs" dxfId="10677" priority="10609" stopIfTrue="1" operator="greaterThan">
      <formula>0</formula>
    </cfRule>
  </conditionalFormatting>
  <conditionalFormatting sqref="AD1001:AD1006">
    <cfRule type="containsText" dxfId="10676" priority="10607" stopIfTrue="1" operator="containsText" text="NO CUMPLE">
      <formula>NOT(ISERROR(SEARCH("NO CUMPLE",AD1001)))</formula>
    </cfRule>
    <cfRule type="containsText" dxfId="10675" priority="10608" stopIfTrue="1" operator="containsText" text="CUMPLE">
      <formula>NOT(ISERROR(SEARCH("CUMPLE",AD1001)))</formula>
    </cfRule>
  </conditionalFormatting>
  <conditionalFormatting sqref="Y1006">
    <cfRule type="containsText" dxfId="10674" priority="10605" stopIfTrue="1" operator="containsText" text="NO CUMPLE">
      <formula>NOT(ISERROR(SEARCH("NO CUMPLE",Y1006)))</formula>
    </cfRule>
    <cfRule type="containsText" dxfId="10673" priority="10606" stopIfTrue="1" operator="containsText" text="CUMPLE">
      <formula>NOT(ISERROR(SEARCH("CUMPLE",Y1006)))</formula>
    </cfRule>
  </conditionalFormatting>
  <conditionalFormatting sqref="AA983:AA992">
    <cfRule type="cellIs" dxfId="10672" priority="10603" stopIfTrue="1" operator="equal">
      <formula>"NO APLICA"</formula>
    </cfRule>
    <cfRule type="cellIs" dxfId="10671" priority="10604" stopIfTrue="1" operator="equal">
      <formula>"TERCIARIA"</formula>
    </cfRule>
  </conditionalFormatting>
  <conditionalFormatting sqref="AB983:AB992">
    <cfRule type="cellIs" dxfId="10670" priority="10601" stopIfTrue="1" operator="equal">
      <formula>"N/A"</formula>
    </cfRule>
    <cfRule type="cellIs" dxfId="10669" priority="10602" stopIfTrue="1" operator="equal">
      <formula>"NO"</formula>
    </cfRule>
  </conditionalFormatting>
  <conditionalFormatting sqref="M1013:M1022">
    <cfRule type="cellIs" dxfId="10668" priority="10600" stopIfTrue="1" operator="lessThan">
      <formula>0</formula>
    </cfRule>
  </conditionalFormatting>
  <conditionalFormatting sqref="C1015:D1021 B1014:B1021 F1015:I1021 C1014:I1014 B1022:O1022 B1013:R1013 Q1014:R1015 J1014:O1021 Q1016:Q1022 P1014:P1022">
    <cfRule type="cellIs" dxfId="10667" priority="10599" stopIfTrue="1" operator="greaterThan">
      <formula>0</formula>
    </cfRule>
  </conditionalFormatting>
  <conditionalFormatting sqref="C1015:D1021">
    <cfRule type="cellIs" dxfId="10666" priority="10598" stopIfTrue="1" operator="greaterThan">
      <formula>0</formula>
    </cfRule>
  </conditionalFormatting>
  <conditionalFormatting sqref="C1013:M1013 C1015:D1021 F1015:I1021 C1014:I1014 K1014:M1021 J1014:J1022 L1022:M1022">
    <cfRule type="cellIs" dxfId="10665" priority="10597" stopIfTrue="1" operator="greaterThan">
      <formula>0</formula>
    </cfRule>
  </conditionalFormatting>
  <conditionalFormatting sqref="M1013:M1022">
    <cfRule type="cellIs" dxfId="10664" priority="10596" stopIfTrue="1" operator="lessThan">
      <formula>0</formula>
    </cfRule>
  </conditionalFormatting>
  <conditionalFormatting sqref="J1014:J1022 L1014:O1022 C1013:O1013">
    <cfRule type="cellIs" dxfId="10663" priority="10595" stopIfTrue="1" operator="greaterThan">
      <formula>0</formula>
    </cfRule>
  </conditionalFormatting>
  <conditionalFormatting sqref="H1015:I1021 K1015:M1022">
    <cfRule type="cellIs" dxfId="10662" priority="10594" stopIfTrue="1" operator="greaterThan">
      <formula>0</formula>
    </cfRule>
  </conditionalFormatting>
  <conditionalFormatting sqref="I1014">
    <cfRule type="cellIs" dxfId="10661" priority="10593" stopIfTrue="1" operator="greaterThan">
      <formula>0</formula>
    </cfRule>
  </conditionalFormatting>
  <conditionalFormatting sqref="I1022">
    <cfRule type="cellIs" dxfId="10660" priority="10592" stopIfTrue="1" operator="greaterThan">
      <formula>0</formula>
    </cfRule>
  </conditionalFormatting>
  <conditionalFormatting sqref="E1015:E1021">
    <cfRule type="cellIs" dxfId="10659" priority="10591" stopIfTrue="1" operator="greaterThan">
      <formula>0</formula>
    </cfRule>
  </conditionalFormatting>
  <conditionalFormatting sqref="K1030:K1035">
    <cfRule type="containsText" dxfId="10658" priority="10589" stopIfTrue="1" operator="containsText" text="NO CUMPLE">
      <formula>NOT(ISERROR(SEARCH("NO CUMPLE",K1030)))</formula>
    </cfRule>
    <cfRule type="containsText" dxfId="10657" priority="10590" stopIfTrue="1" operator="containsText" text="CUMPLE">
      <formula>NOT(ISERROR(SEARCH("CUMPLE",K1030)))</formula>
    </cfRule>
  </conditionalFormatting>
  <conditionalFormatting sqref="K1036">
    <cfRule type="containsText" dxfId="10656" priority="10587" stopIfTrue="1" operator="containsText" text="NO CUMPLE">
      <formula>NOT(ISERROR(SEARCH("NO CUMPLE",K1036)))</formula>
    </cfRule>
    <cfRule type="containsText" dxfId="10655" priority="10588" stopIfTrue="1" operator="containsText" text="CUMPLE">
      <formula>NOT(ISERROR(SEARCH("CUMPLE",K1036)))</formula>
    </cfRule>
  </conditionalFormatting>
  <conditionalFormatting sqref="Q1029">
    <cfRule type="cellIs" dxfId="10654" priority="10585" operator="greaterThanOrEqual">
      <formula>NUMMINCONT</formula>
    </cfRule>
    <cfRule type="cellIs" dxfId="10653" priority="10586" operator="lessThan">
      <formula>NUMMINCONT</formula>
    </cfRule>
  </conditionalFormatting>
  <conditionalFormatting sqref="W1013:Y1021">
    <cfRule type="cellIs" dxfId="10652" priority="10583" stopIfTrue="1" operator="equal">
      <formula>"NO"</formula>
    </cfRule>
    <cfRule type="cellIs" dxfId="10651" priority="10584" stopIfTrue="1" operator="equal">
      <formula>"SI"</formula>
    </cfRule>
  </conditionalFormatting>
  <conditionalFormatting sqref="R1016">
    <cfRule type="cellIs" dxfId="10650" priority="10582" stopIfTrue="1" operator="greaterThan">
      <formula>0</formula>
    </cfRule>
  </conditionalFormatting>
  <conditionalFormatting sqref="R1017">
    <cfRule type="cellIs" dxfId="10649" priority="10581" stopIfTrue="1" operator="greaterThan">
      <formula>0</formula>
    </cfRule>
  </conditionalFormatting>
  <conditionalFormatting sqref="R1018">
    <cfRule type="cellIs" dxfId="10648" priority="10580" stopIfTrue="1" operator="greaterThan">
      <formula>0</formula>
    </cfRule>
  </conditionalFormatting>
  <conditionalFormatting sqref="R1019">
    <cfRule type="cellIs" dxfId="10647" priority="10579" stopIfTrue="1" operator="greaterThan">
      <formula>0</formula>
    </cfRule>
  </conditionalFormatting>
  <conditionalFormatting sqref="R1020">
    <cfRule type="cellIs" dxfId="10646" priority="10578" stopIfTrue="1" operator="greaterThan">
      <formula>0</formula>
    </cfRule>
  </conditionalFormatting>
  <conditionalFormatting sqref="R1021">
    <cfRule type="cellIs" dxfId="10645" priority="10577" stopIfTrue="1" operator="greaterThan">
      <formula>0</formula>
    </cfRule>
  </conditionalFormatting>
  <conditionalFormatting sqref="R1022">
    <cfRule type="cellIs" dxfId="10644" priority="10576" stopIfTrue="1" operator="greaterThan">
      <formula>0</formula>
    </cfRule>
  </conditionalFormatting>
  <conditionalFormatting sqref="W1013:X1013">
    <cfRule type="cellIs" dxfId="10643" priority="10575" stopIfTrue="1" operator="equal">
      <formula>"NO APLICA"</formula>
    </cfRule>
  </conditionalFormatting>
  <conditionalFormatting sqref="W1014:X1017">
    <cfRule type="cellIs" dxfId="10642" priority="10574" stopIfTrue="1" operator="equal">
      <formula>"NO APLICA"</formula>
    </cfRule>
  </conditionalFormatting>
  <conditionalFormatting sqref="W1014:X1014">
    <cfRule type="cellIs" dxfId="10641" priority="10573" stopIfTrue="1" operator="equal">
      <formula>"NO APLICA"</formula>
    </cfRule>
  </conditionalFormatting>
  <conditionalFormatting sqref="Y1013">
    <cfRule type="cellIs" dxfId="10640" priority="10572" stopIfTrue="1" operator="equal">
      <formula>"NO APLICA"</formula>
    </cfRule>
  </conditionalFormatting>
  <conditionalFormatting sqref="Y1014:Y1017">
    <cfRule type="cellIs" dxfId="10639" priority="10571" stopIfTrue="1" operator="equal">
      <formula>"NO APLICA"</formula>
    </cfRule>
  </conditionalFormatting>
  <conditionalFormatting sqref="W1018:X1021">
    <cfRule type="cellIs" dxfId="10638" priority="10570" stopIfTrue="1" operator="equal">
      <formula>"NO APLICA"</formula>
    </cfRule>
  </conditionalFormatting>
  <conditionalFormatting sqref="W1018:X1018">
    <cfRule type="cellIs" dxfId="10637" priority="10569" stopIfTrue="1" operator="equal">
      <formula>"NO APLICA"</formula>
    </cfRule>
  </conditionalFormatting>
  <conditionalFormatting sqref="Y1018:Y1021">
    <cfRule type="cellIs" dxfId="10636" priority="10568" stopIfTrue="1" operator="equal">
      <formula>"NO APLICA"</formula>
    </cfRule>
  </conditionalFormatting>
  <conditionalFormatting sqref="T1027">
    <cfRule type="cellIs" dxfId="10635" priority="10566" operator="equal">
      <formula>"CUMPLE"</formula>
    </cfRule>
    <cfRule type="cellIs" dxfId="10634" priority="10567" operator="equal">
      <formula>"NO CUMPLE"</formula>
    </cfRule>
  </conditionalFormatting>
  <conditionalFormatting sqref="T1027:T1029">
    <cfRule type="cellIs" dxfId="10633" priority="10565" operator="equal">
      <formula>"VERIFICAR"</formula>
    </cfRule>
  </conditionalFormatting>
  <conditionalFormatting sqref="AD1013:AF1017">
    <cfRule type="cellIs" dxfId="10632" priority="10563" stopIfTrue="1" operator="equal">
      <formula>"NO"</formula>
    </cfRule>
    <cfRule type="cellIs" dxfId="10631" priority="10564" stopIfTrue="1" operator="equal">
      <formula>"SI"</formula>
    </cfRule>
  </conditionalFormatting>
  <conditionalFormatting sqref="AD1018:AF1021">
    <cfRule type="cellIs" dxfId="10630" priority="10561" stopIfTrue="1" operator="equal">
      <formula>"NO"</formula>
    </cfRule>
    <cfRule type="cellIs" dxfId="10629" priority="10562" stopIfTrue="1" operator="equal">
      <formula>"SI"</formula>
    </cfRule>
  </conditionalFormatting>
  <conditionalFormatting sqref="W1022:Y1022">
    <cfRule type="cellIs" dxfId="10628" priority="10559" stopIfTrue="1" operator="equal">
      <formula>"NO"</formula>
    </cfRule>
    <cfRule type="cellIs" dxfId="10627" priority="10560" stopIfTrue="1" operator="equal">
      <formula>"SI"</formula>
    </cfRule>
  </conditionalFormatting>
  <conditionalFormatting sqref="W1022:X1022">
    <cfRule type="cellIs" dxfId="10626" priority="10558" stopIfTrue="1" operator="equal">
      <formula>"NO APLICA"</formula>
    </cfRule>
  </conditionalFormatting>
  <conditionalFormatting sqref="Y1022">
    <cfRule type="cellIs" dxfId="10625" priority="10557" stopIfTrue="1" operator="equal">
      <formula>"NO APLICA"</formula>
    </cfRule>
  </conditionalFormatting>
  <conditionalFormatting sqref="AD1022:AF1022">
    <cfRule type="cellIs" dxfId="10624" priority="10555" stopIfTrue="1" operator="equal">
      <formula>"NO"</formula>
    </cfRule>
    <cfRule type="cellIs" dxfId="10623" priority="10556" stopIfTrue="1" operator="equal">
      <formula>"SI"</formula>
    </cfRule>
  </conditionalFormatting>
  <conditionalFormatting sqref="AE1027">
    <cfRule type="cellIs" dxfId="10622" priority="10552" stopIfTrue="1" operator="equal">
      <formula>"VERIFICAR"</formula>
    </cfRule>
    <cfRule type="cellIs" dxfId="10621" priority="10553" stopIfTrue="1" operator="equal">
      <formula>"NO CUMPLE"</formula>
    </cfRule>
    <cfRule type="cellIs" dxfId="10620" priority="10554" stopIfTrue="1" operator="equal">
      <formula>"CUMPLE"</formula>
    </cfRule>
  </conditionalFormatting>
  <conditionalFormatting sqref="AF1027">
    <cfRule type="cellIs" dxfId="10619" priority="10549" stopIfTrue="1" operator="equal">
      <formula>"VERIFICAR"</formula>
    </cfRule>
    <cfRule type="cellIs" dxfId="10618" priority="10550" stopIfTrue="1" operator="equal">
      <formula>"NO CUMPLE"</formula>
    </cfRule>
    <cfRule type="cellIs" dxfId="10617" priority="10551" stopIfTrue="1" operator="equal">
      <formula>"CUMPLE"</formula>
    </cfRule>
  </conditionalFormatting>
  <conditionalFormatting sqref="Y1030">
    <cfRule type="cellIs" dxfId="10616" priority="10548" operator="equal">
      <formula>"VERIFICAR CUADRO"</formula>
    </cfRule>
  </conditionalFormatting>
  <conditionalFormatting sqref="AC1031:AC1036">
    <cfRule type="cellIs" dxfId="10615" priority="10547" stopIfTrue="1" operator="greaterThan">
      <formula>0</formula>
    </cfRule>
  </conditionalFormatting>
  <conditionalFormatting sqref="AC1031:AC1036">
    <cfRule type="cellIs" dxfId="10614" priority="10546" stopIfTrue="1" operator="greaterThan">
      <formula>0</formula>
    </cfRule>
  </conditionalFormatting>
  <conditionalFormatting sqref="AD1031:AD1036">
    <cfRule type="containsText" dxfId="10613" priority="10544" stopIfTrue="1" operator="containsText" text="NO CUMPLE">
      <formula>NOT(ISERROR(SEARCH("NO CUMPLE",AD1031)))</formula>
    </cfRule>
    <cfRule type="containsText" dxfId="10612" priority="10545" stopIfTrue="1" operator="containsText" text="CUMPLE">
      <formula>NOT(ISERROR(SEARCH("CUMPLE",AD1031)))</formula>
    </cfRule>
  </conditionalFormatting>
  <conditionalFormatting sqref="Y1036">
    <cfRule type="containsText" dxfId="10611" priority="10542" stopIfTrue="1" operator="containsText" text="NO CUMPLE">
      <formula>NOT(ISERROR(SEARCH("NO CUMPLE",Y1036)))</formula>
    </cfRule>
    <cfRule type="containsText" dxfId="10610" priority="10543" stopIfTrue="1" operator="containsText" text="CUMPLE">
      <formula>NOT(ISERROR(SEARCH("CUMPLE",Y1036)))</formula>
    </cfRule>
  </conditionalFormatting>
  <conditionalFormatting sqref="AA1013:AA1022">
    <cfRule type="cellIs" dxfId="10609" priority="10540" stopIfTrue="1" operator="equal">
      <formula>"NO APLICA"</formula>
    </cfRule>
    <cfRule type="cellIs" dxfId="10608" priority="10541" stopIfTrue="1" operator="equal">
      <formula>"TERCIARIA"</formula>
    </cfRule>
  </conditionalFormatting>
  <conditionalFormatting sqref="AB1013:AB1022">
    <cfRule type="cellIs" dxfId="10607" priority="10538" stopIfTrue="1" operator="equal">
      <formula>"N/A"</formula>
    </cfRule>
    <cfRule type="cellIs" dxfId="10606" priority="10539" stopIfTrue="1" operator="equal">
      <formula>"NO"</formula>
    </cfRule>
  </conditionalFormatting>
  <conditionalFormatting sqref="M1043:M1052">
    <cfRule type="cellIs" dxfId="10605" priority="10537" stopIfTrue="1" operator="lessThan">
      <formula>0</formula>
    </cfRule>
  </conditionalFormatting>
  <conditionalFormatting sqref="C1045:D1051 B1044:B1051 F1045:I1051 C1044:I1044 B1052:O1052 B1043:R1043 Q1044:R1045 J1044:O1051 Q1046:Q1052 P1044:P1052">
    <cfRule type="cellIs" dxfId="10604" priority="10536" stopIfTrue="1" operator="greaterThan">
      <formula>0</formula>
    </cfRule>
  </conditionalFormatting>
  <conditionalFormatting sqref="C1045:D1051">
    <cfRule type="cellIs" dxfId="10603" priority="10535" stopIfTrue="1" operator="greaterThan">
      <formula>0</formula>
    </cfRule>
  </conditionalFormatting>
  <conditionalFormatting sqref="C1043:M1043 C1045:D1051 F1045:I1051 C1044:I1044 K1044:M1051 J1044:J1052 L1052:M1052">
    <cfRule type="cellIs" dxfId="10602" priority="10534" stopIfTrue="1" operator="greaterThan">
      <formula>0</formula>
    </cfRule>
  </conditionalFormatting>
  <conditionalFormatting sqref="M1043:M1052">
    <cfRule type="cellIs" dxfId="10601" priority="10533" stopIfTrue="1" operator="lessThan">
      <formula>0</formula>
    </cfRule>
  </conditionalFormatting>
  <conditionalFormatting sqref="J1044:J1052 L1044:O1052 C1043:O1043">
    <cfRule type="cellIs" dxfId="10600" priority="10532" stopIfTrue="1" operator="greaterThan">
      <formula>0</formula>
    </cfRule>
  </conditionalFormatting>
  <conditionalFormatting sqref="H1045:I1051 K1045:M1052">
    <cfRule type="cellIs" dxfId="10599" priority="10531" stopIfTrue="1" operator="greaterThan">
      <formula>0</formula>
    </cfRule>
  </conditionalFormatting>
  <conditionalFormatting sqref="I1044">
    <cfRule type="cellIs" dxfId="10598" priority="10530" stopIfTrue="1" operator="greaterThan">
      <formula>0</formula>
    </cfRule>
  </conditionalFormatting>
  <conditionalFormatting sqref="I1052">
    <cfRule type="cellIs" dxfId="10597" priority="10529" stopIfTrue="1" operator="greaterThan">
      <formula>0</formula>
    </cfRule>
  </conditionalFormatting>
  <conditionalFormatting sqref="E1045:E1051">
    <cfRule type="cellIs" dxfId="10596" priority="10528" stopIfTrue="1" operator="greaterThan">
      <formula>0</formula>
    </cfRule>
  </conditionalFormatting>
  <conditionalFormatting sqref="K1060:K1065">
    <cfRule type="containsText" dxfId="10595" priority="10526" stopIfTrue="1" operator="containsText" text="NO CUMPLE">
      <formula>NOT(ISERROR(SEARCH("NO CUMPLE",K1060)))</formula>
    </cfRule>
    <cfRule type="containsText" dxfId="10594" priority="10527" stopIfTrue="1" operator="containsText" text="CUMPLE">
      <formula>NOT(ISERROR(SEARCH("CUMPLE",K1060)))</formula>
    </cfRule>
  </conditionalFormatting>
  <conditionalFormatting sqref="K1066">
    <cfRule type="containsText" dxfId="10593" priority="10524" stopIfTrue="1" operator="containsText" text="NO CUMPLE">
      <formula>NOT(ISERROR(SEARCH("NO CUMPLE",K1066)))</formula>
    </cfRule>
    <cfRule type="containsText" dxfId="10592" priority="10525" stopIfTrue="1" operator="containsText" text="CUMPLE">
      <formula>NOT(ISERROR(SEARCH("CUMPLE",K1066)))</formula>
    </cfRule>
  </conditionalFormatting>
  <conditionalFormatting sqref="Q1059">
    <cfRule type="cellIs" dxfId="10591" priority="10522" operator="greaterThanOrEqual">
      <formula>NUMMINCONT</formula>
    </cfRule>
    <cfRule type="cellIs" dxfId="10590" priority="10523" operator="lessThan">
      <formula>NUMMINCONT</formula>
    </cfRule>
  </conditionalFormatting>
  <conditionalFormatting sqref="W1043:Y1051">
    <cfRule type="cellIs" dxfId="10589" priority="10520" stopIfTrue="1" operator="equal">
      <formula>"NO"</formula>
    </cfRule>
    <cfRule type="cellIs" dxfId="10588" priority="10521" stopIfTrue="1" operator="equal">
      <formula>"SI"</formula>
    </cfRule>
  </conditionalFormatting>
  <conditionalFormatting sqref="R1046">
    <cfRule type="cellIs" dxfId="10587" priority="10519" stopIfTrue="1" operator="greaterThan">
      <formula>0</formula>
    </cfRule>
  </conditionalFormatting>
  <conditionalFormatting sqref="R1047">
    <cfRule type="cellIs" dxfId="10586" priority="10518" stopIfTrue="1" operator="greaterThan">
      <formula>0</formula>
    </cfRule>
  </conditionalFormatting>
  <conditionalFormatting sqref="R1048">
    <cfRule type="cellIs" dxfId="10585" priority="10517" stopIfTrue="1" operator="greaterThan">
      <formula>0</formula>
    </cfRule>
  </conditionalFormatting>
  <conditionalFormatting sqref="R1049">
    <cfRule type="cellIs" dxfId="10584" priority="10516" stopIfTrue="1" operator="greaterThan">
      <formula>0</formula>
    </cfRule>
  </conditionalFormatting>
  <conditionalFormatting sqref="R1050">
    <cfRule type="cellIs" dxfId="10583" priority="10515" stopIfTrue="1" operator="greaterThan">
      <formula>0</formula>
    </cfRule>
  </conditionalFormatting>
  <conditionalFormatting sqref="R1051">
    <cfRule type="cellIs" dxfId="10582" priority="10514" stopIfTrue="1" operator="greaterThan">
      <formula>0</formula>
    </cfRule>
  </conditionalFormatting>
  <conditionalFormatting sqref="R1052">
    <cfRule type="cellIs" dxfId="10581" priority="10513" stopIfTrue="1" operator="greaterThan">
      <formula>0</formula>
    </cfRule>
  </conditionalFormatting>
  <conditionalFormatting sqref="W1043:X1043">
    <cfRule type="cellIs" dxfId="10580" priority="10512" stopIfTrue="1" operator="equal">
      <formula>"NO APLICA"</formula>
    </cfRule>
  </conditionalFormatting>
  <conditionalFormatting sqref="W1044:X1047">
    <cfRule type="cellIs" dxfId="10579" priority="10511" stopIfTrue="1" operator="equal">
      <formula>"NO APLICA"</formula>
    </cfRule>
  </conditionalFormatting>
  <conditionalFormatting sqref="W1044:X1044">
    <cfRule type="cellIs" dxfId="10578" priority="10510" stopIfTrue="1" operator="equal">
      <formula>"NO APLICA"</formula>
    </cfRule>
  </conditionalFormatting>
  <conditionalFormatting sqref="Y1043">
    <cfRule type="cellIs" dxfId="10577" priority="10509" stopIfTrue="1" operator="equal">
      <formula>"NO APLICA"</formula>
    </cfRule>
  </conditionalFormatting>
  <conditionalFormatting sqref="Y1044:Y1047">
    <cfRule type="cellIs" dxfId="10576" priority="10508" stopIfTrue="1" operator="equal">
      <formula>"NO APLICA"</formula>
    </cfRule>
  </conditionalFormatting>
  <conditionalFormatting sqref="W1048:X1051">
    <cfRule type="cellIs" dxfId="10575" priority="10507" stopIfTrue="1" operator="equal">
      <formula>"NO APLICA"</formula>
    </cfRule>
  </conditionalFormatting>
  <conditionalFormatting sqref="W1048:X1048">
    <cfRule type="cellIs" dxfId="10574" priority="10506" stopIfTrue="1" operator="equal">
      <formula>"NO APLICA"</formula>
    </cfRule>
  </conditionalFormatting>
  <conditionalFormatting sqref="Y1048:Y1051">
    <cfRule type="cellIs" dxfId="10573" priority="10505" stopIfTrue="1" operator="equal">
      <formula>"NO APLICA"</formula>
    </cfRule>
  </conditionalFormatting>
  <conditionalFormatting sqref="T1057">
    <cfRule type="cellIs" dxfId="10572" priority="10503" operator="equal">
      <formula>"CUMPLE"</formula>
    </cfRule>
    <cfRule type="cellIs" dxfId="10571" priority="10504" operator="equal">
      <formula>"NO CUMPLE"</formula>
    </cfRule>
  </conditionalFormatting>
  <conditionalFormatting sqref="T1057:T1059">
    <cfRule type="cellIs" dxfId="10570" priority="10502" operator="equal">
      <formula>"VERIFICAR"</formula>
    </cfRule>
  </conditionalFormatting>
  <conditionalFormatting sqref="AD1043:AF1047">
    <cfRule type="cellIs" dxfId="10569" priority="10500" stopIfTrue="1" operator="equal">
      <formula>"NO"</formula>
    </cfRule>
    <cfRule type="cellIs" dxfId="10568" priority="10501" stopIfTrue="1" operator="equal">
      <formula>"SI"</formula>
    </cfRule>
  </conditionalFormatting>
  <conditionalFormatting sqref="AD1048:AF1051">
    <cfRule type="cellIs" dxfId="10567" priority="10498" stopIfTrue="1" operator="equal">
      <formula>"NO"</formula>
    </cfRule>
    <cfRule type="cellIs" dxfId="10566" priority="10499" stopIfTrue="1" operator="equal">
      <formula>"SI"</formula>
    </cfRule>
  </conditionalFormatting>
  <conditionalFormatting sqref="W1052:Y1052">
    <cfRule type="cellIs" dxfId="10565" priority="10496" stopIfTrue="1" operator="equal">
      <formula>"NO"</formula>
    </cfRule>
    <cfRule type="cellIs" dxfId="10564" priority="10497" stopIfTrue="1" operator="equal">
      <formula>"SI"</formula>
    </cfRule>
  </conditionalFormatting>
  <conditionalFormatting sqref="W1052:X1052">
    <cfRule type="cellIs" dxfId="10563" priority="10495" stopIfTrue="1" operator="equal">
      <formula>"NO APLICA"</formula>
    </cfRule>
  </conditionalFormatting>
  <conditionalFormatting sqref="Y1052">
    <cfRule type="cellIs" dxfId="10562" priority="10494" stopIfTrue="1" operator="equal">
      <formula>"NO APLICA"</formula>
    </cfRule>
  </conditionalFormatting>
  <conditionalFormatting sqref="AD1052:AF1052">
    <cfRule type="cellIs" dxfId="10561" priority="10492" stopIfTrue="1" operator="equal">
      <formula>"NO"</formula>
    </cfRule>
    <cfRule type="cellIs" dxfId="10560" priority="10493" stopIfTrue="1" operator="equal">
      <formula>"SI"</formula>
    </cfRule>
  </conditionalFormatting>
  <conditionalFormatting sqref="AE1057">
    <cfRule type="cellIs" dxfId="10559" priority="10489" stopIfTrue="1" operator="equal">
      <formula>"VERIFICAR"</formula>
    </cfRule>
    <cfRule type="cellIs" dxfId="10558" priority="10490" stopIfTrue="1" operator="equal">
      <formula>"NO CUMPLE"</formula>
    </cfRule>
    <cfRule type="cellIs" dxfId="10557" priority="10491" stopIfTrue="1" operator="equal">
      <formula>"CUMPLE"</formula>
    </cfRule>
  </conditionalFormatting>
  <conditionalFormatting sqref="AF1057">
    <cfRule type="cellIs" dxfId="10556" priority="10486" stopIfTrue="1" operator="equal">
      <formula>"VERIFICAR"</formula>
    </cfRule>
    <cfRule type="cellIs" dxfId="10555" priority="10487" stopIfTrue="1" operator="equal">
      <formula>"NO CUMPLE"</formula>
    </cfRule>
    <cfRule type="cellIs" dxfId="10554" priority="10488" stopIfTrue="1" operator="equal">
      <formula>"CUMPLE"</formula>
    </cfRule>
  </conditionalFormatting>
  <conditionalFormatting sqref="Y1060">
    <cfRule type="cellIs" dxfId="10553" priority="10485" operator="equal">
      <formula>"VERIFICAR CUADRO"</formula>
    </cfRule>
  </conditionalFormatting>
  <conditionalFormatting sqref="AC1061:AC1066">
    <cfRule type="cellIs" dxfId="10552" priority="10484" stopIfTrue="1" operator="greaterThan">
      <formula>0</formula>
    </cfRule>
  </conditionalFormatting>
  <conditionalFormatting sqref="AC1061:AC1066">
    <cfRule type="cellIs" dxfId="10551" priority="10483" stopIfTrue="1" operator="greaterThan">
      <formula>0</formula>
    </cfRule>
  </conditionalFormatting>
  <conditionalFormatting sqref="AD1061:AD1066">
    <cfRule type="containsText" dxfId="10550" priority="10481" stopIfTrue="1" operator="containsText" text="NO CUMPLE">
      <formula>NOT(ISERROR(SEARCH("NO CUMPLE",AD1061)))</formula>
    </cfRule>
    <cfRule type="containsText" dxfId="10549" priority="10482" stopIfTrue="1" operator="containsText" text="CUMPLE">
      <formula>NOT(ISERROR(SEARCH("CUMPLE",AD1061)))</formula>
    </cfRule>
  </conditionalFormatting>
  <conditionalFormatting sqref="Y1066">
    <cfRule type="containsText" dxfId="10548" priority="10479" stopIfTrue="1" operator="containsText" text="NO CUMPLE">
      <formula>NOT(ISERROR(SEARCH("NO CUMPLE",Y1066)))</formula>
    </cfRule>
    <cfRule type="containsText" dxfId="10547" priority="10480" stopIfTrue="1" operator="containsText" text="CUMPLE">
      <formula>NOT(ISERROR(SEARCH("CUMPLE",Y1066)))</formula>
    </cfRule>
  </conditionalFormatting>
  <conditionalFormatting sqref="AA1043:AA1052">
    <cfRule type="cellIs" dxfId="10546" priority="10477" stopIfTrue="1" operator="equal">
      <formula>"NO APLICA"</formula>
    </cfRule>
    <cfRule type="cellIs" dxfId="10545" priority="10478" stopIfTrue="1" operator="equal">
      <formula>"TERCIARIA"</formula>
    </cfRule>
  </conditionalFormatting>
  <conditionalFormatting sqref="AB1043:AB1052">
    <cfRule type="cellIs" dxfId="10544" priority="10475" stopIfTrue="1" operator="equal">
      <formula>"N/A"</formula>
    </cfRule>
    <cfRule type="cellIs" dxfId="10543" priority="10476" stopIfTrue="1" operator="equal">
      <formula>"NO"</formula>
    </cfRule>
  </conditionalFormatting>
  <conditionalFormatting sqref="M1073:M1082">
    <cfRule type="cellIs" dxfId="10542" priority="10474" stopIfTrue="1" operator="lessThan">
      <formula>0</formula>
    </cfRule>
  </conditionalFormatting>
  <conditionalFormatting sqref="C1075:D1081 B1074:B1081 F1075:I1081 C1074:I1074 B1082:O1082 B1073:R1073 Q1074:R1075 J1074:O1081 Q1076:Q1082 P1074:P1082">
    <cfRule type="cellIs" dxfId="10541" priority="10473" stopIfTrue="1" operator="greaterThan">
      <formula>0</formula>
    </cfRule>
  </conditionalFormatting>
  <conditionalFormatting sqref="C1075:D1081">
    <cfRule type="cellIs" dxfId="10540" priority="10472" stopIfTrue="1" operator="greaterThan">
      <formula>0</formula>
    </cfRule>
  </conditionalFormatting>
  <conditionalFormatting sqref="C1073:M1073 C1075:D1081 F1075:I1081 C1074:I1074 K1074:M1081 J1074:J1082 L1082:M1082">
    <cfRule type="cellIs" dxfId="10539" priority="10471" stopIfTrue="1" operator="greaterThan">
      <formula>0</formula>
    </cfRule>
  </conditionalFormatting>
  <conditionalFormatting sqref="M1073:M1082">
    <cfRule type="cellIs" dxfId="10538" priority="10470" stopIfTrue="1" operator="lessThan">
      <formula>0</formula>
    </cfRule>
  </conditionalFormatting>
  <conditionalFormatting sqref="J1074:J1082 L1074:O1082 C1073:O1073">
    <cfRule type="cellIs" dxfId="10537" priority="10469" stopIfTrue="1" operator="greaterThan">
      <formula>0</formula>
    </cfRule>
  </conditionalFormatting>
  <conditionalFormatting sqref="H1075:I1081 K1075:M1082">
    <cfRule type="cellIs" dxfId="10536" priority="10468" stopIfTrue="1" operator="greaterThan">
      <formula>0</formula>
    </cfRule>
  </conditionalFormatting>
  <conditionalFormatting sqref="I1074">
    <cfRule type="cellIs" dxfId="10535" priority="10467" stopIfTrue="1" operator="greaterThan">
      <formula>0</formula>
    </cfRule>
  </conditionalFormatting>
  <conditionalFormatting sqref="I1082">
    <cfRule type="cellIs" dxfId="10534" priority="10466" stopIfTrue="1" operator="greaterThan">
      <formula>0</formula>
    </cfRule>
  </conditionalFormatting>
  <conditionalFormatting sqref="E1075:E1081">
    <cfRule type="cellIs" dxfId="10533" priority="10465" stopIfTrue="1" operator="greaterThan">
      <formula>0</formula>
    </cfRule>
  </conditionalFormatting>
  <conditionalFormatting sqref="K1090:K1095">
    <cfRule type="containsText" dxfId="10532" priority="10463" stopIfTrue="1" operator="containsText" text="NO CUMPLE">
      <formula>NOT(ISERROR(SEARCH("NO CUMPLE",K1090)))</formula>
    </cfRule>
    <cfRule type="containsText" dxfId="10531" priority="10464" stopIfTrue="1" operator="containsText" text="CUMPLE">
      <formula>NOT(ISERROR(SEARCH("CUMPLE",K1090)))</formula>
    </cfRule>
  </conditionalFormatting>
  <conditionalFormatting sqref="K1096">
    <cfRule type="containsText" dxfId="10530" priority="10461" stopIfTrue="1" operator="containsText" text="NO CUMPLE">
      <formula>NOT(ISERROR(SEARCH("NO CUMPLE",K1096)))</formula>
    </cfRule>
    <cfRule type="containsText" dxfId="10529" priority="10462" stopIfTrue="1" operator="containsText" text="CUMPLE">
      <formula>NOT(ISERROR(SEARCH("CUMPLE",K1096)))</formula>
    </cfRule>
  </conditionalFormatting>
  <conditionalFormatting sqref="Q1089">
    <cfRule type="cellIs" dxfId="10528" priority="10459" operator="greaterThanOrEqual">
      <formula>NUMMINCONT</formula>
    </cfRule>
    <cfRule type="cellIs" dxfId="10527" priority="10460" operator="lessThan">
      <formula>NUMMINCONT</formula>
    </cfRule>
  </conditionalFormatting>
  <conditionalFormatting sqref="W1073:Y1081">
    <cfRule type="cellIs" dxfId="10526" priority="10457" stopIfTrue="1" operator="equal">
      <formula>"NO"</formula>
    </cfRule>
    <cfRule type="cellIs" dxfId="10525" priority="10458" stopIfTrue="1" operator="equal">
      <formula>"SI"</formula>
    </cfRule>
  </conditionalFormatting>
  <conditionalFormatting sqref="R1076">
    <cfRule type="cellIs" dxfId="10524" priority="10456" stopIfTrue="1" operator="greaterThan">
      <formula>0</formula>
    </cfRule>
  </conditionalFormatting>
  <conditionalFormatting sqref="R1077">
    <cfRule type="cellIs" dxfId="10523" priority="10455" stopIfTrue="1" operator="greaterThan">
      <formula>0</formula>
    </cfRule>
  </conditionalFormatting>
  <conditionalFormatting sqref="R1078">
    <cfRule type="cellIs" dxfId="10522" priority="10454" stopIfTrue="1" operator="greaterThan">
      <formula>0</formula>
    </cfRule>
  </conditionalFormatting>
  <conditionalFormatting sqref="R1079">
    <cfRule type="cellIs" dxfId="10521" priority="10453" stopIfTrue="1" operator="greaterThan">
      <formula>0</formula>
    </cfRule>
  </conditionalFormatting>
  <conditionalFormatting sqref="R1080">
    <cfRule type="cellIs" dxfId="10520" priority="10452" stopIfTrue="1" operator="greaterThan">
      <formula>0</formula>
    </cfRule>
  </conditionalFormatting>
  <conditionalFormatting sqref="R1081">
    <cfRule type="cellIs" dxfId="10519" priority="10451" stopIfTrue="1" operator="greaterThan">
      <formula>0</formula>
    </cfRule>
  </conditionalFormatting>
  <conditionalFormatting sqref="R1082">
    <cfRule type="cellIs" dxfId="10518" priority="10450" stopIfTrue="1" operator="greaterThan">
      <formula>0</formula>
    </cfRule>
  </conditionalFormatting>
  <conditionalFormatting sqref="W1073:X1073">
    <cfRule type="cellIs" dxfId="10517" priority="10449" stopIfTrue="1" operator="equal">
      <formula>"NO APLICA"</formula>
    </cfRule>
  </conditionalFormatting>
  <conditionalFormatting sqref="W1074:X1077">
    <cfRule type="cellIs" dxfId="10516" priority="10448" stopIfTrue="1" operator="equal">
      <formula>"NO APLICA"</formula>
    </cfRule>
  </conditionalFormatting>
  <conditionalFormatting sqref="W1074:X1074">
    <cfRule type="cellIs" dxfId="10515" priority="10447" stopIfTrue="1" operator="equal">
      <formula>"NO APLICA"</formula>
    </cfRule>
  </conditionalFormatting>
  <conditionalFormatting sqref="Y1073">
    <cfRule type="cellIs" dxfId="10514" priority="10446" stopIfTrue="1" operator="equal">
      <formula>"NO APLICA"</formula>
    </cfRule>
  </conditionalFormatting>
  <conditionalFormatting sqref="Y1074:Y1077">
    <cfRule type="cellIs" dxfId="10513" priority="10445" stopIfTrue="1" operator="equal">
      <formula>"NO APLICA"</formula>
    </cfRule>
  </conditionalFormatting>
  <conditionalFormatting sqref="W1078:X1081">
    <cfRule type="cellIs" dxfId="10512" priority="10444" stopIfTrue="1" operator="equal">
      <formula>"NO APLICA"</formula>
    </cfRule>
  </conditionalFormatting>
  <conditionalFormatting sqref="W1078:X1078">
    <cfRule type="cellIs" dxfId="10511" priority="10443" stopIfTrue="1" operator="equal">
      <formula>"NO APLICA"</formula>
    </cfRule>
  </conditionalFormatting>
  <conditionalFormatting sqref="Y1078:Y1081">
    <cfRule type="cellIs" dxfId="10510" priority="10442" stopIfTrue="1" operator="equal">
      <formula>"NO APLICA"</formula>
    </cfRule>
  </conditionalFormatting>
  <conditionalFormatting sqref="T1087">
    <cfRule type="cellIs" dxfId="10509" priority="10440" operator="equal">
      <formula>"CUMPLE"</formula>
    </cfRule>
    <cfRule type="cellIs" dxfId="10508" priority="10441" operator="equal">
      <formula>"NO CUMPLE"</formula>
    </cfRule>
  </conditionalFormatting>
  <conditionalFormatting sqref="T1087:T1089">
    <cfRule type="cellIs" dxfId="10507" priority="10439" operator="equal">
      <formula>"VERIFICAR"</formula>
    </cfRule>
  </conditionalFormatting>
  <conditionalFormatting sqref="AD1073:AF1077">
    <cfRule type="cellIs" dxfId="10506" priority="10437" stopIfTrue="1" operator="equal">
      <formula>"NO"</formula>
    </cfRule>
    <cfRule type="cellIs" dxfId="10505" priority="10438" stopIfTrue="1" operator="equal">
      <formula>"SI"</formula>
    </cfRule>
  </conditionalFormatting>
  <conditionalFormatting sqref="AD1078:AF1081">
    <cfRule type="cellIs" dxfId="10504" priority="10435" stopIfTrue="1" operator="equal">
      <formula>"NO"</formula>
    </cfRule>
    <cfRule type="cellIs" dxfId="10503" priority="10436" stopIfTrue="1" operator="equal">
      <formula>"SI"</formula>
    </cfRule>
  </conditionalFormatting>
  <conditionalFormatting sqref="W1082:Y1082">
    <cfRule type="cellIs" dxfId="10502" priority="10433" stopIfTrue="1" operator="equal">
      <formula>"NO"</formula>
    </cfRule>
    <cfRule type="cellIs" dxfId="10501" priority="10434" stopIfTrue="1" operator="equal">
      <formula>"SI"</formula>
    </cfRule>
  </conditionalFormatting>
  <conditionalFormatting sqref="W1082:X1082">
    <cfRule type="cellIs" dxfId="10500" priority="10432" stopIfTrue="1" operator="equal">
      <formula>"NO APLICA"</formula>
    </cfRule>
  </conditionalFormatting>
  <conditionalFormatting sqref="Y1082">
    <cfRule type="cellIs" dxfId="10499" priority="10431" stopIfTrue="1" operator="equal">
      <formula>"NO APLICA"</formula>
    </cfRule>
  </conditionalFormatting>
  <conditionalFormatting sqref="AD1082:AF1082">
    <cfRule type="cellIs" dxfId="10498" priority="10429" stopIfTrue="1" operator="equal">
      <formula>"NO"</formula>
    </cfRule>
    <cfRule type="cellIs" dxfId="10497" priority="10430" stopIfTrue="1" operator="equal">
      <formula>"SI"</formula>
    </cfRule>
  </conditionalFormatting>
  <conditionalFormatting sqref="AE1087">
    <cfRule type="cellIs" dxfId="10496" priority="10426" stopIfTrue="1" operator="equal">
      <formula>"VERIFICAR"</formula>
    </cfRule>
    <cfRule type="cellIs" dxfId="10495" priority="10427" stopIfTrue="1" operator="equal">
      <formula>"NO CUMPLE"</formula>
    </cfRule>
    <cfRule type="cellIs" dxfId="10494" priority="10428" stopIfTrue="1" operator="equal">
      <formula>"CUMPLE"</formula>
    </cfRule>
  </conditionalFormatting>
  <conditionalFormatting sqref="AF1087">
    <cfRule type="cellIs" dxfId="10493" priority="10423" stopIfTrue="1" operator="equal">
      <formula>"VERIFICAR"</formula>
    </cfRule>
    <cfRule type="cellIs" dxfId="10492" priority="10424" stopIfTrue="1" operator="equal">
      <formula>"NO CUMPLE"</formula>
    </cfRule>
    <cfRule type="cellIs" dxfId="10491" priority="10425" stopIfTrue="1" operator="equal">
      <formula>"CUMPLE"</formula>
    </cfRule>
  </conditionalFormatting>
  <conditionalFormatting sqref="Y1090">
    <cfRule type="cellIs" dxfId="10490" priority="10422" operator="equal">
      <formula>"VERIFICAR CUADRO"</formula>
    </cfRule>
  </conditionalFormatting>
  <conditionalFormatting sqref="AC1091:AC1096">
    <cfRule type="cellIs" dxfId="10489" priority="10421" stopIfTrue="1" operator="greaterThan">
      <formula>0</formula>
    </cfRule>
  </conditionalFormatting>
  <conditionalFormatting sqref="AC1091:AC1096">
    <cfRule type="cellIs" dxfId="10488" priority="10420" stopIfTrue="1" operator="greaterThan">
      <formula>0</formula>
    </cfRule>
  </conditionalFormatting>
  <conditionalFormatting sqref="AD1091:AD1096">
    <cfRule type="containsText" dxfId="10487" priority="10418" stopIfTrue="1" operator="containsText" text="NO CUMPLE">
      <formula>NOT(ISERROR(SEARCH("NO CUMPLE",AD1091)))</formula>
    </cfRule>
    <cfRule type="containsText" dxfId="10486" priority="10419" stopIfTrue="1" operator="containsText" text="CUMPLE">
      <formula>NOT(ISERROR(SEARCH("CUMPLE",AD1091)))</formula>
    </cfRule>
  </conditionalFormatting>
  <conditionalFormatting sqref="Y1096">
    <cfRule type="containsText" dxfId="10485" priority="10416" stopIfTrue="1" operator="containsText" text="NO CUMPLE">
      <formula>NOT(ISERROR(SEARCH("NO CUMPLE",Y1096)))</formula>
    </cfRule>
    <cfRule type="containsText" dxfId="10484" priority="10417" stopIfTrue="1" operator="containsText" text="CUMPLE">
      <formula>NOT(ISERROR(SEARCH("CUMPLE",Y1096)))</formula>
    </cfRule>
  </conditionalFormatting>
  <conditionalFormatting sqref="AA1073:AA1082">
    <cfRule type="cellIs" dxfId="10483" priority="10414" stopIfTrue="1" operator="equal">
      <formula>"NO APLICA"</formula>
    </cfRule>
    <cfRule type="cellIs" dxfId="10482" priority="10415" stopIfTrue="1" operator="equal">
      <formula>"TERCIARIA"</formula>
    </cfRule>
  </conditionalFormatting>
  <conditionalFormatting sqref="AB1073:AB1082">
    <cfRule type="cellIs" dxfId="10481" priority="10412" stopIfTrue="1" operator="equal">
      <formula>"N/A"</formula>
    </cfRule>
    <cfRule type="cellIs" dxfId="10480" priority="10413" stopIfTrue="1" operator="equal">
      <formula>"NO"</formula>
    </cfRule>
  </conditionalFormatting>
  <conditionalFormatting sqref="M1103:M1112">
    <cfRule type="cellIs" dxfId="10479" priority="10411" stopIfTrue="1" operator="lessThan">
      <formula>0</formula>
    </cfRule>
  </conditionalFormatting>
  <conditionalFormatting sqref="C1105:D1111 B1104:B1111 F1105:I1111 C1104:I1104 B1112:O1112 B1103:R1103 Q1104:R1105 J1104:O1111 Q1106:Q1112 P1104:P1112">
    <cfRule type="cellIs" dxfId="10478" priority="10410" stopIfTrue="1" operator="greaterThan">
      <formula>0</formula>
    </cfRule>
  </conditionalFormatting>
  <conditionalFormatting sqref="C1105:D1111">
    <cfRule type="cellIs" dxfId="10477" priority="10409" stopIfTrue="1" operator="greaterThan">
      <formula>0</formula>
    </cfRule>
  </conditionalFormatting>
  <conditionalFormatting sqref="C1103:M1103 C1105:D1111 F1105:I1111 C1104:I1104 K1104:M1111 J1104:J1112 L1112:M1112">
    <cfRule type="cellIs" dxfId="10476" priority="10408" stopIfTrue="1" operator="greaterThan">
      <formula>0</formula>
    </cfRule>
  </conditionalFormatting>
  <conditionalFormatting sqref="M1103:M1112">
    <cfRule type="cellIs" dxfId="10475" priority="10407" stopIfTrue="1" operator="lessThan">
      <formula>0</formula>
    </cfRule>
  </conditionalFormatting>
  <conditionalFormatting sqref="J1104:J1112 L1104:O1112 C1103:O1103">
    <cfRule type="cellIs" dxfId="10474" priority="10406" stopIfTrue="1" operator="greaterThan">
      <formula>0</formula>
    </cfRule>
  </conditionalFormatting>
  <conditionalFormatting sqref="H1105:I1111 K1105:M1112">
    <cfRule type="cellIs" dxfId="10473" priority="10405" stopIfTrue="1" operator="greaterThan">
      <formula>0</formula>
    </cfRule>
  </conditionalFormatting>
  <conditionalFormatting sqref="I1104">
    <cfRule type="cellIs" dxfId="10472" priority="10404" stopIfTrue="1" operator="greaterThan">
      <formula>0</formula>
    </cfRule>
  </conditionalFormatting>
  <conditionalFormatting sqref="I1112">
    <cfRule type="cellIs" dxfId="10471" priority="10403" stopIfTrue="1" operator="greaterThan">
      <formula>0</formula>
    </cfRule>
  </conditionalFormatting>
  <conditionalFormatting sqref="E1105:E1111">
    <cfRule type="cellIs" dxfId="10470" priority="10402" stopIfTrue="1" operator="greaterThan">
      <formula>0</formula>
    </cfRule>
  </conditionalFormatting>
  <conditionalFormatting sqref="K1120:K1125">
    <cfRule type="containsText" dxfId="10469" priority="10400" stopIfTrue="1" operator="containsText" text="NO CUMPLE">
      <formula>NOT(ISERROR(SEARCH("NO CUMPLE",K1120)))</formula>
    </cfRule>
    <cfRule type="containsText" dxfId="10468" priority="10401" stopIfTrue="1" operator="containsText" text="CUMPLE">
      <formula>NOT(ISERROR(SEARCH("CUMPLE",K1120)))</formula>
    </cfRule>
  </conditionalFormatting>
  <conditionalFormatting sqref="K1126">
    <cfRule type="containsText" dxfId="10467" priority="10398" stopIfTrue="1" operator="containsText" text="NO CUMPLE">
      <formula>NOT(ISERROR(SEARCH("NO CUMPLE",K1126)))</formula>
    </cfRule>
    <cfRule type="containsText" dxfId="10466" priority="10399" stopIfTrue="1" operator="containsText" text="CUMPLE">
      <formula>NOT(ISERROR(SEARCH("CUMPLE",K1126)))</formula>
    </cfRule>
  </conditionalFormatting>
  <conditionalFormatting sqref="Q1119">
    <cfRule type="cellIs" dxfId="10465" priority="10396" operator="greaterThanOrEqual">
      <formula>NUMMINCONT</formula>
    </cfRule>
    <cfRule type="cellIs" dxfId="10464" priority="10397" operator="lessThan">
      <formula>NUMMINCONT</formula>
    </cfRule>
  </conditionalFormatting>
  <conditionalFormatting sqref="W1103:Y1111">
    <cfRule type="cellIs" dxfId="10463" priority="10394" stopIfTrue="1" operator="equal">
      <formula>"NO"</formula>
    </cfRule>
    <cfRule type="cellIs" dxfId="10462" priority="10395" stopIfTrue="1" operator="equal">
      <formula>"SI"</formula>
    </cfRule>
  </conditionalFormatting>
  <conditionalFormatting sqref="R1106">
    <cfRule type="cellIs" dxfId="10461" priority="10393" stopIfTrue="1" operator="greaterThan">
      <formula>0</formula>
    </cfRule>
  </conditionalFormatting>
  <conditionalFormatting sqref="R1107">
    <cfRule type="cellIs" dxfId="10460" priority="10392" stopIfTrue="1" operator="greaterThan">
      <formula>0</formula>
    </cfRule>
  </conditionalFormatting>
  <conditionalFormatting sqref="R1108">
    <cfRule type="cellIs" dxfId="10459" priority="10391" stopIfTrue="1" operator="greaterThan">
      <formula>0</formula>
    </cfRule>
  </conditionalFormatting>
  <conditionalFormatting sqref="R1109">
    <cfRule type="cellIs" dxfId="10458" priority="10390" stopIfTrue="1" operator="greaterThan">
      <formula>0</formula>
    </cfRule>
  </conditionalFormatting>
  <conditionalFormatting sqref="R1110">
    <cfRule type="cellIs" dxfId="10457" priority="10389" stopIfTrue="1" operator="greaterThan">
      <formula>0</formula>
    </cfRule>
  </conditionalFormatting>
  <conditionalFormatting sqref="R1111">
    <cfRule type="cellIs" dxfId="10456" priority="10388" stopIfTrue="1" operator="greaterThan">
      <formula>0</formula>
    </cfRule>
  </conditionalFormatting>
  <conditionalFormatting sqref="R1112">
    <cfRule type="cellIs" dxfId="10455" priority="10387" stopIfTrue="1" operator="greaterThan">
      <formula>0</formula>
    </cfRule>
  </conditionalFormatting>
  <conditionalFormatting sqref="W1103:X1103">
    <cfRule type="cellIs" dxfId="10454" priority="10386" stopIfTrue="1" operator="equal">
      <formula>"NO APLICA"</formula>
    </cfRule>
  </conditionalFormatting>
  <conditionalFormatting sqref="W1104:X1107">
    <cfRule type="cellIs" dxfId="10453" priority="10385" stopIfTrue="1" operator="equal">
      <formula>"NO APLICA"</formula>
    </cfRule>
  </conditionalFormatting>
  <conditionalFormatting sqref="W1104:X1104">
    <cfRule type="cellIs" dxfId="10452" priority="10384" stopIfTrue="1" operator="equal">
      <formula>"NO APLICA"</formula>
    </cfRule>
  </conditionalFormatting>
  <conditionalFormatting sqref="Y1103">
    <cfRule type="cellIs" dxfId="10451" priority="10383" stopIfTrue="1" operator="equal">
      <formula>"NO APLICA"</formula>
    </cfRule>
  </conditionalFormatting>
  <conditionalFormatting sqref="Y1104:Y1107">
    <cfRule type="cellIs" dxfId="10450" priority="10382" stopIfTrue="1" operator="equal">
      <formula>"NO APLICA"</formula>
    </cfRule>
  </conditionalFormatting>
  <conditionalFormatting sqref="W1108:X1111">
    <cfRule type="cellIs" dxfId="10449" priority="10381" stopIfTrue="1" operator="equal">
      <formula>"NO APLICA"</formula>
    </cfRule>
  </conditionalFormatting>
  <conditionalFormatting sqref="W1108:X1108">
    <cfRule type="cellIs" dxfId="10448" priority="10380" stopIfTrue="1" operator="equal">
      <formula>"NO APLICA"</formula>
    </cfRule>
  </conditionalFormatting>
  <conditionalFormatting sqref="Y1108:Y1111">
    <cfRule type="cellIs" dxfId="10447" priority="10379" stopIfTrue="1" operator="equal">
      <formula>"NO APLICA"</formula>
    </cfRule>
  </conditionalFormatting>
  <conditionalFormatting sqref="T1117">
    <cfRule type="cellIs" dxfId="10446" priority="10377" operator="equal">
      <formula>"CUMPLE"</formula>
    </cfRule>
    <cfRule type="cellIs" dxfId="10445" priority="10378" operator="equal">
      <formula>"NO CUMPLE"</formula>
    </cfRule>
  </conditionalFormatting>
  <conditionalFormatting sqref="T1117:T1119">
    <cfRule type="cellIs" dxfId="10444" priority="10376" operator="equal">
      <formula>"VERIFICAR"</formula>
    </cfRule>
  </conditionalFormatting>
  <conditionalFormatting sqref="AD1103:AF1107">
    <cfRule type="cellIs" dxfId="10443" priority="10374" stopIfTrue="1" operator="equal">
      <formula>"NO"</formula>
    </cfRule>
    <cfRule type="cellIs" dxfId="10442" priority="10375" stopIfTrue="1" operator="equal">
      <formula>"SI"</formula>
    </cfRule>
  </conditionalFormatting>
  <conditionalFormatting sqref="AD1108:AF1111">
    <cfRule type="cellIs" dxfId="10441" priority="10372" stopIfTrue="1" operator="equal">
      <formula>"NO"</formula>
    </cfRule>
    <cfRule type="cellIs" dxfId="10440" priority="10373" stopIfTrue="1" operator="equal">
      <formula>"SI"</formula>
    </cfRule>
  </conditionalFormatting>
  <conditionalFormatting sqref="W1112:Y1112">
    <cfRule type="cellIs" dxfId="10439" priority="10370" stopIfTrue="1" operator="equal">
      <formula>"NO"</formula>
    </cfRule>
    <cfRule type="cellIs" dxfId="10438" priority="10371" stopIfTrue="1" operator="equal">
      <formula>"SI"</formula>
    </cfRule>
  </conditionalFormatting>
  <conditionalFormatting sqref="W1112:X1112">
    <cfRule type="cellIs" dxfId="10437" priority="10369" stopIfTrue="1" operator="equal">
      <formula>"NO APLICA"</formula>
    </cfRule>
  </conditionalFormatting>
  <conditionalFormatting sqref="Y1112">
    <cfRule type="cellIs" dxfId="10436" priority="10368" stopIfTrue="1" operator="equal">
      <formula>"NO APLICA"</formula>
    </cfRule>
  </conditionalFormatting>
  <conditionalFormatting sqref="AD1112:AF1112">
    <cfRule type="cellIs" dxfId="10435" priority="10366" stopIfTrue="1" operator="equal">
      <formula>"NO"</formula>
    </cfRule>
    <cfRule type="cellIs" dxfId="10434" priority="10367" stopIfTrue="1" operator="equal">
      <formula>"SI"</formula>
    </cfRule>
  </conditionalFormatting>
  <conditionalFormatting sqref="AE1117">
    <cfRule type="cellIs" dxfId="10433" priority="10363" stopIfTrue="1" operator="equal">
      <formula>"VERIFICAR"</formula>
    </cfRule>
    <cfRule type="cellIs" dxfId="10432" priority="10364" stopIfTrue="1" operator="equal">
      <formula>"NO CUMPLE"</formula>
    </cfRule>
    <cfRule type="cellIs" dxfId="10431" priority="10365" stopIfTrue="1" operator="equal">
      <formula>"CUMPLE"</formula>
    </cfRule>
  </conditionalFormatting>
  <conditionalFormatting sqref="AF1117">
    <cfRule type="cellIs" dxfId="10430" priority="10360" stopIfTrue="1" operator="equal">
      <formula>"VERIFICAR"</formula>
    </cfRule>
    <cfRule type="cellIs" dxfId="10429" priority="10361" stopIfTrue="1" operator="equal">
      <formula>"NO CUMPLE"</formula>
    </cfRule>
    <cfRule type="cellIs" dxfId="10428" priority="10362" stopIfTrue="1" operator="equal">
      <formula>"CUMPLE"</formula>
    </cfRule>
  </conditionalFormatting>
  <conditionalFormatting sqref="Y1120">
    <cfRule type="cellIs" dxfId="10427" priority="10359" operator="equal">
      <formula>"VERIFICAR CUADRO"</formula>
    </cfRule>
  </conditionalFormatting>
  <conditionalFormatting sqref="AC1121:AC1126">
    <cfRule type="cellIs" dxfId="10426" priority="10358" stopIfTrue="1" operator="greaterThan">
      <formula>0</formula>
    </cfRule>
  </conditionalFormatting>
  <conditionalFormatting sqref="AC1121:AC1126">
    <cfRule type="cellIs" dxfId="10425" priority="10357" stopIfTrue="1" operator="greaterThan">
      <formula>0</formula>
    </cfRule>
  </conditionalFormatting>
  <conditionalFormatting sqref="AD1121:AD1126">
    <cfRule type="containsText" dxfId="10424" priority="10355" stopIfTrue="1" operator="containsText" text="NO CUMPLE">
      <formula>NOT(ISERROR(SEARCH("NO CUMPLE",AD1121)))</formula>
    </cfRule>
    <cfRule type="containsText" dxfId="10423" priority="10356" stopIfTrue="1" operator="containsText" text="CUMPLE">
      <formula>NOT(ISERROR(SEARCH("CUMPLE",AD1121)))</formula>
    </cfRule>
  </conditionalFormatting>
  <conditionalFormatting sqref="Y1126">
    <cfRule type="containsText" dxfId="10422" priority="10353" stopIfTrue="1" operator="containsText" text="NO CUMPLE">
      <formula>NOT(ISERROR(SEARCH("NO CUMPLE",Y1126)))</formula>
    </cfRule>
    <cfRule type="containsText" dxfId="10421" priority="10354" stopIfTrue="1" operator="containsText" text="CUMPLE">
      <formula>NOT(ISERROR(SEARCH("CUMPLE",Y1126)))</formula>
    </cfRule>
  </conditionalFormatting>
  <conditionalFormatting sqref="AA1103:AA1112">
    <cfRule type="cellIs" dxfId="10420" priority="10351" stopIfTrue="1" operator="equal">
      <formula>"NO APLICA"</formula>
    </cfRule>
    <cfRule type="cellIs" dxfId="10419" priority="10352" stopIfTrue="1" operator="equal">
      <formula>"TERCIARIA"</formula>
    </cfRule>
  </conditionalFormatting>
  <conditionalFormatting sqref="AB1103:AB1112">
    <cfRule type="cellIs" dxfId="10418" priority="10349" stopIfTrue="1" operator="equal">
      <formula>"N/A"</formula>
    </cfRule>
    <cfRule type="cellIs" dxfId="10417" priority="10350" stopIfTrue="1" operator="equal">
      <formula>"NO"</formula>
    </cfRule>
  </conditionalFormatting>
  <conditionalFormatting sqref="M1133:M1142">
    <cfRule type="cellIs" dxfId="10416" priority="10348" stopIfTrue="1" operator="lessThan">
      <formula>0</formula>
    </cfRule>
  </conditionalFormatting>
  <conditionalFormatting sqref="C1135:D1141 B1134:B1141 F1135:I1141 C1134:I1134 B1142:O1142 B1133:R1133 Q1134:R1135 J1134:O1141 Q1136:Q1142 P1134:P1142">
    <cfRule type="cellIs" dxfId="10415" priority="10347" stopIfTrue="1" operator="greaterThan">
      <formula>0</formula>
    </cfRule>
  </conditionalFormatting>
  <conditionalFormatting sqref="C1135:D1141">
    <cfRule type="cellIs" dxfId="10414" priority="10346" stopIfTrue="1" operator="greaterThan">
      <formula>0</formula>
    </cfRule>
  </conditionalFormatting>
  <conditionalFormatting sqref="C1133:M1133 C1135:D1141 F1135:I1141 C1134:I1134 K1134:M1141 J1134:J1142 L1142:M1142">
    <cfRule type="cellIs" dxfId="10413" priority="10345" stopIfTrue="1" operator="greaterThan">
      <formula>0</formula>
    </cfRule>
  </conditionalFormatting>
  <conditionalFormatting sqref="M1133:M1142">
    <cfRule type="cellIs" dxfId="10412" priority="10344" stopIfTrue="1" operator="lessThan">
      <formula>0</formula>
    </cfRule>
  </conditionalFormatting>
  <conditionalFormatting sqref="J1134:J1142 L1134:O1142 C1133:O1133">
    <cfRule type="cellIs" dxfId="10411" priority="10343" stopIfTrue="1" operator="greaterThan">
      <formula>0</formula>
    </cfRule>
  </conditionalFormatting>
  <conditionalFormatting sqref="H1135:I1141 K1135:M1142">
    <cfRule type="cellIs" dxfId="10410" priority="10342" stopIfTrue="1" operator="greaterThan">
      <formula>0</formula>
    </cfRule>
  </conditionalFormatting>
  <conditionalFormatting sqref="I1134">
    <cfRule type="cellIs" dxfId="10409" priority="10341" stopIfTrue="1" operator="greaterThan">
      <formula>0</formula>
    </cfRule>
  </conditionalFormatting>
  <conditionalFormatting sqref="I1142">
    <cfRule type="cellIs" dxfId="10408" priority="10340" stopIfTrue="1" operator="greaterThan">
      <formula>0</formula>
    </cfRule>
  </conditionalFormatting>
  <conditionalFormatting sqref="E1135:E1141">
    <cfRule type="cellIs" dxfId="10407" priority="10339" stopIfTrue="1" operator="greaterThan">
      <formula>0</formula>
    </cfRule>
  </conditionalFormatting>
  <conditionalFormatting sqref="K1150:K1155">
    <cfRule type="containsText" dxfId="10406" priority="10337" stopIfTrue="1" operator="containsText" text="NO CUMPLE">
      <formula>NOT(ISERROR(SEARCH("NO CUMPLE",K1150)))</formula>
    </cfRule>
    <cfRule type="containsText" dxfId="10405" priority="10338" stopIfTrue="1" operator="containsText" text="CUMPLE">
      <formula>NOT(ISERROR(SEARCH("CUMPLE",K1150)))</formula>
    </cfRule>
  </conditionalFormatting>
  <conditionalFormatting sqref="K1156">
    <cfRule type="containsText" dxfId="10404" priority="10335" stopIfTrue="1" operator="containsText" text="NO CUMPLE">
      <formula>NOT(ISERROR(SEARCH("NO CUMPLE",K1156)))</formula>
    </cfRule>
    <cfRule type="containsText" dxfId="10403" priority="10336" stopIfTrue="1" operator="containsText" text="CUMPLE">
      <formula>NOT(ISERROR(SEARCH("CUMPLE",K1156)))</formula>
    </cfRule>
  </conditionalFormatting>
  <conditionalFormatting sqref="Q1149">
    <cfRule type="cellIs" dxfId="10402" priority="10333" operator="greaterThanOrEqual">
      <formula>NUMMINCONT</formula>
    </cfRule>
    <cfRule type="cellIs" dxfId="10401" priority="10334" operator="lessThan">
      <formula>NUMMINCONT</formula>
    </cfRule>
  </conditionalFormatting>
  <conditionalFormatting sqref="W1133:Y1141">
    <cfRule type="cellIs" dxfId="10400" priority="10331" stopIfTrue="1" operator="equal">
      <formula>"NO"</formula>
    </cfRule>
    <cfRule type="cellIs" dxfId="10399" priority="10332" stopIfTrue="1" operator="equal">
      <formula>"SI"</formula>
    </cfRule>
  </conditionalFormatting>
  <conditionalFormatting sqref="R1136">
    <cfRule type="cellIs" dxfId="10398" priority="10330" stopIfTrue="1" operator="greaterThan">
      <formula>0</formula>
    </cfRule>
  </conditionalFormatting>
  <conditionalFormatting sqref="R1137">
    <cfRule type="cellIs" dxfId="10397" priority="10329" stopIfTrue="1" operator="greaterThan">
      <formula>0</formula>
    </cfRule>
  </conditionalFormatting>
  <conditionalFormatting sqref="R1138">
    <cfRule type="cellIs" dxfId="10396" priority="10328" stopIfTrue="1" operator="greaterThan">
      <formula>0</formula>
    </cfRule>
  </conditionalFormatting>
  <conditionalFormatting sqref="R1139">
    <cfRule type="cellIs" dxfId="10395" priority="10327" stopIfTrue="1" operator="greaterThan">
      <formula>0</formula>
    </cfRule>
  </conditionalFormatting>
  <conditionalFormatting sqref="R1140">
    <cfRule type="cellIs" dxfId="10394" priority="10326" stopIfTrue="1" operator="greaterThan">
      <formula>0</formula>
    </cfRule>
  </conditionalFormatting>
  <conditionalFormatting sqref="R1141">
    <cfRule type="cellIs" dxfId="10393" priority="10325" stopIfTrue="1" operator="greaterThan">
      <formula>0</formula>
    </cfRule>
  </conditionalFormatting>
  <conditionalFormatting sqref="R1142">
    <cfRule type="cellIs" dxfId="10392" priority="10324" stopIfTrue="1" operator="greaterThan">
      <formula>0</formula>
    </cfRule>
  </conditionalFormatting>
  <conditionalFormatting sqref="W1133:X1133">
    <cfRule type="cellIs" dxfId="10391" priority="10323" stopIfTrue="1" operator="equal">
      <formula>"NO APLICA"</formula>
    </cfRule>
  </conditionalFormatting>
  <conditionalFormatting sqref="W1134:X1137">
    <cfRule type="cellIs" dxfId="10390" priority="10322" stopIfTrue="1" operator="equal">
      <formula>"NO APLICA"</formula>
    </cfRule>
  </conditionalFormatting>
  <conditionalFormatting sqref="W1134:X1134">
    <cfRule type="cellIs" dxfId="10389" priority="10321" stopIfTrue="1" operator="equal">
      <formula>"NO APLICA"</formula>
    </cfRule>
  </conditionalFormatting>
  <conditionalFormatting sqref="Y1133">
    <cfRule type="cellIs" dxfId="10388" priority="10320" stopIfTrue="1" operator="equal">
      <formula>"NO APLICA"</formula>
    </cfRule>
  </conditionalFormatting>
  <conditionalFormatting sqref="Y1134:Y1137">
    <cfRule type="cellIs" dxfId="10387" priority="10319" stopIfTrue="1" operator="equal">
      <formula>"NO APLICA"</formula>
    </cfRule>
  </conditionalFormatting>
  <conditionalFormatting sqref="W1138:X1141">
    <cfRule type="cellIs" dxfId="10386" priority="10318" stopIfTrue="1" operator="equal">
      <formula>"NO APLICA"</formula>
    </cfRule>
  </conditionalFormatting>
  <conditionalFormatting sqref="W1138:X1138">
    <cfRule type="cellIs" dxfId="10385" priority="10317" stopIfTrue="1" operator="equal">
      <formula>"NO APLICA"</formula>
    </cfRule>
  </conditionalFormatting>
  <conditionalFormatting sqref="Y1138:Y1141">
    <cfRule type="cellIs" dxfId="10384" priority="10316" stopIfTrue="1" operator="equal">
      <formula>"NO APLICA"</formula>
    </cfRule>
  </conditionalFormatting>
  <conditionalFormatting sqref="T1147">
    <cfRule type="cellIs" dxfId="10383" priority="10314" operator="equal">
      <formula>"CUMPLE"</formula>
    </cfRule>
    <cfRule type="cellIs" dxfId="10382" priority="10315" operator="equal">
      <formula>"NO CUMPLE"</formula>
    </cfRule>
  </conditionalFormatting>
  <conditionalFormatting sqref="T1147:T1149">
    <cfRule type="cellIs" dxfId="10381" priority="10313" operator="equal">
      <formula>"VERIFICAR"</formula>
    </cfRule>
  </conditionalFormatting>
  <conditionalFormatting sqref="AD1133:AF1137">
    <cfRule type="cellIs" dxfId="10380" priority="10311" stopIfTrue="1" operator="equal">
      <formula>"NO"</formula>
    </cfRule>
    <cfRule type="cellIs" dxfId="10379" priority="10312" stopIfTrue="1" operator="equal">
      <formula>"SI"</formula>
    </cfRule>
  </conditionalFormatting>
  <conditionalFormatting sqref="AD1138:AF1141">
    <cfRule type="cellIs" dxfId="10378" priority="10309" stopIfTrue="1" operator="equal">
      <formula>"NO"</formula>
    </cfRule>
    <cfRule type="cellIs" dxfId="10377" priority="10310" stopIfTrue="1" operator="equal">
      <formula>"SI"</formula>
    </cfRule>
  </conditionalFormatting>
  <conditionalFormatting sqref="W1142:Y1142">
    <cfRule type="cellIs" dxfId="10376" priority="10307" stopIfTrue="1" operator="equal">
      <formula>"NO"</formula>
    </cfRule>
    <cfRule type="cellIs" dxfId="10375" priority="10308" stopIfTrue="1" operator="equal">
      <formula>"SI"</formula>
    </cfRule>
  </conditionalFormatting>
  <conditionalFormatting sqref="W1142:X1142">
    <cfRule type="cellIs" dxfId="10374" priority="10306" stopIfTrue="1" operator="equal">
      <formula>"NO APLICA"</formula>
    </cfRule>
  </conditionalFormatting>
  <conditionalFormatting sqref="Y1142">
    <cfRule type="cellIs" dxfId="10373" priority="10305" stopIfTrue="1" operator="equal">
      <formula>"NO APLICA"</formula>
    </cfRule>
  </conditionalFormatting>
  <conditionalFormatting sqref="AD1142:AF1142">
    <cfRule type="cellIs" dxfId="10372" priority="10303" stopIfTrue="1" operator="equal">
      <formula>"NO"</formula>
    </cfRule>
    <cfRule type="cellIs" dxfId="10371" priority="10304" stopIfTrue="1" operator="equal">
      <formula>"SI"</formula>
    </cfRule>
  </conditionalFormatting>
  <conditionalFormatting sqref="AE1147">
    <cfRule type="cellIs" dxfId="10370" priority="10300" stopIfTrue="1" operator="equal">
      <formula>"VERIFICAR"</formula>
    </cfRule>
    <cfRule type="cellIs" dxfId="10369" priority="10301" stopIfTrue="1" operator="equal">
      <formula>"NO CUMPLE"</formula>
    </cfRule>
    <cfRule type="cellIs" dxfId="10368" priority="10302" stopIfTrue="1" operator="equal">
      <formula>"CUMPLE"</formula>
    </cfRule>
  </conditionalFormatting>
  <conditionalFormatting sqref="AF1147">
    <cfRule type="cellIs" dxfId="10367" priority="10297" stopIfTrue="1" operator="equal">
      <formula>"VERIFICAR"</formula>
    </cfRule>
    <cfRule type="cellIs" dxfId="10366" priority="10298" stopIfTrue="1" operator="equal">
      <formula>"NO CUMPLE"</formula>
    </cfRule>
    <cfRule type="cellIs" dxfId="10365" priority="10299" stopIfTrue="1" operator="equal">
      <formula>"CUMPLE"</formula>
    </cfRule>
  </conditionalFormatting>
  <conditionalFormatting sqref="Y1150">
    <cfRule type="cellIs" dxfId="10364" priority="10296" operator="equal">
      <formula>"VERIFICAR CUADRO"</formula>
    </cfRule>
  </conditionalFormatting>
  <conditionalFormatting sqref="AC1151:AC1156">
    <cfRule type="cellIs" dxfId="10363" priority="10295" stopIfTrue="1" operator="greaterThan">
      <formula>0</formula>
    </cfRule>
  </conditionalFormatting>
  <conditionalFormatting sqref="AC1151:AC1156">
    <cfRule type="cellIs" dxfId="10362" priority="10294" stopIfTrue="1" operator="greaterThan">
      <formula>0</formula>
    </cfRule>
  </conditionalFormatting>
  <conditionalFormatting sqref="AD1151:AD1156">
    <cfRule type="containsText" dxfId="10361" priority="10292" stopIfTrue="1" operator="containsText" text="NO CUMPLE">
      <formula>NOT(ISERROR(SEARCH("NO CUMPLE",AD1151)))</formula>
    </cfRule>
    <cfRule type="containsText" dxfId="10360" priority="10293" stopIfTrue="1" operator="containsText" text="CUMPLE">
      <formula>NOT(ISERROR(SEARCH("CUMPLE",AD1151)))</formula>
    </cfRule>
  </conditionalFormatting>
  <conditionalFormatting sqref="Y1156">
    <cfRule type="containsText" dxfId="10359" priority="10290" stopIfTrue="1" operator="containsText" text="NO CUMPLE">
      <formula>NOT(ISERROR(SEARCH("NO CUMPLE",Y1156)))</formula>
    </cfRule>
    <cfRule type="containsText" dxfId="10358" priority="10291" stopIfTrue="1" operator="containsText" text="CUMPLE">
      <formula>NOT(ISERROR(SEARCH("CUMPLE",Y1156)))</formula>
    </cfRule>
  </conditionalFormatting>
  <conditionalFormatting sqref="AA1133:AA1142">
    <cfRule type="cellIs" dxfId="10357" priority="10288" stopIfTrue="1" operator="equal">
      <formula>"NO APLICA"</formula>
    </cfRule>
    <cfRule type="cellIs" dxfId="10356" priority="10289" stopIfTrue="1" operator="equal">
      <formula>"TERCIARIA"</formula>
    </cfRule>
  </conditionalFormatting>
  <conditionalFormatting sqref="AB1133:AB1142">
    <cfRule type="cellIs" dxfId="10355" priority="10286" stopIfTrue="1" operator="equal">
      <formula>"N/A"</formula>
    </cfRule>
    <cfRule type="cellIs" dxfId="10354" priority="10287" stopIfTrue="1" operator="equal">
      <formula>"NO"</formula>
    </cfRule>
  </conditionalFormatting>
  <conditionalFormatting sqref="M1163:M1172">
    <cfRule type="cellIs" dxfId="10353" priority="10285" stopIfTrue="1" operator="lessThan">
      <formula>0</formula>
    </cfRule>
  </conditionalFormatting>
  <conditionalFormatting sqref="C1165:D1171 B1164:B1171 F1165:I1171 C1164:I1164 B1172:O1172 B1163:R1163 Q1164:R1165 J1164:O1171 Q1166:Q1172 P1164:P1172">
    <cfRule type="cellIs" dxfId="10352" priority="10284" stopIfTrue="1" operator="greaterThan">
      <formula>0</formula>
    </cfRule>
  </conditionalFormatting>
  <conditionalFormatting sqref="C1165:D1171">
    <cfRule type="cellIs" dxfId="10351" priority="10283" stopIfTrue="1" operator="greaterThan">
      <formula>0</formula>
    </cfRule>
  </conditionalFormatting>
  <conditionalFormatting sqref="C1163:M1163 C1165:D1171 F1165:I1171 C1164:I1164 K1164:M1171 J1164:J1172 L1172:M1172">
    <cfRule type="cellIs" dxfId="10350" priority="10282" stopIfTrue="1" operator="greaterThan">
      <formula>0</formula>
    </cfRule>
  </conditionalFormatting>
  <conditionalFormatting sqref="M1163:M1172">
    <cfRule type="cellIs" dxfId="10349" priority="10281" stopIfTrue="1" operator="lessThan">
      <formula>0</formula>
    </cfRule>
  </conditionalFormatting>
  <conditionalFormatting sqref="J1164:J1172 L1164:O1172 C1163:O1163">
    <cfRule type="cellIs" dxfId="10348" priority="10280" stopIfTrue="1" operator="greaterThan">
      <formula>0</formula>
    </cfRule>
  </conditionalFormatting>
  <conditionalFormatting sqref="H1165:I1171 K1165:M1172">
    <cfRule type="cellIs" dxfId="10347" priority="10279" stopIfTrue="1" operator="greaterThan">
      <formula>0</formula>
    </cfRule>
  </conditionalFormatting>
  <conditionalFormatting sqref="I1164">
    <cfRule type="cellIs" dxfId="10346" priority="10278" stopIfTrue="1" operator="greaterThan">
      <formula>0</formula>
    </cfRule>
  </conditionalFormatting>
  <conditionalFormatting sqref="I1172">
    <cfRule type="cellIs" dxfId="10345" priority="10277" stopIfTrue="1" operator="greaterThan">
      <formula>0</formula>
    </cfRule>
  </conditionalFormatting>
  <conditionalFormatting sqref="E1165:E1171">
    <cfRule type="cellIs" dxfId="10344" priority="10276" stopIfTrue="1" operator="greaterThan">
      <formula>0</formula>
    </cfRule>
  </conditionalFormatting>
  <conditionalFormatting sqref="K1180:K1185">
    <cfRule type="containsText" dxfId="10343" priority="10274" stopIfTrue="1" operator="containsText" text="NO CUMPLE">
      <formula>NOT(ISERROR(SEARCH("NO CUMPLE",K1180)))</formula>
    </cfRule>
    <cfRule type="containsText" dxfId="10342" priority="10275" stopIfTrue="1" operator="containsText" text="CUMPLE">
      <formula>NOT(ISERROR(SEARCH("CUMPLE",K1180)))</formula>
    </cfRule>
  </conditionalFormatting>
  <conditionalFormatting sqref="K1186">
    <cfRule type="containsText" dxfId="10341" priority="10272" stopIfTrue="1" operator="containsText" text="NO CUMPLE">
      <formula>NOT(ISERROR(SEARCH("NO CUMPLE",K1186)))</formula>
    </cfRule>
    <cfRule type="containsText" dxfId="10340" priority="10273" stopIfTrue="1" operator="containsText" text="CUMPLE">
      <formula>NOT(ISERROR(SEARCH("CUMPLE",K1186)))</formula>
    </cfRule>
  </conditionalFormatting>
  <conditionalFormatting sqref="Q1179">
    <cfRule type="cellIs" dxfId="10339" priority="10270" operator="greaterThanOrEqual">
      <formula>NUMMINCONT</formula>
    </cfRule>
    <cfRule type="cellIs" dxfId="10338" priority="10271" operator="lessThan">
      <formula>NUMMINCONT</formula>
    </cfRule>
  </conditionalFormatting>
  <conditionalFormatting sqref="W1163:Y1171">
    <cfRule type="cellIs" dxfId="10337" priority="10268" stopIfTrue="1" operator="equal">
      <formula>"NO"</formula>
    </cfRule>
    <cfRule type="cellIs" dxfId="10336" priority="10269" stopIfTrue="1" operator="equal">
      <formula>"SI"</formula>
    </cfRule>
  </conditionalFormatting>
  <conditionalFormatting sqref="R1166">
    <cfRule type="cellIs" dxfId="10335" priority="10267" stopIfTrue="1" operator="greaterThan">
      <formula>0</formula>
    </cfRule>
  </conditionalFormatting>
  <conditionalFormatting sqref="R1167">
    <cfRule type="cellIs" dxfId="10334" priority="10266" stopIfTrue="1" operator="greaterThan">
      <formula>0</formula>
    </cfRule>
  </conditionalFormatting>
  <conditionalFormatting sqref="R1168">
    <cfRule type="cellIs" dxfId="10333" priority="10265" stopIfTrue="1" operator="greaterThan">
      <formula>0</formula>
    </cfRule>
  </conditionalFormatting>
  <conditionalFormatting sqref="R1169">
    <cfRule type="cellIs" dxfId="10332" priority="10264" stopIfTrue="1" operator="greaterThan">
      <formula>0</formula>
    </cfRule>
  </conditionalFormatting>
  <conditionalFormatting sqref="R1170">
    <cfRule type="cellIs" dxfId="10331" priority="10263" stopIfTrue="1" operator="greaterThan">
      <formula>0</formula>
    </cfRule>
  </conditionalFormatting>
  <conditionalFormatting sqref="R1171">
    <cfRule type="cellIs" dxfId="10330" priority="10262" stopIfTrue="1" operator="greaterThan">
      <formula>0</formula>
    </cfRule>
  </conditionalFormatting>
  <conditionalFormatting sqref="R1172">
    <cfRule type="cellIs" dxfId="10329" priority="10261" stopIfTrue="1" operator="greaterThan">
      <formula>0</formula>
    </cfRule>
  </conditionalFormatting>
  <conditionalFormatting sqref="W1163:X1163">
    <cfRule type="cellIs" dxfId="10328" priority="10260" stopIfTrue="1" operator="equal">
      <formula>"NO APLICA"</formula>
    </cfRule>
  </conditionalFormatting>
  <conditionalFormatting sqref="W1164:X1167">
    <cfRule type="cellIs" dxfId="10327" priority="10259" stopIfTrue="1" operator="equal">
      <formula>"NO APLICA"</formula>
    </cfRule>
  </conditionalFormatting>
  <conditionalFormatting sqref="W1164:X1164">
    <cfRule type="cellIs" dxfId="10326" priority="10258" stopIfTrue="1" operator="equal">
      <formula>"NO APLICA"</formula>
    </cfRule>
  </conditionalFormatting>
  <conditionalFormatting sqref="Y1163">
    <cfRule type="cellIs" dxfId="10325" priority="10257" stopIfTrue="1" operator="equal">
      <formula>"NO APLICA"</formula>
    </cfRule>
  </conditionalFormatting>
  <conditionalFormatting sqref="Y1164:Y1167">
    <cfRule type="cellIs" dxfId="10324" priority="10256" stopIfTrue="1" operator="equal">
      <formula>"NO APLICA"</formula>
    </cfRule>
  </conditionalFormatting>
  <conditionalFormatting sqref="W1168:X1171">
    <cfRule type="cellIs" dxfId="10323" priority="10255" stopIfTrue="1" operator="equal">
      <formula>"NO APLICA"</formula>
    </cfRule>
  </conditionalFormatting>
  <conditionalFormatting sqref="W1168:X1168">
    <cfRule type="cellIs" dxfId="10322" priority="10254" stopIfTrue="1" operator="equal">
      <formula>"NO APLICA"</formula>
    </cfRule>
  </conditionalFormatting>
  <conditionalFormatting sqref="Y1168:Y1171">
    <cfRule type="cellIs" dxfId="10321" priority="10253" stopIfTrue="1" operator="equal">
      <formula>"NO APLICA"</formula>
    </cfRule>
  </conditionalFormatting>
  <conditionalFormatting sqref="T1177">
    <cfRule type="cellIs" dxfId="10320" priority="10251" operator="equal">
      <formula>"CUMPLE"</formula>
    </cfRule>
    <cfRule type="cellIs" dxfId="10319" priority="10252" operator="equal">
      <formula>"NO CUMPLE"</formula>
    </cfRule>
  </conditionalFormatting>
  <conditionalFormatting sqref="T1177:T1179">
    <cfRule type="cellIs" dxfId="10318" priority="10250" operator="equal">
      <formula>"VERIFICAR"</formula>
    </cfRule>
  </conditionalFormatting>
  <conditionalFormatting sqref="AD1163:AF1167">
    <cfRule type="cellIs" dxfId="10317" priority="10248" stopIfTrue="1" operator="equal">
      <formula>"NO"</formula>
    </cfRule>
    <cfRule type="cellIs" dxfId="10316" priority="10249" stopIfTrue="1" operator="equal">
      <formula>"SI"</formula>
    </cfRule>
  </conditionalFormatting>
  <conditionalFormatting sqref="AD1168:AF1171">
    <cfRule type="cellIs" dxfId="10315" priority="10246" stopIfTrue="1" operator="equal">
      <formula>"NO"</formula>
    </cfRule>
    <cfRule type="cellIs" dxfId="10314" priority="10247" stopIfTrue="1" operator="equal">
      <formula>"SI"</formula>
    </cfRule>
  </conditionalFormatting>
  <conditionalFormatting sqref="W1172:Y1172">
    <cfRule type="cellIs" dxfId="10313" priority="10244" stopIfTrue="1" operator="equal">
      <formula>"NO"</formula>
    </cfRule>
    <cfRule type="cellIs" dxfId="10312" priority="10245" stopIfTrue="1" operator="equal">
      <formula>"SI"</formula>
    </cfRule>
  </conditionalFormatting>
  <conditionalFormatting sqref="W1172:X1172">
    <cfRule type="cellIs" dxfId="10311" priority="10243" stopIfTrue="1" operator="equal">
      <formula>"NO APLICA"</formula>
    </cfRule>
  </conditionalFormatting>
  <conditionalFormatting sqref="Y1172">
    <cfRule type="cellIs" dxfId="10310" priority="10242" stopIfTrue="1" operator="equal">
      <formula>"NO APLICA"</formula>
    </cfRule>
  </conditionalFormatting>
  <conditionalFormatting sqref="AD1172:AF1172">
    <cfRule type="cellIs" dxfId="10309" priority="10240" stopIfTrue="1" operator="equal">
      <formula>"NO"</formula>
    </cfRule>
    <cfRule type="cellIs" dxfId="10308" priority="10241" stopIfTrue="1" operator="equal">
      <formula>"SI"</formula>
    </cfRule>
  </conditionalFormatting>
  <conditionalFormatting sqref="AE1177">
    <cfRule type="cellIs" dxfId="10307" priority="10237" stopIfTrue="1" operator="equal">
      <formula>"VERIFICAR"</formula>
    </cfRule>
    <cfRule type="cellIs" dxfId="10306" priority="10238" stopIfTrue="1" operator="equal">
      <formula>"NO CUMPLE"</formula>
    </cfRule>
    <cfRule type="cellIs" dxfId="10305" priority="10239" stopIfTrue="1" operator="equal">
      <formula>"CUMPLE"</formula>
    </cfRule>
  </conditionalFormatting>
  <conditionalFormatting sqref="AF1177">
    <cfRule type="cellIs" dxfId="10304" priority="10234" stopIfTrue="1" operator="equal">
      <formula>"VERIFICAR"</formula>
    </cfRule>
    <cfRule type="cellIs" dxfId="10303" priority="10235" stopIfTrue="1" operator="equal">
      <formula>"NO CUMPLE"</formula>
    </cfRule>
    <cfRule type="cellIs" dxfId="10302" priority="10236" stopIfTrue="1" operator="equal">
      <formula>"CUMPLE"</formula>
    </cfRule>
  </conditionalFormatting>
  <conditionalFormatting sqref="Y1180">
    <cfRule type="cellIs" dxfId="10301" priority="10233" operator="equal">
      <formula>"VERIFICAR CUADRO"</formula>
    </cfRule>
  </conditionalFormatting>
  <conditionalFormatting sqref="AC1181:AC1186">
    <cfRule type="cellIs" dxfId="10300" priority="10232" stopIfTrue="1" operator="greaterThan">
      <formula>0</formula>
    </cfRule>
  </conditionalFormatting>
  <conditionalFormatting sqref="AC1181:AC1186">
    <cfRule type="cellIs" dxfId="10299" priority="10231" stopIfTrue="1" operator="greaterThan">
      <formula>0</formula>
    </cfRule>
  </conditionalFormatting>
  <conditionalFormatting sqref="AD1181:AD1186">
    <cfRule type="containsText" dxfId="10298" priority="10229" stopIfTrue="1" operator="containsText" text="NO CUMPLE">
      <formula>NOT(ISERROR(SEARCH("NO CUMPLE",AD1181)))</formula>
    </cfRule>
    <cfRule type="containsText" dxfId="10297" priority="10230" stopIfTrue="1" operator="containsText" text="CUMPLE">
      <formula>NOT(ISERROR(SEARCH("CUMPLE",AD1181)))</formula>
    </cfRule>
  </conditionalFormatting>
  <conditionalFormatting sqref="Y1186">
    <cfRule type="containsText" dxfId="10296" priority="10227" stopIfTrue="1" operator="containsText" text="NO CUMPLE">
      <formula>NOT(ISERROR(SEARCH("NO CUMPLE",Y1186)))</formula>
    </cfRule>
    <cfRule type="containsText" dxfId="10295" priority="10228" stopIfTrue="1" operator="containsText" text="CUMPLE">
      <formula>NOT(ISERROR(SEARCH("CUMPLE",Y1186)))</formula>
    </cfRule>
  </conditionalFormatting>
  <conditionalFormatting sqref="AA1163:AA1172">
    <cfRule type="cellIs" dxfId="10294" priority="10225" stopIfTrue="1" operator="equal">
      <formula>"NO APLICA"</formula>
    </cfRule>
    <cfRule type="cellIs" dxfId="10293" priority="10226" stopIfTrue="1" operator="equal">
      <formula>"TERCIARIA"</formula>
    </cfRule>
  </conditionalFormatting>
  <conditionalFormatting sqref="AB1163:AB1172">
    <cfRule type="cellIs" dxfId="10292" priority="10223" stopIfTrue="1" operator="equal">
      <formula>"N/A"</formula>
    </cfRule>
    <cfRule type="cellIs" dxfId="10291" priority="10224" stopIfTrue="1" operator="equal">
      <formula>"NO"</formula>
    </cfRule>
  </conditionalFormatting>
  <conditionalFormatting sqref="M1193:M1202">
    <cfRule type="cellIs" dxfId="10290" priority="10222" stopIfTrue="1" operator="lessThan">
      <formula>0</formula>
    </cfRule>
  </conditionalFormatting>
  <conditionalFormatting sqref="C1195:D1201 B1194:B1201 F1195:I1201 C1194:I1194 B1202:O1202 B1193:R1193 Q1194:R1195 J1194:O1201 Q1196:Q1202 P1194:P1202">
    <cfRule type="cellIs" dxfId="10289" priority="10221" stopIfTrue="1" operator="greaterThan">
      <formula>0</formula>
    </cfRule>
  </conditionalFormatting>
  <conditionalFormatting sqref="C1195:D1201">
    <cfRule type="cellIs" dxfId="10288" priority="10220" stopIfTrue="1" operator="greaterThan">
      <formula>0</formula>
    </cfRule>
  </conditionalFormatting>
  <conditionalFormatting sqref="C1193:M1193 C1195:D1201 F1195:I1201 C1194:I1194 K1194:M1201 J1194:J1202 L1202:M1202">
    <cfRule type="cellIs" dxfId="10287" priority="10219" stopIfTrue="1" operator="greaterThan">
      <formula>0</formula>
    </cfRule>
  </conditionalFormatting>
  <conditionalFormatting sqref="M1193:M1202">
    <cfRule type="cellIs" dxfId="10286" priority="10218" stopIfTrue="1" operator="lessThan">
      <formula>0</formula>
    </cfRule>
  </conditionalFormatting>
  <conditionalFormatting sqref="J1194:J1202 L1194:O1202 C1193:O1193">
    <cfRule type="cellIs" dxfId="10285" priority="10217" stopIfTrue="1" operator="greaterThan">
      <formula>0</formula>
    </cfRule>
  </conditionalFormatting>
  <conditionalFormatting sqref="H1195:I1201 K1195:M1202">
    <cfRule type="cellIs" dxfId="10284" priority="10216" stopIfTrue="1" operator="greaterThan">
      <formula>0</formula>
    </cfRule>
  </conditionalFormatting>
  <conditionalFormatting sqref="I1194">
    <cfRule type="cellIs" dxfId="10283" priority="10215" stopIfTrue="1" operator="greaterThan">
      <formula>0</formula>
    </cfRule>
  </conditionalFormatting>
  <conditionalFormatting sqref="I1202">
    <cfRule type="cellIs" dxfId="10282" priority="10214" stopIfTrue="1" operator="greaterThan">
      <formula>0</formula>
    </cfRule>
  </conditionalFormatting>
  <conditionalFormatting sqref="E1195:E1201">
    <cfRule type="cellIs" dxfId="10281" priority="10213" stopIfTrue="1" operator="greaterThan">
      <formula>0</formula>
    </cfRule>
  </conditionalFormatting>
  <conditionalFormatting sqref="K1210:K1215">
    <cfRule type="containsText" dxfId="10280" priority="10211" stopIfTrue="1" operator="containsText" text="NO CUMPLE">
      <formula>NOT(ISERROR(SEARCH("NO CUMPLE",K1210)))</formula>
    </cfRule>
    <cfRule type="containsText" dxfId="10279" priority="10212" stopIfTrue="1" operator="containsText" text="CUMPLE">
      <formula>NOT(ISERROR(SEARCH("CUMPLE",K1210)))</formula>
    </cfRule>
  </conditionalFormatting>
  <conditionalFormatting sqref="K1216">
    <cfRule type="containsText" dxfId="10278" priority="10209" stopIfTrue="1" operator="containsText" text="NO CUMPLE">
      <formula>NOT(ISERROR(SEARCH("NO CUMPLE",K1216)))</formula>
    </cfRule>
    <cfRule type="containsText" dxfId="10277" priority="10210" stopIfTrue="1" operator="containsText" text="CUMPLE">
      <formula>NOT(ISERROR(SEARCH("CUMPLE",K1216)))</formula>
    </cfRule>
  </conditionalFormatting>
  <conditionalFormatting sqref="Q1209">
    <cfRule type="cellIs" dxfId="10276" priority="10207" operator="greaterThanOrEqual">
      <formula>NUMMINCONT</formula>
    </cfRule>
    <cfRule type="cellIs" dxfId="10275" priority="10208" operator="lessThan">
      <formula>NUMMINCONT</formula>
    </cfRule>
  </conditionalFormatting>
  <conditionalFormatting sqref="W1193:Y1201">
    <cfRule type="cellIs" dxfId="10274" priority="10205" stopIfTrue="1" operator="equal">
      <formula>"NO"</formula>
    </cfRule>
    <cfRule type="cellIs" dxfId="10273" priority="10206" stopIfTrue="1" operator="equal">
      <formula>"SI"</formula>
    </cfRule>
  </conditionalFormatting>
  <conditionalFormatting sqref="R1196">
    <cfRule type="cellIs" dxfId="10272" priority="10204" stopIfTrue="1" operator="greaterThan">
      <formula>0</formula>
    </cfRule>
  </conditionalFormatting>
  <conditionalFormatting sqref="R1197">
    <cfRule type="cellIs" dxfId="10271" priority="10203" stopIfTrue="1" operator="greaterThan">
      <formula>0</formula>
    </cfRule>
  </conditionalFormatting>
  <conditionalFormatting sqref="R1198">
    <cfRule type="cellIs" dxfId="10270" priority="10202" stopIfTrue="1" operator="greaterThan">
      <formula>0</formula>
    </cfRule>
  </conditionalFormatting>
  <conditionalFormatting sqref="R1199">
    <cfRule type="cellIs" dxfId="10269" priority="10201" stopIfTrue="1" operator="greaterThan">
      <formula>0</formula>
    </cfRule>
  </conditionalFormatting>
  <conditionalFormatting sqref="R1200">
    <cfRule type="cellIs" dxfId="10268" priority="10200" stopIfTrue="1" operator="greaterThan">
      <formula>0</formula>
    </cfRule>
  </conditionalFormatting>
  <conditionalFormatting sqref="R1201">
    <cfRule type="cellIs" dxfId="10267" priority="10199" stopIfTrue="1" operator="greaterThan">
      <formula>0</formula>
    </cfRule>
  </conditionalFormatting>
  <conditionalFormatting sqref="R1202">
    <cfRule type="cellIs" dxfId="10266" priority="10198" stopIfTrue="1" operator="greaterThan">
      <formula>0</formula>
    </cfRule>
  </conditionalFormatting>
  <conditionalFormatting sqref="W1193:X1193">
    <cfRule type="cellIs" dxfId="10265" priority="10197" stopIfTrue="1" operator="equal">
      <formula>"NO APLICA"</formula>
    </cfRule>
  </conditionalFormatting>
  <conditionalFormatting sqref="W1194:X1197">
    <cfRule type="cellIs" dxfId="10264" priority="10196" stopIfTrue="1" operator="equal">
      <formula>"NO APLICA"</formula>
    </cfRule>
  </conditionalFormatting>
  <conditionalFormatting sqref="W1194:X1194">
    <cfRule type="cellIs" dxfId="10263" priority="10195" stopIfTrue="1" operator="equal">
      <formula>"NO APLICA"</formula>
    </cfRule>
  </conditionalFormatting>
  <conditionalFormatting sqref="Y1193">
    <cfRule type="cellIs" dxfId="10262" priority="10194" stopIfTrue="1" operator="equal">
      <formula>"NO APLICA"</formula>
    </cfRule>
  </conditionalFormatting>
  <conditionalFormatting sqref="Y1194:Y1197">
    <cfRule type="cellIs" dxfId="10261" priority="10193" stopIfTrue="1" operator="equal">
      <formula>"NO APLICA"</formula>
    </cfRule>
  </conditionalFormatting>
  <conditionalFormatting sqref="W1198:X1201">
    <cfRule type="cellIs" dxfId="10260" priority="10192" stopIfTrue="1" operator="equal">
      <formula>"NO APLICA"</formula>
    </cfRule>
  </conditionalFormatting>
  <conditionalFormatting sqref="W1198:X1198">
    <cfRule type="cellIs" dxfId="10259" priority="10191" stopIfTrue="1" operator="equal">
      <formula>"NO APLICA"</formula>
    </cfRule>
  </conditionalFormatting>
  <conditionalFormatting sqref="Y1198:Y1201">
    <cfRule type="cellIs" dxfId="10258" priority="10190" stopIfTrue="1" operator="equal">
      <formula>"NO APLICA"</formula>
    </cfRule>
  </conditionalFormatting>
  <conditionalFormatting sqref="T1207">
    <cfRule type="cellIs" dxfId="10257" priority="10188" operator="equal">
      <formula>"CUMPLE"</formula>
    </cfRule>
    <cfRule type="cellIs" dxfId="10256" priority="10189" operator="equal">
      <formula>"NO CUMPLE"</formula>
    </cfRule>
  </conditionalFormatting>
  <conditionalFormatting sqref="T1207:T1209">
    <cfRule type="cellIs" dxfId="10255" priority="10187" operator="equal">
      <formula>"VERIFICAR"</formula>
    </cfRule>
  </conditionalFormatting>
  <conditionalFormatting sqref="AD1193:AF1197">
    <cfRule type="cellIs" dxfId="10254" priority="10185" stopIfTrue="1" operator="equal">
      <formula>"NO"</formula>
    </cfRule>
    <cfRule type="cellIs" dxfId="10253" priority="10186" stopIfTrue="1" operator="equal">
      <formula>"SI"</formula>
    </cfRule>
  </conditionalFormatting>
  <conditionalFormatting sqref="AD1198:AF1201">
    <cfRule type="cellIs" dxfId="10252" priority="10183" stopIfTrue="1" operator="equal">
      <formula>"NO"</formula>
    </cfRule>
    <cfRule type="cellIs" dxfId="10251" priority="10184" stopIfTrue="1" operator="equal">
      <formula>"SI"</formula>
    </cfRule>
  </conditionalFormatting>
  <conditionalFormatting sqref="W1202:Y1202">
    <cfRule type="cellIs" dxfId="10250" priority="10181" stopIfTrue="1" operator="equal">
      <formula>"NO"</formula>
    </cfRule>
    <cfRule type="cellIs" dxfId="10249" priority="10182" stopIfTrue="1" operator="equal">
      <formula>"SI"</formula>
    </cfRule>
  </conditionalFormatting>
  <conditionalFormatting sqref="W1202:X1202">
    <cfRule type="cellIs" dxfId="10248" priority="10180" stopIfTrue="1" operator="equal">
      <formula>"NO APLICA"</formula>
    </cfRule>
  </conditionalFormatting>
  <conditionalFormatting sqref="Y1202">
    <cfRule type="cellIs" dxfId="10247" priority="10179" stopIfTrue="1" operator="equal">
      <formula>"NO APLICA"</formula>
    </cfRule>
  </conditionalFormatting>
  <conditionalFormatting sqref="AD1202:AF1202">
    <cfRule type="cellIs" dxfId="10246" priority="10177" stopIfTrue="1" operator="equal">
      <formula>"NO"</formula>
    </cfRule>
    <cfRule type="cellIs" dxfId="10245" priority="10178" stopIfTrue="1" operator="equal">
      <formula>"SI"</formula>
    </cfRule>
  </conditionalFormatting>
  <conditionalFormatting sqref="AE1207">
    <cfRule type="cellIs" dxfId="10244" priority="10174" stopIfTrue="1" operator="equal">
      <formula>"VERIFICAR"</formula>
    </cfRule>
    <cfRule type="cellIs" dxfId="10243" priority="10175" stopIfTrue="1" operator="equal">
      <formula>"NO CUMPLE"</formula>
    </cfRule>
    <cfRule type="cellIs" dxfId="10242" priority="10176" stopIfTrue="1" operator="equal">
      <formula>"CUMPLE"</formula>
    </cfRule>
  </conditionalFormatting>
  <conditionalFormatting sqref="AF1207">
    <cfRule type="cellIs" dxfId="10241" priority="10171" stopIfTrue="1" operator="equal">
      <formula>"VERIFICAR"</formula>
    </cfRule>
    <cfRule type="cellIs" dxfId="10240" priority="10172" stopIfTrue="1" operator="equal">
      <formula>"NO CUMPLE"</formula>
    </cfRule>
    <cfRule type="cellIs" dxfId="10239" priority="10173" stopIfTrue="1" operator="equal">
      <formula>"CUMPLE"</formula>
    </cfRule>
  </conditionalFormatting>
  <conditionalFormatting sqref="Y1210">
    <cfRule type="cellIs" dxfId="10238" priority="10170" operator="equal">
      <formula>"VERIFICAR CUADRO"</formula>
    </cfRule>
  </conditionalFormatting>
  <conditionalFormatting sqref="AC1211:AC1216">
    <cfRule type="cellIs" dxfId="10237" priority="10169" stopIfTrue="1" operator="greaterThan">
      <formula>0</formula>
    </cfRule>
  </conditionalFormatting>
  <conditionalFormatting sqref="AC1211:AC1216">
    <cfRule type="cellIs" dxfId="10236" priority="10168" stopIfTrue="1" operator="greaterThan">
      <formula>0</formula>
    </cfRule>
  </conditionalFormatting>
  <conditionalFormatting sqref="AD1211:AD1216">
    <cfRule type="containsText" dxfId="10235" priority="10166" stopIfTrue="1" operator="containsText" text="NO CUMPLE">
      <formula>NOT(ISERROR(SEARCH("NO CUMPLE",AD1211)))</formula>
    </cfRule>
    <cfRule type="containsText" dxfId="10234" priority="10167" stopIfTrue="1" operator="containsText" text="CUMPLE">
      <formula>NOT(ISERROR(SEARCH("CUMPLE",AD1211)))</formula>
    </cfRule>
  </conditionalFormatting>
  <conditionalFormatting sqref="Y1216">
    <cfRule type="containsText" dxfId="10233" priority="10164" stopIfTrue="1" operator="containsText" text="NO CUMPLE">
      <formula>NOT(ISERROR(SEARCH("NO CUMPLE",Y1216)))</formula>
    </cfRule>
    <cfRule type="containsText" dxfId="10232" priority="10165" stopIfTrue="1" operator="containsText" text="CUMPLE">
      <formula>NOT(ISERROR(SEARCH("CUMPLE",Y1216)))</formula>
    </cfRule>
  </conditionalFormatting>
  <conditionalFormatting sqref="AA1193:AA1202">
    <cfRule type="cellIs" dxfId="10231" priority="10162" stopIfTrue="1" operator="equal">
      <formula>"NO APLICA"</formula>
    </cfRule>
    <cfRule type="cellIs" dxfId="10230" priority="10163" stopIfTrue="1" operator="equal">
      <formula>"TERCIARIA"</formula>
    </cfRule>
  </conditionalFormatting>
  <conditionalFormatting sqref="AB1193:AB1202">
    <cfRule type="cellIs" dxfId="10229" priority="10160" stopIfTrue="1" operator="equal">
      <formula>"N/A"</formula>
    </cfRule>
    <cfRule type="cellIs" dxfId="10228" priority="10161" stopIfTrue="1" operator="equal">
      <formula>"NO"</formula>
    </cfRule>
  </conditionalFormatting>
  <conditionalFormatting sqref="M1223:M1232">
    <cfRule type="cellIs" dxfId="10227" priority="10159" stopIfTrue="1" operator="lessThan">
      <formula>0</formula>
    </cfRule>
  </conditionalFormatting>
  <conditionalFormatting sqref="C1225:D1231 B1224:B1231 F1225:I1231 C1224:I1224 B1232:O1232 B1223:R1223 Q1224:R1225 J1224:O1231 Q1226:Q1232 P1224:P1232">
    <cfRule type="cellIs" dxfId="10226" priority="10158" stopIfTrue="1" operator="greaterThan">
      <formula>0</formula>
    </cfRule>
  </conditionalFormatting>
  <conditionalFormatting sqref="C1225:D1231">
    <cfRule type="cellIs" dxfId="10225" priority="10157" stopIfTrue="1" operator="greaterThan">
      <formula>0</formula>
    </cfRule>
  </conditionalFormatting>
  <conditionalFormatting sqref="C1223:M1223 C1225:D1231 F1225:I1231 C1224:I1224 K1224:M1231 J1224:J1232 L1232:M1232">
    <cfRule type="cellIs" dxfId="10224" priority="10156" stopIfTrue="1" operator="greaterThan">
      <formula>0</formula>
    </cfRule>
  </conditionalFormatting>
  <conditionalFormatting sqref="M1223:M1232">
    <cfRule type="cellIs" dxfId="10223" priority="10155" stopIfTrue="1" operator="lessThan">
      <formula>0</formula>
    </cfRule>
  </conditionalFormatting>
  <conditionalFormatting sqref="J1224:J1232 L1224:O1232 C1223:O1223">
    <cfRule type="cellIs" dxfId="10222" priority="10154" stopIfTrue="1" operator="greaterThan">
      <formula>0</formula>
    </cfRule>
  </conditionalFormatting>
  <conditionalFormatting sqref="H1225:I1231 K1225:M1232">
    <cfRule type="cellIs" dxfId="10221" priority="10153" stopIfTrue="1" operator="greaterThan">
      <formula>0</formula>
    </cfRule>
  </conditionalFormatting>
  <conditionalFormatting sqref="I1224">
    <cfRule type="cellIs" dxfId="10220" priority="10152" stopIfTrue="1" operator="greaterThan">
      <formula>0</formula>
    </cfRule>
  </conditionalFormatting>
  <conditionalFormatting sqref="I1232">
    <cfRule type="cellIs" dxfId="10219" priority="10151" stopIfTrue="1" operator="greaterThan">
      <formula>0</formula>
    </cfRule>
  </conditionalFormatting>
  <conditionalFormatting sqref="E1225:E1231">
    <cfRule type="cellIs" dxfId="10218" priority="10150" stopIfTrue="1" operator="greaterThan">
      <formula>0</formula>
    </cfRule>
  </conditionalFormatting>
  <conditionalFormatting sqref="K1240:K1245">
    <cfRule type="containsText" dxfId="10217" priority="10148" stopIfTrue="1" operator="containsText" text="NO CUMPLE">
      <formula>NOT(ISERROR(SEARCH("NO CUMPLE",K1240)))</formula>
    </cfRule>
    <cfRule type="containsText" dxfId="10216" priority="10149" stopIfTrue="1" operator="containsText" text="CUMPLE">
      <formula>NOT(ISERROR(SEARCH("CUMPLE",K1240)))</formula>
    </cfRule>
  </conditionalFormatting>
  <conditionalFormatting sqref="K1246">
    <cfRule type="containsText" dxfId="10215" priority="10146" stopIfTrue="1" operator="containsText" text="NO CUMPLE">
      <formula>NOT(ISERROR(SEARCH("NO CUMPLE",K1246)))</formula>
    </cfRule>
    <cfRule type="containsText" dxfId="10214" priority="10147" stopIfTrue="1" operator="containsText" text="CUMPLE">
      <formula>NOT(ISERROR(SEARCH("CUMPLE",K1246)))</formula>
    </cfRule>
  </conditionalFormatting>
  <conditionalFormatting sqref="Q1239">
    <cfRule type="cellIs" dxfId="10213" priority="10144" operator="greaterThanOrEqual">
      <formula>NUMMINCONT</formula>
    </cfRule>
    <cfRule type="cellIs" dxfId="10212" priority="10145" operator="lessThan">
      <formula>NUMMINCONT</formula>
    </cfRule>
  </conditionalFormatting>
  <conditionalFormatting sqref="W1223:Y1231">
    <cfRule type="cellIs" dxfId="10211" priority="10142" stopIfTrue="1" operator="equal">
      <formula>"NO"</formula>
    </cfRule>
    <cfRule type="cellIs" dxfId="10210" priority="10143" stopIfTrue="1" operator="equal">
      <formula>"SI"</formula>
    </cfRule>
  </conditionalFormatting>
  <conditionalFormatting sqref="R1226">
    <cfRule type="cellIs" dxfId="10209" priority="10141" stopIfTrue="1" operator="greaterThan">
      <formula>0</formula>
    </cfRule>
  </conditionalFormatting>
  <conditionalFormatting sqref="R1227">
    <cfRule type="cellIs" dxfId="10208" priority="10140" stopIfTrue="1" operator="greaterThan">
      <formula>0</formula>
    </cfRule>
  </conditionalFormatting>
  <conditionalFormatting sqref="R1228">
    <cfRule type="cellIs" dxfId="10207" priority="10139" stopIfTrue="1" operator="greaterThan">
      <formula>0</formula>
    </cfRule>
  </conditionalFormatting>
  <conditionalFormatting sqref="R1229">
    <cfRule type="cellIs" dxfId="10206" priority="10138" stopIfTrue="1" operator="greaterThan">
      <formula>0</formula>
    </cfRule>
  </conditionalFormatting>
  <conditionalFormatting sqref="R1230">
    <cfRule type="cellIs" dxfId="10205" priority="10137" stopIfTrue="1" operator="greaterThan">
      <formula>0</formula>
    </cfRule>
  </conditionalFormatting>
  <conditionalFormatting sqref="R1231">
    <cfRule type="cellIs" dxfId="10204" priority="10136" stopIfTrue="1" operator="greaterThan">
      <formula>0</formula>
    </cfRule>
  </conditionalFormatting>
  <conditionalFormatting sqref="R1232">
    <cfRule type="cellIs" dxfId="10203" priority="10135" stopIfTrue="1" operator="greaterThan">
      <formula>0</formula>
    </cfRule>
  </conditionalFormatting>
  <conditionalFormatting sqref="W1223:X1223">
    <cfRule type="cellIs" dxfId="10202" priority="10134" stopIfTrue="1" operator="equal">
      <formula>"NO APLICA"</formula>
    </cfRule>
  </conditionalFormatting>
  <conditionalFormatting sqref="W1224:X1227">
    <cfRule type="cellIs" dxfId="10201" priority="10133" stopIfTrue="1" operator="equal">
      <formula>"NO APLICA"</formula>
    </cfRule>
  </conditionalFormatting>
  <conditionalFormatting sqref="W1224:X1224">
    <cfRule type="cellIs" dxfId="10200" priority="10132" stopIfTrue="1" operator="equal">
      <formula>"NO APLICA"</formula>
    </cfRule>
  </conditionalFormatting>
  <conditionalFormatting sqref="Y1223">
    <cfRule type="cellIs" dxfId="10199" priority="10131" stopIfTrue="1" operator="equal">
      <formula>"NO APLICA"</formula>
    </cfRule>
  </conditionalFormatting>
  <conditionalFormatting sqref="Y1224:Y1227">
    <cfRule type="cellIs" dxfId="10198" priority="10130" stopIfTrue="1" operator="equal">
      <formula>"NO APLICA"</formula>
    </cfRule>
  </conditionalFormatting>
  <conditionalFormatting sqref="W1228:X1231">
    <cfRule type="cellIs" dxfId="10197" priority="10129" stopIfTrue="1" operator="equal">
      <formula>"NO APLICA"</formula>
    </cfRule>
  </conditionalFormatting>
  <conditionalFormatting sqref="W1228:X1228">
    <cfRule type="cellIs" dxfId="10196" priority="10128" stopIfTrue="1" operator="equal">
      <formula>"NO APLICA"</formula>
    </cfRule>
  </conditionalFormatting>
  <conditionalFormatting sqref="Y1228:Y1231">
    <cfRule type="cellIs" dxfId="10195" priority="10127" stopIfTrue="1" operator="equal">
      <formula>"NO APLICA"</formula>
    </cfRule>
  </conditionalFormatting>
  <conditionalFormatting sqref="T1237">
    <cfRule type="cellIs" dxfId="10194" priority="10125" operator="equal">
      <formula>"CUMPLE"</formula>
    </cfRule>
    <cfRule type="cellIs" dxfId="10193" priority="10126" operator="equal">
      <formula>"NO CUMPLE"</formula>
    </cfRule>
  </conditionalFormatting>
  <conditionalFormatting sqref="T1237:T1239">
    <cfRule type="cellIs" dxfId="10192" priority="10124" operator="equal">
      <formula>"VERIFICAR"</formula>
    </cfRule>
  </conditionalFormatting>
  <conditionalFormatting sqref="AD1223:AF1227">
    <cfRule type="cellIs" dxfId="10191" priority="10122" stopIfTrue="1" operator="equal">
      <formula>"NO"</formula>
    </cfRule>
    <cfRule type="cellIs" dxfId="10190" priority="10123" stopIfTrue="1" operator="equal">
      <formula>"SI"</formula>
    </cfRule>
  </conditionalFormatting>
  <conditionalFormatting sqref="AD1228:AF1231">
    <cfRule type="cellIs" dxfId="10189" priority="10120" stopIfTrue="1" operator="equal">
      <formula>"NO"</formula>
    </cfRule>
    <cfRule type="cellIs" dxfId="10188" priority="10121" stopIfTrue="1" operator="equal">
      <formula>"SI"</formula>
    </cfRule>
  </conditionalFormatting>
  <conditionalFormatting sqref="W1232:Y1232">
    <cfRule type="cellIs" dxfId="10187" priority="10118" stopIfTrue="1" operator="equal">
      <formula>"NO"</formula>
    </cfRule>
    <cfRule type="cellIs" dxfId="10186" priority="10119" stopIfTrue="1" operator="equal">
      <formula>"SI"</formula>
    </cfRule>
  </conditionalFormatting>
  <conditionalFormatting sqref="W1232:X1232">
    <cfRule type="cellIs" dxfId="10185" priority="10117" stopIfTrue="1" operator="equal">
      <formula>"NO APLICA"</formula>
    </cfRule>
  </conditionalFormatting>
  <conditionalFormatting sqref="Y1232">
    <cfRule type="cellIs" dxfId="10184" priority="10116" stopIfTrue="1" operator="equal">
      <formula>"NO APLICA"</formula>
    </cfRule>
  </conditionalFormatting>
  <conditionalFormatting sqref="AD1232:AF1232">
    <cfRule type="cellIs" dxfId="10183" priority="10114" stopIfTrue="1" operator="equal">
      <formula>"NO"</formula>
    </cfRule>
    <cfRule type="cellIs" dxfId="10182" priority="10115" stopIfTrue="1" operator="equal">
      <formula>"SI"</formula>
    </cfRule>
  </conditionalFormatting>
  <conditionalFormatting sqref="AE1237">
    <cfRule type="cellIs" dxfId="10181" priority="10111" stopIfTrue="1" operator="equal">
      <formula>"VERIFICAR"</formula>
    </cfRule>
    <cfRule type="cellIs" dxfId="10180" priority="10112" stopIfTrue="1" operator="equal">
      <formula>"NO CUMPLE"</formula>
    </cfRule>
    <cfRule type="cellIs" dxfId="10179" priority="10113" stopIfTrue="1" operator="equal">
      <formula>"CUMPLE"</formula>
    </cfRule>
  </conditionalFormatting>
  <conditionalFormatting sqref="AF1237">
    <cfRule type="cellIs" dxfId="10178" priority="10108" stopIfTrue="1" operator="equal">
      <formula>"VERIFICAR"</formula>
    </cfRule>
    <cfRule type="cellIs" dxfId="10177" priority="10109" stopIfTrue="1" operator="equal">
      <formula>"NO CUMPLE"</formula>
    </cfRule>
    <cfRule type="cellIs" dxfId="10176" priority="10110" stopIfTrue="1" operator="equal">
      <formula>"CUMPLE"</formula>
    </cfRule>
  </conditionalFormatting>
  <conditionalFormatting sqref="Y1240">
    <cfRule type="cellIs" dxfId="10175" priority="10107" operator="equal">
      <formula>"VERIFICAR CUADRO"</formula>
    </cfRule>
  </conditionalFormatting>
  <conditionalFormatting sqref="AC1241:AC1246">
    <cfRule type="cellIs" dxfId="10174" priority="10106" stopIfTrue="1" operator="greaterThan">
      <formula>0</formula>
    </cfRule>
  </conditionalFormatting>
  <conditionalFormatting sqref="AC1241:AC1246">
    <cfRule type="cellIs" dxfId="10173" priority="10105" stopIfTrue="1" operator="greaterThan">
      <formula>0</formula>
    </cfRule>
  </conditionalFormatting>
  <conditionalFormatting sqref="AD1241:AD1246">
    <cfRule type="containsText" dxfId="10172" priority="10103" stopIfTrue="1" operator="containsText" text="NO CUMPLE">
      <formula>NOT(ISERROR(SEARCH("NO CUMPLE",AD1241)))</formula>
    </cfRule>
    <cfRule type="containsText" dxfId="10171" priority="10104" stopIfTrue="1" operator="containsText" text="CUMPLE">
      <formula>NOT(ISERROR(SEARCH("CUMPLE",AD1241)))</formula>
    </cfRule>
  </conditionalFormatting>
  <conditionalFormatting sqref="Y1246">
    <cfRule type="containsText" dxfId="10170" priority="10101" stopIfTrue="1" operator="containsText" text="NO CUMPLE">
      <formula>NOT(ISERROR(SEARCH("NO CUMPLE",Y1246)))</formula>
    </cfRule>
    <cfRule type="containsText" dxfId="10169" priority="10102" stopIfTrue="1" operator="containsText" text="CUMPLE">
      <formula>NOT(ISERROR(SEARCH("CUMPLE",Y1246)))</formula>
    </cfRule>
  </conditionalFormatting>
  <conditionalFormatting sqref="AA1223:AA1232">
    <cfRule type="cellIs" dxfId="10168" priority="10099" stopIfTrue="1" operator="equal">
      <formula>"NO APLICA"</formula>
    </cfRule>
    <cfRule type="cellIs" dxfId="10167" priority="10100" stopIfTrue="1" operator="equal">
      <formula>"TERCIARIA"</formula>
    </cfRule>
  </conditionalFormatting>
  <conditionalFormatting sqref="AB1223:AB1232">
    <cfRule type="cellIs" dxfId="10166" priority="10097" stopIfTrue="1" operator="equal">
      <formula>"N/A"</formula>
    </cfRule>
    <cfRule type="cellIs" dxfId="10165" priority="10098" stopIfTrue="1" operator="equal">
      <formula>"NO"</formula>
    </cfRule>
  </conditionalFormatting>
  <conditionalFormatting sqref="M1253:M1262">
    <cfRule type="cellIs" dxfId="10164" priority="10096" stopIfTrue="1" operator="lessThan">
      <formula>0</formula>
    </cfRule>
  </conditionalFormatting>
  <conditionalFormatting sqref="C1255:D1261 B1254:B1261 F1255:I1261 C1254:I1254 B1262:O1262 B1253:R1253 Q1254:R1255 J1254:O1261 Q1256:Q1262 P1254:P1262">
    <cfRule type="cellIs" dxfId="10163" priority="10095" stopIfTrue="1" operator="greaterThan">
      <formula>0</formula>
    </cfRule>
  </conditionalFormatting>
  <conditionalFormatting sqref="C1255:D1261">
    <cfRule type="cellIs" dxfId="10162" priority="10094" stopIfTrue="1" operator="greaterThan">
      <formula>0</formula>
    </cfRule>
  </conditionalFormatting>
  <conditionalFormatting sqref="C1253:M1253 C1255:D1261 F1255:I1261 C1254:I1254 K1254:M1261 J1254:J1262 L1262:M1262">
    <cfRule type="cellIs" dxfId="10161" priority="10093" stopIfTrue="1" operator="greaterThan">
      <formula>0</formula>
    </cfRule>
  </conditionalFormatting>
  <conditionalFormatting sqref="M1253:M1262">
    <cfRule type="cellIs" dxfId="10160" priority="10092" stopIfTrue="1" operator="lessThan">
      <formula>0</formula>
    </cfRule>
  </conditionalFormatting>
  <conditionalFormatting sqref="J1254:J1262 L1254:O1262 C1253:O1253">
    <cfRule type="cellIs" dxfId="10159" priority="10091" stopIfTrue="1" operator="greaterThan">
      <formula>0</formula>
    </cfRule>
  </conditionalFormatting>
  <conditionalFormatting sqref="H1255:I1261 K1255:M1262">
    <cfRule type="cellIs" dxfId="10158" priority="10090" stopIfTrue="1" operator="greaterThan">
      <formula>0</formula>
    </cfRule>
  </conditionalFormatting>
  <conditionalFormatting sqref="I1254">
    <cfRule type="cellIs" dxfId="10157" priority="10089" stopIfTrue="1" operator="greaterThan">
      <formula>0</formula>
    </cfRule>
  </conditionalFormatting>
  <conditionalFormatting sqref="I1262">
    <cfRule type="cellIs" dxfId="10156" priority="10088" stopIfTrue="1" operator="greaterThan">
      <formula>0</formula>
    </cfRule>
  </conditionalFormatting>
  <conditionalFormatting sqref="E1255:E1261">
    <cfRule type="cellIs" dxfId="10155" priority="10087" stopIfTrue="1" operator="greaterThan">
      <formula>0</formula>
    </cfRule>
  </conditionalFormatting>
  <conditionalFormatting sqref="K1270:K1275">
    <cfRule type="containsText" dxfId="10154" priority="10085" stopIfTrue="1" operator="containsText" text="NO CUMPLE">
      <formula>NOT(ISERROR(SEARCH("NO CUMPLE",K1270)))</formula>
    </cfRule>
    <cfRule type="containsText" dxfId="10153" priority="10086" stopIfTrue="1" operator="containsText" text="CUMPLE">
      <formula>NOT(ISERROR(SEARCH("CUMPLE",K1270)))</formula>
    </cfRule>
  </conditionalFormatting>
  <conditionalFormatting sqref="K1276">
    <cfRule type="containsText" dxfId="10152" priority="10083" stopIfTrue="1" operator="containsText" text="NO CUMPLE">
      <formula>NOT(ISERROR(SEARCH("NO CUMPLE",K1276)))</formula>
    </cfRule>
    <cfRule type="containsText" dxfId="10151" priority="10084" stopIfTrue="1" operator="containsText" text="CUMPLE">
      <formula>NOT(ISERROR(SEARCH("CUMPLE",K1276)))</formula>
    </cfRule>
  </conditionalFormatting>
  <conditionalFormatting sqref="Q1269">
    <cfRule type="cellIs" dxfId="10150" priority="10081" operator="greaterThanOrEqual">
      <formula>NUMMINCONT</formula>
    </cfRule>
    <cfRule type="cellIs" dxfId="10149" priority="10082" operator="lessThan">
      <formula>NUMMINCONT</formula>
    </cfRule>
  </conditionalFormatting>
  <conditionalFormatting sqref="W1253:Y1261">
    <cfRule type="cellIs" dxfId="10148" priority="10079" stopIfTrue="1" operator="equal">
      <formula>"NO"</formula>
    </cfRule>
    <cfRule type="cellIs" dxfId="10147" priority="10080" stopIfTrue="1" operator="equal">
      <formula>"SI"</formula>
    </cfRule>
  </conditionalFormatting>
  <conditionalFormatting sqref="R1256">
    <cfRule type="cellIs" dxfId="10146" priority="10078" stopIfTrue="1" operator="greaterThan">
      <formula>0</formula>
    </cfRule>
  </conditionalFormatting>
  <conditionalFormatting sqref="R1257">
    <cfRule type="cellIs" dxfId="10145" priority="10077" stopIfTrue="1" operator="greaterThan">
      <formula>0</formula>
    </cfRule>
  </conditionalFormatting>
  <conditionalFormatting sqref="R1258">
    <cfRule type="cellIs" dxfId="10144" priority="10076" stopIfTrue="1" operator="greaterThan">
      <formula>0</formula>
    </cfRule>
  </conditionalFormatting>
  <conditionalFormatting sqref="R1259">
    <cfRule type="cellIs" dxfId="10143" priority="10075" stopIfTrue="1" operator="greaterThan">
      <formula>0</formula>
    </cfRule>
  </conditionalFormatting>
  <conditionalFormatting sqref="R1260">
    <cfRule type="cellIs" dxfId="10142" priority="10074" stopIfTrue="1" operator="greaterThan">
      <formula>0</formula>
    </cfRule>
  </conditionalFormatting>
  <conditionalFormatting sqref="R1261">
    <cfRule type="cellIs" dxfId="10141" priority="10073" stopIfTrue="1" operator="greaterThan">
      <formula>0</formula>
    </cfRule>
  </conditionalFormatting>
  <conditionalFormatting sqref="R1262">
    <cfRule type="cellIs" dxfId="10140" priority="10072" stopIfTrue="1" operator="greaterThan">
      <formula>0</formula>
    </cfRule>
  </conditionalFormatting>
  <conditionalFormatting sqref="W1253:X1253">
    <cfRule type="cellIs" dxfId="10139" priority="10071" stopIfTrue="1" operator="equal">
      <formula>"NO APLICA"</formula>
    </cfRule>
  </conditionalFormatting>
  <conditionalFormatting sqref="W1254:X1257">
    <cfRule type="cellIs" dxfId="10138" priority="10070" stopIfTrue="1" operator="equal">
      <formula>"NO APLICA"</formula>
    </cfRule>
  </conditionalFormatting>
  <conditionalFormatting sqref="W1254:X1254">
    <cfRule type="cellIs" dxfId="10137" priority="10069" stopIfTrue="1" operator="equal">
      <formula>"NO APLICA"</formula>
    </cfRule>
  </conditionalFormatting>
  <conditionalFormatting sqref="Y1253">
    <cfRule type="cellIs" dxfId="10136" priority="10068" stopIfTrue="1" operator="equal">
      <formula>"NO APLICA"</formula>
    </cfRule>
  </conditionalFormatting>
  <conditionalFormatting sqref="Y1254:Y1257">
    <cfRule type="cellIs" dxfId="10135" priority="10067" stopIfTrue="1" operator="equal">
      <formula>"NO APLICA"</formula>
    </cfRule>
  </conditionalFormatting>
  <conditionalFormatting sqref="W1258:X1261">
    <cfRule type="cellIs" dxfId="10134" priority="10066" stopIfTrue="1" operator="equal">
      <formula>"NO APLICA"</formula>
    </cfRule>
  </conditionalFormatting>
  <conditionalFormatting sqref="W1258:X1258">
    <cfRule type="cellIs" dxfId="10133" priority="10065" stopIfTrue="1" operator="equal">
      <formula>"NO APLICA"</formula>
    </cfRule>
  </conditionalFormatting>
  <conditionalFormatting sqref="Y1258:Y1261">
    <cfRule type="cellIs" dxfId="10132" priority="10064" stopIfTrue="1" operator="equal">
      <formula>"NO APLICA"</formula>
    </cfRule>
  </conditionalFormatting>
  <conditionalFormatting sqref="T1267">
    <cfRule type="cellIs" dxfId="10131" priority="10062" operator="equal">
      <formula>"CUMPLE"</formula>
    </cfRule>
    <cfRule type="cellIs" dxfId="10130" priority="10063" operator="equal">
      <formula>"NO CUMPLE"</formula>
    </cfRule>
  </conditionalFormatting>
  <conditionalFormatting sqref="T1267:T1269">
    <cfRule type="cellIs" dxfId="10129" priority="10061" operator="equal">
      <formula>"VERIFICAR"</formula>
    </cfRule>
  </conditionalFormatting>
  <conditionalFormatting sqref="AD1253:AF1257">
    <cfRule type="cellIs" dxfId="10128" priority="10059" stopIfTrue="1" operator="equal">
      <formula>"NO"</formula>
    </cfRule>
    <cfRule type="cellIs" dxfId="10127" priority="10060" stopIfTrue="1" operator="equal">
      <formula>"SI"</formula>
    </cfRule>
  </conditionalFormatting>
  <conditionalFormatting sqref="AD1258:AF1261">
    <cfRule type="cellIs" dxfId="10126" priority="10057" stopIfTrue="1" operator="equal">
      <formula>"NO"</formula>
    </cfRule>
    <cfRule type="cellIs" dxfId="10125" priority="10058" stopIfTrue="1" operator="equal">
      <formula>"SI"</formula>
    </cfRule>
  </conditionalFormatting>
  <conditionalFormatting sqref="W1262:Y1262">
    <cfRule type="cellIs" dxfId="10124" priority="10055" stopIfTrue="1" operator="equal">
      <formula>"NO"</formula>
    </cfRule>
    <cfRule type="cellIs" dxfId="10123" priority="10056" stopIfTrue="1" operator="equal">
      <formula>"SI"</formula>
    </cfRule>
  </conditionalFormatting>
  <conditionalFormatting sqref="W1262:X1262">
    <cfRule type="cellIs" dxfId="10122" priority="10054" stopIfTrue="1" operator="equal">
      <formula>"NO APLICA"</formula>
    </cfRule>
  </conditionalFormatting>
  <conditionalFormatting sqref="Y1262">
    <cfRule type="cellIs" dxfId="10121" priority="10053" stopIfTrue="1" operator="equal">
      <formula>"NO APLICA"</formula>
    </cfRule>
  </conditionalFormatting>
  <conditionalFormatting sqref="AD1262:AF1262">
    <cfRule type="cellIs" dxfId="10120" priority="10051" stopIfTrue="1" operator="equal">
      <formula>"NO"</formula>
    </cfRule>
    <cfRule type="cellIs" dxfId="10119" priority="10052" stopIfTrue="1" operator="equal">
      <formula>"SI"</formula>
    </cfRule>
  </conditionalFormatting>
  <conditionalFormatting sqref="AE1267">
    <cfRule type="cellIs" dxfId="10118" priority="10048" stopIfTrue="1" operator="equal">
      <formula>"VERIFICAR"</formula>
    </cfRule>
    <cfRule type="cellIs" dxfId="10117" priority="10049" stopIfTrue="1" operator="equal">
      <formula>"NO CUMPLE"</formula>
    </cfRule>
    <cfRule type="cellIs" dxfId="10116" priority="10050" stopIfTrue="1" operator="equal">
      <formula>"CUMPLE"</formula>
    </cfRule>
  </conditionalFormatting>
  <conditionalFormatting sqref="AF1267">
    <cfRule type="cellIs" dxfId="10115" priority="10045" stopIfTrue="1" operator="equal">
      <formula>"VERIFICAR"</formula>
    </cfRule>
    <cfRule type="cellIs" dxfId="10114" priority="10046" stopIfTrue="1" operator="equal">
      <formula>"NO CUMPLE"</formula>
    </cfRule>
    <cfRule type="cellIs" dxfId="10113" priority="10047" stopIfTrue="1" operator="equal">
      <formula>"CUMPLE"</formula>
    </cfRule>
  </conditionalFormatting>
  <conditionalFormatting sqref="Y1270">
    <cfRule type="cellIs" dxfId="10112" priority="10044" operator="equal">
      <formula>"VERIFICAR CUADRO"</formula>
    </cfRule>
  </conditionalFormatting>
  <conditionalFormatting sqref="AC1271:AC1276">
    <cfRule type="cellIs" dxfId="10111" priority="10043" stopIfTrue="1" operator="greaterThan">
      <formula>0</formula>
    </cfRule>
  </conditionalFormatting>
  <conditionalFormatting sqref="AC1271:AC1276">
    <cfRule type="cellIs" dxfId="10110" priority="10042" stopIfTrue="1" operator="greaterThan">
      <formula>0</formula>
    </cfRule>
  </conditionalFormatting>
  <conditionalFormatting sqref="AD1271:AD1276">
    <cfRule type="containsText" dxfId="10109" priority="10040" stopIfTrue="1" operator="containsText" text="NO CUMPLE">
      <formula>NOT(ISERROR(SEARCH("NO CUMPLE",AD1271)))</formula>
    </cfRule>
    <cfRule type="containsText" dxfId="10108" priority="10041" stopIfTrue="1" operator="containsText" text="CUMPLE">
      <formula>NOT(ISERROR(SEARCH("CUMPLE",AD1271)))</formula>
    </cfRule>
  </conditionalFormatting>
  <conditionalFormatting sqref="Y1276">
    <cfRule type="containsText" dxfId="10107" priority="10038" stopIfTrue="1" operator="containsText" text="NO CUMPLE">
      <formula>NOT(ISERROR(SEARCH("NO CUMPLE",Y1276)))</formula>
    </cfRule>
    <cfRule type="containsText" dxfId="10106" priority="10039" stopIfTrue="1" operator="containsText" text="CUMPLE">
      <formula>NOT(ISERROR(SEARCH("CUMPLE",Y1276)))</formula>
    </cfRule>
  </conditionalFormatting>
  <conditionalFormatting sqref="AA1253:AA1262">
    <cfRule type="cellIs" dxfId="10105" priority="10036" stopIfTrue="1" operator="equal">
      <formula>"NO APLICA"</formula>
    </cfRule>
    <cfRule type="cellIs" dxfId="10104" priority="10037" stopIfTrue="1" operator="equal">
      <formula>"TERCIARIA"</formula>
    </cfRule>
  </conditionalFormatting>
  <conditionalFormatting sqref="AB1253:AB1262">
    <cfRule type="cellIs" dxfId="10103" priority="10034" stopIfTrue="1" operator="equal">
      <formula>"N/A"</formula>
    </cfRule>
    <cfRule type="cellIs" dxfId="10102" priority="10035" stopIfTrue="1" operator="equal">
      <formula>"NO"</formula>
    </cfRule>
  </conditionalFormatting>
  <conditionalFormatting sqref="M1283:M1292">
    <cfRule type="cellIs" dxfId="10101" priority="10033" stopIfTrue="1" operator="lessThan">
      <formula>0</formula>
    </cfRule>
  </conditionalFormatting>
  <conditionalFormatting sqref="C1285:D1291 B1284:B1291 F1285:I1291 C1284:I1284 B1292:O1292 B1283:R1283 Q1284:R1285 J1284:O1291 Q1286:Q1292 P1284:P1292">
    <cfRule type="cellIs" dxfId="10100" priority="10032" stopIfTrue="1" operator="greaterThan">
      <formula>0</formula>
    </cfRule>
  </conditionalFormatting>
  <conditionalFormatting sqref="C1285:D1291">
    <cfRule type="cellIs" dxfId="10099" priority="10031" stopIfTrue="1" operator="greaterThan">
      <formula>0</formula>
    </cfRule>
  </conditionalFormatting>
  <conditionalFormatting sqref="C1283:M1283 C1285:D1291 F1285:I1291 C1284:I1284 K1284:M1291 J1284:J1292 L1292:M1292">
    <cfRule type="cellIs" dxfId="10098" priority="10030" stopIfTrue="1" operator="greaterThan">
      <formula>0</formula>
    </cfRule>
  </conditionalFormatting>
  <conditionalFormatting sqref="M1283:M1292">
    <cfRule type="cellIs" dxfId="10097" priority="10029" stopIfTrue="1" operator="lessThan">
      <formula>0</formula>
    </cfRule>
  </conditionalFormatting>
  <conditionalFormatting sqref="J1284:J1292 L1284:O1292 C1283:O1283">
    <cfRule type="cellIs" dxfId="10096" priority="10028" stopIfTrue="1" operator="greaterThan">
      <formula>0</formula>
    </cfRule>
  </conditionalFormatting>
  <conditionalFormatting sqref="H1285:I1291 K1285:M1292">
    <cfRule type="cellIs" dxfId="10095" priority="10027" stopIfTrue="1" operator="greaterThan">
      <formula>0</formula>
    </cfRule>
  </conditionalFormatting>
  <conditionalFormatting sqref="I1284">
    <cfRule type="cellIs" dxfId="10094" priority="10026" stopIfTrue="1" operator="greaterThan">
      <formula>0</formula>
    </cfRule>
  </conditionalFormatting>
  <conditionalFormatting sqref="I1292">
    <cfRule type="cellIs" dxfId="10093" priority="10025" stopIfTrue="1" operator="greaterThan">
      <formula>0</formula>
    </cfRule>
  </conditionalFormatting>
  <conditionalFormatting sqref="E1285:E1291">
    <cfRule type="cellIs" dxfId="10092" priority="10024" stopIfTrue="1" operator="greaterThan">
      <formula>0</formula>
    </cfRule>
  </conditionalFormatting>
  <conditionalFormatting sqref="K1300:K1305">
    <cfRule type="containsText" dxfId="10091" priority="10022" stopIfTrue="1" operator="containsText" text="NO CUMPLE">
      <formula>NOT(ISERROR(SEARCH("NO CUMPLE",K1300)))</formula>
    </cfRule>
    <cfRule type="containsText" dxfId="10090" priority="10023" stopIfTrue="1" operator="containsText" text="CUMPLE">
      <formula>NOT(ISERROR(SEARCH("CUMPLE",K1300)))</formula>
    </cfRule>
  </conditionalFormatting>
  <conditionalFormatting sqref="K1306">
    <cfRule type="containsText" dxfId="10089" priority="10020" stopIfTrue="1" operator="containsText" text="NO CUMPLE">
      <formula>NOT(ISERROR(SEARCH("NO CUMPLE",K1306)))</formula>
    </cfRule>
    <cfRule type="containsText" dxfId="10088" priority="10021" stopIfTrue="1" operator="containsText" text="CUMPLE">
      <formula>NOT(ISERROR(SEARCH("CUMPLE",K1306)))</formula>
    </cfRule>
  </conditionalFormatting>
  <conditionalFormatting sqref="Q1299">
    <cfRule type="cellIs" dxfId="10087" priority="10018" operator="greaterThanOrEqual">
      <formula>NUMMINCONT</formula>
    </cfRule>
    <cfRule type="cellIs" dxfId="10086" priority="10019" operator="lessThan">
      <formula>NUMMINCONT</formula>
    </cfRule>
  </conditionalFormatting>
  <conditionalFormatting sqref="W1283:Y1291">
    <cfRule type="cellIs" dxfId="10085" priority="10016" stopIfTrue="1" operator="equal">
      <formula>"NO"</formula>
    </cfRule>
    <cfRule type="cellIs" dxfId="10084" priority="10017" stopIfTrue="1" operator="equal">
      <formula>"SI"</formula>
    </cfRule>
  </conditionalFormatting>
  <conditionalFormatting sqref="R1286">
    <cfRule type="cellIs" dxfId="10083" priority="10015" stopIfTrue="1" operator="greaterThan">
      <formula>0</formula>
    </cfRule>
  </conditionalFormatting>
  <conditionalFormatting sqref="R1287">
    <cfRule type="cellIs" dxfId="10082" priority="10014" stopIfTrue="1" operator="greaterThan">
      <formula>0</formula>
    </cfRule>
  </conditionalFormatting>
  <conditionalFormatting sqref="R1288">
    <cfRule type="cellIs" dxfId="10081" priority="10013" stopIfTrue="1" operator="greaterThan">
      <formula>0</formula>
    </cfRule>
  </conditionalFormatting>
  <conditionalFormatting sqref="R1289">
    <cfRule type="cellIs" dxfId="10080" priority="10012" stopIfTrue="1" operator="greaterThan">
      <formula>0</formula>
    </cfRule>
  </conditionalFormatting>
  <conditionalFormatting sqref="R1290">
    <cfRule type="cellIs" dxfId="10079" priority="10011" stopIfTrue="1" operator="greaterThan">
      <formula>0</formula>
    </cfRule>
  </conditionalFormatting>
  <conditionalFormatting sqref="R1291">
    <cfRule type="cellIs" dxfId="10078" priority="10010" stopIfTrue="1" operator="greaterThan">
      <formula>0</formula>
    </cfRule>
  </conditionalFormatting>
  <conditionalFormatting sqref="R1292">
    <cfRule type="cellIs" dxfId="10077" priority="10009" stopIfTrue="1" operator="greaterThan">
      <formula>0</formula>
    </cfRule>
  </conditionalFormatting>
  <conditionalFormatting sqref="W1283:X1283">
    <cfRule type="cellIs" dxfId="10076" priority="10008" stopIfTrue="1" operator="equal">
      <formula>"NO APLICA"</formula>
    </cfRule>
  </conditionalFormatting>
  <conditionalFormatting sqref="W1284:X1287">
    <cfRule type="cellIs" dxfId="10075" priority="10007" stopIfTrue="1" operator="equal">
      <formula>"NO APLICA"</formula>
    </cfRule>
  </conditionalFormatting>
  <conditionalFormatting sqref="W1284:X1284">
    <cfRule type="cellIs" dxfId="10074" priority="10006" stopIfTrue="1" operator="equal">
      <formula>"NO APLICA"</formula>
    </cfRule>
  </conditionalFormatting>
  <conditionalFormatting sqref="Y1283">
    <cfRule type="cellIs" dxfId="10073" priority="10005" stopIfTrue="1" operator="equal">
      <formula>"NO APLICA"</formula>
    </cfRule>
  </conditionalFormatting>
  <conditionalFormatting sqref="Y1284:Y1287">
    <cfRule type="cellIs" dxfId="10072" priority="10004" stopIfTrue="1" operator="equal">
      <formula>"NO APLICA"</formula>
    </cfRule>
  </conditionalFormatting>
  <conditionalFormatting sqref="W1288:X1291">
    <cfRule type="cellIs" dxfId="10071" priority="10003" stopIfTrue="1" operator="equal">
      <formula>"NO APLICA"</formula>
    </cfRule>
  </conditionalFormatting>
  <conditionalFormatting sqref="W1288:X1288">
    <cfRule type="cellIs" dxfId="10070" priority="10002" stopIfTrue="1" operator="equal">
      <formula>"NO APLICA"</formula>
    </cfRule>
  </conditionalFormatting>
  <conditionalFormatting sqref="Y1288:Y1291">
    <cfRule type="cellIs" dxfId="10069" priority="10001" stopIfTrue="1" operator="equal">
      <formula>"NO APLICA"</formula>
    </cfRule>
  </conditionalFormatting>
  <conditionalFormatting sqref="T1297">
    <cfRule type="cellIs" dxfId="10068" priority="9999" operator="equal">
      <formula>"CUMPLE"</formula>
    </cfRule>
    <cfRule type="cellIs" dxfId="10067" priority="10000" operator="equal">
      <formula>"NO CUMPLE"</formula>
    </cfRule>
  </conditionalFormatting>
  <conditionalFormatting sqref="T1297:T1299">
    <cfRule type="cellIs" dxfId="10066" priority="9998" operator="equal">
      <formula>"VERIFICAR"</formula>
    </cfRule>
  </conditionalFormatting>
  <conditionalFormatting sqref="AD1283:AF1287">
    <cfRule type="cellIs" dxfId="10065" priority="9996" stopIfTrue="1" operator="equal">
      <formula>"NO"</formula>
    </cfRule>
    <cfRule type="cellIs" dxfId="10064" priority="9997" stopIfTrue="1" operator="equal">
      <formula>"SI"</formula>
    </cfRule>
  </conditionalFormatting>
  <conditionalFormatting sqref="AD1288:AF1291">
    <cfRule type="cellIs" dxfId="10063" priority="9994" stopIfTrue="1" operator="equal">
      <formula>"NO"</formula>
    </cfRule>
    <cfRule type="cellIs" dxfId="10062" priority="9995" stopIfTrue="1" operator="equal">
      <formula>"SI"</formula>
    </cfRule>
  </conditionalFormatting>
  <conditionalFormatting sqref="W1292:Y1292">
    <cfRule type="cellIs" dxfId="10061" priority="9992" stopIfTrue="1" operator="equal">
      <formula>"NO"</formula>
    </cfRule>
    <cfRule type="cellIs" dxfId="10060" priority="9993" stopIfTrue="1" operator="equal">
      <formula>"SI"</formula>
    </cfRule>
  </conditionalFormatting>
  <conditionalFormatting sqref="W1292:X1292">
    <cfRule type="cellIs" dxfId="10059" priority="9991" stopIfTrue="1" operator="equal">
      <formula>"NO APLICA"</formula>
    </cfRule>
  </conditionalFormatting>
  <conditionalFormatting sqref="Y1292">
    <cfRule type="cellIs" dxfId="10058" priority="9990" stopIfTrue="1" operator="equal">
      <formula>"NO APLICA"</formula>
    </cfRule>
  </conditionalFormatting>
  <conditionalFormatting sqref="AD1292:AF1292">
    <cfRule type="cellIs" dxfId="10057" priority="9988" stopIfTrue="1" operator="equal">
      <formula>"NO"</formula>
    </cfRule>
    <cfRule type="cellIs" dxfId="10056" priority="9989" stopIfTrue="1" operator="equal">
      <formula>"SI"</formula>
    </cfRule>
  </conditionalFormatting>
  <conditionalFormatting sqref="AE1297">
    <cfRule type="cellIs" dxfId="10055" priority="9985" stopIfTrue="1" operator="equal">
      <formula>"VERIFICAR"</formula>
    </cfRule>
    <cfRule type="cellIs" dxfId="10054" priority="9986" stopIfTrue="1" operator="equal">
      <formula>"NO CUMPLE"</formula>
    </cfRule>
    <cfRule type="cellIs" dxfId="10053" priority="9987" stopIfTrue="1" operator="equal">
      <formula>"CUMPLE"</formula>
    </cfRule>
  </conditionalFormatting>
  <conditionalFormatting sqref="AF1297">
    <cfRule type="cellIs" dxfId="10052" priority="9982" stopIfTrue="1" operator="equal">
      <formula>"VERIFICAR"</formula>
    </cfRule>
    <cfRule type="cellIs" dxfId="10051" priority="9983" stopIfTrue="1" operator="equal">
      <formula>"NO CUMPLE"</formula>
    </cfRule>
    <cfRule type="cellIs" dxfId="10050" priority="9984" stopIfTrue="1" operator="equal">
      <formula>"CUMPLE"</formula>
    </cfRule>
  </conditionalFormatting>
  <conditionalFormatting sqref="Y1300">
    <cfRule type="cellIs" dxfId="10049" priority="9981" operator="equal">
      <formula>"VERIFICAR CUADRO"</formula>
    </cfRule>
  </conditionalFormatting>
  <conditionalFormatting sqref="AC1301:AC1306">
    <cfRule type="cellIs" dxfId="10048" priority="9980" stopIfTrue="1" operator="greaterThan">
      <formula>0</formula>
    </cfRule>
  </conditionalFormatting>
  <conditionalFormatting sqref="AC1301:AC1306">
    <cfRule type="cellIs" dxfId="10047" priority="9979" stopIfTrue="1" operator="greaterThan">
      <formula>0</formula>
    </cfRule>
  </conditionalFormatting>
  <conditionalFormatting sqref="AD1301:AD1306">
    <cfRule type="containsText" dxfId="10046" priority="9977" stopIfTrue="1" operator="containsText" text="NO CUMPLE">
      <formula>NOT(ISERROR(SEARCH("NO CUMPLE",AD1301)))</formula>
    </cfRule>
    <cfRule type="containsText" dxfId="10045" priority="9978" stopIfTrue="1" operator="containsText" text="CUMPLE">
      <formula>NOT(ISERROR(SEARCH("CUMPLE",AD1301)))</formula>
    </cfRule>
  </conditionalFormatting>
  <conditionalFormatting sqref="Y1306">
    <cfRule type="containsText" dxfId="10044" priority="9975" stopIfTrue="1" operator="containsText" text="NO CUMPLE">
      <formula>NOT(ISERROR(SEARCH("NO CUMPLE",Y1306)))</formula>
    </cfRule>
    <cfRule type="containsText" dxfId="10043" priority="9976" stopIfTrue="1" operator="containsText" text="CUMPLE">
      <formula>NOT(ISERROR(SEARCH("CUMPLE",Y1306)))</formula>
    </cfRule>
  </conditionalFormatting>
  <conditionalFormatting sqref="AA1283:AA1292">
    <cfRule type="cellIs" dxfId="10042" priority="9973" stopIfTrue="1" operator="equal">
      <formula>"NO APLICA"</formula>
    </cfRule>
    <cfRule type="cellIs" dxfId="10041" priority="9974" stopIfTrue="1" operator="equal">
      <formula>"TERCIARIA"</formula>
    </cfRule>
  </conditionalFormatting>
  <conditionalFormatting sqref="AB1283:AB1292">
    <cfRule type="cellIs" dxfId="10040" priority="9971" stopIfTrue="1" operator="equal">
      <formula>"N/A"</formula>
    </cfRule>
    <cfRule type="cellIs" dxfId="10039" priority="9972" stopIfTrue="1" operator="equal">
      <formula>"NO"</formula>
    </cfRule>
  </conditionalFormatting>
  <conditionalFormatting sqref="M1313:M1322">
    <cfRule type="cellIs" dxfId="10038" priority="9970" stopIfTrue="1" operator="lessThan">
      <formula>0</formula>
    </cfRule>
  </conditionalFormatting>
  <conditionalFormatting sqref="C1315:D1321 B1314:B1321 F1315:I1321 C1314:I1314 B1322:O1322 B1313:R1313 Q1314:R1315 J1314:O1321 Q1316:Q1322 P1314:P1322">
    <cfRule type="cellIs" dxfId="10037" priority="9969" stopIfTrue="1" operator="greaterThan">
      <formula>0</formula>
    </cfRule>
  </conditionalFormatting>
  <conditionalFormatting sqref="C1315:D1321">
    <cfRule type="cellIs" dxfId="10036" priority="9968" stopIfTrue="1" operator="greaterThan">
      <formula>0</formula>
    </cfRule>
  </conditionalFormatting>
  <conditionalFormatting sqref="C1313:M1313 C1315:D1321 F1315:I1321 C1314:I1314 K1314:M1321 J1314:J1322 L1322:M1322">
    <cfRule type="cellIs" dxfId="10035" priority="9967" stopIfTrue="1" operator="greaterThan">
      <formula>0</formula>
    </cfRule>
  </conditionalFormatting>
  <conditionalFormatting sqref="M1313:M1322">
    <cfRule type="cellIs" dxfId="10034" priority="9966" stopIfTrue="1" operator="lessThan">
      <formula>0</formula>
    </cfRule>
  </conditionalFormatting>
  <conditionalFormatting sqref="J1314:J1322 L1314:O1322 C1313:O1313">
    <cfRule type="cellIs" dxfId="10033" priority="9965" stopIfTrue="1" operator="greaterThan">
      <formula>0</formula>
    </cfRule>
  </conditionalFormatting>
  <conditionalFormatting sqref="H1315:I1321 K1315:M1322">
    <cfRule type="cellIs" dxfId="10032" priority="9964" stopIfTrue="1" operator="greaterThan">
      <formula>0</formula>
    </cfRule>
  </conditionalFormatting>
  <conditionalFormatting sqref="I1314">
    <cfRule type="cellIs" dxfId="10031" priority="9963" stopIfTrue="1" operator="greaterThan">
      <formula>0</formula>
    </cfRule>
  </conditionalFormatting>
  <conditionalFormatting sqref="I1322">
    <cfRule type="cellIs" dxfId="10030" priority="9962" stopIfTrue="1" operator="greaterThan">
      <formula>0</formula>
    </cfRule>
  </conditionalFormatting>
  <conditionalFormatting sqref="E1315:E1321">
    <cfRule type="cellIs" dxfId="10029" priority="9961" stopIfTrue="1" operator="greaterThan">
      <formula>0</formula>
    </cfRule>
  </conditionalFormatting>
  <conditionalFormatting sqref="K1330:K1335">
    <cfRule type="containsText" dxfId="10028" priority="9959" stopIfTrue="1" operator="containsText" text="NO CUMPLE">
      <formula>NOT(ISERROR(SEARCH("NO CUMPLE",K1330)))</formula>
    </cfRule>
    <cfRule type="containsText" dxfId="10027" priority="9960" stopIfTrue="1" operator="containsText" text="CUMPLE">
      <formula>NOT(ISERROR(SEARCH("CUMPLE",K1330)))</formula>
    </cfRule>
  </conditionalFormatting>
  <conditionalFormatting sqref="K1336">
    <cfRule type="containsText" dxfId="10026" priority="9957" stopIfTrue="1" operator="containsText" text="NO CUMPLE">
      <formula>NOT(ISERROR(SEARCH("NO CUMPLE",K1336)))</formula>
    </cfRule>
    <cfRule type="containsText" dxfId="10025" priority="9958" stopIfTrue="1" operator="containsText" text="CUMPLE">
      <formula>NOT(ISERROR(SEARCH("CUMPLE",K1336)))</formula>
    </cfRule>
  </conditionalFormatting>
  <conditionalFormatting sqref="Q1329">
    <cfRule type="cellIs" dxfId="10024" priority="9955" operator="greaterThanOrEqual">
      <formula>NUMMINCONT</formula>
    </cfRule>
    <cfRule type="cellIs" dxfId="10023" priority="9956" operator="lessThan">
      <formula>NUMMINCONT</formula>
    </cfRule>
  </conditionalFormatting>
  <conditionalFormatting sqref="W1313:Y1321">
    <cfRule type="cellIs" dxfId="10022" priority="9953" stopIfTrue="1" operator="equal">
      <formula>"NO"</formula>
    </cfRule>
    <cfRule type="cellIs" dxfId="10021" priority="9954" stopIfTrue="1" operator="equal">
      <formula>"SI"</formula>
    </cfRule>
  </conditionalFormatting>
  <conditionalFormatting sqref="R1316">
    <cfRule type="cellIs" dxfId="10020" priority="9952" stopIfTrue="1" operator="greaterThan">
      <formula>0</formula>
    </cfRule>
  </conditionalFormatting>
  <conditionalFormatting sqref="R1317">
    <cfRule type="cellIs" dxfId="10019" priority="9951" stopIfTrue="1" operator="greaterThan">
      <formula>0</formula>
    </cfRule>
  </conditionalFormatting>
  <conditionalFormatting sqref="R1318">
    <cfRule type="cellIs" dxfId="10018" priority="9950" stopIfTrue="1" operator="greaterThan">
      <formula>0</formula>
    </cfRule>
  </conditionalFormatting>
  <conditionalFormatting sqref="R1319">
    <cfRule type="cellIs" dxfId="10017" priority="9949" stopIfTrue="1" operator="greaterThan">
      <formula>0</formula>
    </cfRule>
  </conditionalFormatting>
  <conditionalFormatting sqref="R1320">
    <cfRule type="cellIs" dxfId="10016" priority="9948" stopIfTrue="1" operator="greaterThan">
      <formula>0</formula>
    </cfRule>
  </conditionalFormatting>
  <conditionalFormatting sqref="R1321">
    <cfRule type="cellIs" dxfId="10015" priority="9947" stopIfTrue="1" operator="greaterThan">
      <formula>0</formula>
    </cfRule>
  </conditionalFormatting>
  <conditionalFormatting sqref="R1322">
    <cfRule type="cellIs" dxfId="10014" priority="9946" stopIfTrue="1" operator="greaterThan">
      <formula>0</formula>
    </cfRule>
  </conditionalFormatting>
  <conditionalFormatting sqref="W1313:X1313">
    <cfRule type="cellIs" dxfId="10013" priority="9945" stopIfTrue="1" operator="equal">
      <formula>"NO APLICA"</formula>
    </cfRule>
  </conditionalFormatting>
  <conditionalFormatting sqref="W1314:X1317">
    <cfRule type="cellIs" dxfId="10012" priority="9944" stopIfTrue="1" operator="equal">
      <formula>"NO APLICA"</formula>
    </cfRule>
  </conditionalFormatting>
  <conditionalFormatting sqref="W1314:X1314">
    <cfRule type="cellIs" dxfId="10011" priority="9943" stopIfTrue="1" operator="equal">
      <formula>"NO APLICA"</formula>
    </cfRule>
  </conditionalFormatting>
  <conditionalFormatting sqref="Y1313">
    <cfRule type="cellIs" dxfId="10010" priority="9942" stopIfTrue="1" operator="equal">
      <formula>"NO APLICA"</formula>
    </cfRule>
  </conditionalFormatting>
  <conditionalFormatting sqref="Y1314:Y1317">
    <cfRule type="cellIs" dxfId="10009" priority="9941" stopIfTrue="1" operator="equal">
      <formula>"NO APLICA"</formula>
    </cfRule>
  </conditionalFormatting>
  <conditionalFormatting sqref="W1318:X1321">
    <cfRule type="cellIs" dxfId="10008" priority="9940" stopIfTrue="1" operator="equal">
      <formula>"NO APLICA"</formula>
    </cfRule>
  </conditionalFormatting>
  <conditionalFormatting sqref="W1318:X1318">
    <cfRule type="cellIs" dxfId="10007" priority="9939" stopIfTrue="1" operator="equal">
      <formula>"NO APLICA"</formula>
    </cfRule>
  </conditionalFormatting>
  <conditionalFormatting sqref="Y1318:Y1321">
    <cfRule type="cellIs" dxfId="10006" priority="9938" stopIfTrue="1" operator="equal">
      <formula>"NO APLICA"</formula>
    </cfRule>
  </conditionalFormatting>
  <conditionalFormatting sqref="T1327">
    <cfRule type="cellIs" dxfId="10005" priority="9936" operator="equal">
      <formula>"CUMPLE"</formula>
    </cfRule>
    <cfRule type="cellIs" dxfId="10004" priority="9937" operator="equal">
      <formula>"NO CUMPLE"</formula>
    </cfRule>
  </conditionalFormatting>
  <conditionalFormatting sqref="T1327:T1329">
    <cfRule type="cellIs" dxfId="10003" priority="9935" operator="equal">
      <formula>"VERIFICAR"</formula>
    </cfRule>
  </conditionalFormatting>
  <conditionalFormatting sqref="AD1313:AF1317">
    <cfRule type="cellIs" dxfId="10002" priority="9933" stopIfTrue="1" operator="equal">
      <formula>"NO"</formula>
    </cfRule>
    <cfRule type="cellIs" dxfId="10001" priority="9934" stopIfTrue="1" operator="equal">
      <formula>"SI"</formula>
    </cfRule>
  </conditionalFormatting>
  <conditionalFormatting sqref="AD1318:AF1321">
    <cfRule type="cellIs" dxfId="10000" priority="9931" stopIfTrue="1" operator="equal">
      <formula>"NO"</formula>
    </cfRule>
    <cfRule type="cellIs" dxfId="9999" priority="9932" stopIfTrue="1" operator="equal">
      <formula>"SI"</formula>
    </cfRule>
  </conditionalFormatting>
  <conditionalFormatting sqref="W1322:Y1322">
    <cfRule type="cellIs" dxfId="9998" priority="9929" stopIfTrue="1" operator="equal">
      <formula>"NO"</formula>
    </cfRule>
    <cfRule type="cellIs" dxfId="9997" priority="9930" stopIfTrue="1" operator="equal">
      <formula>"SI"</formula>
    </cfRule>
  </conditionalFormatting>
  <conditionalFormatting sqref="W1322:X1322">
    <cfRule type="cellIs" dxfId="9996" priority="9928" stopIfTrue="1" operator="equal">
      <formula>"NO APLICA"</formula>
    </cfRule>
  </conditionalFormatting>
  <conditionalFormatting sqref="Y1322">
    <cfRule type="cellIs" dxfId="9995" priority="9927" stopIfTrue="1" operator="equal">
      <formula>"NO APLICA"</formula>
    </cfRule>
  </conditionalFormatting>
  <conditionalFormatting sqref="AD1322:AF1322">
    <cfRule type="cellIs" dxfId="9994" priority="9925" stopIfTrue="1" operator="equal">
      <formula>"NO"</formula>
    </cfRule>
    <cfRule type="cellIs" dxfId="9993" priority="9926" stopIfTrue="1" operator="equal">
      <formula>"SI"</formula>
    </cfRule>
  </conditionalFormatting>
  <conditionalFormatting sqref="AE1327">
    <cfRule type="cellIs" dxfId="9992" priority="9922" stopIfTrue="1" operator="equal">
      <formula>"VERIFICAR"</formula>
    </cfRule>
    <cfRule type="cellIs" dxfId="9991" priority="9923" stopIfTrue="1" operator="equal">
      <formula>"NO CUMPLE"</formula>
    </cfRule>
    <cfRule type="cellIs" dxfId="9990" priority="9924" stopIfTrue="1" operator="equal">
      <formula>"CUMPLE"</formula>
    </cfRule>
  </conditionalFormatting>
  <conditionalFormatting sqref="AF1327">
    <cfRule type="cellIs" dxfId="9989" priority="9919" stopIfTrue="1" operator="equal">
      <formula>"VERIFICAR"</formula>
    </cfRule>
    <cfRule type="cellIs" dxfId="9988" priority="9920" stopIfTrue="1" operator="equal">
      <formula>"NO CUMPLE"</formula>
    </cfRule>
    <cfRule type="cellIs" dxfId="9987" priority="9921" stopIfTrue="1" operator="equal">
      <formula>"CUMPLE"</formula>
    </cfRule>
  </conditionalFormatting>
  <conditionalFormatting sqref="Y1330">
    <cfRule type="cellIs" dxfId="9986" priority="9918" operator="equal">
      <formula>"VERIFICAR CUADRO"</formula>
    </cfRule>
  </conditionalFormatting>
  <conditionalFormatting sqref="AC1331:AC1336">
    <cfRule type="cellIs" dxfId="9985" priority="9917" stopIfTrue="1" operator="greaterThan">
      <formula>0</formula>
    </cfRule>
  </conditionalFormatting>
  <conditionalFormatting sqref="AC1331:AC1336">
    <cfRule type="cellIs" dxfId="9984" priority="9916" stopIfTrue="1" operator="greaterThan">
      <formula>0</formula>
    </cfRule>
  </conditionalFormatting>
  <conditionalFormatting sqref="AD1331:AD1336">
    <cfRule type="containsText" dxfId="9983" priority="9914" stopIfTrue="1" operator="containsText" text="NO CUMPLE">
      <formula>NOT(ISERROR(SEARCH("NO CUMPLE",AD1331)))</formula>
    </cfRule>
    <cfRule type="containsText" dxfId="9982" priority="9915" stopIfTrue="1" operator="containsText" text="CUMPLE">
      <formula>NOT(ISERROR(SEARCH("CUMPLE",AD1331)))</formula>
    </cfRule>
  </conditionalFormatting>
  <conditionalFormatting sqref="Y1336">
    <cfRule type="containsText" dxfId="9981" priority="9912" stopIfTrue="1" operator="containsText" text="NO CUMPLE">
      <formula>NOT(ISERROR(SEARCH("NO CUMPLE",Y1336)))</formula>
    </cfRule>
    <cfRule type="containsText" dxfId="9980" priority="9913" stopIfTrue="1" operator="containsText" text="CUMPLE">
      <formula>NOT(ISERROR(SEARCH("CUMPLE",Y1336)))</formula>
    </cfRule>
  </conditionalFormatting>
  <conditionalFormatting sqref="AA1313:AA1322">
    <cfRule type="cellIs" dxfId="9979" priority="9910" stopIfTrue="1" operator="equal">
      <formula>"NO APLICA"</formula>
    </cfRule>
    <cfRule type="cellIs" dxfId="9978" priority="9911" stopIfTrue="1" operator="equal">
      <formula>"TERCIARIA"</formula>
    </cfRule>
  </conditionalFormatting>
  <conditionalFormatting sqref="AB1313:AB1322">
    <cfRule type="cellIs" dxfId="9977" priority="9908" stopIfTrue="1" operator="equal">
      <formula>"N/A"</formula>
    </cfRule>
    <cfRule type="cellIs" dxfId="9976" priority="9909" stopIfTrue="1" operator="equal">
      <formula>"NO"</formula>
    </cfRule>
  </conditionalFormatting>
  <conditionalFormatting sqref="M1343:M1352">
    <cfRule type="cellIs" dxfId="9975" priority="9907" stopIfTrue="1" operator="lessThan">
      <formula>0</formula>
    </cfRule>
  </conditionalFormatting>
  <conditionalFormatting sqref="C1345:D1351 B1344:B1351 F1345:I1351 C1344:I1344 B1352:O1352 B1343:R1343 Q1344:R1345 J1344:O1351 Q1346:Q1352 P1344:P1352">
    <cfRule type="cellIs" dxfId="9974" priority="9906" stopIfTrue="1" operator="greaterThan">
      <formula>0</formula>
    </cfRule>
  </conditionalFormatting>
  <conditionalFormatting sqref="C1345:D1351">
    <cfRule type="cellIs" dxfId="9973" priority="9905" stopIfTrue="1" operator="greaterThan">
      <formula>0</formula>
    </cfRule>
  </conditionalFormatting>
  <conditionalFormatting sqref="C1343:M1343 C1345:D1351 F1345:I1351 C1344:I1344 K1344:M1351 J1344:J1352 L1352:M1352">
    <cfRule type="cellIs" dxfId="9972" priority="9904" stopIfTrue="1" operator="greaterThan">
      <formula>0</formula>
    </cfRule>
  </conditionalFormatting>
  <conditionalFormatting sqref="M1343:M1352">
    <cfRule type="cellIs" dxfId="9971" priority="9903" stopIfTrue="1" operator="lessThan">
      <formula>0</formula>
    </cfRule>
  </conditionalFormatting>
  <conditionalFormatting sqref="J1344:J1352 L1344:O1352 C1343:O1343">
    <cfRule type="cellIs" dxfId="9970" priority="9902" stopIfTrue="1" operator="greaterThan">
      <formula>0</formula>
    </cfRule>
  </conditionalFormatting>
  <conditionalFormatting sqref="H1345:I1351 K1345:M1352">
    <cfRule type="cellIs" dxfId="9969" priority="9901" stopIfTrue="1" operator="greaterThan">
      <formula>0</formula>
    </cfRule>
  </conditionalFormatting>
  <conditionalFormatting sqref="I1344">
    <cfRule type="cellIs" dxfId="9968" priority="9900" stopIfTrue="1" operator="greaterThan">
      <formula>0</formula>
    </cfRule>
  </conditionalFormatting>
  <conditionalFormatting sqref="I1352">
    <cfRule type="cellIs" dxfId="9967" priority="9899" stopIfTrue="1" operator="greaterThan">
      <formula>0</formula>
    </cfRule>
  </conditionalFormatting>
  <conditionalFormatting sqref="E1345:E1351">
    <cfRule type="cellIs" dxfId="9966" priority="9898" stopIfTrue="1" operator="greaterThan">
      <formula>0</formula>
    </cfRule>
  </conditionalFormatting>
  <conditionalFormatting sqref="K1360:K1365">
    <cfRule type="containsText" dxfId="9965" priority="9896" stopIfTrue="1" operator="containsText" text="NO CUMPLE">
      <formula>NOT(ISERROR(SEARCH("NO CUMPLE",K1360)))</formula>
    </cfRule>
    <cfRule type="containsText" dxfId="9964" priority="9897" stopIfTrue="1" operator="containsText" text="CUMPLE">
      <formula>NOT(ISERROR(SEARCH("CUMPLE",K1360)))</formula>
    </cfRule>
  </conditionalFormatting>
  <conditionalFormatting sqref="K1366">
    <cfRule type="containsText" dxfId="9963" priority="9894" stopIfTrue="1" operator="containsText" text="NO CUMPLE">
      <formula>NOT(ISERROR(SEARCH("NO CUMPLE",K1366)))</formula>
    </cfRule>
    <cfRule type="containsText" dxfId="9962" priority="9895" stopIfTrue="1" operator="containsText" text="CUMPLE">
      <formula>NOT(ISERROR(SEARCH("CUMPLE",K1366)))</formula>
    </cfRule>
  </conditionalFormatting>
  <conditionalFormatting sqref="Q1359">
    <cfRule type="cellIs" dxfId="9961" priority="9892" operator="greaterThanOrEqual">
      <formula>NUMMINCONT</formula>
    </cfRule>
    <cfRule type="cellIs" dxfId="9960" priority="9893" operator="lessThan">
      <formula>NUMMINCONT</formula>
    </cfRule>
  </conditionalFormatting>
  <conditionalFormatting sqref="W1343:Y1351">
    <cfRule type="cellIs" dxfId="9959" priority="9890" stopIfTrue="1" operator="equal">
      <formula>"NO"</formula>
    </cfRule>
    <cfRule type="cellIs" dxfId="9958" priority="9891" stopIfTrue="1" operator="equal">
      <formula>"SI"</formula>
    </cfRule>
  </conditionalFormatting>
  <conditionalFormatting sqref="R1346">
    <cfRule type="cellIs" dxfId="9957" priority="9889" stopIfTrue="1" operator="greaterThan">
      <formula>0</formula>
    </cfRule>
  </conditionalFormatting>
  <conditionalFormatting sqref="R1347">
    <cfRule type="cellIs" dxfId="9956" priority="9888" stopIfTrue="1" operator="greaterThan">
      <formula>0</formula>
    </cfRule>
  </conditionalFormatting>
  <conditionalFormatting sqref="R1348">
    <cfRule type="cellIs" dxfId="9955" priority="9887" stopIfTrue="1" operator="greaterThan">
      <formula>0</formula>
    </cfRule>
  </conditionalFormatting>
  <conditionalFormatting sqref="R1349">
    <cfRule type="cellIs" dxfId="9954" priority="9886" stopIfTrue="1" operator="greaterThan">
      <formula>0</formula>
    </cfRule>
  </conditionalFormatting>
  <conditionalFormatting sqref="R1350">
    <cfRule type="cellIs" dxfId="9953" priority="9885" stopIfTrue="1" operator="greaterThan">
      <formula>0</formula>
    </cfRule>
  </conditionalFormatting>
  <conditionalFormatting sqref="R1351">
    <cfRule type="cellIs" dxfId="9952" priority="9884" stopIfTrue="1" operator="greaterThan">
      <formula>0</formula>
    </cfRule>
  </conditionalFormatting>
  <conditionalFormatting sqref="R1352">
    <cfRule type="cellIs" dxfId="9951" priority="9883" stopIfTrue="1" operator="greaterThan">
      <formula>0</formula>
    </cfRule>
  </conditionalFormatting>
  <conditionalFormatting sqref="W1343:X1343">
    <cfRule type="cellIs" dxfId="9950" priority="9882" stopIfTrue="1" operator="equal">
      <formula>"NO APLICA"</formula>
    </cfRule>
  </conditionalFormatting>
  <conditionalFormatting sqref="W1344:X1347">
    <cfRule type="cellIs" dxfId="9949" priority="9881" stopIfTrue="1" operator="equal">
      <formula>"NO APLICA"</formula>
    </cfRule>
  </conditionalFormatting>
  <conditionalFormatting sqref="W1344:X1344">
    <cfRule type="cellIs" dxfId="9948" priority="9880" stopIfTrue="1" operator="equal">
      <formula>"NO APLICA"</formula>
    </cfRule>
  </conditionalFormatting>
  <conditionalFormatting sqref="Y1343">
    <cfRule type="cellIs" dxfId="9947" priority="9879" stopIfTrue="1" operator="equal">
      <formula>"NO APLICA"</formula>
    </cfRule>
  </conditionalFormatting>
  <conditionalFormatting sqref="Y1344:Y1347">
    <cfRule type="cellIs" dxfId="9946" priority="9878" stopIfTrue="1" operator="equal">
      <formula>"NO APLICA"</formula>
    </cfRule>
  </conditionalFormatting>
  <conditionalFormatting sqref="W1348:X1351">
    <cfRule type="cellIs" dxfId="9945" priority="9877" stopIfTrue="1" operator="equal">
      <formula>"NO APLICA"</formula>
    </cfRule>
  </conditionalFormatting>
  <conditionalFormatting sqref="W1348:X1348">
    <cfRule type="cellIs" dxfId="9944" priority="9876" stopIfTrue="1" operator="equal">
      <formula>"NO APLICA"</formula>
    </cfRule>
  </conditionalFormatting>
  <conditionalFormatting sqref="Y1348:Y1351">
    <cfRule type="cellIs" dxfId="9943" priority="9875" stopIfTrue="1" operator="equal">
      <formula>"NO APLICA"</formula>
    </cfRule>
  </conditionalFormatting>
  <conditionalFormatting sqref="T1357">
    <cfRule type="cellIs" dxfId="9942" priority="9873" operator="equal">
      <formula>"CUMPLE"</formula>
    </cfRule>
    <cfRule type="cellIs" dxfId="9941" priority="9874" operator="equal">
      <formula>"NO CUMPLE"</formula>
    </cfRule>
  </conditionalFormatting>
  <conditionalFormatting sqref="T1357:T1359">
    <cfRule type="cellIs" dxfId="9940" priority="9872" operator="equal">
      <formula>"VERIFICAR"</formula>
    </cfRule>
  </conditionalFormatting>
  <conditionalFormatting sqref="AD1343:AF1347">
    <cfRule type="cellIs" dxfId="9939" priority="9870" stopIfTrue="1" operator="equal">
      <formula>"NO"</formula>
    </cfRule>
    <cfRule type="cellIs" dxfId="9938" priority="9871" stopIfTrue="1" operator="equal">
      <formula>"SI"</formula>
    </cfRule>
  </conditionalFormatting>
  <conditionalFormatting sqref="AD1348:AF1351">
    <cfRule type="cellIs" dxfId="9937" priority="9868" stopIfTrue="1" operator="equal">
      <formula>"NO"</formula>
    </cfRule>
    <cfRule type="cellIs" dxfId="9936" priority="9869" stopIfTrue="1" operator="equal">
      <formula>"SI"</formula>
    </cfRule>
  </conditionalFormatting>
  <conditionalFormatting sqref="W1352:Y1352">
    <cfRule type="cellIs" dxfId="9935" priority="9866" stopIfTrue="1" operator="equal">
      <formula>"NO"</formula>
    </cfRule>
    <cfRule type="cellIs" dxfId="9934" priority="9867" stopIfTrue="1" operator="equal">
      <formula>"SI"</formula>
    </cfRule>
  </conditionalFormatting>
  <conditionalFormatting sqref="W1352:X1352">
    <cfRule type="cellIs" dxfId="9933" priority="9865" stopIfTrue="1" operator="equal">
      <formula>"NO APLICA"</formula>
    </cfRule>
  </conditionalFormatting>
  <conditionalFormatting sqref="Y1352">
    <cfRule type="cellIs" dxfId="9932" priority="9864" stopIfTrue="1" operator="equal">
      <formula>"NO APLICA"</formula>
    </cfRule>
  </conditionalFormatting>
  <conditionalFormatting sqref="AD1352:AF1352">
    <cfRule type="cellIs" dxfId="9931" priority="9862" stopIfTrue="1" operator="equal">
      <formula>"NO"</formula>
    </cfRule>
    <cfRule type="cellIs" dxfId="9930" priority="9863" stopIfTrue="1" operator="equal">
      <formula>"SI"</formula>
    </cfRule>
  </conditionalFormatting>
  <conditionalFormatting sqref="AE1357">
    <cfRule type="cellIs" dxfId="9929" priority="9859" stopIfTrue="1" operator="equal">
      <formula>"VERIFICAR"</formula>
    </cfRule>
    <cfRule type="cellIs" dxfId="9928" priority="9860" stopIfTrue="1" operator="equal">
      <formula>"NO CUMPLE"</formula>
    </cfRule>
    <cfRule type="cellIs" dxfId="9927" priority="9861" stopIfTrue="1" operator="equal">
      <formula>"CUMPLE"</formula>
    </cfRule>
  </conditionalFormatting>
  <conditionalFormatting sqref="AF1357">
    <cfRule type="cellIs" dxfId="9926" priority="9856" stopIfTrue="1" operator="equal">
      <formula>"VERIFICAR"</formula>
    </cfRule>
    <cfRule type="cellIs" dxfId="9925" priority="9857" stopIfTrue="1" operator="equal">
      <formula>"NO CUMPLE"</formula>
    </cfRule>
    <cfRule type="cellIs" dxfId="9924" priority="9858" stopIfTrue="1" operator="equal">
      <formula>"CUMPLE"</formula>
    </cfRule>
  </conditionalFormatting>
  <conditionalFormatting sqref="Y1360">
    <cfRule type="cellIs" dxfId="9923" priority="9855" operator="equal">
      <formula>"VERIFICAR CUADRO"</formula>
    </cfRule>
  </conditionalFormatting>
  <conditionalFormatting sqref="AC1361:AC1366">
    <cfRule type="cellIs" dxfId="9922" priority="9854" stopIfTrue="1" operator="greaterThan">
      <formula>0</formula>
    </cfRule>
  </conditionalFormatting>
  <conditionalFormatting sqref="AC1361:AC1366">
    <cfRule type="cellIs" dxfId="9921" priority="9853" stopIfTrue="1" operator="greaterThan">
      <formula>0</formula>
    </cfRule>
  </conditionalFormatting>
  <conditionalFormatting sqref="AD1361:AD1366">
    <cfRule type="containsText" dxfId="9920" priority="9851" stopIfTrue="1" operator="containsText" text="NO CUMPLE">
      <formula>NOT(ISERROR(SEARCH("NO CUMPLE",AD1361)))</formula>
    </cfRule>
    <cfRule type="containsText" dxfId="9919" priority="9852" stopIfTrue="1" operator="containsText" text="CUMPLE">
      <formula>NOT(ISERROR(SEARCH("CUMPLE",AD1361)))</formula>
    </cfRule>
  </conditionalFormatting>
  <conditionalFormatting sqref="Y1366">
    <cfRule type="containsText" dxfId="9918" priority="9849" stopIfTrue="1" operator="containsText" text="NO CUMPLE">
      <formula>NOT(ISERROR(SEARCH("NO CUMPLE",Y1366)))</formula>
    </cfRule>
    <cfRule type="containsText" dxfId="9917" priority="9850" stopIfTrue="1" operator="containsText" text="CUMPLE">
      <formula>NOT(ISERROR(SEARCH("CUMPLE",Y1366)))</formula>
    </cfRule>
  </conditionalFormatting>
  <conditionalFormatting sqref="AA1343:AA1352">
    <cfRule type="cellIs" dxfId="9916" priority="9847" stopIfTrue="1" operator="equal">
      <formula>"NO APLICA"</formula>
    </cfRule>
    <cfRule type="cellIs" dxfId="9915" priority="9848" stopIfTrue="1" operator="equal">
      <formula>"TERCIARIA"</formula>
    </cfRule>
  </conditionalFormatting>
  <conditionalFormatting sqref="AB1343:AB1352">
    <cfRule type="cellIs" dxfId="9914" priority="9845" stopIfTrue="1" operator="equal">
      <formula>"N/A"</formula>
    </cfRule>
    <cfRule type="cellIs" dxfId="9913" priority="9846" stopIfTrue="1" operator="equal">
      <formula>"NO"</formula>
    </cfRule>
  </conditionalFormatting>
  <conditionalFormatting sqref="M1373:M1382">
    <cfRule type="cellIs" dxfId="9912" priority="9844" stopIfTrue="1" operator="lessThan">
      <formula>0</formula>
    </cfRule>
  </conditionalFormatting>
  <conditionalFormatting sqref="C1375:D1381 B1374:B1381 F1375:I1381 C1374:I1374 B1382:O1382 B1373:R1373 Q1374:R1375 J1374:O1381 Q1376:Q1382 P1374:P1382">
    <cfRule type="cellIs" dxfId="9911" priority="9843" stopIfTrue="1" operator="greaterThan">
      <formula>0</formula>
    </cfRule>
  </conditionalFormatting>
  <conditionalFormatting sqref="C1375:D1381">
    <cfRule type="cellIs" dxfId="9910" priority="9842" stopIfTrue="1" operator="greaterThan">
      <formula>0</formula>
    </cfRule>
  </conditionalFormatting>
  <conditionalFormatting sqref="C1373:M1373 C1375:D1381 F1375:I1381 C1374:I1374 K1374:M1381 J1374:J1382 L1382:M1382">
    <cfRule type="cellIs" dxfId="9909" priority="9841" stopIfTrue="1" operator="greaterThan">
      <formula>0</formula>
    </cfRule>
  </conditionalFormatting>
  <conditionalFormatting sqref="M1373:M1382">
    <cfRule type="cellIs" dxfId="9908" priority="9840" stopIfTrue="1" operator="lessThan">
      <formula>0</formula>
    </cfRule>
  </conditionalFormatting>
  <conditionalFormatting sqref="J1374:J1382 L1374:O1382 C1373:O1373">
    <cfRule type="cellIs" dxfId="9907" priority="9839" stopIfTrue="1" operator="greaterThan">
      <formula>0</formula>
    </cfRule>
  </conditionalFormatting>
  <conditionalFormatting sqref="H1375:I1381 K1375:M1382">
    <cfRule type="cellIs" dxfId="9906" priority="9838" stopIfTrue="1" operator="greaterThan">
      <formula>0</formula>
    </cfRule>
  </conditionalFormatting>
  <conditionalFormatting sqref="I1374">
    <cfRule type="cellIs" dxfId="9905" priority="9837" stopIfTrue="1" operator="greaterThan">
      <formula>0</formula>
    </cfRule>
  </conditionalFormatting>
  <conditionalFormatting sqref="I1382">
    <cfRule type="cellIs" dxfId="9904" priority="9836" stopIfTrue="1" operator="greaterThan">
      <formula>0</formula>
    </cfRule>
  </conditionalFormatting>
  <conditionalFormatting sqref="E1375:E1381">
    <cfRule type="cellIs" dxfId="9903" priority="9835" stopIfTrue="1" operator="greaterThan">
      <formula>0</formula>
    </cfRule>
  </conditionalFormatting>
  <conditionalFormatting sqref="K1390:K1395">
    <cfRule type="containsText" dxfId="9902" priority="9833" stopIfTrue="1" operator="containsText" text="NO CUMPLE">
      <formula>NOT(ISERROR(SEARCH("NO CUMPLE",K1390)))</formula>
    </cfRule>
    <cfRule type="containsText" dxfId="9901" priority="9834" stopIfTrue="1" operator="containsText" text="CUMPLE">
      <formula>NOT(ISERROR(SEARCH("CUMPLE",K1390)))</formula>
    </cfRule>
  </conditionalFormatting>
  <conditionalFormatting sqref="K1396">
    <cfRule type="containsText" dxfId="9900" priority="9831" stopIfTrue="1" operator="containsText" text="NO CUMPLE">
      <formula>NOT(ISERROR(SEARCH("NO CUMPLE",K1396)))</formula>
    </cfRule>
    <cfRule type="containsText" dxfId="9899" priority="9832" stopIfTrue="1" operator="containsText" text="CUMPLE">
      <formula>NOT(ISERROR(SEARCH("CUMPLE",K1396)))</formula>
    </cfRule>
  </conditionalFormatting>
  <conditionalFormatting sqref="Q1389">
    <cfRule type="cellIs" dxfId="9898" priority="9829" operator="greaterThanOrEqual">
      <formula>NUMMINCONT</formula>
    </cfRule>
    <cfRule type="cellIs" dxfId="9897" priority="9830" operator="lessThan">
      <formula>NUMMINCONT</formula>
    </cfRule>
  </conditionalFormatting>
  <conditionalFormatting sqref="W1373:Y1381">
    <cfRule type="cellIs" dxfId="9896" priority="9827" stopIfTrue="1" operator="equal">
      <formula>"NO"</formula>
    </cfRule>
    <cfRule type="cellIs" dxfId="9895" priority="9828" stopIfTrue="1" operator="equal">
      <formula>"SI"</formula>
    </cfRule>
  </conditionalFormatting>
  <conditionalFormatting sqref="R1376">
    <cfRule type="cellIs" dxfId="9894" priority="9826" stopIfTrue="1" operator="greaterThan">
      <formula>0</formula>
    </cfRule>
  </conditionalFormatting>
  <conditionalFormatting sqref="R1377">
    <cfRule type="cellIs" dxfId="9893" priority="9825" stopIfTrue="1" operator="greaterThan">
      <formula>0</formula>
    </cfRule>
  </conditionalFormatting>
  <conditionalFormatting sqref="R1378">
    <cfRule type="cellIs" dxfId="9892" priority="9824" stopIfTrue="1" operator="greaterThan">
      <formula>0</formula>
    </cfRule>
  </conditionalFormatting>
  <conditionalFormatting sqref="R1379">
    <cfRule type="cellIs" dxfId="9891" priority="9823" stopIfTrue="1" operator="greaterThan">
      <formula>0</formula>
    </cfRule>
  </conditionalFormatting>
  <conditionalFormatting sqref="R1380">
    <cfRule type="cellIs" dxfId="9890" priority="9822" stopIfTrue="1" operator="greaterThan">
      <formula>0</formula>
    </cfRule>
  </conditionalFormatting>
  <conditionalFormatting sqref="R1381">
    <cfRule type="cellIs" dxfId="9889" priority="9821" stopIfTrue="1" operator="greaterThan">
      <formula>0</formula>
    </cfRule>
  </conditionalFormatting>
  <conditionalFormatting sqref="R1382">
    <cfRule type="cellIs" dxfId="9888" priority="9820" stopIfTrue="1" operator="greaterThan">
      <formula>0</formula>
    </cfRule>
  </conditionalFormatting>
  <conditionalFormatting sqref="W1373:X1373">
    <cfRule type="cellIs" dxfId="9887" priority="9819" stopIfTrue="1" operator="equal">
      <formula>"NO APLICA"</formula>
    </cfRule>
  </conditionalFormatting>
  <conditionalFormatting sqref="W1374:X1377">
    <cfRule type="cellIs" dxfId="9886" priority="9818" stopIfTrue="1" operator="equal">
      <formula>"NO APLICA"</formula>
    </cfRule>
  </conditionalFormatting>
  <conditionalFormatting sqref="W1374:X1374">
    <cfRule type="cellIs" dxfId="9885" priority="9817" stopIfTrue="1" operator="equal">
      <formula>"NO APLICA"</formula>
    </cfRule>
  </conditionalFormatting>
  <conditionalFormatting sqref="Y1373">
    <cfRule type="cellIs" dxfId="9884" priority="9816" stopIfTrue="1" operator="equal">
      <formula>"NO APLICA"</formula>
    </cfRule>
  </conditionalFormatting>
  <conditionalFormatting sqref="Y1374:Y1377">
    <cfRule type="cellIs" dxfId="9883" priority="9815" stopIfTrue="1" operator="equal">
      <formula>"NO APLICA"</formula>
    </cfRule>
  </conditionalFormatting>
  <conditionalFormatting sqref="W1378:X1381">
    <cfRule type="cellIs" dxfId="9882" priority="9814" stopIfTrue="1" operator="equal">
      <formula>"NO APLICA"</formula>
    </cfRule>
  </conditionalFormatting>
  <conditionalFormatting sqref="W1378:X1378">
    <cfRule type="cellIs" dxfId="9881" priority="9813" stopIfTrue="1" operator="equal">
      <formula>"NO APLICA"</formula>
    </cfRule>
  </conditionalFormatting>
  <conditionalFormatting sqref="Y1378:Y1381">
    <cfRule type="cellIs" dxfId="9880" priority="9812" stopIfTrue="1" operator="equal">
      <formula>"NO APLICA"</formula>
    </cfRule>
  </conditionalFormatting>
  <conditionalFormatting sqref="T1387">
    <cfRule type="cellIs" dxfId="9879" priority="9810" operator="equal">
      <formula>"CUMPLE"</formula>
    </cfRule>
    <cfRule type="cellIs" dxfId="9878" priority="9811" operator="equal">
      <formula>"NO CUMPLE"</formula>
    </cfRule>
  </conditionalFormatting>
  <conditionalFormatting sqref="T1387:T1389">
    <cfRule type="cellIs" dxfId="9877" priority="9809" operator="equal">
      <formula>"VERIFICAR"</formula>
    </cfRule>
  </conditionalFormatting>
  <conditionalFormatting sqref="AD1373:AF1377">
    <cfRule type="cellIs" dxfId="9876" priority="9807" stopIfTrue="1" operator="equal">
      <formula>"NO"</formula>
    </cfRule>
    <cfRule type="cellIs" dxfId="9875" priority="9808" stopIfTrue="1" operator="equal">
      <formula>"SI"</formula>
    </cfRule>
  </conditionalFormatting>
  <conditionalFormatting sqref="AD1378:AF1381">
    <cfRule type="cellIs" dxfId="9874" priority="9805" stopIfTrue="1" operator="equal">
      <formula>"NO"</formula>
    </cfRule>
    <cfRule type="cellIs" dxfId="9873" priority="9806" stopIfTrue="1" operator="equal">
      <formula>"SI"</formula>
    </cfRule>
  </conditionalFormatting>
  <conditionalFormatting sqref="W1382:Y1382">
    <cfRule type="cellIs" dxfId="9872" priority="9803" stopIfTrue="1" operator="equal">
      <formula>"NO"</formula>
    </cfRule>
    <cfRule type="cellIs" dxfId="9871" priority="9804" stopIfTrue="1" operator="equal">
      <formula>"SI"</formula>
    </cfRule>
  </conditionalFormatting>
  <conditionalFormatting sqref="W1382:X1382">
    <cfRule type="cellIs" dxfId="9870" priority="9802" stopIfTrue="1" operator="equal">
      <formula>"NO APLICA"</formula>
    </cfRule>
  </conditionalFormatting>
  <conditionalFormatting sqref="Y1382">
    <cfRule type="cellIs" dxfId="9869" priority="9801" stopIfTrue="1" operator="equal">
      <formula>"NO APLICA"</formula>
    </cfRule>
  </conditionalFormatting>
  <conditionalFormatting sqref="AD1382:AF1382">
    <cfRule type="cellIs" dxfId="9868" priority="9799" stopIfTrue="1" operator="equal">
      <formula>"NO"</formula>
    </cfRule>
    <cfRule type="cellIs" dxfId="9867" priority="9800" stopIfTrue="1" operator="equal">
      <formula>"SI"</formula>
    </cfRule>
  </conditionalFormatting>
  <conditionalFormatting sqref="AE1387">
    <cfRule type="cellIs" dxfId="9866" priority="9796" stopIfTrue="1" operator="equal">
      <formula>"VERIFICAR"</formula>
    </cfRule>
    <cfRule type="cellIs" dxfId="9865" priority="9797" stopIfTrue="1" operator="equal">
      <formula>"NO CUMPLE"</formula>
    </cfRule>
    <cfRule type="cellIs" dxfId="9864" priority="9798" stopIfTrue="1" operator="equal">
      <formula>"CUMPLE"</formula>
    </cfRule>
  </conditionalFormatting>
  <conditionalFormatting sqref="AF1387">
    <cfRule type="cellIs" dxfId="9863" priority="9793" stopIfTrue="1" operator="equal">
      <formula>"VERIFICAR"</formula>
    </cfRule>
    <cfRule type="cellIs" dxfId="9862" priority="9794" stopIfTrue="1" operator="equal">
      <formula>"NO CUMPLE"</formula>
    </cfRule>
    <cfRule type="cellIs" dxfId="9861" priority="9795" stopIfTrue="1" operator="equal">
      <formula>"CUMPLE"</formula>
    </cfRule>
  </conditionalFormatting>
  <conditionalFormatting sqref="Y1390">
    <cfRule type="cellIs" dxfId="9860" priority="9792" operator="equal">
      <formula>"VERIFICAR CUADRO"</formula>
    </cfRule>
  </conditionalFormatting>
  <conditionalFormatting sqref="AC1391:AC1396">
    <cfRule type="cellIs" dxfId="9859" priority="9791" stopIfTrue="1" operator="greaterThan">
      <formula>0</formula>
    </cfRule>
  </conditionalFormatting>
  <conditionalFormatting sqref="AC1391:AC1396">
    <cfRule type="cellIs" dxfId="9858" priority="9790" stopIfTrue="1" operator="greaterThan">
      <formula>0</formula>
    </cfRule>
  </conditionalFormatting>
  <conditionalFormatting sqref="AD1391:AD1396">
    <cfRule type="containsText" dxfId="9857" priority="9788" stopIfTrue="1" operator="containsText" text="NO CUMPLE">
      <formula>NOT(ISERROR(SEARCH("NO CUMPLE",AD1391)))</formula>
    </cfRule>
    <cfRule type="containsText" dxfId="9856" priority="9789" stopIfTrue="1" operator="containsText" text="CUMPLE">
      <formula>NOT(ISERROR(SEARCH("CUMPLE",AD1391)))</formula>
    </cfRule>
  </conditionalFormatting>
  <conditionalFormatting sqref="Y1396">
    <cfRule type="containsText" dxfId="9855" priority="9786" stopIfTrue="1" operator="containsText" text="NO CUMPLE">
      <formula>NOT(ISERROR(SEARCH("NO CUMPLE",Y1396)))</formula>
    </cfRule>
    <cfRule type="containsText" dxfId="9854" priority="9787" stopIfTrue="1" operator="containsText" text="CUMPLE">
      <formula>NOT(ISERROR(SEARCH("CUMPLE",Y1396)))</formula>
    </cfRule>
  </conditionalFormatting>
  <conditionalFormatting sqref="AA1373:AA1382">
    <cfRule type="cellIs" dxfId="9853" priority="9784" stopIfTrue="1" operator="equal">
      <formula>"NO APLICA"</formula>
    </cfRule>
    <cfRule type="cellIs" dxfId="9852" priority="9785" stopIfTrue="1" operator="equal">
      <formula>"TERCIARIA"</formula>
    </cfRule>
  </conditionalFormatting>
  <conditionalFormatting sqref="AB1373:AB1382">
    <cfRule type="cellIs" dxfId="9851" priority="9782" stopIfTrue="1" operator="equal">
      <formula>"N/A"</formula>
    </cfRule>
    <cfRule type="cellIs" dxfId="9850" priority="9783" stopIfTrue="1" operator="equal">
      <formula>"NO"</formula>
    </cfRule>
  </conditionalFormatting>
  <conditionalFormatting sqref="M1403:M1412">
    <cfRule type="cellIs" dxfId="9849" priority="9781" stopIfTrue="1" operator="lessThan">
      <formula>0</formula>
    </cfRule>
  </conditionalFormatting>
  <conditionalFormatting sqref="C1405:D1411 B1404:B1411 F1405:I1411 C1404:I1404 B1412:O1412 B1403:R1403 Q1404:R1405 J1404:O1411 Q1406:Q1412 P1404:P1412">
    <cfRule type="cellIs" dxfId="9848" priority="9780" stopIfTrue="1" operator="greaterThan">
      <formula>0</formula>
    </cfRule>
  </conditionalFormatting>
  <conditionalFormatting sqref="C1405:D1411">
    <cfRule type="cellIs" dxfId="9847" priority="9779" stopIfTrue="1" operator="greaterThan">
      <formula>0</formula>
    </cfRule>
  </conditionalFormatting>
  <conditionalFormatting sqref="C1403:M1403 C1405:D1411 F1405:I1411 C1404:I1404 K1404:M1411 J1404:J1412 L1412:M1412">
    <cfRule type="cellIs" dxfId="9846" priority="9778" stopIfTrue="1" operator="greaterThan">
      <formula>0</formula>
    </cfRule>
  </conditionalFormatting>
  <conditionalFormatting sqref="M1403:M1412">
    <cfRule type="cellIs" dxfId="9845" priority="9777" stopIfTrue="1" operator="lessThan">
      <formula>0</formula>
    </cfRule>
  </conditionalFormatting>
  <conditionalFormatting sqref="J1404:J1412 L1404:O1412 C1403:O1403">
    <cfRule type="cellIs" dxfId="9844" priority="9776" stopIfTrue="1" operator="greaterThan">
      <formula>0</formula>
    </cfRule>
  </conditionalFormatting>
  <conditionalFormatting sqref="H1405:I1411 K1405:M1412">
    <cfRule type="cellIs" dxfId="9843" priority="9775" stopIfTrue="1" operator="greaterThan">
      <formula>0</formula>
    </cfRule>
  </conditionalFormatting>
  <conditionalFormatting sqref="I1404">
    <cfRule type="cellIs" dxfId="9842" priority="9774" stopIfTrue="1" operator="greaterThan">
      <formula>0</formula>
    </cfRule>
  </conditionalFormatting>
  <conditionalFormatting sqref="I1412">
    <cfRule type="cellIs" dxfId="9841" priority="9773" stopIfTrue="1" operator="greaterThan">
      <formula>0</formula>
    </cfRule>
  </conditionalFormatting>
  <conditionalFormatting sqref="E1405:E1411">
    <cfRule type="cellIs" dxfId="9840" priority="9772" stopIfTrue="1" operator="greaterThan">
      <formula>0</formula>
    </cfRule>
  </conditionalFormatting>
  <conditionalFormatting sqref="K1420:K1425">
    <cfRule type="containsText" dxfId="9839" priority="9770" stopIfTrue="1" operator="containsText" text="NO CUMPLE">
      <formula>NOT(ISERROR(SEARCH("NO CUMPLE",K1420)))</formula>
    </cfRule>
    <cfRule type="containsText" dxfId="9838" priority="9771" stopIfTrue="1" operator="containsText" text="CUMPLE">
      <formula>NOT(ISERROR(SEARCH("CUMPLE",K1420)))</formula>
    </cfRule>
  </conditionalFormatting>
  <conditionalFormatting sqref="K1426">
    <cfRule type="containsText" dxfId="9837" priority="9768" stopIfTrue="1" operator="containsText" text="NO CUMPLE">
      <formula>NOT(ISERROR(SEARCH("NO CUMPLE",K1426)))</formula>
    </cfRule>
    <cfRule type="containsText" dxfId="9836" priority="9769" stopIfTrue="1" operator="containsText" text="CUMPLE">
      <formula>NOT(ISERROR(SEARCH("CUMPLE",K1426)))</formula>
    </cfRule>
  </conditionalFormatting>
  <conditionalFormatting sqref="Q1419">
    <cfRule type="cellIs" dxfId="9835" priority="9766" operator="greaterThanOrEqual">
      <formula>NUMMINCONT</formula>
    </cfRule>
    <cfRule type="cellIs" dxfId="9834" priority="9767" operator="lessThan">
      <formula>NUMMINCONT</formula>
    </cfRule>
  </conditionalFormatting>
  <conditionalFormatting sqref="W1403:Y1411">
    <cfRule type="cellIs" dxfId="9833" priority="9764" stopIfTrue="1" operator="equal">
      <formula>"NO"</formula>
    </cfRule>
    <cfRule type="cellIs" dxfId="9832" priority="9765" stopIfTrue="1" operator="equal">
      <formula>"SI"</formula>
    </cfRule>
  </conditionalFormatting>
  <conditionalFormatting sqref="R1406">
    <cfRule type="cellIs" dxfId="9831" priority="9763" stopIfTrue="1" operator="greaterThan">
      <formula>0</formula>
    </cfRule>
  </conditionalFormatting>
  <conditionalFormatting sqref="R1407">
    <cfRule type="cellIs" dxfId="9830" priority="9762" stopIfTrue="1" operator="greaterThan">
      <formula>0</formula>
    </cfRule>
  </conditionalFormatting>
  <conditionalFormatting sqref="R1408">
    <cfRule type="cellIs" dxfId="9829" priority="9761" stopIfTrue="1" operator="greaterThan">
      <formula>0</formula>
    </cfRule>
  </conditionalFormatting>
  <conditionalFormatting sqref="R1409">
    <cfRule type="cellIs" dxfId="9828" priority="9760" stopIfTrue="1" operator="greaterThan">
      <formula>0</formula>
    </cfRule>
  </conditionalFormatting>
  <conditionalFormatting sqref="R1410">
    <cfRule type="cellIs" dxfId="9827" priority="9759" stopIfTrue="1" operator="greaterThan">
      <formula>0</formula>
    </cfRule>
  </conditionalFormatting>
  <conditionalFormatting sqref="R1411">
    <cfRule type="cellIs" dxfId="9826" priority="9758" stopIfTrue="1" operator="greaterThan">
      <formula>0</formula>
    </cfRule>
  </conditionalFormatting>
  <conditionalFormatting sqref="R1412">
    <cfRule type="cellIs" dxfId="9825" priority="9757" stopIfTrue="1" operator="greaterThan">
      <formula>0</formula>
    </cfRule>
  </conditionalFormatting>
  <conditionalFormatting sqref="W1403:X1403">
    <cfRule type="cellIs" dxfId="9824" priority="9756" stopIfTrue="1" operator="equal">
      <formula>"NO APLICA"</formula>
    </cfRule>
  </conditionalFormatting>
  <conditionalFormatting sqref="W1404:X1407">
    <cfRule type="cellIs" dxfId="9823" priority="9755" stopIfTrue="1" operator="equal">
      <formula>"NO APLICA"</formula>
    </cfRule>
  </conditionalFormatting>
  <conditionalFormatting sqref="W1404:X1404">
    <cfRule type="cellIs" dxfId="9822" priority="9754" stopIfTrue="1" operator="equal">
      <formula>"NO APLICA"</formula>
    </cfRule>
  </conditionalFormatting>
  <conditionalFormatting sqref="Y1403">
    <cfRule type="cellIs" dxfId="9821" priority="9753" stopIfTrue="1" operator="equal">
      <formula>"NO APLICA"</formula>
    </cfRule>
  </conditionalFormatting>
  <conditionalFormatting sqref="Y1404:Y1407">
    <cfRule type="cellIs" dxfId="9820" priority="9752" stopIfTrue="1" operator="equal">
      <formula>"NO APLICA"</formula>
    </cfRule>
  </conditionalFormatting>
  <conditionalFormatting sqref="W1408:X1411">
    <cfRule type="cellIs" dxfId="9819" priority="9751" stopIfTrue="1" operator="equal">
      <formula>"NO APLICA"</formula>
    </cfRule>
  </conditionalFormatting>
  <conditionalFormatting sqref="W1408:X1408">
    <cfRule type="cellIs" dxfId="9818" priority="9750" stopIfTrue="1" operator="equal">
      <formula>"NO APLICA"</formula>
    </cfRule>
  </conditionalFormatting>
  <conditionalFormatting sqref="Y1408:Y1411">
    <cfRule type="cellIs" dxfId="9817" priority="9749" stopIfTrue="1" operator="equal">
      <formula>"NO APLICA"</formula>
    </cfRule>
  </conditionalFormatting>
  <conditionalFormatting sqref="T1417">
    <cfRule type="cellIs" dxfId="9816" priority="9747" operator="equal">
      <formula>"CUMPLE"</formula>
    </cfRule>
    <cfRule type="cellIs" dxfId="9815" priority="9748" operator="equal">
      <formula>"NO CUMPLE"</formula>
    </cfRule>
  </conditionalFormatting>
  <conditionalFormatting sqref="T1417:T1419">
    <cfRule type="cellIs" dxfId="9814" priority="9746" operator="equal">
      <formula>"VERIFICAR"</formula>
    </cfRule>
  </conditionalFormatting>
  <conditionalFormatting sqref="AD1403:AF1407">
    <cfRule type="cellIs" dxfId="9813" priority="9744" stopIfTrue="1" operator="equal">
      <formula>"NO"</formula>
    </cfRule>
    <cfRule type="cellIs" dxfId="9812" priority="9745" stopIfTrue="1" operator="equal">
      <formula>"SI"</formula>
    </cfRule>
  </conditionalFormatting>
  <conditionalFormatting sqref="AD1408:AF1411">
    <cfRule type="cellIs" dxfId="9811" priority="9742" stopIfTrue="1" operator="equal">
      <formula>"NO"</formula>
    </cfRule>
    <cfRule type="cellIs" dxfId="9810" priority="9743" stopIfTrue="1" operator="equal">
      <formula>"SI"</formula>
    </cfRule>
  </conditionalFormatting>
  <conditionalFormatting sqref="W1412:Y1412">
    <cfRule type="cellIs" dxfId="9809" priority="9740" stopIfTrue="1" operator="equal">
      <formula>"NO"</formula>
    </cfRule>
    <cfRule type="cellIs" dxfId="9808" priority="9741" stopIfTrue="1" operator="equal">
      <formula>"SI"</formula>
    </cfRule>
  </conditionalFormatting>
  <conditionalFormatting sqref="W1412:X1412">
    <cfRule type="cellIs" dxfId="9807" priority="9739" stopIfTrue="1" operator="equal">
      <formula>"NO APLICA"</formula>
    </cfRule>
  </conditionalFormatting>
  <conditionalFormatting sqref="Y1412">
    <cfRule type="cellIs" dxfId="9806" priority="9738" stopIfTrue="1" operator="equal">
      <formula>"NO APLICA"</formula>
    </cfRule>
  </conditionalFormatting>
  <conditionalFormatting sqref="AD1412:AF1412">
    <cfRule type="cellIs" dxfId="9805" priority="9736" stopIfTrue="1" operator="equal">
      <formula>"NO"</formula>
    </cfRule>
    <cfRule type="cellIs" dxfId="9804" priority="9737" stopIfTrue="1" operator="equal">
      <formula>"SI"</formula>
    </cfRule>
  </conditionalFormatting>
  <conditionalFormatting sqref="AE1417">
    <cfRule type="cellIs" dxfId="9803" priority="9733" stopIfTrue="1" operator="equal">
      <formula>"VERIFICAR"</formula>
    </cfRule>
    <cfRule type="cellIs" dxfId="9802" priority="9734" stopIfTrue="1" operator="equal">
      <formula>"NO CUMPLE"</formula>
    </cfRule>
    <cfRule type="cellIs" dxfId="9801" priority="9735" stopIfTrue="1" operator="equal">
      <formula>"CUMPLE"</formula>
    </cfRule>
  </conditionalFormatting>
  <conditionalFormatting sqref="AF1417">
    <cfRule type="cellIs" dxfId="9800" priority="9730" stopIfTrue="1" operator="equal">
      <formula>"VERIFICAR"</formula>
    </cfRule>
    <cfRule type="cellIs" dxfId="9799" priority="9731" stopIfTrue="1" operator="equal">
      <formula>"NO CUMPLE"</formula>
    </cfRule>
    <cfRule type="cellIs" dxfId="9798" priority="9732" stopIfTrue="1" operator="equal">
      <formula>"CUMPLE"</formula>
    </cfRule>
  </conditionalFormatting>
  <conditionalFormatting sqref="Y1420">
    <cfRule type="cellIs" dxfId="9797" priority="9729" operator="equal">
      <formula>"VERIFICAR CUADRO"</formula>
    </cfRule>
  </conditionalFormatting>
  <conditionalFormatting sqref="AC1421:AC1426">
    <cfRule type="cellIs" dxfId="9796" priority="9728" stopIfTrue="1" operator="greaterThan">
      <formula>0</formula>
    </cfRule>
  </conditionalFormatting>
  <conditionalFormatting sqref="AC1421:AC1426">
    <cfRule type="cellIs" dxfId="9795" priority="9727" stopIfTrue="1" operator="greaterThan">
      <formula>0</formula>
    </cfRule>
  </conditionalFormatting>
  <conditionalFormatting sqref="AD1421:AD1426">
    <cfRule type="containsText" dxfId="9794" priority="9725" stopIfTrue="1" operator="containsText" text="NO CUMPLE">
      <formula>NOT(ISERROR(SEARCH("NO CUMPLE",AD1421)))</formula>
    </cfRule>
    <cfRule type="containsText" dxfId="9793" priority="9726" stopIfTrue="1" operator="containsText" text="CUMPLE">
      <formula>NOT(ISERROR(SEARCH("CUMPLE",AD1421)))</formula>
    </cfRule>
  </conditionalFormatting>
  <conditionalFormatting sqref="Y1426">
    <cfRule type="containsText" dxfId="9792" priority="9723" stopIfTrue="1" operator="containsText" text="NO CUMPLE">
      <formula>NOT(ISERROR(SEARCH("NO CUMPLE",Y1426)))</formula>
    </cfRule>
    <cfRule type="containsText" dxfId="9791" priority="9724" stopIfTrue="1" operator="containsText" text="CUMPLE">
      <formula>NOT(ISERROR(SEARCH("CUMPLE",Y1426)))</formula>
    </cfRule>
  </conditionalFormatting>
  <conditionalFormatting sqref="AA1403:AA1412">
    <cfRule type="cellIs" dxfId="9790" priority="9721" stopIfTrue="1" operator="equal">
      <formula>"NO APLICA"</formula>
    </cfRule>
    <cfRule type="cellIs" dxfId="9789" priority="9722" stopIfTrue="1" operator="equal">
      <formula>"TERCIARIA"</formula>
    </cfRule>
  </conditionalFormatting>
  <conditionalFormatting sqref="AB1403:AB1412">
    <cfRule type="cellIs" dxfId="9788" priority="9719" stopIfTrue="1" operator="equal">
      <formula>"N/A"</formula>
    </cfRule>
    <cfRule type="cellIs" dxfId="9787" priority="9720" stopIfTrue="1" operator="equal">
      <formula>"NO"</formula>
    </cfRule>
  </conditionalFormatting>
  <conditionalFormatting sqref="M1433:M1442">
    <cfRule type="cellIs" dxfId="9786" priority="9718" stopIfTrue="1" operator="lessThan">
      <formula>0</formula>
    </cfRule>
  </conditionalFormatting>
  <conditionalFormatting sqref="C1435:D1441 B1434:B1441 F1435:I1441 C1434:I1434 B1442:O1442 B1433:R1433 Q1434:R1435 J1434:O1441 Q1436:Q1442 P1434:P1442">
    <cfRule type="cellIs" dxfId="9785" priority="9717" stopIfTrue="1" operator="greaterThan">
      <formula>0</formula>
    </cfRule>
  </conditionalFormatting>
  <conditionalFormatting sqref="C1435:D1441">
    <cfRule type="cellIs" dxfId="9784" priority="9716" stopIfTrue="1" operator="greaterThan">
      <formula>0</formula>
    </cfRule>
  </conditionalFormatting>
  <conditionalFormatting sqref="C1433:M1433 C1435:D1441 F1435:I1441 C1434:I1434 K1434:M1441 J1434:J1442 L1442:M1442">
    <cfRule type="cellIs" dxfId="9783" priority="9715" stopIfTrue="1" operator="greaterThan">
      <formula>0</formula>
    </cfRule>
  </conditionalFormatting>
  <conditionalFormatting sqref="M1433:M1442">
    <cfRule type="cellIs" dxfId="9782" priority="9714" stopIfTrue="1" operator="lessThan">
      <formula>0</formula>
    </cfRule>
  </conditionalFormatting>
  <conditionalFormatting sqref="J1434:J1442 L1434:O1442 C1433:O1433">
    <cfRule type="cellIs" dxfId="9781" priority="9713" stopIfTrue="1" operator="greaterThan">
      <formula>0</formula>
    </cfRule>
  </conditionalFormatting>
  <conditionalFormatting sqref="H1435:I1441 K1435:M1442">
    <cfRule type="cellIs" dxfId="9780" priority="9712" stopIfTrue="1" operator="greaterThan">
      <formula>0</formula>
    </cfRule>
  </conditionalFormatting>
  <conditionalFormatting sqref="I1434">
    <cfRule type="cellIs" dxfId="9779" priority="9711" stopIfTrue="1" operator="greaterThan">
      <formula>0</formula>
    </cfRule>
  </conditionalFormatting>
  <conditionalFormatting sqref="I1442">
    <cfRule type="cellIs" dxfId="9778" priority="9710" stopIfTrue="1" operator="greaterThan">
      <formula>0</formula>
    </cfRule>
  </conditionalFormatting>
  <conditionalFormatting sqref="E1435:E1441">
    <cfRule type="cellIs" dxfId="9777" priority="9709" stopIfTrue="1" operator="greaterThan">
      <formula>0</formula>
    </cfRule>
  </conditionalFormatting>
  <conditionalFormatting sqref="K1450:K1455">
    <cfRule type="containsText" dxfId="9776" priority="9707" stopIfTrue="1" operator="containsText" text="NO CUMPLE">
      <formula>NOT(ISERROR(SEARCH("NO CUMPLE",K1450)))</formula>
    </cfRule>
    <cfRule type="containsText" dxfId="9775" priority="9708" stopIfTrue="1" operator="containsText" text="CUMPLE">
      <formula>NOT(ISERROR(SEARCH("CUMPLE",K1450)))</formula>
    </cfRule>
  </conditionalFormatting>
  <conditionalFormatting sqref="K1456">
    <cfRule type="containsText" dxfId="9774" priority="9705" stopIfTrue="1" operator="containsText" text="NO CUMPLE">
      <formula>NOT(ISERROR(SEARCH("NO CUMPLE",K1456)))</formula>
    </cfRule>
    <cfRule type="containsText" dxfId="9773" priority="9706" stopIfTrue="1" operator="containsText" text="CUMPLE">
      <formula>NOT(ISERROR(SEARCH("CUMPLE",K1456)))</formula>
    </cfRule>
  </conditionalFormatting>
  <conditionalFormatting sqref="Q1449">
    <cfRule type="cellIs" dxfId="9772" priority="9703" operator="greaterThanOrEqual">
      <formula>NUMMINCONT</formula>
    </cfRule>
    <cfRule type="cellIs" dxfId="9771" priority="9704" operator="lessThan">
      <formula>NUMMINCONT</formula>
    </cfRule>
  </conditionalFormatting>
  <conditionalFormatting sqref="W1433:Y1441">
    <cfRule type="cellIs" dxfId="9770" priority="9701" stopIfTrue="1" operator="equal">
      <formula>"NO"</formula>
    </cfRule>
    <cfRule type="cellIs" dxfId="9769" priority="9702" stopIfTrue="1" operator="equal">
      <formula>"SI"</formula>
    </cfRule>
  </conditionalFormatting>
  <conditionalFormatting sqref="R1436">
    <cfRule type="cellIs" dxfId="9768" priority="9700" stopIfTrue="1" operator="greaterThan">
      <formula>0</formula>
    </cfRule>
  </conditionalFormatting>
  <conditionalFormatting sqref="R1437">
    <cfRule type="cellIs" dxfId="9767" priority="9699" stopIfTrue="1" operator="greaterThan">
      <formula>0</formula>
    </cfRule>
  </conditionalFormatting>
  <conditionalFormatting sqref="R1438">
    <cfRule type="cellIs" dxfId="9766" priority="9698" stopIfTrue="1" operator="greaterThan">
      <formula>0</formula>
    </cfRule>
  </conditionalFormatting>
  <conditionalFormatting sqref="R1439">
    <cfRule type="cellIs" dxfId="9765" priority="9697" stopIfTrue="1" operator="greaterThan">
      <formula>0</formula>
    </cfRule>
  </conditionalFormatting>
  <conditionalFormatting sqref="R1440">
    <cfRule type="cellIs" dxfId="9764" priority="9696" stopIfTrue="1" operator="greaterThan">
      <formula>0</formula>
    </cfRule>
  </conditionalFormatting>
  <conditionalFormatting sqref="R1441">
    <cfRule type="cellIs" dxfId="9763" priority="9695" stopIfTrue="1" operator="greaterThan">
      <formula>0</formula>
    </cfRule>
  </conditionalFormatting>
  <conditionalFormatting sqref="R1442">
    <cfRule type="cellIs" dxfId="9762" priority="9694" stopIfTrue="1" operator="greaterThan">
      <formula>0</formula>
    </cfRule>
  </conditionalFormatting>
  <conditionalFormatting sqref="W1433:X1433">
    <cfRule type="cellIs" dxfId="9761" priority="9693" stopIfTrue="1" operator="equal">
      <formula>"NO APLICA"</formula>
    </cfRule>
  </conditionalFormatting>
  <conditionalFormatting sqref="W1434:X1437">
    <cfRule type="cellIs" dxfId="9760" priority="9692" stopIfTrue="1" operator="equal">
      <formula>"NO APLICA"</formula>
    </cfRule>
  </conditionalFormatting>
  <conditionalFormatting sqref="W1434:X1434">
    <cfRule type="cellIs" dxfId="9759" priority="9691" stopIfTrue="1" operator="equal">
      <formula>"NO APLICA"</formula>
    </cfRule>
  </conditionalFormatting>
  <conditionalFormatting sqref="Y1433">
    <cfRule type="cellIs" dxfId="9758" priority="9690" stopIfTrue="1" operator="equal">
      <formula>"NO APLICA"</formula>
    </cfRule>
  </conditionalFormatting>
  <conditionalFormatting sqref="Y1434:Y1437">
    <cfRule type="cellIs" dxfId="9757" priority="9689" stopIfTrue="1" operator="equal">
      <formula>"NO APLICA"</formula>
    </cfRule>
  </conditionalFormatting>
  <conditionalFormatting sqref="W1438:X1441">
    <cfRule type="cellIs" dxfId="9756" priority="9688" stopIfTrue="1" operator="equal">
      <formula>"NO APLICA"</formula>
    </cfRule>
  </conditionalFormatting>
  <conditionalFormatting sqref="W1438:X1438">
    <cfRule type="cellIs" dxfId="9755" priority="9687" stopIfTrue="1" operator="equal">
      <formula>"NO APLICA"</formula>
    </cfRule>
  </conditionalFormatting>
  <conditionalFormatting sqref="Y1438:Y1441">
    <cfRule type="cellIs" dxfId="9754" priority="9686" stopIfTrue="1" operator="equal">
      <formula>"NO APLICA"</formula>
    </cfRule>
  </conditionalFormatting>
  <conditionalFormatting sqref="T1447">
    <cfRule type="cellIs" dxfId="9753" priority="9684" operator="equal">
      <formula>"CUMPLE"</formula>
    </cfRule>
    <cfRule type="cellIs" dxfId="9752" priority="9685" operator="equal">
      <formula>"NO CUMPLE"</formula>
    </cfRule>
  </conditionalFormatting>
  <conditionalFormatting sqref="T1447:T1449">
    <cfRule type="cellIs" dxfId="9751" priority="9683" operator="equal">
      <formula>"VERIFICAR"</formula>
    </cfRule>
  </conditionalFormatting>
  <conditionalFormatting sqref="AD1433:AF1437">
    <cfRule type="cellIs" dxfId="9750" priority="9681" stopIfTrue="1" operator="equal">
      <formula>"NO"</formula>
    </cfRule>
    <cfRule type="cellIs" dxfId="9749" priority="9682" stopIfTrue="1" operator="equal">
      <formula>"SI"</formula>
    </cfRule>
  </conditionalFormatting>
  <conditionalFormatting sqref="AD1438:AF1441">
    <cfRule type="cellIs" dxfId="9748" priority="9679" stopIfTrue="1" operator="equal">
      <formula>"NO"</formula>
    </cfRule>
    <cfRule type="cellIs" dxfId="9747" priority="9680" stopIfTrue="1" operator="equal">
      <formula>"SI"</formula>
    </cfRule>
  </conditionalFormatting>
  <conditionalFormatting sqref="W1442:Y1442">
    <cfRule type="cellIs" dxfId="9746" priority="9677" stopIfTrue="1" operator="equal">
      <formula>"NO"</formula>
    </cfRule>
    <cfRule type="cellIs" dxfId="9745" priority="9678" stopIfTrue="1" operator="equal">
      <formula>"SI"</formula>
    </cfRule>
  </conditionalFormatting>
  <conditionalFormatting sqref="W1442:X1442">
    <cfRule type="cellIs" dxfId="9744" priority="9676" stopIfTrue="1" operator="equal">
      <formula>"NO APLICA"</formula>
    </cfRule>
  </conditionalFormatting>
  <conditionalFormatting sqref="Y1442">
    <cfRule type="cellIs" dxfId="9743" priority="9675" stopIfTrue="1" operator="equal">
      <formula>"NO APLICA"</formula>
    </cfRule>
  </conditionalFormatting>
  <conditionalFormatting sqref="AD1442:AF1442">
    <cfRule type="cellIs" dxfId="9742" priority="9673" stopIfTrue="1" operator="equal">
      <formula>"NO"</formula>
    </cfRule>
    <cfRule type="cellIs" dxfId="9741" priority="9674" stopIfTrue="1" operator="equal">
      <formula>"SI"</formula>
    </cfRule>
  </conditionalFormatting>
  <conditionalFormatting sqref="AE1447">
    <cfRule type="cellIs" dxfId="9740" priority="9670" stopIfTrue="1" operator="equal">
      <formula>"VERIFICAR"</formula>
    </cfRule>
    <cfRule type="cellIs" dxfId="9739" priority="9671" stopIfTrue="1" operator="equal">
      <formula>"NO CUMPLE"</formula>
    </cfRule>
    <cfRule type="cellIs" dxfId="9738" priority="9672" stopIfTrue="1" operator="equal">
      <formula>"CUMPLE"</formula>
    </cfRule>
  </conditionalFormatting>
  <conditionalFormatting sqref="AF1447">
    <cfRule type="cellIs" dxfId="9737" priority="9667" stopIfTrue="1" operator="equal">
      <formula>"VERIFICAR"</formula>
    </cfRule>
    <cfRule type="cellIs" dxfId="9736" priority="9668" stopIfTrue="1" operator="equal">
      <formula>"NO CUMPLE"</formula>
    </cfRule>
    <cfRule type="cellIs" dxfId="9735" priority="9669" stopIfTrue="1" operator="equal">
      <formula>"CUMPLE"</formula>
    </cfRule>
  </conditionalFormatting>
  <conditionalFormatting sqref="Y1450">
    <cfRule type="cellIs" dxfId="9734" priority="9666" operator="equal">
      <formula>"VERIFICAR CUADRO"</formula>
    </cfRule>
  </conditionalFormatting>
  <conditionalFormatting sqref="AC1451:AC1456">
    <cfRule type="cellIs" dxfId="9733" priority="9665" stopIfTrue="1" operator="greaterThan">
      <formula>0</formula>
    </cfRule>
  </conditionalFormatting>
  <conditionalFormatting sqref="AC1451:AC1456">
    <cfRule type="cellIs" dxfId="9732" priority="9664" stopIfTrue="1" operator="greaterThan">
      <formula>0</formula>
    </cfRule>
  </conditionalFormatting>
  <conditionalFormatting sqref="AD1451:AD1456">
    <cfRule type="containsText" dxfId="9731" priority="9662" stopIfTrue="1" operator="containsText" text="NO CUMPLE">
      <formula>NOT(ISERROR(SEARCH("NO CUMPLE",AD1451)))</formula>
    </cfRule>
    <cfRule type="containsText" dxfId="9730" priority="9663" stopIfTrue="1" operator="containsText" text="CUMPLE">
      <formula>NOT(ISERROR(SEARCH("CUMPLE",AD1451)))</formula>
    </cfRule>
  </conditionalFormatting>
  <conditionalFormatting sqref="Y1456">
    <cfRule type="containsText" dxfId="9729" priority="9660" stopIfTrue="1" operator="containsText" text="NO CUMPLE">
      <formula>NOT(ISERROR(SEARCH("NO CUMPLE",Y1456)))</formula>
    </cfRule>
    <cfRule type="containsText" dxfId="9728" priority="9661" stopIfTrue="1" operator="containsText" text="CUMPLE">
      <formula>NOT(ISERROR(SEARCH("CUMPLE",Y1456)))</formula>
    </cfRule>
  </conditionalFormatting>
  <conditionalFormatting sqref="AA1433:AA1442">
    <cfRule type="cellIs" dxfId="9727" priority="9658" stopIfTrue="1" operator="equal">
      <formula>"NO APLICA"</formula>
    </cfRule>
    <cfRule type="cellIs" dxfId="9726" priority="9659" stopIfTrue="1" operator="equal">
      <formula>"TERCIARIA"</formula>
    </cfRule>
  </conditionalFormatting>
  <conditionalFormatting sqref="AB1433:AB1442">
    <cfRule type="cellIs" dxfId="9725" priority="9656" stopIfTrue="1" operator="equal">
      <formula>"N/A"</formula>
    </cfRule>
    <cfRule type="cellIs" dxfId="9724" priority="9657" stopIfTrue="1" operator="equal">
      <formula>"NO"</formula>
    </cfRule>
  </conditionalFormatting>
  <conditionalFormatting sqref="M1463:M1472">
    <cfRule type="cellIs" dxfId="9723" priority="9655" stopIfTrue="1" operator="lessThan">
      <formula>0</formula>
    </cfRule>
  </conditionalFormatting>
  <conditionalFormatting sqref="C1465:D1471 B1464:B1471 F1465:I1471 C1464:I1464 B1472:O1472 B1463:R1463 Q1464:R1465 J1464:O1471 Q1466:Q1472 P1464:P1472">
    <cfRule type="cellIs" dxfId="9722" priority="9654" stopIfTrue="1" operator="greaterThan">
      <formula>0</formula>
    </cfRule>
  </conditionalFormatting>
  <conditionalFormatting sqref="C1465:D1471">
    <cfRule type="cellIs" dxfId="9721" priority="9653" stopIfTrue="1" operator="greaterThan">
      <formula>0</formula>
    </cfRule>
  </conditionalFormatting>
  <conditionalFormatting sqref="C1463:M1463 C1465:D1471 F1465:I1471 C1464:I1464 K1464:M1471 J1464:J1472 L1472:M1472">
    <cfRule type="cellIs" dxfId="9720" priority="9652" stopIfTrue="1" operator="greaterThan">
      <formula>0</formula>
    </cfRule>
  </conditionalFormatting>
  <conditionalFormatting sqref="M1463:M1472">
    <cfRule type="cellIs" dxfId="9719" priority="9651" stopIfTrue="1" operator="lessThan">
      <formula>0</formula>
    </cfRule>
  </conditionalFormatting>
  <conditionalFormatting sqref="J1464:J1472 L1464:O1472 C1463:O1463">
    <cfRule type="cellIs" dxfId="9718" priority="9650" stopIfTrue="1" operator="greaterThan">
      <formula>0</formula>
    </cfRule>
  </conditionalFormatting>
  <conditionalFormatting sqref="H1465:I1471 K1465:M1472">
    <cfRule type="cellIs" dxfId="9717" priority="9649" stopIfTrue="1" operator="greaterThan">
      <formula>0</formula>
    </cfRule>
  </conditionalFormatting>
  <conditionalFormatting sqref="I1464">
    <cfRule type="cellIs" dxfId="9716" priority="9648" stopIfTrue="1" operator="greaterThan">
      <formula>0</formula>
    </cfRule>
  </conditionalFormatting>
  <conditionalFormatting sqref="I1472">
    <cfRule type="cellIs" dxfId="9715" priority="9647" stopIfTrue="1" operator="greaterThan">
      <formula>0</formula>
    </cfRule>
  </conditionalFormatting>
  <conditionalFormatting sqref="E1465:E1471">
    <cfRule type="cellIs" dxfId="9714" priority="9646" stopIfTrue="1" operator="greaterThan">
      <formula>0</formula>
    </cfRule>
  </conditionalFormatting>
  <conditionalFormatting sqref="K1480:K1485">
    <cfRule type="containsText" dxfId="9713" priority="9644" stopIfTrue="1" operator="containsText" text="NO CUMPLE">
      <formula>NOT(ISERROR(SEARCH("NO CUMPLE",K1480)))</formula>
    </cfRule>
    <cfRule type="containsText" dxfId="9712" priority="9645" stopIfTrue="1" operator="containsText" text="CUMPLE">
      <formula>NOT(ISERROR(SEARCH("CUMPLE",K1480)))</formula>
    </cfRule>
  </conditionalFormatting>
  <conditionalFormatting sqref="K1486">
    <cfRule type="containsText" dxfId="9711" priority="9642" stopIfTrue="1" operator="containsText" text="NO CUMPLE">
      <formula>NOT(ISERROR(SEARCH("NO CUMPLE",K1486)))</formula>
    </cfRule>
    <cfRule type="containsText" dxfId="9710" priority="9643" stopIfTrue="1" operator="containsText" text="CUMPLE">
      <formula>NOT(ISERROR(SEARCH("CUMPLE",K1486)))</formula>
    </cfRule>
  </conditionalFormatting>
  <conditionalFormatting sqref="Q1479">
    <cfRule type="cellIs" dxfId="9709" priority="9640" operator="greaterThanOrEqual">
      <formula>NUMMINCONT</formula>
    </cfRule>
    <cfRule type="cellIs" dxfId="9708" priority="9641" operator="lessThan">
      <formula>NUMMINCONT</formula>
    </cfRule>
  </conditionalFormatting>
  <conditionalFormatting sqref="W1463:Y1471">
    <cfRule type="cellIs" dxfId="9707" priority="9638" stopIfTrue="1" operator="equal">
      <formula>"NO"</formula>
    </cfRule>
    <cfRule type="cellIs" dxfId="9706" priority="9639" stopIfTrue="1" operator="equal">
      <formula>"SI"</formula>
    </cfRule>
  </conditionalFormatting>
  <conditionalFormatting sqref="R1466">
    <cfRule type="cellIs" dxfId="9705" priority="9637" stopIfTrue="1" operator="greaterThan">
      <formula>0</formula>
    </cfRule>
  </conditionalFormatting>
  <conditionalFormatting sqref="R1467">
    <cfRule type="cellIs" dxfId="9704" priority="9636" stopIfTrue="1" operator="greaterThan">
      <formula>0</formula>
    </cfRule>
  </conditionalFormatting>
  <conditionalFormatting sqref="R1468">
    <cfRule type="cellIs" dxfId="9703" priority="9635" stopIfTrue="1" operator="greaterThan">
      <formula>0</formula>
    </cfRule>
  </conditionalFormatting>
  <conditionalFormatting sqref="R1469">
    <cfRule type="cellIs" dxfId="9702" priority="9634" stopIfTrue="1" operator="greaterThan">
      <formula>0</formula>
    </cfRule>
  </conditionalFormatting>
  <conditionalFormatting sqref="R1470">
    <cfRule type="cellIs" dxfId="9701" priority="9633" stopIfTrue="1" operator="greaterThan">
      <formula>0</formula>
    </cfRule>
  </conditionalFormatting>
  <conditionalFormatting sqref="R1471">
    <cfRule type="cellIs" dxfId="9700" priority="9632" stopIfTrue="1" operator="greaterThan">
      <formula>0</formula>
    </cfRule>
  </conditionalFormatting>
  <conditionalFormatting sqref="R1472">
    <cfRule type="cellIs" dxfId="9699" priority="9631" stopIfTrue="1" operator="greaterThan">
      <formula>0</formula>
    </cfRule>
  </conditionalFormatting>
  <conditionalFormatting sqref="W1463:X1463">
    <cfRule type="cellIs" dxfId="9698" priority="9630" stopIfTrue="1" operator="equal">
      <formula>"NO APLICA"</formula>
    </cfRule>
  </conditionalFormatting>
  <conditionalFormatting sqref="W1464:X1467">
    <cfRule type="cellIs" dxfId="9697" priority="9629" stopIfTrue="1" operator="equal">
      <formula>"NO APLICA"</formula>
    </cfRule>
  </conditionalFormatting>
  <conditionalFormatting sqref="W1464:X1464">
    <cfRule type="cellIs" dxfId="9696" priority="9628" stopIfTrue="1" operator="equal">
      <formula>"NO APLICA"</formula>
    </cfRule>
  </conditionalFormatting>
  <conditionalFormatting sqref="Y1463">
    <cfRule type="cellIs" dxfId="9695" priority="9627" stopIfTrue="1" operator="equal">
      <formula>"NO APLICA"</formula>
    </cfRule>
  </conditionalFormatting>
  <conditionalFormatting sqref="Y1464:Y1467">
    <cfRule type="cellIs" dxfId="9694" priority="9626" stopIfTrue="1" operator="equal">
      <formula>"NO APLICA"</formula>
    </cfRule>
  </conditionalFormatting>
  <conditionalFormatting sqref="W1468:X1471">
    <cfRule type="cellIs" dxfId="9693" priority="9625" stopIfTrue="1" operator="equal">
      <formula>"NO APLICA"</formula>
    </cfRule>
  </conditionalFormatting>
  <conditionalFormatting sqref="W1468:X1468">
    <cfRule type="cellIs" dxfId="9692" priority="9624" stopIfTrue="1" operator="equal">
      <formula>"NO APLICA"</formula>
    </cfRule>
  </conditionalFormatting>
  <conditionalFormatting sqref="Y1468:Y1471">
    <cfRule type="cellIs" dxfId="9691" priority="9623" stopIfTrue="1" operator="equal">
      <formula>"NO APLICA"</formula>
    </cfRule>
  </conditionalFormatting>
  <conditionalFormatting sqref="T1477">
    <cfRule type="cellIs" dxfId="9690" priority="9621" operator="equal">
      <formula>"CUMPLE"</formula>
    </cfRule>
    <cfRule type="cellIs" dxfId="9689" priority="9622" operator="equal">
      <formula>"NO CUMPLE"</formula>
    </cfRule>
  </conditionalFormatting>
  <conditionalFormatting sqref="T1477:T1479">
    <cfRule type="cellIs" dxfId="9688" priority="9620" operator="equal">
      <formula>"VERIFICAR"</formula>
    </cfRule>
  </conditionalFormatting>
  <conditionalFormatting sqref="AD1463:AF1467">
    <cfRule type="cellIs" dxfId="9687" priority="9618" stopIfTrue="1" operator="equal">
      <formula>"NO"</formula>
    </cfRule>
    <cfRule type="cellIs" dxfId="9686" priority="9619" stopIfTrue="1" operator="equal">
      <formula>"SI"</formula>
    </cfRule>
  </conditionalFormatting>
  <conditionalFormatting sqref="AD1468:AF1471">
    <cfRule type="cellIs" dxfId="9685" priority="9616" stopIfTrue="1" operator="equal">
      <formula>"NO"</formula>
    </cfRule>
    <cfRule type="cellIs" dxfId="9684" priority="9617" stopIfTrue="1" operator="equal">
      <formula>"SI"</formula>
    </cfRule>
  </conditionalFormatting>
  <conditionalFormatting sqref="W1472:Y1472">
    <cfRule type="cellIs" dxfId="9683" priority="9614" stopIfTrue="1" operator="equal">
      <formula>"NO"</formula>
    </cfRule>
    <cfRule type="cellIs" dxfId="9682" priority="9615" stopIfTrue="1" operator="equal">
      <formula>"SI"</formula>
    </cfRule>
  </conditionalFormatting>
  <conditionalFormatting sqref="W1472:X1472">
    <cfRule type="cellIs" dxfId="9681" priority="9613" stopIfTrue="1" operator="equal">
      <formula>"NO APLICA"</formula>
    </cfRule>
  </conditionalFormatting>
  <conditionalFormatting sqref="Y1472">
    <cfRule type="cellIs" dxfId="9680" priority="9612" stopIfTrue="1" operator="equal">
      <formula>"NO APLICA"</formula>
    </cfRule>
  </conditionalFormatting>
  <conditionalFormatting sqref="AD1472:AF1472">
    <cfRule type="cellIs" dxfId="9679" priority="9610" stopIfTrue="1" operator="equal">
      <formula>"NO"</formula>
    </cfRule>
    <cfRule type="cellIs" dxfId="9678" priority="9611" stopIfTrue="1" operator="equal">
      <formula>"SI"</formula>
    </cfRule>
  </conditionalFormatting>
  <conditionalFormatting sqref="AE1477">
    <cfRule type="cellIs" dxfId="9677" priority="9607" stopIfTrue="1" operator="equal">
      <formula>"VERIFICAR"</formula>
    </cfRule>
    <cfRule type="cellIs" dxfId="9676" priority="9608" stopIfTrue="1" operator="equal">
      <formula>"NO CUMPLE"</formula>
    </cfRule>
    <cfRule type="cellIs" dxfId="9675" priority="9609" stopIfTrue="1" operator="equal">
      <formula>"CUMPLE"</formula>
    </cfRule>
  </conditionalFormatting>
  <conditionalFormatting sqref="AF1477">
    <cfRule type="cellIs" dxfId="9674" priority="9604" stopIfTrue="1" operator="equal">
      <formula>"VERIFICAR"</formula>
    </cfRule>
    <cfRule type="cellIs" dxfId="9673" priority="9605" stopIfTrue="1" operator="equal">
      <formula>"NO CUMPLE"</formula>
    </cfRule>
    <cfRule type="cellIs" dxfId="9672" priority="9606" stopIfTrue="1" operator="equal">
      <formula>"CUMPLE"</formula>
    </cfRule>
  </conditionalFormatting>
  <conditionalFormatting sqref="Y1480">
    <cfRule type="cellIs" dxfId="9671" priority="9603" operator="equal">
      <formula>"VERIFICAR CUADRO"</formula>
    </cfRule>
  </conditionalFormatting>
  <conditionalFormatting sqref="AC1481:AC1486">
    <cfRule type="cellIs" dxfId="9670" priority="9602" stopIfTrue="1" operator="greaterThan">
      <formula>0</formula>
    </cfRule>
  </conditionalFormatting>
  <conditionalFormatting sqref="AC1481:AC1486">
    <cfRule type="cellIs" dxfId="9669" priority="9601" stopIfTrue="1" operator="greaterThan">
      <formula>0</formula>
    </cfRule>
  </conditionalFormatting>
  <conditionalFormatting sqref="AD1481:AD1486">
    <cfRule type="containsText" dxfId="9668" priority="9599" stopIfTrue="1" operator="containsText" text="NO CUMPLE">
      <formula>NOT(ISERROR(SEARCH("NO CUMPLE",AD1481)))</formula>
    </cfRule>
    <cfRule type="containsText" dxfId="9667" priority="9600" stopIfTrue="1" operator="containsText" text="CUMPLE">
      <formula>NOT(ISERROR(SEARCH("CUMPLE",AD1481)))</formula>
    </cfRule>
  </conditionalFormatting>
  <conditionalFormatting sqref="Y1486">
    <cfRule type="containsText" dxfId="9666" priority="9597" stopIfTrue="1" operator="containsText" text="NO CUMPLE">
      <formula>NOT(ISERROR(SEARCH("NO CUMPLE",Y1486)))</formula>
    </cfRule>
    <cfRule type="containsText" dxfId="9665" priority="9598" stopIfTrue="1" operator="containsText" text="CUMPLE">
      <formula>NOT(ISERROR(SEARCH("CUMPLE",Y1486)))</formula>
    </cfRule>
  </conditionalFormatting>
  <conditionalFormatting sqref="AA1463:AA1472">
    <cfRule type="cellIs" dxfId="9664" priority="9595" stopIfTrue="1" operator="equal">
      <formula>"NO APLICA"</formula>
    </cfRule>
    <cfRule type="cellIs" dxfId="9663" priority="9596" stopIfTrue="1" operator="equal">
      <formula>"TERCIARIA"</formula>
    </cfRule>
  </conditionalFormatting>
  <conditionalFormatting sqref="AB1463:AB1472">
    <cfRule type="cellIs" dxfId="9662" priority="9593" stopIfTrue="1" operator="equal">
      <formula>"N/A"</formula>
    </cfRule>
    <cfRule type="cellIs" dxfId="9661" priority="9594" stopIfTrue="1" operator="equal">
      <formula>"NO"</formula>
    </cfRule>
  </conditionalFormatting>
  <conditionalFormatting sqref="M1493:M1502">
    <cfRule type="cellIs" dxfId="9660" priority="9592" stopIfTrue="1" operator="lessThan">
      <formula>0</formula>
    </cfRule>
  </conditionalFormatting>
  <conditionalFormatting sqref="C1495:D1501 B1494:B1501 F1495:I1501 C1494:I1494 B1502:O1502 B1493:R1493 Q1494:R1495 J1494:O1501 Q1496:Q1502 P1494:P1502">
    <cfRule type="cellIs" dxfId="9659" priority="9591" stopIfTrue="1" operator="greaterThan">
      <formula>0</formula>
    </cfRule>
  </conditionalFormatting>
  <conditionalFormatting sqref="C1495:D1501">
    <cfRule type="cellIs" dxfId="9658" priority="9590" stopIfTrue="1" operator="greaterThan">
      <formula>0</formula>
    </cfRule>
  </conditionalFormatting>
  <conditionalFormatting sqref="C1493:M1493 C1495:D1501 F1495:I1501 C1494:I1494 K1494:M1501 J1494:J1502 L1502:M1502">
    <cfRule type="cellIs" dxfId="9657" priority="9589" stopIfTrue="1" operator="greaterThan">
      <formula>0</formula>
    </cfRule>
  </conditionalFormatting>
  <conditionalFormatting sqref="M1493:M1502">
    <cfRule type="cellIs" dxfId="9656" priority="9588" stopIfTrue="1" operator="lessThan">
      <formula>0</formula>
    </cfRule>
  </conditionalFormatting>
  <conditionalFormatting sqref="J1494:J1502 L1494:O1502 C1493:O1493">
    <cfRule type="cellIs" dxfId="9655" priority="9587" stopIfTrue="1" operator="greaterThan">
      <formula>0</formula>
    </cfRule>
  </conditionalFormatting>
  <conditionalFormatting sqref="H1495:I1501 K1495:M1502">
    <cfRule type="cellIs" dxfId="9654" priority="9586" stopIfTrue="1" operator="greaterThan">
      <formula>0</formula>
    </cfRule>
  </conditionalFormatting>
  <conditionalFormatting sqref="I1494">
    <cfRule type="cellIs" dxfId="9653" priority="9585" stopIfTrue="1" operator="greaterThan">
      <formula>0</formula>
    </cfRule>
  </conditionalFormatting>
  <conditionalFormatting sqref="I1502">
    <cfRule type="cellIs" dxfId="9652" priority="9584" stopIfTrue="1" operator="greaterThan">
      <formula>0</formula>
    </cfRule>
  </conditionalFormatting>
  <conditionalFormatting sqref="E1495:E1501">
    <cfRule type="cellIs" dxfId="9651" priority="9583" stopIfTrue="1" operator="greaterThan">
      <formula>0</formula>
    </cfRule>
  </conditionalFormatting>
  <conditionalFormatting sqref="K1510:K1515">
    <cfRule type="containsText" dxfId="9650" priority="9581" stopIfTrue="1" operator="containsText" text="NO CUMPLE">
      <formula>NOT(ISERROR(SEARCH("NO CUMPLE",K1510)))</formula>
    </cfRule>
    <cfRule type="containsText" dxfId="9649" priority="9582" stopIfTrue="1" operator="containsText" text="CUMPLE">
      <formula>NOT(ISERROR(SEARCH("CUMPLE",K1510)))</formula>
    </cfRule>
  </conditionalFormatting>
  <conditionalFormatting sqref="K1516">
    <cfRule type="containsText" dxfId="9648" priority="9579" stopIfTrue="1" operator="containsText" text="NO CUMPLE">
      <formula>NOT(ISERROR(SEARCH("NO CUMPLE",K1516)))</formula>
    </cfRule>
    <cfRule type="containsText" dxfId="9647" priority="9580" stopIfTrue="1" operator="containsText" text="CUMPLE">
      <formula>NOT(ISERROR(SEARCH("CUMPLE",K1516)))</formula>
    </cfRule>
  </conditionalFormatting>
  <conditionalFormatting sqref="Q1509">
    <cfRule type="cellIs" dxfId="9646" priority="9577" operator="greaterThanOrEqual">
      <formula>NUMMINCONT</formula>
    </cfRule>
    <cfRule type="cellIs" dxfId="9645" priority="9578" operator="lessThan">
      <formula>NUMMINCONT</formula>
    </cfRule>
  </conditionalFormatting>
  <conditionalFormatting sqref="W1493:Y1501">
    <cfRule type="cellIs" dxfId="9644" priority="9575" stopIfTrue="1" operator="equal">
      <formula>"NO"</formula>
    </cfRule>
    <cfRule type="cellIs" dxfId="9643" priority="9576" stopIfTrue="1" operator="equal">
      <formula>"SI"</formula>
    </cfRule>
  </conditionalFormatting>
  <conditionalFormatting sqref="R1496">
    <cfRule type="cellIs" dxfId="9642" priority="9574" stopIfTrue="1" operator="greaterThan">
      <formula>0</formula>
    </cfRule>
  </conditionalFormatting>
  <conditionalFormatting sqref="R1497">
    <cfRule type="cellIs" dxfId="9641" priority="9573" stopIfTrue="1" operator="greaterThan">
      <formula>0</formula>
    </cfRule>
  </conditionalFormatting>
  <conditionalFormatting sqref="R1498">
    <cfRule type="cellIs" dxfId="9640" priority="9572" stopIfTrue="1" operator="greaterThan">
      <formula>0</formula>
    </cfRule>
  </conditionalFormatting>
  <conditionalFormatting sqref="R1499">
    <cfRule type="cellIs" dxfId="9639" priority="9571" stopIfTrue="1" operator="greaterThan">
      <formula>0</formula>
    </cfRule>
  </conditionalFormatting>
  <conditionalFormatting sqref="R1500">
    <cfRule type="cellIs" dxfId="9638" priority="9570" stopIfTrue="1" operator="greaterThan">
      <formula>0</formula>
    </cfRule>
  </conditionalFormatting>
  <conditionalFormatting sqref="R1501">
    <cfRule type="cellIs" dxfId="9637" priority="9569" stopIfTrue="1" operator="greaterThan">
      <formula>0</formula>
    </cfRule>
  </conditionalFormatting>
  <conditionalFormatting sqref="R1502">
    <cfRule type="cellIs" dxfId="9636" priority="9568" stopIfTrue="1" operator="greaterThan">
      <formula>0</formula>
    </cfRule>
  </conditionalFormatting>
  <conditionalFormatting sqref="W1493:X1493">
    <cfRule type="cellIs" dxfId="9635" priority="9567" stopIfTrue="1" operator="equal">
      <formula>"NO APLICA"</formula>
    </cfRule>
  </conditionalFormatting>
  <conditionalFormatting sqref="W1494:X1497">
    <cfRule type="cellIs" dxfId="9634" priority="9566" stopIfTrue="1" operator="equal">
      <formula>"NO APLICA"</formula>
    </cfRule>
  </conditionalFormatting>
  <conditionalFormatting sqref="W1494:X1494">
    <cfRule type="cellIs" dxfId="9633" priority="9565" stopIfTrue="1" operator="equal">
      <formula>"NO APLICA"</formula>
    </cfRule>
  </conditionalFormatting>
  <conditionalFormatting sqref="Y1493">
    <cfRule type="cellIs" dxfId="9632" priority="9564" stopIfTrue="1" operator="equal">
      <formula>"NO APLICA"</formula>
    </cfRule>
  </conditionalFormatting>
  <conditionalFormatting sqref="Y1494:Y1497">
    <cfRule type="cellIs" dxfId="9631" priority="9563" stopIfTrue="1" operator="equal">
      <formula>"NO APLICA"</formula>
    </cfRule>
  </conditionalFormatting>
  <conditionalFormatting sqref="W1498:X1501">
    <cfRule type="cellIs" dxfId="9630" priority="9562" stopIfTrue="1" operator="equal">
      <formula>"NO APLICA"</formula>
    </cfRule>
  </conditionalFormatting>
  <conditionalFormatting sqref="W1498:X1498">
    <cfRule type="cellIs" dxfId="9629" priority="9561" stopIfTrue="1" operator="equal">
      <formula>"NO APLICA"</formula>
    </cfRule>
  </conditionalFormatting>
  <conditionalFormatting sqref="Y1498:Y1501">
    <cfRule type="cellIs" dxfId="9628" priority="9560" stopIfTrue="1" operator="equal">
      <formula>"NO APLICA"</formula>
    </cfRule>
  </conditionalFormatting>
  <conditionalFormatting sqref="T1507">
    <cfRule type="cellIs" dxfId="9627" priority="9558" operator="equal">
      <formula>"CUMPLE"</formula>
    </cfRule>
    <cfRule type="cellIs" dxfId="9626" priority="9559" operator="equal">
      <formula>"NO CUMPLE"</formula>
    </cfRule>
  </conditionalFormatting>
  <conditionalFormatting sqref="T1507:T1509">
    <cfRule type="cellIs" dxfId="9625" priority="9557" operator="equal">
      <formula>"VERIFICAR"</formula>
    </cfRule>
  </conditionalFormatting>
  <conditionalFormatting sqref="AD1493:AF1497">
    <cfRule type="cellIs" dxfId="9624" priority="9555" stopIfTrue="1" operator="equal">
      <formula>"NO"</formula>
    </cfRule>
    <cfRule type="cellIs" dxfId="9623" priority="9556" stopIfTrue="1" operator="equal">
      <formula>"SI"</formula>
    </cfRule>
  </conditionalFormatting>
  <conditionalFormatting sqref="AD1498:AF1501">
    <cfRule type="cellIs" dxfId="9622" priority="9553" stopIfTrue="1" operator="equal">
      <formula>"NO"</formula>
    </cfRule>
    <cfRule type="cellIs" dxfId="9621" priority="9554" stopIfTrue="1" operator="equal">
      <formula>"SI"</formula>
    </cfRule>
  </conditionalFormatting>
  <conditionalFormatting sqref="W1502:Y1502">
    <cfRule type="cellIs" dxfId="9620" priority="9551" stopIfTrue="1" operator="equal">
      <formula>"NO"</formula>
    </cfRule>
    <cfRule type="cellIs" dxfId="9619" priority="9552" stopIfTrue="1" operator="equal">
      <formula>"SI"</formula>
    </cfRule>
  </conditionalFormatting>
  <conditionalFormatting sqref="W1502:X1502">
    <cfRule type="cellIs" dxfId="9618" priority="9550" stopIfTrue="1" operator="equal">
      <formula>"NO APLICA"</formula>
    </cfRule>
  </conditionalFormatting>
  <conditionalFormatting sqref="Y1502">
    <cfRule type="cellIs" dxfId="9617" priority="9549" stopIfTrue="1" operator="equal">
      <formula>"NO APLICA"</formula>
    </cfRule>
  </conditionalFormatting>
  <conditionalFormatting sqref="AD1502:AF1502">
    <cfRule type="cellIs" dxfId="9616" priority="9547" stopIfTrue="1" operator="equal">
      <formula>"NO"</formula>
    </cfRule>
    <cfRule type="cellIs" dxfId="9615" priority="9548" stopIfTrue="1" operator="equal">
      <formula>"SI"</formula>
    </cfRule>
  </conditionalFormatting>
  <conditionalFormatting sqref="AE1507">
    <cfRule type="cellIs" dxfId="9614" priority="9544" stopIfTrue="1" operator="equal">
      <formula>"VERIFICAR"</formula>
    </cfRule>
    <cfRule type="cellIs" dxfId="9613" priority="9545" stopIfTrue="1" operator="equal">
      <formula>"NO CUMPLE"</formula>
    </cfRule>
    <cfRule type="cellIs" dxfId="9612" priority="9546" stopIfTrue="1" operator="equal">
      <formula>"CUMPLE"</formula>
    </cfRule>
  </conditionalFormatting>
  <conditionalFormatting sqref="AF1507">
    <cfRule type="cellIs" dxfId="9611" priority="9541" stopIfTrue="1" operator="equal">
      <formula>"VERIFICAR"</formula>
    </cfRule>
    <cfRule type="cellIs" dxfId="9610" priority="9542" stopIfTrue="1" operator="equal">
      <formula>"NO CUMPLE"</formula>
    </cfRule>
    <cfRule type="cellIs" dxfId="9609" priority="9543" stopIfTrue="1" operator="equal">
      <formula>"CUMPLE"</formula>
    </cfRule>
  </conditionalFormatting>
  <conditionalFormatting sqref="Y1510">
    <cfRule type="cellIs" dxfId="9608" priority="9540" operator="equal">
      <formula>"VERIFICAR CUADRO"</formula>
    </cfRule>
  </conditionalFormatting>
  <conditionalFormatting sqref="AC1511:AC1516">
    <cfRule type="cellIs" dxfId="9607" priority="9539" stopIfTrue="1" operator="greaterThan">
      <formula>0</formula>
    </cfRule>
  </conditionalFormatting>
  <conditionalFormatting sqref="AC1511:AC1516">
    <cfRule type="cellIs" dxfId="9606" priority="9538" stopIfTrue="1" operator="greaterThan">
      <formula>0</formula>
    </cfRule>
  </conditionalFormatting>
  <conditionalFormatting sqref="AD1511:AD1516">
    <cfRule type="containsText" dxfId="9605" priority="9536" stopIfTrue="1" operator="containsText" text="NO CUMPLE">
      <formula>NOT(ISERROR(SEARCH("NO CUMPLE",AD1511)))</formula>
    </cfRule>
    <cfRule type="containsText" dxfId="9604" priority="9537" stopIfTrue="1" operator="containsText" text="CUMPLE">
      <formula>NOT(ISERROR(SEARCH("CUMPLE",AD1511)))</formula>
    </cfRule>
  </conditionalFormatting>
  <conditionalFormatting sqref="Y1516">
    <cfRule type="containsText" dxfId="9603" priority="9534" stopIfTrue="1" operator="containsText" text="NO CUMPLE">
      <formula>NOT(ISERROR(SEARCH("NO CUMPLE",Y1516)))</formula>
    </cfRule>
    <cfRule type="containsText" dxfId="9602" priority="9535" stopIfTrue="1" operator="containsText" text="CUMPLE">
      <formula>NOT(ISERROR(SEARCH("CUMPLE",Y1516)))</formula>
    </cfRule>
  </conditionalFormatting>
  <conditionalFormatting sqref="AA1493:AA1502">
    <cfRule type="cellIs" dxfId="9601" priority="9532" stopIfTrue="1" operator="equal">
      <formula>"NO APLICA"</formula>
    </cfRule>
    <cfRule type="cellIs" dxfId="9600" priority="9533" stopIfTrue="1" operator="equal">
      <formula>"TERCIARIA"</formula>
    </cfRule>
  </conditionalFormatting>
  <conditionalFormatting sqref="AB1493:AB1502">
    <cfRule type="cellIs" dxfId="9599" priority="9530" stopIfTrue="1" operator="equal">
      <formula>"N/A"</formula>
    </cfRule>
    <cfRule type="cellIs" dxfId="9598" priority="9531" stopIfTrue="1" operator="equal">
      <formula>"NO"</formula>
    </cfRule>
  </conditionalFormatting>
  <conditionalFormatting sqref="M1523:M1532">
    <cfRule type="cellIs" dxfId="9597" priority="9529" stopIfTrue="1" operator="lessThan">
      <formula>0</formula>
    </cfRule>
  </conditionalFormatting>
  <conditionalFormatting sqref="C1525:D1531 B1524:B1531 F1525:I1531 C1524:I1524 B1532:O1532 B1523:R1523 Q1524:R1525 J1524:O1531 Q1526:Q1532 P1524:P1532">
    <cfRule type="cellIs" dxfId="9596" priority="9528" stopIfTrue="1" operator="greaterThan">
      <formula>0</formula>
    </cfRule>
  </conditionalFormatting>
  <conditionalFormatting sqref="C1525:D1531">
    <cfRule type="cellIs" dxfId="9595" priority="9527" stopIfTrue="1" operator="greaterThan">
      <formula>0</formula>
    </cfRule>
  </conditionalFormatting>
  <conditionalFormatting sqref="C1523:M1523 C1525:D1531 F1525:I1531 C1524:I1524 K1524:M1531 J1524:J1532 L1532:M1532">
    <cfRule type="cellIs" dxfId="9594" priority="9526" stopIfTrue="1" operator="greaterThan">
      <formula>0</formula>
    </cfRule>
  </conditionalFormatting>
  <conditionalFormatting sqref="M1523:M1532">
    <cfRule type="cellIs" dxfId="9593" priority="9525" stopIfTrue="1" operator="lessThan">
      <formula>0</formula>
    </cfRule>
  </conditionalFormatting>
  <conditionalFormatting sqref="J1524:J1532 L1524:O1532 C1523:O1523">
    <cfRule type="cellIs" dxfId="9592" priority="9524" stopIfTrue="1" operator="greaterThan">
      <formula>0</formula>
    </cfRule>
  </conditionalFormatting>
  <conditionalFormatting sqref="H1525:I1531 K1525:M1532">
    <cfRule type="cellIs" dxfId="9591" priority="9523" stopIfTrue="1" operator="greaterThan">
      <formula>0</formula>
    </cfRule>
  </conditionalFormatting>
  <conditionalFormatting sqref="I1524">
    <cfRule type="cellIs" dxfId="9590" priority="9522" stopIfTrue="1" operator="greaterThan">
      <formula>0</formula>
    </cfRule>
  </conditionalFormatting>
  <conditionalFormatting sqref="I1532">
    <cfRule type="cellIs" dxfId="9589" priority="9521" stopIfTrue="1" operator="greaterThan">
      <formula>0</formula>
    </cfRule>
  </conditionalFormatting>
  <conditionalFormatting sqref="E1525:E1531">
    <cfRule type="cellIs" dxfId="9588" priority="9520" stopIfTrue="1" operator="greaterThan">
      <formula>0</formula>
    </cfRule>
  </conditionalFormatting>
  <conditionalFormatting sqref="K1540:K1545">
    <cfRule type="containsText" dxfId="9587" priority="9518" stopIfTrue="1" operator="containsText" text="NO CUMPLE">
      <formula>NOT(ISERROR(SEARCH("NO CUMPLE",K1540)))</formula>
    </cfRule>
    <cfRule type="containsText" dxfId="9586" priority="9519" stopIfTrue="1" operator="containsText" text="CUMPLE">
      <formula>NOT(ISERROR(SEARCH("CUMPLE",K1540)))</formula>
    </cfRule>
  </conditionalFormatting>
  <conditionalFormatting sqref="K1546">
    <cfRule type="containsText" dxfId="9585" priority="9516" stopIfTrue="1" operator="containsText" text="NO CUMPLE">
      <formula>NOT(ISERROR(SEARCH("NO CUMPLE",K1546)))</formula>
    </cfRule>
    <cfRule type="containsText" dxfId="9584" priority="9517" stopIfTrue="1" operator="containsText" text="CUMPLE">
      <formula>NOT(ISERROR(SEARCH("CUMPLE",K1546)))</formula>
    </cfRule>
  </conditionalFormatting>
  <conditionalFormatting sqref="Q1539">
    <cfRule type="cellIs" dxfId="9583" priority="9514" operator="greaterThanOrEqual">
      <formula>NUMMINCONT</formula>
    </cfRule>
    <cfRule type="cellIs" dxfId="9582" priority="9515" operator="lessThan">
      <formula>NUMMINCONT</formula>
    </cfRule>
  </conditionalFormatting>
  <conditionalFormatting sqref="W1523:Y1531">
    <cfRule type="cellIs" dxfId="9581" priority="9512" stopIfTrue="1" operator="equal">
      <formula>"NO"</formula>
    </cfRule>
    <cfRule type="cellIs" dxfId="9580" priority="9513" stopIfTrue="1" operator="equal">
      <formula>"SI"</formula>
    </cfRule>
  </conditionalFormatting>
  <conditionalFormatting sqref="R1526">
    <cfRule type="cellIs" dxfId="9579" priority="9511" stopIfTrue="1" operator="greaterThan">
      <formula>0</formula>
    </cfRule>
  </conditionalFormatting>
  <conditionalFormatting sqref="R1527">
    <cfRule type="cellIs" dxfId="9578" priority="9510" stopIfTrue="1" operator="greaterThan">
      <formula>0</formula>
    </cfRule>
  </conditionalFormatting>
  <conditionalFormatting sqref="R1528">
    <cfRule type="cellIs" dxfId="9577" priority="9509" stopIfTrue="1" operator="greaterThan">
      <formula>0</formula>
    </cfRule>
  </conditionalFormatting>
  <conditionalFormatting sqref="R1529">
    <cfRule type="cellIs" dxfId="9576" priority="9508" stopIfTrue="1" operator="greaterThan">
      <formula>0</formula>
    </cfRule>
  </conditionalFormatting>
  <conditionalFormatting sqref="R1530">
    <cfRule type="cellIs" dxfId="9575" priority="9507" stopIfTrue="1" operator="greaterThan">
      <formula>0</formula>
    </cfRule>
  </conditionalFormatting>
  <conditionalFormatting sqref="R1531">
    <cfRule type="cellIs" dxfId="9574" priority="9506" stopIfTrue="1" operator="greaterThan">
      <formula>0</formula>
    </cfRule>
  </conditionalFormatting>
  <conditionalFormatting sqref="R1532">
    <cfRule type="cellIs" dxfId="9573" priority="9505" stopIfTrue="1" operator="greaterThan">
      <formula>0</formula>
    </cfRule>
  </conditionalFormatting>
  <conditionalFormatting sqref="W1523:X1523">
    <cfRule type="cellIs" dxfId="9572" priority="9504" stopIfTrue="1" operator="equal">
      <formula>"NO APLICA"</formula>
    </cfRule>
  </conditionalFormatting>
  <conditionalFormatting sqref="W1524:X1527">
    <cfRule type="cellIs" dxfId="9571" priority="9503" stopIfTrue="1" operator="equal">
      <formula>"NO APLICA"</formula>
    </cfRule>
  </conditionalFormatting>
  <conditionalFormatting sqref="W1524:X1524">
    <cfRule type="cellIs" dxfId="9570" priority="9502" stopIfTrue="1" operator="equal">
      <formula>"NO APLICA"</formula>
    </cfRule>
  </conditionalFormatting>
  <conditionalFormatting sqref="Y1523">
    <cfRule type="cellIs" dxfId="9569" priority="9501" stopIfTrue="1" operator="equal">
      <formula>"NO APLICA"</formula>
    </cfRule>
  </conditionalFormatting>
  <conditionalFormatting sqref="Y1524:Y1527">
    <cfRule type="cellIs" dxfId="9568" priority="9500" stopIfTrue="1" operator="equal">
      <formula>"NO APLICA"</formula>
    </cfRule>
  </conditionalFormatting>
  <conditionalFormatting sqref="W1528:X1531">
    <cfRule type="cellIs" dxfId="9567" priority="9499" stopIfTrue="1" operator="equal">
      <formula>"NO APLICA"</formula>
    </cfRule>
  </conditionalFormatting>
  <conditionalFormatting sqref="W1528:X1528">
    <cfRule type="cellIs" dxfId="9566" priority="9498" stopIfTrue="1" operator="equal">
      <formula>"NO APLICA"</formula>
    </cfRule>
  </conditionalFormatting>
  <conditionalFormatting sqref="Y1528:Y1531">
    <cfRule type="cellIs" dxfId="9565" priority="9497" stopIfTrue="1" operator="equal">
      <formula>"NO APLICA"</formula>
    </cfRule>
  </conditionalFormatting>
  <conditionalFormatting sqref="T1537">
    <cfRule type="cellIs" dxfId="9564" priority="9495" operator="equal">
      <formula>"CUMPLE"</formula>
    </cfRule>
    <cfRule type="cellIs" dxfId="9563" priority="9496" operator="equal">
      <formula>"NO CUMPLE"</formula>
    </cfRule>
  </conditionalFormatting>
  <conditionalFormatting sqref="T1537:T1539">
    <cfRule type="cellIs" dxfId="9562" priority="9494" operator="equal">
      <formula>"VERIFICAR"</formula>
    </cfRule>
  </conditionalFormatting>
  <conditionalFormatting sqref="AD1523:AF1527">
    <cfRule type="cellIs" dxfId="9561" priority="9492" stopIfTrue="1" operator="equal">
      <formula>"NO"</formula>
    </cfRule>
    <cfRule type="cellIs" dxfId="9560" priority="9493" stopIfTrue="1" operator="equal">
      <formula>"SI"</formula>
    </cfRule>
  </conditionalFormatting>
  <conditionalFormatting sqref="AD1528:AF1531">
    <cfRule type="cellIs" dxfId="9559" priority="9490" stopIfTrue="1" operator="equal">
      <formula>"NO"</formula>
    </cfRule>
    <cfRule type="cellIs" dxfId="9558" priority="9491" stopIfTrue="1" operator="equal">
      <formula>"SI"</formula>
    </cfRule>
  </conditionalFormatting>
  <conditionalFormatting sqref="W1532:Y1532">
    <cfRule type="cellIs" dxfId="9557" priority="9488" stopIfTrue="1" operator="equal">
      <formula>"NO"</formula>
    </cfRule>
    <cfRule type="cellIs" dxfId="9556" priority="9489" stopIfTrue="1" operator="equal">
      <formula>"SI"</formula>
    </cfRule>
  </conditionalFormatting>
  <conditionalFormatting sqref="W1532:X1532">
    <cfRule type="cellIs" dxfId="9555" priority="9487" stopIfTrue="1" operator="equal">
      <formula>"NO APLICA"</formula>
    </cfRule>
  </conditionalFormatting>
  <conditionalFormatting sqref="Y1532">
    <cfRule type="cellIs" dxfId="9554" priority="9486" stopIfTrue="1" operator="equal">
      <formula>"NO APLICA"</formula>
    </cfRule>
  </conditionalFormatting>
  <conditionalFormatting sqref="AD1532:AF1532">
    <cfRule type="cellIs" dxfId="9553" priority="9484" stopIfTrue="1" operator="equal">
      <formula>"NO"</formula>
    </cfRule>
    <cfRule type="cellIs" dxfId="9552" priority="9485" stopIfTrue="1" operator="equal">
      <formula>"SI"</formula>
    </cfRule>
  </conditionalFormatting>
  <conditionalFormatting sqref="AE1537">
    <cfRule type="cellIs" dxfId="9551" priority="9481" stopIfTrue="1" operator="equal">
      <formula>"VERIFICAR"</formula>
    </cfRule>
    <cfRule type="cellIs" dxfId="9550" priority="9482" stopIfTrue="1" operator="equal">
      <formula>"NO CUMPLE"</formula>
    </cfRule>
    <cfRule type="cellIs" dxfId="9549" priority="9483" stopIfTrue="1" operator="equal">
      <formula>"CUMPLE"</formula>
    </cfRule>
  </conditionalFormatting>
  <conditionalFormatting sqref="AF1537">
    <cfRule type="cellIs" dxfId="9548" priority="9478" stopIfTrue="1" operator="equal">
      <formula>"VERIFICAR"</formula>
    </cfRule>
    <cfRule type="cellIs" dxfId="9547" priority="9479" stopIfTrue="1" operator="equal">
      <formula>"NO CUMPLE"</formula>
    </cfRule>
    <cfRule type="cellIs" dxfId="9546" priority="9480" stopIfTrue="1" operator="equal">
      <formula>"CUMPLE"</formula>
    </cfRule>
  </conditionalFormatting>
  <conditionalFormatting sqref="Y1540">
    <cfRule type="cellIs" dxfId="9545" priority="9477" operator="equal">
      <formula>"VERIFICAR CUADRO"</formula>
    </cfRule>
  </conditionalFormatting>
  <conditionalFormatting sqref="AC1541:AC1546">
    <cfRule type="cellIs" dxfId="9544" priority="9476" stopIfTrue="1" operator="greaterThan">
      <formula>0</formula>
    </cfRule>
  </conditionalFormatting>
  <conditionalFormatting sqref="AC1541:AC1546">
    <cfRule type="cellIs" dxfId="9543" priority="9475" stopIfTrue="1" operator="greaterThan">
      <formula>0</formula>
    </cfRule>
  </conditionalFormatting>
  <conditionalFormatting sqref="AD1541:AD1546">
    <cfRule type="containsText" dxfId="9542" priority="9473" stopIfTrue="1" operator="containsText" text="NO CUMPLE">
      <formula>NOT(ISERROR(SEARCH("NO CUMPLE",AD1541)))</formula>
    </cfRule>
    <cfRule type="containsText" dxfId="9541" priority="9474" stopIfTrue="1" operator="containsText" text="CUMPLE">
      <formula>NOT(ISERROR(SEARCH("CUMPLE",AD1541)))</formula>
    </cfRule>
  </conditionalFormatting>
  <conditionalFormatting sqref="Y1546">
    <cfRule type="containsText" dxfId="9540" priority="9471" stopIfTrue="1" operator="containsText" text="NO CUMPLE">
      <formula>NOT(ISERROR(SEARCH("NO CUMPLE",Y1546)))</formula>
    </cfRule>
    <cfRule type="containsText" dxfId="9539" priority="9472" stopIfTrue="1" operator="containsText" text="CUMPLE">
      <formula>NOT(ISERROR(SEARCH("CUMPLE",Y1546)))</formula>
    </cfRule>
  </conditionalFormatting>
  <conditionalFormatting sqref="AA1523:AA1532">
    <cfRule type="cellIs" dxfId="9538" priority="9469" stopIfTrue="1" operator="equal">
      <formula>"NO APLICA"</formula>
    </cfRule>
    <cfRule type="cellIs" dxfId="9537" priority="9470" stopIfTrue="1" operator="equal">
      <formula>"TERCIARIA"</formula>
    </cfRule>
  </conditionalFormatting>
  <conditionalFormatting sqref="AB1523:AB1532">
    <cfRule type="cellIs" dxfId="9536" priority="9467" stopIfTrue="1" operator="equal">
      <formula>"N/A"</formula>
    </cfRule>
    <cfRule type="cellIs" dxfId="9535" priority="9468" stopIfTrue="1" operator="equal">
      <formula>"NO"</formula>
    </cfRule>
  </conditionalFormatting>
  <conditionalFormatting sqref="M1553:M1562">
    <cfRule type="cellIs" dxfId="9534" priority="9466" stopIfTrue="1" operator="lessThan">
      <formula>0</formula>
    </cfRule>
  </conditionalFormatting>
  <conditionalFormatting sqref="C1555:D1561 B1554:B1561 F1555:I1561 C1554:I1554 B1562:O1562 B1553:R1553 Q1554:R1555 J1554:O1561 Q1556:Q1562 P1554:P1562">
    <cfRule type="cellIs" dxfId="9533" priority="9465" stopIfTrue="1" operator="greaterThan">
      <formula>0</formula>
    </cfRule>
  </conditionalFormatting>
  <conditionalFormatting sqref="C1555:D1561">
    <cfRule type="cellIs" dxfId="9532" priority="9464" stopIfTrue="1" operator="greaterThan">
      <formula>0</formula>
    </cfRule>
  </conditionalFormatting>
  <conditionalFormatting sqref="C1553:M1553 C1555:D1561 F1555:I1561 C1554:I1554 K1554:M1561 J1554:J1562 L1562:M1562">
    <cfRule type="cellIs" dxfId="9531" priority="9463" stopIfTrue="1" operator="greaterThan">
      <formula>0</formula>
    </cfRule>
  </conditionalFormatting>
  <conditionalFormatting sqref="M1553:M1562">
    <cfRule type="cellIs" dxfId="9530" priority="9462" stopIfTrue="1" operator="lessThan">
      <formula>0</formula>
    </cfRule>
  </conditionalFormatting>
  <conditionalFormatting sqref="J1554:J1562 L1554:O1562 C1553:O1553">
    <cfRule type="cellIs" dxfId="9529" priority="9461" stopIfTrue="1" operator="greaterThan">
      <formula>0</formula>
    </cfRule>
  </conditionalFormatting>
  <conditionalFormatting sqref="H1555:I1561 K1555:M1562">
    <cfRule type="cellIs" dxfId="9528" priority="9460" stopIfTrue="1" operator="greaterThan">
      <formula>0</formula>
    </cfRule>
  </conditionalFormatting>
  <conditionalFormatting sqref="I1554">
    <cfRule type="cellIs" dxfId="9527" priority="9459" stopIfTrue="1" operator="greaterThan">
      <formula>0</formula>
    </cfRule>
  </conditionalFormatting>
  <conditionalFormatting sqref="I1562">
    <cfRule type="cellIs" dxfId="9526" priority="9458" stopIfTrue="1" operator="greaterThan">
      <formula>0</formula>
    </cfRule>
  </conditionalFormatting>
  <conditionalFormatting sqref="E1555:E1561">
    <cfRule type="cellIs" dxfId="9525" priority="9457" stopIfTrue="1" operator="greaterThan">
      <formula>0</formula>
    </cfRule>
  </conditionalFormatting>
  <conditionalFormatting sqref="K1570:K1575">
    <cfRule type="containsText" dxfId="9524" priority="9455" stopIfTrue="1" operator="containsText" text="NO CUMPLE">
      <formula>NOT(ISERROR(SEARCH("NO CUMPLE",K1570)))</formula>
    </cfRule>
    <cfRule type="containsText" dxfId="9523" priority="9456" stopIfTrue="1" operator="containsText" text="CUMPLE">
      <formula>NOT(ISERROR(SEARCH("CUMPLE",K1570)))</formula>
    </cfRule>
  </conditionalFormatting>
  <conditionalFormatting sqref="K1576">
    <cfRule type="containsText" dxfId="9522" priority="9453" stopIfTrue="1" operator="containsText" text="NO CUMPLE">
      <formula>NOT(ISERROR(SEARCH("NO CUMPLE",K1576)))</formula>
    </cfRule>
    <cfRule type="containsText" dxfId="9521" priority="9454" stopIfTrue="1" operator="containsText" text="CUMPLE">
      <formula>NOT(ISERROR(SEARCH("CUMPLE",K1576)))</formula>
    </cfRule>
  </conditionalFormatting>
  <conditionalFormatting sqref="Q1569">
    <cfRule type="cellIs" dxfId="9520" priority="9451" operator="greaterThanOrEqual">
      <formula>NUMMINCONT</formula>
    </cfRule>
    <cfRule type="cellIs" dxfId="9519" priority="9452" operator="lessThan">
      <formula>NUMMINCONT</formula>
    </cfRule>
  </conditionalFormatting>
  <conditionalFormatting sqref="W1553:Y1561">
    <cfRule type="cellIs" dxfId="9518" priority="9449" stopIfTrue="1" operator="equal">
      <formula>"NO"</formula>
    </cfRule>
    <cfRule type="cellIs" dxfId="9517" priority="9450" stopIfTrue="1" operator="equal">
      <formula>"SI"</formula>
    </cfRule>
  </conditionalFormatting>
  <conditionalFormatting sqref="R1556">
    <cfRule type="cellIs" dxfId="9516" priority="9448" stopIfTrue="1" operator="greaterThan">
      <formula>0</formula>
    </cfRule>
  </conditionalFormatting>
  <conditionalFormatting sqref="R1557">
    <cfRule type="cellIs" dxfId="9515" priority="9447" stopIfTrue="1" operator="greaterThan">
      <formula>0</formula>
    </cfRule>
  </conditionalFormatting>
  <conditionalFormatting sqref="R1558">
    <cfRule type="cellIs" dxfId="9514" priority="9446" stopIfTrue="1" operator="greaterThan">
      <formula>0</formula>
    </cfRule>
  </conditionalFormatting>
  <conditionalFormatting sqref="R1559">
    <cfRule type="cellIs" dxfId="9513" priority="9445" stopIfTrue="1" operator="greaterThan">
      <formula>0</formula>
    </cfRule>
  </conditionalFormatting>
  <conditionalFormatting sqref="R1560">
    <cfRule type="cellIs" dxfId="9512" priority="9444" stopIfTrue="1" operator="greaterThan">
      <formula>0</formula>
    </cfRule>
  </conditionalFormatting>
  <conditionalFormatting sqref="R1561">
    <cfRule type="cellIs" dxfId="9511" priority="9443" stopIfTrue="1" operator="greaterThan">
      <formula>0</formula>
    </cfRule>
  </conditionalFormatting>
  <conditionalFormatting sqref="R1562">
    <cfRule type="cellIs" dxfId="9510" priority="9442" stopIfTrue="1" operator="greaterThan">
      <formula>0</formula>
    </cfRule>
  </conditionalFormatting>
  <conditionalFormatting sqref="W1553:X1553">
    <cfRule type="cellIs" dxfId="9509" priority="9441" stopIfTrue="1" operator="equal">
      <formula>"NO APLICA"</formula>
    </cfRule>
  </conditionalFormatting>
  <conditionalFormatting sqref="W1554:X1557">
    <cfRule type="cellIs" dxfId="9508" priority="9440" stopIfTrue="1" operator="equal">
      <formula>"NO APLICA"</formula>
    </cfRule>
  </conditionalFormatting>
  <conditionalFormatting sqref="W1554:X1554">
    <cfRule type="cellIs" dxfId="9507" priority="9439" stopIfTrue="1" operator="equal">
      <formula>"NO APLICA"</formula>
    </cfRule>
  </conditionalFormatting>
  <conditionalFormatting sqref="Y1553">
    <cfRule type="cellIs" dxfId="9506" priority="9438" stopIfTrue="1" operator="equal">
      <formula>"NO APLICA"</formula>
    </cfRule>
  </conditionalFormatting>
  <conditionalFormatting sqref="Y1554:Y1557">
    <cfRule type="cellIs" dxfId="9505" priority="9437" stopIfTrue="1" operator="equal">
      <formula>"NO APLICA"</formula>
    </cfRule>
  </conditionalFormatting>
  <conditionalFormatting sqref="W1558:X1561">
    <cfRule type="cellIs" dxfId="9504" priority="9436" stopIfTrue="1" operator="equal">
      <formula>"NO APLICA"</formula>
    </cfRule>
  </conditionalFormatting>
  <conditionalFormatting sqref="W1558:X1558">
    <cfRule type="cellIs" dxfId="9503" priority="9435" stopIfTrue="1" operator="equal">
      <formula>"NO APLICA"</formula>
    </cfRule>
  </conditionalFormatting>
  <conditionalFormatting sqref="Y1558:Y1561">
    <cfRule type="cellIs" dxfId="9502" priority="9434" stopIfTrue="1" operator="equal">
      <formula>"NO APLICA"</formula>
    </cfRule>
  </conditionalFormatting>
  <conditionalFormatting sqref="T1567">
    <cfRule type="cellIs" dxfId="9501" priority="9432" operator="equal">
      <formula>"CUMPLE"</formula>
    </cfRule>
    <cfRule type="cellIs" dxfId="9500" priority="9433" operator="equal">
      <formula>"NO CUMPLE"</formula>
    </cfRule>
  </conditionalFormatting>
  <conditionalFormatting sqref="T1567:T1569">
    <cfRule type="cellIs" dxfId="9499" priority="9431" operator="equal">
      <formula>"VERIFICAR"</formula>
    </cfRule>
  </conditionalFormatting>
  <conditionalFormatting sqref="AD1553:AF1557">
    <cfRule type="cellIs" dxfId="9498" priority="9429" stopIfTrue="1" operator="equal">
      <formula>"NO"</formula>
    </cfRule>
    <cfRule type="cellIs" dxfId="9497" priority="9430" stopIfTrue="1" operator="equal">
      <formula>"SI"</formula>
    </cfRule>
  </conditionalFormatting>
  <conditionalFormatting sqref="AD1558:AF1561">
    <cfRule type="cellIs" dxfId="9496" priority="9427" stopIfTrue="1" operator="equal">
      <formula>"NO"</formula>
    </cfRule>
    <cfRule type="cellIs" dxfId="9495" priority="9428" stopIfTrue="1" operator="equal">
      <formula>"SI"</formula>
    </cfRule>
  </conditionalFormatting>
  <conditionalFormatting sqref="W1562:Y1562">
    <cfRule type="cellIs" dxfId="9494" priority="9425" stopIfTrue="1" operator="equal">
      <formula>"NO"</formula>
    </cfRule>
    <cfRule type="cellIs" dxfId="9493" priority="9426" stopIfTrue="1" operator="equal">
      <formula>"SI"</formula>
    </cfRule>
  </conditionalFormatting>
  <conditionalFormatting sqref="W1562:X1562">
    <cfRule type="cellIs" dxfId="9492" priority="9424" stopIfTrue="1" operator="equal">
      <formula>"NO APLICA"</formula>
    </cfRule>
  </conditionalFormatting>
  <conditionalFormatting sqref="Y1562">
    <cfRule type="cellIs" dxfId="9491" priority="9423" stopIfTrue="1" operator="equal">
      <formula>"NO APLICA"</formula>
    </cfRule>
  </conditionalFormatting>
  <conditionalFormatting sqref="AD1562:AF1562">
    <cfRule type="cellIs" dxfId="9490" priority="9421" stopIfTrue="1" operator="equal">
      <formula>"NO"</formula>
    </cfRule>
    <cfRule type="cellIs" dxfId="9489" priority="9422" stopIfTrue="1" operator="equal">
      <formula>"SI"</formula>
    </cfRule>
  </conditionalFormatting>
  <conditionalFormatting sqref="AE1567">
    <cfRule type="cellIs" dxfId="9488" priority="9418" stopIfTrue="1" operator="equal">
      <formula>"VERIFICAR"</formula>
    </cfRule>
    <cfRule type="cellIs" dxfId="9487" priority="9419" stopIfTrue="1" operator="equal">
      <formula>"NO CUMPLE"</formula>
    </cfRule>
    <cfRule type="cellIs" dxfId="9486" priority="9420" stopIfTrue="1" operator="equal">
      <formula>"CUMPLE"</formula>
    </cfRule>
  </conditionalFormatting>
  <conditionalFormatting sqref="AF1567">
    <cfRule type="cellIs" dxfId="9485" priority="9415" stopIfTrue="1" operator="equal">
      <formula>"VERIFICAR"</formula>
    </cfRule>
    <cfRule type="cellIs" dxfId="9484" priority="9416" stopIfTrue="1" operator="equal">
      <formula>"NO CUMPLE"</formula>
    </cfRule>
    <cfRule type="cellIs" dxfId="9483" priority="9417" stopIfTrue="1" operator="equal">
      <formula>"CUMPLE"</formula>
    </cfRule>
  </conditionalFormatting>
  <conditionalFormatting sqref="Y1570">
    <cfRule type="cellIs" dxfId="9482" priority="9414" operator="equal">
      <formula>"VERIFICAR CUADRO"</formula>
    </cfRule>
  </conditionalFormatting>
  <conditionalFormatting sqref="AC1571:AC1576">
    <cfRule type="cellIs" dxfId="9481" priority="9413" stopIfTrue="1" operator="greaterThan">
      <formula>0</formula>
    </cfRule>
  </conditionalFormatting>
  <conditionalFormatting sqref="AC1571:AC1576">
    <cfRule type="cellIs" dxfId="9480" priority="9412" stopIfTrue="1" operator="greaterThan">
      <formula>0</formula>
    </cfRule>
  </conditionalFormatting>
  <conditionalFormatting sqref="AD1571:AD1576">
    <cfRule type="containsText" dxfId="9479" priority="9410" stopIfTrue="1" operator="containsText" text="NO CUMPLE">
      <formula>NOT(ISERROR(SEARCH("NO CUMPLE",AD1571)))</formula>
    </cfRule>
    <cfRule type="containsText" dxfId="9478" priority="9411" stopIfTrue="1" operator="containsText" text="CUMPLE">
      <formula>NOT(ISERROR(SEARCH("CUMPLE",AD1571)))</formula>
    </cfRule>
  </conditionalFormatting>
  <conditionalFormatting sqref="Y1576">
    <cfRule type="containsText" dxfId="9477" priority="9408" stopIfTrue="1" operator="containsText" text="NO CUMPLE">
      <formula>NOT(ISERROR(SEARCH("NO CUMPLE",Y1576)))</formula>
    </cfRule>
    <cfRule type="containsText" dxfId="9476" priority="9409" stopIfTrue="1" operator="containsText" text="CUMPLE">
      <formula>NOT(ISERROR(SEARCH("CUMPLE",Y1576)))</formula>
    </cfRule>
  </conditionalFormatting>
  <conditionalFormatting sqref="AA1553:AA1562">
    <cfRule type="cellIs" dxfId="9475" priority="9406" stopIfTrue="1" operator="equal">
      <formula>"NO APLICA"</formula>
    </cfRule>
    <cfRule type="cellIs" dxfId="9474" priority="9407" stopIfTrue="1" operator="equal">
      <formula>"TERCIARIA"</formula>
    </cfRule>
  </conditionalFormatting>
  <conditionalFormatting sqref="AB1553:AB1562">
    <cfRule type="cellIs" dxfId="9473" priority="9404" stopIfTrue="1" operator="equal">
      <formula>"N/A"</formula>
    </cfRule>
    <cfRule type="cellIs" dxfId="9472" priority="9405" stopIfTrue="1" operator="equal">
      <formula>"NO"</formula>
    </cfRule>
  </conditionalFormatting>
  <conditionalFormatting sqref="M1583:M1592">
    <cfRule type="cellIs" dxfId="9471" priority="9403" stopIfTrue="1" operator="lessThan">
      <formula>0</formula>
    </cfRule>
  </conditionalFormatting>
  <conditionalFormatting sqref="C1585:D1591 B1584:B1591 F1585:I1591 C1584:I1584 B1592:O1592 B1583:R1583 Q1584:R1585 J1584:O1591 Q1586:Q1592 P1584:P1592">
    <cfRule type="cellIs" dxfId="9470" priority="9402" stopIfTrue="1" operator="greaterThan">
      <formula>0</formula>
    </cfRule>
  </conditionalFormatting>
  <conditionalFormatting sqref="C1585:D1591">
    <cfRule type="cellIs" dxfId="9469" priority="9401" stopIfTrue="1" operator="greaterThan">
      <formula>0</formula>
    </cfRule>
  </conditionalFormatting>
  <conditionalFormatting sqref="C1583:M1583 C1585:D1591 F1585:I1591 C1584:I1584 K1584:M1591 J1584:J1592 L1592:M1592">
    <cfRule type="cellIs" dxfId="9468" priority="9400" stopIfTrue="1" operator="greaterThan">
      <formula>0</formula>
    </cfRule>
  </conditionalFormatting>
  <conditionalFormatting sqref="M1583:M1592">
    <cfRule type="cellIs" dxfId="9467" priority="9399" stopIfTrue="1" operator="lessThan">
      <formula>0</formula>
    </cfRule>
  </conditionalFormatting>
  <conditionalFormatting sqref="J1584:J1592 L1584:O1592 C1583:O1583">
    <cfRule type="cellIs" dxfId="9466" priority="9398" stopIfTrue="1" operator="greaterThan">
      <formula>0</formula>
    </cfRule>
  </conditionalFormatting>
  <conditionalFormatting sqref="H1585:I1591 K1585:M1592">
    <cfRule type="cellIs" dxfId="9465" priority="9397" stopIfTrue="1" operator="greaterThan">
      <formula>0</formula>
    </cfRule>
  </conditionalFormatting>
  <conditionalFormatting sqref="I1584">
    <cfRule type="cellIs" dxfId="9464" priority="9396" stopIfTrue="1" operator="greaterThan">
      <formula>0</formula>
    </cfRule>
  </conditionalFormatting>
  <conditionalFormatting sqref="I1592">
    <cfRule type="cellIs" dxfId="9463" priority="9395" stopIfTrue="1" operator="greaterThan">
      <formula>0</formula>
    </cfRule>
  </conditionalFormatting>
  <conditionalFormatting sqref="E1585:E1591">
    <cfRule type="cellIs" dxfId="9462" priority="9394" stopIfTrue="1" operator="greaterThan">
      <formula>0</formula>
    </cfRule>
  </conditionalFormatting>
  <conditionalFormatting sqref="K1600:K1605">
    <cfRule type="containsText" dxfId="9461" priority="9392" stopIfTrue="1" operator="containsText" text="NO CUMPLE">
      <formula>NOT(ISERROR(SEARCH("NO CUMPLE",K1600)))</formula>
    </cfRule>
    <cfRule type="containsText" dxfId="9460" priority="9393" stopIfTrue="1" operator="containsText" text="CUMPLE">
      <formula>NOT(ISERROR(SEARCH("CUMPLE",K1600)))</formula>
    </cfRule>
  </conditionalFormatting>
  <conditionalFormatting sqref="K1606">
    <cfRule type="containsText" dxfId="9459" priority="9390" stopIfTrue="1" operator="containsText" text="NO CUMPLE">
      <formula>NOT(ISERROR(SEARCH("NO CUMPLE",K1606)))</formula>
    </cfRule>
    <cfRule type="containsText" dxfId="9458" priority="9391" stopIfTrue="1" operator="containsText" text="CUMPLE">
      <formula>NOT(ISERROR(SEARCH("CUMPLE",K1606)))</formula>
    </cfRule>
  </conditionalFormatting>
  <conditionalFormatting sqref="Q1599">
    <cfRule type="cellIs" dxfId="9457" priority="9388" operator="greaterThanOrEqual">
      <formula>NUMMINCONT</formula>
    </cfRule>
    <cfRule type="cellIs" dxfId="9456" priority="9389" operator="lessThan">
      <formula>NUMMINCONT</formula>
    </cfRule>
  </conditionalFormatting>
  <conditionalFormatting sqref="W1583:Y1591">
    <cfRule type="cellIs" dxfId="9455" priority="9386" stopIfTrue="1" operator="equal">
      <formula>"NO"</formula>
    </cfRule>
    <cfRule type="cellIs" dxfId="9454" priority="9387" stopIfTrue="1" operator="equal">
      <formula>"SI"</formula>
    </cfRule>
  </conditionalFormatting>
  <conditionalFormatting sqref="R1586">
    <cfRule type="cellIs" dxfId="9453" priority="9385" stopIfTrue="1" operator="greaterThan">
      <formula>0</formula>
    </cfRule>
  </conditionalFormatting>
  <conditionalFormatting sqref="R1587">
    <cfRule type="cellIs" dxfId="9452" priority="9384" stopIfTrue="1" operator="greaterThan">
      <formula>0</formula>
    </cfRule>
  </conditionalFormatting>
  <conditionalFormatting sqref="R1588">
    <cfRule type="cellIs" dxfId="9451" priority="9383" stopIfTrue="1" operator="greaterThan">
      <formula>0</formula>
    </cfRule>
  </conditionalFormatting>
  <conditionalFormatting sqref="R1589">
    <cfRule type="cellIs" dxfId="9450" priority="9382" stopIfTrue="1" operator="greaterThan">
      <formula>0</formula>
    </cfRule>
  </conditionalFormatting>
  <conditionalFormatting sqref="R1590">
    <cfRule type="cellIs" dxfId="9449" priority="9381" stopIfTrue="1" operator="greaterThan">
      <formula>0</formula>
    </cfRule>
  </conditionalFormatting>
  <conditionalFormatting sqref="R1591">
    <cfRule type="cellIs" dxfId="9448" priority="9380" stopIfTrue="1" operator="greaterThan">
      <formula>0</formula>
    </cfRule>
  </conditionalFormatting>
  <conditionalFormatting sqref="R1592">
    <cfRule type="cellIs" dxfId="9447" priority="9379" stopIfTrue="1" operator="greaterThan">
      <formula>0</formula>
    </cfRule>
  </conditionalFormatting>
  <conditionalFormatting sqref="W1583:X1583">
    <cfRule type="cellIs" dxfId="9446" priority="9378" stopIfTrue="1" operator="equal">
      <formula>"NO APLICA"</formula>
    </cfRule>
  </conditionalFormatting>
  <conditionalFormatting sqref="W1584:X1587">
    <cfRule type="cellIs" dxfId="9445" priority="9377" stopIfTrue="1" operator="equal">
      <formula>"NO APLICA"</formula>
    </cfRule>
  </conditionalFormatting>
  <conditionalFormatting sqref="W1584:X1584">
    <cfRule type="cellIs" dxfId="9444" priority="9376" stopIfTrue="1" operator="equal">
      <formula>"NO APLICA"</formula>
    </cfRule>
  </conditionalFormatting>
  <conditionalFormatting sqref="Y1583">
    <cfRule type="cellIs" dxfId="9443" priority="9375" stopIfTrue="1" operator="equal">
      <formula>"NO APLICA"</formula>
    </cfRule>
  </conditionalFormatting>
  <conditionalFormatting sqref="Y1584:Y1587">
    <cfRule type="cellIs" dxfId="9442" priority="9374" stopIfTrue="1" operator="equal">
      <formula>"NO APLICA"</formula>
    </cfRule>
  </conditionalFormatting>
  <conditionalFormatting sqref="W1588:X1591">
    <cfRule type="cellIs" dxfId="9441" priority="9373" stopIfTrue="1" operator="equal">
      <formula>"NO APLICA"</formula>
    </cfRule>
  </conditionalFormatting>
  <conditionalFormatting sqref="W1588:X1588">
    <cfRule type="cellIs" dxfId="9440" priority="9372" stopIfTrue="1" operator="equal">
      <formula>"NO APLICA"</formula>
    </cfRule>
  </conditionalFormatting>
  <conditionalFormatting sqref="Y1588:Y1591">
    <cfRule type="cellIs" dxfId="9439" priority="9371" stopIfTrue="1" operator="equal">
      <formula>"NO APLICA"</formula>
    </cfRule>
  </conditionalFormatting>
  <conditionalFormatting sqref="T1597">
    <cfRule type="cellIs" dxfId="9438" priority="9369" operator="equal">
      <formula>"CUMPLE"</formula>
    </cfRule>
    <cfRule type="cellIs" dxfId="9437" priority="9370" operator="equal">
      <formula>"NO CUMPLE"</formula>
    </cfRule>
  </conditionalFormatting>
  <conditionalFormatting sqref="T1597:T1599">
    <cfRule type="cellIs" dxfId="9436" priority="9368" operator="equal">
      <formula>"VERIFICAR"</formula>
    </cfRule>
  </conditionalFormatting>
  <conditionalFormatting sqref="AD1583:AF1587">
    <cfRule type="cellIs" dxfId="9435" priority="9366" stopIfTrue="1" operator="equal">
      <formula>"NO"</formula>
    </cfRule>
    <cfRule type="cellIs" dxfId="9434" priority="9367" stopIfTrue="1" operator="equal">
      <formula>"SI"</formula>
    </cfRule>
  </conditionalFormatting>
  <conditionalFormatting sqref="AD1588:AF1591">
    <cfRule type="cellIs" dxfId="9433" priority="9364" stopIfTrue="1" operator="equal">
      <formula>"NO"</formula>
    </cfRule>
    <cfRule type="cellIs" dxfId="9432" priority="9365" stopIfTrue="1" operator="equal">
      <formula>"SI"</formula>
    </cfRule>
  </conditionalFormatting>
  <conditionalFormatting sqref="W1592:Y1592">
    <cfRule type="cellIs" dxfId="9431" priority="9362" stopIfTrue="1" operator="equal">
      <formula>"NO"</formula>
    </cfRule>
    <cfRule type="cellIs" dxfId="9430" priority="9363" stopIfTrue="1" operator="equal">
      <formula>"SI"</formula>
    </cfRule>
  </conditionalFormatting>
  <conditionalFormatting sqref="W1592:X1592">
    <cfRule type="cellIs" dxfId="9429" priority="9361" stopIfTrue="1" operator="equal">
      <formula>"NO APLICA"</formula>
    </cfRule>
  </conditionalFormatting>
  <conditionalFormatting sqref="Y1592">
    <cfRule type="cellIs" dxfId="9428" priority="9360" stopIfTrue="1" operator="equal">
      <formula>"NO APLICA"</formula>
    </cfRule>
  </conditionalFormatting>
  <conditionalFormatting sqref="AD1592:AF1592">
    <cfRule type="cellIs" dxfId="9427" priority="9358" stopIfTrue="1" operator="equal">
      <formula>"NO"</formula>
    </cfRule>
    <cfRule type="cellIs" dxfId="9426" priority="9359" stopIfTrue="1" operator="equal">
      <formula>"SI"</formula>
    </cfRule>
  </conditionalFormatting>
  <conditionalFormatting sqref="AE1597">
    <cfRule type="cellIs" dxfId="9425" priority="9355" stopIfTrue="1" operator="equal">
      <formula>"VERIFICAR"</formula>
    </cfRule>
    <cfRule type="cellIs" dxfId="9424" priority="9356" stopIfTrue="1" operator="equal">
      <formula>"NO CUMPLE"</formula>
    </cfRule>
    <cfRule type="cellIs" dxfId="9423" priority="9357" stopIfTrue="1" operator="equal">
      <formula>"CUMPLE"</formula>
    </cfRule>
  </conditionalFormatting>
  <conditionalFormatting sqref="AF1597">
    <cfRule type="cellIs" dxfId="9422" priority="9352" stopIfTrue="1" operator="equal">
      <formula>"VERIFICAR"</formula>
    </cfRule>
    <cfRule type="cellIs" dxfId="9421" priority="9353" stopIfTrue="1" operator="equal">
      <formula>"NO CUMPLE"</formula>
    </cfRule>
    <cfRule type="cellIs" dxfId="9420" priority="9354" stopIfTrue="1" operator="equal">
      <formula>"CUMPLE"</formula>
    </cfRule>
  </conditionalFormatting>
  <conditionalFormatting sqref="Y1600">
    <cfRule type="cellIs" dxfId="9419" priority="9351" operator="equal">
      <formula>"VERIFICAR CUADRO"</formula>
    </cfRule>
  </conditionalFormatting>
  <conditionalFormatting sqref="AC1601:AC1606">
    <cfRule type="cellIs" dxfId="9418" priority="9350" stopIfTrue="1" operator="greaterThan">
      <formula>0</formula>
    </cfRule>
  </conditionalFormatting>
  <conditionalFormatting sqref="AC1601:AC1606">
    <cfRule type="cellIs" dxfId="9417" priority="9349" stopIfTrue="1" operator="greaterThan">
      <formula>0</formula>
    </cfRule>
  </conditionalFormatting>
  <conditionalFormatting sqref="AD1601:AD1606">
    <cfRule type="containsText" dxfId="9416" priority="9347" stopIfTrue="1" operator="containsText" text="NO CUMPLE">
      <formula>NOT(ISERROR(SEARCH("NO CUMPLE",AD1601)))</formula>
    </cfRule>
    <cfRule type="containsText" dxfId="9415" priority="9348" stopIfTrue="1" operator="containsText" text="CUMPLE">
      <formula>NOT(ISERROR(SEARCH("CUMPLE",AD1601)))</formula>
    </cfRule>
  </conditionalFormatting>
  <conditionalFormatting sqref="Y1606">
    <cfRule type="containsText" dxfId="9414" priority="9345" stopIfTrue="1" operator="containsText" text="NO CUMPLE">
      <formula>NOT(ISERROR(SEARCH("NO CUMPLE",Y1606)))</formula>
    </cfRule>
    <cfRule type="containsText" dxfId="9413" priority="9346" stopIfTrue="1" operator="containsText" text="CUMPLE">
      <formula>NOT(ISERROR(SEARCH("CUMPLE",Y1606)))</formula>
    </cfRule>
  </conditionalFormatting>
  <conditionalFormatting sqref="AA1583:AA1592">
    <cfRule type="cellIs" dxfId="9412" priority="9343" stopIfTrue="1" operator="equal">
      <formula>"NO APLICA"</formula>
    </cfRule>
    <cfRule type="cellIs" dxfId="9411" priority="9344" stopIfTrue="1" operator="equal">
      <formula>"TERCIARIA"</formula>
    </cfRule>
  </conditionalFormatting>
  <conditionalFormatting sqref="AB1583:AB1592">
    <cfRule type="cellIs" dxfId="9410" priority="9341" stopIfTrue="1" operator="equal">
      <formula>"N/A"</formula>
    </cfRule>
    <cfRule type="cellIs" dxfId="9409" priority="9342" stopIfTrue="1" operator="equal">
      <formula>"NO"</formula>
    </cfRule>
  </conditionalFormatting>
  <conditionalFormatting sqref="M1613:M1622">
    <cfRule type="cellIs" dxfId="9408" priority="9340" stopIfTrue="1" operator="lessThan">
      <formula>0</formula>
    </cfRule>
  </conditionalFormatting>
  <conditionalFormatting sqref="C1615:D1621 B1614:B1621 F1615:I1621 C1614:I1614 B1622:O1622 B1613:R1613 Q1614:R1615 J1614:O1621 Q1616:Q1622 P1614:P1622">
    <cfRule type="cellIs" dxfId="9407" priority="9339" stopIfTrue="1" operator="greaterThan">
      <formula>0</formula>
    </cfRule>
  </conditionalFormatting>
  <conditionalFormatting sqref="C1615:D1621">
    <cfRule type="cellIs" dxfId="9406" priority="9338" stopIfTrue="1" operator="greaterThan">
      <formula>0</formula>
    </cfRule>
  </conditionalFormatting>
  <conditionalFormatting sqref="C1613:M1613 C1615:D1621 F1615:I1621 C1614:I1614 K1614:M1621 J1614:J1622 L1622:M1622">
    <cfRule type="cellIs" dxfId="9405" priority="9337" stopIfTrue="1" operator="greaterThan">
      <formula>0</formula>
    </cfRule>
  </conditionalFormatting>
  <conditionalFormatting sqref="M1613:M1622">
    <cfRule type="cellIs" dxfId="9404" priority="9336" stopIfTrue="1" operator="lessThan">
      <formula>0</formula>
    </cfRule>
  </conditionalFormatting>
  <conditionalFormatting sqref="J1614:J1622 L1614:O1622 C1613:O1613">
    <cfRule type="cellIs" dxfId="9403" priority="9335" stopIfTrue="1" operator="greaterThan">
      <formula>0</formula>
    </cfRule>
  </conditionalFormatting>
  <conditionalFormatting sqref="H1615:I1621 K1615:M1622">
    <cfRule type="cellIs" dxfId="9402" priority="9334" stopIfTrue="1" operator="greaterThan">
      <formula>0</formula>
    </cfRule>
  </conditionalFormatting>
  <conditionalFormatting sqref="I1614">
    <cfRule type="cellIs" dxfId="9401" priority="9333" stopIfTrue="1" operator="greaterThan">
      <formula>0</formula>
    </cfRule>
  </conditionalFormatting>
  <conditionalFormatting sqref="I1622">
    <cfRule type="cellIs" dxfId="9400" priority="9332" stopIfTrue="1" operator="greaterThan">
      <formula>0</formula>
    </cfRule>
  </conditionalFormatting>
  <conditionalFormatting sqref="E1615:E1621">
    <cfRule type="cellIs" dxfId="9399" priority="9331" stopIfTrue="1" operator="greaterThan">
      <formula>0</formula>
    </cfRule>
  </conditionalFormatting>
  <conditionalFormatting sqref="K1630:K1635">
    <cfRule type="containsText" dxfId="9398" priority="9329" stopIfTrue="1" operator="containsText" text="NO CUMPLE">
      <formula>NOT(ISERROR(SEARCH("NO CUMPLE",K1630)))</formula>
    </cfRule>
    <cfRule type="containsText" dxfId="9397" priority="9330" stopIfTrue="1" operator="containsText" text="CUMPLE">
      <formula>NOT(ISERROR(SEARCH("CUMPLE",K1630)))</formula>
    </cfRule>
  </conditionalFormatting>
  <conditionalFormatting sqref="K1636">
    <cfRule type="containsText" dxfId="9396" priority="9327" stopIfTrue="1" operator="containsText" text="NO CUMPLE">
      <formula>NOT(ISERROR(SEARCH("NO CUMPLE",K1636)))</formula>
    </cfRule>
    <cfRule type="containsText" dxfId="9395" priority="9328" stopIfTrue="1" operator="containsText" text="CUMPLE">
      <formula>NOT(ISERROR(SEARCH("CUMPLE",K1636)))</formula>
    </cfRule>
  </conditionalFormatting>
  <conditionalFormatting sqref="Q1629">
    <cfRule type="cellIs" dxfId="9394" priority="9325" operator="greaterThanOrEqual">
      <formula>NUMMINCONT</formula>
    </cfRule>
    <cfRule type="cellIs" dxfId="9393" priority="9326" operator="lessThan">
      <formula>NUMMINCONT</formula>
    </cfRule>
  </conditionalFormatting>
  <conditionalFormatting sqref="W1613:Y1621">
    <cfRule type="cellIs" dxfId="9392" priority="9323" stopIfTrue="1" operator="equal">
      <formula>"NO"</formula>
    </cfRule>
    <cfRule type="cellIs" dxfId="9391" priority="9324" stopIfTrue="1" operator="equal">
      <formula>"SI"</formula>
    </cfRule>
  </conditionalFormatting>
  <conditionalFormatting sqref="R1616">
    <cfRule type="cellIs" dxfId="9390" priority="9322" stopIfTrue="1" operator="greaterThan">
      <formula>0</formula>
    </cfRule>
  </conditionalFormatting>
  <conditionalFormatting sqref="R1617">
    <cfRule type="cellIs" dxfId="9389" priority="9321" stopIfTrue="1" operator="greaterThan">
      <formula>0</formula>
    </cfRule>
  </conditionalFormatting>
  <conditionalFormatting sqref="R1618">
    <cfRule type="cellIs" dxfId="9388" priority="9320" stopIfTrue="1" operator="greaterThan">
      <formula>0</formula>
    </cfRule>
  </conditionalFormatting>
  <conditionalFormatting sqref="R1619">
    <cfRule type="cellIs" dxfId="9387" priority="9319" stopIfTrue="1" operator="greaterThan">
      <formula>0</formula>
    </cfRule>
  </conditionalFormatting>
  <conditionalFormatting sqref="R1620">
    <cfRule type="cellIs" dxfId="9386" priority="9318" stopIfTrue="1" operator="greaterThan">
      <formula>0</formula>
    </cfRule>
  </conditionalFormatting>
  <conditionalFormatting sqref="R1621">
    <cfRule type="cellIs" dxfId="9385" priority="9317" stopIfTrue="1" operator="greaterThan">
      <formula>0</formula>
    </cfRule>
  </conditionalFormatting>
  <conditionalFormatting sqref="R1622">
    <cfRule type="cellIs" dxfId="9384" priority="9316" stopIfTrue="1" operator="greaterThan">
      <formula>0</formula>
    </cfRule>
  </conditionalFormatting>
  <conditionalFormatting sqref="W1613:X1613">
    <cfRule type="cellIs" dxfId="9383" priority="9315" stopIfTrue="1" operator="equal">
      <formula>"NO APLICA"</formula>
    </cfRule>
  </conditionalFormatting>
  <conditionalFormatting sqref="W1614:X1617">
    <cfRule type="cellIs" dxfId="9382" priority="9314" stopIfTrue="1" operator="equal">
      <formula>"NO APLICA"</formula>
    </cfRule>
  </conditionalFormatting>
  <conditionalFormatting sqref="W1614:X1614">
    <cfRule type="cellIs" dxfId="9381" priority="9313" stopIfTrue="1" operator="equal">
      <formula>"NO APLICA"</formula>
    </cfRule>
  </conditionalFormatting>
  <conditionalFormatting sqref="Y1613">
    <cfRule type="cellIs" dxfId="9380" priority="9312" stopIfTrue="1" operator="equal">
      <formula>"NO APLICA"</formula>
    </cfRule>
  </conditionalFormatting>
  <conditionalFormatting sqref="Y1614:Y1617">
    <cfRule type="cellIs" dxfId="9379" priority="9311" stopIfTrue="1" operator="equal">
      <formula>"NO APLICA"</formula>
    </cfRule>
  </conditionalFormatting>
  <conditionalFormatting sqref="W1618:X1621">
    <cfRule type="cellIs" dxfId="9378" priority="9310" stopIfTrue="1" operator="equal">
      <formula>"NO APLICA"</formula>
    </cfRule>
  </conditionalFormatting>
  <conditionalFormatting sqref="W1618:X1618">
    <cfRule type="cellIs" dxfId="9377" priority="9309" stopIfTrue="1" operator="equal">
      <formula>"NO APLICA"</formula>
    </cfRule>
  </conditionalFormatting>
  <conditionalFormatting sqref="Y1618:Y1621">
    <cfRule type="cellIs" dxfId="9376" priority="9308" stopIfTrue="1" operator="equal">
      <formula>"NO APLICA"</formula>
    </cfRule>
  </conditionalFormatting>
  <conditionalFormatting sqref="T1627">
    <cfRule type="cellIs" dxfId="9375" priority="9306" operator="equal">
      <formula>"CUMPLE"</formula>
    </cfRule>
    <cfRule type="cellIs" dxfId="9374" priority="9307" operator="equal">
      <formula>"NO CUMPLE"</formula>
    </cfRule>
  </conditionalFormatting>
  <conditionalFormatting sqref="T1627:T1629">
    <cfRule type="cellIs" dxfId="9373" priority="9305" operator="equal">
      <formula>"VERIFICAR"</formula>
    </cfRule>
  </conditionalFormatting>
  <conditionalFormatting sqref="AD1613:AF1617">
    <cfRule type="cellIs" dxfId="9372" priority="9303" stopIfTrue="1" operator="equal">
      <formula>"NO"</formula>
    </cfRule>
    <cfRule type="cellIs" dxfId="9371" priority="9304" stopIfTrue="1" operator="equal">
      <formula>"SI"</formula>
    </cfRule>
  </conditionalFormatting>
  <conditionalFormatting sqref="AD1618:AF1621">
    <cfRule type="cellIs" dxfId="9370" priority="9301" stopIfTrue="1" operator="equal">
      <formula>"NO"</formula>
    </cfRule>
    <cfRule type="cellIs" dxfId="9369" priority="9302" stopIfTrue="1" operator="equal">
      <formula>"SI"</formula>
    </cfRule>
  </conditionalFormatting>
  <conditionalFormatting sqref="W1622:Y1622">
    <cfRule type="cellIs" dxfId="9368" priority="9299" stopIfTrue="1" operator="equal">
      <formula>"NO"</formula>
    </cfRule>
    <cfRule type="cellIs" dxfId="9367" priority="9300" stopIfTrue="1" operator="equal">
      <formula>"SI"</formula>
    </cfRule>
  </conditionalFormatting>
  <conditionalFormatting sqref="W1622:X1622">
    <cfRule type="cellIs" dxfId="9366" priority="9298" stopIfTrue="1" operator="equal">
      <formula>"NO APLICA"</formula>
    </cfRule>
  </conditionalFormatting>
  <conditionalFormatting sqref="Y1622">
    <cfRule type="cellIs" dxfId="9365" priority="9297" stopIfTrue="1" operator="equal">
      <formula>"NO APLICA"</formula>
    </cfRule>
  </conditionalFormatting>
  <conditionalFormatting sqref="AD1622:AF1622">
    <cfRule type="cellIs" dxfId="9364" priority="9295" stopIfTrue="1" operator="equal">
      <formula>"NO"</formula>
    </cfRule>
    <cfRule type="cellIs" dxfId="9363" priority="9296" stopIfTrue="1" operator="equal">
      <formula>"SI"</formula>
    </cfRule>
  </conditionalFormatting>
  <conditionalFormatting sqref="AE1627">
    <cfRule type="cellIs" dxfId="9362" priority="9292" stopIfTrue="1" operator="equal">
      <formula>"VERIFICAR"</formula>
    </cfRule>
    <cfRule type="cellIs" dxfId="9361" priority="9293" stopIfTrue="1" operator="equal">
      <formula>"NO CUMPLE"</formula>
    </cfRule>
    <cfRule type="cellIs" dxfId="9360" priority="9294" stopIfTrue="1" operator="equal">
      <formula>"CUMPLE"</formula>
    </cfRule>
  </conditionalFormatting>
  <conditionalFormatting sqref="AF1627">
    <cfRule type="cellIs" dxfId="9359" priority="9289" stopIfTrue="1" operator="equal">
      <formula>"VERIFICAR"</formula>
    </cfRule>
    <cfRule type="cellIs" dxfId="9358" priority="9290" stopIfTrue="1" operator="equal">
      <formula>"NO CUMPLE"</formula>
    </cfRule>
    <cfRule type="cellIs" dxfId="9357" priority="9291" stopIfTrue="1" operator="equal">
      <formula>"CUMPLE"</formula>
    </cfRule>
  </conditionalFormatting>
  <conditionalFormatting sqref="Y1630">
    <cfRule type="cellIs" dxfId="9356" priority="9288" operator="equal">
      <formula>"VERIFICAR CUADRO"</formula>
    </cfRule>
  </conditionalFormatting>
  <conditionalFormatting sqref="AC1631:AC1636">
    <cfRule type="cellIs" dxfId="9355" priority="9287" stopIfTrue="1" operator="greaterThan">
      <formula>0</formula>
    </cfRule>
  </conditionalFormatting>
  <conditionalFormatting sqref="AC1631:AC1636">
    <cfRule type="cellIs" dxfId="9354" priority="9286" stopIfTrue="1" operator="greaterThan">
      <formula>0</formula>
    </cfRule>
  </conditionalFormatting>
  <conditionalFormatting sqref="AD1631:AD1636">
    <cfRule type="containsText" dxfId="9353" priority="9284" stopIfTrue="1" operator="containsText" text="NO CUMPLE">
      <formula>NOT(ISERROR(SEARCH("NO CUMPLE",AD1631)))</formula>
    </cfRule>
    <cfRule type="containsText" dxfId="9352" priority="9285" stopIfTrue="1" operator="containsText" text="CUMPLE">
      <formula>NOT(ISERROR(SEARCH("CUMPLE",AD1631)))</formula>
    </cfRule>
  </conditionalFormatting>
  <conditionalFormatting sqref="Y1636">
    <cfRule type="containsText" dxfId="9351" priority="9282" stopIfTrue="1" operator="containsText" text="NO CUMPLE">
      <formula>NOT(ISERROR(SEARCH("NO CUMPLE",Y1636)))</formula>
    </cfRule>
    <cfRule type="containsText" dxfId="9350" priority="9283" stopIfTrue="1" operator="containsText" text="CUMPLE">
      <formula>NOT(ISERROR(SEARCH("CUMPLE",Y1636)))</formula>
    </cfRule>
  </conditionalFormatting>
  <conditionalFormatting sqref="AA1613:AA1622">
    <cfRule type="cellIs" dxfId="9349" priority="9280" stopIfTrue="1" operator="equal">
      <formula>"NO APLICA"</formula>
    </cfRule>
    <cfRule type="cellIs" dxfId="9348" priority="9281" stopIfTrue="1" operator="equal">
      <formula>"TERCIARIA"</formula>
    </cfRule>
  </conditionalFormatting>
  <conditionalFormatting sqref="AB1613:AB1622">
    <cfRule type="cellIs" dxfId="9347" priority="9278" stopIfTrue="1" operator="equal">
      <formula>"N/A"</formula>
    </cfRule>
    <cfRule type="cellIs" dxfId="9346" priority="9279" stopIfTrue="1" operator="equal">
      <formula>"NO"</formula>
    </cfRule>
  </conditionalFormatting>
  <conditionalFormatting sqref="M1643:M1652">
    <cfRule type="cellIs" dxfId="9345" priority="9277" stopIfTrue="1" operator="lessThan">
      <formula>0</formula>
    </cfRule>
  </conditionalFormatting>
  <conditionalFormatting sqref="C1645:D1651 B1644:B1651 F1645:I1651 C1644:I1644 B1652:O1652 B1643:R1643 Q1644:R1645 J1644:O1651 Q1646:Q1652 P1644:P1652">
    <cfRule type="cellIs" dxfId="9344" priority="9276" stopIfTrue="1" operator="greaterThan">
      <formula>0</formula>
    </cfRule>
  </conditionalFormatting>
  <conditionalFormatting sqref="C1645:D1651">
    <cfRule type="cellIs" dxfId="9343" priority="9275" stopIfTrue="1" operator="greaterThan">
      <formula>0</formula>
    </cfRule>
  </conditionalFormatting>
  <conditionalFormatting sqref="C1643:M1643 C1645:D1651 F1645:I1651 C1644:I1644 K1644:M1651 J1644:J1652 L1652:M1652">
    <cfRule type="cellIs" dxfId="9342" priority="9274" stopIfTrue="1" operator="greaterThan">
      <formula>0</formula>
    </cfRule>
  </conditionalFormatting>
  <conditionalFormatting sqref="M1643:M1652">
    <cfRule type="cellIs" dxfId="9341" priority="9273" stopIfTrue="1" operator="lessThan">
      <formula>0</formula>
    </cfRule>
  </conditionalFormatting>
  <conditionalFormatting sqref="J1644:J1652 L1644:O1652 C1643:O1643">
    <cfRule type="cellIs" dxfId="9340" priority="9272" stopIfTrue="1" operator="greaterThan">
      <formula>0</formula>
    </cfRule>
  </conditionalFormatting>
  <conditionalFormatting sqref="H1645:I1651 K1645:M1652">
    <cfRule type="cellIs" dxfId="9339" priority="9271" stopIfTrue="1" operator="greaterThan">
      <formula>0</formula>
    </cfRule>
  </conditionalFormatting>
  <conditionalFormatting sqref="I1644">
    <cfRule type="cellIs" dxfId="9338" priority="9270" stopIfTrue="1" operator="greaterThan">
      <formula>0</formula>
    </cfRule>
  </conditionalFormatting>
  <conditionalFormatting sqref="I1652">
    <cfRule type="cellIs" dxfId="9337" priority="9269" stopIfTrue="1" operator="greaterThan">
      <formula>0</formula>
    </cfRule>
  </conditionalFormatting>
  <conditionalFormatting sqref="E1645:E1651">
    <cfRule type="cellIs" dxfId="9336" priority="9268" stopIfTrue="1" operator="greaterThan">
      <formula>0</formula>
    </cfRule>
  </conditionalFormatting>
  <conditionalFormatting sqref="K1660:K1665">
    <cfRule type="containsText" dxfId="9335" priority="9266" stopIfTrue="1" operator="containsText" text="NO CUMPLE">
      <formula>NOT(ISERROR(SEARCH("NO CUMPLE",K1660)))</formula>
    </cfRule>
    <cfRule type="containsText" dxfId="9334" priority="9267" stopIfTrue="1" operator="containsText" text="CUMPLE">
      <formula>NOT(ISERROR(SEARCH("CUMPLE",K1660)))</formula>
    </cfRule>
  </conditionalFormatting>
  <conditionalFormatting sqref="K1666">
    <cfRule type="containsText" dxfId="9333" priority="9264" stopIfTrue="1" operator="containsText" text="NO CUMPLE">
      <formula>NOT(ISERROR(SEARCH("NO CUMPLE",K1666)))</formula>
    </cfRule>
    <cfRule type="containsText" dxfId="9332" priority="9265" stopIfTrue="1" operator="containsText" text="CUMPLE">
      <formula>NOT(ISERROR(SEARCH("CUMPLE",K1666)))</formula>
    </cfRule>
  </conditionalFormatting>
  <conditionalFormatting sqref="Q1659">
    <cfRule type="cellIs" dxfId="9331" priority="9262" operator="greaterThanOrEqual">
      <formula>NUMMINCONT</formula>
    </cfRule>
    <cfRule type="cellIs" dxfId="9330" priority="9263" operator="lessThan">
      <formula>NUMMINCONT</formula>
    </cfRule>
  </conditionalFormatting>
  <conditionalFormatting sqref="W1643:Y1651">
    <cfRule type="cellIs" dxfId="9329" priority="9260" stopIfTrue="1" operator="equal">
      <formula>"NO"</formula>
    </cfRule>
    <cfRule type="cellIs" dxfId="9328" priority="9261" stopIfTrue="1" operator="equal">
      <formula>"SI"</formula>
    </cfRule>
  </conditionalFormatting>
  <conditionalFormatting sqref="R1646">
    <cfRule type="cellIs" dxfId="9327" priority="9259" stopIfTrue="1" operator="greaterThan">
      <formula>0</formula>
    </cfRule>
  </conditionalFormatting>
  <conditionalFormatting sqref="R1647">
    <cfRule type="cellIs" dxfId="9326" priority="9258" stopIfTrue="1" operator="greaterThan">
      <formula>0</formula>
    </cfRule>
  </conditionalFormatting>
  <conditionalFormatting sqref="R1648">
    <cfRule type="cellIs" dxfId="9325" priority="9257" stopIfTrue="1" operator="greaterThan">
      <formula>0</formula>
    </cfRule>
  </conditionalFormatting>
  <conditionalFormatting sqref="R1649">
    <cfRule type="cellIs" dxfId="9324" priority="9256" stopIfTrue="1" operator="greaterThan">
      <formula>0</formula>
    </cfRule>
  </conditionalFormatting>
  <conditionalFormatting sqref="R1650">
    <cfRule type="cellIs" dxfId="9323" priority="9255" stopIfTrue="1" operator="greaterThan">
      <formula>0</formula>
    </cfRule>
  </conditionalFormatting>
  <conditionalFormatting sqref="R1651">
    <cfRule type="cellIs" dxfId="9322" priority="9254" stopIfTrue="1" operator="greaterThan">
      <formula>0</formula>
    </cfRule>
  </conditionalFormatting>
  <conditionalFormatting sqref="R1652">
    <cfRule type="cellIs" dxfId="9321" priority="9253" stopIfTrue="1" operator="greaterThan">
      <formula>0</formula>
    </cfRule>
  </conditionalFormatting>
  <conditionalFormatting sqref="W1643:X1643">
    <cfRule type="cellIs" dxfId="9320" priority="9252" stopIfTrue="1" operator="equal">
      <formula>"NO APLICA"</formula>
    </cfRule>
  </conditionalFormatting>
  <conditionalFormatting sqref="W1644:X1647">
    <cfRule type="cellIs" dxfId="9319" priority="9251" stopIfTrue="1" operator="equal">
      <formula>"NO APLICA"</formula>
    </cfRule>
  </conditionalFormatting>
  <conditionalFormatting sqref="W1644:X1644">
    <cfRule type="cellIs" dxfId="9318" priority="9250" stopIfTrue="1" operator="equal">
      <formula>"NO APLICA"</formula>
    </cfRule>
  </conditionalFormatting>
  <conditionalFormatting sqref="Y1643">
    <cfRule type="cellIs" dxfId="9317" priority="9249" stopIfTrue="1" operator="equal">
      <formula>"NO APLICA"</formula>
    </cfRule>
  </conditionalFormatting>
  <conditionalFormatting sqref="Y1644:Y1647">
    <cfRule type="cellIs" dxfId="9316" priority="9248" stopIfTrue="1" operator="equal">
      <formula>"NO APLICA"</formula>
    </cfRule>
  </conditionalFormatting>
  <conditionalFormatting sqref="W1648:X1651">
    <cfRule type="cellIs" dxfId="9315" priority="9247" stopIfTrue="1" operator="equal">
      <formula>"NO APLICA"</formula>
    </cfRule>
  </conditionalFormatting>
  <conditionalFormatting sqref="W1648:X1648">
    <cfRule type="cellIs" dxfId="9314" priority="9246" stopIfTrue="1" operator="equal">
      <formula>"NO APLICA"</formula>
    </cfRule>
  </conditionalFormatting>
  <conditionalFormatting sqref="Y1648:Y1651">
    <cfRule type="cellIs" dxfId="9313" priority="9245" stopIfTrue="1" operator="equal">
      <formula>"NO APLICA"</formula>
    </cfRule>
  </conditionalFormatting>
  <conditionalFormatting sqref="T1657">
    <cfRule type="cellIs" dxfId="9312" priority="9243" operator="equal">
      <formula>"CUMPLE"</formula>
    </cfRule>
    <cfRule type="cellIs" dxfId="9311" priority="9244" operator="equal">
      <formula>"NO CUMPLE"</formula>
    </cfRule>
  </conditionalFormatting>
  <conditionalFormatting sqref="T1657:T1659">
    <cfRule type="cellIs" dxfId="9310" priority="9242" operator="equal">
      <formula>"VERIFICAR"</formula>
    </cfRule>
  </conditionalFormatting>
  <conditionalFormatting sqref="AD1643:AF1647">
    <cfRule type="cellIs" dxfId="9309" priority="9240" stopIfTrue="1" operator="equal">
      <formula>"NO"</formula>
    </cfRule>
    <cfRule type="cellIs" dxfId="9308" priority="9241" stopIfTrue="1" operator="equal">
      <formula>"SI"</formula>
    </cfRule>
  </conditionalFormatting>
  <conditionalFormatting sqref="AD1648:AF1651">
    <cfRule type="cellIs" dxfId="9307" priority="9238" stopIfTrue="1" operator="equal">
      <formula>"NO"</formula>
    </cfRule>
    <cfRule type="cellIs" dxfId="9306" priority="9239" stopIfTrue="1" operator="equal">
      <formula>"SI"</formula>
    </cfRule>
  </conditionalFormatting>
  <conditionalFormatting sqref="W1652:Y1652">
    <cfRule type="cellIs" dxfId="9305" priority="9236" stopIfTrue="1" operator="equal">
      <formula>"NO"</formula>
    </cfRule>
    <cfRule type="cellIs" dxfId="9304" priority="9237" stopIfTrue="1" operator="equal">
      <formula>"SI"</formula>
    </cfRule>
  </conditionalFormatting>
  <conditionalFormatting sqref="W1652:X1652">
    <cfRule type="cellIs" dxfId="9303" priority="9235" stopIfTrue="1" operator="equal">
      <formula>"NO APLICA"</formula>
    </cfRule>
  </conditionalFormatting>
  <conditionalFormatting sqref="Y1652">
    <cfRule type="cellIs" dxfId="9302" priority="9234" stopIfTrue="1" operator="equal">
      <formula>"NO APLICA"</formula>
    </cfRule>
  </conditionalFormatting>
  <conditionalFormatting sqref="AD1652:AF1652">
    <cfRule type="cellIs" dxfId="9301" priority="9232" stopIfTrue="1" operator="equal">
      <formula>"NO"</formula>
    </cfRule>
    <cfRule type="cellIs" dxfId="9300" priority="9233" stopIfTrue="1" operator="equal">
      <formula>"SI"</formula>
    </cfRule>
  </conditionalFormatting>
  <conditionalFormatting sqref="AE1657">
    <cfRule type="cellIs" dxfId="9299" priority="9229" stopIfTrue="1" operator="equal">
      <formula>"VERIFICAR"</formula>
    </cfRule>
    <cfRule type="cellIs" dxfId="9298" priority="9230" stopIfTrue="1" operator="equal">
      <formula>"NO CUMPLE"</formula>
    </cfRule>
    <cfRule type="cellIs" dxfId="9297" priority="9231" stopIfTrue="1" operator="equal">
      <formula>"CUMPLE"</formula>
    </cfRule>
  </conditionalFormatting>
  <conditionalFormatting sqref="AF1657">
    <cfRule type="cellIs" dxfId="9296" priority="9226" stopIfTrue="1" operator="equal">
      <formula>"VERIFICAR"</formula>
    </cfRule>
    <cfRule type="cellIs" dxfId="9295" priority="9227" stopIfTrue="1" operator="equal">
      <formula>"NO CUMPLE"</formula>
    </cfRule>
    <cfRule type="cellIs" dxfId="9294" priority="9228" stopIfTrue="1" operator="equal">
      <formula>"CUMPLE"</formula>
    </cfRule>
  </conditionalFormatting>
  <conditionalFormatting sqref="Y1660">
    <cfRule type="cellIs" dxfId="9293" priority="9225" operator="equal">
      <formula>"VERIFICAR CUADRO"</formula>
    </cfRule>
  </conditionalFormatting>
  <conditionalFormatting sqref="AC1661:AC1666">
    <cfRule type="cellIs" dxfId="9292" priority="9224" stopIfTrue="1" operator="greaterThan">
      <formula>0</formula>
    </cfRule>
  </conditionalFormatting>
  <conditionalFormatting sqref="AC1661:AC1666">
    <cfRule type="cellIs" dxfId="9291" priority="9223" stopIfTrue="1" operator="greaterThan">
      <formula>0</formula>
    </cfRule>
  </conditionalFormatting>
  <conditionalFormatting sqref="AD1661:AD1666">
    <cfRule type="containsText" dxfId="9290" priority="9221" stopIfTrue="1" operator="containsText" text="NO CUMPLE">
      <formula>NOT(ISERROR(SEARCH("NO CUMPLE",AD1661)))</formula>
    </cfRule>
    <cfRule type="containsText" dxfId="9289" priority="9222" stopIfTrue="1" operator="containsText" text="CUMPLE">
      <formula>NOT(ISERROR(SEARCH("CUMPLE",AD1661)))</formula>
    </cfRule>
  </conditionalFormatting>
  <conditionalFormatting sqref="Y1666">
    <cfRule type="containsText" dxfId="9288" priority="9219" stopIfTrue="1" operator="containsText" text="NO CUMPLE">
      <formula>NOT(ISERROR(SEARCH("NO CUMPLE",Y1666)))</formula>
    </cfRule>
    <cfRule type="containsText" dxfId="9287" priority="9220" stopIfTrue="1" operator="containsText" text="CUMPLE">
      <formula>NOT(ISERROR(SEARCH("CUMPLE",Y1666)))</formula>
    </cfRule>
  </conditionalFormatting>
  <conditionalFormatting sqref="AA1643:AA1652">
    <cfRule type="cellIs" dxfId="9286" priority="9217" stopIfTrue="1" operator="equal">
      <formula>"NO APLICA"</formula>
    </cfRule>
    <cfRule type="cellIs" dxfId="9285" priority="9218" stopIfTrue="1" operator="equal">
      <formula>"TERCIARIA"</formula>
    </cfRule>
  </conditionalFormatting>
  <conditionalFormatting sqref="AB1643:AB1652">
    <cfRule type="cellIs" dxfId="9284" priority="9215" stopIfTrue="1" operator="equal">
      <formula>"N/A"</formula>
    </cfRule>
    <cfRule type="cellIs" dxfId="9283" priority="9216" stopIfTrue="1" operator="equal">
      <formula>"NO"</formula>
    </cfRule>
  </conditionalFormatting>
  <conditionalFormatting sqref="M1673:M1682">
    <cfRule type="cellIs" dxfId="9282" priority="9214" stopIfTrue="1" operator="lessThan">
      <formula>0</formula>
    </cfRule>
  </conditionalFormatting>
  <conditionalFormatting sqref="C1675:D1681 B1674:B1681 F1675:I1681 C1674:I1674 B1682:O1682 B1673:R1673 Q1674:R1675 J1674:O1681 Q1676:Q1682 P1674:P1682">
    <cfRule type="cellIs" dxfId="9281" priority="9213" stopIfTrue="1" operator="greaterThan">
      <formula>0</formula>
    </cfRule>
  </conditionalFormatting>
  <conditionalFormatting sqref="C1675:D1681">
    <cfRule type="cellIs" dxfId="9280" priority="9212" stopIfTrue="1" operator="greaterThan">
      <formula>0</formula>
    </cfRule>
  </conditionalFormatting>
  <conditionalFormatting sqref="C1673:M1673 C1675:D1681 F1675:I1681 C1674:I1674 K1674:M1681 J1674:J1682 L1682:M1682">
    <cfRule type="cellIs" dxfId="9279" priority="9211" stopIfTrue="1" operator="greaterThan">
      <formula>0</formula>
    </cfRule>
  </conditionalFormatting>
  <conditionalFormatting sqref="M1673:M1682">
    <cfRule type="cellIs" dxfId="9278" priority="9210" stopIfTrue="1" operator="lessThan">
      <formula>0</formula>
    </cfRule>
  </conditionalFormatting>
  <conditionalFormatting sqref="J1674:J1682 L1674:O1682 C1673:O1673">
    <cfRule type="cellIs" dxfId="9277" priority="9209" stopIfTrue="1" operator="greaterThan">
      <formula>0</formula>
    </cfRule>
  </conditionalFormatting>
  <conditionalFormatting sqref="H1675:I1681 K1675:M1682">
    <cfRule type="cellIs" dxfId="9276" priority="9208" stopIfTrue="1" operator="greaterThan">
      <formula>0</formula>
    </cfRule>
  </conditionalFormatting>
  <conditionalFormatting sqref="I1674">
    <cfRule type="cellIs" dxfId="9275" priority="9207" stopIfTrue="1" operator="greaterThan">
      <formula>0</formula>
    </cfRule>
  </conditionalFormatting>
  <conditionalFormatting sqref="I1682">
    <cfRule type="cellIs" dxfId="9274" priority="9206" stopIfTrue="1" operator="greaterThan">
      <formula>0</formula>
    </cfRule>
  </conditionalFormatting>
  <conditionalFormatting sqref="E1675:E1681">
    <cfRule type="cellIs" dxfId="9273" priority="9205" stopIfTrue="1" operator="greaterThan">
      <formula>0</formula>
    </cfRule>
  </conditionalFormatting>
  <conditionalFormatting sqref="K1690:K1695">
    <cfRule type="containsText" dxfId="9272" priority="9203" stopIfTrue="1" operator="containsText" text="NO CUMPLE">
      <formula>NOT(ISERROR(SEARCH("NO CUMPLE",K1690)))</formula>
    </cfRule>
    <cfRule type="containsText" dxfId="9271" priority="9204" stopIfTrue="1" operator="containsText" text="CUMPLE">
      <formula>NOT(ISERROR(SEARCH("CUMPLE",K1690)))</formula>
    </cfRule>
  </conditionalFormatting>
  <conditionalFormatting sqref="K1696">
    <cfRule type="containsText" dxfId="9270" priority="9201" stopIfTrue="1" operator="containsText" text="NO CUMPLE">
      <formula>NOT(ISERROR(SEARCH("NO CUMPLE",K1696)))</formula>
    </cfRule>
    <cfRule type="containsText" dxfId="9269" priority="9202" stopIfTrue="1" operator="containsText" text="CUMPLE">
      <formula>NOT(ISERROR(SEARCH("CUMPLE",K1696)))</formula>
    </cfRule>
  </conditionalFormatting>
  <conditionalFormatting sqref="Q1689">
    <cfRule type="cellIs" dxfId="9268" priority="9199" operator="greaterThanOrEqual">
      <formula>NUMMINCONT</formula>
    </cfRule>
    <cfRule type="cellIs" dxfId="9267" priority="9200" operator="lessThan">
      <formula>NUMMINCONT</formula>
    </cfRule>
  </conditionalFormatting>
  <conditionalFormatting sqref="W1673:Y1681">
    <cfRule type="cellIs" dxfId="9266" priority="9197" stopIfTrue="1" operator="equal">
      <formula>"NO"</formula>
    </cfRule>
    <cfRule type="cellIs" dxfId="9265" priority="9198" stopIfTrue="1" operator="equal">
      <formula>"SI"</formula>
    </cfRule>
  </conditionalFormatting>
  <conditionalFormatting sqref="R1676">
    <cfRule type="cellIs" dxfId="9264" priority="9196" stopIfTrue="1" operator="greaterThan">
      <formula>0</formula>
    </cfRule>
  </conditionalFormatting>
  <conditionalFormatting sqref="R1677">
    <cfRule type="cellIs" dxfId="9263" priority="9195" stopIfTrue="1" operator="greaterThan">
      <formula>0</formula>
    </cfRule>
  </conditionalFormatting>
  <conditionalFormatting sqref="R1678">
    <cfRule type="cellIs" dxfId="9262" priority="9194" stopIfTrue="1" operator="greaterThan">
      <formula>0</formula>
    </cfRule>
  </conditionalFormatting>
  <conditionalFormatting sqref="R1679">
    <cfRule type="cellIs" dxfId="9261" priority="9193" stopIfTrue="1" operator="greaterThan">
      <formula>0</formula>
    </cfRule>
  </conditionalFormatting>
  <conditionalFormatting sqref="R1680">
    <cfRule type="cellIs" dxfId="9260" priority="9192" stopIfTrue="1" operator="greaterThan">
      <formula>0</formula>
    </cfRule>
  </conditionalFormatting>
  <conditionalFormatting sqref="R1681">
    <cfRule type="cellIs" dxfId="9259" priority="9191" stopIfTrue="1" operator="greaterThan">
      <formula>0</formula>
    </cfRule>
  </conditionalFormatting>
  <conditionalFormatting sqref="R1682">
    <cfRule type="cellIs" dxfId="9258" priority="9190" stopIfTrue="1" operator="greaterThan">
      <formula>0</formula>
    </cfRule>
  </conditionalFormatting>
  <conditionalFormatting sqref="W1673:X1673">
    <cfRule type="cellIs" dxfId="9257" priority="9189" stopIfTrue="1" operator="equal">
      <formula>"NO APLICA"</formula>
    </cfRule>
  </conditionalFormatting>
  <conditionalFormatting sqref="W1674:X1677">
    <cfRule type="cellIs" dxfId="9256" priority="9188" stopIfTrue="1" operator="equal">
      <formula>"NO APLICA"</formula>
    </cfRule>
  </conditionalFormatting>
  <conditionalFormatting sqref="W1674:X1674">
    <cfRule type="cellIs" dxfId="9255" priority="9187" stopIfTrue="1" operator="equal">
      <formula>"NO APLICA"</formula>
    </cfRule>
  </conditionalFormatting>
  <conditionalFormatting sqref="Y1673">
    <cfRule type="cellIs" dxfId="9254" priority="9186" stopIfTrue="1" operator="equal">
      <formula>"NO APLICA"</formula>
    </cfRule>
  </conditionalFormatting>
  <conditionalFormatting sqref="Y1674:Y1677">
    <cfRule type="cellIs" dxfId="9253" priority="9185" stopIfTrue="1" operator="equal">
      <formula>"NO APLICA"</formula>
    </cfRule>
  </conditionalFormatting>
  <conditionalFormatting sqref="W1678:X1681">
    <cfRule type="cellIs" dxfId="9252" priority="9184" stopIfTrue="1" operator="equal">
      <formula>"NO APLICA"</formula>
    </cfRule>
  </conditionalFormatting>
  <conditionalFormatting sqref="W1678:X1678">
    <cfRule type="cellIs" dxfId="9251" priority="9183" stopIfTrue="1" operator="equal">
      <formula>"NO APLICA"</formula>
    </cfRule>
  </conditionalFormatting>
  <conditionalFormatting sqref="Y1678:Y1681">
    <cfRule type="cellIs" dxfId="9250" priority="9182" stopIfTrue="1" operator="equal">
      <formula>"NO APLICA"</formula>
    </cfRule>
  </conditionalFormatting>
  <conditionalFormatting sqref="T1687">
    <cfRule type="cellIs" dxfId="9249" priority="9180" operator="equal">
      <formula>"CUMPLE"</formula>
    </cfRule>
    <cfRule type="cellIs" dxfId="9248" priority="9181" operator="equal">
      <formula>"NO CUMPLE"</formula>
    </cfRule>
  </conditionalFormatting>
  <conditionalFormatting sqref="T1687:T1689">
    <cfRule type="cellIs" dxfId="9247" priority="9179" operator="equal">
      <formula>"VERIFICAR"</formula>
    </cfRule>
  </conditionalFormatting>
  <conditionalFormatting sqref="AD1673:AF1677">
    <cfRule type="cellIs" dxfId="9246" priority="9177" stopIfTrue="1" operator="equal">
      <formula>"NO"</formula>
    </cfRule>
    <cfRule type="cellIs" dxfId="9245" priority="9178" stopIfTrue="1" operator="equal">
      <formula>"SI"</formula>
    </cfRule>
  </conditionalFormatting>
  <conditionalFormatting sqref="AD1678:AF1681">
    <cfRule type="cellIs" dxfId="9244" priority="9175" stopIfTrue="1" operator="equal">
      <formula>"NO"</formula>
    </cfRule>
    <cfRule type="cellIs" dxfId="9243" priority="9176" stopIfTrue="1" operator="equal">
      <formula>"SI"</formula>
    </cfRule>
  </conditionalFormatting>
  <conditionalFormatting sqref="W1682:Y1682">
    <cfRule type="cellIs" dxfId="9242" priority="9173" stopIfTrue="1" operator="equal">
      <formula>"NO"</formula>
    </cfRule>
    <cfRule type="cellIs" dxfId="9241" priority="9174" stopIfTrue="1" operator="equal">
      <formula>"SI"</formula>
    </cfRule>
  </conditionalFormatting>
  <conditionalFormatting sqref="W1682:X1682">
    <cfRule type="cellIs" dxfId="9240" priority="9172" stopIfTrue="1" operator="equal">
      <formula>"NO APLICA"</formula>
    </cfRule>
  </conditionalFormatting>
  <conditionalFormatting sqref="Y1682">
    <cfRule type="cellIs" dxfId="9239" priority="9171" stopIfTrue="1" operator="equal">
      <formula>"NO APLICA"</formula>
    </cfRule>
  </conditionalFormatting>
  <conditionalFormatting sqref="AD1682:AF1682">
    <cfRule type="cellIs" dxfId="9238" priority="9169" stopIfTrue="1" operator="equal">
      <formula>"NO"</formula>
    </cfRule>
    <cfRule type="cellIs" dxfId="9237" priority="9170" stopIfTrue="1" operator="equal">
      <formula>"SI"</formula>
    </cfRule>
  </conditionalFormatting>
  <conditionalFormatting sqref="AE1687">
    <cfRule type="cellIs" dxfId="9236" priority="9166" stopIfTrue="1" operator="equal">
      <formula>"VERIFICAR"</formula>
    </cfRule>
    <cfRule type="cellIs" dxfId="9235" priority="9167" stopIfTrue="1" operator="equal">
      <formula>"NO CUMPLE"</formula>
    </cfRule>
    <cfRule type="cellIs" dxfId="9234" priority="9168" stopIfTrue="1" operator="equal">
      <formula>"CUMPLE"</formula>
    </cfRule>
  </conditionalFormatting>
  <conditionalFormatting sqref="AF1687">
    <cfRule type="cellIs" dxfId="9233" priority="9163" stopIfTrue="1" operator="equal">
      <formula>"VERIFICAR"</formula>
    </cfRule>
    <cfRule type="cellIs" dxfId="9232" priority="9164" stopIfTrue="1" operator="equal">
      <formula>"NO CUMPLE"</formula>
    </cfRule>
    <cfRule type="cellIs" dxfId="9231" priority="9165" stopIfTrue="1" operator="equal">
      <formula>"CUMPLE"</formula>
    </cfRule>
  </conditionalFormatting>
  <conditionalFormatting sqref="Y1690">
    <cfRule type="cellIs" dxfId="9230" priority="9162" operator="equal">
      <formula>"VERIFICAR CUADRO"</formula>
    </cfRule>
  </conditionalFormatting>
  <conditionalFormatting sqref="AC1691:AC1696">
    <cfRule type="cellIs" dxfId="9229" priority="9161" stopIfTrue="1" operator="greaterThan">
      <formula>0</formula>
    </cfRule>
  </conditionalFormatting>
  <conditionalFormatting sqref="AC1691:AC1696">
    <cfRule type="cellIs" dxfId="9228" priority="9160" stopIfTrue="1" operator="greaterThan">
      <formula>0</formula>
    </cfRule>
  </conditionalFormatting>
  <conditionalFormatting sqref="AD1691:AD1696">
    <cfRule type="containsText" dxfId="9227" priority="9158" stopIfTrue="1" operator="containsText" text="NO CUMPLE">
      <formula>NOT(ISERROR(SEARCH("NO CUMPLE",AD1691)))</formula>
    </cfRule>
    <cfRule type="containsText" dxfId="9226" priority="9159" stopIfTrue="1" operator="containsText" text="CUMPLE">
      <formula>NOT(ISERROR(SEARCH("CUMPLE",AD1691)))</formula>
    </cfRule>
  </conditionalFormatting>
  <conditionalFormatting sqref="Y1696">
    <cfRule type="containsText" dxfId="9225" priority="9156" stopIfTrue="1" operator="containsText" text="NO CUMPLE">
      <formula>NOT(ISERROR(SEARCH("NO CUMPLE",Y1696)))</formula>
    </cfRule>
    <cfRule type="containsText" dxfId="9224" priority="9157" stopIfTrue="1" operator="containsText" text="CUMPLE">
      <formula>NOT(ISERROR(SEARCH("CUMPLE",Y1696)))</formula>
    </cfRule>
  </conditionalFormatting>
  <conditionalFormatting sqref="AA1673:AA1682">
    <cfRule type="cellIs" dxfId="9223" priority="9154" stopIfTrue="1" operator="equal">
      <formula>"NO APLICA"</formula>
    </cfRule>
    <cfRule type="cellIs" dxfId="9222" priority="9155" stopIfTrue="1" operator="equal">
      <formula>"TERCIARIA"</formula>
    </cfRule>
  </conditionalFormatting>
  <conditionalFormatting sqref="AB1673:AB1682">
    <cfRule type="cellIs" dxfId="9221" priority="9152" stopIfTrue="1" operator="equal">
      <formula>"N/A"</formula>
    </cfRule>
    <cfRule type="cellIs" dxfId="9220" priority="9153" stopIfTrue="1" operator="equal">
      <formula>"NO"</formula>
    </cfRule>
  </conditionalFormatting>
  <conditionalFormatting sqref="M1703:M1712">
    <cfRule type="cellIs" dxfId="9219" priority="9151" stopIfTrue="1" operator="lessThan">
      <formula>0</formula>
    </cfRule>
  </conditionalFormatting>
  <conditionalFormatting sqref="C1705:D1711 B1704:B1711 F1705:I1711 C1704:I1704 B1712:O1712 B1703:R1703 Q1704:R1705 J1704:O1711 Q1706:Q1712 P1704:P1712">
    <cfRule type="cellIs" dxfId="9218" priority="9150" stopIfTrue="1" operator="greaterThan">
      <formula>0</formula>
    </cfRule>
  </conditionalFormatting>
  <conditionalFormatting sqref="C1705:D1711">
    <cfRule type="cellIs" dxfId="9217" priority="9149" stopIfTrue="1" operator="greaterThan">
      <formula>0</formula>
    </cfRule>
  </conditionalFormatting>
  <conditionalFormatting sqref="C1703:M1703 C1705:D1711 F1705:I1711 C1704:I1704 K1704:M1711 J1704:J1712 L1712:M1712">
    <cfRule type="cellIs" dxfId="9216" priority="9148" stopIfTrue="1" operator="greaterThan">
      <formula>0</formula>
    </cfRule>
  </conditionalFormatting>
  <conditionalFormatting sqref="M1703:M1712">
    <cfRule type="cellIs" dxfId="9215" priority="9147" stopIfTrue="1" operator="lessThan">
      <formula>0</formula>
    </cfRule>
  </conditionalFormatting>
  <conditionalFormatting sqref="J1704:J1712 L1704:O1712 C1703:O1703">
    <cfRule type="cellIs" dxfId="9214" priority="9146" stopIfTrue="1" operator="greaterThan">
      <formula>0</formula>
    </cfRule>
  </conditionalFormatting>
  <conditionalFormatting sqref="H1705:I1711 K1705:M1712">
    <cfRule type="cellIs" dxfId="9213" priority="9145" stopIfTrue="1" operator="greaterThan">
      <formula>0</formula>
    </cfRule>
  </conditionalFormatting>
  <conditionalFormatting sqref="I1704">
    <cfRule type="cellIs" dxfId="9212" priority="9144" stopIfTrue="1" operator="greaterThan">
      <formula>0</formula>
    </cfRule>
  </conditionalFormatting>
  <conditionalFormatting sqref="I1712">
    <cfRule type="cellIs" dxfId="9211" priority="9143" stopIfTrue="1" operator="greaterThan">
      <formula>0</formula>
    </cfRule>
  </conditionalFormatting>
  <conditionalFormatting sqref="E1705:E1711">
    <cfRule type="cellIs" dxfId="9210" priority="9142" stopIfTrue="1" operator="greaterThan">
      <formula>0</formula>
    </cfRule>
  </conditionalFormatting>
  <conditionalFormatting sqref="K1720:K1725">
    <cfRule type="containsText" dxfId="9209" priority="9140" stopIfTrue="1" operator="containsText" text="NO CUMPLE">
      <formula>NOT(ISERROR(SEARCH("NO CUMPLE",K1720)))</formula>
    </cfRule>
    <cfRule type="containsText" dxfId="9208" priority="9141" stopIfTrue="1" operator="containsText" text="CUMPLE">
      <formula>NOT(ISERROR(SEARCH("CUMPLE",K1720)))</formula>
    </cfRule>
  </conditionalFormatting>
  <conditionalFormatting sqref="K1726">
    <cfRule type="containsText" dxfId="9207" priority="9138" stopIfTrue="1" operator="containsText" text="NO CUMPLE">
      <formula>NOT(ISERROR(SEARCH("NO CUMPLE",K1726)))</formula>
    </cfRule>
    <cfRule type="containsText" dxfId="9206" priority="9139" stopIfTrue="1" operator="containsText" text="CUMPLE">
      <formula>NOT(ISERROR(SEARCH("CUMPLE",K1726)))</formula>
    </cfRule>
  </conditionalFormatting>
  <conditionalFormatting sqref="Q1719">
    <cfRule type="cellIs" dxfId="9205" priority="9136" operator="greaterThanOrEqual">
      <formula>NUMMINCONT</formula>
    </cfRule>
    <cfRule type="cellIs" dxfId="9204" priority="9137" operator="lessThan">
      <formula>NUMMINCONT</formula>
    </cfRule>
  </conditionalFormatting>
  <conditionalFormatting sqref="W1703:Y1711">
    <cfRule type="cellIs" dxfId="9203" priority="9134" stopIfTrue="1" operator="equal">
      <formula>"NO"</formula>
    </cfRule>
    <cfRule type="cellIs" dxfId="9202" priority="9135" stopIfTrue="1" operator="equal">
      <formula>"SI"</formula>
    </cfRule>
  </conditionalFormatting>
  <conditionalFormatting sqref="R1706">
    <cfRule type="cellIs" dxfId="9201" priority="9133" stopIfTrue="1" operator="greaterThan">
      <formula>0</formula>
    </cfRule>
  </conditionalFormatting>
  <conditionalFormatting sqref="R1707">
    <cfRule type="cellIs" dxfId="9200" priority="9132" stopIfTrue="1" operator="greaterThan">
      <formula>0</formula>
    </cfRule>
  </conditionalFormatting>
  <conditionalFormatting sqref="R1708">
    <cfRule type="cellIs" dxfId="9199" priority="9131" stopIfTrue="1" operator="greaterThan">
      <formula>0</formula>
    </cfRule>
  </conditionalFormatting>
  <conditionalFormatting sqref="R1709">
    <cfRule type="cellIs" dxfId="9198" priority="9130" stopIfTrue="1" operator="greaterThan">
      <formula>0</formula>
    </cfRule>
  </conditionalFormatting>
  <conditionalFormatting sqref="R1710">
    <cfRule type="cellIs" dxfId="9197" priority="9129" stopIfTrue="1" operator="greaterThan">
      <formula>0</formula>
    </cfRule>
  </conditionalFormatting>
  <conditionalFormatting sqref="R1711">
    <cfRule type="cellIs" dxfId="9196" priority="9128" stopIfTrue="1" operator="greaterThan">
      <formula>0</formula>
    </cfRule>
  </conditionalFormatting>
  <conditionalFormatting sqref="R1712">
    <cfRule type="cellIs" dxfId="9195" priority="9127" stopIfTrue="1" operator="greaterThan">
      <formula>0</formula>
    </cfRule>
  </conditionalFormatting>
  <conditionalFormatting sqref="W1703:X1703">
    <cfRule type="cellIs" dxfId="9194" priority="9126" stopIfTrue="1" operator="equal">
      <formula>"NO APLICA"</formula>
    </cfRule>
  </conditionalFormatting>
  <conditionalFormatting sqref="W1704:X1707">
    <cfRule type="cellIs" dxfId="9193" priority="9125" stopIfTrue="1" operator="equal">
      <formula>"NO APLICA"</formula>
    </cfRule>
  </conditionalFormatting>
  <conditionalFormatting sqref="W1704:X1704">
    <cfRule type="cellIs" dxfId="9192" priority="9124" stopIfTrue="1" operator="equal">
      <formula>"NO APLICA"</formula>
    </cfRule>
  </conditionalFormatting>
  <conditionalFormatting sqref="Y1703">
    <cfRule type="cellIs" dxfId="9191" priority="9123" stopIfTrue="1" operator="equal">
      <formula>"NO APLICA"</formula>
    </cfRule>
  </conditionalFormatting>
  <conditionalFormatting sqref="Y1704:Y1707">
    <cfRule type="cellIs" dxfId="9190" priority="9122" stopIfTrue="1" operator="equal">
      <formula>"NO APLICA"</formula>
    </cfRule>
  </conditionalFormatting>
  <conditionalFormatting sqref="W1708:X1711">
    <cfRule type="cellIs" dxfId="9189" priority="9121" stopIfTrue="1" operator="equal">
      <formula>"NO APLICA"</formula>
    </cfRule>
  </conditionalFormatting>
  <conditionalFormatting sqref="W1708:X1708">
    <cfRule type="cellIs" dxfId="9188" priority="9120" stopIfTrue="1" operator="equal">
      <formula>"NO APLICA"</formula>
    </cfRule>
  </conditionalFormatting>
  <conditionalFormatting sqref="Y1708:Y1711">
    <cfRule type="cellIs" dxfId="9187" priority="9119" stopIfTrue="1" operator="equal">
      <formula>"NO APLICA"</formula>
    </cfRule>
  </conditionalFormatting>
  <conditionalFormatting sqref="T1717">
    <cfRule type="cellIs" dxfId="9186" priority="9117" operator="equal">
      <formula>"CUMPLE"</formula>
    </cfRule>
    <cfRule type="cellIs" dxfId="9185" priority="9118" operator="equal">
      <formula>"NO CUMPLE"</formula>
    </cfRule>
  </conditionalFormatting>
  <conditionalFormatting sqref="T1717:T1719">
    <cfRule type="cellIs" dxfId="9184" priority="9116" operator="equal">
      <formula>"VERIFICAR"</formula>
    </cfRule>
  </conditionalFormatting>
  <conditionalFormatting sqref="AD1703:AF1707">
    <cfRule type="cellIs" dxfId="9183" priority="9114" stopIfTrue="1" operator="equal">
      <formula>"NO"</formula>
    </cfRule>
    <cfRule type="cellIs" dxfId="9182" priority="9115" stopIfTrue="1" operator="equal">
      <formula>"SI"</formula>
    </cfRule>
  </conditionalFormatting>
  <conditionalFormatting sqref="AD1708:AF1711">
    <cfRule type="cellIs" dxfId="9181" priority="9112" stopIfTrue="1" operator="equal">
      <formula>"NO"</formula>
    </cfRule>
    <cfRule type="cellIs" dxfId="9180" priority="9113" stopIfTrue="1" operator="equal">
      <formula>"SI"</formula>
    </cfRule>
  </conditionalFormatting>
  <conditionalFormatting sqref="W1712:Y1712">
    <cfRule type="cellIs" dxfId="9179" priority="9110" stopIfTrue="1" operator="equal">
      <formula>"NO"</formula>
    </cfRule>
    <cfRule type="cellIs" dxfId="9178" priority="9111" stopIfTrue="1" operator="equal">
      <formula>"SI"</formula>
    </cfRule>
  </conditionalFormatting>
  <conditionalFormatting sqref="W1712:X1712">
    <cfRule type="cellIs" dxfId="9177" priority="9109" stopIfTrue="1" operator="equal">
      <formula>"NO APLICA"</formula>
    </cfRule>
  </conditionalFormatting>
  <conditionalFormatting sqref="Y1712">
    <cfRule type="cellIs" dxfId="9176" priority="9108" stopIfTrue="1" operator="equal">
      <formula>"NO APLICA"</formula>
    </cfRule>
  </conditionalFormatting>
  <conditionalFormatting sqref="AD1712:AF1712">
    <cfRule type="cellIs" dxfId="9175" priority="9106" stopIfTrue="1" operator="equal">
      <formula>"NO"</formula>
    </cfRule>
    <cfRule type="cellIs" dxfId="9174" priority="9107" stopIfTrue="1" operator="equal">
      <formula>"SI"</formula>
    </cfRule>
  </conditionalFormatting>
  <conditionalFormatting sqref="AE1717">
    <cfRule type="cellIs" dxfId="9173" priority="9103" stopIfTrue="1" operator="equal">
      <formula>"VERIFICAR"</formula>
    </cfRule>
    <cfRule type="cellIs" dxfId="9172" priority="9104" stopIfTrue="1" operator="equal">
      <formula>"NO CUMPLE"</formula>
    </cfRule>
    <cfRule type="cellIs" dxfId="9171" priority="9105" stopIfTrue="1" operator="equal">
      <formula>"CUMPLE"</formula>
    </cfRule>
  </conditionalFormatting>
  <conditionalFormatting sqref="AF1717">
    <cfRule type="cellIs" dxfId="9170" priority="9100" stopIfTrue="1" operator="equal">
      <formula>"VERIFICAR"</formula>
    </cfRule>
    <cfRule type="cellIs" dxfId="9169" priority="9101" stopIfTrue="1" operator="equal">
      <formula>"NO CUMPLE"</formula>
    </cfRule>
    <cfRule type="cellIs" dxfId="9168" priority="9102" stopIfTrue="1" operator="equal">
      <formula>"CUMPLE"</formula>
    </cfRule>
  </conditionalFormatting>
  <conditionalFormatting sqref="Y1720">
    <cfRule type="cellIs" dxfId="9167" priority="9099" operator="equal">
      <formula>"VERIFICAR CUADRO"</formula>
    </cfRule>
  </conditionalFormatting>
  <conditionalFormatting sqref="AC1721:AC1726">
    <cfRule type="cellIs" dxfId="9166" priority="9098" stopIfTrue="1" operator="greaterThan">
      <formula>0</formula>
    </cfRule>
  </conditionalFormatting>
  <conditionalFormatting sqref="AC1721:AC1726">
    <cfRule type="cellIs" dxfId="9165" priority="9097" stopIfTrue="1" operator="greaterThan">
      <formula>0</formula>
    </cfRule>
  </conditionalFormatting>
  <conditionalFormatting sqref="AD1721:AD1726">
    <cfRule type="containsText" dxfId="9164" priority="9095" stopIfTrue="1" operator="containsText" text="NO CUMPLE">
      <formula>NOT(ISERROR(SEARCH("NO CUMPLE",AD1721)))</formula>
    </cfRule>
    <cfRule type="containsText" dxfId="9163" priority="9096" stopIfTrue="1" operator="containsText" text="CUMPLE">
      <formula>NOT(ISERROR(SEARCH("CUMPLE",AD1721)))</formula>
    </cfRule>
  </conditionalFormatting>
  <conditionalFormatting sqref="Y1726">
    <cfRule type="containsText" dxfId="9162" priority="9093" stopIfTrue="1" operator="containsText" text="NO CUMPLE">
      <formula>NOT(ISERROR(SEARCH("NO CUMPLE",Y1726)))</formula>
    </cfRule>
    <cfRule type="containsText" dxfId="9161" priority="9094" stopIfTrue="1" operator="containsText" text="CUMPLE">
      <formula>NOT(ISERROR(SEARCH("CUMPLE",Y1726)))</formula>
    </cfRule>
  </conditionalFormatting>
  <conditionalFormatting sqref="AA1703:AA1712">
    <cfRule type="cellIs" dxfId="9160" priority="9091" stopIfTrue="1" operator="equal">
      <formula>"NO APLICA"</formula>
    </cfRule>
    <cfRule type="cellIs" dxfId="9159" priority="9092" stopIfTrue="1" operator="equal">
      <formula>"TERCIARIA"</formula>
    </cfRule>
  </conditionalFormatting>
  <conditionalFormatting sqref="AB1703:AB1712">
    <cfRule type="cellIs" dxfId="9158" priority="9089" stopIfTrue="1" operator="equal">
      <formula>"N/A"</formula>
    </cfRule>
    <cfRule type="cellIs" dxfId="9157" priority="9090" stopIfTrue="1" operator="equal">
      <formula>"NO"</formula>
    </cfRule>
  </conditionalFormatting>
  <conditionalFormatting sqref="M1733:M1742">
    <cfRule type="cellIs" dxfId="9156" priority="9088" stopIfTrue="1" operator="lessThan">
      <formula>0</formula>
    </cfRule>
  </conditionalFormatting>
  <conditionalFormatting sqref="C1735:D1741 B1734:B1741 F1735:I1741 C1734:I1734 B1742:O1742 B1733:R1733 Q1734:R1735 J1734:O1741 Q1736:Q1742 P1734:P1742">
    <cfRule type="cellIs" dxfId="9155" priority="9087" stopIfTrue="1" operator="greaterThan">
      <formula>0</formula>
    </cfRule>
  </conditionalFormatting>
  <conditionalFormatting sqref="C1735:D1741">
    <cfRule type="cellIs" dxfId="9154" priority="9086" stopIfTrue="1" operator="greaterThan">
      <formula>0</formula>
    </cfRule>
  </conditionalFormatting>
  <conditionalFormatting sqref="C1733:M1733 C1735:D1741 F1735:I1741 C1734:I1734 K1734:M1741 J1734:J1742 L1742:M1742">
    <cfRule type="cellIs" dxfId="9153" priority="9085" stopIfTrue="1" operator="greaterThan">
      <formula>0</formula>
    </cfRule>
  </conditionalFormatting>
  <conditionalFormatting sqref="M1733:M1742">
    <cfRule type="cellIs" dxfId="9152" priority="9084" stopIfTrue="1" operator="lessThan">
      <formula>0</formula>
    </cfRule>
  </conditionalFormatting>
  <conditionalFormatting sqref="J1734:J1742 L1734:O1742 C1733:O1733">
    <cfRule type="cellIs" dxfId="9151" priority="9083" stopIfTrue="1" operator="greaterThan">
      <formula>0</formula>
    </cfRule>
  </conditionalFormatting>
  <conditionalFormatting sqref="H1735:I1741 K1735:M1742">
    <cfRule type="cellIs" dxfId="9150" priority="9082" stopIfTrue="1" operator="greaterThan">
      <formula>0</formula>
    </cfRule>
  </conditionalFormatting>
  <conditionalFormatting sqref="I1734">
    <cfRule type="cellIs" dxfId="9149" priority="9081" stopIfTrue="1" operator="greaterThan">
      <formula>0</formula>
    </cfRule>
  </conditionalFormatting>
  <conditionalFormatting sqref="I1742">
    <cfRule type="cellIs" dxfId="9148" priority="9080" stopIfTrue="1" operator="greaterThan">
      <formula>0</formula>
    </cfRule>
  </conditionalFormatting>
  <conditionalFormatting sqref="E1735:E1741">
    <cfRule type="cellIs" dxfId="9147" priority="9079" stopIfTrue="1" operator="greaterThan">
      <formula>0</formula>
    </cfRule>
  </conditionalFormatting>
  <conditionalFormatting sqref="K1750:K1755">
    <cfRule type="containsText" dxfId="9146" priority="9077" stopIfTrue="1" operator="containsText" text="NO CUMPLE">
      <formula>NOT(ISERROR(SEARCH("NO CUMPLE",K1750)))</formula>
    </cfRule>
    <cfRule type="containsText" dxfId="9145" priority="9078" stopIfTrue="1" operator="containsText" text="CUMPLE">
      <formula>NOT(ISERROR(SEARCH("CUMPLE",K1750)))</formula>
    </cfRule>
  </conditionalFormatting>
  <conditionalFormatting sqref="K1756">
    <cfRule type="containsText" dxfId="9144" priority="9075" stopIfTrue="1" operator="containsText" text="NO CUMPLE">
      <formula>NOT(ISERROR(SEARCH("NO CUMPLE",K1756)))</formula>
    </cfRule>
    <cfRule type="containsText" dxfId="9143" priority="9076" stopIfTrue="1" operator="containsText" text="CUMPLE">
      <formula>NOT(ISERROR(SEARCH("CUMPLE",K1756)))</formula>
    </cfRule>
  </conditionalFormatting>
  <conditionalFormatting sqref="Q1749">
    <cfRule type="cellIs" dxfId="9142" priority="9073" operator="greaterThanOrEqual">
      <formula>NUMMINCONT</formula>
    </cfRule>
    <cfRule type="cellIs" dxfId="9141" priority="9074" operator="lessThan">
      <formula>NUMMINCONT</formula>
    </cfRule>
  </conditionalFormatting>
  <conditionalFormatting sqref="W1733:Y1741">
    <cfRule type="cellIs" dxfId="9140" priority="9071" stopIfTrue="1" operator="equal">
      <formula>"NO"</formula>
    </cfRule>
    <cfRule type="cellIs" dxfId="9139" priority="9072" stopIfTrue="1" operator="equal">
      <formula>"SI"</formula>
    </cfRule>
  </conditionalFormatting>
  <conditionalFormatting sqref="R1736">
    <cfRule type="cellIs" dxfId="9138" priority="9070" stopIfTrue="1" operator="greaterThan">
      <formula>0</formula>
    </cfRule>
  </conditionalFormatting>
  <conditionalFormatting sqref="R1737">
    <cfRule type="cellIs" dxfId="9137" priority="9069" stopIfTrue="1" operator="greaterThan">
      <formula>0</formula>
    </cfRule>
  </conditionalFormatting>
  <conditionalFormatting sqref="R1738">
    <cfRule type="cellIs" dxfId="9136" priority="9068" stopIfTrue="1" operator="greaterThan">
      <formula>0</formula>
    </cfRule>
  </conditionalFormatting>
  <conditionalFormatting sqref="R1739">
    <cfRule type="cellIs" dxfId="9135" priority="9067" stopIfTrue="1" operator="greaterThan">
      <formula>0</formula>
    </cfRule>
  </conditionalFormatting>
  <conditionalFormatting sqref="R1740">
    <cfRule type="cellIs" dxfId="9134" priority="9066" stopIfTrue="1" operator="greaterThan">
      <formula>0</formula>
    </cfRule>
  </conditionalFormatting>
  <conditionalFormatting sqref="R1741">
    <cfRule type="cellIs" dxfId="9133" priority="9065" stopIfTrue="1" operator="greaterThan">
      <formula>0</formula>
    </cfRule>
  </conditionalFormatting>
  <conditionalFormatting sqref="R1742">
    <cfRule type="cellIs" dxfId="9132" priority="9064" stopIfTrue="1" operator="greaterThan">
      <formula>0</formula>
    </cfRule>
  </conditionalFormatting>
  <conditionalFormatting sqref="W1733:X1733">
    <cfRule type="cellIs" dxfId="9131" priority="9063" stopIfTrue="1" operator="equal">
      <formula>"NO APLICA"</formula>
    </cfRule>
  </conditionalFormatting>
  <conditionalFormatting sqref="W1734:X1737">
    <cfRule type="cellIs" dxfId="9130" priority="9062" stopIfTrue="1" operator="equal">
      <formula>"NO APLICA"</formula>
    </cfRule>
  </conditionalFormatting>
  <conditionalFormatting sqref="W1734:X1734">
    <cfRule type="cellIs" dxfId="9129" priority="9061" stopIfTrue="1" operator="equal">
      <formula>"NO APLICA"</formula>
    </cfRule>
  </conditionalFormatting>
  <conditionalFormatting sqref="Y1733">
    <cfRule type="cellIs" dxfId="9128" priority="9060" stopIfTrue="1" operator="equal">
      <formula>"NO APLICA"</formula>
    </cfRule>
  </conditionalFormatting>
  <conditionalFormatting sqref="Y1734:Y1737">
    <cfRule type="cellIs" dxfId="9127" priority="9059" stopIfTrue="1" operator="equal">
      <formula>"NO APLICA"</formula>
    </cfRule>
  </conditionalFormatting>
  <conditionalFormatting sqref="W1738:X1741">
    <cfRule type="cellIs" dxfId="9126" priority="9058" stopIfTrue="1" operator="equal">
      <formula>"NO APLICA"</formula>
    </cfRule>
  </conditionalFormatting>
  <conditionalFormatting sqref="W1738:X1738">
    <cfRule type="cellIs" dxfId="9125" priority="9057" stopIfTrue="1" operator="equal">
      <formula>"NO APLICA"</formula>
    </cfRule>
  </conditionalFormatting>
  <conditionalFormatting sqref="Y1738:Y1741">
    <cfRule type="cellIs" dxfId="9124" priority="9056" stopIfTrue="1" operator="equal">
      <formula>"NO APLICA"</formula>
    </cfRule>
  </conditionalFormatting>
  <conditionalFormatting sqref="T1747">
    <cfRule type="cellIs" dxfId="9123" priority="9054" operator="equal">
      <formula>"CUMPLE"</formula>
    </cfRule>
    <cfRule type="cellIs" dxfId="9122" priority="9055" operator="equal">
      <formula>"NO CUMPLE"</formula>
    </cfRule>
  </conditionalFormatting>
  <conditionalFormatting sqref="T1747:T1749">
    <cfRule type="cellIs" dxfId="9121" priority="9053" operator="equal">
      <formula>"VERIFICAR"</formula>
    </cfRule>
  </conditionalFormatting>
  <conditionalFormatting sqref="AD1733:AF1737">
    <cfRule type="cellIs" dxfId="9120" priority="9051" stopIfTrue="1" operator="equal">
      <formula>"NO"</formula>
    </cfRule>
    <cfRule type="cellIs" dxfId="9119" priority="9052" stopIfTrue="1" operator="equal">
      <formula>"SI"</formula>
    </cfRule>
  </conditionalFormatting>
  <conditionalFormatting sqref="AD1738:AF1741">
    <cfRule type="cellIs" dxfId="9118" priority="9049" stopIfTrue="1" operator="equal">
      <formula>"NO"</formula>
    </cfRule>
    <cfRule type="cellIs" dxfId="9117" priority="9050" stopIfTrue="1" operator="equal">
      <formula>"SI"</formula>
    </cfRule>
  </conditionalFormatting>
  <conditionalFormatting sqref="W1742:Y1742">
    <cfRule type="cellIs" dxfId="9116" priority="9047" stopIfTrue="1" operator="equal">
      <formula>"NO"</formula>
    </cfRule>
    <cfRule type="cellIs" dxfId="9115" priority="9048" stopIfTrue="1" operator="equal">
      <formula>"SI"</formula>
    </cfRule>
  </conditionalFormatting>
  <conditionalFormatting sqref="W1742:X1742">
    <cfRule type="cellIs" dxfId="9114" priority="9046" stopIfTrue="1" operator="equal">
      <formula>"NO APLICA"</formula>
    </cfRule>
  </conditionalFormatting>
  <conditionalFormatting sqref="Y1742">
    <cfRule type="cellIs" dxfId="9113" priority="9045" stopIfTrue="1" operator="equal">
      <formula>"NO APLICA"</formula>
    </cfRule>
  </conditionalFormatting>
  <conditionalFormatting sqref="AD1742:AF1742">
    <cfRule type="cellIs" dxfId="9112" priority="9043" stopIfTrue="1" operator="equal">
      <formula>"NO"</formula>
    </cfRule>
    <cfRule type="cellIs" dxfId="9111" priority="9044" stopIfTrue="1" operator="equal">
      <formula>"SI"</formula>
    </cfRule>
  </conditionalFormatting>
  <conditionalFormatting sqref="AE1747">
    <cfRule type="cellIs" dxfId="9110" priority="9040" stopIfTrue="1" operator="equal">
      <formula>"VERIFICAR"</formula>
    </cfRule>
    <cfRule type="cellIs" dxfId="9109" priority="9041" stopIfTrue="1" operator="equal">
      <formula>"NO CUMPLE"</formula>
    </cfRule>
    <cfRule type="cellIs" dxfId="9108" priority="9042" stopIfTrue="1" operator="equal">
      <formula>"CUMPLE"</formula>
    </cfRule>
  </conditionalFormatting>
  <conditionalFormatting sqref="AF1747">
    <cfRule type="cellIs" dxfId="9107" priority="9037" stopIfTrue="1" operator="equal">
      <formula>"VERIFICAR"</formula>
    </cfRule>
    <cfRule type="cellIs" dxfId="9106" priority="9038" stopIfTrue="1" operator="equal">
      <formula>"NO CUMPLE"</formula>
    </cfRule>
    <cfRule type="cellIs" dxfId="9105" priority="9039" stopIfTrue="1" operator="equal">
      <formula>"CUMPLE"</formula>
    </cfRule>
  </conditionalFormatting>
  <conditionalFormatting sqref="Y1750">
    <cfRule type="cellIs" dxfId="9104" priority="9036" operator="equal">
      <formula>"VERIFICAR CUADRO"</formula>
    </cfRule>
  </conditionalFormatting>
  <conditionalFormatting sqref="AC1751:AC1756">
    <cfRule type="cellIs" dxfId="9103" priority="9035" stopIfTrue="1" operator="greaterThan">
      <formula>0</formula>
    </cfRule>
  </conditionalFormatting>
  <conditionalFormatting sqref="AC1751:AC1756">
    <cfRule type="cellIs" dxfId="9102" priority="9034" stopIfTrue="1" operator="greaterThan">
      <formula>0</formula>
    </cfRule>
  </conditionalFormatting>
  <conditionalFormatting sqref="AD1751:AD1756">
    <cfRule type="containsText" dxfId="9101" priority="9032" stopIfTrue="1" operator="containsText" text="NO CUMPLE">
      <formula>NOT(ISERROR(SEARCH("NO CUMPLE",AD1751)))</formula>
    </cfRule>
    <cfRule type="containsText" dxfId="9100" priority="9033" stopIfTrue="1" operator="containsText" text="CUMPLE">
      <formula>NOT(ISERROR(SEARCH("CUMPLE",AD1751)))</formula>
    </cfRule>
  </conditionalFormatting>
  <conditionalFormatting sqref="Y1756">
    <cfRule type="containsText" dxfId="9099" priority="9030" stopIfTrue="1" operator="containsText" text="NO CUMPLE">
      <formula>NOT(ISERROR(SEARCH("NO CUMPLE",Y1756)))</formula>
    </cfRule>
    <cfRule type="containsText" dxfId="9098" priority="9031" stopIfTrue="1" operator="containsText" text="CUMPLE">
      <formula>NOT(ISERROR(SEARCH("CUMPLE",Y1756)))</formula>
    </cfRule>
  </conditionalFormatting>
  <conditionalFormatting sqref="AA1733:AA1742">
    <cfRule type="cellIs" dxfId="9097" priority="9028" stopIfTrue="1" operator="equal">
      <formula>"NO APLICA"</formula>
    </cfRule>
    <cfRule type="cellIs" dxfId="9096" priority="9029" stopIfTrue="1" operator="equal">
      <formula>"TERCIARIA"</formula>
    </cfRule>
  </conditionalFormatting>
  <conditionalFormatting sqref="AB1733:AB1742">
    <cfRule type="cellIs" dxfId="9095" priority="9026" stopIfTrue="1" operator="equal">
      <formula>"N/A"</formula>
    </cfRule>
    <cfRule type="cellIs" dxfId="9094" priority="9027" stopIfTrue="1" operator="equal">
      <formula>"NO"</formula>
    </cfRule>
  </conditionalFormatting>
  <conditionalFormatting sqref="M1763:M1772">
    <cfRule type="cellIs" dxfId="9093" priority="9025" stopIfTrue="1" operator="lessThan">
      <formula>0</formula>
    </cfRule>
  </conditionalFormatting>
  <conditionalFormatting sqref="C1765:D1771 B1764:B1771 F1765:I1771 C1764:I1764 B1772:O1772 B1763:R1763 Q1764:R1765 J1764:O1771 Q1766:Q1772 P1764:P1772">
    <cfRule type="cellIs" dxfId="9092" priority="9024" stopIfTrue="1" operator="greaterThan">
      <formula>0</formula>
    </cfRule>
  </conditionalFormatting>
  <conditionalFormatting sqref="C1765:D1771">
    <cfRule type="cellIs" dxfId="9091" priority="9023" stopIfTrue="1" operator="greaterThan">
      <formula>0</formula>
    </cfRule>
  </conditionalFormatting>
  <conditionalFormatting sqref="C1763:M1763 C1765:D1771 F1765:I1771 C1764:I1764 K1764:M1771 J1764:J1772 L1772:M1772">
    <cfRule type="cellIs" dxfId="9090" priority="9022" stopIfTrue="1" operator="greaterThan">
      <formula>0</formula>
    </cfRule>
  </conditionalFormatting>
  <conditionalFormatting sqref="M1763:M1772">
    <cfRule type="cellIs" dxfId="9089" priority="9021" stopIfTrue="1" operator="lessThan">
      <formula>0</formula>
    </cfRule>
  </conditionalFormatting>
  <conditionalFormatting sqref="J1764:J1772 L1764:O1772 C1763:O1763">
    <cfRule type="cellIs" dxfId="9088" priority="9020" stopIfTrue="1" operator="greaterThan">
      <formula>0</formula>
    </cfRule>
  </conditionalFormatting>
  <conditionalFormatting sqref="H1765:I1771 K1765:M1772">
    <cfRule type="cellIs" dxfId="9087" priority="9019" stopIfTrue="1" operator="greaterThan">
      <formula>0</formula>
    </cfRule>
  </conditionalFormatting>
  <conditionalFormatting sqref="I1764">
    <cfRule type="cellIs" dxfId="9086" priority="9018" stopIfTrue="1" operator="greaterThan">
      <formula>0</formula>
    </cfRule>
  </conditionalFormatting>
  <conditionalFormatting sqref="I1772">
    <cfRule type="cellIs" dxfId="9085" priority="9017" stopIfTrue="1" operator="greaterThan">
      <formula>0</formula>
    </cfRule>
  </conditionalFormatting>
  <conditionalFormatting sqref="E1765:E1771">
    <cfRule type="cellIs" dxfId="9084" priority="9016" stopIfTrue="1" operator="greaterThan">
      <formula>0</formula>
    </cfRule>
  </conditionalFormatting>
  <conditionalFormatting sqref="K1780:K1785">
    <cfRule type="containsText" dxfId="9083" priority="9014" stopIfTrue="1" operator="containsText" text="NO CUMPLE">
      <formula>NOT(ISERROR(SEARCH("NO CUMPLE",K1780)))</formula>
    </cfRule>
    <cfRule type="containsText" dxfId="9082" priority="9015" stopIfTrue="1" operator="containsText" text="CUMPLE">
      <formula>NOT(ISERROR(SEARCH("CUMPLE",K1780)))</formula>
    </cfRule>
  </conditionalFormatting>
  <conditionalFormatting sqref="K1786">
    <cfRule type="containsText" dxfId="9081" priority="9012" stopIfTrue="1" operator="containsText" text="NO CUMPLE">
      <formula>NOT(ISERROR(SEARCH("NO CUMPLE",K1786)))</formula>
    </cfRule>
    <cfRule type="containsText" dxfId="9080" priority="9013" stopIfTrue="1" operator="containsText" text="CUMPLE">
      <formula>NOT(ISERROR(SEARCH("CUMPLE",K1786)))</formula>
    </cfRule>
  </conditionalFormatting>
  <conditionalFormatting sqref="Q1779">
    <cfRule type="cellIs" dxfId="9079" priority="9010" operator="greaterThanOrEqual">
      <formula>NUMMINCONT</formula>
    </cfRule>
    <cfRule type="cellIs" dxfId="9078" priority="9011" operator="lessThan">
      <formula>NUMMINCONT</formula>
    </cfRule>
  </conditionalFormatting>
  <conditionalFormatting sqref="W1763:Y1771">
    <cfRule type="cellIs" dxfId="9077" priority="9008" stopIfTrue="1" operator="equal">
      <formula>"NO"</formula>
    </cfRule>
    <cfRule type="cellIs" dxfId="9076" priority="9009" stopIfTrue="1" operator="equal">
      <formula>"SI"</formula>
    </cfRule>
  </conditionalFormatting>
  <conditionalFormatting sqref="R1766">
    <cfRule type="cellIs" dxfId="9075" priority="9007" stopIfTrue="1" operator="greaterThan">
      <formula>0</formula>
    </cfRule>
  </conditionalFormatting>
  <conditionalFormatting sqref="R1767">
    <cfRule type="cellIs" dxfId="9074" priority="9006" stopIfTrue="1" operator="greaterThan">
      <formula>0</formula>
    </cfRule>
  </conditionalFormatting>
  <conditionalFormatting sqref="R1768">
    <cfRule type="cellIs" dxfId="9073" priority="9005" stopIfTrue="1" operator="greaterThan">
      <formula>0</formula>
    </cfRule>
  </conditionalFormatting>
  <conditionalFormatting sqref="R1769">
    <cfRule type="cellIs" dxfId="9072" priority="9004" stopIfTrue="1" operator="greaterThan">
      <formula>0</formula>
    </cfRule>
  </conditionalFormatting>
  <conditionalFormatting sqref="R1770">
    <cfRule type="cellIs" dxfId="9071" priority="9003" stopIfTrue="1" operator="greaterThan">
      <formula>0</formula>
    </cfRule>
  </conditionalFormatting>
  <conditionalFormatting sqref="R1771">
    <cfRule type="cellIs" dxfId="9070" priority="9002" stopIfTrue="1" operator="greaterThan">
      <formula>0</formula>
    </cfRule>
  </conditionalFormatting>
  <conditionalFormatting sqref="R1772">
    <cfRule type="cellIs" dxfId="9069" priority="9001" stopIfTrue="1" operator="greaterThan">
      <formula>0</formula>
    </cfRule>
  </conditionalFormatting>
  <conditionalFormatting sqref="W1763:X1763">
    <cfRule type="cellIs" dxfId="9068" priority="9000" stopIfTrue="1" operator="equal">
      <formula>"NO APLICA"</formula>
    </cfRule>
  </conditionalFormatting>
  <conditionalFormatting sqref="W1764:X1767">
    <cfRule type="cellIs" dxfId="9067" priority="8999" stopIfTrue="1" operator="equal">
      <formula>"NO APLICA"</formula>
    </cfRule>
  </conditionalFormatting>
  <conditionalFormatting sqref="W1764:X1764">
    <cfRule type="cellIs" dxfId="9066" priority="8998" stopIfTrue="1" operator="equal">
      <formula>"NO APLICA"</formula>
    </cfRule>
  </conditionalFormatting>
  <conditionalFormatting sqref="Y1763">
    <cfRule type="cellIs" dxfId="9065" priority="8997" stopIfTrue="1" operator="equal">
      <formula>"NO APLICA"</formula>
    </cfRule>
  </conditionalFormatting>
  <conditionalFormatting sqref="Y1764:Y1767">
    <cfRule type="cellIs" dxfId="9064" priority="8996" stopIfTrue="1" operator="equal">
      <formula>"NO APLICA"</formula>
    </cfRule>
  </conditionalFormatting>
  <conditionalFormatting sqref="W1768:X1771">
    <cfRule type="cellIs" dxfId="9063" priority="8995" stopIfTrue="1" operator="equal">
      <formula>"NO APLICA"</formula>
    </cfRule>
  </conditionalFormatting>
  <conditionalFormatting sqref="W1768:X1768">
    <cfRule type="cellIs" dxfId="9062" priority="8994" stopIfTrue="1" operator="equal">
      <formula>"NO APLICA"</formula>
    </cfRule>
  </conditionalFormatting>
  <conditionalFormatting sqref="Y1768:Y1771">
    <cfRule type="cellIs" dxfId="9061" priority="8993" stopIfTrue="1" operator="equal">
      <formula>"NO APLICA"</formula>
    </cfRule>
  </conditionalFormatting>
  <conditionalFormatting sqref="T1777">
    <cfRule type="cellIs" dxfId="9060" priority="8991" operator="equal">
      <formula>"CUMPLE"</formula>
    </cfRule>
    <cfRule type="cellIs" dxfId="9059" priority="8992" operator="equal">
      <formula>"NO CUMPLE"</formula>
    </cfRule>
  </conditionalFormatting>
  <conditionalFormatting sqref="T1777:T1779">
    <cfRule type="cellIs" dxfId="9058" priority="8990" operator="equal">
      <formula>"VERIFICAR"</formula>
    </cfRule>
  </conditionalFormatting>
  <conditionalFormatting sqref="AD1763:AF1767">
    <cfRule type="cellIs" dxfId="9057" priority="8988" stopIfTrue="1" operator="equal">
      <formula>"NO"</formula>
    </cfRule>
    <cfRule type="cellIs" dxfId="9056" priority="8989" stopIfTrue="1" operator="equal">
      <formula>"SI"</formula>
    </cfRule>
  </conditionalFormatting>
  <conditionalFormatting sqref="AD1768:AF1771">
    <cfRule type="cellIs" dxfId="9055" priority="8986" stopIfTrue="1" operator="equal">
      <formula>"NO"</formula>
    </cfRule>
    <cfRule type="cellIs" dxfId="9054" priority="8987" stopIfTrue="1" operator="equal">
      <formula>"SI"</formula>
    </cfRule>
  </conditionalFormatting>
  <conditionalFormatting sqref="W1772:Y1772">
    <cfRule type="cellIs" dxfId="9053" priority="8984" stopIfTrue="1" operator="equal">
      <formula>"NO"</formula>
    </cfRule>
    <cfRule type="cellIs" dxfId="9052" priority="8985" stopIfTrue="1" operator="equal">
      <formula>"SI"</formula>
    </cfRule>
  </conditionalFormatting>
  <conditionalFormatting sqref="W1772:X1772">
    <cfRule type="cellIs" dxfId="9051" priority="8983" stopIfTrue="1" operator="equal">
      <formula>"NO APLICA"</formula>
    </cfRule>
  </conditionalFormatting>
  <conditionalFormatting sqref="Y1772">
    <cfRule type="cellIs" dxfId="9050" priority="8982" stopIfTrue="1" operator="equal">
      <formula>"NO APLICA"</formula>
    </cfRule>
  </conditionalFormatting>
  <conditionalFormatting sqref="AD1772:AF1772">
    <cfRule type="cellIs" dxfId="9049" priority="8980" stopIfTrue="1" operator="equal">
      <formula>"NO"</formula>
    </cfRule>
    <cfRule type="cellIs" dxfId="9048" priority="8981" stopIfTrue="1" operator="equal">
      <formula>"SI"</formula>
    </cfRule>
  </conditionalFormatting>
  <conditionalFormatting sqref="AE1777">
    <cfRule type="cellIs" dxfId="9047" priority="8977" stopIfTrue="1" operator="equal">
      <formula>"VERIFICAR"</formula>
    </cfRule>
    <cfRule type="cellIs" dxfId="9046" priority="8978" stopIfTrue="1" operator="equal">
      <formula>"NO CUMPLE"</formula>
    </cfRule>
    <cfRule type="cellIs" dxfId="9045" priority="8979" stopIfTrue="1" operator="equal">
      <formula>"CUMPLE"</formula>
    </cfRule>
  </conditionalFormatting>
  <conditionalFormatting sqref="AF1777">
    <cfRule type="cellIs" dxfId="9044" priority="8974" stopIfTrue="1" operator="equal">
      <formula>"VERIFICAR"</formula>
    </cfRule>
    <cfRule type="cellIs" dxfId="9043" priority="8975" stopIfTrue="1" operator="equal">
      <formula>"NO CUMPLE"</formula>
    </cfRule>
    <cfRule type="cellIs" dxfId="9042" priority="8976" stopIfTrue="1" operator="equal">
      <formula>"CUMPLE"</formula>
    </cfRule>
  </conditionalFormatting>
  <conditionalFormatting sqref="Y1780">
    <cfRule type="cellIs" dxfId="9041" priority="8973" operator="equal">
      <formula>"VERIFICAR CUADRO"</formula>
    </cfRule>
  </conditionalFormatting>
  <conditionalFormatting sqref="AC1781:AC1786">
    <cfRule type="cellIs" dxfId="9040" priority="8972" stopIfTrue="1" operator="greaterThan">
      <formula>0</formula>
    </cfRule>
  </conditionalFormatting>
  <conditionalFormatting sqref="AC1781:AC1786">
    <cfRule type="cellIs" dxfId="9039" priority="8971" stopIfTrue="1" operator="greaterThan">
      <formula>0</formula>
    </cfRule>
  </conditionalFormatting>
  <conditionalFormatting sqref="AD1781:AD1786">
    <cfRule type="containsText" dxfId="9038" priority="8969" stopIfTrue="1" operator="containsText" text="NO CUMPLE">
      <formula>NOT(ISERROR(SEARCH("NO CUMPLE",AD1781)))</formula>
    </cfRule>
    <cfRule type="containsText" dxfId="9037" priority="8970" stopIfTrue="1" operator="containsText" text="CUMPLE">
      <formula>NOT(ISERROR(SEARCH("CUMPLE",AD1781)))</formula>
    </cfRule>
  </conditionalFormatting>
  <conditionalFormatting sqref="Y1786">
    <cfRule type="containsText" dxfId="9036" priority="8967" stopIfTrue="1" operator="containsText" text="NO CUMPLE">
      <formula>NOT(ISERROR(SEARCH("NO CUMPLE",Y1786)))</formula>
    </cfRule>
    <cfRule type="containsText" dxfId="9035" priority="8968" stopIfTrue="1" operator="containsText" text="CUMPLE">
      <formula>NOT(ISERROR(SEARCH("CUMPLE",Y1786)))</formula>
    </cfRule>
  </conditionalFormatting>
  <conditionalFormatting sqref="AA1763:AA1772">
    <cfRule type="cellIs" dxfId="9034" priority="8965" stopIfTrue="1" operator="equal">
      <formula>"NO APLICA"</formula>
    </cfRule>
    <cfRule type="cellIs" dxfId="9033" priority="8966" stopIfTrue="1" operator="equal">
      <formula>"TERCIARIA"</formula>
    </cfRule>
  </conditionalFormatting>
  <conditionalFormatting sqref="AB1763:AB1772">
    <cfRule type="cellIs" dxfId="9032" priority="8963" stopIfTrue="1" operator="equal">
      <formula>"N/A"</formula>
    </cfRule>
    <cfRule type="cellIs" dxfId="9031" priority="8964" stopIfTrue="1" operator="equal">
      <formula>"NO"</formula>
    </cfRule>
  </conditionalFormatting>
  <conditionalFormatting sqref="M1793:M1802">
    <cfRule type="cellIs" dxfId="9030" priority="8962" stopIfTrue="1" operator="lessThan">
      <formula>0</formula>
    </cfRule>
  </conditionalFormatting>
  <conditionalFormatting sqref="C1795:D1801 B1794:B1801 F1795:I1801 C1794:I1794 B1802:O1802 B1793:R1793 Q1794:R1795 J1794:O1801 Q1796:Q1802 P1794:P1802">
    <cfRule type="cellIs" dxfId="9029" priority="8961" stopIfTrue="1" operator="greaterThan">
      <formula>0</formula>
    </cfRule>
  </conditionalFormatting>
  <conditionalFormatting sqref="C1795:D1801">
    <cfRule type="cellIs" dxfId="9028" priority="8960" stopIfTrue="1" operator="greaterThan">
      <formula>0</formula>
    </cfRule>
  </conditionalFormatting>
  <conditionalFormatting sqref="C1793:M1793 C1795:D1801 F1795:I1801 C1794:I1794 K1794:M1801 J1794:J1802 L1802:M1802">
    <cfRule type="cellIs" dxfId="9027" priority="8959" stopIfTrue="1" operator="greaterThan">
      <formula>0</formula>
    </cfRule>
  </conditionalFormatting>
  <conditionalFormatting sqref="M1793:M1802">
    <cfRule type="cellIs" dxfId="9026" priority="8958" stopIfTrue="1" operator="lessThan">
      <formula>0</formula>
    </cfRule>
  </conditionalFormatting>
  <conditionalFormatting sqref="J1794:J1802 L1794:O1802 C1793:O1793">
    <cfRule type="cellIs" dxfId="9025" priority="8957" stopIfTrue="1" operator="greaterThan">
      <formula>0</formula>
    </cfRule>
  </conditionalFormatting>
  <conditionalFormatting sqref="H1795:I1801 K1795:M1802">
    <cfRule type="cellIs" dxfId="9024" priority="8956" stopIfTrue="1" operator="greaterThan">
      <formula>0</formula>
    </cfRule>
  </conditionalFormatting>
  <conditionalFormatting sqref="I1794">
    <cfRule type="cellIs" dxfId="9023" priority="8955" stopIfTrue="1" operator="greaterThan">
      <formula>0</formula>
    </cfRule>
  </conditionalFormatting>
  <conditionalFormatting sqref="I1802">
    <cfRule type="cellIs" dxfId="9022" priority="8954" stopIfTrue="1" operator="greaterThan">
      <formula>0</formula>
    </cfRule>
  </conditionalFormatting>
  <conditionalFormatting sqref="E1795:E1801">
    <cfRule type="cellIs" dxfId="9021" priority="8953" stopIfTrue="1" operator="greaterThan">
      <formula>0</formula>
    </cfRule>
  </conditionalFormatting>
  <conditionalFormatting sqref="K1810:K1815">
    <cfRule type="containsText" dxfId="9020" priority="8951" stopIfTrue="1" operator="containsText" text="NO CUMPLE">
      <formula>NOT(ISERROR(SEARCH("NO CUMPLE",K1810)))</formula>
    </cfRule>
    <cfRule type="containsText" dxfId="9019" priority="8952" stopIfTrue="1" operator="containsText" text="CUMPLE">
      <formula>NOT(ISERROR(SEARCH("CUMPLE",K1810)))</formula>
    </cfRule>
  </conditionalFormatting>
  <conditionalFormatting sqref="K1816">
    <cfRule type="containsText" dxfId="9018" priority="8949" stopIfTrue="1" operator="containsText" text="NO CUMPLE">
      <formula>NOT(ISERROR(SEARCH("NO CUMPLE",K1816)))</formula>
    </cfRule>
    <cfRule type="containsText" dxfId="9017" priority="8950" stopIfTrue="1" operator="containsText" text="CUMPLE">
      <formula>NOT(ISERROR(SEARCH("CUMPLE",K1816)))</formula>
    </cfRule>
  </conditionalFormatting>
  <conditionalFormatting sqref="Q1809">
    <cfRule type="cellIs" dxfId="9016" priority="8947" operator="greaterThanOrEqual">
      <formula>NUMMINCONT</formula>
    </cfRule>
    <cfRule type="cellIs" dxfId="9015" priority="8948" operator="lessThan">
      <formula>NUMMINCONT</formula>
    </cfRule>
  </conditionalFormatting>
  <conditionalFormatting sqref="W1793:Y1801">
    <cfRule type="cellIs" dxfId="9014" priority="8945" stopIfTrue="1" operator="equal">
      <formula>"NO"</formula>
    </cfRule>
    <cfRule type="cellIs" dxfId="9013" priority="8946" stopIfTrue="1" operator="equal">
      <formula>"SI"</formula>
    </cfRule>
  </conditionalFormatting>
  <conditionalFormatting sqref="R1796">
    <cfRule type="cellIs" dxfId="9012" priority="8944" stopIfTrue="1" operator="greaterThan">
      <formula>0</formula>
    </cfRule>
  </conditionalFormatting>
  <conditionalFormatting sqref="R1797">
    <cfRule type="cellIs" dxfId="9011" priority="8943" stopIfTrue="1" operator="greaterThan">
      <formula>0</formula>
    </cfRule>
  </conditionalFormatting>
  <conditionalFormatting sqref="R1798">
    <cfRule type="cellIs" dxfId="9010" priority="8942" stopIfTrue="1" operator="greaterThan">
      <formula>0</formula>
    </cfRule>
  </conditionalFormatting>
  <conditionalFormatting sqref="R1799">
    <cfRule type="cellIs" dxfId="9009" priority="8941" stopIfTrue="1" operator="greaterThan">
      <formula>0</formula>
    </cfRule>
  </conditionalFormatting>
  <conditionalFormatting sqref="R1800">
    <cfRule type="cellIs" dxfId="9008" priority="8940" stopIfTrue="1" operator="greaterThan">
      <formula>0</formula>
    </cfRule>
  </conditionalFormatting>
  <conditionalFormatting sqref="R1801">
    <cfRule type="cellIs" dxfId="9007" priority="8939" stopIfTrue="1" operator="greaterThan">
      <formula>0</formula>
    </cfRule>
  </conditionalFormatting>
  <conditionalFormatting sqref="R1802">
    <cfRule type="cellIs" dxfId="9006" priority="8938" stopIfTrue="1" operator="greaterThan">
      <formula>0</formula>
    </cfRule>
  </conditionalFormatting>
  <conditionalFormatting sqref="W1793:X1793">
    <cfRule type="cellIs" dxfId="9005" priority="8937" stopIfTrue="1" operator="equal">
      <formula>"NO APLICA"</formula>
    </cfRule>
  </conditionalFormatting>
  <conditionalFormatting sqref="W1794:X1797">
    <cfRule type="cellIs" dxfId="9004" priority="8936" stopIfTrue="1" operator="equal">
      <formula>"NO APLICA"</formula>
    </cfRule>
  </conditionalFormatting>
  <conditionalFormatting sqref="W1794:X1794">
    <cfRule type="cellIs" dxfId="9003" priority="8935" stopIfTrue="1" operator="equal">
      <formula>"NO APLICA"</formula>
    </cfRule>
  </conditionalFormatting>
  <conditionalFormatting sqref="Y1793">
    <cfRule type="cellIs" dxfId="9002" priority="8934" stopIfTrue="1" operator="equal">
      <formula>"NO APLICA"</formula>
    </cfRule>
  </conditionalFormatting>
  <conditionalFormatting sqref="Y1794:Y1797">
    <cfRule type="cellIs" dxfId="9001" priority="8933" stopIfTrue="1" operator="equal">
      <formula>"NO APLICA"</formula>
    </cfRule>
  </conditionalFormatting>
  <conditionalFormatting sqref="W1798:X1801">
    <cfRule type="cellIs" dxfId="9000" priority="8932" stopIfTrue="1" operator="equal">
      <formula>"NO APLICA"</formula>
    </cfRule>
  </conditionalFormatting>
  <conditionalFormatting sqref="W1798:X1798">
    <cfRule type="cellIs" dxfId="8999" priority="8931" stopIfTrue="1" operator="equal">
      <formula>"NO APLICA"</formula>
    </cfRule>
  </conditionalFormatting>
  <conditionalFormatting sqref="Y1798:Y1801">
    <cfRule type="cellIs" dxfId="8998" priority="8930" stopIfTrue="1" operator="equal">
      <formula>"NO APLICA"</formula>
    </cfRule>
  </conditionalFormatting>
  <conditionalFormatting sqref="T1807">
    <cfRule type="cellIs" dxfId="8997" priority="8928" operator="equal">
      <formula>"CUMPLE"</formula>
    </cfRule>
    <cfRule type="cellIs" dxfId="8996" priority="8929" operator="equal">
      <formula>"NO CUMPLE"</formula>
    </cfRule>
  </conditionalFormatting>
  <conditionalFormatting sqref="T1807:T1809">
    <cfRule type="cellIs" dxfId="8995" priority="8927" operator="equal">
      <formula>"VERIFICAR"</formula>
    </cfRule>
  </conditionalFormatting>
  <conditionalFormatting sqref="AD1793:AF1797">
    <cfRule type="cellIs" dxfId="8994" priority="8925" stopIfTrue="1" operator="equal">
      <formula>"NO"</formula>
    </cfRule>
    <cfRule type="cellIs" dxfId="8993" priority="8926" stopIfTrue="1" operator="equal">
      <formula>"SI"</formula>
    </cfRule>
  </conditionalFormatting>
  <conditionalFormatting sqref="AD1798:AF1801">
    <cfRule type="cellIs" dxfId="8992" priority="8923" stopIfTrue="1" operator="equal">
      <formula>"NO"</formula>
    </cfRule>
    <cfRule type="cellIs" dxfId="8991" priority="8924" stopIfTrue="1" operator="equal">
      <formula>"SI"</formula>
    </cfRule>
  </conditionalFormatting>
  <conditionalFormatting sqref="W1802:Y1802">
    <cfRule type="cellIs" dxfId="8990" priority="8921" stopIfTrue="1" operator="equal">
      <formula>"NO"</formula>
    </cfRule>
    <cfRule type="cellIs" dxfId="8989" priority="8922" stopIfTrue="1" operator="equal">
      <formula>"SI"</formula>
    </cfRule>
  </conditionalFormatting>
  <conditionalFormatting sqref="W1802:X1802">
    <cfRule type="cellIs" dxfId="8988" priority="8920" stopIfTrue="1" operator="equal">
      <formula>"NO APLICA"</formula>
    </cfRule>
  </conditionalFormatting>
  <conditionalFormatting sqref="Y1802">
    <cfRule type="cellIs" dxfId="8987" priority="8919" stopIfTrue="1" operator="equal">
      <formula>"NO APLICA"</formula>
    </cfRule>
  </conditionalFormatting>
  <conditionalFormatting sqref="AD1802:AF1802">
    <cfRule type="cellIs" dxfId="8986" priority="8917" stopIfTrue="1" operator="equal">
      <formula>"NO"</formula>
    </cfRule>
    <cfRule type="cellIs" dxfId="8985" priority="8918" stopIfTrue="1" operator="equal">
      <formula>"SI"</formula>
    </cfRule>
  </conditionalFormatting>
  <conditionalFormatting sqref="AE1807">
    <cfRule type="cellIs" dxfId="8984" priority="8914" stopIfTrue="1" operator="equal">
      <formula>"VERIFICAR"</formula>
    </cfRule>
    <cfRule type="cellIs" dxfId="8983" priority="8915" stopIfTrue="1" operator="equal">
      <formula>"NO CUMPLE"</formula>
    </cfRule>
    <cfRule type="cellIs" dxfId="8982" priority="8916" stopIfTrue="1" operator="equal">
      <formula>"CUMPLE"</formula>
    </cfRule>
  </conditionalFormatting>
  <conditionalFormatting sqref="AF1807">
    <cfRule type="cellIs" dxfId="8981" priority="8911" stopIfTrue="1" operator="equal">
      <formula>"VERIFICAR"</formula>
    </cfRule>
    <cfRule type="cellIs" dxfId="8980" priority="8912" stopIfTrue="1" operator="equal">
      <formula>"NO CUMPLE"</formula>
    </cfRule>
    <cfRule type="cellIs" dxfId="8979" priority="8913" stopIfTrue="1" operator="equal">
      <formula>"CUMPLE"</formula>
    </cfRule>
  </conditionalFormatting>
  <conditionalFormatting sqref="Y1810">
    <cfRule type="cellIs" dxfId="8978" priority="8910" operator="equal">
      <formula>"VERIFICAR CUADRO"</formula>
    </cfRule>
  </conditionalFormatting>
  <conditionalFormatting sqref="AC1811:AC1816">
    <cfRule type="cellIs" dxfId="8977" priority="8909" stopIfTrue="1" operator="greaterThan">
      <formula>0</formula>
    </cfRule>
  </conditionalFormatting>
  <conditionalFormatting sqref="AC1811:AC1816">
    <cfRule type="cellIs" dxfId="8976" priority="8908" stopIfTrue="1" operator="greaterThan">
      <formula>0</formula>
    </cfRule>
  </conditionalFormatting>
  <conditionalFormatting sqref="AD1811:AD1816">
    <cfRule type="containsText" dxfId="8975" priority="8906" stopIfTrue="1" operator="containsText" text="NO CUMPLE">
      <formula>NOT(ISERROR(SEARCH("NO CUMPLE",AD1811)))</formula>
    </cfRule>
    <cfRule type="containsText" dxfId="8974" priority="8907" stopIfTrue="1" operator="containsText" text="CUMPLE">
      <formula>NOT(ISERROR(SEARCH("CUMPLE",AD1811)))</formula>
    </cfRule>
  </conditionalFormatting>
  <conditionalFormatting sqref="Y1816">
    <cfRule type="containsText" dxfId="8973" priority="8904" stopIfTrue="1" operator="containsText" text="NO CUMPLE">
      <formula>NOT(ISERROR(SEARCH("NO CUMPLE",Y1816)))</formula>
    </cfRule>
    <cfRule type="containsText" dxfId="8972" priority="8905" stopIfTrue="1" operator="containsText" text="CUMPLE">
      <formula>NOT(ISERROR(SEARCH("CUMPLE",Y1816)))</formula>
    </cfRule>
  </conditionalFormatting>
  <conditionalFormatting sqref="AA1793:AA1802">
    <cfRule type="cellIs" dxfId="8971" priority="8902" stopIfTrue="1" operator="equal">
      <formula>"NO APLICA"</formula>
    </cfRule>
    <cfRule type="cellIs" dxfId="8970" priority="8903" stopIfTrue="1" operator="equal">
      <formula>"TERCIARIA"</formula>
    </cfRule>
  </conditionalFormatting>
  <conditionalFormatting sqref="AB1793:AB1802">
    <cfRule type="cellIs" dxfId="8969" priority="8900" stopIfTrue="1" operator="equal">
      <formula>"N/A"</formula>
    </cfRule>
    <cfRule type="cellIs" dxfId="8968" priority="8901" stopIfTrue="1" operator="equal">
      <formula>"NO"</formula>
    </cfRule>
  </conditionalFormatting>
  <conditionalFormatting sqref="M1823:M1832">
    <cfRule type="cellIs" dxfId="8967" priority="8899" stopIfTrue="1" operator="lessThan">
      <formula>0</formula>
    </cfRule>
  </conditionalFormatting>
  <conditionalFormatting sqref="C1825:D1831 B1824:B1831 F1825:I1831 C1824:I1824 B1832:O1832 B1823:R1823 Q1824:R1825 J1824:O1831 Q1826:Q1832 P1824:P1832">
    <cfRule type="cellIs" dxfId="8966" priority="8898" stopIfTrue="1" operator="greaterThan">
      <formula>0</formula>
    </cfRule>
  </conditionalFormatting>
  <conditionalFormatting sqref="C1825:D1831">
    <cfRule type="cellIs" dxfId="8965" priority="8897" stopIfTrue="1" operator="greaterThan">
      <formula>0</formula>
    </cfRule>
  </conditionalFormatting>
  <conditionalFormatting sqref="C1823:M1823 C1825:D1831 F1825:I1831 C1824:I1824 K1824:M1831 J1824:J1832 L1832:M1832">
    <cfRule type="cellIs" dxfId="8964" priority="8896" stopIfTrue="1" operator="greaterThan">
      <formula>0</formula>
    </cfRule>
  </conditionalFormatting>
  <conditionalFormatting sqref="M1823:M1832">
    <cfRule type="cellIs" dxfId="8963" priority="8895" stopIfTrue="1" operator="lessThan">
      <formula>0</formula>
    </cfRule>
  </conditionalFormatting>
  <conditionalFormatting sqref="J1824:J1832 L1824:O1832 C1823:O1823">
    <cfRule type="cellIs" dxfId="8962" priority="8894" stopIfTrue="1" operator="greaterThan">
      <formula>0</formula>
    </cfRule>
  </conditionalFormatting>
  <conditionalFormatting sqref="H1825:I1831 K1825:M1832">
    <cfRule type="cellIs" dxfId="8961" priority="8893" stopIfTrue="1" operator="greaterThan">
      <formula>0</formula>
    </cfRule>
  </conditionalFormatting>
  <conditionalFormatting sqref="I1824">
    <cfRule type="cellIs" dxfId="8960" priority="8892" stopIfTrue="1" operator="greaterThan">
      <formula>0</formula>
    </cfRule>
  </conditionalFormatting>
  <conditionalFormatting sqref="I1832">
    <cfRule type="cellIs" dxfId="8959" priority="8891" stopIfTrue="1" operator="greaterThan">
      <formula>0</formula>
    </cfRule>
  </conditionalFormatting>
  <conditionalFormatting sqref="E1825:E1831">
    <cfRule type="cellIs" dxfId="8958" priority="8890" stopIfTrue="1" operator="greaterThan">
      <formula>0</formula>
    </cfRule>
  </conditionalFormatting>
  <conditionalFormatting sqref="K1840:K1845">
    <cfRule type="containsText" dxfId="8957" priority="8888" stopIfTrue="1" operator="containsText" text="NO CUMPLE">
      <formula>NOT(ISERROR(SEARCH("NO CUMPLE",K1840)))</formula>
    </cfRule>
    <cfRule type="containsText" dxfId="8956" priority="8889" stopIfTrue="1" operator="containsText" text="CUMPLE">
      <formula>NOT(ISERROR(SEARCH("CUMPLE",K1840)))</formula>
    </cfRule>
  </conditionalFormatting>
  <conditionalFormatting sqref="K1846">
    <cfRule type="containsText" dxfId="8955" priority="8886" stopIfTrue="1" operator="containsText" text="NO CUMPLE">
      <formula>NOT(ISERROR(SEARCH("NO CUMPLE",K1846)))</formula>
    </cfRule>
    <cfRule type="containsText" dxfId="8954" priority="8887" stopIfTrue="1" operator="containsText" text="CUMPLE">
      <formula>NOT(ISERROR(SEARCH("CUMPLE",K1846)))</formula>
    </cfRule>
  </conditionalFormatting>
  <conditionalFormatting sqref="Q1839">
    <cfRule type="cellIs" dxfId="8953" priority="8884" operator="greaterThanOrEqual">
      <formula>NUMMINCONT</formula>
    </cfRule>
    <cfRule type="cellIs" dxfId="8952" priority="8885" operator="lessThan">
      <formula>NUMMINCONT</formula>
    </cfRule>
  </conditionalFormatting>
  <conditionalFormatting sqref="W1823:Y1831">
    <cfRule type="cellIs" dxfId="8951" priority="8882" stopIfTrue="1" operator="equal">
      <formula>"NO"</formula>
    </cfRule>
    <cfRule type="cellIs" dxfId="8950" priority="8883" stopIfTrue="1" operator="equal">
      <formula>"SI"</formula>
    </cfRule>
  </conditionalFormatting>
  <conditionalFormatting sqref="R1826">
    <cfRule type="cellIs" dxfId="8949" priority="8881" stopIfTrue="1" operator="greaterThan">
      <formula>0</formula>
    </cfRule>
  </conditionalFormatting>
  <conditionalFormatting sqref="R1827">
    <cfRule type="cellIs" dxfId="8948" priority="8880" stopIfTrue="1" operator="greaterThan">
      <formula>0</formula>
    </cfRule>
  </conditionalFormatting>
  <conditionalFormatting sqref="R1828">
    <cfRule type="cellIs" dxfId="8947" priority="8879" stopIfTrue="1" operator="greaterThan">
      <formula>0</formula>
    </cfRule>
  </conditionalFormatting>
  <conditionalFormatting sqref="R1829">
    <cfRule type="cellIs" dxfId="8946" priority="8878" stopIfTrue="1" operator="greaterThan">
      <formula>0</formula>
    </cfRule>
  </conditionalFormatting>
  <conditionalFormatting sqref="R1830">
    <cfRule type="cellIs" dxfId="8945" priority="8877" stopIfTrue="1" operator="greaterThan">
      <formula>0</formula>
    </cfRule>
  </conditionalFormatting>
  <conditionalFormatting sqref="R1831">
    <cfRule type="cellIs" dxfId="8944" priority="8876" stopIfTrue="1" operator="greaterThan">
      <formula>0</formula>
    </cfRule>
  </conditionalFormatting>
  <conditionalFormatting sqref="R1832">
    <cfRule type="cellIs" dxfId="8943" priority="8875" stopIfTrue="1" operator="greaterThan">
      <formula>0</formula>
    </cfRule>
  </conditionalFormatting>
  <conditionalFormatting sqref="W1823:X1823">
    <cfRule type="cellIs" dxfId="8942" priority="8874" stopIfTrue="1" operator="equal">
      <formula>"NO APLICA"</formula>
    </cfRule>
  </conditionalFormatting>
  <conditionalFormatting sqref="W1824:X1827">
    <cfRule type="cellIs" dxfId="8941" priority="8873" stopIfTrue="1" operator="equal">
      <formula>"NO APLICA"</formula>
    </cfRule>
  </conditionalFormatting>
  <conditionalFormatting sqref="W1824:X1824">
    <cfRule type="cellIs" dxfId="8940" priority="8872" stopIfTrue="1" operator="equal">
      <formula>"NO APLICA"</formula>
    </cfRule>
  </conditionalFormatting>
  <conditionalFormatting sqref="Y1823">
    <cfRule type="cellIs" dxfId="8939" priority="8871" stopIfTrue="1" operator="equal">
      <formula>"NO APLICA"</formula>
    </cfRule>
  </conditionalFormatting>
  <conditionalFormatting sqref="Y1824:Y1827">
    <cfRule type="cellIs" dxfId="8938" priority="8870" stopIfTrue="1" operator="equal">
      <formula>"NO APLICA"</formula>
    </cfRule>
  </conditionalFormatting>
  <conditionalFormatting sqref="W1828:X1831">
    <cfRule type="cellIs" dxfId="8937" priority="8869" stopIfTrue="1" operator="equal">
      <formula>"NO APLICA"</formula>
    </cfRule>
  </conditionalFormatting>
  <conditionalFormatting sqref="W1828:X1828">
    <cfRule type="cellIs" dxfId="8936" priority="8868" stopIfTrue="1" operator="equal">
      <formula>"NO APLICA"</formula>
    </cfRule>
  </conditionalFormatting>
  <conditionalFormatting sqref="Y1828:Y1831">
    <cfRule type="cellIs" dxfId="8935" priority="8867" stopIfTrue="1" operator="equal">
      <formula>"NO APLICA"</formula>
    </cfRule>
  </conditionalFormatting>
  <conditionalFormatting sqref="T1837">
    <cfRule type="cellIs" dxfId="8934" priority="8865" operator="equal">
      <formula>"CUMPLE"</formula>
    </cfRule>
    <cfRule type="cellIs" dxfId="8933" priority="8866" operator="equal">
      <formula>"NO CUMPLE"</formula>
    </cfRule>
  </conditionalFormatting>
  <conditionalFormatting sqref="T1837:T1839">
    <cfRule type="cellIs" dxfId="8932" priority="8864" operator="equal">
      <formula>"VERIFICAR"</formula>
    </cfRule>
  </conditionalFormatting>
  <conditionalFormatting sqref="AD1823:AF1827">
    <cfRule type="cellIs" dxfId="8931" priority="8862" stopIfTrue="1" operator="equal">
      <formula>"NO"</formula>
    </cfRule>
    <cfRule type="cellIs" dxfId="8930" priority="8863" stopIfTrue="1" operator="equal">
      <formula>"SI"</formula>
    </cfRule>
  </conditionalFormatting>
  <conditionalFormatting sqref="AD1828:AF1831">
    <cfRule type="cellIs" dxfId="8929" priority="8860" stopIfTrue="1" operator="equal">
      <formula>"NO"</formula>
    </cfRule>
    <cfRule type="cellIs" dxfId="8928" priority="8861" stopIfTrue="1" operator="equal">
      <formula>"SI"</formula>
    </cfRule>
  </conditionalFormatting>
  <conditionalFormatting sqref="W1832:Y1832">
    <cfRule type="cellIs" dxfId="8927" priority="8858" stopIfTrue="1" operator="equal">
      <formula>"NO"</formula>
    </cfRule>
    <cfRule type="cellIs" dxfId="8926" priority="8859" stopIfTrue="1" operator="equal">
      <formula>"SI"</formula>
    </cfRule>
  </conditionalFormatting>
  <conditionalFormatting sqref="W1832:X1832">
    <cfRule type="cellIs" dxfId="8925" priority="8857" stopIfTrue="1" operator="equal">
      <formula>"NO APLICA"</formula>
    </cfRule>
  </conditionalFormatting>
  <conditionalFormatting sqref="Y1832">
    <cfRule type="cellIs" dxfId="8924" priority="8856" stopIfTrue="1" operator="equal">
      <formula>"NO APLICA"</formula>
    </cfRule>
  </conditionalFormatting>
  <conditionalFormatting sqref="AD1832:AF1832">
    <cfRule type="cellIs" dxfId="8923" priority="8854" stopIfTrue="1" operator="equal">
      <formula>"NO"</formula>
    </cfRule>
    <cfRule type="cellIs" dxfId="8922" priority="8855" stopIfTrue="1" operator="equal">
      <formula>"SI"</formula>
    </cfRule>
  </conditionalFormatting>
  <conditionalFormatting sqref="AE1837">
    <cfRule type="cellIs" dxfId="8921" priority="8851" stopIfTrue="1" operator="equal">
      <formula>"VERIFICAR"</formula>
    </cfRule>
    <cfRule type="cellIs" dxfId="8920" priority="8852" stopIfTrue="1" operator="equal">
      <formula>"NO CUMPLE"</formula>
    </cfRule>
    <cfRule type="cellIs" dxfId="8919" priority="8853" stopIfTrue="1" operator="equal">
      <formula>"CUMPLE"</formula>
    </cfRule>
  </conditionalFormatting>
  <conditionalFormatting sqref="AF1837">
    <cfRule type="cellIs" dxfId="8918" priority="8848" stopIfTrue="1" operator="equal">
      <formula>"VERIFICAR"</formula>
    </cfRule>
    <cfRule type="cellIs" dxfId="8917" priority="8849" stopIfTrue="1" operator="equal">
      <formula>"NO CUMPLE"</formula>
    </cfRule>
    <cfRule type="cellIs" dxfId="8916" priority="8850" stopIfTrue="1" operator="equal">
      <formula>"CUMPLE"</formula>
    </cfRule>
  </conditionalFormatting>
  <conditionalFormatting sqref="Y1840">
    <cfRule type="cellIs" dxfId="8915" priority="8847" operator="equal">
      <formula>"VERIFICAR CUADRO"</formula>
    </cfRule>
  </conditionalFormatting>
  <conditionalFormatting sqref="AC1841:AC1846">
    <cfRule type="cellIs" dxfId="8914" priority="8846" stopIfTrue="1" operator="greaterThan">
      <formula>0</formula>
    </cfRule>
  </conditionalFormatting>
  <conditionalFormatting sqref="AC1841:AC1846">
    <cfRule type="cellIs" dxfId="8913" priority="8845" stopIfTrue="1" operator="greaterThan">
      <formula>0</formula>
    </cfRule>
  </conditionalFormatting>
  <conditionalFormatting sqref="AD1841:AD1846">
    <cfRule type="containsText" dxfId="8912" priority="8843" stopIfTrue="1" operator="containsText" text="NO CUMPLE">
      <formula>NOT(ISERROR(SEARCH("NO CUMPLE",AD1841)))</formula>
    </cfRule>
    <cfRule type="containsText" dxfId="8911" priority="8844" stopIfTrue="1" operator="containsText" text="CUMPLE">
      <formula>NOT(ISERROR(SEARCH("CUMPLE",AD1841)))</formula>
    </cfRule>
  </conditionalFormatting>
  <conditionalFormatting sqref="Y1846">
    <cfRule type="containsText" dxfId="8910" priority="8841" stopIfTrue="1" operator="containsText" text="NO CUMPLE">
      <formula>NOT(ISERROR(SEARCH("NO CUMPLE",Y1846)))</formula>
    </cfRule>
    <cfRule type="containsText" dxfId="8909" priority="8842" stopIfTrue="1" operator="containsText" text="CUMPLE">
      <formula>NOT(ISERROR(SEARCH("CUMPLE",Y1846)))</formula>
    </cfRule>
  </conditionalFormatting>
  <conditionalFormatting sqref="AA1823:AA1832">
    <cfRule type="cellIs" dxfId="8908" priority="8839" stopIfTrue="1" operator="equal">
      <formula>"NO APLICA"</formula>
    </cfRule>
    <cfRule type="cellIs" dxfId="8907" priority="8840" stopIfTrue="1" operator="equal">
      <formula>"TERCIARIA"</formula>
    </cfRule>
  </conditionalFormatting>
  <conditionalFormatting sqref="AB1823:AB1832">
    <cfRule type="cellIs" dxfId="8906" priority="8837" stopIfTrue="1" operator="equal">
      <formula>"N/A"</formula>
    </cfRule>
    <cfRule type="cellIs" dxfId="8905" priority="8838" stopIfTrue="1" operator="equal">
      <formula>"NO"</formula>
    </cfRule>
  </conditionalFormatting>
  <conditionalFormatting sqref="M1853:M1862">
    <cfRule type="cellIs" dxfId="8904" priority="8836" stopIfTrue="1" operator="lessThan">
      <formula>0</formula>
    </cfRule>
  </conditionalFormatting>
  <conditionalFormatting sqref="C1855:D1861 B1854:B1861 F1855:I1861 C1854:I1854 B1862:O1862 B1853:R1853 Q1854:R1855 J1854:O1861 Q1856:Q1862 P1854:P1862">
    <cfRule type="cellIs" dxfId="8903" priority="8835" stopIfTrue="1" operator="greaterThan">
      <formula>0</formula>
    </cfRule>
  </conditionalFormatting>
  <conditionalFormatting sqref="C1855:D1861">
    <cfRule type="cellIs" dxfId="8902" priority="8834" stopIfTrue="1" operator="greaterThan">
      <formula>0</formula>
    </cfRule>
  </conditionalFormatting>
  <conditionalFormatting sqref="C1853:M1853 C1855:D1861 F1855:I1861 C1854:I1854 K1854:M1861 J1854:J1862 L1862:M1862">
    <cfRule type="cellIs" dxfId="8901" priority="8833" stopIfTrue="1" operator="greaterThan">
      <formula>0</formula>
    </cfRule>
  </conditionalFormatting>
  <conditionalFormatting sqref="M1853:M1862">
    <cfRule type="cellIs" dxfId="8900" priority="8832" stopIfTrue="1" operator="lessThan">
      <formula>0</formula>
    </cfRule>
  </conditionalFormatting>
  <conditionalFormatting sqref="J1854:J1862 L1854:O1862 C1853:O1853">
    <cfRule type="cellIs" dxfId="8899" priority="8831" stopIfTrue="1" operator="greaterThan">
      <formula>0</formula>
    </cfRule>
  </conditionalFormatting>
  <conditionalFormatting sqref="H1855:I1861 K1855:M1862">
    <cfRule type="cellIs" dxfId="8898" priority="8830" stopIfTrue="1" operator="greaterThan">
      <formula>0</formula>
    </cfRule>
  </conditionalFormatting>
  <conditionalFormatting sqref="I1854">
    <cfRule type="cellIs" dxfId="8897" priority="8829" stopIfTrue="1" operator="greaterThan">
      <formula>0</formula>
    </cfRule>
  </conditionalFormatting>
  <conditionalFormatting sqref="I1862">
    <cfRule type="cellIs" dxfId="8896" priority="8828" stopIfTrue="1" operator="greaterThan">
      <formula>0</formula>
    </cfRule>
  </conditionalFormatting>
  <conditionalFormatting sqref="E1855:E1861">
    <cfRule type="cellIs" dxfId="8895" priority="8827" stopIfTrue="1" operator="greaterThan">
      <formula>0</formula>
    </cfRule>
  </conditionalFormatting>
  <conditionalFormatting sqref="K1870:K1875">
    <cfRule type="containsText" dxfId="8894" priority="8825" stopIfTrue="1" operator="containsText" text="NO CUMPLE">
      <formula>NOT(ISERROR(SEARCH("NO CUMPLE",K1870)))</formula>
    </cfRule>
    <cfRule type="containsText" dxfId="8893" priority="8826" stopIfTrue="1" operator="containsText" text="CUMPLE">
      <formula>NOT(ISERROR(SEARCH("CUMPLE",K1870)))</formula>
    </cfRule>
  </conditionalFormatting>
  <conditionalFormatting sqref="K1876">
    <cfRule type="containsText" dxfId="8892" priority="8823" stopIfTrue="1" operator="containsText" text="NO CUMPLE">
      <formula>NOT(ISERROR(SEARCH("NO CUMPLE",K1876)))</formula>
    </cfRule>
    <cfRule type="containsText" dxfId="8891" priority="8824" stopIfTrue="1" operator="containsText" text="CUMPLE">
      <formula>NOT(ISERROR(SEARCH("CUMPLE",K1876)))</formula>
    </cfRule>
  </conditionalFormatting>
  <conditionalFormatting sqref="Q1869">
    <cfRule type="cellIs" dxfId="8890" priority="8821" operator="greaterThanOrEqual">
      <formula>NUMMINCONT</formula>
    </cfRule>
    <cfRule type="cellIs" dxfId="8889" priority="8822" operator="lessThan">
      <formula>NUMMINCONT</formula>
    </cfRule>
  </conditionalFormatting>
  <conditionalFormatting sqref="W1853:Y1861">
    <cfRule type="cellIs" dxfId="8888" priority="8819" stopIfTrue="1" operator="equal">
      <formula>"NO"</formula>
    </cfRule>
    <cfRule type="cellIs" dxfId="8887" priority="8820" stopIfTrue="1" operator="equal">
      <formula>"SI"</formula>
    </cfRule>
  </conditionalFormatting>
  <conditionalFormatting sqref="R1856">
    <cfRule type="cellIs" dxfId="8886" priority="8818" stopIfTrue="1" operator="greaterThan">
      <formula>0</formula>
    </cfRule>
  </conditionalFormatting>
  <conditionalFormatting sqref="R1857">
    <cfRule type="cellIs" dxfId="8885" priority="8817" stopIfTrue="1" operator="greaterThan">
      <formula>0</formula>
    </cfRule>
  </conditionalFormatting>
  <conditionalFormatting sqref="R1858">
    <cfRule type="cellIs" dxfId="8884" priority="8816" stopIfTrue="1" operator="greaterThan">
      <formula>0</formula>
    </cfRule>
  </conditionalFormatting>
  <conditionalFormatting sqref="R1859">
    <cfRule type="cellIs" dxfId="8883" priority="8815" stopIfTrue="1" operator="greaterThan">
      <formula>0</formula>
    </cfRule>
  </conditionalFormatting>
  <conditionalFormatting sqref="R1860">
    <cfRule type="cellIs" dxfId="8882" priority="8814" stopIfTrue="1" operator="greaterThan">
      <formula>0</formula>
    </cfRule>
  </conditionalFormatting>
  <conditionalFormatting sqref="R1861">
    <cfRule type="cellIs" dxfId="8881" priority="8813" stopIfTrue="1" operator="greaterThan">
      <formula>0</formula>
    </cfRule>
  </conditionalFormatting>
  <conditionalFormatting sqref="R1862">
    <cfRule type="cellIs" dxfId="8880" priority="8812" stopIfTrue="1" operator="greaterThan">
      <formula>0</formula>
    </cfRule>
  </conditionalFormatting>
  <conditionalFormatting sqref="W1853:X1853">
    <cfRule type="cellIs" dxfId="8879" priority="8811" stopIfTrue="1" operator="equal">
      <formula>"NO APLICA"</formula>
    </cfRule>
  </conditionalFormatting>
  <conditionalFormatting sqref="W1854:X1857">
    <cfRule type="cellIs" dxfId="8878" priority="8810" stopIfTrue="1" operator="equal">
      <formula>"NO APLICA"</formula>
    </cfRule>
  </conditionalFormatting>
  <conditionalFormatting sqref="W1854:X1854">
    <cfRule type="cellIs" dxfId="8877" priority="8809" stopIfTrue="1" operator="equal">
      <formula>"NO APLICA"</formula>
    </cfRule>
  </conditionalFormatting>
  <conditionalFormatting sqref="Y1853">
    <cfRule type="cellIs" dxfId="8876" priority="8808" stopIfTrue="1" operator="equal">
      <formula>"NO APLICA"</formula>
    </cfRule>
  </conditionalFormatting>
  <conditionalFormatting sqref="Y1854:Y1857">
    <cfRule type="cellIs" dxfId="8875" priority="8807" stopIfTrue="1" operator="equal">
      <formula>"NO APLICA"</formula>
    </cfRule>
  </conditionalFormatting>
  <conditionalFormatting sqref="W1858:X1861">
    <cfRule type="cellIs" dxfId="8874" priority="8806" stopIfTrue="1" operator="equal">
      <formula>"NO APLICA"</formula>
    </cfRule>
  </conditionalFormatting>
  <conditionalFormatting sqref="W1858:X1858">
    <cfRule type="cellIs" dxfId="8873" priority="8805" stopIfTrue="1" operator="equal">
      <formula>"NO APLICA"</formula>
    </cfRule>
  </conditionalFormatting>
  <conditionalFormatting sqref="Y1858:Y1861">
    <cfRule type="cellIs" dxfId="8872" priority="8804" stopIfTrue="1" operator="equal">
      <formula>"NO APLICA"</formula>
    </cfRule>
  </conditionalFormatting>
  <conditionalFormatting sqref="T1867">
    <cfRule type="cellIs" dxfId="8871" priority="8802" operator="equal">
      <formula>"CUMPLE"</formula>
    </cfRule>
    <cfRule type="cellIs" dxfId="8870" priority="8803" operator="equal">
      <formula>"NO CUMPLE"</formula>
    </cfRule>
  </conditionalFormatting>
  <conditionalFormatting sqref="T1867:T1869">
    <cfRule type="cellIs" dxfId="8869" priority="8801" operator="equal">
      <formula>"VERIFICAR"</formula>
    </cfRule>
  </conditionalFormatting>
  <conditionalFormatting sqref="AD1853:AF1857">
    <cfRule type="cellIs" dxfId="8868" priority="8799" stopIfTrue="1" operator="equal">
      <formula>"NO"</formula>
    </cfRule>
    <cfRule type="cellIs" dxfId="8867" priority="8800" stopIfTrue="1" operator="equal">
      <formula>"SI"</formula>
    </cfRule>
  </conditionalFormatting>
  <conditionalFormatting sqref="AD1858:AF1861">
    <cfRule type="cellIs" dxfId="8866" priority="8797" stopIfTrue="1" operator="equal">
      <formula>"NO"</formula>
    </cfRule>
    <cfRule type="cellIs" dxfId="8865" priority="8798" stopIfTrue="1" operator="equal">
      <formula>"SI"</formula>
    </cfRule>
  </conditionalFormatting>
  <conditionalFormatting sqref="W1862:Y1862">
    <cfRule type="cellIs" dxfId="8864" priority="8795" stopIfTrue="1" operator="equal">
      <formula>"NO"</formula>
    </cfRule>
    <cfRule type="cellIs" dxfId="8863" priority="8796" stopIfTrue="1" operator="equal">
      <formula>"SI"</formula>
    </cfRule>
  </conditionalFormatting>
  <conditionalFormatting sqref="W1862:X1862">
    <cfRule type="cellIs" dxfId="8862" priority="8794" stopIfTrue="1" operator="equal">
      <formula>"NO APLICA"</formula>
    </cfRule>
  </conditionalFormatting>
  <conditionalFormatting sqref="Y1862">
    <cfRule type="cellIs" dxfId="8861" priority="8793" stopIfTrue="1" operator="equal">
      <formula>"NO APLICA"</formula>
    </cfRule>
  </conditionalFormatting>
  <conditionalFormatting sqref="AD1862:AF1862">
    <cfRule type="cellIs" dxfId="8860" priority="8791" stopIfTrue="1" operator="equal">
      <formula>"NO"</formula>
    </cfRule>
    <cfRule type="cellIs" dxfId="8859" priority="8792" stopIfTrue="1" operator="equal">
      <formula>"SI"</formula>
    </cfRule>
  </conditionalFormatting>
  <conditionalFormatting sqref="AE1867">
    <cfRule type="cellIs" dxfId="8858" priority="8788" stopIfTrue="1" operator="equal">
      <formula>"VERIFICAR"</formula>
    </cfRule>
    <cfRule type="cellIs" dxfId="8857" priority="8789" stopIfTrue="1" operator="equal">
      <formula>"NO CUMPLE"</formula>
    </cfRule>
    <cfRule type="cellIs" dxfId="8856" priority="8790" stopIfTrue="1" operator="equal">
      <formula>"CUMPLE"</formula>
    </cfRule>
  </conditionalFormatting>
  <conditionalFormatting sqref="AF1867">
    <cfRule type="cellIs" dxfId="8855" priority="8785" stopIfTrue="1" operator="equal">
      <formula>"VERIFICAR"</formula>
    </cfRule>
    <cfRule type="cellIs" dxfId="8854" priority="8786" stopIfTrue="1" operator="equal">
      <formula>"NO CUMPLE"</formula>
    </cfRule>
    <cfRule type="cellIs" dxfId="8853" priority="8787" stopIfTrue="1" operator="equal">
      <formula>"CUMPLE"</formula>
    </cfRule>
  </conditionalFormatting>
  <conditionalFormatting sqref="Y1870">
    <cfRule type="cellIs" dxfId="8852" priority="8784" operator="equal">
      <formula>"VERIFICAR CUADRO"</formula>
    </cfRule>
  </conditionalFormatting>
  <conditionalFormatting sqref="AC1871:AC1876">
    <cfRule type="cellIs" dxfId="8851" priority="8783" stopIfTrue="1" operator="greaterThan">
      <formula>0</formula>
    </cfRule>
  </conditionalFormatting>
  <conditionalFormatting sqref="AC1871:AC1876">
    <cfRule type="cellIs" dxfId="8850" priority="8782" stopIfTrue="1" operator="greaterThan">
      <formula>0</formula>
    </cfRule>
  </conditionalFormatting>
  <conditionalFormatting sqref="AD1871:AD1876">
    <cfRule type="containsText" dxfId="8849" priority="8780" stopIfTrue="1" operator="containsText" text="NO CUMPLE">
      <formula>NOT(ISERROR(SEARCH("NO CUMPLE",AD1871)))</formula>
    </cfRule>
    <cfRule type="containsText" dxfId="8848" priority="8781" stopIfTrue="1" operator="containsText" text="CUMPLE">
      <formula>NOT(ISERROR(SEARCH("CUMPLE",AD1871)))</formula>
    </cfRule>
  </conditionalFormatting>
  <conditionalFormatting sqref="Y1876">
    <cfRule type="containsText" dxfId="8847" priority="8778" stopIfTrue="1" operator="containsText" text="NO CUMPLE">
      <formula>NOT(ISERROR(SEARCH("NO CUMPLE",Y1876)))</formula>
    </cfRule>
    <cfRule type="containsText" dxfId="8846" priority="8779" stopIfTrue="1" operator="containsText" text="CUMPLE">
      <formula>NOT(ISERROR(SEARCH("CUMPLE",Y1876)))</formula>
    </cfRule>
  </conditionalFormatting>
  <conditionalFormatting sqref="AA1853:AA1862">
    <cfRule type="cellIs" dxfId="8845" priority="8776" stopIfTrue="1" operator="equal">
      <formula>"NO APLICA"</formula>
    </cfRule>
    <cfRule type="cellIs" dxfId="8844" priority="8777" stopIfTrue="1" operator="equal">
      <formula>"TERCIARIA"</formula>
    </cfRule>
  </conditionalFormatting>
  <conditionalFormatting sqref="AB1853:AB1862">
    <cfRule type="cellIs" dxfId="8843" priority="8774" stopIfTrue="1" operator="equal">
      <formula>"N/A"</formula>
    </cfRule>
    <cfRule type="cellIs" dxfId="8842" priority="8775" stopIfTrue="1" operator="equal">
      <formula>"NO"</formula>
    </cfRule>
  </conditionalFormatting>
  <conditionalFormatting sqref="M1883:M1892">
    <cfRule type="cellIs" dxfId="8841" priority="8773" stopIfTrue="1" operator="lessThan">
      <formula>0</formula>
    </cfRule>
  </conditionalFormatting>
  <conditionalFormatting sqref="C1885:D1891 B1884:B1891 F1885:I1891 C1884:I1884 B1892:O1892 B1883:R1883 Q1884:R1885 J1884:O1891 Q1886:Q1892 P1884:P1892">
    <cfRule type="cellIs" dxfId="8840" priority="8772" stopIfTrue="1" operator="greaterThan">
      <formula>0</formula>
    </cfRule>
  </conditionalFormatting>
  <conditionalFormatting sqref="C1885:D1891">
    <cfRule type="cellIs" dxfId="8839" priority="8771" stopIfTrue="1" operator="greaterThan">
      <formula>0</formula>
    </cfRule>
  </conditionalFormatting>
  <conditionalFormatting sqref="C1883:M1883 C1885:D1891 F1885:I1891 C1884:I1884 K1884:M1891 J1884:J1892 L1892:M1892">
    <cfRule type="cellIs" dxfId="8838" priority="8770" stopIfTrue="1" operator="greaterThan">
      <formula>0</formula>
    </cfRule>
  </conditionalFormatting>
  <conditionalFormatting sqref="M1883:M1892">
    <cfRule type="cellIs" dxfId="8837" priority="8769" stopIfTrue="1" operator="lessThan">
      <formula>0</formula>
    </cfRule>
  </conditionalFormatting>
  <conditionalFormatting sqref="J1884:J1892 L1884:O1892 C1883:O1883">
    <cfRule type="cellIs" dxfId="8836" priority="8768" stopIfTrue="1" operator="greaterThan">
      <formula>0</formula>
    </cfRule>
  </conditionalFormatting>
  <conditionalFormatting sqref="H1885:I1891 K1885:M1892">
    <cfRule type="cellIs" dxfId="8835" priority="8767" stopIfTrue="1" operator="greaterThan">
      <formula>0</formula>
    </cfRule>
  </conditionalFormatting>
  <conditionalFormatting sqref="I1884">
    <cfRule type="cellIs" dxfId="8834" priority="8766" stopIfTrue="1" operator="greaterThan">
      <formula>0</formula>
    </cfRule>
  </conditionalFormatting>
  <conditionalFormatting sqref="I1892">
    <cfRule type="cellIs" dxfId="8833" priority="8765" stopIfTrue="1" operator="greaterThan">
      <formula>0</formula>
    </cfRule>
  </conditionalFormatting>
  <conditionalFormatting sqref="E1885:E1891">
    <cfRule type="cellIs" dxfId="8832" priority="8764" stopIfTrue="1" operator="greaterThan">
      <formula>0</formula>
    </cfRule>
  </conditionalFormatting>
  <conditionalFormatting sqref="K1900:K1905">
    <cfRule type="containsText" dxfId="8831" priority="8762" stopIfTrue="1" operator="containsText" text="NO CUMPLE">
      <formula>NOT(ISERROR(SEARCH("NO CUMPLE",K1900)))</formula>
    </cfRule>
    <cfRule type="containsText" dxfId="8830" priority="8763" stopIfTrue="1" operator="containsText" text="CUMPLE">
      <formula>NOT(ISERROR(SEARCH("CUMPLE",K1900)))</formula>
    </cfRule>
  </conditionalFormatting>
  <conditionalFormatting sqref="K1906">
    <cfRule type="containsText" dxfId="8829" priority="8760" stopIfTrue="1" operator="containsText" text="NO CUMPLE">
      <formula>NOT(ISERROR(SEARCH("NO CUMPLE",K1906)))</formula>
    </cfRule>
    <cfRule type="containsText" dxfId="8828" priority="8761" stopIfTrue="1" operator="containsText" text="CUMPLE">
      <formula>NOT(ISERROR(SEARCH("CUMPLE",K1906)))</formula>
    </cfRule>
  </conditionalFormatting>
  <conditionalFormatting sqref="Q1899">
    <cfRule type="cellIs" dxfId="8827" priority="8758" operator="greaterThanOrEqual">
      <formula>NUMMINCONT</formula>
    </cfRule>
    <cfRule type="cellIs" dxfId="8826" priority="8759" operator="lessThan">
      <formula>NUMMINCONT</formula>
    </cfRule>
  </conditionalFormatting>
  <conditionalFormatting sqref="W1883:Y1891">
    <cfRule type="cellIs" dxfId="8825" priority="8756" stopIfTrue="1" operator="equal">
      <formula>"NO"</formula>
    </cfRule>
    <cfRule type="cellIs" dxfId="8824" priority="8757" stopIfTrue="1" operator="equal">
      <formula>"SI"</formula>
    </cfRule>
  </conditionalFormatting>
  <conditionalFormatting sqref="R1886">
    <cfRule type="cellIs" dxfId="8823" priority="8755" stopIfTrue="1" operator="greaterThan">
      <formula>0</formula>
    </cfRule>
  </conditionalFormatting>
  <conditionalFormatting sqref="R1887">
    <cfRule type="cellIs" dxfId="8822" priority="8754" stopIfTrue="1" operator="greaterThan">
      <formula>0</formula>
    </cfRule>
  </conditionalFormatting>
  <conditionalFormatting sqref="R1888">
    <cfRule type="cellIs" dxfId="8821" priority="8753" stopIfTrue="1" operator="greaterThan">
      <formula>0</formula>
    </cfRule>
  </conditionalFormatting>
  <conditionalFormatting sqref="R1889">
    <cfRule type="cellIs" dxfId="8820" priority="8752" stopIfTrue="1" operator="greaterThan">
      <formula>0</formula>
    </cfRule>
  </conditionalFormatting>
  <conditionalFormatting sqref="R1890">
    <cfRule type="cellIs" dxfId="8819" priority="8751" stopIfTrue="1" operator="greaterThan">
      <formula>0</formula>
    </cfRule>
  </conditionalFormatting>
  <conditionalFormatting sqref="R1891">
    <cfRule type="cellIs" dxfId="8818" priority="8750" stopIfTrue="1" operator="greaterThan">
      <formula>0</formula>
    </cfRule>
  </conditionalFormatting>
  <conditionalFormatting sqref="R1892">
    <cfRule type="cellIs" dxfId="8817" priority="8749" stopIfTrue="1" operator="greaterThan">
      <formula>0</formula>
    </cfRule>
  </conditionalFormatting>
  <conditionalFormatting sqref="W1883:X1883">
    <cfRule type="cellIs" dxfId="8816" priority="8748" stopIfTrue="1" operator="equal">
      <formula>"NO APLICA"</formula>
    </cfRule>
  </conditionalFormatting>
  <conditionalFormatting sqref="W1884:X1887">
    <cfRule type="cellIs" dxfId="8815" priority="8747" stopIfTrue="1" operator="equal">
      <formula>"NO APLICA"</formula>
    </cfRule>
  </conditionalFormatting>
  <conditionalFormatting sqref="W1884:X1884">
    <cfRule type="cellIs" dxfId="8814" priority="8746" stopIfTrue="1" operator="equal">
      <formula>"NO APLICA"</formula>
    </cfRule>
  </conditionalFormatting>
  <conditionalFormatting sqref="Y1883">
    <cfRule type="cellIs" dxfId="8813" priority="8745" stopIfTrue="1" operator="equal">
      <formula>"NO APLICA"</formula>
    </cfRule>
  </conditionalFormatting>
  <conditionalFormatting sqref="Y1884:Y1887">
    <cfRule type="cellIs" dxfId="8812" priority="8744" stopIfTrue="1" operator="equal">
      <formula>"NO APLICA"</formula>
    </cfRule>
  </conditionalFormatting>
  <conditionalFormatting sqref="W1888:X1891">
    <cfRule type="cellIs" dxfId="8811" priority="8743" stopIfTrue="1" operator="equal">
      <formula>"NO APLICA"</formula>
    </cfRule>
  </conditionalFormatting>
  <conditionalFormatting sqref="W1888:X1888">
    <cfRule type="cellIs" dxfId="8810" priority="8742" stopIfTrue="1" operator="equal">
      <formula>"NO APLICA"</formula>
    </cfRule>
  </conditionalFormatting>
  <conditionalFormatting sqref="Y1888:Y1891">
    <cfRule type="cellIs" dxfId="8809" priority="8741" stopIfTrue="1" operator="equal">
      <formula>"NO APLICA"</formula>
    </cfRule>
  </conditionalFormatting>
  <conditionalFormatting sqref="T1897">
    <cfRule type="cellIs" dxfId="8808" priority="8739" operator="equal">
      <formula>"CUMPLE"</formula>
    </cfRule>
    <cfRule type="cellIs" dxfId="8807" priority="8740" operator="equal">
      <formula>"NO CUMPLE"</formula>
    </cfRule>
  </conditionalFormatting>
  <conditionalFormatting sqref="T1897:T1899">
    <cfRule type="cellIs" dxfId="8806" priority="8738" operator="equal">
      <formula>"VERIFICAR"</formula>
    </cfRule>
  </conditionalFormatting>
  <conditionalFormatting sqref="AD1883:AF1887">
    <cfRule type="cellIs" dxfId="8805" priority="8736" stopIfTrue="1" operator="equal">
      <formula>"NO"</formula>
    </cfRule>
    <cfRule type="cellIs" dxfId="8804" priority="8737" stopIfTrue="1" operator="equal">
      <formula>"SI"</formula>
    </cfRule>
  </conditionalFormatting>
  <conditionalFormatting sqref="AD1888:AF1891">
    <cfRule type="cellIs" dxfId="8803" priority="8734" stopIfTrue="1" operator="equal">
      <formula>"NO"</formula>
    </cfRule>
    <cfRule type="cellIs" dxfId="8802" priority="8735" stopIfTrue="1" operator="equal">
      <formula>"SI"</formula>
    </cfRule>
  </conditionalFormatting>
  <conditionalFormatting sqref="W1892:Y1892">
    <cfRule type="cellIs" dxfId="8801" priority="8732" stopIfTrue="1" operator="equal">
      <formula>"NO"</formula>
    </cfRule>
    <cfRule type="cellIs" dxfId="8800" priority="8733" stopIfTrue="1" operator="equal">
      <formula>"SI"</formula>
    </cfRule>
  </conditionalFormatting>
  <conditionalFormatting sqref="W1892:X1892">
    <cfRule type="cellIs" dxfId="8799" priority="8731" stopIfTrue="1" operator="equal">
      <formula>"NO APLICA"</formula>
    </cfRule>
  </conditionalFormatting>
  <conditionalFormatting sqref="Y1892">
    <cfRule type="cellIs" dxfId="8798" priority="8730" stopIfTrue="1" operator="equal">
      <formula>"NO APLICA"</formula>
    </cfRule>
  </conditionalFormatting>
  <conditionalFormatting sqref="AD1892:AF1892">
    <cfRule type="cellIs" dxfId="8797" priority="8728" stopIfTrue="1" operator="equal">
      <formula>"NO"</formula>
    </cfRule>
    <cfRule type="cellIs" dxfId="8796" priority="8729" stopIfTrue="1" operator="equal">
      <formula>"SI"</formula>
    </cfRule>
  </conditionalFormatting>
  <conditionalFormatting sqref="AE1897">
    <cfRule type="cellIs" dxfId="8795" priority="8725" stopIfTrue="1" operator="equal">
      <formula>"VERIFICAR"</formula>
    </cfRule>
    <cfRule type="cellIs" dxfId="8794" priority="8726" stopIfTrue="1" operator="equal">
      <formula>"NO CUMPLE"</formula>
    </cfRule>
    <cfRule type="cellIs" dxfId="8793" priority="8727" stopIfTrue="1" operator="equal">
      <formula>"CUMPLE"</formula>
    </cfRule>
  </conditionalFormatting>
  <conditionalFormatting sqref="AF1897">
    <cfRule type="cellIs" dxfId="8792" priority="8722" stopIfTrue="1" operator="equal">
      <formula>"VERIFICAR"</formula>
    </cfRule>
    <cfRule type="cellIs" dxfId="8791" priority="8723" stopIfTrue="1" operator="equal">
      <formula>"NO CUMPLE"</formula>
    </cfRule>
    <cfRule type="cellIs" dxfId="8790" priority="8724" stopIfTrue="1" operator="equal">
      <formula>"CUMPLE"</formula>
    </cfRule>
  </conditionalFormatting>
  <conditionalFormatting sqref="Y1900">
    <cfRule type="cellIs" dxfId="8789" priority="8721" operator="equal">
      <formula>"VERIFICAR CUADRO"</formula>
    </cfRule>
  </conditionalFormatting>
  <conditionalFormatting sqref="AC1901:AC1906">
    <cfRule type="cellIs" dxfId="8788" priority="8720" stopIfTrue="1" operator="greaterThan">
      <formula>0</formula>
    </cfRule>
  </conditionalFormatting>
  <conditionalFormatting sqref="AC1901:AC1906">
    <cfRule type="cellIs" dxfId="8787" priority="8719" stopIfTrue="1" operator="greaterThan">
      <formula>0</formula>
    </cfRule>
  </conditionalFormatting>
  <conditionalFormatting sqref="AD1901:AD1906">
    <cfRule type="containsText" dxfId="8786" priority="8717" stopIfTrue="1" operator="containsText" text="NO CUMPLE">
      <formula>NOT(ISERROR(SEARCH("NO CUMPLE",AD1901)))</formula>
    </cfRule>
    <cfRule type="containsText" dxfId="8785" priority="8718" stopIfTrue="1" operator="containsText" text="CUMPLE">
      <formula>NOT(ISERROR(SEARCH("CUMPLE",AD1901)))</formula>
    </cfRule>
  </conditionalFormatting>
  <conditionalFormatting sqref="Y1906">
    <cfRule type="containsText" dxfId="8784" priority="8715" stopIfTrue="1" operator="containsText" text="NO CUMPLE">
      <formula>NOT(ISERROR(SEARCH("NO CUMPLE",Y1906)))</formula>
    </cfRule>
    <cfRule type="containsText" dxfId="8783" priority="8716" stopIfTrue="1" operator="containsText" text="CUMPLE">
      <formula>NOT(ISERROR(SEARCH("CUMPLE",Y1906)))</formula>
    </cfRule>
  </conditionalFormatting>
  <conditionalFormatting sqref="AA1883:AA1892">
    <cfRule type="cellIs" dxfId="8782" priority="8713" stopIfTrue="1" operator="equal">
      <formula>"NO APLICA"</formula>
    </cfRule>
    <cfRule type="cellIs" dxfId="8781" priority="8714" stopIfTrue="1" operator="equal">
      <formula>"TERCIARIA"</formula>
    </cfRule>
  </conditionalFormatting>
  <conditionalFormatting sqref="AB1883:AB1892">
    <cfRule type="cellIs" dxfId="8780" priority="8711" stopIfTrue="1" operator="equal">
      <formula>"N/A"</formula>
    </cfRule>
    <cfRule type="cellIs" dxfId="8779" priority="8712" stopIfTrue="1" operator="equal">
      <formula>"NO"</formula>
    </cfRule>
  </conditionalFormatting>
  <conditionalFormatting sqref="M1913:M1922">
    <cfRule type="cellIs" dxfId="8778" priority="8710" stopIfTrue="1" operator="lessThan">
      <formula>0</formula>
    </cfRule>
  </conditionalFormatting>
  <conditionalFormatting sqref="C1915:D1921 B1914:B1921 F1915:I1921 C1914:I1914 B1922:O1922 B1913:R1913 Q1914:R1915 J1914:O1921 Q1916:Q1922 P1914:P1922">
    <cfRule type="cellIs" dxfId="8777" priority="8709" stopIfTrue="1" operator="greaterThan">
      <formula>0</formula>
    </cfRule>
  </conditionalFormatting>
  <conditionalFormatting sqref="C1915:D1921">
    <cfRule type="cellIs" dxfId="8776" priority="8708" stopIfTrue="1" operator="greaterThan">
      <formula>0</formula>
    </cfRule>
  </conditionalFormatting>
  <conditionalFormatting sqref="C1913:M1913 C1915:D1921 F1915:I1921 C1914:I1914 K1914:M1921 J1914:J1922 L1922:M1922">
    <cfRule type="cellIs" dxfId="8775" priority="8707" stopIfTrue="1" operator="greaterThan">
      <formula>0</formula>
    </cfRule>
  </conditionalFormatting>
  <conditionalFormatting sqref="M1913:M1922">
    <cfRule type="cellIs" dxfId="8774" priority="8706" stopIfTrue="1" operator="lessThan">
      <formula>0</formula>
    </cfRule>
  </conditionalFormatting>
  <conditionalFormatting sqref="J1914:J1922 L1914:O1922 C1913:O1913">
    <cfRule type="cellIs" dxfId="8773" priority="8705" stopIfTrue="1" operator="greaterThan">
      <formula>0</formula>
    </cfRule>
  </conditionalFormatting>
  <conditionalFormatting sqref="H1915:I1921 K1915:M1922">
    <cfRule type="cellIs" dxfId="8772" priority="8704" stopIfTrue="1" operator="greaterThan">
      <formula>0</formula>
    </cfRule>
  </conditionalFormatting>
  <conditionalFormatting sqref="I1914">
    <cfRule type="cellIs" dxfId="8771" priority="8703" stopIfTrue="1" operator="greaterThan">
      <formula>0</formula>
    </cfRule>
  </conditionalFormatting>
  <conditionalFormatting sqref="I1922">
    <cfRule type="cellIs" dxfId="8770" priority="8702" stopIfTrue="1" operator="greaterThan">
      <formula>0</formula>
    </cfRule>
  </conditionalFormatting>
  <conditionalFormatting sqref="E1915:E1921">
    <cfRule type="cellIs" dxfId="8769" priority="8701" stopIfTrue="1" operator="greaterThan">
      <formula>0</formula>
    </cfRule>
  </conditionalFormatting>
  <conditionalFormatting sqref="K1930:K1935">
    <cfRule type="containsText" dxfId="8768" priority="8699" stopIfTrue="1" operator="containsText" text="NO CUMPLE">
      <formula>NOT(ISERROR(SEARCH("NO CUMPLE",K1930)))</formula>
    </cfRule>
    <cfRule type="containsText" dxfId="8767" priority="8700" stopIfTrue="1" operator="containsText" text="CUMPLE">
      <formula>NOT(ISERROR(SEARCH("CUMPLE",K1930)))</formula>
    </cfRule>
  </conditionalFormatting>
  <conditionalFormatting sqref="K1936">
    <cfRule type="containsText" dxfId="8766" priority="8697" stopIfTrue="1" operator="containsText" text="NO CUMPLE">
      <formula>NOT(ISERROR(SEARCH("NO CUMPLE",K1936)))</formula>
    </cfRule>
    <cfRule type="containsText" dxfId="8765" priority="8698" stopIfTrue="1" operator="containsText" text="CUMPLE">
      <formula>NOT(ISERROR(SEARCH("CUMPLE",K1936)))</formula>
    </cfRule>
  </conditionalFormatting>
  <conditionalFormatting sqref="Q1929">
    <cfRule type="cellIs" dxfId="8764" priority="8695" operator="greaterThanOrEqual">
      <formula>NUMMINCONT</formula>
    </cfRule>
    <cfRule type="cellIs" dxfId="8763" priority="8696" operator="lessThan">
      <formula>NUMMINCONT</formula>
    </cfRule>
  </conditionalFormatting>
  <conditionalFormatting sqref="W1913:Y1921">
    <cfRule type="cellIs" dxfId="8762" priority="8693" stopIfTrue="1" operator="equal">
      <formula>"NO"</formula>
    </cfRule>
    <cfRule type="cellIs" dxfId="8761" priority="8694" stopIfTrue="1" operator="equal">
      <formula>"SI"</formula>
    </cfRule>
  </conditionalFormatting>
  <conditionalFormatting sqref="R1916">
    <cfRule type="cellIs" dxfId="8760" priority="8692" stopIfTrue="1" operator="greaterThan">
      <formula>0</formula>
    </cfRule>
  </conditionalFormatting>
  <conditionalFormatting sqref="R1917">
    <cfRule type="cellIs" dxfId="8759" priority="8691" stopIfTrue="1" operator="greaterThan">
      <formula>0</formula>
    </cfRule>
  </conditionalFormatting>
  <conditionalFormatting sqref="R1918">
    <cfRule type="cellIs" dxfId="8758" priority="8690" stopIfTrue="1" operator="greaterThan">
      <formula>0</formula>
    </cfRule>
  </conditionalFormatting>
  <conditionalFormatting sqref="R1919">
    <cfRule type="cellIs" dxfId="8757" priority="8689" stopIfTrue="1" operator="greaterThan">
      <formula>0</formula>
    </cfRule>
  </conditionalFormatting>
  <conditionalFormatting sqref="R1920">
    <cfRule type="cellIs" dxfId="8756" priority="8688" stopIfTrue="1" operator="greaterThan">
      <formula>0</formula>
    </cfRule>
  </conditionalFormatting>
  <conditionalFormatting sqref="R1921">
    <cfRule type="cellIs" dxfId="8755" priority="8687" stopIfTrue="1" operator="greaterThan">
      <formula>0</formula>
    </cfRule>
  </conditionalFormatting>
  <conditionalFormatting sqref="R1922">
    <cfRule type="cellIs" dxfId="8754" priority="8686" stopIfTrue="1" operator="greaterThan">
      <formula>0</formula>
    </cfRule>
  </conditionalFormatting>
  <conditionalFormatting sqref="W1913:X1913">
    <cfRule type="cellIs" dxfId="8753" priority="8685" stopIfTrue="1" operator="equal">
      <formula>"NO APLICA"</formula>
    </cfRule>
  </conditionalFormatting>
  <conditionalFormatting sqref="W1914:X1917">
    <cfRule type="cellIs" dxfId="8752" priority="8684" stopIfTrue="1" operator="equal">
      <formula>"NO APLICA"</formula>
    </cfRule>
  </conditionalFormatting>
  <conditionalFormatting sqref="W1914:X1914">
    <cfRule type="cellIs" dxfId="8751" priority="8683" stopIfTrue="1" operator="equal">
      <formula>"NO APLICA"</formula>
    </cfRule>
  </conditionalFormatting>
  <conditionalFormatting sqref="Y1913">
    <cfRule type="cellIs" dxfId="8750" priority="8682" stopIfTrue="1" operator="equal">
      <formula>"NO APLICA"</formula>
    </cfRule>
  </conditionalFormatting>
  <conditionalFormatting sqref="Y1914:Y1917">
    <cfRule type="cellIs" dxfId="8749" priority="8681" stopIfTrue="1" operator="equal">
      <formula>"NO APLICA"</formula>
    </cfRule>
  </conditionalFormatting>
  <conditionalFormatting sqref="W1918:X1921">
    <cfRule type="cellIs" dxfId="8748" priority="8680" stopIfTrue="1" operator="equal">
      <formula>"NO APLICA"</formula>
    </cfRule>
  </conditionalFormatting>
  <conditionalFormatting sqref="W1918:X1918">
    <cfRule type="cellIs" dxfId="8747" priority="8679" stopIfTrue="1" operator="equal">
      <formula>"NO APLICA"</formula>
    </cfRule>
  </conditionalFormatting>
  <conditionalFormatting sqref="Y1918:Y1921">
    <cfRule type="cellIs" dxfId="8746" priority="8678" stopIfTrue="1" operator="equal">
      <formula>"NO APLICA"</formula>
    </cfRule>
  </conditionalFormatting>
  <conditionalFormatting sqref="T1927">
    <cfRule type="cellIs" dxfId="8745" priority="8676" operator="equal">
      <formula>"CUMPLE"</formula>
    </cfRule>
    <cfRule type="cellIs" dxfId="8744" priority="8677" operator="equal">
      <formula>"NO CUMPLE"</formula>
    </cfRule>
  </conditionalFormatting>
  <conditionalFormatting sqref="T1927:T1929">
    <cfRule type="cellIs" dxfId="8743" priority="8675" operator="equal">
      <formula>"VERIFICAR"</formula>
    </cfRule>
  </conditionalFormatting>
  <conditionalFormatting sqref="AD1913:AF1917">
    <cfRule type="cellIs" dxfId="8742" priority="8673" stopIfTrue="1" operator="equal">
      <formula>"NO"</formula>
    </cfRule>
    <cfRule type="cellIs" dxfId="8741" priority="8674" stopIfTrue="1" operator="equal">
      <formula>"SI"</formula>
    </cfRule>
  </conditionalFormatting>
  <conditionalFormatting sqref="AD1918:AF1921">
    <cfRule type="cellIs" dxfId="8740" priority="8671" stopIfTrue="1" operator="equal">
      <formula>"NO"</formula>
    </cfRule>
    <cfRule type="cellIs" dxfId="8739" priority="8672" stopIfTrue="1" operator="equal">
      <formula>"SI"</formula>
    </cfRule>
  </conditionalFormatting>
  <conditionalFormatting sqref="W1922:Y1922">
    <cfRule type="cellIs" dxfId="8738" priority="8669" stopIfTrue="1" operator="equal">
      <formula>"NO"</formula>
    </cfRule>
    <cfRule type="cellIs" dxfId="8737" priority="8670" stopIfTrue="1" operator="equal">
      <formula>"SI"</formula>
    </cfRule>
  </conditionalFormatting>
  <conditionalFormatting sqref="W1922:X1922">
    <cfRule type="cellIs" dxfId="8736" priority="8668" stopIfTrue="1" operator="equal">
      <formula>"NO APLICA"</formula>
    </cfRule>
  </conditionalFormatting>
  <conditionalFormatting sqref="Y1922">
    <cfRule type="cellIs" dxfId="8735" priority="8667" stopIfTrue="1" operator="equal">
      <formula>"NO APLICA"</formula>
    </cfRule>
  </conditionalFormatting>
  <conditionalFormatting sqref="AD1922:AF1922">
    <cfRule type="cellIs" dxfId="8734" priority="8665" stopIfTrue="1" operator="equal">
      <formula>"NO"</formula>
    </cfRule>
    <cfRule type="cellIs" dxfId="8733" priority="8666" stopIfTrue="1" operator="equal">
      <formula>"SI"</formula>
    </cfRule>
  </conditionalFormatting>
  <conditionalFormatting sqref="AE1927">
    <cfRule type="cellIs" dxfId="8732" priority="8662" stopIfTrue="1" operator="equal">
      <formula>"VERIFICAR"</formula>
    </cfRule>
    <cfRule type="cellIs" dxfId="8731" priority="8663" stopIfTrue="1" operator="equal">
      <formula>"NO CUMPLE"</formula>
    </cfRule>
    <cfRule type="cellIs" dxfId="8730" priority="8664" stopIfTrue="1" operator="equal">
      <formula>"CUMPLE"</formula>
    </cfRule>
  </conditionalFormatting>
  <conditionalFormatting sqref="AF1927">
    <cfRule type="cellIs" dxfId="8729" priority="8659" stopIfTrue="1" operator="equal">
      <formula>"VERIFICAR"</formula>
    </cfRule>
    <cfRule type="cellIs" dxfId="8728" priority="8660" stopIfTrue="1" operator="equal">
      <formula>"NO CUMPLE"</formula>
    </cfRule>
    <cfRule type="cellIs" dxfId="8727" priority="8661" stopIfTrue="1" operator="equal">
      <formula>"CUMPLE"</formula>
    </cfRule>
  </conditionalFormatting>
  <conditionalFormatting sqref="Y1930">
    <cfRule type="cellIs" dxfId="8726" priority="8658" operator="equal">
      <formula>"VERIFICAR CUADRO"</formula>
    </cfRule>
  </conditionalFormatting>
  <conditionalFormatting sqref="AC1931:AC1936">
    <cfRule type="cellIs" dxfId="8725" priority="8657" stopIfTrue="1" operator="greaterThan">
      <formula>0</formula>
    </cfRule>
  </conditionalFormatting>
  <conditionalFormatting sqref="AC1931:AC1936">
    <cfRule type="cellIs" dxfId="8724" priority="8656" stopIfTrue="1" operator="greaterThan">
      <formula>0</formula>
    </cfRule>
  </conditionalFormatting>
  <conditionalFormatting sqref="AD1931:AD1936">
    <cfRule type="containsText" dxfId="8723" priority="8654" stopIfTrue="1" operator="containsText" text="NO CUMPLE">
      <formula>NOT(ISERROR(SEARCH("NO CUMPLE",AD1931)))</formula>
    </cfRule>
    <cfRule type="containsText" dxfId="8722" priority="8655" stopIfTrue="1" operator="containsText" text="CUMPLE">
      <formula>NOT(ISERROR(SEARCH("CUMPLE",AD1931)))</formula>
    </cfRule>
  </conditionalFormatting>
  <conditionalFormatting sqref="Y1936">
    <cfRule type="containsText" dxfId="8721" priority="8652" stopIfTrue="1" operator="containsText" text="NO CUMPLE">
      <formula>NOT(ISERROR(SEARCH("NO CUMPLE",Y1936)))</formula>
    </cfRule>
    <cfRule type="containsText" dxfId="8720" priority="8653" stopIfTrue="1" operator="containsText" text="CUMPLE">
      <formula>NOT(ISERROR(SEARCH("CUMPLE",Y1936)))</formula>
    </cfRule>
  </conditionalFormatting>
  <conditionalFormatting sqref="AA1913:AA1922">
    <cfRule type="cellIs" dxfId="8719" priority="8650" stopIfTrue="1" operator="equal">
      <formula>"NO APLICA"</formula>
    </cfRule>
    <cfRule type="cellIs" dxfId="8718" priority="8651" stopIfTrue="1" operator="equal">
      <formula>"TERCIARIA"</formula>
    </cfRule>
  </conditionalFormatting>
  <conditionalFormatting sqref="AB1913:AB1922">
    <cfRule type="cellIs" dxfId="8717" priority="8648" stopIfTrue="1" operator="equal">
      <formula>"N/A"</formula>
    </cfRule>
    <cfRule type="cellIs" dxfId="8716" priority="8649" stopIfTrue="1" operator="equal">
      <formula>"NO"</formula>
    </cfRule>
  </conditionalFormatting>
  <conditionalFormatting sqref="M1943:M1952">
    <cfRule type="cellIs" dxfId="8715" priority="8647" stopIfTrue="1" operator="lessThan">
      <formula>0</formula>
    </cfRule>
  </conditionalFormatting>
  <conditionalFormatting sqref="C1945:D1951 B1944:B1951 F1945:I1951 C1944:I1944 B1952:O1952 B1943:R1943 Q1944:R1945 J1944:O1951 Q1946:Q1952 P1944:P1952">
    <cfRule type="cellIs" dxfId="8714" priority="8646" stopIfTrue="1" operator="greaterThan">
      <formula>0</formula>
    </cfRule>
  </conditionalFormatting>
  <conditionalFormatting sqref="C1945:D1951">
    <cfRule type="cellIs" dxfId="8713" priority="8645" stopIfTrue="1" operator="greaterThan">
      <formula>0</formula>
    </cfRule>
  </conditionalFormatting>
  <conditionalFormatting sqref="C1943:M1943 C1945:D1951 F1945:I1951 C1944:I1944 K1944:M1951 J1944:J1952 L1952:M1952">
    <cfRule type="cellIs" dxfId="8712" priority="8644" stopIfTrue="1" operator="greaterThan">
      <formula>0</formula>
    </cfRule>
  </conditionalFormatting>
  <conditionalFormatting sqref="M1943:M1952">
    <cfRule type="cellIs" dxfId="8711" priority="8643" stopIfTrue="1" operator="lessThan">
      <formula>0</formula>
    </cfRule>
  </conditionalFormatting>
  <conditionalFormatting sqref="J1944:J1952 L1944:O1952 C1943:O1943">
    <cfRule type="cellIs" dxfId="8710" priority="8642" stopIfTrue="1" operator="greaterThan">
      <formula>0</formula>
    </cfRule>
  </conditionalFormatting>
  <conditionalFormatting sqref="H1945:I1951 K1945:M1952">
    <cfRule type="cellIs" dxfId="8709" priority="8641" stopIfTrue="1" operator="greaterThan">
      <formula>0</formula>
    </cfRule>
  </conditionalFormatting>
  <conditionalFormatting sqref="I1944">
    <cfRule type="cellIs" dxfId="8708" priority="8640" stopIfTrue="1" operator="greaterThan">
      <formula>0</formula>
    </cfRule>
  </conditionalFormatting>
  <conditionalFormatting sqref="I1952">
    <cfRule type="cellIs" dxfId="8707" priority="8639" stopIfTrue="1" operator="greaterThan">
      <formula>0</formula>
    </cfRule>
  </conditionalFormatting>
  <conditionalFormatting sqref="E1945:E1951">
    <cfRule type="cellIs" dxfId="8706" priority="8638" stopIfTrue="1" operator="greaterThan">
      <formula>0</formula>
    </cfRule>
  </conditionalFormatting>
  <conditionalFormatting sqref="K1960:K1965">
    <cfRule type="containsText" dxfId="8705" priority="8636" stopIfTrue="1" operator="containsText" text="NO CUMPLE">
      <formula>NOT(ISERROR(SEARCH("NO CUMPLE",K1960)))</formula>
    </cfRule>
    <cfRule type="containsText" dxfId="8704" priority="8637" stopIfTrue="1" operator="containsText" text="CUMPLE">
      <formula>NOT(ISERROR(SEARCH("CUMPLE",K1960)))</formula>
    </cfRule>
  </conditionalFormatting>
  <conditionalFormatting sqref="K1966">
    <cfRule type="containsText" dxfId="8703" priority="8634" stopIfTrue="1" operator="containsText" text="NO CUMPLE">
      <formula>NOT(ISERROR(SEARCH("NO CUMPLE",K1966)))</formula>
    </cfRule>
    <cfRule type="containsText" dxfId="8702" priority="8635" stopIfTrue="1" operator="containsText" text="CUMPLE">
      <formula>NOT(ISERROR(SEARCH("CUMPLE",K1966)))</formula>
    </cfRule>
  </conditionalFormatting>
  <conditionalFormatting sqref="Q1959">
    <cfRule type="cellIs" dxfId="8701" priority="8632" operator="greaterThanOrEqual">
      <formula>NUMMINCONT</formula>
    </cfRule>
    <cfRule type="cellIs" dxfId="8700" priority="8633" operator="lessThan">
      <formula>NUMMINCONT</formula>
    </cfRule>
  </conditionalFormatting>
  <conditionalFormatting sqref="W1943:Y1951">
    <cfRule type="cellIs" dxfId="8699" priority="8630" stopIfTrue="1" operator="equal">
      <formula>"NO"</formula>
    </cfRule>
    <cfRule type="cellIs" dxfId="8698" priority="8631" stopIfTrue="1" operator="equal">
      <formula>"SI"</formula>
    </cfRule>
  </conditionalFormatting>
  <conditionalFormatting sqref="R1946">
    <cfRule type="cellIs" dxfId="8697" priority="8629" stopIfTrue="1" operator="greaterThan">
      <formula>0</formula>
    </cfRule>
  </conditionalFormatting>
  <conditionalFormatting sqref="R1947">
    <cfRule type="cellIs" dxfId="8696" priority="8628" stopIfTrue="1" operator="greaterThan">
      <formula>0</formula>
    </cfRule>
  </conditionalFormatting>
  <conditionalFormatting sqref="R1948">
    <cfRule type="cellIs" dxfId="8695" priority="8627" stopIfTrue="1" operator="greaterThan">
      <formula>0</formula>
    </cfRule>
  </conditionalFormatting>
  <conditionalFormatting sqref="R1949">
    <cfRule type="cellIs" dxfId="8694" priority="8626" stopIfTrue="1" operator="greaterThan">
      <formula>0</formula>
    </cfRule>
  </conditionalFormatting>
  <conditionalFormatting sqref="R1950">
    <cfRule type="cellIs" dxfId="8693" priority="8625" stopIfTrue="1" operator="greaterThan">
      <formula>0</formula>
    </cfRule>
  </conditionalFormatting>
  <conditionalFormatting sqref="R1951">
    <cfRule type="cellIs" dxfId="8692" priority="8624" stopIfTrue="1" operator="greaterThan">
      <formula>0</formula>
    </cfRule>
  </conditionalFormatting>
  <conditionalFormatting sqref="R1952">
    <cfRule type="cellIs" dxfId="8691" priority="8623" stopIfTrue="1" operator="greaterThan">
      <formula>0</formula>
    </cfRule>
  </conditionalFormatting>
  <conditionalFormatting sqref="W1943:X1943">
    <cfRule type="cellIs" dxfId="8690" priority="8622" stopIfTrue="1" operator="equal">
      <formula>"NO APLICA"</formula>
    </cfRule>
  </conditionalFormatting>
  <conditionalFormatting sqref="W1944:X1947">
    <cfRule type="cellIs" dxfId="8689" priority="8621" stopIfTrue="1" operator="equal">
      <formula>"NO APLICA"</formula>
    </cfRule>
  </conditionalFormatting>
  <conditionalFormatting sqref="W1944:X1944">
    <cfRule type="cellIs" dxfId="8688" priority="8620" stopIfTrue="1" operator="equal">
      <formula>"NO APLICA"</formula>
    </cfRule>
  </conditionalFormatting>
  <conditionalFormatting sqref="Y1943">
    <cfRule type="cellIs" dxfId="8687" priority="8619" stopIfTrue="1" operator="equal">
      <formula>"NO APLICA"</formula>
    </cfRule>
  </conditionalFormatting>
  <conditionalFormatting sqref="Y1944:Y1947">
    <cfRule type="cellIs" dxfId="8686" priority="8618" stopIfTrue="1" operator="equal">
      <formula>"NO APLICA"</formula>
    </cfRule>
  </conditionalFormatting>
  <conditionalFormatting sqref="W1948:X1951">
    <cfRule type="cellIs" dxfId="8685" priority="8617" stopIfTrue="1" operator="equal">
      <formula>"NO APLICA"</formula>
    </cfRule>
  </conditionalFormatting>
  <conditionalFormatting sqref="W1948:X1948">
    <cfRule type="cellIs" dxfId="8684" priority="8616" stopIfTrue="1" operator="equal">
      <formula>"NO APLICA"</formula>
    </cfRule>
  </conditionalFormatting>
  <conditionalFormatting sqref="Y1948:Y1951">
    <cfRule type="cellIs" dxfId="8683" priority="8615" stopIfTrue="1" operator="equal">
      <formula>"NO APLICA"</formula>
    </cfRule>
  </conditionalFormatting>
  <conditionalFormatting sqref="T1957">
    <cfRule type="cellIs" dxfId="8682" priority="8613" operator="equal">
      <formula>"CUMPLE"</formula>
    </cfRule>
    <cfRule type="cellIs" dxfId="8681" priority="8614" operator="equal">
      <formula>"NO CUMPLE"</formula>
    </cfRule>
  </conditionalFormatting>
  <conditionalFormatting sqref="T1957:T1959">
    <cfRule type="cellIs" dxfId="8680" priority="8612" operator="equal">
      <formula>"VERIFICAR"</formula>
    </cfRule>
  </conditionalFormatting>
  <conditionalFormatting sqref="AD1943:AF1947">
    <cfRule type="cellIs" dxfId="8679" priority="8610" stopIfTrue="1" operator="equal">
      <formula>"NO"</formula>
    </cfRule>
    <cfRule type="cellIs" dxfId="8678" priority="8611" stopIfTrue="1" operator="equal">
      <formula>"SI"</formula>
    </cfRule>
  </conditionalFormatting>
  <conditionalFormatting sqref="AD1948:AF1951">
    <cfRule type="cellIs" dxfId="8677" priority="8608" stopIfTrue="1" operator="equal">
      <formula>"NO"</formula>
    </cfRule>
    <cfRule type="cellIs" dxfId="8676" priority="8609" stopIfTrue="1" operator="equal">
      <formula>"SI"</formula>
    </cfRule>
  </conditionalFormatting>
  <conditionalFormatting sqref="W1952:Y1952">
    <cfRule type="cellIs" dxfId="8675" priority="8606" stopIfTrue="1" operator="equal">
      <formula>"NO"</formula>
    </cfRule>
    <cfRule type="cellIs" dxfId="8674" priority="8607" stopIfTrue="1" operator="equal">
      <formula>"SI"</formula>
    </cfRule>
  </conditionalFormatting>
  <conditionalFormatting sqref="W1952:X1952">
    <cfRule type="cellIs" dxfId="8673" priority="8605" stopIfTrue="1" operator="equal">
      <formula>"NO APLICA"</formula>
    </cfRule>
  </conditionalFormatting>
  <conditionalFormatting sqref="Y1952">
    <cfRule type="cellIs" dxfId="8672" priority="8604" stopIfTrue="1" operator="equal">
      <formula>"NO APLICA"</formula>
    </cfRule>
  </conditionalFormatting>
  <conditionalFormatting sqref="AD1952:AF1952">
    <cfRule type="cellIs" dxfId="8671" priority="8602" stopIfTrue="1" operator="equal">
      <formula>"NO"</formula>
    </cfRule>
    <cfRule type="cellIs" dxfId="8670" priority="8603" stopIfTrue="1" operator="equal">
      <formula>"SI"</formula>
    </cfRule>
  </conditionalFormatting>
  <conditionalFormatting sqref="AE1957">
    <cfRule type="cellIs" dxfId="8669" priority="8599" stopIfTrue="1" operator="equal">
      <formula>"VERIFICAR"</formula>
    </cfRule>
    <cfRule type="cellIs" dxfId="8668" priority="8600" stopIfTrue="1" operator="equal">
      <formula>"NO CUMPLE"</formula>
    </cfRule>
    <cfRule type="cellIs" dxfId="8667" priority="8601" stopIfTrue="1" operator="equal">
      <formula>"CUMPLE"</formula>
    </cfRule>
  </conditionalFormatting>
  <conditionalFormatting sqref="AF1957">
    <cfRule type="cellIs" dxfId="8666" priority="8596" stopIfTrue="1" operator="equal">
      <formula>"VERIFICAR"</formula>
    </cfRule>
    <cfRule type="cellIs" dxfId="8665" priority="8597" stopIfTrue="1" operator="equal">
      <formula>"NO CUMPLE"</formula>
    </cfRule>
    <cfRule type="cellIs" dxfId="8664" priority="8598" stopIfTrue="1" operator="equal">
      <formula>"CUMPLE"</formula>
    </cfRule>
  </conditionalFormatting>
  <conditionalFormatting sqref="Y1960">
    <cfRule type="cellIs" dxfId="8663" priority="8595" operator="equal">
      <formula>"VERIFICAR CUADRO"</formula>
    </cfRule>
  </conditionalFormatting>
  <conditionalFormatting sqref="AC1961:AC1966">
    <cfRule type="cellIs" dxfId="8662" priority="8594" stopIfTrue="1" operator="greaterThan">
      <formula>0</formula>
    </cfRule>
  </conditionalFormatting>
  <conditionalFormatting sqref="AC1961:AC1966">
    <cfRule type="cellIs" dxfId="8661" priority="8593" stopIfTrue="1" operator="greaterThan">
      <formula>0</formula>
    </cfRule>
  </conditionalFormatting>
  <conditionalFormatting sqref="AD1961:AD1966">
    <cfRule type="containsText" dxfId="8660" priority="8591" stopIfTrue="1" operator="containsText" text="NO CUMPLE">
      <formula>NOT(ISERROR(SEARCH("NO CUMPLE",AD1961)))</formula>
    </cfRule>
    <cfRule type="containsText" dxfId="8659" priority="8592" stopIfTrue="1" operator="containsText" text="CUMPLE">
      <formula>NOT(ISERROR(SEARCH("CUMPLE",AD1961)))</formula>
    </cfRule>
  </conditionalFormatting>
  <conditionalFormatting sqref="Y1966">
    <cfRule type="containsText" dxfId="8658" priority="8589" stopIfTrue="1" operator="containsText" text="NO CUMPLE">
      <formula>NOT(ISERROR(SEARCH("NO CUMPLE",Y1966)))</formula>
    </cfRule>
    <cfRule type="containsText" dxfId="8657" priority="8590" stopIfTrue="1" operator="containsText" text="CUMPLE">
      <formula>NOT(ISERROR(SEARCH("CUMPLE",Y1966)))</formula>
    </cfRule>
  </conditionalFormatting>
  <conditionalFormatting sqref="AA1943:AA1952">
    <cfRule type="cellIs" dxfId="8656" priority="8587" stopIfTrue="1" operator="equal">
      <formula>"NO APLICA"</formula>
    </cfRule>
    <cfRule type="cellIs" dxfId="8655" priority="8588" stopIfTrue="1" operator="equal">
      <formula>"TERCIARIA"</formula>
    </cfRule>
  </conditionalFormatting>
  <conditionalFormatting sqref="AB1943:AB1952">
    <cfRule type="cellIs" dxfId="8654" priority="8585" stopIfTrue="1" operator="equal">
      <formula>"N/A"</formula>
    </cfRule>
    <cfRule type="cellIs" dxfId="8653" priority="8586" stopIfTrue="1" operator="equal">
      <formula>"NO"</formula>
    </cfRule>
  </conditionalFormatting>
  <conditionalFormatting sqref="M1973:M1982">
    <cfRule type="cellIs" dxfId="8652" priority="8584" stopIfTrue="1" operator="lessThan">
      <formula>0</formula>
    </cfRule>
  </conditionalFormatting>
  <conditionalFormatting sqref="C1975:D1981 B1974:B1981 F1975:I1981 C1974:I1974 B1982:O1982 B1973:R1973 Q1974:R1975 J1974:O1981 Q1976:Q1982 P1974:P1982">
    <cfRule type="cellIs" dxfId="8651" priority="8583" stopIfTrue="1" operator="greaterThan">
      <formula>0</formula>
    </cfRule>
  </conditionalFormatting>
  <conditionalFormatting sqref="C1975:D1981">
    <cfRule type="cellIs" dxfId="8650" priority="8582" stopIfTrue="1" operator="greaterThan">
      <formula>0</formula>
    </cfRule>
  </conditionalFormatting>
  <conditionalFormatting sqref="C1973:M1973 C1975:D1981 F1975:I1981 C1974:I1974 K1974:M1981 J1974:J1982 L1982:M1982">
    <cfRule type="cellIs" dxfId="8649" priority="8581" stopIfTrue="1" operator="greaterThan">
      <formula>0</formula>
    </cfRule>
  </conditionalFormatting>
  <conditionalFormatting sqref="M1973:M1982">
    <cfRule type="cellIs" dxfId="8648" priority="8580" stopIfTrue="1" operator="lessThan">
      <formula>0</formula>
    </cfRule>
  </conditionalFormatting>
  <conditionalFormatting sqref="J1974:J1982 L1974:O1982 C1973:O1973">
    <cfRule type="cellIs" dxfId="8647" priority="8579" stopIfTrue="1" operator="greaterThan">
      <formula>0</formula>
    </cfRule>
  </conditionalFormatting>
  <conditionalFormatting sqref="H1975:I1981 K1975:M1982">
    <cfRule type="cellIs" dxfId="8646" priority="8578" stopIfTrue="1" operator="greaterThan">
      <formula>0</formula>
    </cfRule>
  </conditionalFormatting>
  <conditionalFormatting sqref="I1974">
    <cfRule type="cellIs" dxfId="8645" priority="8577" stopIfTrue="1" operator="greaterThan">
      <formula>0</formula>
    </cfRule>
  </conditionalFormatting>
  <conditionalFormatting sqref="I1982">
    <cfRule type="cellIs" dxfId="8644" priority="8576" stopIfTrue="1" operator="greaterThan">
      <formula>0</formula>
    </cfRule>
  </conditionalFormatting>
  <conditionalFormatting sqref="E1975:E1981">
    <cfRule type="cellIs" dxfId="8643" priority="8575" stopIfTrue="1" operator="greaterThan">
      <formula>0</formula>
    </cfRule>
  </conditionalFormatting>
  <conditionalFormatting sqref="K1990:K1995">
    <cfRule type="containsText" dxfId="8642" priority="8573" stopIfTrue="1" operator="containsText" text="NO CUMPLE">
      <formula>NOT(ISERROR(SEARCH("NO CUMPLE",K1990)))</formula>
    </cfRule>
    <cfRule type="containsText" dxfId="8641" priority="8574" stopIfTrue="1" operator="containsText" text="CUMPLE">
      <formula>NOT(ISERROR(SEARCH("CUMPLE",K1990)))</formula>
    </cfRule>
  </conditionalFormatting>
  <conditionalFormatting sqref="K1996">
    <cfRule type="containsText" dxfId="8640" priority="8571" stopIfTrue="1" operator="containsText" text="NO CUMPLE">
      <formula>NOT(ISERROR(SEARCH("NO CUMPLE",K1996)))</formula>
    </cfRule>
    <cfRule type="containsText" dxfId="8639" priority="8572" stopIfTrue="1" operator="containsText" text="CUMPLE">
      <formula>NOT(ISERROR(SEARCH("CUMPLE",K1996)))</formula>
    </cfRule>
  </conditionalFormatting>
  <conditionalFormatting sqref="Q1989">
    <cfRule type="cellIs" dxfId="8638" priority="8569" operator="greaterThanOrEqual">
      <formula>NUMMINCONT</formula>
    </cfRule>
    <cfRule type="cellIs" dxfId="8637" priority="8570" operator="lessThan">
      <formula>NUMMINCONT</formula>
    </cfRule>
  </conditionalFormatting>
  <conditionalFormatting sqref="W1973:Y1981">
    <cfRule type="cellIs" dxfId="8636" priority="8567" stopIfTrue="1" operator="equal">
      <formula>"NO"</formula>
    </cfRule>
    <cfRule type="cellIs" dxfId="8635" priority="8568" stopIfTrue="1" operator="equal">
      <formula>"SI"</formula>
    </cfRule>
  </conditionalFormatting>
  <conditionalFormatting sqref="R1976">
    <cfRule type="cellIs" dxfId="8634" priority="8566" stopIfTrue="1" operator="greaterThan">
      <formula>0</formula>
    </cfRule>
  </conditionalFormatting>
  <conditionalFormatting sqref="R1977">
    <cfRule type="cellIs" dxfId="8633" priority="8565" stopIfTrue="1" operator="greaterThan">
      <formula>0</formula>
    </cfRule>
  </conditionalFormatting>
  <conditionalFormatting sqref="R1978">
    <cfRule type="cellIs" dxfId="8632" priority="8564" stopIfTrue="1" operator="greaterThan">
      <formula>0</formula>
    </cfRule>
  </conditionalFormatting>
  <conditionalFormatting sqref="R1979">
    <cfRule type="cellIs" dxfId="8631" priority="8563" stopIfTrue="1" operator="greaterThan">
      <formula>0</formula>
    </cfRule>
  </conditionalFormatting>
  <conditionalFormatting sqref="R1980">
    <cfRule type="cellIs" dxfId="8630" priority="8562" stopIfTrue="1" operator="greaterThan">
      <formula>0</formula>
    </cfRule>
  </conditionalFormatting>
  <conditionalFormatting sqref="R1981">
    <cfRule type="cellIs" dxfId="8629" priority="8561" stopIfTrue="1" operator="greaterThan">
      <formula>0</formula>
    </cfRule>
  </conditionalFormatting>
  <conditionalFormatting sqref="R1982">
    <cfRule type="cellIs" dxfId="8628" priority="8560" stopIfTrue="1" operator="greaterThan">
      <formula>0</formula>
    </cfRule>
  </conditionalFormatting>
  <conditionalFormatting sqref="W1973:X1973">
    <cfRule type="cellIs" dxfId="8627" priority="8559" stopIfTrue="1" operator="equal">
      <formula>"NO APLICA"</formula>
    </cfRule>
  </conditionalFormatting>
  <conditionalFormatting sqref="W1974:X1977">
    <cfRule type="cellIs" dxfId="8626" priority="8558" stopIfTrue="1" operator="equal">
      <formula>"NO APLICA"</formula>
    </cfRule>
  </conditionalFormatting>
  <conditionalFormatting sqref="W1974:X1974">
    <cfRule type="cellIs" dxfId="8625" priority="8557" stopIfTrue="1" operator="equal">
      <formula>"NO APLICA"</formula>
    </cfRule>
  </conditionalFormatting>
  <conditionalFormatting sqref="Y1973">
    <cfRule type="cellIs" dxfId="8624" priority="8556" stopIfTrue="1" operator="equal">
      <formula>"NO APLICA"</formula>
    </cfRule>
  </conditionalFormatting>
  <conditionalFormatting sqref="Y1974:Y1977">
    <cfRule type="cellIs" dxfId="8623" priority="8555" stopIfTrue="1" operator="equal">
      <formula>"NO APLICA"</formula>
    </cfRule>
  </conditionalFormatting>
  <conditionalFormatting sqref="W1978:X1981">
    <cfRule type="cellIs" dxfId="8622" priority="8554" stopIfTrue="1" operator="equal">
      <formula>"NO APLICA"</formula>
    </cfRule>
  </conditionalFormatting>
  <conditionalFormatting sqref="W1978:X1978">
    <cfRule type="cellIs" dxfId="8621" priority="8553" stopIfTrue="1" operator="equal">
      <formula>"NO APLICA"</formula>
    </cfRule>
  </conditionalFormatting>
  <conditionalFormatting sqref="Y1978:Y1981">
    <cfRule type="cellIs" dxfId="8620" priority="8552" stopIfTrue="1" operator="equal">
      <formula>"NO APLICA"</formula>
    </cfRule>
  </conditionalFormatting>
  <conditionalFormatting sqref="T1987">
    <cfRule type="cellIs" dxfId="8619" priority="8550" operator="equal">
      <formula>"CUMPLE"</formula>
    </cfRule>
    <cfRule type="cellIs" dxfId="8618" priority="8551" operator="equal">
      <formula>"NO CUMPLE"</formula>
    </cfRule>
  </conditionalFormatting>
  <conditionalFormatting sqref="T1987:T1989">
    <cfRule type="cellIs" dxfId="8617" priority="8549" operator="equal">
      <formula>"VERIFICAR"</formula>
    </cfRule>
  </conditionalFormatting>
  <conditionalFormatting sqref="AD1973:AF1977">
    <cfRule type="cellIs" dxfId="8616" priority="8547" stopIfTrue="1" operator="equal">
      <formula>"NO"</formula>
    </cfRule>
    <cfRule type="cellIs" dxfId="8615" priority="8548" stopIfTrue="1" operator="equal">
      <formula>"SI"</formula>
    </cfRule>
  </conditionalFormatting>
  <conditionalFormatting sqref="AD1978:AF1981">
    <cfRule type="cellIs" dxfId="8614" priority="8545" stopIfTrue="1" operator="equal">
      <formula>"NO"</formula>
    </cfRule>
    <cfRule type="cellIs" dxfId="8613" priority="8546" stopIfTrue="1" operator="equal">
      <formula>"SI"</formula>
    </cfRule>
  </conditionalFormatting>
  <conditionalFormatting sqref="W1982:Y1982">
    <cfRule type="cellIs" dxfId="8612" priority="8543" stopIfTrue="1" operator="equal">
      <formula>"NO"</formula>
    </cfRule>
    <cfRule type="cellIs" dxfId="8611" priority="8544" stopIfTrue="1" operator="equal">
      <formula>"SI"</formula>
    </cfRule>
  </conditionalFormatting>
  <conditionalFormatting sqref="W1982:X1982">
    <cfRule type="cellIs" dxfId="8610" priority="8542" stopIfTrue="1" operator="equal">
      <formula>"NO APLICA"</formula>
    </cfRule>
  </conditionalFormatting>
  <conditionalFormatting sqref="Y1982">
    <cfRule type="cellIs" dxfId="8609" priority="8541" stopIfTrue="1" operator="equal">
      <formula>"NO APLICA"</formula>
    </cfRule>
  </conditionalFormatting>
  <conditionalFormatting sqref="AD1982:AF1982">
    <cfRule type="cellIs" dxfId="8608" priority="8539" stopIfTrue="1" operator="equal">
      <formula>"NO"</formula>
    </cfRule>
    <cfRule type="cellIs" dxfId="8607" priority="8540" stopIfTrue="1" operator="equal">
      <formula>"SI"</formula>
    </cfRule>
  </conditionalFormatting>
  <conditionalFormatting sqref="AE1987">
    <cfRule type="cellIs" dxfId="8606" priority="8536" stopIfTrue="1" operator="equal">
      <formula>"VERIFICAR"</formula>
    </cfRule>
    <cfRule type="cellIs" dxfId="8605" priority="8537" stopIfTrue="1" operator="equal">
      <formula>"NO CUMPLE"</formula>
    </cfRule>
    <cfRule type="cellIs" dxfId="8604" priority="8538" stopIfTrue="1" operator="equal">
      <formula>"CUMPLE"</formula>
    </cfRule>
  </conditionalFormatting>
  <conditionalFormatting sqref="AF1987">
    <cfRule type="cellIs" dxfId="8603" priority="8533" stopIfTrue="1" operator="equal">
      <formula>"VERIFICAR"</formula>
    </cfRule>
    <cfRule type="cellIs" dxfId="8602" priority="8534" stopIfTrue="1" operator="equal">
      <formula>"NO CUMPLE"</formula>
    </cfRule>
    <cfRule type="cellIs" dxfId="8601" priority="8535" stopIfTrue="1" operator="equal">
      <formula>"CUMPLE"</formula>
    </cfRule>
  </conditionalFormatting>
  <conditionalFormatting sqref="Y1990">
    <cfRule type="cellIs" dxfId="8600" priority="8532" operator="equal">
      <formula>"VERIFICAR CUADRO"</formula>
    </cfRule>
  </conditionalFormatting>
  <conditionalFormatting sqref="AC1991:AC1996">
    <cfRule type="cellIs" dxfId="8599" priority="8531" stopIfTrue="1" operator="greaterThan">
      <formula>0</formula>
    </cfRule>
  </conditionalFormatting>
  <conditionalFormatting sqref="AC1991:AC1996">
    <cfRule type="cellIs" dxfId="8598" priority="8530" stopIfTrue="1" operator="greaterThan">
      <formula>0</formula>
    </cfRule>
  </conditionalFormatting>
  <conditionalFormatting sqref="AD1991:AD1996">
    <cfRule type="containsText" dxfId="8597" priority="8528" stopIfTrue="1" operator="containsText" text="NO CUMPLE">
      <formula>NOT(ISERROR(SEARCH("NO CUMPLE",AD1991)))</formula>
    </cfRule>
    <cfRule type="containsText" dxfId="8596" priority="8529" stopIfTrue="1" operator="containsText" text="CUMPLE">
      <formula>NOT(ISERROR(SEARCH("CUMPLE",AD1991)))</formula>
    </cfRule>
  </conditionalFormatting>
  <conditionalFormatting sqref="Y1996">
    <cfRule type="containsText" dxfId="8595" priority="8526" stopIfTrue="1" operator="containsText" text="NO CUMPLE">
      <formula>NOT(ISERROR(SEARCH("NO CUMPLE",Y1996)))</formula>
    </cfRule>
    <cfRule type="containsText" dxfId="8594" priority="8527" stopIfTrue="1" operator="containsText" text="CUMPLE">
      <formula>NOT(ISERROR(SEARCH("CUMPLE",Y1996)))</formula>
    </cfRule>
  </conditionalFormatting>
  <conditionalFormatting sqref="AA1973:AA1982">
    <cfRule type="cellIs" dxfId="8593" priority="8524" stopIfTrue="1" operator="equal">
      <formula>"NO APLICA"</formula>
    </cfRule>
    <cfRule type="cellIs" dxfId="8592" priority="8525" stopIfTrue="1" operator="equal">
      <formula>"TERCIARIA"</formula>
    </cfRule>
  </conditionalFormatting>
  <conditionalFormatting sqref="AB1973:AB1982">
    <cfRule type="cellIs" dxfId="8591" priority="8522" stopIfTrue="1" operator="equal">
      <formula>"N/A"</formula>
    </cfRule>
    <cfRule type="cellIs" dxfId="8590" priority="8523" stopIfTrue="1" operator="equal">
      <formula>"NO"</formula>
    </cfRule>
  </conditionalFormatting>
  <conditionalFormatting sqref="M2003:M2012">
    <cfRule type="cellIs" dxfId="8589" priority="8521" stopIfTrue="1" operator="lessThan">
      <formula>0</formula>
    </cfRule>
  </conditionalFormatting>
  <conditionalFormatting sqref="C2005:D2011 B2004:B2011 F2005:I2011 C2004:I2004 B2012:O2012 B2003:R2003 Q2004:R2005 J2004:O2011 Q2006:Q2012 P2004:P2012">
    <cfRule type="cellIs" dxfId="8588" priority="8520" stopIfTrue="1" operator="greaterThan">
      <formula>0</formula>
    </cfRule>
  </conditionalFormatting>
  <conditionalFormatting sqref="C2005:D2011">
    <cfRule type="cellIs" dxfId="8587" priority="8519" stopIfTrue="1" operator="greaterThan">
      <formula>0</formula>
    </cfRule>
  </conditionalFormatting>
  <conditionalFormatting sqref="C2003:M2003 C2005:D2011 F2005:I2011 C2004:I2004 K2004:M2011 J2004:J2012 L2012:M2012">
    <cfRule type="cellIs" dxfId="8586" priority="8518" stopIfTrue="1" operator="greaterThan">
      <formula>0</formula>
    </cfRule>
  </conditionalFormatting>
  <conditionalFormatting sqref="M2003:M2012">
    <cfRule type="cellIs" dxfId="8585" priority="8517" stopIfTrue="1" operator="lessThan">
      <formula>0</formula>
    </cfRule>
  </conditionalFormatting>
  <conditionalFormatting sqref="J2004:J2012 L2004:O2012 C2003:O2003">
    <cfRule type="cellIs" dxfId="8584" priority="8516" stopIfTrue="1" operator="greaterThan">
      <formula>0</formula>
    </cfRule>
  </conditionalFormatting>
  <conditionalFormatting sqref="H2005:I2011 K2005:M2012">
    <cfRule type="cellIs" dxfId="8583" priority="8515" stopIfTrue="1" operator="greaterThan">
      <formula>0</formula>
    </cfRule>
  </conditionalFormatting>
  <conditionalFormatting sqref="I2004">
    <cfRule type="cellIs" dxfId="8582" priority="8514" stopIfTrue="1" operator="greaterThan">
      <formula>0</formula>
    </cfRule>
  </conditionalFormatting>
  <conditionalFormatting sqref="I2012">
    <cfRule type="cellIs" dxfId="8581" priority="8513" stopIfTrue="1" operator="greaterThan">
      <formula>0</formula>
    </cfRule>
  </conditionalFormatting>
  <conditionalFormatting sqref="E2005:E2011">
    <cfRule type="cellIs" dxfId="8580" priority="8512" stopIfTrue="1" operator="greaterThan">
      <formula>0</formula>
    </cfRule>
  </conditionalFormatting>
  <conditionalFormatting sqref="K2020:K2025">
    <cfRule type="containsText" dxfId="8579" priority="8510" stopIfTrue="1" operator="containsText" text="NO CUMPLE">
      <formula>NOT(ISERROR(SEARCH("NO CUMPLE",K2020)))</formula>
    </cfRule>
    <cfRule type="containsText" dxfId="8578" priority="8511" stopIfTrue="1" operator="containsText" text="CUMPLE">
      <formula>NOT(ISERROR(SEARCH("CUMPLE",K2020)))</formula>
    </cfRule>
  </conditionalFormatting>
  <conditionalFormatting sqref="K2026">
    <cfRule type="containsText" dxfId="8577" priority="8508" stopIfTrue="1" operator="containsText" text="NO CUMPLE">
      <formula>NOT(ISERROR(SEARCH("NO CUMPLE",K2026)))</formula>
    </cfRule>
    <cfRule type="containsText" dxfId="8576" priority="8509" stopIfTrue="1" operator="containsText" text="CUMPLE">
      <formula>NOT(ISERROR(SEARCH("CUMPLE",K2026)))</formula>
    </cfRule>
  </conditionalFormatting>
  <conditionalFormatting sqref="Q2019">
    <cfRule type="cellIs" dxfId="8575" priority="8506" operator="greaterThanOrEqual">
      <formula>NUMMINCONT</formula>
    </cfRule>
    <cfRule type="cellIs" dxfId="8574" priority="8507" operator="lessThan">
      <formula>NUMMINCONT</formula>
    </cfRule>
  </conditionalFormatting>
  <conditionalFormatting sqref="W2003:Y2011">
    <cfRule type="cellIs" dxfId="8573" priority="8504" stopIfTrue="1" operator="equal">
      <formula>"NO"</formula>
    </cfRule>
    <cfRule type="cellIs" dxfId="8572" priority="8505" stopIfTrue="1" operator="equal">
      <formula>"SI"</formula>
    </cfRule>
  </conditionalFormatting>
  <conditionalFormatting sqref="R2006">
    <cfRule type="cellIs" dxfId="8571" priority="8503" stopIfTrue="1" operator="greaterThan">
      <formula>0</formula>
    </cfRule>
  </conditionalFormatting>
  <conditionalFormatting sqref="R2007">
    <cfRule type="cellIs" dxfId="8570" priority="8502" stopIfTrue="1" operator="greaterThan">
      <formula>0</formula>
    </cfRule>
  </conditionalFormatting>
  <conditionalFormatting sqref="R2008">
    <cfRule type="cellIs" dxfId="8569" priority="8501" stopIfTrue="1" operator="greaterThan">
      <formula>0</formula>
    </cfRule>
  </conditionalFormatting>
  <conditionalFormatting sqref="R2009">
    <cfRule type="cellIs" dxfId="8568" priority="8500" stopIfTrue="1" operator="greaterThan">
      <formula>0</formula>
    </cfRule>
  </conditionalFormatting>
  <conditionalFormatting sqref="R2010">
    <cfRule type="cellIs" dxfId="8567" priority="8499" stopIfTrue="1" operator="greaterThan">
      <formula>0</formula>
    </cfRule>
  </conditionalFormatting>
  <conditionalFormatting sqref="R2011">
    <cfRule type="cellIs" dxfId="8566" priority="8498" stopIfTrue="1" operator="greaterThan">
      <formula>0</formula>
    </cfRule>
  </conditionalFormatting>
  <conditionalFormatting sqref="R2012">
    <cfRule type="cellIs" dxfId="8565" priority="8497" stopIfTrue="1" operator="greaterThan">
      <formula>0</formula>
    </cfRule>
  </conditionalFormatting>
  <conditionalFormatting sqref="W2003:X2003">
    <cfRule type="cellIs" dxfId="8564" priority="8496" stopIfTrue="1" operator="equal">
      <formula>"NO APLICA"</formula>
    </cfRule>
  </conditionalFormatting>
  <conditionalFormatting sqref="W2004:X2007">
    <cfRule type="cellIs" dxfId="8563" priority="8495" stopIfTrue="1" operator="equal">
      <formula>"NO APLICA"</formula>
    </cfRule>
  </conditionalFormatting>
  <conditionalFormatting sqref="W2004:X2004">
    <cfRule type="cellIs" dxfId="8562" priority="8494" stopIfTrue="1" operator="equal">
      <formula>"NO APLICA"</formula>
    </cfRule>
  </conditionalFormatting>
  <conditionalFormatting sqref="Y2003">
    <cfRule type="cellIs" dxfId="8561" priority="8493" stopIfTrue="1" operator="equal">
      <formula>"NO APLICA"</formula>
    </cfRule>
  </conditionalFormatting>
  <conditionalFormatting sqref="Y2004:Y2007">
    <cfRule type="cellIs" dxfId="8560" priority="8492" stopIfTrue="1" operator="equal">
      <formula>"NO APLICA"</formula>
    </cfRule>
  </conditionalFormatting>
  <conditionalFormatting sqref="W2008:X2011">
    <cfRule type="cellIs" dxfId="8559" priority="8491" stopIfTrue="1" operator="equal">
      <formula>"NO APLICA"</formula>
    </cfRule>
  </conditionalFormatting>
  <conditionalFormatting sqref="W2008:X2008">
    <cfRule type="cellIs" dxfId="8558" priority="8490" stopIfTrue="1" operator="equal">
      <formula>"NO APLICA"</formula>
    </cfRule>
  </conditionalFormatting>
  <conditionalFormatting sqref="Y2008:Y2011">
    <cfRule type="cellIs" dxfId="8557" priority="8489" stopIfTrue="1" operator="equal">
      <formula>"NO APLICA"</formula>
    </cfRule>
  </conditionalFormatting>
  <conditionalFormatting sqref="T2017">
    <cfRule type="cellIs" dxfId="8556" priority="8487" operator="equal">
      <formula>"CUMPLE"</formula>
    </cfRule>
    <cfRule type="cellIs" dxfId="8555" priority="8488" operator="equal">
      <formula>"NO CUMPLE"</formula>
    </cfRule>
  </conditionalFormatting>
  <conditionalFormatting sqref="T2017:T2019">
    <cfRule type="cellIs" dxfId="8554" priority="8486" operator="equal">
      <formula>"VERIFICAR"</formula>
    </cfRule>
  </conditionalFormatting>
  <conditionalFormatting sqref="AD2003:AF2007">
    <cfRule type="cellIs" dxfId="8553" priority="8484" stopIfTrue="1" operator="equal">
      <formula>"NO"</formula>
    </cfRule>
    <cfRule type="cellIs" dxfId="8552" priority="8485" stopIfTrue="1" operator="equal">
      <formula>"SI"</formula>
    </cfRule>
  </conditionalFormatting>
  <conditionalFormatting sqref="AD2008:AF2011">
    <cfRule type="cellIs" dxfId="8551" priority="8482" stopIfTrue="1" operator="equal">
      <formula>"NO"</formula>
    </cfRule>
    <cfRule type="cellIs" dxfId="8550" priority="8483" stopIfTrue="1" operator="equal">
      <formula>"SI"</formula>
    </cfRule>
  </conditionalFormatting>
  <conditionalFormatting sqref="W2012:Y2012">
    <cfRule type="cellIs" dxfId="8549" priority="8480" stopIfTrue="1" operator="equal">
      <formula>"NO"</formula>
    </cfRule>
    <cfRule type="cellIs" dxfId="8548" priority="8481" stopIfTrue="1" operator="equal">
      <formula>"SI"</formula>
    </cfRule>
  </conditionalFormatting>
  <conditionalFormatting sqref="W2012:X2012">
    <cfRule type="cellIs" dxfId="8547" priority="8479" stopIfTrue="1" operator="equal">
      <formula>"NO APLICA"</formula>
    </cfRule>
  </conditionalFormatting>
  <conditionalFormatting sqref="Y2012">
    <cfRule type="cellIs" dxfId="8546" priority="8478" stopIfTrue="1" operator="equal">
      <formula>"NO APLICA"</formula>
    </cfRule>
  </conditionalFormatting>
  <conditionalFormatting sqref="AD2012:AF2012">
    <cfRule type="cellIs" dxfId="8545" priority="8476" stopIfTrue="1" operator="equal">
      <formula>"NO"</formula>
    </cfRule>
    <cfRule type="cellIs" dxfId="8544" priority="8477" stopIfTrue="1" operator="equal">
      <formula>"SI"</formula>
    </cfRule>
  </conditionalFormatting>
  <conditionalFormatting sqref="AE2017">
    <cfRule type="cellIs" dxfId="8543" priority="8473" stopIfTrue="1" operator="equal">
      <formula>"VERIFICAR"</formula>
    </cfRule>
    <cfRule type="cellIs" dxfId="8542" priority="8474" stopIfTrue="1" operator="equal">
      <formula>"NO CUMPLE"</formula>
    </cfRule>
    <cfRule type="cellIs" dxfId="8541" priority="8475" stopIfTrue="1" operator="equal">
      <formula>"CUMPLE"</formula>
    </cfRule>
  </conditionalFormatting>
  <conditionalFormatting sqref="AF2017">
    <cfRule type="cellIs" dxfId="8540" priority="8470" stopIfTrue="1" operator="equal">
      <formula>"VERIFICAR"</formula>
    </cfRule>
    <cfRule type="cellIs" dxfId="8539" priority="8471" stopIfTrue="1" operator="equal">
      <formula>"NO CUMPLE"</formula>
    </cfRule>
    <cfRule type="cellIs" dxfId="8538" priority="8472" stopIfTrue="1" operator="equal">
      <formula>"CUMPLE"</formula>
    </cfRule>
  </conditionalFormatting>
  <conditionalFormatting sqref="Y2020">
    <cfRule type="cellIs" dxfId="8537" priority="8469" operator="equal">
      <formula>"VERIFICAR CUADRO"</formula>
    </cfRule>
  </conditionalFormatting>
  <conditionalFormatting sqref="AC2021:AC2026">
    <cfRule type="cellIs" dxfId="8536" priority="8468" stopIfTrue="1" operator="greaterThan">
      <formula>0</formula>
    </cfRule>
  </conditionalFormatting>
  <conditionalFormatting sqref="AC2021:AC2026">
    <cfRule type="cellIs" dxfId="8535" priority="8467" stopIfTrue="1" operator="greaterThan">
      <formula>0</formula>
    </cfRule>
  </conditionalFormatting>
  <conditionalFormatting sqref="AD2021:AD2026">
    <cfRule type="containsText" dxfId="8534" priority="8465" stopIfTrue="1" operator="containsText" text="NO CUMPLE">
      <formula>NOT(ISERROR(SEARCH("NO CUMPLE",AD2021)))</formula>
    </cfRule>
    <cfRule type="containsText" dxfId="8533" priority="8466" stopIfTrue="1" operator="containsText" text="CUMPLE">
      <formula>NOT(ISERROR(SEARCH("CUMPLE",AD2021)))</formula>
    </cfRule>
  </conditionalFormatting>
  <conditionalFormatting sqref="Y2026">
    <cfRule type="containsText" dxfId="8532" priority="8463" stopIfTrue="1" operator="containsText" text="NO CUMPLE">
      <formula>NOT(ISERROR(SEARCH("NO CUMPLE",Y2026)))</formula>
    </cfRule>
    <cfRule type="containsText" dxfId="8531" priority="8464" stopIfTrue="1" operator="containsText" text="CUMPLE">
      <formula>NOT(ISERROR(SEARCH("CUMPLE",Y2026)))</formula>
    </cfRule>
  </conditionalFormatting>
  <conditionalFormatting sqref="AA2003:AA2012">
    <cfRule type="cellIs" dxfId="8530" priority="8461" stopIfTrue="1" operator="equal">
      <formula>"NO APLICA"</formula>
    </cfRule>
    <cfRule type="cellIs" dxfId="8529" priority="8462" stopIfTrue="1" operator="equal">
      <formula>"TERCIARIA"</formula>
    </cfRule>
  </conditionalFormatting>
  <conditionalFormatting sqref="AB2003:AB2012">
    <cfRule type="cellIs" dxfId="8528" priority="8459" stopIfTrue="1" operator="equal">
      <formula>"N/A"</formula>
    </cfRule>
    <cfRule type="cellIs" dxfId="8527" priority="8460" stopIfTrue="1" operator="equal">
      <formula>"NO"</formula>
    </cfRule>
  </conditionalFormatting>
  <conditionalFormatting sqref="M2033:M2042">
    <cfRule type="cellIs" dxfId="8526" priority="8458" stopIfTrue="1" operator="lessThan">
      <formula>0</formula>
    </cfRule>
  </conditionalFormatting>
  <conditionalFormatting sqref="C2035:D2041 B2034:B2041 F2035:I2041 C2034:I2034 B2042:O2042 B2033:R2033 Q2034:R2035 J2034:O2041 Q2036:Q2042 P2034:P2042">
    <cfRule type="cellIs" dxfId="8525" priority="8457" stopIfTrue="1" operator="greaterThan">
      <formula>0</formula>
    </cfRule>
  </conditionalFormatting>
  <conditionalFormatting sqref="C2035:D2041">
    <cfRule type="cellIs" dxfId="8524" priority="8456" stopIfTrue="1" operator="greaterThan">
      <formula>0</formula>
    </cfRule>
  </conditionalFormatting>
  <conditionalFormatting sqref="C2033:M2033 C2035:D2041 F2035:I2041 C2034:I2034 K2034:M2041 J2034:J2042 L2042:M2042">
    <cfRule type="cellIs" dxfId="8523" priority="8455" stopIfTrue="1" operator="greaterThan">
      <formula>0</formula>
    </cfRule>
  </conditionalFormatting>
  <conditionalFormatting sqref="M2033:M2042">
    <cfRule type="cellIs" dxfId="8522" priority="8454" stopIfTrue="1" operator="lessThan">
      <formula>0</formula>
    </cfRule>
  </conditionalFormatting>
  <conditionalFormatting sqref="J2034:J2042 L2034:O2042 C2033:O2033">
    <cfRule type="cellIs" dxfId="8521" priority="8453" stopIfTrue="1" operator="greaterThan">
      <formula>0</formula>
    </cfRule>
  </conditionalFormatting>
  <conditionalFormatting sqref="H2035:I2041 K2035:M2042">
    <cfRule type="cellIs" dxfId="8520" priority="8452" stopIfTrue="1" operator="greaterThan">
      <formula>0</formula>
    </cfRule>
  </conditionalFormatting>
  <conditionalFormatting sqref="I2034">
    <cfRule type="cellIs" dxfId="8519" priority="8451" stopIfTrue="1" operator="greaterThan">
      <formula>0</formula>
    </cfRule>
  </conditionalFormatting>
  <conditionalFormatting sqref="I2042">
    <cfRule type="cellIs" dxfId="8518" priority="8450" stopIfTrue="1" operator="greaterThan">
      <formula>0</formula>
    </cfRule>
  </conditionalFormatting>
  <conditionalFormatting sqref="E2035:E2041">
    <cfRule type="cellIs" dxfId="8517" priority="8449" stopIfTrue="1" operator="greaterThan">
      <formula>0</formula>
    </cfRule>
  </conditionalFormatting>
  <conditionalFormatting sqref="K2050:K2055">
    <cfRule type="containsText" dxfId="8516" priority="8447" stopIfTrue="1" operator="containsText" text="NO CUMPLE">
      <formula>NOT(ISERROR(SEARCH("NO CUMPLE",K2050)))</formula>
    </cfRule>
    <cfRule type="containsText" dxfId="8515" priority="8448" stopIfTrue="1" operator="containsText" text="CUMPLE">
      <formula>NOT(ISERROR(SEARCH("CUMPLE",K2050)))</formula>
    </cfRule>
  </conditionalFormatting>
  <conditionalFormatting sqref="K2056">
    <cfRule type="containsText" dxfId="8514" priority="8445" stopIfTrue="1" operator="containsText" text="NO CUMPLE">
      <formula>NOT(ISERROR(SEARCH("NO CUMPLE",K2056)))</formula>
    </cfRule>
    <cfRule type="containsText" dxfId="8513" priority="8446" stopIfTrue="1" operator="containsText" text="CUMPLE">
      <formula>NOT(ISERROR(SEARCH("CUMPLE",K2056)))</formula>
    </cfRule>
  </conditionalFormatting>
  <conditionalFormatting sqref="Q2049">
    <cfRule type="cellIs" dxfId="8512" priority="8443" operator="greaterThanOrEqual">
      <formula>NUMMINCONT</formula>
    </cfRule>
    <cfRule type="cellIs" dxfId="8511" priority="8444" operator="lessThan">
      <formula>NUMMINCONT</formula>
    </cfRule>
  </conditionalFormatting>
  <conditionalFormatting sqref="W2033:Y2041">
    <cfRule type="cellIs" dxfId="8510" priority="8441" stopIfTrue="1" operator="equal">
      <formula>"NO"</formula>
    </cfRule>
    <cfRule type="cellIs" dxfId="8509" priority="8442" stopIfTrue="1" operator="equal">
      <formula>"SI"</formula>
    </cfRule>
  </conditionalFormatting>
  <conditionalFormatting sqref="R2036">
    <cfRule type="cellIs" dxfId="8508" priority="8440" stopIfTrue="1" operator="greaterThan">
      <formula>0</formula>
    </cfRule>
  </conditionalFormatting>
  <conditionalFormatting sqref="R2037">
    <cfRule type="cellIs" dxfId="8507" priority="8439" stopIfTrue="1" operator="greaterThan">
      <formula>0</formula>
    </cfRule>
  </conditionalFormatting>
  <conditionalFormatting sqref="R2038">
    <cfRule type="cellIs" dxfId="8506" priority="8438" stopIfTrue="1" operator="greaterThan">
      <formula>0</formula>
    </cfRule>
  </conditionalFormatting>
  <conditionalFormatting sqref="R2039">
    <cfRule type="cellIs" dxfId="8505" priority="8437" stopIfTrue="1" operator="greaterThan">
      <formula>0</formula>
    </cfRule>
  </conditionalFormatting>
  <conditionalFormatting sqref="R2040">
    <cfRule type="cellIs" dxfId="8504" priority="8436" stopIfTrue="1" operator="greaterThan">
      <formula>0</formula>
    </cfRule>
  </conditionalFormatting>
  <conditionalFormatting sqref="R2041">
    <cfRule type="cellIs" dxfId="8503" priority="8435" stopIfTrue="1" operator="greaterThan">
      <formula>0</formula>
    </cfRule>
  </conditionalFormatting>
  <conditionalFormatting sqref="R2042">
    <cfRule type="cellIs" dxfId="8502" priority="8434" stopIfTrue="1" operator="greaterThan">
      <formula>0</formula>
    </cfRule>
  </conditionalFormatting>
  <conditionalFormatting sqref="W2033:X2033">
    <cfRule type="cellIs" dxfId="8501" priority="8433" stopIfTrue="1" operator="equal">
      <formula>"NO APLICA"</formula>
    </cfRule>
  </conditionalFormatting>
  <conditionalFormatting sqref="W2034:X2037">
    <cfRule type="cellIs" dxfId="8500" priority="8432" stopIfTrue="1" operator="equal">
      <formula>"NO APLICA"</formula>
    </cfRule>
  </conditionalFormatting>
  <conditionalFormatting sqref="W2034:X2034">
    <cfRule type="cellIs" dxfId="8499" priority="8431" stopIfTrue="1" operator="equal">
      <formula>"NO APLICA"</formula>
    </cfRule>
  </conditionalFormatting>
  <conditionalFormatting sqref="Y2033">
    <cfRule type="cellIs" dxfId="8498" priority="8430" stopIfTrue="1" operator="equal">
      <formula>"NO APLICA"</formula>
    </cfRule>
  </conditionalFormatting>
  <conditionalFormatting sqref="Y2034:Y2037">
    <cfRule type="cellIs" dxfId="8497" priority="8429" stopIfTrue="1" operator="equal">
      <formula>"NO APLICA"</formula>
    </cfRule>
  </conditionalFormatting>
  <conditionalFormatting sqref="W2038:X2041">
    <cfRule type="cellIs" dxfId="8496" priority="8428" stopIfTrue="1" operator="equal">
      <formula>"NO APLICA"</formula>
    </cfRule>
  </conditionalFormatting>
  <conditionalFormatting sqref="W2038:X2038">
    <cfRule type="cellIs" dxfId="8495" priority="8427" stopIfTrue="1" operator="equal">
      <formula>"NO APLICA"</formula>
    </cfRule>
  </conditionalFormatting>
  <conditionalFormatting sqref="Y2038:Y2041">
    <cfRule type="cellIs" dxfId="8494" priority="8426" stopIfTrue="1" operator="equal">
      <formula>"NO APLICA"</formula>
    </cfRule>
  </conditionalFormatting>
  <conditionalFormatting sqref="T2047">
    <cfRule type="cellIs" dxfId="8493" priority="8424" operator="equal">
      <formula>"CUMPLE"</formula>
    </cfRule>
    <cfRule type="cellIs" dxfId="8492" priority="8425" operator="equal">
      <formula>"NO CUMPLE"</formula>
    </cfRule>
  </conditionalFormatting>
  <conditionalFormatting sqref="T2047:T2049">
    <cfRule type="cellIs" dxfId="8491" priority="8423" operator="equal">
      <formula>"VERIFICAR"</formula>
    </cfRule>
  </conditionalFormatting>
  <conditionalFormatting sqref="AD2033:AF2037">
    <cfRule type="cellIs" dxfId="8490" priority="8421" stopIfTrue="1" operator="equal">
      <formula>"NO"</formula>
    </cfRule>
    <cfRule type="cellIs" dxfId="8489" priority="8422" stopIfTrue="1" operator="equal">
      <formula>"SI"</formula>
    </cfRule>
  </conditionalFormatting>
  <conditionalFormatting sqref="AD2038:AF2041">
    <cfRule type="cellIs" dxfId="8488" priority="8419" stopIfTrue="1" operator="equal">
      <formula>"NO"</formula>
    </cfRule>
    <cfRule type="cellIs" dxfId="8487" priority="8420" stopIfTrue="1" operator="equal">
      <formula>"SI"</formula>
    </cfRule>
  </conditionalFormatting>
  <conditionalFormatting sqref="W2042:Y2042">
    <cfRule type="cellIs" dxfId="8486" priority="8417" stopIfTrue="1" operator="equal">
      <formula>"NO"</formula>
    </cfRule>
    <cfRule type="cellIs" dxfId="8485" priority="8418" stopIfTrue="1" operator="equal">
      <formula>"SI"</formula>
    </cfRule>
  </conditionalFormatting>
  <conditionalFormatting sqref="W2042:X2042">
    <cfRule type="cellIs" dxfId="8484" priority="8416" stopIfTrue="1" operator="equal">
      <formula>"NO APLICA"</formula>
    </cfRule>
  </conditionalFormatting>
  <conditionalFormatting sqref="Y2042">
    <cfRule type="cellIs" dxfId="8483" priority="8415" stopIfTrue="1" operator="equal">
      <formula>"NO APLICA"</formula>
    </cfRule>
  </conditionalFormatting>
  <conditionalFormatting sqref="AD2042:AF2042">
    <cfRule type="cellIs" dxfId="8482" priority="8413" stopIfTrue="1" operator="equal">
      <formula>"NO"</formula>
    </cfRule>
    <cfRule type="cellIs" dxfId="8481" priority="8414" stopIfTrue="1" operator="equal">
      <formula>"SI"</formula>
    </cfRule>
  </conditionalFormatting>
  <conditionalFormatting sqref="AE2047">
    <cfRule type="cellIs" dxfId="8480" priority="8410" stopIfTrue="1" operator="equal">
      <formula>"VERIFICAR"</formula>
    </cfRule>
    <cfRule type="cellIs" dxfId="8479" priority="8411" stopIfTrue="1" operator="equal">
      <formula>"NO CUMPLE"</formula>
    </cfRule>
    <cfRule type="cellIs" dxfId="8478" priority="8412" stopIfTrue="1" operator="equal">
      <formula>"CUMPLE"</formula>
    </cfRule>
  </conditionalFormatting>
  <conditionalFormatting sqref="AF2047">
    <cfRule type="cellIs" dxfId="8477" priority="8407" stopIfTrue="1" operator="equal">
      <formula>"VERIFICAR"</formula>
    </cfRule>
    <cfRule type="cellIs" dxfId="8476" priority="8408" stopIfTrue="1" operator="equal">
      <formula>"NO CUMPLE"</formula>
    </cfRule>
    <cfRule type="cellIs" dxfId="8475" priority="8409" stopIfTrue="1" operator="equal">
      <formula>"CUMPLE"</formula>
    </cfRule>
  </conditionalFormatting>
  <conditionalFormatting sqref="Y2050">
    <cfRule type="cellIs" dxfId="8474" priority="8406" operator="equal">
      <formula>"VERIFICAR CUADRO"</formula>
    </cfRule>
  </conditionalFormatting>
  <conditionalFormatting sqref="AC2051:AC2056">
    <cfRule type="cellIs" dxfId="8473" priority="8405" stopIfTrue="1" operator="greaterThan">
      <formula>0</formula>
    </cfRule>
  </conditionalFormatting>
  <conditionalFormatting sqref="AC2051:AC2056">
    <cfRule type="cellIs" dxfId="8472" priority="8404" stopIfTrue="1" operator="greaterThan">
      <formula>0</formula>
    </cfRule>
  </conditionalFormatting>
  <conditionalFormatting sqref="AD2051:AD2056">
    <cfRule type="containsText" dxfId="8471" priority="8402" stopIfTrue="1" operator="containsText" text="NO CUMPLE">
      <formula>NOT(ISERROR(SEARCH("NO CUMPLE",AD2051)))</formula>
    </cfRule>
    <cfRule type="containsText" dxfId="8470" priority="8403" stopIfTrue="1" operator="containsText" text="CUMPLE">
      <formula>NOT(ISERROR(SEARCH("CUMPLE",AD2051)))</formula>
    </cfRule>
  </conditionalFormatting>
  <conditionalFormatting sqref="Y2056">
    <cfRule type="containsText" dxfId="8469" priority="8400" stopIfTrue="1" operator="containsText" text="NO CUMPLE">
      <formula>NOT(ISERROR(SEARCH("NO CUMPLE",Y2056)))</formula>
    </cfRule>
    <cfRule type="containsText" dxfId="8468" priority="8401" stopIfTrue="1" operator="containsText" text="CUMPLE">
      <formula>NOT(ISERROR(SEARCH("CUMPLE",Y2056)))</formula>
    </cfRule>
  </conditionalFormatting>
  <conditionalFormatting sqref="AA2033:AA2042">
    <cfRule type="cellIs" dxfId="8467" priority="8398" stopIfTrue="1" operator="equal">
      <formula>"NO APLICA"</formula>
    </cfRule>
    <cfRule type="cellIs" dxfId="8466" priority="8399" stopIfTrue="1" operator="equal">
      <formula>"TERCIARIA"</formula>
    </cfRule>
  </conditionalFormatting>
  <conditionalFormatting sqref="AB2033:AB2042">
    <cfRule type="cellIs" dxfId="8465" priority="8396" stopIfTrue="1" operator="equal">
      <formula>"N/A"</formula>
    </cfRule>
    <cfRule type="cellIs" dxfId="8464" priority="8397" stopIfTrue="1" operator="equal">
      <formula>"NO"</formula>
    </cfRule>
  </conditionalFormatting>
  <conditionalFormatting sqref="M2063:M2072">
    <cfRule type="cellIs" dxfId="8463" priority="8395" stopIfTrue="1" operator="lessThan">
      <formula>0</formula>
    </cfRule>
  </conditionalFormatting>
  <conditionalFormatting sqref="C2065:D2071 B2064:B2071 F2065:I2071 C2064:I2064 B2072:O2072 B2063:R2063 Q2064:R2065 J2064:O2071 Q2066:Q2072 P2064:P2072">
    <cfRule type="cellIs" dxfId="8462" priority="8394" stopIfTrue="1" operator="greaterThan">
      <formula>0</formula>
    </cfRule>
  </conditionalFormatting>
  <conditionalFormatting sqref="C2065:D2071">
    <cfRule type="cellIs" dxfId="8461" priority="8393" stopIfTrue="1" operator="greaterThan">
      <formula>0</formula>
    </cfRule>
  </conditionalFormatting>
  <conditionalFormatting sqref="C2063:M2063 C2065:D2071 F2065:I2071 C2064:I2064 K2064:M2071 J2064:J2072 L2072:M2072">
    <cfRule type="cellIs" dxfId="8460" priority="8392" stopIfTrue="1" operator="greaterThan">
      <formula>0</formula>
    </cfRule>
  </conditionalFormatting>
  <conditionalFormatting sqref="M2063:M2072">
    <cfRule type="cellIs" dxfId="8459" priority="8391" stopIfTrue="1" operator="lessThan">
      <formula>0</formula>
    </cfRule>
  </conditionalFormatting>
  <conditionalFormatting sqref="J2064:J2072 L2064:O2072 C2063:O2063">
    <cfRule type="cellIs" dxfId="8458" priority="8390" stopIfTrue="1" operator="greaterThan">
      <formula>0</formula>
    </cfRule>
  </conditionalFormatting>
  <conditionalFormatting sqref="H2065:I2071 K2065:M2072">
    <cfRule type="cellIs" dxfId="8457" priority="8389" stopIfTrue="1" operator="greaterThan">
      <formula>0</formula>
    </cfRule>
  </conditionalFormatting>
  <conditionalFormatting sqref="I2064">
    <cfRule type="cellIs" dxfId="8456" priority="8388" stopIfTrue="1" operator="greaterThan">
      <formula>0</formula>
    </cfRule>
  </conditionalFormatting>
  <conditionalFormatting sqref="I2072">
    <cfRule type="cellIs" dxfId="8455" priority="8387" stopIfTrue="1" operator="greaterThan">
      <formula>0</formula>
    </cfRule>
  </conditionalFormatting>
  <conditionalFormatting sqref="E2065:E2071">
    <cfRule type="cellIs" dxfId="8454" priority="8386" stopIfTrue="1" operator="greaterThan">
      <formula>0</formula>
    </cfRule>
  </conditionalFormatting>
  <conditionalFormatting sqref="K2080:K2085">
    <cfRule type="containsText" dxfId="8453" priority="8384" stopIfTrue="1" operator="containsText" text="NO CUMPLE">
      <formula>NOT(ISERROR(SEARCH("NO CUMPLE",K2080)))</formula>
    </cfRule>
    <cfRule type="containsText" dxfId="8452" priority="8385" stopIfTrue="1" operator="containsText" text="CUMPLE">
      <formula>NOT(ISERROR(SEARCH("CUMPLE",K2080)))</formula>
    </cfRule>
  </conditionalFormatting>
  <conditionalFormatting sqref="K2086">
    <cfRule type="containsText" dxfId="8451" priority="8382" stopIfTrue="1" operator="containsText" text="NO CUMPLE">
      <formula>NOT(ISERROR(SEARCH("NO CUMPLE",K2086)))</formula>
    </cfRule>
    <cfRule type="containsText" dxfId="8450" priority="8383" stopIfTrue="1" operator="containsText" text="CUMPLE">
      <formula>NOT(ISERROR(SEARCH("CUMPLE",K2086)))</formula>
    </cfRule>
  </conditionalFormatting>
  <conditionalFormatting sqref="Q2079">
    <cfRule type="cellIs" dxfId="8449" priority="8380" operator="greaterThanOrEqual">
      <formula>NUMMINCONT</formula>
    </cfRule>
    <cfRule type="cellIs" dxfId="8448" priority="8381" operator="lessThan">
      <formula>NUMMINCONT</formula>
    </cfRule>
  </conditionalFormatting>
  <conditionalFormatting sqref="W2063:Y2071">
    <cfRule type="cellIs" dxfId="8447" priority="8378" stopIfTrue="1" operator="equal">
      <formula>"NO"</formula>
    </cfRule>
    <cfRule type="cellIs" dxfId="8446" priority="8379" stopIfTrue="1" operator="equal">
      <formula>"SI"</formula>
    </cfRule>
  </conditionalFormatting>
  <conditionalFormatting sqref="R2066">
    <cfRule type="cellIs" dxfId="8445" priority="8377" stopIfTrue="1" operator="greaterThan">
      <formula>0</formula>
    </cfRule>
  </conditionalFormatting>
  <conditionalFormatting sqref="R2067">
    <cfRule type="cellIs" dxfId="8444" priority="8376" stopIfTrue="1" operator="greaterThan">
      <formula>0</formula>
    </cfRule>
  </conditionalFormatting>
  <conditionalFormatting sqref="R2068">
    <cfRule type="cellIs" dxfId="8443" priority="8375" stopIfTrue="1" operator="greaterThan">
      <formula>0</formula>
    </cfRule>
  </conditionalFormatting>
  <conditionalFormatting sqref="R2069">
    <cfRule type="cellIs" dxfId="8442" priority="8374" stopIfTrue="1" operator="greaterThan">
      <formula>0</formula>
    </cfRule>
  </conditionalFormatting>
  <conditionalFormatting sqref="R2070">
    <cfRule type="cellIs" dxfId="8441" priority="8373" stopIfTrue="1" operator="greaterThan">
      <formula>0</formula>
    </cfRule>
  </conditionalFormatting>
  <conditionalFormatting sqref="R2071">
    <cfRule type="cellIs" dxfId="8440" priority="8372" stopIfTrue="1" operator="greaterThan">
      <formula>0</formula>
    </cfRule>
  </conditionalFormatting>
  <conditionalFormatting sqref="R2072">
    <cfRule type="cellIs" dxfId="8439" priority="8371" stopIfTrue="1" operator="greaterThan">
      <formula>0</formula>
    </cfRule>
  </conditionalFormatting>
  <conditionalFormatting sqref="W2063:X2063">
    <cfRule type="cellIs" dxfId="8438" priority="8370" stopIfTrue="1" operator="equal">
      <formula>"NO APLICA"</formula>
    </cfRule>
  </conditionalFormatting>
  <conditionalFormatting sqref="W2064:X2067">
    <cfRule type="cellIs" dxfId="8437" priority="8369" stopIfTrue="1" operator="equal">
      <formula>"NO APLICA"</formula>
    </cfRule>
  </conditionalFormatting>
  <conditionalFormatting sqref="W2064:X2064">
    <cfRule type="cellIs" dxfId="8436" priority="8368" stopIfTrue="1" operator="equal">
      <formula>"NO APLICA"</formula>
    </cfRule>
  </conditionalFormatting>
  <conditionalFormatting sqref="Y2063">
    <cfRule type="cellIs" dxfId="8435" priority="8367" stopIfTrue="1" operator="equal">
      <formula>"NO APLICA"</formula>
    </cfRule>
  </conditionalFormatting>
  <conditionalFormatting sqref="Y2064:Y2067">
    <cfRule type="cellIs" dxfId="8434" priority="8366" stopIfTrue="1" operator="equal">
      <formula>"NO APLICA"</formula>
    </cfRule>
  </conditionalFormatting>
  <conditionalFormatting sqref="W2068:X2071">
    <cfRule type="cellIs" dxfId="8433" priority="8365" stopIfTrue="1" operator="equal">
      <formula>"NO APLICA"</formula>
    </cfRule>
  </conditionalFormatting>
  <conditionalFormatting sqref="W2068:X2068">
    <cfRule type="cellIs" dxfId="8432" priority="8364" stopIfTrue="1" operator="equal">
      <formula>"NO APLICA"</formula>
    </cfRule>
  </conditionalFormatting>
  <conditionalFormatting sqref="Y2068:Y2071">
    <cfRule type="cellIs" dxfId="8431" priority="8363" stopIfTrue="1" operator="equal">
      <formula>"NO APLICA"</formula>
    </cfRule>
  </conditionalFormatting>
  <conditionalFormatting sqref="T2077">
    <cfRule type="cellIs" dxfId="8430" priority="8361" operator="equal">
      <formula>"CUMPLE"</formula>
    </cfRule>
    <cfRule type="cellIs" dxfId="8429" priority="8362" operator="equal">
      <formula>"NO CUMPLE"</formula>
    </cfRule>
  </conditionalFormatting>
  <conditionalFormatting sqref="T2077:T2079">
    <cfRule type="cellIs" dxfId="8428" priority="8360" operator="equal">
      <formula>"VERIFICAR"</formula>
    </cfRule>
  </conditionalFormatting>
  <conditionalFormatting sqref="AD2063:AF2067">
    <cfRule type="cellIs" dxfId="8427" priority="8358" stopIfTrue="1" operator="equal">
      <formula>"NO"</formula>
    </cfRule>
    <cfRule type="cellIs" dxfId="8426" priority="8359" stopIfTrue="1" operator="equal">
      <formula>"SI"</formula>
    </cfRule>
  </conditionalFormatting>
  <conditionalFormatting sqref="AD2068:AF2071">
    <cfRule type="cellIs" dxfId="8425" priority="8356" stopIfTrue="1" operator="equal">
      <formula>"NO"</formula>
    </cfRule>
    <cfRule type="cellIs" dxfId="8424" priority="8357" stopIfTrue="1" operator="equal">
      <formula>"SI"</formula>
    </cfRule>
  </conditionalFormatting>
  <conditionalFormatting sqref="W2072:Y2072">
    <cfRule type="cellIs" dxfId="8423" priority="8354" stopIfTrue="1" operator="equal">
      <formula>"NO"</formula>
    </cfRule>
    <cfRule type="cellIs" dxfId="8422" priority="8355" stopIfTrue="1" operator="equal">
      <formula>"SI"</formula>
    </cfRule>
  </conditionalFormatting>
  <conditionalFormatting sqref="W2072:X2072">
    <cfRule type="cellIs" dxfId="8421" priority="8353" stopIfTrue="1" operator="equal">
      <formula>"NO APLICA"</formula>
    </cfRule>
  </conditionalFormatting>
  <conditionalFormatting sqref="Y2072">
    <cfRule type="cellIs" dxfId="8420" priority="8352" stopIfTrue="1" operator="equal">
      <formula>"NO APLICA"</formula>
    </cfRule>
  </conditionalFormatting>
  <conditionalFormatting sqref="AD2072:AF2072">
    <cfRule type="cellIs" dxfId="8419" priority="8350" stopIfTrue="1" operator="equal">
      <formula>"NO"</formula>
    </cfRule>
    <cfRule type="cellIs" dxfId="8418" priority="8351" stopIfTrue="1" operator="equal">
      <formula>"SI"</formula>
    </cfRule>
  </conditionalFormatting>
  <conditionalFormatting sqref="AE2077">
    <cfRule type="cellIs" dxfId="8417" priority="8347" stopIfTrue="1" operator="equal">
      <formula>"VERIFICAR"</formula>
    </cfRule>
    <cfRule type="cellIs" dxfId="8416" priority="8348" stopIfTrue="1" operator="equal">
      <formula>"NO CUMPLE"</formula>
    </cfRule>
    <cfRule type="cellIs" dxfId="8415" priority="8349" stopIfTrue="1" operator="equal">
      <formula>"CUMPLE"</formula>
    </cfRule>
  </conditionalFormatting>
  <conditionalFormatting sqref="AF2077">
    <cfRule type="cellIs" dxfId="8414" priority="8344" stopIfTrue="1" operator="equal">
      <formula>"VERIFICAR"</formula>
    </cfRule>
    <cfRule type="cellIs" dxfId="8413" priority="8345" stopIfTrue="1" operator="equal">
      <formula>"NO CUMPLE"</formula>
    </cfRule>
    <cfRule type="cellIs" dxfId="8412" priority="8346" stopIfTrue="1" operator="equal">
      <formula>"CUMPLE"</formula>
    </cfRule>
  </conditionalFormatting>
  <conditionalFormatting sqref="Y2080">
    <cfRule type="cellIs" dxfId="8411" priority="8343" operator="equal">
      <formula>"VERIFICAR CUADRO"</formula>
    </cfRule>
  </conditionalFormatting>
  <conditionalFormatting sqref="AC2081:AC2086">
    <cfRule type="cellIs" dxfId="8410" priority="8342" stopIfTrue="1" operator="greaterThan">
      <formula>0</formula>
    </cfRule>
  </conditionalFormatting>
  <conditionalFormatting sqref="AC2081:AC2086">
    <cfRule type="cellIs" dxfId="8409" priority="8341" stopIfTrue="1" operator="greaterThan">
      <formula>0</formula>
    </cfRule>
  </conditionalFormatting>
  <conditionalFormatting sqref="AD2081:AD2086">
    <cfRule type="containsText" dxfId="8408" priority="8339" stopIfTrue="1" operator="containsText" text="NO CUMPLE">
      <formula>NOT(ISERROR(SEARCH("NO CUMPLE",AD2081)))</formula>
    </cfRule>
    <cfRule type="containsText" dxfId="8407" priority="8340" stopIfTrue="1" operator="containsText" text="CUMPLE">
      <formula>NOT(ISERROR(SEARCH("CUMPLE",AD2081)))</formula>
    </cfRule>
  </conditionalFormatting>
  <conditionalFormatting sqref="Y2086">
    <cfRule type="containsText" dxfId="8406" priority="8337" stopIfTrue="1" operator="containsText" text="NO CUMPLE">
      <formula>NOT(ISERROR(SEARCH("NO CUMPLE",Y2086)))</formula>
    </cfRule>
    <cfRule type="containsText" dxfId="8405" priority="8338" stopIfTrue="1" operator="containsText" text="CUMPLE">
      <formula>NOT(ISERROR(SEARCH("CUMPLE",Y2086)))</formula>
    </cfRule>
  </conditionalFormatting>
  <conditionalFormatting sqref="AA2063:AA2072">
    <cfRule type="cellIs" dxfId="8404" priority="8335" stopIfTrue="1" operator="equal">
      <formula>"NO APLICA"</formula>
    </cfRule>
    <cfRule type="cellIs" dxfId="8403" priority="8336" stopIfTrue="1" operator="equal">
      <formula>"TERCIARIA"</formula>
    </cfRule>
  </conditionalFormatting>
  <conditionalFormatting sqref="AB2063:AB2072">
    <cfRule type="cellIs" dxfId="8402" priority="8333" stopIfTrue="1" operator="equal">
      <formula>"N/A"</formula>
    </cfRule>
    <cfRule type="cellIs" dxfId="8401" priority="8334" stopIfTrue="1" operator="equal">
      <formula>"NO"</formula>
    </cfRule>
  </conditionalFormatting>
  <conditionalFormatting sqref="M2093:M2102">
    <cfRule type="cellIs" dxfId="8400" priority="8332" stopIfTrue="1" operator="lessThan">
      <formula>0</formula>
    </cfRule>
  </conditionalFormatting>
  <conditionalFormatting sqref="C2095:D2101 B2094:B2101 F2095:I2101 C2094:I2094 B2102:O2102 B2093:R2093 Q2094:R2095 J2094:O2101 Q2096:Q2102 P2094:P2102">
    <cfRule type="cellIs" dxfId="8399" priority="8331" stopIfTrue="1" operator="greaterThan">
      <formula>0</formula>
    </cfRule>
  </conditionalFormatting>
  <conditionalFormatting sqref="C2095:D2101">
    <cfRule type="cellIs" dxfId="8398" priority="8330" stopIfTrue="1" operator="greaterThan">
      <formula>0</formula>
    </cfRule>
  </conditionalFormatting>
  <conditionalFormatting sqref="C2093:M2093 C2095:D2101 F2095:I2101 C2094:I2094 K2094:M2101 J2094:J2102 L2102:M2102">
    <cfRule type="cellIs" dxfId="8397" priority="8329" stopIfTrue="1" operator="greaterThan">
      <formula>0</formula>
    </cfRule>
  </conditionalFormatting>
  <conditionalFormatting sqref="M2093:M2102">
    <cfRule type="cellIs" dxfId="8396" priority="8328" stopIfTrue="1" operator="lessThan">
      <formula>0</formula>
    </cfRule>
  </conditionalFormatting>
  <conditionalFormatting sqref="J2094:J2102 L2094:O2102 C2093:O2093">
    <cfRule type="cellIs" dxfId="8395" priority="8327" stopIfTrue="1" operator="greaterThan">
      <formula>0</formula>
    </cfRule>
  </conditionalFormatting>
  <conditionalFormatting sqref="H2095:I2101 K2095:M2102">
    <cfRule type="cellIs" dxfId="8394" priority="8326" stopIfTrue="1" operator="greaterThan">
      <formula>0</formula>
    </cfRule>
  </conditionalFormatting>
  <conditionalFormatting sqref="I2094">
    <cfRule type="cellIs" dxfId="8393" priority="8325" stopIfTrue="1" operator="greaterThan">
      <formula>0</formula>
    </cfRule>
  </conditionalFormatting>
  <conditionalFormatting sqref="I2102">
    <cfRule type="cellIs" dxfId="8392" priority="8324" stopIfTrue="1" operator="greaterThan">
      <formula>0</formula>
    </cfRule>
  </conditionalFormatting>
  <conditionalFormatting sqref="E2095:E2101">
    <cfRule type="cellIs" dxfId="8391" priority="8323" stopIfTrue="1" operator="greaterThan">
      <formula>0</formula>
    </cfRule>
  </conditionalFormatting>
  <conditionalFormatting sqref="K2110:K2115">
    <cfRule type="containsText" dxfId="8390" priority="8321" stopIfTrue="1" operator="containsText" text="NO CUMPLE">
      <formula>NOT(ISERROR(SEARCH("NO CUMPLE",K2110)))</formula>
    </cfRule>
    <cfRule type="containsText" dxfId="8389" priority="8322" stopIfTrue="1" operator="containsText" text="CUMPLE">
      <formula>NOT(ISERROR(SEARCH("CUMPLE",K2110)))</formula>
    </cfRule>
  </conditionalFormatting>
  <conditionalFormatting sqref="K2116">
    <cfRule type="containsText" dxfId="8388" priority="8319" stopIfTrue="1" operator="containsText" text="NO CUMPLE">
      <formula>NOT(ISERROR(SEARCH("NO CUMPLE",K2116)))</formula>
    </cfRule>
    <cfRule type="containsText" dxfId="8387" priority="8320" stopIfTrue="1" operator="containsText" text="CUMPLE">
      <formula>NOT(ISERROR(SEARCH("CUMPLE",K2116)))</formula>
    </cfRule>
  </conditionalFormatting>
  <conditionalFormatting sqref="Q2109">
    <cfRule type="cellIs" dxfId="8386" priority="8317" operator="greaterThanOrEqual">
      <formula>NUMMINCONT</formula>
    </cfRule>
    <cfRule type="cellIs" dxfId="8385" priority="8318" operator="lessThan">
      <formula>NUMMINCONT</formula>
    </cfRule>
  </conditionalFormatting>
  <conditionalFormatting sqref="W2093:Y2101">
    <cfRule type="cellIs" dxfId="8384" priority="8315" stopIfTrue="1" operator="equal">
      <formula>"NO"</formula>
    </cfRule>
    <cfRule type="cellIs" dxfId="8383" priority="8316" stopIfTrue="1" operator="equal">
      <formula>"SI"</formula>
    </cfRule>
  </conditionalFormatting>
  <conditionalFormatting sqref="R2096">
    <cfRule type="cellIs" dxfId="8382" priority="8314" stopIfTrue="1" operator="greaterThan">
      <formula>0</formula>
    </cfRule>
  </conditionalFormatting>
  <conditionalFormatting sqref="R2097">
    <cfRule type="cellIs" dxfId="8381" priority="8313" stopIfTrue="1" operator="greaterThan">
      <formula>0</formula>
    </cfRule>
  </conditionalFormatting>
  <conditionalFormatting sqref="R2098">
    <cfRule type="cellIs" dxfId="8380" priority="8312" stopIfTrue="1" operator="greaterThan">
      <formula>0</formula>
    </cfRule>
  </conditionalFormatting>
  <conditionalFormatting sqref="R2099">
    <cfRule type="cellIs" dxfId="8379" priority="8311" stopIfTrue="1" operator="greaterThan">
      <formula>0</formula>
    </cfRule>
  </conditionalFormatting>
  <conditionalFormatting sqref="R2100">
    <cfRule type="cellIs" dxfId="8378" priority="8310" stopIfTrue="1" operator="greaterThan">
      <formula>0</formula>
    </cfRule>
  </conditionalFormatting>
  <conditionalFormatting sqref="R2101">
    <cfRule type="cellIs" dxfId="8377" priority="8309" stopIfTrue="1" operator="greaterThan">
      <formula>0</formula>
    </cfRule>
  </conditionalFormatting>
  <conditionalFormatting sqref="R2102">
    <cfRule type="cellIs" dxfId="8376" priority="8308" stopIfTrue="1" operator="greaterThan">
      <formula>0</formula>
    </cfRule>
  </conditionalFormatting>
  <conditionalFormatting sqref="W2093:X2093">
    <cfRule type="cellIs" dxfId="8375" priority="8307" stopIfTrue="1" operator="equal">
      <formula>"NO APLICA"</formula>
    </cfRule>
  </conditionalFormatting>
  <conditionalFormatting sqref="W2094:X2097">
    <cfRule type="cellIs" dxfId="8374" priority="8306" stopIfTrue="1" operator="equal">
      <formula>"NO APLICA"</formula>
    </cfRule>
  </conditionalFormatting>
  <conditionalFormatting sqref="W2094:X2094">
    <cfRule type="cellIs" dxfId="8373" priority="8305" stopIfTrue="1" operator="equal">
      <formula>"NO APLICA"</formula>
    </cfRule>
  </conditionalFormatting>
  <conditionalFormatting sqref="Y2093">
    <cfRule type="cellIs" dxfId="8372" priority="8304" stopIfTrue="1" operator="equal">
      <formula>"NO APLICA"</formula>
    </cfRule>
  </conditionalFormatting>
  <conditionalFormatting sqref="Y2094:Y2097">
    <cfRule type="cellIs" dxfId="8371" priority="8303" stopIfTrue="1" operator="equal">
      <formula>"NO APLICA"</formula>
    </cfRule>
  </conditionalFormatting>
  <conditionalFormatting sqref="W2098:X2101">
    <cfRule type="cellIs" dxfId="8370" priority="8302" stopIfTrue="1" operator="equal">
      <formula>"NO APLICA"</formula>
    </cfRule>
  </conditionalFormatting>
  <conditionalFormatting sqref="W2098:X2098">
    <cfRule type="cellIs" dxfId="8369" priority="8301" stopIfTrue="1" operator="equal">
      <formula>"NO APLICA"</formula>
    </cfRule>
  </conditionalFormatting>
  <conditionalFormatting sqref="Y2098:Y2101">
    <cfRule type="cellIs" dxfId="8368" priority="8300" stopIfTrue="1" operator="equal">
      <formula>"NO APLICA"</formula>
    </cfRule>
  </conditionalFormatting>
  <conditionalFormatting sqref="T2107">
    <cfRule type="cellIs" dxfId="8367" priority="8298" operator="equal">
      <formula>"CUMPLE"</formula>
    </cfRule>
    <cfRule type="cellIs" dxfId="8366" priority="8299" operator="equal">
      <formula>"NO CUMPLE"</formula>
    </cfRule>
  </conditionalFormatting>
  <conditionalFormatting sqref="T2107:T2109">
    <cfRule type="cellIs" dxfId="8365" priority="8297" operator="equal">
      <formula>"VERIFICAR"</formula>
    </cfRule>
  </conditionalFormatting>
  <conditionalFormatting sqref="AD2093:AF2097">
    <cfRule type="cellIs" dxfId="8364" priority="8295" stopIfTrue="1" operator="equal">
      <formula>"NO"</formula>
    </cfRule>
    <cfRule type="cellIs" dxfId="8363" priority="8296" stopIfTrue="1" operator="equal">
      <formula>"SI"</formula>
    </cfRule>
  </conditionalFormatting>
  <conditionalFormatting sqref="AD2098:AF2101">
    <cfRule type="cellIs" dxfId="8362" priority="8293" stopIfTrue="1" operator="equal">
      <formula>"NO"</formula>
    </cfRule>
    <cfRule type="cellIs" dxfId="8361" priority="8294" stopIfTrue="1" operator="equal">
      <formula>"SI"</formula>
    </cfRule>
  </conditionalFormatting>
  <conditionalFormatting sqref="W2102:Y2102">
    <cfRule type="cellIs" dxfId="8360" priority="8291" stopIfTrue="1" operator="equal">
      <formula>"NO"</formula>
    </cfRule>
    <cfRule type="cellIs" dxfId="8359" priority="8292" stopIfTrue="1" operator="equal">
      <formula>"SI"</formula>
    </cfRule>
  </conditionalFormatting>
  <conditionalFormatting sqref="W2102:X2102">
    <cfRule type="cellIs" dxfId="8358" priority="8290" stopIfTrue="1" operator="equal">
      <formula>"NO APLICA"</formula>
    </cfRule>
  </conditionalFormatting>
  <conditionalFormatting sqref="Y2102">
    <cfRule type="cellIs" dxfId="8357" priority="8289" stopIfTrue="1" operator="equal">
      <formula>"NO APLICA"</formula>
    </cfRule>
  </conditionalFormatting>
  <conditionalFormatting sqref="AD2102:AF2102">
    <cfRule type="cellIs" dxfId="8356" priority="8287" stopIfTrue="1" operator="equal">
      <formula>"NO"</formula>
    </cfRule>
    <cfRule type="cellIs" dxfId="8355" priority="8288" stopIfTrue="1" operator="equal">
      <formula>"SI"</formula>
    </cfRule>
  </conditionalFormatting>
  <conditionalFormatting sqref="AE2107">
    <cfRule type="cellIs" dxfId="8354" priority="8284" stopIfTrue="1" operator="equal">
      <formula>"VERIFICAR"</formula>
    </cfRule>
    <cfRule type="cellIs" dxfId="8353" priority="8285" stopIfTrue="1" operator="equal">
      <formula>"NO CUMPLE"</formula>
    </cfRule>
    <cfRule type="cellIs" dxfId="8352" priority="8286" stopIfTrue="1" operator="equal">
      <formula>"CUMPLE"</formula>
    </cfRule>
  </conditionalFormatting>
  <conditionalFormatting sqref="AF2107">
    <cfRule type="cellIs" dxfId="8351" priority="8281" stopIfTrue="1" operator="equal">
      <formula>"VERIFICAR"</formula>
    </cfRule>
    <cfRule type="cellIs" dxfId="8350" priority="8282" stopIfTrue="1" operator="equal">
      <formula>"NO CUMPLE"</formula>
    </cfRule>
    <cfRule type="cellIs" dxfId="8349" priority="8283" stopIfTrue="1" operator="equal">
      <formula>"CUMPLE"</formula>
    </cfRule>
  </conditionalFormatting>
  <conditionalFormatting sqref="Y2110">
    <cfRule type="cellIs" dxfId="8348" priority="8280" operator="equal">
      <formula>"VERIFICAR CUADRO"</formula>
    </cfRule>
  </conditionalFormatting>
  <conditionalFormatting sqref="AC2111:AC2116">
    <cfRule type="cellIs" dxfId="8347" priority="8279" stopIfTrue="1" operator="greaterThan">
      <formula>0</formula>
    </cfRule>
  </conditionalFormatting>
  <conditionalFormatting sqref="AC2111:AC2116">
    <cfRule type="cellIs" dxfId="8346" priority="8278" stopIfTrue="1" operator="greaterThan">
      <formula>0</formula>
    </cfRule>
  </conditionalFormatting>
  <conditionalFormatting sqref="AD2111:AD2116">
    <cfRule type="containsText" dxfId="8345" priority="8276" stopIfTrue="1" operator="containsText" text="NO CUMPLE">
      <formula>NOT(ISERROR(SEARCH("NO CUMPLE",AD2111)))</formula>
    </cfRule>
    <cfRule type="containsText" dxfId="8344" priority="8277" stopIfTrue="1" operator="containsText" text="CUMPLE">
      <formula>NOT(ISERROR(SEARCH("CUMPLE",AD2111)))</formula>
    </cfRule>
  </conditionalFormatting>
  <conditionalFormatting sqref="Y2116">
    <cfRule type="containsText" dxfId="8343" priority="8274" stopIfTrue="1" operator="containsText" text="NO CUMPLE">
      <formula>NOT(ISERROR(SEARCH("NO CUMPLE",Y2116)))</formula>
    </cfRule>
    <cfRule type="containsText" dxfId="8342" priority="8275" stopIfTrue="1" operator="containsText" text="CUMPLE">
      <formula>NOT(ISERROR(SEARCH("CUMPLE",Y2116)))</formula>
    </cfRule>
  </conditionalFormatting>
  <conditionalFormatting sqref="AA2093:AA2102">
    <cfRule type="cellIs" dxfId="8341" priority="8272" stopIfTrue="1" operator="equal">
      <formula>"NO APLICA"</formula>
    </cfRule>
    <cfRule type="cellIs" dxfId="8340" priority="8273" stopIfTrue="1" operator="equal">
      <formula>"TERCIARIA"</formula>
    </cfRule>
  </conditionalFormatting>
  <conditionalFormatting sqref="AB2093:AB2102">
    <cfRule type="cellIs" dxfId="8339" priority="8270" stopIfTrue="1" operator="equal">
      <formula>"N/A"</formula>
    </cfRule>
    <cfRule type="cellIs" dxfId="8338" priority="8271" stopIfTrue="1" operator="equal">
      <formula>"NO"</formula>
    </cfRule>
  </conditionalFormatting>
  <conditionalFormatting sqref="M2123:M2132">
    <cfRule type="cellIs" dxfId="8337" priority="8269" stopIfTrue="1" operator="lessThan">
      <formula>0</formula>
    </cfRule>
  </conditionalFormatting>
  <conditionalFormatting sqref="C2125:D2131 B2124:B2131 F2125:I2131 C2124:I2124 B2132:O2132 B2123:R2123 Q2124:R2125 J2124:O2131 Q2126:Q2132 P2124:P2132">
    <cfRule type="cellIs" dxfId="8336" priority="8268" stopIfTrue="1" operator="greaterThan">
      <formula>0</formula>
    </cfRule>
  </conditionalFormatting>
  <conditionalFormatting sqref="C2125:D2131">
    <cfRule type="cellIs" dxfId="8335" priority="8267" stopIfTrue="1" operator="greaterThan">
      <formula>0</formula>
    </cfRule>
  </conditionalFormatting>
  <conditionalFormatting sqref="C2123:M2123 C2125:D2131 F2125:I2131 C2124:I2124 K2124:M2131 J2124:J2132 L2132:M2132">
    <cfRule type="cellIs" dxfId="8334" priority="8266" stopIfTrue="1" operator="greaterThan">
      <formula>0</formula>
    </cfRule>
  </conditionalFormatting>
  <conditionalFormatting sqref="M2123:M2132">
    <cfRule type="cellIs" dxfId="8333" priority="8265" stopIfTrue="1" operator="lessThan">
      <formula>0</formula>
    </cfRule>
  </conditionalFormatting>
  <conditionalFormatting sqref="J2124:J2132 L2124:O2132 C2123:O2123">
    <cfRule type="cellIs" dxfId="8332" priority="8264" stopIfTrue="1" operator="greaterThan">
      <formula>0</formula>
    </cfRule>
  </conditionalFormatting>
  <conditionalFormatting sqref="H2125:I2131 K2125:M2132">
    <cfRule type="cellIs" dxfId="8331" priority="8263" stopIfTrue="1" operator="greaterThan">
      <formula>0</formula>
    </cfRule>
  </conditionalFormatting>
  <conditionalFormatting sqref="I2124">
    <cfRule type="cellIs" dxfId="8330" priority="8262" stopIfTrue="1" operator="greaterThan">
      <formula>0</formula>
    </cfRule>
  </conditionalFormatting>
  <conditionalFormatting sqref="I2132">
    <cfRule type="cellIs" dxfId="8329" priority="8261" stopIfTrue="1" operator="greaterThan">
      <formula>0</formula>
    </cfRule>
  </conditionalFormatting>
  <conditionalFormatting sqref="E2125:E2131">
    <cfRule type="cellIs" dxfId="8328" priority="8260" stopIfTrue="1" operator="greaterThan">
      <formula>0</formula>
    </cfRule>
  </conditionalFormatting>
  <conditionalFormatting sqref="K2140:K2145">
    <cfRule type="containsText" dxfId="8327" priority="8258" stopIfTrue="1" operator="containsText" text="NO CUMPLE">
      <formula>NOT(ISERROR(SEARCH("NO CUMPLE",K2140)))</formula>
    </cfRule>
    <cfRule type="containsText" dxfId="8326" priority="8259" stopIfTrue="1" operator="containsText" text="CUMPLE">
      <formula>NOT(ISERROR(SEARCH("CUMPLE",K2140)))</formula>
    </cfRule>
  </conditionalFormatting>
  <conditionalFormatting sqref="K2146">
    <cfRule type="containsText" dxfId="8325" priority="8256" stopIfTrue="1" operator="containsText" text="NO CUMPLE">
      <formula>NOT(ISERROR(SEARCH("NO CUMPLE",K2146)))</formula>
    </cfRule>
    <cfRule type="containsText" dxfId="8324" priority="8257" stopIfTrue="1" operator="containsText" text="CUMPLE">
      <formula>NOT(ISERROR(SEARCH("CUMPLE",K2146)))</formula>
    </cfRule>
  </conditionalFormatting>
  <conditionalFormatting sqref="Q2139">
    <cfRule type="cellIs" dxfId="8323" priority="8254" operator="greaterThanOrEqual">
      <formula>NUMMINCONT</formula>
    </cfRule>
    <cfRule type="cellIs" dxfId="8322" priority="8255" operator="lessThan">
      <formula>NUMMINCONT</formula>
    </cfRule>
  </conditionalFormatting>
  <conditionalFormatting sqref="W2123:Y2131">
    <cfRule type="cellIs" dxfId="8321" priority="8252" stopIfTrue="1" operator="equal">
      <formula>"NO"</formula>
    </cfRule>
    <cfRule type="cellIs" dxfId="8320" priority="8253" stopIfTrue="1" operator="equal">
      <formula>"SI"</formula>
    </cfRule>
  </conditionalFormatting>
  <conditionalFormatting sqref="R2126">
    <cfRule type="cellIs" dxfId="8319" priority="8251" stopIfTrue="1" operator="greaterThan">
      <formula>0</formula>
    </cfRule>
  </conditionalFormatting>
  <conditionalFormatting sqref="R2127">
    <cfRule type="cellIs" dxfId="8318" priority="8250" stopIfTrue="1" operator="greaterThan">
      <formula>0</formula>
    </cfRule>
  </conditionalFormatting>
  <conditionalFormatting sqref="R2128">
    <cfRule type="cellIs" dxfId="8317" priority="8249" stopIfTrue="1" operator="greaterThan">
      <formula>0</formula>
    </cfRule>
  </conditionalFormatting>
  <conditionalFormatting sqref="R2129">
    <cfRule type="cellIs" dxfId="8316" priority="8248" stopIfTrue="1" operator="greaterThan">
      <formula>0</formula>
    </cfRule>
  </conditionalFormatting>
  <conditionalFormatting sqref="R2130">
    <cfRule type="cellIs" dxfId="8315" priority="8247" stopIfTrue="1" operator="greaterThan">
      <formula>0</formula>
    </cfRule>
  </conditionalFormatting>
  <conditionalFormatting sqref="R2131">
    <cfRule type="cellIs" dxfId="8314" priority="8246" stopIfTrue="1" operator="greaterThan">
      <formula>0</formula>
    </cfRule>
  </conditionalFormatting>
  <conditionalFormatting sqref="R2132">
    <cfRule type="cellIs" dxfId="8313" priority="8245" stopIfTrue="1" operator="greaterThan">
      <formula>0</formula>
    </cfRule>
  </conditionalFormatting>
  <conditionalFormatting sqref="W2123:X2123">
    <cfRule type="cellIs" dxfId="8312" priority="8244" stopIfTrue="1" operator="equal">
      <formula>"NO APLICA"</formula>
    </cfRule>
  </conditionalFormatting>
  <conditionalFormatting sqref="W2124:X2127">
    <cfRule type="cellIs" dxfId="8311" priority="8243" stopIfTrue="1" operator="equal">
      <formula>"NO APLICA"</formula>
    </cfRule>
  </conditionalFormatting>
  <conditionalFormatting sqref="W2124:X2124">
    <cfRule type="cellIs" dxfId="8310" priority="8242" stopIfTrue="1" operator="equal">
      <formula>"NO APLICA"</formula>
    </cfRule>
  </conditionalFormatting>
  <conditionalFormatting sqref="Y2123">
    <cfRule type="cellIs" dxfId="8309" priority="8241" stopIfTrue="1" operator="equal">
      <formula>"NO APLICA"</formula>
    </cfRule>
  </conditionalFormatting>
  <conditionalFormatting sqref="Y2124:Y2127">
    <cfRule type="cellIs" dxfId="8308" priority="8240" stopIfTrue="1" operator="equal">
      <formula>"NO APLICA"</formula>
    </cfRule>
  </conditionalFormatting>
  <conditionalFormatting sqref="W2128:X2131">
    <cfRule type="cellIs" dxfId="8307" priority="8239" stopIfTrue="1" operator="equal">
      <formula>"NO APLICA"</formula>
    </cfRule>
  </conditionalFormatting>
  <conditionalFormatting sqref="W2128:X2128">
    <cfRule type="cellIs" dxfId="8306" priority="8238" stopIfTrue="1" operator="equal">
      <formula>"NO APLICA"</formula>
    </cfRule>
  </conditionalFormatting>
  <conditionalFormatting sqref="Y2128:Y2131">
    <cfRule type="cellIs" dxfId="8305" priority="8237" stopIfTrue="1" operator="equal">
      <formula>"NO APLICA"</formula>
    </cfRule>
  </conditionalFormatting>
  <conditionalFormatting sqref="T2137">
    <cfRule type="cellIs" dxfId="8304" priority="8235" operator="equal">
      <formula>"CUMPLE"</formula>
    </cfRule>
    <cfRule type="cellIs" dxfId="8303" priority="8236" operator="equal">
      <formula>"NO CUMPLE"</formula>
    </cfRule>
  </conditionalFormatting>
  <conditionalFormatting sqref="T2137:T2139">
    <cfRule type="cellIs" dxfId="8302" priority="8234" operator="equal">
      <formula>"VERIFICAR"</formula>
    </cfRule>
  </conditionalFormatting>
  <conditionalFormatting sqref="AD2123:AF2127">
    <cfRule type="cellIs" dxfId="8301" priority="8232" stopIfTrue="1" operator="equal">
      <formula>"NO"</formula>
    </cfRule>
    <cfRule type="cellIs" dxfId="8300" priority="8233" stopIfTrue="1" operator="equal">
      <formula>"SI"</formula>
    </cfRule>
  </conditionalFormatting>
  <conditionalFormatting sqref="AD2128:AF2131">
    <cfRule type="cellIs" dxfId="8299" priority="8230" stopIfTrue="1" operator="equal">
      <formula>"NO"</formula>
    </cfRule>
    <cfRule type="cellIs" dxfId="8298" priority="8231" stopIfTrue="1" operator="equal">
      <formula>"SI"</formula>
    </cfRule>
  </conditionalFormatting>
  <conditionalFormatting sqref="W2132:Y2132">
    <cfRule type="cellIs" dxfId="8297" priority="8228" stopIfTrue="1" operator="equal">
      <formula>"NO"</formula>
    </cfRule>
    <cfRule type="cellIs" dxfId="8296" priority="8229" stopIfTrue="1" operator="equal">
      <formula>"SI"</formula>
    </cfRule>
  </conditionalFormatting>
  <conditionalFormatting sqref="W2132:X2132">
    <cfRule type="cellIs" dxfId="8295" priority="8227" stopIfTrue="1" operator="equal">
      <formula>"NO APLICA"</formula>
    </cfRule>
  </conditionalFormatting>
  <conditionalFormatting sqref="Y2132">
    <cfRule type="cellIs" dxfId="8294" priority="8226" stopIfTrue="1" operator="equal">
      <formula>"NO APLICA"</formula>
    </cfRule>
  </conditionalFormatting>
  <conditionalFormatting sqref="AD2132:AF2132">
    <cfRule type="cellIs" dxfId="8293" priority="8224" stopIfTrue="1" operator="equal">
      <formula>"NO"</formula>
    </cfRule>
    <cfRule type="cellIs" dxfId="8292" priority="8225" stopIfTrue="1" operator="equal">
      <formula>"SI"</formula>
    </cfRule>
  </conditionalFormatting>
  <conditionalFormatting sqref="AE2137">
    <cfRule type="cellIs" dxfId="8291" priority="8221" stopIfTrue="1" operator="equal">
      <formula>"VERIFICAR"</formula>
    </cfRule>
    <cfRule type="cellIs" dxfId="8290" priority="8222" stopIfTrue="1" operator="equal">
      <formula>"NO CUMPLE"</formula>
    </cfRule>
    <cfRule type="cellIs" dxfId="8289" priority="8223" stopIfTrue="1" operator="equal">
      <formula>"CUMPLE"</formula>
    </cfRule>
  </conditionalFormatting>
  <conditionalFormatting sqref="AF2137">
    <cfRule type="cellIs" dxfId="8288" priority="8218" stopIfTrue="1" operator="equal">
      <formula>"VERIFICAR"</formula>
    </cfRule>
    <cfRule type="cellIs" dxfId="8287" priority="8219" stopIfTrue="1" operator="equal">
      <formula>"NO CUMPLE"</formula>
    </cfRule>
    <cfRule type="cellIs" dxfId="8286" priority="8220" stopIfTrue="1" operator="equal">
      <formula>"CUMPLE"</formula>
    </cfRule>
  </conditionalFormatting>
  <conditionalFormatting sqref="Y2140">
    <cfRule type="cellIs" dxfId="8285" priority="8217" operator="equal">
      <formula>"VERIFICAR CUADRO"</formula>
    </cfRule>
  </conditionalFormatting>
  <conditionalFormatting sqref="AC2141:AC2146">
    <cfRule type="cellIs" dxfId="8284" priority="8216" stopIfTrue="1" operator="greaterThan">
      <formula>0</formula>
    </cfRule>
  </conditionalFormatting>
  <conditionalFormatting sqref="AC2141:AC2146">
    <cfRule type="cellIs" dxfId="8283" priority="8215" stopIfTrue="1" operator="greaterThan">
      <formula>0</formula>
    </cfRule>
  </conditionalFormatting>
  <conditionalFormatting sqref="AD2141:AD2146">
    <cfRule type="containsText" dxfId="8282" priority="8213" stopIfTrue="1" operator="containsText" text="NO CUMPLE">
      <formula>NOT(ISERROR(SEARCH("NO CUMPLE",AD2141)))</formula>
    </cfRule>
    <cfRule type="containsText" dxfId="8281" priority="8214" stopIfTrue="1" operator="containsText" text="CUMPLE">
      <formula>NOT(ISERROR(SEARCH("CUMPLE",AD2141)))</formula>
    </cfRule>
  </conditionalFormatting>
  <conditionalFormatting sqref="Y2146">
    <cfRule type="containsText" dxfId="8280" priority="8211" stopIfTrue="1" operator="containsText" text="NO CUMPLE">
      <formula>NOT(ISERROR(SEARCH("NO CUMPLE",Y2146)))</formula>
    </cfRule>
    <cfRule type="containsText" dxfId="8279" priority="8212" stopIfTrue="1" operator="containsText" text="CUMPLE">
      <formula>NOT(ISERROR(SEARCH("CUMPLE",Y2146)))</formula>
    </cfRule>
  </conditionalFormatting>
  <conditionalFormatting sqref="AA2123:AA2132">
    <cfRule type="cellIs" dxfId="8278" priority="8209" stopIfTrue="1" operator="equal">
      <formula>"NO APLICA"</formula>
    </cfRule>
    <cfRule type="cellIs" dxfId="8277" priority="8210" stopIfTrue="1" operator="equal">
      <formula>"TERCIARIA"</formula>
    </cfRule>
  </conditionalFormatting>
  <conditionalFormatting sqref="AB2123:AB2132">
    <cfRule type="cellIs" dxfId="8276" priority="8207" stopIfTrue="1" operator="equal">
      <formula>"N/A"</formula>
    </cfRule>
    <cfRule type="cellIs" dxfId="8275" priority="8208" stopIfTrue="1" operator="equal">
      <formula>"NO"</formula>
    </cfRule>
  </conditionalFormatting>
  <conditionalFormatting sqref="M2153:M2162">
    <cfRule type="cellIs" dxfId="8274" priority="8206" stopIfTrue="1" operator="lessThan">
      <formula>0</formula>
    </cfRule>
  </conditionalFormatting>
  <conditionalFormatting sqref="C2155:D2161 B2154:B2161 F2155:I2161 C2154:I2154 B2162:O2162 B2153:R2153 Q2154:R2155 J2154:O2161 Q2156:Q2162 P2154:P2162">
    <cfRule type="cellIs" dxfId="8273" priority="8205" stopIfTrue="1" operator="greaterThan">
      <formula>0</formula>
    </cfRule>
  </conditionalFormatting>
  <conditionalFormatting sqref="C2155:D2161">
    <cfRule type="cellIs" dxfId="8272" priority="8204" stopIfTrue="1" operator="greaterThan">
      <formula>0</formula>
    </cfRule>
  </conditionalFormatting>
  <conditionalFormatting sqref="C2153:M2153 C2155:D2161 F2155:I2161 C2154:I2154 K2154:M2161 J2154:J2162 L2162:M2162">
    <cfRule type="cellIs" dxfId="8271" priority="8203" stopIfTrue="1" operator="greaterThan">
      <formula>0</formula>
    </cfRule>
  </conditionalFormatting>
  <conditionalFormatting sqref="M2153:M2162">
    <cfRule type="cellIs" dxfId="8270" priority="8202" stopIfTrue="1" operator="lessThan">
      <formula>0</formula>
    </cfRule>
  </conditionalFormatting>
  <conditionalFormatting sqref="J2154:J2162 L2154:O2162 C2153:O2153">
    <cfRule type="cellIs" dxfId="8269" priority="8201" stopIfTrue="1" operator="greaterThan">
      <formula>0</formula>
    </cfRule>
  </conditionalFormatting>
  <conditionalFormatting sqref="H2155:I2161 K2155:M2162">
    <cfRule type="cellIs" dxfId="8268" priority="8200" stopIfTrue="1" operator="greaterThan">
      <formula>0</formula>
    </cfRule>
  </conditionalFormatting>
  <conditionalFormatting sqref="I2154">
    <cfRule type="cellIs" dxfId="8267" priority="8199" stopIfTrue="1" operator="greaterThan">
      <formula>0</formula>
    </cfRule>
  </conditionalFormatting>
  <conditionalFormatting sqref="I2162">
    <cfRule type="cellIs" dxfId="8266" priority="8198" stopIfTrue="1" operator="greaterThan">
      <formula>0</formula>
    </cfRule>
  </conditionalFormatting>
  <conditionalFormatting sqref="E2155:E2161">
    <cfRule type="cellIs" dxfId="8265" priority="8197" stopIfTrue="1" operator="greaterThan">
      <formula>0</formula>
    </cfRule>
  </conditionalFormatting>
  <conditionalFormatting sqref="K2170:K2175">
    <cfRule type="containsText" dxfId="8264" priority="8195" stopIfTrue="1" operator="containsText" text="NO CUMPLE">
      <formula>NOT(ISERROR(SEARCH("NO CUMPLE",K2170)))</formula>
    </cfRule>
    <cfRule type="containsText" dxfId="8263" priority="8196" stopIfTrue="1" operator="containsText" text="CUMPLE">
      <formula>NOT(ISERROR(SEARCH("CUMPLE",K2170)))</formula>
    </cfRule>
  </conditionalFormatting>
  <conditionalFormatting sqref="K2176">
    <cfRule type="containsText" dxfId="8262" priority="8193" stopIfTrue="1" operator="containsText" text="NO CUMPLE">
      <formula>NOT(ISERROR(SEARCH("NO CUMPLE",K2176)))</formula>
    </cfRule>
    <cfRule type="containsText" dxfId="8261" priority="8194" stopIfTrue="1" operator="containsText" text="CUMPLE">
      <formula>NOT(ISERROR(SEARCH("CUMPLE",K2176)))</formula>
    </cfRule>
  </conditionalFormatting>
  <conditionalFormatting sqref="Q2169">
    <cfRule type="cellIs" dxfId="8260" priority="8191" operator="greaterThanOrEqual">
      <formula>NUMMINCONT</formula>
    </cfRule>
    <cfRule type="cellIs" dxfId="8259" priority="8192" operator="lessThan">
      <formula>NUMMINCONT</formula>
    </cfRule>
  </conditionalFormatting>
  <conditionalFormatting sqref="W2153:Y2161">
    <cfRule type="cellIs" dxfId="8258" priority="8189" stopIfTrue="1" operator="equal">
      <formula>"NO"</formula>
    </cfRule>
    <cfRule type="cellIs" dxfId="8257" priority="8190" stopIfTrue="1" operator="equal">
      <formula>"SI"</formula>
    </cfRule>
  </conditionalFormatting>
  <conditionalFormatting sqref="R2156">
    <cfRule type="cellIs" dxfId="8256" priority="8188" stopIfTrue="1" operator="greaterThan">
      <formula>0</formula>
    </cfRule>
  </conditionalFormatting>
  <conditionalFormatting sqref="R2157">
    <cfRule type="cellIs" dxfId="8255" priority="8187" stopIfTrue="1" operator="greaterThan">
      <formula>0</formula>
    </cfRule>
  </conditionalFormatting>
  <conditionalFormatting sqref="R2158">
    <cfRule type="cellIs" dxfId="8254" priority="8186" stopIfTrue="1" operator="greaterThan">
      <formula>0</formula>
    </cfRule>
  </conditionalFormatting>
  <conditionalFormatting sqref="R2159">
    <cfRule type="cellIs" dxfId="8253" priority="8185" stopIfTrue="1" operator="greaterThan">
      <formula>0</formula>
    </cfRule>
  </conditionalFormatting>
  <conditionalFormatting sqref="R2160">
    <cfRule type="cellIs" dxfId="8252" priority="8184" stopIfTrue="1" operator="greaterThan">
      <formula>0</formula>
    </cfRule>
  </conditionalFormatting>
  <conditionalFormatting sqref="R2161">
    <cfRule type="cellIs" dxfId="8251" priority="8183" stopIfTrue="1" operator="greaterThan">
      <formula>0</formula>
    </cfRule>
  </conditionalFormatting>
  <conditionalFormatting sqref="R2162">
    <cfRule type="cellIs" dxfId="8250" priority="8182" stopIfTrue="1" operator="greaterThan">
      <formula>0</formula>
    </cfRule>
  </conditionalFormatting>
  <conditionalFormatting sqref="W2153:X2153">
    <cfRule type="cellIs" dxfId="8249" priority="8181" stopIfTrue="1" operator="equal">
      <formula>"NO APLICA"</formula>
    </cfRule>
  </conditionalFormatting>
  <conditionalFormatting sqref="W2154:X2157">
    <cfRule type="cellIs" dxfId="8248" priority="8180" stopIfTrue="1" operator="equal">
      <formula>"NO APLICA"</formula>
    </cfRule>
  </conditionalFormatting>
  <conditionalFormatting sqref="W2154:X2154">
    <cfRule type="cellIs" dxfId="8247" priority="8179" stopIfTrue="1" operator="equal">
      <formula>"NO APLICA"</formula>
    </cfRule>
  </conditionalFormatting>
  <conditionalFormatting sqref="Y2153">
    <cfRule type="cellIs" dxfId="8246" priority="8178" stopIfTrue="1" operator="equal">
      <formula>"NO APLICA"</formula>
    </cfRule>
  </conditionalFormatting>
  <conditionalFormatting sqref="Y2154:Y2157">
    <cfRule type="cellIs" dxfId="8245" priority="8177" stopIfTrue="1" operator="equal">
      <formula>"NO APLICA"</formula>
    </cfRule>
  </conditionalFormatting>
  <conditionalFormatting sqref="W2158:X2161">
    <cfRule type="cellIs" dxfId="8244" priority="8176" stopIfTrue="1" operator="equal">
      <formula>"NO APLICA"</formula>
    </cfRule>
  </conditionalFormatting>
  <conditionalFormatting sqref="W2158:X2158">
    <cfRule type="cellIs" dxfId="8243" priority="8175" stopIfTrue="1" operator="equal">
      <formula>"NO APLICA"</formula>
    </cfRule>
  </conditionalFormatting>
  <conditionalFormatting sqref="Y2158:Y2161">
    <cfRule type="cellIs" dxfId="8242" priority="8174" stopIfTrue="1" operator="equal">
      <formula>"NO APLICA"</formula>
    </cfRule>
  </conditionalFormatting>
  <conditionalFormatting sqref="T2167">
    <cfRule type="cellIs" dxfId="8241" priority="8172" operator="equal">
      <formula>"CUMPLE"</formula>
    </cfRule>
    <cfRule type="cellIs" dxfId="8240" priority="8173" operator="equal">
      <formula>"NO CUMPLE"</formula>
    </cfRule>
  </conditionalFormatting>
  <conditionalFormatting sqref="T2167:T2169">
    <cfRule type="cellIs" dxfId="8239" priority="8171" operator="equal">
      <formula>"VERIFICAR"</formula>
    </cfRule>
  </conditionalFormatting>
  <conditionalFormatting sqref="AD2153:AF2157">
    <cfRule type="cellIs" dxfId="8238" priority="8169" stopIfTrue="1" operator="equal">
      <formula>"NO"</formula>
    </cfRule>
    <cfRule type="cellIs" dxfId="8237" priority="8170" stopIfTrue="1" operator="equal">
      <formula>"SI"</formula>
    </cfRule>
  </conditionalFormatting>
  <conditionalFormatting sqref="AD2158:AF2161">
    <cfRule type="cellIs" dxfId="8236" priority="8167" stopIfTrue="1" operator="equal">
      <formula>"NO"</formula>
    </cfRule>
    <cfRule type="cellIs" dxfId="8235" priority="8168" stopIfTrue="1" operator="equal">
      <formula>"SI"</formula>
    </cfRule>
  </conditionalFormatting>
  <conditionalFormatting sqref="W2162:Y2162">
    <cfRule type="cellIs" dxfId="8234" priority="8165" stopIfTrue="1" operator="equal">
      <formula>"NO"</formula>
    </cfRule>
    <cfRule type="cellIs" dxfId="8233" priority="8166" stopIfTrue="1" operator="equal">
      <formula>"SI"</formula>
    </cfRule>
  </conditionalFormatting>
  <conditionalFormatting sqref="W2162:X2162">
    <cfRule type="cellIs" dxfId="8232" priority="8164" stopIfTrue="1" operator="equal">
      <formula>"NO APLICA"</formula>
    </cfRule>
  </conditionalFormatting>
  <conditionalFormatting sqref="Y2162">
    <cfRule type="cellIs" dxfId="8231" priority="8163" stopIfTrue="1" operator="equal">
      <formula>"NO APLICA"</formula>
    </cfRule>
  </conditionalFormatting>
  <conditionalFormatting sqref="AD2162:AF2162">
    <cfRule type="cellIs" dxfId="8230" priority="8161" stopIfTrue="1" operator="equal">
      <formula>"NO"</formula>
    </cfRule>
    <cfRule type="cellIs" dxfId="8229" priority="8162" stopIfTrue="1" operator="equal">
      <formula>"SI"</formula>
    </cfRule>
  </conditionalFormatting>
  <conditionalFormatting sqref="AE2167">
    <cfRule type="cellIs" dxfId="8228" priority="8158" stopIfTrue="1" operator="equal">
      <formula>"VERIFICAR"</formula>
    </cfRule>
    <cfRule type="cellIs" dxfId="8227" priority="8159" stopIfTrue="1" operator="equal">
      <formula>"NO CUMPLE"</formula>
    </cfRule>
    <cfRule type="cellIs" dxfId="8226" priority="8160" stopIfTrue="1" operator="equal">
      <formula>"CUMPLE"</formula>
    </cfRule>
  </conditionalFormatting>
  <conditionalFormatting sqref="AF2167">
    <cfRule type="cellIs" dxfId="8225" priority="8155" stopIfTrue="1" operator="equal">
      <formula>"VERIFICAR"</formula>
    </cfRule>
    <cfRule type="cellIs" dxfId="8224" priority="8156" stopIfTrue="1" operator="equal">
      <formula>"NO CUMPLE"</formula>
    </cfRule>
    <cfRule type="cellIs" dxfId="8223" priority="8157" stopIfTrue="1" operator="equal">
      <formula>"CUMPLE"</formula>
    </cfRule>
  </conditionalFormatting>
  <conditionalFormatting sqref="Y2170">
    <cfRule type="cellIs" dxfId="8222" priority="8154" operator="equal">
      <formula>"VERIFICAR CUADRO"</formula>
    </cfRule>
  </conditionalFormatting>
  <conditionalFormatting sqref="AC2171:AC2176">
    <cfRule type="cellIs" dxfId="8221" priority="8153" stopIfTrue="1" operator="greaterThan">
      <formula>0</formula>
    </cfRule>
  </conditionalFormatting>
  <conditionalFormatting sqref="AC2171:AC2176">
    <cfRule type="cellIs" dxfId="8220" priority="8152" stopIfTrue="1" operator="greaterThan">
      <formula>0</formula>
    </cfRule>
  </conditionalFormatting>
  <conditionalFormatting sqref="AD2171:AD2176">
    <cfRule type="containsText" dxfId="8219" priority="8150" stopIfTrue="1" operator="containsText" text="NO CUMPLE">
      <formula>NOT(ISERROR(SEARCH("NO CUMPLE",AD2171)))</formula>
    </cfRule>
    <cfRule type="containsText" dxfId="8218" priority="8151" stopIfTrue="1" operator="containsText" text="CUMPLE">
      <formula>NOT(ISERROR(SEARCH("CUMPLE",AD2171)))</formula>
    </cfRule>
  </conditionalFormatting>
  <conditionalFormatting sqref="Y2176">
    <cfRule type="containsText" dxfId="8217" priority="8148" stopIfTrue="1" operator="containsText" text="NO CUMPLE">
      <formula>NOT(ISERROR(SEARCH("NO CUMPLE",Y2176)))</formula>
    </cfRule>
    <cfRule type="containsText" dxfId="8216" priority="8149" stopIfTrue="1" operator="containsText" text="CUMPLE">
      <formula>NOT(ISERROR(SEARCH("CUMPLE",Y2176)))</formula>
    </cfRule>
  </conditionalFormatting>
  <conditionalFormatting sqref="AA2153:AA2162">
    <cfRule type="cellIs" dxfId="8215" priority="8146" stopIfTrue="1" operator="equal">
      <formula>"NO APLICA"</formula>
    </cfRule>
    <cfRule type="cellIs" dxfId="8214" priority="8147" stopIfTrue="1" operator="equal">
      <formula>"TERCIARIA"</formula>
    </cfRule>
  </conditionalFormatting>
  <conditionalFormatting sqref="AB2153:AB2162">
    <cfRule type="cellIs" dxfId="8213" priority="8144" stopIfTrue="1" operator="equal">
      <formula>"N/A"</formula>
    </cfRule>
    <cfRule type="cellIs" dxfId="8212" priority="8145" stopIfTrue="1" operator="equal">
      <formula>"NO"</formula>
    </cfRule>
  </conditionalFormatting>
  <conditionalFormatting sqref="M2183:M2192">
    <cfRule type="cellIs" dxfId="8211" priority="8143" stopIfTrue="1" operator="lessThan">
      <formula>0</formula>
    </cfRule>
  </conditionalFormatting>
  <conditionalFormatting sqref="C2185:D2191 B2184:B2191 F2185:I2191 C2184:I2184 B2192:O2192 B2183:R2183 Q2184:R2185 J2184:O2191 Q2186:Q2192 P2184:P2192">
    <cfRule type="cellIs" dxfId="8210" priority="8142" stopIfTrue="1" operator="greaterThan">
      <formula>0</formula>
    </cfRule>
  </conditionalFormatting>
  <conditionalFormatting sqref="C2185:D2191">
    <cfRule type="cellIs" dxfId="8209" priority="8141" stopIfTrue="1" operator="greaterThan">
      <formula>0</formula>
    </cfRule>
  </conditionalFormatting>
  <conditionalFormatting sqref="C2183:M2183 C2185:D2191 F2185:I2191 C2184:I2184 K2184:M2191 J2184:J2192 L2192:M2192">
    <cfRule type="cellIs" dxfId="8208" priority="8140" stopIfTrue="1" operator="greaterThan">
      <formula>0</formula>
    </cfRule>
  </conditionalFormatting>
  <conditionalFormatting sqref="M2183:M2192">
    <cfRule type="cellIs" dxfId="8207" priority="8139" stopIfTrue="1" operator="lessThan">
      <formula>0</formula>
    </cfRule>
  </conditionalFormatting>
  <conditionalFormatting sqref="J2184:J2192 L2184:O2192 C2183:O2183">
    <cfRule type="cellIs" dxfId="8206" priority="8138" stopIfTrue="1" operator="greaterThan">
      <formula>0</formula>
    </cfRule>
  </conditionalFormatting>
  <conditionalFormatting sqref="H2185:I2191 K2185:M2192">
    <cfRule type="cellIs" dxfId="8205" priority="8137" stopIfTrue="1" operator="greaterThan">
      <formula>0</formula>
    </cfRule>
  </conditionalFormatting>
  <conditionalFormatting sqref="I2184">
    <cfRule type="cellIs" dxfId="8204" priority="8136" stopIfTrue="1" operator="greaterThan">
      <formula>0</formula>
    </cfRule>
  </conditionalFormatting>
  <conditionalFormatting sqref="I2192">
    <cfRule type="cellIs" dxfId="8203" priority="8135" stopIfTrue="1" operator="greaterThan">
      <formula>0</formula>
    </cfRule>
  </conditionalFormatting>
  <conditionalFormatting sqref="E2185:E2191">
    <cfRule type="cellIs" dxfId="8202" priority="8134" stopIfTrue="1" operator="greaterThan">
      <formula>0</formula>
    </cfRule>
  </conditionalFormatting>
  <conditionalFormatting sqref="K2200:K2205">
    <cfRule type="containsText" dxfId="8201" priority="8132" stopIfTrue="1" operator="containsText" text="NO CUMPLE">
      <formula>NOT(ISERROR(SEARCH("NO CUMPLE",K2200)))</formula>
    </cfRule>
    <cfRule type="containsText" dxfId="8200" priority="8133" stopIfTrue="1" operator="containsText" text="CUMPLE">
      <formula>NOT(ISERROR(SEARCH("CUMPLE",K2200)))</formula>
    </cfRule>
  </conditionalFormatting>
  <conditionalFormatting sqref="K2206">
    <cfRule type="containsText" dxfId="8199" priority="8130" stopIfTrue="1" operator="containsText" text="NO CUMPLE">
      <formula>NOT(ISERROR(SEARCH("NO CUMPLE",K2206)))</formula>
    </cfRule>
    <cfRule type="containsText" dxfId="8198" priority="8131" stopIfTrue="1" operator="containsText" text="CUMPLE">
      <formula>NOT(ISERROR(SEARCH("CUMPLE",K2206)))</formula>
    </cfRule>
  </conditionalFormatting>
  <conditionalFormatting sqref="Q2199">
    <cfRule type="cellIs" dxfId="8197" priority="8128" operator="greaterThanOrEqual">
      <formula>NUMMINCONT</formula>
    </cfRule>
    <cfRule type="cellIs" dxfId="8196" priority="8129" operator="lessThan">
      <formula>NUMMINCONT</formula>
    </cfRule>
  </conditionalFormatting>
  <conditionalFormatting sqref="W2183:Y2191">
    <cfRule type="cellIs" dxfId="8195" priority="8126" stopIfTrue="1" operator="equal">
      <formula>"NO"</formula>
    </cfRule>
    <cfRule type="cellIs" dxfId="8194" priority="8127" stopIfTrue="1" operator="equal">
      <formula>"SI"</formula>
    </cfRule>
  </conditionalFormatting>
  <conditionalFormatting sqref="R2186">
    <cfRule type="cellIs" dxfId="8193" priority="8125" stopIfTrue="1" operator="greaterThan">
      <formula>0</formula>
    </cfRule>
  </conditionalFormatting>
  <conditionalFormatting sqref="R2187">
    <cfRule type="cellIs" dxfId="8192" priority="8124" stopIfTrue="1" operator="greaterThan">
      <formula>0</formula>
    </cfRule>
  </conditionalFormatting>
  <conditionalFormatting sqref="R2188">
    <cfRule type="cellIs" dxfId="8191" priority="8123" stopIfTrue="1" operator="greaterThan">
      <formula>0</formula>
    </cfRule>
  </conditionalFormatting>
  <conditionalFormatting sqref="R2189">
    <cfRule type="cellIs" dxfId="8190" priority="8122" stopIfTrue="1" operator="greaterThan">
      <formula>0</formula>
    </cfRule>
  </conditionalFormatting>
  <conditionalFormatting sqref="R2190">
    <cfRule type="cellIs" dxfId="8189" priority="8121" stopIfTrue="1" operator="greaterThan">
      <formula>0</formula>
    </cfRule>
  </conditionalFormatting>
  <conditionalFormatting sqref="R2191">
    <cfRule type="cellIs" dxfId="8188" priority="8120" stopIfTrue="1" operator="greaterThan">
      <formula>0</formula>
    </cfRule>
  </conditionalFormatting>
  <conditionalFormatting sqref="R2192">
    <cfRule type="cellIs" dxfId="8187" priority="8119" stopIfTrue="1" operator="greaterThan">
      <formula>0</formula>
    </cfRule>
  </conditionalFormatting>
  <conditionalFormatting sqref="W2183:X2183">
    <cfRule type="cellIs" dxfId="8186" priority="8118" stopIfTrue="1" operator="equal">
      <formula>"NO APLICA"</formula>
    </cfRule>
  </conditionalFormatting>
  <conditionalFormatting sqref="W2184:X2187">
    <cfRule type="cellIs" dxfId="8185" priority="8117" stopIfTrue="1" operator="equal">
      <formula>"NO APLICA"</formula>
    </cfRule>
  </conditionalFormatting>
  <conditionalFormatting sqref="W2184:X2184">
    <cfRule type="cellIs" dxfId="8184" priority="8116" stopIfTrue="1" operator="equal">
      <formula>"NO APLICA"</formula>
    </cfRule>
  </conditionalFormatting>
  <conditionalFormatting sqref="Y2183">
    <cfRule type="cellIs" dxfId="8183" priority="8115" stopIfTrue="1" operator="equal">
      <formula>"NO APLICA"</formula>
    </cfRule>
  </conditionalFormatting>
  <conditionalFormatting sqref="Y2184:Y2187">
    <cfRule type="cellIs" dxfId="8182" priority="8114" stopIfTrue="1" operator="equal">
      <formula>"NO APLICA"</formula>
    </cfRule>
  </conditionalFormatting>
  <conditionalFormatting sqref="W2188:X2191">
    <cfRule type="cellIs" dxfId="8181" priority="8113" stopIfTrue="1" operator="equal">
      <formula>"NO APLICA"</formula>
    </cfRule>
  </conditionalFormatting>
  <conditionalFormatting sqref="W2188:X2188">
    <cfRule type="cellIs" dxfId="8180" priority="8112" stopIfTrue="1" operator="equal">
      <formula>"NO APLICA"</formula>
    </cfRule>
  </conditionalFormatting>
  <conditionalFormatting sqref="Y2188:Y2191">
    <cfRule type="cellIs" dxfId="8179" priority="8111" stopIfTrue="1" operator="equal">
      <formula>"NO APLICA"</formula>
    </cfRule>
  </conditionalFormatting>
  <conditionalFormatting sqref="T2197">
    <cfRule type="cellIs" dxfId="8178" priority="8109" operator="equal">
      <formula>"CUMPLE"</formula>
    </cfRule>
    <cfRule type="cellIs" dxfId="8177" priority="8110" operator="equal">
      <formula>"NO CUMPLE"</formula>
    </cfRule>
  </conditionalFormatting>
  <conditionalFormatting sqref="T2197:T2199">
    <cfRule type="cellIs" dxfId="8176" priority="8108" operator="equal">
      <formula>"VERIFICAR"</formula>
    </cfRule>
  </conditionalFormatting>
  <conditionalFormatting sqref="AD2183:AF2187">
    <cfRule type="cellIs" dxfId="8175" priority="8106" stopIfTrue="1" operator="equal">
      <formula>"NO"</formula>
    </cfRule>
    <cfRule type="cellIs" dxfId="8174" priority="8107" stopIfTrue="1" operator="equal">
      <formula>"SI"</formula>
    </cfRule>
  </conditionalFormatting>
  <conditionalFormatting sqref="AD2188:AF2191">
    <cfRule type="cellIs" dxfId="8173" priority="8104" stopIfTrue="1" operator="equal">
      <formula>"NO"</formula>
    </cfRule>
    <cfRule type="cellIs" dxfId="8172" priority="8105" stopIfTrue="1" operator="equal">
      <formula>"SI"</formula>
    </cfRule>
  </conditionalFormatting>
  <conditionalFormatting sqref="W2192:Y2192">
    <cfRule type="cellIs" dxfId="8171" priority="8102" stopIfTrue="1" operator="equal">
      <formula>"NO"</formula>
    </cfRule>
    <cfRule type="cellIs" dxfId="8170" priority="8103" stopIfTrue="1" operator="equal">
      <formula>"SI"</formula>
    </cfRule>
  </conditionalFormatting>
  <conditionalFormatting sqref="W2192:X2192">
    <cfRule type="cellIs" dxfId="8169" priority="8101" stopIfTrue="1" operator="equal">
      <formula>"NO APLICA"</formula>
    </cfRule>
  </conditionalFormatting>
  <conditionalFormatting sqref="Y2192">
    <cfRule type="cellIs" dxfId="8168" priority="8100" stopIfTrue="1" operator="equal">
      <formula>"NO APLICA"</formula>
    </cfRule>
  </conditionalFormatting>
  <conditionalFormatting sqref="AD2192:AF2192">
    <cfRule type="cellIs" dxfId="8167" priority="8098" stopIfTrue="1" operator="equal">
      <formula>"NO"</formula>
    </cfRule>
    <cfRule type="cellIs" dxfId="8166" priority="8099" stopIfTrue="1" operator="equal">
      <formula>"SI"</formula>
    </cfRule>
  </conditionalFormatting>
  <conditionalFormatting sqref="AE2197">
    <cfRule type="cellIs" dxfId="8165" priority="8095" stopIfTrue="1" operator="equal">
      <formula>"VERIFICAR"</formula>
    </cfRule>
    <cfRule type="cellIs" dxfId="8164" priority="8096" stopIfTrue="1" operator="equal">
      <formula>"NO CUMPLE"</formula>
    </cfRule>
    <cfRule type="cellIs" dxfId="8163" priority="8097" stopIfTrue="1" operator="equal">
      <formula>"CUMPLE"</formula>
    </cfRule>
  </conditionalFormatting>
  <conditionalFormatting sqref="AF2197">
    <cfRule type="cellIs" dxfId="8162" priority="8092" stopIfTrue="1" operator="equal">
      <formula>"VERIFICAR"</formula>
    </cfRule>
    <cfRule type="cellIs" dxfId="8161" priority="8093" stopIfTrue="1" operator="equal">
      <formula>"NO CUMPLE"</formula>
    </cfRule>
    <cfRule type="cellIs" dxfId="8160" priority="8094" stopIfTrue="1" operator="equal">
      <formula>"CUMPLE"</formula>
    </cfRule>
  </conditionalFormatting>
  <conditionalFormatting sqref="Y2200">
    <cfRule type="cellIs" dxfId="8159" priority="8091" operator="equal">
      <formula>"VERIFICAR CUADRO"</formula>
    </cfRule>
  </conditionalFormatting>
  <conditionalFormatting sqref="AC2201:AC2206">
    <cfRule type="cellIs" dxfId="8158" priority="8090" stopIfTrue="1" operator="greaterThan">
      <formula>0</formula>
    </cfRule>
  </conditionalFormatting>
  <conditionalFormatting sqref="AC2201:AC2206">
    <cfRule type="cellIs" dxfId="8157" priority="8089" stopIfTrue="1" operator="greaterThan">
      <formula>0</formula>
    </cfRule>
  </conditionalFormatting>
  <conditionalFormatting sqref="AD2201:AD2206">
    <cfRule type="containsText" dxfId="8156" priority="8087" stopIfTrue="1" operator="containsText" text="NO CUMPLE">
      <formula>NOT(ISERROR(SEARCH("NO CUMPLE",AD2201)))</formula>
    </cfRule>
    <cfRule type="containsText" dxfId="8155" priority="8088" stopIfTrue="1" operator="containsText" text="CUMPLE">
      <formula>NOT(ISERROR(SEARCH("CUMPLE",AD2201)))</formula>
    </cfRule>
  </conditionalFormatting>
  <conditionalFormatting sqref="Y2206">
    <cfRule type="containsText" dxfId="8154" priority="8085" stopIfTrue="1" operator="containsText" text="NO CUMPLE">
      <formula>NOT(ISERROR(SEARCH("NO CUMPLE",Y2206)))</formula>
    </cfRule>
    <cfRule type="containsText" dxfId="8153" priority="8086" stopIfTrue="1" operator="containsText" text="CUMPLE">
      <formula>NOT(ISERROR(SEARCH("CUMPLE",Y2206)))</formula>
    </cfRule>
  </conditionalFormatting>
  <conditionalFormatting sqref="AA2183:AA2192">
    <cfRule type="cellIs" dxfId="8152" priority="8083" stopIfTrue="1" operator="equal">
      <formula>"NO APLICA"</formula>
    </cfRule>
    <cfRule type="cellIs" dxfId="8151" priority="8084" stopIfTrue="1" operator="equal">
      <formula>"TERCIARIA"</formula>
    </cfRule>
  </conditionalFormatting>
  <conditionalFormatting sqref="AB2183:AB2192">
    <cfRule type="cellIs" dxfId="8150" priority="8081" stopIfTrue="1" operator="equal">
      <formula>"N/A"</formula>
    </cfRule>
    <cfRule type="cellIs" dxfId="8149" priority="8082" stopIfTrue="1" operator="equal">
      <formula>"NO"</formula>
    </cfRule>
  </conditionalFormatting>
  <conditionalFormatting sqref="M2213:M2222">
    <cfRule type="cellIs" dxfId="8148" priority="8080" stopIfTrue="1" operator="lessThan">
      <formula>0</formula>
    </cfRule>
  </conditionalFormatting>
  <conditionalFormatting sqref="C2215:D2221 B2214:B2221 F2215:I2221 C2214:I2214 B2222:O2222 B2213:R2213 Q2214:R2215 J2214:O2221 Q2216:Q2222 P2214:P2222">
    <cfRule type="cellIs" dxfId="8147" priority="8079" stopIfTrue="1" operator="greaterThan">
      <formula>0</formula>
    </cfRule>
  </conditionalFormatting>
  <conditionalFormatting sqref="C2215:D2221">
    <cfRule type="cellIs" dxfId="8146" priority="8078" stopIfTrue="1" operator="greaterThan">
      <formula>0</formula>
    </cfRule>
  </conditionalFormatting>
  <conditionalFormatting sqref="C2213:M2213 C2215:D2221 F2215:I2221 C2214:I2214 K2214:M2221 J2214:J2222 L2222:M2222">
    <cfRule type="cellIs" dxfId="8145" priority="8077" stopIfTrue="1" operator="greaterThan">
      <formula>0</formula>
    </cfRule>
  </conditionalFormatting>
  <conditionalFormatting sqref="M2213:M2222">
    <cfRule type="cellIs" dxfId="8144" priority="8076" stopIfTrue="1" operator="lessThan">
      <formula>0</formula>
    </cfRule>
  </conditionalFormatting>
  <conditionalFormatting sqref="J2214:J2222 L2214:O2222 C2213:O2213">
    <cfRule type="cellIs" dxfId="8143" priority="8075" stopIfTrue="1" operator="greaterThan">
      <formula>0</formula>
    </cfRule>
  </conditionalFormatting>
  <conditionalFormatting sqref="H2215:I2221 K2215:M2222">
    <cfRule type="cellIs" dxfId="8142" priority="8074" stopIfTrue="1" operator="greaterThan">
      <formula>0</formula>
    </cfRule>
  </conditionalFormatting>
  <conditionalFormatting sqref="I2214">
    <cfRule type="cellIs" dxfId="8141" priority="8073" stopIfTrue="1" operator="greaterThan">
      <formula>0</formula>
    </cfRule>
  </conditionalFormatting>
  <conditionalFormatting sqref="I2222">
    <cfRule type="cellIs" dxfId="8140" priority="8072" stopIfTrue="1" operator="greaterThan">
      <formula>0</formula>
    </cfRule>
  </conditionalFormatting>
  <conditionalFormatting sqref="E2215:E2221">
    <cfRule type="cellIs" dxfId="8139" priority="8071" stopIfTrue="1" operator="greaterThan">
      <formula>0</formula>
    </cfRule>
  </conditionalFormatting>
  <conditionalFormatting sqref="K2230:K2235">
    <cfRule type="containsText" dxfId="8138" priority="8069" stopIfTrue="1" operator="containsText" text="NO CUMPLE">
      <formula>NOT(ISERROR(SEARCH("NO CUMPLE",K2230)))</formula>
    </cfRule>
    <cfRule type="containsText" dxfId="8137" priority="8070" stopIfTrue="1" operator="containsText" text="CUMPLE">
      <formula>NOT(ISERROR(SEARCH("CUMPLE",K2230)))</formula>
    </cfRule>
  </conditionalFormatting>
  <conditionalFormatting sqref="K2236">
    <cfRule type="containsText" dxfId="8136" priority="8067" stopIfTrue="1" operator="containsText" text="NO CUMPLE">
      <formula>NOT(ISERROR(SEARCH("NO CUMPLE",K2236)))</formula>
    </cfRule>
    <cfRule type="containsText" dxfId="8135" priority="8068" stopIfTrue="1" operator="containsText" text="CUMPLE">
      <formula>NOT(ISERROR(SEARCH("CUMPLE",K2236)))</formula>
    </cfRule>
  </conditionalFormatting>
  <conditionalFormatting sqref="Q2229">
    <cfRule type="cellIs" dxfId="8134" priority="8065" operator="greaterThanOrEqual">
      <formula>NUMMINCONT</formula>
    </cfRule>
    <cfRule type="cellIs" dxfId="8133" priority="8066" operator="lessThan">
      <formula>NUMMINCONT</formula>
    </cfRule>
  </conditionalFormatting>
  <conditionalFormatting sqref="W2213:Y2221">
    <cfRule type="cellIs" dxfId="8132" priority="8063" stopIfTrue="1" operator="equal">
      <formula>"NO"</formula>
    </cfRule>
    <cfRule type="cellIs" dxfId="8131" priority="8064" stopIfTrue="1" operator="equal">
      <formula>"SI"</formula>
    </cfRule>
  </conditionalFormatting>
  <conditionalFormatting sqref="R2216">
    <cfRule type="cellIs" dxfId="8130" priority="8062" stopIfTrue="1" operator="greaterThan">
      <formula>0</formula>
    </cfRule>
  </conditionalFormatting>
  <conditionalFormatting sqref="R2217">
    <cfRule type="cellIs" dxfId="8129" priority="8061" stopIfTrue="1" operator="greaterThan">
      <formula>0</formula>
    </cfRule>
  </conditionalFormatting>
  <conditionalFormatting sqref="R2218">
    <cfRule type="cellIs" dxfId="8128" priority="8060" stopIfTrue="1" operator="greaterThan">
      <formula>0</formula>
    </cfRule>
  </conditionalFormatting>
  <conditionalFormatting sqref="R2219">
    <cfRule type="cellIs" dxfId="8127" priority="8059" stopIfTrue="1" operator="greaterThan">
      <formula>0</formula>
    </cfRule>
  </conditionalFormatting>
  <conditionalFormatting sqref="R2220">
    <cfRule type="cellIs" dxfId="8126" priority="8058" stopIfTrue="1" operator="greaterThan">
      <formula>0</formula>
    </cfRule>
  </conditionalFormatting>
  <conditionalFormatting sqref="R2221">
    <cfRule type="cellIs" dxfId="8125" priority="8057" stopIfTrue="1" operator="greaterThan">
      <formula>0</formula>
    </cfRule>
  </conditionalFormatting>
  <conditionalFormatting sqref="R2222">
    <cfRule type="cellIs" dxfId="8124" priority="8056" stopIfTrue="1" operator="greaterThan">
      <formula>0</formula>
    </cfRule>
  </conditionalFormatting>
  <conditionalFormatting sqref="W2213:X2213">
    <cfRule type="cellIs" dxfId="8123" priority="8055" stopIfTrue="1" operator="equal">
      <formula>"NO APLICA"</formula>
    </cfRule>
  </conditionalFormatting>
  <conditionalFormatting sqref="W2214:X2217">
    <cfRule type="cellIs" dxfId="8122" priority="8054" stopIfTrue="1" operator="equal">
      <formula>"NO APLICA"</formula>
    </cfRule>
  </conditionalFormatting>
  <conditionalFormatting sqref="W2214:X2214">
    <cfRule type="cellIs" dxfId="8121" priority="8053" stopIfTrue="1" operator="equal">
      <formula>"NO APLICA"</formula>
    </cfRule>
  </conditionalFormatting>
  <conditionalFormatting sqref="Y2213">
    <cfRule type="cellIs" dxfId="8120" priority="8052" stopIfTrue="1" operator="equal">
      <formula>"NO APLICA"</formula>
    </cfRule>
  </conditionalFormatting>
  <conditionalFormatting sqref="Y2214:Y2217">
    <cfRule type="cellIs" dxfId="8119" priority="8051" stopIfTrue="1" operator="equal">
      <formula>"NO APLICA"</formula>
    </cfRule>
  </conditionalFormatting>
  <conditionalFormatting sqref="W2218:X2221">
    <cfRule type="cellIs" dxfId="8118" priority="8050" stopIfTrue="1" operator="equal">
      <formula>"NO APLICA"</formula>
    </cfRule>
  </conditionalFormatting>
  <conditionalFormatting sqref="W2218:X2218">
    <cfRule type="cellIs" dxfId="8117" priority="8049" stopIfTrue="1" operator="equal">
      <formula>"NO APLICA"</formula>
    </cfRule>
  </conditionalFormatting>
  <conditionalFormatting sqref="Y2218:Y2221">
    <cfRule type="cellIs" dxfId="8116" priority="8048" stopIfTrue="1" operator="equal">
      <formula>"NO APLICA"</formula>
    </cfRule>
  </conditionalFormatting>
  <conditionalFormatting sqref="T2227">
    <cfRule type="cellIs" dxfId="8115" priority="8046" operator="equal">
      <formula>"CUMPLE"</formula>
    </cfRule>
    <cfRule type="cellIs" dxfId="8114" priority="8047" operator="equal">
      <formula>"NO CUMPLE"</formula>
    </cfRule>
  </conditionalFormatting>
  <conditionalFormatting sqref="T2227:T2229">
    <cfRule type="cellIs" dxfId="8113" priority="8045" operator="equal">
      <formula>"VERIFICAR"</formula>
    </cfRule>
  </conditionalFormatting>
  <conditionalFormatting sqref="AD2213:AF2217">
    <cfRule type="cellIs" dxfId="8112" priority="8043" stopIfTrue="1" operator="equal">
      <formula>"NO"</formula>
    </cfRule>
    <cfRule type="cellIs" dxfId="8111" priority="8044" stopIfTrue="1" operator="equal">
      <formula>"SI"</formula>
    </cfRule>
  </conditionalFormatting>
  <conditionalFormatting sqref="AD2218:AF2221">
    <cfRule type="cellIs" dxfId="8110" priority="8041" stopIfTrue="1" operator="equal">
      <formula>"NO"</formula>
    </cfRule>
    <cfRule type="cellIs" dxfId="8109" priority="8042" stopIfTrue="1" operator="equal">
      <formula>"SI"</formula>
    </cfRule>
  </conditionalFormatting>
  <conditionalFormatting sqref="W2222:Y2222">
    <cfRule type="cellIs" dxfId="8108" priority="8039" stopIfTrue="1" operator="equal">
      <formula>"NO"</formula>
    </cfRule>
    <cfRule type="cellIs" dxfId="8107" priority="8040" stopIfTrue="1" operator="equal">
      <formula>"SI"</formula>
    </cfRule>
  </conditionalFormatting>
  <conditionalFormatting sqref="W2222:X2222">
    <cfRule type="cellIs" dxfId="8106" priority="8038" stopIfTrue="1" operator="equal">
      <formula>"NO APLICA"</formula>
    </cfRule>
  </conditionalFormatting>
  <conditionalFormatting sqref="Y2222">
    <cfRule type="cellIs" dxfId="8105" priority="8037" stopIfTrue="1" operator="equal">
      <formula>"NO APLICA"</formula>
    </cfRule>
  </conditionalFormatting>
  <conditionalFormatting sqref="AD2222:AF2222">
    <cfRule type="cellIs" dxfId="8104" priority="8035" stopIfTrue="1" operator="equal">
      <formula>"NO"</formula>
    </cfRule>
    <cfRule type="cellIs" dxfId="8103" priority="8036" stopIfTrue="1" operator="equal">
      <formula>"SI"</formula>
    </cfRule>
  </conditionalFormatting>
  <conditionalFormatting sqref="AE2227">
    <cfRule type="cellIs" dxfId="8102" priority="8032" stopIfTrue="1" operator="equal">
      <formula>"VERIFICAR"</formula>
    </cfRule>
    <cfRule type="cellIs" dxfId="8101" priority="8033" stopIfTrue="1" operator="equal">
      <formula>"NO CUMPLE"</formula>
    </cfRule>
    <cfRule type="cellIs" dxfId="8100" priority="8034" stopIfTrue="1" operator="equal">
      <formula>"CUMPLE"</formula>
    </cfRule>
  </conditionalFormatting>
  <conditionalFormatting sqref="AF2227">
    <cfRule type="cellIs" dxfId="8099" priority="8029" stopIfTrue="1" operator="equal">
      <formula>"VERIFICAR"</formula>
    </cfRule>
    <cfRule type="cellIs" dxfId="8098" priority="8030" stopIfTrue="1" operator="equal">
      <formula>"NO CUMPLE"</formula>
    </cfRule>
    <cfRule type="cellIs" dxfId="8097" priority="8031" stopIfTrue="1" operator="equal">
      <formula>"CUMPLE"</formula>
    </cfRule>
  </conditionalFormatting>
  <conditionalFormatting sqref="Y2230">
    <cfRule type="cellIs" dxfId="8096" priority="8028" operator="equal">
      <formula>"VERIFICAR CUADRO"</formula>
    </cfRule>
  </conditionalFormatting>
  <conditionalFormatting sqref="AC2231:AC2236">
    <cfRule type="cellIs" dxfId="8095" priority="8027" stopIfTrue="1" operator="greaterThan">
      <formula>0</formula>
    </cfRule>
  </conditionalFormatting>
  <conditionalFormatting sqref="AC2231:AC2236">
    <cfRule type="cellIs" dxfId="8094" priority="8026" stopIfTrue="1" operator="greaterThan">
      <formula>0</formula>
    </cfRule>
  </conditionalFormatting>
  <conditionalFormatting sqref="AD2231:AD2236">
    <cfRule type="containsText" dxfId="8093" priority="8024" stopIfTrue="1" operator="containsText" text="NO CUMPLE">
      <formula>NOT(ISERROR(SEARCH("NO CUMPLE",AD2231)))</formula>
    </cfRule>
    <cfRule type="containsText" dxfId="8092" priority="8025" stopIfTrue="1" operator="containsText" text="CUMPLE">
      <formula>NOT(ISERROR(SEARCH("CUMPLE",AD2231)))</formula>
    </cfRule>
  </conditionalFormatting>
  <conditionalFormatting sqref="Y2236">
    <cfRule type="containsText" dxfId="8091" priority="8022" stopIfTrue="1" operator="containsText" text="NO CUMPLE">
      <formula>NOT(ISERROR(SEARCH("NO CUMPLE",Y2236)))</formula>
    </cfRule>
    <cfRule type="containsText" dxfId="8090" priority="8023" stopIfTrue="1" operator="containsText" text="CUMPLE">
      <formula>NOT(ISERROR(SEARCH("CUMPLE",Y2236)))</formula>
    </cfRule>
  </conditionalFormatting>
  <conditionalFormatting sqref="AA2213:AA2222">
    <cfRule type="cellIs" dxfId="8089" priority="8020" stopIfTrue="1" operator="equal">
      <formula>"NO APLICA"</formula>
    </cfRule>
    <cfRule type="cellIs" dxfId="8088" priority="8021" stopIfTrue="1" operator="equal">
      <formula>"TERCIARIA"</formula>
    </cfRule>
  </conditionalFormatting>
  <conditionalFormatting sqref="AB2213:AB2222">
    <cfRule type="cellIs" dxfId="8087" priority="8018" stopIfTrue="1" operator="equal">
      <formula>"N/A"</formula>
    </cfRule>
    <cfRule type="cellIs" dxfId="8086" priority="8019" stopIfTrue="1" operator="equal">
      <formula>"NO"</formula>
    </cfRule>
  </conditionalFormatting>
  <conditionalFormatting sqref="M2243:M2252">
    <cfRule type="cellIs" dxfId="8085" priority="8017" stopIfTrue="1" operator="lessThan">
      <formula>0</formula>
    </cfRule>
  </conditionalFormatting>
  <conditionalFormatting sqref="C2245:D2251 B2244:B2251 F2245:I2251 C2244:I2244 B2252:O2252 B2243:R2243 Q2244:R2245 J2244:O2251 Q2246:Q2252 P2244:P2252">
    <cfRule type="cellIs" dxfId="8084" priority="8016" stopIfTrue="1" operator="greaterThan">
      <formula>0</formula>
    </cfRule>
  </conditionalFormatting>
  <conditionalFormatting sqref="C2245:D2251">
    <cfRule type="cellIs" dxfId="8083" priority="8015" stopIfTrue="1" operator="greaterThan">
      <formula>0</formula>
    </cfRule>
  </conditionalFormatting>
  <conditionalFormatting sqref="C2243:M2243 C2245:D2251 F2245:I2251 C2244:I2244 K2244:M2251 J2244:J2252 L2252:M2252">
    <cfRule type="cellIs" dxfId="8082" priority="8014" stopIfTrue="1" operator="greaterThan">
      <formula>0</formula>
    </cfRule>
  </conditionalFormatting>
  <conditionalFormatting sqref="M2243:M2252">
    <cfRule type="cellIs" dxfId="8081" priority="8013" stopIfTrue="1" operator="lessThan">
      <formula>0</formula>
    </cfRule>
  </conditionalFormatting>
  <conditionalFormatting sqref="J2244:J2252 L2244:O2252 C2243:O2243">
    <cfRule type="cellIs" dxfId="8080" priority="8012" stopIfTrue="1" operator="greaterThan">
      <formula>0</formula>
    </cfRule>
  </conditionalFormatting>
  <conditionalFormatting sqref="H2245:I2251 K2245:M2252">
    <cfRule type="cellIs" dxfId="8079" priority="8011" stopIfTrue="1" operator="greaterThan">
      <formula>0</formula>
    </cfRule>
  </conditionalFormatting>
  <conditionalFormatting sqref="I2244">
    <cfRule type="cellIs" dxfId="8078" priority="8010" stopIfTrue="1" operator="greaterThan">
      <formula>0</formula>
    </cfRule>
  </conditionalFormatting>
  <conditionalFormatting sqref="I2252">
    <cfRule type="cellIs" dxfId="8077" priority="8009" stopIfTrue="1" operator="greaterThan">
      <formula>0</formula>
    </cfRule>
  </conditionalFormatting>
  <conditionalFormatting sqref="E2245:E2251">
    <cfRule type="cellIs" dxfId="8076" priority="8008" stopIfTrue="1" operator="greaterThan">
      <formula>0</formula>
    </cfRule>
  </conditionalFormatting>
  <conditionalFormatting sqref="K2260:K2265">
    <cfRule type="containsText" dxfId="8075" priority="8006" stopIfTrue="1" operator="containsText" text="NO CUMPLE">
      <formula>NOT(ISERROR(SEARCH("NO CUMPLE",K2260)))</formula>
    </cfRule>
    <cfRule type="containsText" dxfId="8074" priority="8007" stopIfTrue="1" operator="containsText" text="CUMPLE">
      <formula>NOT(ISERROR(SEARCH("CUMPLE",K2260)))</formula>
    </cfRule>
  </conditionalFormatting>
  <conditionalFormatting sqref="K2266">
    <cfRule type="containsText" dxfId="8073" priority="8004" stopIfTrue="1" operator="containsText" text="NO CUMPLE">
      <formula>NOT(ISERROR(SEARCH("NO CUMPLE",K2266)))</formula>
    </cfRule>
    <cfRule type="containsText" dxfId="8072" priority="8005" stopIfTrue="1" operator="containsText" text="CUMPLE">
      <formula>NOT(ISERROR(SEARCH("CUMPLE",K2266)))</formula>
    </cfRule>
  </conditionalFormatting>
  <conditionalFormatting sqref="Q2259">
    <cfRule type="cellIs" dxfId="8071" priority="8002" operator="greaterThanOrEqual">
      <formula>NUMMINCONT</formula>
    </cfRule>
    <cfRule type="cellIs" dxfId="8070" priority="8003" operator="lessThan">
      <formula>NUMMINCONT</formula>
    </cfRule>
  </conditionalFormatting>
  <conditionalFormatting sqref="W2243:Y2251">
    <cfRule type="cellIs" dxfId="8069" priority="8000" stopIfTrue="1" operator="equal">
      <formula>"NO"</formula>
    </cfRule>
    <cfRule type="cellIs" dxfId="8068" priority="8001" stopIfTrue="1" operator="equal">
      <formula>"SI"</formula>
    </cfRule>
  </conditionalFormatting>
  <conditionalFormatting sqref="R2246">
    <cfRule type="cellIs" dxfId="8067" priority="7999" stopIfTrue="1" operator="greaterThan">
      <formula>0</formula>
    </cfRule>
  </conditionalFormatting>
  <conditionalFormatting sqref="R2247">
    <cfRule type="cellIs" dxfId="8066" priority="7998" stopIfTrue="1" operator="greaterThan">
      <formula>0</formula>
    </cfRule>
  </conditionalFormatting>
  <conditionalFormatting sqref="R2248">
    <cfRule type="cellIs" dxfId="8065" priority="7997" stopIfTrue="1" operator="greaterThan">
      <formula>0</formula>
    </cfRule>
  </conditionalFormatting>
  <conditionalFormatting sqref="R2249">
    <cfRule type="cellIs" dxfId="8064" priority="7996" stopIfTrue="1" operator="greaterThan">
      <formula>0</formula>
    </cfRule>
  </conditionalFormatting>
  <conditionalFormatting sqref="R2250">
    <cfRule type="cellIs" dxfId="8063" priority="7995" stopIfTrue="1" operator="greaterThan">
      <formula>0</formula>
    </cfRule>
  </conditionalFormatting>
  <conditionalFormatting sqref="R2251">
    <cfRule type="cellIs" dxfId="8062" priority="7994" stopIfTrue="1" operator="greaterThan">
      <formula>0</formula>
    </cfRule>
  </conditionalFormatting>
  <conditionalFormatting sqref="R2252">
    <cfRule type="cellIs" dxfId="8061" priority="7993" stopIfTrue="1" operator="greaterThan">
      <formula>0</formula>
    </cfRule>
  </conditionalFormatting>
  <conditionalFormatting sqref="W2243:X2243">
    <cfRule type="cellIs" dxfId="8060" priority="7992" stopIfTrue="1" operator="equal">
      <formula>"NO APLICA"</formula>
    </cfRule>
  </conditionalFormatting>
  <conditionalFormatting sqref="W2244:X2247">
    <cfRule type="cellIs" dxfId="8059" priority="7991" stopIfTrue="1" operator="equal">
      <formula>"NO APLICA"</formula>
    </cfRule>
  </conditionalFormatting>
  <conditionalFormatting sqref="W2244:X2244">
    <cfRule type="cellIs" dxfId="8058" priority="7990" stopIfTrue="1" operator="equal">
      <formula>"NO APLICA"</formula>
    </cfRule>
  </conditionalFormatting>
  <conditionalFormatting sqref="Y2243">
    <cfRule type="cellIs" dxfId="8057" priority="7989" stopIfTrue="1" operator="equal">
      <formula>"NO APLICA"</formula>
    </cfRule>
  </conditionalFormatting>
  <conditionalFormatting sqref="Y2244:Y2247">
    <cfRule type="cellIs" dxfId="8056" priority="7988" stopIfTrue="1" operator="equal">
      <formula>"NO APLICA"</formula>
    </cfRule>
  </conditionalFormatting>
  <conditionalFormatting sqref="W2248:X2251">
    <cfRule type="cellIs" dxfId="8055" priority="7987" stopIfTrue="1" operator="equal">
      <formula>"NO APLICA"</formula>
    </cfRule>
  </conditionalFormatting>
  <conditionalFormatting sqref="W2248:X2248">
    <cfRule type="cellIs" dxfId="8054" priority="7986" stopIfTrue="1" operator="equal">
      <formula>"NO APLICA"</formula>
    </cfRule>
  </conditionalFormatting>
  <conditionalFormatting sqref="Y2248:Y2251">
    <cfRule type="cellIs" dxfId="8053" priority="7985" stopIfTrue="1" operator="equal">
      <formula>"NO APLICA"</formula>
    </cfRule>
  </conditionalFormatting>
  <conditionalFormatting sqref="T2257">
    <cfRule type="cellIs" dxfId="8052" priority="7983" operator="equal">
      <formula>"CUMPLE"</formula>
    </cfRule>
    <cfRule type="cellIs" dxfId="8051" priority="7984" operator="equal">
      <formula>"NO CUMPLE"</formula>
    </cfRule>
  </conditionalFormatting>
  <conditionalFormatting sqref="T2257:T2259">
    <cfRule type="cellIs" dxfId="8050" priority="7982" operator="equal">
      <formula>"VERIFICAR"</formula>
    </cfRule>
  </conditionalFormatting>
  <conditionalFormatting sqref="AD2243:AF2247">
    <cfRule type="cellIs" dxfId="8049" priority="7980" stopIfTrue="1" operator="equal">
      <formula>"NO"</formula>
    </cfRule>
    <cfRule type="cellIs" dxfId="8048" priority="7981" stopIfTrue="1" operator="equal">
      <formula>"SI"</formula>
    </cfRule>
  </conditionalFormatting>
  <conditionalFormatting sqref="AD2248:AF2251">
    <cfRule type="cellIs" dxfId="8047" priority="7978" stopIfTrue="1" operator="equal">
      <formula>"NO"</formula>
    </cfRule>
    <cfRule type="cellIs" dxfId="8046" priority="7979" stopIfTrue="1" operator="equal">
      <formula>"SI"</formula>
    </cfRule>
  </conditionalFormatting>
  <conditionalFormatting sqref="W2252:Y2252">
    <cfRule type="cellIs" dxfId="8045" priority="7976" stopIfTrue="1" operator="equal">
      <formula>"NO"</formula>
    </cfRule>
    <cfRule type="cellIs" dxfId="8044" priority="7977" stopIfTrue="1" operator="equal">
      <formula>"SI"</formula>
    </cfRule>
  </conditionalFormatting>
  <conditionalFormatting sqref="W2252:X2252">
    <cfRule type="cellIs" dxfId="8043" priority="7975" stopIfTrue="1" operator="equal">
      <formula>"NO APLICA"</formula>
    </cfRule>
  </conditionalFormatting>
  <conditionalFormatting sqref="Y2252">
    <cfRule type="cellIs" dxfId="8042" priority="7974" stopIfTrue="1" operator="equal">
      <formula>"NO APLICA"</formula>
    </cfRule>
  </conditionalFormatting>
  <conditionalFormatting sqref="AD2252:AF2252">
    <cfRule type="cellIs" dxfId="8041" priority="7972" stopIfTrue="1" operator="equal">
      <formula>"NO"</formula>
    </cfRule>
    <cfRule type="cellIs" dxfId="8040" priority="7973" stopIfTrue="1" operator="equal">
      <formula>"SI"</formula>
    </cfRule>
  </conditionalFormatting>
  <conditionalFormatting sqref="AE2257">
    <cfRule type="cellIs" dxfId="8039" priority="7969" stopIfTrue="1" operator="equal">
      <formula>"VERIFICAR"</formula>
    </cfRule>
    <cfRule type="cellIs" dxfId="8038" priority="7970" stopIfTrue="1" operator="equal">
      <formula>"NO CUMPLE"</formula>
    </cfRule>
    <cfRule type="cellIs" dxfId="8037" priority="7971" stopIfTrue="1" operator="equal">
      <formula>"CUMPLE"</formula>
    </cfRule>
  </conditionalFormatting>
  <conditionalFormatting sqref="AF2257">
    <cfRule type="cellIs" dxfId="8036" priority="7966" stopIfTrue="1" operator="equal">
      <formula>"VERIFICAR"</formula>
    </cfRule>
    <cfRule type="cellIs" dxfId="8035" priority="7967" stopIfTrue="1" operator="equal">
      <formula>"NO CUMPLE"</formula>
    </cfRule>
    <cfRule type="cellIs" dxfId="8034" priority="7968" stopIfTrue="1" operator="equal">
      <formula>"CUMPLE"</formula>
    </cfRule>
  </conditionalFormatting>
  <conditionalFormatting sqref="Y2260">
    <cfRule type="cellIs" dxfId="8033" priority="7965" operator="equal">
      <formula>"VERIFICAR CUADRO"</formula>
    </cfRule>
  </conditionalFormatting>
  <conditionalFormatting sqref="AC2261:AC2266">
    <cfRule type="cellIs" dxfId="8032" priority="7964" stopIfTrue="1" operator="greaterThan">
      <formula>0</formula>
    </cfRule>
  </conditionalFormatting>
  <conditionalFormatting sqref="AC2261:AC2266">
    <cfRule type="cellIs" dxfId="8031" priority="7963" stopIfTrue="1" operator="greaterThan">
      <formula>0</formula>
    </cfRule>
  </conditionalFormatting>
  <conditionalFormatting sqref="AD2261:AD2266">
    <cfRule type="containsText" dxfId="8030" priority="7961" stopIfTrue="1" operator="containsText" text="NO CUMPLE">
      <formula>NOT(ISERROR(SEARCH("NO CUMPLE",AD2261)))</formula>
    </cfRule>
    <cfRule type="containsText" dxfId="8029" priority="7962" stopIfTrue="1" operator="containsText" text="CUMPLE">
      <formula>NOT(ISERROR(SEARCH("CUMPLE",AD2261)))</formula>
    </cfRule>
  </conditionalFormatting>
  <conditionalFormatting sqref="Y2266">
    <cfRule type="containsText" dxfId="8028" priority="7959" stopIfTrue="1" operator="containsText" text="NO CUMPLE">
      <formula>NOT(ISERROR(SEARCH("NO CUMPLE",Y2266)))</formula>
    </cfRule>
    <cfRule type="containsText" dxfId="8027" priority="7960" stopIfTrue="1" operator="containsText" text="CUMPLE">
      <formula>NOT(ISERROR(SEARCH("CUMPLE",Y2266)))</formula>
    </cfRule>
  </conditionalFormatting>
  <conditionalFormatting sqref="AA2243:AA2252">
    <cfRule type="cellIs" dxfId="8026" priority="7957" stopIfTrue="1" operator="equal">
      <formula>"NO APLICA"</formula>
    </cfRule>
    <cfRule type="cellIs" dxfId="8025" priority="7958" stopIfTrue="1" operator="equal">
      <formula>"TERCIARIA"</formula>
    </cfRule>
  </conditionalFormatting>
  <conditionalFormatting sqref="AB2243:AB2252">
    <cfRule type="cellIs" dxfId="8024" priority="7955" stopIfTrue="1" operator="equal">
      <formula>"N/A"</formula>
    </cfRule>
    <cfRule type="cellIs" dxfId="8023" priority="7956" stopIfTrue="1" operator="equal">
      <formula>"NO"</formula>
    </cfRule>
  </conditionalFormatting>
  <conditionalFormatting sqref="M2273:M2282">
    <cfRule type="cellIs" dxfId="8022" priority="7954" stopIfTrue="1" operator="lessThan">
      <formula>0</formula>
    </cfRule>
  </conditionalFormatting>
  <conditionalFormatting sqref="C2275:D2281 B2274:B2281 F2275:I2281 C2274:I2274 B2282:O2282 B2273:R2273 Q2274:R2275 J2274:O2281 Q2276:Q2282 P2274:P2282">
    <cfRule type="cellIs" dxfId="8021" priority="7953" stopIfTrue="1" operator="greaterThan">
      <formula>0</formula>
    </cfRule>
  </conditionalFormatting>
  <conditionalFormatting sqref="C2275:D2281">
    <cfRule type="cellIs" dxfId="8020" priority="7952" stopIfTrue="1" operator="greaterThan">
      <formula>0</formula>
    </cfRule>
  </conditionalFormatting>
  <conditionalFormatting sqref="C2273:M2273 C2275:D2281 F2275:I2281 C2274:I2274 K2274:M2281 J2274:J2282 L2282:M2282">
    <cfRule type="cellIs" dxfId="8019" priority="7951" stopIfTrue="1" operator="greaterThan">
      <formula>0</formula>
    </cfRule>
  </conditionalFormatting>
  <conditionalFormatting sqref="M2273:M2282">
    <cfRule type="cellIs" dxfId="8018" priority="7950" stopIfTrue="1" operator="lessThan">
      <formula>0</formula>
    </cfRule>
  </conditionalFormatting>
  <conditionalFormatting sqref="J2274:J2282 L2274:O2282 C2273:O2273">
    <cfRule type="cellIs" dxfId="8017" priority="7949" stopIfTrue="1" operator="greaterThan">
      <formula>0</formula>
    </cfRule>
  </conditionalFormatting>
  <conditionalFormatting sqref="H2275:I2281 K2275:M2282">
    <cfRule type="cellIs" dxfId="8016" priority="7948" stopIfTrue="1" operator="greaterThan">
      <formula>0</formula>
    </cfRule>
  </conditionalFormatting>
  <conditionalFormatting sqref="I2274">
    <cfRule type="cellIs" dxfId="8015" priority="7947" stopIfTrue="1" operator="greaterThan">
      <formula>0</formula>
    </cfRule>
  </conditionalFormatting>
  <conditionalFormatting sqref="I2282">
    <cfRule type="cellIs" dxfId="8014" priority="7946" stopIfTrue="1" operator="greaterThan">
      <formula>0</formula>
    </cfRule>
  </conditionalFormatting>
  <conditionalFormatting sqref="E2275:E2281">
    <cfRule type="cellIs" dxfId="8013" priority="7945" stopIfTrue="1" operator="greaterThan">
      <formula>0</formula>
    </cfRule>
  </conditionalFormatting>
  <conditionalFormatting sqref="K2290:K2295">
    <cfRule type="containsText" dxfId="8012" priority="7943" stopIfTrue="1" operator="containsText" text="NO CUMPLE">
      <formula>NOT(ISERROR(SEARCH("NO CUMPLE",K2290)))</formula>
    </cfRule>
    <cfRule type="containsText" dxfId="8011" priority="7944" stopIfTrue="1" operator="containsText" text="CUMPLE">
      <formula>NOT(ISERROR(SEARCH("CUMPLE",K2290)))</formula>
    </cfRule>
  </conditionalFormatting>
  <conditionalFormatting sqref="K2296">
    <cfRule type="containsText" dxfId="8010" priority="7941" stopIfTrue="1" operator="containsText" text="NO CUMPLE">
      <formula>NOT(ISERROR(SEARCH("NO CUMPLE",K2296)))</formula>
    </cfRule>
    <cfRule type="containsText" dxfId="8009" priority="7942" stopIfTrue="1" operator="containsText" text="CUMPLE">
      <formula>NOT(ISERROR(SEARCH("CUMPLE",K2296)))</formula>
    </cfRule>
  </conditionalFormatting>
  <conditionalFormatting sqref="Q2289">
    <cfRule type="cellIs" dxfId="8008" priority="7939" operator="greaterThanOrEqual">
      <formula>NUMMINCONT</formula>
    </cfRule>
    <cfRule type="cellIs" dxfId="8007" priority="7940" operator="lessThan">
      <formula>NUMMINCONT</formula>
    </cfRule>
  </conditionalFormatting>
  <conditionalFormatting sqref="W2273:Y2281">
    <cfRule type="cellIs" dxfId="8006" priority="7937" stopIfTrue="1" operator="equal">
      <formula>"NO"</formula>
    </cfRule>
    <cfRule type="cellIs" dxfId="8005" priority="7938" stopIfTrue="1" operator="equal">
      <formula>"SI"</formula>
    </cfRule>
  </conditionalFormatting>
  <conditionalFormatting sqref="R2276">
    <cfRule type="cellIs" dxfId="8004" priority="7936" stopIfTrue="1" operator="greaterThan">
      <formula>0</formula>
    </cfRule>
  </conditionalFormatting>
  <conditionalFormatting sqref="R2277">
    <cfRule type="cellIs" dxfId="8003" priority="7935" stopIfTrue="1" operator="greaterThan">
      <formula>0</formula>
    </cfRule>
  </conditionalFormatting>
  <conditionalFormatting sqref="R2278">
    <cfRule type="cellIs" dxfId="8002" priority="7934" stopIfTrue="1" operator="greaterThan">
      <formula>0</formula>
    </cfRule>
  </conditionalFormatting>
  <conditionalFormatting sqref="R2279">
    <cfRule type="cellIs" dxfId="8001" priority="7933" stopIfTrue="1" operator="greaterThan">
      <formula>0</formula>
    </cfRule>
  </conditionalFormatting>
  <conditionalFormatting sqref="R2280">
    <cfRule type="cellIs" dxfId="8000" priority="7932" stopIfTrue="1" operator="greaterThan">
      <formula>0</formula>
    </cfRule>
  </conditionalFormatting>
  <conditionalFormatting sqref="R2281">
    <cfRule type="cellIs" dxfId="7999" priority="7931" stopIfTrue="1" operator="greaterThan">
      <formula>0</formula>
    </cfRule>
  </conditionalFormatting>
  <conditionalFormatting sqref="R2282">
    <cfRule type="cellIs" dxfId="7998" priority="7930" stopIfTrue="1" operator="greaterThan">
      <formula>0</formula>
    </cfRule>
  </conditionalFormatting>
  <conditionalFormatting sqref="W2273:X2273">
    <cfRule type="cellIs" dxfId="7997" priority="7929" stopIfTrue="1" operator="equal">
      <formula>"NO APLICA"</formula>
    </cfRule>
  </conditionalFormatting>
  <conditionalFormatting sqref="W2274:X2277">
    <cfRule type="cellIs" dxfId="7996" priority="7928" stopIfTrue="1" operator="equal">
      <formula>"NO APLICA"</formula>
    </cfRule>
  </conditionalFormatting>
  <conditionalFormatting sqref="W2274:X2274">
    <cfRule type="cellIs" dxfId="7995" priority="7927" stopIfTrue="1" operator="equal">
      <formula>"NO APLICA"</formula>
    </cfRule>
  </conditionalFormatting>
  <conditionalFormatting sqref="Y2273">
    <cfRule type="cellIs" dxfId="7994" priority="7926" stopIfTrue="1" operator="equal">
      <formula>"NO APLICA"</formula>
    </cfRule>
  </conditionalFormatting>
  <conditionalFormatting sqref="Y2274:Y2277">
    <cfRule type="cellIs" dxfId="7993" priority="7925" stopIfTrue="1" operator="equal">
      <formula>"NO APLICA"</formula>
    </cfRule>
  </conditionalFormatting>
  <conditionalFormatting sqref="W2278:X2281">
    <cfRule type="cellIs" dxfId="7992" priority="7924" stopIfTrue="1" operator="equal">
      <formula>"NO APLICA"</formula>
    </cfRule>
  </conditionalFormatting>
  <conditionalFormatting sqref="W2278:X2278">
    <cfRule type="cellIs" dxfId="7991" priority="7923" stopIfTrue="1" operator="equal">
      <formula>"NO APLICA"</formula>
    </cfRule>
  </conditionalFormatting>
  <conditionalFormatting sqref="Y2278:Y2281">
    <cfRule type="cellIs" dxfId="7990" priority="7922" stopIfTrue="1" operator="equal">
      <formula>"NO APLICA"</formula>
    </cfRule>
  </conditionalFormatting>
  <conditionalFormatting sqref="T2287">
    <cfRule type="cellIs" dxfId="7989" priority="7920" operator="equal">
      <formula>"CUMPLE"</formula>
    </cfRule>
    <cfRule type="cellIs" dxfId="7988" priority="7921" operator="equal">
      <formula>"NO CUMPLE"</formula>
    </cfRule>
  </conditionalFormatting>
  <conditionalFormatting sqref="T2287:T2289">
    <cfRule type="cellIs" dxfId="7987" priority="7919" operator="equal">
      <formula>"VERIFICAR"</formula>
    </cfRule>
  </conditionalFormatting>
  <conditionalFormatting sqref="AD2273:AF2277">
    <cfRule type="cellIs" dxfId="7986" priority="7917" stopIfTrue="1" operator="equal">
      <formula>"NO"</formula>
    </cfRule>
    <cfRule type="cellIs" dxfId="7985" priority="7918" stopIfTrue="1" operator="equal">
      <formula>"SI"</formula>
    </cfRule>
  </conditionalFormatting>
  <conditionalFormatting sqref="AD2278:AF2281">
    <cfRule type="cellIs" dxfId="7984" priority="7915" stopIfTrue="1" operator="equal">
      <formula>"NO"</formula>
    </cfRule>
    <cfRule type="cellIs" dxfId="7983" priority="7916" stopIfTrue="1" operator="equal">
      <formula>"SI"</formula>
    </cfRule>
  </conditionalFormatting>
  <conditionalFormatting sqref="W2282:Y2282">
    <cfRule type="cellIs" dxfId="7982" priority="7913" stopIfTrue="1" operator="equal">
      <formula>"NO"</formula>
    </cfRule>
    <cfRule type="cellIs" dxfId="7981" priority="7914" stopIfTrue="1" operator="equal">
      <formula>"SI"</formula>
    </cfRule>
  </conditionalFormatting>
  <conditionalFormatting sqref="W2282:X2282">
    <cfRule type="cellIs" dxfId="7980" priority="7912" stopIfTrue="1" operator="equal">
      <formula>"NO APLICA"</formula>
    </cfRule>
  </conditionalFormatting>
  <conditionalFormatting sqref="Y2282">
    <cfRule type="cellIs" dxfId="7979" priority="7911" stopIfTrue="1" operator="equal">
      <formula>"NO APLICA"</formula>
    </cfRule>
  </conditionalFormatting>
  <conditionalFormatting sqref="AD2282:AF2282">
    <cfRule type="cellIs" dxfId="7978" priority="7909" stopIfTrue="1" operator="equal">
      <formula>"NO"</formula>
    </cfRule>
    <cfRule type="cellIs" dxfId="7977" priority="7910" stopIfTrue="1" operator="equal">
      <formula>"SI"</formula>
    </cfRule>
  </conditionalFormatting>
  <conditionalFormatting sqref="AE2287">
    <cfRule type="cellIs" dxfId="7976" priority="7906" stopIfTrue="1" operator="equal">
      <formula>"VERIFICAR"</formula>
    </cfRule>
    <cfRule type="cellIs" dxfId="7975" priority="7907" stopIfTrue="1" operator="equal">
      <formula>"NO CUMPLE"</formula>
    </cfRule>
    <cfRule type="cellIs" dxfId="7974" priority="7908" stopIfTrue="1" operator="equal">
      <formula>"CUMPLE"</formula>
    </cfRule>
  </conditionalFormatting>
  <conditionalFormatting sqref="AF2287">
    <cfRule type="cellIs" dxfId="7973" priority="7903" stopIfTrue="1" operator="equal">
      <formula>"VERIFICAR"</formula>
    </cfRule>
    <cfRule type="cellIs" dxfId="7972" priority="7904" stopIfTrue="1" operator="equal">
      <formula>"NO CUMPLE"</formula>
    </cfRule>
    <cfRule type="cellIs" dxfId="7971" priority="7905" stopIfTrue="1" operator="equal">
      <formula>"CUMPLE"</formula>
    </cfRule>
  </conditionalFormatting>
  <conditionalFormatting sqref="Y2290">
    <cfRule type="cellIs" dxfId="7970" priority="7902" operator="equal">
      <formula>"VERIFICAR CUADRO"</formula>
    </cfRule>
  </conditionalFormatting>
  <conditionalFormatting sqref="AC2291:AC2296">
    <cfRule type="cellIs" dxfId="7969" priority="7901" stopIfTrue="1" operator="greaterThan">
      <formula>0</formula>
    </cfRule>
  </conditionalFormatting>
  <conditionalFormatting sqref="AC2291:AC2296">
    <cfRule type="cellIs" dxfId="7968" priority="7900" stopIfTrue="1" operator="greaterThan">
      <formula>0</formula>
    </cfRule>
  </conditionalFormatting>
  <conditionalFormatting sqref="AD2291:AD2296">
    <cfRule type="containsText" dxfId="7967" priority="7898" stopIfTrue="1" operator="containsText" text="NO CUMPLE">
      <formula>NOT(ISERROR(SEARCH("NO CUMPLE",AD2291)))</formula>
    </cfRule>
    <cfRule type="containsText" dxfId="7966" priority="7899" stopIfTrue="1" operator="containsText" text="CUMPLE">
      <formula>NOT(ISERROR(SEARCH("CUMPLE",AD2291)))</formula>
    </cfRule>
  </conditionalFormatting>
  <conditionalFormatting sqref="Y2296">
    <cfRule type="containsText" dxfId="7965" priority="7896" stopIfTrue="1" operator="containsText" text="NO CUMPLE">
      <formula>NOT(ISERROR(SEARCH("NO CUMPLE",Y2296)))</formula>
    </cfRule>
    <cfRule type="containsText" dxfId="7964" priority="7897" stopIfTrue="1" operator="containsText" text="CUMPLE">
      <formula>NOT(ISERROR(SEARCH("CUMPLE",Y2296)))</formula>
    </cfRule>
  </conditionalFormatting>
  <conditionalFormatting sqref="AA2273:AA2282">
    <cfRule type="cellIs" dxfId="7963" priority="7894" stopIfTrue="1" operator="equal">
      <formula>"NO APLICA"</formula>
    </cfRule>
    <cfRule type="cellIs" dxfId="7962" priority="7895" stopIfTrue="1" operator="equal">
      <formula>"TERCIARIA"</formula>
    </cfRule>
  </conditionalFormatting>
  <conditionalFormatting sqref="AB2273:AB2282">
    <cfRule type="cellIs" dxfId="7961" priority="7892" stopIfTrue="1" operator="equal">
      <formula>"N/A"</formula>
    </cfRule>
    <cfRule type="cellIs" dxfId="7960" priority="7893" stopIfTrue="1" operator="equal">
      <formula>"NO"</formula>
    </cfRule>
  </conditionalFormatting>
  <conditionalFormatting sqref="M2303:M2312">
    <cfRule type="cellIs" dxfId="7959" priority="7891" stopIfTrue="1" operator="lessThan">
      <formula>0</formula>
    </cfRule>
  </conditionalFormatting>
  <conditionalFormatting sqref="C2305:D2311 B2304:B2311 F2305:I2311 C2304:I2304 B2312:O2312 B2303:R2303 Q2304:R2305 J2304:O2311 Q2306:Q2312 P2304:P2312">
    <cfRule type="cellIs" dxfId="7958" priority="7890" stopIfTrue="1" operator="greaterThan">
      <formula>0</formula>
    </cfRule>
  </conditionalFormatting>
  <conditionalFormatting sqref="C2305:D2311">
    <cfRule type="cellIs" dxfId="7957" priority="7889" stopIfTrue="1" operator="greaterThan">
      <formula>0</formula>
    </cfRule>
  </conditionalFormatting>
  <conditionalFormatting sqref="C2303:M2303 C2305:D2311 F2305:I2311 C2304:I2304 K2304:M2311 J2304:J2312 L2312:M2312">
    <cfRule type="cellIs" dxfId="7956" priority="7888" stopIfTrue="1" operator="greaterThan">
      <formula>0</formula>
    </cfRule>
  </conditionalFormatting>
  <conditionalFormatting sqref="M2303:M2312">
    <cfRule type="cellIs" dxfId="7955" priority="7887" stopIfTrue="1" operator="lessThan">
      <formula>0</formula>
    </cfRule>
  </conditionalFormatting>
  <conditionalFormatting sqref="J2304:J2312 L2304:O2312 C2303:O2303">
    <cfRule type="cellIs" dxfId="7954" priority="7886" stopIfTrue="1" operator="greaterThan">
      <formula>0</formula>
    </cfRule>
  </conditionalFormatting>
  <conditionalFormatting sqref="H2305:I2311 K2305:M2312">
    <cfRule type="cellIs" dxfId="7953" priority="7885" stopIfTrue="1" operator="greaterThan">
      <formula>0</formula>
    </cfRule>
  </conditionalFormatting>
  <conditionalFormatting sqref="I2304">
    <cfRule type="cellIs" dxfId="7952" priority="7884" stopIfTrue="1" operator="greaterThan">
      <formula>0</formula>
    </cfRule>
  </conditionalFormatting>
  <conditionalFormatting sqref="I2312">
    <cfRule type="cellIs" dxfId="7951" priority="7883" stopIfTrue="1" operator="greaterThan">
      <formula>0</formula>
    </cfRule>
  </conditionalFormatting>
  <conditionalFormatting sqref="E2305:E2311">
    <cfRule type="cellIs" dxfId="7950" priority="7882" stopIfTrue="1" operator="greaterThan">
      <formula>0</formula>
    </cfRule>
  </conditionalFormatting>
  <conditionalFormatting sqref="K2320:K2325">
    <cfRule type="containsText" dxfId="7949" priority="7880" stopIfTrue="1" operator="containsText" text="NO CUMPLE">
      <formula>NOT(ISERROR(SEARCH("NO CUMPLE",K2320)))</formula>
    </cfRule>
    <cfRule type="containsText" dxfId="7948" priority="7881" stopIfTrue="1" operator="containsText" text="CUMPLE">
      <formula>NOT(ISERROR(SEARCH("CUMPLE",K2320)))</formula>
    </cfRule>
  </conditionalFormatting>
  <conditionalFormatting sqref="K2326">
    <cfRule type="containsText" dxfId="7947" priority="7878" stopIfTrue="1" operator="containsText" text="NO CUMPLE">
      <formula>NOT(ISERROR(SEARCH("NO CUMPLE",K2326)))</formula>
    </cfRule>
    <cfRule type="containsText" dxfId="7946" priority="7879" stopIfTrue="1" operator="containsText" text="CUMPLE">
      <formula>NOT(ISERROR(SEARCH("CUMPLE",K2326)))</formula>
    </cfRule>
  </conditionalFormatting>
  <conditionalFormatting sqref="Q2319">
    <cfRule type="cellIs" dxfId="7945" priority="7876" operator="greaterThanOrEqual">
      <formula>NUMMINCONT</formula>
    </cfRule>
    <cfRule type="cellIs" dxfId="7944" priority="7877" operator="lessThan">
      <formula>NUMMINCONT</formula>
    </cfRule>
  </conditionalFormatting>
  <conditionalFormatting sqref="W2303:Y2311">
    <cfRule type="cellIs" dxfId="7943" priority="7874" stopIfTrue="1" operator="equal">
      <formula>"NO"</formula>
    </cfRule>
    <cfRule type="cellIs" dxfId="7942" priority="7875" stopIfTrue="1" operator="equal">
      <formula>"SI"</formula>
    </cfRule>
  </conditionalFormatting>
  <conditionalFormatting sqref="R2306">
    <cfRule type="cellIs" dxfId="7941" priority="7873" stopIfTrue="1" operator="greaterThan">
      <formula>0</formula>
    </cfRule>
  </conditionalFormatting>
  <conditionalFormatting sqref="R2307">
    <cfRule type="cellIs" dxfId="7940" priority="7872" stopIfTrue="1" operator="greaterThan">
      <formula>0</formula>
    </cfRule>
  </conditionalFormatting>
  <conditionalFormatting sqref="R2308">
    <cfRule type="cellIs" dxfId="7939" priority="7871" stopIfTrue="1" operator="greaterThan">
      <formula>0</formula>
    </cfRule>
  </conditionalFormatting>
  <conditionalFormatting sqref="R2309">
    <cfRule type="cellIs" dxfId="7938" priority="7870" stopIfTrue="1" operator="greaterThan">
      <formula>0</formula>
    </cfRule>
  </conditionalFormatting>
  <conditionalFormatting sqref="R2310">
    <cfRule type="cellIs" dxfId="7937" priority="7869" stopIfTrue="1" operator="greaterThan">
      <formula>0</formula>
    </cfRule>
  </conditionalFormatting>
  <conditionalFormatting sqref="R2311">
    <cfRule type="cellIs" dxfId="7936" priority="7868" stopIfTrue="1" operator="greaterThan">
      <formula>0</formula>
    </cfRule>
  </conditionalFormatting>
  <conditionalFormatting sqref="R2312">
    <cfRule type="cellIs" dxfId="7935" priority="7867" stopIfTrue="1" operator="greaterThan">
      <formula>0</formula>
    </cfRule>
  </conditionalFormatting>
  <conditionalFormatting sqref="W2303:X2303">
    <cfRule type="cellIs" dxfId="7934" priority="7866" stopIfTrue="1" operator="equal">
      <formula>"NO APLICA"</formula>
    </cfRule>
  </conditionalFormatting>
  <conditionalFormatting sqref="W2304:X2307">
    <cfRule type="cellIs" dxfId="7933" priority="7865" stopIfTrue="1" operator="equal">
      <formula>"NO APLICA"</formula>
    </cfRule>
  </conditionalFormatting>
  <conditionalFormatting sqref="W2304:X2304">
    <cfRule type="cellIs" dxfId="7932" priority="7864" stopIfTrue="1" operator="equal">
      <formula>"NO APLICA"</formula>
    </cfRule>
  </conditionalFormatting>
  <conditionalFormatting sqref="Y2303">
    <cfRule type="cellIs" dxfId="7931" priority="7863" stopIfTrue="1" operator="equal">
      <formula>"NO APLICA"</formula>
    </cfRule>
  </conditionalFormatting>
  <conditionalFormatting sqref="Y2304:Y2307">
    <cfRule type="cellIs" dxfId="7930" priority="7862" stopIfTrue="1" operator="equal">
      <formula>"NO APLICA"</formula>
    </cfRule>
  </conditionalFormatting>
  <conditionalFormatting sqref="W2308:X2311">
    <cfRule type="cellIs" dxfId="7929" priority="7861" stopIfTrue="1" operator="equal">
      <formula>"NO APLICA"</formula>
    </cfRule>
  </conditionalFormatting>
  <conditionalFormatting sqref="W2308:X2308">
    <cfRule type="cellIs" dxfId="7928" priority="7860" stopIfTrue="1" operator="equal">
      <formula>"NO APLICA"</formula>
    </cfRule>
  </conditionalFormatting>
  <conditionalFormatting sqref="Y2308:Y2311">
    <cfRule type="cellIs" dxfId="7927" priority="7859" stopIfTrue="1" operator="equal">
      <formula>"NO APLICA"</formula>
    </cfRule>
  </conditionalFormatting>
  <conditionalFormatting sqref="T2317">
    <cfRule type="cellIs" dxfId="7926" priority="7857" operator="equal">
      <formula>"CUMPLE"</formula>
    </cfRule>
    <cfRule type="cellIs" dxfId="7925" priority="7858" operator="equal">
      <formula>"NO CUMPLE"</formula>
    </cfRule>
  </conditionalFormatting>
  <conditionalFormatting sqref="T2317:T2319">
    <cfRule type="cellIs" dxfId="7924" priority="7856" operator="equal">
      <formula>"VERIFICAR"</formula>
    </cfRule>
  </conditionalFormatting>
  <conditionalFormatting sqref="AD2303:AF2307">
    <cfRule type="cellIs" dxfId="7923" priority="7854" stopIfTrue="1" operator="equal">
      <formula>"NO"</formula>
    </cfRule>
    <cfRule type="cellIs" dxfId="7922" priority="7855" stopIfTrue="1" operator="equal">
      <formula>"SI"</formula>
    </cfRule>
  </conditionalFormatting>
  <conditionalFormatting sqref="AD2308:AF2311">
    <cfRule type="cellIs" dxfId="7921" priority="7852" stopIfTrue="1" operator="equal">
      <formula>"NO"</formula>
    </cfRule>
    <cfRule type="cellIs" dxfId="7920" priority="7853" stopIfTrue="1" operator="equal">
      <formula>"SI"</formula>
    </cfRule>
  </conditionalFormatting>
  <conditionalFormatting sqref="W2312:Y2312">
    <cfRule type="cellIs" dxfId="7919" priority="7850" stopIfTrue="1" operator="equal">
      <formula>"NO"</formula>
    </cfRule>
    <cfRule type="cellIs" dxfId="7918" priority="7851" stopIfTrue="1" operator="equal">
      <formula>"SI"</formula>
    </cfRule>
  </conditionalFormatting>
  <conditionalFormatting sqref="W2312:X2312">
    <cfRule type="cellIs" dxfId="7917" priority="7849" stopIfTrue="1" operator="equal">
      <formula>"NO APLICA"</formula>
    </cfRule>
  </conditionalFormatting>
  <conditionalFormatting sqref="Y2312">
    <cfRule type="cellIs" dxfId="7916" priority="7848" stopIfTrue="1" operator="equal">
      <formula>"NO APLICA"</formula>
    </cfRule>
  </conditionalFormatting>
  <conditionalFormatting sqref="AD2312:AF2312">
    <cfRule type="cellIs" dxfId="7915" priority="7846" stopIfTrue="1" operator="equal">
      <formula>"NO"</formula>
    </cfRule>
    <cfRule type="cellIs" dxfId="7914" priority="7847" stopIfTrue="1" operator="equal">
      <formula>"SI"</formula>
    </cfRule>
  </conditionalFormatting>
  <conditionalFormatting sqref="AE2317">
    <cfRule type="cellIs" dxfId="7913" priority="7843" stopIfTrue="1" operator="equal">
      <formula>"VERIFICAR"</formula>
    </cfRule>
    <cfRule type="cellIs" dxfId="7912" priority="7844" stopIfTrue="1" operator="equal">
      <formula>"NO CUMPLE"</formula>
    </cfRule>
    <cfRule type="cellIs" dxfId="7911" priority="7845" stopIfTrue="1" operator="equal">
      <formula>"CUMPLE"</formula>
    </cfRule>
  </conditionalFormatting>
  <conditionalFormatting sqref="AF2317">
    <cfRule type="cellIs" dxfId="7910" priority="7840" stopIfTrue="1" operator="equal">
      <formula>"VERIFICAR"</formula>
    </cfRule>
    <cfRule type="cellIs" dxfId="7909" priority="7841" stopIfTrue="1" operator="equal">
      <formula>"NO CUMPLE"</formula>
    </cfRule>
    <cfRule type="cellIs" dxfId="7908" priority="7842" stopIfTrue="1" operator="equal">
      <formula>"CUMPLE"</formula>
    </cfRule>
  </conditionalFormatting>
  <conditionalFormatting sqref="Y2320">
    <cfRule type="cellIs" dxfId="7907" priority="7839" operator="equal">
      <formula>"VERIFICAR CUADRO"</formula>
    </cfRule>
  </conditionalFormatting>
  <conditionalFormatting sqref="AC2321:AC2326">
    <cfRule type="cellIs" dxfId="7906" priority="7838" stopIfTrue="1" operator="greaterThan">
      <formula>0</formula>
    </cfRule>
  </conditionalFormatting>
  <conditionalFormatting sqref="AC2321:AC2326">
    <cfRule type="cellIs" dxfId="7905" priority="7837" stopIfTrue="1" operator="greaterThan">
      <formula>0</formula>
    </cfRule>
  </conditionalFormatting>
  <conditionalFormatting sqref="AD2321:AD2326">
    <cfRule type="containsText" dxfId="7904" priority="7835" stopIfTrue="1" operator="containsText" text="NO CUMPLE">
      <formula>NOT(ISERROR(SEARCH("NO CUMPLE",AD2321)))</formula>
    </cfRule>
    <cfRule type="containsText" dxfId="7903" priority="7836" stopIfTrue="1" operator="containsText" text="CUMPLE">
      <formula>NOT(ISERROR(SEARCH("CUMPLE",AD2321)))</formula>
    </cfRule>
  </conditionalFormatting>
  <conditionalFormatting sqref="Y2326">
    <cfRule type="containsText" dxfId="7902" priority="7833" stopIfTrue="1" operator="containsText" text="NO CUMPLE">
      <formula>NOT(ISERROR(SEARCH("NO CUMPLE",Y2326)))</formula>
    </cfRule>
    <cfRule type="containsText" dxfId="7901" priority="7834" stopIfTrue="1" operator="containsText" text="CUMPLE">
      <formula>NOT(ISERROR(SEARCH("CUMPLE",Y2326)))</formula>
    </cfRule>
  </conditionalFormatting>
  <conditionalFormatting sqref="AA2303:AA2312">
    <cfRule type="cellIs" dxfId="7900" priority="7831" stopIfTrue="1" operator="equal">
      <formula>"NO APLICA"</formula>
    </cfRule>
    <cfRule type="cellIs" dxfId="7899" priority="7832" stopIfTrue="1" operator="equal">
      <formula>"TERCIARIA"</formula>
    </cfRule>
  </conditionalFormatting>
  <conditionalFormatting sqref="AB2303:AB2312">
    <cfRule type="cellIs" dxfId="7898" priority="7829" stopIfTrue="1" operator="equal">
      <formula>"N/A"</formula>
    </cfRule>
    <cfRule type="cellIs" dxfId="7897" priority="7830" stopIfTrue="1" operator="equal">
      <formula>"NO"</formula>
    </cfRule>
  </conditionalFormatting>
  <conditionalFormatting sqref="M2333:M2342">
    <cfRule type="cellIs" dxfId="7896" priority="7828" stopIfTrue="1" operator="lessThan">
      <formula>0</formula>
    </cfRule>
  </conditionalFormatting>
  <conditionalFormatting sqref="C2335:D2341 B2334:B2341 F2335:I2341 C2334:I2334 B2342:O2342 B2333:R2333 Q2334:R2335 J2334:O2341 Q2336:Q2342 P2334:P2342">
    <cfRule type="cellIs" dxfId="7895" priority="7827" stopIfTrue="1" operator="greaterThan">
      <formula>0</formula>
    </cfRule>
  </conditionalFormatting>
  <conditionalFormatting sqref="C2335:D2341">
    <cfRule type="cellIs" dxfId="7894" priority="7826" stopIfTrue="1" operator="greaterThan">
      <formula>0</formula>
    </cfRule>
  </conditionalFormatting>
  <conditionalFormatting sqref="C2333:M2333 C2335:D2341 F2335:I2341 C2334:I2334 K2334:M2341 J2334:J2342 L2342:M2342">
    <cfRule type="cellIs" dxfId="7893" priority="7825" stopIfTrue="1" operator="greaterThan">
      <formula>0</formula>
    </cfRule>
  </conditionalFormatting>
  <conditionalFormatting sqref="M2333:M2342">
    <cfRule type="cellIs" dxfId="7892" priority="7824" stopIfTrue="1" operator="lessThan">
      <formula>0</formula>
    </cfRule>
  </conditionalFormatting>
  <conditionalFormatting sqref="J2334:J2342 L2334:O2342 C2333:O2333">
    <cfRule type="cellIs" dxfId="7891" priority="7823" stopIfTrue="1" operator="greaterThan">
      <formula>0</formula>
    </cfRule>
  </conditionalFormatting>
  <conditionalFormatting sqref="H2335:I2341 K2335:M2342">
    <cfRule type="cellIs" dxfId="7890" priority="7822" stopIfTrue="1" operator="greaterThan">
      <formula>0</formula>
    </cfRule>
  </conditionalFormatting>
  <conditionalFormatting sqref="I2334">
    <cfRule type="cellIs" dxfId="7889" priority="7821" stopIfTrue="1" operator="greaterThan">
      <formula>0</formula>
    </cfRule>
  </conditionalFormatting>
  <conditionalFormatting sqref="I2342">
    <cfRule type="cellIs" dxfId="7888" priority="7820" stopIfTrue="1" operator="greaterThan">
      <formula>0</formula>
    </cfRule>
  </conditionalFormatting>
  <conditionalFormatting sqref="E2335:E2341">
    <cfRule type="cellIs" dxfId="7887" priority="7819" stopIfTrue="1" operator="greaterThan">
      <formula>0</formula>
    </cfRule>
  </conditionalFormatting>
  <conditionalFormatting sqref="K2350:K2355">
    <cfRule type="containsText" dxfId="7886" priority="7817" stopIfTrue="1" operator="containsText" text="NO CUMPLE">
      <formula>NOT(ISERROR(SEARCH("NO CUMPLE",K2350)))</formula>
    </cfRule>
    <cfRule type="containsText" dxfId="7885" priority="7818" stopIfTrue="1" operator="containsText" text="CUMPLE">
      <formula>NOT(ISERROR(SEARCH("CUMPLE",K2350)))</formula>
    </cfRule>
  </conditionalFormatting>
  <conditionalFormatting sqref="K2356">
    <cfRule type="containsText" dxfId="7884" priority="7815" stopIfTrue="1" operator="containsText" text="NO CUMPLE">
      <formula>NOT(ISERROR(SEARCH("NO CUMPLE",K2356)))</formula>
    </cfRule>
    <cfRule type="containsText" dxfId="7883" priority="7816" stopIfTrue="1" operator="containsText" text="CUMPLE">
      <formula>NOT(ISERROR(SEARCH("CUMPLE",K2356)))</formula>
    </cfRule>
  </conditionalFormatting>
  <conditionalFormatting sqref="Q2349">
    <cfRule type="cellIs" dxfId="7882" priority="7813" operator="greaterThanOrEqual">
      <formula>NUMMINCONT</formula>
    </cfRule>
    <cfRule type="cellIs" dxfId="7881" priority="7814" operator="lessThan">
      <formula>NUMMINCONT</formula>
    </cfRule>
  </conditionalFormatting>
  <conditionalFormatting sqref="W2333:Y2341">
    <cfRule type="cellIs" dxfId="7880" priority="7811" stopIfTrue="1" operator="equal">
      <formula>"NO"</formula>
    </cfRule>
    <cfRule type="cellIs" dxfId="7879" priority="7812" stopIfTrue="1" operator="equal">
      <formula>"SI"</formula>
    </cfRule>
  </conditionalFormatting>
  <conditionalFormatting sqref="R2336">
    <cfRule type="cellIs" dxfId="7878" priority="7810" stopIfTrue="1" operator="greaterThan">
      <formula>0</formula>
    </cfRule>
  </conditionalFormatting>
  <conditionalFormatting sqref="R2337">
    <cfRule type="cellIs" dxfId="7877" priority="7809" stopIfTrue="1" operator="greaterThan">
      <formula>0</formula>
    </cfRule>
  </conditionalFormatting>
  <conditionalFormatting sqref="R2338">
    <cfRule type="cellIs" dxfId="7876" priority="7808" stopIfTrue="1" operator="greaterThan">
      <formula>0</formula>
    </cfRule>
  </conditionalFormatting>
  <conditionalFormatting sqref="R2339">
    <cfRule type="cellIs" dxfId="7875" priority="7807" stopIfTrue="1" operator="greaterThan">
      <formula>0</formula>
    </cfRule>
  </conditionalFormatting>
  <conditionalFormatting sqref="R2340">
    <cfRule type="cellIs" dxfId="7874" priority="7806" stopIfTrue="1" operator="greaterThan">
      <formula>0</formula>
    </cfRule>
  </conditionalFormatting>
  <conditionalFormatting sqref="R2341">
    <cfRule type="cellIs" dxfId="7873" priority="7805" stopIfTrue="1" operator="greaterThan">
      <formula>0</formula>
    </cfRule>
  </conditionalFormatting>
  <conditionalFormatting sqref="R2342">
    <cfRule type="cellIs" dxfId="7872" priority="7804" stopIfTrue="1" operator="greaterThan">
      <formula>0</formula>
    </cfRule>
  </conditionalFormatting>
  <conditionalFormatting sqref="W2333:X2333">
    <cfRule type="cellIs" dxfId="7871" priority="7803" stopIfTrue="1" operator="equal">
      <formula>"NO APLICA"</formula>
    </cfRule>
  </conditionalFormatting>
  <conditionalFormatting sqref="W2334:X2337">
    <cfRule type="cellIs" dxfId="7870" priority="7802" stopIfTrue="1" operator="equal">
      <formula>"NO APLICA"</formula>
    </cfRule>
  </conditionalFormatting>
  <conditionalFormatting sqref="W2334:X2334">
    <cfRule type="cellIs" dxfId="7869" priority="7801" stopIfTrue="1" operator="equal">
      <formula>"NO APLICA"</formula>
    </cfRule>
  </conditionalFormatting>
  <conditionalFormatting sqref="Y2333">
    <cfRule type="cellIs" dxfId="7868" priority="7800" stopIfTrue="1" operator="equal">
      <formula>"NO APLICA"</formula>
    </cfRule>
  </conditionalFormatting>
  <conditionalFormatting sqref="Y2334:Y2337">
    <cfRule type="cellIs" dxfId="7867" priority="7799" stopIfTrue="1" operator="equal">
      <formula>"NO APLICA"</formula>
    </cfRule>
  </conditionalFormatting>
  <conditionalFormatting sqref="W2338:X2341">
    <cfRule type="cellIs" dxfId="7866" priority="7798" stopIfTrue="1" operator="equal">
      <formula>"NO APLICA"</formula>
    </cfRule>
  </conditionalFormatting>
  <conditionalFormatting sqref="W2338:X2338">
    <cfRule type="cellIs" dxfId="7865" priority="7797" stopIfTrue="1" operator="equal">
      <formula>"NO APLICA"</formula>
    </cfRule>
  </conditionalFormatting>
  <conditionalFormatting sqref="Y2338:Y2341">
    <cfRule type="cellIs" dxfId="7864" priority="7796" stopIfTrue="1" operator="equal">
      <formula>"NO APLICA"</formula>
    </cfRule>
  </conditionalFormatting>
  <conditionalFormatting sqref="T2347">
    <cfRule type="cellIs" dxfId="7863" priority="7794" operator="equal">
      <formula>"CUMPLE"</formula>
    </cfRule>
    <cfRule type="cellIs" dxfId="7862" priority="7795" operator="equal">
      <formula>"NO CUMPLE"</formula>
    </cfRule>
  </conditionalFormatting>
  <conditionalFormatting sqref="T2347:T2349">
    <cfRule type="cellIs" dxfId="7861" priority="7793" operator="equal">
      <formula>"VERIFICAR"</formula>
    </cfRule>
  </conditionalFormatting>
  <conditionalFormatting sqref="AD2333:AF2337">
    <cfRule type="cellIs" dxfId="7860" priority="7791" stopIfTrue="1" operator="equal">
      <formula>"NO"</formula>
    </cfRule>
    <cfRule type="cellIs" dxfId="7859" priority="7792" stopIfTrue="1" operator="equal">
      <formula>"SI"</formula>
    </cfRule>
  </conditionalFormatting>
  <conditionalFormatting sqref="AD2338:AF2341">
    <cfRule type="cellIs" dxfId="7858" priority="7789" stopIfTrue="1" operator="equal">
      <formula>"NO"</formula>
    </cfRule>
    <cfRule type="cellIs" dxfId="7857" priority="7790" stopIfTrue="1" operator="equal">
      <formula>"SI"</formula>
    </cfRule>
  </conditionalFormatting>
  <conditionalFormatting sqref="W2342:Y2342">
    <cfRule type="cellIs" dxfId="7856" priority="7787" stopIfTrue="1" operator="equal">
      <formula>"NO"</formula>
    </cfRule>
    <cfRule type="cellIs" dxfId="7855" priority="7788" stopIfTrue="1" operator="equal">
      <formula>"SI"</formula>
    </cfRule>
  </conditionalFormatting>
  <conditionalFormatting sqref="W2342:X2342">
    <cfRule type="cellIs" dxfId="7854" priority="7786" stopIfTrue="1" operator="equal">
      <formula>"NO APLICA"</formula>
    </cfRule>
  </conditionalFormatting>
  <conditionalFormatting sqref="Y2342">
    <cfRule type="cellIs" dxfId="7853" priority="7785" stopIfTrue="1" operator="equal">
      <formula>"NO APLICA"</formula>
    </cfRule>
  </conditionalFormatting>
  <conditionalFormatting sqref="AD2342:AF2342">
    <cfRule type="cellIs" dxfId="7852" priority="7783" stopIfTrue="1" operator="equal">
      <formula>"NO"</formula>
    </cfRule>
    <cfRule type="cellIs" dxfId="7851" priority="7784" stopIfTrue="1" operator="equal">
      <formula>"SI"</formula>
    </cfRule>
  </conditionalFormatting>
  <conditionalFormatting sqref="AE2347">
    <cfRule type="cellIs" dxfId="7850" priority="7780" stopIfTrue="1" operator="equal">
      <formula>"VERIFICAR"</formula>
    </cfRule>
    <cfRule type="cellIs" dxfId="7849" priority="7781" stopIfTrue="1" operator="equal">
      <formula>"NO CUMPLE"</formula>
    </cfRule>
    <cfRule type="cellIs" dxfId="7848" priority="7782" stopIfTrue="1" operator="equal">
      <formula>"CUMPLE"</formula>
    </cfRule>
  </conditionalFormatting>
  <conditionalFormatting sqref="AF2347">
    <cfRule type="cellIs" dxfId="7847" priority="7777" stopIfTrue="1" operator="equal">
      <formula>"VERIFICAR"</formula>
    </cfRule>
    <cfRule type="cellIs" dxfId="7846" priority="7778" stopIfTrue="1" operator="equal">
      <formula>"NO CUMPLE"</formula>
    </cfRule>
    <cfRule type="cellIs" dxfId="7845" priority="7779" stopIfTrue="1" operator="equal">
      <formula>"CUMPLE"</formula>
    </cfRule>
  </conditionalFormatting>
  <conditionalFormatting sqref="Y2350">
    <cfRule type="cellIs" dxfId="7844" priority="7776" operator="equal">
      <formula>"VERIFICAR CUADRO"</formula>
    </cfRule>
  </conditionalFormatting>
  <conditionalFormatting sqref="AC2351:AC2356">
    <cfRule type="cellIs" dxfId="7843" priority="7775" stopIfTrue="1" operator="greaterThan">
      <formula>0</formula>
    </cfRule>
  </conditionalFormatting>
  <conditionalFormatting sqref="AC2351:AC2356">
    <cfRule type="cellIs" dxfId="7842" priority="7774" stopIfTrue="1" operator="greaterThan">
      <formula>0</formula>
    </cfRule>
  </conditionalFormatting>
  <conditionalFormatting sqref="AD2351:AD2356">
    <cfRule type="containsText" dxfId="7841" priority="7772" stopIfTrue="1" operator="containsText" text="NO CUMPLE">
      <formula>NOT(ISERROR(SEARCH("NO CUMPLE",AD2351)))</formula>
    </cfRule>
    <cfRule type="containsText" dxfId="7840" priority="7773" stopIfTrue="1" operator="containsText" text="CUMPLE">
      <formula>NOT(ISERROR(SEARCH("CUMPLE",AD2351)))</formula>
    </cfRule>
  </conditionalFormatting>
  <conditionalFormatting sqref="Y2356">
    <cfRule type="containsText" dxfId="7839" priority="7770" stopIfTrue="1" operator="containsText" text="NO CUMPLE">
      <formula>NOT(ISERROR(SEARCH("NO CUMPLE",Y2356)))</formula>
    </cfRule>
    <cfRule type="containsText" dxfId="7838" priority="7771" stopIfTrue="1" operator="containsText" text="CUMPLE">
      <formula>NOT(ISERROR(SEARCH("CUMPLE",Y2356)))</formula>
    </cfRule>
  </conditionalFormatting>
  <conditionalFormatting sqref="AA2333:AA2342">
    <cfRule type="cellIs" dxfId="7837" priority="7768" stopIfTrue="1" operator="equal">
      <formula>"NO APLICA"</formula>
    </cfRule>
    <cfRule type="cellIs" dxfId="7836" priority="7769" stopIfTrue="1" operator="equal">
      <formula>"TERCIARIA"</formula>
    </cfRule>
  </conditionalFormatting>
  <conditionalFormatting sqref="AB2333:AB2342">
    <cfRule type="cellIs" dxfId="7835" priority="7766" stopIfTrue="1" operator="equal">
      <formula>"N/A"</formula>
    </cfRule>
    <cfRule type="cellIs" dxfId="7834" priority="7767" stopIfTrue="1" operator="equal">
      <formula>"NO"</formula>
    </cfRule>
  </conditionalFormatting>
  <conditionalFormatting sqref="M2363:M2372">
    <cfRule type="cellIs" dxfId="7833" priority="7765" stopIfTrue="1" operator="lessThan">
      <formula>0</formula>
    </cfRule>
  </conditionalFormatting>
  <conditionalFormatting sqref="C2365:D2371 B2364:B2371 F2365:I2371 C2364:I2364 B2372:O2372 B2363:R2363 Q2364:R2365 J2364:O2371 Q2366:Q2372 P2364:P2372">
    <cfRule type="cellIs" dxfId="7832" priority="7764" stopIfTrue="1" operator="greaterThan">
      <formula>0</formula>
    </cfRule>
  </conditionalFormatting>
  <conditionalFormatting sqref="C2365:D2371">
    <cfRule type="cellIs" dxfId="7831" priority="7763" stopIfTrue="1" operator="greaterThan">
      <formula>0</formula>
    </cfRule>
  </conditionalFormatting>
  <conditionalFormatting sqref="C2363:M2363 C2365:D2371 F2365:I2371 C2364:I2364 K2364:M2371 J2364:J2372 L2372:M2372">
    <cfRule type="cellIs" dxfId="7830" priority="7762" stopIfTrue="1" operator="greaterThan">
      <formula>0</formula>
    </cfRule>
  </conditionalFormatting>
  <conditionalFormatting sqref="M2363:M2372">
    <cfRule type="cellIs" dxfId="7829" priority="7761" stopIfTrue="1" operator="lessThan">
      <formula>0</formula>
    </cfRule>
  </conditionalFormatting>
  <conditionalFormatting sqref="J2364:J2372 L2364:O2372 C2363:O2363">
    <cfRule type="cellIs" dxfId="7828" priority="7760" stopIfTrue="1" operator="greaterThan">
      <formula>0</formula>
    </cfRule>
  </conditionalFormatting>
  <conditionalFormatting sqref="H2365:I2371 K2365:M2372">
    <cfRule type="cellIs" dxfId="7827" priority="7759" stopIfTrue="1" operator="greaterThan">
      <formula>0</formula>
    </cfRule>
  </conditionalFormatting>
  <conditionalFormatting sqref="I2364">
    <cfRule type="cellIs" dxfId="7826" priority="7758" stopIfTrue="1" operator="greaterThan">
      <formula>0</formula>
    </cfRule>
  </conditionalFormatting>
  <conditionalFormatting sqref="I2372">
    <cfRule type="cellIs" dxfId="7825" priority="7757" stopIfTrue="1" operator="greaterThan">
      <formula>0</formula>
    </cfRule>
  </conditionalFormatting>
  <conditionalFormatting sqref="E2365:E2371">
    <cfRule type="cellIs" dxfId="7824" priority="7756" stopIfTrue="1" operator="greaterThan">
      <formula>0</formula>
    </cfRule>
  </conditionalFormatting>
  <conditionalFormatting sqref="K2380:K2385">
    <cfRule type="containsText" dxfId="7823" priority="7754" stopIfTrue="1" operator="containsText" text="NO CUMPLE">
      <formula>NOT(ISERROR(SEARCH("NO CUMPLE",K2380)))</formula>
    </cfRule>
    <cfRule type="containsText" dxfId="7822" priority="7755" stopIfTrue="1" operator="containsText" text="CUMPLE">
      <formula>NOT(ISERROR(SEARCH("CUMPLE",K2380)))</formula>
    </cfRule>
  </conditionalFormatting>
  <conditionalFormatting sqref="K2386">
    <cfRule type="containsText" dxfId="7821" priority="7752" stopIfTrue="1" operator="containsText" text="NO CUMPLE">
      <formula>NOT(ISERROR(SEARCH("NO CUMPLE",K2386)))</formula>
    </cfRule>
    <cfRule type="containsText" dxfId="7820" priority="7753" stopIfTrue="1" operator="containsText" text="CUMPLE">
      <formula>NOT(ISERROR(SEARCH("CUMPLE",K2386)))</formula>
    </cfRule>
  </conditionalFormatting>
  <conditionalFormatting sqref="Q2379">
    <cfRule type="cellIs" dxfId="7819" priority="7750" operator="greaterThanOrEqual">
      <formula>NUMMINCONT</formula>
    </cfRule>
    <cfRule type="cellIs" dxfId="7818" priority="7751" operator="lessThan">
      <formula>NUMMINCONT</formula>
    </cfRule>
  </conditionalFormatting>
  <conditionalFormatting sqref="W2363:Y2371">
    <cfRule type="cellIs" dxfId="7817" priority="7748" stopIfTrue="1" operator="equal">
      <formula>"NO"</formula>
    </cfRule>
    <cfRule type="cellIs" dxfId="7816" priority="7749" stopIfTrue="1" operator="equal">
      <formula>"SI"</formula>
    </cfRule>
  </conditionalFormatting>
  <conditionalFormatting sqref="R2366">
    <cfRule type="cellIs" dxfId="7815" priority="7747" stopIfTrue="1" operator="greaterThan">
      <formula>0</formula>
    </cfRule>
  </conditionalFormatting>
  <conditionalFormatting sqref="R2367">
    <cfRule type="cellIs" dxfId="7814" priority="7746" stopIfTrue="1" operator="greaterThan">
      <formula>0</formula>
    </cfRule>
  </conditionalFormatting>
  <conditionalFormatting sqref="R2368">
    <cfRule type="cellIs" dxfId="7813" priority="7745" stopIfTrue="1" operator="greaterThan">
      <formula>0</formula>
    </cfRule>
  </conditionalFormatting>
  <conditionalFormatting sqref="R2369">
    <cfRule type="cellIs" dxfId="7812" priority="7744" stopIfTrue="1" operator="greaterThan">
      <formula>0</formula>
    </cfRule>
  </conditionalFormatting>
  <conditionalFormatting sqref="R2370">
    <cfRule type="cellIs" dxfId="7811" priority="7743" stopIfTrue="1" operator="greaterThan">
      <formula>0</formula>
    </cfRule>
  </conditionalFormatting>
  <conditionalFormatting sqref="R2371">
    <cfRule type="cellIs" dxfId="7810" priority="7742" stopIfTrue="1" operator="greaterThan">
      <formula>0</formula>
    </cfRule>
  </conditionalFormatting>
  <conditionalFormatting sqref="R2372">
    <cfRule type="cellIs" dxfId="7809" priority="7741" stopIfTrue="1" operator="greaterThan">
      <formula>0</formula>
    </cfRule>
  </conditionalFormatting>
  <conditionalFormatting sqref="W2363:X2363">
    <cfRule type="cellIs" dxfId="7808" priority="7740" stopIfTrue="1" operator="equal">
      <formula>"NO APLICA"</formula>
    </cfRule>
  </conditionalFormatting>
  <conditionalFormatting sqref="W2364:X2367">
    <cfRule type="cellIs" dxfId="7807" priority="7739" stopIfTrue="1" operator="equal">
      <formula>"NO APLICA"</formula>
    </cfRule>
  </conditionalFormatting>
  <conditionalFormatting sqref="W2364:X2364">
    <cfRule type="cellIs" dxfId="7806" priority="7738" stopIfTrue="1" operator="equal">
      <formula>"NO APLICA"</formula>
    </cfRule>
  </conditionalFormatting>
  <conditionalFormatting sqref="Y2363">
    <cfRule type="cellIs" dxfId="7805" priority="7737" stopIfTrue="1" operator="equal">
      <formula>"NO APLICA"</formula>
    </cfRule>
  </conditionalFormatting>
  <conditionalFormatting sqref="Y2364:Y2367">
    <cfRule type="cellIs" dxfId="7804" priority="7736" stopIfTrue="1" operator="equal">
      <formula>"NO APLICA"</formula>
    </cfRule>
  </conditionalFormatting>
  <conditionalFormatting sqref="W2368:X2371">
    <cfRule type="cellIs" dxfId="7803" priority="7735" stopIfTrue="1" operator="equal">
      <formula>"NO APLICA"</formula>
    </cfRule>
  </conditionalFormatting>
  <conditionalFormatting sqref="W2368:X2368">
    <cfRule type="cellIs" dxfId="7802" priority="7734" stopIfTrue="1" operator="equal">
      <formula>"NO APLICA"</formula>
    </cfRule>
  </conditionalFormatting>
  <conditionalFormatting sqref="Y2368:Y2371">
    <cfRule type="cellIs" dxfId="7801" priority="7733" stopIfTrue="1" operator="equal">
      <formula>"NO APLICA"</formula>
    </cfRule>
  </conditionalFormatting>
  <conditionalFormatting sqref="T2377">
    <cfRule type="cellIs" dxfId="7800" priority="7731" operator="equal">
      <formula>"CUMPLE"</formula>
    </cfRule>
    <cfRule type="cellIs" dxfId="7799" priority="7732" operator="equal">
      <formula>"NO CUMPLE"</formula>
    </cfRule>
  </conditionalFormatting>
  <conditionalFormatting sqref="T2377:T2379">
    <cfRule type="cellIs" dxfId="7798" priority="7730" operator="equal">
      <formula>"VERIFICAR"</formula>
    </cfRule>
  </conditionalFormatting>
  <conditionalFormatting sqref="AD2363:AF2367">
    <cfRule type="cellIs" dxfId="7797" priority="7728" stopIfTrue="1" operator="equal">
      <formula>"NO"</formula>
    </cfRule>
    <cfRule type="cellIs" dxfId="7796" priority="7729" stopIfTrue="1" operator="equal">
      <formula>"SI"</formula>
    </cfRule>
  </conditionalFormatting>
  <conditionalFormatting sqref="AD2368:AF2371">
    <cfRule type="cellIs" dxfId="7795" priority="7726" stopIfTrue="1" operator="equal">
      <formula>"NO"</formula>
    </cfRule>
    <cfRule type="cellIs" dxfId="7794" priority="7727" stopIfTrue="1" operator="equal">
      <formula>"SI"</formula>
    </cfRule>
  </conditionalFormatting>
  <conditionalFormatting sqref="W2372:Y2372">
    <cfRule type="cellIs" dxfId="7793" priority="7724" stopIfTrue="1" operator="equal">
      <formula>"NO"</formula>
    </cfRule>
    <cfRule type="cellIs" dxfId="7792" priority="7725" stopIfTrue="1" operator="equal">
      <formula>"SI"</formula>
    </cfRule>
  </conditionalFormatting>
  <conditionalFormatting sqref="W2372:X2372">
    <cfRule type="cellIs" dxfId="7791" priority="7723" stopIfTrue="1" operator="equal">
      <formula>"NO APLICA"</formula>
    </cfRule>
  </conditionalFormatting>
  <conditionalFormatting sqref="Y2372">
    <cfRule type="cellIs" dxfId="7790" priority="7722" stopIfTrue="1" operator="equal">
      <formula>"NO APLICA"</formula>
    </cfRule>
  </conditionalFormatting>
  <conditionalFormatting sqref="AD2372:AF2372">
    <cfRule type="cellIs" dxfId="7789" priority="7720" stopIfTrue="1" operator="equal">
      <formula>"NO"</formula>
    </cfRule>
    <cfRule type="cellIs" dxfId="7788" priority="7721" stopIfTrue="1" operator="equal">
      <formula>"SI"</formula>
    </cfRule>
  </conditionalFormatting>
  <conditionalFormatting sqref="AE2377">
    <cfRule type="cellIs" dxfId="7787" priority="7717" stopIfTrue="1" operator="equal">
      <formula>"VERIFICAR"</formula>
    </cfRule>
    <cfRule type="cellIs" dxfId="7786" priority="7718" stopIfTrue="1" operator="equal">
      <formula>"NO CUMPLE"</formula>
    </cfRule>
    <cfRule type="cellIs" dxfId="7785" priority="7719" stopIfTrue="1" operator="equal">
      <formula>"CUMPLE"</formula>
    </cfRule>
  </conditionalFormatting>
  <conditionalFormatting sqref="AF2377">
    <cfRule type="cellIs" dxfId="7784" priority="7714" stopIfTrue="1" operator="equal">
      <formula>"VERIFICAR"</formula>
    </cfRule>
    <cfRule type="cellIs" dxfId="7783" priority="7715" stopIfTrue="1" operator="equal">
      <formula>"NO CUMPLE"</formula>
    </cfRule>
    <cfRule type="cellIs" dxfId="7782" priority="7716" stopIfTrue="1" operator="equal">
      <formula>"CUMPLE"</formula>
    </cfRule>
  </conditionalFormatting>
  <conditionalFormatting sqref="Y2380">
    <cfRule type="cellIs" dxfId="7781" priority="7713" operator="equal">
      <formula>"VERIFICAR CUADRO"</formula>
    </cfRule>
  </conditionalFormatting>
  <conditionalFormatting sqref="AC2381:AC2386">
    <cfRule type="cellIs" dxfId="7780" priority="7712" stopIfTrue="1" operator="greaterThan">
      <formula>0</formula>
    </cfRule>
  </conditionalFormatting>
  <conditionalFormatting sqref="AC2381:AC2386">
    <cfRule type="cellIs" dxfId="7779" priority="7711" stopIfTrue="1" operator="greaterThan">
      <formula>0</formula>
    </cfRule>
  </conditionalFormatting>
  <conditionalFormatting sqref="AD2381:AD2386">
    <cfRule type="containsText" dxfId="7778" priority="7709" stopIfTrue="1" operator="containsText" text="NO CUMPLE">
      <formula>NOT(ISERROR(SEARCH("NO CUMPLE",AD2381)))</formula>
    </cfRule>
    <cfRule type="containsText" dxfId="7777" priority="7710" stopIfTrue="1" operator="containsText" text="CUMPLE">
      <formula>NOT(ISERROR(SEARCH("CUMPLE",AD2381)))</formula>
    </cfRule>
  </conditionalFormatting>
  <conditionalFormatting sqref="Y2386">
    <cfRule type="containsText" dxfId="7776" priority="7707" stopIfTrue="1" operator="containsText" text="NO CUMPLE">
      <formula>NOT(ISERROR(SEARCH("NO CUMPLE",Y2386)))</formula>
    </cfRule>
    <cfRule type="containsText" dxfId="7775" priority="7708" stopIfTrue="1" operator="containsText" text="CUMPLE">
      <formula>NOT(ISERROR(SEARCH("CUMPLE",Y2386)))</formula>
    </cfRule>
  </conditionalFormatting>
  <conditionalFormatting sqref="AA2363:AA2372">
    <cfRule type="cellIs" dxfId="7774" priority="7705" stopIfTrue="1" operator="equal">
      <formula>"NO APLICA"</formula>
    </cfRule>
    <cfRule type="cellIs" dxfId="7773" priority="7706" stopIfTrue="1" operator="equal">
      <formula>"TERCIARIA"</formula>
    </cfRule>
  </conditionalFormatting>
  <conditionalFormatting sqref="AB2363:AB2372">
    <cfRule type="cellIs" dxfId="7772" priority="7703" stopIfTrue="1" operator="equal">
      <formula>"N/A"</formula>
    </cfRule>
    <cfRule type="cellIs" dxfId="7771" priority="7704" stopIfTrue="1" operator="equal">
      <formula>"NO"</formula>
    </cfRule>
  </conditionalFormatting>
  <conditionalFormatting sqref="M2393:M2402">
    <cfRule type="cellIs" dxfId="7770" priority="7702" stopIfTrue="1" operator="lessThan">
      <formula>0</formula>
    </cfRule>
  </conditionalFormatting>
  <conditionalFormatting sqref="C2395:D2401 B2394:B2401 F2395:I2401 C2394:I2394 B2402:O2402 B2393:R2393 Q2394:R2395 J2394:O2401 Q2396:Q2402 P2394:P2402">
    <cfRule type="cellIs" dxfId="7769" priority="7701" stopIfTrue="1" operator="greaterThan">
      <formula>0</formula>
    </cfRule>
  </conditionalFormatting>
  <conditionalFormatting sqref="C2395:D2401">
    <cfRule type="cellIs" dxfId="7768" priority="7700" stopIfTrue="1" operator="greaterThan">
      <formula>0</formula>
    </cfRule>
  </conditionalFormatting>
  <conditionalFormatting sqref="C2393:M2393 C2395:D2401 F2395:I2401 C2394:I2394 K2394:M2401 J2394:J2402 L2402:M2402">
    <cfRule type="cellIs" dxfId="7767" priority="7699" stopIfTrue="1" operator="greaterThan">
      <formula>0</formula>
    </cfRule>
  </conditionalFormatting>
  <conditionalFormatting sqref="M2393:M2402">
    <cfRule type="cellIs" dxfId="7766" priority="7698" stopIfTrue="1" operator="lessThan">
      <formula>0</formula>
    </cfRule>
  </conditionalFormatting>
  <conditionalFormatting sqref="J2394:J2402 L2394:O2402 C2393:O2393">
    <cfRule type="cellIs" dxfId="7765" priority="7697" stopIfTrue="1" operator="greaterThan">
      <formula>0</formula>
    </cfRule>
  </conditionalFormatting>
  <conditionalFormatting sqref="H2395:I2401 K2395:M2402">
    <cfRule type="cellIs" dxfId="7764" priority="7696" stopIfTrue="1" operator="greaterThan">
      <formula>0</formula>
    </cfRule>
  </conditionalFormatting>
  <conditionalFormatting sqref="I2394">
    <cfRule type="cellIs" dxfId="7763" priority="7695" stopIfTrue="1" operator="greaterThan">
      <formula>0</formula>
    </cfRule>
  </conditionalFormatting>
  <conditionalFormatting sqref="I2402">
    <cfRule type="cellIs" dxfId="7762" priority="7694" stopIfTrue="1" operator="greaterThan">
      <formula>0</formula>
    </cfRule>
  </conditionalFormatting>
  <conditionalFormatting sqref="E2395:E2401">
    <cfRule type="cellIs" dxfId="7761" priority="7693" stopIfTrue="1" operator="greaterThan">
      <formula>0</formula>
    </cfRule>
  </conditionalFormatting>
  <conditionalFormatting sqref="K2410:K2415">
    <cfRule type="containsText" dxfId="7760" priority="7691" stopIfTrue="1" operator="containsText" text="NO CUMPLE">
      <formula>NOT(ISERROR(SEARCH("NO CUMPLE",K2410)))</formula>
    </cfRule>
    <cfRule type="containsText" dxfId="7759" priority="7692" stopIfTrue="1" operator="containsText" text="CUMPLE">
      <formula>NOT(ISERROR(SEARCH("CUMPLE",K2410)))</formula>
    </cfRule>
  </conditionalFormatting>
  <conditionalFormatting sqref="K2416">
    <cfRule type="containsText" dxfId="7758" priority="7689" stopIfTrue="1" operator="containsText" text="NO CUMPLE">
      <formula>NOT(ISERROR(SEARCH("NO CUMPLE",K2416)))</formula>
    </cfRule>
    <cfRule type="containsText" dxfId="7757" priority="7690" stopIfTrue="1" operator="containsText" text="CUMPLE">
      <formula>NOT(ISERROR(SEARCH("CUMPLE",K2416)))</formula>
    </cfRule>
  </conditionalFormatting>
  <conditionalFormatting sqref="Q2409">
    <cfRule type="cellIs" dxfId="7756" priority="7687" operator="greaterThanOrEqual">
      <formula>NUMMINCONT</formula>
    </cfRule>
    <cfRule type="cellIs" dxfId="7755" priority="7688" operator="lessThan">
      <formula>NUMMINCONT</formula>
    </cfRule>
  </conditionalFormatting>
  <conditionalFormatting sqref="W2393:Y2401">
    <cfRule type="cellIs" dxfId="7754" priority="7685" stopIfTrue="1" operator="equal">
      <formula>"NO"</formula>
    </cfRule>
    <cfRule type="cellIs" dxfId="7753" priority="7686" stopIfTrue="1" operator="equal">
      <formula>"SI"</formula>
    </cfRule>
  </conditionalFormatting>
  <conditionalFormatting sqref="R2396">
    <cfRule type="cellIs" dxfId="7752" priority="7684" stopIfTrue="1" operator="greaterThan">
      <formula>0</formula>
    </cfRule>
  </conditionalFormatting>
  <conditionalFormatting sqref="R2397">
    <cfRule type="cellIs" dxfId="7751" priority="7683" stopIfTrue="1" operator="greaterThan">
      <formula>0</formula>
    </cfRule>
  </conditionalFormatting>
  <conditionalFormatting sqref="R2398">
    <cfRule type="cellIs" dxfId="7750" priority="7682" stopIfTrue="1" operator="greaterThan">
      <formula>0</formula>
    </cfRule>
  </conditionalFormatting>
  <conditionalFormatting sqref="R2399">
    <cfRule type="cellIs" dxfId="7749" priority="7681" stopIfTrue="1" operator="greaterThan">
      <formula>0</formula>
    </cfRule>
  </conditionalFormatting>
  <conditionalFormatting sqref="R2400">
    <cfRule type="cellIs" dxfId="7748" priority="7680" stopIfTrue="1" operator="greaterThan">
      <formula>0</formula>
    </cfRule>
  </conditionalFormatting>
  <conditionalFormatting sqref="R2401">
    <cfRule type="cellIs" dxfId="7747" priority="7679" stopIfTrue="1" operator="greaterThan">
      <formula>0</formula>
    </cfRule>
  </conditionalFormatting>
  <conditionalFormatting sqref="R2402">
    <cfRule type="cellIs" dxfId="7746" priority="7678" stopIfTrue="1" operator="greaterThan">
      <formula>0</formula>
    </cfRule>
  </conditionalFormatting>
  <conditionalFormatting sqref="W2393:X2393">
    <cfRule type="cellIs" dxfId="7745" priority="7677" stopIfTrue="1" operator="equal">
      <formula>"NO APLICA"</formula>
    </cfRule>
  </conditionalFormatting>
  <conditionalFormatting sqref="W2394:X2397">
    <cfRule type="cellIs" dxfId="7744" priority="7676" stopIfTrue="1" operator="equal">
      <formula>"NO APLICA"</formula>
    </cfRule>
  </conditionalFormatting>
  <conditionalFormatting sqref="W2394:X2394">
    <cfRule type="cellIs" dxfId="7743" priority="7675" stopIfTrue="1" operator="equal">
      <formula>"NO APLICA"</formula>
    </cfRule>
  </conditionalFormatting>
  <conditionalFormatting sqref="Y2393">
    <cfRule type="cellIs" dxfId="7742" priority="7674" stopIfTrue="1" operator="equal">
      <formula>"NO APLICA"</formula>
    </cfRule>
  </conditionalFormatting>
  <conditionalFormatting sqref="Y2394:Y2397">
    <cfRule type="cellIs" dxfId="7741" priority="7673" stopIfTrue="1" operator="equal">
      <formula>"NO APLICA"</formula>
    </cfRule>
  </conditionalFormatting>
  <conditionalFormatting sqref="W2398:X2401">
    <cfRule type="cellIs" dxfId="7740" priority="7672" stopIfTrue="1" operator="equal">
      <formula>"NO APLICA"</formula>
    </cfRule>
  </conditionalFormatting>
  <conditionalFormatting sqref="W2398:X2398">
    <cfRule type="cellIs" dxfId="7739" priority="7671" stopIfTrue="1" operator="equal">
      <formula>"NO APLICA"</formula>
    </cfRule>
  </conditionalFormatting>
  <conditionalFormatting sqref="Y2398:Y2401">
    <cfRule type="cellIs" dxfId="7738" priority="7670" stopIfTrue="1" operator="equal">
      <formula>"NO APLICA"</formula>
    </cfRule>
  </conditionalFormatting>
  <conditionalFormatting sqref="T2407">
    <cfRule type="cellIs" dxfId="7737" priority="7668" operator="equal">
      <formula>"CUMPLE"</formula>
    </cfRule>
    <cfRule type="cellIs" dxfId="7736" priority="7669" operator="equal">
      <formula>"NO CUMPLE"</formula>
    </cfRule>
  </conditionalFormatting>
  <conditionalFormatting sqref="T2407:T2409">
    <cfRule type="cellIs" dxfId="7735" priority="7667" operator="equal">
      <formula>"VERIFICAR"</formula>
    </cfRule>
  </conditionalFormatting>
  <conditionalFormatting sqref="AD2393:AF2397">
    <cfRule type="cellIs" dxfId="7734" priority="7665" stopIfTrue="1" operator="equal">
      <formula>"NO"</formula>
    </cfRule>
    <cfRule type="cellIs" dxfId="7733" priority="7666" stopIfTrue="1" operator="equal">
      <formula>"SI"</formula>
    </cfRule>
  </conditionalFormatting>
  <conditionalFormatting sqref="AD2398:AF2401">
    <cfRule type="cellIs" dxfId="7732" priority="7663" stopIfTrue="1" operator="equal">
      <formula>"NO"</formula>
    </cfRule>
    <cfRule type="cellIs" dxfId="7731" priority="7664" stopIfTrue="1" operator="equal">
      <formula>"SI"</formula>
    </cfRule>
  </conditionalFormatting>
  <conditionalFormatting sqref="W2402:Y2402">
    <cfRule type="cellIs" dxfId="7730" priority="7661" stopIfTrue="1" operator="equal">
      <formula>"NO"</formula>
    </cfRule>
    <cfRule type="cellIs" dxfId="7729" priority="7662" stopIfTrue="1" operator="equal">
      <formula>"SI"</formula>
    </cfRule>
  </conditionalFormatting>
  <conditionalFormatting sqref="W2402:X2402">
    <cfRule type="cellIs" dxfId="7728" priority="7660" stopIfTrue="1" operator="equal">
      <formula>"NO APLICA"</formula>
    </cfRule>
  </conditionalFormatting>
  <conditionalFormatting sqref="Y2402">
    <cfRule type="cellIs" dxfId="7727" priority="7659" stopIfTrue="1" operator="equal">
      <formula>"NO APLICA"</formula>
    </cfRule>
  </conditionalFormatting>
  <conditionalFormatting sqref="AD2402:AF2402">
    <cfRule type="cellIs" dxfId="7726" priority="7657" stopIfTrue="1" operator="equal">
      <formula>"NO"</formula>
    </cfRule>
    <cfRule type="cellIs" dxfId="7725" priority="7658" stopIfTrue="1" operator="equal">
      <formula>"SI"</formula>
    </cfRule>
  </conditionalFormatting>
  <conditionalFormatting sqref="AE2407">
    <cfRule type="cellIs" dxfId="7724" priority="7654" stopIfTrue="1" operator="equal">
      <formula>"VERIFICAR"</formula>
    </cfRule>
    <cfRule type="cellIs" dxfId="7723" priority="7655" stopIfTrue="1" operator="equal">
      <formula>"NO CUMPLE"</formula>
    </cfRule>
    <cfRule type="cellIs" dxfId="7722" priority="7656" stopIfTrue="1" operator="equal">
      <formula>"CUMPLE"</formula>
    </cfRule>
  </conditionalFormatting>
  <conditionalFormatting sqref="AF2407">
    <cfRule type="cellIs" dxfId="7721" priority="7651" stopIfTrue="1" operator="equal">
      <formula>"VERIFICAR"</formula>
    </cfRule>
    <cfRule type="cellIs" dxfId="7720" priority="7652" stopIfTrue="1" operator="equal">
      <formula>"NO CUMPLE"</formula>
    </cfRule>
    <cfRule type="cellIs" dxfId="7719" priority="7653" stopIfTrue="1" operator="equal">
      <formula>"CUMPLE"</formula>
    </cfRule>
  </conditionalFormatting>
  <conditionalFormatting sqref="Y2410">
    <cfRule type="cellIs" dxfId="7718" priority="7650" operator="equal">
      <formula>"VERIFICAR CUADRO"</formula>
    </cfRule>
  </conditionalFormatting>
  <conditionalFormatting sqref="AC2411:AC2416">
    <cfRule type="cellIs" dxfId="7717" priority="7649" stopIfTrue="1" operator="greaterThan">
      <formula>0</formula>
    </cfRule>
  </conditionalFormatting>
  <conditionalFormatting sqref="AC2411:AC2416">
    <cfRule type="cellIs" dxfId="7716" priority="7648" stopIfTrue="1" operator="greaterThan">
      <formula>0</formula>
    </cfRule>
  </conditionalFormatting>
  <conditionalFormatting sqref="AD2411:AD2416">
    <cfRule type="containsText" dxfId="7715" priority="7646" stopIfTrue="1" operator="containsText" text="NO CUMPLE">
      <formula>NOT(ISERROR(SEARCH("NO CUMPLE",AD2411)))</formula>
    </cfRule>
    <cfRule type="containsText" dxfId="7714" priority="7647" stopIfTrue="1" operator="containsText" text="CUMPLE">
      <formula>NOT(ISERROR(SEARCH("CUMPLE",AD2411)))</formula>
    </cfRule>
  </conditionalFormatting>
  <conditionalFormatting sqref="Y2416">
    <cfRule type="containsText" dxfId="7713" priority="7644" stopIfTrue="1" operator="containsText" text="NO CUMPLE">
      <formula>NOT(ISERROR(SEARCH("NO CUMPLE",Y2416)))</formula>
    </cfRule>
    <cfRule type="containsText" dxfId="7712" priority="7645" stopIfTrue="1" operator="containsText" text="CUMPLE">
      <formula>NOT(ISERROR(SEARCH("CUMPLE",Y2416)))</formula>
    </cfRule>
  </conditionalFormatting>
  <conditionalFormatting sqref="AA2393:AA2402">
    <cfRule type="cellIs" dxfId="7711" priority="7642" stopIfTrue="1" operator="equal">
      <formula>"NO APLICA"</formula>
    </cfRule>
    <cfRule type="cellIs" dxfId="7710" priority="7643" stopIfTrue="1" operator="equal">
      <formula>"TERCIARIA"</formula>
    </cfRule>
  </conditionalFormatting>
  <conditionalFormatting sqref="AB2393:AB2402">
    <cfRule type="cellIs" dxfId="7709" priority="7640" stopIfTrue="1" operator="equal">
      <formula>"N/A"</formula>
    </cfRule>
    <cfRule type="cellIs" dxfId="7708" priority="7641" stopIfTrue="1" operator="equal">
      <formula>"NO"</formula>
    </cfRule>
  </conditionalFormatting>
  <conditionalFormatting sqref="M2423:M2432">
    <cfRule type="cellIs" dxfId="7707" priority="7639" stopIfTrue="1" operator="lessThan">
      <formula>0</formula>
    </cfRule>
  </conditionalFormatting>
  <conditionalFormatting sqref="C2425:D2431 B2424:B2431 F2425:I2431 C2424:I2424 B2432:O2432 B2423:R2423 Q2424:R2425 J2424:O2431 Q2426:Q2432 P2424:P2432">
    <cfRule type="cellIs" dxfId="7706" priority="7638" stopIfTrue="1" operator="greaterThan">
      <formula>0</formula>
    </cfRule>
  </conditionalFormatting>
  <conditionalFormatting sqref="C2425:D2431">
    <cfRule type="cellIs" dxfId="7705" priority="7637" stopIfTrue="1" operator="greaterThan">
      <formula>0</formula>
    </cfRule>
  </conditionalFormatting>
  <conditionalFormatting sqref="C2423:M2423 C2425:D2431 F2425:I2431 C2424:I2424 K2424:M2431 J2424:J2432 L2432:M2432">
    <cfRule type="cellIs" dxfId="7704" priority="7636" stopIfTrue="1" operator="greaterThan">
      <formula>0</formula>
    </cfRule>
  </conditionalFormatting>
  <conditionalFormatting sqref="M2423:M2432">
    <cfRule type="cellIs" dxfId="7703" priority="7635" stopIfTrue="1" operator="lessThan">
      <formula>0</formula>
    </cfRule>
  </conditionalFormatting>
  <conditionalFormatting sqref="J2424:J2432 L2424:O2432 C2423:O2423">
    <cfRule type="cellIs" dxfId="7702" priority="7634" stopIfTrue="1" operator="greaterThan">
      <formula>0</formula>
    </cfRule>
  </conditionalFormatting>
  <conditionalFormatting sqref="H2425:I2431 K2425:M2432">
    <cfRule type="cellIs" dxfId="7701" priority="7633" stopIfTrue="1" operator="greaterThan">
      <formula>0</formula>
    </cfRule>
  </conditionalFormatting>
  <conditionalFormatting sqref="I2424">
    <cfRule type="cellIs" dxfId="7700" priority="7632" stopIfTrue="1" operator="greaterThan">
      <formula>0</formula>
    </cfRule>
  </conditionalFormatting>
  <conditionalFormatting sqref="I2432">
    <cfRule type="cellIs" dxfId="7699" priority="7631" stopIfTrue="1" operator="greaterThan">
      <formula>0</formula>
    </cfRule>
  </conditionalFormatting>
  <conditionalFormatting sqref="E2425:E2431">
    <cfRule type="cellIs" dxfId="7698" priority="7630" stopIfTrue="1" operator="greaterThan">
      <formula>0</formula>
    </cfRule>
  </conditionalFormatting>
  <conditionalFormatting sqref="K2440:K2445">
    <cfRule type="containsText" dxfId="7697" priority="7628" stopIfTrue="1" operator="containsText" text="NO CUMPLE">
      <formula>NOT(ISERROR(SEARCH("NO CUMPLE",K2440)))</formula>
    </cfRule>
    <cfRule type="containsText" dxfId="7696" priority="7629" stopIfTrue="1" operator="containsText" text="CUMPLE">
      <formula>NOT(ISERROR(SEARCH("CUMPLE",K2440)))</formula>
    </cfRule>
  </conditionalFormatting>
  <conditionalFormatting sqref="K2446">
    <cfRule type="containsText" dxfId="7695" priority="7626" stopIfTrue="1" operator="containsText" text="NO CUMPLE">
      <formula>NOT(ISERROR(SEARCH("NO CUMPLE",K2446)))</formula>
    </cfRule>
    <cfRule type="containsText" dxfId="7694" priority="7627" stopIfTrue="1" operator="containsText" text="CUMPLE">
      <formula>NOT(ISERROR(SEARCH("CUMPLE",K2446)))</formula>
    </cfRule>
  </conditionalFormatting>
  <conditionalFormatting sqref="Q2439">
    <cfRule type="cellIs" dxfId="7693" priority="7624" operator="greaterThanOrEqual">
      <formula>NUMMINCONT</formula>
    </cfRule>
    <cfRule type="cellIs" dxfId="7692" priority="7625" operator="lessThan">
      <formula>NUMMINCONT</formula>
    </cfRule>
  </conditionalFormatting>
  <conditionalFormatting sqref="W2423:Y2431">
    <cfRule type="cellIs" dxfId="7691" priority="7622" stopIfTrue="1" operator="equal">
      <formula>"NO"</formula>
    </cfRule>
    <cfRule type="cellIs" dxfId="7690" priority="7623" stopIfTrue="1" operator="equal">
      <formula>"SI"</formula>
    </cfRule>
  </conditionalFormatting>
  <conditionalFormatting sqref="R2426">
    <cfRule type="cellIs" dxfId="7689" priority="7621" stopIfTrue="1" operator="greaterThan">
      <formula>0</formula>
    </cfRule>
  </conditionalFormatting>
  <conditionalFormatting sqref="R2427">
    <cfRule type="cellIs" dxfId="7688" priority="7620" stopIfTrue="1" operator="greaterThan">
      <formula>0</formula>
    </cfRule>
  </conditionalFormatting>
  <conditionalFormatting sqref="R2428">
    <cfRule type="cellIs" dxfId="7687" priority="7619" stopIfTrue="1" operator="greaterThan">
      <formula>0</formula>
    </cfRule>
  </conditionalFormatting>
  <conditionalFormatting sqref="R2429">
    <cfRule type="cellIs" dxfId="7686" priority="7618" stopIfTrue="1" operator="greaterThan">
      <formula>0</formula>
    </cfRule>
  </conditionalFormatting>
  <conditionalFormatting sqref="R2430">
    <cfRule type="cellIs" dxfId="7685" priority="7617" stopIfTrue="1" operator="greaterThan">
      <formula>0</formula>
    </cfRule>
  </conditionalFormatting>
  <conditionalFormatting sqref="R2431">
    <cfRule type="cellIs" dxfId="7684" priority="7616" stopIfTrue="1" operator="greaterThan">
      <formula>0</formula>
    </cfRule>
  </conditionalFormatting>
  <conditionalFormatting sqref="R2432">
    <cfRule type="cellIs" dxfId="7683" priority="7615" stopIfTrue="1" operator="greaterThan">
      <formula>0</formula>
    </cfRule>
  </conditionalFormatting>
  <conditionalFormatting sqref="W2423:X2423">
    <cfRule type="cellIs" dxfId="7682" priority="7614" stopIfTrue="1" operator="equal">
      <formula>"NO APLICA"</formula>
    </cfRule>
  </conditionalFormatting>
  <conditionalFormatting sqref="W2424:X2427">
    <cfRule type="cellIs" dxfId="7681" priority="7613" stopIfTrue="1" operator="equal">
      <formula>"NO APLICA"</formula>
    </cfRule>
  </conditionalFormatting>
  <conditionalFormatting sqref="W2424:X2424">
    <cfRule type="cellIs" dxfId="7680" priority="7612" stopIfTrue="1" operator="equal">
      <formula>"NO APLICA"</formula>
    </cfRule>
  </conditionalFormatting>
  <conditionalFormatting sqref="Y2423">
    <cfRule type="cellIs" dxfId="7679" priority="7611" stopIfTrue="1" operator="equal">
      <formula>"NO APLICA"</formula>
    </cfRule>
  </conditionalFormatting>
  <conditionalFormatting sqref="Y2424:Y2427">
    <cfRule type="cellIs" dxfId="7678" priority="7610" stopIfTrue="1" operator="equal">
      <formula>"NO APLICA"</formula>
    </cfRule>
  </conditionalFormatting>
  <conditionalFormatting sqref="W2428:X2431">
    <cfRule type="cellIs" dxfId="7677" priority="7609" stopIfTrue="1" operator="equal">
      <formula>"NO APLICA"</formula>
    </cfRule>
  </conditionalFormatting>
  <conditionalFormatting sqref="W2428:X2428">
    <cfRule type="cellIs" dxfId="7676" priority="7608" stopIfTrue="1" operator="equal">
      <formula>"NO APLICA"</formula>
    </cfRule>
  </conditionalFormatting>
  <conditionalFormatting sqref="Y2428:Y2431">
    <cfRule type="cellIs" dxfId="7675" priority="7607" stopIfTrue="1" operator="equal">
      <formula>"NO APLICA"</formula>
    </cfRule>
  </conditionalFormatting>
  <conditionalFormatting sqref="T2437">
    <cfRule type="cellIs" dxfId="7674" priority="7605" operator="equal">
      <formula>"CUMPLE"</formula>
    </cfRule>
    <cfRule type="cellIs" dxfId="7673" priority="7606" operator="equal">
      <formula>"NO CUMPLE"</formula>
    </cfRule>
  </conditionalFormatting>
  <conditionalFormatting sqref="T2437:T2439">
    <cfRule type="cellIs" dxfId="7672" priority="7604" operator="equal">
      <formula>"VERIFICAR"</formula>
    </cfRule>
  </conditionalFormatting>
  <conditionalFormatting sqref="AD2423:AF2427">
    <cfRule type="cellIs" dxfId="7671" priority="7602" stopIfTrue="1" operator="equal">
      <formula>"NO"</formula>
    </cfRule>
    <cfRule type="cellIs" dxfId="7670" priority="7603" stopIfTrue="1" operator="equal">
      <formula>"SI"</formula>
    </cfRule>
  </conditionalFormatting>
  <conditionalFormatting sqref="AD2428:AF2431">
    <cfRule type="cellIs" dxfId="7669" priority="7600" stopIfTrue="1" operator="equal">
      <formula>"NO"</formula>
    </cfRule>
    <cfRule type="cellIs" dxfId="7668" priority="7601" stopIfTrue="1" operator="equal">
      <formula>"SI"</formula>
    </cfRule>
  </conditionalFormatting>
  <conditionalFormatting sqref="W2432:Y2432">
    <cfRule type="cellIs" dxfId="7667" priority="7598" stopIfTrue="1" operator="equal">
      <formula>"NO"</formula>
    </cfRule>
    <cfRule type="cellIs" dxfId="7666" priority="7599" stopIfTrue="1" operator="equal">
      <formula>"SI"</formula>
    </cfRule>
  </conditionalFormatting>
  <conditionalFormatting sqref="W2432:X2432">
    <cfRule type="cellIs" dxfId="7665" priority="7597" stopIfTrue="1" operator="equal">
      <formula>"NO APLICA"</formula>
    </cfRule>
  </conditionalFormatting>
  <conditionalFormatting sqref="Y2432">
    <cfRule type="cellIs" dxfId="7664" priority="7596" stopIfTrue="1" operator="equal">
      <formula>"NO APLICA"</formula>
    </cfRule>
  </conditionalFormatting>
  <conditionalFormatting sqref="AD2432:AF2432">
    <cfRule type="cellIs" dxfId="7663" priority="7594" stopIfTrue="1" operator="equal">
      <formula>"NO"</formula>
    </cfRule>
    <cfRule type="cellIs" dxfId="7662" priority="7595" stopIfTrue="1" operator="equal">
      <formula>"SI"</formula>
    </cfRule>
  </conditionalFormatting>
  <conditionalFormatting sqref="AE2437">
    <cfRule type="cellIs" dxfId="7661" priority="7591" stopIfTrue="1" operator="equal">
      <formula>"VERIFICAR"</formula>
    </cfRule>
    <cfRule type="cellIs" dxfId="7660" priority="7592" stopIfTrue="1" operator="equal">
      <formula>"NO CUMPLE"</formula>
    </cfRule>
    <cfRule type="cellIs" dxfId="7659" priority="7593" stopIfTrue="1" operator="equal">
      <formula>"CUMPLE"</formula>
    </cfRule>
  </conditionalFormatting>
  <conditionalFormatting sqref="AF2437">
    <cfRule type="cellIs" dxfId="7658" priority="7588" stopIfTrue="1" operator="equal">
      <formula>"VERIFICAR"</formula>
    </cfRule>
    <cfRule type="cellIs" dxfId="7657" priority="7589" stopIfTrue="1" operator="equal">
      <formula>"NO CUMPLE"</formula>
    </cfRule>
    <cfRule type="cellIs" dxfId="7656" priority="7590" stopIfTrue="1" operator="equal">
      <formula>"CUMPLE"</formula>
    </cfRule>
  </conditionalFormatting>
  <conditionalFormatting sqref="Y2440">
    <cfRule type="cellIs" dxfId="7655" priority="7587" operator="equal">
      <formula>"VERIFICAR CUADRO"</formula>
    </cfRule>
  </conditionalFormatting>
  <conditionalFormatting sqref="AC2441:AC2446">
    <cfRule type="cellIs" dxfId="7654" priority="7586" stopIfTrue="1" operator="greaterThan">
      <formula>0</formula>
    </cfRule>
  </conditionalFormatting>
  <conditionalFormatting sqref="AC2441:AC2446">
    <cfRule type="cellIs" dxfId="7653" priority="7585" stopIfTrue="1" operator="greaterThan">
      <formula>0</formula>
    </cfRule>
  </conditionalFormatting>
  <conditionalFormatting sqref="AD2441:AD2446">
    <cfRule type="containsText" dxfId="7652" priority="7583" stopIfTrue="1" operator="containsText" text="NO CUMPLE">
      <formula>NOT(ISERROR(SEARCH("NO CUMPLE",AD2441)))</formula>
    </cfRule>
    <cfRule type="containsText" dxfId="7651" priority="7584" stopIfTrue="1" operator="containsText" text="CUMPLE">
      <formula>NOT(ISERROR(SEARCH("CUMPLE",AD2441)))</formula>
    </cfRule>
  </conditionalFormatting>
  <conditionalFormatting sqref="Y2446">
    <cfRule type="containsText" dxfId="7650" priority="7581" stopIfTrue="1" operator="containsText" text="NO CUMPLE">
      <formula>NOT(ISERROR(SEARCH("NO CUMPLE",Y2446)))</formula>
    </cfRule>
    <cfRule type="containsText" dxfId="7649" priority="7582" stopIfTrue="1" operator="containsText" text="CUMPLE">
      <formula>NOT(ISERROR(SEARCH("CUMPLE",Y2446)))</formula>
    </cfRule>
  </conditionalFormatting>
  <conditionalFormatting sqref="AA2423:AA2432">
    <cfRule type="cellIs" dxfId="7648" priority="7579" stopIfTrue="1" operator="equal">
      <formula>"NO APLICA"</formula>
    </cfRule>
    <cfRule type="cellIs" dxfId="7647" priority="7580" stopIfTrue="1" operator="equal">
      <formula>"TERCIARIA"</formula>
    </cfRule>
  </conditionalFormatting>
  <conditionalFormatting sqref="AB2423:AB2432">
    <cfRule type="cellIs" dxfId="7646" priority="7577" stopIfTrue="1" operator="equal">
      <formula>"N/A"</formula>
    </cfRule>
    <cfRule type="cellIs" dxfId="7645" priority="7578" stopIfTrue="1" operator="equal">
      <formula>"NO"</formula>
    </cfRule>
  </conditionalFormatting>
  <conditionalFormatting sqref="M2453:M2462">
    <cfRule type="cellIs" dxfId="7644" priority="7576" stopIfTrue="1" operator="lessThan">
      <formula>0</formula>
    </cfRule>
  </conditionalFormatting>
  <conditionalFormatting sqref="C2455:D2461 B2454:B2461 F2455:I2461 C2454:I2454 B2462:O2462 B2453:R2453 Q2454:R2455 J2454:O2461 Q2456:Q2462 P2454:P2462">
    <cfRule type="cellIs" dxfId="7643" priority="7575" stopIfTrue="1" operator="greaterThan">
      <formula>0</formula>
    </cfRule>
  </conditionalFormatting>
  <conditionalFormatting sqref="C2455:D2461">
    <cfRule type="cellIs" dxfId="7642" priority="7574" stopIfTrue="1" operator="greaterThan">
      <formula>0</formula>
    </cfRule>
  </conditionalFormatting>
  <conditionalFormatting sqref="C2453:M2453 C2455:D2461 F2455:I2461 C2454:I2454 K2454:M2461 J2454:J2462 L2462:M2462">
    <cfRule type="cellIs" dxfId="7641" priority="7573" stopIfTrue="1" operator="greaterThan">
      <formula>0</formula>
    </cfRule>
  </conditionalFormatting>
  <conditionalFormatting sqref="M2453:M2462">
    <cfRule type="cellIs" dxfId="7640" priority="7572" stopIfTrue="1" operator="lessThan">
      <formula>0</formula>
    </cfRule>
  </conditionalFormatting>
  <conditionalFormatting sqref="J2454:J2462 L2454:O2462 C2453:O2453">
    <cfRule type="cellIs" dxfId="7639" priority="7571" stopIfTrue="1" operator="greaterThan">
      <formula>0</formula>
    </cfRule>
  </conditionalFormatting>
  <conditionalFormatting sqref="H2455:I2461 K2455:M2462">
    <cfRule type="cellIs" dxfId="7638" priority="7570" stopIfTrue="1" operator="greaterThan">
      <formula>0</formula>
    </cfRule>
  </conditionalFormatting>
  <conditionalFormatting sqref="I2454">
    <cfRule type="cellIs" dxfId="7637" priority="7569" stopIfTrue="1" operator="greaterThan">
      <formula>0</formula>
    </cfRule>
  </conditionalFormatting>
  <conditionalFormatting sqref="I2462">
    <cfRule type="cellIs" dxfId="7636" priority="7568" stopIfTrue="1" operator="greaterThan">
      <formula>0</formula>
    </cfRule>
  </conditionalFormatting>
  <conditionalFormatting sqref="E2455:E2461">
    <cfRule type="cellIs" dxfId="7635" priority="7567" stopIfTrue="1" operator="greaterThan">
      <formula>0</formula>
    </cfRule>
  </conditionalFormatting>
  <conditionalFormatting sqref="K2470:K2475">
    <cfRule type="containsText" dxfId="7634" priority="7565" stopIfTrue="1" operator="containsText" text="NO CUMPLE">
      <formula>NOT(ISERROR(SEARCH("NO CUMPLE",K2470)))</formula>
    </cfRule>
    <cfRule type="containsText" dxfId="7633" priority="7566" stopIfTrue="1" operator="containsText" text="CUMPLE">
      <formula>NOT(ISERROR(SEARCH("CUMPLE",K2470)))</formula>
    </cfRule>
  </conditionalFormatting>
  <conditionalFormatting sqref="K2476">
    <cfRule type="containsText" dxfId="7632" priority="7563" stopIfTrue="1" operator="containsText" text="NO CUMPLE">
      <formula>NOT(ISERROR(SEARCH("NO CUMPLE",K2476)))</formula>
    </cfRule>
    <cfRule type="containsText" dxfId="7631" priority="7564" stopIfTrue="1" operator="containsText" text="CUMPLE">
      <formula>NOT(ISERROR(SEARCH("CUMPLE",K2476)))</formula>
    </cfRule>
  </conditionalFormatting>
  <conditionalFormatting sqref="Q2469">
    <cfRule type="cellIs" dxfId="7630" priority="7561" operator="greaterThanOrEqual">
      <formula>NUMMINCONT</formula>
    </cfRule>
    <cfRule type="cellIs" dxfId="7629" priority="7562" operator="lessThan">
      <formula>NUMMINCONT</formula>
    </cfRule>
  </conditionalFormatting>
  <conditionalFormatting sqref="W2453:Y2461">
    <cfRule type="cellIs" dxfId="7628" priority="7559" stopIfTrue="1" operator="equal">
      <formula>"NO"</formula>
    </cfRule>
    <cfRule type="cellIs" dxfId="7627" priority="7560" stopIfTrue="1" operator="equal">
      <formula>"SI"</formula>
    </cfRule>
  </conditionalFormatting>
  <conditionalFormatting sqref="R2456">
    <cfRule type="cellIs" dxfId="7626" priority="7558" stopIfTrue="1" operator="greaterThan">
      <formula>0</formula>
    </cfRule>
  </conditionalFormatting>
  <conditionalFormatting sqref="R2457">
    <cfRule type="cellIs" dxfId="7625" priority="7557" stopIfTrue="1" operator="greaterThan">
      <formula>0</formula>
    </cfRule>
  </conditionalFormatting>
  <conditionalFormatting sqref="R2458">
    <cfRule type="cellIs" dxfId="7624" priority="7556" stopIfTrue="1" operator="greaterThan">
      <formula>0</formula>
    </cfRule>
  </conditionalFormatting>
  <conditionalFormatting sqref="R2459">
    <cfRule type="cellIs" dxfId="7623" priority="7555" stopIfTrue="1" operator="greaterThan">
      <formula>0</formula>
    </cfRule>
  </conditionalFormatting>
  <conditionalFormatting sqref="R2460">
    <cfRule type="cellIs" dxfId="7622" priority="7554" stopIfTrue="1" operator="greaterThan">
      <formula>0</formula>
    </cfRule>
  </conditionalFormatting>
  <conditionalFormatting sqref="R2461">
    <cfRule type="cellIs" dxfId="7621" priority="7553" stopIfTrue="1" operator="greaterThan">
      <formula>0</formula>
    </cfRule>
  </conditionalFormatting>
  <conditionalFormatting sqref="R2462">
    <cfRule type="cellIs" dxfId="7620" priority="7552" stopIfTrue="1" operator="greaterThan">
      <formula>0</formula>
    </cfRule>
  </conditionalFormatting>
  <conditionalFormatting sqref="W2453:X2453">
    <cfRule type="cellIs" dxfId="7619" priority="7551" stopIfTrue="1" operator="equal">
      <formula>"NO APLICA"</formula>
    </cfRule>
  </conditionalFormatting>
  <conditionalFormatting sqref="W2454:X2457">
    <cfRule type="cellIs" dxfId="7618" priority="7550" stopIfTrue="1" operator="equal">
      <formula>"NO APLICA"</formula>
    </cfRule>
  </conditionalFormatting>
  <conditionalFormatting sqref="W2454:X2454">
    <cfRule type="cellIs" dxfId="7617" priority="7549" stopIfTrue="1" operator="equal">
      <formula>"NO APLICA"</formula>
    </cfRule>
  </conditionalFormatting>
  <conditionalFormatting sqref="Y2453">
    <cfRule type="cellIs" dxfId="7616" priority="7548" stopIfTrue="1" operator="equal">
      <formula>"NO APLICA"</formula>
    </cfRule>
  </conditionalFormatting>
  <conditionalFormatting sqref="Y2454:Y2457">
    <cfRule type="cellIs" dxfId="7615" priority="7547" stopIfTrue="1" operator="equal">
      <formula>"NO APLICA"</formula>
    </cfRule>
  </conditionalFormatting>
  <conditionalFormatting sqref="W2458:X2461">
    <cfRule type="cellIs" dxfId="7614" priority="7546" stopIfTrue="1" operator="equal">
      <formula>"NO APLICA"</formula>
    </cfRule>
  </conditionalFormatting>
  <conditionalFormatting sqref="W2458:X2458">
    <cfRule type="cellIs" dxfId="7613" priority="7545" stopIfTrue="1" operator="equal">
      <formula>"NO APLICA"</formula>
    </cfRule>
  </conditionalFormatting>
  <conditionalFormatting sqref="Y2458:Y2461">
    <cfRule type="cellIs" dxfId="7612" priority="7544" stopIfTrue="1" operator="equal">
      <formula>"NO APLICA"</formula>
    </cfRule>
  </conditionalFormatting>
  <conditionalFormatting sqref="T2467">
    <cfRule type="cellIs" dxfId="7611" priority="7542" operator="equal">
      <formula>"CUMPLE"</formula>
    </cfRule>
    <cfRule type="cellIs" dxfId="7610" priority="7543" operator="equal">
      <formula>"NO CUMPLE"</formula>
    </cfRule>
  </conditionalFormatting>
  <conditionalFormatting sqref="T2467:T2469">
    <cfRule type="cellIs" dxfId="7609" priority="7541" operator="equal">
      <formula>"VERIFICAR"</formula>
    </cfRule>
  </conditionalFormatting>
  <conditionalFormatting sqref="AD2453:AF2457">
    <cfRule type="cellIs" dxfId="7608" priority="7539" stopIfTrue="1" operator="equal">
      <formula>"NO"</formula>
    </cfRule>
    <cfRule type="cellIs" dxfId="7607" priority="7540" stopIfTrue="1" operator="equal">
      <formula>"SI"</formula>
    </cfRule>
  </conditionalFormatting>
  <conditionalFormatting sqref="AD2458:AF2461">
    <cfRule type="cellIs" dxfId="7606" priority="7537" stopIfTrue="1" operator="equal">
      <formula>"NO"</formula>
    </cfRule>
    <cfRule type="cellIs" dxfId="7605" priority="7538" stopIfTrue="1" operator="equal">
      <formula>"SI"</formula>
    </cfRule>
  </conditionalFormatting>
  <conditionalFormatting sqref="W2462:Y2462">
    <cfRule type="cellIs" dxfId="7604" priority="7535" stopIfTrue="1" operator="equal">
      <formula>"NO"</formula>
    </cfRule>
    <cfRule type="cellIs" dxfId="7603" priority="7536" stopIfTrue="1" operator="equal">
      <formula>"SI"</formula>
    </cfRule>
  </conditionalFormatting>
  <conditionalFormatting sqref="W2462:X2462">
    <cfRule type="cellIs" dxfId="7602" priority="7534" stopIfTrue="1" operator="equal">
      <formula>"NO APLICA"</formula>
    </cfRule>
  </conditionalFormatting>
  <conditionalFormatting sqref="Y2462">
    <cfRule type="cellIs" dxfId="7601" priority="7533" stopIfTrue="1" operator="equal">
      <formula>"NO APLICA"</formula>
    </cfRule>
  </conditionalFormatting>
  <conditionalFormatting sqref="AD2462:AF2462">
    <cfRule type="cellIs" dxfId="7600" priority="7531" stopIfTrue="1" operator="equal">
      <formula>"NO"</formula>
    </cfRule>
    <cfRule type="cellIs" dxfId="7599" priority="7532" stopIfTrue="1" operator="equal">
      <formula>"SI"</formula>
    </cfRule>
  </conditionalFormatting>
  <conditionalFormatting sqref="AE2467">
    <cfRule type="cellIs" dxfId="7598" priority="7528" stopIfTrue="1" operator="equal">
      <formula>"VERIFICAR"</formula>
    </cfRule>
    <cfRule type="cellIs" dxfId="7597" priority="7529" stopIfTrue="1" operator="equal">
      <formula>"NO CUMPLE"</formula>
    </cfRule>
    <cfRule type="cellIs" dxfId="7596" priority="7530" stopIfTrue="1" operator="equal">
      <formula>"CUMPLE"</formula>
    </cfRule>
  </conditionalFormatting>
  <conditionalFormatting sqref="AF2467">
    <cfRule type="cellIs" dxfId="7595" priority="7525" stopIfTrue="1" operator="equal">
      <formula>"VERIFICAR"</formula>
    </cfRule>
    <cfRule type="cellIs" dxfId="7594" priority="7526" stopIfTrue="1" operator="equal">
      <formula>"NO CUMPLE"</formula>
    </cfRule>
    <cfRule type="cellIs" dxfId="7593" priority="7527" stopIfTrue="1" operator="equal">
      <formula>"CUMPLE"</formula>
    </cfRule>
  </conditionalFormatting>
  <conditionalFormatting sqref="Y2470">
    <cfRule type="cellIs" dxfId="7592" priority="7524" operator="equal">
      <formula>"VERIFICAR CUADRO"</formula>
    </cfRule>
  </conditionalFormatting>
  <conditionalFormatting sqref="AC2471:AC2476">
    <cfRule type="cellIs" dxfId="7591" priority="7523" stopIfTrue="1" operator="greaterThan">
      <formula>0</formula>
    </cfRule>
  </conditionalFormatting>
  <conditionalFormatting sqref="AC2471:AC2476">
    <cfRule type="cellIs" dxfId="7590" priority="7522" stopIfTrue="1" operator="greaterThan">
      <formula>0</formula>
    </cfRule>
  </conditionalFormatting>
  <conditionalFormatting sqref="AD2471:AD2476">
    <cfRule type="containsText" dxfId="7589" priority="7520" stopIfTrue="1" operator="containsText" text="NO CUMPLE">
      <formula>NOT(ISERROR(SEARCH("NO CUMPLE",AD2471)))</formula>
    </cfRule>
    <cfRule type="containsText" dxfId="7588" priority="7521" stopIfTrue="1" operator="containsText" text="CUMPLE">
      <formula>NOT(ISERROR(SEARCH("CUMPLE",AD2471)))</formula>
    </cfRule>
  </conditionalFormatting>
  <conditionalFormatting sqref="Y2476">
    <cfRule type="containsText" dxfId="7587" priority="7518" stopIfTrue="1" operator="containsText" text="NO CUMPLE">
      <formula>NOT(ISERROR(SEARCH("NO CUMPLE",Y2476)))</formula>
    </cfRule>
    <cfRule type="containsText" dxfId="7586" priority="7519" stopIfTrue="1" operator="containsText" text="CUMPLE">
      <formula>NOT(ISERROR(SEARCH("CUMPLE",Y2476)))</formula>
    </cfRule>
  </conditionalFormatting>
  <conditionalFormatting sqref="AA2453:AA2462">
    <cfRule type="cellIs" dxfId="7585" priority="7516" stopIfTrue="1" operator="equal">
      <formula>"NO APLICA"</formula>
    </cfRule>
    <cfRule type="cellIs" dxfId="7584" priority="7517" stopIfTrue="1" operator="equal">
      <formula>"TERCIARIA"</formula>
    </cfRule>
  </conditionalFormatting>
  <conditionalFormatting sqref="AB2453:AB2462">
    <cfRule type="cellIs" dxfId="7583" priority="7514" stopIfTrue="1" operator="equal">
      <formula>"N/A"</formula>
    </cfRule>
    <cfRule type="cellIs" dxfId="7582" priority="7515" stopIfTrue="1" operator="equal">
      <formula>"NO"</formula>
    </cfRule>
  </conditionalFormatting>
  <conditionalFormatting sqref="M2483:M2492">
    <cfRule type="cellIs" dxfId="7581" priority="7513" stopIfTrue="1" operator="lessThan">
      <formula>0</formula>
    </cfRule>
  </conditionalFormatting>
  <conditionalFormatting sqref="C2485:D2491 B2484:B2491 F2485:I2491 C2484:I2484 B2492:O2492 B2483:R2483 Q2484:R2485 J2484:O2491 Q2486:Q2492 P2484:P2492">
    <cfRule type="cellIs" dxfId="7580" priority="7512" stopIfTrue="1" operator="greaterThan">
      <formula>0</formula>
    </cfRule>
  </conditionalFormatting>
  <conditionalFormatting sqref="C2485:D2491">
    <cfRule type="cellIs" dxfId="7579" priority="7511" stopIfTrue="1" operator="greaterThan">
      <formula>0</formula>
    </cfRule>
  </conditionalFormatting>
  <conditionalFormatting sqref="C2483:M2483 C2485:D2491 F2485:I2491 C2484:I2484 K2484:M2491 J2484:J2492 L2492:M2492">
    <cfRule type="cellIs" dxfId="7578" priority="7510" stopIfTrue="1" operator="greaterThan">
      <formula>0</formula>
    </cfRule>
  </conditionalFormatting>
  <conditionalFormatting sqref="M2483:M2492">
    <cfRule type="cellIs" dxfId="7577" priority="7509" stopIfTrue="1" operator="lessThan">
      <formula>0</formula>
    </cfRule>
  </conditionalFormatting>
  <conditionalFormatting sqref="J2484:J2492 L2484:O2492 C2483:O2483">
    <cfRule type="cellIs" dxfId="7576" priority="7508" stopIfTrue="1" operator="greaterThan">
      <formula>0</formula>
    </cfRule>
  </conditionalFormatting>
  <conditionalFormatting sqref="H2485:I2491 K2485:M2492">
    <cfRule type="cellIs" dxfId="7575" priority="7507" stopIfTrue="1" operator="greaterThan">
      <formula>0</formula>
    </cfRule>
  </conditionalFormatting>
  <conditionalFormatting sqref="I2484">
    <cfRule type="cellIs" dxfId="7574" priority="7506" stopIfTrue="1" operator="greaterThan">
      <formula>0</formula>
    </cfRule>
  </conditionalFormatting>
  <conditionalFormatting sqref="I2492">
    <cfRule type="cellIs" dxfId="7573" priority="7505" stopIfTrue="1" operator="greaterThan">
      <formula>0</formula>
    </cfRule>
  </conditionalFormatting>
  <conditionalFormatting sqref="E2485:E2491">
    <cfRule type="cellIs" dxfId="7572" priority="7504" stopIfTrue="1" operator="greaterThan">
      <formula>0</formula>
    </cfRule>
  </conditionalFormatting>
  <conditionalFormatting sqref="K2500:K2505">
    <cfRule type="containsText" dxfId="7571" priority="7502" stopIfTrue="1" operator="containsText" text="NO CUMPLE">
      <formula>NOT(ISERROR(SEARCH("NO CUMPLE",K2500)))</formula>
    </cfRule>
    <cfRule type="containsText" dxfId="7570" priority="7503" stopIfTrue="1" operator="containsText" text="CUMPLE">
      <formula>NOT(ISERROR(SEARCH("CUMPLE",K2500)))</formula>
    </cfRule>
  </conditionalFormatting>
  <conditionalFormatting sqref="K2506">
    <cfRule type="containsText" dxfId="7569" priority="7500" stopIfTrue="1" operator="containsText" text="NO CUMPLE">
      <formula>NOT(ISERROR(SEARCH("NO CUMPLE",K2506)))</formula>
    </cfRule>
    <cfRule type="containsText" dxfId="7568" priority="7501" stopIfTrue="1" operator="containsText" text="CUMPLE">
      <formula>NOT(ISERROR(SEARCH("CUMPLE",K2506)))</formula>
    </cfRule>
  </conditionalFormatting>
  <conditionalFormatting sqref="Q2499">
    <cfRule type="cellIs" dxfId="7567" priority="7498" operator="greaterThanOrEqual">
      <formula>NUMMINCONT</formula>
    </cfRule>
    <cfRule type="cellIs" dxfId="7566" priority="7499" operator="lessThan">
      <formula>NUMMINCONT</formula>
    </cfRule>
  </conditionalFormatting>
  <conditionalFormatting sqref="W2483:Y2491">
    <cfRule type="cellIs" dxfId="7565" priority="7496" stopIfTrue="1" operator="equal">
      <formula>"NO"</formula>
    </cfRule>
    <cfRule type="cellIs" dxfId="7564" priority="7497" stopIfTrue="1" operator="equal">
      <formula>"SI"</formula>
    </cfRule>
  </conditionalFormatting>
  <conditionalFormatting sqref="R2486">
    <cfRule type="cellIs" dxfId="7563" priority="7495" stopIfTrue="1" operator="greaterThan">
      <formula>0</formula>
    </cfRule>
  </conditionalFormatting>
  <conditionalFormatting sqref="R2487">
    <cfRule type="cellIs" dxfId="7562" priority="7494" stopIfTrue="1" operator="greaterThan">
      <formula>0</formula>
    </cfRule>
  </conditionalFormatting>
  <conditionalFormatting sqref="R2488">
    <cfRule type="cellIs" dxfId="7561" priority="7493" stopIfTrue="1" operator="greaterThan">
      <formula>0</formula>
    </cfRule>
  </conditionalFormatting>
  <conditionalFormatting sqref="R2489">
    <cfRule type="cellIs" dxfId="7560" priority="7492" stopIfTrue="1" operator="greaterThan">
      <formula>0</formula>
    </cfRule>
  </conditionalFormatting>
  <conditionalFormatting sqref="R2490">
    <cfRule type="cellIs" dxfId="7559" priority="7491" stopIfTrue="1" operator="greaterThan">
      <formula>0</formula>
    </cfRule>
  </conditionalFormatting>
  <conditionalFormatting sqref="R2491">
    <cfRule type="cellIs" dxfId="7558" priority="7490" stopIfTrue="1" operator="greaterThan">
      <formula>0</formula>
    </cfRule>
  </conditionalFormatting>
  <conditionalFormatting sqref="R2492">
    <cfRule type="cellIs" dxfId="7557" priority="7489" stopIfTrue="1" operator="greaterThan">
      <formula>0</formula>
    </cfRule>
  </conditionalFormatting>
  <conditionalFormatting sqref="W2483:X2483">
    <cfRule type="cellIs" dxfId="7556" priority="7488" stopIfTrue="1" operator="equal">
      <formula>"NO APLICA"</formula>
    </cfRule>
  </conditionalFormatting>
  <conditionalFormatting sqref="W2484:X2487">
    <cfRule type="cellIs" dxfId="7555" priority="7487" stopIfTrue="1" operator="equal">
      <formula>"NO APLICA"</formula>
    </cfRule>
  </conditionalFormatting>
  <conditionalFormatting sqref="W2484:X2484">
    <cfRule type="cellIs" dxfId="7554" priority="7486" stopIfTrue="1" operator="equal">
      <formula>"NO APLICA"</formula>
    </cfRule>
  </conditionalFormatting>
  <conditionalFormatting sqref="Y2483">
    <cfRule type="cellIs" dxfId="7553" priority="7485" stopIfTrue="1" operator="equal">
      <formula>"NO APLICA"</formula>
    </cfRule>
  </conditionalFormatting>
  <conditionalFormatting sqref="Y2484:Y2487">
    <cfRule type="cellIs" dxfId="7552" priority="7484" stopIfTrue="1" operator="equal">
      <formula>"NO APLICA"</formula>
    </cfRule>
  </conditionalFormatting>
  <conditionalFormatting sqref="W2488:X2491">
    <cfRule type="cellIs" dxfId="7551" priority="7483" stopIfTrue="1" operator="equal">
      <formula>"NO APLICA"</formula>
    </cfRule>
  </conditionalFormatting>
  <conditionalFormatting sqref="W2488:X2488">
    <cfRule type="cellIs" dxfId="7550" priority="7482" stopIfTrue="1" operator="equal">
      <formula>"NO APLICA"</formula>
    </cfRule>
  </conditionalFormatting>
  <conditionalFormatting sqref="Y2488:Y2491">
    <cfRule type="cellIs" dxfId="7549" priority="7481" stopIfTrue="1" operator="equal">
      <formula>"NO APLICA"</formula>
    </cfRule>
  </conditionalFormatting>
  <conditionalFormatting sqref="T2497">
    <cfRule type="cellIs" dxfId="7548" priority="7479" operator="equal">
      <formula>"CUMPLE"</formula>
    </cfRule>
    <cfRule type="cellIs" dxfId="7547" priority="7480" operator="equal">
      <formula>"NO CUMPLE"</formula>
    </cfRule>
  </conditionalFormatting>
  <conditionalFormatting sqref="T2497:T2499">
    <cfRule type="cellIs" dxfId="7546" priority="7478" operator="equal">
      <formula>"VERIFICAR"</formula>
    </cfRule>
  </conditionalFormatting>
  <conditionalFormatting sqref="AD2483:AF2487">
    <cfRule type="cellIs" dxfId="7545" priority="7476" stopIfTrue="1" operator="equal">
      <formula>"NO"</formula>
    </cfRule>
    <cfRule type="cellIs" dxfId="7544" priority="7477" stopIfTrue="1" operator="equal">
      <formula>"SI"</formula>
    </cfRule>
  </conditionalFormatting>
  <conditionalFormatting sqref="AD2488:AF2491">
    <cfRule type="cellIs" dxfId="7543" priority="7474" stopIfTrue="1" operator="equal">
      <formula>"NO"</formula>
    </cfRule>
    <cfRule type="cellIs" dxfId="7542" priority="7475" stopIfTrue="1" operator="equal">
      <formula>"SI"</formula>
    </cfRule>
  </conditionalFormatting>
  <conditionalFormatting sqref="W2492:Y2492">
    <cfRule type="cellIs" dxfId="7541" priority="7472" stopIfTrue="1" operator="equal">
      <formula>"NO"</formula>
    </cfRule>
    <cfRule type="cellIs" dxfId="7540" priority="7473" stopIfTrue="1" operator="equal">
      <formula>"SI"</formula>
    </cfRule>
  </conditionalFormatting>
  <conditionalFormatting sqref="W2492:X2492">
    <cfRule type="cellIs" dxfId="7539" priority="7471" stopIfTrue="1" operator="equal">
      <formula>"NO APLICA"</formula>
    </cfRule>
  </conditionalFormatting>
  <conditionalFormatting sqref="Y2492">
    <cfRule type="cellIs" dxfId="7538" priority="7470" stopIfTrue="1" operator="equal">
      <formula>"NO APLICA"</formula>
    </cfRule>
  </conditionalFormatting>
  <conditionalFormatting sqref="AD2492:AF2492">
    <cfRule type="cellIs" dxfId="7537" priority="7468" stopIfTrue="1" operator="equal">
      <formula>"NO"</formula>
    </cfRule>
    <cfRule type="cellIs" dxfId="7536" priority="7469" stopIfTrue="1" operator="equal">
      <formula>"SI"</formula>
    </cfRule>
  </conditionalFormatting>
  <conditionalFormatting sqref="AE2497">
    <cfRule type="cellIs" dxfId="7535" priority="7465" stopIfTrue="1" operator="equal">
      <formula>"VERIFICAR"</formula>
    </cfRule>
    <cfRule type="cellIs" dxfId="7534" priority="7466" stopIfTrue="1" operator="equal">
      <formula>"NO CUMPLE"</formula>
    </cfRule>
    <cfRule type="cellIs" dxfId="7533" priority="7467" stopIfTrue="1" operator="equal">
      <formula>"CUMPLE"</formula>
    </cfRule>
  </conditionalFormatting>
  <conditionalFormatting sqref="AF2497">
    <cfRule type="cellIs" dxfId="7532" priority="7462" stopIfTrue="1" operator="equal">
      <formula>"VERIFICAR"</formula>
    </cfRule>
    <cfRule type="cellIs" dxfId="7531" priority="7463" stopIfTrue="1" operator="equal">
      <formula>"NO CUMPLE"</formula>
    </cfRule>
    <cfRule type="cellIs" dxfId="7530" priority="7464" stopIfTrue="1" operator="equal">
      <formula>"CUMPLE"</formula>
    </cfRule>
  </conditionalFormatting>
  <conditionalFormatting sqref="Y2500">
    <cfRule type="cellIs" dxfId="7529" priority="7461" operator="equal">
      <formula>"VERIFICAR CUADRO"</formula>
    </cfRule>
  </conditionalFormatting>
  <conditionalFormatting sqref="AC2501:AC2506">
    <cfRule type="cellIs" dxfId="7528" priority="7460" stopIfTrue="1" operator="greaterThan">
      <formula>0</formula>
    </cfRule>
  </conditionalFormatting>
  <conditionalFormatting sqref="AC2501:AC2506">
    <cfRule type="cellIs" dxfId="7527" priority="7459" stopIfTrue="1" operator="greaterThan">
      <formula>0</formula>
    </cfRule>
  </conditionalFormatting>
  <conditionalFormatting sqref="AD2501:AD2506">
    <cfRule type="containsText" dxfId="7526" priority="7457" stopIfTrue="1" operator="containsText" text="NO CUMPLE">
      <formula>NOT(ISERROR(SEARCH("NO CUMPLE",AD2501)))</formula>
    </cfRule>
    <cfRule type="containsText" dxfId="7525" priority="7458" stopIfTrue="1" operator="containsText" text="CUMPLE">
      <formula>NOT(ISERROR(SEARCH("CUMPLE",AD2501)))</formula>
    </cfRule>
  </conditionalFormatting>
  <conditionalFormatting sqref="Y2506">
    <cfRule type="containsText" dxfId="7524" priority="7455" stopIfTrue="1" operator="containsText" text="NO CUMPLE">
      <formula>NOT(ISERROR(SEARCH("NO CUMPLE",Y2506)))</formula>
    </cfRule>
    <cfRule type="containsText" dxfId="7523" priority="7456" stopIfTrue="1" operator="containsText" text="CUMPLE">
      <formula>NOT(ISERROR(SEARCH("CUMPLE",Y2506)))</formula>
    </cfRule>
  </conditionalFormatting>
  <conditionalFormatting sqref="AA2483:AA2492">
    <cfRule type="cellIs" dxfId="7522" priority="7453" stopIfTrue="1" operator="equal">
      <formula>"NO APLICA"</formula>
    </cfRule>
    <cfRule type="cellIs" dxfId="7521" priority="7454" stopIfTrue="1" operator="equal">
      <formula>"TERCIARIA"</formula>
    </cfRule>
  </conditionalFormatting>
  <conditionalFormatting sqref="AB2483:AB2492">
    <cfRule type="cellIs" dxfId="7520" priority="7451" stopIfTrue="1" operator="equal">
      <formula>"N/A"</formula>
    </cfRule>
    <cfRule type="cellIs" dxfId="7519" priority="7452" stopIfTrue="1" operator="equal">
      <formula>"NO"</formula>
    </cfRule>
  </conditionalFormatting>
  <conditionalFormatting sqref="M2513:M2522">
    <cfRule type="cellIs" dxfId="7518" priority="7450" stopIfTrue="1" operator="lessThan">
      <formula>0</formula>
    </cfRule>
  </conditionalFormatting>
  <conditionalFormatting sqref="C2515:D2521 B2514:B2521 F2515:I2521 C2514:I2514 B2522:O2522 B2513:R2513 Q2514:R2515 J2514:O2521 Q2516:Q2522 P2514:P2522">
    <cfRule type="cellIs" dxfId="7517" priority="7449" stopIfTrue="1" operator="greaterThan">
      <formula>0</formula>
    </cfRule>
  </conditionalFormatting>
  <conditionalFormatting sqref="C2515:D2521">
    <cfRule type="cellIs" dxfId="7516" priority="7448" stopIfTrue="1" operator="greaterThan">
      <formula>0</formula>
    </cfRule>
  </conditionalFormatting>
  <conditionalFormatting sqref="C2513:M2513 C2515:D2521 F2515:I2521 C2514:I2514 K2514:M2521 J2514:J2522 L2522:M2522">
    <cfRule type="cellIs" dxfId="7515" priority="7447" stopIfTrue="1" operator="greaterThan">
      <formula>0</formula>
    </cfRule>
  </conditionalFormatting>
  <conditionalFormatting sqref="M2513:M2522">
    <cfRule type="cellIs" dxfId="7514" priority="7446" stopIfTrue="1" operator="lessThan">
      <formula>0</formula>
    </cfRule>
  </conditionalFormatting>
  <conditionalFormatting sqref="J2514:J2522 L2514:O2522 C2513:O2513">
    <cfRule type="cellIs" dxfId="7513" priority="7445" stopIfTrue="1" operator="greaterThan">
      <formula>0</formula>
    </cfRule>
  </conditionalFormatting>
  <conditionalFormatting sqref="H2515:I2521 K2515:M2522">
    <cfRule type="cellIs" dxfId="7512" priority="7444" stopIfTrue="1" operator="greaterThan">
      <formula>0</formula>
    </cfRule>
  </conditionalFormatting>
  <conditionalFormatting sqref="I2514">
    <cfRule type="cellIs" dxfId="7511" priority="7443" stopIfTrue="1" operator="greaterThan">
      <formula>0</formula>
    </cfRule>
  </conditionalFormatting>
  <conditionalFormatting sqref="I2522">
    <cfRule type="cellIs" dxfId="7510" priority="7442" stopIfTrue="1" operator="greaterThan">
      <formula>0</formula>
    </cfRule>
  </conditionalFormatting>
  <conditionalFormatting sqref="E2515:E2521">
    <cfRule type="cellIs" dxfId="7509" priority="7441" stopIfTrue="1" operator="greaterThan">
      <formula>0</formula>
    </cfRule>
  </conditionalFormatting>
  <conditionalFormatting sqref="K2530:K2535">
    <cfRule type="containsText" dxfId="7508" priority="7439" stopIfTrue="1" operator="containsText" text="NO CUMPLE">
      <formula>NOT(ISERROR(SEARCH("NO CUMPLE",K2530)))</formula>
    </cfRule>
    <cfRule type="containsText" dxfId="7507" priority="7440" stopIfTrue="1" operator="containsText" text="CUMPLE">
      <formula>NOT(ISERROR(SEARCH("CUMPLE",K2530)))</formula>
    </cfRule>
  </conditionalFormatting>
  <conditionalFormatting sqref="K2536">
    <cfRule type="containsText" dxfId="7506" priority="7437" stopIfTrue="1" operator="containsText" text="NO CUMPLE">
      <formula>NOT(ISERROR(SEARCH("NO CUMPLE",K2536)))</formula>
    </cfRule>
    <cfRule type="containsText" dxfId="7505" priority="7438" stopIfTrue="1" operator="containsText" text="CUMPLE">
      <formula>NOT(ISERROR(SEARCH("CUMPLE",K2536)))</formula>
    </cfRule>
  </conditionalFormatting>
  <conditionalFormatting sqref="Q2529">
    <cfRule type="cellIs" dxfId="7504" priority="7435" operator="greaterThanOrEqual">
      <formula>NUMMINCONT</formula>
    </cfRule>
    <cfRule type="cellIs" dxfId="7503" priority="7436" operator="lessThan">
      <formula>NUMMINCONT</formula>
    </cfRule>
  </conditionalFormatting>
  <conditionalFormatting sqref="W2513:Y2521">
    <cfRule type="cellIs" dxfId="7502" priority="7433" stopIfTrue="1" operator="equal">
      <formula>"NO"</formula>
    </cfRule>
    <cfRule type="cellIs" dxfId="7501" priority="7434" stopIfTrue="1" operator="equal">
      <formula>"SI"</formula>
    </cfRule>
  </conditionalFormatting>
  <conditionalFormatting sqref="R2516">
    <cfRule type="cellIs" dxfId="7500" priority="7432" stopIfTrue="1" operator="greaterThan">
      <formula>0</formula>
    </cfRule>
  </conditionalFormatting>
  <conditionalFormatting sqref="R2517">
    <cfRule type="cellIs" dxfId="7499" priority="7431" stopIfTrue="1" operator="greaterThan">
      <formula>0</formula>
    </cfRule>
  </conditionalFormatting>
  <conditionalFormatting sqref="R2518">
    <cfRule type="cellIs" dxfId="7498" priority="7430" stopIfTrue="1" operator="greaterThan">
      <formula>0</formula>
    </cfRule>
  </conditionalFormatting>
  <conditionalFormatting sqref="R2519">
    <cfRule type="cellIs" dxfId="7497" priority="7429" stopIfTrue="1" operator="greaterThan">
      <formula>0</formula>
    </cfRule>
  </conditionalFormatting>
  <conditionalFormatting sqref="R2520">
    <cfRule type="cellIs" dxfId="7496" priority="7428" stopIfTrue="1" operator="greaterThan">
      <formula>0</formula>
    </cfRule>
  </conditionalFormatting>
  <conditionalFormatting sqref="R2521">
    <cfRule type="cellIs" dxfId="7495" priority="7427" stopIfTrue="1" operator="greaterThan">
      <formula>0</formula>
    </cfRule>
  </conditionalFormatting>
  <conditionalFormatting sqref="R2522">
    <cfRule type="cellIs" dxfId="7494" priority="7426" stopIfTrue="1" operator="greaterThan">
      <formula>0</formula>
    </cfRule>
  </conditionalFormatting>
  <conditionalFormatting sqref="W2513:X2513">
    <cfRule type="cellIs" dxfId="7493" priority="7425" stopIfTrue="1" operator="equal">
      <formula>"NO APLICA"</formula>
    </cfRule>
  </conditionalFormatting>
  <conditionalFormatting sqref="W2514:X2517">
    <cfRule type="cellIs" dxfId="7492" priority="7424" stopIfTrue="1" operator="equal">
      <formula>"NO APLICA"</formula>
    </cfRule>
  </conditionalFormatting>
  <conditionalFormatting sqref="W2514:X2514">
    <cfRule type="cellIs" dxfId="7491" priority="7423" stopIfTrue="1" operator="equal">
      <formula>"NO APLICA"</formula>
    </cfRule>
  </conditionalFormatting>
  <conditionalFormatting sqref="Y2513">
    <cfRule type="cellIs" dxfId="7490" priority="7422" stopIfTrue="1" operator="equal">
      <formula>"NO APLICA"</formula>
    </cfRule>
  </conditionalFormatting>
  <conditionalFormatting sqref="Y2514:Y2517">
    <cfRule type="cellIs" dxfId="7489" priority="7421" stopIfTrue="1" operator="equal">
      <formula>"NO APLICA"</formula>
    </cfRule>
  </conditionalFormatting>
  <conditionalFormatting sqref="W2518:X2521">
    <cfRule type="cellIs" dxfId="7488" priority="7420" stopIfTrue="1" operator="equal">
      <formula>"NO APLICA"</formula>
    </cfRule>
  </conditionalFormatting>
  <conditionalFormatting sqref="W2518:X2518">
    <cfRule type="cellIs" dxfId="7487" priority="7419" stopIfTrue="1" operator="equal">
      <formula>"NO APLICA"</formula>
    </cfRule>
  </conditionalFormatting>
  <conditionalFormatting sqref="Y2518:Y2521">
    <cfRule type="cellIs" dxfId="7486" priority="7418" stopIfTrue="1" operator="equal">
      <formula>"NO APLICA"</formula>
    </cfRule>
  </conditionalFormatting>
  <conditionalFormatting sqref="T2527">
    <cfRule type="cellIs" dxfId="7485" priority="7416" operator="equal">
      <formula>"CUMPLE"</formula>
    </cfRule>
    <cfRule type="cellIs" dxfId="7484" priority="7417" operator="equal">
      <formula>"NO CUMPLE"</formula>
    </cfRule>
  </conditionalFormatting>
  <conditionalFormatting sqref="T2527:T2529">
    <cfRule type="cellIs" dxfId="7483" priority="7415" operator="equal">
      <formula>"VERIFICAR"</formula>
    </cfRule>
  </conditionalFormatting>
  <conditionalFormatting sqref="AD2513:AF2517">
    <cfRule type="cellIs" dxfId="7482" priority="7413" stopIfTrue="1" operator="equal">
      <formula>"NO"</formula>
    </cfRule>
    <cfRule type="cellIs" dxfId="7481" priority="7414" stopIfTrue="1" operator="equal">
      <formula>"SI"</formula>
    </cfRule>
  </conditionalFormatting>
  <conditionalFormatting sqref="AD2518:AF2521">
    <cfRule type="cellIs" dxfId="7480" priority="7411" stopIfTrue="1" operator="equal">
      <formula>"NO"</formula>
    </cfRule>
    <cfRule type="cellIs" dxfId="7479" priority="7412" stopIfTrue="1" operator="equal">
      <formula>"SI"</formula>
    </cfRule>
  </conditionalFormatting>
  <conditionalFormatting sqref="W2522:Y2522">
    <cfRule type="cellIs" dxfId="7478" priority="7409" stopIfTrue="1" operator="equal">
      <formula>"NO"</formula>
    </cfRule>
    <cfRule type="cellIs" dxfId="7477" priority="7410" stopIfTrue="1" operator="equal">
      <formula>"SI"</formula>
    </cfRule>
  </conditionalFormatting>
  <conditionalFormatting sqref="W2522:X2522">
    <cfRule type="cellIs" dxfId="7476" priority="7408" stopIfTrue="1" operator="equal">
      <formula>"NO APLICA"</formula>
    </cfRule>
  </conditionalFormatting>
  <conditionalFormatting sqref="Y2522">
    <cfRule type="cellIs" dxfId="7475" priority="7407" stopIfTrue="1" operator="equal">
      <formula>"NO APLICA"</formula>
    </cfRule>
  </conditionalFormatting>
  <conditionalFormatting sqref="AD2522:AF2522">
    <cfRule type="cellIs" dxfId="7474" priority="7405" stopIfTrue="1" operator="equal">
      <formula>"NO"</formula>
    </cfRule>
    <cfRule type="cellIs" dxfId="7473" priority="7406" stopIfTrue="1" operator="equal">
      <formula>"SI"</formula>
    </cfRule>
  </conditionalFormatting>
  <conditionalFormatting sqref="AE2527">
    <cfRule type="cellIs" dxfId="7472" priority="7402" stopIfTrue="1" operator="equal">
      <formula>"VERIFICAR"</formula>
    </cfRule>
    <cfRule type="cellIs" dxfId="7471" priority="7403" stopIfTrue="1" operator="equal">
      <formula>"NO CUMPLE"</formula>
    </cfRule>
    <cfRule type="cellIs" dxfId="7470" priority="7404" stopIfTrue="1" operator="equal">
      <formula>"CUMPLE"</formula>
    </cfRule>
  </conditionalFormatting>
  <conditionalFormatting sqref="AF2527">
    <cfRule type="cellIs" dxfId="7469" priority="7399" stopIfTrue="1" operator="equal">
      <formula>"VERIFICAR"</formula>
    </cfRule>
    <cfRule type="cellIs" dxfId="7468" priority="7400" stopIfTrue="1" operator="equal">
      <formula>"NO CUMPLE"</formula>
    </cfRule>
    <cfRule type="cellIs" dxfId="7467" priority="7401" stopIfTrue="1" operator="equal">
      <formula>"CUMPLE"</formula>
    </cfRule>
  </conditionalFormatting>
  <conditionalFormatting sqref="Y2530">
    <cfRule type="cellIs" dxfId="7466" priority="7398" operator="equal">
      <formula>"VERIFICAR CUADRO"</formula>
    </cfRule>
  </conditionalFormatting>
  <conditionalFormatting sqref="AC2531:AC2536">
    <cfRule type="cellIs" dxfId="7465" priority="7397" stopIfTrue="1" operator="greaterThan">
      <formula>0</formula>
    </cfRule>
  </conditionalFormatting>
  <conditionalFormatting sqref="AC2531:AC2536">
    <cfRule type="cellIs" dxfId="7464" priority="7396" stopIfTrue="1" operator="greaterThan">
      <formula>0</formula>
    </cfRule>
  </conditionalFormatting>
  <conditionalFormatting sqref="AD2531:AD2536">
    <cfRule type="containsText" dxfId="7463" priority="7394" stopIfTrue="1" operator="containsText" text="NO CUMPLE">
      <formula>NOT(ISERROR(SEARCH("NO CUMPLE",AD2531)))</formula>
    </cfRule>
    <cfRule type="containsText" dxfId="7462" priority="7395" stopIfTrue="1" operator="containsText" text="CUMPLE">
      <formula>NOT(ISERROR(SEARCH("CUMPLE",AD2531)))</formula>
    </cfRule>
  </conditionalFormatting>
  <conditionalFormatting sqref="Y2536">
    <cfRule type="containsText" dxfId="7461" priority="7392" stopIfTrue="1" operator="containsText" text="NO CUMPLE">
      <formula>NOT(ISERROR(SEARCH("NO CUMPLE",Y2536)))</formula>
    </cfRule>
    <cfRule type="containsText" dxfId="7460" priority="7393" stopIfTrue="1" operator="containsText" text="CUMPLE">
      <formula>NOT(ISERROR(SEARCH("CUMPLE",Y2536)))</formula>
    </cfRule>
  </conditionalFormatting>
  <conditionalFormatting sqref="AA2513:AA2522">
    <cfRule type="cellIs" dxfId="7459" priority="7390" stopIfTrue="1" operator="equal">
      <formula>"NO APLICA"</formula>
    </cfRule>
    <cfRule type="cellIs" dxfId="7458" priority="7391" stopIfTrue="1" operator="equal">
      <formula>"TERCIARIA"</formula>
    </cfRule>
  </conditionalFormatting>
  <conditionalFormatting sqref="AB2513:AB2522">
    <cfRule type="cellIs" dxfId="7457" priority="7388" stopIfTrue="1" operator="equal">
      <formula>"N/A"</formula>
    </cfRule>
    <cfRule type="cellIs" dxfId="7456" priority="7389" stopIfTrue="1" operator="equal">
      <formula>"NO"</formula>
    </cfRule>
  </conditionalFormatting>
  <conditionalFormatting sqref="M2543:M2552">
    <cfRule type="cellIs" dxfId="7455" priority="7387" stopIfTrue="1" operator="lessThan">
      <formula>0</formula>
    </cfRule>
  </conditionalFormatting>
  <conditionalFormatting sqref="C2545:D2551 B2544:B2551 F2545:I2551 C2544:I2544 B2552:O2552 B2543:R2543 Q2544:R2545 J2544:O2551 Q2546:Q2552 P2544:P2552">
    <cfRule type="cellIs" dxfId="7454" priority="7386" stopIfTrue="1" operator="greaterThan">
      <formula>0</formula>
    </cfRule>
  </conditionalFormatting>
  <conditionalFormatting sqref="C2545:D2551">
    <cfRule type="cellIs" dxfId="7453" priority="7385" stopIfTrue="1" operator="greaterThan">
      <formula>0</formula>
    </cfRule>
  </conditionalFormatting>
  <conditionalFormatting sqref="C2543:M2543 C2545:D2551 F2545:I2551 C2544:I2544 K2544:M2551 J2544:J2552 L2552:M2552">
    <cfRule type="cellIs" dxfId="7452" priority="7384" stopIfTrue="1" operator="greaterThan">
      <formula>0</formula>
    </cfRule>
  </conditionalFormatting>
  <conditionalFormatting sqref="M2543:M2552">
    <cfRule type="cellIs" dxfId="7451" priority="7383" stopIfTrue="1" operator="lessThan">
      <formula>0</formula>
    </cfRule>
  </conditionalFormatting>
  <conditionalFormatting sqref="J2544:J2552 L2544:O2552 C2543:O2543">
    <cfRule type="cellIs" dxfId="7450" priority="7382" stopIfTrue="1" operator="greaterThan">
      <formula>0</formula>
    </cfRule>
  </conditionalFormatting>
  <conditionalFormatting sqref="H2545:I2551 K2545:M2552">
    <cfRule type="cellIs" dxfId="7449" priority="7381" stopIfTrue="1" operator="greaterThan">
      <formula>0</formula>
    </cfRule>
  </conditionalFormatting>
  <conditionalFormatting sqref="I2544">
    <cfRule type="cellIs" dxfId="7448" priority="7380" stopIfTrue="1" operator="greaterThan">
      <formula>0</formula>
    </cfRule>
  </conditionalFormatting>
  <conditionalFormatting sqref="I2552">
    <cfRule type="cellIs" dxfId="7447" priority="7379" stopIfTrue="1" operator="greaterThan">
      <formula>0</formula>
    </cfRule>
  </conditionalFormatting>
  <conditionalFormatting sqref="E2545:E2551">
    <cfRule type="cellIs" dxfId="7446" priority="7378" stopIfTrue="1" operator="greaterThan">
      <formula>0</formula>
    </cfRule>
  </conditionalFormatting>
  <conditionalFormatting sqref="K2560:K2565">
    <cfRule type="containsText" dxfId="7445" priority="7376" stopIfTrue="1" operator="containsText" text="NO CUMPLE">
      <formula>NOT(ISERROR(SEARCH("NO CUMPLE",K2560)))</formula>
    </cfRule>
    <cfRule type="containsText" dxfId="7444" priority="7377" stopIfTrue="1" operator="containsText" text="CUMPLE">
      <formula>NOT(ISERROR(SEARCH("CUMPLE",K2560)))</formula>
    </cfRule>
  </conditionalFormatting>
  <conditionalFormatting sqref="K2566">
    <cfRule type="containsText" dxfId="7443" priority="7374" stopIfTrue="1" operator="containsText" text="NO CUMPLE">
      <formula>NOT(ISERROR(SEARCH("NO CUMPLE",K2566)))</formula>
    </cfRule>
    <cfRule type="containsText" dxfId="7442" priority="7375" stopIfTrue="1" operator="containsText" text="CUMPLE">
      <formula>NOT(ISERROR(SEARCH("CUMPLE",K2566)))</formula>
    </cfRule>
  </conditionalFormatting>
  <conditionalFormatting sqref="Q2559">
    <cfRule type="cellIs" dxfId="7441" priority="7372" operator="greaterThanOrEqual">
      <formula>NUMMINCONT</formula>
    </cfRule>
    <cfRule type="cellIs" dxfId="7440" priority="7373" operator="lessThan">
      <formula>NUMMINCONT</formula>
    </cfRule>
  </conditionalFormatting>
  <conditionalFormatting sqref="W2543:Y2551">
    <cfRule type="cellIs" dxfId="7439" priority="7370" stopIfTrue="1" operator="equal">
      <formula>"NO"</formula>
    </cfRule>
    <cfRule type="cellIs" dxfId="7438" priority="7371" stopIfTrue="1" operator="equal">
      <formula>"SI"</formula>
    </cfRule>
  </conditionalFormatting>
  <conditionalFormatting sqref="R2546">
    <cfRule type="cellIs" dxfId="7437" priority="7369" stopIfTrue="1" operator="greaterThan">
      <formula>0</formula>
    </cfRule>
  </conditionalFormatting>
  <conditionalFormatting sqref="R2547">
    <cfRule type="cellIs" dxfId="7436" priority="7368" stopIfTrue="1" operator="greaterThan">
      <formula>0</formula>
    </cfRule>
  </conditionalFormatting>
  <conditionalFormatting sqref="R2548">
    <cfRule type="cellIs" dxfId="7435" priority="7367" stopIfTrue="1" operator="greaterThan">
      <formula>0</formula>
    </cfRule>
  </conditionalFormatting>
  <conditionalFormatting sqref="R2549">
    <cfRule type="cellIs" dxfId="7434" priority="7366" stopIfTrue="1" operator="greaterThan">
      <formula>0</formula>
    </cfRule>
  </conditionalFormatting>
  <conditionalFormatting sqref="R2550">
    <cfRule type="cellIs" dxfId="7433" priority="7365" stopIfTrue="1" operator="greaterThan">
      <formula>0</formula>
    </cfRule>
  </conditionalFormatting>
  <conditionalFormatting sqref="R2551">
    <cfRule type="cellIs" dxfId="7432" priority="7364" stopIfTrue="1" operator="greaterThan">
      <formula>0</formula>
    </cfRule>
  </conditionalFormatting>
  <conditionalFormatting sqref="R2552">
    <cfRule type="cellIs" dxfId="7431" priority="7363" stopIfTrue="1" operator="greaterThan">
      <formula>0</formula>
    </cfRule>
  </conditionalFormatting>
  <conditionalFormatting sqref="W2543:X2543">
    <cfRule type="cellIs" dxfId="7430" priority="7362" stopIfTrue="1" operator="equal">
      <formula>"NO APLICA"</formula>
    </cfRule>
  </conditionalFormatting>
  <conditionalFormatting sqref="W2544:X2547">
    <cfRule type="cellIs" dxfId="7429" priority="7361" stopIfTrue="1" operator="equal">
      <formula>"NO APLICA"</formula>
    </cfRule>
  </conditionalFormatting>
  <conditionalFormatting sqref="W2544:X2544">
    <cfRule type="cellIs" dxfId="7428" priority="7360" stopIfTrue="1" operator="equal">
      <formula>"NO APLICA"</formula>
    </cfRule>
  </conditionalFormatting>
  <conditionalFormatting sqref="Y2543">
    <cfRule type="cellIs" dxfId="7427" priority="7359" stopIfTrue="1" operator="equal">
      <formula>"NO APLICA"</formula>
    </cfRule>
  </conditionalFormatting>
  <conditionalFormatting sqref="Y2544:Y2547">
    <cfRule type="cellIs" dxfId="7426" priority="7358" stopIfTrue="1" operator="equal">
      <formula>"NO APLICA"</formula>
    </cfRule>
  </conditionalFormatting>
  <conditionalFormatting sqref="W2548:X2551">
    <cfRule type="cellIs" dxfId="7425" priority="7357" stopIfTrue="1" operator="equal">
      <formula>"NO APLICA"</formula>
    </cfRule>
  </conditionalFormatting>
  <conditionalFormatting sqref="W2548:X2548">
    <cfRule type="cellIs" dxfId="7424" priority="7356" stopIfTrue="1" operator="equal">
      <formula>"NO APLICA"</formula>
    </cfRule>
  </conditionalFormatting>
  <conditionalFormatting sqref="Y2548:Y2551">
    <cfRule type="cellIs" dxfId="7423" priority="7355" stopIfTrue="1" operator="equal">
      <formula>"NO APLICA"</formula>
    </cfRule>
  </conditionalFormatting>
  <conditionalFormatting sqref="T2557">
    <cfRule type="cellIs" dxfId="7422" priority="7353" operator="equal">
      <formula>"CUMPLE"</formula>
    </cfRule>
    <cfRule type="cellIs" dxfId="7421" priority="7354" operator="equal">
      <formula>"NO CUMPLE"</formula>
    </cfRule>
  </conditionalFormatting>
  <conditionalFormatting sqref="T2557:T2559">
    <cfRule type="cellIs" dxfId="7420" priority="7352" operator="equal">
      <formula>"VERIFICAR"</formula>
    </cfRule>
  </conditionalFormatting>
  <conditionalFormatting sqref="AD2543:AF2547">
    <cfRule type="cellIs" dxfId="7419" priority="7350" stopIfTrue="1" operator="equal">
      <formula>"NO"</formula>
    </cfRule>
    <cfRule type="cellIs" dxfId="7418" priority="7351" stopIfTrue="1" operator="equal">
      <formula>"SI"</formula>
    </cfRule>
  </conditionalFormatting>
  <conditionalFormatting sqref="AD2548:AF2551">
    <cfRule type="cellIs" dxfId="7417" priority="7348" stopIfTrue="1" operator="equal">
      <formula>"NO"</formula>
    </cfRule>
    <cfRule type="cellIs" dxfId="7416" priority="7349" stopIfTrue="1" operator="equal">
      <formula>"SI"</formula>
    </cfRule>
  </conditionalFormatting>
  <conditionalFormatting sqref="W2552:Y2552">
    <cfRule type="cellIs" dxfId="7415" priority="7346" stopIfTrue="1" operator="equal">
      <formula>"NO"</formula>
    </cfRule>
    <cfRule type="cellIs" dxfId="7414" priority="7347" stopIfTrue="1" operator="equal">
      <formula>"SI"</formula>
    </cfRule>
  </conditionalFormatting>
  <conditionalFormatting sqref="W2552:X2552">
    <cfRule type="cellIs" dxfId="7413" priority="7345" stopIfTrue="1" operator="equal">
      <formula>"NO APLICA"</formula>
    </cfRule>
  </conditionalFormatting>
  <conditionalFormatting sqref="Y2552">
    <cfRule type="cellIs" dxfId="7412" priority="7344" stopIfTrue="1" operator="equal">
      <formula>"NO APLICA"</formula>
    </cfRule>
  </conditionalFormatting>
  <conditionalFormatting sqref="AD2552:AF2552">
    <cfRule type="cellIs" dxfId="7411" priority="7342" stopIfTrue="1" operator="equal">
      <formula>"NO"</formula>
    </cfRule>
    <cfRule type="cellIs" dxfId="7410" priority="7343" stopIfTrue="1" operator="equal">
      <formula>"SI"</formula>
    </cfRule>
  </conditionalFormatting>
  <conditionalFormatting sqref="AE2557">
    <cfRule type="cellIs" dxfId="7409" priority="7339" stopIfTrue="1" operator="equal">
      <formula>"VERIFICAR"</formula>
    </cfRule>
    <cfRule type="cellIs" dxfId="7408" priority="7340" stopIfTrue="1" operator="equal">
      <formula>"NO CUMPLE"</formula>
    </cfRule>
    <cfRule type="cellIs" dxfId="7407" priority="7341" stopIfTrue="1" operator="equal">
      <formula>"CUMPLE"</formula>
    </cfRule>
  </conditionalFormatting>
  <conditionalFormatting sqref="AF2557">
    <cfRule type="cellIs" dxfId="7406" priority="7336" stopIfTrue="1" operator="equal">
      <formula>"VERIFICAR"</formula>
    </cfRule>
    <cfRule type="cellIs" dxfId="7405" priority="7337" stopIfTrue="1" operator="equal">
      <formula>"NO CUMPLE"</formula>
    </cfRule>
    <cfRule type="cellIs" dxfId="7404" priority="7338" stopIfTrue="1" operator="equal">
      <formula>"CUMPLE"</formula>
    </cfRule>
  </conditionalFormatting>
  <conditionalFormatting sqref="Y2560">
    <cfRule type="cellIs" dxfId="7403" priority="7335" operator="equal">
      <formula>"VERIFICAR CUADRO"</formula>
    </cfRule>
  </conditionalFormatting>
  <conditionalFormatting sqref="AC2561:AC2566">
    <cfRule type="cellIs" dxfId="7402" priority="7334" stopIfTrue="1" operator="greaterThan">
      <formula>0</formula>
    </cfRule>
  </conditionalFormatting>
  <conditionalFormatting sqref="AC2561:AC2566">
    <cfRule type="cellIs" dxfId="7401" priority="7333" stopIfTrue="1" operator="greaterThan">
      <formula>0</formula>
    </cfRule>
  </conditionalFormatting>
  <conditionalFormatting sqref="AD2561:AD2566">
    <cfRule type="containsText" dxfId="7400" priority="7331" stopIfTrue="1" operator="containsText" text="NO CUMPLE">
      <formula>NOT(ISERROR(SEARCH("NO CUMPLE",AD2561)))</formula>
    </cfRule>
    <cfRule type="containsText" dxfId="7399" priority="7332" stopIfTrue="1" operator="containsText" text="CUMPLE">
      <formula>NOT(ISERROR(SEARCH("CUMPLE",AD2561)))</formula>
    </cfRule>
  </conditionalFormatting>
  <conditionalFormatting sqref="Y2566">
    <cfRule type="containsText" dxfId="7398" priority="7329" stopIfTrue="1" operator="containsText" text="NO CUMPLE">
      <formula>NOT(ISERROR(SEARCH("NO CUMPLE",Y2566)))</formula>
    </cfRule>
    <cfRule type="containsText" dxfId="7397" priority="7330" stopIfTrue="1" operator="containsText" text="CUMPLE">
      <formula>NOT(ISERROR(SEARCH("CUMPLE",Y2566)))</formula>
    </cfRule>
  </conditionalFormatting>
  <conditionalFormatting sqref="AA2543:AA2552">
    <cfRule type="cellIs" dxfId="7396" priority="7327" stopIfTrue="1" operator="equal">
      <formula>"NO APLICA"</formula>
    </cfRule>
    <cfRule type="cellIs" dxfId="7395" priority="7328" stopIfTrue="1" operator="equal">
      <formula>"TERCIARIA"</formula>
    </cfRule>
  </conditionalFormatting>
  <conditionalFormatting sqref="AB2543:AB2552">
    <cfRule type="cellIs" dxfId="7394" priority="7325" stopIfTrue="1" operator="equal">
      <formula>"N/A"</formula>
    </cfRule>
    <cfRule type="cellIs" dxfId="7393" priority="7326" stopIfTrue="1" operator="equal">
      <formula>"NO"</formula>
    </cfRule>
  </conditionalFormatting>
  <conditionalFormatting sqref="M2573:M2582">
    <cfRule type="cellIs" dxfId="7392" priority="7324" stopIfTrue="1" operator="lessThan">
      <formula>0</formula>
    </cfRule>
  </conditionalFormatting>
  <conditionalFormatting sqref="C2575:D2581 B2574:B2581 F2575:I2581 C2574:I2574 B2582:O2582 B2573:R2573 Q2574:R2575 J2574:O2581 Q2576:Q2582 P2574:P2582">
    <cfRule type="cellIs" dxfId="7391" priority="7323" stopIfTrue="1" operator="greaterThan">
      <formula>0</formula>
    </cfRule>
  </conditionalFormatting>
  <conditionalFormatting sqref="C2575:D2581">
    <cfRule type="cellIs" dxfId="7390" priority="7322" stopIfTrue="1" operator="greaterThan">
      <formula>0</formula>
    </cfRule>
  </conditionalFormatting>
  <conditionalFormatting sqref="C2573:M2573 C2575:D2581 F2575:I2581 C2574:I2574 K2574:M2581 J2574:J2582 L2582:M2582">
    <cfRule type="cellIs" dxfId="7389" priority="7321" stopIfTrue="1" operator="greaterThan">
      <formula>0</formula>
    </cfRule>
  </conditionalFormatting>
  <conditionalFormatting sqref="M2573:M2582">
    <cfRule type="cellIs" dxfId="7388" priority="7320" stopIfTrue="1" operator="lessThan">
      <formula>0</formula>
    </cfRule>
  </conditionalFormatting>
  <conditionalFormatting sqref="J2574:J2582 L2574:O2582 C2573:O2573">
    <cfRule type="cellIs" dxfId="7387" priority="7319" stopIfTrue="1" operator="greaterThan">
      <formula>0</formula>
    </cfRule>
  </conditionalFormatting>
  <conditionalFormatting sqref="H2575:I2581 K2575:M2582">
    <cfRule type="cellIs" dxfId="7386" priority="7318" stopIfTrue="1" operator="greaterThan">
      <formula>0</formula>
    </cfRule>
  </conditionalFormatting>
  <conditionalFormatting sqref="I2574">
    <cfRule type="cellIs" dxfId="7385" priority="7317" stopIfTrue="1" operator="greaterThan">
      <formula>0</formula>
    </cfRule>
  </conditionalFormatting>
  <conditionalFormatting sqref="I2582">
    <cfRule type="cellIs" dxfId="7384" priority="7316" stopIfTrue="1" operator="greaterThan">
      <formula>0</formula>
    </cfRule>
  </conditionalFormatting>
  <conditionalFormatting sqref="E2575:E2581">
    <cfRule type="cellIs" dxfId="7383" priority="7315" stopIfTrue="1" operator="greaterThan">
      <formula>0</formula>
    </cfRule>
  </conditionalFormatting>
  <conditionalFormatting sqref="K2590:K2595">
    <cfRule type="containsText" dxfId="7382" priority="7313" stopIfTrue="1" operator="containsText" text="NO CUMPLE">
      <formula>NOT(ISERROR(SEARCH("NO CUMPLE",K2590)))</formula>
    </cfRule>
    <cfRule type="containsText" dxfId="7381" priority="7314" stopIfTrue="1" operator="containsText" text="CUMPLE">
      <formula>NOT(ISERROR(SEARCH("CUMPLE",K2590)))</formula>
    </cfRule>
  </conditionalFormatting>
  <conditionalFormatting sqref="K2596">
    <cfRule type="containsText" dxfId="7380" priority="7311" stopIfTrue="1" operator="containsText" text="NO CUMPLE">
      <formula>NOT(ISERROR(SEARCH("NO CUMPLE",K2596)))</formula>
    </cfRule>
    <cfRule type="containsText" dxfId="7379" priority="7312" stopIfTrue="1" operator="containsText" text="CUMPLE">
      <formula>NOT(ISERROR(SEARCH("CUMPLE",K2596)))</formula>
    </cfRule>
  </conditionalFormatting>
  <conditionalFormatting sqref="Q2589">
    <cfRule type="cellIs" dxfId="7378" priority="7309" operator="greaterThanOrEqual">
      <formula>NUMMINCONT</formula>
    </cfRule>
    <cfRule type="cellIs" dxfId="7377" priority="7310" operator="lessThan">
      <formula>NUMMINCONT</formula>
    </cfRule>
  </conditionalFormatting>
  <conditionalFormatting sqref="W2573:Y2581">
    <cfRule type="cellIs" dxfId="7376" priority="7307" stopIfTrue="1" operator="equal">
      <formula>"NO"</formula>
    </cfRule>
    <cfRule type="cellIs" dxfId="7375" priority="7308" stopIfTrue="1" operator="equal">
      <formula>"SI"</formula>
    </cfRule>
  </conditionalFormatting>
  <conditionalFormatting sqref="R2576">
    <cfRule type="cellIs" dxfId="7374" priority="7306" stopIfTrue="1" operator="greaterThan">
      <formula>0</formula>
    </cfRule>
  </conditionalFormatting>
  <conditionalFormatting sqref="R2577">
    <cfRule type="cellIs" dxfId="7373" priority="7305" stopIfTrue="1" operator="greaterThan">
      <formula>0</formula>
    </cfRule>
  </conditionalFormatting>
  <conditionalFormatting sqref="R2578">
    <cfRule type="cellIs" dxfId="7372" priority="7304" stopIfTrue="1" operator="greaterThan">
      <formula>0</formula>
    </cfRule>
  </conditionalFormatting>
  <conditionalFormatting sqref="R2579">
    <cfRule type="cellIs" dxfId="7371" priority="7303" stopIfTrue="1" operator="greaterThan">
      <formula>0</formula>
    </cfRule>
  </conditionalFormatting>
  <conditionalFormatting sqref="R2580">
    <cfRule type="cellIs" dxfId="7370" priority="7302" stopIfTrue="1" operator="greaterThan">
      <formula>0</formula>
    </cfRule>
  </conditionalFormatting>
  <conditionalFormatting sqref="R2581">
    <cfRule type="cellIs" dxfId="7369" priority="7301" stopIfTrue="1" operator="greaterThan">
      <formula>0</formula>
    </cfRule>
  </conditionalFormatting>
  <conditionalFormatting sqref="R2582">
    <cfRule type="cellIs" dxfId="7368" priority="7300" stopIfTrue="1" operator="greaterThan">
      <formula>0</formula>
    </cfRule>
  </conditionalFormatting>
  <conditionalFormatting sqref="W2573:X2573">
    <cfRule type="cellIs" dxfId="7367" priority="7299" stopIfTrue="1" operator="equal">
      <formula>"NO APLICA"</formula>
    </cfRule>
  </conditionalFormatting>
  <conditionalFormatting sqref="W2574:X2577">
    <cfRule type="cellIs" dxfId="7366" priority="7298" stopIfTrue="1" operator="equal">
      <formula>"NO APLICA"</formula>
    </cfRule>
  </conditionalFormatting>
  <conditionalFormatting sqref="W2574:X2574">
    <cfRule type="cellIs" dxfId="7365" priority="7297" stopIfTrue="1" operator="equal">
      <formula>"NO APLICA"</formula>
    </cfRule>
  </conditionalFormatting>
  <conditionalFormatting sqref="Y2573">
    <cfRule type="cellIs" dxfId="7364" priority="7296" stopIfTrue="1" operator="equal">
      <formula>"NO APLICA"</formula>
    </cfRule>
  </conditionalFormatting>
  <conditionalFormatting sqref="Y2574:Y2577">
    <cfRule type="cellIs" dxfId="7363" priority="7295" stopIfTrue="1" operator="equal">
      <formula>"NO APLICA"</formula>
    </cfRule>
  </conditionalFormatting>
  <conditionalFormatting sqref="W2578:X2581">
    <cfRule type="cellIs" dxfId="7362" priority="7294" stopIfTrue="1" operator="equal">
      <formula>"NO APLICA"</formula>
    </cfRule>
  </conditionalFormatting>
  <conditionalFormatting sqref="W2578:X2578">
    <cfRule type="cellIs" dxfId="7361" priority="7293" stopIfTrue="1" operator="equal">
      <formula>"NO APLICA"</formula>
    </cfRule>
  </conditionalFormatting>
  <conditionalFormatting sqref="Y2578:Y2581">
    <cfRule type="cellIs" dxfId="7360" priority="7292" stopIfTrue="1" operator="equal">
      <formula>"NO APLICA"</formula>
    </cfRule>
  </conditionalFormatting>
  <conditionalFormatting sqref="T2587">
    <cfRule type="cellIs" dxfId="7359" priority="7290" operator="equal">
      <formula>"CUMPLE"</formula>
    </cfRule>
    <cfRule type="cellIs" dxfId="7358" priority="7291" operator="equal">
      <formula>"NO CUMPLE"</formula>
    </cfRule>
  </conditionalFormatting>
  <conditionalFormatting sqref="T2587:T2589">
    <cfRule type="cellIs" dxfId="7357" priority="7289" operator="equal">
      <formula>"VERIFICAR"</formula>
    </cfRule>
  </conditionalFormatting>
  <conditionalFormatting sqref="AD2573:AF2577">
    <cfRule type="cellIs" dxfId="7356" priority="7287" stopIfTrue="1" operator="equal">
      <formula>"NO"</formula>
    </cfRule>
    <cfRule type="cellIs" dxfId="7355" priority="7288" stopIfTrue="1" operator="equal">
      <formula>"SI"</formula>
    </cfRule>
  </conditionalFormatting>
  <conditionalFormatting sqref="AD2578:AF2581">
    <cfRule type="cellIs" dxfId="7354" priority="7285" stopIfTrue="1" operator="equal">
      <formula>"NO"</formula>
    </cfRule>
    <cfRule type="cellIs" dxfId="7353" priority="7286" stopIfTrue="1" operator="equal">
      <formula>"SI"</formula>
    </cfRule>
  </conditionalFormatting>
  <conditionalFormatting sqref="W2582:Y2582">
    <cfRule type="cellIs" dxfId="7352" priority="7283" stopIfTrue="1" operator="equal">
      <formula>"NO"</formula>
    </cfRule>
    <cfRule type="cellIs" dxfId="7351" priority="7284" stopIfTrue="1" operator="equal">
      <formula>"SI"</formula>
    </cfRule>
  </conditionalFormatting>
  <conditionalFormatting sqref="W2582:X2582">
    <cfRule type="cellIs" dxfId="7350" priority="7282" stopIfTrue="1" operator="equal">
      <formula>"NO APLICA"</formula>
    </cfRule>
  </conditionalFormatting>
  <conditionalFormatting sqref="Y2582">
    <cfRule type="cellIs" dxfId="7349" priority="7281" stopIfTrue="1" operator="equal">
      <formula>"NO APLICA"</formula>
    </cfRule>
  </conditionalFormatting>
  <conditionalFormatting sqref="AD2582:AF2582">
    <cfRule type="cellIs" dxfId="7348" priority="7279" stopIfTrue="1" operator="equal">
      <formula>"NO"</formula>
    </cfRule>
    <cfRule type="cellIs" dxfId="7347" priority="7280" stopIfTrue="1" operator="equal">
      <formula>"SI"</formula>
    </cfRule>
  </conditionalFormatting>
  <conditionalFormatting sqref="AE2587">
    <cfRule type="cellIs" dxfId="7346" priority="7276" stopIfTrue="1" operator="equal">
      <formula>"VERIFICAR"</formula>
    </cfRule>
    <cfRule type="cellIs" dxfId="7345" priority="7277" stopIfTrue="1" operator="equal">
      <formula>"NO CUMPLE"</formula>
    </cfRule>
    <cfRule type="cellIs" dxfId="7344" priority="7278" stopIfTrue="1" operator="equal">
      <formula>"CUMPLE"</formula>
    </cfRule>
  </conditionalFormatting>
  <conditionalFormatting sqref="AF2587">
    <cfRule type="cellIs" dxfId="7343" priority="7273" stopIfTrue="1" operator="equal">
      <formula>"VERIFICAR"</formula>
    </cfRule>
    <cfRule type="cellIs" dxfId="7342" priority="7274" stopIfTrue="1" operator="equal">
      <formula>"NO CUMPLE"</formula>
    </cfRule>
    <cfRule type="cellIs" dxfId="7341" priority="7275" stopIfTrue="1" operator="equal">
      <formula>"CUMPLE"</formula>
    </cfRule>
  </conditionalFormatting>
  <conditionalFormatting sqref="Y2590">
    <cfRule type="cellIs" dxfId="7340" priority="7272" operator="equal">
      <formula>"VERIFICAR CUADRO"</formula>
    </cfRule>
  </conditionalFormatting>
  <conditionalFormatting sqref="AC2591:AC2596">
    <cfRule type="cellIs" dxfId="7339" priority="7271" stopIfTrue="1" operator="greaterThan">
      <formula>0</formula>
    </cfRule>
  </conditionalFormatting>
  <conditionalFormatting sqref="AC2591:AC2596">
    <cfRule type="cellIs" dxfId="7338" priority="7270" stopIfTrue="1" operator="greaterThan">
      <formula>0</formula>
    </cfRule>
  </conditionalFormatting>
  <conditionalFormatting sqref="AD2591:AD2596">
    <cfRule type="containsText" dxfId="7337" priority="7268" stopIfTrue="1" operator="containsText" text="NO CUMPLE">
      <formula>NOT(ISERROR(SEARCH("NO CUMPLE",AD2591)))</formula>
    </cfRule>
    <cfRule type="containsText" dxfId="7336" priority="7269" stopIfTrue="1" operator="containsText" text="CUMPLE">
      <formula>NOT(ISERROR(SEARCH("CUMPLE",AD2591)))</formula>
    </cfRule>
  </conditionalFormatting>
  <conditionalFormatting sqref="Y2596">
    <cfRule type="containsText" dxfId="7335" priority="7266" stopIfTrue="1" operator="containsText" text="NO CUMPLE">
      <formula>NOT(ISERROR(SEARCH("NO CUMPLE",Y2596)))</formula>
    </cfRule>
    <cfRule type="containsText" dxfId="7334" priority="7267" stopIfTrue="1" operator="containsText" text="CUMPLE">
      <formula>NOT(ISERROR(SEARCH("CUMPLE",Y2596)))</formula>
    </cfRule>
  </conditionalFormatting>
  <conditionalFormatting sqref="AA2573:AA2582">
    <cfRule type="cellIs" dxfId="7333" priority="7264" stopIfTrue="1" operator="equal">
      <formula>"NO APLICA"</formula>
    </cfRule>
    <cfRule type="cellIs" dxfId="7332" priority="7265" stopIfTrue="1" operator="equal">
      <formula>"TERCIARIA"</formula>
    </cfRule>
  </conditionalFormatting>
  <conditionalFormatting sqref="AB2573:AB2582">
    <cfRule type="cellIs" dxfId="7331" priority="7262" stopIfTrue="1" operator="equal">
      <formula>"N/A"</formula>
    </cfRule>
    <cfRule type="cellIs" dxfId="7330" priority="7263" stopIfTrue="1" operator="equal">
      <formula>"NO"</formula>
    </cfRule>
  </conditionalFormatting>
  <conditionalFormatting sqref="M2603:M2612">
    <cfRule type="cellIs" dxfId="7329" priority="7261" stopIfTrue="1" operator="lessThan">
      <formula>0</formula>
    </cfRule>
  </conditionalFormatting>
  <conditionalFormatting sqref="C2605:D2611 B2604:B2611 F2605:I2611 C2604:I2604 B2612:O2612 B2603:R2603 Q2604:R2605 J2604:O2611 Q2606:Q2612 P2604:P2612">
    <cfRule type="cellIs" dxfId="7328" priority="7260" stopIfTrue="1" operator="greaterThan">
      <formula>0</formula>
    </cfRule>
  </conditionalFormatting>
  <conditionalFormatting sqref="C2605:D2611">
    <cfRule type="cellIs" dxfId="7327" priority="7259" stopIfTrue="1" operator="greaterThan">
      <formula>0</formula>
    </cfRule>
  </conditionalFormatting>
  <conditionalFormatting sqref="C2603:M2603 C2605:D2611 F2605:I2611 C2604:I2604 K2604:M2611 J2604:J2612 L2612:M2612">
    <cfRule type="cellIs" dxfId="7326" priority="7258" stopIfTrue="1" operator="greaterThan">
      <formula>0</formula>
    </cfRule>
  </conditionalFormatting>
  <conditionalFormatting sqref="M2603:M2612">
    <cfRule type="cellIs" dxfId="7325" priority="7257" stopIfTrue="1" operator="lessThan">
      <formula>0</formula>
    </cfRule>
  </conditionalFormatting>
  <conditionalFormatting sqref="J2604:J2612 L2604:O2612 C2603:O2603">
    <cfRule type="cellIs" dxfId="7324" priority="7256" stopIfTrue="1" operator="greaterThan">
      <formula>0</formula>
    </cfRule>
  </conditionalFormatting>
  <conditionalFormatting sqref="H2605:I2611 K2605:M2612">
    <cfRule type="cellIs" dxfId="7323" priority="7255" stopIfTrue="1" operator="greaterThan">
      <formula>0</formula>
    </cfRule>
  </conditionalFormatting>
  <conditionalFormatting sqref="I2604">
    <cfRule type="cellIs" dxfId="7322" priority="7254" stopIfTrue="1" operator="greaterThan">
      <formula>0</formula>
    </cfRule>
  </conditionalFormatting>
  <conditionalFormatting sqref="I2612">
    <cfRule type="cellIs" dxfId="7321" priority="7253" stopIfTrue="1" operator="greaterThan">
      <formula>0</formula>
    </cfRule>
  </conditionalFormatting>
  <conditionalFormatting sqref="E2605:E2611">
    <cfRule type="cellIs" dxfId="7320" priority="7252" stopIfTrue="1" operator="greaterThan">
      <formula>0</formula>
    </cfRule>
  </conditionalFormatting>
  <conditionalFormatting sqref="K2620:K2625">
    <cfRule type="containsText" dxfId="7319" priority="7250" stopIfTrue="1" operator="containsText" text="NO CUMPLE">
      <formula>NOT(ISERROR(SEARCH("NO CUMPLE",K2620)))</formula>
    </cfRule>
    <cfRule type="containsText" dxfId="7318" priority="7251" stopIfTrue="1" operator="containsText" text="CUMPLE">
      <formula>NOT(ISERROR(SEARCH("CUMPLE",K2620)))</formula>
    </cfRule>
  </conditionalFormatting>
  <conditionalFormatting sqref="K2626">
    <cfRule type="containsText" dxfId="7317" priority="7248" stopIfTrue="1" operator="containsText" text="NO CUMPLE">
      <formula>NOT(ISERROR(SEARCH("NO CUMPLE",K2626)))</formula>
    </cfRule>
    <cfRule type="containsText" dxfId="7316" priority="7249" stopIfTrue="1" operator="containsText" text="CUMPLE">
      <formula>NOT(ISERROR(SEARCH("CUMPLE",K2626)))</formula>
    </cfRule>
  </conditionalFormatting>
  <conditionalFormatting sqref="Q2619">
    <cfRule type="cellIs" dxfId="7315" priority="7246" operator="greaterThanOrEqual">
      <formula>NUMMINCONT</formula>
    </cfRule>
    <cfRule type="cellIs" dxfId="7314" priority="7247" operator="lessThan">
      <formula>NUMMINCONT</formula>
    </cfRule>
  </conditionalFormatting>
  <conditionalFormatting sqref="W2603:Y2611">
    <cfRule type="cellIs" dxfId="7313" priority="7244" stopIfTrue="1" operator="equal">
      <formula>"NO"</formula>
    </cfRule>
    <cfRule type="cellIs" dxfId="7312" priority="7245" stopIfTrue="1" operator="equal">
      <formula>"SI"</formula>
    </cfRule>
  </conditionalFormatting>
  <conditionalFormatting sqref="R2606">
    <cfRule type="cellIs" dxfId="7311" priority="7243" stopIfTrue="1" operator="greaterThan">
      <formula>0</formula>
    </cfRule>
  </conditionalFormatting>
  <conditionalFormatting sqref="R2607">
    <cfRule type="cellIs" dxfId="7310" priority="7242" stopIfTrue="1" operator="greaterThan">
      <formula>0</formula>
    </cfRule>
  </conditionalFormatting>
  <conditionalFormatting sqref="R2608">
    <cfRule type="cellIs" dxfId="7309" priority="7241" stopIfTrue="1" operator="greaterThan">
      <formula>0</formula>
    </cfRule>
  </conditionalFormatting>
  <conditionalFormatting sqref="R2609">
    <cfRule type="cellIs" dxfId="7308" priority="7240" stopIfTrue="1" operator="greaterThan">
      <formula>0</formula>
    </cfRule>
  </conditionalFormatting>
  <conditionalFormatting sqref="R2610">
    <cfRule type="cellIs" dxfId="7307" priority="7239" stopIfTrue="1" operator="greaterThan">
      <formula>0</formula>
    </cfRule>
  </conditionalFormatting>
  <conditionalFormatting sqref="R2611">
    <cfRule type="cellIs" dxfId="7306" priority="7238" stopIfTrue="1" operator="greaterThan">
      <formula>0</formula>
    </cfRule>
  </conditionalFormatting>
  <conditionalFormatting sqref="R2612">
    <cfRule type="cellIs" dxfId="7305" priority="7237" stopIfTrue="1" operator="greaterThan">
      <formula>0</formula>
    </cfRule>
  </conditionalFormatting>
  <conditionalFormatting sqref="W2603:X2603">
    <cfRule type="cellIs" dxfId="7304" priority="7236" stopIfTrue="1" operator="equal">
      <formula>"NO APLICA"</formula>
    </cfRule>
  </conditionalFormatting>
  <conditionalFormatting sqref="W2604:X2607">
    <cfRule type="cellIs" dxfId="7303" priority="7235" stopIfTrue="1" operator="equal">
      <formula>"NO APLICA"</formula>
    </cfRule>
  </conditionalFormatting>
  <conditionalFormatting sqref="W2604:X2604">
    <cfRule type="cellIs" dxfId="7302" priority="7234" stopIfTrue="1" operator="equal">
      <formula>"NO APLICA"</formula>
    </cfRule>
  </conditionalFormatting>
  <conditionalFormatting sqref="Y2603">
    <cfRule type="cellIs" dxfId="7301" priority="7233" stopIfTrue="1" operator="equal">
      <formula>"NO APLICA"</formula>
    </cfRule>
  </conditionalFormatting>
  <conditionalFormatting sqref="Y2604:Y2607">
    <cfRule type="cellIs" dxfId="7300" priority="7232" stopIfTrue="1" operator="equal">
      <formula>"NO APLICA"</formula>
    </cfRule>
  </conditionalFormatting>
  <conditionalFormatting sqref="W2608:X2611">
    <cfRule type="cellIs" dxfId="7299" priority="7231" stopIfTrue="1" operator="equal">
      <formula>"NO APLICA"</formula>
    </cfRule>
  </conditionalFormatting>
  <conditionalFormatting sqref="W2608:X2608">
    <cfRule type="cellIs" dxfId="7298" priority="7230" stopIfTrue="1" operator="equal">
      <formula>"NO APLICA"</formula>
    </cfRule>
  </conditionalFormatting>
  <conditionalFormatting sqref="Y2608:Y2611">
    <cfRule type="cellIs" dxfId="7297" priority="7229" stopIfTrue="1" operator="equal">
      <formula>"NO APLICA"</formula>
    </cfRule>
  </conditionalFormatting>
  <conditionalFormatting sqref="T2617">
    <cfRule type="cellIs" dxfId="7296" priority="7227" operator="equal">
      <formula>"CUMPLE"</formula>
    </cfRule>
    <cfRule type="cellIs" dxfId="7295" priority="7228" operator="equal">
      <formula>"NO CUMPLE"</formula>
    </cfRule>
  </conditionalFormatting>
  <conditionalFormatting sqref="T2617:T2619">
    <cfRule type="cellIs" dxfId="7294" priority="7226" operator="equal">
      <formula>"VERIFICAR"</formula>
    </cfRule>
  </conditionalFormatting>
  <conditionalFormatting sqref="AD2603:AF2607">
    <cfRule type="cellIs" dxfId="7293" priority="7224" stopIfTrue="1" operator="equal">
      <formula>"NO"</formula>
    </cfRule>
    <cfRule type="cellIs" dxfId="7292" priority="7225" stopIfTrue="1" operator="equal">
      <formula>"SI"</formula>
    </cfRule>
  </conditionalFormatting>
  <conditionalFormatting sqref="AD2608:AF2611">
    <cfRule type="cellIs" dxfId="7291" priority="7222" stopIfTrue="1" operator="equal">
      <formula>"NO"</formula>
    </cfRule>
    <cfRule type="cellIs" dxfId="7290" priority="7223" stopIfTrue="1" operator="equal">
      <formula>"SI"</formula>
    </cfRule>
  </conditionalFormatting>
  <conditionalFormatting sqref="W2612:Y2612">
    <cfRule type="cellIs" dxfId="7289" priority="7220" stopIfTrue="1" operator="equal">
      <formula>"NO"</formula>
    </cfRule>
    <cfRule type="cellIs" dxfId="7288" priority="7221" stopIfTrue="1" operator="equal">
      <formula>"SI"</formula>
    </cfRule>
  </conditionalFormatting>
  <conditionalFormatting sqref="W2612:X2612">
    <cfRule type="cellIs" dxfId="7287" priority="7219" stopIfTrue="1" operator="equal">
      <formula>"NO APLICA"</formula>
    </cfRule>
  </conditionalFormatting>
  <conditionalFormatting sqref="Y2612">
    <cfRule type="cellIs" dxfId="7286" priority="7218" stopIfTrue="1" operator="equal">
      <formula>"NO APLICA"</formula>
    </cfRule>
  </conditionalFormatting>
  <conditionalFormatting sqref="AD2612:AF2612">
    <cfRule type="cellIs" dxfId="7285" priority="7216" stopIfTrue="1" operator="equal">
      <formula>"NO"</formula>
    </cfRule>
    <cfRule type="cellIs" dxfId="7284" priority="7217" stopIfTrue="1" operator="equal">
      <formula>"SI"</formula>
    </cfRule>
  </conditionalFormatting>
  <conditionalFormatting sqref="AE2617">
    <cfRule type="cellIs" dxfId="7283" priority="7213" stopIfTrue="1" operator="equal">
      <formula>"VERIFICAR"</formula>
    </cfRule>
    <cfRule type="cellIs" dxfId="7282" priority="7214" stopIfTrue="1" operator="equal">
      <formula>"NO CUMPLE"</formula>
    </cfRule>
    <cfRule type="cellIs" dxfId="7281" priority="7215" stopIfTrue="1" operator="equal">
      <formula>"CUMPLE"</formula>
    </cfRule>
  </conditionalFormatting>
  <conditionalFormatting sqref="AF2617">
    <cfRule type="cellIs" dxfId="7280" priority="7210" stopIfTrue="1" operator="equal">
      <formula>"VERIFICAR"</formula>
    </cfRule>
    <cfRule type="cellIs" dxfId="7279" priority="7211" stopIfTrue="1" operator="equal">
      <formula>"NO CUMPLE"</formula>
    </cfRule>
    <cfRule type="cellIs" dxfId="7278" priority="7212" stopIfTrue="1" operator="equal">
      <formula>"CUMPLE"</formula>
    </cfRule>
  </conditionalFormatting>
  <conditionalFormatting sqref="Y2620">
    <cfRule type="cellIs" dxfId="7277" priority="7209" operator="equal">
      <formula>"VERIFICAR CUADRO"</formula>
    </cfRule>
  </conditionalFormatting>
  <conditionalFormatting sqref="AC2621:AC2626">
    <cfRule type="cellIs" dxfId="7276" priority="7208" stopIfTrue="1" operator="greaterThan">
      <formula>0</formula>
    </cfRule>
  </conditionalFormatting>
  <conditionalFormatting sqref="AC2621:AC2626">
    <cfRule type="cellIs" dxfId="7275" priority="7207" stopIfTrue="1" operator="greaterThan">
      <formula>0</formula>
    </cfRule>
  </conditionalFormatting>
  <conditionalFormatting sqref="AD2621:AD2626">
    <cfRule type="containsText" dxfId="7274" priority="7205" stopIfTrue="1" operator="containsText" text="NO CUMPLE">
      <formula>NOT(ISERROR(SEARCH("NO CUMPLE",AD2621)))</formula>
    </cfRule>
    <cfRule type="containsText" dxfId="7273" priority="7206" stopIfTrue="1" operator="containsText" text="CUMPLE">
      <formula>NOT(ISERROR(SEARCH("CUMPLE",AD2621)))</formula>
    </cfRule>
  </conditionalFormatting>
  <conditionalFormatting sqref="Y2626">
    <cfRule type="containsText" dxfId="7272" priority="7203" stopIfTrue="1" operator="containsText" text="NO CUMPLE">
      <formula>NOT(ISERROR(SEARCH("NO CUMPLE",Y2626)))</formula>
    </cfRule>
    <cfRule type="containsText" dxfId="7271" priority="7204" stopIfTrue="1" operator="containsText" text="CUMPLE">
      <formula>NOT(ISERROR(SEARCH("CUMPLE",Y2626)))</formula>
    </cfRule>
  </conditionalFormatting>
  <conditionalFormatting sqref="AA2603:AA2612">
    <cfRule type="cellIs" dxfId="7270" priority="7201" stopIfTrue="1" operator="equal">
      <formula>"NO APLICA"</formula>
    </cfRule>
    <cfRule type="cellIs" dxfId="7269" priority="7202" stopIfTrue="1" operator="equal">
      <formula>"TERCIARIA"</formula>
    </cfRule>
  </conditionalFormatting>
  <conditionalFormatting sqref="AB2603:AB2612">
    <cfRule type="cellIs" dxfId="7268" priority="7199" stopIfTrue="1" operator="equal">
      <formula>"N/A"</formula>
    </cfRule>
    <cfRule type="cellIs" dxfId="7267" priority="7200" stopIfTrue="1" operator="equal">
      <formula>"NO"</formula>
    </cfRule>
  </conditionalFormatting>
  <conditionalFormatting sqref="M2633:M2642">
    <cfRule type="cellIs" dxfId="7266" priority="7198" stopIfTrue="1" operator="lessThan">
      <formula>0</formula>
    </cfRule>
  </conditionalFormatting>
  <conditionalFormatting sqref="C2635:D2641 B2634:B2641 F2635:I2641 C2634:I2634 B2642:O2642 B2633:R2633 Q2634:R2635 J2634:O2641 Q2636:Q2642 P2634:P2642">
    <cfRule type="cellIs" dxfId="7265" priority="7197" stopIfTrue="1" operator="greaterThan">
      <formula>0</formula>
    </cfRule>
  </conditionalFormatting>
  <conditionalFormatting sqref="C2635:D2641">
    <cfRule type="cellIs" dxfId="7264" priority="7196" stopIfTrue="1" operator="greaterThan">
      <formula>0</formula>
    </cfRule>
  </conditionalFormatting>
  <conditionalFormatting sqref="C2633:M2633 C2635:D2641 F2635:I2641 C2634:I2634 K2634:M2641 J2634:J2642 L2642:M2642">
    <cfRule type="cellIs" dxfId="7263" priority="7195" stopIfTrue="1" operator="greaterThan">
      <formula>0</formula>
    </cfRule>
  </conditionalFormatting>
  <conditionalFormatting sqref="M2633:M2642">
    <cfRule type="cellIs" dxfId="7262" priority="7194" stopIfTrue="1" operator="lessThan">
      <formula>0</formula>
    </cfRule>
  </conditionalFormatting>
  <conditionalFormatting sqref="J2634:J2642 L2634:O2642 C2633:O2633">
    <cfRule type="cellIs" dxfId="7261" priority="7193" stopIfTrue="1" operator="greaterThan">
      <formula>0</formula>
    </cfRule>
  </conditionalFormatting>
  <conditionalFormatting sqref="H2635:I2641 K2635:M2642">
    <cfRule type="cellIs" dxfId="7260" priority="7192" stopIfTrue="1" operator="greaterThan">
      <formula>0</formula>
    </cfRule>
  </conditionalFormatting>
  <conditionalFormatting sqref="I2634">
    <cfRule type="cellIs" dxfId="7259" priority="7191" stopIfTrue="1" operator="greaterThan">
      <formula>0</formula>
    </cfRule>
  </conditionalFormatting>
  <conditionalFormatting sqref="I2642">
    <cfRule type="cellIs" dxfId="7258" priority="7190" stopIfTrue="1" operator="greaterThan">
      <formula>0</formula>
    </cfRule>
  </conditionalFormatting>
  <conditionalFormatting sqref="E2635:E2641">
    <cfRule type="cellIs" dxfId="7257" priority="7189" stopIfTrue="1" operator="greaterThan">
      <formula>0</formula>
    </cfRule>
  </conditionalFormatting>
  <conditionalFormatting sqref="K2650:K2655">
    <cfRule type="containsText" dxfId="7256" priority="7187" stopIfTrue="1" operator="containsText" text="NO CUMPLE">
      <formula>NOT(ISERROR(SEARCH("NO CUMPLE",K2650)))</formula>
    </cfRule>
    <cfRule type="containsText" dxfId="7255" priority="7188" stopIfTrue="1" operator="containsText" text="CUMPLE">
      <formula>NOT(ISERROR(SEARCH("CUMPLE",K2650)))</formula>
    </cfRule>
  </conditionalFormatting>
  <conditionalFormatting sqref="K2656">
    <cfRule type="containsText" dxfId="7254" priority="7185" stopIfTrue="1" operator="containsText" text="NO CUMPLE">
      <formula>NOT(ISERROR(SEARCH("NO CUMPLE",K2656)))</formula>
    </cfRule>
    <cfRule type="containsText" dxfId="7253" priority="7186" stopIfTrue="1" operator="containsText" text="CUMPLE">
      <formula>NOT(ISERROR(SEARCH("CUMPLE",K2656)))</formula>
    </cfRule>
  </conditionalFormatting>
  <conditionalFormatting sqref="Q2649">
    <cfRule type="cellIs" dxfId="7252" priority="7183" operator="greaterThanOrEqual">
      <formula>NUMMINCONT</formula>
    </cfRule>
    <cfRule type="cellIs" dxfId="7251" priority="7184" operator="lessThan">
      <formula>NUMMINCONT</formula>
    </cfRule>
  </conditionalFormatting>
  <conditionalFormatting sqref="W2633:Y2641">
    <cfRule type="cellIs" dxfId="7250" priority="7181" stopIfTrue="1" operator="equal">
      <formula>"NO"</formula>
    </cfRule>
    <cfRule type="cellIs" dxfId="7249" priority="7182" stopIfTrue="1" operator="equal">
      <formula>"SI"</formula>
    </cfRule>
  </conditionalFormatting>
  <conditionalFormatting sqref="R2636">
    <cfRule type="cellIs" dxfId="7248" priority="7180" stopIfTrue="1" operator="greaterThan">
      <formula>0</formula>
    </cfRule>
  </conditionalFormatting>
  <conditionalFormatting sqref="R2637">
    <cfRule type="cellIs" dxfId="7247" priority="7179" stopIfTrue="1" operator="greaterThan">
      <formula>0</formula>
    </cfRule>
  </conditionalFormatting>
  <conditionalFormatting sqref="R2638">
    <cfRule type="cellIs" dxfId="7246" priority="7178" stopIfTrue="1" operator="greaterThan">
      <formula>0</formula>
    </cfRule>
  </conditionalFormatting>
  <conditionalFormatting sqref="R2639">
    <cfRule type="cellIs" dxfId="7245" priority="7177" stopIfTrue="1" operator="greaterThan">
      <formula>0</formula>
    </cfRule>
  </conditionalFormatting>
  <conditionalFormatting sqref="R2640">
    <cfRule type="cellIs" dxfId="7244" priority="7176" stopIfTrue="1" operator="greaterThan">
      <formula>0</formula>
    </cfRule>
  </conditionalFormatting>
  <conditionalFormatting sqref="R2641">
    <cfRule type="cellIs" dxfId="7243" priority="7175" stopIfTrue="1" operator="greaterThan">
      <formula>0</formula>
    </cfRule>
  </conditionalFormatting>
  <conditionalFormatting sqref="R2642">
    <cfRule type="cellIs" dxfId="7242" priority="7174" stopIfTrue="1" operator="greaterThan">
      <formula>0</formula>
    </cfRule>
  </conditionalFormatting>
  <conditionalFormatting sqref="W2633:X2633">
    <cfRule type="cellIs" dxfId="7241" priority="7173" stopIfTrue="1" operator="equal">
      <formula>"NO APLICA"</formula>
    </cfRule>
  </conditionalFormatting>
  <conditionalFormatting sqref="W2634:X2637">
    <cfRule type="cellIs" dxfId="7240" priority="7172" stopIfTrue="1" operator="equal">
      <formula>"NO APLICA"</formula>
    </cfRule>
  </conditionalFormatting>
  <conditionalFormatting sqref="W2634:X2634">
    <cfRule type="cellIs" dxfId="7239" priority="7171" stopIfTrue="1" operator="equal">
      <formula>"NO APLICA"</formula>
    </cfRule>
  </conditionalFormatting>
  <conditionalFormatting sqref="Y2633">
    <cfRule type="cellIs" dxfId="7238" priority="7170" stopIfTrue="1" operator="equal">
      <formula>"NO APLICA"</formula>
    </cfRule>
  </conditionalFormatting>
  <conditionalFormatting sqref="Y2634:Y2637">
    <cfRule type="cellIs" dxfId="7237" priority="7169" stopIfTrue="1" operator="equal">
      <formula>"NO APLICA"</formula>
    </cfRule>
  </conditionalFormatting>
  <conditionalFormatting sqref="W2638:X2641">
    <cfRule type="cellIs" dxfId="7236" priority="7168" stopIfTrue="1" operator="equal">
      <formula>"NO APLICA"</formula>
    </cfRule>
  </conditionalFormatting>
  <conditionalFormatting sqref="W2638:X2638">
    <cfRule type="cellIs" dxfId="7235" priority="7167" stopIfTrue="1" operator="equal">
      <formula>"NO APLICA"</formula>
    </cfRule>
  </conditionalFormatting>
  <conditionalFormatting sqref="Y2638:Y2641">
    <cfRule type="cellIs" dxfId="7234" priority="7166" stopIfTrue="1" operator="equal">
      <formula>"NO APLICA"</formula>
    </cfRule>
  </conditionalFormatting>
  <conditionalFormatting sqref="T2647">
    <cfRule type="cellIs" dxfId="7233" priority="7164" operator="equal">
      <formula>"CUMPLE"</formula>
    </cfRule>
    <cfRule type="cellIs" dxfId="7232" priority="7165" operator="equal">
      <formula>"NO CUMPLE"</formula>
    </cfRule>
  </conditionalFormatting>
  <conditionalFormatting sqref="T2647:T2649">
    <cfRule type="cellIs" dxfId="7231" priority="7163" operator="equal">
      <formula>"VERIFICAR"</formula>
    </cfRule>
  </conditionalFormatting>
  <conditionalFormatting sqref="AD2633:AF2637">
    <cfRule type="cellIs" dxfId="7230" priority="7161" stopIfTrue="1" operator="equal">
      <formula>"NO"</formula>
    </cfRule>
    <cfRule type="cellIs" dxfId="7229" priority="7162" stopIfTrue="1" operator="equal">
      <formula>"SI"</formula>
    </cfRule>
  </conditionalFormatting>
  <conditionalFormatting sqref="AD2638:AF2641">
    <cfRule type="cellIs" dxfId="7228" priority="7159" stopIfTrue="1" operator="equal">
      <formula>"NO"</formula>
    </cfRule>
    <cfRule type="cellIs" dxfId="7227" priority="7160" stopIfTrue="1" operator="equal">
      <formula>"SI"</formula>
    </cfRule>
  </conditionalFormatting>
  <conditionalFormatting sqref="W2642:Y2642">
    <cfRule type="cellIs" dxfId="7226" priority="7157" stopIfTrue="1" operator="equal">
      <formula>"NO"</formula>
    </cfRule>
    <cfRule type="cellIs" dxfId="7225" priority="7158" stopIfTrue="1" operator="equal">
      <formula>"SI"</formula>
    </cfRule>
  </conditionalFormatting>
  <conditionalFormatting sqref="W2642:X2642">
    <cfRule type="cellIs" dxfId="7224" priority="7156" stopIfTrue="1" operator="equal">
      <formula>"NO APLICA"</formula>
    </cfRule>
  </conditionalFormatting>
  <conditionalFormatting sqref="Y2642">
    <cfRule type="cellIs" dxfId="7223" priority="7155" stopIfTrue="1" operator="equal">
      <formula>"NO APLICA"</formula>
    </cfRule>
  </conditionalFormatting>
  <conditionalFormatting sqref="AD2642:AF2642">
    <cfRule type="cellIs" dxfId="7222" priority="7153" stopIfTrue="1" operator="equal">
      <formula>"NO"</formula>
    </cfRule>
    <cfRule type="cellIs" dxfId="7221" priority="7154" stopIfTrue="1" operator="equal">
      <formula>"SI"</formula>
    </cfRule>
  </conditionalFormatting>
  <conditionalFormatting sqref="AE2647">
    <cfRule type="cellIs" dxfId="7220" priority="7150" stopIfTrue="1" operator="equal">
      <formula>"VERIFICAR"</formula>
    </cfRule>
    <cfRule type="cellIs" dxfId="7219" priority="7151" stopIfTrue="1" operator="equal">
      <formula>"NO CUMPLE"</formula>
    </cfRule>
    <cfRule type="cellIs" dxfId="7218" priority="7152" stopIfTrue="1" operator="equal">
      <formula>"CUMPLE"</formula>
    </cfRule>
  </conditionalFormatting>
  <conditionalFormatting sqref="AF2647">
    <cfRule type="cellIs" dxfId="7217" priority="7147" stopIfTrue="1" operator="equal">
      <formula>"VERIFICAR"</formula>
    </cfRule>
    <cfRule type="cellIs" dxfId="7216" priority="7148" stopIfTrue="1" operator="equal">
      <formula>"NO CUMPLE"</formula>
    </cfRule>
    <cfRule type="cellIs" dxfId="7215" priority="7149" stopIfTrue="1" operator="equal">
      <formula>"CUMPLE"</formula>
    </cfRule>
  </conditionalFormatting>
  <conditionalFormatting sqref="Y2650">
    <cfRule type="cellIs" dxfId="7214" priority="7146" operator="equal">
      <formula>"VERIFICAR CUADRO"</formula>
    </cfRule>
  </conditionalFormatting>
  <conditionalFormatting sqref="AC2651:AC2656">
    <cfRule type="cellIs" dxfId="7213" priority="7145" stopIfTrue="1" operator="greaterThan">
      <formula>0</formula>
    </cfRule>
  </conditionalFormatting>
  <conditionalFormatting sqref="AC2651:AC2656">
    <cfRule type="cellIs" dxfId="7212" priority="7144" stopIfTrue="1" operator="greaterThan">
      <formula>0</formula>
    </cfRule>
  </conditionalFormatting>
  <conditionalFormatting sqref="AD2651:AD2656">
    <cfRule type="containsText" dxfId="7211" priority="7142" stopIfTrue="1" operator="containsText" text="NO CUMPLE">
      <formula>NOT(ISERROR(SEARCH("NO CUMPLE",AD2651)))</formula>
    </cfRule>
    <cfRule type="containsText" dxfId="7210" priority="7143" stopIfTrue="1" operator="containsText" text="CUMPLE">
      <formula>NOT(ISERROR(SEARCH("CUMPLE",AD2651)))</formula>
    </cfRule>
  </conditionalFormatting>
  <conditionalFormatting sqref="Y2656">
    <cfRule type="containsText" dxfId="7209" priority="7140" stopIfTrue="1" operator="containsText" text="NO CUMPLE">
      <formula>NOT(ISERROR(SEARCH("NO CUMPLE",Y2656)))</formula>
    </cfRule>
    <cfRule type="containsText" dxfId="7208" priority="7141" stopIfTrue="1" operator="containsText" text="CUMPLE">
      <formula>NOT(ISERROR(SEARCH("CUMPLE",Y2656)))</formula>
    </cfRule>
  </conditionalFormatting>
  <conditionalFormatting sqref="AA2633:AA2642">
    <cfRule type="cellIs" dxfId="7207" priority="7138" stopIfTrue="1" operator="equal">
      <formula>"NO APLICA"</formula>
    </cfRule>
    <cfRule type="cellIs" dxfId="7206" priority="7139" stopIfTrue="1" operator="equal">
      <formula>"TERCIARIA"</formula>
    </cfRule>
  </conditionalFormatting>
  <conditionalFormatting sqref="AB2633:AB2642">
    <cfRule type="cellIs" dxfId="7205" priority="7136" stopIfTrue="1" operator="equal">
      <formula>"N/A"</formula>
    </cfRule>
    <cfRule type="cellIs" dxfId="7204" priority="7137" stopIfTrue="1" operator="equal">
      <formula>"NO"</formula>
    </cfRule>
  </conditionalFormatting>
  <conditionalFormatting sqref="M2663:M2672">
    <cfRule type="cellIs" dxfId="7203" priority="7135" stopIfTrue="1" operator="lessThan">
      <formula>0</formula>
    </cfRule>
  </conditionalFormatting>
  <conditionalFormatting sqref="C2665:D2671 B2664:B2671 F2665:I2671 C2664:I2664 B2672:O2672 B2663:R2663 Q2664:R2665 J2664:O2671 Q2666:Q2672 P2664:P2672">
    <cfRule type="cellIs" dxfId="7202" priority="7134" stopIfTrue="1" operator="greaterThan">
      <formula>0</formula>
    </cfRule>
  </conditionalFormatting>
  <conditionalFormatting sqref="C2665:D2671">
    <cfRule type="cellIs" dxfId="7201" priority="7133" stopIfTrue="1" operator="greaterThan">
      <formula>0</formula>
    </cfRule>
  </conditionalFormatting>
  <conditionalFormatting sqref="C2663:M2663 C2665:D2671 F2665:I2671 C2664:I2664 K2664:M2671 J2664:J2672 L2672:M2672">
    <cfRule type="cellIs" dxfId="7200" priority="7132" stopIfTrue="1" operator="greaterThan">
      <formula>0</formula>
    </cfRule>
  </conditionalFormatting>
  <conditionalFormatting sqref="M2663:M2672">
    <cfRule type="cellIs" dxfId="7199" priority="7131" stopIfTrue="1" operator="lessThan">
      <formula>0</formula>
    </cfRule>
  </conditionalFormatting>
  <conditionalFormatting sqref="J2664:J2672 L2664:O2672 C2663:O2663">
    <cfRule type="cellIs" dxfId="7198" priority="7130" stopIfTrue="1" operator="greaterThan">
      <formula>0</formula>
    </cfRule>
  </conditionalFormatting>
  <conditionalFormatting sqref="H2665:I2671 K2665:M2672">
    <cfRule type="cellIs" dxfId="7197" priority="7129" stopIfTrue="1" operator="greaterThan">
      <formula>0</formula>
    </cfRule>
  </conditionalFormatting>
  <conditionalFormatting sqref="I2664">
    <cfRule type="cellIs" dxfId="7196" priority="7128" stopIfTrue="1" operator="greaterThan">
      <formula>0</formula>
    </cfRule>
  </conditionalFormatting>
  <conditionalFormatting sqref="I2672">
    <cfRule type="cellIs" dxfId="7195" priority="7127" stopIfTrue="1" operator="greaterThan">
      <formula>0</formula>
    </cfRule>
  </conditionalFormatting>
  <conditionalFormatting sqref="E2665:E2671">
    <cfRule type="cellIs" dxfId="7194" priority="7126" stopIfTrue="1" operator="greaterThan">
      <formula>0</formula>
    </cfRule>
  </conditionalFormatting>
  <conditionalFormatting sqref="K2680:K2685">
    <cfRule type="containsText" dxfId="7193" priority="7124" stopIfTrue="1" operator="containsText" text="NO CUMPLE">
      <formula>NOT(ISERROR(SEARCH("NO CUMPLE",K2680)))</formula>
    </cfRule>
    <cfRule type="containsText" dxfId="7192" priority="7125" stopIfTrue="1" operator="containsText" text="CUMPLE">
      <formula>NOT(ISERROR(SEARCH("CUMPLE",K2680)))</formula>
    </cfRule>
  </conditionalFormatting>
  <conditionalFormatting sqref="K2686">
    <cfRule type="containsText" dxfId="7191" priority="7122" stopIfTrue="1" operator="containsText" text="NO CUMPLE">
      <formula>NOT(ISERROR(SEARCH("NO CUMPLE",K2686)))</formula>
    </cfRule>
    <cfRule type="containsText" dxfId="7190" priority="7123" stopIfTrue="1" operator="containsText" text="CUMPLE">
      <formula>NOT(ISERROR(SEARCH("CUMPLE",K2686)))</formula>
    </cfRule>
  </conditionalFormatting>
  <conditionalFormatting sqref="Q2679">
    <cfRule type="cellIs" dxfId="7189" priority="7120" operator="greaterThanOrEqual">
      <formula>NUMMINCONT</formula>
    </cfRule>
    <cfRule type="cellIs" dxfId="7188" priority="7121" operator="lessThan">
      <formula>NUMMINCONT</formula>
    </cfRule>
  </conditionalFormatting>
  <conditionalFormatting sqref="W2663:Y2671">
    <cfRule type="cellIs" dxfId="7187" priority="7118" stopIfTrue="1" operator="equal">
      <formula>"NO"</formula>
    </cfRule>
    <cfRule type="cellIs" dxfId="7186" priority="7119" stopIfTrue="1" operator="equal">
      <formula>"SI"</formula>
    </cfRule>
  </conditionalFormatting>
  <conditionalFormatting sqref="R2666">
    <cfRule type="cellIs" dxfId="7185" priority="7117" stopIfTrue="1" operator="greaterThan">
      <formula>0</formula>
    </cfRule>
  </conditionalFormatting>
  <conditionalFormatting sqref="R2667">
    <cfRule type="cellIs" dxfId="7184" priority="7116" stopIfTrue="1" operator="greaterThan">
      <formula>0</formula>
    </cfRule>
  </conditionalFormatting>
  <conditionalFormatting sqref="R2668">
    <cfRule type="cellIs" dxfId="7183" priority="7115" stopIfTrue="1" operator="greaterThan">
      <formula>0</formula>
    </cfRule>
  </conditionalFormatting>
  <conditionalFormatting sqref="R2669">
    <cfRule type="cellIs" dxfId="7182" priority="7114" stopIfTrue="1" operator="greaterThan">
      <formula>0</formula>
    </cfRule>
  </conditionalFormatting>
  <conditionalFormatting sqref="R2670">
    <cfRule type="cellIs" dxfId="7181" priority="7113" stopIfTrue="1" operator="greaterThan">
      <formula>0</formula>
    </cfRule>
  </conditionalFormatting>
  <conditionalFormatting sqref="R2671">
    <cfRule type="cellIs" dxfId="7180" priority="7112" stopIfTrue="1" operator="greaterThan">
      <formula>0</formula>
    </cfRule>
  </conditionalFormatting>
  <conditionalFormatting sqref="R2672">
    <cfRule type="cellIs" dxfId="7179" priority="7111" stopIfTrue="1" operator="greaterThan">
      <formula>0</formula>
    </cfRule>
  </conditionalFormatting>
  <conditionalFormatting sqref="W2663:X2663">
    <cfRule type="cellIs" dxfId="7178" priority="7110" stopIfTrue="1" operator="equal">
      <formula>"NO APLICA"</formula>
    </cfRule>
  </conditionalFormatting>
  <conditionalFormatting sqref="W2664:X2667">
    <cfRule type="cellIs" dxfId="7177" priority="7109" stopIfTrue="1" operator="equal">
      <formula>"NO APLICA"</formula>
    </cfRule>
  </conditionalFormatting>
  <conditionalFormatting sqref="W2664:X2664">
    <cfRule type="cellIs" dxfId="7176" priority="7108" stopIfTrue="1" operator="equal">
      <formula>"NO APLICA"</formula>
    </cfRule>
  </conditionalFormatting>
  <conditionalFormatting sqref="Y2663">
    <cfRule type="cellIs" dxfId="7175" priority="7107" stopIfTrue="1" operator="equal">
      <formula>"NO APLICA"</formula>
    </cfRule>
  </conditionalFormatting>
  <conditionalFormatting sqref="Y2664:Y2667">
    <cfRule type="cellIs" dxfId="7174" priority="7106" stopIfTrue="1" operator="equal">
      <formula>"NO APLICA"</formula>
    </cfRule>
  </conditionalFormatting>
  <conditionalFormatting sqref="W2668:X2671">
    <cfRule type="cellIs" dxfId="7173" priority="7105" stopIfTrue="1" operator="equal">
      <formula>"NO APLICA"</formula>
    </cfRule>
  </conditionalFormatting>
  <conditionalFormatting sqref="W2668:X2668">
    <cfRule type="cellIs" dxfId="7172" priority="7104" stopIfTrue="1" operator="equal">
      <formula>"NO APLICA"</formula>
    </cfRule>
  </conditionalFormatting>
  <conditionalFormatting sqref="Y2668:Y2671">
    <cfRule type="cellIs" dxfId="7171" priority="7103" stopIfTrue="1" operator="equal">
      <formula>"NO APLICA"</formula>
    </cfRule>
  </conditionalFormatting>
  <conditionalFormatting sqref="T2677">
    <cfRule type="cellIs" dxfId="7170" priority="7101" operator="equal">
      <formula>"CUMPLE"</formula>
    </cfRule>
    <cfRule type="cellIs" dxfId="7169" priority="7102" operator="equal">
      <formula>"NO CUMPLE"</formula>
    </cfRule>
  </conditionalFormatting>
  <conditionalFormatting sqref="T2677:T2679">
    <cfRule type="cellIs" dxfId="7168" priority="7100" operator="equal">
      <formula>"VERIFICAR"</formula>
    </cfRule>
  </conditionalFormatting>
  <conditionalFormatting sqref="AD2663:AF2667">
    <cfRule type="cellIs" dxfId="7167" priority="7098" stopIfTrue="1" operator="equal">
      <formula>"NO"</formula>
    </cfRule>
    <cfRule type="cellIs" dxfId="7166" priority="7099" stopIfTrue="1" operator="equal">
      <formula>"SI"</formula>
    </cfRule>
  </conditionalFormatting>
  <conditionalFormatting sqref="AD2668:AF2671">
    <cfRule type="cellIs" dxfId="7165" priority="7096" stopIfTrue="1" operator="equal">
      <formula>"NO"</formula>
    </cfRule>
    <cfRule type="cellIs" dxfId="7164" priority="7097" stopIfTrue="1" operator="equal">
      <formula>"SI"</formula>
    </cfRule>
  </conditionalFormatting>
  <conditionalFormatting sqref="W2672:Y2672">
    <cfRule type="cellIs" dxfId="7163" priority="7094" stopIfTrue="1" operator="equal">
      <formula>"NO"</formula>
    </cfRule>
    <cfRule type="cellIs" dxfId="7162" priority="7095" stopIfTrue="1" operator="equal">
      <formula>"SI"</formula>
    </cfRule>
  </conditionalFormatting>
  <conditionalFormatting sqref="W2672:X2672">
    <cfRule type="cellIs" dxfId="7161" priority="7093" stopIfTrue="1" operator="equal">
      <formula>"NO APLICA"</formula>
    </cfRule>
  </conditionalFormatting>
  <conditionalFormatting sqref="Y2672">
    <cfRule type="cellIs" dxfId="7160" priority="7092" stopIfTrue="1" operator="equal">
      <formula>"NO APLICA"</formula>
    </cfRule>
  </conditionalFormatting>
  <conditionalFormatting sqref="AD2672:AF2672">
    <cfRule type="cellIs" dxfId="7159" priority="7090" stopIfTrue="1" operator="equal">
      <formula>"NO"</formula>
    </cfRule>
    <cfRule type="cellIs" dxfId="7158" priority="7091" stopIfTrue="1" operator="equal">
      <formula>"SI"</formula>
    </cfRule>
  </conditionalFormatting>
  <conditionalFormatting sqref="AE2677">
    <cfRule type="cellIs" dxfId="7157" priority="7087" stopIfTrue="1" operator="equal">
      <formula>"VERIFICAR"</formula>
    </cfRule>
    <cfRule type="cellIs" dxfId="7156" priority="7088" stopIfTrue="1" operator="equal">
      <formula>"NO CUMPLE"</formula>
    </cfRule>
    <cfRule type="cellIs" dxfId="7155" priority="7089" stopIfTrue="1" operator="equal">
      <formula>"CUMPLE"</formula>
    </cfRule>
  </conditionalFormatting>
  <conditionalFormatting sqref="AF2677">
    <cfRule type="cellIs" dxfId="7154" priority="7084" stopIfTrue="1" operator="equal">
      <formula>"VERIFICAR"</formula>
    </cfRule>
    <cfRule type="cellIs" dxfId="7153" priority="7085" stopIfTrue="1" operator="equal">
      <formula>"NO CUMPLE"</formula>
    </cfRule>
    <cfRule type="cellIs" dxfId="7152" priority="7086" stopIfTrue="1" operator="equal">
      <formula>"CUMPLE"</formula>
    </cfRule>
  </conditionalFormatting>
  <conditionalFormatting sqref="Y2680">
    <cfRule type="cellIs" dxfId="7151" priority="7083" operator="equal">
      <formula>"VERIFICAR CUADRO"</formula>
    </cfRule>
  </conditionalFormatting>
  <conditionalFormatting sqref="AC2681:AC2686">
    <cfRule type="cellIs" dxfId="7150" priority="7082" stopIfTrue="1" operator="greaterThan">
      <formula>0</formula>
    </cfRule>
  </conditionalFormatting>
  <conditionalFormatting sqref="AC2681:AC2686">
    <cfRule type="cellIs" dxfId="7149" priority="7081" stopIfTrue="1" operator="greaterThan">
      <formula>0</formula>
    </cfRule>
  </conditionalFormatting>
  <conditionalFormatting sqref="AD2681:AD2686">
    <cfRule type="containsText" dxfId="7148" priority="7079" stopIfTrue="1" operator="containsText" text="NO CUMPLE">
      <formula>NOT(ISERROR(SEARCH("NO CUMPLE",AD2681)))</formula>
    </cfRule>
    <cfRule type="containsText" dxfId="7147" priority="7080" stopIfTrue="1" operator="containsText" text="CUMPLE">
      <formula>NOT(ISERROR(SEARCH("CUMPLE",AD2681)))</formula>
    </cfRule>
  </conditionalFormatting>
  <conditionalFormatting sqref="Y2686">
    <cfRule type="containsText" dxfId="7146" priority="7077" stopIfTrue="1" operator="containsText" text="NO CUMPLE">
      <formula>NOT(ISERROR(SEARCH("NO CUMPLE",Y2686)))</formula>
    </cfRule>
    <cfRule type="containsText" dxfId="7145" priority="7078" stopIfTrue="1" operator="containsText" text="CUMPLE">
      <formula>NOT(ISERROR(SEARCH("CUMPLE",Y2686)))</formula>
    </cfRule>
  </conditionalFormatting>
  <conditionalFormatting sqref="AA2663:AA2672">
    <cfRule type="cellIs" dxfId="7144" priority="7075" stopIfTrue="1" operator="equal">
      <formula>"NO APLICA"</formula>
    </cfRule>
    <cfRule type="cellIs" dxfId="7143" priority="7076" stopIfTrue="1" operator="equal">
      <formula>"TERCIARIA"</formula>
    </cfRule>
  </conditionalFormatting>
  <conditionalFormatting sqref="AB2663:AB2672">
    <cfRule type="cellIs" dxfId="7142" priority="7073" stopIfTrue="1" operator="equal">
      <formula>"N/A"</formula>
    </cfRule>
    <cfRule type="cellIs" dxfId="7141" priority="7074" stopIfTrue="1" operator="equal">
      <formula>"NO"</formula>
    </cfRule>
  </conditionalFormatting>
  <conditionalFormatting sqref="M2693:M2702">
    <cfRule type="cellIs" dxfId="7140" priority="7072" stopIfTrue="1" operator="lessThan">
      <formula>0</formula>
    </cfRule>
  </conditionalFormatting>
  <conditionalFormatting sqref="C2695:D2701 B2694:B2701 F2695:I2701 C2694:I2694 B2702:O2702 B2693:R2693 Q2694:R2695 J2694:O2701 Q2696:Q2702 P2694:P2702">
    <cfRule type="cellIs" dxfId="7139" priority="7071" stopIfTrue="1" operator="greaterThan">
      <formula>0</formula>
    </cfRule>
  </conditionalFormatting>
  <conditionalFormatting sqref="C2695:D2701">
    <cfRule type="cellIs" dxfId="7138" priority="7070" stopIfTrue="1" operator="greaterThan">
      <formula>0</formula>
    </cfRule>
  </conditionalFormatting>
  <conditionalFormatting sqref="C2693:M2693 C2695:D2701 F2695:I2701 C2694:I2694 K2694:M2701 J2694:J2702 L2702:M2702">
    <cfRule type="cellIs" dxfId="7137" priority="7069" stopIfTrue="1" operator="greaterThan">
      <formula>0</formula>
    </cfRule>
  </conditionalFormatting>
  <conditionalFormatting sqref="M2693:M2702">
    <cfRule type="cellIs" dxfId="7136" priority="7068" stopIfTrue="1" operator="lessThan">
      <formula>0</formula>
    </cfRule>
  </conditionalFormatting>
  <conditionalFormatting sqref="J2694:J2702 L2694:O2702 C2693:O2693">
    <cfRule type="cellIs" dxfId="7135" priority="7067" stopIfTrue="1" operator="greaterThan">
      <formula>0</formula>
    </cfRule>
  </conditionalFormatting>
  <conditionalFormatting sqref="H2695:I2701 K2695:M2702">
    <cfRule type="cellIs" dxfId="7134" priority="7066" stopIfTrue="1" operator="greaterThan">
      <formula>0</formula>
    </cfRule>
  </conditionalFormatting>
  <conditionalFormatting sqref="I2694">
    <cfRule type="cellIs" dxfId="7133" priority="7065" stopIfTrue="1" operator="greaterThan">
      <formula>0</formula>
    </cfRule>
  </conditionalFormatting>
  <conditionalFormatting sqref="I2702">
    <cfRule type="cellIs" dxfId="7132" priority="7064" stopIfTrue="1" operator="greaterThan">
      <formula>0</formula>
    </cfRule>
  </conditionalFormatting>
  <conditionalFormatting sqref="E2695:E2701">
    <cfRule type="cellIs" dxfId="7131" priority="7063" stopIfTrue="1" operator="greaterThan">
      <formula>0</formula>
    </cfRule>
  </conditionalFormatting>
  <conditionalFormatting sqref="K2710:K2715">
    <cfRule type="containsText" dxfId="7130" priority="7061" stopIfTrue="1" operator="containsText" text="NO CUMPLE">
      <formula>NOT(ISERROR(SEARCH("NO CUMPLE",K2710)))</formula>
    </cfRule>
    <cfRule type="containsText" dxfId="7129" priority="7062" stopIfTrue="1" operator="containsText" text="CUMPLE">
      <formula>NOT(ISERROR(SEARCH("CUMPLE",K2710)))</formula>
    </cfRule>
  </conditionalFormatting>
  <conditionalFormatting sqref="K2716">
    <cfRule type="containsText" dxfId="7128" priority="7059" stopIfTrue="1" operator="containsText" text="NO CUMPLE">
      <formula>NOT(ISERROR(SEARCH("NO CUMPLE",K2716)))</formula>
    </cfRule>
    <cfRule type="containsText" dxfId="7127" priority="7060" stopIfTrue="1" operator="containsText" text="CUMPLE">
      <formula>NOT(ISERROR(SEARCH("CUMPLE",K2716)))</formula>
    </cfRule>
  </conditionalFormatting>
  <conditionalFormatting sqref="Q2709">
    <cfRule type="cellIs" dxfId="7126" priority="7057" operator="greaterThanOrEqual">
      <formula>NUMMINCONT</formula>
    </cfRule>
    <cfRule type="cellIs" dxfId="7125" priority="7058" operator="lessThan">
      <formula>NUMMINCONT</formula>
    </cfRule>
  </conditionalFormatting>
  <conditionalFormatting sqref="W2693:Y2701">
    <cfRule type="cellIs" dxfId="7124" priority="7055" stopIfTrue="1" operator="equal">
      <formula>"NO"</formula>
    </cfRule>
    <cfRule type="cellIs" dxfId="7123" priority="7056" stopIfTrue="1" operator="equal">
      <formula>"SI"</formula>
    </cfRule>
  </conditionalFormatting>
  <conditionalFormatting sqref="R2696">
    <cfRule type="cellIs" dxfId="7122" priority="7054" stopIfTrue="1" operator="greaterThan">
      <formula>0</formula>
    </cfRule>
  </conditionalFormatting>
  <conditionalFormatting sqref="R2697">
    <cfRule type="cellIs" dxfId="7121" priority="7053" stopIfTrue="1" operator="greaterThan">
      <formula>0</formula>
    </cfRule>
  </conditionalFormatting>
  <conditionalFormatting sqref="R2698">
    <cfRule type="cellIs" dxfId="7120" priority="7052" stopIfTrue="1" operator="greaterThan">
      <formula>0</formula>
    </cfRule>
  </conditionalFormatting>
  <conditionalFormatting sqref="R2699">
    <cfRule type="cellIs" dxfId="7119" priority="7051" stopIfTrue="1" operator="greaterThan">
      <formula>0</formula>
    </cfRule>
  </conditionalFormatting>
  <conditionalFormatting sqref="R2700">
    <cfRule type="cellIs" dxfId="7118" priority="7050" stopIfTrue="1" operator="greaterThan">
      <formula>0</formula>
    </cfRule>
  </conditionalFormatting>
  <conditionalFormatting sqref="R2701">
    <cfRule type="cellIs" dxfId="7117" priority="7049" stopIfTrue="1" operator="greaterThan">
      <formula>0</formula>
    </cfRule>
  </conditionalFormatting>
  <conditionalFormatting sqref="R2702">
    <cfRule type="cellIs" dxfId="7116" priority="7048" stopIfTrue="1" operator="greaterThan">
      <formula>0</formula>
    </cfRule>
  </conditionalFormatting>
  <conditionalFormatting sqref="W2693:X2693">
    <cfRule type="cellIs" dxfId="7115" priority="7047" stopIfTrue="1" operator="equal">
      <formula>"NO APLICA"</formula>
    </cfRule>
  </conditionalFormatting>
  <conditionalFormatting sqref="W2694:X2697">
    <cfRule type="cellIs" dxfId="7114" priority="7046" stopIfTrue="1" operator="equal">
      <formula>"NO APLICA"</formula>
    </cfRule>
  </conditionalFormatting>
  <conditionalFormatting sqref="W2694:X2694">
    <cfRule type="cellIs" dxfId="7113" priority="7045" stopIfTrue="1" operator="equal">
      <formula>"NO APLICA"</formula>
    </cfRule>
  </conditionalFormatting>
  <conditionalFormatting sqref="Y2693">
    <cfRule type="cellIs" dxfId="7112" priority="7044" stopIfTrue="1" operator="equal">
      <formula>"NO APLICA"</formula>
    </cfRule>
  </conditionalFormatting>
  <conditionalFormatting sqref="Y2694:Y2697">
    <cfRule type="cellIs" dxfId="7111" priority="7043" stopIfTrue="1" operator="equal">
      <formula>"NO APLICA"</formula>
    </cfRule>
  </conditionalFormatting>
  <conditionalFormatting sqref="W2698:X2701">
    <cfRule type="cellIs" dxfId="7110" priority="7042" stopIfTrue="1" operator="equal">
      <formula>"NO APLICA"</formula>
    </cfRule>
  </conditionalFormatting>
  <conditionalFormatting sqref="W2698:X2698">
    <cfRule type="cellIs" dxfId="7109" priority="7041" stopIfTrue="1" operator="equal">
      <formula>"NO APLICA"</formula>
    </cfRule>
  </conditionalFormatting>
  <conditionalFormatting sqref="Y2698:Y2701">
    <cfRule type="cellIs" dxfId="7108" priority="7040" stopIfTrue="1" operator="equal">
      <formula>"NO APLICA"</formula>
    </cfRule>
  </conditionalFormatting>
  <conditionalFormatting sqref="T2707">
    <cfRule type="cellIs" dxfId="7107" priority="7038" operator="equal">
      <formula>"CUMPLE"</formula>
    </cfRule>
    <cfRule type="cellIs" dxfId="7106" priority="7039" operator="equal">
      <formula>"NO CUMPLE"</formula>
    </cfRule>
  </conditionalFormatting>
  <conditionalFormatting sqref="T2707:T2709">
    <cfRule type="cellIs" dxfId="7105" priority="7037" operator="equal">
      <formula>"VERIFICAR"</formula>
    </cfRule>
  </conditionalFormatting>
  <conditionalFormatting sqref="AD2693:AF2697">
    <cfRule type="cellIs" dxfId="7104" priority="7035" stopIfTrue="1" operator="equal">
      <formula>"NO"</formula>
    </cfRule>
    <cfRule type="cellIs" dxfId="7103" priority="7036" stopIfTrue="1" operator="equal">
      <formula>"SI"</formula>
    </cfRule>
  </conditionalFormatting>
  <conditionalFormatting sqref="AD2698:AF2701">
    <cfRule type="cellIs" dxfId="7102" priority="7033" stopIfTrue="1" operator="equal">
      <formula>"NO"</formula>
    </cfRule>
    <cfRule type="cellIs" dxfId="7101" priority="7034" stopIfTrue="1" operator="equal">
      <formula>"SI"</formula>
    </cfRule>
  </conditionalFormatting>
  <conditionalFormatting sqref="W2702:Y2702">
    <cfRule type="cellIs" dxfId="7100" priority="7031" stopIfTrue="1" operator="equal">
      <formula>"NO"</formula>
    </cfRule>
    <cfRule type="cellIs" dxfId="7099" priority="7032" stopIfTrue="1" operator="equal">
      <formula>"SI"</formula>
    </cfRule>
  </conditionalFormatting>
  <conditionalFormatting sqref="W2702:X2702">
    <cfRule type="cellIs" dxfId="7098" priority="7030" stopIfTrue="1" operator="equal">
      <formula>"NO APLICA"</formula>
    </cfRule>
  </conditionalFormatting>
  <conditionalFormatting sqref="Y2702">
    <cfRule type="cellIs" dxfId="7097" priority="7029" stopIfTrue="1" operator="equal">
      <formula>"NO APLICA"</formula>
    </cfRule>
  </conditionalFormatting>
  <conditionalFormatting sqref="AD2702:AF2702">
    <cfRule type="cellIs" dxfId="7096" priority="7027" stopIfTrue="1" operator="equal">
      <formula>"NO"</formula>
    </cfRule>
    <cfRule type="cellIs" dxfId="7095" priority="7028" stopIfTrue="1" operator="equal">
      <formula>"SI"</formula>
    </cfRule>
  </conditionalFormatting>
  <conditionalFormatting sqref="AE2707">
    <cfRule type="cellIs" dxfId="7094" priority="7024" stopIfTrue="1" operator="equal">
      <formula>"VERIFICAR"</formula>
    </cfRule>
    <cfRule type="cellIs" dxfId="7093" priority="7025" stopIfTrue="1" operator="equal">
      <formula>"NO CUMPLE"</formula>
    </cfRule>
    <cfRule type="cellIs" dxfId="7092" priority="7026" stopIfTrue="1" operator="equal">
      <formula>"CUMPLE"</formula>
    </cfRule>
  </conditionalFormatting>
  <conditionalFormatting sqref="AF2707">
    <cfRule type="cellIs" dxfId="7091" priority="7021" stopIfTrue="1" operator="equal">
      <formula>"VERIFICAR"</formula>
    </cfRule>
    <cfRule type="cellIs" dxfId="7090" priority="7022" stopIfTrue="1" operator="equal">
      <formula>"NO CUMPLE"</formula>
    </cfRule>
    <cfRule type="cellIs" dxfId="7089" priority="7023" stopIfTrue="1" operator="equal">
      <formula>"CUMPLE"</formula>
    </cfRule>
  </conditionalFormatting>
  <conditionalFormatting sqref="Y2710">
    <cfRule type="cellIs" dxfId="7088" priority="7020" operator="equal">
      <formula>"VERIFICAR CUADRO"</formula>
    </cfRule>
  </conditionalFormatting>
  <conditionalFormatting sqref="AC2711:AC2716">
    <cfRule type="cellIs" dxfId="7087" priority="7019" stopIfTrue="1" operator="greaterThan">
      <formula>0</formula>
    </cfRule>
  </conditionalFormatting>
  <conditionalFormatting sqref="AC2711:AC2716">
    <cfRule type="cellIs" dxfId="7086" priority="7018" stopIfTrue="1" operator="greaterThan">
      <formula>0</formula>
    </cfRule>
  </conditionalFormatting>
  <conditionalFormatting sqref="AD2711:AD2716">
    <cfRule type="containsText" dxfId="7085" priority="7016" stopIfTrue="1" operator="containsText" text="NO CUMPLE">
      <formula>NOT(ISERROR(SEARCH("NO CUMPLE",AD2711)))</formula>
    </cfRule>
    <cfRule type="containsText" dxfId="7084" priority="7017" stopIfTrue="1" operator="containsText" text="CUMPLE">
      <formula>NOT(ISERROR(SEARCH("CUMPLE",AD2711)))</formula>
    </cfRule>
  </conditionalFormatting>
  <conditionalFormatting sqref="Y2716">
    <cfRule type="containsText" dxfId="7083" priority="7014" stopIfTrue="1" operator="containsText" text="NO CUMPLE">
      <formula>NOT(ISERROR(SEARCH("NO CUMPLE",Y2716)))</formula>
    </cfRule>
    <cfRule type="containsText" dxfId="7082" priority="7015" stopIfTrue="1" operator="containsText" text="CUMPLE">
      <formula>NOT(ISERROR(SEARCH("CUMPLE",Y2716)))</formula>
    </cfRule>
  </conditionalFormatting>
  <conditionalFormatting sqref="AA2693:AA2702">
    <cfRule type="cellIs" dxfId="7081" priority="7012" stopIfTrue="1" operator="equal">
      <formula>"NO APLICA"</formula>
    </cfRule>
    <cfRule type="cellIs" dxfId="7080" priority="7013" stopIfTrue="1" operator="equal">
      <formula>"TERCIARIA"</formula>
    </cfRule>
  </conditionalFormatting>
  <conditionalFormatting sqref="AB2693:AB2702">
    <cfRule type="cellIs" dxfId="7079" priority="7010" stopIfTrue="1" operator="equal">
      <formula>"N/A"</formula>
    </cfRule>
    <cfRule type="cellIs" dxfId="7078" priority="7011" stopIfTrue="1" operator="equal">
      <formula>"NO"</formula>
    </cfRule>
  </conditionalFormatting>
  <conditionalFormatting sqref="M2723:M2732">
    <cfRule type="cellIs" dxfId="7077" priority="7009" stopIfTrue="1" operator="lessThan">
      <formula>0</formula>
    </cfRule>
  </conditionalFormatting>
  <conditionalFormatting sqref="C2725:D2731 B2724:B2731 F2725:I2731 C2724:I2724 B2732:O2732 B2723:R2723 Q2724:R2725 J2724:O2731 Q2726:Q2732 P2724:P2732">
    <cfRule type="cellIs" dxfId="7076" priority="7008" stopIfTrue="1" operator="greaterThan">
      <formula>0</formula>
    </cfRule>
  </conditionalFormatting>
  <conditionalFormatting sqref="C2725:D2731">
    <cfRule type="cellIs" dxfId="7075" priority="7007" stopIfTrue="1" operator="greaterThan">
      <formula>0</formula>
    </cfRule>
  </conditionalFormatting>
  <conditionalFormatting sqref="C2723:M2723 C2725:D2731 F2725:I2731 C2724:I2724 K2724:M2731 J2724:J2732 L2732:M2732">
    <cfRule type="cellIs" dxfId="7074" priority="7006" stopIfTrue="1" operator="greaterThan">
      <formula>0</formula>
    </cfRule>
  </conditionalFormatting>
  <conditionalFormatting sqref="M2723:M2732">
    <cfRule type="cellIs" dxfId="7073" priority="7005" stopIfTrue="1" operator="lessThan">
      <formula>0</formula>
    </cfRule>
  </conditionalFormatting>
  <conditionalFormatting sqref="J2724:J2732 L2724:O2732 C2723:O2723">
    <cfRule type="cellIs" dxfId="7072" priority="7004" stopIfTrue="1" operator="greaterThan">
      <formula>0</formula>
    </cfRule>
  </conditionalFormatting>
  <conditionalFormatting sqref="H2725:I2731 K2725:M2732">
    <cfRule type="cellIs" dxfId="7071" priority="7003" stopIfTrue="1" operator="greaterThan">
      <formula>0</formula>
    </cfRule>
  </conditionalFormatting>
  <conditionalFormatting sqref="I2724">
    <cfRule type="cellIs" dxfId="7070" priority="7002" stopIfTrue="1" operator="greaterThan">
      <formula>0</formula>
    </cfRule>
  </conditionalFormatting>
  <conditionalFormatting sqref="I2732">
    <cfRule type="cellIs" dxfId="7069" priority="7001" stopIfTrue="1" operator="greaterThan">
      <formula>0</formula>
    </cfRule>
  </conditionalFormatting>
  <conditionalFormatting sqref="E2725:E2731">
    <cfRule type="cellIs" dxfId="7068" priority="7000" stopIfTrue="1" operator="greaterThan">
      <formula>0</formula>
    </cfRule>
  </conditionalFormatting>
  <conditionalFormatting sqref="K2740:K2745">
    <cfRule type="containsText" dxfId="7067" priority="6998" stopIfTrue="1" operator="containsText" text="NO CUMPLE">
      <formula>NOT(ISERROR(SEARCH("NO CUMPLE",K2740)))</formula>
    </cfRule>
    <cfRule type="containsText" dxfId="7066" priority="6999" stopIfTrue="1" operator="containsText" text="CUMPLE">
      <formula>NOT(ISERROR(SEARCH("CUMPLE",K2740)))</formula>
    </cfRule>
  </conditionalFormatting>
  <conditionalFormatting sqref="K2746">
    <cfRule type="containsText" dxfId="7065" priority="6996" stopIfTrue="1" operator="containsText" text="NO CUMPLE">
      <formula>NOT(ISERROR(SEARCH("NO CUMPLE",K2746)))</formula>
    </cfRule>
    <cfRule type="containsText" dxfId="7064" priority="6997" stopIfTrue="1" operator="containsText" text="CUMPLE">
      <formula>NOT(ISERROR(SEARCH("CUMPLE",K2746)))</formula>
    </cfRule>
  </conditionalFormatting>
  <conditionalFormatting sqref="Q2739">
    <cfRule type="cellIs" dxfId="7063" priority="6994" operator="greaterThanOrEqual">
      <formula>NUMMINCONT</formula>
    </cfRule>
    <cfRule type="cellIs" dxfId="7062" priority="6995" operator="lessThan">
      <formula>NUMMINCONT</formula>
    </cfRule>
  </conditionalFormatting>
  <conditionalFormatting sqref="W2723:Y2731">
    <cfRule type="cellIs" dxfId="7061" priority="6992" stopIfTrue="1" operator="equal">
      <formula>"NO"</formula>
    </cfRule>
    <cfRule type="cellIs" dxfId="7060" priority="6993" stopIfTrue="1" operator="equal">
      <formula>"SI"</formula>
    </cfRule>
  </conditionalFormatting>
  <conditionalFormatting sqref="R2726">
    <cfRule type="cellIs" dxfId="7059" priority="6991" stopIfTrue="1" operator="greaterThan">
      <formula>0</formula>
    </cfRule>
  </conditionalFormatting>
  <conditionalFormatting sqref="R2727">
    <cfRule type="cellIs" dxfId="7058" priority="6990" stopIfTrue="1" operator="greaterThan">
      <formula>0</formula>
    </cfRule>
  </conditionalFormatting>
  <conditionalFormatting sqref="R2728">
    <cfRule type="cellIs" dxfId="7057" priority="6989" stopIfTrue="1" operator="greaterThan">
      <formula>0</formula>
    </cfRule>
  </conditionalFormatting>
  <conditionalFormatting sqref="R2729">
    <cfRule type="cellIs" dxfId="7056" priority="6988" stopIfTrue="1" operator="greaterThan">
      <formula>0</formula>
    </cfRule>
  </conditionalFormatting>
  <conditionalFormatting sqref="R2730">
    <cfRule type="cellIs" dxfId="7055" priority="6987" stopIfTrue="1" operator="greaterThan">
      <formula>0</formula>
    </cfRule>
  </conditionalFormatting>
  <conditionalFormatting sqref="R2731">
    <cfRule type="cellIs" dxfId="7054" priority="6986" stopIfTrue="1" operator="greaterThan">
      <formula>0</formula>
    </cfRule>
  </conditionalFormatting>
  <conditionalFormatting sqref="R2732">
    <cfRule type="cellIs" dxfId="7053" priority="6985" stopIfTrue="1" operator="greaterThan">
      <formula>0</formula>
    </cfRule>
  </conditionalFormatting>
  <conditionalFormatting sqref="W2723:X2723">
    <cfRule type="cellIs" dxfId="7052" priority="6984" stopIfTrue="1" operator="equal">
      <formula>"NO APLICA"</formula>
    </cfRule>
  </conditionalFormatting>
  <conditionalFormatting sqref="W2724:X2727">
    <cfRule type="cellIs" dxfId="7051" priority="6983" stopIfTrue="1" operator="equal">
      <formula>"NO APLICA"</formula>
    </cfRule>
  </conditionalFormatting>
  <conditionalFormatting sqref="W2724:X2724">
    <cfRule type="cellIs" dxfId="7050" priority="6982" stopIfTrue="1" operator="equal">
      <formula>"NO APLICA"</formula>
    </cfRule>
  </conditionalFormatting>
  <conditionalFormatting sqref="Y2723">
    <cfRule type="cellIs" dxfId="7049" priority="6981" stopIfTrue="1" operator="equal">
      <formula>"NO APLICA"</formula>
    </cfRule>
  </conditionalFormatting>
  <conditionalFormatting sqref="Y2724:Y2727">
    <cfRule type="cellIs" dxfId="7048" priority="6980" stopIfTrue="1" operator="equal">
      <formula>"NO APLICA"</formula>
    </cfRule>
  </conditionalFormatting>
  <conditionalFormatting sqref="W2728:X2731">
    <cfRule type="cellIs" dxfId="7047" priority="6979" stopIfTrue="1" operator="equal">
      <formula>"NO APLICA"</formula>
    </cfRule>
  </conditionalFormatting>
  <conditionalFormatting sqref="W2728:X2728">
    <cfRule type="cellIs" dxfId="7046" priority="6978" stopIfTrue="1" operator="equal">
      <formula>"NO APLICA"</formula>
    </cfRule>
  </conditionalFormatting>
  <conditionalFormatting sqref="Y2728:Y2731">
    <cfRule type="cellIs" dxfId="7045" priority="6977" stopIfTrue="1" operator="equal">
      <formula>"NO APLICA"</formula>
    </cfRule>
  </conditionalFormatting>
  <conditionalFormatting sqref="T2737">
    <cfRule type="cellIs" dxfId="7044" priority="6975" operator="equal">
      <formula>"CUMPLE"</formula>
    </cfRule>
    <cfRule type="cellIs" dxfId="7043" priority="6976" operator="equal">
      <formula>"NO CUMPLE"</formula>
    </cfRule>
  </conditionalFormatting>
  <conditionalFormatting sqref="T2737:T2739">
    <cfRule type="cellIs" dxfId="7042" priority="6974" operator="equal">
      <formula>"VERIFICAR"</formula>
    </cfRule>
  </conditionalFormatting>
  <conditionalFormatting sqref="AD2723:AF2727">
    <cfRule type="cellIs" dxfId="7041" priority="6972" stopIfTrue="1" operator="equal">
      <formula>"NO"</formula>
    </cfRule>
    <cfRule type="cellIs" dxfId="7040" priority="6973" stopIfTrue="1" operator="equal">
      <formula>"SI"</formula>
    </cfRule>
  </conditionalFormatting>
  <conditionalFormatting sqref="AD2728:AF2731">
    <cfRule type="cellIs" dxfId="7039" priority="6970" stopIfTrue="1" operator="equal">
      <formula>"NO"</formula>
    </cfRule>
    <cfRule type="cellIs" dxfId="7038" priority="6971" stopIfTrue="1" operator="equal">
      <formula>"SI"</formula>
    </cfRule>
  </conditionalFormatting>
  <conditionalFormatting sqref="W2732:Y2732">
    <cfRule type="cellIs" dxfId="7037" priority="6968" stopIfTrue="1" operator="equal">
      <formula>"NO"</formula>
    </cfRule>
    <cfRule type="cellIs" dxfId="7036" priority="6969" stopIfTrue="1" operator="equal">
      <formula>"SI"</formula>
    </cfRule>
  </conditionalFormatting>
  <conditionalFormatting sqref="W2732:X2732">
    <cfRule type="cellIs" dxfId="7035" priority="6967" stopIfTrue="1" operator="equal">
      <formula>"NO APLICA"</formula>
    </cfRule>
  </conditionalFormatting>
  <conditionalFormatting sqref="Y2732">
    <cfRule type="cellIs" dxfId="7034" priority="6966" stopIfTrue="1" operator="equal">
      <formula>"NO APLICA"</formula>
    </cfRule>
  </conditionalFormatting>
  <conditionalFormatting sqref="AD2732:AF2732">
    <cfRule type="cellIs" dxfId="7033" priority="6964" stopIfTrue="1" operator="equal">
      <formula>"NO"</formula>
    </cfRule>
    <cfRule type="cellIs" dxfId="7032" priority="6965" stopIfTrue="1" operator="equal">
      <formula>"SI"</formula>
    </cfRule>
  </conditionalFormatting>
  <conditionalFormatting sqref="AE2737">
    <cfRule type="cellIs" dxfId="7031" priority="6961" stopIfTrue="1" operator="equal">
      <formula>"VERIFICAR"</formula>
    </cfRule>
    <cfRule type="cellIs" dxfId="7030" priority="6962" stopIfTrue="1" operator="equal">
      <formula>"NO CUMPLE"</formula>
    </cfRule>
    <cfRule type="cellIs" dxfId="7029" priority="6963" stopIfTrue="1" operator="equal">
      <formula>"CUMPLE"</formula>
    </cfRule>
  </conditionalFormatting>
  <conditionalFormatting sqref="AF2737">
    <cfRule type="cellIs" dxfId="7028" priority="6958" stopIfTrue="1" operator="equal">
      <formula>"VERIFICAR"</formula>
    </cfRule>
    <cfRule type="cellIs" dxfId="7027" priority="6959" stopIfTrue="1" operator="equal">
      <formula>"NO CUMPLE"</formula>
    </cfRule>
    <cfRule type="cellIs" dxfId="7026" priority="6960" stopIfTrue="1" operator="equal">
      <formula>"CUMPLE"</formula>
    </cfRule>
  </conditionalFormatting>
  <conditionalFormatting sqref="Y2740">
    <cfRule type="cellIs" dxfId="7025" priority="6957" operator="equal">
      <formula>"VERIFICAR CUADRO"</formula>
    </cfRule>
  </conditionalFormatting>
  <conditionalFormatting sqref="AC2741:AC2746">
    <cfRule type="cellIs" dxfId="7024" priority="6956" stopIfTrue="1" operator="greaterThan">
      <formula>0</formula>
    </cfRule>
  </conditionalFormatting>
  <conditionalFormatting sqref="AC2741:AC2746">
    <cfRule type="cellIs" dxfId="7023" priority="6955" stopIfTrue="1" operator="greaterThan">
      <formula>0</formula>
    </cfRule>
  </conditionalFormatting>
  <conditionalFormatting sqref="AD2741:AD2746">
    <cfRule type="containsText" dxfId="7022" priority="6953" stopIfTrue="1" operator="containsText" text="NO CUMPLE">
      <formula>NOT(ISERROR(SEARCH("NO CUMPLE",AD2741)))</formula>
    </cfRule>
    <cfRule type="containsText" dxfId="7021" priority="6954" stopIfTrue="1" operator="containsText" text="CUMPLE">
      <formula>NOT(ISERROR(SEARCH("CUMPLE",AD2741)))</formula>
    </cfRule>
  </conditionalFormatting>
  <conditionalFormatting sqref="Y2746">
    <cfRule type="containsText" dxfId="7020" priority="6951" stopIfTrue="1" operator="containsText" text="NO CUMPLE">
      <formula>NOT(ISERROR(SEARCH("NO CUMPLE",Y2746)))</formula>
    </cfRule>
    <cfRule type="containsText" dxfId="7019" priority="6952" stopIfTrue="1" operator="containsText" text="CUMPLE">
      <formula>NOT(ISERROR(SEARCH("CUMPLE",Y2746)))</formula>
    </cfRule>
  </conditionalFormatting>
  <conditionalFormatting sqref="AA2723:AA2732">
    <cfRule type="cellIs" dxfId="7018" priority="6949" stopIfTrue="1" operator="equal">
      <formula>"NO APLICA"</formula>
    </cfRule>
    <cfRule type="cellIs" dxfId="7017" priority="6950" stopIfTrue="1" operator="equal">
      <formula>"TERCIARIA"</formula>
    </cfRule>
  </conditionalFormatting>
  <conditionalFormatting sqref="AB2723:AB2732">
    <cfRule type="cellIs" dxfId="7016" priority="6947" stopIfTrue="1" operator="equal">
      <formula>"N/A"</formula>
    </cfRule>
    <cfRule type="cellIs" dxfId="7015" priority="6948" stopIfTrue="1" operator="equal">
      <formula>"NO"</formula>
    </cfRule>
  </conditionalFormatting>
  <conditionalFormatting sqref="M2753:M2762">
    <cfRule type="cellIs" dxfId="7014" priority="6946" stopIfTrue="1" operator="lessThan">
      <formula>0</formula>
    </cfRule>
  </conditionalFormatting>
  <conditionalFormatting sqref="C2755:D2761 B2754:B2761 F2755:I2761 C2754:I2754 B2762:O2762 B2753:R2753 Q2754:R2755 J2754:O2761 Q2756:Q2762 P2754:P2762">
    <cfRule type="cellIs" dxfId="7013" priority="6945" stopIfTrue="1" operator="greaterThan">
      <formula>0</formula>
    </cfRule>
  </conditionalFormatting>
  <conditionalFormatting sqref="C2755:D2761">
    <cfRule type="cellIs" dxfId="7012" priority="6944" stopIfTrue="1" operator="greaterThan">
      <formula>0</formula>
    </cfRule>
  </conditionalFormatting>
  <conditionalFormatting sqref="C2753:M2753 C2755:D2761 F2755:I2761 C2754:I2754 K2754:M2761 J2754:J2762 L2762:M2762">
    <cfRule type="cellIs" dxfId="7011" priority="6943" stopIfTrue="1" operator="greaterThan">
      <formula>0</formula>
    </cfRule>
  </conditionalFormatting>
  <conditionalFormatting sqref="M2753:M2762">
    <cfRule type="cellIs" dxfId="7010" priority="6942" stopIfTrue="1" operator="lessThan">
      <formula>0</formula>
    </cfRule>
  </conditionalFormatting>
  <conditionalFormatting sqref="J2754:J2762 L2754:O2762 C2753:O2753">
    <cfRule type="cellIs" dxfId="7009" priority="6941" stopIfTrue="1" operator="greaterThan">
      <formula>0</formula>
    </cfRule>
  </conditionalFormatting>
  <conditionalFormatting sqref="H2755:I2761 K2755:M2762">
    <cfRule type="cellIs" dxfId="7008" priority="6940" stopIfTrue="1" operator="greaterThan">
      <formula>0</formula>
    </cfRule>
  </conditionalFormatting>
  <conditionalFormatting sqref="I2754">
    <cfRule type="cellIs" dxfId="7007" priority="6939" stopIfTrue="1" operator="greaterThan">
      <formula>0</formula>
    </cfRule>
  </conditionalFormatting>
  <conditionalFormatting sqref="I2762">
    <cfRule type="cellIs" dxfId="7006" priority="6938" stopIfTrue="1" operator="greaterThan">
      <formula>0</formula>
    </cfRule>
  </conditionalFormatting>
  <conditionalFormatting sqref="E2755:E2761">
    <cfRule type="cellIs" dxfId="7005" priority="6937" stopIfTrue="1" operator="greaterThan">
      <formula>0</formula>
    </cfRule>
  </conditionalFormatting>
  <conditionalFormatting sqref="K2770:K2775">
    <cfRule type="containsText" dxfId="7004" priority="6935" stopIfTrue="1" operator="containsText" text="NO CUMPLE">
      <formula>NOT(ISERROR(SEARCH("NO CUMPLE",K2770)))</formula>
    </cfRule>
    <cfRule type="containsText" dxfId="7003" priority="6936" stopIfTrue="1" operator="containsText" text="CUMPLE">
      <formula>NOT(ISERROR(SEARCH("CUMPLE",K2770)))</formula>
    </cfRule>
  </conditionalFormatting>
  <conditionalFormatting sqref="K2776">
    <cfRule type="containsText" dxfId="7002" priority="6933" stopIfTrue="1" operator="containsText" text="NO CUMPLE">
      <formula>NOT(ISERROR(SEARCH("NO CUMPLE",K2776)))</formula>
    </cfRule>
    <cfRule type="containsText" dxfId="7001" priority="6934" stopIfTrue="1" operator="containsText" text="CUMPLE">
      <formula>NOT(ISERROR(SEARCH("CUMPLE",K2776)))</formula>
    </cfRule>
  </conditionalFormatting>
  <conditionalFormatting sqref="Q2769">
    <cfRule type="cellIs" dxfId="7000" priority="6931" operator="greaterThanOrEqual">
      <formula>NUMMINCONT</formula>
    </cfRule>
    <cfRule type="cellIs" dxfId="6999" priority="6932" operator="lessThan">
      <formula>NUMMINCONT</formula>
    </cfRule>
  </conditionalFormatting>
  <conditionalFormatting sqref="W2753:Y2761">
    <cfRule type="cellIs" dxfId="6998" priority="6929" stopIfTrue="1" operator="equal">
      <formula>"NO"</formula>
    </cfRule>
    <cfRule type="cellIs" dxfId="6997" priority="6930" stopIfTrue="1" operator="equal">
      <formula>"SI"</formula>
    </cfRule>
  </conditionalFormatting>
  <conditionalFormatting sqref="R2756">
    <cfRule type="cellIs" dxfId="6996" priority="6928" stopIfTrue="1" operator="greaterThan">
      <formula>0</formula>
    </cfRule>
  </conditionalFormatting>
  <conditionalFormatting sqref="R2757">
    <cfRule type="cellIs" dxfId="6995" priority="6927" stopIfTrue="1" operator="greaterThan">
      <formula>0</formula>
    </cfRule>
  </conditionalFormatting>
  <conditionalFormatting sqref="R2758">
    <cfRule type="cellIs" dxfId="6994" priority="6926" stopIfTrue="1" operator="greaterThan">
      <formula>0</formula>
    </cfRule>
  </conditionalFormatting>
  <conditionalFormatting sqref="R2759">
    <cfRule type="cellIs" dxfId="6993" priority="6925" stopIfTrue="1" operator="greaterThan">
      <formula>0</formula>
    </cfRule>
  </conditionalFormatting>
  <conditionalFormatting sqref="R2760">
    <cfRule type="cellIs" dxfId="6992" priority="6924" stopIfTrue="1" operator="greaterThan">
      <formula>0</formula>
    </cfRule>
  </conditionalFormatting>
  <conditionalFormatting sqref="R2761">
    <cfRule type="cellIs" dxfId="6991" priority="6923" stopIfTrue="1" operator="greaterThan">
      <formula>0</formula>
    </cfRule>
  </conditionalFormatting>
  <conditionalFormatting sqref="R2762">
    <cfRule type="cellIs" dxfId="6990" priority="6922" stopIfTrue="1" operator="greaterThan">
      <formula>0</formula>
    </cfRule>
  </conditionalFormatting>
  <conditionalFormatting sqref="W2753:X2753">
    <cfRule type="cellIs" dxfId="6989" priority="6921" stopIfTrue="1" operator="equal">
      <formula>"NO APLICA"</formula>
    </cfRule>
  </conditionalFormatting>
  <conditionalFormatting sqref="W2754:X2757">
    <cfRule type="cellIs" dxfId="6988" priority="6920" stopIfTrue="1" operator="equal">
      <formula>"NO APLICA"</formula>
    </cfRule>
  </conditionalFormatting>
  <conditionalFormatting sqref="W2754:X2754">
    <cfRule type="cellIs" dxfId="6987" priority="6919" stopIfTrue="1" operator="equal">
      <formula>"NO APLICA"</formula>
    </cfRule>
  </conditionalFormatting>
  <conditionalFormatting sqref="Y2753">
    <cfRule type="cellIs" dxfId="6986" priority="6918" stopIfTrue="1" operator="equal">
      <formula>"NO APLICA"</formula>
    </cfRule>
  </conditionalFormatting>
  <conditionalFormatting sqref="Y2754:Y2757">
    <cfRule type="cellIs" dxfId="6985" priority="6917" stopIfTrue="1" operator="equal">
      <formula>"NO APLICA"</formula>
    </cfRule>
  </conditionalFormatting>
  <conditionalFormatting sqref="W2758:X2761">
    <cfRule type="cellIs" dxfId="6984" priority="6916" stopIfTrue="1" operator="equal">
      <formula>"NO APLICA"</formula>
    </cfRule>
  </conditionalFormatting>
  <conditionalFormatting sqref="W2758:X2758">
    <cfRule type="cellIs" dxfId="6983" priority="6915" stopIfTrue="1" operator="equal">
      <formula>"NO APLICA"</formula>
    </cfRule>
  </conditionalFormatting>
  <conditionalFormatting sqref="Y2758:Y2761">
    <cfRule type="cellIs" dxfId="6982" priority="6914" stopIfTrue="1" operator="equal">
      <formula>"NO APLICA"</formula>
    </cfRule>
  </conditionalFormatting>
  <conditionalFormatting sqref="T2767">
    <cfRule type="cellIs" dxfId="6981" priority="6912" operator="equal">
      <formula>"CUMPLE"</formula>
    </cfRule>
    <cfRule type="cellIs" dxfId="6980" priority="6913" operator="equal">
      <formula>"NO CUMPLE"</formula>
    </cfRule>
  </conditionalFormatting>
  <conditionalFormatting sqref="T2767:T2769">
    <cfRule type="cellIs" dxfId="6979" priority="6911" operator="equal">
      <formula>"VERIFICAR"</formula>
    </cfRule>
  </conditionalFormatting>
  <conditionalFormatting sqref="AD2753:AF2757">
    <cfRule type="cellIs" dxfId="6978" priority="6909" stopIfTrue="1" operator="equal">
      <formula>"NO"</formula>
    </cfRule>
    <cfRule type="cellIs" dxfId="6977" priority="6910" stopIfTrue="1" operator="equal">
      <formula>"SI"</formula>
    </cfRule>
  </conditionalFormatting>
  <conditionalFormatting sqref="AD2758:AF2761">
    <cfRule type="cellIs" dxfId="6976" priority="6907" stopIfTrue="1" operator="equal">
      <formula>"NO"</formula>
    </cfRule>
    <cfRule type="cellIs" dxfId="6975" priority="6908" stopIfTrue="1" operator="equal">
      <formula>"SI"</formula>
    </cfRule>
  </conditionalFormatting>
  <conditionalFormatting sqref="W2762:Y2762">
    <cfRule type="cellIs" dxfId="6974" priority="6905" stopIfTrue="1" operator="equal">
      <formula>"NO"</formula>
    </cfRule>
    <cfRule type="cellIs" dxfId="6973" priority="6906" stopIfTrue="1" operator="equal">
      <formula>"SI"</formula>
    </cfRule>
  </conditionalFormatting>
  <conditionalFormatting sqref="W2762:X2762">
    <cfRule type="cellIs" dxfId="6972" priority="6904" stopIfTrue="1" operator="equal">
      <formula>"NO APLICA"</formula>
    </cfRule>
  </conditionalFormatting>
  <conditionalFormatting sqref="Y2762">
    <cfRule type="cellIs" dxfId="6971" priority="6903" stopIfTrue="1" operator="equal">
      <formula>"NO APLICA"</formula>
    </cfRule>
  </conditionalFormatting>
  <conditionalFormatting sqref="AD2762:AF2762">
    <cfRule type="cellIs" dxfId="6970" priority="6901" stopIfTrue="1" operator="equal">
      <formula>"NO"</formula>
    </cfRule>
    <cfRule type="cellIs" dxfId="6969" priority="6902" stopIfTrue="1" operator="equal">
      <formula>"SI"</formula>
    </cfRule>
  </conditionalFormatting>
  <conditionalFormatting sqref="AE2767">
    <cfRule type="cellIs" dxfId="6968" priority="6898" stopIfTrue="1" operator="equal">
      <formula>"VERIFICAR"</formula>
    </cfRule>
    <cfRule type="cellIs" dxfId="6967" priority="6899" stopIfTrue="1" operator="equal">
      <formula>"NO CUMPLE"</formula>
    </cfRule>
    <cfRule type="cellIs" dxfId="6966" priority="6900" stopIfTrue="1" operator="equal">
      <formula>"CUMPLE"</formula>
    </cfRule>
  </conditionalFormatting>
  <conditionalFormatting sqref="AF2767">
    <cfRule type="cellIs" dxfId="6965" priority="6895" stopIfTrue="1" operator="equal">
      <formula>"VERIFICAR"</formula>
    </cfRule>
    <cfRule type="cellIs" dxfId="6964" priority="6896" stopIfTrue="1" operator="equal">
      <formula>"NO CUMPLE"</formula>
    </cfRule>
    <cfRule type="cellIs" dxfId="6963" priority="6897" stopIfTrue="1" operator="equal">
      <formula>"CUMPLE"</formula>
    </cfRule>
  </conditionalFormatting>
  <conditionalFormatting sqref="Y2770">
    <cfRule type="cellIs" dxfId="6962" priority="6894" operator="equal">
      <formula>"VERIFICAR CUADRO"</formula>
    </cfRule>
  </conditionalFormatting>
  <conditionalFormatting sqref="AC2771:AC2776">
    <cfRule type="cellIs" dxfId="6961" priority="6893" stopIfTrue="1" operator="greaterThan">
      <formula>0</formula>
    </cfRule>
  </conditionalFormatting>
  <conditionalFormatting sqref="AC2771:AC2776">
    <cfRule type="cellIs" dxfId="6960" priority="6892" stopIfTrue="1" operator="greaterThan">
      <formula>0</formula>
    </cfRule>
  </conditionalFormatting>
  <conditionalFormatting sqref="AD2771:AD2776">
    <cfRule type="containsText" dxfId="6959" priority="6890" stopIfTrue="1" operator="containsText" text="NO CUMPLE">
      <formula>NOT(ISERROR(SEARCH("NO CUMPLE",AD2771)))</formula>
    </cfRule>
    <cfRule type="containsText" dxfId="6958" priority="6891" stopIfTrue="1" operator="containsText" text="CUMPLE">
      <formula>NOT(ISERROR(SEARCH("CUMPLE",AD2771)))</formula>
    </cfRule>
  </conditionalFormatting>
  <conditionalFormatting sqref="Y2776">
    <cfRule type="containsText" dxfId="6957" priority="6888" stopIfTrue="1" operator="containsText" text="NO CUMPLE">
      <formula>NOT(ISERROR(SEARCH("NO CUMPLE",Y2776)))</formula>
    </cfRule>
    <cfRule type="containsText" dxfId="6956" priority="6889" stopIfTrue="1" operator="containsText" text="CUMPLE">
      <formula>NOT(ISERROR(SEARCH("CUMPLE",Y2776)))</formula>
    </cfRule>
  </conditionalFormatting>
  <conditionalFormatting sqref="AA2753:AA2762">
    <cfRule type="cellIs" dxfId="6955" priority="6886" stopIfTrue="1" operator="equal">
      <formula>"NO APLICA"</formula>
    </cfRule>
    <cfRule type="cellIs" dxfId="6954" priority="6887" stopIfTrue="1" operator="equal">
      <formula>"TERCIARIA"</formula>
    </cfRule>
  </conditionalFormatting>
  <conditionalFormatting sqref="AB2753:AB2762">
    <cfRule type="cellIs" dxfId="6953" priority="6884" stopIfTrue="1" operator="equal">
      <formula>"N/A"</formula>
    </cfRule>
    <cfRule type="cellIs" dxfId="6952" priority="6885" stopIfTrue="1" operator="equal">
      <formula>"NO"</formula>
    </cfRule>
  </conditionalFormatting>
  <conditionalFormatting sqref="M2783:M2792">
    <cfRule type="cellIs" dxfId="6951" priority="6883" stopIfTrue="1" operator="lessThan">
      <formula>0</formula>
    </cfRule>
  </conditionalFormatting>
  <conditionalFormatting sqref="C2785:D2791 B2784:B2791 F2785:I2791 C2784:I2784 B2792:O2792 B2783:R2783 Q2784:R2785 J2784:O2791 Q2786:Q2792 P2784:P2792">
    <cfRule type="cellIs" dxfId="6950" priority="6882" stopIfTrue="1" operator="greaterThan">
      <formula>0</formula>
    </cfRule>
  </conditionalFormatting>
  <conditionalFormatting sqref="C2785:D2791">
    <cfRule type="cellIs" dxfId="6949" priority="6881" stopIfTrue="1" operator="greaterThan">
      <formula>0</formula>
    </cfRule>
  </conditionalFormatting>
  <conditionalFormatting sqref="C2783:M2783 C2785:D2791 F2785:I2791 C2784:I2784 K2784:M2791 J2784:J2792 L2792:M2792">
    <cfRule type="cellIs" dxfId="6948" priority="6880" stopIfTrue="1" operator="greaterThan">
      <formula>0</formula>
    </cfRule>
  </conditionalFormatting>
  <conditionalFormatting sqref="M2783:M2792">
    <cfRule type="cellIs" dxfId="6947" priority="6879" stopIfTrue="1" operator="lessThan">
      <formula>0</formula>
    </cfRule>
  </conditionalFormatting>
  <conditionalFormatting sqref="J2784:J2792 L2784:O2792 C2783:O2783">
    <cfRule type="cellIs" dxfId="6946" priority="6878" stopIfTrue="1" operator="greaterThan">
      <formula>0</formula>
    </cfRule>
  </conditionalFormatting>
  <conditionalFormatting sqref="H2785:I2791 K2785:M2792">
    <cfRule type="cellIs" dxfId="6945" priority="6877" stopIfTrue="1" operator="greaterThan">
      <formula>0</formula>
    </cfRule>
  </conditionalFormatting>
  <conditionalFormatting sqref="I2784">
    <cfRule type="cellIs" dxfId="6944" priority="6876" stopIfTrue="1" operator="greaterThan">
      <formula>0</formula>
    </cfRule>
  </conditionalFormatting>
  <conditionalFormatting sqref="I2792">
    <cfRule type="cellIs" dxfId="6943" priority="6875" stopIfTrue="1" operator="greaterThan">
      <formula>0</formula>
    </cfRule>
  </conditionalFormatting>
  <conditionalFormatting sqref="E2785:E2791">
    <cfRule type="cellIs" dxfId="6942" priority="6874" stopIfTrue="1" operator="greaterThan">
      <formula>0</formula>
    </cfRule>
  </conditionalFormatting>
  <conditionalFormatting sqref="K2800:K2805">
    <cfRule type="containsText" dxfId="6941" priority="6872" stopIfTrue="1" operator="containsText" text="NO CUMPLE">
      <formula>NOT(ISERROR(SEARCH("NO CUMPLE",K2800)))</formula>
    </cfRule>
    <cfRule type="containsText" dxfId="6940" priority="6873" stopIfTrue="1" operator="containsText" text="CUMPLE">
      <formula>NOT(ISERROR(SEARCH("CUMPLE",K2800)))</formula>
    </cfRule>
  </conditionalFormatting>
  <conditionalFormatting sqref="K2806">
    <cfRule type="containsText" dxfId="6939" priority="6870" stopIfTrue="1" operator="containsText" text="NO CUMPLE">
      <formula>NOT(ISERROR(SEARCH("NO CUMPLE",K2806)))</formula>
    </cfRule>
    <cfRule type="containsText" dxfId="6938" priority="6871" stopIfTrue="1" operator="containsText" text="CUMPLE">
      <formula>NOT(ISERROR(SEARCH("CUMPLE",K2806)))</formula>
    </cfRule>
  </conditionalFormatting>
  <conditionalFormatting sqref="Q2799">
    <cfRule type="cellIs" dxfId="6937" priority="6868" operator="greaterThanOrEqual">
      <formula>NUMMINCONT</formula>
    </cfRule>
    <cfRule type="cellIs" dxfId="6936" priority="6869" operator="lessThan">
      <formula>NUMMINCONT</formula>
    </cfRule>
  </conditionalFormatting>
  <conditionalFormatting sqref="W2783:Y2791">
    <cfRule type="cellIs" dxfId="6935" priority="6866" stopIfTrue="1" operator="equal">
      <formula>"NO"</formula>
    </cfRule>
    <cfRule type="cellIs" dxfId="6934" priority="6867" stopIfTrue="1" operator="equal">
      <formula>"SI"</formula>
    </cfRule>
  </conditionalFormatting>
  <conditionalFormatting sqref="R2786">
    <cfRule type="cellIs" dxfId="6933" priority="6865" stopIfTrue="1" operator="greaterThan">
      <formula>0</formula>
    </cfRule>
  </conditionalFormatting>
  <conditionalFormatting sqref="R2787">
    <cfRule type="cellIs" dxfId="6932" priority="6864" stopIfTrue="1" operator="greaterThan">
      <formula>0</formula>
    </cfRule>
  </conditionalFormatting>
  <conditionalFormatting sqref="R2788">
    <cfRule type="cellIs" dxfId="6931" priority="6863" stopIfTrue="1" operator="greaterThan">
      <formula>0</formula>
    </cfRule>
  </conditionalFormatting>
  <conditionalFormatting sqref="R2789">
    <cfRule type="cellIs" dxfId="6930" priority="6862" stopIfTrue="1" operator="greaterThan">
      <formula>0</formula>
    </cfRule>
  </conditionalFormatting>
  <conditionalFormatting sqref="R2790">
    <cfRule type="cellIs" dxfId="6929" priority="6861" stopIfTrue="1" operator="greaterThan">
      <formula>0</formula>
    </cfRule>
  </conditionalFormatting>
  <conditionalFormatting sqref="R2791">
    <cfRule type="cellIs" dxfId="6928" priority="6860" stopIfTrue="1" operator="greaterThan">
      <formula>0</formula>
    </cfRule>
  </conditionalFormatting>
  <conditionalFormatting sqref="R2792">
    <cfRule type="cellIs" dxfId="6927" priority="6859" stopIfTrue="1" operator="greaterThan">
      <formula>0</formula>
    </cfRule>
  </conditionalFormatting>
  <conditionalFormatting sqref="W2783:X2783">
    <cfRule type="cellIs" dxfId="6926" priority="6858" stopIfTrue="1" operator="equal">
      <formula>"NO APLICA"</formula>
    </cfRule>
  </conditionalFormatting>
  <conditionalFormatting sqref="W2784:X2787">
    <cfRule type="cellIs" dxfId="6925" priority="6857" stopIfTrue="1" operator="equal">
      <formula>"NO APLICA"</formula>
    </cfRule>
  </conditionalFormatting>
  <conditionalFormatting sqref="W2784:X2784">
    <cfRule type="cellIs" dxfId="6924" priority="6856" stopIfTrue="1" operator="equal">
      <formula>"NO APLICA"</formula>
    </cfRule>
  </conditionalFormatting>
  <conditionalFormatting sqref="Y2783">
    <cfRule type="cellIs" dxfId="6923" priority="6855" stopIfTrue="1" operator="equal">
      <formula>"NO APLICA"</formula>
    </cfRule>
  </conditionalFormatting>
  <conditionalFormatting sqref="Y2784:Y2787">
    <cfRule type="cellIs" dxfId="6922" priority="6854" stopIfTrue="1" operator="equal">
      <formula>"NO APLICA"</formula>
    </cfRule>
  </conditionalFormatting>
  <conditionalFormatting sqref="W2788:X2791">
    <cfRule type="cellIs" dxfId="6921" priority="6853" stopIfTrue="1" operator="equal">
      <formula>"NO APLICA"</formula>
    </cfRule>
  </conditionalFormatting>
  <conditionalFormatting sqref="W2788:X2788">
    <cfRule type="cellIs" dxfId="6920" priority="6852" stopIfTrue="1" operator="equal">
      <formula>"NO APLICA"</formula>
    </cfRule>
  </conditionalFormatting>
  <conditionalFormatting sqref="Y2788:Y2791">
    <cfRule type="cellIs" dxfId="6919" priority="6851" stopIfTrue="1" operator="equal">
      <formula>"NO APLICA"</formula>
    </cfRule>
  </conditionalFormatting>
  <conditionalFormatting sqref="T2797">
    <cfRule type="cellIs" dxfId="6918" priority="6849" operator="equal">
      <formula>"CUMPLE"</formula>
    </cfRule>
    <cfRule type="cellIs" dxfId="6917" priority="6850" operator="equal">
      <formula>"NO CUMPLE"</formula>
    </cfRule>
  </conditionalFormatting>
  <conditionalFormatting sqref="T2797:T2799">
    <cfRule type="cellIs" dxfId="6916" priority="6848" operator="equal">
      <formula>"VERIFICAR"</formula>
    </cfRule>
  </conditionalFormatting>
  <conditionalFormatting sqref="AD2783:AF2787">
    <cfRule type="cellIs" dxfId="6915" priority="6846" stopIfTrue="1" operator="equal">
      <formula>"NO"</formula>
    </cfRule>
    <cfRule type="cellIs" dxfId="6914" priority="6847" stopIfTrue="1" operator="equal">
      <formula>"SI"</formula>
    </cfRule>
  </conditionalFormatting>
  <conditionalFormatting sqref="AD2788:AF2791">
    <cfRule type="cellIs" dxfId="6913" priority="6844" stopIfTrue="1" operator="equal">
      <formula>"NO"</formula>
    </cfRule>
    <cfRule type="cellIs" dxfId="6912" priority="6845" stopIfTrue="1" operator="equal">
      <formula>"SI"</formula>
    </cfRule>
  </conditionalFormatting>
  <conditionalFormatting sqref="W2792:Y2792">
    <cfRule type="cellIs" dxfId="6911" priority="6842" stopIfTrue="1" operator="equal">
      <formula>"NO"</formula>
    </cfRule>
    <cfRule type="cellIs" dxfId="6910" priority="6843" stopIfTrue="1" operator="equal">
      <formula>"SI"</formula>
    </cfRule>
  </conditionalFormatting>
  <conditionalFormatting sqref="W2792:X2792">
    <cfRule type="cellIs" dxfId="6909" priority="6841" stopIfTrue="1" operator="equal">
      <formula>"NO APLICA"</formula>
    </cfRule>
  </conditionalFormatting>
  <conditionalFormatting sqref="Y2792">
    <cfRule type="cellIs" dxfId="6908" priority="6840" stopIfTrue="1" operator="equal">
      <formula>"NO APLICA"</formula>
    </cfRule>
  </conditionalFormatting>
  <conditionalFormatting sqref="AD2792:AF2792">
    <cfRule type="cellIs" dxfId="6907" priority="6838" stopIfTrue="1" operator="equal">
      <formula>"NO"</formula>
    </cfRule>
    <cfRule type="cellIs" dxfId="6906" priority="6839" stopIfTrue="1" operator="equal">
      <formula>"SI"</formula>
    </cfRule>
  </conditionalFormatting>
  <conditionalFormatting sqref="AE2797">
    <cfRule type="cellIs" dxfId="6905" priority="6835" stopIfTrue="1" operator="equal">
      <formula>"VERIFICAR"</formula>
    </cfRule>
    <cfRule type="cellIs" dxfId="6904" priority="6836" stopIfTrue="1" operator="equal">
      <formula>"NO CUMPLE"</formula>
    </cfRule>
    <cfRule type="cellIs" dxfId="6903" priority="6837" stopIfTrue="1" operator="equal">
      <formula>"CUMPLE"</formula>
    </cfRule>
  </conditionalFormatting>
  <conditionalFormatting sqref="AF2797">
    <cfRule type="cellIs" dxfId="6902" priority="6832" stopIfTrue="1" operator="equal">
      <formula>"VERIFICAR"</formula>
    </cfRule>
    <cfRule type="cellIs" dxfId="6901" priority="6833" stopIfTrue="1" operator="equal">
      <formula>"NO CUMPLE"</formula>
    </cfRule>
    <cfRule type="cellIs" dxfId="6900" priority="6834" stopIfTrue="1" operator="equal">
      <formula>"CUMPLE"</formula>
    </cfRule>
  </conditionalFormatting>
  <conditionalFormatting sqref="Y2800">
    <cfRule type="cellIs" dxfId="6899" priority="6831" operator="equal">
      <formula>"VERIFICAR CUADRO"</formula>
    </cfRule>
  </conditionalFormatting>
  <conditionalFormatting sqref="AC2801:AC2806">
    <cfRule type="cellIs" dxfId="6898" priority="6830" stopIfTrue="1" operator="greaterThan">
      <formula>0</formula>
    </cfRule>
  </conditionalFormatting>
  <conditionalFormatting sqref="AC2801:AC2806">
    <cfRule type="cellIs" dxfId="6897" priority="6829" stopIfTrue="1" operator="greaterThan">
      <formula>0</formula>
    </cfRule>
  </conditionalFormatting>
  <conditionalFormatting sqref="AD2801:AD2806">
    <cfRule type="containsText" dxfId="6896" priority="6827" stopIfTrue="1" operator="containsText" text="NO CUMPLE">
      <formula>NOT(ISERROR(SEARCH("NO CUMPLE",AD2801)))</formula>
    </cfRule>
    <cfRule type="containsText" dxfId="6895" priority="6828" stopIfTrue="1" operator="containsText" text="CUMPLE">
      <formula>NOT(ISERROR(SEARCH("CUMPLE",AD2801)))</formula>
    </cfRule>
  </conditionalFormatting>
  <conditionalFormatting sqref="Y2806">
    <cfRule type="containsText" dxfId="6894" priority="6825" stopIfTrue="1" operator="containsText" text="NO CUMPLE">
      <formula>NOT(ISERROR(SEARCH("NO CUMPLE",Y2806)))</formula>
    </cfRule>
    <cfRule type="containsText" dxfId="6893" priority="6826" stopIfTrue="1" operator="containsText" text="CUMPLE">
      <formula>NOT(ISERROR(SEARCH("CUMPLE",Y2806)))</formula>
    </cfRule>
  </conditionalFormatting>
  <conditionalFormatting sqref="AA2783:AA2792">
    <cfRule type="cellIs" dxfId="6892" priority="6823" stopIfTrue="1" operator="equal">
      <formula>"NO APLICA"</formula>
    </cfRule>
    <cfRule type="cellIs" dxfId="6891" priority="6824" stopIfTrue="1" operator="equal">
      <formula>"TERCIARIA"</formula>
    </cfRule>
  </conditionalFormatting>
  <conditionalFormatting sqref="AB2783:AB2792">
    <cfRule type="cellIs" dxfId="6890" priority="6821" stopIfTrue="1" operator="equal">
      <formula>"N/A"</formula>
    </cfRule>
    <cfRule type="cellIs" dxfId="6889" priority="6822" stopIfTrue="1" operator="equal">
      <formula>"NO"</formula>
    </cfRule>
  </conditionalFormatting>
  <conditionalFormatting sqref="M2813:M2822">
    <cfRule type="cellIs" dxfId="6888" priority="6820" stopIfTrue="1" operator="lessThan">
      <formula>0</formula>
    </cfRule>
  </conditionalFormatting>
  <conditionalFormatting sqref="C2815:D2821 B2814:B2821 F2815:I2821 C2814:I2814 B2822:O2822 B2813:R2813 Q2814:R2815 J2814:O2821 Q2816:Q2822 P2814:P2822">
    <cfRule type="cellIs" dxfId="6887" priority="6819" stopIfTrue="1" operator="greaterThan">
      <formula>0</formula>
    </cfRule>
  </conditionalFormatting>
  <conditionalFormatting sqref="C2815:D2821">
    <cfRule type="cellIs" dxfId="6886" priority="6818" stopIfTrue="1" operator="greaterThan">
      <formula>0</formula>
    </cfRule>
  </conditionalFormatting>
  <conditionalFormatting sqref="C2813:M2813 C2815:D2821 F2815:I2821 C2814:I2814 K2814:M2821 J2814:J2822 L2822:M2822">
    <cfRule type="cellIs" dxfId="6885" priority="6817" stopIfTrue="1" operator="greaterThan">
      <formula>0</formula>
    </cfRule>
  </conditionalFormatting>
  <conditionalFormatting sqref="M2813:M2822">
    <cfRule type="cellIs" dxfId="6884" priority="6816" stopIfTrue="1" operator="lessThan">
      <formula>0</formula>
    </cfRule>
  </conditionalFormatting>
  <conditionalFormatting sqref="J2814:J2822 L2814:O2822 C2813:O2813">
    <cfRule type="cellIs" dxfId="6883" priority="6815" stopIfTrue="1" operator="greaterThan">
      <formula>0</formula>
    </cfRule>
  </conditionalFormatting>
  <conditionalFormatting sqref="H2815:I2821 K2815:M2822">
    <cfRule type="cellIs" dxfId="6882" priority="6814" stopIfTrue="1" operator="greaterThan">
      <formula>0</formula>
    </cfRule>
  </conditionalFormatting>
  <conditionalFormatting sqref="I2814">
    <cfRule type="cellIs" dxfId="6881" priority="6813" stopIfTrue="1" operator="greaterThan">
      <formula>0</formula>
    </cfRule>
  </conditionalFormatting>
  <conditionalFormatting sqref="I2822">
    <cfRule type="cellIs" dxfId="6880" priority="6812" stopIfTrue="1" operator="greaterThan">
      <formula>0</formula>
    </cfRule>
  </conditionalFormatting>
  <conditionalFormatting sqref="E2815:E2821">
    <cfRule type="cellIs" dxfId="6879" priority="6811" stopIfTrue="1" operator="greaterThan">
      <formula>0</formula>
    </cfRule>
  </conditionalFormatting>
  <conditionalFormatting sqref="K2830:K2835">
    <cfRule type="containsText" dxfId="6878" priority="6809" stopIfTrue="1" operator="containsText" text="NO CUMPLE">
      <formula>NOT(ISERROR(SEARCH("NO CUMPLE",K2830)))</formula>
    </cfRule>
    <cfRule type="containsText" dxfId="6877" priority="6810" stopIfTrue="1" operator="containsText" text="CUMPLE">
      <formula>NOT(ISERROR(SEARCH("CUMPLE",K2830)))</formula>
    </cfRule>
  </conditionalFormatting>
  <conditionalFormatting sqref="K2836">
    <cfRule type="containsText" dxfId="6876" priority="6807" stopIfTrue="1" operator="containsText" text="NO CUMPLE">
      <formula>NOT(ISERROR(SEARCH("NO CUMPLE",K2836)))</formula>
    </cfRule>
    <cfRule type="containsText" dxfId="6875" priority="6808" stopIfTrue="1" operator="containsText" text="CUMPLE">
      <formula>NOT(ISERROR(SEARCH("CUMPLE",K2836)))</formula>
    </cfRule>
  </conditionalFormatting>
  <conditionalFormatting sqref="Q2829">
    <cfRule type="cellIs" dxfId="6874" priority="6805" operator="greaterThanOrEqual">
      <formula>NUMMINCONT</formula>
    </cfRule>
    <cfRule type="cellIs" dxfId="6873" priority="6806" operator="lessThan">
      <formula>NUMMINCONT</formula>
    </cfRule>
  </conditionalFormatting>
  <conditionalFormatting sqref="W2813:Y2821">
    <cfRule type="cellIs" dxfId="6872" priority="6803" stopIfTrue="1" operator="equal">
      <formula>"NO"</formula>
    </cfRule>
    <cfRule type="cellIs" dxfId="6871" priority="6804" stopIfTrue="1" operator="equal">
      <formula>"SI"</formula>
    </cfRule>
  </conditionalFormatting>
  <conditionalFormatting sqref="R2816">
    <cfRule type="cellIs" dxfId="6870" priority="6802" stopIfTrue="1" operator="greaterThan">
      <formula>0</formula>
    </cfRule>
  </conditionalFormatting>
  <conditionalFormatting sqref="R2817">
    <cfRule type="cellIs" dxfId="6869" priority="6801" stopIfTrue="1" operator="greaterThan">
      <formula>0</formula>
    </cfRule>
  </conditionalFormatting>
  <conditionalFormatting sqref="R2818">
    <cfRule type="cellIs" dxfId="6868" priority="6800" stopIfTrue="1" operator="greaterThan">
      <formula>0</formula>
    </cfRule>
  </conditionalFormatting>
  <conditionalFormatting sqref="R2819">
    <cfRule type="cellIs" dxfId="6867" priority="6799" stopIfTrue="1" operator="greaterThan">
      <formula>0</formula>
    </cfRule>
  </conditionalFormatting>
  <conditionalFormatting sqref="R2820">
    <cfRule type="cellIs" dxfId="6866" priority="6798" stopIfTrue="1" operator="greaterThan">
      <formula>0</formula>
    </cfRule>
  </conditionalFormatting>
  <conditionalFormatting sqref="R2821">
    <cfRule type="cellIs" dxfId="6865" priority="6797" stopIfTrue="1" operator="greaterThan">
      <formula>0</formula>
    </cfRule>
  </conditionalFormatting>
  <conditionalFormatting sqref="R2822">
    <cfRule type="cellIs" dxfId="6864" priority="6796" stopIfTrue="1" operator="greaterThan">
      <formula>0</formula>
    </cfRule>
  </conditionalFormatting>
  <conditionalFormatting sqref="W2813:X2813">
    <cfRule type="cellIs" dxfId="6863" priority="6795" stopIfTrue="1" operator="equal">
      <formula>"NO APLICA"</formula>
    </cfRule>
  </conditionalFormatting>
  <conditionalFormatting sqref="W2814:X2817">
    <cfRule type="cellIs" dxfId="6862" priority="6794" stopIfTrue="1" operator="equal">
      <formula>"NO APLICA"</formula>
    </cfRule>
  </conditionalFormatting>
  <conditionalFormatting sqref="W2814:X2814">
    <cfRule type="cellIs" dxfId="6861" priority="6793" stopIfTrue="1" operator="equal">
      <formula>"NO APLICA"</formula>
    </cfRule>
  </conditionalFormatting>
  <conditionalFormatting sqref="Y2813">
    <cfRule type="cellIs" dxfId="6860" priority="6792" stopIfTrue="1" operator="equal">
      <formula>"NO APLICA"</formula>
    </cfRule>
  </conditionalFormatting>
  <conditionalFormatting sqref="Y2814:Y2817">
    <cfRule type="cellIs" dxfId="6859" priority="6791" stopIfTrue="1" operator="equal">
      <formula>"NO APLICA"</formula>
    </cfRule>
  </conditionalFormatting>
  <conditionalFormatting sqref="W2818:X2821">
    <cfRule type="cellIs" dxfId="6858" priority="6790" stopIfTrue="1" operator="equal">
      <formula>"NO APLICA"</formula>
    </cfRule>
  </conditionalFormatting>
  <conditionalFormatting sqref="W2818:X2818">
    <cfRule type="cellIs" dxfId="6857" priority="6789" stopIfTrue="1" operator="equal">
      <formula>"NO APLICA"</formula>
    </cfRule>
  </conditionalFormatting>
  <conditionalFormatting sqref="Y2818:Y2821">
    <cfRule type="cellIs" dxfId="6856" priority="6788" stopIfTrue="1" operator="equal">
      <formula>"NO APLICA"</formula>
    </cfRule>
  </conditionalFormatting>
  <conditionalFormatting sqref="T2827">
    <cfRule type="cellIs" dxfId="6855" priority="6786" operator="equal">
      <formula>"CUMPLE"</formula>
    </cfRule>
    <cfRule type="cellIs" dxfId="6854" priority="6787" operator="equal">
      <formula>"NO CUMPLE"</formula>
    </cfRule>
  </conditionalFormatting>
  <conditionalFormatting sqref="T2827:T2829">
    <cfRule type="cellIs" dxfId="6853" priority="6785" operator="equal">
      <formula>"VERIFICAR"</formula>
    </cfRule>
  </conditionalFormatting>
  <conditionalFormatting sqref="AD2813:AF2817">
    <cfRule type="cellIs" dxfId="6852" priority="6783" stopIfTrue="1" operator="equal">
      <formula>"NO"</formula>
    </cfRule>
    <cfRule type="cellIs" dxfId="6851" priority="6784" stopIfTrue="1" operator="equal">
      <formula>"SI"</formula>
    </cfRule>
  </conditionalFormatting>
  <conditionalFormatting sqref="AD2818:AF2821">
    <cfRule type="cellIs" dxfId="6850" priority="6781" stopIfTrue="1" operator="equal">
      <formula>"NO"</formula>
    </cfRule>
    <cfRule type="cellIs" dxfId="6849" priority="6782" stopIfTrue="1" operator="equal">
      <formula>"SI"</formula>
    </cfRule>
  </conditionalFormatting>
  <conditionalFormatting sqref="W2822:Y2822">
    <cfRule type="cellIs" dxfId="6848" priority="6779" stopIfTrue="1" operator="equal">
      <formula>"NO"</formula>
    </cfRule>
    <cfRule type="cellIs" dxfId="6847" priority="6780" stopIfTrue="1" operator="equal">
      <formula>"SI"</formula>
    </cfRule>
  </conditionalFormatting>
  <conditionalFormatting sqref="W2822:X2822">
    <cfRule type="cellIs" dxfId="6846" priority="6778" stopIfTrue="1" operator="equal">
      <formula>"NO APLICA"</formula>
    </cfRule>
  </conditionalFormatting>
  <conditionalFormatting sqref="Y2822">
    <cfRule type="cellIs" dxfId="6845" priority="6777" stopIfTrue="1" operator="equal">
      <formula>"NO APLICA"</formula>
    </cfRule>
  </conditionalFormatting>
  <conditionalFormatting sqref="AD2822:AF2822">
    <cfRule type="cellIs" dxfId="6844" priority="6775" stopIfTrue="1" operator="equal">
      <formula>"NO"</formula>
    </cfRule>
    <cfRule type="cellIs" dxfId="6843" priority="6776" stopIfTrue="1" operator="equal">
      <formula>"SI"</formula>
    </cfRule>
  </conditionalFormatting>
  <conditionalFormatting sqref="AE2827">
    <cfRule type="cellIs" dxfId="6842" priority="6772" stopIfTrue="1" operator="equal">
      <formula>"VERIFICAR"</formula>
    </cfRule>
    <cfRule type="cellIs" dxfId="6841" priority="6773" stopIfTrue="1" operator="equal">
      <formula>"NO CUMPLE"</formula>
    </cfRule>
    <cfRule type="cellIs" dxfId="6840" priority="6774" stopIfTrue="1" operator="equal">
      <formula>"CUMPLE"</formula>
    </cfRule>
  </conditionalFormatting>
  <conditionalFormatting sqref="AF2827">
    <cfRule type="cellIs" dxfId="6839" priority="6769" stopIfTrue="1" operator="equal">
      <formula>"VERIFICAR"</formula>
    </cfRule>
    <cfRule type="cellIs" dxfId="6838" priority="6770" stopIfTrue="1" operator="equal">
      <formula>"NO CUMPLE"</formula>
    </cfRule>
    <cfRule type="cellIs" dxfId="6837" priority="6771" stopIfTrue="1" operator="equal">
      <formula>"CUMPLE"</formula>
    </cfRule>
  </conditionalFormatting>
  <conditionalFormatting sqref="Y2830">
    <cfRule type="cellIs" dxfId="6836" priority="6768" operator="equal">
      <formula>"VERIFICAR CUADRO"</formula>
    </cfRule>
  </conditionalFormatting>
  <conditionalFormatting sqref="AC2831:AC2836">
    <cfRule type="cellIs" dxfId="6835" priority="6767" stopIfTrue="1" operator="greaterThan">
      <formula>0</formula>
    </cfRule>
  </conditionalFormatting>
  <conditionalFormatting sqref="AC2831:AC2836">
    <cfRule type="cellIs" dxfId="6834" priority="6766" stopIfTrue="1" operator="greaterThan">
      <formula>0</formula>
    </cfRule>
  </conditionalFormatting>
  <conditionalFormatting sqref="AD2831:AD2836">
    <cfRule type="containsText" dxfId="6833" priority="6764" stopIfTrue="1" operator="containsText" text="NO CUMPLE">
      <formula>NOT(ISERROR(SEARCH("NO CUMPLE",AD2831)))</formula>
    </cfRule>
    <cfRule type="containsText" dxfId="6832" priority="6765" stopIfTrue="1" operator="containsText" text="CUMPLE">
      <formula>NOT(ISERROR(SEARCH("CUMPLE",AD2831)))</formula>
    </cfRule>
  </conditionalFormatting>
  <conditionalFormatting sqref="Y2836">
    <cfRule type="containsText" dxfId="6831" priority="6762" stopIfTrue="1" operator="containsText" text="NO CUMPLE">
      <formula>NOT(ISERROR(SEARCH("NO CUMPLE",Y2836)))</formula>
    </cfRule>
    <cfRule type="containsText" dxfId="6830" priority="6763" stopIfTrue="1" operator="containsText" text="CUMPLE">
      <formula>NOT(ISERROR(SEARCH("CUMPLE",Y2836)))</formula>
    </cfRule>
  </conditionalFormatting>
  <conditionalFormatting sqref="AA2813:AA2822">
    <cfRule type="cellIs" dxfId="6829" priority="6760" stopIfTrue="1" operator="equal">
      <formula>"NO APLICA"</formula>
    </cfRule>
    <cfRule type="cellIs" dxfId="6828" priority="6761" stopIfTrue="1" operator="equal">
      <formula>"TERCIARIA"</formula>
    </cfRule>
  </conditionalFormatting>
  <conditionalFormatting sqref="AB2813:AB2822">
    <cfRule type="cellIs" dxfId="6827" priority="6758" stopIfTrue="1" operator="equal">
      <formula>"N/A"</formula>
    </cfRule>
    <cfRule type="cellIs" dxfId="6826" priority="6759" stopIfTrue="1" operator="equal">
      <formula>"NO"</formula>
    </cfRule>
  </conditionalFormatting>
  <conditionalFormatting sqref="M2843:M2852">
    <cfRule type="cellIs" dxfId="6825" priority="6757" stopIfTrue="1" operator="lessThan">
      <formula>0</formula>
    </cfRule>
  </conditionalFormatting>
  <conditionalFormatting sqref="C2845:D2851 B2844:B2851 F2845:I2851 C2844:I2844 B2852:O2852 B2843:R2843 Q2844:R2845 J2844:O2851 Q2846:Q2852 P2844:P2852">
    <cfRule type="cellIs" dxfId="6824" priority="6756" stopIfTrue="1" operator="greaterThan">
      <formula>0</formula>
    </cfRule>
  </conditionalFormatting>
  <conditionalFormatting sqref="C2845:D2851">
    <cfRule type="cellIs" dxfId="6823" priority="6755" stopIfTrue="1" operator="greaterThan">
      <formula>0</formula>
    </cfRule>
  </conditionalFormatting>
  <conditionalFormatting sqref="C2843:M2843 C2845:D2851 F2845:I2851 C2844:I2844 K2844:M2851 J2844:J2852 L2852:M2852">
    <cfRule type="cellIs" dxfId="6822" priority="6754" stopIfTrue="1" operator="greaterThan">
      <formula>0</formula>
    </cfRule>
  </conditionalFormatting>
  <conditionalFormatting sqref="M2843:M2852">
    <cfRule type="cellIs" dxfId="6821" priority="6753" stopIfTrue="1" operator="lessThan">
      <formula>0</formula>
    </cfRule>
  </conditionalFormatting>
  <conditionalFormatting sqref="J2844:J2852 L2844:O2852 C2843:O2843">
    <cfRule type="cellIs" dxfId="6820" priority="6752" stopIfTrue="1" operator="greaterThan">
      <formula>0</formula>
    </cfRule>
  </conditionalFormatting>
  <conditionalFormatting sqref="H2845:I2851 K2845:M2852">
    <cfRule type="cellIs" dxfId="6819" priority="6751" stopIfTrue="1" operator="greaterThan">
      <formula>0</formula>
    </cfRule>
  </conditionalFormatting>
  <conditionalFormatting sqref="I2844">
    <cfRule type="cellIs" dxfId="6818" priority="6750" stopIfTrue="1" operator="greaterThan">
      <formula>0</formula>
    </cfRule>
  </conditionalFormatting>
  <conditionalFormatting sqref="I2852">
    <cfRule type="cellIs" dxfId="6817" priority="6749" stopIfTrue="1" operator="greaterThan">
      <formula>0</formula>
    </cfRule>
  </conditionalFormatting>
  <conditionalFormatting sqref="E2845:E2851">
    <cfRule type="cellIs" dxfId="6816" priority="6748" stopIfTrue="1" operator="greaterThan">
      <formula>0</formula>
    </cfRule>
  </conditionalFormatting>
  <conditionalFormatting sqref="K2860:K2865">
    <cfRule type="containsText" dxfId="6815" priority="6746" stopIfTrue="1" operator="containsText" text="NO CUMPLE">
      <formula>NOT(ISERROR(SEARCH("NO CUMPLE",K2860)))</formula>
    </cfRule>
    <cfRule type="containsText" dxfId="6814" priority="6747" stopIfTrue="1" operator="containsText" text="CUMPLE">
      <formula>NOT(ISERROR(SEARCH("CUMPLE",K2860)))</formula>
    </cfRule>
  </conditionalFormatting>
  <conditionalFormatting sqref="K2866">
    <cfRule type="containsText" dxfId="6813" priority="6744" stopIfTrue="1" operator="containsText" text="NO CUMPLE">
      <formula>NOT(ISERROR(SEARCH("NO CUMPLE",K2866)))</formula>
    </cfRule>
    <cfRule type="containsText" dxfId="6812" priority="6745" stopIfTrue="1" operator="containsText" text="CUMPLE">
      <formula>NOT(ISERROR(SEARCH("CUMPLE",K2866)))</formula>
    </cfRule>
  </conditionalFormatting>
  <conditionalFormatting sqref="Q2859">
    <cfRule type="cellIs" dxfId="6811" priority="6742" operator="greaterThanOrEqual">
      <formula>NUMMINCONT</formula>
    </cfRule>
    <cfRule type="cellIs" dxfId="6810" priority="6743" operator="lessThan">
      <formula>NUMMINCONT</formula>
    </cfRule>
  </conditionalFormatting>
  <conditionalFormatting sqref="W2843:Y2851">
    <cfRule type="cellIs" dxfId="6809" priority="6740" stopIfTrue="1" operator="equal">
      <formula>"NO"</formula>
    </cfRule>
    <cfRule type="cellIs" dxfId="6808" priority="6741" stopIfTrue="1" operator="equal">
      <formula>"SI"</formula>
    </cfRule>
  </conditionalFormatting>
  <conditionalFormatting sqref="R2846">
    <cfRule type="cellIs" dxfId="6807" priority="6739" stopIfTrue="1" operator="greaterThan">
      <formula>0</formula>
    </cfRule>
  </conditionalFormatting>
  <conditionalFormatting sqref="R2847">
    <cfRule type="cellIs" dxfId="6806" priority="6738" stopIfTrue="1" operator="greaterThan">
      <formula>0</formula>
    </cfRule>
  </conditionalFormatting>
  <conditionalFormatting sqref="R2848">
    <cfRule type="cellIs" dxfId="6805" priority="6737" stopIfTrue="1" operator="greaterThan">
      <formula>0</formula>
    </cfRule>
  </conditionalFormatting>
  <conditionalFormatting sqref="R2849">
    <cfRule type="cellIs" dxfId="6804" priority="6736" stopIfTrue="1" operator="greaterThan">
      <formula>0</formula>
    </cfRule>
  </conditionalFormatting>
  <conditionalFormatting sqref="R2850">
    <cfRule type="cellIs" dxfId="6803" priority="6735" stopIfTrue="1" operator="greaterThan">
      <formula>0</formula>
    </cfRule>
  </conditionalFormatting>
  <conditionalFormatting sqref="R2851">
    <cfRule type="cellIs" dxfId="6802" priority="6734" stopIfTrue="1" operator="greaterThan">
      <formula>0</formula>
    </cfRule>
  </conditionalFormatting>
  <conditionalFormatting sqref="R2852">
    <cfRule type="cellIs" dxfId="6801" priority="6733" stopIfTrue="1" operator="greaterThan">
      <formula>0</formula>
    </cfRule>
  </conditionalFormatting>
  <conditionalFormatting sqref="W2843:X2843">
    <cfRule type="cellIs" dxfId="6800" priority="6732" stopIfTrue="1" operator="equal">
      <formula>"NO APLICA"</formula>
    </cfRule>
  </conditionalFormatting>
  <conditionalFormatting sqref="W2844:X2847">
    <cfRule type="cellIs" dxfId="6799" priority="6731" stopIfTrue="1" operator="equal">
      <formula>"NO APLICA"</formula>
    </cfRule>
  </conditionalFormatting>
  <conditionalFormatting sqref="W2844:X2844">
    <cfRule type="cellIs" dxfId="6798" priority="6730" stopIfTrue="1" operator="equal">
      <formula>"NO APLICA"</formula>
    </cfRule>
  </conditionalFormatting>
  <conditionalFormatting sqref="Y2843">
    <cfRule type="cellIs" dxfId="6797" priority="6729" stopIfTrue="1" operator="equal">
      <formula>"NO APLICA"</formula>
    </cfRule>
  </conditionalFormatting>
  <conditionalFormatting sqref="Y2844:Y2847">
    <cfRule type="cellIs" dxfId="6796" priority="6728" stopIfTrue="1" operator="equal">
      <formula>"NO APLICA"</formula>
    </cfRule>
  </conditionalFormatting>
  <conditionalFormatting sqref="W2848:X2851">
    <cfRule type="cellIs" dxfId="6795" priority="6727" stopIfTrue="1" operator="equal">
      <formula>"NO APLICA"</formula>
    </cfRule>
  </conditionalFormatting>
  <conditionalFormatting sqref="W2848:X2848">
    <cfRule type="cellIs" dxfId="6794" priority="6726" stopIfTrue="1" operator="equal">
      <formula>"NO APLICA"</formula>
    </cfRule>
  </conditionalFormatting>
  <conditionalFormatting sqref="Y2848:Y2851">
    <cfRule type="cellIs" dxfId="6793" priority="6725" stopIfTrue="1" operator="equal">
      <formula>"NO APLICA"</formula>
    </cfRule>
  </conditionalFormatting>
  <conditionalFormatting sqref="T2857">
    <cfRule type="cellIs" dxfId="6792" priority="6723" operator="equal">
      <formula>"CUMPLE"</formula>
    </cfRule>
    <cfRule type="cellIs" dxfId="6791" priority="6724" operator="equal">
      <formula>"NO CUMPLE"</formula>
    </cfRule>
  </conditionalFormatting>
  <conditionalFormatting sqref="T2857:T2859">
    <cfRule type="cellIs" dxfId="6790" priority="6722" operator="equal">
      <formula>"VERIFICAR"</formula>
    </cfRule>
  </conditionalFormatting>
  <conditionalFormatting sqref="AD2843:AF2847">
    <cfRule type="cellIs" dxfId="6789" priority="6720" stopIfTrue="1" operator="equal">
      <formula>"NO"</formula>
    </cfRule>
    <cfRule type="cellIs" dxfId="6788" priority="6721" stopIfTrue="1" operator="equal">
      <formula>"SI"</formula>
    </cfRule>
  </conditionalFormatting>
  <conditionalFormatting sqref="AD2848:AF2851">
    <cfRule type="cellIs" dxfId="6787" priority="6718" stopIfTrue="1" operator="equal">
      <formula>"NO"</formula>
    </cfRule>
    <cfRule type="cellIs" dxfId="6786" priority="6719" stopIfTrue="1" operator="equal">
      <formula>"SI"</formula>
    </cfRule>
  </conditionalFormatting>
  <conditionalFormatting sqref="W2852:Y2852">
    <cfRule type="cellIs" dxfId="6785" priority="6716" stopIfTrue="1" operator="equal">
      <formula>"NO"</formula>
    </cfRule>
    <cfRule type="cellIs" dxfId="6784" priority="6717" stopIfTrue="1" operator="equal">
      <formula>"SI"</formula>
    </cfRule>
  </conditionalFormatting>
  <conditionalFormatting sqref="W2852:X2852">
    <cfRule type="cellIs" dxfId="6783" priority="6715" stopIfTrue="1" operator="equal">
      <formula>"NO APLICA"</formula>
    </cfRule>
  </conditionalFormatting>
  <conditionalFormatting sqref="Y2852">
    <cfRule type="cellIs" dxfId="6782" priority="6714" stopIfTrue="1" operator="equal">
      <formula>"NO APLICA"</formula>
    </cfRule>
  </conditionalFormatting>
  <conditionalFormatting sqref="AD2852:AF2852">
    <cfRule type="cellIs" dxfId="6781" priority="6712" stopIfTrue="1" operator="equal">
      <formula>"NO"</formula>
    </cfRule>
    <cfRule type="cellIs" dxfId="6780" priority="6713" stopIfTrue="1" operator="equal">
      <formula>"SI"</formula>
    </cfRule>
  </conditionalFormatting>
  <conditionalFormatting sqref="AE2857">
    <cfRule type="cellIs" dxfId="6779" priority="6709" stopIfTrue="1" operator="equal">
      <formula>"VERIFICAR"</formula>
    </cfRule>
    <cfRule type="cellIs" dxfId="6778" priority="6710" stopIfTrue="1" operator="equal">
      <formula>"NO CUMPLE"</formula>
    </cfRule>
    <cfRule type="cellIs" dxfId="6777" priority="6711" stopIfTrue="1" operator="equal">
      <formula>"CUMPLE"</formula>
    </cfRule>
  </conditionalFormatting>
  <conditionalFormatting sqref="AF2857">
    <cfRule type="cellIs" dxfId="6776" priority="6706" stopIfTrue="1" operator="equal">
      <formula>"VERIFICAR"</formula>
    </cfRule>
    <cfRule type="cellIs" dxfId="6775" priority="6707" stopIfTrue="1" operator="equal">
      <formula>"NO CUMPLE"</formula>
    </cfRule>
    <cfRule type="cellIs" dxfId="6774" priority="6708" stopIfTrue="1" operator="equal">
      <formula>"CUMPLE"</formula>
    </cfRule>
  </conditionalFormatting>
  <conditionalFormatting sqref="Y2860">
    <cfRule type="cellIs" dxfId="6773" priority="6705" operator="equal">
      <formula>"VERIFICAR CUADRO"</formula>
    </cfRule>
  </conditionalFormatting>
  <conditionalFormatting sqref="AC2861:AC2866">
    <cfRule type="cellIs" dxfId="6772" priority="6704" stopIfTrue="1" operator="greaterThan">
      <formula>0</formula>
    </cfRule>
  </conditionalFormatting>
  <conditionalFormatting sqref="AC2861:AC2866">
    <cfRule type="cellIs" dxfId="6771" priority="6703" stopIfTrue="1" operator="greaterThan">
      <formula>0</formula>
    </cfRule>
  </conditionalFormatting>
  <conditionalFormatting sqref="AD2861:AD2866">
    <cfRule type="containsText" dxfId="6770" priority="6701" stopIfTrue="1" operator="containsText" text="NO CUMPLE">
      <formula>NOT(ISERROR(SEARCH("NO CUMPLE",AD2861)))</formula>
    </cfRule>
    <cfRule type="containsText" dxfId="6769" priority="6702" stopIfTrue="1" operator="containsText" text="CUMPLE">
      <formula>NOT(ISERROR(SEARCH("CUMPLE",AD2861)))</formula>
    </cfRule>
  </conditionalFormatting>
  <conditionalFormatting sqref="Y2866">
    <cfRule type="containsText" dxfId="6768" priority="6699" stopIfTrue="1" operator="containsText" text="NO CUMPLE">
      <formula>NOT(ISERROR(SEARCH("NO CUMPLE",Y2866)))</formula>
    </cfRule>
    <cfRule type="containsText" dxfId="6767" priority="6700" stopIfTrue="1" operator="containsText" text="CUMPLE">
      <formula>NOT(ISERROR(SEARCH("CUMPLE",Y2866)))</formula>
    </cfRule>
  </conditionalFormatting>
  <conditionalFormatting sqref="AA2843:AA2852">
    <cfRule type="cellIs" dxfId="6766" priority="6697" stopIfTrue="1" operator="equal">
      <formula>"NO APLICA"</formula>
    </cfRule>
    <cfRule type="cellIs" dxfId="6765" priority="6698" stopIfTrue="1" operator="equal">
      <formula>"TERCIARIA"</formula>
    </cfRule>
  </conditionalFormatting>
  <conditionalFormatting sqref="AB2843:AB2852">
    <cfRule type="cellIs" dxfId="6764" priority="6695" stopIfTrue="1" operator="equal">
      <formula>"N/A"</formula>
    </cfRule>
    <cfRule type="cellIs" dxfId="6763" priority="6696" stopIfTrue="1" operator="equal">
      <formula>"NO"</formula>
    </cfRule>
  </conditionalFormatting>
  <conditionalFormatting sqref="M2873:M2882">
    <cfRule type="cellIs" dxfId="6762" priority="6694" stopIfTrue="1" operator="lessThan">
      <formula>0</formula>
    </cfRule>
  </conditionalFormatting>
  <conditionalFormatting sqref="C2875:D2881 B2874:B2881 F2875:I2881 C2874:I2874 B2882:O2882 B2873:R2873 Q2874:R2875 J2874:O2881 Q2876:Q2882 P2874:P2882">
    <cfRule type="cellIs" dxfId="6761" priority="6693" stopIfTrue="1" operator="greaterThan">
      <formula>0</formula>
    </cfRule>
  </conditionalFormatting>
  <conditionalFormatting sqref="C2875:D2881">
    <cfRule type="cellIs" dxfId="6760" priority="6692" stopIfTrue="1" operator="greaterThan">
      <formula>0</formula>
    </cfRule>
  </conditionalFormatting>
  <conditionalFormatting sqref="C2873:M2873 C2875:D2881 F2875:I2881 C2874:I2874 K2874:M2881 J2874:J2882 L2882:M2882">
    <cfRule type="cellIs" dxfId="6759" priority="6691" stopIfTrue="1" operator="greaterThan">
      <formula>0</formula>
    </cfRule>
  </conditionalFormatting>
  <conditionalFormatting sqref="M2873:M2882">
    <cfRule type="cellIs" dxfId="6758" priority="6690" stopIfTrue="1" operator="lessThan">
      <formula>0</formula>
    </cfRule>
  </conditionalFormatting>
  <conditionalFormatting sqref="J2874:J2882 L2874:O2882 C2873:O2873">
    <cfRule type="cellIs" dxfId="6757" priority="6689" stopIfTrue="1" operator="greaterThan">
      <formula>0</formula>
    </cfRule>
  </conditionalFormatting>
  <conditionalFormatting sqref="H2875:I2881 K2875:M2882">
    <cfRule type="cellIs" dxfId="6756" priority="6688" stopIfTrue="1" operator="greaterThan">
      <formula>0</formula>
    </cfRule>
  </conditionalFormatting>
  <conditionalFormatting sqref="I2874">
    <cfRule type="cellIs" dxfId="6755" priority="6687" stopIfTrue="1" operator="greaterThan">
      <formula>0</formula>
    </cfRule>
  </conditionalFormatting>
  <conditionalFormatting sqref="I2882">
    <cfRule type="cellIs" dxfId="6754" priority="6686" stopIfTrue="1" operator="greaterThan">
      <formula>0</formula>
    </cfRule>
  </conditionalFormatting>
  <conditionalFormatting sqref="E2875:E2881">
    <cfRule type="cellIs" dxfId="6753" priority="6685" stopIfTrue="1" operator="greaterThan">
      <formula>0</formula>
    </cfRule>
  </conditionalFormatting>
  <conditionalFormatting sqref="K2890:K2895">
    <cfRule type="containsText" dxfId="6752" priority="6683" stopIfTrue="1" operator="containsText" text="NO CUMPLE">
      <formula>NOT(ISERROR(SEARCH("NO CUMPLE",K2890)))</formula>
    </cfRule>
    <cfRule type="containsText" dxfId="6751" priority="6684" stopIfTrue="1" operator="containsText" text="CUMPLE">
      <formula>NOT(ISERROR(SEARCH("CUMPLE",K2890)))</formula>
    </cfRule>
  </conditionalFormatting>
  <conditionalFormatting sqref="K2896">
    <cfRule type="containsText" dxfId="6750" priority="6681" stopIfTrue="1" operator="containsText" text="NO CUMPLE">
      <formula>NOT(ISERROR(SEARCH("NO CUMPLE",K2896)))</formula>
    </cfRule>
    <cfRule type="containsText" dxfId="6749" priority="6682" stopIfTrue="1" operator="containsText" text="CUMPLE">
      <formula>NOT(ISERROR(SEARCH("CUMPLE",K2896)))</formula>
    </cfRule>
  </conditionalFormatting>
  <conditionalFormatting sqref="Q2889">
    <cfRule type="cellIs" dxfId="6748" priority="6679" operator="greaterThanOrEqual">
      <formula>NUMMINCONT</formula>
    </cfRule>
    <cfRule type="cellIs" dxfId="6747" priority="6680" operator="lessThan">
      <formula>NUMMINCONT</formula>
    </cfRule>
  </conditionalFormatting>
  <conditionalFormatting sqref="W2873:Y2881">
    <cfRule type="cellIs" dxfId="6746" priority="6677" stopIfTrue="1" operator="equal">
      <formula>"NO"</formula>
    </cfRule>
    <cfRule type="cellIs" dxfId="6745" priority="6678" stopIfTrue="1" operator="equal">
      <formula>"SI"</formula>
    </cfRule>
  </conditionalFormatting>
  <conditionalFormatting sqref="R2876">
    <cfRule type="cellIs" dxfId="6744" priority="6676" stopIfTrue="1" operator="greaterThan">
      <formula>0</formula>
    </cfRule>
  </conditionalFormatting>
  <conditionalFormatting sqref="R2877">
    <cfRule type="cellIs" dxfId="6743" priority="6675" stopIfTrue="1" operator="greaterThan">
      <formula>0</formula>
    </cfRule>
  </conditionalFormatting>
  <conditionalFormatting sqref="R2878">
    <cfRule type="cellIs" dxfId="6742" priority="6674" stopIfTrue="1" operator="greaterThan">
      <formula>0</formula>
    </cfRule>
  </conditionalFormatting>
  <conditionalFormatting sqref="R2879">
    <cfRule type="cellIs" dxfId="6741" priority="6673" stopIfTrue="1" operator="greaterThan">
      <formula>0</formula>
    </cfRule>
  </conditionalFormatting>
  <conditionalFormatting sqref="R2880">
    <cfRule type="cellIs" dxfId="6740" priority="6672" stopIfTrue="1" operator="greaterThan">
      <formula>0</formula>
    </cfRule>
  </conditionalFormatting>
  <conditionalFormatting sqref="R2881">
    <cfRule type="cellIs" dxfId="6739" priority="6671" stopIfTrue="1" operator="greaterThan">
      <formula>0</formula>
    </cfRule>
  </conditionalFormatting>
  <conditionalFormatting sqref="R2882">
    <cfRule type="cellIs" dxfId="6738" priority="6670" stopIfTrue="1" operator="greaterThan">
      <formula>0</formula>
    </cfRule>
  </conditionalFormatting>
  <conditionalFormatting sqref="W2873:X2873">
    <cfRule type="cellIs" dxfId="6737" priority="6669" stopIfTrue="1" operator="equal">
      <formula>"NO APLICA"</formula>
    </cfRule>
  </conditionalFormatting>
  <conditionalFormatting sqref="W2874:X2877">
    <cfRule type="cellIs" dxfId="6736" priority="6668" stopIfTrue="1" operator="equal">
      <formula>"NO APLICA"</formula>
    </cfRule>
  </conditionalFormatting>
  <conditionalFormatting sqref="W2874:X2874">
    <cfRule type="cellIs" dxfId="6735" priority="6667" stopIfTrue="1" operator="equal">
      <formula>"NO APLICA"</formula>
    </cfRule>
  </conditionalFormatting>
  <conditionalFormatting sqref="Y2873">
    <cfRule type="cellIs" dxfId="6734" priority="6666" stopIfTrue="1" operator="equal">
      <formula>"NO APLICA"</formula>
    </cfRule>
  </conditionalFormatting>
  <conditionalFormatting sqref="Y2874:Y2877">
    <cfRule type="cellIs" dxfId="6733" priority="6665" stopIfTrue="1" operator="equal">
      <formula>"NO APLICA"</formula>
    </cfRule>
  </conditionalFormatting>
  <conditionalFormatting sqref="W2878:X2881">
    <cfRule type="cellIs" dxfId="6732" priority="6664" stopIfTrue="1" operator="equal">
      <formula>"NO APLICA"</formula>
    </cfRule>
  </conditionalFormatting>
  <conditionalFormatting sqref="W2878:X2878">
    <cfRule type="cellIs" dxfId="6731" priority="6663" stopIfTrue="1" operator="equal">
      <formula>"NO APLICA"</formula>
    </cfRule>
  </conditionalFormatting>
  <conditionalFormatting sqref="Y2878:Y2881">
    <cfRule type="cellIs" dxfId="6730" priority="6662" stopIfTrue="1" operator="equal">
      <formula>"NO APLICA"</formula>
    </cfRule>
  </conditionalFormatting>
  <conditionalFormatting sqref="T2887">
    <cfRule type="cellIs" dxfId="6729" priority="6660" operator="equal">
      <formula>"CUMPLE"</formula>
    </cfRule>
    <cfRule type="cellIs" dxfId="6728" priority="6661" operator="equal">
      <formula>"NO CUMPLE"</formula>
    </cfRule>
  </conditionalFormatting>
  <conditionalFormatting sqref="T2887:T2889">
    <cfRule type="cellIs" dxfId="6727" priority="6659" operator="equal">
      <formula>"VERIFICAR"</formula>
    </cfRule>
  </conditionalFormatting>
  <conditionalFormatting sqref="AD2873:AF2877">
    <cfRule type="cellIs" dxfId="6726" priority="6657" stopIfTrue="1" operator="equal">
      <formula>"NO"</formula>
    </cfRule>
    <cfRule type="cellIs" dxfId="6725" priority="6658" stopIfTrue="1" operator="equal">
      <formula>"SI"</formula>
    </cfRule>
  </conditionalFormatting>
  <conditionalFormatting sqref="AD2878:AF2881">
    <cfRule type="cellIs" dxfId="6724" priority="6655" stopIfTrue="1" operator="equal">
      <formula>"NO"</formula>
    </cfRule>
    <cfRule type="cellIs" dxfId="6723" priority="6656" stopIfTrue="1" operator="equal">
      <formula>"SI"</formula>
    </cfRule>
  </conditionalFormatting>
  <conditionalFormatting sqref="W2882:Y2882">
    <cfRule type="cellIs" dxfId="6722" priority="6653" stopIfTrue="1" operator="equal">
      <formula>"NO"</formula>
    </cfRule>
    <cfRule type="cellIs" dxfId="6721" priority="6654" stopIfTrue="1" operator="equal">
      <formula>"SI"</formula>
    </cfRule>
  </conditionalFormatting>
  <conditionalFormatting sqref="W2882:X2882">
    <cfRule type="cellIs" dxfId="6720" priority="6652" stopIfTrue="1" operator="equal">
      <formula>"NO APLICA"</formula>
    </cfRule>
  </conditionalFormatting>
  <conditionalFormatting sqref="Y2882">
    <cfRule type="cellIs" dxfId="6719" priority="6651" stopIfTrue="1" operator="equal">
      <formula>"NO APLICA"</formula>
    </cfRule>
  </conditionalFormatting>
  <conditionalFormatting sqref="AD2882:AF2882">
    <cfRule type="cellIs" dxfId="6718" priority="6649" stopIfTrue="1" operator="equal">
      <formula>"NO"</formula>
    </cfRule>
    <cfRule type="cellIs" dxfId="6717" priority="6650" stopIfTrue="1" operator="equal">
      <formula>"SI"</formula>
    </cfRule>
  </conditionalFormatting>
  <conditionalFormatting sqref="AE2887">
    <cfRule type="cellIs" dxfId="6716" priority="6646" stopIfTrue="1" operator="equal">
      <formula>"VERIFICAR"</formula>
    </cfRule>
    <cfRule type="cellIs" dxfId="6715" priority="6647" stopIfTrue="1" operator="equal">
      <formula>"NO CUMPLE"</formula>
    </cfRule>
    <cfRule type="cellIs" dxfId="6714" priority="6648" stopIfTrue="1" operator="equal">
      <formula>"CUMPLE"</formula>
    </cfRule>
  </conditionalFormatting>
  <conditionalFormatting sqref="AF2887">
    <cfRule type="cellIs" dxfId="6713" priority="6643" stopIfTrue="1" operator="equal">
      <formula>"VERIFICAR"</formula>
    </cfRule>
    <cfRule type="cellIs" dxfId="6712" priority="6644" stopIfTrue="1" operator="equal">
      <formula>"NO CUMPLE"</formula>
    </cfRule>
    <cfRule type="cellIs" dxfId="6711" priority="6645" stopIfTrue="1" operator="equal">
      <formula>"CUMPLE"</formula>
    </cfRule>
  </conditionalFormatting>
  <conditionalFormatting sqref="Y2890">
    <cfRule type="cellIs" dxfId="6710" priority="6642" operator="equal">
      <formula>"VERIFICAR CUADRO"</formula>
    </cfRule>
  </conditionalFormatting>
  <conditionalFormatting sqref="AC2891:AC2896">
    <cfRule type="cellIs" dxfId="6709" priority="6641" stopIfTrue="1" operator="greaterThan">
      <formula>0</formula>
    </cfRule>
  </conditionalFormatting>
  <conditionalFormatting sqref="AC2891:AC2896">
    <cfRule type="cellIs" dxfId="6708" priority="6640" stopIfTrue="1" operator="greaterThan">
      <formula>0</formula>
    </cfRule>
  </conditionalFormatting>
  <conditionalFormatting sqref="AD2891:AD2896">
    <cfRule type="containsText" dxfId="6707" priority="6638" stopIfTrue="1" operator="containsText" text="NO CUMPLE">
      <formula>NOT(ISERROR(SEARCH("NO CUMPLE",AD2891)))</formula>
    </cfRule>
    <cfRule type="containsText" dxfId="6706" priority="6639" stopIfTrue="1" operator="containsText" text="CUMPLE">
      <formula>NOT(ISERROR(SEARCH("CUMPLE",AD2891)))</formula>
    </cfRule>
  </conditionalFormatting>
  <conditionalFormatting sqref="Y2896">
    <cfRule type="containsText" dxfId="6705" priority="6636" stopIfTrue="1" operator="containsText" text="NO CUMPLE">
      <formula>NOT(ISERROR(SEARCH("NO CUMPLE",Y2896)))</formula>
    </cfRule>
    <cfRule type="containsText" dxfId="6704" priority="6637" stopIfTrue="1" operator="containsText" text="CUMPLE">
      <formula>NOT(ISERROR(SEARCH("CUMPLE",Y2896)))</formula>
    </cfRule>
  </conditionalFormatting>
  <conditionalFormatting sqref="AA2873:AA2882">
    <cfRule type="cellIs" dxfId="6703" priority="6634" stopIfTrue="1" operator="equal">
      <formula>"NO APLICA"</formula>
    </cfRule>
    <cfRule type="cellIs" dxfId="6702" priority="6635" stopIfTrue="1" operator="equal">
      <formula>"TERCIARIA"</formula>
    </cfRule>
  </conditionalFormatting>
  <conditionalFormatting sqref="AB2873:AB2882">
    <cfRule type="cellIs" dxfId="6701" priority="6632" stopIfTrue="1" operator="equal">
      <formula>"N/A"</formula>
    </cfRule>
    <cfRule type="cellIs" dxfId="6700" priority="6633" stopIfTrue="1" operator="equal">
      <formula>"NO"</formula>
    </cfRule>
  </conditionalFormatting>
  <conditionalFormatting sqref="M2903:M2912">
    <cfRule type="cellIs" dxfId="6699" priority="6631" stopIfTrue="1" operator="lessThan">
      <formula>0</formula>
    </cfRule>
  </conditionalFormatting>
  <conditionalFormatting sqref="C2905:D2911 B2904:B2911 F2905:I2911 C2904:I2904 B2912:O2912 B2903:R2903 Q2904:R2905 J2904:O2911 Q2906:Q2912 P2904:P2912">
    <cfRule type="cellIs" dxfId="6698" priority="6630" stopIfTrue="1" operator="greaterThan">
      <formula>0</formula>
    </cfRule>
  </conditionalFormatting>
  <conditionalFormatting sqref="C2905:D2911">
    <cfRule type="cellIs" dxfId="6697" priority="6629" stopIfTrue="1" operator="greaterThan">
      <formula>0</formula>
    </cfRule>
  </conditionalFormatting>
  <conditionalFormatting sqref="C2903:M2903 C2905:D2911 F2905:I2911 C2904:I2904 K2904:M2911 J2904:J2912 L2912:M2912">
    <cfRule type="cellIs" dxfId="6696" priority="6628" stopIfTrue="1" operator="greaterThan">
      <formula>0</formula>
    </cfRule>
  </conditionalFormatting>
  <conditionalFormatting sqref="M2903:M2912">
    <cfRule type="cellIs" dxfId="6695" priority="6627" stopIfTrue="1" operator="lessThan">
      <formula>0</formula>
    </cfRule>
  </conditionalFormatting>
  <conditionalFormatting sqref="J2904:J2912 L2904:O2912 C2903:O2903">
    <cfRule type="cellIs" dxfId="6694" priority="6626" stopIfTrue="1" operator="greaterThan">
      <formula>0</formula>
    </cfRule>
  </conditionalFormatting>
  <conditionalFormatting sqref="H2905:I2911 K2905:M2912">
    <cfRule type="cellIs" dxfId="6693" priority="6625" stopIfTrue="1" operator="greaterThan">
      <formula>0</formula>
    </cfRule>
  </conditionalFormatting>
  <conditionalFormatting sqref="I2904">
    <cfRule type="cellIs" dxfId="6692" priority="6624" stopIfTrue="1" operator="greaterThan">
      <formula>0</formula>
    </cfRule>
  </conditionalFormatting>
  <conditionalFormatting sqref="I2912">
    <cfRule type="cellIs" dxfId="6691" priority="6623" stopIfTrue="1" operator="greaterThan">
      <formula>0</formula>
    </cfRule>
  </conditionalFormatting>
  <conditionalFormatting sqref="E2905:E2911">
    <cfRule type="cellIs" dxfId="6690" priority="6622" stopIfTrue="1" operator="greaterThan">
      <formula>0</formula>
    </cfRule>
  </conditionalFormatting>
  <conditionalFormatting sqref="K2920:K2925">
    <cfRule type="containsText" dxfId="6689" priority="6620" stopIfTrue="1" operator="containsText" text="NO CUMPLE">
      <formula>NOT(ISERROR(SEARCH("NO CUMPLE",K2920)))</formula>
    </cfRule>
    <cfRule type="containsText" dxfId="6688" priority="6621" stopIfTrue="1" operator="containsText" text="CUMPLE">
      <formula>NOT(ISERROR(SEARCH("CUMPLE",K2920)))</formula>
    </cfRule>
  </conditionalFormatting>
  <conditionalFormatting sqref="K2926">
    <cfRule type="containsText" dxfId="6687" priority="6618" stopIfTrue="1" operator="containsText" text="NO CUMPLE">
      <formula>NOT(ISERROR(SEARCH("NO CUMPLE",K2926)))</formula>
    </cfRule>
    <cfRule type="containsText" dxfId="6686" priority="6619" stopIfTrue="1" operator="containsText" text="CUMPLE">
      <formula>NOT(ISERROR(SEARCH("CUMPLE",K2926)))</formula>
    </cfRule>
  </conditionalFormatting>
  <conditionalFormatting sqref="Q2919">
    <cfRule type="cellIs" dxfId="6685" priority="6616" operator="greaterThanOrEqual">
      <formula>NUMMINCONT</formula>
    </cfRule>
    <cfRule type="cellIs" dxfId="6684" priority="6617" operator="lessThan">
      <formula>NUMMINCONT</formula>
    </cfRule>
  </conditionalFormatting>
  <conditionalFormatting sqref="W2903:Y2911">
    <cfRule type="cellIs" dxfId="6683" priority="6614" stopIfTrue="1" operator="equal">
      <formula>"NO"</formula>
    </cfRule>
    <cfRule type="cellIs" dxfId="6682" priority="6615" stopIfTrue="1" operator="equal">
      <formula>"SI"</formula>
    </cfRule>
  </conditionalFormatting>
  <conditionalFormatting sqref="R2906">
    <cfRule type="cellIs" dxfId="6681" priority="6613" stopIfTrue="1" operator="greaterThan">
      <formula>0</formula>
    </cfRule>
  </conditionalFormatting>
  <conditionalFormatting sqref="R2907">
    <cfRule type="cellIs" dxfId="6680" priority="6612" stopIfTrue="1" operator="greaterThan">
      <formula>0</formula>
    </cfRule>
  </conditionalFormatting>
  <conditionalFormatting sqref="R2908">
    <cfRule type="cellIs" dxfId="6679" priority="6611" stopIfTrue="1" operator="greaterThan">
      <formula>0</formula>
    </cfRule>
  </conditionalFormatting>
  <conditionalFormatting sqref="R2909">
    <cfRule type="cellIs" dxfId="6678" priority="6610" stopIfTrue="1" operator="greaterThan">
      <formula>0</formula>
    </cfRule>
  </conditionalFormatting>
  <conditionalFormatting sqref="R2910">
    <cfRule type="cellIs" dxfId="6677" priority="6609" stopIfTrue="1" operator="greaterThan">
      <formula>0</formula>
    </cfRule>
  </conditionalFormatting>
  <conditionalFormatting sqref="R2911">
    <cfRule type="cellIs" dxfId="6676" priority="6608" stopIfTrue="1" operator="greaterThan">
      <formula>0</formula>
    </cfRule>
  </conditionalFormatting>
  <conditionalFormatting sqref="R2912">
    <cfRule type="cellIs" dxfId="6675" priority="6607" stopIfTrue="1" operator="greaterThan">
      <formula>0</formula>
    </cfRule>
  </conditionalFormatting>
  <conditionalFormatting sqref="W2903:X2903">
    <cfRule type="cellIs" dxfId="6674" priority="6606" stopIfTrue="1" operator="equal">
      <formula>"NO APLICA"</formula>
    </cfRule>
  </conditionalFormatting>
  <conditionalFormatting sqref="W2904:X2907">
    <cfRule type="cellIs" dxfId="6673" priority="6605" stopIfTrue="1" operator="equal">
      <formula>"NO APLICA"</formula>
    </cfRule>
  </conditionalFormatting>
  <conditionalFormatting sqref="W2904:X2904">
    <cfRule type="cellIs" dxfId="6672" priority="6604" stopIfTrue="1" operator="equal">
      <formula>"NO APLICA"</formula>
    </cfRule>
  </conditionalFormatting>
  <conditionalFormatting sqref="Y2903">
    <cfRule type="cellIs" dxfId="6671" priority="6603" stopIfTrue="1" operator="equal">
      <formula>"NO APLICA"</formula>
    </cfRule>
  </conditionalFormatting>
  <conditionalFormatting sqref="Y2904:Y2907">
    <cfRule type="cellIs" dxfId="6670" priority="6602" stopIfTrue="1" operator="equal">
      <formula>"NO APLICA"</formula>
    </cfRule>
  </conditionalFormatting>
  <conditionalFormatting sqref="W2908:X2911">
    <cfRule type="cellIs" dxfId="6669" priority="6601" stopIfTrue="1" operator="equal">
      <formula>"NO APLICA"</formula>
    </cfRule>
  </conditionalFormatting>
  <conditionalFormatting sqref="W2908:X2908">
    <cfRule type="cellIs" dxfId="6668" priority="6600" stopIfTrue="1" operator="equal">
      <formula>"NO APLICA"</formula>
    </cfRule>
  </conditionalFormatting>
  <conditionalFormatting sqref="Y2908:Y2911">
    <cfRule type="cellIs" dxfId="6667" priority="6599" stopIfTrue="1" operator="equal">
      <formula>"NO APLICA"</formula>
    </cfRule>
  </conditionalFormatting>
  <conditionalFormatting sqref="T2917">
    <cfRule type="cellIs" dxfId="6666" priority="6597" operator="equal">
      <formula>"CUMPLE"</formula>
    </cfRule>
    <cfRule type="cellIs" dxfId="6665" priority="6598" operator="equal">
      <formula>"NO CUMPLE"</formula>
    </cfRule>
  </conditionalFormatting>
  <conditionalFormatting sqref="T2917:T2919">
    <cfRule type="cellIs" dxfId="6664" priority="6596" operator="equal">
      <formula>"VERIFICAR"</formula>
    </cfRule>
  </conditionalFormatting>
  <conditionalFormatting sqref="AD2903:AF2907">
    <cfRule type="cellIs" dxfId="6663" priority="6594" stopIfTrue="1" operator="equal">
      <formula>"NO"</formula>
    </cfRule>
    <cfRule type="cellIs" dxfId="6662" priority="6595" stopIfTrue="1" operator="equal">
      <formula>"SI"</formula>
    </cfRule>
  </conditionalFormatting>
  <conditionalFormatting sqref="AD2908:AF2911">
    <cfRule type="cellIs" dxfId="6661" priority="6592" stopIfTrue="1" operator="equal">
      <formula>"NO"</formula>
    </cfRule>
    <cfRule type="cellIs" dxfId="6660" priority="6593" stopIfTrue="1" operator="equal">
      <formula>"SI"</formula>
    </cfRule>
  </conditionalFormatting>
  <conditionalFormatting sqref="W2912:Y2912">
    <cfRule type="cellIs" dxfId="6659" priority="6590" stopIfTrue="1" operator="equal">
      <formula>"NO"</formula>
    </cfRule>
    <cfRule type="cellIs" dxfId="6658" priority="6591" stopIfTrue="1" operator="equal">
      <formula>"SI"</formula>
    </cfRule>
  </conditionalFormatting>
  <conditionalFormatting sqref="W2912:X2912">
    <cfRule type="cellIs" dxfId="6657" priority="6589" stopIfTrue="1" operator="equal">
      <formula>"NO APLICA"</formula>
    </cfRule>
  </conditionalFormatting>
  <conditionalFormatting sqref="Y2912">
    <cfRule type="cellIs" dxfId="6656" priority="6588" stopIfTrue="1" operator="equal">
      <formula>"NO APLICA"</formula>
    </cfRule>
  </conditionalFormatting>
  <conditionalFormatting sqref="AD2912:AF2912">
    <cfRule type="cellIs" dxfId="6655" priority="6586" stopIfTrue="1" operator="equal">
      <formula>"NO"</formula>
    </cfRule>
    <cfRule type="cellIs" dxfId="6654" priority="6587" stopIfTrue="1" operator="equal">
      <formula>"SI"</formula>
    </cfRule>
  </conditionalFormatting>
  <conditionalFormatting sqref="AE2917">
    <cfRule type="cellIs" dxfId="6653" priority="6583" stopIfTrue="1" operator="equal">
      <formula>"VERIFICAR"</formula>
    </cfRule>
    <cfRule type="cellIs" dxfId="6652" priority="6584" stopIfTrue="1" operator="equal">
      <formula>"NO CUMPLE"</formula>
    </cfRule>
    <cfRule type="cellIs" dxfId="6651" priority="6585" stopIfTrue="1" operator="equal">
      <formula>"CUMPLE"</formula>
    </cfRule>
  </conditionalFormatting>
  <conditionalFormatting sqref="AF2917">
    <cfRule type="cellIs" dxfId="6650" priority="6580" stopIfTrue="1" operator="equal">
      <formula>"VERIFICAR"</formula>
    </cfRule>
    <cfRule type="cellIs" dxfId="6649" priority="6581" stopIfTrue="1" operator="equal">
      <formula>"NO CUMPLE"</formula>
    </cfRule>
    <cfRule type="cellIs" dxfId="6648" priority="6582" stopIfTrue="1" operator="equal">
      <formula>"CUMPLE"</formula>
    </cfRule>
  </conditionalFormatting>
  <conditionalFormatting sqref="Y2920">
    <cfRule type="cellIs" dxfId="6647" priority="6579" operator="equal">
      <formula>"VERIFICAR CUADRO"</formula>
    </cfRule>
  </conditionalFormatting>
  <conditionalFormatting sqref="AC2921:AC2926">
    <cfRule type="cellIs" dxfId="6646" priority="6578" stopIfTrue="1" operator="greaterThan">
      <formula>0</formula>
    </cfRule>
  </conditionalFormatting>
  <conditionalFormatting sqref="AC2921:AC2926">
    <cfRule type="cellIs" dxfId="6645" priority="6577" stopIfTrue="1" operator="greaterThan">
      <formula>0</formula>
    </cfRule>
  </conditionalFormatting>
  <conditionalFormatting sqref="AD2921:AD2926">
    <cfRule type="containsText" dxfId="6644" priority="6575" stopIfTrue="1" operator="containsText" text="NO CUMPLE">
      <formula>NOT(ISERROR(SEARCH("NO CUMPLE",AD2921)))</formula>
    </cfRule>
    <cfRule type="containsText" dxfId="6643" priority="6576" stopIfTrue="1" operator="containsText" text="CUMPLE">
      <formula>NOT(ISERROR(SEARCH("CUMPLE",AD2921)))</formula>
    </cfRule>
  </conditionalFormatting>
  <conditionalFormatting sqref="Y2926">
    <cfRule type="containsText" dxfId="6642" priority="6573" stopIfTrue="1" operator="containsText" text="NO CUMPLE">
      <formula>NOT(ISERROR(SEARCH("NO CUMPLE",Y2926)))</formula>
    </cfRule>
    <cfRule type="containsText" dxfId="6641" priority="6574" stopIfTrue="1" operator="containsText" text="CUMPLE">
      <formula>NOT(ISERROR(SEARCH("CUMPLE",Y2926)))</formula>
    </cfRule>
  </conditionalFormatting>
  <conditionalFormatting sqref="AA2903:AA2912">
    <cfRule type="cellIs" dxfId="6640" priority="6571" stopIfTrue="1" operator="equal">
      <formula>"NO APLICA"</formula>
    </cfRule>
    <cfRule type="cellIs" dxfId="6639" priority="6572" stopIfTrue="1" operator="equal">
      <formula>"TERCIARIA"</formula>
    </cfRule>
  </conditionalFormatting>
  <conditionalFormatting sqref="AB2903:AB2912">
    <cfRule type="cellIs" dxfId="6638" priority="6569" stopIfTrue="1" operator="equal">
      <formula>"N/A"</formula>
    </cfRule>
    <cfRule type="cellIs" dxfId="6637" priority="6570" stopIfTrue="1" operator="equal">
      <formula>"NO"</formula>
    </cfRule>
  </conditionalFormatting>
  <conditionalFormatting sqref="M2933:M2942">
    <cfRule type="cellIs" dxfId="6636" priority="6568" stopIfTrue="1" operator="lessThan">
      <formula>0</formula>
    </cfRule>
  </conditionalFormatting>
  <conditionalFormatting sqref="C2935:D2941 B2934:B2941 F2935:I2941 C2934:I2934 B2942:O2942 B2933:R2933 Q2934:R2935 J2934:O2941 Q2936:Q2942 P2934:P2942">
    <cfRule type="cellIs" dxfId="6635" priority="6567" stopIfTrue="1" operator="greaterThan">
      <formula>0</formula>
    </cfRule>
  </conditionalFormatting>
  <conditionalFormatting sqref="C2935:D2941">
    <cfRule type="cellIs" dxfId="6634" priority="6566" stopIfTrue="1" operator="greaterThan">
      <formula>0</formula>
    </cfRule>
  </conditionalFormatting>
  <conditionalFormatting sqref="C2933:M2933 C2935:D2941 F2935:I2941 C2934:I2934 K2934:M2941 J2934:J2942 L2942:M2942">
    <cfRule type="cellIs" dxfId="6633" priority="6565" stopIfTrue="1" operator="greaterThan">
      <formula>0</formula>
    </cfRule>
  </conditionalFormatting>
  <conditionalFormatting sqref="M2933:M2942">
    <cfRule type="cellIs" dxfId="6632" priority="6564" stopIfTrue="1" operator="lessThan">
      <formula>0</formula>
    </cfRule>
  </conditionalFormatting>
  <conditionalFormatting sqref="J2934:J2942 L2934:O2942 C2933:O2933">
    <cfRule type="cellIs" dxfId="6631" priority="6563" stopIfTrue="1" operator="greaterThan">
      <formula>0</formula>
    </cfRule>
  </conditionalFormatting>
  <conditionalFormatting sqref="H2935:I2941 K2935:M2942">
    <cfRule type="cellIs" dxfId="6630" priority="6562" stopIfTrue="1" operator="greaterThan">
      <formula>0</formula>
    </cfRule>
  </conditionalFormatting>
  <conditionalFormatting sqref="I2934">
    <cfRule type="cellIs" dxfId="6629" priority="6561" stopIfTrue="1" operator="greaterThan">
      <formula>0</formula>
    </cfRule>
  </conditionalFormatting>
  <conditionalFormatting sqref="I2942">
    <cfRule type="cellIs" dxfId="6628" priority="6560" stopIfTrue="1" operator="greaterThan">
      <formula>0</formula>
    </cfRule>
  </conditionalFormatting>
  <conditionalFormatting sqref="E2935:E2941">
    <cfRule type="cellIs" dxfId="6627" priority="6559" stopIfTrue="1" operator="greaterThan">
      <formula>0</formula>
    </cfRule>
  </conditionalFormatting>
  <conditionalFormatting sqref="K2950:K2955">
    <cfRule type="containsText" dxfId="6626" priority="6557" stopIfTrue="1" operator="containsText" text="NO CUMPLE">
      <formula>NOT(ISERROR(SEARCH("NO CUMPLE",K2950)))</formula>
    </cfRule>
    <cfRule type="containsText" dxfId="6625" priority="6558" stopIfTrue="1" operator="containsText" text="CUMPLE">
      <formula>NOT(ISERROR(SEARCH("CUMPLE",K2950)))</formula>
    </cfRule>
  </conditionalFormatting>
  <conditionalFormatting sqref="K2956">
    <cfRule type="containsText" dxfId="6624" priority="6555" stopIfTrue="1" operator="containsText" text="NO CUMPLE">
      <formula>NOT(ISERROR(SEARCH("NO CUMPLE",K2956)))</formula>
    </cfRule>
    <cfRule type="containsText" dxfId="6623" priority="6556" stopIfTrue="1" operator="containsText" text="CUMPLE">
      <formula>NOT(ISERROR(SEARCH("CUMPLE",K2956)))</formula>
    </cfRule>
  </conditionalFormatting>
  <conditionalFormatting sqref="Q2949">
    <cfRule type="cellIs" dxfId="6622" priority="6553" operator="greaterThanOrEqual">
      <formula>NUMMINCONT</formula>
    </cfRule>
    <cfRule type="cellIs" dxfId="6621" priority="6554" operator="lessThan">
      <formula>NUMMINCONT</formula>
    </cfRule>
  </conditionalFormatting>
  <conditionalFormatting sqref="W2933:Y2941">
    <cfRule type="cellIs" dxfId="6620" priority="6551" stopIfTrue="1" operator="equal">
      <formula>"NO"</formula>
    </cfRule>
    <cfRule type="cellIs" dxfId="6619" priority="6552" stopIfTrue="1" operator="equal">
      <formula>"SI"</formula>
    </cfRule>
  </conditionalFormatting>
  <conditionalFormatting sqref="R2936">
    <cfRule type="cellIs" dxfId="6618" priority="6550" stopIfTrue="1" operator="greaterThan">
      <formula>0</formula>
    </cfRule>
  </conditionalFormatting>
  <conditionalFormatting sqref="R2937">
    <cfRule type="cellIs" dxfId="6617" priority="6549" stopIfTrue="1" operator="greaterThan">
      <formula>0</formula>
    </cfRule>
  </conditionalFormatting>
  <conditionalFormatting sqref="R2938">
    <cfRule type="cellIs" dxfId="6616" priority="6548" stopIfTrue="1" operator="greaterThan">
      <formula>0</formula>
    </cfRule>
  </conditionalFormatting>
  <conditionalFormatting sqref="R2939">
    <cfRule type="cellIs" dxfId="6615" priority="6547" stopIfTrue="1" operator="greaterThan">
      <formula>0</formula>
    </cfRule>
  </conditionalFormatting>
  <conditionalFormatting sqref="R2940">
    <cfRule type="cellIs" dxfId="6614" priority="6546" stopIfTrue="1" operator="greaterThan">
      <formula>0</formula>
    </cfRule>
  </conditionalFormatting>
  <conditionalFormatting sqref="R2941">
    <cfRule type="cellIs" dxfId="6613" priority="6545" stopIfTrue="1" operator="greaterThan">
      <formula>0</formula>
    </cfRule>
  </conditionalFormatting>
  <conditionalFormatting sqref="R2942">
    <cfRule type="cellIs" dxfId="6612" priority="6544" stopIfTrue="1" operator="greaterThan">
      <formula>0</formula>
    </cfRule>
  </conditionalFormatting>
  <conditionalFormatting sqref="W2933:X2933">
    <cfRule type="cellIs" dxfId="6611" priority="6543" stopIfTrue="1" operator="equal">
      <formula>"NO APLICA"</formula>
    </cfRule>
  </conditionalFormatting>
  <conditionalFormatting sqref="W2934:X2937">
    <cfRule type="cellIs" dxfId="6610" priority="6542" stopIfTrue="1" operator="equal">
      <formula>"NO APLICA"</formula>
    </cfRule>
  </conditionalFormatting>
  <conditionalFormatting sqref="W2934:X2934">
    <cfRule type="cellIs" dxfId="6609" priority="6541" stopIfTrue="1" operator="equal">
      <formula>"NO APLICA"</formula>
    </cfRule>
  </conditionalFormatting>
  <conditionalFormatting sqref="Y2933">
    <cfRule type="cellIs" dxfId="6608" priority="6540" stopIfTrue="1" operator="equal">
      <formula>"NO APLICA"</formula>
    </cfRule>
  </conditionalFormatting>
  <conditionalFormatting sqref="Y2934:Y2937">
    <cfRule type="cellIs" dxfId="6607" priority="6539" stopIfTrue="1" operator="equal">
      <formula>"NO APLICA"</formula>
    </cfRule>
  </conditionalFormatting>
  <conditionalFormatting sqref="W2938:X2941">
    <cfRule type="cellIs" dxfId="6606" priority="6538" stopIfTrue="1" operator="equal">
      <formula>"NO APLICA"</formula>
    </cfRule>
  </conditionalFormatting>
  <conditionalFormatting sqref="W2938:X2938">
    <cfRule type="cellIs" dxfId="6605" priority="6537" stopIfTrue="1" operator="equal">
      <formula>"NO APLICA"</formula>
    </cfRule>
  </conditionalFormatting>
  <conditionalFormatting sqref="Y2938:Y2941">
    <cfRule type="cellIs" dxfId="6604" priority="6536" stopIfTrue="1" operator="equal">
      <formula>"NO APLICA"</formula>
    </cfRule>
  </conditionalFormatting>
  <conditionalFormatting sqref="T2947">
    <cfRule type="cellIs" dxfId="6603" priority="6534" operator="equal">
      <formula>"CUMPLE"</formula>
    </cfRule>
    <cfRule type="cellIs" dxfId="6602" priority="6535" operator="equal">
      <formula>"NO CUMPLE"</formula>
    </cfRule>
  </conditionalFormatting>
  <conditionalFormatting sqref="T2947:T2949">
    <cfRule type="cellIs" dxfId="6601" priority="6533" operator="equal">
      <formula>"VERIFICAR"</formula>
    </cfRule>
  </conditionalFormatting>
  <conditionalFormatting sqref="AD2933:AF2937">
    <cfRule type="cellIs" dxfId="6600" priority="6531" stopIfTrue="1" operator="equal">
      <formula>"NO"</formula>
    </cfRule>
    <cfRule type="cellIs" dxfId="6599" priority="6532" stopIfTrue="1" operator="equal">
      <formula>"SI"</formula>
    </cfRule>
  </conditionalFormatting>
  <conditionalFormatting sqref="AD2938:AF2941">
    <cfRule type="cellIs" dxfId="6598" priority="6529" stopIfTrue="1" operator="equal">
      <formula>"NO"</formula>
    </cfRule>
    <cfRule type="cellIs" dxfId="6597" priority="6530" stopIfTrue="1" operator="equal">
      <formula>"SI"</formula>
    </cfRule>
  </conditionalFormatting>
  <conditionalFormatting sqref="W2942:Y2942">
    <cfRule type="cellIs" dxfId="6596" priority="6527" stopIfTrue="1" operator="equal">
      <formula>"NO"</formula>
    </cfRule>
    <cfRule type="cellIs" dxfId="6595" priority="6528" stopIfTrue="1" operator="equal">
      <formula>"SI"</formula>
    </cfRule>
  </conditionalFormatting>
  <conditionalFormatting sqref="W2942:X2942">
    <cfRule type="cellIs" dxfId="6594" priority="6526" stopIfTrue="1" operator="equal">
      <formula>"NO APLICA"</formula>
    </cfRule>
  </conditionalFormatting>
  <conditionalFormatting sqref="Y2942">
    <cfRule type="cellIs" dxfId="6593" priority="6525" stopIfTrue="1" operator="equal">
      <formula>"NO APLICA"</formula>
    </cfRule>
  </conditionalFormatting>
  <conditionalFormatting sqref="AD2942:AF2942">
    <cfRule type="cellIs" dxfId="6592" priority="6523" stopIfTrue="1" operator="equal">
      <formula>"NO"</formula>
    </cfRule>
    <cfRule type="cellIs" dxfId="6591" priority="6524" stopIfTrue="1" operator="equal">
      <formula>"SI"</formula>
    </cfRule>
  </conditionalFormatting>
  <conditionalFormatting sqref="AE2947">
    <cfRule type="cellIs" dxfId="6590" priority="6520" stopIfTrue="1" operator="equal">
      <formula>"VERIFICAR"</formula>
    </cfRule>
    <cfRule type="cellIs" dxfId="6589" priority="6521" stopIfTrue="1" operator="equal">
      <formula>"NO CUMPLE"</formula>
    </cfRule>
    <cfRule type="cellIs" dxfId="6588" priority="6522" stopIfTrue="1" operator="equal">
      <formula>"CUMPLE"</formula>
    </cfRule>
  </conditionalFormatting>
  <conditionalFormatting sqref="AF2947">
    <cfRule type="cellIs" dxfId="6587" priority="6517" stopIfTrue="1" operator="equal">
      <formula>"VERIFICAR"</formula>
    </cfRule>
    <cfRule type="cellIs" dxfId="6586" priority="6518" stopIfTrue="1" operator="equal">
      <formula>"NO CUMPLE"</formula>
    </cfRule>
    <cfRule type="cellIs" dxfId="6585" priority="6519" stopIfTrue="1" operator="equal">
      <formula>"CUMPLE"</formula>
    </cfRule>
  </conditionalFormatting>
  <conditionalFormatting sqref="Y2950">
    <cfRule type="cellIs" dxfId="6584" priority="6516" operator="equal">
      <formula>"VERIFICAR CUADRO"</formula>
    </cfRule>
  </conditionalFormatting>
  <conditionalFormatting sqref="AC2951:AC2956">
    <cfRule type="cellIs" dxfId="6583" priority="6515" stopIfTrue="1" operator="greaterThan">
      <formula>0</formula>
    </cfRule>
  </conditionalFormatting>
  <conditionalFormatting sqref="AC2951:AC2956">
    <cfRule type="cellIs" dxfId="6582" priority="6514" stopIfTrue="1" operator="greaterThan">
      <formula>0</formula>
    </cfRule>
  </conditionalFormatting>
  <conditionalFormatting sqref="AD2951:AD2956">
    <cfRule type="containsText" dxfId="6581" priority="6512" stopIfTrue="1" operator="containsText" text="NO CUMPLE">
      <formula>NOT(ISERROR(SEARCH("NO CUMPLE",AD2951)))</formula>
    </cfRule>
    <cfRule type="containsText" dxfId="6580" priority="6513" stopIfTrue="1" operator="containsText" text="CUMPLE">
      <formula>NOT(ISERROR(SEARCH("CUMPLE",AD2951)))</formula>
    </cfRule>
  </conditionalFormatting>
  <conditionalFormatting sqref="Y2956">
    <cfRule type="containsText" dxfId="6579" priority="6510" stopIfTrue="1" operator="containsText" text="NO CUMPLE">
      <formula>NOT(ISERROR(SEARCH("NO CUMPLE",Y2956)))</formula>
    </cfRule>
    <cfRule type="containsText" dxfId="6578" priority="6511" stopIfTrue="1" operator="containsText" text="CUMPLE">
      <formula>NOT(ISERROR(SEARCH("CUMPLE",Y2956)))</formula>
    </cfRule>
  </conditionalFormatting>
  <conditionalFormatting sqref="AA2933:AA2942">
    <cfRule type="cellIs" dxfId="6577" priority="6508" stopIfTrue="1" operator="equal">
      <formula>"NO APLICA"</formula>
    </cfRule>
    <cfRule type="cellIs" dxfId="6576" priority="6509" stopIfTrue="1" operator="equal">
      <formula>"TERCIARIA"</formula>
    </cfRule>
  </conditionalFormatting>
  <conditionalFormatting sqref="AB2933:AB2942">
    <cfRule type="cellIs" dxfId="6575" priority="6506" stopIfTrue="1" operator="equal">
      <formula>"N/A"</formula>
    </cfRule>
    <cfRule type="cellIs" dxfId="6574" priority="6507" stopIfTrue="1" operator="equal">
      <formula>"NO"</formula>
    </cfRule>
  </conditionalFormatting>
  <conditionalFormatting sqref="M2963:M2972">
    <cfRule type="cellIs" dxfId="6573" priority="6505" stopIfTrue="1" operator="lessThan">
      <formula>0</formula>
    </cfRule>
  </conditionalFormatting>
  <conditionalFormatting sqref="C2965:D2971 B2964:B2971 F2965:I2971 C2964:I2964 B2972:O2972 B2963:R2963 Q2964:R2965 J2964:O2971 Q2966:Q2972 P2964:P2972">
    <cfRule type="cellIs" dxfId="6572" priority="6504" stopIfTrue="1" operator="greaterThan">
      <formula>0</formula>
    </cfRule>
  </conditionalFormatting>
  <conditionalFormatting sqref="C2965:D2971">
    <cfRule type="cellIs" dxfId="6571" priority="6503" stopIfTrue="1" operator="greaterThan">
      <formula>0</formula>
    </cfRule>
  </conditionalFormatting>
  <conditionalFormatting sqref="C2963:M2963 C2965:D2971 F2965:I2971 C2964:I2964 K2964:M2971 J2964:J2972 L2972:M2972">
    <cfRule type="cellIs" dxfId="6570" priority="6502" stopIfTrue="1" operator="greaterThan">
      <formula>0</formula>
    </cfRule>
  </conditionalFormatting>
  <conditionalFormatting sqref="M2963:M2972">
    <cfRule type="cellIs" dxfId="6569" priority="6501" stopIfTrue="1" operator="lessThan">
      <formula>0</formula>
    </cfRule>
  </conditionalFormatting>
  <conditionalFormatting sqref="J2964:J2972 L2964:O2972 C2963:O2963">
    <cfRule type="cellIs" dxfId="6568" priority="6500" stopIfTrue="1" operator="greaterThan">
      <formula>0</formula>
    </cfRule>
  </conditionalFormatting>
  <conditionalFormatting sqref="H2965:I2971 K2965:M2972">
    <cfRule type="cellIs" dxfId="6567" priority="6499" stopIfTrue="1" operator="greaterThan">
      <formula>0</formula>
    </cfRule>
  </conditionalFormatting>
  <conditionalFormatting sqref="I2964">
    <cfRule type="cellIs" dxfId="6566" priority="6498" stopIfTrue="1" operator="greaterThan">
      <formula>0</formula>
    </cfRule>
  </conditionalFormatting>
  <conditionalFormatting sqref="I2972">
    <cfRule type="cellIs" dxfId="6565" priority="6497" stopIfTrue="1" operator="greaterThan">
      <formula>0</formula>
    </cfRule>
  </conditionalFormatting>
  <conditionalFormatting sqref="E2965:E2971">
    <cfRule type="cellIs" dxfId="6564" priority="6496" stopIfTrue="1" operator="greaterThan">
      <formula>0</formula>
    </cfRule>
  </conditionalFormatting>
  <conditionalFormatting sqref="K2980:K2985">
    <cfRule type="containsText" dxfId="6563" priority="6494" stopIfTrue="1" operator="containsText" text="NO CUMPLE">
      <formula>NOT(ISERROR(SEARCH("NO CUMPLE",K2980)))</formula>
    </cfRule>
    <cfRule type="containsText" dxfId="6562" priority="6495" stopIfTrue="1" operator="containsText" text="CUMPLE">
      <formula>NOT(ISERROR(SEARCH("CUMPLE",K2980)))</formula>
    </cfRule>
  </conditionalFormatting>
  <conditionalFormatting sqref="K2986">
    <cfRule type="containsText" dxfId="6561" priority="6492" stopIfTrue="1" operator="containsText" text="NO CUMPLE">
      <formula>NOT(ISERROR(SEARCH("NO CUMPLE",K2986)))</formula>
    </cfRule>
    <cfRule type="containsText" dxfId="6560" priority="6493" stopIfTrue="1" operator="containsText" text="CUMPLE">
      <formula>NOT(ISERROR(SEARCH("CUMPLE",K2986)))</formula>
    </cfRule>
  </conditionalFormatting>
  <conditionalFormatting sqref="Q2979">
    <cfRule type="cellIs" dxfId="6559" priority="6490" operator="greaterThanOrEqual">
      <formula>NUMMINCONT</formula>
    </cfRule>
    <cfRule type="cellIs" dxfId="6558" priority="6491" operator="lessThan">
      <formula>NUMMINCONT</formula>
    </cfRule>
  </conditionalFormatting>
  <conditionalFormatting sqref="W2963:Y2971">
    <cfRule type="cellIs" dxfId="6557" priority="6488" stopIfTrue="1" operator="equal">
      <formula>"NO"</formula>
    </cfRule>
    <cfRule type="cellIs" dxfId="6556" priority="6489" stopIfTrue="1" operator="equal">
      <formula>"SI"</formula>
    </cfRule>
  </conditionalFormatting>
  <conditionalFormatting sqref="R2966">
    <cfRule type="cellIs" dxfId="6555" priority="6487" stopIfTrue="1" operator="greaterThan">
      <formula>0</formula>
    </cfRule>
  </conditionalFormatting>
  <conditionalFormatting sqref="R2967">
    <cfRule type="cellIs" dxfId="6554" priority="6486" stopIfTrue="1" operator="greaterThan">
      <formula>0</formula>
    </cfRule>
  </conditionalFormatting>
  <conditionalFormatting sqref="R2968">
    <cfRule type="cellIs" dxfId="6553" priority="6485" stopIfTrue="1" operator="greaterThan">
      <formula>0</formula>
    </cfRule>
  </conditionalFormatting>
  <conditionalFormatting sqref="R2969">
    <cfRule type="cellIs" dxfId="6552" priority="6484" stopIfTrue="1" operator="greaterThan">
      <formula>0</formula>
    </cfRule>
  </conditionalFormatting>
  <conditionalFormatting sqref="R2970">
    <cfRule type="cellIs" dxfId="6551" priority="6483" stopIfTrue="1" operator="greaterThan">
      <formula>0</formula>
    </cfRule>
  </conditionalFormatting>
  <conditionalFormatting sqref="R2971">
    <cfRule type="cellIs" dxfId="6550" priority="6482" stopIfTrue="1" operator="greaterThan">
      <formula>0</formula>
    </cfRule>
  </conditionalFormatting>
  <conditionalFormatting sqref="R2972">
    <cfRule type="cellIs" dxfId="6549" priority="6481" stopIfTrue="1" operator="greaterThan">
      <formula>0</formula>
    </cfRule>
  </conditionalFormatting>
  <conditionalFormatting sqref="W2963:X2963">
    <cfRule type="cellIs" dxfId="6548" priority="6480" stopIfTrue="1" operator="equal">
      <formula>"NO APLICA"</formula>
    </cfRule>
  </conditionalFormatting>
  <conditionalFormatting sqref="W2964:X2967">
    <cfRule type="cellIs" dxfId="6547" priority="6479" stopIfTrue="1" operator="equal">
      <formula>"NO APLICA"</formula>
    </cfRule>
  </conditionalFormatting>
  <conditionalFormatting sqref="W2964:X2964">
    <cfRule type="cellIs" dxfId="6546" priority="6478" stopIfTrue="1" operator="equal">
      <formula>"NO APLICA"</formula>
    </cfRule>
  </conditionalFormatting>
  <conditionalFormatting sqref="Y2963">
    <cfRule type="cellIs" dxfId="6545" priority="6477" stopIfTrue="1" operator="equal">
      <formula>"NO APLICA"</formula>
    </cfRule>
  </conditionalFormatting>
  <conditionalFormatting sqref="Y2964:Y2967">
    <cfRule type="cellIs" dxfId="6544" priority="6476" stopIfTrue="1" operator="equal">
      <formula>"NO APLICA"</formula>
    </cfRule>
  </conditionalFormatting>
  <conditionalFormatting sqref="W2968:X2971">
    <cfRule type="cellIs" dxfId="6543" priority="6475" stopIfTrue="1" operator="equal">
      <formula>"NO APLICA"</formula>
    </cfRule>
  </conditionalFormatting>
  <conditionalFormatting sqref="W2968:X2968">
    <cfRule type="cellIs" dxfId="6542" priority="6474" stopIfTrue="1" operator="equal">
      <formula>"NO APLICA"</formula>
    </cfRule>
  </conditionalFormatting>
  <conditionalFormatting sqref="Y2968:Y2971">
    <cfRule type="cellIs" dxfId="6541" priority="6473" stopIfTrue="1" operator="equal">
      <formula>"NO APLICA"</formula>
    </cfRule>
  </conditionalFormatting>
  <conditionalFormatting sqref="T2977">
    <cfRule type="cellIs" dxfId="6540" priority="6471" operator="equal">
      <formula>"CUMPLE"</formula>
    </cfRule>
    <cfRule type="cellIs" dxfId="6539" priority="6472" operator="equal">
      <formula>"NO CUMPLE"</formula>
    </cfRule>
  </conditionalFormatting>
  <conditionalFormatting sqref="T2977:T2979">
    <cfRule type="cellIs" dxfId="6538" priority="6470" operator="equal">
      <formula>"VERIFICAR"</formula>
    </cfRule>
  </conditionalFormatting>
  <conditionalFormatting sqref="AD2963:AF2967">
    <cfRule type="cellIs" dxfId="6537" priority="6468" stopIfTrue="1" operator="equal">
      <formula>"NO"</formula>
    </cfRule>
    <cfRule type="cellIs" dxfId="6536" priority="6469" stopIfTrue="1" operator="equal">
      <formula>"SI"</formula>
    </cfRule>
  </conditionalFormatting>
  <conditionalFormatting sqref="AD2968:AF2971">
    <cfRule type="cellIs" dxfId="6535" priority="6466" stopIfTrue="1" operator="equal">
      <formula>"NO"</formula>
    </cfRule>
    <cfRule type="cellIs" dxfId="6534" priority="6467" stopIfTrue="1" operator="equal">
      <formula>"SI"</formula>
    </cfRule>
  </conditionalFormatting>
  <conditionalFormatting sqref="W2972:Y2972">
    <cfRule type="cellIs" dxfId="6533" priority="6464" stopIfTrue="1" operator="equal">
      <formula>"NO"</formula>
    </cfRule>
    <cfRule type="cellIs" dxfId="6532" priority="6465" stopIfTrue="1" operator="equal">
      <formula>"SI"</formula>
    </cfRule>
  </conditionalFormatting>
  <conditionalFormatting sqref="W2972:X2972">
    <cfRule type="cellIs" dxfId="6531" priority="6463" stopIfTrue="1" operator="equal">
      <formula>"NO APLICA"</formula>
    </cfRule>
  </conditionalFormatting>
  <conditionalFormatting sqref="Y2972">
    <cfRule type="cellIs" dxfId="6530" priority="6462" stopIfTrue="1" operator="equal">
      <formula>"NO APLICA"</formula>
    </cfRule>
  </conditionalFormatting>
  <conditionalFormatting sqref="AD2972:AF2972">
    <cfRule type="cellIs" dxfId="6529" priority="6460" stopIfTrue="1" operator="equal">
      <formula>"NO"</formula>
    </cfRule>
    <cfRule type="cellIs" dxfId="6528" priority="6461" stopIfTrue="1" operator="equal">
      <formula>"SI"</formula>
    </cfRule>
  </conditionalFormatting>
  <conditionalFormatting sqref="AE2977">
    <cfRule type="cellIs" dxfId="6527" priority="6457" stopIfTrue="1" operator="equal">
      <formula>"VERIFICAR"</formula>
    </cfRule>
    <cfRule type="cellIs" dxfId="6526" priority="6458" stopIfTrue="1" operator="equal">
      <formula>"NO CUMPLE"</formula>
    </cfRule>
    <cfRule type="cellIs" dxfId="6525" priority="6459" stopIfTrue="1" operator="equal">
      <formula>"CUMPLE"</formula>
    </cfRule>
  </conditionalFormatting>
  <conditionalFormatting sqref="AF2977">
    <cfRule type="cellIs" dxfId="6524" priority="6454" stopIfTrue="1" operator="equal">
      <formula>"VERIFICAR"</formula>
    </cfRule>
    <cfRule type="cellIs" dxfId="6523" priority="6455" stopIfTrue="1" operator="equal">
      <formula>"NO CUMPLE"</formula>
    </cfRule>
    <cfRule type="cellIs" dxfId="6522" priority="6456" stopIfTrue="1" operator="equal">
      <formula>"CUMPLE"</formula>
    </cfRule>
  </conditionalFormatting>
  <conditionalFormatting sqref="Y2980">
    <cfRule type="cellIs" dxfId="6521" priority="6453" operator="equal">
      <formula>"VERIFICAR CUADRO"</formula>
    </cfRule>
  </conditionalFormatting>
  <conditionalFormatting sqref="AC2981:AC2986">
    <cfRule type="cellIs" dxfId="6520" priority="6452" stopIfTrue="1" operator="greaterThan">
      <formula>0</formula>
    </cfRule>
  </conditionalFormatting>
  <conditionalFormatting sqref="AC2981:AC2986">
    <cfRule type="cellIs" dxfId="6519" priority="6451" stopIfTrue="1" operator="greaterThan">
      <formula>0</formula>
    </cfRule>
  </conditionalFormatting>
  <conditionalFormatting sqref="AD2981:AD2986">
    <cfRule type="containsText" dxfId="6518" priority="6449" stopIfTrue="1" operator="containsText" text="NO CUMPLE">
      <formula>NOT(ISERROR(SEARCH("NO CUMPLE",AD2981)))</formula>
    </cfRule>
    <cfRule type="containsText" dxfId="6517" priority="6450" stopIfTrue="1" operator="containsText" text="CUMPLE">
      <formula>NOT(ISERROR(SEARCH("CUMPLE",AD2981)))</formula>
    </cfRule>
  </conditionalFormatting>
  <conditionalFormatting sqref="Y2986">
    <cfRule type="containsText" dxfId="6516" priority="6447" stopIfTrue="1" operator="containsText" text="NO CUMPLE">
      <formula>NOT(ISERROR(SEARCH("NO CUMPLE",Y2986)))</formula>
    </cfRule>
    <cfRule type="containsText" dxfId="6515" priority="6448" stopIfTrue="1" operator="containsText" text="CUMPLE">
      <formula>NOT(ISERROR(SEARCH("CUMPLE",Y2986)))</formula>
    </cfRule>
  </conditionalFormatting>
  <conditionalFormatting sqref="AA2963:AA2972">
    <cfRule type="cellIs" dxfId="6514" priority="6445" stopIfTrue="1" operator="equal">
      <formula>"NO APLICA"</formula>
    </cfRule>
    <cfRule type="cellIs" dxfId="6513" priority="6446" stopIfTrue="1" operator="equal">
      <formula>"TERCIARIA"</formula>
    </cfRule>
  </conditionalFormatting>
  <conditionalFormatting sqref="AB2963:AB2972">
    <cfRule type="cellIs" dxfId="6512" priority="6443" stopIfTrue="1" operator="equal">
      <formula>"N/A"</formula>
    </cfRule>
    <cfRule type="cellIs" dxfId="6511" priority="6444" stopIfTrue="1" operator="equal">
      <formula>"NO"</formula>
    </cfRule>
  </conditionalFormatting>
  <conditionalFormatting sqref="M2993:M3002">
    <cfRule type="cellIs" dxfId="6510" priority="6442" stopIfTrue="1" operator="lessThan">
      <formula>0</formula>
    </cfRule>
  </conditionalFormatting>
  <conditionalFormatting sqref="C2995:D3001 B2994:B3001 F2995:I3001 C2994:I2994 B3002:O3002 B2993:R2993 Q2994:R2995 J2994:O3001 Q2996:Q3002 P2994:P3002">
    <cfRule type="cellIs" dxfId="6509" priority="6441" stopIfTrue="1" operator="greaterThan">
      <formula>0</formula>
    </cfRule>
  </conditionalFormatting>
  <conditionalFormatting sqref="C2995:D3001">
    <cfRule type="cellIs" dxfId="6508" priority="6440" stopIfTrue="1" operator="greaterThan">
      <formula>0</formula>
    </cfRule>
  </conditionalFormatting>
  <conditionalFormatting sqref="C2993:M2993 C2995:D3001 F2995:I3001 C2994:I2994 K2994:M3001 J2994:J3002 L3002:M3002">
    <cfRule type="cellIs" dxfId="6507" priority="6439" stopIfTrue="1" operator="greaterThan">
      <formula>0</formula>
    </cfRule>
  </conditionalFormatting>
  <conditionalFormatting sqref="M2993:M3002">
    <cfRule type="cellIs" dxfId="6506" priority="6438" stopIfTrue="1" operator="lessThan">
      <formula>0</formula>
    </cfRule>
  </conditionalFormatting>
  <conditionalFormatting sqref="J2994:J3002 L2994:O3002 C2993:O2993">
    <cfRule type="cellIs" dxfId="6505" priority="6437" stopIfTrue="1" operator="greaterThan">
      <formula>0</formula>
    </cfRule>
  </conditionalFormatting>
  <conditionalFormatting sqref="H2995:I3001 K2995:M3002">
    <cfRule type="cellIs" dxfId="6504" priority="6436" stopIfTrue="1" operator="greaterThan">
      <formula>0</formula>
    </cfRule>
  </conditionalFormatting>
  <conditionalFormatting sqref="I2994">
    <cfRule type="cellIs" dxfId="6503" priority="6435" stopIfTrue="1" operator="greaterThan">
      <formula>0</formula>
    </cfRule>
  </conditionalFormatting>
  <conditionalFormatting sqref="I3002">
    <cfRule type="cellIs" dxfId="6502" priority="6434" stopIfTrue="1" operator="greaterThan">
      <formula>0</formula>
    </cfRule>
  </conditionalFormatting>
  <conditionalFormatting sqref="E2995:E3001">
    <cfRule type="cellIs" dxfId="6501" priority="6433" stopIfTrue="1" operator="greaterThan">
      <formula>0</formula>
    </cfRule>
  </conditionalFormatting>
  <conditionalFormatting sqref="K3010:K3015">
    <cfRule type="containsText" dxfId="6500" priority="6431" stopIfTrue="1" operator="containsText" text="NO CUMPLE">
      <formula>NOT(ISERROR(SEARCH("NO CUMPLE",K3010)))</formula>
    </cfRule>
    <cfRule type="containsText" dxfId="6499" priority="6432" stopIfTrue="1" operator="containsText" text="CUMPLE">
      <formula>NOT(ISERROR(SEARCH("CUMPLE",K3010)))</formula>
    </cfRule>
  </conditionalFormatting>
  <conditionalFormatting sqref="K3016">
    <cfRule type="containsText" dxfId="6498" priority="6429" stopIfTrue="1" operator="containsText" text="NO CUMPLE">
      <formula>NOT(ISERROR(SEARCH("NO CUMPLE",K3016)))</formula>
    </cfRule>
    <cfRule type="containsText" dxfId="6497" priority="6430" stopIfTrue="1" operator="containsText" text="CUMPLE">
      <formula>NOT(ISERROR(SEARCH("CUMPLE",K3016)))</formula>
    </cfRule>
  </conditionalFormatting>
  <conditionalFormatting sqref="Q3009">
    <cfRule type="cellIs" dxfId="6496" priority="6427" operator="greaterThanOrEqual">
      <formula>NUMMINCONT</formula>
    </cfRule>
    <cfRule type="cellIs" dxfId="6495" priority="6428" operator="lessThan">
      <formula>NUMMINCONT</formula>
    </cfRule>
  </conditionalFormatting>
  <conditionalFormatting sqref="W2993:Y3001">
    <cfRule type="cellIs" dxfId="6494" priority="6425" stopIfTrue="1" operator="equal">
      <formula>"NO"</formula>
    </cfRule>
    <cfRule type="cellIs" dxfId="6493" priority="6426" stopIfTrue="1" operator="equal">
      <formula>"SI"</formula>
    </cfRule>
  </conditionalFormatting>
  <conditionalFormatting sqref="R2996">
    <cfRule type="cellIs" dxfId="6492" priority="6424" stopIfTrue="1" operator="greaterThan">
      <formula>0</formula>
    </cfRule>
  </conditionalFormatting>
  <conditionalFormatting sqref="R2997">
    <cfRule type="cellIs" dxfId="6491" priority="6423" stopIfTrue="1" operator="greaterThan">
      <formula>0</formula>
    </cfRule>
  </conditionalFormatting>
  <conditionalFormatting sqref="R2998">
    <cfRule type="cellIs" dxfId="6490" priority="6422" stopIfTrue="1" operator="greaterThan">
      <formula>0</formula>
    </cfRule>
  </conditionalFormatting>
  <conditionalFormatting sqref="R2999">
    <cfRule type="cellIs" dxfId="6489" priority="6421" stopIfTrue="1" operator="greaterThan">
      <formula>0</formula>
    </cfRule>
  </conditionalFormatting>
  <conditionalFormatting sqref="R3000">
    <cfRule type="cellIs" dxfId="6488" priority="6420" stopIfTrue="1" operator="greaterThan">
      <formula>0</formula>
    </cfRule>
  </conditionalFormatting>
  <conditionalFormatting sqref="R3001">
    <cfRule type="cellIs" dxfId="6487" priority="6419" stopIfTrue="1" operator="greaterThan">
      <formula>0</formula>
    </cfRule>
  </conditionalFormatting>
  <conditionalFormatting sqref="R3002">
    <cfRule type="cellIs" dxfId="6486" priority="6418" stopIfTrue="1" operator="greaterThan">
      <formula>0</formula>
    </cfRule>
  </conditionalFormatting>
  <conditionalFormatting sqref="W2993:X2993">
    <cfRule type="cellIs" dxfId="6485" priority="6417" stopIfTrue="1" operator="equal">
      <formula>"NO APLICA"</formula>
    </cfRule>
  </conditionalFormatting>
  <conditionalFormatting sqref="W2994:X2997">
    <cfRule type="cellIs" dxfId="6484" priority="6416" stopIfTrue="1" operator="equal">
      <formula>"NO APLICA"</formula>
    </cfRule>
  </conditionalFormatting>
  <conditionalFormatting sqref="W2994:X2994">
    <cfRule type="cellIs" dxfId="6483" priority="6415" stopIfTrue="1" operator="equal">
      <formula>"NO APLICA"</formula>
    </cfRule>
  </conditionalFormatting>
  <conditionalFormatting sqref="Y2993">
    <cfRule type="cellIs" dxfId="6482" priority="6414" stopIfTrue="1" operator="equal">
      <formula>"NO APLICA"</formula>
    </cfRule>
  </conditionalFormatting>
  <conditionalFormatting sqref="Y2994:Y2997">
    <cfRule type="cellIs" dxfId="6481" priority="6413" stopIfTrue="1" operator="equal">
      <formula>"NO APLICA"</formula>
    </cfRule>
  </conditionalFormatting>
  <conditionalFormatting sqref="W2998:X3001">
    <cfRule type="cellIs" dxfId="6480" priority="6412" stopIfTrue="1" operator="equal">
      <formula>"NO APLICA"</formula>
    </cfRule>
  </conditionalFormatting>
  <conditionalFormatting sqref="W2998:X2998">
    <cfRule type="cellIs" dxfId="6479" priority="6411" stopIfTrue="1" operator="equal">
      <formula>"NO APLICA"</formula>
    </cfRule>
  </conditionalFormatting>
  <conditionalFormatting sqref="Y2998:Y3001">
    <cfRule type="cellIs" dxfId="6478" priority="6410" stopIfTrue="1" operator="equal">
      <formula>"NO APLICA"</formula>
    </cfRule>
  </conditionalFormatting>
  <conditionalFormatting sqref="T3007">
    <cfRule type="cellIs" dxfId="6477" priority="6408" operator="equal">
      <formula>"CUMPLE"</formula>
    </cfRule>
    <cfRule type="cellIs" dxfId="6476" priority="6409" operator="equal">
      <formula>"NO CUMPLE"</formula>
    </cfRule>
  </conditionalFormatting>
  <conditionalFormatting sqref="T3007:T3009">
    <cfRule type="cellIs" dxfId="6475" priority="6407" operator="equal">
      <formula>"VERIFICAR"</formula>
    </cfRule>
  </conditionalFormatting>
  <conditionalFormatting sqref="AD2993:AF2997">
    <cfRule type="cellIs" dxfId="6474" priority="6405" stopIfTrue="1" operator="equal">
      <formula>"NO"</formula>
    </cfRule>
    <cfRule type="cellIs" dxfId="6473" priority="6406" stopIfTrue="1" operator="equal">
      <formula>"SI"</formula>
    </cfRule>
  </conditionalFormatting>
  <conditionalFormatting sqref="AD2998:AF3001">
    <cfRule type="cellIs" dxfId="6472" priority="6403" stopIfTrue="1" operator="equal">
      <formula>"NO"</formula>
    </cfRule>
    <cfRule type="cellIs" dxfId="6471" priority="6404" stopIfTrue="1" operator="equal">
      <formula>"SI"</formula>
    </cfRule>
  </conditionalFormatting>
  <conditionalFormatting sqref="W3002:Y3002">
    <cfRule type="cellIs" dxfId="6470" priority="6401" stopIfTrue="1" operator="equal">
      <formula>"NO"</formula>
    </cfRule>
    <cfRule type="cellIs" dxfId="6469" priority="6402" stopIfTrue="1" operator="equal">
      <formula>"SI"</formula>
    </cfRule>
  </conditionalFormatting>
  <conditionalFormatting sqref="W3002:X3002">
    <cfRule type="cellIs" dxfId="6468" priority="6400" stopIfTrue="1" operator="equal">
      <formula>"NO APLICA"</formula>
    </cfRule>
  </conditionalFormatting>
  <conditionalFormatting sqref="Y3002">
    <cfRule type="cellIs" dxfId="6467" priority="6399" stopIfTrue="1" operator="equal">
      <formula>"NO APLICA"</formula>
    </cfRule>
  </conditionalFormatting>
  <conditionalFormatting sqref="AD3002:AF3002">
    <cfRule type="cellIs" dxfId="6466" priority="6397" stopIfTrue="1" operator="equal">
      <formula>"NO"</formula>
    </cfRule>
    <cfRule type="cellIs" dxfId="6465" priority="6398" stopIfTrue="1" operator="equal">
      <formula>"SI"</formula>
    </cfRule>
  </conditionalFormatting>
  <conditionalFormatting sqref="AE3007">
    <cfRule type="cellIs" dxfId="6464" priority="6394" stopIfTrue="1" operator="equal">
      <formula>"VERIFICAR"</formula>
    </cfRule>
    <cfRule type="cellIs" dxfId="6463" priority="6395" stopIfTrue="1" operator="equal">
      <formula>"NO CUMPLE"</formula>
    </cfRule>
    <cfRule type="cellIs" dxfId="6462" priority="6396" stopIfTrue="1" operator="equal">
      <formula>"CUMPLE"</formula>
    </cfRule>
  </conditionalFormatting>
  <conditionalFormatting sqref="AF3007">
    <cfRule type="cellIs" dxfId="6461" priority="6391" stopIfTrue="1" operator="equal">
      <formula>"VERIFICAR"</formula>
    </cfRule>
    <cfRule type="cellIs" dxfId="6460" priority="6392" stopIfTrue="1" operator="equal">
      <formula>"NO CUMPLE"</formula>
    </cfRule>
    <cfRule type="cellIs" dxfId="6459" priority="6393" stopIfTrue="1" operator="equal">
      <formula>"CUMPLE"</formula>
    </cfRule>
  </conditionalFormatting>
  <conditionalFormatting sqref="Y3010">
    <cfRule type="cellIs" dxfId="6458" priority="6390" operator="equal">
      <formula>"VERIFICAR CUADRO"</formula>
    </cfRule>
  </conditionalFormatting>
  <conditionalFormatting sqref="AC3011:AC3016">
    <cfRule type="cellIs" dxfId="6457" priority="6389" stopIfTrue="1" operator="greaterThan">
      <formula>0</formula>
    </cfRule>
  </conditionalFormatting>
  <conditionalFormatting sqref="AC3011:AC3016">
    <cfRule type="cellIs" dxfId="6456" priority="6388" stopIfTrue="1" operator="greaterThan">
      <formula>0</formula>
    </cfRule>
  </conditionalFormatting>
  <conditionalFormatting sqref="AD3011:AD3016">
    <cfRule type="containsText" dxfId="6455" priority="6386" stopIfTrue="1" operator="containsText" text="NO CUMPLE">
      <formula>NOT(ISERROR(SEARCH("NO CUMPLE",AD3011)))</formula>
    </cfRule>
    <cfRule type="containsText" dxfId="6454" priority="6387" stopIfTrue="1" operator="containsText" text="CUMPLE">
      <formula>NOT(ISERROR(SEARCH("CUMPLE",AD3011)))</formula>
    </cfRule>
  </conditionalFormatting>
  <conditionalFormatting sqref="Y3016">
    <cfRule type="containsText" dxfId="6453" priority="6384" stopIfTrue="1" operator="containsText" text="NO CUMPLE">
      <formula>NOT(ISERROR(SEARCH("NO CUMPLE",Y3016)))</formula>
    </cfRule>
    <cfRule type="containsText" dxfId="6452" priority="6385" stopIfTrue="1" operator="containsText" text="CUMPLE">
      <formula>NOT(ISERROR(SEARCH("CUMPLE",Y3016)))</formula>
    </cfRule>
  </conditionalFormatting>
  <conditionalFormatting sqref="AA2993:AA3002">
    <cfRule type="cellIs" dxfId="6451" priority="6382" stopIfTrue="1" operator="equal">
      <formula>"NO APLICA"</formula>
    </cfRule>
    <cfRule type="cellIs" dxfId="6450" priority="6383" stopIfTrue="1" operator="equal">
      <formula>"TERCIARIA"</formula>
    </cfRule>
  </conditionalFormatting>
  <conditionalFormatting sqref="AB2993:AB3002">
    <cfRule type="cellIs" dxfId="6449" priority="6380" stopIfTrue="1" operator="equal">
      <formula>"N/A"</formula>
    </cfRule>
    <cfRule type="cellIs" dxfId="6448" priority="6381" stopIfTrue="1" operator="equal">
      <formula>"NO"</formula>
    </cfRule>
  </conditionalFormatting>
  <conditionalFormatting sqref="M3023:M3032">
    <cfRule type="cellIs" dxfId="6447" priority="6379" stopIfTrue="1" operator="lessThan">
      <formula>0</formula>
    </cfRule>
  </conditionalFormatting>
  <conditionalFormatting sqref="C3025:D3031 B3024:B3031 F3025:I3031 C3024:I3024 B3032:O3032 B3023:R3023 Q3024:R3025 J3024:O3031 Q3026:Q3032 P3024:P3032">
    <cfRule type="cellIs" dxfId="6446" priority="6378" stopIfTrue="1" operator="greaterThan">
      <formula>0</formula>
    </cfRule>
  </conditionalFormatting>
  <conditionalFormatting sqref="C3025:D3031">
    <cfRule type="cellIs" dxfId="6445" priority="6377" stopIfTrue="1" operator="greaterThan">
      <formula>0</formula>
    </cfRule>
  </conditionalFormatting>
  <conditionalFormatting sqref="C3023:M3023 C3025:D3031 F3025:I3031 C3024:I3024 K3024:M3031 J3024:J3032 L3032:M3032">
    <cfRule type="cellIs" dxfId="6444" priority="6376" stopIfTrue="1" operator="greaterThan">
      <formula>0</formula>
    </cfRule>
  </conditionalFormatting>
  <conditionalFormatting sqref="M3023:M3032">
    <cfRule type="cellIs" dxfId="6443" priority="6375" stopIfTrue="1" operator="lessThan">
      <formula>0</formula>
    </cfRule>
  </conditionalFormatting>
  <conditionalFormatting sqref="J3024:J3032 L3024:O3032 C3023:O3023">
    <cfRule type="cellIs" dxfId="6442" priority="6374" stopIfTrue="1" operator="greaterThan">
      <formula>0</formula>
    </cfRule>
  </conditionalFormatting>
  <conditionalFormatting sqref="H3025:I3031 K3025:M3032">
    <cfRule type="cellIs" dxfId="6441" priority="6373" stopIfTrue="1" operator="greaterThan">
      <formula>0</formula>
    </cfRule>
  </conditionalFormatting>
  <conditionalFormatting sqref="I3024">
    <cfRule type="cellIs" dxfId="6440" priority="6372" stopIfTrue="1" operator="greaterThan">
      <formula>0</formula>
    </cfRule>
  </conditionalFormatting>
  <conditionalFormatting sqref="I3032">
    <cfRule type="cellIs" dxfId="6439" priority="6371" stopIfTrue="1" operator="greaterThan">
      <formula>0</formula>
    </cfRule>
  </conditionalFormatting>
  <conditionalFormatting sqref="E3025:E3031">
    <cfRule type="cellIs" dxfId="6438" priority="6370" stopIfTrue="1" operator="greaterThan">
      <formula>0</formula>
    </cfRule>
  </conditionalFormatting>
  <conditionalFormatting sqref="K3040:K3045">
    <cfRule type="containsText" dxfId="6437" priority="6368" stopIfTrue="1" operator="containsText" text="NO CUMPLE">
      <formula>NOT(ISERROR(SEARCH("NO CUMPLE",K3040)))</formula>
    </cfRule>
    <cfRule type="containsText" dxfId="6436" priority="6369" stopIfTrue="1" operator="containsText" text="CUMPLE">
      <formula>NOT(ISERROR(SEARCH("CUMPLE",K3040)))</formula>
    </cfRule>
  </conditionalFormatting>
  <conditionalFormatting sqref="K3046">
    <cfRule type="containsText" dxfId="6435" priority="6366" stopIfTrue="1" operator="containsText" text="NO CUMPLE">
      <formula>NOT(ISERROR(SEARCH("NO CUMPLE",K3046)))</formula>
    </cfRule>
    <cfRule type="containsText" dxfId="6434" priority="6367" stopIfTrue="1" operator="containsText" text="CUMPLE">
      <formula>NOT(ISERROR(SEARCH("CUMPLE",K3046)))</formula>
    </cfRule>
  </conditionalFormatting>
  <conditionalFormatting sqref="Q3039">
    <cfRule type="cellIs" dxfId="6433" priority="6364" operator="greaterThanOrEqual">
      <formula>NUMMINCONT</formula>
    </cfRule>
    <cfRule type="cellIs" dxfId="6432" priority="6365" operator="lessThan">
      <formula>NUMMINCONT</formula>
    </cfRule>
  </conditionalFormatting>
  <conditionalFormatting sqref="W3023:Y3031">
    <cfRule type="cellIs" dxfId="6431" priority="6362" stopIfTrue="1" operator="equal">
      <formula>"NO"</formula>
    </cfRule>
    <cfRule type="cellIs" dxfId="6430" priority="6363" stopIfTrue="1" operator="equal">
      <formula>"SI"</formula>
    </cfRule>
  </conditionalFormatting>
  <conditionalFormatting sqref="R3026">
    <cfRule type="cellIs" dxfId="6429" priority="6361" stopIfTrue="1" operator="greaterThan">
      <formula>0</formula>
    </cfRule>
  </conditionalFormatting>
  <conditionalFormatting sqref="R3027">
    <cfRule type="cellIs" dxfId="6428" priority="6360" stopIfTrue="1" operator="greaterThan">
      <formula>0</formula>
    </cfRule>
  </conditionalFormatting>
  <conditionalFormatting sqref="R3028">
    <cfRule type="cellIs" dxfId="6427" priority="6359" stopIfTrue="1" operator="greaterThan">
      <formula>0</formula>
    </cfRule>
  </conditionalFormatting>
  <conditionalFormatting sqref="R3029">
    <cfRule type="cellIs" dxfId="6426" priority="6358" stopIfTrue="1" operator="greaterThan">
      <formula>0</formula>
    </cfRule>
  </conditionalFormatting>
  <conditionalFormatting sqref="R3030">
    <cfRule type="cellIs" dxfId="6425" priority="6357" stopIfTrue="1" operator="greaterThan">
      <formula>0</formula>
    </cfRule>
  </conditionalFormatting>
  <conditionalFormatting sqref="R3031">
    <cfRule type="cellIs" dxfId="6424" priority="6356" stopIfTrue="1" operator="greaterThan">
      <formula>0</formula>
    </cfRule>
  </conditionalFormatting>
  <conditionalFormatting sqref="R3032">
    <cfRule type="cellIs" dxfId="6423" priority="6355" stopIfTrue="1" operator="greaterThan">
      <formula>0</formula>
    </cfRule>
  </conditionalFormatting>
  <conditionalFormatting sqref="W3023:X3023">
    <cfRule type="cellIs" dxfId="6422" priority="6354" stopIfTrue="1" operator="equal">
      <formula>"NO APLICA"</formula>
    </cfRule>
  </conditionalFormatting>
  <conditionalFormatting sqref="W3024:X3027">
    <cfRule type="cellIs" dxfId="6421" priority="6353" stopIfTrue="1" operator="equal">
      <formula>"NO APLICA"</formula>
    </cfRule>
  </conditionalFormatting>
  <conditionalFormatting sqref="W3024:X3024">
    <cfRule type="cellIs" dxfId="6420" priority="6352" stopIfTrue="1" operator="equal">
      <formula>"NO APLICA"</formula>
    </cfRule>
  </conditionalFormatting>
  <conditionalFormatting sqref="Y3023">
    <cfRule type="cellIs" dxfId="6419" priority="6351" stopIfTrue="1" operator="equal">
      <formula>"NO APLICA"</formula>
    </cfRule>
  </conditionalFormatting>
  <conditionalFormatting sqref="Y3024:Y3027">
    <cfRule type="cellIs" dxfId="6418" priority="6350" stopIfTrue="1" operator="equal">
      <formula>"NO APLICA"</formula>
    </cfRule>
  </conditionalFormatting>
  <conditionalFormatting sqref="W3028:X3031">
    <cfRule type="cellIs" dxfId="6417" priority="6349" stopIfTrue="1" operator="equal">
      <formula>"NO APLICA"</formula>
    </cfRule>
  </conditionalFormatting>
  <conditionalFormatting sqref="W3028:X3028">
    <cfRule type="cellIs" dxfId="6416" priority="6348" stopIfTrue="1" operator="equal">
      <formula>"NO APLICA"</formula>
    </cfRule>
  </conditionalFormatting>
  <conditionalFormatting sqref="Y3028:Y3031">
    <cfRule type="cellIs" dxfId="6415" priority="6347" stopIfTrue="1" operator="equal">
      <formula>"NO APLICA"</formula>
    </cfRule>
  </conditionalFormatting>
  <conditionalFormatting sqref="T3037">
    <cfRule type="cellIs" dxfId="6414" priority="6345" operator="equal">
      <formula>"CUMPLE"</formula>
    </cfRule>
    <cfRule type="cellIs" dxfId="6413" priority="6346" operator="equal">
      <formula>"NO CUMPLE"</formula>
    </cfRule>
  </conditionalFormatting>
  <conditionalFormatting sqref="T3037:T3039">
    <cfRule type="cellIs" dxfId="6412" priority="6344" operator="equal">
      <formula>"VERIFICAR"</formula>
    </cfRule>
  </conditionalFormatting>
  <conditionalFormatting sqref="AD3023:AF3027">
    <cfRule type="cellIs" dxfId="6411" priority="6342" stopIfTrue="1" operator="equal">
      <formula>"NO"</formula>
    </cfRule>
    <cfRule type="cellIs" dxfId="6410" priority="6343" stopIfTrue="1" operator="equal">
      <formula>"SI"</formula>
    </cfRule>
  </conditionalFormatting>
  <conditionalFormatting sqref="AD3028:AF3031">
    <cfRule type="cellIs" dxfId="6409" priority="6340" stopIfTrue="1" operator="equal">
      <formula>"NO"</formula>
    </cfRule>
    <cfRule type="cellIs" dxfId="6408" priority="6341" stopIfTrue="1" operator="equal">
      <formula>"SI"</formula>
    </cfRule>
  </conditionalFormatting>
  <conditionalFormatting sqref="W3032:Y3032">
    <cfRule type="cellIs" dxfId="6407" priority="6338" stopIfTrue="1" operator="equal">
      <formula>"NO"</formula>
    </cfRule>
    <cfRule type="cellIs" dxfId="6406" priority="6339" stopIfTrue="1" operator="equal">
      <formula>"SI"</formula>
    </cfRule>
  </conditionalFormatting>
  <conditionalFormatting sqref="W3032:X3032">
    <cfRule type="cellIs" dxfId="6405" priority="6337" stopIfTrue="1" operator="equal">
      <formula>"NO APLICA"</formula>
    </cfRule>
  </conditionalFormatting>
  <conditionalFormatting sqref="Y3032">
    <cfRule type="cellIs" dxfId="6404" priority="6336" stopIfTrue="1" operator="equal">
      <formula>"NO APLICA"</formula>
    </cfRule>
  </conditionalFormatting>
  <conditionalFormatting sqref="AD3032:AF3032">
    <cfRule type="cellIs" dxfId="6403" priority="6334" stopIfTrue="1" operator="equal">
      <formula>"NO"</formula>
    </cfRule>
    <cfRule type="cellIs" dxfId="6402" priority="6335" stopIfTrue="1" operator="equal">
      <formula>"SI"</formula>
    </cfRule>
  </conditionalFormatting>
  <conditionalFormatting sqref="AE3037">
    <cfRule type="cellIs" dxfId="6401" priority="6331" stopIfTrue="1" operator="equal">
      <formula>"VERIFICAR"</formula>
    </cfRule>
    <cfRule type="cellIs" dxfId="6400" priority="6332" stopIfTrue="1" operator="equal">
      <formula>"NO CUMPLE"</formula>
    </cfRule>
    <cfRule type="cellIs" dxfId="6399" priority="6333" stopIfTrue="1" operator="equal">
      <formula>"CUMPLE"</formula>
    </cfRule>
  </conditionalFormatting>
  <conditionalFormatting sqref="AF3037">
    <cfRule type="cellIs" dxfId="6398" priority="6328" stopIfTrue="1" operator="equal">
      <formula>"VERIFICAR"</formula>
    </cfRule>
    <cfRule type="cellIs" dxfId="6397" priority="6329" stopIfTrue="1" operator="equal">
      <formula>"NO CUMPLE"</formula>
    </cfRule>
    <cfRule type="cellIs" dxfId="6396" priority="6330" stopIfTrue="1" operator="equal">
      <formula>"CUMPLE"</formula>
    </cfRule>
  </conditionalFormatting>
  <conditionalFormatting sqref="Y3040">
    <cfRule type="cellIs" dxfId="6395" priority="6327" operator="equal">
      <formula>"VERIFICAR CUADRO"</formula>
    </cfRule>
  </conditionalFormatting>
  <conditionalFormatting sqref="AC3041:AC3046">
    <cfRule type="cellIs" dxfId="6394" priority="6326" stopIfTrue="1" operator="greaterThan">
      <formula>0</formula>
    </cfRule>
  </conditionalFormatting>
  <conditionalFormatting sqref="AC3041:AC3046">
    <cfRule type="cellIs" dxfId="6393" priority="6325" stopIfTrue="1" operator="greaterThan">
      <formula>0</formula>
    </cfRule>
  </conditionalFormatting>
  <conditionalFormatting sqref="AD3041:AD3046">
    <cfRule type="containsText" dxfId="6392" priority="6323" stopIfTrue="1" operator="containsText" text="NO CUMPLE">
      <formula>NOT(ISERROR(SEARCH("NO CUMPLE",AD3041)))</formula>
    </cfRule>
    <cfRule type="containsText" dxfId="6391" priority="6324" stopIfTrue="1" operator="containsText" text="CUMPLE">
      <formula>NOT(ISERROR(SEARCH("CUMPLE",AD3041)))</formula>
    </cfRule>
  </conditionalFormatting>
  <conditionalFormatting sqref="Y3046">
    <cfRule type="containsText" dxfId="6390" priority="6321" stopIfTrue="1" operator="containsText" text="NO CUMPLE">
      <formula>NOT(ISERROR(SEARCH("NO CUMPLE",Y3046)))</formula>
    </cfRule>
    <cfRule type="containsText" dxfId="6389" priority="6322" stopIfTrue="1" operator="containsText" text="CUMPLE">
      <formula>NOT(ISERROR(SEARCH("CUMPLE",Y3046)))</formula>
    </cfRule>
  </conditionalFormatting>
  <conditionalFormatting sqref="AA3023:AA3032">
    <cfRule type="cellIs" dxfId="6388" priority="6319" stopIfTrue="1" operator="equal">
      <formula>"NO APLICA"</formula>
    </cfRule>
    <cfRule type="cellIs" dxfId="6387" priority="6320" stopIfTrue="1" operator="equal">
      <formula>"TERCIARIA"</formula>
    </cfRule>
  </conditionalFormatting>
  <conditionalFormatting sqref="AB3023:AB3032">
    <cfRule type="cellIs" dxfId="6386" priority="6317" stopIfTrue="1" operator="equal">
      <formula>"N/A"</formula>
    </cfRule>
    <cfRule type="cellIs" dxfId="6385" priority="6318" stopIfTrue="1" operator="equal">
      <formula>"NO"</formula>
    </cfRule>
  </conditionalFormatting>
  <conditionalFormatting sqref="M3053:M3062">
    <cfRule type="cellIs" dxfId="6384" priority="6316" stopIfTrue="1" operator="lessThan">
      <formula>0</formula>
    </cfRule>
  </conditionalFormatting>
  <conditionalFormatting sqref="C3055:D3061 B3054:B3061 F3055:I3061 C3054:I3054 B3062:O3062 B3053:R3053 Q3054:R3055 J3054:O3061 Q3056:Q3062 P3054:P3062">
    <cfRule type="cellIs" dxfId="6383" priority="6315" stopIfTrue="1" operator="greaterThan">
      <formula>0</formula>
    </cfRule>
  </conditionalFormatting>
  <conditionalFormatting sqref="C3055:D3061">
    <cfRule type="cellIs" dxfId="6382" priority="6314" stopIfTrue="1" operator="greaterThan">
      <formula>0</formula>
    </cfRule>
  </conditionalFormatting>
  <conditionalFormatting sqref="C3053:M3053 C3055:D3061 F3055:I3061 C3054:I3054 K3054:M3061 J3054:J3062 L3062:M3062">
    <cfRule type="cellIs" dxfId="6381" priority="6313" stopIfTrue="1" operator="greaterThan">
      <formula>0</formula>
    </cfRule>
  </conditionalFormatting>
  <conditionalFormatting sqref="M3053:M3062">
    <cfRule type="cellIs" dxfId="6380" priority="6312" stopIfTrue="1" operator="lessThan">
      <formula>0</formula>
    </cfRule>
  </conditionalFormatting>
  <conditionalFormatting sqref="J3054:J3062 L3054:O3062 C3053:O3053">
    <cfRule type="cellIs" dxfId="6379" priority="6311" stopIfTrue="1" operator="greaterThan">
      <formula>0</formula>
    </cfRule>
  </conditionalFormatting>
  <conditionalFormatting sqref="H3055:I3061 K3055:M3062">
    <cfRule type="cellIs" dxfId="6378" priority="6310" stopIfTrue="1" operator="greaterThan">
      <formula>0</formula>
    </cfRule>
  </conditionalFormatting>
  <conditionalFormatting sqref="I3054">
    <cfRule type="cellIs" dxfId="6377" priority="6309" stopIfTrue="1" operator="greaterThan">
      <formula>0</formula>
    </cfRule>
  </conditionalFormatting>
  <conditionalFormatting sqref="I3062">
    <cfRule type="cellIs" dxfId="6376" priority="6308" stopIfTrue="1" operator="greaterThan">
      <formula>0</formula>
    </cfRule>
  </conditionalFormatting>
  <conditionalFormatting sqref="E3055:E3061">
    <cfRule type="cellIs" dxfId="6375" priority="6307" stopIfTrue="1" operator="greaterThan">
      <formula>0</formula>
    </cfRule>
  </conditionalFormatting>
  <conditionalFormatting sqref="K3070:K3075">
    <cfRule type="containsText" dxfId="6374" priority="6305" stopIfTrue="1" operator="containsText" text="NO CUMPLE">
      <formula>NOT(ISERROR(SEARCH("NO CUMPLE",K3070)))</formula>
    </cfRule>
    <cfRule type="containsText" dxfId="6373" priority="6306" stopIfTrue="1" operator="containsText" text="CUMPLE">
      <formula>NOT(ISERROR(SEARCH("CUMPLE",K3070)))</formula>
    </cfRule>
  </conditionalFormatting>
  <conditionalFormatting sqref="K3076">
    <cfRule type="containsText" dxfId="6372" priority="6303" stopIfTrue="1" operator="containsText" text="NO CUMPLE">
      <formula>NOT(ISERROR(SEARCH("NO CUMPLE",K3076)))</formula>
    </cfRule>
    <cfRule type="containsText" dxfId="6371" priority="6304" stopIfTrue="1" operator="containsText" text="CUMPLE">
      <formula>NOT(ISERROR(SEARCH("CUMPLE",K3076)))</formula>
    </cfRule>
  </conditionalFormatting>
  <conditionalFormatting sqref="Q3069">
    <cfRule type="cellIs" dxfId="6370" priority="6301" operator="greaterThanOrEqual">
      <formula>NUMMINCONT</formula>
    </cfRule>
    <cfRule type="cellIs" dxfId="6369" priority="6302" operator="lessThan">
      <formula>NUMMINCONT</formula>
    </cfRule>
  </conditionalFormatting>
  <conditionalFormatting sqref="W3053:Y3061">
    <cfRule type="cellIs" dxfId="6368" priority="6299" stopIfTrue="1" operator="equal">
      <formula>"NO"</formula>
    </cfRule>
    <cfRule type="cellIs" dxfId="6367" priority="6300" stopIfTrue="1" operator="equal">
      <formula>"SI"</formula>
    </cfRule>
  </conditionalFormatting>
  <conditionalFormatting sqref="R3056">
    <cfRule type="cellIs" dxfId="6366" priority="6298" stopIfTrue="1" operator="greaterThan">
      <formula>0</formula>
    </cfRule>
  </conditionalFormatting>
  <conditionalFormatting sqref="R3057">
    <cfRule type="cellIs" dxfId="6365" priority="6297" stopIfTrue="1" operator="greaterThan">
      <formula>0</formula>
    </cfRule>
  </conditionalFormatting>
  <conditionalFormatting sqref="R3058">
    <cfRule type="cellIs" dxfId="6364" priority="6296" stopIfTrue="1" operator="greaterThan">
      <formula>0</formula>
    </cfRule>
  </conditionalFormatting>
  <conditionalFormatting sqref="R3059">
    <cfRule type="cellIs" dxfId="6363" priority="6295" stopIfTrue="1" operator="greaterThan">
      <formula>0</formula>
    </cfRule>
  </conditionalFormatting>
  <conditionalFormatting sqref="R3060">
    <cfRule type="cellIs" dxfId="6362" priority="6294" stopIfTrue="1" operator="greaterThan">
      <formula>0</formula>
    </cfRule>
  </conditionalFormatting>
  <conditionalFormatting sqref="R3061">
    <cfRule type="cellIs" dxfId="6361" priority="6293" stopIfTrue="1" operator="greaterThan">
      <formula>0</formula>
    </cfRule>
  </conditionalFormatting>
  <conditionalFormatting sqref="R3062">
    <cfRule type="cellIs" dxfId="6360" priority="6292" stopIfTrue="1" operator="greaterThan">
      <formula>0</formula>
    </cfRule>
  </conditionalFormatting>
  <conditionalFormatting sqref="W3053:X3053">
    <cfRule type="cellIs" dxfId="6359" priority="6291" stopIfTrue="1" operator="equal">
      <formula>"NO APLICA"</formula>
    </cfRule>
  </conditionalFormatting>
  <conditionalFormatting sqref="W3054:X3057">
    <cfRule type="cellIs" dxfId="6358" priority="6290" stopIfTrue="1" operator="equal">
      <formula>"NO APLICA"</formula>
    </cfRule>
  </conditionalFormatting>
  <conditionalFormatting sqref="W3054:X3054">
    <cfRule type="cellIs" dxfId="6357" priority="6289" stopIfTrue="1" operator="equal">
      <formula>"NO APLICA"</formula>
    </cfRule>
  </conditionalFormatting>
  <conditionalFormatting sqref="Y3053">
    <cfRule type="cellIs" dxfId="6356" priority="6288" stopIfTrue="1" operator="equal">
      <formula>"NO APLICA"</formula>
    </cfRule>
  </conditionalFormatting>
  <conditionalFormatting sqref="Y3054:Y3057">
    <cfRule type="cellIs" dxfId="6355" priority="6287" stopIfTrue="1" operator="equal">
      <formula>"NO APLICA"</formula>
    </cfRule>
  </conditionalFormatting>
  <conditionalFormatting sqref="W3058:X3061">
    <cfRule type="cellIs" dxfId="6354" priority="6286" stopIfTrue="1" operator="equal">
      <formula>"NO APLICA"</formula>
    </cfRule>
  </conditionalFormatting>
  <conditionalFormatting sqref="W3058:X3058">
    <cfRule type="cellIs" dxfId="6353" priority="6285" stopIfTrue="1" operator="equal">
      <formula>"NO APLICA"</formula>
    </cfRule>
  </conditionalFormatting>
  <conditionalFormatting sqref="Y3058:Y3061">
    <cfRule type="cellIs" dxfId="6352" priority="6284" stopIfTrue="1" operator="equal">
      <formula>"NO APLICA"</formula>
    </cfRule>
  </conditionalFormatting>
  <conditionalFormatting sqref="T3067">
    <cfRule type="cellIs" dxfId="6351" priority="6282" operator="equal">
      <formula>"CUMPLE"</formula>
    </cfRule>
    <cfRule type="cellIs" dxfId="6350" priority="6283" operator="equal">
      <formula>"NO CUMPLE"</formula>
    </cfRule>
  </conditionalFormatting>
  <conditionalFormatting sqref="T3067:T3069">
    <cfRule type="cellIs" dxfId="6349" priority="6281" operator="equal">
      <formula>"VERIFICAR"</formula>
    </cfRule>
  </conditionalFormatting>
  <conditionalFormatting sqref="AD3053:AF3057">
    <cfRule type="cellIs" dxfId="6348" priority="6279" stopIfTrue="1" operator="equal">
      <formula>"NO"</formula>
    </cfRule>
    <cfRule type="cellIs" dxfId="6347" priority="6280" stopIfTrue="1" operator="equal">
      <formula>"SI"</formula>
    </cfRule>
  </conditionalFormatting>
  <conditionalFormatting sqref="AD3058:AF3061">
    <cfRule type="cellIs" dxfId="6346" priority="6277" stopIfTrue="1" operator="equal">
      <formula>"NO"</formula>
    </cfRule>
    <cfRule type="cellIs" dxfId="6345" priority="6278" stopIfTrue="1" operator="equal">
      <formula>"SI"</formula>
    </cfRule>
  </conditionalFormatting>
  <conditionalFormatting sqref="W3062:Y3062">
    <cfRule type="cellIs" dxfId="6344" priority="6275" stopIfTrue="1" operator="equal">
      <formula>"NO"</formula>
    </cfRule>
    <cfRule type="cellIs" dxfId="6343" priority="6276" stopIfTrue="1" operator="equal">
      <formula>"SI"</formula>
    </cfRule>
  </conditionalFormatting>
  <conditionalFormatting sqref="W3062:X3062">
    <cfRule type="cellIs" dxfId="6342" priority="6274" stopIfTrue="1" operator="equal">
      <formula>"NO APLICA"</formula>
    </cfRule>
  </conditionalFormatting>
  <conditionalFormatting sqref="Y3062">
    <cfRule type="cellIs" dxfId="6341" priority="6273" stopIfTrue="1" operator="equal">
      <formula>"NO APLICA"</formula>
    </cfRule>
  </conditionalFormatting>
  <conditionalFormatting sqref="AD3062:AF3062">
    <cfRule type="cellIs" dxfId="6340" priority="6271" stopIfTrue="1" operator="equal">
      <formula>"NO"</formula>
    </cfRule>
    <cfRule type="cellIs" dxfId="6339" priority="6272" stopIfTrue="1" operator="equal">
      <formula>"SI"</formula>
    </cfRule>
  </conditionalFormatting>
  <conditionalFormatting sqref="AE3067">
    <cfRule type="cellIs" dxfId="6338" priority="6268" stopIfTrue="1" operator="equal">
      <formula>"VERIFICAR"</formula>
    </cfRule>
    <cfRule type="cellIs" dxfId="6337" priority="6269" stopIfTrue="1" operator="equal">
      <formula>"NO CUMPLE"</formula>
    </cfRule>
    <cfRule type="cellIs" dxfId="6336" priority="6270" stopIfTrue="1" operator="equal">
      <formula>"CUMPLE"</formula>
    </cfRule>
  </conditionalFormatting>
  <conditionalFormatting sqref="AF3067">
    <cfRule type="cellIs" dxfId="6335" priority="6265" stopIfTrue="1" operator="equal">
      <formula>"VERIFICAR"</formula>
    </cfRule>
    <cfRule type="cellIs" dxfId="6334" priority="6266" stopIfTrue="1" operator="equal">
      <formula>"NO CUMPLE"</formula>
    </cfRule>
    <cfRule type="cellIs" dxfId="6333" priority="6267" stopIfTrue="1" operator="equal">
      <formula>"CUMPLE"</formula>
    </cfRule>
  </conditionalFormatting>
  <conditionalFormatting sqref="Y3070">
    <cfRule type="cellIs" dxfId="6332" priority="6264" operator="equal">
      <formula>"VERIFICAR CUADRO"</formula>
    </cfRule>
  </conditionalFormatting>
  <conditionalFormatting sqref="AC3071:AC3076">
    <cfRule type="cellIs" dxfId="6331" priority="6263" stopIfTrue="1" operator="greaterThan">
      <formula>0</formula>
    </cfRule>
  </conditionalFormatting>
  <conditionalFormatting sqref="AC3071:AC3076">
    <cfRule type="cellIs" dxfId="6330" priority="6262" stopIfTrue="1" operator="greaterThan">
      <formula>0</formula>
    </cfRule>
  </conditionalFormatting>
  <conditionalFormatting sqref="AD3071:AD3076">
    <cfRule type="containsText" dxfId="6329" priority="6260" stopIfTrue="1" operator="containsText" text="NO CUMPLE">
      <formula>NOT(ISERROR(SEARCH("NO CUMPLE",AD3071)))</formula>
    </cfRule>
    <cfRule type="containsText" dxfId="6328" priority="6261" stopIfTrue="1" operator="containsText" text="CUMPLE">
      <formula>NOT(ISERROR(SEARCH("CUMPLE",AD3071)))</formula>
    </cfRule>
  </conditionalFormatting>
  <conditionalFormatting sqref="Y3076">
    <cfRule type="containsText" dxfId="6327" priority="6258" stopIfTrue="1" operator="containsText" text="NO CUMPLE">
      <formula>NOT(ISERROR(SEARCH("NO CUMPLE",Y3076)))</formula>
    </cfRule>
    <cfRule type="containsText" dxfId="6326" priority="6259" stopIfTrue="1" operator="containsText" text="CUMPLE">
      <formula>NOT(ISERROR(SEARCH("CUMPLE",Y3076)))</formula>
    </cfRule>
  </conditionalFormatting>
  <conditionalFormatting sqref="AA3053:AA3062">
    <cfRule type="cellIs" dxfId="6325" priority="6256" stopIfTrue="1" operator="equal">
      <formula>"NO APLICA"</formula>
    </cfRule>
    <cfRule type="cellIs" dxfId="6324" priority="6257" stopIfTrue="1" operator="equal">
      <formula>"TERCIARIA"</formula>
    </cfRule>
  </conditionalFormatting>
  <conditionalFormatting sqref="AB3053:AB3062">
    <cfRule type="cellIs" dxfId="6323" priority="6254" stopIfTrue="1" operator="equal">
      <formula>"N/A"</formula>
    </cfRule>
    <cfRule type="cellIs" dxfId="6322" priority="6255" stopIfTrue="1" operator="equal">
      <formula>"NO"</formula>
    </cfRule>
  </conditionalFormatting>
  <conditionalFormatting sqref="M3083:M3092">
    <cfRule type="cellIs" dxfId="6321" priority="6253" stopIfTrue="1" operator="lessThan">
      <formula>0</formula>
    </cfRule>
  </conditionalFormatting>
  <conditionalFormatting sqref="C3085:D3091 B3084:B3091 F3085:I3091 C3084:I3084 B3092:O3092 B3083:R3083 Q3084:R3085 J3084:O3091 Q3086:Q3092 P3084:P3092">
    <cfRule type="cellIs" dxfId="6320" priority="6252" stopIfTrue="1" operator="greaterThan">
      <formula>0</formula>
    </cfRule>
  </conditionalFormatting>
  <conditionalFormatting sqref="C3085:D3091">
    <cfRule type="cellIs" dxfId="6319" priority="6251" stopIfTrue="1" operator="greaterThan">
      <formula>0</formula>
    </cfRule>
  </conditionalFormatting>
  <conditionalFormatting sqref="C3083:M3083 C3085:D3091 F3085:I3091 C3084:I3084 K3084:M3091 J3084:J3092 L3092:M3092">
    <cfRule type="cellIs" dxfId="6318" priority="6250" stopIfTrue="1" operator="greaterThan">
      <formula>0</formula>
    </cfRule>
  </conditionalFormatting>
  <conditionalFormatting sqref="M3083:M3092">
    <cfRule type="cellIs" dxfId="6317" priority="6249" stopIfTrue="1" operator="lessThan">
      <formula>0</formula>
    </cfRule>
  </conditionalFormatting>
  <conditionalFormatting sqref="J3084:J3092 L3084:O3092 C3083:O3083">
    <cfRule type="cellIs" dxfId="6316" priority="6248" stopIfTrue="1" operator="greaterThan">
      <formula>0</formula>
    </cfRule>
  </conditionalFormatting>
  <conditionalFormatting sqref="H3085:I3091 K3085:M3092">
    <cfRule type="cellIs" dxfId="6315" priority="6247" stopIfTrue="1" operator="greaterThan">
      <formula>0</formula>
    </cfRule>
  </conditionalFormatting>
  <conditionalFormatting sqref="I3084">
    <cfRule type="cellIs" dxfId="6314" priority="6246" stopIfTrue="1" operator="greaterThan">
      <formula>0</formula>
    </cfRule>
  </conditionalFormatting>
  <conditionalFormatting sqref="I3092">
    <cfRule type="cellIs" dxfId="6313" priority="6245" stopIfTrue="1" operator="greaterThan">
      <formula>0</formula>
    </cfRule>
  </conditionalFormatting>
  <conditionalFormatting sqref="E3085:E3091">
    <cfRule type="cellIs" dxfId="6312" priority="6244" stopIfTrue="1" operator="greaterThan">
      <formula>0</formula>
    </cfRule>
  </conditionalFormatting>
  <conditionalFormatting sqref="K3100:K3105">
    <cfRule type="containsText" dxfId="6311" priority="6242" stopIfTrue="1" operator="containsText" text="NO CUMPLE">
      <formula>NOT(ISERROR(SEARCH("NO CUMPLE",K3100)))</formula>
    </cfRule>
    <cfRule type="containsText" dxfId="6310" priority="6243" stopIfTrue="1" operator="containsText" text="CUMPLE">
      <formula>NOT(ISERROR(SEARCH("CUMPLE",K3100)))</formula>
    </cfRule>
  </conditionalFormatting>
  <conditionalFormatting sqref="K3106">
    <cfRule type="containsText" dxfId="6309" priority="6240" stopIfTrue="1" operator="containsText" text="NO CUMPLE">
      <formula>NOT(ISERROR(SEARCH("NO CUMPLE",K3106)))</formula>
    </cfRule>
    <cfRule type="containsText" dxfId="6308" priority="6241" stopIfTrue="1" operator="containsText" text="CUMPLE">
      <formula>NOT(ISERROR(SEARCH("CUMPLE",K3106)))</formula>
    </cfRule>
  </conditionalFormatting>
  <conditionalFormatting sqref="Q3099">
    <cfRule type="cellIs" dxfId="6307" priority="6238" operator="greaterThanOrEqual">
      <formula>NUMMINCONT</formula>
    </cfRule>
    <cfRule type="cellIs" dxfId="6306" priority="6239" operator="lessThan">
      <formula>NUMMINCONT</formula>
    </cfRule>
  </conditionalFormatting>
  <conditionalFormatting sqref="W3083:Y3091">
    <cfRule type="cellIs" dxfId="6305" priority="6236" stopIfTrue="1" operator="equal">
      <formula>"NO"</formula>
    </cfRule>
    <cfRule type="cellIs" dxfId="6304" priority="6237" stopIfTrue="1" operator="equal">
      <formula>"SI"</formula>
    </cfRule>
  </conditionalFormatting>
  <conditionalFormatting sqref="R3086">
    <cfRule type="cellIs" dxfId="6303" priority="6235" stopIfTrue="1" operator="greaterThan">
      <formula>0</formula>
    </cfRule>
  </conditionalFormatting>
  <conditionalFormatting sqref="R3087">
    <cfRule type="cellIs" dxfId="6302" priority="6234" stopIfTrue="1" operator="greaterThan">
      <formula>0</formula>
    </cfRule>
  </conditionalFormatting>
  <conditionalFormatting sqref="R3088">
    <cfRule type="cellIs" dxfId="6301" priority="6233" stopIfTrue="1" operator="greaterThan">
      <formula>0</formula>
    </cfRule>
  </conditionalFormatting>
  <conditionalFormatting sqref="R3089">
    <cfRule type="cellIs" dxfId="6300" priority="6232" stopIfTrue="1" operator="greaterThan">
      <formula>0</formula>
    </cfRule>
  </conditionalFormatting>
  <conditionalFormatting sqref="R3090">
    <cfRule type="cellIs" dxfId="6299" priority="6231" stopIfTrue="1" operator="greaterThan">
      <formula>0</formula>
    </cfRule>
  </conditionalFormatting>
  <conditionalFormatting sqref="R3091">
    <cfRule type="cellIs" dxfId="6298" priority="6230" stopIfTrue="1" operator="greaterThan">
      <formula>0</formula>
    </cfRule>
  </conditionalFormatting>
  <conditionalFormatting sqref="R3092">
    <cfRule type="cellIs" dxfId="6297" priority="6229" stopIfTrue="1" operator="greaterThan">
      <formula>0</formula>
    </cfRule>
  </conditionalFormatting>
  <conditionalFormatting sqref="W3083:X3083">
    <cfRule type="cellIs" dxfId="6296" priority="6228" stopIfTrue="1" operator="equal">
      <formula>"NO APLICA"</formula>
    </cfRule>
  </conditionalFormatting>
  <conditionalFormatting sqref="W3084:X3087">
    <cfRule type="cellIs" dxfId="6295" priority="6227" stopIfTrue="1" operator="equal">
      <formula>"NO APLICA"</formula>
    </cfRule>
  </conditionalFormatting>
  <conditionalFormatting sqref="W3084:X3084">
    <cfRule type="cellIs" dxfId="6294" priority="6226" stopIfTrue="1" operator="equal">
      <formula>"NO APLICA"</formula>
    </cfRule>
  </conditionalFormatting>
  <conditionalFormatting sqref="Y3083">
    <cfRule type="cellIs" dxfId="6293" priority="6225" stopIfTrue="1" operator="equal">
      <formula>"NO APLICA"</formula>
    </cfRule>
  </conditionalFormatting>
  <conditionalFormatting sqref="Y3084:Y3087">
    <cfRule type="cellIs" dxfId="6292" priority="6224" stopIfTrue="1" operator="equal">
      <formula>"NO APLICA"</formula>
    </cfRule>
  </conditionalFormatting>
  <conditionalFormatting sqref="W3088:X3091">
    <cfRule type="cellIs" dxfId="6291" priority="6223" stopIfTrue="1" operator="equal">
      <formula>"NO APLICA"</formula>
    </cfRule>
  </conditionalFormatting>
  <conditionalFormatting sqref="W3088:X3088">
    <cfRule type="cellIs" dxfId="6290" priority="6222" stopIfTrue="1" operator="equal">
      <formula>"NO APLICA"</formula>
    </cfRule>
  </conditionalFormatting>
  <conditionalFormatting sqref="Y3088:Y3091">
    <cfRule type="cellIs" dxfId="6289" priority="6221" stopIfTrue="1" operator="equal">
      <formula>"NO APLICA"</formula>
    </cfRule>
  </conditionalFormatting>
  <conditionalFormatting sqref="T3097">
    <cfRule type="cellIs" dxfId="6288" priority="6219" operator="equal">
      <formula>"CUMPLE"</formula>
    </cfRule>
    <cfRule type="cellIs" dxfId="6287" priority="6220" operator="equal">
      <formula>"NO CUMPLE"</formula>
    </cfRule>
  </conditionalFormatting>
  <conditionalFormatting sqref="T3097:T3099">
    <cfRule type="cellIs" dxfId="6286" priority="6218" operator="equal">
      <formula>"VERIFICAR"</formula>
    </cfRule>
  </conditionalFormatting>
  <conditionalFormatting sqref="AD3083:AF3087">
    <cfRule type="cellIs" dxfId="6285" priority="6216" stopIfTrue="1" operator="equal">
      <formula>"NO"</formula>
    </cfRule>
    <cfRule type="cellIs" dxfId="6284" priority="6217" stopIfTrue="1" operator="equal">
      <formula>"SI"</formula>
    </cfRule>
  </conditionalFormatting>
  <conditionalFormatting sqref="AD3088:AF3091">
    <cfRule type="cellIs" dxfId="6283" priority="6214" stopIfTrue="1" operator="equal">
      <formula>"NO"</formula>
    </cfRule>
    <cfRule type="cellIs" dxfId="6282" priority="6215" stopIfTrue="1" operator="equal">
      <formula>"SI"</formula>
    </cfRule>
  </conditionalFormatting>
  <conditionalFormatting sqref="W3092:Y3092">
    <cfRule type="cellIs" dxfId="6281" priority="6212" stopIfTrue="1" operator="equal">
      <formula>"NO"</formula>
    </cfRule>
    <cfRule type="cellIs" dxfId="6280" priority="6213" stopIfTrue="1" operator="equal">
      <formula>"SI"</formula>
    </cfRule>
  </conditionalFormatting>
  <conditionalFormatting sqref="W3092:X3092">
    <cfRule type="cellIs" dxfId="6279" priority="6211" stopIfTrue="1" operator="equal">
      <formula>"NO APLICA"</formula>
    </cfRule>
  </conditionalFormatting>
  <conditionalFormatting sqref="Y3092">
    <cfRule type="cellIs" dxfId="6278" priority="6210" stopIfTrue="1" operator="equal">
      <formula>"NO APLICA"</formula>
    </cfRule>
  </conditionalFormatting>
  <conditionalFormatting sqref="AD3092:AF3092">
    <cfRule type="cellIs" dxfId="6277" priority="6208" stopIfTrue="1" operator="equal">
      <formula>"NO"</formula>
    </cfRule>
    <cfRule type="cellIs" dxfId="6276" priority="6209" stopIfTrue="1" operator="equal">
      <formula>"SI"</formula>
    </cfRule>
  </conditionalFormatting>
  <conditionalFormatting sqref="AE3097">
    <cfRule type="cellIs" dxfId="6275" priority="6205" stopIfTrue="1" operator="equal">
      <formula>"VERIFICAR"</formula>
    </cfRule>
    <cfRule type="cellIs" dxfId="6274" priority="6206" stopIfTrue="1" operator="equal">
      <formula>"NO CUMPLE"</formula>
    </cfRule>
    <cfRule type="cellIs" dxfId="6273" priority="6207" stopIfTrue="1" operator="equal">
      <formula>"CUMPLE"</formula>
    </cfRule>
  </conditionalFormatting>
  <conditionalFormatting sqref="AF3097">
    <cfRule type="cellIs" dxfId="6272" priority="6202" stopIfTrue="1" operator="equal">
      <formula>"VERIFICAR"</formula>
    </cfRule>
    <cfRule type="cellIs" dxfId="6271" priority="6203" stopIfTrue="1" operator="equal">
      <formula>"NO CUMPLE"</formula>
    </cfRule>
    <cfRule type="cellIs" dxfId="6270" priority="6204" stopIfTrue="1" operator="equal">
      <formula>"CUMPLE"</formula>
    </cfRule>
  </conditionalFormatting>
  <conditionalFormatting sqref="Y3100">
    <cfRule type="cellIs" dxfId="6269" priority="6201" operator="equal">
      <formula>"VERIFICAR CUADRO"</formula>
    </cfRule>
  </conditionalFormatting>
  <conditionalFormatting sqref="AC3101:AC3106">
    <cfRule type="cellIs" dxfId="6268" priority="6200" stopIfTrue="1" operator="greaterThan">
      <formula>0</formula>
    </cfRule>
  </conditionalFormatting>
  <conditionalFormatting sqref="AC3101:AC3106">
    <cfRule type="cellIs" dxfId="6267" priority="6199" stopIfTrue="1" operator="greaterThan">
      <formula>0</formula>
    </cfRule>
  </conditionalFormatting>
  <conditionalFormatting sqref="AD3101:AD3106">
    <cfRule type="containsText" dxfId="6266" priority="6197" stopIfTrue="1" operator="containsText" text="NO CUMPLE">
      <formula>NOT(ISERROR(SEARCH("NO CUMPLE",AD3101)))</formula>
    </cfRule>
    <cfRule type="containsText" dxfId="6265" priority="6198" stopIfTrue="1" operator="containsText" text="CUMPLE">
      <formula>NOT(ISERROR(SEARCH("CUMPLE",AD3101)))</formula>
    </cfRule>
  </conditionalFormatting>
  <conditionalFormatting sqref="Y3106">
    <cfRule type="containsText" dxfId="6264" priority="6195" stopIfTrue="1" operator="containsText" text="NO CUMPLE">
      <formula>NOT(ISERROR(SEARCH("NO CUMPLE",Y3106)))</formula>
    </cfRule>
    <cfRule type="containsText" dxfId="6263" priority="6196" stopIfTrue="1" operator="containsText" text="CUMPLE">
      <formula>NOT(ISERROR(SEARCH("CUMPLE",Y3106)))</formula>
    </cfRule>
  </conditionalFormatting>
  <conditionalFormatting sqref="AA3083:AA3092">
    <cfRule type="cellIs" dxfId="6262" priority="6193" stopIfTrue="1" operator="equal">
      <formula>"NO APLICA"</formula>
    </cfRule>
    <cfRule type="cellIs" dxfId="6261" priority="6194" stopIfTrue="1" operator="equal">
      <formula>"TERCIARIA"</formula>
    </cfRule>
  </conditionalFormatting>
  <conditionalFormatting sqref="AB3083:AB3092">
    <cfRule type="cellIs" dxfId="6260" priority="6191" stopIfTrue="1" operator="equal">
      <formula>"N/A"</formula>
    </cfRule>
    <cfRule type="cellIs" dxfId="6259" priority="6192" stopIfTrue="1" operator="equal">
      <formula>"NO"</formula>
    </cfRule>
  </conditionalFormatting>
  <conditionalFormatting sqref="M3113:M3122">
    <cfRule type="cellIs" dxfId="6258" priority="6190" stopIfTrue="1" operator="lessThan">
      <formula>0</formula>
    </cfRule>
  </conditionalFormatting>
  <conditionalFormatting sqref="C3115:D3121 B3114:B3121 F3115:I3121 C3114:I3114 B3122:O3122 B3113:R3113 Q3114:R3115 J3114:O3121 Q3116:Q3122 P3114:P3122">
    <cfRule type="cellIs" dxfId="6257" priority="6189" stopIfTrue="1" operator="greaterThan">
      <formula>0</formula>
    </cfRule>
  </conditionalFormatting>
  <conditionalFormatting sqref="C3115:D3121">
    <cfRule type="cellIs" dxfId="6256" priority="6188" stopIfTrue="1" operator="greaterThan">
      <formula>0</formula>
    </cfRule>
  </conditionalFormatting>
  <conditionalFormatting sqref="C3113:M3113 C3115:D3121 F3115:I3121 C3114:I3114 K3114:M3121 J3114:J3122 L3122:M3122">
    <cfRule type="cellIs" dxfId="6255" priority="6187" stopIfTrue="1" operator="greaterThan">
      <formula>0</formula>
    </cfRule>
  </conditionalFormatting>
  <conditionalFormatting sqref="M3113:M3122">
    <cfRule type="cellIs" dxfId="6254" priority="6186" stopIfTrue="1" operator="lessThan">
      <formula>0</formula>
    </cfRule>
  </conditionalFormatting>
  <conditionalFormatting sqref="J3114:J3122 L3114:O3122 C3113:O3113">
    <cfRule type="cellIs" dxfId="6253" priority="6185" stopIfTrue="1" operator="greaterThan">
      <formula>0</formula>
    </cfRule>
  </conditionalFormatting>
  <conditionalFormatting sqref="H3115:I3121 K3115:M3122">
    <cfRule type="cellIs" dxfId="6252" priority="6184" stopIfTrue="1" operator="greaterThan">
      <formula>0</formula>
    </cfRule>
  </conditionalFormatting>
  <conditionalFormatting sqref="I3114">
    <cfRule type="cellIs" dxfId="6251" priority="6183" stopIfTrue="1" operator="greaterThan">
      <formula>0</formula>
    </cfRule>
  </conditionalFormatting>
  <conditionalFormatting sqref="I3122">
    <cfRule type="cellIs" dxfId="6250" priority="6182" stopIfTrue="1" operator="greaterThan">
      <formula>0</formula>
    </cfRule>
  </conditionalFormatting>
  <conditionalFormatting sqref="E3115:E3121">
    <cfRule type="cellIs" dxfId="6249" priority="6181" stopIfTrue="1" operator="greaterThan">
      <formula>0</formula>
    </cfRule>
  </conditionalFormatting>
  <conditionalFormatting sqref="K3130:K3135">
    <cfRule type="containsText" dxfId="6248" priority="6179" stopIfTrue="1" operator="containsText" text="NO CUMPLE">
      <formula>NOT(ISERROR(SEARCH("NO CUMPLE",K3130)))</formula>
    </cfRule>
    <cfRule type="containsText" dxfId="6247" priority="6180" stopIfTrue="1" operator="containsText" text="CUMPLE">
      <formula>NOT(ISERROR(SEARCH("CUMPLE",K3130)))</formula>
    </cfRule>
  </conditionalFormatting>
  <conditionalFormatting sqref="K3136">
    <cfRule type="containsText" dxfId="6246" priority="6177" stopIfTrue="1" operator="containsText" text="NO CUMPLE">
      <formula>NOT(ISERROR(SEARCH("NO CUMPLE",K3136)))</formula>
    </cfRule>
    <cfRule type="containsText" dxfId="6245" priority="6178" stopIfTrue="1" operator="containsText" text="CUMPLE">
      <formula>NOT(ISERROR(SEARCH("CUMPLE",K3136)))</formula>
    </cfRule>
  </conditionalFormatting>
  <conditionalFormatting sqref="Q3129">
    <cfRule type="cellIs" dxfId="6244" priority="6175" operator="greaterThanOrEqual">
      <formula>NUMMINCONT</formula>
    </cfRule>
    <cfRule type="cellIs" dxfId="6243" priority="6176" operator="lessThan">
      <formula>NUMMINCONT</formula>
    </cfRule>
  </conditionalFormatting>
  <conditionalFormatting sqref="W3113:Y3121">
    <cfRule type="cellIs" dxfId="6242" priority="6173" stopIfTrue="1" operator="equal">
      <formula>"NO"</formula>
    </cfRule>
    <cfRule type="cellIs" dxfId="6241" priority="6174" stopIfTrue="1" operator="equal">
      <formula>"SI"</formula>
    </cfRule>
  </conditionalFormatting>
  <conditionalFormatting sqref="R3116">
    <cfRule type="cellIs" dxfId="6240" priority="6172" stopIfTrue="1" operator="greaterThan">
      <formula>0</formula>
    </cfRule>
  </conditionalFormatting>
  <conditionalFormatting sqref="R3117">
    <cfRule type="cellIs" dxfId="6239" priority="6171" stopIfTrue="1" operator="greaterThan">
      <formula>0</formula>
    </cfRule>
  </conditionalFormatting>
  <conditionalFormatting sqref="R3118">
    <cfRule type="cellIs" dxfId="6238" priority="6170" stopIfTrue="1" operator="greaterThan">
      <formula>0</formula>
    </cfRule>
  </conditionalFormatting>
  <conditionalFormatting sqref="R3119">
    <cfRule type="cellIs" dxfId="6237" priority="6169" stopIfTrue="1" operator="greaterThan">
      <formula>0</formula>
    </cfRule>
  </conditionalFormatting>
  <conditionalFormatting sqref="R3120">
    <cfRule type="cellIs" dxfId="6236" priority="6168" stopIfTrue="1" operator="greaterThan">
      <formula>0</formula>
    </cfRule>
  </conditionalFormatting>
  <conditionalFormatting sqref="R3121">
    <cfRule type="cellIs" dxfId="6235" priority="6167" stopIfTrue="1" operator="greaterThan">
      <formula>0</formula>
    </cfRule>
  </conditionalFormatting>
  <conditionalFormatting sqref="R3122">
    <cfRule type="cellIs" dxfId="6234" priority="6166" stopIfTrue="1" operator="greaterThan">
      <formula>0</formula>
    </cfRule>
  </conditionalFormatting>
  <conditionalFormatting sqref="W3113:X3113">
    <cfRule type="cellIs" dxfId="6233" priority="6165" stopIfTrue="1" operator="equal">
      <formula>"NO APLICA"</formula>
    </cfRule>
  </conditionalFormatting>
  <conditionalFormatting sqref="W3114:X3117">
    <cfRule type="cellIs" dxfId="6232" priority="6164" stopIfTrue="1" operator="equal">
      <formula>"NO APLICA"</formula>
    </cfRule>
  </conditionalFormatting>
  <conditionalFormatting sqref="W3114:X3114">
    <cfRule type="cellIs" dxfId="6231" priority="6163" stopIfTrue="1" operator="equal">
      <formula>"NO APLICA"</formula>
    </cfRule>
  </conditionalFormatting>
  <conditionalFormatting sqref="Y3113">
    <cfRule type="cellIs" dxfId="6230" priority="6162" stopIfTrue="1" operator="equal">
      <formula>"NO APLICA"</formula>
    </cfRule>
  </conditionalFormatting>
  <conditionalFormatting sqref="Y3114:Y3117">
    <cfRule type="cellIs" dxfId="6229" priority="6161" stopIfTrue="1" operator="equal">
      <formula>"NO APLICA"</formula>
    </cfRule>
  </conditionalFormatting>
  <conditionalFormatting sqref="W3118:X3121">
    <cfRule type="cellIs" dxfId="6228" priority="6160" stopIfTrue="1" operator="equal">
      <formula>"NO APLICA"</formula>
    </cfRule>
  </conditionalFormatting>
  <conditionalFormatting sqref="W3118:X3118">
    <cfRule type="cellIs" dxfId="6227" priority="6159" stopIfTrue="1" operator="equal">
      <formula>"NO APLICA"</formula>
    </cfRule>
  </conditionalFormatting>
  <conditionalFormatting sqref="Y3118:Y3121">
    <cfRule type="cellIs" dxfId="6226" priority="6158" stopIfTrue="1" operator="equal">
      <formula>"NO APLICA"</formula>
    </cfRule>
  </conditionalFormatting>
  <conditionalFormatting sqref="T3127">
    <cfRule type="cellIs" dxfId="6225" priority="6156" operator="equal">
      <formula>"CUMPLE"</formula>
    </cfRule>
    <cfRule type="cellIs" dxfId="6224" priority="6157" operator="equal">
      <formula>"NO CUMPLE"</formula>
    </cfRule>
  </conditionalFormatting>
  <conditionalFormatting sqref="T3127:T3129">
    <cfRule type="cellIs" dxfId="6223" priority="6155" operator="equal">
      <formula>"VERIFICAR"</formula>
    </cfRule>
  </conditionalFormatting>
  <conditionalFormatting sqref="AD3113:AF3117">
    <cfRule type="cellIs" dxfId="6222" priority="6153" stopIfTrue="1" operator="equal">
      <formula>"NO"</formula>
    </cfRule>
    <cfRule type="cellIs" dxfId="6221" priority="6154" stopIfTrue="1" operator="equal">
      <formula>"SI"</formula>
    </cfRule>
  </conditionalFormatting>
  <conditionalFormatting sqref="AD3118:AF3121">
    <cfRule type="cellIs" dxfId="6220" priority="6151" stopIfTrue="1" operator="equal">
      <formula>"NO"</formula>
    </cfRule>
    <cfRule type="cellIs" dxfId="6219" priority="6152" stopIfTrue="1" operator="equal">
      <formula>"SI"</formula>
    </cfRule>
  </conditionalFormatting>
  <conditionalFormatting sqref="W3122:Y3122">
    <cfRule type="cellIs" dxfId="6218" priority="6149" stopIfTrue="1" operator="equal">
      <formula>"NO"</formula>
    </cfRule>
    <cfRule type="cellIs" dxfId="6217" priority="6150" stopIfTrue="1" operator="equal">
      <formula>"SI"</formula>
    </cfRule>
  </conditionalFormatting>
  <conditionalFormatting sqref="W3122:X3122">
    <cfRule type="cellIs" dxfId="6216" priority="6148" stopIfTrue="1" operator="equal">
      <formula>"NO APLICA"</formula>
    </cfRule>
  </conditionalFormatting>
  <conditionalFormatting sqref="Y3122">
    <cfRule type="cellIs" dxfId="6215" priority="6147" stopIfTrue="1" operator="equal">
      <formula>"NO APLICA"</formula>
    </cfRule>
  </conditionalFormatting>
  <conditionalFormatting sqref="AD3122:AF3122">
    <cfRule type="cellIs" dxfId="6214" priority="6145" stopIfTrue="1" operator="equal">
      <formula>"NO"</formula>
    </cfRule>
    <cfRule type="cellIs" dxfId="6213" priority="6146" stopIfTrue="1" operator="equal">
      <formula>"SI"</formula>
    </cfRule>
  </conditionalFormatting>
  <conditionalFormatting sqref="AE3127">
    <cfRule type="cellIs" dxfId="6212" priority="6142" stopIfTrue="1" operator="equal">
      <formula>"VERIFICAR"</formula>
    </cfRule>
    <cfRule type="cellIs" dxfId="6211" priority="6143" stopIfTrue="1" operator="equal">
      <formula>"NO CUMPLE"</formula>
    </cfRule>
    <cfRule type="cellIs" dxfId="6210" priority="6144" stopIfTrue="1" operator="equal">
      <formula>"CUMPLE"</formula>
    </cfRule>
  </conditionalFormatting>
  <conditionalFormatting sqref="AF3127">
    <cfRule type="cellIs" dxfId="6209" priority="6139" stopIfTrue="1" operator="equal">
      <formula>"VERIFICAR"</formula>
    </cfRule>
    <cfRule type="cellIs" dxfId="6208" priority="6140" stopIfTrue="1" operator="equal">
      <formula>"NO CUMPLE"</formula>
    </cfRule>
    <cfRule type="cellIs" dxfId="6207" priority="6141" stopIfTrue="1" operator="equal">
      <formula>"CUMPLE"</formula>
    </cfRule>
  </conditionalFormatting>
  <conditionalFormatting sqref="Y3130">
    <cfRule type="cellIs" dxfId="6206" priority="6138" operator="equal">
      <formula>"VERIFICAR CUADRO"</formula>
    </cfRule>
  </conditionalFormatting>
  <conditionalFormatting sqref="AC3131:AC3136">
    <cfRule type="cellIs" dxfId="6205" priority="6137" stopIfTrue="1" operator="greaterThan">
      <formula>0</formula>
    </cfRule>
  </conditionalFormatting>
  <conditionalFormatting sqref="AC3131:AC3136">
    <cfRule type="cellIs" dxfId="6204" priority="6136" stopIfTrue="1" operator="greaterThan">
      <formula>0</formula>
    </cfRule>
  </conditionalFormatting>
  <conditionalFormatting sqref="AD3131:AD3136">
    <cfRule type="containsText" dxfId="6203" priority="6134" stopIfTrue="1" operator="containsText" text="NO CUMPLE">
      <formula>NOT(ISERROR(SEARCH("NO CUMPLE",AD3131)))</formula>
    </cfRule>
    <cfRule type="containsText" dxfId="6202" priority="6135" stopIfTrue="1" operator="containsText" text="CUMPLE">
      <formula>NOT(ISERROR(SEARCH("CUMPLE",AD3131)))</formula>
    </cfRule>
  </conditionalFormatting>
  <conditionalFormatting sqref="Y3136">
    <cfRule type="containsText" dxfId="6201" priority="6132" stopIfTrue="1" operator="containsText" text="NO CUMPLE">
      <formula>NOT(ISERROR(SEARCH("NO CUMPLE",Y3136)))</formula>
    </cfRule>
    <cfRule type="containsText" dxfId="6200" priority="6133" stopIfTrue="1" operator="containsText" text="CUMPLE">
      <formula>NOT(ISERROR(SEARCH("CUMPLE",Y3136)))</formula>
    </cfRule>
  </conditionalFormatting>
  <conditionalFormatting sqref="AA3113:AA3122">
    <cfRule type="cellIs" dxfId="6199" priority="6130" stopIfTrue="1" operator="equal">
      <formula>"NO APLICA"</formula>
    </cfRule>
    <cfRule type="cellIs" dxfId="6198" priority="6131" stopIfTrue="1" operator="equal">
      <formula>"TERCIARIA"</formula>
    </cfRule>
  </conditionalFormatting>
  <conditionalFormatting sqref="AB3113:AB3122">
    <cfRule type="cellIs" dxfId="6197" priority="6128" stopIfTrue="1" operator="equal">
      <formula>"N/A"</formula>
    </cfRule>
    <cfRule type="cellIs" dxfId="6196" priority="6129" stopIfTrue="1" operator="equal">
      <formula>"NO"</formula>
    </cfRule>
  </conditionalFormatting>
  <conditionalFormatting sqref="M3143:M3152">
    <cfRule type="cellIs" dxfId="6195" priority="6127" stopIfTrue="1" operator="lessThan">
      <formula>0</formula>
    </cfRule>
  </conditionalFormatting>
  <conditionalFormatting sqref="C3145:D3151 B3144:B3151 F3145:I3151 C3144:I3144 B3152:O3152 B3143:R3143 Q3144:R3145 J3144:O3151 Q3146:Q3152 P3144:P3152">
    <cfRule type="cellIs" dxfId="6194" priority="6126" stopIfTrue="1" operator="greaterThan">
      <formula>0</formula>
    </cfRule>
  </conditionalFormatting>
  <conditionalFormatting sqref="C3145:D3151">
    <cfRule type="cellIs" dxfId="6193" priority="6125" stopIfTrue="1" operator="greaterThan">
      <formula>0</formula>
    </cfRule>
  </conditionalFormatting>
  <conditionalFormatting sqref="C3143:M3143 C3145:D3151 F3145:I3151 C3144:I3144 K3144:M3151 J3144:J3152 L3152:M3152">
    <cfRule type="cellIs" dxfId="6192" priority="6124" stopIfTrue="1" operator="greaterThan">
      <formula>0</formula>
    </cfRule>
  </conditionalFormatting>
  <conditionalFormatting sqref="M3143:M3152">
    <cfRule type="cellIs" dxfId="6191" priority="6123" stopIfTrue="1" operator="lessThan">
      <formula>0</formula>
    </cfRule>
  </conditionalFormatting>
  <conditionalFormatting sqref="J3144:J3152 L3144:O3152 C3143:O3143">
    <cfRule type="cellIs" dxfId="6190" priority="6122" stopIfTrue="1" operator="greaterThan">
      <formula>0</formula>
    </cfRule>
  </conditionalFormatting>
  <conditionalFormatting sqref="H3145:I3151 K3145:M3152">
    <cfRule type="cellIs" dxfId="6189" priority="6121" stopIfTrue="1" operator="greaterThan">
      <formula>0</formula>
    </cfRule>
  </conditionalFormatting>
  <conditionalFormatting sqref="I3144">
    <cfRule type="cellIs" dxfId="6188" priority="6120" stopIfTrue="1" operator="greaterThan">
      <formula>0</formula>
    </cfRule>
  </conditionalFormatting>
  <conditionalFormatting sqref="I3152">
    <cfRule type="cellIs" dxfId="6187" priority="6119" stopIfTrue="1" operator="greaterThan">
      <formula>0</formula>
    </cfRule>
  </conditionalFormatting>
  <conditionalFormatting sqref="E3145:E3151">
    <cfRule type="cellIs" dxfId="6186" priority="6118" stopIfTrue="1" operator="greaterThan">
      <formula>0</formula>
    </cfRule>
  </conditionalFormatting>
  <conditionalFormatting sqref="K3160:K3165">
    <cfRule type="containsText" dxfId="6185" priority="6116" stopIfTrue="1" operator="containsText" text="NO CUMPLE">
      <formula>NOT(ISERROR(SEARCH("NO CUMPLE",K3160)))</formula>
    </cfRule>
    <cfRule type="containsText" dxfId="6184" priority="6117" stopIfTrue="1" operator="containsText" text="CUMPLE">
      <formula>NOT(ISERROR(SEARCH("CUMPLE",K3160)))</formula>
    </cfRule>
  </conditionalFormatting>
  <conditionalFormatting sqref="K3166">
    <cfRule type="containsText" dxfId="6183" priority="6114" stopIfTrue="1" operator="containsText" text="NO CUMPLE">
      <formula>NOT(ISERROR(SEARCH("NO CUMPLE",K3166)))</formula>
    </cfRule>
    <cfRule type="containsText" dxfId="6182" priority="6115" stopIfTrue="1" operator="containsText" text="CUMPLE">
      <formula>NOT(ISERROR(SEARCH("CUMPLE",K3166)))</formula>
    </cfRule>
  </conditionalFormatting>
  <conditionalFormatting sqref="Q3159">
    <cfRule type="cellIs" dxfId="6181" priority="6112" operator="greaterThanOrEqual">
      <formula>NUMMINCONT</formula>
    </cfRule>
    <cfRule type="cellIs" dxfId="6180" priority="6113" operator="lessThan">
      <formula>NUMMINCONT</formula>
    </cfRule>
  </conditionalFormatting>
  <conditionalFormatting sqref="W3143:Y3151">
    <cfRule type="cellIs" dxfId="6179" priority="6110" stopIfTrue="1" operator="equal">
      <formula>"NO"</formula>
    </cfRule>
    <cfRule type="cellIs" dxfId="6178" priority="6111" stopIfTrue="1" operator="equal">
      <formula>"SI"</formula>
    </cfRule>
  </conditionalFormatting>
  <conditionalFormatting sqref="R3146">
    <cfRule type="cellIs" dxfId="6177" priority="6109" stopIfTrue="1" operator="greaterThan">
      <formula>0</formula>
    </cfRule>
  </conditionalFormatting>
  <conditionalFormatting sqref="R3147">
    <cfRule type="cellIs" dxfId="6176" priority="6108" stopIfTrue="1" operator="greaterThan">
      <formula>0</formula>
    </cfRule>
  </conditionalFormatting>
  <conditionalFormatting sqref="R3148">
    <cfRule type="cellIs" dxfId="6175" priority="6107" stopIfTrue="1" operator="greaterThan">
      <formula>0</formula>
    </cfRule>
  </conditionalFormatting>
  <conditionalFormatting sqref="R3149">
    <cfRule type="cellIs" dxfId="6174" priority="6106" stopIfTrue="1" operator="greaterThan">
      <formula>0</formula>
    </cfRule>
  </conditionalFormatting>
  <conditionalFormatting sqref="R3150">
    <cfRule type="cellIs" dxfId="6173" priority="6105" stopIfTrue="1" operator="greaterThan">
      <formula>0</formula>
    </cfRule>
  </conditionalFormatting>
  <conditionalFormatting sqref="R3151">
    <cfRule type="cellIs" dxfId="6172" priority="6104" stopIfTrue="1" operator="greaterThan">
      <formula>0</formula>
    </cfRule>
  </conditionalFormatting>
  <conditionalFormatting sqref="R3152">
    <cfRule type="cellIs" dxfId="6171" priority="6103" stopIfTrue="1" operator="greaterThan">
      <formula>0</formula>
    </cfRule>
  </conditionalFormatting>
  <conditionalFormatting sqref="W3143:X3143">
    <cfRule type="cellIs" dxfId="6170" priority="6102" stopIfTrue="1" operator="equal">
      <formula>"NO APLICA"</formula>
    </cfRule>
  </conditionalFormatting>
  <conditionalFormatting sqref="W3144:X3147">
    <cfRule type="cellIs" dxfId="6169" priority="6101" stopIfTrue="1" operator="equal">
      <formula>"NO APLICA"</formula>
    </cfRule>
  </conditionalFormatting>
  <conditionalFormatting sqref="W3144:X3144">
    <cfRule type="cellIs" dxfId="6168" priority="6100" stopIfTrue="1" operator="equal">
      <formula>"NO APLICA"</formula>
    </cfRule>
  </conditionalFormatting>
  <conditionalFormatting sqref="Y3143">
    <cfRule type="cellIs" dxfId="6167" priority="6099" stopIfTrue="1" operator="equal">
      <formula>"NO APLICA"</formula>
    </cfRule>
  </conditionalFormatting>
  <conditionalFormatting sqref="Y3144:Y3147">
    <cfRule type="cellIs" dxfId="6166" priority="6098" stopIfTrue="1" operator="equal">
      <formula>"NO APLICA"</formula>
    </cfRule>
  </conditionalFormatting>
  <conditionalFormatting sqref="W3148:X3151">
    <cfRule type="cellIs" dxfId="6165" priority="6097" stopIfTrue="1" operator="equal">
      <formula>"NO APLICA"</formula>
    </cfRule>
  </conditionalFormatting>
  <conditionalFormatting sqref="W3148:X3148">
    <cfRule type="cellIs" dxfId="6164" priority="6096" stopIfTrue="1" operator="equal">
      <formula>"NO APLICA"</formula>
    </cfRule>
  </conditionalFormatting>
  <conditionalFormatting sqref="Y3148:Y3151">
    <cfRule type="cellIs" dxfId="6163" priority="6095" stopIfTrue="1" operator="equal">
      <formula>"NO APLICA"</formula>
    </cfRule>
  </conditionalFormatting>
  <conditionalFormatting sqref="T3157">
    <cfRule type="cellIs" dxfId="6162" priority="6093" operator="equal">
      <formula>"CUMPLE"</formula>
    </cfRule>
    <cfRule type="cellIs" dxfId="6161" priority="6094" operator="equal">
      <formula>"NO CUMPLE"</formula>
    </cfRule>
  </conditionalFormatting>
  <conditionalFormatting sqref="T3157:T3159">
    <cfRule type="cellIs" dxfId="6160" priority="6092" operator="equal">
      <formula>"VERIFICAR"</formula>
    </cfRule>
  </conditionalFormatting>
  <conditionalFormatting sqref="AD3143:AF3147">
    <cfRule type="cellIs" dxfId="6159" priority="6090" stopIfTrue="1" operator="equal">
      <formula>"NO"</formula>
    </cfRule>
    <cfRule type="cellIs" dxfId="6158" priority="6091" stopIfTrue="1" operator="equal">
      <formula>"SI"</formula>
    </cfRule>
  </conditionalFormatting>
  <conditionalFormatting sqref="AD3148:AF3151">
    <cfRule type="cellIs" dxfId="6157" priority="6088" stopIfTrue="1" operator="equal">
      <formula>"NO"</formula>
    </cfRule>
    <cfRule type="cellIs" dxfId="6156" priority="6089" stopIfTrue="1" operator="equal">
      <formula>"SI"</formula>
    </cfRule>
  </conditionalFormatting>
  <conditionalFormatting sqref="W3152:Y3152">
    <cfRule type="cellIs" dxfId="6155" priority="6086" stopIfTrue="1" operator="equal">
      <formula>"NO"</formula>
    </cfRule>
    <cfRule type="cellIs" dxfId="6154" priority="6087" stopIfTrue="1" operator="equal">
      <formula>"SI"</formula>
    </cfRule>
  </conditionalFormatting>
  <conditionalFormatting sqref="W3152:X3152">
    <cfRule type="cellIs" dxfId="6153" priority="6085" stopIfTrue="1" operator="equal">
      <formula>"NO APLICA"</formula>
    </cfRule>
  </conditionalFormatting>
  <conditionalFormatting sqref="Y3152">
    <cfRule type="cellIs" dxfId="6152" priority="6084" stopIfTrue="1" operator="equal">
      <formula>"NO APLICA"</formula>
    </cfRule>
  </conditionalFormatting>
  <conditionalFormatting sqref="AD3152:AF3152">
    <cfRule type="cellIs" dxfId="6151" priority="6082" stopIfTrue="1" operator="equal">
      <formula>"NO"</formula>
    </cfRule>
    <cfRule type="cellIs" dxfId="6150" priority="6083" stopIfTrue="1" operator="equal">
      <formula>"SI"</formula>
    </cfRule>
  </conditionalFormatting>
  <conditionalFormatting sqref="AE3157">
    <cfRule type="cellIs" dxfId="6149" priority="6079" stopIfTrue="1" operator="equal">
      <formula>"VERIFICAR"</formula>
    </cfRule>
    <cfRule type="cellIs" dxfId="6148" priority="6080" stopIfTrue="1" operator="equal">
      <formula>"NO CUMPLE"</formula>
    </cfRule>
    <cfRule type="cellIs" dxfId="6147" priority="6081" stopIfTrue="1" operator="equal">
      <formula>"CUMPLE"</formula>
    </cfRule>
  </conditionalFormatting>
  <conditionalFormatting sqref="AF3157">
    <cfRule type="cellIs" dxfId="6146" priority="6076" stopIfTrue="1" operator="equal">
      <formula>"VERIFICAR"</formula>
    </cfRule>
    <cfRule type="cellIs" dxfId="6145" priority="6077" stopIfTrue="1" operator="equal">
      <formula>"NO CUMPLE"</formula>
    </cfRule>
    <cfRule type="cellIs" dxfId="6144" priority="6078" stopIfTrue="1" operator="equal">
      <formula>"CUMPLE"</formula>
    </cfRule>
  </conditionalFormatting>
  <conditionalFormatting sqref="Y3160">
    <cfRule type="cellIs" dxfId="6143" priority="6075" operator="equal">
      <formula>"VERIFICAR CUADRO"</formula>
    </cfRule>
  </conditionalFormatting>
  <conditionalFormatting sqref="AC3161:AC3166">
    <cfRule type="cellIs" dxfId="6142" priority="6074" stopIfTrue="1" operator="greaterThan">
      <formula>0</formula>
    </cfRule>
  </conditionalFormatting>
  <conditionalFormatting sqref="AC3161:AC3166">
    <cfRule type="cellIs" dxfId="6141" priority="6073" stopIfTrue="1" operator="greaterThan">
      <formula>0</formula>
    </cfRule>
  </conditionalFormatting>
  <conditionalFormatting sqref="AD3161:AD3166">
    <cfRule type="containsText" dxfId="6140" priority="6071" stopIfTrue="1" operator="containsText" text="NO CUMPLE">
      <formula>NOT(ISERROR(SEARCH("NO CUMPLE",AD3161)))</formula>
    </cfRule>
    <cfRule type="containsText" dxfId="6139" priority="6072" stopIfTrue="1" operator="containsText" text="CUMPLE">
      <formula>NOT(ISERROR(SEARCH("CUMPLE",AD3161)))</formula>
    </cfRule>
  </conditionalFormatting>
  <conditionalFormatting sqref="Y3166">
    <cfRule type="containsText" dxfId="6138" priority="6069" stopIfTrue="1" operator="containsText" text="NO CUMPLE">
      <formula>NOT(ISERROR(SEARCH("NO CUMPLE",Y3166)))</formula>
    </cfRule>
    <cfRule type="containsText" dxfId="6137" priority="6070" stopIfTrue="1" operator="containsText" text="CUMPLE">
      <formula>NOT(ISERROR(SEARCH("CUMPLE",Y3166)))</formula>
    </cfRule>
  </conditionalFormatting>
  <conditionalFormatting sqref="AA3143:AA3152">
    <cfRule type="cellIs" dxfId="6136" priority="6067" stopIfTrue="1" operator="equal">
      <formula>"NO APLICA"</formula>
    </cfRule>
    <cfRule type="cellIs" dxfId="6135" priority="6068" stopIfTrue="1" operator="equal">
      <formula>"TERCIARIA"</formula>
    </cfRule>
  </conditionalFormatting>
  <conditionalFormatting sqref="AB3143:AB3152">
    <cfRule type="cellIs" dxfId="6134" priority="6065" stopIfTrue="1" operator="equal">
      <formula>"N/A"</formula>
    </cfRule>
    <cfRule type="cellIs" dxfId="6133" priority="6066" stopIfTrue="1" operator="equal">
      <formula>"NO"</formula>
    </cfRule>
  </conditionalFormatting>
  <conditionalFormatting sqref="M3173:M3182">
    <cfRule type="cellIs" dxfId="6132" priority="6064" stopIfTrue="1" operator="lessThan">
      <formula>0</formula>
    </cfRule>
  </conditionalFormatting>
  <conditionalFormatting sqref="C3175:D3181 B3174:B3181 F3175:I3181 C3174:I3174 B3182:O3182 B3173:R3173 Q3174:R3175 J3174:O3181 Q3176:Q3182 P3174:P3182">
    <cfRule type="cellIs" dxfId="6131" priority="6063" stopIfTrue="1" operator="greaterThan">
      <formula>0</formula>
    </cfRule>
  </conditionalFormatting>
  <conditionalFormatting sqref="C3175:D3181">
    <cfRule type="cellIs" dxfId="6130" priority="6062" stopIfTrue="1" operator="greaterThan">
      <formula>0</formula>
    </cfRule>
  </conditionalFormatting>
  <conditionalFormatting sqref="C3173:M3173 C3175:D3181 F3175:I3181 C3174:I3174 K3174:M3181 J3174:J3182 L3182:M3182">
    <cfRule type="cellIs" dxfId="6129" priority="6061" stopIfTrue="1" operator="greaterThan">
      <formula>0</formula>
    </cfRule>
  </conditionalFormatting>
  <conditionalFormatting sqref="M3173:M3182">
    <cfRule type="cellIs" dxfId="6128" priority="6060" stopIfTrue="1" operator="lessThan">
      <formula>0</formula>
    </cfRule>
  </conditionalFormatting>
  <conditionalFormatting sqref="J3174:J3182 L3174:O3182 C3173:O3173">
    <cfRule type="cellIs" dxfId="6127" priority="6059" stopIfTrue="1" operator="greaterThan">
      <formula>0</formula>
    </cfRule>
  </conditionalFormatting>
  <conditionalFormatting sqref="H3175:I3181 K3175:M3182">
    <cfRule type="cellIs" dxfId="6126" priority="6058" stopIfTrue="1" operator="greaterThan">
      <formula>0</formula>
    </cfRule>
  </conditionalFormatting>
  <conditionalFormatting sqref="I3174">
    <cfRule type="cellIs" dxfId="6125" priority="6057" stopIfTrue="1" operator="greaterThan">
      <formula>0</formula>
    </cfRule>
  </conditionalFormatting>
  <conditionalFormatting sqref="I3182">
    <cfRule type="cellIs" dxfId="6124" priority="6056" stopIfTrue="1" operator="greaterThan">
      <formula>0</formula>
    </cfRule>
  </conditionalFormatting>
  <conditionalFormatting sqref="E3175:E3181">
    <cfRule type="cellIs" dxfId="6123" priority="6055" stopIfTrue="1" operator="greaterThan">
      <formula>0</formula>
    </cfRule>
  </conditionalFormatting>
  <conditionalFormatting sqref="K3190:K3195">
    <cfRule type="containsText" dxfId="6122" priority="6053" stopIfTrue="1" operator="containsText" text="NO CUMPLE">
      <formula>NOT(ISERROR(SEARCH("NO CUMPLE",K3190)))</formula>
    </cfRule>
    <cfRule type="containsText" dxfId="6121" priority="6054" stopIfTrue="1" operator="containsText" text="CUMPLE">
      <formula>NOT(ISERROR(SEARCH("CUMPLE",K3190)))</formula>
    </cfRule>
  </conditionalFormatting>
  <conditionalFormatting sqref="K3196">
    <cfRule type="containsText" dxfId="6120" priority="6051" stopIfTrue="1" operator="containsText" text="NO CUMPLE">
      <formula>NOT(ISERROR(SEARCH("NO CUMPLE",K3196)))</formula>
    </cfRule>
    <cfRule type="containsText" dxfId="6119" priority="6052" stopIfTrue="1" operator="containsText" text="CUMPLE">
      <formula>NOT(ISERROR(SEARCH("CUMPLE",K3196)))</formula>
    </cfRule>
  </conditionalFormatting>
  <conditionalFormatting sqref="Q3189">
    <cfRule type="cellIs" dxfId="6118" priority="6049" operator="greaterThanOrEqual">
      <formula>NUMMINCONT</formula>
    </cfRule>
    <cfRule type="cellIs" dxfId="6117" priority="6050" operator="lessThan">
      <formula>NUMMINCONT</formula>
    </cfRule>
  </conditionalFormatting>
  <conditionalFormatting sqref="W3173:Y3181">
    <cfRule type="cellIs" dxfId="6116" priority="6047" stopIfTrue="1" operator="equal">
      <formula>"NO"</formula>
    </cfRule>
    <cfRule type="cellIs" dxfId="6115" priority="6048" stopIfTrue="1" operator="equal">
      <formula>"SI"</formula>
    </cfRule>
  </conditionalFormatting>
  <conditionalFormatting sqref="R3176">
    <cfRule type="cellIs" dxfId="6114" priority="6046" stopIfTrue="1" operator="greaterThan">
      <formula>0</formula>
    </cfRule>
  </conditionalFormatting>
  <conditionalFormatting sqref="R3177">
    <cfRule type="cellIs" dxfId="6113" priority="6045" stopIfTrue="1" operator="greaterThan">
      <formula>0</formula>
    </cfRule>
  </conditionalFormatting>
  <conditionalFormatting sqref="R3178">
    <cfRule type="cellIs" dxfId="6112" priority="6044" stopIfTrue="1" operator="greaterThan">
      <formula>0</formula>
    </cfRule>
  </conditionalFormatting>
  <conditionalFormatting sqref="R3179">
    <cfRule type="cellIs" dxfId="6111" priority="6043" stopIfTrue="1" operator="greaterThan">
      <formula>0</formula>
    </cfRule>
  </conditionalFormatting>
  <conditionalFormatting sqref="R3180">
    <cfRule type="cellIs" dxfId="6110" priority="6042" stopIfTrue="1" operator="greaterThan">
      <formula>0</formula>
    </cfRule>
  </conditionalFormatting>
  <conditionalFormatting sqref="R3181">
    <cfRule type="cellIs" dxfId="6109" priority="6041" stopIfTrue="1" operator="greaterThan">
      <formula>0</formula>
    </cfRule>
  </conditionalFormatting>
  <conditionalFormatting sqref="R3182">
    <cfRule type="cellIs" dxfId="6108" priority="6040" stopIfTrue="1" operator="greaterThan">
      <formula>0</formula>
    </cfRule>
  </conditionalFormatting>
  <conditionalFormatting sqref="W3173:X3173">
    <cfRule type="cellIs" dxfId="6107" priority="6039" stopIfTrue="1" operator="equal">
      <formula>"NO APLICA"</formula>
    </cfRule>
  </conditionalFormatting>
  <conditionalFormatting sqref="W3174:X3177">
    <cfRule type="cellIs" dxfId="6106" priority="6038" stopIfTrue="1" operator="equal">
      <formula>"NO APLICA"</formula>
    </cfRule>
  </conditionalFormatting>
  <conditionalFormatting sqref="W3174:X3174">
    <cfRule type="cellIs" dxfId="6105" priority="6037" stopIfTrue="1" operator="equal">
      <formula>"NO APLICA"</formula>
    </cfRule>
  </conditionalFormatting>
  <conditionalFormatting sqref="Y3173">
    <cfRule type="cellIs" dxfId="6104" priority="6036" stopIfTrue="1" operator="equal">
      <formula>"NO APLICA"</formula>
    </cfRule>
  </conditionalFormatting>
  <conditionalFormatting sqref="Y3174:Y3177">
    <cfRule type="cellIs" dxfId="6103" priority="6035" stopIfTrue="1" operator="equal">
      <formula>"NO APLICA"</formula>
    </cfRule>
  </conditionalFormatting>
  <conditionalFormatting sqref="W3178:X3181">
    <cfRule type="cellIs" dxfId="6102" priority="6034" stopIfTrue="1" operator="equal">
      <formula>"NO APLICA"</formula>
    </cfRule>
  </conditionalFormatting>
  <conditionalFormatting sqref="W3178:X3178">
    <cfRule type="cellIs" dxfId="6101" priority="6033" stopIfTrue="1" operator="equal">
      <formula>"NO APLICA"</formula>
    </cfRule>
  </conditionalFormatting>
  <conditionalFormatting sqref="Y3178:Y3181">
    <cfRule type="cellIs" dxfId="6100" priority="6032" stopIfTrue="1" operator="equal">
      <formula>"NO APLICA"</formula>
    </cfRule>
  </conditionalFormatting>
  <conditionalFormatting sqref="T3187">
    <cfRule type="cellIs" dxfId="6099" priority="6030" operator="equal">
      <formula>"CUMPLE"</formula>
    </cfRule>
    <cfRule type="cellIs" dxfId="6098" priority="6031" operator="equal">
      <formula>"NO CUMPLE"</formula>
    </cfRule>
  </conditionalFormatting>
  <conditionalFormatting sqref="T3187:T3189">
    <cfRule type="cellIs" dxfId="6097" priority="6029" operator="equal">
      <formula>"VERIFICAR"</formula>
    </cfRule>
  </conditionalFormatting>
  <conditionalFormatting sqref="AD3173:AF3177">
    <cfRule type="cellIs" dxfId="6096" priority="6027" stopIfTrue="1" operator="equal">
      <formula>"NO"</formula>
    </cfRule>
    <cfRule type="cellIs" dxfId="6095" priority="6028" stopIfTrue="1" operator="equal">
      <formula>"SI"</formula>
    </cfRule>
  </conditionalFormatting>
  <conditionalFormatting sqref="AD3178:AF3181">
    <cfRule type="cellIs" dxfId="6094" priority="6025" stopIfTrue="1" operator="equal">
      <formula>"NO"</formula>
    </cfRule>
    <cfRule type="cellIs" dxfId="6093" priority="6026" stopIfTrue="1" operator="equal">
      <formula>"SI"</formula>
    </cfRule>
  </conditionalFormatting>
  <conditionalFormatting sqref="W3182:Y3182">
    <cfRule type="cellIs" dxfId="6092" priority="6023" stopIfTrue="1" operator="equal">
      <formula>"NO"</formula>
    </cfRule>
    <cfRule type="cellIs" dxfId="6091" priority="6024" stopIfTrue="1" operator="equal">
      <formula>"SI"</formula>
    </cfRule>
  </conditionalFormatting>
  <conditionalFormatting sqref="W3182:X3182">
    <cfRule type="cellIs" dxfId="6090" priority="6022" stopIfTrue="1" operator="equal">
      <formula>"NO APLICA"</formula>
    </cfRule>
  </conditionalFormatting>
  <conditionalFormatting sqref="Y3182">
    <cfRule type="cellIs" dxfId="6089" priority="6021" stopIfTrue="1" operator="equal">
      <formula>"NO APLICA"</formula>
    </cfRule>
  </conditionalFormatting>
  <conditionalFormatting sqref="AD3182:AF3182">
    <cfRule type="cellIs" dxfId="6088" priority="6019" stopIfTrue="1" operator="equal">
      <formula>"NO"</formula>
    </cfRule>
    <cfRule type="cellIs" dxfId="6087" priority="6020" stopIfTrue="1" operator="equal">
      <formula>"SI"</formula>
    </cfRule>
  </conditionalFormatting>
  <conditionalFormatting sqref="AE3187">
    <cfRule type="cellIs" dxfId="6086" priority="6016" stopIfTrue="1" operator="equal">
      <formula>"VERIFICAR"</formula>
    </cfRule>
    <cfRule type="cellIs" dxfId="6085" priority="6017" stopIfTrue="1" operator="equal">
      <formula>"NO CUMPLE"</formula>
    </cfRule>
    <cfRule type="cellIs" dxfId="6084" priority="6018" stopIfTrue="1" operator="equal">
      <formula>"CUMPLE"</formula>
    </cfRule>
  </conditionalFormatting>
  <conditionalFormatting sqref="AF3187">
    <cfRule type="cellIs" dxfId="6083" priority="6013" stopIfTrue="1" operator="equal">
      <formula>"VERIFICAR"</formula>
    </cfRule>
    <cfRule type="cellIs" dxfId="6082" priority="6014" stopIfTrue="1" operator="equal">
      <formula>"NO CUMPLE"</formula>
    </cfRule>
    <cfRule type="cellIs" dxfId="6081" priority="6015" stopIfTrue="1" operator="equal">
      <formula>"CUMPLE"</formula>
    </cfRule>
  </conditionalFormatting>
  <conditionalFormatting sqref="Y3190">
    <cfRule type="cellIs" dxfId="6080" priority="6012" operator="equal">
      <formula>"VERIFICAR CUADRO"</formula>
    </cfRule>
  </conditionalFormatting>
  <conditionalFormatting sqref="AC3191:AC3196">
    <cfRule type="cellIs" dxfId="6079" priority="6011" stopIfTrue="1" operator="greaterThan">
      <formula>0</formula>
    </cfRule>
  </conditionalFormatting>
  <conditionalFormatting sqref="AC3191:AC3196">
    <cfRule type="cellIs" dxfId="6078" priority="6010" stopIfTrue="1" operator="greaterThan">
      <formula>0</formula>
    </cfRule>
  </conditionalFormatting>
  <conditionalFormatting sqref="AD3191:AD3196">
    <cfRule type="containsText" dxfId="6077" priority="6008" stopIfTrue="1" operator="containsText" text="NO CUMPLE">
      <formula>NOT(ISERROR(SEARCH("NO CUMPLE",AD3191)))</formula>
    </cfRule>
    <cfRule type="containsText" dxfId="6076" priority="6009" stopIfTrue="1" operator="containsText" text="CUMPLE">
      <formula>NOT(ISERROR(SEARCH("CUMPLE",AD3191)))</formula>
    </cfRule>
  </conditionalFormatting>
  <conditionalFormatting sqref="Y3196">
    <cfRule type="containsText" dxfId="6075" priority="6006" stopIfTrue="1" operator="containsText" text="NO CUMPLE">
      <formula>NOT(ISERROR(SEARCH("NO CUMPLE",Y3196)))</formula>
    </cfRule>
    <cfRule type="containsText" dxfId="6074" priority="6007" stopIfTrue="1" operator="containsText" text="CUMPLE">
      <formula>NOT(ISERROR(SEARCH("CUMPLE",Y3196)))</formula>
    </cfRule>
  </conditionalFormatting>
  <conditionalFormatting sqref="AA3173:AA3182">
    <cfRule type="cellIs" dxfId="6073" priority="6004" stopIfTrue="1" operator="equal">
      <formula>"NO APLICA"</formula>
    </cfRule>
    <cfRule type="cellIs" dxfId="6072" priority="6005" stopIfTrue="1" operator="equal">
      <formula>"TERCIARIA"</formula>
    </cfRule>
  </conditionalFormatting>
  <conditionalFormatting sqref="AB3173:AB3182">
    <cfRule type="cellIs" dxfId="6071" priority="6002" stopIfTrue="1" operator="equal">
      <formula>"N/A"</formula>
    </cfRule>
    <cfRule type="cellIs" dxfId="6070" priority="6003" stopIfTrue="1" operator="equal">
      <formula>"NO"</formula>
    </cfRule>
  </conditionalFormatting>
  <conditionalFormatting sqref="M3203:M3212">
    <cfRule type="cellIs" dxfId="6069" priority="6001" stopIfTrue="1" operator="lessThan">
      <formula>0</formula>
    </cfRule>
  </conditionalFormatting>
  <conditionalFormatting sqref="C3205:D3211 B3204:B3211 F3205:I3211 C3204:I3204 B3212:O3212 B3203:R3203 Q3204:R3205 J3204:O3211 Q3206:Q3212 P3204:P3212">
    <cfRule type="cellIs" dxfId="6068" priority="6000" stopIfTrue="1" operator="greaterThan">
      <formula>0</formula>
    </cfRule>
  </conditionalFormatting>
  <conditionalFormatting sqref="C3205:D3211">
    <cfRule type="cellIs" dxfId="6067" priority="5999" stopIfTrue="1" operator="greaterThan">
      <formula>0</formula>
    </cfRule>
  </conditionalFormatting>
  <conditionalFormatting sqref="C3203:M3203 C3205:D3211 F3205:I3211 C3204:I3204 K3204:M3211 J3204:J3212 L3212:M3212">
    <cfRule type="cellIs" dxfId="6066" priority="5998" stopIfTrue="1" operator="greaterThan">
      <formula>0</formula>
    </cfRule>
  </conditionalFormatting>
  <conditionalFormatting sqref="M3203:M3212">
    <cfRule type="cellIs" dxfId="6065" priority="5997" stopIfTrue="1" operator="lessThan">
      <formula>0</formula>
    </cfRule>
  </conditionalFormatting>
  <conditionalFormatting sqref="J3204:J3212 L3204:O3212 C3203:O3203">
    <cfRule type="cellIs" dxfId="6064" priority="5996" stopIfTrue="1" operator="greaterThan">
      <formula>0</formula>
    </cfRule>
  </conditionalFormatting>
  <conditionalFormatting sqref="H3205:I3211 K3205:M3212">
    <cfRule type="cellIs" dxfId="6063" priority="5995" stopIfTrue="1" operator="greaterThan">
      <formula>0</formula>
    </cfRule>
  </conditionalFormatting>
  <conditionalFormatting sqref="I3204">
    <cfRule type="cellIs" dxfId="6062" priority="5994" stopIfTrue="1" operator="greaterThan">
      <formula>0</formula>
    </cfRule>
  </conditionalFormatting>
  <conditionalFormatting sqref="I3212">
    <cfRule type="cellIs" dxfId="6061" priority="5993" stopIfTrue="1" operator="greaterThan">
      <formula>0</formula>
    </cfRule>
  </conditionalFormatting>
  <conditionalFormatting sqref="E3205:E3211">
    <cfRule type="cellIs" dxfId="6060" priority="5992" stopIfTrue="1" operator="greaterThan">
      <formula>0</formula>
    </cfRule>
  </conditionalFormatting>
  <conditionalFormatting sqref="K3220:K3225">
    <cfRule type="containsText" dxfId="6059" priority="5990" stopIfTrue="1" operator="containsText" text="NO CUMPLE">
      <formula>NOT(ISERROR(SEARCH("NO CUMPLE",K3220)))</formula>
    </cfRule>
    <cfRule type="containsText" dxfId="6058" priority="5991" stopIfTrue="1" operator="containsText" text="CUMPLE">
      <formula>NOT(ISERROR(SEARCH("CUMPLE",K3220)))</formula>
    </cfRule>
  </conditionalFormatting>
  <conditionalFormatting sqref="K3226">
    <cfRule type="containsText" dxfId="6057" priority="5988" stopIfTrue="1" operator="containsText" text="NO CUMPLE">
      <formula>NOT(ISERROR(SEARCH("NO CUMPLE",K3226)))</formula>
    </cfRule>
    <cfRule type="containsText" dxfId="6056" priority="5989" stopIfTrue="1" operator="containsText" text="CUMPLE">
      <formula>NOT(ISERROR(SEARCH("CUMPLE",K3226)))</formula>
    </cfRule>
  </conditionalFormatting>
  <conditionalFormatting sqref="Q3219">
    <cfRule type="cellIs" dxfId="6055" priority="5986" operator="greaterThanOrEqual">
      <formula>NUMMINCONT</formula>
    </cfRule>
    <cfRule type="cellIs" dxfId="6054" priority="5987" operator="lessThan">
      <formula>NUMMINCONT</formula>
    </cfRule>
  </conditionalFormatting>
  <conditionalFormatting sqref="W3203:Y3211">
    <cfRule type="cellIs" dxfId="6053" priority="5984" stopIfTrue="1" operator="equal">
      <formula>"NO"</formula>
    </cfRule>
    <cfRule type="cellIs" dxfId="6052" priority="5985" stopIfTrue="1" operator="equal">
      <formula>"SI"</formula>
    </cfRule>
  </conditionalFormatting>
  <conditionalFormatting sqref="R3206">
    <cfRule type="cellIs" dxfId="6051" priority="5983" stopIfTrue="1" operator="greaterThan">
      <formula>0</formula>
    </cfRule>
  </conditionalFormatting>
  <conditionalFormatting sqref="R3207">
    <cfRule type="cellIs" dxfId="6050" priority="5982" stopIfTrue="1" operator="greaterThan">
      <formula>0</formula>
    </cfRule>
  </conditionalFormatting>
  <conditionalFormatting sqref="R3208">
    <cfRule type="cellIs" dxfId="6049" priority="5981" stopIfTrue="1" operator="greaterThan">
      <formula>0</formula>
    </cfRule>
  </conditionalFormatting>
  <conditionalFormatting sqref="R3209">
    <cfRule type="cellIs" dxfId="6048" priority="5980" stopIfTrue="1" operator="greaterThan">
      <formula>0</formula>
    </cfRule>
  </conditionalFormatting>
  <conditionalFormatting sqref="R3210">
    <cfRule type="cellIs" dxfId="6047" priority="5979" stopIfTrue="1" operator="greaterThan">
      <formula>0</formula>
    </cfRule>
  </conditionalFormatting>
  <conditionalFormatting sqref="R3211">
    <cfRule type="cellIs" dxfId="6046" priority="5978" stopIfTrue="1" operator="greaterThan">
      <formula>0</formula>
    </cfRule>
  </conditionalFormatting>
  <conditionalFormatting sqref="R3212">
    <cfRule type="cellIs" dxfId="6045" priority="5977" stopIfTrue="1" operator="greaterThan">
      <formula>0</formula>
    </cfRule>
  </conditionalFormatting>
  <conditionalFormatting sqref="W3203:X3203">
    <cfRule type="cellIs" dxfId="6044" priority="5976" stopIfTrue="1" operator="equal">
      <formula>"NO APLICA"</formula>
    </cfRule>
  </conditionalFormatting>
  <conditionalFormatting sqref="W3204:X3207">
    <cfRule type="cellIs" dxfId="6043" priority="5975" stopIfTrue="1" operator="equal">
      <formula>"NO APLICA"</formula>
    </cfRule>
  </conditionalFormatting>
  <conditionalFormatting sqref="W3204:X3204">
    <cfRule type="cellIs" dxfId="6042" priority="5974" stopIfTrue="1" operator="equal">
      <formula>"NO APLICA"</formula>
    </cfRule>
  </conditionalFormatting>
  <conditionalFormatting sqref="Y3203">
    <cfRule type="cellIs" dxfId="6041" priority="5973" stopIfTrue="1" operator="equal">
      <formula>"NO APLICA"</formula>
    </cfRule>
  </conditionalFormatting>
  <conditionalFormatting sqref="Y3204:Y3207">
    <cfRule type="cellIs" dxfId="6040" priority="5972" stopIfTrue="1" operator="equal">
      <formula>"NO APLICA"</formula>
    </cfRule>
  </conditionalFormatting>
  <conditionalFormatting sqref="W3208:X3211">
    <cfRule type="cellIs" dxfId="6039" priority="5971" stopIfTrue="1" operator="equal">
      <formula>"NO APLICA"</formula>
    </cfRule>
  </conditionalFormatting>
  <conditionalFormatting sqref="W3208:X3208">
    <cfRule type="cellIs" dxfId="6038" priority="5970" stopIfTrue="1" operator="equal">
      <formula>"NO APLICA"</formula>
    </cfRule>
  </conditionalFormatting>
  <conditionalFormatting sqref="Y3208:Y3211">
    <cfRule type="cellIs" dxfId="6037" priority="5969" stopIfTrue="1" operator="equal">
      <formula>"NO APLICA"</formula>
    </cfRule>
  </conditionalFormatting>
  <conditionalFormatting sqref="T3217">
    <cfRule type="cellIs" dxfId="6036" priority="5967" operator="equal">
      <formula>"CUMPLE"</formula>
    </cfRule>
    <cfRule type="cellIs" dxfId="6035" priority="5968" operator="equal">
      <formula>"NO CUMPLE"</formula>
    </cfRule>
  </conditionalFormatting>
  <conditionalFormatting sqref="T3217:T3219">
    <cfRule type="cellIs" dxfId="6034" priority="5966" operator="equal">
      <formula>"VERIFICAR"</formula>
    </cfRule>
  </conditionalFormatting>
  <conditionalFormatting sqref="AD3203:AF3207">
    <cfRule type="cellIs" dxfId="6033" priority="5964" stopIfTrue="1" operator="equal">
      <formula>"NO"</formula>
    </cfRule>
    <cfRule type="cellIs" dxfId="6032" priority="5965" stopIfTrue="1" operator="equal">
      <formula>"SI"</formula>
    </cfRule>
  </conditionalFormatting>
  <conditionalFormatting sqref="AD3208:AF3211">
    <cfRule type="cellIs" dxfId="6031" priority="5962" stopIfTrue="1" operator="equal">
      <formula>"NO"</formula>
    </cfRule>
    <cfRule type="cellIs" dxfId="6030" priority="5963" stopIfTrue="1" operator="equal">
      <formula>"SI"</formula>
    </cfRule>
  </conditionalFormatting>
  <conditionalFormatting sqref="W3212:Y3212">
    <cfRule type="cellIs" dxfId="6029" priority="5960" stopIfTrue="1" operator="equal">
      <formula>"NO"</formula>
    </cfRule>
    <cfRule type="cellIs" dxfId="6028" priority="5961" stopIfTrue="1" operator="equal">
      <formula>"SI"</formula>
    </cfRule>
  </conditionalFormatting>
  <conditionalFormatting sqref="W3212:X3212">
    <cfRule type="cellIs" dxfId="6027" priority="5959" stopIfTrue="1" operator="equal">
      <formula>"NO APLICA"</formula>
    </cfRule>
  </conditionalFormatting>
  <conditionalFormatting sqref="Y3212">
    <cfRule type="cellIs" dxfId="6026" priority="5958" stopIfTrue="1" operator="equal">
      <formula>"NO APLICA"</formula>
    </cfRule>
  </conditionalFormatting>
  <conditionalFormatting sqref="AD3212:AF3212">
    <cfRule type="cellIs" dxfId="6025" priority="5956" stopIfTrue="1" operator="equal">
      <formula>"NO"</formula>
    </cfRule>
    <cfRule type="cellIs" dxfId="6024" priority="5957" stopIfTrue="1" operator="equal">
      <formula>"SI"</formula>
    </cfRule>
  </conditionalFormatting>
  <conditionalFormatting sqref="AE3217">
    <cfRule type="cellIs" dxfId="6023" priority="5953" stopIfTrue="1" operator="equal">
      <formula>"VERIFICAR"</formula>
    </cfRule>
    <cfRule type="cellIs" dxfId="6022" priority="5954" stopIfTrue="1" operator="equal">
      <formula>"NO CUMPLE"</formula>
    </cfRule>
    <cfRule type="cellIs" dxfId="6021" priority="5955" stopIfTrue="1" operator="equal">
      <formula>"CUMPLE"</formula>
    </cfRule>
  </conditionalFormatting>
  <conditionalFormatting sqref="AF3217">
    <cfRule type="cellIs" dxfId="6020" priority="5950" stopIfTrue="1" operator="equal">
      <formula>"VERIFICAR"</formula>
    </cfRule>
    <cfRule type="cellIs" dxfId="6019" priority="5951" stopIfTrue="1" operator="equal">
      <formula>"NO CUMPLE"</formula>
    </cfRule>
    <cfRule type="cellIs" dxfId="6018" priority="5952" stopIfTrue="1" operator="equal">
      <formula>"CUMPLE"</formula>
    </cfRule>
  </conditionalFormatting>
  <conditionalFormatting sqref="Y3220">
    <cfRule type="cellIs" dxfId="6017" priority="5949" operator="equal">
      <formula>"VERIFICAR CUADRO"</formula>
    </cfRule>
  </conditionalFormatting>
  <conditionalFormatting sqref="AC3221:AC3226">
    <cfRule type="cellIs" dxfId="6016" priority="5948" stopIfTrue="1" operator="greaterThan">
      <formula>0</formula>
    </cfRule>
  </conditionalFormatting>
  <conditionalFormatting sqref="AC3221:AC3226">
    <cfRule type="cellIs" dxfId="6015" priority="5947" stopIfTrue="1" operator="greaterThan">
      <formula>0</formula>
    </cfRule>
  </conditionalFormatting>
  <conditionalFormatting sqref="AD3221:AD3226">
    <cfRule type="containsText" dxfId="6014" priority="5945" stopIfTrue="1" operator="containsText" text="NO CUMPLE">
      <formula>NOT(ISERROR(SEARCH("NO CUMPLE",AD3221)))</formula>
    </cfRule>
    <cfRule type="containsText" dxfId="6013" priority="5946" stopIfTrue="1" operator="containsText" text="CUMPLE">
      <formula>NOT(ISERROR(SEARCH("CUMPLE",AD3221)))</formula>
    </cfRule>
  </conditionalFormatting>
  <conditionalFormatting sqref="Y3226">
    <cfRule type="containsText" dxfId="6012" priority="5943" stopIfTrue="1" operator="containsText" text="NO CUMPLE">
      <formula>NOT(ISERROR(SEARCH("NO CUMPLE",Y3226)))</formula>
    </cfRule>
    <cfRule type="containsText" dxfId="6011" priority="5944" stopIfTrue="1" operator="containsText" text="CUMPLE">
      <formula>NOT(ISERROR(SEARCH("CUMPLE",Y3226)))</formula>
    </cfRule>
  </conditionalFormatting>
  <conditionalFormatting sqref="AA3203:AA3212">
    <cfRule type="cellIs" dxfId="6010" priority="5941" stopIfTrue="1" operator="equal">
      <formula>"NO APLICA"</formula>
    </cfRule>
    <cfRule type="cellIs" dxfId="6009" priority="5942" stopIfTrue="1" operator="equal">
      <formula>"TERCIARIA"</formula>
    </cfRule>
  </conditionalFormatting>
  <conditionalFormatting sqref="AB3203:AB3212">
    <cfRule type="cellIs" dxfId="6008" priority="5939" stopIfTrue="1" operator="equal">
      <formula>"N/A"</formula>
    </cfRule>
    <cfRule type="cellIs" dxfId="6007" priority="5940" stopIfTrue="1" operator="equal">
      <formula>"NO"</formula>
    </cfRule>
  </conditionalFormatting>
  <conditionalFormatting sqref="M3233:M3242">
    <cfRule type="cellIs" dxfId="6006" priority="5938" stopIfTrue="1" operator="lessThan">
      <formula>0</formula>
    </cfRule>
  </conditionalFormatting>
  <conditionalFormatting sqref="C3235:D3241 B3234:B3241 F3235:I3241 C3234:I3234 B3242:O3242 B3233:R3233 Q3234:R3235 J3234:O3241 Q3236:Q3242 P3234:P3242">
    <cfRule type="cellIs" dxfId="6005" priority="5937" stopIfTrue="1" operator="greaterThan">
      <formula>0</formula>
    </cfRule>
  </conditionalFormatting>
  <conditionalFormatting sqref="C3235:D3241">
    <cfRule type="cellIs" dxfId="6004" priority="5936" stopIfTrue="1" operator="greaterThan">
      <formula>0</formula>
    </cfRule>
  </conditionalFormatting>
  <conditionalFormatting sqref="C3233:M3233 C3235:D3241 F3235:I3241 C3234:I3234 K3234:M3241 J3234:J3242 L3242:M3242">
    <cfRule type="cellIs" dxfId="6003" priority="5935" stopIfTrue="1" operator="greaterThan">
      <formula>0</formula>
    </cfRule>
  </conditionalFormatting>
  <conditionalFormatting sqref="M3233:M3242">
    <cfRule type="cellIs" dxfId="6002" priority="5934" stopIfTrue="1" operator="lessThan">
      <formula>0</formula>
    </cfRule>
  </conditionalFormatting>
  <conditionalFormatting sqref="J3234:J3242 L3234:O3242 C3233:O3233">
    <cfRule type="cellIs" dxfId="6001" priority="5933" stopIfTrue="1" operator="greaterThan">
      <formula>0</formula>
    </cfRule>
  </conditionalFormatting>
  <conditionalFormatting sqref="H3235:I3241 K3235:M3242">
    <cfRule type="cellIs" dxfId="6000" priority="5932" stopIfTrue="1" operator="greaterThan">
      <formula>0</formula>
    </cfRule>
  </conditionalFormatting>
  <conditionalFormatting sqref="I3234">
    <cfRule type="cellIs" dxfId="5999" priority="5931" stopIfTrue="1" operator="greaterThan">
      <formula>0</formula>
    </cfRule>
  </conditionalFormatting>
  <conditionalFormatting sqref="I3242">
    <cfRule type="cellIs" dxfId="5998" priority="5930" stopIfTrue="1" operator="greaterThan">
      <formula>0</formula>
    </cfRule>
  </conditionalFormatting>
  <conditionalFormatting sqref="E3235:E3241">
    <cfRule type="cellIs" dxfId="5997" priority="5929" stopIfTrue="1" operator="greaterThan">
      <formula>0</formula>
    </cfRule>
  </conditionalFormatting>
  <conditionalFormatting sqref="K3250:K3255">
    <cfRule type="containsText" dxfId="5996" priority="5927" stopIfTrue="1" operator="containsText" text="NO CUMPLE">
      <formula>NOT(ISERROR(SEARCH("NO CUMPLE",K3250)))</formula>
    </cfRule>
    <cfRule type="containsText" dxfId="5995" priority="5928" stopIfTrue="1" operator="containsText" text="CUMPLE">
      <formula>NOT(ISERROR(SEARCH("CUMPLE",K3250)))</formula>
    </cfRule>
  </conditionalFormatting>
  <conditionalFormatting sqref="K3256">
    <cfRule type="containsText" dxfId="5994" priority="5925" stopIfTrue="1" operator="containsText" text="NO CUMPLE">
      <formula>NOT(ISERROR(SEARCH("NO CUMPLE",K3256)))</formula>
    </cfRule>
    <cfRule type="containsText" dxfId="5993" priority="5926" stopIfTrue="1" operator="containsText" text="CUMPLE">
      <formula>NOT(ISERROR(SEARCH("CUMPLE",K3256)))</formula>
    </cfRule>
  </conditionalFormatting>
  <conditionalFormatting sqref="Q3249">
    <cfRule type="cellIs" dxfId="5992" priority="5923" operator="greaterThanOrEqual">
      <formula>NUMMINCONT</formula>
    </cfRule>
    <cfRule type="cellIs" dxfId="5991" priority="5924" operator="lessThan">
      <formula>NUMMINCONT</formula>
    </cfRule>
  </conditionalFormatting>
  <conditionalFormatting sqref="W3233:Y3241">
    <cfRule type="cellIs" dxfId="5990" priority="5921" stopIfTrue="1" operator="equal">
      <formula>"NO"</formula>
    </cfRule>
    <cfRule type="cellIs" dxfId="5989" priority="5922" stopIfTrue="1" operator="equal">
      <formula>"SI"</formula>
    </cfRule>
  </conditionalFormatting>
  <conditionalFormatting sqref="R3236">
    <cfRule type="cellIs" dxfId="5988" priority="5920" stopIfTrue="1" operator="greaterThan">
      <formula>0</formula>
    </cfRule>
  </conditionalFormatting>
  <conditionalFormatting sqref="R3237">
    <cfRule type="cellIs" dxfId="5987" priority="5919" stopIfTrue="1" operator="greaterThan">
      <formula>0</formula>
    </cfRule>
  </conditionalFormatting>
  <conditionalFormatting sqref="R3238">
    <cfRule type="cellIs" dxfId="5986" priority="5918" stopIfTrue="1" operator="greaterThan">
      <formula>0</formula>
    </cfRule>
  </conditionalFormatting>
  <conditionalFormatting sqref="R3239">
    <cfRule type="cellIs" dxfId="5985" priority="5917" stopIfTrue="1" operator="greaterThan">
      <formula>0</formula>
    </cfRule>
  </conditionalFormatting>
  <conditionalFormatting sqref="R3240">
    <cfRule type="cellIs" dxfId="5984" priority="5916" stopIfTrue="1" operator="greaterThan">
      <formula>0</formula>
    </cfRule>
  </conditionalFormatting>
  <conditionalFormatting sqref="R3241">
    <cfRule type="cellIs" dxfId="5983" priority="5915" stopIfTrue="1" operator="greaterThan">
      <formula>0</formula>
    </cfRule>
  </conditionalFormatting>
  <conditionalFormatting sqref="R3242">
    <cfRule type="cellIs" dxfId="5982" priority="5914" stopIfTrue="1" operator="greaterThan">
      <formula>0</formula>
    </cfRule>
  </conditionalFormatting>
  <conditionalFormatting sqref="W3233:X3233">
    <cfRule type="cellIs" dxfId="5981" priority="5913" stopIfTrue="1" operator="equal">
      <formula>"NO APLICA"</formula>
    </cfRule>
  </conditionalFormatting>
  <conditionalFormatting sqref="W3234:X3237">
    <cfRule type="cellIs" dxfId="5980" priority="5912" stopIfTrue="1" operator="equal">
      <formula>"NO APLICA"</formula>
    </cfRule>
  </conditionalFormatting>
  <conditionalFormatting sqref="W3234:X3234">
    <cfRule type="cellIs" dxfId="5979" priority="5911" stopIfTrue="1" operator="equal">
      <formula>"NO APLICA"</formula>
    </cfRule>
  </conditionalFormatting>
  <conditionalFormatting sqref="Y3233">
    <cfRule type="cellIs" dxfId="5978" priority="5910" stopIfTrue="1" operator="equal">
      <formula>"NO APLICA"</formula>
    </cfRule>
  </conditionalFormatting>
  <conditionalFormatting sqref="Y3234:Y3237">
    <cfRule type="cellIs" dxfId="5977" priority="5909" stopIfTrue="1" operator="equal">
      <formula>"NO APLICA"</formula>
    </cfRule>
  </conditionalFormatting>
  <conditionalFormatting sqref="W3238:X3241">
    <cfRule type="cellIs" dxfId="5976" priority="5908" stopIfTrue="1" operator="equal">
      <formula>"NO APLICA"</formula>
    </cfRule>
  </conditionalFormatting>
  <conditionalFormatting sqref="W3238:X3238">
    <cfRule type="cellIs" dxfId="5975" priority="5907" stopIfTrue="1" operator="equal">
      <formula>"NO APLICA"</formula>
    </cfRule>
  </conditionalFormatting>
  <conditionalFormatting sqref="Y3238:Y3241">
    <cfRule type="cellIs" dxfId="5974" priority="5906" stopIfTrue="1" operator="equal">
      <formula>"NO APLICA"</formula>
    </cfRule>
  </conditionalFormatting>
  <conditionalFormatting sqref="T3247">
    <cfRule type="cellIs" dxfId="5973" priority="5904" operator="equal">
      <formula>"CUMPLE"</formula>
    </cfRule>
    <cfRule type="cellIs" dxfId="5972" priority="5905" operator="equal">
      <formula>"NO CUMPLE"</formula>
    </cfRule>
  </conditionalFormatting>
  <conditionalFormatting sqref="T3247:T3249">
    <cfRule type="cellIs" dxfId="5971" priority="5903" operator="equal">
      <formula>"VERIFICAR"</formula>
    </cfRule>
  </conditionalFormatting>
  <conditionalFormatting sqref="AD3233:AF3237">
    <cfRule type="cellIs" dxfId="5970" priority="5901" stopIfTrue="1" operator="equal">
      <formula>"NO"</formula>
    </cfRule>
    <cfRule type="cellIs" dxfId="5969" priority="5902" stopIfTrue="1" operator="equal">
      <formula>"SI"</formula>
    </cfRule>
  </conditionalFormatting>
  <conditionalFormatting sqref="AD3238:AF3241">
    <cfRule type="cellIs" dxfId="5968" priority="5899" stopIfTrue="1" operator="equal">
      <formula>"NO"</formula>
    </cfRule>
    <cfRule type="cellIs" dxfId="5967" priority="5900" stopIfTrue="1" operator="equal">
      <formula>"SI"</formula>
    </cfRule>
  </conditionalFormatting>
  <conditionalFormatting sqref="W3242:Y3242">
    <cfRule type="cellIs" dxfId="5966" priority="5897" stopIfTrue="1" operator="equal">
      <formula>"NO"</formula>
    </cfRule>
    <cfRule type="cellIs" dxfId="5965" priority="5898" stopIfTrue="1" operator="equal">
      <formula>"SI"</formula>
    </cfRule>
  </conditionalFormatting>
  <conditionalFormatting sqref="W3242:X3242">
    <cfRule type="cellIs" dxfId="5964" priority="5896" stopIfTrue="1" operator="equal">
      <formula>"NO APLICA"</formula>
    </cfRule>
  </conditionalFormatting>
  <conditionalFormatting sqref="Y3242">
    <cfRule type="cellIs" dxfId="5963" priority="5895" stopIfTrue="1" operator="equal">
      <formula>"NO APLICA"</formula>
    </cfRule>
  </conditionalFormatting>
  <conditionalFormatting sqref="AD3242:AF3242">
    <cfRule type="cellIs" dxfId="5962" priority="5893" stopIfTrue="1" operator="equal">
      <formula>"NO"</formula>
    </cfRule>
    <cfRule type="cellIs" dxfId="5961" priority="5894" stopIfTrue="1" operator="equal">
      <formula>"SI"</formula>
    </cfRule>
  </conditionalFormatting>
  <conditionalFormatting sqref="AE3247">
    <cfRule type="cellIs" dxfId="5960" priority="5890" stopIfTrue="1" operator="equal">
      <formula>"VERIFICAR"</formula>
    </cfRule>
    <cfRule type="cellIs" dxfId="5959" priority="5891" stopIfTrue="1" operator="equal">
      <formula>"NO CUMPLE"</formula>
    </cfRule>
    <cfRule type="cellIs" dxfId="5958" priority="5892" stopIfTrue="1" operator="equal">
      <formula>"CUMPLE"</formula>
    </cfRule>
  </conditionalFormatting>
  <conditionalFormatting sqref="AF3247">
    <cfRule type="cellIs" dxfId="5957" priority="5887" stopIfTrue="1" operator="equal">
      <formula>"VERIFICAR"</formula>
    </cfRule>
    <cfRule type="cellIs" dxfId="5956" priority="5888" stopIfTrue="1" operator="equal">
      <formula>"NO CUMPLE"</formula>
    </cfRule>
    <cfRule type="cellIs" dxfId="5955" priority="5889" stopIfTrue="1" operator="equal">
      <formula>"CUMPLE"</formula>
    </cfRule>
  </conditionalFormatting>
  <conditionalFormatting sqref="Y3250">
    <cfRule type="cellIs" dxfId="5954" priority="5886" operator="equal">
      <formula>"VERIFICAR CUADRO"</formula>
    </cfRule>
  </conditionalFormatting>
  <conditionalFormatting sqref="AC3251:AC3256">
    <cfRule type="cellIs" dxfId="5953" priority="5885" stopIfTrue="1" operator="greaterThan">
      <formula>0</formula>
    </cfRule>
  </conditionalFormatting>
  <conditionalFormatting sqref="AC3251:AC3256">
    <cfRule type="cellIs" dxfId="5952" priority="5884" stopIfTrue="1" operator="greaterThan">
      <formula>0</formula>
    </cfRule>
  </conditionalFormatting>
  <conditionalFormatting sqref="AD3251:AD3256">
    <cfRule type="containsText" dxfId="5951" priority="5882" stopIfTrue="1" operator="containsText" text="NO CUMPLE">
      <formula>NOT(ISERROR(SEARCH("NO CUMPLE",AD3251)))</formula>
    </cfRule>
    <cfRule type="containsText" dxfId="5950" priority="5883" stopIfTrue="1" operator="containsText" text="CUMPLE">
      <formula>NOT(ISERROR(SEARCH("CUMPLE",AD3251)))</formula>
    </cfRule>
  </conditionalFormatting>
  <conditionalFormatting sqref="Y3256">
    <cfRule type="containsText" dxfId="5949" priority="5880" stopIfTrue="1" operator="containsText" text="NO CUMPLE">
      <formula>NOT(ISERROR(SEARCH("NO CUMPLE",Y3256)))</formula>
    </cfRule>
    <cfRule type="containsText" dxfId="5948" priority="5881" stopIfTrue="1" operator="containsText" text="CUMPLE">
      <formula>NOT(ISERROR(SEARCH("CUMPLE",Y3256)))</formula>
    </cfRule>
  </conditionalFormatting>
  <conditionalFormatting sqref="AA3233:AA3242">
    <cfRule type="cellIs" dxfId="5947" priority="5878" stopIfTrue="1" operator="equal">
      <formula>"NO APLICA"</formula>
    </cfRule>
    <cfRule type="cellIs" dxfId="5946" priority="5879" stopIfTrue="1" operator="equal">
      <formula>"TERCIARIA"</formula>
    </cfRule>
  </conditionalFormatting>
  <conditionalFormatting sqref="AB3233:AB3242">
    <cfRule type="cellIs" dxfId="5945" priority="5876" stopIfTrue="1" operator="equal">
      <formula>"N/A"</formula>
    </cfRule>
    <cfRule type="cellIs" dxfId="5944" priority="5877" stopIfTrue="1" operator="equal">
      <formula>"NO"</formula>
    </cfRule>
  </conditionalFormatting>
  <conditionalFormatting sqref="M3263:M3272">
    <cfRule type="cellIs" dxfId="5943" priority="5875" stopIfTrue="1" operator="lessThan">
      <formula>0</formula>
    </cfRule>
  </conditionalFormatting>
  <conditionalFormatting sqref="C3265:D3271 B3264:B3271 F3265:I3271 C3264:I3264 B3272:O3272 B3263:R3263 Q3264:R3265 J3264:O3271 Q3266:Q3272 P3264:P3272">
    <cfRule type="cellIs" dxfId="5942" priority="5874" stopIfTrue="1" operator="greaterThan">
      <formula>0</formula>
    </cfRule>
  </conditionalFormatting>
  <conditionalFormatting sqref="C3265:D3271">
    <cfRule type="cellIs" dxfId="5941" priority="5873" stopIfTrue="1" operator="greaterThan">
      <formula>0</formula>
    </cfRule>
  </conditionalFormatting>
  <conditionalFormatting sqref="C3263:M3263 C3265:D3271 F3265:I3271 C3264:I3264 K3264:M3271 J3264:J3272 L3272:M3272">
    <cfRule type="cellIs" dxfId="5940" priority="5872" stopIfTrue="1" operator="greaterThan">
      <formula>0</formula>
    </cfRule>
  </conditionalFormatting>
  <conditionalFormatting sqref="M3263:M3272">
    <cfRule type="cellIs" dxfId="5939" priority="5871" stopIfTrue="1" operator="lessThan">
      <formula>0</formula>
    </cfRule>
  </conditionalFormatting>
  <conditionalFormatting sqref="J3264:J3272 L3264:O3272 C3263:O3263">
    <cfRule type="cellIs" dxfId="5938" priority="5870" stopIfTrue="1" operator="greaterThan">
      <formula>0</formula>
    </cfRule>
  </conditionalFormatting>
  <conditionalFormatting sqref="H3265:I3271 K3265:M3272">
    <cfRule type="cellIs" dxfId="5937" priority="5869" stopIfTrue="1" operator="greaterThan">
      <formula>0</formula>
    </cfRule>
  </conditionalFormatting>
  <conditionalFormatting sqref="I3264">
    <cfRule type="cellIs" dxfId="5936" priority="5868" stopIfTrue="1" operator="greaterThan">
      <formula>0</formula>
    </cfRule>
  </conditionalFormatting>
  <conditionalFormatting sqref="I3272">
    <cfRule type="cellIs" dxfId="5935" priority="5867" stopIfTrue="1" operator="greaterThan">
      <formula>0</formula>
    </cfRule>
  </conditionalFormatting>
  <conditionalFormatting sqref="E3265:E3271">
    <cfRule type="cellIs" dxfId="5934" priority="5866" stopIfTrue="1" operator="greaterThan">
      <formula>0</formula>
    </cfRule>
  </conditionalFormatting>
  <conditionalFormatting sqref="K3280:K3285">
    <cfRule type="containsText" dxfId="5933" priority="5864" stopIfTrue="1" operator="containsText" text="NO CUMPLE">
      <formula>NOT(ISERROR(SEARCH("NO CUMPLE",K3280)))</formula>
    </cfRule>
    <cfRule type="containsText" dxfId="5932" priority="5865" stopIfTrue="1" operator="containsText" text="CUMPLE">
      <formula>NOT(ISERROR(SEARCH("CUMPLE",K3280)))</formula>
    </cfRule>
  </conditionalFormatting>
  <conditionalFormatting sqref="K3286">
    <cfRule type="containsText" dxfId="5931" priority="5862" stopIfTrue="1" operator="containsText" text="NO CUMPLE">
      <formula>NOT(ISERROR(SEARCH("NO CUMPLE",K3286)))</formula>
    </cfRule>
    <cfRule type="containsText" dxfId="5930" priority="5863" stopIfTrue="1" operator="containsText" text="CUMPLE">
      <formula>NOT(ISERROR(SEARCH("CUMPLE",K3286)))</formula>
    </cfRule>
  </conditionalFormatting>
  <conditionalFormatting sqref="Q3279">
    <cfRule type="cellIs" dxfId="5929" priority="5860" operator="greaterThanOrEqual">
      <formula>NUMMINCONT</formula>
    </cfRule>
    <cfRule type="cellIs" dxfId="5928" priority="5861" operator="lessThan">
      <formula>NUMMINCONT</formula>
    </cfRule>
  </conditionalFormatting>
  <conditionalFormatting sqref="W3263:Y3271">
    <cfRule type="cellIs" dxfId="5927" priority="5858" stopIfTrue="1" operator="equal">
      <formula>"NO"</formula>
    </cfRule>
    <cfRule type="cellIs" dxfId="5926" priority="5859" stopIfTrue="1" operator="equal">
      <formula>"SI"</formula>
    </cfRule>
  </conditionalFormatting>
  <conditionalFormatting sqref="R3266">
    <cfRule type="cellIs" dxfId="5925" priority="5857" stopIfTrue="1" operator="greaterThan">
      <formula>0</formula>
    </cfRule>
  </conditionalFormatting>
  <conditionalFormatting sqref="R3267">
    <cfRule type="cellIs" dxfId="5924" priority="5856" stopIfTrue="1" operator="greaterThan">
      <formula>0</formula>
    </cfRule>
  </conditionalFormatting>
  <conditionalFormatting sqref="R3268">
    <cfRule type="cellIs" dxfId="5923" priority="5855" stopIfTrue="1" operator="greaterThan">
      <formula>0</formula>
    </cfRule>
  </conditionalFormatting>
  <conditionalFormatting sqref="R3269">
    <cfRule type="cellIs" dxfId="5922" priority="5854" stopIfTrue="1" operator="greaterThan">
      <formula>0</formula>
    </cfRule>
  </conditionalFormatting>
  <conditionalFormatting sqref="R3270">
    <cfRule type="cellIs" dxfId="5921" priority="5853" stopIfTrue="1" operator="greaterThan">
      <formula>0</formula>
    </cfRule>
  </conditionalFormatting>
  <conditionalFormatting sqref="R3271">
    <cfRule type="cellIs" dxfId="5920" priority="5852" stopIfTrue="1" operator="greaterThan">
      <formula>0</formula>
    </cfRule>
  </conditionalFormatting>
  <conditionalFormatting sqref="R3272">
    <cfRule type="cellIs" dxfId="5919" priority="5851" stopIfTrue="1" operator="greaterThan">
      <formula>0</formula>
    </cfRule>
  </conditionalFormatting>
  <conditionalFormatting sqref="W3263:X3263">
    <cfRule type="cellIs" dxfId="5918" priority="5850" stopIfTrue="1" operator="equal">
      <formula>"NO APLICA"</formula>
    </cfRule>
  </conditionalFormatting>
  <conditionalFormatting sqref="W3264:X3267">
    <cfRule type="cellIs" dxfId="5917" priority="5849" stopIfTrue="1" operator="equal">
      <formula>"NO APLICA"</formula>
    </cfRule>
  </conditionalFormatting>
  <conditionalFormatting sqref="W3264:X3264">
    <cfRule type="cellIs" dxfId="5916" priority="5848" stopIfTrue="1" operator="equal">
      <formula>"NO APLICA"</formula>
    </cfRule>
  </conditionalFormatting>
  <conditionalFormatting sqref="Y3263">
    <cfRule type="cellIs" dxfId="5915" priority="5847" stopIfTrue="1" operator="equal">
      <formula>"NO APLICA"</formula>
    </cfRule>
  </conditionalFormatting>
  <conditionalFormatting sqref="Y3264:Y3267">
    <cfRule type="cellIs" dxfId="5914" priority="5846" stopIfTrue="1" operator="equal">
      <formula>"NO APLICA"</formula>
    </cfRule>
  </conditionalFormatting>
  <conditionalFormatting sqref="W3268:X3271">
    <cfRule type="cellIs" dxfId="5913" priority="5845" stopIfTrue="1" operator="equal">
      <formula>"NO APLICA"</formula>
    </cfRule>
  </conditionalFormatting>
  <conditionalFormatting sqref="W3268:X3268">
    <cfRule type="cellIs" dxfId="5912" priority="5844" stopIfTrue="1" operator="equal">
      <formula>"NO APLICA"</formula>
    </cfRule>
  </conditionalFormatting>
  <conditionalFormatting sqref="Y3268:Y3271">
    <cfRule type="cellIs" dxfId="5911" priority="5843" stopIfTrue="1" operator="equal">
      <formula>"NO APLICA"</formula>
    </cfRule>
  </conditionalFormatting>
  <conditionalFormatting sqref="T3277">
    <cfRule type="cellIs" dxfId="5910" priority="5841" operator="equal">
      <formula>"CUMPLE"</formula>
    </cfRule>
    <cfRule type="cellIs" dxfId="5909" priority="5842" operator="equal">
      <formula>"NO CUMPLE"</formula>
    </cfRule>
  </conditionalFormatting>
  <conditionalFormatting sqref="T3277:T3279">
    <cfRule type="cellIs" dxfId="5908" priority="5840" operator="equal">
      <formula>"VERIFICAR"</formula>
    </cfRule>
  </conditionalFormatting>
  <conditionalFormatting sqref="AD3263:AF3267">
    <cfRule type="cellIs" dxfId="5907" priority="5838" stopIfTrue="1" operator="equal">
      <formula>"NO"</formula>
    </cfRule>
    <cfRule type="cellIs" dxfId="5906" priority="5839" stopIfTrue="1" operator="equal">
      <formula>"SI"</formula>
    </cfRule>
  </conditionalFormatting>
  <conditionalFormatting sqref="AD3268:AF3271">
    <cfRule type="cellIs" dxfId="5905" priority="5836" stopIfTrue="1" operator="equal">
      <formula>"NO"</formula>
    </cfRule>
    <cfRule type="cellIs" dxfId="5904" priority="5837" stopIfTrue="1" operator="equal">
      <formula>"SI"</formula>
    </cfRule>
  </conditionalFormatting>
  <conditionalFormatting sqref="W3272:Y3272">
    <cfRule type="cellIs" dxfId="5903" priority="5834" stopIfTrue="1" operator="equal">
      <formula>"NO"</formula>
    </cfRule>
    <cfRule type="cellIs" dxfId="5902" priority="5835" stopIfTrue="1" operator="equal">
      <formula>"SI"</formula>
    </cfRule>
  </conditionalFormatting>
  <conditionalFormatting sqref="W3272:X3272">
    <cfRule type="cellIs" dxfId="5901" priority="5833" stopIfTrue="1" operator="equal">
      <formula>"NO APLICA"</formula>
    </cfRule>
  </conditionalFormatting>
  <conditionalFormatting sqref="Y3272">
    <cfRule type="cellIs" dxfId="5900" priority="5832" stopIfTrue="1" operator="equal">
      <formula>"NO APLICA"</formula>
    </cfRule>
  </conditionalFormatting>
  <conditionalFormatting sqref="AD3272:AF3272">
    <cfRule type="cellIs" dxfId="5899" priority="5830" stopIfTrue="1" operator="equal">
      <formula>"NO"</formula>
    </cfRule>
    <cfRule type="cellIs" dxfId="5898" priority="5831" stopIfTrue="1" operator="equal">
      <formula>"SI"</formula>
    </cfRule>
  </conditionalFormatting>
  <conditionalFormatting sqref="AE3277">
    <cfRule type="cellIs" dxfId="5897" priority="5827" stopIfTrue="1" operator="equal">
      <formula>"VERIFICAR"</formula>
    </cfRule>
    <cfRule type="cellIs" dxfId="5896" priority="5828" stopIfTrue="1" operator="equal">
      <formula>"NO CUMPLE"</formula>
    </cfRule>
    <cfRule type="cellIs" dxfId="5895" priority="5829" stopIfTrue="1" operator="equal">
      <formula>"CUMPLE"</formula>
    </cfRule>
  </conditionalFormatting>
  <conditionalFormatting sqref="AF3277">
    <cfRule type="cellIs" dxfId="5894" priority="5824" stopIfTrue="1" operator="equal">
      <formula>"VERIFICAR"</formula>
    </cfRule>
    <cfRule type="cellIs" dxfId="5893" priority="5825" stopIfTrue="1" operator="equal">
      <formula>"NO CUMPLE"</formula>
    </cfRule>
    <cfRule type="cellIs" dxfId="5892" priority="5826" stopIfTrue="1" operator="equal">
      <formula>"CUMPLE"</formula>
    </cfRule>
  </conditionalFormatting>
  <conditionalFormatting sqref="Y3280">
    <cfRule type="cellIs" dxfId="5891" priority="5823" operator="equal">
      <formula>"VERIFICAR CUADRO"</formula>
    </cfRule>
  </conditionalFormatting>
  <conditionalFormatting sqref="AC3281:AC3286">
    <cfRule type="cellIs" dxfId="5890" priority="5822" stopIfTrue="1" operator="greaterThan">
      <formula>0</formula>
    </cfRule>
  </conditionalFormatting>
  <conditionalFormatting sqref="AC3281:AC3286">
    <cfRule type="cellIs" dxfId="5889" priority="5821" stopIfTrue="1" operator="greaterThan">
      <formula>0</formula>
    </cfRule>
  </conditionalFormatting>
  <conditionalFormatting sqref="AD3281:AD3286">
    <cfRule type="containsText" dxfId="5888" priority="5819" stopIfTrue="1" operator="containsText" text="NO CUMPLE">
      <formula>NOT(ISERROR(SEARCH("NO CUMPLE",AD3281)))</formula>
    </cfRule>
    <cfRule type="containsText" dxfId="5887" priority="5820" stopIfTrue="1" operator="containsText" text="CUMPLE">
      <formula>NOT(ISERROR(SEARCH("CUMPLE",AD3281)))</formula>
    </cfRule>
  </conditionalFormatting>
  <conditionalFormatting sqref="Y3286">
    <cfRule type="containsText" dxfId="5886" priority="5817" stopIfTrue="1" operator="containsText" text="NO CUMPLE">
      <formula>NOT(ISERROR(SEARCH("NO CUMPLE",Y3286)))</formula>
    </cfRule>
    <cfRule type="containsText" dxfId="5885" priority="5818" stopIfTrue="1" operator="containsText" text="CUMPLE">
      <formula>NOT(ISERROR(SEARCH("CUMPLE",Y3286)))</formula>
    </cfRule>
  </conditionalFormatting>
  <conditionalFormatting sqref="AA3263:AA3272">
    <cfRule type="cellIs" dxfId="5884" priority="5815" stopIfTrue="1" operator="equal">
      <formula>"NO APLICA"</formula>
    </cfRule>
    <cfRule type="cellIs" dxfId="5883" priority="5816" stopIfTrue="1" operator="equal">
      <formula>"TERCIARIA"</formula>
    </cfRule>
  </conditionalFormatting>
  <conditionalFormatting sqref="AB3263:AB3272">
    <cfRule type="cellIs" dxfId="5882" priority="5813" stopIfTrue="1" operator="equal">
      <formula>"N/A"</formula>
    </cfRule>
    <cfRule type="cellIs" dxfId="5881" priority="5814" stopIfTrue="1" operator="equal">
      <formula>"NO"</formula>
    </cfRule>
  </conditionalFormatting>
  <conditionalFormatting sqref="M3293:M3302">
    <cfRule type="cellIs" dxfId="5880" priority="5812" stopIfTrue="1" operator="lessThan">
      <formula>0</formula>
    </cfRule>
  </conditionalFormatting>
  <conditionalFormatting sqref="C3295:D3301 B3294:B3301 F3295:I3301 C3294:I3294 B3302:O3302 B3293:R3293 Q3294:R3295 J3294:O3301 Q3296:Q3302 P3294:P3302">
    <cfRule type="cellIs" dxfId="5879" priority="5811" stopIfTrue="1" operator="greaterThan">
      <formula>0</formula>
    </cfRule>
  </conditionalFormatting>
  <conditionalFormatting sqref="C3295:D3301">
    <cfRule type="cellIs" dxfId="5878" priority="5810" stopIfTrue="1" operator="greaterThan">
      <formula>0</formula>
    </cfRule>
  </conditionalFormatting>
  <conditionalFormatting sqref="C3293:M3293 C3295:D3301 F3295:I3301 C3294:I3294 K3294:M3301 J3294:J3302 L3302:M3302">
    <cfRule type="cellIs" dxfId="5877" priority="5809" stopIfTrue="1" operator="greaterThan">
      <formula>0</formula>
    </cfRule>
  </conditionalFormatting>
  <conditionalFormatting sqref="M3293:M3302">
    <cfRule type="cellIs" dxfId="5876" priority="5808" stopIfTrue="1" operator="lessThan">
      <formula>0</formula>
    </cfRule>
  </conditionalFormatting>
  <conditionalFormatting sqref="J3294:J3302 L3294:O3302 C3293:O3293">
    <cfRule type="cellIs" dxfId="5875" priority="5807" stopIfTrue="1" operator="greaterThan">
      <formula>0</formula>
    </cfRule>
  </conditionalFormatting>
  <conditionalFormatting sqref="H3295:I3301 K3295:M3302">
    <cfRule type="cellIs" dxfId="5874" priority="5806" stopIfTrue="1" operator="greaterThan">
      <formula>0</formula>
    </cfRule>
  </conditionalFormatting>
  <conditionalFormatting sqref="I3294">
    <cfRule type="cellIs" dxfId="5873" priority="5805" stopIfTrue="1" operator="greaterThan">
      <formula>0</formula>
    </cfRule>
  </conditionalFormatting>
  <conditionalFormatting sqref="I3302">
    <cfRule type="cellIs" dxfId="5872" priority="5804" stopIfTrue="1" operator="greaterThan">
      <formula>0</formula>
    </cfRule>
  </conditionalFormatting>
  <conditionalFormatting sqref="E3295:E3301">
    <cfRule type="cellIs" dxfId="5871" priority="5803" stopIfTrue="1" operator="greaterThan">
      <formula>0</formula>
    </cfRule>
  </conditionalFormatting>
  <conditionalFormatting sqref="K3310:K3315">
    <cfRule type="containsText" dxfId="5870" priority="5801" stopIfTrue="1" operator="containsText" text="NO CUMPLE">
      <formula>NOT(ISERROR(SEARCH("NO CUMPLE",K3310)))</formula>
    </cfRule>
    <cfRule type="containsText" dxfId="5869" priority="5802" stopIfTrue="1" operator="containsText" text="CUMPLE">
      <formula>NOT(ISERROR(SEARCH("CUMPLE",K3310)))</formula>
    </cfRule>
  </conditionalFormatting>
  <conditionalFormatting sqref="K3316">
    <cfRule type="containsText" dxfId="5868" priority="5799" stopIfTrue="1" operator="containsText" text="NO CUMPLE">
      <formula>NOT(ISERROR(SEARCH("NO CUMPLE",K3316)))</formula>
    </cfRule>
    <cfRule type="containsText" dxfId="5867" priority="5800" stopIfTrue="1" operator="containsText" text="CUMPLE">
      <formula>NOT(ISERROR(SEARCH("CUMPLE",K3316)))</formula>
    </cfRule>
  </conditionalFormatting>
  <conditionalFormatting sqref="Q3309">
    <cfRule type="cellIs" dxfId="5866" priority="5797" operator="greaterThanOrEqual">
      <formula>NUMMINCONT</formula>
    </cfRule>
    <cfRule type="cellIs" dxfId="5865" priority="5798" operator="lessThan">
      <formula>NUMMINCONT</formula>
    </cfRule>
  </conditionalFormatting>
  <conditionalFormatting sqref="W3293:Y3301">
    <cfRule type="cellIs" dxfId="5864" priority="5795" stopIfTrue="1" operator="equal">
      <formula>"NO"</formula>
    </cfRule>
    <cfRule type="cellIs" dxfId="5863" priority="5796" stopIfTrue="1" operator="equal">
      <formula>"SI"</formula>
    </cfRule>
  </conditionalFormatting>
  <conditionalFormatting sqref="R3296">
    <cfRule type="cellIs" dxfId="5862" priority="5794" stopIfTrue="1" operator="greaterThan">
      <formula>0</formula>
    </cfRule>
  </conditionalFormatting>
  <conditionalFormatting sqref="R3297">
    <cfRule type="cellIs" dxfId="5861" priority="5793" stopIfTrue="1" operator="greaterThan">
      <formula>0</formula>
    </cfRule>
  </conditionalFormatting>
  <conditionalFormatting sqref="R3298">
    <cfRule type="cellIs" dxfId="5860" priority="5792" stopIfTrue="1" operator="greaterThan">
      <formula>0</formula>
    </cfRule>
  </conditionalFormatting>
  <conditionalFormatting sqref="R3299">
    <cfRule type="cellIs" dxfId="5859" priority="5791" stopIfTrue="1" operator="greaterThan">
      <formula>0</formula>
    </cfRule>
  </conditionalFormatting>
  <conditionalFormatting sqref="R3300">
    <cfRule type="cellIs" dxfId="5858" priority="5790" stopIfTrue="1" operator="greaterThan">
      <formula>0</formula>
    </cfRule>
  </conditionalFormatting>
  <conditionalFormatting sqref="R3301">
    <cfRule type="cellIs" dxfId="5857" priority="5789" stopIfTrue="1" operator="greaterThan">
      <formula>0</formula>
    </cfRule>
  </conditionalFormatting>
  <conditionalFormatting sqref="R3302">
    <cfRule type="cellIs" dxfId="5856" priority="5788" stopIfTrue="1" operator="greaterThan">
      <formula>0</formula>
    </cfRule>
  </conditionalFormatting>
  <conditionalFormatting sqref="W3293:X3293">
    <cfRule type="cellIs" dxfId="5855" priority="5787" stopIfTrue="1" operator="equal">
      <formula>"NO APLICA"</formula>
    </cfRule>
  </conditionalFormatting>
  <conditionalFormatting sqref="W3294:X3297">
    <cfRule type="cellIs" dxfId="5854" priority="5786" stopIfTrue="1" operator="equal">
      <formula>"NO APLICA"</formula>
    </cfRule>
  </conditionalFormatting>
  <conditionalFormatting sqref="W3294:X3294">
    <cfRule type="cellIs" dxfId="5853" priority="5785" stopIfTrue="1" operator="equal">
      <formula>"NO APLICA"</formula>
    </cfRule>
  </conditionalFormatting>
  <conditionalFormatting sqref="Y3293">
    <cfRule type="cellIs" dxfId="5852" priority="5784" stopIfTrue="1" operator="equal">
      <formula>"NO APLICA"</formula>
    </cfRule>
  </conditionalFormatting>
  <conditionalFormatting sqref="Y3294:Y3297">
    <cfRule type="cellIs" dxfId="5851" priority="5783" stopIfTrue="1" operator="equal">
      <formula>"NO APLICA"</formula>
    </cfRule>
  </conditionalFormatting>
  <conditionalFormatting sqref="W3298:X3301">
    <cfRule type="cellIs" dxfId="5850" priority="5782" stopIfTrue="1" operator="equal">
      <formula>"NO APLICA"</formula>
    </cfRule>
  </conditionalFormatting>
  <conditionalFormatting sqref="W3298:X3298">
    <cfRule type="cellIs" dxfId="5849" priority="5781" stopIfTrue="1" operator="equal">
      <formula>"NO APLICA"</formula>
    </cfRule>
  </conditionalFormatting>
  <conditionalFormatting sqref="Y3298:Y3301">
    <cfRule type="cellIs" dxfId="5848" priority="5780" stopIfTrue="1" operator="equal">
      <formula>"NO APLICA"</formula>
    </cfRule>
  </conditionalFormatting>
  <conditionalFormatting sqref="T3307">
    <cfRule type="cellIs" dxfId="5847" priority="5778" operator="equal">
      <formula>"CUMPLE"</formula>
    </cfRule>
    <cfRule type="cellIs" dxfId="5846" priority="5779" operator="equal">
      <formula>"NO CUMPLE"</formula>
    </cfRule>
  </conditionalFormatting>
  <conditionalFormatting sqref="T3307:T3309">
    <cfRule type="cellIs" dxfId="5845" priority="5777" operator="equal">
      <formula>"VERIFICAR"</formula>
    </cfRule>
  </conditionalFormatting>
  <conditionalFormatting sqref="AD3293:AF3297">
    <cfRule type="cellIs" dxfId="5844" priority="5775" stopIfTrue="1" operator="equal">
      <formula>"NO"</formula>
    </cfRule>
    <cfRule type="cellIs" dxfId="5843" priority="5776" stopIfTrue="1" operator="equal">
      <formula>"SI"</formula>
    </cfRule>
  </conditionalFormatting>
  <conditionalFormatting sqref="AD3298:AF3301">
    <cfRule type="cellIs" dxfId="5842" priority="5773" stopIfTrue="1" operator="equal">
      <formula>"NO"</formula>
    </cfRule>
    <cfRule type="cellIs" dxfId="5841" priority="5774" stopIfTrue="1" operator="equal">
      <formula>"SI"</formula>
    </cfRule>
  </conditionalFormatting>
  <conditionalFormatting sqref="W3302:Y3302">
    <cfRule type="cellIs" dxfId="5840" priority="5771" stopIfTrue="1" operator="equal">
      <formula>"NO"</formula>
    </cfRule>
    <cfRule type="cellIs" dxfId="5839" priority="5772" stopIfTrue="1" operator="equal">
      <formula>"SI"</formula>
    </cfRule>
  </conditionalFormatting>
  <conditionalFormatting sqref="W3302:X3302">
    <cfRule type="cellIs" dxfId="5838" priority="5770" stopIfTrue="1" operator="equal">
      <formula>"NO APLICA"</formula>
    </cfRule>
  </conditionalFormatting>
  <conditionalFormatting sqref="Y3302">
    <cfRule type="cellIs" dxfId="5837" priority="5769" stopIfTrue="1" operator="equal">
      <formula>"NO APLICA"</formula>
    </cfRule>
  </conditionalFormatting>
  <conditionalFormatting sqref="AD3302:AF3302">
    <cfRule type="cellIs" dxfId="5836" priority="5767" stopIfTrue="1" operator="equal">
      <formula>"NO"</formula>
    </cfRule>
    <cfRule type="cellIs" dxfId="5835" priority="5768" stopIfTrue="1" operator="equal">
      <formula>"SI"</formula>
    </cfRule>
  </conditionalFormatting>
  <conditionalFormatting sqref="AE3307">
    <cfRule type="cellIs" dxfId="5834" priority="5764" stopIfTrue="1" operator="equal">
      <formula>"VERIFICAR"</formula>
    </cfRule>
    <cfRule type="cellIs" dxfId="5833" priority="5765" stopIfTrue="1" operator="equal">
      <formula>"NO CUMPLE"</formula>
    </cfRule>
    <cfRule type="cellIs" dxfId="5832" priority="5766" stopIfTrue="1" operator="equal">
      <formula>"CUMPLE"</formula>
    </cfRule>
  </conditionalFormatting>
  <conditionalFormatting sqref="AF3307">
    <cfRule type="cellIs" dxfId="5831" priority="5761" stopIfTrue="1" operator="equal">
      <formula>"VERIFICAR"</formula>
    </cfRule>
    <cfRule type="cellIs" dxfId="5830" priority="5762" stopIfTrue="1" operator="equal">
      <formula>"NO CUMPLE"</formula>
    </cfRule>
    <cfRule type="cellIs" dxfId="5829" priority="5763" stopIfTrue="1" operator="equal">
      <formula>"CUMPLE"</formula>
    </cfRule>
  </conditionalFormatting>
  <conditionalFormatting sqref="Y3310">
    <cfRule type="cellIs" dxfId="5828" priority="5760" operator="equal">
      <formula>"VERIFICAR CUADRO"</formula>
    </cfRule>
  </conditionalFormatting>
  <conditionalFormatting sqref="AC3311:AC3316">
    <cfRule type="cellIs" dxfId="5827" priority="5759" stopIfTrue="1" operator="greaterThan">
      <formula>0</formula>
    </cfRule>
  </conditionalFormatting>
  <conditionalFormatting sqref="AC3311:AC3316">
    <cfRule type="cellIs" dxfId="5826" priority="5758" stopIfTrue="1" operator="greaterThan">
      <formula>0</formula>
    </cfRule>
  </conditionalFormatting>
  <conditionalFormatting sqref="AD3311:AD3316">
    <cfRule type="containsText" dxfId="5825" priority="5756" stopIfTrue="1" operator="containsText" text="NO CUMPLE">
      <formula>NOT(ISERROR(SEARCH("NO CUMPLE",AD3311)))</formula>
    </cfRule>
    <cfRule type="containsText" dxfId="5824" priority="5757" stopIfTrue="1" operator="containsText" text="CUMPLE">
      <formula>NOT(ISERROR(SEARCH("CUMPLE",AD3311)))</formula>
    </cfRule>
  </conditionalFormatting>
  <conditionalFormatting sqref="Y3316">
    <cfRule type="containsText" dxfId="5823" priority="5754" stopIfTrue="1" operator="containsText" text="NO CUMPLE">
      <formula>NOT(ISERROR(SEARCH("NO CUMPLE",Y3316)))</formula>
    </cfRule>
    <cfRule type="containsText" dxfId="5822" priority="5755" stopIfTrue="1" operator="containsText" text="CUMPLE">
      <formula>NOT(ISERROR(SEARCH("CUMPLE",Y3316)))</formula>
    </cfRule>
  </conditionalFormatting>
  <conditionalFormatting sqref="AA3293:AA3302">
    <cfRule type="cellIs" dxfId="5821" priority="5752" stopIfTrue="1" operator="equal">
      <formula>"NO APLICA"</formula>
    </cfRule>
    <cfRule type="cellIs" dxfId="5820" priority="5753" stopIfTrue="1" operator="equal">
      <formula>"TERCIARIA"</formula>
    </cfRule>
  </conditionalFormatting>
  <conditionalFormatting sqref="AB3293:AB3302">
    <cfRule type="cellIs" dxfId="5819" priority="5750" stopIfTrue="1" operator="equal">
      <formula>"N/A"</formula>
    </cfRule>
    <cfRule type="cellIs" dxfId="5818" priority="5751" stopIfTrue="1" operator="equal">
      <formula>"NO"</formula>
    </cfRule>
  </conditionalFormatting>
  <conditionalFormatting sqref="M3323:M3332">
    <cfRule type="cellIs" dxfId="5817" priority="5749" stopIfTrue="1" operator="lessThan">
      <formula>0</formula>
    </cfRule>
  </conditionalFormatting>
  <conditionalFormatting sqref="C3325:D3331 B3324:B3331 F3325:I3331 C3324:I3324 B3332:O3332 B3323:R3323 Q3324:R3325 J3324:O3331 Q3326:Q3332 P3324:P3332">
    <cfRule type="cellIs" dxfId="5816" priority="5748" stopIfTrue="1" operator="greaterThan">
      <formula>0</formula>
    </cfRule>
  </conditionalFormatting>
  <conditionalFormatting sqref="C3325:D3331">
    <cfRule type="cellIs" dxfId="5815" priority="5747" stopIfTrue="1" operator="greaterThan">
      <formula>0</formula>
    </cfRule>
  </conditionalFormatting>
  <conditionalFormatting sqref="C3323:M3323 C3325:D3331 F3325:I3331 C3324:I3324 K3324:M3331 J3324:J3332 L3332:M3332">
    <cfRule type="cellIs" dxfId="5814" priority="5746" stopIfTrue="1" operator="greaterThan">
      <formula>0</formula>
    </cfRule>
  </conditionalFormatting>
  <conditionalFormatting sqref="M3323:M3332">
    <cfRule type="cellIs" dxfId="5813" priority="5745" stopIfTrue="1" operator="lessThan">
      <formula>0</formula>
    </cfRule>
  </conditionalFormatting>
  <conditionalFormatting sqref="J3324:J3332 L3324:O3332 C3323:O3323">
    <cfRule type="cellIs" dxfId="5812" priority="5744" stopIfTrue="1" operator="greaterThan">
      <formula>0</formula>
    </cfRule>
  </conditionalFormatting>
  <conditionalFormatting sqref="H3325:I3331 K3325:M3332">
    <cfRule type="cellIs" dxfId="5811" priority="5743" stopIfTrue="1" operator="greaterThan">
      <formula>0</formula>
    </cfRule>
  </conditionalFormatting>
  <conditionalFormatting sqref="I3324">
    <cfRule type="cellIs" dxfId="5810" priority="5742" stopIfTrue="1" operator="greaterThan">
      <formula>0</formula>
    </cfRule>
  </conditionalFormatting>
  <conditionalFormatting sqref="I3332">
    <cfRule type="cellIs" dxfId="5809" priority="5741" stopIfTrue="1" operator="greaterThan">
      <formula>0</formula>
    </cfRule>
  </conditionalFormatting>
  <conditionalFormatting sqref="E3325:E3331">
    <cfRule type="cellIs" dxfId="5808" priority="5740" stopIfTrue="1" operator="greaterThan">
      <formula>0</formula>
    </cfRule>
  </conditionalFormatting>
  <conditionalFormatting sqref="K3340:K3345">
    <cfRule type="containsText" dxfId="5807" priority="5738" stopIfTrue="1" operator="containsText" text="NO CUMPLE">
      <formula>NOT(ISERROR(SEARCH("NO CUMPLE",K3340)))</formula>
    </cfRule>
    <cfRule type="containsText" dxfId="5806" priority="5739" stopIfTrue="1" operator="containsText" text="CUMPLE">
      <formula>NOT(ISERROR(SEARCH("CUMPLE",K3340)))</formula>
    </cfRule>
  </conditionalFormatting>
  <conditionalFormatting sqref="K3346">
    <cfRule type="containsText" dxfId="5805" priority="5736" stopIfTrue="1" operator="containsText" text="NO CUMPLE">
      <formula>NOT(ISERROR(SEARCH("NO CUMPLE",K3346)))</formula>
    </cfRule>
    <cfRule type="containsText" dxfId="5804" priority="5737" stopIfTrue="1" operator="containsText" text="CUMPLE">
      <formula>NOT(ISERROR(SEARCH("CUMPLE",K3346)))</formula>
    </cfRule>
  </conditionalFormatting>
  <conditionalFormatting sqref="Q3339">
    <cfRule type="cellIs" dxfId="5803" priority="5734" operator="greaterThanOrEqual">
      <formula>NUMMINCONT</formula>
    </cfRule>
    <cfRule type="cellIs" dxfId="5802" priority="5735" operator="lessThan">
      <formula>NUMMINCONT</formula>
    </cfRule>
  </conditionalFormatting>
  <conditionalFormatting sqref="W3323:Y3331">
    <cfRule type="cellIs" dxfId="5801" priority="5732" stopIfTrue="1" operator="equal">
      <formula>"NO"</formula>
    </cfRule>
    <cfRule type="cellIs" dxfId="5800" priority="5733" stopIfTrue="1" operator="equal">
      <formula>"SI"</formula>
    </cfRule>
  </conditionalFormatting>
  <conditionalFormatting sqref="R3326">
    <cfRule type="cellIs" dxfId="5799" priority="5731" stopIfTrue="1" operator="greaterThan">
      <formula>0</formula>
    </cfRule>
  </conditionalFormatting>
  <conditionalFormatting sqref="R3327">
    <cfRule type="cellIs" dxfId="5798" priority="5730" stopIfTrue="1" operator="greaterThan">
      <formula>0</formula>
    </cfRule>
  </conditionalFormatting>
  <conditionalFormatting sqref="R3328">
    <cfRule type="cellIs" dxfId="5797" priority="5729" stopIfTrue="1" operator="greaterThan">
      <formula>0</formula>
    </cfRule>
  </conditionalFormatting>
  <conditionalFormatting sqref="R3329">
    <cfRule type="cellIs" dxfId="5796" priority="5728" stopIfTrue="1" operator="greaterThan">
      <formula>0</formula>
    </cfRule>
  </conditionalFormatting>
  <conditionalFormatting sqref="R3330">
    <cfRule type="cellIs" dxfId="5795" priority="5727" stopIfTrue="1" operator="greaterThan">
      <formula>0</formula>
    </cfRule>
  </conditionalFormatting>
  <conditionalFormatting sqref="R3331">
    <cfRule type="cellIs" dxfId="5794" priority="5726" stopIfTrue="1" operator="greaterThan">
      <formula>0</formula>
    </cfRule>
  </conditionalFormatting>
  <conditionalFormatting sqref="R3332">
    <cfRule type="cellIs" dxfId="5793" priority="5725" stopIfTrue="1" operator="greaterThan">
      <formula>0</formula>
    </cfRule>
  </conditionalFormatting>
  <conditionalFormatting sqref="W3323:X3323">
    <cfRule type="cellIs" dxfId="5792" priority="5724" stopIfTrue="1" operator="equal">
      <formula>"NO APLICA"</formula>
    </cfRule>
  </conditionalFormatting>
  <conditionalFormatting sqref="W3324:X3327">
    <cfRule type="cellIs" dxfId="5791" priority="5723" stopIfTrue="1" operator="equal">
      <formula>"NO APLICA"</formula>
    </cfRule>
  </conditionalFormatting>
  <conditionalFormatting sqref="W3324:X3324">
    <cfRule type="cellIs" dxfId="5790" priority="5722" stopIfTrue="1" operator="equal">
      <formula>"NO APLICA"</formula>
    </cfRule>
  </conditionalFormatting>
  <conditionalFormatting sqref="Y3323">
    <cfRule type="cellIs" dxfId="5789" priority="5721" stopIfTrue="1" operator="equal">
      <formula>"NO APLICA"</formula>
    </cfRule>
  </conditionalFormatting>
  <conditionalFormatting sqref="Y3324:Y3327">
    <cfRule type="cellIs" dxfId="5788" priority="5720" stopIfTrue="1" operator="equal">
      <formula>"NO APLICA"</formula>
    </cfRule>
  </conditionalFormatting>
  <conditionalFormatting sqref="W3328:X3331">
    <cfRule type="cellIs" dxfId="5787" priority="5719" stopIfTrue="1" operator="equal">
      <formula>"NO APLICA"</formula>
    </cfRule>
  </conditionalFormatting>
  <conditionalFormatting sqref="W3328:X3328">
    <cfRule type="cellIs" dxfId="5786" priority="5718" stopIfTrue="1" operator="equal">
      <formula>"NO APLICA"</formula>
    </cfRule>
  </conditionalFormatting>
  <conditionalFormatting sqref="Y3328:Y3331">
    <cfRule type="cellIs" dxfId="5785" priority="5717" stopIfTrue="1" operator="equal">
      <formula>"NO APLICA"</formula>
    </cfRule>
  </conditionalFormatting>
  <conditionalFormatting sqref="T3337">
    <cfRule type="cellIs" dxfId="5784" priority="5715" operator="equal">
      <formula>"CUMPLE"</formula>
    </cfRule>
    <cfRule type="cellIs" dxfId="5783" priority="5716" operator="equal">
      <formula>"NO CUMPLE"</formula>
    </cfRule>
  </conditionalFormatting>
  <conditionalFormatting sqref="T3337:T3339">
    <cfRule type="cellIs" dxfId="5782" priority="5714" operator="equal">
      <formula>"VERIFICAR"</formula>
    </cfRule>
  </conditionalFormatting>
  <conditionalFormatting sqref="AD3323:AF3327">
    <cfRule type="cellIs" dxfId="5781" priority="5712" stopIfTrue="1" operator="equal">
      <formula>"NO"</formula>
    </cfRule>
    <cfRule type="cellIs" dxfId="5780" priority="5713" stopIfTrue="1" operator="equal">
      <formula>"SI"</formula>
    </cfRule>
  </conditionalFormatting>
  <conditionalFormatting sqref="AD3328:AF3331">
    <cfRule type="cellIs" dxfId="5779" priority="5710" stopIfTrue="1" operator="equal">
      <formula>"NO"</formula>
    </cfRule>
    <cfRule type="cellIs" dxfId="5778" priority="5711" stopIfTrue="1" operator="equal">
      <formula>"SI"</formula>
    </cfRule>
  </conditionalFormatting>
  <conditionalFormatting sqref="W3332:Y3332">
    <cfRule type="cellIs" dxfId="5777" priority="5708" stopIfTrue="1" operator="equal">
      <formula>"NO"</formula>
    </cfRule>
    <cfRule type="cellIs" dxfId="5776" priority="5709" stopIfTrue="1" operator="equal">
      <formula>"SI"</formula>
    </cfRule>
  </conditionalFormatting>
  <conditionalFormatting sqref="W3332:X3332">
    <cfRule type="cellIs" dxfId="5775" priority="5707" stopIfTrue="1" operator="equal">
      <formula>"NO APLICA"</formula>
    </cfRule>
  </conditionalFormatting>
  <conditionalFormatting sqref="Y3332">
    <cfRule type="cellIs" dxfId="5774" priority="5706" stopIfTrue="1" operator="equal">
      <formula>"NO APLICA"</formula>
    </cfRule>
  </conditionalFormatting>
  <conditionalFormatting sqref="AD3332:AF3332">
    <cfRule type="cellIs" dxfId="5773" priority="5704" stopIfTrue="1" operator="equal">
      <formula>"NO"</formula>
    </cfRule>
    <cfRule type="cellIs" dxfId="5772" priority="5705" stopIfTrue="1" operator="equal">
      <formula>"SI"</formula>
    </cfRule>
  </conditionalFormatting>
  <conditionalFormatting sqref="AE3337">
    <cfRule type="cellIs" dxfId="5771" priority="5701" stopIfTrue="1" operator="equal">
      <formula>"VERIFICAR"</formula>
    </cfRule>
    <cfRule type="cellIs" dxfId="5770" priority="5702" stopIfTrue="1" operator="equal">
      <formula>"NO CUMPLE"</formula>
    </cfRule>
    <cfRule type="cellIs" dxfId="5769" priority="5703" stopIfTrue="1" operator="equal">
      <formula>"CUMPLE"</formula>
    </cfRule>
  </conditionalFormatting>
  <conditionalFormatting sqref="AF3337">
    <cfRule type="cellIs" dxfId="5768" priority="5698" stopIfTrue="1" operator="equal">
      <formula>"VERIFICAR"</formula>
    </cfRule>
    <cfRule type="cellIs" dxfId="5767" priority="5699" stopIfTrue="1" operator="equal">
      <formula>"NO CUMPLE"</formula>
    </cfRule>
    <cfRule type="cellIs" dxfId="5766" priority="5700" stopIfTrue="1" operator="equal">
      <formula>"CUMPLE"</formula>
    </cfRule>
  </conditionalFormatting>
  <conditionalFormatting sqref="Y3340">
    <cfRule type="cellIs" dxfId="5765" priority="5697" operator="equal">
      <formula>"VERIFICAR CUADRO"</formula>
    </cfRule>
  </conditionalFormatting>
  <conditionalFormatting sqref="AC3341:AC3346">
    <cfRule type="cellIs" dxfId="5764" priority="5696" stopIfTrue="1" operator="greaterThan">
      <formula>0</formula>
    </cfRule>
  </conditionalFormatting>
  <conditionalFormatting sqref="AC3341:AC3346">
    <cfRule type="cellIs" dxfId="5763" priority="5695" stopIfTrue="1" operator="greaterThan">
      <formula>0</formula>
    </cfRule>
  </conditionalFormatting>
  <conditionalFormatting sqref="AD3341:AD3346">
    <cfRule type="containsText" dxfId="5762" priority="5693" stopIfTrue="1" operator="containsText" text="NO CUMPLE">
      <formula>NOT(ISERROR(SEARCH("NO CUMPLE",AD3341)))</formula>
    </cfRule>
    <cfRule type="containsText" dxfId="5761" priority="5694" stopIfTrue="1" operator="containsText" text="CUMPLE">
      <formula>NOT(ISERROR(SEARCH("CUMPLE",AD3341)))</formula>
    </cfRule>
  </conditionalFormatting>
  <conditionalFormatting sqref="Y3346">
    <cfRule type="containsText" dxfId="5760" priority="5691" stopIfTrue="1" operator="containsText" text="NO CUMPLE">
      <formula>NOT(ISERROR(SEARCH("NO CUMPLE",Y3346)))</formula>
    </cfRule>
    <cfRule type="containsText" dxfId="5759" priority="5692" stopIfTrue="1" operator="containsText" text="CUMPLE">
      <formula>NOT(ISERROR(SEARCH("CUMPLE",Y3346)))</formula>
    </cfRule>
  </conditionalFormatting>
  <conditionalFormatting sqref="AA3323:AA3332">
    <cfRule type="cellIs" dxfId="5758" priority="5689" stopIfTrue="1" operator="equal">
      <formula>"NO APLICA"</formula>
    </cfRule>
    <cfRule type="cellIs" dxfId="5757" priority="5690" stopIfTrue="1" operator="equal">
      <formula>"TERCIARIA"</formula>
    </cfRule>
  </conditionalFormatting>
  <conditionalFormatting sqref="AB3323:AB3332">
    <cfRule type="cellIs" dxfId="5756" priority="5687" stopIfTrue="1" operator="equal">
      <formula>"N/A"</formula>
    </cfRule>
    <cfRule type="cellIs" dxfId="5755" priority="5688" stopIfTrue="1" operator="equal">
      <formula>"NO"</formula>
    </cfRule>
  </conditionalFormatting>
  <conditionalFormatting sqref="M3353:M3362">
    <cfRule type="cellIs" dxfId="5754" priority="5686" stopIfTrue="1" operator="lessThan">
      <formula>0</formula>
    </cfRule>
  </conditionalFormatting>
  <conditionalFormatting sqref="C3355:D3361 B3354:B3361 F3355:I3361 C3354:I3354 B3362:O3362 B3353:R3353 Q3354:R3355 J3354:O3361 Q3356:Q3362 P3354:P3362">
    <cfRule type="cellIs" dxfId="5753" priority="5685" stopIfTrue="1" operator="greaterThan">
      <formula>0</formula>
    </cfRule>
  </conditionalFormatting>
  <conditionalFormatting sqref="C3355:D3361">
    <cfRule type="cellIs" dxfId="5752" priority="5684" stopIfTrue="1" operator="greaterThan">
      <formula>0</formula>
    </cfRule>
  </conditionalFormatting>
  <conditionalFormatting sqref="C3353:M3353 C3355:D3361 F3355:I3361 C3354:I3354 K3354:M3361 J3354:J3362 L3362:M3362">
    <cfRule type="cellIs" dxfId="5751" priority="5683" stopIfTrue="1" operator="greaterThan">
      <formula>0</formula>
    </cfRule>
  </conditionalFormatting>
  <conditionalFormatting sqref="M3353:M3362">
    <cfRule type="cellIs" dxfId="5750" priority="5682" stopIfTrue="1" operator="lessThan">
      <formula>0</formula>
    </cfRule>
  </conditionalFormatting>
  <conditionalFormatting sqref="J3354:J3362 L3354:O3362 C3353:O3353">
    <cfRule type="cellIs" dxfId="5749" priority="5681" stopIfTrue="1" operator="greaterThan">
      <formula>0</formula>
    </cfRule>
  </conditionalFormatting>
  <conditionalFormatting sqref="H3355:I3361 K3355:M3362">
    <cfRule type="cellIs" dxfId="5748" priority="5680" stopIfTrue="1" operator="greaterThan">
      <formula>0</formula>
    </cfRule>
  </conditionalFormatting>
  <conditionalFormatting sqref="I3354">
    <cfRule type="cellIs" dxfId="5747" priority="5679" stopIfTrue="1" operator="greaterThan">
      <formula>0</formula>
    </cfRule>
  </conditionalFormatting>
  <conditionalFormatting sqref="I3362">
    <cfRule type="cellIs" dxfId="5746" priority="5678" stopIfTrue="1" operator="greaterThan">
      <formula>0</formula>
    </cfRule>
  </conditionalFormatting>
  <conditionalFormatting sqref="E3355:E3361">
    <cfRule type="cellIs" dxfId="5745" priority="5677" stopIfTrue="1" operator="greaterThan">
      <formula>0</formula>
    </cfRule>
  </conditionalFormatting>
  <conditionalFormatting sqref="K3370:K3375">
    <cfRule type="containsText" dxfId="5744" priority="5675" stopIfTrue="1" operator="containsText" text="NO CUMPLE">
      <formula>NOT(ISERROR(SEARCH("NO CUMPLE",K3370)))</formula>
    </cfRule>
    <cfRule type="containsText" dxfId="5743" priority="5676" stopIfTrue="1" operator="containsText" text="CUMPLE">
      <formula>NOT(ISERROR(SEARCH("CUMPLE",K3370)))</formula>
    </cfRule>
  </conditionalFormatting>
  <conditionalFormatting sqref="K3376">
    <cfRule type="containsText" dxfId="5742" priority="5673" stopIfTrue="1" operator="containsText" text="NO CUMPLE">
      <formula>NOT(ISERROR(SEARCH("NO CUMPLE",K3376)))</formula>
    </cfRule>
    <cfRule type="containsText" dxfId="5741" priority="5674" stopIfTrue="1" operator="containsText" text="CUMPLE">
      <formula>NOT(ISERROR(SEARCH("CUMPLE",K3376)))</formula>
    </cfRule>
  </conditionalFormatting>
  <conditionalFormatting sqref="Q3369">
    <cfRule type="cellIs" dxfId="5740" priority="5671" operator="greaterThanOrEqual">
      <formula>NUMMINCONT</formula>
    </cfRule>
    <cfRule type="cellIs" dxfId="5739" priority="5672" operator="lessThan">
      <formula>NUMMINCONT</formula>
    </cfRule>
  </conditionalFormatting>
  <conditionalFormatting sqref="W3353:Y3361">
    <cfRule type="cellIs" dxfId="5738" priority="5669" stopIfTrue="1" operator="equal">
      <formula>"NO"</formula>
    </cfRule>
    <cfRule type="cellIs" dxfId="5737" priority="5670" stopIfTrue="1" operator="equal">
      <formula>"SI"</formula>
    </cfRule>
  </conditionalFormatting>
  <conditionalFormatting sqref="R3356">
    <cfRule type="cellIs" dxfId="5736" priority="5668" stopIfTrue="1" operator="greaterThan">
      <formula>0</formula>
    </cfRule>
  </conditionalFormatting>
  <conditionalFormatting sqref="R3357">
    <cfRule type="cellIs" dxfId="5735" priority="5667" stopIfTrue="1" operator="greaterThan">
      <formula>0</formula>
    </cfRule>
  </conditionalFormatting>
  <conditionalFormatting sqref="R3358">
    <cfRule type="cellIs" dxfId="5734" priority="5666" stopIfTrue="1" operator="greaterThan">
      <formula>0</formula>
    </cfRule>
  </conditionalFormatting>
  <conditionalFormatting sqref="R3359">
    <cfRule type="cellIs" dxfId="5733" priority="5665" stopIfTrue="1" operator="greaterThan">
      <formula>0</formula>
    </cfRule>
  </conditionalFormatting>
  <conditionalFormatting sqref="R3360">
    <cfRule type="cellIs" dxfId="5732" priority="5664" stopIfTrue="1" operator="greaterThan">
      <formula>0</formula>
    </cfRule>
  </conditionalFormatting>
  <conditionalFormatting sqref="R3361">
    <cfRule type="cellIs" dxfId="5731" priority="5663" stopIfTrue="1" operator="greaterThan">
      <formula>0</formula>
    </cfRule>
  </conditionalFormatting>
  <conditionalFormatting sqref="R3362">
    <cfRule type="cellIs" dxfId="5730" priority="5662" stopIfTrue="1" operator="greaterThan">
      <formula>0</formula>
    </cfRule>
  </conditionalFormatting>
  <conditionalFormatting sqref="W3353:X3353">
    <cfRule type="cellIs" dxfId="5729" priority="5661" stopIfTrue="1" operator="equal">
      <formula>"NO APLICA"</formula>
    </cfRule>
  </conditionalFormatting>
  <conditionalFormatting sqref="W3354:X3357">
    <cfRule type="cellIs" dxfId="5728" priority="5660" stopIfTrue="1" operator="equal">
      <formula>"NO APLICA"</formula>
    </cfRule>
  </conditionalFormatting>
  <conditionalFormatting sqref="W3354:X3354">
    <cfRule type="cellIs" dxfId="5727" priority="5659" stopIfTrue="1" operator="equal">
      <formula>"NO APLICA"</formula>
    </cfRule>
  </conditionalFormatting>
  <conditionalFormatting sqref="Y3353">
    <cfRule type="cellIs" dxfId="5726" priority="5658" stopIfTrue="1" operator="equal">
      <formula>"NO APLICA"</formula>
    </cfRule>
  </conditionalFormatting>
  <conditionalFormatting sqref="Y3354:Y3357">
    <cfRule type="cellIs" dxfId="5725" priority="5657" stopIfTrue="1" operator="equal">
      <formula>"NO APLICA"</formula>
    </cfRule>
  </conditionalFormatting>
  <conditionalFormatting sqref="W3358:X3361">
    <cfRule type="cellIs" dxfId="5724" priority="5656" stopIfTrue="1" operator="equal">
      <formula>"NO APLICA"</formula>
    </cfRule>
  </conditionalFormatting>
  <conditionalFormatting sqref="W3358:X3358">
    <cfRule type="cellIs" dxfId="5723" priority="5655" stopIfTrue="1" operator="equal">
      <formula>"NO APLICA"</formula>
    </cfRule>
  </conditionalFormatting>
  <conditionalFormatting sqref="Y3358:Y3361">
    <cfRule type="cellIs" dxfId="5722" priority="5654" stopIfTrue="1" operator="equal">
      <formula>"NO APLICA"</formula>
    </cfRule>
  </conditionalFormatting>
  <conditionalFormatting sqref="T3367">
    <cfRule type="cellIs" dxfId="5721" priority="5652" operator="equal">
      <formula>"CUMPLE"</formula>
    </cfRule>
    <cfRule type="cellIs" dxfId="5720" priority="5653" operator="equal">
      <formula>"NO CUMPLE"</formula>
    </cfRule>
  </conditionalFormatting>
  <conditionalFormatting sqref="T3367:T3369">
    <cfRule type="cellIs" dxfId="5719" priority="5651" operator="equal">
      <formula>"VERIFICAR"</formula>
    </cfRule>
  </conditionalFormatting>
  <conditionalFormatting sqref="AD3353:AF3357">
    <cfRule type="cellIs" dxfId="5718" priority="5649" stopIfTrue="1" operator="equal">
      <formula>"NO"</formula>
    </cfRule>
    <cfRule type="cellIs" dxfId="5717" priority="5650" stopIfTrue="1" operator="equal">
      <formula>"SI"</formula>
    </cfRule>
  </conditionalFormatting>
  <conditionalFormatting sqref="AD3358:AF3361">
    <cfRule type="cellIs" dxfId="5716" priority="5647" stopIfTrue="1" operator="equal">
      <formula>"NO"</formula>
    </cfRule>
    <cfRule type="cellIs" dxfId="5715" priority="5648" stopIfTrue="1" operator="equal">
      <formula>"SI"</formula>
    </cfRule>
  </conditionalFormatting>
  <conditionalFormatting sqref="W3362:Y3362">
    <cfRule type="cellIs" dxfId="5714" priority="5645" stopIfTrue="1" operator="equal">
      <formula>"NO"</formula>
    </cfRule>
    <cfRule type="cellIs" dxfId="5713" priority="5646" stopIfTrue="1" operator="equal">
      <formula>"SI"</formula>
    </cfRule>
  </conditionalFormatting>
  <conditionalFormatting sqref="W3362:X3362">
    <cfRule type="cellIs" dxfId="5712" priority="5644" stopIfTrue="1" operator="equal">
      <formula>"NO APLICA"</formula>
    </cfRule>
  </conditionalFormatting>
  <conditionalFormatting sqref="Y3362">
    <cfRule type="cellIs" dxfId="5711" priority="5643" stopIfTrue="1" operator="equal">
      <formula>"NO APLICA"</formula>
    </cfRule>
  </conditionalFormatting>
  <conditionalFormatting sqref="AD3362:AF3362">
    <cfRule type="cellIs" dxfId="5710" priority="5641" stopIfTrue="1" operator="equal">
      <formula>"NO"</formula>
    </cfRule>
    <cfRule type="cellIs" dxfId="5709" priority="5642" stopIfTrue="1" operator="equal">
      <formula>"SI"</formula>
    </cfRule>
  </conditionalFormatting>
  <conditionalFormatting sqref="AE3367">
    <cfRule type="cellIs" dxfId="5708" priority="5638" stopIfTrue="1" operator="equal">
      <formula>"VERIFICAR"</formula>
    </cfRule>
    <cfRule type="cellIs" dxfId="5707" priority="5639" stopIfTrue="1" operator="equal">
      <formula>"NO CUMPLE"</formula>
    </cfRule>
    <cfRule type="cellIs" dxfId="5706" priority="5640" stopIfTrue="1" operator="equal">
      <formula>"CUMPLE"</formula>
    </cfRule>
  </conditionalFormatting>
  <conditionalFormatting sqref="AF3367">
    <cfRule type="cellIs" dxfId="5705" priority="5635" stopIfTrue="1" operator="equal">
      <formula>"VERIFICAR"</formula>
    </cfRule>
    <cfRule type="cellIs" dxfId="5704" priority="5636" stopIfTrue="1" operator="equal">
      <formula>"NO CUMPLE"</formula>
    </cfRule>
    <cfRule type="cellIs" dxfId="5703" priority="5637" stopIfTrue="1" operator="equal">
      <formula>"CUMPLE"</formula>
    </cfRule>
  </conditionalFormatting>
  <conditionalFormatting sqref="Y3370">
    <cfRule type="cellIs" dxfId="5702" priority="5634" operator="equal">
      <formula>"VERIFICAR CUADRO"</formula>
    </cfRule>
  </conditionalFormatting>
  <conditionalFormatting sqref="AC3371:AC3376">
    <cfRule type="cellIs" dxfId="5701" priority="5633" stopIfTrue="1" operator="greaterThan">
      <formula>0</formula>
    </cfRule>
  </conditionalFormatting>
  <conditionalFormatting sqref="AC3371:AC3376">
    <cfRule type="cellIs" dxfId="5700" priority="5632" stopIfTrue="1" operator="greaterThan">
      <formula>0</formula>
    </cfRule>
  </conditionalFormatting>
  <conditionalFormatting sqref="AD3371:AD3376">
    <cfRule type="containsText" dxfId="5699" priority="5630" stopIfTrue="1" operator="containsText" text="NO CUMPLE">
      <formula>NOT(ISERROR(SEARCH("NO CUMPLE",AD3371)))</formula>
    </cfRule>
    <cfRule type="containsText" dxfId="5698" priority="5631" stopIfTrue="1" operator="containsText" text="CUMPLE">
      <formula>NOT(ISERROR(SEARCH("CUMPLE",AD3371)))</formula>
    </cfRule>
  </conditionalFormatting>
  <conditionalFormatting sqref="Y3376">
    <cfRule type="containsText" dxfId="5697" priority="5628" stopIfTrue="1" operator="containsText" text="NO CUMPLE">
      <formula>NOT(ISERROR(SEARCH("NO CUMPLE",Y3376)))</formula>
    </cfRule>
    <cfRule type="containsText" dxfId="5696" priority="5629" stopIfTrue="1" operator="containsText" text="CUMPLE">
      <formula>NOT(ISERROR(SEARCH("CUMPLE",Y3376)))</formula>
    </cfRule>
  </conditionalFormatting>
  <conditionalFormatting sqref="AA3353:AA3362">
    <cfRule type="cellIs" dxfId="5695" priority="5626" stopIfTrue="1" operator="equal">
      <formula>"NO APLICA"</formula>
    </cfRule>
    <cfRule type="cellIs" dxfId="5694" priority="5627" stopIfTrue="1" operator="equal">
      <formula>"TERCIARIA"</formula>
    </cfRule>
  </conditionalFormatting>
  <conditionalFormatting sqref="AB3353:AB3362">
    <cfRule type="cellIs" dxfId="5693" priority="5624" stopIfTrue="1" operator="equal">
      <formula>"N/A"</formula>
    </cfRule>
    <cfRule type="cellIs" dxfId="5692" priority="5625" stopIfTrue="1" operator="equal">
      <formula>"NO"</formula>
    </cfRule>
  </conditionalFormatting>
  <conditionalFormatting sqref="M3383:M3392">
    <cfRule type="cellIs" dxfId="5691" priority="5623" stopIfTrue="1" operator="lessThan">
      <formula>0</formula>
    </cfRule>
  </conditionalFormatting>
  <conditionalFormatting sqref="C3385:D3391 B3384:B3391 F3385:I3391 C3384:I3384 B3392:O3392 B3383:R3383 Q3384:R3385 J3384:O3391 Q3386:Q3392 P3384:P3392">
    <cfRule type="cellIs" dxfId="5690" priority="5622" stopIfTrue="1" operator="greaterThan">
      <formula>0</formula>
    </cfRule>
  </conditionalFormatting>
  <conditionalFormatting sqref="C3385:D3391">
    <cfRule type="cellIs" dxfId="5689" priority="5621" stopIfTrue="1" operator="greaterThan">
      <formula>0</formula>
    </cfRule>
  </conditionalFormatting>
  <conditionalFormatting sqref="C3383:M3383 C3385:D3391 F3385:I3391 C3384:I3384 K3384:M3391 J3384:J3392 L3392:M3392">
    <cfRule type="cellIs" dxfId="5688" priority="5620" stopIfTrue="1" operator="greaterThan">
      <formula>0</formula>
    </cfRule>
  </conditionalFormatting>
  <conditionalFormatting sqref="M3383:M3392">
    <cfRule type="cellIs" dxfId="5687" priority="5619" stopIfTrue="1" operator="lessThan">
      <formula>0</formula>
    </cfRule>
  </conditionalFormatting>
  <conditionalFormatting sqref="J3384:J3392 L3384:O3392 C3383:O3383">
    <cfRule type="cellIs" dxfId="5686" priority="5618" stopIfTrue="1" operator="greaterThan">
      <formula>0</formula>
    </cfRule>
  </conditionalFormatting>
  <conditionalFormatting sqref="H3385:I3391 K3385:M3392">
    <cfRule type="cellIs" dxfId="5685" priority="5617" stopIfTrue="1" operator="greaterThan">
      <formula>0</formula>
    </cfRule>
  </conditionalFormatting>
  <conditionalFormatting sqref="I3384">
    <cfRule type="cellIs" dxfId="5684" priority="5616" stopIfTrue="1" operator="greaterThan">
      <formula>0</formula>
    </cfRule>
  </conditionalFormatting>
  <conditionalFormatting sqref="I3392">
    <cfRule type="cellIs" dxfId="5683" priority="5615" stopIfTrue="1" operator="greaterThan">
      <formula>0</formula>
    </cfRule>
  </conditionalFormatting>
  <conditionalFormatting sqref="E3385:E3391">
    <cfRule type="cellIs" dxfId="5682" priority="5614" stopIfTrue="1" operator="greaterThan">
      <formula>0</formula>
    </cfRule>
  </conditionalFormatting>
  <conditionalFormatting sqref="K3400:K3405">
    <cfRule type="containsText" dxfId="5681" priority="5612" stopIfTrue="1" operator="containsText" text="NO CUMPLE">
      <formula>NOT(ISERROR(SEARCH("NO CUMPLE",K3400)))</formula>
    </cfRule>
    <cfRule type="containsText" dxfId="5680" priority="5613" stopIfTrue="1" operator="containsText" text="CUMPLE">
      <formula>NOT(ISERROR(SEARCH("CUMPLE",K3400)))</formula>
    </cfRule>
  </conditionalFormatting>
  <conditionalFormatting sqref="K3406">
    <cfRule type="containsText" dxfId="5679" priority="5610" stopIfTrue="1" operator="containsText" text="NO CUMPLE">
      <formula>NOT(ISERROR(SEARCH("NO CUMPLE",K3406)))</formula>
    </cfRule>
    <cfRule type="containsText" dxfId="5678" priority="5611" stopIfTrue="1" operator="containsText" text="CUMPLE">
      <formula>NOT(ISERROR(SEARCH("CUMPLE",K3406)))</formula>
    </cfRule>
  </conditionalFormatting>
  <conditionalFormatting sqref="Q3399">
    <cfRule type="cellIs" dxfId="5677" priority="5608" operator="greaterThanOrEqual">
      <formula>NUMMINCONT</formula>
    </cfRule>
    <cfRule type="cellIs" dxfId="5676" priority="5609" operator="lessThan">
      <formula>NUMMINCONT</formula>
    </cfRule>
  </conditionalFormatting>
  <conditionalFormatting sqref="W3383:Y3391">
    <cfRule type="cellIs" dxfId="5675" priority="5606" stopIfTrue="1" operator="equal">
      <formula>"NO"</formula>
    </cfRule>
    <cfRule type="cellIs" dxfId="5674" priority="5607" stopIfTrue="1" operator="equal">
      <formula>"SI"</formula>
    </cfRule>
  </conditionalFormatting>
  <conditionalFormatting sqref="R3386">
    <cfRule type="cellIs" dxfId="5673" priority="5605" stopIfTrue="1" operator="greaterThan">
      <formula>0</formula>
    </cfRule>
  </conditionalFormatting>
  <conditionalFormatting sqref="R3387">
    <cfRule type="cellIs" dxfId="5672" priority="5604" stopIfTrue="1" operator="greaterThan">
      <formula>0</formula>
    </cfRule>
  </conditionalFormatting>
  <conditionalFormatting sqref="R3388">
    <cfRule type="cellIs" dxfId="5671" priority="5603" stopIfTrue="1" operator="greaterThan">
      <formula>0</formula>
    </cfRule>
  </conditionalFormatting>
  <conditionalFormatting sqref="R3389">
    <cfRule type="cellIs" dxfId="5670" priority="5602" stopIfTrue="1" operator="greaterThan">
      <formula>0</formula>
    </cfRule>
  </conditionalFormatting>
  <conditionalFormatting sqref="R3390">
    <cfRule type="cellIs" dxfId="5669" priority="5601" stopIfTrue="1" operator="greaterThan">
      <formula>0</formula>
    </cfRule>
  </conditionalFormatting>
  <conditionalFormatting sqref="R3391">
    <cfRule type="cellIs" dxfId="5668" priority="5600" stopIfTrue="1" operator="greaterThan">
      <formula>0</formula>
    </cfRule>
  </conditionalFormatting>
  <conditionalFormatting sqref="R3392">
    <cfRule type="cellIs" dxfId="5667" priority="5599" stopIfTrue="1" operator="greaterThan">
      <formula>0</formula>
    </cfRule>
  </conditionalFormatting>
  <conditionalFormatting sqref="W3383:X3383">
    <cfRule type="cellIs" dxfId="5666" priority="5598" stopIfTrue="1" operator="equal">
      <formula>"NO APLICA"</formula>
    </cfRule>
  </conditionalFormatting>
  <conditionalFormatting sqref="W3384:X3387">
    <cfRule type="cellIs" dxfId="5665" priority="5597" stopIfTrue="1" operator="equal">
      <formula>"NO APLICA"</formula>
    </cfRule>
  </conditionalFormatting>
  <conditionalFormatting sqref="W3384:X3384">
    <cfRule type="cellIs" dxfId="5664" priority="5596" stopIfTrue="1" operator="equal">
      <formula>"NO APLICA"</formula>
    </cfRule>
  </conditionalFormatting>
  <conditionalFormatting sqref="Y3383">
    <cfRule type="cellIs" dxfId="5663" priority="5595" stopIfTrue="1" operator="equal">
      <formula>"NO APLICA"</formula>
    </cfRule>
  </conditionalFormatting>
  <conditionalFormatting sqref="Y3384:Y3387">
    <cfRule type="cellIs" dxfId="5662" priority="5594" stopIfTrue="1" operator="equal">
      <formula>"NO APLICA"</formula>
    </cfRule>
  </conditionalFormatting>
  <conditionalFormatting sqref="W3388:X3391">
    <cfRule type="cellIs" dxfId="5661" priority="5593" stopIfTrue="1" operator="equal">
      <formula>"NO APLICA"</formula>
    </cfRule>
  </conditionalFormatting>
  <conditionalFormatting sqref="W3388:X3388">
    <cfRule type="cellIs" dxfId="5660" priority="5592" stopIfTrue="1" operator="equal">
      <formula>"NO APLICA"</formula>
    </cfRule>
  </conditionalFormatting>
  <conditionalFormatting sqref="Y3388:Y3391">
    <cfRule type="cellIs" dxfId="5659" priority="5591" stopIfTrue="1" operator="equal">
      <formula>"NO APLICA"</formula>
    </cfRule>
  </conditionalFormatting>
  <conditionalFormatting sqref="T3397">
    <cfRule type="cellIs" dxfId="5658" priority="5589" operator="equal">
      <formula>"CUMPLE"</formula>
    </cfRule>
    <cfRule type="cellIs" dxfId="5657" priority="5590" operator="equal">
      <formula>"NO CUMPLE"</formula>
    </cfRule>
  </conditionalFormatting>
  <conditionalFormatting sqref="T3397:T3399">
    <cfRule type="cellIs" dxfId="5656" priority="5588" operator="equal">
      <formula>"VERIFICAR"</formula>
    </cfRule>
  </conditionalFormatting>
  <conditionalFormatting sqref="AD3383:AF3387">
    <cfRule type="cellIs" dxfId="5655" priority="5586" stopIfTrue="1" operator="equal">
      <formula>"NO"</formula>
    </cfRule>
    <cfRule type="cellIs" dxfId="5654" priority="5587" stopIfTrue="1" operator="equal">
      <formula>"SI"</formula>
    </cfRule>
  </conditionalFormatting>
  <conditionalFormatting sqref="AD3388:AF3391">
    <cfRule type="cellIs" dxfId="5653" priority="5584" stopIfTrue="1" operator="equal">
      <formula>"NO"</formula>
    </cfRule>
    <cfRule type="cellIs" dxfId="5652" priority="5585" stopIfTrue="1" operator="equal">
      <formula>"SI"</formula>
    </cfRule>
  </conditionalFormatting>
  <conditionalFormatting sqref="W3392:Y3392">
    <cfRule type="cellIs" dxfId="5651" priority="5582" stopIfTrue="1" operator="equal">
      <formula>"NO"</formula>
    </cfRule>
    <cfRule type="cellIs" dxfId="5650" priority="5583" stopIfTrue="1" operator="equal">
      <formula>"SI"</formula>
    </cfRule>
  </conditionalFormatting>
  <conditionalFormatting sqref="W3392:X3392">
    <cfRule type="cellIs" dxfId="5649" priority="5581" stopIfTrue="1" operator="equal">
      <formula>"NO APLICA"</formula>
    </cfRule>
  </conditionalFormatting>
  <conditionalFormatting sqref="Y3392">
    <cfRule type="cellIs" dxfId="5648" priority="5580" stopIfTrue="1" operator="equal">
      <formula>"NO APLICA"</formula>
    </cfRule>
  </conditionalFormatting>
  <conditionalFormatting sqref="AD3392:AF3392">
    <cfRule type="cellIs" dxfId="5647" priority="5578" stopIfTrue="1" operator="equal">
      <formula>"NO"</formula>
    </cfRule>
    <cfRule type="cellIs" dxfId="5646" priority="5579" stopIfTrue="1" operator="equal">
      <formula>"SI"</formula>
    </cfRule>
  </conditionalFormatting>
  <conditionalFormatting sqref="AE3397">
    <cfRule type="cellIs" dxfId="5645" priority="5575" stopIfTrue="1" operator="equal">
      <formula>"VERIFICAR"</formula>
    </cfRule>
    <cfRule type="cellIs" dxfId="5644" priority="5576" stopIfTrue="1" operator="equal">
      <formula>"NO CUMPLE"</formula>
    </cfRule>
    <cfRule type="cellIs" dxfId="5643" priority="5577" stopIfTrue="1" operator="equal">
      <formula>"CUMPLE"</formula>
    </cfRule>
  </conditionalFormatting>
  <conditionalFormatting sqref="AF3397">
    <cfRule type="cellIs" dxfId="5642" priority="5572" stopIfTrue="1" operator="equal">
      <formula>"VERIFICAR"</formula>
    </cfRule>
    <cfRule type="cellIs" dxfId="5641" priority="5573" stopIfTrue="1" operator="equal">
      <formula>"NO CUMPLE"</formula>
    </cfRule>
    <cfRule type="cellIs" dxfId="5640" priority="5574" stopIfTrue="1" operator="equal">
      <formula>"CUMPLE"</formula>
    </cfRule>
  </conditionalFormatting>
  <conditionalFormatting sqref="Y3400">
    <cfRule type="cellIs" dxfId="5639" priority="5571" operator="equal">
      <formula>"VERIFICAR CUADRO"</formula>
    </cfRule>
  </conditionalFormatting>
  <conditionalFormatting sqref="AC3401:AC3406">
    <cfRule type="cellIs" dxfId="5638" priority="5570" stopIfTrue="1" operator="greaterThan">
      <formula>0</formula>
    </cfRule>
  </conditionalFormatting>
  <conditionalFormatting sqref="AC3401:AC3406">
    <cfRule type="cellIs" dxfId="5637" priority="5569" stopIfTrue="1" operator="greaterThan">
      <formula>0</formula>
    </cfRule>
  </conditionalFormatting>
  <conditionalFormatting sqref="AD3401:AD3406">
    <cfRule type="containsText" dxfId="5636" priority="5567" stopIfTrue="1" operator="containsText" text="NO CUMPLE">
      <formula>NOT(ISERROR(SEARCH("NO CUMPLE",AD3401)))</formula>
    </cfRule>
    <cfRule type="containsText" dxfId="5635" priority="5568" stopIfTrue="1" operator="containsText" text="CUMPLE">
      <formula>NOT(ISERROR(SEARCH("CUMPLE",AD3401)))</formula>
    </cfRule>
  </conditionalFormatting>
  <conditionalFormatting sqref="Y3406">
    <cfRule type="containsText" dxfId="5634" priority="5565" stopIfTrue="1" operator="containsText" text="NO CUMPLE">
      <formula>NOT(ISERROR(SEARCH("NO CUMPLE",Y3406)))</formula>
    </cfRule>
    <cfRule type="containsText" dxfId="5633" priority="5566" stopIfTrue="1" operator="containsText" text="CUMPLE">
      <formula>NOT(ISERROR(SEARCH("CUMPLE",Y3406)))</formula>
    </cfRule>
  </conditionalFormatting>
  <conditionalFormatting sqref="AA3383:AA3392">
    <cfRule type="cellIs" dxfId="5632" priority="5563" stopIfTrue="1" operator="equal">
      <formula>"NO APLICA"</formula>
    </cfRule>
    <cfRule type="cellIs" dxfId="5631" priority="5564" stopIfTrue="1" operator="equal">
      <formula>"TERCIARIA"</formula>
    </cfRule>
  </conditionalFormatting>
  <conditionalFormatting sqref="AB3383:AB3392">
    <cfRule type="cellIs" dxfId="5630" priority="5561" stopIfTrue="1" operator="equal">
      <formula>"N/A"</formula>
    </cfRule>
    <cfRule type="cellIs" dxfId="5629" priority="5562" stopIfTrue="1" operator="equal">
      <formula>"NO"</formula>
    </cfRule>
  </conditionalFormatting>
  <conditionalFormatting sqref="M3413:M3422">
    <cfRule type="cellIs" dxfId="5628" priority="5560" stopIfTrue="1" operator="lessThan">
      <formula>0</formula>
    </cfRule>
  </conditionalFormatting>
  <conditionalFormatting sqref="C3415:D3421 B3414:B3421 F3415:I3421 C3414:I3414 B3422:O3422 B3413:R3413 Q3414:R3415 J3414:O3421 Q3416:Q3422 P3414:P3422">
    <cfRule type="cellIs" dxfId="5627" priority="5559" stopIfTrue="1" operator="greaterThan">
      <formula>0</formula>
    </cfRule>
  </conditionalFormatting>
  <conditionalFormatting sqref="C3415:D3421">
    <cfRule type="cellIs" dxfId="5626" priority="5558" stopIfTrue="1" operator="greaterThan">
      <formula>0</formula>
    </cfRule>
  </conditionalFormatting>
  <conditionalFormatting sqref="C3413:M3413 C3415:D3421 F3415:I3421 C3414:I3414 K3414:M3421 J3414:J3422 L3422:M3422">
    <cfRule type="cellIs" dxfId="5625" priority="5557" stopIfTrue="1" operator="greaterThan">
      <formula>0</formula>
    </cfRule>
  </conditionalFormatting>
  <conditionalFormatting sqref="M3413:M3422">
    <cfRule type="cellIs" dxfId="5624" priority="5556" stopIfTrue="1" operator="lessThan">
      <formula>0</formula>
    </cfRule>
  </conditionalFormatting>
  <conditionalFormatting sqref="J3414:J3422 L3414:O3422 C3413:O3413">
    <cfRule type="cellIs" dxfId="5623" priority="5555" stopIfTrue="1" operator="greaterThan">
      <formula>0</formula>
    </cfRule>
  </conditionalFormatting>
  <conditionalFormatting sqref="H3415:I3421 K3415:M3422">
    <cfRule type="cellIs" dxfId="5622" priority="5554" stopIfTrue="1" operator="greaterThan">
      <formula>0</formula>
    </cfRule>
  </conditionalFormatting>
  <conditionalFormatting sqref="I3414">
    <cfRule type="cellIs" dxfId="5621" priority="5553" stopIfTrue="1" operator="greaterThan">
      <formula>0</formula>
    </cfRule>
  </conditionalFormatting>
  <conditionalFormatting sqref="I3422">
    <cfRule type="cellIs" dxfId="5620" priority="5552" stopIfTrue="1" operator="greaterThan">
      <formula>0</formula>
    </cfRule>
  </conditionalFormatting>
  <conditionalFormatting sqref="E3415:E3421">
    <cfRule type="cellIs" dxfId="5619" priority="5551" stopIfTrue="1" operator="greaterThan">
      <formula>0</formula>
    </cfRule>
  </conditionalFormatting>
  <conditionalFormatting sqref="K3430:K3435">
    <cfRule type="containsText" dxfId="5618" priority="5549" stopIfTrue="1" operator="containsText" text="NO CUMPLE">
      <formula>NOT(ISERROR(SEARCH("NO CUMPLE",K3430)))</formula>
    </cfRule>
    <cfRule type="containsText" dxfId="5617" priority="5550" stopIfTrue="1" operator="containsText" text="CUMPLE">
      <formula>NOT(ISERROR(SEARCH("CUMPLE",K3430)))</formula>
    </cfRule>
  </conditionalFormatting>
  <conditionalFormatting sqref="K3436">
    <cfRule type="containsText" dxfId="5616" priority="5547" stopIfTrue="1" operator="containsText" text="NO CUMPLE">
      <formula>NOT(ISERROR(SEARCH("NO CUMPLE",K3436)))</formula>
    </cfRule>
    <cfRule type="containsText" dxfId="5615" priority="5548" stopIfTrue="1" operator="containsText" text="CUMPLE">
      <formula>NOT(ISERROR(SEARCH("CUMPLE",K3436)))</formula>
    </cfRule>
  </conditionalFormatting>
  <conditionalFormatting sqref="Q3429">
    <cfRule type="cellIs" dxfId="5614" priority="5545" operator="greaterThanOrEqual">
      <formula>NUMMINCONT</formula>
    </cfRule>
    <cfRule type="cellIs" dxfId="5613" priority="5546" operator="lessThan">
      <formula>NUMMINCONT</formula>
    </cfRule>
  </conditionalFormatting>
  <conditionalFormatting sqref="W3413:Y3421">
    <cfRule type="cellIs" dxfId="5612" priority="5543" stopIfTrue="1" operator="equal">
      <formula>"NO"</formula>
    </cfRule>
    <cfRule type="cellIs" dxfId="5611" priority="5544" stopIfTrue="1" operator="equal">
      <formula>"SI"</formula>
    </cfRule>
  </conditionalFormatting>
  <conditionalFormatting sqref="R3416">
    <cfRule type="cellIs" dxfId="5610" priority="5542" stopIfTrue="1" operator="greaterThan">
      <formula>0</formula>
    </cfRule>
  </conditionalFormatting>
  <conditionalFormatting sqref="R3417">
    <cfRule type="cellIs" dxfId="5609" priority="5541" stopIfTrue="1" operator="greaterThan">
      <formula>0</formula>
    </cfRule>
  </conditionalFormatting>
  <conditionalFormatting sqref="R3418">
    <cfRule type="cellIs" dxfId="5608" priority="5540" stopIfTrue="1" operator="greaterThan">
      <formula>0</formula>
    </cfRule>
  </conditionalFormatting>
  <conditionalFormatting sqref="R3419">
    <cfRule type="cellIs" dxfId="5607" priority="5539" stopIfTrue="1" operator="greaterThan">
      <formula>0</formula>
    </cfRule>
  </conditionalFormatting>
  <conditionalFormatting sqref="R3420">
    <cfRule type="cellIs" dxfId="5606" priority="5538" stopIfTrue="1" operator="greaterThan">
      <formula>0</formula>
    </cfRule>
  </conditionalFormatting>
  <conditionalFormatting sqref="R3421">
    <cfRule type="cellIs" dxfId="5605" priority="5537" stopIfTrue="1" operator="greaterThan">
      <formula>0</formula>
    </cfRule>
  </conditionalFormatting>
  <conditionalFormatting sqref="R3422">
    <cfRule type="cellIs" dxfId="5604" priority="5536" stopIfTrue="1" operator="greaterThan">
      <formula>0</formula>
    </cfRule>
  </conditionalFormatting>
  <conditionalFormatting sqref="W3413:X3413">
    <cfRule type="cellIs" dxfId="5603" priority="5535" stopIfTrue="1" operator="equal">
      <formula>"NO APLICA"</formula>
    </cfRule>
  </conditionalFormatting>
  <conditionalFormatting sqref="W3414:X3417">
    <cfRule type="cellIs" dxfId="5602" priority="5534" stopIfTrue="1" operator="equal">
      <formula>"NO APLICA"</formula>
    </cfRule>
  </conditionalFormatting>
  <conditionalFormatting sqref="W3414:X3414">
    <cfRule type="cellIs" dxfId="5601" priority="5533" stopIfTrue="1" operator="equal">
      <formula>"NO APLICA"</formula>
    </cfRule>
  </conditionalFormatting>
  <conditionalFormatting sqref="Y3413">
    <cfRule type="cellIs" dxfId="5600" priority="5532" stopIfTrue="1" operator="equal">
      <formula>"NO APLICA"</formula>
    </cfRule>
  </conditionalFormatting>
  <conditionalFormatting sqref="Y3414:Y3417">
    <cfRule type="cellIs" dxfId="5599" priority="5531" stopIfTrue="1" operator="equal">
      <formula>"NO APLICA"</formula>
    </cfRule>
  </conditionalFormatting>
  <conditionalFormatting sqref="W3418:X3421">
    <cfRule type="cellIs" dxfId="5598" priority="5530" stopIfTrue="1" operator="equal">
      <formula>"NO APLICA"</formula>
    </cfRule>
  </conditionalFormatting>
  <conditionalFormatting sqref="W3418:X3418">
    <cfRule type="cellIs" dxfId="5597" priority="5529" stopIfTrue="1" operator="equal">
      <formula>"NO APLICA"</formula>
    </cfRule>
  </conditionalFormatting>
  <conditionalFormatting sqref="Y3418:Y3421">
    <cfRule type="cellIs" dxfId="5596" priority="5528" stopIfTrue="1" operator="equal">
      <formula>"NO APLICA"</formula>
    </cfRule>
  </conditionalFormatting>
  <conditionalFormatting sqref="T3427">
    <cfRule type="cellIs" dxfId="5595" priority="5526" operator="equal">
      <formula>"CUMPLE"</formula>
    </cfRule>
    <cfRule type="cellIs" dxfId="5594" priority="5527" operator="equal">
      <formula>"NO CUMPLE"</formula>
    </cfRule>
  </conditionalFormatting>
  <conditionalFormatting sqref="T3427:T3429">
    <cfRule type="cellIs" dxfId="5593" priority="5525" operator="equal">
      <formula>"VERIFICAR"</formula>
    </cfRule>
  </conditionalFormatting>
  <conditionalFormatting sqref="AD3413:AF3417">
    <cfRule type="cellIs" dxfId="5592" priority="5523" stopIfTrue="1" operator="equal">
      <formula>"NO"</formula>
    </cfRule>
    <cfRule type="cellIs" dxfId="5591" priority="5524" stopIfTrue="1" operator="equal">
      <formula>"SI"</formula>
    </cfRule>
  </conditionalFormatting>
  <conditionalFormatting sqref="AD3418:AF3421">
    <cfRule type="cellIs" dxfId="5590" priority="5521" stopIfTrue="1" operator="equal">
      <formula>"NO"</formula>
    </cfRule>
    <cfRule type="cellIs" dxfId="5589" priority="5522" stopIfTrue="1" operator="equal">
      <formula>"SI"</formula>
    </cfRule>
  </conditionalFormatting>
  <conditionalFormatting sqref="W3422:Y3422">
    <cfRule type="cellIs" dxfId="5588" priority="5519" stopIfTrue="1" operator="equal">
      <formula>"NO"</formula>
    </cfRule>
    <cfRule type="cellIs" dxfId="5587" priority="5520" stopIfTrue="1" operator="equal">
      <formula>"SI"</formula>
    </cfRule>
  </conditionalFormatting>
  <conditionalFormatting sqref="W3422:X3422">
    <cfRule type="cellIs" dxfId="5586" priority="5518" stopIfTrue="1" operator="equal">
      <formula>"NO APLICA"</formula>
    </cfRule>
  </conditionalFormatting>
  <conditionalFormatting sqref="Y3422">
    <cfRule type="cellIs" dxfId="5585" priority="5517" stopIfTrue="1" operator="equal">
      <formula>"NO APLICA"</formula>
    </cfRule>
  </conditionalFormatting>
  <conditionalFormatting sqref="AD3422:AF3422">
    <cfRule type="cellIs" dxfId="5584" priority="5515" stopIfTrue="1" operator="equal">
      <formula>"NO"</formula>
    </cfRule>
    <cfRule type="cellIs" dxfId="5583" priority="5516" stopIfTrue="1" operator="equal">
      <formula>"SI"</formula>
    </cfRule>
  </conditionalFormatting>
  <conditionalFormatting sqref="AE3427">
    <cfRule type="cellIs" dxfId="5582" priority="5512" stopIfTrue="1" operator="equal">
      <formula>"VERIFICAR"</formula>
    </cfRule>
    <cfRule type="cellIs" dxfId="5581" priority="5513" stopIfTrue="1" operator="equal">
      <formula>"NO CUMPLE"</formula>
    </cfRule>
    <cfRule type="cellIs" dxfId="5580" priority="5514" stopIfTrue="1" operator="equal">
      <formula>"CUMPLE"</formula>
    </cfRule>
  </conditionalFormatting>
  <conditionalFormatting sqref="AF3427">
    <cfRule type="cellIs" dxfId="5579" priority="5509" stopIfTrue="1" operator="equal">
      <formula>"VERIFICAR"</formula>
    </cfRule>
    <cfRule type="cellIs" dxfId="5578" priority="5510" stopIfTrue="1" operator="equal">
      <formula>"NO CUMPLE"</formula>
    </cfRule>
    <cfRule type="cellIs" dxfId="5577" priority="5511" stopIfTrue="1" operator="equal">
      <formula>"CUMPLE"</formula>
    </cfRule>
  </conditionalFormatting>
  <conditionalFormatting sqref="Y3430">
    <cfRule type="cellIs" dxfId="5576" priority="5508" operator="equal">
      <formula>"VERIFICAR CUADRO"</formula>
    </cfRule>
  </conditionalFormatting>
  <conditionalFormatting sqref="AC3431:AC3436">
    <cfRule type="cellIs" dxfId="5575" priority="5507" stopIfTrue="1" operator="greaterThan">
      <formula>0</formula>
    </cfRule>
  </conditionalFormatting>
  <conditionalFormatting sqref="AC3431:AC3436">
    <cfRule type="cellIs" dxfId="5574" priority="5506" stopIfTrue="1" operator="greaterThan">
      <formula>0</formula>
    </cfRule>
  </conditionalFormatting>
  <conditionalFormatting sqref="AD3431:AD3436">
    <cfRule type="containsText" dxfId="5573" priority="5504" stopIfTrue="1" operator="containsText" text="NO CUMPLE">
      <formula>NOT(ISERROR(SEARCH("NO CUMPLE",AD3431)))</formula>
    </cfRule>
    <cfRule type="containsText" dxfId="5572" priority="5505" stopIfTrue="1" operator="containsText" text="CUMPLE">
      <formula>NOT(ISERROR(SEARCH("CUMPLE",AD3431)))</formula>
    </cfRule>
  </conditionalFormatting>
  <conditionalFormatting sqref="Y3436">
    <cfRule type="containsText" dxfId="5571" priority="5502" stopIfTrue="1" operator="containsText" text="NO CUMPLE">
      <formula>NOT(ISERROR(SEARCH("NO CUMPLE",Y3436)))</formula>
    </cfRule>
    <cfRule type="containsText" dxfId="5570" priority="5503" stopIfTrue="1" operator="containsText" text="CUMPLE">
      <formula>NOT(ISERROR(SEARCH("CUMPLE",Y3436)))</formula>
    </cfRule>
  </conditionalFormatting>
  <conditionalFormatting sqref="AA3413:AA3422">
    <cfRule type="cellIs" dxfId="5569" priority="5500" stopIfTrue="1" operator="equal">
      <formula>"NO APLICA"</formula>
    </cfRule>
    <cfRule type="cellIs" dxfId="5568" priority="5501" stopIfTrue="1" operator="equal">
      <formula>"TERCIARIA"</formula>
    </cfRule>
  </conditionalFormatting>
  <conditionalFormatting sqref="AB3413:AB3422">
    <cfRule type="cellIs" dxfId="5567" priority="5498" stopIfTrue="1" operator="equal">
      <formula>"N/A"</formula>
    </cfRule>
    <cfRule type="cellIs" dxfId="5566" priority="5499" stopIfTrue="1" operator="equal">
      <formula>"NO"</formula>
    </cfRule>
  </conditionalFormatting>
  <conditionalFormatting sqref="M3443:M3452">
    <cfRule type="cellIs" dxfId="5565" priority="5497" stopIfTrue="1" operator="lessThan">
      <formula>0</formula>
    </cfRule>
  </conditionalFormatting>
  <conditionalFormatting sqref="C3445:D3451 B3444:B3451 F3445:I3451 C3444:I3444 B3452:O3452 B3443:R3443 Q3444:R3445 J3444:O3451 Q3446:Q3452 P3444:P3452">
    <cfRule type="cellIs" dxfId="5564" priority="5496" stopIfTrue="1" operator="greaterThan">
      <formula>0</formula>
    </cfRule>
  </conditionalFormatting>
  <conditionalFormatting sqref="C3445:D3451">
    <cfRule type="cellIs" dxfId="5563" priority="5495" stopIfTrue="1" operator="greaterThan">
      <formula>0</formula>
    </cfRule>
  </conditionalFormatting>
  <conditionalFormatting sqref="C3443:M3443 C3445:D3451 F3445:I3451 C3444:I3444 K3444:M3451 J3444:J3452 L3452:M3452">
    <cfRule type="cellIs" dxfId="5562" priority="5494" stopIfTrue="1" operator="greaterThan">
      <formula>0</formula>
    </cfRule>
  </conditionalFormatting>
  <conditionalFormatting sqref="M3443:M3452">
    <cfRule type="cellIs" dxfId="5561" priority="5493" stopIfTrue="1" operator="lessThan">
      <formula>0</formula>
    </cfRule>
  </conditionalFormatting>
  <conditionalFormatting sqref="J3444:J3452 L3444:O3452 C3443:O3443">
    <cfRule type="cellIs" dxfId="5560" priority="5492" stopIfTrue="1" operator="greaterThan">
      <formula>0</formula>
    </cfRule>
  </conditionalFormatting>
  <conditionalFormatting sqref="H3445:I3451 K3445:M3452">
    <cfRule type="cellIs" dxfId="5559" priority="5491" stopIfTrue="1" operator="greaterThan">
      <formula>0</formula>
    </cfRule>
  </conditionalFormatting>
  <conditionalFormatting sqref="I3444">
    <cfRule type="cellIs" dxfId="5558" priority="5490" stopIfTrue="1" operator="greaterThan">
      <formula>0</formula>
    </cfRule>
  </conditionalFormatting>
  <conditionalFormatting sqref="I3452">
    <cfRule type="cellIs" dxfId="5557" priority="5489" stopIfTrue="1" operator="greaterThan">
      <formula>0</formula>
    </cfRule>
  </conditionalFormatting>
  <conditionalFormatting sqref="E3445:E3451">
    <cfRule type="cellIs" dxfId="5556" priority="5488" stopIfTrue="1" operator="greaterThan">
      <formula>0</formula>
    </cfRule>
  </conditionalFormatting>
  <conditionalFormatting sqref="K3460:K3465">
    <cfRule type="containsText" dxfId="5555" priority="5486" stopIfTrue="1" operator="containsText" text="NO CUMPLE">
      <formula>NOT(ISERROR(SEARCH("NO CUMPLE",K3460)))</formula>
    </cfRule>
    <cfRule type="containsText" dxfId="5554" priority="5487" stopIfTrue="1" operator="containsText" text="CUMPLE">
      <formula>NOT(ISERROR(SEARCH("CUMPLE",K3460)))</formula>
    </cfRule>
  </conditionalFormatting>
  <conditionalFormatting sqref="K3466">
    <cfRule type="containsText" dxfId="5553" priority="5484" stopIfTrue="1" operator="containsText" text="NO CUMPLE">
      <formula>NOT(ISERROR(SEARCH("NO CUMPLE",K3466)))</formula>
    </cfRule>
    <cfRule type="containsText" dxfId="5552" priority="5485" stopIfTrue="1" operator="containsText" text="CUMPLE">
      <formula>NOT(ISERROR(SEARCH("CUMPLE",K3466)))</formula>
    </cfRule>
  </conditionalFormatting>
  <conditionalFormatting sqref="Q3459">
    <cfRule type="cellIs" dxfId="5551" priority="5482" operator="greaterThanOrEqual">
      <formula>NUMMINCONT</formula>
    </cfRule>
    <cfRule type="cellIs" dxfId="5550" priority="5483" operator="lessThan">
      <formula>NUMMINCONT</formula>
    </cfRule>
  </conditionalFormatting>
  <conditionalFormatting sqref="W3443:Y3451">
    <cfRule type="cellIs" dxfId="5549" priority="5480" stopIfTrue="1" operator="equal">
      <formula>"NO"</formula>
    </cfRule>
    <cfRule type="cellIs" dxfId="5548" priority="5481" stopIfTrue="1" operator="equal">
      <formula>"SI"</formula>
    </cfRule>
  </conditionalFormatting>
  <conditionalFormatting sqref="R3446">
    <cfRule type="cellIs" dxfId="5547" priority="5479" stopIfTrue="1" operator="greaterThan">
      <formula>0</formula>
    </cfRule>
  </conditionalFormatting>
  <conditionalFormatting sqref="R3447">
    <cfRule type="cellIs" dxfId="5546" priority="5478" stopIfTrue="1" operator="greaterThan">
      <formula>0</formula>
    </cfRule>
  </conditionalFormatting>
  <conditionalFormatting sqref="R3448">
    <cfRule type="cellIs" dxfId="5545" priority="5477" stopIfTrue="1" operator="greaterThan">
      <formula>0</formula>
    </cfRule>
  </conditionalFormatting>
  <conditionalFormatting sqref="R3449">
    <cfRule type="cellIs" dxfId="5544" priority="5476" stopIfTrue="1" operator="greaterThan">
      <formula>0</formula>
    </cfRule>
  </conditionalFormatting>
  <conditionalFormatting sqref="R3450">
    <cfRule type="cellIs" dxfId="5543" priority="5475" stopIfTrue="1" operator="greaterThan">
      <formula>0</formula>
    </cfRule>
  </conditionalFormatting>
  <conditionalFormatting sqref="R3451">
    <cfRule type="cellIs" dxfId="5542" priority="5474" stopIfTrue="1" operator="greaterThan">
      <formula>0</formula>
    </cfRule>
  </conditionalFormatting>
  <conditionalFormatting sqref="R3452">
    <cfRule type="cellIs" dxfId="5541" priority="5473" stopIfTrue="1" operator="greaterThan">
      <formula>0</formula>
    </cfRule>
  </conditionalFormatting>
  <conditionalFormatting sqref="W3443:X3443">
    <cfRule type="cellIs" dxfId="5540" priority="5472" stopIfTrue="1" operator="equal">
      <formula>"NO APLICA"</formula>
    </cfRule>
  </conditionalFormatting>
  <conditionalFormatting sqref="W3444:X3447">
    <cfRule type="cellIs" dxfId="5539" priority="5471" stopIfTrue="1" operator="equal">
      <formula>"NO APLICA"</formula>
    </cfRule>
  </conditionalFormatting>
  <conditionalFormatting sqref="W3444:X3444">
    <cfRule type="cellIs" dxfId="5538" priority="5470" stopIfTrue="1" operator="equal">
      <formula>"NO APLICA"</formula>
    </cfRule>
  </conditionalFormatting>
  <conditionalFormatting sqref="Y3443">
    <cfRule type="cellIs" dxfId="5537" priority="5469" stopIfTrue="1" operator="equal">
      <formula>"NO APLICA"</formula>
    </cfRule>
  </conditionalFormatting>
  <conditionalFormatting sqref="Y3444:Y3447">
    <cfRule type="cellIs" dxfId="5536" priority="5468" stopIfTrue="1" operator="equal">
      <formula>"NO APLICA"</formula>
    </cfRule>
  </conditionalFormatting>
  <conditionalFormatting sqref="W3448:X3451">
    <cfRule type="cellIs" dxfId="5535" priority="5467" stopIfTrue="1" operator="equal">
      <formula>"NO APLICA"</formula>
    </cfRule>
  </conditionalFormatting>
  <conditionalFormatting sqref="W3448:X3448">
    <cfRule type="cellIs" dxfId="5534" priority="5466" stopIfTrue="1" operator="equal">
      <formula>"NO APLICA"</formula>
    </cfRule>
  </conditionalFormatting>
  <conditionalFormatting sqref="Y3448:Y3451">
    <cfRule type="cellIs" dxfId="5533" priority="5465" stopIfTrue="1" operator="equal">
      <formula>"NO APLICA"</formula>
    </cfRule>
  </conditionalFormatting>
  <conditionalFormatting sqref="T3457">
    <cfRule type="cellIs" dxfId="5532" priority="5463" operator="equal">
      <formula>"CUMPLE"</formula>
    </cfRule>
    <cfRule type="cellIs" dxfId="5531" priority="5464" operator="equal">
      <formula>"NO CUMPLE"</formula>
    </cfRule>
  </conditionalFormatting>
  <conditionalFormatting sqref="T3457:T3459">
    <cfRule type="cellIs" dxfId="5530" priority="5462" operator="equal">
      <formula>"VERIFICAR"</formula>
    </cfRule>
  </conditionalFormatting>
  <conditionalFormatting sqref="AD3443:AF3447">
    <cfRule type="cellIs" dxfId="5529" priority="5460" stopIfTrue="1" operator="equal">
      <formula>"NO"</formula>
    </cfRule>
    <cfRule type="cellIs" dxfId="5528" priority="5461" stopIfTrue="1" operator="equal">
      <formula>"SI"</formula>
    </cfRule>
  </conditionalFormatting>
  <conditionalFormatting sqref="AD3448:AF3451">
    <cfRule type="cellIs" dxfId="5527" priority="5458" stopIfTrue="1" operator="equal">
      <formula>"NO"</formula>
    </cfRule>
    <cfRule type="cellIs" dxfId="5526" priority="5459" stopIfTrue="1" operator="equal">
      <formula>"SI"</formula>
    </cfRule>
  </conditionalFormatting>
  <conditionalFormatting sqref="W3452:Y3452">
    <cfRule type="cellIs" dxfId="5525" priority="5456" stopIfTrue="1" operator="equal">
      <formula>"NO"</formula>
    </cfRule>
    <cfRule type="cellIs" dxfId="5524" priority="5457" stopIfTrue="1" operator="equal">
      <formula>"SI"</formula>
    </cfRule>
  </conditionalFormatting>
  <conditionalFormatting sqref="W3452:X3452">
    <cfRule type="cellIs" dxfId="5523" priority="5455" stopIfTrue="1" operator="equal">
      <formula>"NO APLICA"</formula>
    </cfRule>
  </conditionalFormatting>
  <conditionalFormatting sqref="Y3452">
    <cfRule type="cellIs" dxfId="5522" priority="5454" stopIfTrue="1" operator="equal">
      <formula>"NO APLICA"</formula>
    </cfRule>
  </conditionalFormatting>
  <conditionalFormatting sqref="AD3452:AF3452">
    <cfRule type="cellIs" dxfId="5521" priority="5452" stopIfTrue="1" operator="equal">
      <formula>"NO"</formula>
    </cfRule>
    <cfRule type="cellIs" dxfId="5520" priority="5453" stopIfTrue="1" operator="equal">
      <formula>"SI"</formula>
    </cfRule>
  </conditionalFormatting>
  <conditionalFormatting sqref="AE3457">
    <cfRule type="cellIs" dxfId="5519" priority="5449" stopIfTrue="1" operator="equal">
      <formula>"VERIFICAR"</formula>
    </cfRule>
    <cfRule type="cellIs" dxfId="5518" priority="5450" stopIfTrue="1" operator="equal">
      <formula>"NO CUMPLE"</formula>
    </cfRule>
    <cfRule type="cellIs" dxfId="5517" priority="5451" stopIfTrue="1" operator="equal">
      <formula>"CUMPLE"</formula>
    </cfRule>
  </conditionalFormatting>
  <conditionalFormatting sqref="AF3457">
    <cfRule type="cellIs" dxfId="5516" priority="5446" stopIfTrue="1" operator="equal">
      <formula>"VERIFICAR"</formula>
    </cfRule>
    <cfRule type="cellIs" dxfId="5515" priority="5447" stopIfTrue="1" operator="equal">
      <formula>"NO CUMPLE"</formula>
    </cfRule>
    <cfRule type="cellIs" dxfId="5514" priority="5448" stopIfTrue="1" operator="equal">
      <formula>"CUMPLE"</formula>
    </cfRule>
  </conditionalFormatting>
  <conditionalFormatting sqref="Y3460">
    <cfRule type="cellIs" dxfId="5513" priority="5445" operator="equal">
      <formula>"VERIFICAR CUADRO"</formula>
    </cfRule>
  </conditionalFormatting>
  <conditionalFormatting sqref="AC3461:AC3466">
    <cfRule type="cellIs" dxfId="5512" priority="5444" stopIfTrue="1" operator="greaterThan">
      <formula>0</formula>
    </cfRule>
  </conditionalFormatting>
  <conditionalFormatting sqref="AC3461:AC3466">
    <cfRule type="cellIs" dxfId="5511" priority="5443" stopIfTrue="1" operator="greaterThan">
      <formula>0</formula>
    </cfRule>
  </conditionalFormatting>
  <conditionalFormatting sqref="AD3461:AD3466">
    <cfRule type="containsText" dxfId="5510" priority="5441" stopIfTrue="1" operator="containsText" text="NO CUMPLE">
      <formula>NOT(ISERROR(SEARCH("NO CUMPLE",AD3461)))</formula>
    </cfRule>
    <cfRule type="containsText" dxfId="5509" priority="5442" stopIfTrue="1" operator="containsText" text="CUMPLE">
      <formula>NOT(ISERROR(SEARCH("CUMPLE",AD3461)))</formula>
    </cfRule>
  </conditionalFormatting>
  <conditionalFormatting sqref="Y3466">
    <cfRule type="containsText" dxfId="5508" priority="5439" stopIfTrue="1" operator="containsText" text="NO CUMPLE">
      <formula>NOT(ISERROR(SEARCH("NO CUMPLE",Y3466)))</formula>
    </cfRule>
    <cfRule type="containsText" dxfId="5507" priority="5440" stopIfTrue="1" operator="containsText" text="CUMPLE">
      <formula>NOT(ISERROR(SEARCH("CUMPLE",Y3466)))</formula>
    </cfRule>
  </conditionalFormatting>
  <conditionalFormatting sqref="AA3443:AA3452">
    <cfRule type="cellIs" dxfId="5506" priority="5437" stopIfTrue="1" operator="equal">
      <formula>"NO APLICA"</formula>
    </cfRule>
    <cfRule type="cellIs" dxfId="5505" priority="5438" stopIfTrue="1" operator="equal">
      <formula>"TERCIARIA"</formula>
    </cfRule>
  </conditionalFormatting>
  <conditionalFormatting sqref="AB3443:AB3452">
    <cfRule type="cellIs" dxfId="5504" priority="5435" stopIfTrue="1" operator="equal">
      <formula>"N/A"</formula>
    </cfRule>
    <cfRule type="cellIs" dxfId="5503" priority="5436" stopIfTrue="1" operator="equal">
      <formula>"NO"</formula>
    </cfRule>
  </conditionalFormatting>
  <conditionalFormatting sqref="M3473:M3482">
    <cfRule type="cellIs" dxfId="5502" priority="5434" stopIfTrue="1" operator="lessThan">
      <formula>0</formula>
    </cfRule>
  </conditionalFormatting>
  <conditionalFormatting sqref="C3475:D3481 B3474:B3481 F3475:I3481 C3474:I3474 B3482:O3482 B3473:R3473 Q3474:R3475 J3474:O3481 Q3476:Q3482 P3474:P3482">
    <cfRule type="cellIs" dxfId="5501" priority="5433" stopIfTrue="1" operator="greaterThan">
      <formula>0</formula>
    </cfRule>
  </conditionalFormatting>
  <conditionalFormatting sqref="C3475:D3481">
    <cfRule type="cellIs" dxfId="5500" priority="5432" stopIfTrue="1" operator="greaterThan">
      <formula>0</formula>
    </cfRule>
  </conditionalFormatting>
  <conditionalFormatting sqref="C3473:M3473 C3475:D3481 F3475:I3481 C3474:I3474 K3474:M3481 J3474:J3482 L3482:M3482">
    <cfRule type="cellIs" dxfId="5499" priority="5431" stopIfTrue="1" operator="greaterThan">
      <formula>0</formula>
    </cfRule>
  </conditionalFormatting>
  <conditionalFormatting sqref="M3473:M3482">
    <cfRule type="cellIs" dxfId="5498" priority="5430" stopIfTrue="1" operator="lessThan">
      <formula>0</formula>
    </cfRule>
  </conditionalFormatting>
  <conditionalFormatting sqref="J3474:J3482 L3474:O3482 C3473:O3473">
    <cfRule type="cellIs" dxfId="5497" priority="5429" stopIfTrue="1" operator="greaterThan">
      <formula>0</formula>
    </cfRule>
  </conditionalFormatting>
  <conditionalFormatting sqref="H3475:I3481 K3475:M3482">
    <cfRule type="cellIs" dxfId="5496" priority="5428" stopIfTrue="1" operator="greaterThan">
      <formula>0</formula>
    </cfRule>
  </conditionalFormatting>
  <conditionalFormatting sqref="I3474">
    <cfRule type="cellIs" dxfId="5495" priority="5427" stopIfTrue="1" operator="greaterThan">
      <formula>0</formula>
    </cfRule>
  </conditionalFormatting>
  <conditionalFormatting sqref="I3482">
    <cfRule type="cellIs" dxfId="5494" priority="5426" stopIfTrue="1" operator="greaterThan">
      <formula>0</formula>
    </cfRule>
  </conditionalFormatting>
  <conditionalFormatting sqref="E3475:E3481">
    <cfRule type="cellIs" dxfId="5493" priority="5425" stopIfTrue="1" operator="greaterThan">
      <formula>0</formula>
    </cfRule>
  </conditionalFormatting>
  <conditionalFormatting sqref="K3490:K3495">
    <cfRule type="containsText" dxfId="5492" priority="5423" stopIfTrue="1" operator="containsText" text="NO CUMPLE">
      <formula>NOT(ISERROR(SEARCH("NO CUMPLE",K3490)))</formula>
    </cfRule>
    <cfRule type="containsText" dxfId="5491" priority="5424" stopIfTrue="1" operator="containsText" text="CUMPLE">
      <formula>NOT(ISERROR(SEARCH("CUMPLE",K3490)))</formula>
    </cfRule>
  </conditionalFormatting>
  <conditionalFormatting sqref="K3496">
    <cfRule type="containsText" dxfId="5490" priority="5421" stopIfTrue="1" operator="containsText" text="NO CUMPLE">
      <formula>NOT(ISERROR(SEARCH("NO CUMPLE",K3496)))</formula>
    </cfRule>
    <cfRule type="containsText" dxfId="5489" priority="5422" stopIfTrue="1" operator="containsText" text="CUMPLE">
      <formula>NOT(ISERROR(SEARCH("CUMPLE",K3496)))</formula>
    </cfRule>
  </conditionalFormatting>
  <conditionalFormatting sqref="Q3489">
    <cfRule type="cellIs" dxfId="5488" priority="5419" operator="greaterThanOrEqual">
      <formula>NUMMINCONT</formula>
    </cfRule>
    <cfRule type="cellIs" dxfId="5487" priority="5420" operator="lessThan">
      <formula>NUMMINCONT</formula>
    </cfRule>
  </conditionalFormatting>
  <conditionalFormatting sqref="W3473:Y3481">
    <cfRule type="cellIs" dxfId="5486" priority="5417" stopIfTrue="1" operator="equal">
      <formula>"NO"</formula>
    </cfRule>
    <cfRule type="cellIs" dxfId="5485" priority="5418" stopIfTrue="1" operator="equal">
      <formula>"SI"</formula>
    </cfRule>
  </conditionalFormatting>
  <conditionalFormatting sqref="R3476">
    <cfRule type="cellIs" dxfId="5484" priority="5416" stopIfTrue="1" operator="greaterThan">
      <formula>0</formula>
    </cfRule>
  </conditionalFormatting>
  <conditionalFormatting sqref="R3477">
    <cfRule type="cellIs" dxfId="5483" priority="5415" stopIfTrue="1" operator="greaterThan">
      <formula>0</formula>
    </cfRule>
  </conditionalFormatting>
  <conditionalFormatting sqref="R3478">
    <cfRule type="cellIs" dxfId="5482" priority="5414" stopIfTrue="1" operator="greaterThan">
      <formula>0</formula>
    </cfRule>
  </conditionalFormatting>
  <conditionalFormatting sqref="R3479">
    <cfRule type="cellIs" dxfId="5481" priority="5413" stopIfTrue="1" operator="greaterThan">
      <formula>0</formula>
    </cfRule>
  </conditionalFormatting>
  <conditionalFormatting sqref="R3480">
    <cfRule type="cellIs" dxfId="5480" priority="5412" stopIfTrue="1" operator="greaterThan">
      <formula>0</formula>
    </cfRule>
  </conditionalFormatting>
  <conditionalFormatting sqref="R3481">
    <cfRule type="cellIs" dxfId="5479" priority="5411" stopIfTrue="1" operator="greaterThan">
      <formula>0</formula>
    </cfRule>
  </conditionalFormatting>
  <conditionalFormatting sqref="R3482">
    <cfRule type="cellIs" dxfId="5478" priority="5410" stopIfTrue="1" operator="greaterThan">
      <formula>0</formula>
    </cfRule>
  </conditionalFormatting>
  <conditionalFormatting sqref="W3473:X3473">
    <cfRule type="cellIs" dxfId="5477" priority="5409" stopIfTrue="1" operator="equal">
      <formula>"NO APLICA"</formula>
    </cfRule>
  </conditionalFormatting>
  <conditionalFormatting sqref="W3474:X3477">
    <cfRule type="cellIs" dxfId="5476" priority="5408" stopIfTrue="1" operator="equal">
      <formula>"NO APLICA"</formula>
    </cfRule>
  </conditionalFormatting>
  <conditionalFormatting sqref="W3474:X3474">
    <cfRule type="cellIs" dxfId="5475" priority="5407" stopIfTrue="1" operator="equal">
      <formula>"NO APLICA"</formula>
    </cfRule>
  </conditionalFormatting>
  <conditionalFormatting sqref="Y3473">
    <cfRule type="cellIs" dxfId="5474" priority="5406" stopIfTrue="1" operator="equal">
      <formula>"NO APLICA"</formula>
    </cfRule>
  </conditionalFormatting>
  <conditionalFormatting sqref="Y3474:Y3477">
    <cfRule type="cellIs" dxfId="5473" priority="5405" stopIfTrue="1" operator="equal">
      <formula>"NO APLICA"</formula>
    </cfRule>
  </conditionalFormatting>
  <conditionalFormatting sqref="W3478:X3481">
    <cfRule type="cellIs" dxfId="5472" priority="5404" stopIfTrue="1" operator="equal">
      <formula>"NO APLICA"</formula>
    </cfRule>
  </conditionalFormatting>
  <conditionalFormatting sqref="W3478:X3478">
    <cfRule type="cellIs" dxfId="5471" priority="5403" stopIfTrue="1" operator="equal">
      <formula>"NO APLICA"</formula>
    </cfRule>
  </conditionalFormatting>
  <conditionalFormatting sqref="Y3478:Y3481">
    <cfRule type="cellIs" dxfId="5470" priority="5402" stopIfTrue="1" operator="equal">
      <formula>"NO APLICA"</formula>
    </cfRule>
  </conditionalFormatting>
  <conditionalFormatting sqref="T3487">
    <cfRule type="cellIs" dxfId="5469" priority="5400" operator="equal">
      <formula>"CUMPLE"</formula>
    </cfRule>
    <cfRule type="cellIs" dxfId="5468" priority="5401" operator="equal">
      <formula>"NO CUMPLE"</formula>
    </cfRule>
  </conditionalFormatting>
  <conditionalFormatting sqref="T3487:T3489">
    <cfRule type="cellIs" dxfId="5467" priority="5399" operator="equal">
      <formula>"VERIFICAR"</formula>
    </cfRule>
  </conditionalFormatting>
  <conditionalFormatting sqref="AD3473:AF3477">
    <cfRule type="cellIs" dxfId="5466" priority="5397" stopIfTrue="1" operator="equal">
      <formula>"NO"</formula>
    </cfRule>
    <cfRule type="cellIs" dxfId="5465" priority="5398" stopIfTrue="1" operator="equal">
      <formula>"SI"</formula>
    </cfRule>
  </conditionalFormatting>
  <conditionalFormatting sqref="AD3478:AF3481">
    <cfRule type="cellIs" dxfId="5464" priority="5395" stopIfTrue="1" operator="equal">
      <formula>"NO"</formula>
    </cfRule>
    <cfRule type="cellIs" dxfId="5463" priority="5396" stopIfTrue="1" operator="equal">
      <formula>"SI"</formula>
    </cfRule>
  </conditionalFormatting>
  <conditionalFormatting sqref="W3482:Y3482">
    <cfRule type="cellIs" dxfId="5462" priority="5393" stopIfTrue="1" operator="equal">
      <formula>"NO"</formula>
    </cfRule>
    <cfRule type="cellIs" dxfId="5461" priority="5394" stopIfTrue="1" operator="equal">
      <formula>"SI"</formula>
    </cfRule>
  </conditionalFormatting>
  <conditionalFormatting sqref="W3482:X3482">
    <cfRule type="cellIs" dxfId="5460" priority="5392" stopIfTrue="1" operator="equal">
      <formula>"NO APLICA"</formula>
    </cfRule>
  </conditionalFormatting>
  <conditionalFormatting sqref="Y3482">
    <cfRule type="cellIs" dxfId="5459" priority="5391" stopIfTrue="1" operator="equal">
      <formula>"NO APLICA"</formula>
    </cfRule>
  </conditionalFormatting>
  <conditionalFormatting sqref="AD3482:AF3482">
    <cfRule type="cellIs" dxfId="5458" priority="5389" stopIfTrue="1" operator="equal">
      <formula>"NO"</formula>
    </cfRule>
    <cfRule type="cellIs" dxfId="5457" priority="5390" stopIfTrue="1" operator="equal">
      <formula>"SI"</formula>
    </cfRule>
  </conditionalFormatting>
  <conditionalFormatting sqref="AE3487">
    <cfRule type="cellIs" dxfId="5456" priority="5386" stopIfTrue="1" operator="equal">
      <formula>"VERIFICAR"</formula>
    </cfRule>
    <cfRule type="cellIs" dxfId="5455" priority="5387" stopIfTrue="1" operator="equal">
      <formula>"NO CUMPLE"</formula>
    </cfRule>
    <cfRule type="cellIs" dxfId="5454" priority="5388" stopIfTrue="1" operator="equal">
      <formula>"CUMPLE"</formula>
    </cfRule>
  </conditionalFormatting>
  <conditionalFormatting sqref="AF3487">
    <cfRule type="cellIs" dxfId="5453" priority="5383" stopIfTrue="1" operator="equal">
      <formula>"VERIFICAR"</formula>
    </cfRule>
    <cfRule type="cellIs" dxfId="5452" priority="5384" stopIfTrue="1" operator="equal">
      <formula>"NO CUMPLE"</formula>
    </cfRule>
    <cfRule type="cellIs" dxfId="5451" priority="5385" stopIfTrue="1" operator="equal">
      <formula>"CUMPLE"</formula>
    </cfRule>
  </conditionalFormatting>
  <conditionalFormatting sqref="Y3490">
    <cfRule type="cellIs" dxfId="5450" priority="5382" operator="equal">
      <formula>"VERIFICAR CUADRO"</formula>
    </cfRule>
  </conditionalFormatting>
  <conditionalFormatting sqref="AC3491:AC3496">
    <cfRule type="cellIs" dxfId="5449" priority="5381" stopIfTrue="1" operator="greaterThan">
      <formula>0</formula>
    </cfRule>
  </conditionalFormatting>
  <conditionalFormatting sqref="AC3491:AC3496">
    <cfRule type="cellIs" dxfId="5448" priority="5380" stopIfTrue="1" operator="greaterThan">
      <formula>0</formula>
    </cfRule>
  </conditionalFormatting>
  <conditionalFormatting sqref="AD3491:AD3496">
    <cfRule type="containsText" dxfId="5447" priority="5378" stopIfTrue="1" operator="containsText" text="NO CUMPLE">
      <formula>NOT(ISERROR(SEARCH("NO CUMPLE",AD3491)))</formula>
    </cfRule>
    <cfRule type="containsText" dxfId="5446" priority="5379" stopIfTrue="1" operator="containsText" text="CUMPLE">
      <formula>NOT(ISERROR(SEARCH("CUMPLE",AD3491)))</formula>
    </cfRule>
  </conditionalFormatting>
  <conditionalFormatting sqref="Y3496">
    <cfRule type="containsText" dxfId="5445" priority="5376" stopIfTrue="1" operator="containsText" text="NO CUMPLE">
      <formula>NOT(ISERROR(SEARCH("NO CUMPLE",Y3496)))</formula>
    </cfRule>
    <cfRule type="containsText" dxfId="5444" priority="5377" stopIfTrue="1" operator="containsText" text="CUMPLE">
      <formula>NOT(ISERROR(SEARCH("CUMPLE",Y3496)))</formula>
    </cfRule>
  </conditionalFormatting>
  <conditionalFormatting sqref="AA3473:AA3482">
    <cfRule type="cellIs" dxfId="5443" priority="5374" stopIfTrue="1" operator="equal">
      <formula>"NO APLICA"</formula>
    </cfRule>
    <cfRule type="cellIs" dxfId="5442" priority="5375" stopIfTrue="1" operator="equal">
      <formula>"TERCIARIA"</formula>
    </cfRule>
  </conditionalFormatting>
  <conditionalFormatting sqref="AB3473:AB3482">
    <cfRule type="cellIs" dxfId="5441" priority="5372" stopIfTrue="1" operator="equal">
      <formula>"N/A"</formula>
    </cfRule>
    <cfRule type="cellIs" dxfId="5440" priority="5373" stopIfTrue="1" operator="equal">
      <formula>"NO"</formula>
    </cfRule>
  </conditionalFormatting>
  <conditionalFormatting sqref="M3503:M3512">
    <cfRule type="cellIs" dxfId="5439" priority="5371" stopIfTrue="1" operator="lessThan">
      <formula>0</formula>
    </cfRule>
  </conditionalFormatting>
  <conditionalFormatting sqref="C3505:D3511 B3504:B3511 F3505:I3511 C3504:I3504 B3512:O3512 B3503:R3503 Q3504:R3505 J3504:O3511 Q3506:Q3512 P3504:P3512">
    <cfRule type="cellIs" dxfId="5438" priority="5370" stopIfTrue="1" operator="greaterThan">
      <formula>0</formula>
    </cfRule>
  </conditionalFormatting>
  <conditionalFormatting sqref="C3505:D3511">
    <cfRule type="cellIs" dxfId="5437" priority="5369" stopIfTrue="1" operator="greaterThan">
      <formula>0</formula>
    </cfRule>
  </conditionalFormatting>
  <conditionalFormatting sqref="C3503:M3503 C3505:D3511 F3505:I3511 C3504:I3504 K3504:M3511 J3504:J3512 L3512:M3512">
    <cfRule type="cellIs" dxfId="5436" priority="5368" stopIfTrue="1" operator="greaterThan">
      <formula>0</formula>
    </cfRule>
  </conditionalFormatting>
  <conditionalFormatting sqref="M3503:M3512">
    <cfRule type="cellIs" dxfId="5435" priority="5367" stopIfTrue="1" operator="lessThan">
      <formula>0</formula>
    </cfRule>
  </conditionalFormatting>
  <conditionalFormatting sqref="J3504:J3512 L3504:O3512 C3503:O3503">
    <cfRule type="cellIs" dxfId="5434" priority="5366" stopIfTrue="1" operator="greaterThan">
      <formula>0</formula>
    </cfRule>
  </conditionalFormatting>
  <conditionalFormatting sqref="H3505:I3511 K3505:M3512">
    <cfRule type="cellIs" dxfId="5433" priority="5365" stopIfTrue="1" operator="greaterThan">
      <formula>0</formula>
    </cfRule>
  </conditionalFormatting>
  <conditionalFormatting sqref="I3504">
    <cfRule type="cellIs" dxfId="5432" priority="5364" stopIfTrue="1" operator="greaterThan">
      <formula>0</formula>
    </cfRule>
  </conditionalFormatting>
  <conditionalFormatting sqref="I3512">
    <cfRule type="cellIs" dxfId="5431" priority="5363" stopIfTrue="1" operator="greaterThan">
      <formula>0</formula>
    </cfRule>
  </conditionalFormatting>
  <conditionalFormatting sqref="E3505:E3511">
    <cfRule type="cellIs" dxfId="5430" priority="5362" stopIfTrue="1" operator="greaterThan">
      <formula>0</formula>
    </cfRule>
  </conditionalFormatting>
  <conditionalFormatting sqref="K3520:K3525">
    <cfRule type="containsText" dxfId="5429" priority="5360" stopIfTrue="1" operator="containsText" text="NO CUMPLE">
      <formula>NOT(ISERROR(SEARCH("NO CUMPLE",K3520)))</formula>
    </cfRule>
    <cfRule type="containsText" dxfId="5428" priority="5361" stopIfTrue="1" operator="containsText" text="CUMPLE">
      <formula>NOT(ISERROR(SEARCH("CUMPLE",K3520)))</formula>
    </cfRule>
  </conditionalFormatting>
  <conditionalFormatting sqref="K3526">
    <cfRule type="containsText" dxfId="5427" priority="5358" stopIfTrue="1" operator="containsText" text="NO CUMPLE">
      <formula>NOT(ISERROR(SEARCH("NO CUMPLE",K3526)))</formula>
    </cfRule>
    <cfRule type="containsText" dxfId="5426" priority="5359" stopIfTrue="1" operator="containsText" text="CUMPLE">
      <formula>NOT(ISERROR(SEARCH("CUMPLE",K3526)))</formula>
    </cfRule>
  </conditionalFormatting>
  <conditionalFormatting sqref="Q3519">
    <cfRule type="cellIs" dxfId="5425" priority="5356" operator="greaterThanOrEqual">
      <formula>NUMMINCONT</formula>
    </cfRule>
    <cfRule type="cellIs" dxfId="5424" priority="5357" operator="lessThan">
      <formula>NUMMINCONT</formula>
    </cfRule>
  </conditionalFormatting>
  <conditionalFormatting sqref="W3503:Y3511">
    <cfRule type="cellIs" dxfId="5423" priority="5354" stopIfTrue="1" operator="equal">
      <formula>"NO"</formula>
    </cfRule>
    <cfRule type="cellIs" dxfId="5422" priority="5355" stopIfTrue="1" operator="equal">
      <formula>"SI"</formula>
    </cfRule>
  </conditionalFormatting>
  <conditionalFormatting sqref="R3506">
    <cfRule type="cellIs" dxfId="5421" priority="5353" stopIfTrue="1" operator="greaterThan">
      <formula>0</formula>
    </cfRule>
  </conditionalFormatting>
  <conditionalFormatting sqref="R3507">
    <cfRule type="cellIs" dxfId="5420" priority="5352" stopIfTrue="1" operator="greaterThan">
      <formula>0</formula>
    </cfRule>
  </conditionalFormatting>
  <conditionalFormatting sqref="R3508">
    <cfRule type="cellIs" dxfId="5419" priority="5351" stopIfTrue="1" operator="greaterThan">
      <formula>0</formula>
    </cfRule>
  </conditionalFormatting>
  <conditionalFormatting sqref="R3509">
    <cfRule type="cellIs" dxfId="5418" priority="5350" stopIfTrue="1" operator="greaterThan">
      <formula>0</formula>
    </cfRule>
  </conditionalFormatting>
  <conditionalFormatting sqref="R3510">
    <cfRule type="cellIs" dxfId="5417" priority="5349" stopIfTrue="1" operator="greaterThan">
      <formula>0</formula>
    </cfRule>
  </conditionalFormatting>
  <conditionalFormatting sqref="R3511">
    <cfRule type="cellIs" dxfId="5416" priority="5348" stopIfTrue="1" operator="greaterThan">
      <formula>0</formula>
    </cfRule>
  </conditionalFormatting>
  <conditionalFormatting sqref="R3512">
    <cfRule type="cellIs" dxfId="5415" priority="5347" stopIfTrue="1" operator="greaterThan">
      <formula>0</formula>
    </cfRule>
  </conditionalFormatting>
  <conditionalFormatting sqref="W3503:X3503">
    <cfRule type="cellIs" dxfId="5414" priority="5346" stopIfTrue="1" operator="equal">
      <formula>"NO APLICA"</formula>
    </cfRule>
  </conditionalFormatting>
  <conditionalFormatting sqref="W3504:X3507">
    <cfRule type="cellIs" dxfId="5413" priority="5345" stopIfTrue="1" operator="equal">
      <formula>"NO APLICA"</formula>
    </cfRule>
  </conditionalFormatting>
  <conditionalFormatting sqref="W3504:X3504">
    <cfRule type="cellIs" dxfId="5412" priority="5344" stopIfTrue="1" operator="equal">
      <formula>"NO APLICA"</formula>
    </cfRule>
  </conditionalFormatting>
  <conditionalFormatting sqref="Y3503">
    <cfRule type="cellIs" dxfId="5411" priority="5343" stopIfTrue="1" operator="equal">
      <formula>"NO APLICA"</formula>
    </cfRule>
  </conditionalFormatting>
  <conditionalFormatting sqref="Y3504:Y3507">
    <cfRule type="cellIs" dxfId="5410" priority="5342" stopIfTrue="1" operator="equal">
      <formula>"NO APLICA"</formula>
    </cfRule>
  </conditionalFormatting>
  <conditionalFormatting sqref="W3508:X3511">
    <cfRule type="cellIs" dxfId="5409" priority="5341" stopIfTrue="1" operator="equal">
      <formula>"NO APLICA"</formula>
    </cfRule>
  </conditionalFormatting>
  <conditionalFormatting sqref="W3508:X3508">
    <cfRule type="cellIs" dxfId="5408" priority="5340" stopIfTrue="1" operator="equal">
      <formula>"NO APLICA"</formula>
    </cfRule>
  </conditionalFormatting>
  <conditionalFormatting sqref="Y3508:Y3511">
    <cfRule type="cellIs" dxfId="5407" priority="5339" stopIfTrue="1" operator="equal">
      <formula>"NO APLICA"</formula>
    </cfRule>
  </conditionalFormatting>
  <conditionalFormatting sqref="T3517">
    <cfRule type="cellIs" dxfId="5406" priority="5337" operator="equal">
      <formula>"CUMPLE"</formula>
    </cfRule>
    <cfRule type="cellIs" dxfId="5405" priority="5338" operator="equal">
      <formula>"NO CUMPLE"</formula>
    </cfRule>
  </conditionalFormatting>
  <conditionalFormatting sqref="T3517:T3519">
    <cfRule type="cellIs" dxfId="5404" priority="5336" operator="equal">
      <formula>"VERIFICAR"</formula>
    </cfRule>
  </conditionalFormatting>
  <conditionalFormatting sqref="AD3503:AF3507">
    <cfRule type="cellIs" dxfId="5403" priority="5334" stopIfTrue="1" operator="equal">
      <formula>"NO"</formula>
    </cfRule>
    <cfRule type="cellIs" dxfId="5402" priority="5335" stopIfTrue="1" operator="equal">
      <formula>"SI"</formula>
    </cfRule>
  </conditionalFormatting>
  <conditionalFormatting sqref="AD3508:AF3511">
    <cfRule type="cellIs" dxfId="5401" priority="5332" stopIfTrue="1" operator="equal">
      <formula>"NO"</formula>
    </cfRule>
    <cfRule type="cellIs" dxfId="5400" priority="5333" stopIfTrue="1" operator="equal">
      <formula>"SI"</formula>
    </cfRule>
  </conditionalFormatting>
  <conditionalFormatting sqref="W3512:Y3512">
    <cfRule type="cellIs" dxfId="5399" priority="5330" stopIfTrue="1" operator="equal">
      <formula>"NO"</formula>
    </cfRule>
    <cfRule type="cellIs" dxfId="5398" priority="5331" stopIfTrue="1" operator="equal">
      <formula>"SI"</formula>
    </cfRule>
  </conditionalFormatting>
  <conditionalFormatting sqref="W3512:X3512">
    <cfRule type="cellIs" dxfId="5397" priority="5329" stopIfTrue="1" operator="equal">
      <formula>"NO APLICA"</formula>
    </cfRule>
  </conditionalFormatting>
  <conditionalFormatting sqref="Y3512">
    <cfRule type="cellIs" dxfId="5396" priority="5328" stopIfTrue="1" operator="equal">
      <formula>"NO APLICA"</formula>
    </cfRule>
  </conditionalFormatting>
  <conditionalFormatting sqref="AD3512:AF3512">
    <cfRule type="cellIs" dxfId="5395" priority="5326" stopIfTrue="1" operator="equal">
      <formula>"NO"</formula>
    </cfRule>
    <cfRule type="cellIs" dxfId="5394" priority="5327" stopIfTrue="1" operator="equal">
      <formula>"SI"</formula>
    </cfRule>
  </conditionalFormatting>
  <conditionalFormatting sqref="AE3517">
    <cfRule type="cellIs" dxfId="5393" priority="5323" stopIfTrue="1" operator="equal">
      <formula>"VERIFICAR"</formula>
    </cfRule>
    <cfRule type="cellIs" dxfId="5392" priority="5324" stopIfTrue="1" operator="equal">
      <formula>"NO CUMPLE"</formula>
    </cfRule>
    <cfRule type="cellIs" dxfId="5391" priority="5325" stopIfTrue="1" operator="equal">
      <formula>"CUMPLE"</formula>
    </cfRule>
  </conditionalFormatting>
  <conditionalFormatting sqref="AF3517">
    <cfRule type="cellIs" dxfId="5390" priority="5320" stopIfTrue="1" operator="equal">
      <formula>"VERIFICAR"</formula>
    </cfRule>
    <cfRule type="cellIs" dxfId="5389" priority="5321" stopIfTrue="1" operator="equal">
      <formula>"NO CUMPLE"</formula>
    </cfRule>
    <cfRule type="cellIs" dxfId="5388" priority="5322" stopIfTrue="1" operator="equal">
      <formula>"CUMPLE"</formula>
    </cfRule>
  </conditionalFormatting>
  <conditionalFormatting sqref="Y3520">
    <cfRule type="cellIs" dxfId="5387" priority="5319" operator="equal">
      <formula>"VERIFICAR CUADRO"</formula>
    </cfRule>
  </conditionalFormatting>
  <conditionalFormatting sqref="AC3521:AC3526">
    <cfRule type="cellIs" dxfId="5386" priority="5318" stopIfTrue="1" operator="greaterThan">
      <formula>0</formula>
    </cfRule>
  </conditionalFormatting>
  <conditionalFormatting sqref="AC3521:AC3526">
    <cfRule type="cellIs" dxfId="5385" priority="5317" stopIfTrue="1" operator="greaterThan">
      <formula>0</formula>
    </cfRule>
  </conditionalFormatting>
  <conditionalFormatting sqref="AD3521:AD3526">
    <cfRule type="containsText" dxfId="5384" priority="5315" stopIfTrue="1" operator="containsText" text="NO CUMPLE">
      <formula>NOT(ISERROR(SEARCH("NO CUMPLE",AD3521)))</formula>
    </cfRule>
    <cfRule type="containsText" dxfId="5383" priority="5316" stopIfTrue="1" operator="containsText" text="CUMPLE">
      <formula>NOT(ISERROR(SEARCH("CUMPLE",AD3521)))</formula>
    </cfRule>
  </conditionalFormatting>
  <conditionalFormatting sqref="Y3526">
    <cfRule type="containsText" dxfId="5382" priority="5313" stopIfTrue="1" operator="containsText" text="NO CUMPLE">
      <formula>NOT(ISERROR(SEARCH("NO CUMPLE",Y3526)))</formula>
    </cfRule>
    <cfRule type="containsText" dxfId="5381" priority="5314" stopIfTrue="1" operator="containsText" text="CUMPLE">
      <formula>NOT(ISERROR(SEARCH("CUMPLE",Y3526)))</formula>
    </cfRule>
  </conditionalFormatting>
  <conditionalFormatting sqref="AA3503:AA3512">
    <cfRule type="cellIs" dxfId="5380" priority="5311" stopIfTrue="1" operator="equal">
      <formula>"NO APLICA"</formula>
    </cfRule>
    <cfRule type="cellIs" dxfId="5379" priority="5312" stopIfTrue="1" operator="equal">
      <formula>"TERCIARIA"</formula>
    </cfRule>
  </conditionalFormatting>
  <conditionalFormatting sqref="AB3503:AB3512">
    <cfRule type="cellIs" dxfId="5378" priority="5309" stopIfTrue="1" operator="equal">
      <formula>"N/A"</formula>
    </cfRule>
    <cfRule type="cellIs" dxfId="5377" priority="5310" stopIfTrue="1" operator="equal">
      <formula>"NO"</formula>
    </cfRule>
  </conditionalFormatting>
  <conditionalFormatting sqref="M3533:M3542">
    <cfRule type="cellIs" dxfId="5376" priority="5308" stopIfTrue="1" operator="lessThan">
      <formula>0</formula>
    </cfRule>
  </conditionalFormatting>
  <conditionalFormatting sqref="C3535:D3541 B3534:B3541 F3535:I3541 C3534:I3534 B3542:O3542 B3533:R3533 Q3534:R3535 J3534:O3541 Q3536:Q3542 P3534:P3542">
    <cfRule type="cellIs" dxfId="5375" priority="5307" stopIfTrue="1" operator="greaterThan">
      <formula>0</formula>
    </cfRule>
  </conditionalFormatting>
  <conditionalFormatting sqref="C3535:D3541">
    <cfRule type="cellIs" dxfId="5374" priority="5306" stopIfTrue="1" operator="greaterThan">
      <formula>0</formula>
    </cfRule>
  </conditionalFormatting>
  <conditionalFormatting sqref="C3533:M3533 C3535:D3541 F3535:I3541 C3534:I3534 K3534:M3541 J3534:J3542 L3542:M3542">
    <cfRule type="cellIs" dxfId="5373" priority="5305" stopIfTrue="1" operator="greaterThan">
      <formula>0</formula>
    </cfRule>
  </conditionalFormatting>
  <conditionalFormatting sqref="M3533:M3542">
    <cfRule type="cellIs" dxfId="5372" priority="5304" stopIfTrue="1" operator="lessThan">
      <formula>0</formula>
    </cfRule>
  </conditionalFormatting>
  <conditionalFormatting sqref="J3534:J3542 L3534:O3542 C3533:O3533">
    <cfRule type="cellIs" dxfId="5371" priority="5303" stopIfTrue="1" operator="greaterThan">
      <formula>0</formula>
    </cfRule>
  </conditionalFormatting>
  <conditionalFormatting sqref="H3535:I3541 K3535:M3542">
    <cfRule type="cellIs" dxfId="5370" priority="5302" stopIfTrue="1" operator="greaterThan">
      <formula>0</formula>
    </cfRule>
  </conditionalFormatting>
  <conditionalFormatting sqref="I3534">
    <cfRule type="cellIs" dxfId="5369" priority="5301" stopIfTrue="1" operator="greaterThan">
      <formula>0</formula>
    </cfRule>
  </conditionalFormatting>
  <conditionalFormatting sqref="I3542">
    <cfRule type="cellIs" dxfId="5368" priority="5300" stopIfTrue="1" operator="greaterThan">
      <formula>0</formula>
    </cfRule>
  </conditionalFormatting>
  <conditionalFormatting sqref="E3535:E3541">
    <cfRule type="cellIs" dxfId="5367" priority="5299" stopIfTrue="1" operator="greaterThan">
      <formula>0</formula>
    </cfRule>
  </conditionalFormatting>
  <conditionalFormatting sqref="K3550:K3555">
    <cfRule type="containsText" dxfId="5366" priority="5297" stopIfTrue="1" operator="containsText" text="NO CUMPLE">
      <formula>NOT(ISERROR(SEARCH("NO CUMPLE",K3550)))</formula>
    </cfRule>
    <cfRule type="containsText" dxfId="5365" priority="5298" stopIfTrue="1" operator="containsText" text="CUMPLE">
      <formula>NOT(ISERROR(SEARCH("CUMPLE",K3550)))</formula>
    </cfRule>
  </conditionalFormatting>
  <conditionalFormatting sqref="K3556">
    <cfRule type="containsText" dxfId="5364" priority="5295" stopIfTrue="1" operator="containsText" text="NO CUMPLE">
      <formula>NOT(ISERROR(SEARCH("NO CUMPLE",K3556)))</formula>
    </cfRule>
    <cfRule type="containsText" dxfId="5363" priority="5296" stopIfTrue="1" operator="containsText" text="CUMPLE">
      <formula>NOT(ISERROR(SEARCH("CUMPLE",K3556)))</formula>
    </cfRule>
  </conditionalFormatting>
  <conditionalFormatting sqref="Q3549">
    <cfRule type="cellIs" dxfId="5362" priority="5293" operator="greaterThanOrEqual">
      <formula>NUMMINCONT</formula>
    </cfRule>
    <cfRule type="cellIs" dxfId="5361" priority="5294" operator="lessThan">
      <formula>NUMMINCONT</formula>
    </cfRule>
  </conditionalFormatting>
  <conditionalFormatting sqref="W3533:Y3541">
    <cfRule type="cellIs" dxfId="5360" priority="5291" stopIfTrue="1" operator="equal">
      <formula>"NO"</formula>
    </cfRule>
    <cfRule type="cellIs" dxfId="5359" priority="5292" stopIfTrue="1" operator="equal">
      <formula>"SI"</formula>
    </cfRule>
  </conditionalFormatting>
  <conditionalFormatting sqref="R3536">
    <cfRule type="cellIs" dxfId="5358" priority="5290" stopIfTrue="1" operator="greaterThan">
      <formula>0</formula>
    </cfRule>
  </conditionalFormatting>
  <conditionalFormatting sqref="R3537">
    <cfRule type="cellIs" dxfId="5357" priority="5289" stopIfTrue="1" operator="greaterThan">
      <formula>0</formula>
    </cfRule>
  </conditionalFormatting>
  <conditionalFormatting sqref="R3538">
    <cfRule type="cellIs" dxfId="5356" priority="5288" stopIfTrue="1" operator="greaterThan">
      <formula>0</formula>
    </cfRule>
  </conditionalFormatting>
  <conditionalFormatting sqref="R3539">
    <cfRule type="cellIs" dxfId="5355" priority="5287" stopIfTrue="1" operator="greaterThan">
      <formula>0</formula>
    </cfRule>
  </conditionalFormatting>
  <conditionalFormatting sqref="R3540">
    <cfRule type="cellIs" dxfId="5354" priority="5286" stopIfTrue="1" operator="greaterThan">
      <formula>0</formula>
    </cfRule>
  </conditionalFormatting>
  <conditionalFormatting sqref="R3541">
    <cfRule type="cellIs" dxfId="5353" priority="5285" stopIfTrue="1" operator="greaterThan">
      <formula>0</formula>
    </cfRule>
  </conditionalFormatting>
  <conditionalFormatting sqref="R3542">
    <cfRule type="cellIs" dxfId="5352" priority="5284" stopIfTrue="1" operator="greaterThan">
      <formula>0</formula>
    </cfRule>
  </conditionalFormatting>
  <conditionalFormatting sqref="W3533:X3533">
    <cfRule type="cellIs" dxfId="5351" priority="5283" stopIfTrue="1" operator="equal">
      <formula>"NO APLICA"</formula>
    </cfRule>
  </conditionalFormatting>
  <conditionalFormatting sqref="W3534:X3537">
    <cfRule type="cellIs" dxfId="5350" priority="5282" stopIfTrue="1" operator="equal">
      <formula>"NO APLICA"</formula>
    </cfRule>
  </conditionalFormatting>
  <conditionalFormatting sqref="W3534:X3534">
    <cfRule type="cellIs" dxfId="5349" priority="5281" stopIfTrue="1" operator="equal">
      <formula>"NO APLICA"</formula>
    </cfRule>
  </conditionalFormatting>
  <conditionalFormatting sqref="Y3533">
    <cfRule type="cellIs" dxfId="5348" priority="5280" stopIfTrue="1" operator="equal">
      <formula>"NO APLICA"</formula>
    </cfRule>
  </conditionalFormatting>
  <conditionalFormatting sqref="Y3534:Y3537">
    <cfRule type="cellIs" dxfId="5347" priority="5279" stopIfTrue="1" operator="equal">
      <formula>"NO APLICA"</formula>
    </cfRule>
  </conditionalFormatting>
  <conditionalFormatting sqref="W3538:X3541">
    <cfRule type="cellIs" dxfId="5346" priority="5278" stopIfTrue="1" operator="equal">
      <formula>"NO APLICA"</formula>
    </cfRule>
  </conditionalFormatting>
  <conditionalFormatting sqref="W3538:X3538">
    <cfRule type="cellIs" dxfId="5345" priority="5277" stopIfTrue="1" operator="equal">
      <formula>"NO APLICA"</formula>
    </cfRule>
  </conditionalFormatting>
  <conditionalFormatting sqref="Y3538:Y3541">
    <cfRule type="cellIs" dxfId="5344" priority="5276" stopIfTrue="1" operator="equal">
      <formula>"NO APLICA"</formula>
    </cfRule>
  </conditionalFormatting>
  <conditionalFormatting sqref="T3547">
    <cfRule type="cellIs" dxfId="5343" priority="5274" operator="equal">
      <formula>"CUMPLE"</formula>
    </cfRule>
    <cfRule type="cellIs" dxfId="5342" priority="5275" operator="equal">
      <formula>"NO CUMPLE"</formula>
    </cfRule>
  </conditionalFormatting>
  <conditionalFormatting sqref="T3547:T3549">
    <cfRule type="cellIs" dxfId="5341" priority="5273" operator="equal">
      <formula>"VERIFICAR"</formula>
    </cfRule>
  </conditionalFormatting>
  <conditionalFormatting sqref="AD3533:AF3537">
    <cfRule type="cellIs" dxfId="5340" priority="5271" stopIfTrue="1" operator="equal">
      <formula>"NO"</formula>
    </cfRule>
    <cfRule type="cellIs" dxfId="5339" priority="5272" stopIfTrue="1" operator="equal">
      <formula>"SI"</formula>
    </cfRule>
  </conditionalFormatting>
  <conditionalFormatting sqref="AD3538:AF3541">
    <cfRule type="cellIs" dxfId="5338" priority="5269" stopIfTrue="1" operator="equal">
      <formula>"NO"</formula>
    </cfRule>
    <cfRule type="cellIs" dxfId="5337" priority="5270" stopIfTrue="1" operator="equal">
      <formula>"SI"</formula>
    </cfRule>
  </conditionalFormatting>
  <conditionalFormatting sqref="W3542:Y3542">
    <cfRule type="cellIs" dxfId="5336" priority="5267" stopIfTrue="1" operator="equal">
      <formula>"NO"</formula>
    </cfRule>
    <cfRule type="cellIs" dxfId="5335" priority="5268" stopIfTrue="1" operator="equal">
      <formula>"SI"</formula>
    </cfRule>
  </conditionalFormatting>
  <conditionalFormatting sqref="W3542:X3542">
    <cfRule type="cellIs" dxfId="5334" priority="5266" stopIfTrue="1" operator="equal">
      <formula>"NO APLICA"</formula>
    </cfRule>
  </conditionalFormatting>
  <conditionalFormatting sqref="Y3542">
    <cfRule type="cellIs" dxfId="5333" priority="5265" stopIfTrue="1" operator="equal">
      <formula>"NO APLICA"</formula>
    </cfRule>
  </conditionalFormatting>
  <conditionalFormatting sqref="AD3542:AF3542">
    <cfRule type="cellIs" dxfId="5332" priority="5263" stopIfTrue="1" operator="equal">
      <formula>"NO"</formula>
    </cfRule>
    <cfRule type="cellIs" dxfId="5331" priority="5264" stopIfTrue="1" operator="equal">
      <formula>"SI"</formula>
    </cfRule>
  </conditionalFormatting>
  <conditionalFormatting sqref="AE3547">
    <cfRule type="cellIs" dxfId="5330" priority="5260" stopIfTrue="1" operator="equal">
      <formula>"VERIFICAR"</formula>
    </cfRule>
    <cfRule type="cellIs" dxfId="5329" priority="5261" stopIfTrue="1" operator="equal">
      <formula>"NO CUMPLE"</formula>
    </cfRule>
    <cfRule type="cellIs" dxfId="5328" priority="5262" stopIfTrue="1" operator="equal">
      <formula>"CUMPLE"</formula>
    </cfRule>
  </conditionalFormatting>
  <conditionalFormatting sqref="AF3547">
    <cfRule type="cellIs" dxfId="5327" priority="5257" stopIfTrue="1" operator="equal">
      <formula>"VERIFICAR"</formula>
    </cfRule>
    <cfRule type="cellIs" dxfId="5326" priority="5258" stopIfTrue="1" operator="equal">
      <formula>"NO CUMPLE"</formula>
    </cfRule>
    <cfRule type="cellIs" dxfId="5325" priority="5259" stopIfTrue="1" operator="equal">
      <formula>"CUMPLE"</formula>
    </cfRule>
  </conditionalFormatting>
  <conditionalFormatting sqref="Y3550">
    <cfRule type="cellIs" dxfId="5324" priority="5256" operator="equal">
      <formula>"VERIFICAR CUADRO"</formula>
    </cfRule>
  </conditionalFormatting>
  <conditionalFormatting sqref="AC3551:AC3556">
    <cfRule type="cellIs" dxfId="5323" priority="5255" stopIfTrue="1" operator="greaterThan">
      <formula>0</formula>
    </cfRule>
  </conditionalFormatting>
  <conditionalFormatting sqref="AC3551:AC3556">
    <cfRule type="cellIs" dxfId="5322" priority="5254" stopIfTrue="1" operator="greaterThan">
      <formula>0</formula>
    </cfRule>
  </conditionalFormatting>
  <conditionalFormatting sqref="AD3551:AD3556">
    <cfRule type="containsText" dxfId="5321" priority="5252" stopIfTrue="1" operator="containsText" text="NO CUMPLE">
      <formula>NOT(ISERROR(SEARCH("NO CUMPLE",AD3551)))</formula>
    </cfRule>
    <cfRule type="containsText" dxfId="5320" priority="5253" stopIfTrue="1" operator="containsText" text="CUMPLE">
      <formula>NOT(ISERROR(SEARCH("CUMPLE",AD3551)))</formula>
    </cfRule>
  </conditionalFormatting>
  <conditionalFormatting sqref="Y3556">
    <cfRule type="containsText" dxfId="5319" priority="5250" stopIfTrue="1" operator="containsText" text="NO CUMPLE">
      <formula>NOT(ISERROR(SEARCH("NO CUMPLE",Y3556)))</formula>
    </cfRule>
    <cfRule type="containsText" dxfId="5318" priority="5251" stopIfTrue="1" operator="containsText" text="CUMPLE">
      <formula>NOT(ISERROR(SEARCH("CUMPLE",Y3556)))</formula>
    </cfRule>
  </conditionalFormatting>
  <conditionalFormatting sqref="AA3533:AA3542">
    <cfRule type="cellIs" dxfId="5317" priority="5248" stopIfTrue="1" operator="equal">
      <formula>"NO APLICA"</formula>
    </cfRule>
    <cfRule type="cellIs" dxfId="5316" priority="5249" stopIfTrue="1" operator="equal">
      <formula>"TERCIARIA"</formula>
    </cfRule>
  </conditionalFormatting>
  <conditionalFormatting sqref="AB3533:AB3542">
    <cfRule type="cellIs" dxfId="5315" priority="5246" stopIfTrue="1" operator="equal">
      <formula>"N/A"</formula>
    </cfRule>
    <cfRule type="cellIs" dxfId="5314" priority="5247" stopIfTrue="1" operator="equal">
      <formula>"NO"</formula>
    </cfRule>
  </conditionalFormatting>
  <conditionalFormatting sqref="M3563:M3572">
    <cfRule type="cellIs" dxfId="5313" priority="5245" stopIfTrue="1" operator="lessThan">
      <formula>0</formula>
    </cfRule>
  </conditionalFormatting>
  <conditionalFormatting sqref="C3565:D3571 B3564:B3571 F3565:I3571 C3564:I3564 B3572:O3572 B3563:R3563 Q3564:R3565 J3564:O3571 Q3566:Q3572 P3564:P3572">
    <cfRule type="cellIs" dxfId="5312" priority="5244" stopIfTrue="1" operator="greaterThan">
      <formula>0</formula>
    </cfRule>
  </conditionalFormatting>
  <conditionalFormatting sqref="C3565:D3571">
    <cfRule type="cellIs" dxfId="5311" priority="5243" stopIfTrue="1" operator="greaterThan">
      <formula>0</formula>
    </cfRule>
  </conditionalFormatting>
  <conditionalFormatting sqref="C3563:M3563 C3565:D3571 F3565:I3571 C3564:I3564 K3564:M3571 J3564:J3572 L3572:M3572">
    <cfRule type="cellIs" dxfId="5310" priority="5242" stopIfTrue="1" operator="greaterThan">
      <formula>0</formula>
    </cfRule>
  </conditionalFormatting>
  <conditionalFormatting sqref="M3563:M3572">
    <cfRule type="cellIs" dxfId="5309" priority="5241" stopIfTrue="1" operator="lessThan">
      <formula>0</formula>
    </cfRule>
  </conditionalFormatting>
  <conditionalFormatting sqref="J3564:J3572 L3564:O3572 C3563:O3563">
    <cfRule type="cellIs" dxfId="5308" priority="5240" stopIfTrue="1" operator="greaterThan">
      <formula>0</formula>
    </cfRule>
  </conditionalFormatting>
  <conditionalFormatting sqref="H3565:I3571 K3565:M3572">
    <cfRule type="cellIs" dxfId="5307" priority="5239" stopIfTrue="1" operator="greaterThan">
      <formula>0</formula>
    </cfRule>
  </conditionalFormatting>
  <conditionalFormatting sqref="I3564">
    <cfRule type="cellIs" dxfId="5306" priority="5238" stopIfTrue="1" operator="greaterThan">
      <formula>0</formula>
    </cfRule>
  </conditionalFormatting>
  <conditionalFormatting sqref="I3572">
    <cfRule type="cellIs" dxfId="5305" priority="5237" stopIfTrue="1" operator="greaterThan">
      <formula>0</formula>
    </cfRule>
  </conditionalFormatting>
  <conditionalFormatting sqref="E3565:E3571">
    <cfRule type="cellIs" dxfId="5304" priority="5236" stopIfTrue="1" operator="greaterThan">
      <formula>0</formula>
    </cfRule>
  </conditionalFormatting>
  <conditionalFormatting sqref="K3580:K3585">
    <cfRule type="containsText" dxfId="5303" priority="5234" stopIfTrue="1" operator="containsText" text="NO CUMPLE">
      <formula>NOT(ISERROR(SEARCH("NO CUMPLE",K3580)))</formula>
    </cfRule>
    <cfRule type="containsText" dxfId="5302" priority="5235" stopIfTrue="1" operator="containsText" text="CUMPLE">
      <formula>NOT(ISERROR(SEARCH("CUMPLE",K3580)))</formula>
    </cfRule>
  </conditionalFormatting>
  <conditionalFormatting sqref="K3586">
    <cfRule type="containsText" dxfId="5301" priority="5232" stopIfTrue="1" operator="containsText" text="NO CUMPLE">
      <formula>NOT(ISERROR(SEARCH("NO CUMPLE",K3586)))</formula>
    </cfRule>
    <cfRule type="containsText" dxfId="5300" priority="5233" stopIfTrue="1" operator="containsText" text="CUMPLE">
      <formula>NOT(ISERROR(SEARCH("CUMPLE",K3586)))</formula>
    </cfRule>
  </conditionalFormatting>
  <conditionalFormatting sqref="Q3579">
    <cfRule type="cellIs" dxfId="5299" priority="5230" operator="greaterThanOrEqual">
      <formula>NUMMINCONT</formula>
    </cfRule>
    <cfRule type="cellIs" dxfId="5298" priority="5231" operator="lessThan">
      <formula>NUMMINCONT</formula>
    </cfRule>
  </conditionalFormatting>
  <conditionalFormatting sqref="W3563:Y3571">
    <cfRule type="cellIs" dxfId="5297" priority="5228" stopIfTrue="1" operator="equal">
      <formula>"NO"</formula>
    </cfRule>
    <cfRule type="cellIs" dxfId="5296" priority="5229" stopIfTrue="1" operator="equal">
      <formula>"SI"</formula>
    </cfRule>
  </conditionalFormatting>
  <conditionalFormatting sqref="R3566">
    <cfRule type="cellIs" dxfId="5295" priority="5227" stopIfTrue="1" operator="greaterThan">
      <formula>0</formula>
    </cfRule>
  </conditionalFormatting>
  <conditionalFormatting sqref="R3567">
    <cfRule type="cellIs" dxfId="5294" priority="5226" stopIfTrue="1" operator="greaterThan">
      <formula>0</formula>
    </cfRule>
  </conditionalFormatting>
  <conditionalFormatting sqref="R3568">
    <cfRule type="cellIs" dxfId="5293" priority="5225" stopIfTrue="1" operator="greaterThan">
      <formula>0</formula>
    </cfRule>
  </conditionalFormatting>
  <conditionalFormatting sqref="R3569">
    <cfRule type="cellIs" dxfId="5292" priority="5224" stopIfTrue="1" operator="greaterThan">
      <formula>0</formula>
    </cfRule>
  </conditionalFormatting>
  <conditionalFormatting sqref="R3570">
    <cfRule type="cellIs" dxfId="5291" priority="5223" stopIfTrue="1" operator="greaterThan">
      <formula>0</formula>
    </cfRule>
  </conditionalFormatting>
  <conditionalFormatting sqref="R3571">
    <cfRule type="cellIs" dxfId="5290" priority="5222" stopIfTrue="1" operator="greaterThan">
      <formula>0</formula>
    </cfRule>
  </conditionalFormatting>
  <conditionalFormatting sqref="R3572">
    <cfRule type="cellIs" dxfId="5289" priority="5221" stopIfTrue="1" operator="greaterThan">
      <formula>0</formula>
    </cfRule>
  </conditionalFormatting>
  <conditionalFormatting sqref="W3563:X3563">
    <cfRule type="cellIs" dxfId="5288" priority="5220" stopIfTrue="1" operator="equal">
      <formula>"NO APLICA"</formula>
    </cfRule>
  </conditionalFormatting>
  <conditionalFormatting sqref="W3564:X3567">
    <cfRule type="cellIs" dxfId="5287" priority="5219" stopIfTrue="1" operator="equal">
      <formula>"NO APLICA"</formula>
    </cfRule>
  </conditionalFormatting>
  <conditionalFormatting sqref="W3564:X3564">
    <cfRule type="cellIs" dxfId="5286" priority="5218" stopIfTrue="1" operator="equal">
      <formula>"NO APLICA"</formula>
    </cfRule>
  </conditionalFormatting>
  <conditionalFormatting sqref="Y3563">
    <cfRule type="cellIs" dxfId="5285" priority="5217" stopIfTrue="1" operator="equal">
      <formula>"NO APLICA"</formula>
    </cfRule>
  </conditionalFormatting>
  <conditionalFormatting sqref="Y3564:Y3567">
    <cfRule type="cellIs" dxfId="5284" priority="5216" stopIfTrue="1" operator="equal">
      <formula>"NO APLICA"</formula>
    </cfRule>
  </conditionalFormatting>
  <conditionalFormatting sqref="W3568:X3571">
    <cfRule type="cellIs" dxfId="5283" priority="5215" stopIfTrue="1" operator="equal">
      <formula>"NO APLICA"</formula>
    </cfRule>
  </conditionalFormatting>
  <conditionalFormatting sqref="W3568:X3568">
    <cfRule type="cellIs" dxfId="5282" priority="5214" stopIfTrue="1" operator="equal">
      <formula>"NO APLICA"</formula>
    </cfRule>
  </conditionalFormatting>
  <conditionalFormatting sqref="Y3568:Y3571">
    <cfRule type="cellIs" dxfId="5281" priority="5213" stopIfTrue="1" operator="equal">
      <formula>"NO APLICA"</formula>
    </cfRule>
  </conditionalFormatting>
  <conditionalFormatting sqref="T3577">
    <cfRule type="cellIs" dxfId="5280" priority="5211" operator="equal">
      <formula>"CUMPLE"</formula>
    </cfRule>
    <cfRule type="cellIs" dxfId="5279" priority="5212" operator="equal">
      <formula>"NO CUMPLE"</formula>
    </cfRule>
  </conditionalFormatting>
  <conditionalFormatting sqref="T3577:T3579">
    <cfRule type="cellIs" dxfId="5278" priority="5210" operator="equal">
      <formula>"VERIFICAR"</formula>
    </cfRule>
  </conditionalFormatting>
  <conditionalFormatting sqref="AD3563:AF3567">
    <cfRule type="cellIs" dxfId="5277" priority="5208" stopIfTrue="1" operator="equal">
      <formula>"NO"</formula>
    </cfRule>
    <cfRule type="cellIs" dxfId="5276" priority="5209" stopIfTrue="1" operator="equal">
      <formula>"SI"</formula>
    </cfRule>
  </conditionalFormatting>
  <conditionalFormatting sqref="AD3568:AF3571">
    <cfRule type="cellIs" dxfId="5275" priority="5206" stopIfTrue="1" operator="equal">
      <formula>"NO"</formula>
    </cfRule>
    <cfRule type="cellIs" dxfId="5274" priority="5207" stopIfTrue="1" operator="equal">
      <formula>"SI"</formula>
    </cfRule>
  </conditionalFormatting>
  <conditionalFormatting sqref="W3572:Y3572">
    <cfRule type="cellIs" dxfId="5273" priority="5204" stopIfTrue="1" operator="equal">
      <formula>"NO"</formula>
    </cfRule>
    <cfRule type="cellIs" dxfId="5272" priority="5205" stopIfTrue="1" operator="equal">
      <formula>"SI"</formula>
    </cfRule>
  </conditionalFormatting>
  <conditionalFormatting sqref="W3572:X3572">
    <cfRule type="cellIs" dxfId="5271" priority="5203" stopIfTrue="1" operator="equal">
      <formula>"NO APLICA"</formula>
    </cfRule>
  </conditionalFormatting>
  <conditionalFormatting sqref="Y3572">
    <cfRule type="cellIs" dxfId="5270" priority="5202" stopIfTrue="1" operator="equal">
      <formula>"NO APLICA"</formula>
    </cfRule>
  </conditionalFormatting>
  <conditionalFormatting sqref="AD3572:AF3572">
    <cfRule type="cellIs" dxfId="5269" priority="5200" stopIfTrue="1" operator="equal">
      <formula>"NO"</formula>
    </cfRule>
    <cfRule type="cellIs" dxfId="5268" priority="5201" stopIfTrue="1" operator="equal">
      <formula>"SI"</formula>
    </cfRule>
  </conditionalFormatting>
  <conditionalFormatting sqref="AE3577">
    <cfRule type="cellIs" dxfId="5267" priority="5197" stopIfTrue="1" operator="equal">
      <formula>"VERIFICAR"</formula>
    </cfRule>
    <cfRule type="cellIs" dxfId="5266" priority="5198" stopIfTrue="1" operator="equal">
      <formula>"NO CUMPLE"</formula>
    </cfRule>
    <cfRule type="cellIs" dxfId="5265" priority="5199" stopIfTrue="1" operator="equal">
      <formula>"CUMPLE"</formula>
    </cfRule>
  </conditionalFormatting>
  <conditionalFormatting sqref="AF3577">
    <cfRule type="cellIs" dxfId="5264" priority="5194" stopIfTrue="1" operator="equal">
      <formula>"VERIFICAR"</formula>
    </cfRule>
    <cfRule type="cellIs" dxfId="5263" priority="5195" stopIfTrue="1" operator="equal">
      <formula>"NO CUMPLE"</formula>
    </cfRule>
    <cfRule type="cellIs" dxfId="5262" priority="5196" stopIfTrue="1" operator="equal">
      <formula>"CUMPLE"</formula>
    </cfRule>
  </conditionalFormatting>
  <conditionalFormatting sqref="Y3580">
    <cfRule type="cellIs" dxfId="5261" priority="5193" operator="equal">
      <formula>"VERIFICAR CUADRO"</formula>
    </cfRule>
  </conditionalFormatting>
  <conditionalFormatting sqref="AC3581:AC3586">
    <cfRule type="cellIs" dxfId="5260" priority="5192" stopIfTrue="1" operator="greaterThan">
      <formula>0</formula>
    </cfRule>
  </conditionalFormatting>
  <conditionalFormatting sqref="AC3581:AC3586">
    <cfRule type="cellIs" dxfId="5259" priority="5191" stopIfTrue="1" operator="greaterThan">
      <formula>0</formula>
    </cfRule>
  </conditionalFormatting>
  <conditionalFormatting sqref="AD3581:AD3586">
    <cfRule type="containsText" dxfId="5258" priority="5189" stopIfTrue="1" operator="containsText" text="NO CUMPLE">
      <formula>NOT(ISERROR(SEARCH("NO CUMPLE",AD3581)))</formula>
    </cfRule>
    <cfRule type="containsText" dxfId="5257" priority="5190" stopIfTrue="1" operator="containsText" text="CUMPLE">
      <formula>NOT(ISERROR(SEARCH("CUMPLE",AD3581)))</formula>
    </cfRule>
  </conditionalFormatting>
  <conditionalFormatting sqref="Y3586">
    <cfRule type="containsText" dxfId="5256" priority="5187" stopIfTrue="1" operator="containsText" text="NO CUMPLE">
      <formula>NOT(ISERROR(SEARCH("NO CUMPLE",Y3586)))</formula>
    </cfRule>
    <cfRule type="containsText" dxfId="5255" priority="5188" stopIfTrue="1" operator="containsText" text="CUMPLE">
      <formula>NOT(ISERROR(SEARCH("CUMPLE",Y3586)))</formula>
    </cfRule>
  </conditionalFormatting>
  <conditionalFormatting sqref="AA3563:AA3572">
    <cfRule type="cellIs" dxfId="5254" priority="5185" stopIfTrue="1" operator="equal">
      <formula>"NO APLICA"</formula>
    </cfRule>
    <cfRule type="cellIs" dxfId="5253" priority="5186" stopIfTrue="1" operator="equal">
      <formula>"TERCIARIA"</formula>
    </cfRule>
  </conditionalFormatting>
  <conditionalFormatting sqref="AB3563:AB3572">
    <cfRule type="cellIs" dxfId="5252" priority="5183" stopIfTrue="1" operator="equal">
      <formula>"N/A"</formula>
    </cfRule>
    <cfRule type="cellIs" dxfId="5251" priority="5184" stopIfTrue="1" operator="equal">
      <formula>"NO"</formula>
    </cfRule>
  </conditionalFormatting>
  <conditionalFormatting sqref="M3593:M3602">
    <cfRule type="cellIs" dxfId="5250" priority="5182" stopIfTrue="1" operator="lessThan">
      <formula>0</formula>
    </cfRule>
  </conditionalFormatting>
  <conditionalFormatting sqref="C3595:D3601 B3594:B3601 F3595:I3601 C3594:I3594 B3602:O3602 B3593:R3593 Q3594:R3595 J3594:O3601 Q3596:Q3602 P3594:P3602">
    <cfRule type="cellIs" dxfId="5249" priority="5181" stopIfTrue="1" operator="greaterThan">
      <formula>0</formula>
    </cfRule>
  </conditionalFormatting>
  <conditionalFormatting sqref="C3595:D3601">
    <cfRule type="cellIs" dxfId="5248" priority="5180" stopIfTrue="1" operator="greaterThan">
      <formula>0</formula>
    </cfRule>
  </conditionalFormatting>
  <conditionalFormatting sqref="C3593:M3593 C3595:D3601 F3595:I3601 C3594:I3594 K3594:M3601 J3594:J3602 L3602:M3602">
    <cfRule type="cellIs" dxfId="5247" priority="5179" stopIfTrue="1" operator="greaterThan">
      <formula>0</formula>
    </cfRule>
  </conditionalFormatting>
  <conditionalFormatting sqref="M3593:M3602">
    <cfRule type="cellIs" dxfId="5246" priority="5178" stopIfTrue="1" operator="lessThan">
      <formula>0</formula>
    </cfRule>
  </conditionalFormatting>
  <conditionalFormatting sqref="J3594:J3602 L3594:O3602 C3593:O3593">
    <cfRule type="cellIs" dxfId="5245" priority="5177" stopIfTrue="1" operator="greaterThan">
      <formula>0</formula>
    </cfRule>
  </conditionalFormatting>
  <conditionalFormatting sqref="H3595:I3601 K3595:M3602">
    <cfRule type="cellIs" dxfId="5244" priority="5176" stopIfTrue="1" operator="greaterThan">
      <formula>0</formula>
    </cfRule>
  </conditionalFormatting>
  <conditionalFormatting sqref="I3594">
    <cfRule type="cellIs" dxfId="5243" priority="5175" stopIfTrue="1" operator="greaterThan">
      <formula>0</formula>
    </cfRule>
  </conditionalFormatting>
  <conditionalFormatting sqref="I3602">
    <cfRule type="cellIs" dxfId="5242" priority="5174" stopIfTrue="1" operator="greaterThan">
      <formula>0</formula>
    </cfRule>
  </conditionalFormatting>
  <conditionalFormatting sqref="E3595:E3601">
    <cfRule type="cellIs" dxfId="5241" priority="5173" stopIfTrue="1" operator="greaterThan">
      <formula>0</formula>
    </cfRule>
  </conditionalFormatting>
  <conditionalFormatting sqref="K3610:K3615">
    <cfRule type="containsText" dxfId="5240" priority="5171" stopIfTrue="1" operator="containsText" text="NO CUMPLE">
      <formula>NOT(ISERROR(SEARCH("NO CUMPLE",K3610)))</formula>
    </cfRule>
    <cfRule type="containsText" dxfId="5239" priority="5172" stopIfTrue="1" operator="containsText" text="CUMPLE">
      <formula>NOT(ISERROR(SEARCH("CUMPLE",K3610)))</formula>
    </cfRule>
  </conditionalFormatting>
  <conditionalFormatting sqref="K3616">
    <cfRule type="containsText" dxfId="5238" priority="5169" stopIfTrue="1" operator="containsText" text="NO CUMPLE">
      <formula>NOT(ISERROR(SEARCH("NO CUMPLE",K3616)))</formula>
    </cfRule>
    <cfRule type="containsText" dxfId="5237" priority="5170" stopIfTrue="1" operator="containsText" text="CUMPLE">
      <formula>NOT(ISERROR(SEARCH("CUMPLE",K3616)))</formula>
    </cfRule>
  </conditionalFormatting>
  <conditionalFormatting sqref="Q3609">
    <cfRule type="cellIs" dxfId="5236" priority="5167" operator="greaterThanOrEqual">
      <formula>NUMMINCONT</formula>
    </cfRule>
    <cfRule type="cellIs" dxfId="5235" priority="5168" operator="lessThan">
      <formula>NUMMINCONT</formula>
    </cfRule>
  </conditionalFormatting>
  <conditionalFormatting sqref="W3593:Y3601">
    <cfRule type="cellIs" dxfId="5234" priority="5165" stopIfTrue="1" operator="equal">
      <formula>"NO"</formula>
    </cfRule>
    <cfRule type="cellIs" dxfId="5233" priority="5166" stopIfTrue="1" operator="equal">
      <formula>"SI"</formula>
    </cfRule>
  </conditionalFormatting>
  <conditionalFormatting sqref="R3596">
    <cfRule type="cellIs" dxfId="5232" priority="5164" stopIfTrue="1" operator="greaterThan">
      <formula>0</formula>
    </cfRule>
  </conditionalFormatting>
  <conditionalFormatting sqref="R3597">
    <cfRule type="cellIs" dxfId="5231" priority="5163" stopIfTrue="1" operator="greaterThan">
      <formula>0</formula>
    </cfRule>
  </conditionalFormatting>
  <conditionalFormatting sqref="R3598">
    <cfRule type="cellIs" dxfId="5230" priority="5162" stopIfTrue="1" operator="greaterThan">
      <formula>0</formula>
    </cfRule>
  </conditionalFormatting>
  <conditionalFormatting sqref="R3599">
    <cfRule type="cellIs" dxfId="5229" priority="5161" stopIfTrue="1" operator="greaterThan">
      <formula>0</formula>
    </cfRule>
  </conditionalFormatting>
  <conditionalFormatting sqref="R3600">
    <cfRule type="cellIs" dxfId="5228" priority="5160" stopIfTrue="1" operator="greaterThan">
      <formula>0</formula>
    </cfRule>
  </conditionalFormatting>
  <conditionalFormatting sqref="R3601">
    <cfRule type="cellIs" dxfId="5227" priority="5159" stopIfTrue="1" operator="greaterThan">
      <formula>0</formula>
    </cfRule>
  </conditionalFormatting>
  <conditionalFormatting sqref="R3602">
    <cfRule type="cellIs" dxfId="5226" priority="5158" stopIfTrue="1" operator="greaterThan">
      <formula>0</formula>
    </cfRule>
  </conditionalFormatting>
  <conditionalFormatting sqref="W3593:X3593">
    <cfRule type="cellIs" dxfId="5225" priority="5157" stopIfTrue="1" operator="equal">
      <formula>"NO APLICA"</formula>
    </cfRule>
  </conditionalFormatting>
  <conditionalFormatting sqref="W3594:X3597">
    <cfRule type="cellIs" dxfId="5224" priority="5156" stopIfTrue="1" operator="equal">
      <formula>"NO APLICA"</formula>
    </cfRule>
  </conditionalFormatting>
  <conditionalFormatting sqref="W3594:X3594">
    <cfRule type="cellIs" dxfId="5223" priority="5155" stopIfTrue="1" operator="equal">
      <formula>"NO APLICA"</formula>
    </cfRule>
  </conditionalFormatting>
  <conditionalFormatting sqref="Y3593">
    <cfRule type="cellIs" dxfId="5222" priority="5154" stopIfTrue="1" operator="equal">
      <formula>"NO APLICA"</formula>
    </cfRule>
  </conditionalFormatting>
  <conditionalFormatting sqref="Y3594:Y3597">
    <cfRule type="cellIs" dxfId="5221" priority="5153" stopIfTrue="1" operator="equal">
      <formula>"NO APLICA"</formula>
    </cfRule>
  </conditionalFormatting>
  <conditionalFormatting sqref="W3598:X3601">
    <cfRule type="cellIs" dxfId="5220" priority="5152" stopIfTrue="1" operator="equal">
      <formula>"NO APLICA"</formula>
    </cfRule>
  </conditionalFormatting>
  <conditionalFormatting sqref="W3598:X3598">
    <cfRule type="cellIs" dxfId="5219" priority="5151" stopIfTrue="1" operator="equal">
      <formula>"NO APLICA"</formula>
    </cfRule>
  </conditionalFormatting>
  <conditionalFormatting sqref="Y3598:Y3601">
    <cfRule type="cellIs" dxfId="5218" priority="5150" stopIfTrue="1" operator="equal">
      <formula>"NO APLICA"</formula>
    </cfRule>
  </conditionalFormatting>
  <conditionalFormatting sqref="T3607">
    <cfRule type="cellIs" dxfId="5217" priority="5148" operator="equal">
      <formula>"CUMPLE"</formula>
    </cfRule>
    <cfRule type="cellIs" dxfId="5216" priority="5149" operator="equal">
      <formula>"NO CUMPLE"</formula>
    </cfRule>
  </conditionalFormatting>
  <conditionalFormatting sqref="T3607:T3609">
    <cfRule type="cellIs" dxfId="5215" priority="5147" operator="equal">
      <formula>"VERIFICAR"</formula>
    </cfRule>
  </conditionalFormatting>
  <conditionalFormatting sqref="AD3593:AF3597">
    <cfRule type="cellIs" dxfId="5214" priority="5145" stopIfTrue="1" operator="equal">
      <formula>"NO"</formula>
    </cfRule>
    <cfRule type="cellIs" dxfId="5213" priority="5146" stopIfTrue="1" operator="equal">
      <formula>"SI"</formula>
    </cfRule>
  </conditionalFormatting>
  <conditionalFormatting sqref="AD3598:AF3601">
    <cfRule type="cellIs" dxfId="5212" priority="5143" stopIfTrue="1" operator="equal">
      <formula>"NO"</formula>
    </cfRule>
    <cfRule type="cellIs" dxfId="5211" priority="5144" stopIfTrue="1" operator="equal">
      <formula>"SI"</formula>
    </cfRule>
  </conditionalFormatting>
  <conditionalFormatting sqref="W3602:Y3602">
    <cfRule type="cellIs" dxfId="5210" priority="5141" stopIfTrue="1" operator="equal">
      <formula>"NO"</formula>
    </cfRule>
    <cfRule type="cellIs" dxfId="5209" priority="5142" stopIfTrue="1" operator="equal">
      <formula>"SI"</formula>
    </cfRule>
  </conditionalFormatting>
  <conditionalFormatting sqref="W3602:X3602">
    <cfRule type="cellIs" dxfId="5208" priority="5140" stopIfTrue="1" operator="equal">
      <formula>"NO APLICA"</formula>
    </cfRule>
  </conditionalFormatting>
  <conditionalFormatting sqref="Y3602">
    <cfRule type="cellIs" dxfId="5207" priority="5139" stopIfTrue="1" operator="equal">
      <formula>"NO APLICA"</formula>
    </cfRule>
  </conditionalFormatting>
  <conditionalFormatting sqref="AD3602:AF3602">
    <cfRule type="cellIs" dxfId="5206" priority="5137" stopIfTrue="1" operator="equal">
      <formula>"NO"</formula>
    </cfRule>
    <cfRule type="cellIs" dxfId="5205" priority="5138" stopIfTrue="1" operator="equal">
      <formula>"SI"</formula>
    </cfRule>
  </conditionalFormatting>
  <conditionalFormatting sqref="AE3607">
    <cfRule type="cellIs" dxfId="5204" priority="5134" stopIfTrue="1" operator="equal">
      <formula>"VERIFICAR"</formula>
    </cfRule>
    <cfRule type="cellIs" dxfId="5203" priority="5135" stopIfTrue="1" operator="equal">
      <formula>"NO CUMPLE"</formula>
    </cfRule>
    <cfRule type="cellIs" dxfId="5202" priority="5136" stopIfTrue="1" operator="equal">
      <formula>"CUMPLE"</formula>
    </cfRule>
  </conditionalFormatting>
  <conditionalFormatting sqref="AF3607">
    <cfRule type="cellIs" dxfId="5201" priority="5131" stopIfTrue="1" operator="equal">
      <formula>"VERIFICAR"</formula>
    </cfRule>
    <cfRule type="cellIs" dxfId="5200" priority="5132" stopIfTrue="1" operator="equal">
      <formula>"NO CUMPLE"</formula>
    </cfRule>
    <cfRule type="cellIs" dxfId="5199" priority="5133" stopIfTrue="1" operator="equal">
      <formula>"CUMPLE"</formula>
    </cfRule>
  </conditionalFormatting>
  <conditionalFormatting sqref="Y3610">
    <cfRule type="cellIs" dxfId="5198" priority="5130" operator="equal">
      <formula>"VERIFICAR CUADRO"</formula>
    </cfRule>
  </conditionalFormatting>
  <conditionalFormatting sqref="AC3611:AC3616">
    <cfRule type="cellIs" dxfId="5197" priority="5129" stopIfTrue="1" operator="greaterThan">
      <formula>0</formula>
    </cfRule>
  </conditionalFormatting>
  <conditionalFormatting sqref="AC3611:AC3616">
    <cfRule type="cellIs" dxfId="5196" priority="5128" stopIfTrue="1" operator="greaterThan">
      <formula>0</formula>
    </cfRule>
  </conditionalFormatting>
  <conditionalFormatting sqref="AD3611:AD3616">
    <cfRule type="containsText" dxfId="5195" priority="5126" stopIfTrue="1" operator="containsText" text="NO CUMPLE">
      <formula>NOT(ISERROR(SEARCH("NO CUMPLE",AD3611)))</formula>
    </cfRule>
    <cfRule type="containsText" dxfId="5194" priority="5127" stopIfTrue="1" operator="containsText" text="CUMPLE">
      <formula>NOT(ISERROR(SEARCH("CUMPLE",AD3611)))</formula>
    </cfRule>
  </conditionalFormatting>
  <conditionalFormatting sqref="Y3616">
    <cfRule type="containsText" dxfId="5193" priority="5124" stopIfTrue="1" operator="containsText" text="NO CUMPLE">
      <formula>NOT(ISERROR(SEARCH("NO CUMPLE",Y3616)))</formula>
    </cfRule>
    <cfRule type="containsText" dxfId="5192" priority="5125" stopIfTrue="1" operator="containsText" text="CUMPLE">
      <formula>NOT(ISERROR(SEARCH("CUMPLE",Y3616)))</formula>
    </cfRule>
  </conditionalFormatting>
  <conditionalFormatting sqref="AA3593:AA3602">
    <cfRule type="cellIs" dxfId="5191" priority="5122" stopIfTrue="1" operator="equal">
      <formula>"NO APLICA"</formula>
    </cfRule>
    <cfRule type="cellIs" dxfId="5190" priority="5123" stopIfTrue="1" operator="equal">
      <formula>"TERCIARIA"</formula>
    </cfRule>
  </conditionalFormatting>
  <conditionalFormatting sqref="AB3593:AB3602">
    <cfRule type="cellIs" dxfId="5189" priority="5120" stopIfTrue="1" operator="equal">
      <formula>"N/A"</formula>
    </cfRule>
    <cfRule type="cellIs" dxfId="5188" priority="5121" stopIfTrue="1" operator="equal">
      <formula>"NO"</formula>
    </cfRule>
  </conditionalFormatting>
  <conditionalFormatting sqref="M3623:M3632">
    <cfRule type="cellIs" dxfId="5187" priority="5119" stopIfTrue="1" operator="lessThan">
      <formula>0</formula>
    </cfRule>
  </conditionalFormatting>
  <conditionalFormatting sqref="C3625:D3631 B3624:B3631 F3625:I3631 C3624:I3624 B3632:O3632 B3623:R3623 Q3624:R3625 J3624:O3631 Q3626:Q3632 P3624:P3632">
    <cfRule type="cellIs" dxfId="5186" priority="5118" stopIfTrue="1" operator="greaterThan">
      <formula>0</formula>
    </cfRule>
  </conditionalFormatting>
  <conditionalFormatting sqref="C3625:D3631">
    <cfRule type="cellIs" dxfId="5185" priority="5117" stopIfTrue="1" operator="greaterThan">
      <formula>0</formula>
    </cfRule>
  </conditionalFormatting>
  <conditionalFormatting sqref="C3623:M3623 C3625:D3631 F3625:I3631 C3624:I3624 K3624:M3631 J3624:J3632 L3632:M3632">
    <cfRule type="cellIs" dxfId="5184" priority="5116" stopIfTrue="1" operator="greaterThan">
      <formula>0</formula>
    </cfRule>
  </conditionalFormatting>
  <conditionalFormatting sqref="M3623:M3632">
    <cfRule type="cellIs" dxfId="5183" priority="5115" stopIfTrue="1" operator="lessThan">
      <formula>0</formula>
    </cfRule>
  </conditionalFormatting>
  <conditionalFormatting sqref="J3624:J3632 L3624:O3632 C3623:O3623">
    <cfRule type="cellIs" dxfId="5182" priority="5114" stopIfTrue="1" operator="greaterThan">
      <formula>0</formula>
    </cfRule>
  </conditionalFormatting>
  <conditionalFormatting sqref="H3625:I3631 K3625:M3632">
    <cfRule type="cellIs" dxfId="5181" priority="5113" stopIfTrue="1" operator="greaterThan">
      <formula>0</formula>
    </cfRule>
  </conditionalFormatting>
  <conditionalFormatting sqref="I3624">
    <cfRule type="cellIs" dxfId="5180" priority="5112" stopIfTrue="1" operator="greaterThan">
      <formula>0</formula>
    </cfRule>
  </conditionalFormatting>
  <conditionalFormatting sqref="I3632">
    <cfRule type="cellIs" dxfId="5179" priority="5111" stopIfTrue="1" operator="greaterThan">
      <formula>0</formula>
    </cfRule>
  </conditionalFormatting>
  <conditionalFormatting sqref="E3625:E3631">
    <cfRule type="cellIs" dxfId="5178" priority="5110" stopIfTrue="1" operator="greaterThan">
      <formula>0</formula>
    </cfRule>
  </conditionalFormatting>
  <conditionalFormatting sqref="K3640:K3645">
    <cfRule type="containsText" dxfId="5177" priority="5108" stopIfTrue="1" operator="containsText" text="NO CUMPLE">
      <formula>NOT(ISERROR(SEARCH("NO CUMPLE",K3640)))</formula>
    </cfRule>
    <cfRule type="containsText" dxfId="5176" priority="5109" stopIfTrue="1" operator="containsText" text="CUMPLE">
      <formula>NOT(ISERROR(SEARCH("CUMPLE",K3640)))</formula>
    </cfRule>
  </conditionalFormatting>
  <conditionalFormatting sqref="K3646">
    <cfRule type="containsText" dxfId="5175" priority="5106" stopIfTrue="1" operator="containsText" text="NO CUMPLE">
      <formula>NOT(ISERROR(SEARCH("NO CUMPLE",K3646)))</formula>
    </cfRule>
    <cfRule type="containsText" dxfId="5174" priority="5107" stopIfTrue="1" operator="containsText" text="CUMPLE">
      <formula>NOT(ISERROR(SEARCH("CUMPLE",K3646)))</formula>
    </cfRule>
  </conditionalFormatting>
  <conditionalFormatting sqref="Q3639">
    <cfRule type="cellIs" dxfId="5173" priority="5104" operator="greaterThanOrEqual">
      <formula>NUMMINCONT</formula>
    </cfRule>
    <cfRule type="cellIs" dxfId="5172" priority="5105" operator="lessThan">
      <formula>NUMMINCONT</formula>
    </cfRule>
  </conditionalFormatting>
  <conditionalFormatting sqref="W3623:Y3631">
    <cfRule type="cellIs" dxfId="5171" priority="5102" stopIfTrue="1" operator="equal">
      <formula>"NO"</formula>
    </cfRule>
    <cfRule type="cellIs" dxfId="5170" priority="5103" stopIfTrue="1" operator="equal">
      <formula>"SI"</formula>
    </cfRule>
  </conditionalFormatting>
  <conditionalFormatting sqref="R3626">
    <cfRule type="cellIs" dxfId="5169" priority="5101" stopIfTrue="1" operator="greaterThan">
      <formula>0</formula>
    </cfRule>
  </conditionalFormatting>
  <conditionalFormatting sqref="R3627">
    <cfRule type="cellIs" dxfId="5168" priority="5100" stopIfTrue="1" operator="greaterThan">
      <formula>0</formula>
    </cfRule>
  </conditionalFormatting>
  <conditionalFormatting sqref="R3628">
    <cfRule type="cellIs" dxfId="5167" priority="5099" stopIfTrue="1" operator="greaterThan">
      <formula>0</formula>
    </cfRule>
  </conditionalFormatting>
  <conditionalFormatting sqref="R3629">
    <cfRule type="cellIs" dxfId="5166" priority="5098" stopIfTrue="1" operator="greaterThan">
      <formula>0</formula>
    </cfRule>
  </conditionalFormatting>
  <conditionalFormatting sqref="R3630">
    <cfRule type="cellIs" dxfId="5165" priority="5097" stopIfTrue="1" operator="greaterThan">
      <formula>0</formula>
    </cfRule>
  </conditionalFormatting>
  <conditionalFormatting sqref="R3631">
    <cfRule type="cellIs" dxfId="5164" priority="5096" stopIfTrue="1" operator="greaterThan">
      <formula>0</formula>
    </cfRule>
  </conditionalFormatting>
  <conditionalFormatting sqref="R3632">
    <cfRule type="cellIs" dxfId="5163" priority="5095" stopIfTrue="1" operator="greaterThan">
      <formula>0</formula>
    </cfRule>
  </conditionalFormatting>
  <conditionalFormatting sqref="W3623:X3623">
    <cfRule type="cellIs" dxfId="5162" priority="5094" stopIfTrue="1" operator="equal">
      <formula>"NO APLICA"</formula>
    </cfRule>
  </conditionalFormatting>
  <conditionalFormatting sqref="W3624:X3627">
    <cfRule type="cellIs" dxfId="5161" priority="5093" stopIfTrue="1" operator="equal">
      <formula>"NO APLICA"</formula>
    </cfRule>
  </conditionalFormatting>
  <conditionalFormatting sqref="W3624:X3624">
    <cfRule type="cellIs" dxfId="5160" priority="5092" stopIfTrue="1" operator="equal">
      <formula>"NO APLICA"</formula>
    </cfRule>
  </conditionalFormatting>
  <conditionalFormatting sqref="Y3623">
    <cfRule type="cellIs" dxfId="5159" priority="5091" stopIfTrue="1" operator="equal">
      <formula>"NO APLICA"</formula>
    </cfRule>
  </conditionalFormatting>
  <conditionalFormatting sqref="Y3624:Y3627">
    <cfRule type="cellIs" dxfId="5158" priority="5090" stopIfTrue="1" operator="equal">
      <formula>"NO APLICA"</formula>
    </cfRule>
  </conditionalFormatting>
  <conditionalFormatting sqref="W3628:X3631">
    <cfRule type="cellIs" dxfId="5157" priority="5089" stopIfTrue="1" operator="equal">
      <formula>"NO APLICA"</formula>
    </cfRule>
  </conditionalFormatting>
  <conditionalFormatting sqref="W3628:X3628">
    <cfRule type="cellIs" dxfId="5156" priority="5088" stopIfTrue="1" operator="equal">
      <formula>"NO APLICA"</formula>
    </cfRule>
  </conditionalFormatting>
  <conditionalFormatting sqref="Y3628:Y3631">
    <cfRule type="cellIs" dxfId="5155" priority="5087" stopIfTrue="1" operator="equal">
      <formula>"NO APLICA"</formula>
    </cfRule>
  </conditionalFormatting>
  <conditionalFormatting sqref="T3637">
    <cfRule type="cellIs" dxfId="5154" priority="5085" operator="equal">
      <formula>"CUMPLE"</formula>
    </cfRule>
    <cfRule type="cellIs" dxfId="5153" priority="5086" operator="equal">
      <formula>"NO CUMPLE"</formula>
    </cfRule>
  </conditionalFormatting>
  <conditionalFormatting sqref="T3637:T3639">
    <cfRule type="cellIs" dxfId="5152" priority="5084" operator="equal">
      <formula>"VERIFICAR"</formula>
    </cfRule>
  </conditionalFormatting>
  <conditionalFormatting sqref="AD3623:AF3627">
    <cfRule type="cellIs" dxfId="5151" priority="5082" stopIfTrue="1" operator="equal">
      <formula>"NO"</formula>
    </cfRule>
    <cfRule type="cellIs" dxfId="5150" priority="5083" stopIfTrue="1" operator="equal">
      <formula>"SI"</formula>
    </cfRule>
  </conditionalFormatting>
  <conditionalFormatting sqref="AD3628:AF3631">
    <cfRule type="cellIs" dxfId="5149" priority="5080" stopIfTrue="1" operator="equal">
      <formula>"NO"</formula>
    </cfRule>
    <cfRule type="cellIs" dxfId="5148" priority="5081" stopIfTrue="1" operator="equal">
      <formula>"SI"</formula>
    </cfRule>
  </conditionalFormatting>
  <conditionalFormatting sqref="W3632:Y3632">
    <cfRule type="cellIs" dxfId="5147" priority="5078" stopIfTrue="1" operator="equal">
      <formula>"NO"</formula>
    </cfRule>
    <cfRule type="cellIs" dxfId="5146" priority="5079" stopIfTrue="1" operator="equal">
      <formula>"SI"</formula>
    </cfRule>
  </conditionalFormatting>
  <conditionalFormatting sqref="W3632:X3632">
    <cfRule type="cellIs" dxfId="5145" priority="5077" stopIfTrue="1" operator="equal">
      <formula>"NO APLICA"</formula>
    </cfRule>
  </conditionalFormatting>
  <conditionalFormatting sqref="Y3632">
    <cfRule type="cellIs" dxfId="5144" priority="5076" stopIfTrue="1" operator="equal">
      <formula>"NO APLICA"</formula>
    </cfRule>
  </conditionalFormatting>
  <conditionalFormatting sqref="AD3632:AF3632">
    <cfRule type="cellIs" dxfId="5143" priority="5074" stopIfTrue="1" operator="equal">
      <formula>"NO"</formula>
    </cfRule>
    <cfRule type="cellIs" dxfId="5142" priority="5075" stopIfTrue="1" operator="equal">
      <formula>"SI"</formula>
    </cfRule>
  </conditionalFormatting>
  <conditionalFormatting sqref="AE3637">
    <cfRule type="cellIs" dxfId="5141" priority="5071" stopIfTrue="1" operator="equal">
      <formula>"VERIFICAR"</formula>
    </cfRule>
    <cfRule type="cellIs" dxfId="5140" priority="5072" stopIfTrue="1" operator="equal">
      <formula>"NO CUMPLE"</formula>
    </cfRule>
    <cfRule type="cellIs" dxfId="5139" priority="5073" stopIfTrue="1" operator="equal">
      <formula>"CUMPLE"</formula>
    </cfRule>
  </conditionalFormatting>
  <conditionalFormatting sqref="AF3637">
    <cfRule type="cellIs" dxfId="5138" priority="5068" stopIfTrue="1" operator="equal">
      <formula>"VERIFICAR"</formula>
    </cfRule>
    <cfRule type="cellIs" dxfId="5137" priority="5069" stopIfTrue="1" operator="equal">
      <formula>"NO CUMPLE"</formula>
    </cfRule>
    <cfRule type="cellIs" dxfId="5136" priority="5070" stopIfTrue="1" operator="equal">
      <formula>"CUMPLE"</formula>
    </cfRule>
  </conditionalFormatting>
  <conditionalFormatting sqref="Y3640">
    <cfRule type="cellIs" dxfId="5135" priority="5067" operator="equal">
      <formula>"VERIFICAR CUADRO"</formula>
    </cfRule>
  </conditionalFormatting>
  <conditionalFormatting sqref="AC3641:AC3646">
    <cfRule type="cellIs" dxfId="5134" priority="5066" stopIfTrue="1" operator="greaterThan">
      <formula>0</formula>
    </cfRule>
  </conditionalFormatting>
  <conditionalFormatting sqref="AC3641:AC3646">
    <cfRule type="cellIs" dxfId="5133" priority="5065" stopIfTrue="1" operator="greaterThan">
      <formula>0</formula>
    </cfRule>
  </conditionalFormatting>
  <conditionalFormatting sqref="AD3641:AD3646">
    <cfRule type="containsText" dxfId="5132" priority="5063" stopIfTrue="1" operator="containsText" text="NO CUMPLE">
      <formula>NOT(ISERROR(SEARCH("NO CUMPLE",AD3641)))</formula>
    </cfRule>
    <cfRule type="containsText" dxfId="5131" priority="5064" stopIfTrue="1" operator="containsText" text="CUMPLE">
      <formula>NOT(ISERROR(SEARCH("CUMPLE",AD3641)))</formula>
    </cfRule>
  </conditionalFormatting>
  <conditionalFormatting sqref="Y3646">
    <cfRule type="containsText" dxfId="5130" priority="5061" stopIfTrue="1" operator="containsText" text="NO CUMPLE">
      <formula>NOT(ISERROR(SEARCH("NO CUMPLE",Y3646)))</formula>
    </cfRule>
    <cfRule type="containsText" dxfId="5129" priority="5062" stopIfTrue="1" operator="containsText" text="CUMPLE">
      <formula>NOT(ISERROR(SEARCH("CUMPLE",Y3646)))</formula>
    </cfRule>
  </conditionalFormatting>
  <conditionalFormatting sqref="AA3623:AA3632">
    <cfRule type="cellIs" dxfId="5128" priority="5059" stopIfTrue="1" operator="equal">
      <formula>"NO APLICA"</formula>
    </cfRule>
    <cfRule type="cellIs" dxfId="5127" priority="5060" stopIfTrue="1" operator="equal">
      <formula>"TERCIARIA"</formula>
    </cfRule>
  </conditionalFormatting>
  <conditionalFormatting sqref="AB3623:AB3632">
    <cfRule type="cellIs" dxfId="5126" priority="5057" stopIfTrue="1" operator="equal">
      <formula>"N/A"</formula>
    </cfRule>
    <cfRule type="cellIs" dxfId="5125" priority="5058" stopIfTrue="1" operator="equal">
      <formula>"NO"</formula>
    </cfRule>
  </conditionalFormatting>
  <conditionalFormatting sqref="M3653:M3662">
    <cfRule type="cellIs" dxfId="5124" priority="5056" stopIfTrue="1" operator="lessThan">
      <formula>0</formula>
    </cfRule>
  </conditionalFormatting>
  <conditionalFormatting sqref="C3655:D3661 B3654:B3661 F3655:I3661 C3654:I3654 B3662:O3662 B3653:R3653 Q3654:R3655 J3654:O3661 Q3656:Q3662 P3654:P3662">
    <cfRule type="cellIs" dxfId="5123" priority="5055" stopIfTrue="1" operator="greaterThan">
      <formula>0</formula>
    </cfRule>
  </conditionalFormatting>
  <conditionalFormatting sqref="C3655:D3661">
    <cfRule type="cellIs" dxfId="5122" priority="5054" stopIfTrue="1" operator="greaterThan">
      <formula>0</formula>
    </cfRule>
  </conditionalFormatting>
  <conditionalFormatting sqref="C3653:M3653 C3655:D3661 F3655:I3661 C3654:I3654 K3654:M3661 J3654:J3662 L3662:M3662">
    <cfRule type="cellIs" dxfId="5121" priority="5053" stopIfTrue="1" operator="greaterThan">
      <formula>0</formula>
    </cfRule>
  </conditionalFormatting>
  <conditionalFormatting sqref="M3653:M3662">
    <cfRule type="cellIs" dxfId="5120" priority="5052" stopIfTrue="1" operator="lessThan">
      <formula>0</formula>
    </cfRule>
  </conditionalFormatting>
  <conditionalFormatting sqref="J3654:J3662 L3654:O3662 C3653:O3653">
    <cfRule type="cellIs" dxfId="5119" priority="5051" stopIfTrue="1" operator="greaterThan">
      <formula>0</formula>
    </cfRule>
  </conditionalFormatting>
  <conditionalFormatting sqref="H3655:I3661 K3655:M3662">
    <cfRule type="cellIs" dxfId="5118" priority="5050" stopIfTrue="1" operator="greaterThan">
      <formula>0</formula>
    </cfRule>
  </conditionalFormatting>
  <conditionalFormatting sqref="I3654">
    <cfRule type="cellIs" dxfId="5117" priority="5049" stopIfTrue="1" operator="greaterThan">
      <formula>0</formula>
    </cfRule>
  </conditionalFormatting>
  <conditionalFormatting sqref="I3662">
    <cfRule type="cellIs" dxfId="5116" priority="5048" stopIfTrue="1" operator="greaterThan">
      <formula>0</formula>
    </cfRule>
  </conditionalFormatting>
  <conditionalFormatting sqref="E3655:E3661">
    <cfRule type="cellIs" dxfId="5115" priority="5047" stopIfTrue="1" operator="greaterThan">
      <formula>0</formula>
    </cfRule>
  </conditionalFormatting>
  <conditionalFormatting sqref="K3670:K3675">
    <cfRule type="containsText" dxfId="5114" priority="5045" stopIfTrue="1" operator="containsText" text="NO CUMPLE">
      <formula>NOT(ISERROR(SEARCH("NO CUMPLE",K3670)))</formula>
    </cfRule>
    <cfRule type="containsText" dxfId="5113" priority="5046" stopIfTrue="1" operator="containsText" text="CUMPLE">
      <formula>NOT(ISERROR(SEARCH("CUMPLE",K3670)))</formula>
    </cfRule>
  </conditionalFormatting>
  <conditionalFormatting sqref="K3676">
    <cfRule type="containsText" dxfId="5112" priority="5043" stopIfTrue="1" operator="containsText" text="NO CUMPLE">
      <formula>NOT(ISERROR(SEARCH("NO CUMPLE",K3676)))</formula>
    </cfRule>
    <cfRule type="containsText" dxfId="5111" priority="5044" stopIfTrue="1" operator="containsText" text="CUMPLE">
      <formula>NOT(ISERROR(SEARCH("CUMPLE",K3676)))</formula>
    </cfRule>
  </conditionalFormatting>
  <conditionalFormatting sqref="Q3669">
    <cfRule type="cellIs" dxfId="5110" priority="5041" operator="greaterThanOrEqual">
      <formula>NUMMINCONT</formula>
    </cfRule>
    <cfRule type="cellIs" dxfId="5109" priority="5042" operator="lessThan">
      <formula>NUMMINCONT</formula>
    </cfRule>
  </conditionalFormatting>
  <conditionalFormatting sqref="W3653:Y3661">
    <cfRule type="cellIs" dxfId="5108" priority="5039" stopIfTrue="1" operator="equal">
      <formula>"NO"</formula>
    </cfRule>
    <cfRule type="cellIs" dxfId="5107" priority="5040" stopIfTrue="1" operator="equal">
      <formula>"SI"</formula>
    </cfRule>
  </conditionalFormatting>
  <conditionalFormatting sqref="R3656">
    <cfRule type="cellIs" dxfId="5106" priority="5038" stopIfTrue="1" operator="greaterThan">
      <formula>0</formula>
    </cfRule>
  </conditionalFormatting>
  <conditionalFormatting sqref="R3657">
    <cfRule type="cellIs" dxfId="5105" priority="5037" stopIfTrue="1" operator="greaterThan">
      <formula>0</formula>
    </cfRule>
  </conditionalFormatting>
  <conditionalFormatting sqref="R3658">
    <cfRule type="cellIs" dxfId="5104" priority="5036" stopIfTrue="1" operator="greaterThan">
      <formula>0</formula>
    </cfRule>
  </conditionalFormatting>
  <conditionalFormatting sqref="R3659">
    <cfRule type="cellIs" dxfId="5103" priority="5035" stopIfTrue="1" operator="greaterThan">
      <formula>0</formula>
    </cfRule>
  </conditionalFormatting>
  <conditionalFormatting sqref="R3660">
    <cfRule type="cellIs" dxfId="5102" priority="5034" stopIfTrue="1" operator="greaterThan">
      <formula>0</formula>
    </cfRule>
  </conditionalFormatting>
  <conditionalFormatting sqref="R3661">
    <cfRule type="cellIs" dxfId="5101" priority="5033" stopIfTrue="1" operator="greaterThan">
      <formula>0</formula>
    </cfRule>
  </conditionalFormatting>
  <conditionalFormatting sqref="R3662">
    <cfRule type="cellIs" dxfId="5100" priority="5032" stopIfTrue="1" operator="greaterThan">
      <formula>0</formula>
    </cfRule>
  </conditionalFormatting>
  <conditionalFormatting sqref="W3653:X3653">
    <cfRule type="cellIs" dxfId="5099" priority="5031" stopIfTrue="1" operator="equal">
      <formula>"NO APLICA"</formula>
    </cfRule>
  </conditionalFormatting>
  <conditionalFormatting sqref="W3654:X3657">
    <cfRule type="cellIs" dxfId="5098" priority="5030" stopIfTrue="1" operator="equal">
      <formula>"NO APLICA"</formula>
    </cfRule>
  </conditionalFormatting>
  <conditionalFormatting sqref="W3654:X3654">
    <cfRule type="cellIs" dxfId="5097" priority="5029" stopIfTrue="1" operator="equal">
      <formula>"NO APLICA"</formula>
    </cfRule>
  </conditionalFormatting>
  <conditionalFormatting sqref="Y3653">
    <cfRule type="cellIs" dxfId="5096" priority="5028" stopIfTrue="1" operator="equal">
      <formula>"NO APLICA"</formula>
    </cfRule>
  </conditionalFormatting>
  <conditionalFormatting sqref="Y3654:Y3657">
    <cfRule type="cellIs" dxfId="5095" priority="5027" stopIfTrue="1" operator="equal">
      <formula>"NO APLICA"</formula>
    </cfRule>
  </conditionalFormatting>
  <conditionalFormatting sqref="W3658:X3661">
    <cfRule type="cellIs" dxfId="5094" priority="5026" stopIfTrue="1" operator="equal">
      <formula>"NO APLICA"</formula>
    </cfRule>
  </conditionalFormatting>
  <conditionalFormatting sqref="W3658:X3658">
    <cfRule type="cellIs" dxfId="5093" priority="5025" stopIfTrue="1" operator="equal">
      <formula>"NO APLICA"</formula>
    </cfRule>
  </conditionalFormatting>
  <conditionalFormatting sqref="Y3658:Y3661">
    <cfRule type="cellIs" dxfId="5092" priority="5024" stopIfTrue="1" operator="equal">
      <formula>"NO APLICA"</formula>
    </cfRule>
  </conditionalFormatting>
  <conditionalFormatting sqref="T3667">
    <cfRule type="cellIs" dxfId="5091" priority="5022" operator="equal">
      <formula>"CUMPLE"</formula>
    </cfRule>
    <cfRule type="cellIs" dxfId="5090" priority="5023" operator="equal">
      <formula>"NO CUMPLE"</formula>
    </cfRule>
  </conditionalFormatting>
  <conditionalFormatting sqref="T3667:T3669">
    <cfRule type="cellIs" dxfId="5089" priority="5021" operator="equal">
      <formula>"VERIFICAR"</formula>
    </cfRule>
  </conditionalFormatting>
  <conditionalFormatting sqref="AD3653:AF3657">
    <cfRule type="cellIs" dxfId="5088" priority="5019" stopIfTrue="1" operator="equal">
      <formula>"NO"</formula>
    </cfRule>
    <cfRule type="cellIs" dxfId="5087" priority="5020" stopIfTrue="1" operator="equal">
      <formula>"SI"</formula>
    </cfRule>
  </conditionalFormatting>
  <conditionalFormatting sqref="AD3658:AF3661">
    <cfRule type="cellIs" dxfId="5086" priority="5017" stopIfTrue="1" operator="equal">
      <formula>"NO"</formula>
    </cfRule>
    <cfRule type="cellIs" dxfId="5085" priority="5018" stopIfTrue="1" operator="equal">
      <formula>"SI"</formula>
    </cfRule>
  </conditionalFormatting>
  <conditionalFormatting sqref="W3662:Y3662">
    <cfRule type="cellIs" dxfId="5084" priority="5015" stopIfTrue="1" operator="equal">
      <formula>"NO"</formula>
    </cfRule>
    <cfRule type="cellIs" dxfId="5083" priority="5016" stopIfTrue="1" operator="equal">
      <formula>"SI"</formula>
    </cfRule>
  </conditionalFormatting>
  <conditionalFormatting sqref="W3662:X3662">
    <cfRule type="cellIs" dxfId="5082" priority="5014" stopIfTrue="1" operator="equal">
      <formula>"NO APLICA"</formula>
    </cfRule>
  </conditionalFormatting>
  <conditionalFormatting sqref="Y3662">
    <cfRule type="cellIs" dxfId="5081" priority="5013" stopIfTrue="1" operator="equal">
      <formula>"NO APLICA"</formula>
    </cfRule>
  </conditionalFormatting>
  <conditionalFormatting sqref="AD3662:AF3662">
    <cfRule type="cellIs" dxfId="5080" priority="5011" stopIfTrue="1" operator="equal">
      <formula>"NO"</formula>
    </cfRule>
    <cfRule type="cellIs" dxfId="5079" priority="5012" stopIfTrue="1" operator="equal">
      <formula>"SI"</formula>
    </cfRule>
  </conditionalFormatting>
  <conditionalFormatting sqref="AE3667">
    <cfRule type="cellIs" dxfId="5078" priority="5008" stopIfTrue="1" operator="equal">
      <formula>"VERIFICAR"</formula>
    </cfRule>
    <cfRule type="cellIs" dxfId="5077" priority="5009" stopIfTrue="1" operator="equal">
      <formula>"NO CUMPLE"</formula>
    </cfRule>
    <cfRule type="cellIs" dxfId="5076" priority="5010" stopIfTrue="1" operator="equal">
      <formula>"CUMPLE"</formula>
    </cfRule>
  </conditionalFormatting>
  <conditionalFormatting sqref="AF3667">
    <cfRule type="cellIs" dxfId="5075" priority="5005" stopIfTrue="1" operator="equal">
      <formula>"VERIFICAR"</formula>
    </cfRule>
    <cfRule type="cellIs" dxfId="5074" priority="5006" stopIfTrue="1" operator="equal">
      <formula>"NO CUMPLE"</formula>
    </cfRule>
    <cfRule type="cellIs" dxfId="5073" priority="5007" stopIfTrue="1" operator="equal">
      <formula>"CUMPLE"</formula>
    </cfRule>
  </conditionalFormatting>
  <conditionalFormatting sqref="Y3670">
    <cfRule type="cellIs" dxfId="5072" priority="5004" operator="equal">
      <formula>"VERIFICAR CUADRO"</formula>
    </cfRule>
  </conditionalFormatting>
  <conditionalFormatting sqref="AC3671:AC3676">
    <cfRule type="cellIs" dxfId="5071" priority="5003" stopIfTrue="1" operator="greaterThan">
      <formula>0</formula>
    </cfRule>
  </conditionalFormatting>
  <conditionalFormatting sqref="AC3671:AC3676">
    <cfRule type="cellIs" dxfId="5070" priority="5002" stopIfTrue="1" operator="greaterThan">
      <formula>0</formula>
    </cfRule>
  </conditionalFormatting>
  <conditionalFormatting sqref="AD3671:AD3676">
    <cfRule type="containsText" dxfId="5069" priority="5000" stopIfTrue="1" operator="containsText" text="NO CUMPLE">
      <formula>NOT(ISERROR(SEARCH("NO CUMPLE",AD3671)))</formula>
    </cfRule>
    <cfRule type="containsText" dxfId="5068" priority="5001" stopIfTrue="1" operator="containsText" text="CUMPLE">
      <formula>NOT(ISERROR(SEARCH("CUMPLE",AD3671)))</formula>
    </cfRule>
  </conditionalFormatting>
  <conditionalFormatting sqref="Y3676">
    <cfRule type="containsText" dxfId="5067" priority="4998" stopIfTrue="1" operator="containsText" text="NO CUMPLE">
      <formula>NOT(ISERROR(SEARCH("NO CUMPLE",Y3676)))</formula>
    </cfRule>
    <cfRule type="containsText" dxfId="5066" priority="4999" stopIfTrue="1" operator="containsText" text="CUMPLE">
      <formula>NOT(ISERROR(SEARCH("CUMPLE",Y3676)))</formula>
    </cfRule>
  </conditionalFormatting>
  <conditionalFormatting sqref="AA3653:AA3662">
    <cfRule type="cellIs" dxfId="5065" priority="4996" stopIfTrue="1" operator="equal">
      <formula>"NO APLICA"</formula>
    </cfRule>
    <cfRule type="cellIs" dxfId="5064" priority="4997" stopIfTrue="1" operator="equal">
      <formula>"TERCIARIA"</formula>
    </cfRule>
  </conditionalFormatting>
  <conditionalFormatting sqref="AB3653:AB3662">
    <cfRule type="cellIs" dxfId="5063" priority="4994" stopIfTrue="1" operator="equal">
      <formula>"N/A"</formula>
    </cfRule>
    <cfRule type="cellIs" dxfId="5062" priority="4995" stopIfTrue="1" operator="equal">
      <formula>"NO"</formula>
    </cfRule>
  </conditionalFormatting>
  <conditionalFormatting sqref="M3683:M3692">
    <cfRule type="cellIs" dxfId="5061" priority="4993" stopIfTrue="1" operator="lessThan">
      <formula>0</formula>
    </cfRule>
  </conditionalFormatting>
  <conditionalFormatting sqref="C3685:D3691 B3684:B3691 F3685:I3691 C3684:I3684 B3692:O3692 B3683:R3683 Q3684:R3685 J3684:O3691 Q3686:Q3692 P3684:P3692">
    <cfRule type="cellIs" dxfId="5060" priority="4992" stopIfTrue="1" operator="greaterThan">
      <formula>0</formula>
    </cfRule>
  </conditionalFormatting>
  <conditionalFormatting sqref="C3685:D3691">
    <cfRule type="cellIs" dxfId="5059" priority="4991" stopIfTrue="1" operator="greaterThan">
      <formula>0</formula>
    </cfRule>
  </conditionalFormatting>
  <conditionalFormatting sqref="C3683:M3683 C3685:D3691 F3685:I3691 C3684:I3684 K3684:M3691 J3684:J3692 L3692:M3692">
    <cfRule type="cellIs" dxfId="5058" priority="4990" stopIfTrue="1" operator="greaterThan">
      <formula>0</formula>
    </cfRule>
  </conditionalFormatting>
  <conditionalFormatting sqref="M3683:M3692">
    <cfRule type="cellIs" dxfId="5057" priority="4989" stopIfTrue="1" operator="lessThan">
      <formula>0</formula>
    </cfRule>
  </conditionalFormatting>
  <conditionalFormatting sqref="J3684:J3692 L3684:O3692 C3683:O3683">
    <cfRule type="cellIs" dxfId="5056" priority="4988" stopIfTrue="1" operator="greaterThan">
      <formula>0</formula>
    </cfRule>
  </conditionalFormatting>
  <conditionalFormatting sqref="H3685:I3691 K3685:M3692">
    <cfRule type="cellIs" dxfId="5055" priority="4987" stopIfTrue="1" operator="greaterThan">
      <formula>0</formula>
    </cfRule>
  </conditionalFormatting>
  <conditionalFormatting sqref="I3684">
    <cfRule type="cellIs" dxfId="5054" priority="4986" stopIfTrue="1" operator="greaterThan">
      <formula>0</formula>
    </cfRule>
  </conditionalFormatting>
  <conditionalFormatting sqref="I3692">
    <cfRule type="cellIs" dxfId="5053" priority="4985" stopIfTrue="1" operator="greaterThan">
      <formula>0</formula>
    </cfRule>
  </conditionalFormatting>
  <conditionalFormatting sqref="E3685:E3691">
    <cfRule type="cellIs" dxfId="5052" priority="4984" stopIfTrue="1" operator="greaterThan">
      <formula>0</formula>
    </cfRule>
  </conditionalFormatting>
  <conditionalFormatting sqref="K3700:K3705">
    <cfRule type="containsText" dxfId="5051" priority="4982" stopIfTrue="1" operator="containsText" text="NO CUMPLE">
      <formula>NOT(ISERROR(SEARCH("NO CUMPLE",K3700)))</formula>
    </cfRule>
    <cfRule type="containsText" dxfId="5050" priority="4983" stopIfTrue="1" operator="containsText" text="CUMPLE">
      <formula>NOT(ISERROR(SEARCH("CUMPLE",K3700)))</formula>
    </cfRule>
  </conditionalFormatting>
  <conditionalFormatting sqref="K3706">
    <cfRule type="containsText" dxfId="5049" priority="4980" stopIfTrue="1" operator="containsText" text="NO CUMPLE">
      <formula>NOT(ISERROR(SEARCH("NO CUMPLE",K3706)))</formula>
    </cfRule>
    <cfRule type="containsText" dxfId="5048" priority="4981" stopIfTrue="1" operator="containsText" text="CUMPLE">
      <formula>NOT(ISERROR(SEARCH("CUMPLE",K3706)))</formula>
    </cfRule>
  </conditionalFormatting>
  <conditionalFormatting sqref="Q3699">
    <cfRule type="cellIs" dxfId="5047" priority="4978" operator="greaterThanOrEqual">
      <formula>NUMMINCONT</formula>
    </cfRule>
    <cfRule type="cellIs" dxfId="5046" priority="4979" operator="lessThan">
      <formula>NUMMINCONT</formula>
    </cfRule>
  </conditionalFormatting>
  <conditionalFormatting sqref="W3683:Y3691">
    <cfRule type="cellIs" dxfId="5045" priority="4976" stopIfTrue="1" operator="equal">
      <formula>"NO"</formula>
    </cfRule>
    <cfRule type="cellIs" dxfId="5044" priority="4977" stopIfTrue="1" operator="equal">
      <formula>"SI"</formula>
    </cfRule>
  </conditionalFormatting>
  <conditionalFormatting sqref="R3686">
    <cfRule type="cellIs" dxfId="5043" priority="4975" stopIfTrue="1" operator="greaterThan">
      <formula>0</formula>
    </cfRule>
  </conditionalFormatting>
  <conditionalFormatting sqref="R3687">
    <cfRule type="cellIs" dxfId="5042" priority="4974" stopIfTrue="1" operator="greaterThan">
      <formula>0</formula>
    </cfRule>
  </conditionalFormatting>
  <conditionalFormatting sqref="R3688">
    <cfRule type="cellIs" dxfId="5041" priority="4973" stopIfTrue="1" operator="greaterThan">
      <formula>0</formula>
    </cfRule>
  </conditionalFormatting>
  <conditionalFormatting sqref="R3689">
    <cfRule type="cellIs" dxfId="5040" priority="4972" stopIfTrue="1" operator="greaterThan">
      <formula>0</formula>
    </cfRule>
  </conditionalFormatting>
  <conditionalFormatting sqref="R3690">
    <cfRule type="cellIs" dxfId="5039" priority="4971" stopIfTrue="1" operator="greaterThan">
      <formula>0</formula>
    </cfRule>
  </conditionalFormatting>
  <conditionalFormatting sqref="R3691">
    <cfRule type="cellIs" dxfId="5038" priority="4970" stopIfTrue="1" operator="greaterThan">
      <formula>0</formula>
    </cfRule>
  </conditionalFormatting>
  <conditionalFormatting sqref="R3692">
    <cfRule type="cellIs" dxfId="5037" priority="4969" stopIfTrue="1" operator="greaterThan">
      <formula>0</formula>
    </cfRule>
  </conditionalFormatting>
  <conditionalFormatting sqref="W3683:X3683">
    <cfRule type="cellIs" dxfId="5036" priority="4968" stopIfTrue="1" operator="equal">
      <formula>"NO APLICA"</formula>
    </cfRule>
  </conditionalFormatting>
  <conditionalFormatting sqref="W3684:X3687">
    <cfRule type="cellIs" dxfId="5035" priority="4967" stopIfTrue="1" operator="equal">
      <formula>"NO APLICA"</formula>
    </cfRule>
  </conditionalFormatting>
  <conditionalFormatting sqref="W3684:X3684">
    <cfRule type="cellIs" dxfId="5034" priority="4966" stopIfTrue="1" operator="equal">
      <formula>"NO APLICA"</formula>
    </cfRule>
  </conditionalFormatting>
  <conditionalFormatting sqref="Y3683">
    <cfRule type="cellIs" dxfId="5033" priority="4965" stopIfTrue="1" operator="equal">
      <formula>"NO APLICA"</formula>
    </cfRule>
  </conditionalFormatting>
  <conditionalFormatting sqref="Y3684:Y3687">
    <cfRule type="cellIs" dxfId="5032" priority="4964" stopIfTrue="1" operator="equal">
      <formula>"NO APLICA"</formula>
    </cfRule>
  </conditionalFormatting>
  <conditionalFormatting sqref="W3688:X3691">
    <cfRule type="cellIs" dxfId="5031" priority="4963" stopIfTrue="1" operator="equal">
      <formula>"NO APLICA"</formula>
    </cfRule>
  </conditionalFormatting>
  <conditionalFormatting sqref="W3688:X3688">
    <cfRule type="cellIs" dxfId="5030" priority="4962" stopIfTrue="1" operator="equal">
      <formula>"NO APLICA"</formula>
    </cfRule>
  </conditionalFormatting>
  <conditionalFormatting sqref="Y3688:Y3691">
    <cfRule type="cellIs" dxfId="5029" priority="4961" stopIfTrue="1" operator="equal">
      <formula>"NO APLICA"</formula>
    </cfRule>
  </conditionalFormatting>
  <conditionalFormatting sqref="T3697">
    <cfRule type="cellIs" dxfId="5028" priority="4959" operator="equal">
      <formula>"CUMPLE"</formula>
    </cfRule>
    <cfRule type="cellIs" dxfId="5027" priority="4960" operator="equal">
      <formula>"NO CUMPLE"</formula>
    </cfRule>
  </conditionalFormatting>
  <conditionalFormatting sqref="T3697:T3699">
    <cfRule type="cellIs" dxfId="5026" priority="4958" operator="equal">
      <formula>"VERIFICAR"</formula>
    </cfRule>
  </conditionalFormatting>
  <conditionalFormatting sqref="AD3683:AF3687">
    <cfRule type="cellIs" dxfId="5025" priority="4956" stopIfTrue="1" operator="equal">
      <formula>"NO"</formula>
    </cfRule>
    <cfRule type="cellIs" dxfId="5024" priority="4957" stopIfTrue="1" operator="equal">
      <formula>"SI"</formula>
    </cfRule>
  </conditionalFormatting>
  <conditionalFormatting sqref="AD3688:AF3691">
    <cfRule type="cellIs" dxfId="5023" priority="4954" stopIfTrue="1" operator="equal">
      <formula>"NO"</formula>
    </cfRule>
    <cfRule type="cellIs" dxfId="5022" priority="4955" stopIfTrue="1" operator="equal">
      <formula>"SI"</formula>
    </cfRule>
  </conditionalFormatting>
  <conditionalFormatting sqref="W3692:Y3692">
    <cfRule type="cellIs" dxfId="5021" priority="4952" stopIfTrue="1" operator="equal">
      <formula>"NO"</formula>
    </cfRule>
    <cfRule type="cellIs" dxfId="5020" priority="4953" stopIfTrue="1" operator="equal">
      <formula>"SI"</formula>
    </cfRule>
  </conditionalFormatting>
  <conditionalFormatting sqref="W3692:X3692">
    <cfRule type="cellIs" dxfId="5019" priority="4951" stopIfTrue="1" operator="equal">
      <formula>"NO APLICA"</formula>
    </cfRule>
  </conditionalFormatting>
  <conditionalFormatting sqref="Y3692">
    <cfRule type="cellIs" dxfId="5018" priority="4950" stopIfTrue="1" operator="equal">
      <formula>"NO APLICA"</formula>
    </cfRule>
  </conditionalFormatting>
  <conditionalFormatting sqref="AD3692:AF3692">
    <cfRule type="cellIs" dxfId="5017" priority="4948" stopIfTrue="1" operator="equal">
      <formula>"NO"</formula>
    </cfRule>
    <cfRule type="cellIs" dxfId="5016" priority="4949" stopIfTrue="1" operator="equal">
      <formula>"SI"</formula>
    </cfRule>
  </conditionalFormatting>
  <conditionalFormatting sqref="AE3697">
    <cfRule type="cellIs" dxfId="5015" priority="4945" stopIfTrue="1" operator="equal">
      <formula>"VERIFICAR"</formula>
    </cfRule>
    <cfRule type="cellIs" dxfId="5014" priority="4946" stopIfTrue="1" operator="equal">
      <formula>"NO CUMPLE"</formula>
    </cfRule>
    <cfRule type="cellIs" dxfId="5013" priority="4947" stopIfTrue="1" operator="equal">
      <formula>"CUMPLE"</formula>
    </cfRule>
  </conditionalFormatting>
  <conditionalFormatting sqref="AF3697">
    <cfRule type="cellIs" dxfId="5012" priority="4942" stopIfTrue="1" operator="equal">
      <formula>"VERIFICAR"</formula>
    </cfRule>
    <cfRule type="cellIs" dxfId="5011" priority="4943" stopIfTrue="1" operator="equal">
      <formula>"NO CUMPLE"</formula>
    </cfRule>
    <cfRule type="cellIs" dxfId="5010" priority="4944" stopIfTrue="1" operator="equal">
      <formula>"CUMPLE"</formula>
    </cfRule>
  </conditionalFormatting>
  <conditionalFormatting sqref="Y3700">
    <cfRule type="cellIs" dxfId="5009" priority="4941" operator="equal">
      <formula>"VERIFICAR CUADRO"</formula>
    </cfRule>
  </conditionalFormatting>
  <conditionalFormatting sqref="AC3701:AC3706">
    <cfRule type="cellIs" dxfId="5008" priority="4940" stopIfTrue="1" operator="greaterThan">
      <formula>0</formula>
    </cfRule>
  </conditionalFormatting>
  <conditionalFormatting sqref="AC3701:AC3706">
    <cfRule type="cellIs" dxfId="5007" priority="4939" stopIfTrue="1" operator="greaterThan">
      <formula>0</formula>
    </cfRule>
  </conditionalFormatting>
  <conditionalFormatting sqref="AD3701:AD3706">
    <cfRule type="containsText" dxfId="5006" priority="4937" stopIfTrue="1" operator="containsText" text="NO CUMPLE">
      <formula>NOT(ISERROR(SEARCH("NO CUMPLE",AD3701)))</formula>
    </cfRule>
    <cfRule type="containsText" dxfId="5005" priority="4938" stopIfTrue="1" operator="containsText" text="CUMPLE">
      <formula>NOT(ISERROR(SEARCH("CUMPLE",AD3701)))</formula>
    </cfRule>
  </conditionalFormatting>
  <conditionalFormatting sqref="Y3706">
    <cfRule type="containsText" dxfId="5004" priority="4935" stopIfTrue="1" operator="containsText" text="NO CUMPLE">
      <formula>NOT(ISERROR(SEARCH("NO CUMPLE",Y3706)))</formula>
    </cfRule>
    <cfRule type="containsText" dxfId="5003" priority="4936" stopIfTrue="1" operator="containsText" text="CUMPLE">
      <formula>NOT(ISERROR(SEARCH("CUMPLE",Y3706)))</formula>
    </cfRule>
  </conditionalFormatting>
  <conditionalFormatting sqref="AA3683:AA3692">
    <cfRule type="cellIs" dxfId="5002" priority="4933" stopIfTrue="1" operator="equal">
      <formula>"NO APLICA"</formula>
    </cfRule>
    <cfRule type="cellIs" dxfId="5001" priority="4934" stopIfTrue="1" operator="equal">
      <formula>"TERCIARIA"</formula>
    </cfRule>
  </conditionalFormatting>
  <conditionalFormatting sqref="AB3683:AB3692">
    <cfRule type="cellIs" dxfId="5000" priority="4931" stopIfTrue="1" operator="equal">
      <formula>"N/A"</formula>
    </cfRule>
    <cfRule type="cellIs" dxfId="4999" priority="4932" stopIfTrue="1" operator="equal">
      <formula>"NO"</formula>
    </cfRule>
  </conditionalFormatting>
  <conditionalFormatting sqref="M3713:M3722">
    <cfRule type="cellIs" dxfId="4998" priority="4930" stopIfTrue="1" operator="lessThan">
      <formula>0</formula>
    </cfRule>
  </conditionalFormatting>
  <conditionalFormatting sqref="C3715:D3721 B3714:B3721 F3715:I3721 C3714:I3714 B3722:O3722 B3713:R3713 Q3714:R3715 J3714:O3721 Q3716:Q3722 P3714:P3722">
    <cfRule type="cellIs" dxfId="4997" priority="4929" stopIfTrue="1" operator="greaterThan">
      <formula>0</formula>
    </cfRule>
  </conditionalFormatting>
  <conditionalFormatting sqref="C3715:D3721">
    <cfRule type="cellIs" dxfId="4996" priority="4928" stopIfTrue="1" operator="greaterThan">
      <formula>0</formula>
    </cfRule>
  </conditionalFormatting>
  <conditionalFormatting sqref="C3713:M3713 C3715:D3721 F3715:I3721 C3714:I3714 K3714:M3721 J3714:J3722 L3722:M3722">
    <cfRule type="cellIs" dxfId="4995" priority="4927" stopIfTrue="1" operator="greaterThan">
      <formula>0</formula>
    </cfRule>
  </conditionalFormatting>
  <conditionalFormatting sqref="M3713:M3722">
    <cfRule type="cellIs" dxfId="4994" priority="4926" stopIfTrue="1" operator="lessThan">
      <formula>0</formula>
    </cfRule>
  </conditionalFormatting>
  <conditionalFormatting sqref="J3714:J3722 L3714:O3722 C3713:O3713">
    <cfRule type="cellIs" dxfId="4993" priority="4925" stopIfTrue="1" operator="greaterThan">
      <formula>0</formula>
    </cfRule>
  </conditionalFormatting>
  <conditionalFormatting sqref="H3715:I3721 K3715:M3722">
    <cfRule type="cellIs" dxfId="4992" priority="4924" stopIfTrue="1" operator="greaterThan">
      <formula>0</formula>
    </cfRule>
  </conditionalFormatting>
  <conditionalFormatting sqref="I3714">
    <cfRule type="cellIs" dxfId="4991" priority="4923" stopIfTrue="1" operator="greaterThan">
      <formula>0</formula>
    </cfRule>
  </conditionalFormatting>
  <conditionalFormatting sqref="I3722">
    <cfRule type="cellIs" dxfId="4990" priority="4922" stopIfTrue="1" operator="greaterThan">
      <formula>0</formula>
    </cfRule>
  </conditionalFormatting>
  <conditionalFormatting sqref="E3715:E3721">
    <cfRule type="cellIs" dxfId="4989" priority="4921" stopIfTrue="1" operator="greaterThan">
      <formula>0</formula>
    </cfRule>
  </conditionalFormatting>
  <conditionalFormatting sqref="K3730:K3735">
    <cfRule type="containsText" dxfId="4988" priority="4919" stopIfTrue="1" operator="containsText" text="NO CUMPLE">
      <formula>NOT(ISERROR(SEARCH("NO CUMPLE",K3730)))</formula>
    </cfRule>
    <cfRule type="containsText" dxfId="4987" priority="4920" stopIfTrue="1" operator="containsText" text="CUMPLE">
      <formula>NOT(ISERROR(SEARCH("CUMPLE",K3730)))</formula>
    </cfRule>
  </conditionalFormatting>
  <conditionalFormatting sqref="K3736">
    <cfRule type="containsText" dxfId="4986" priority="4917" stopIfTrue="1" operator="containsText" text="NO CUMPLE">
      <formula>NOT(ISERROR(SEARCH("NO CUMPLE",K3736)))</formula>
    </cfRule>
    <cfRule type="containsText" dxfId="4985" priority="4918" stopIfTrue="1" operator="containsText" text="CUMPLE">
      <formula>NOT(ISERROR(SEARCH("CUMPLE",K3736)))</formula>
    </cfRule>
  </conditionalFormatting>
  <conditionalFormatting sqref="Q3729">
    <cfRule type="cellIs" dxfId="4984" priority="4915" operator="greaterThanOrEqual">
      <formula>NUMMINCONT</formula>
    </cfRule>
    <cfRule type="cellIs" dxfId="4983" priority="4916" operator="lessThan">
      <formula>NUMMINCONT</formula>
    </cfRule>
  </conditionalFormatting>
  <conditionalFormatting sqref="W3713:Y3721">
    <cfRule type="cellIs" dxfId="4982" priority="4913" stopIfTrue="1" operator="equal">
      <formula>"NO"</formula>
    </cfRule>
    <cfRule type="cellIs" dxfId="4981" priority="4914" stopIfTrue="1" operator="equal">
      <formula>"SI"</formula>
    </cfRule>
  </conditionalFormatting>
  <conditionalFormatting sqref="R3716">
    <cfRule type="cellIs" dxfId="4980" priority="4912" stopIfTrue="1" operator="greaterThan">
      <formula>0</formula>
    </cfRule>
  </conditionalFormatting>
  <conditionalFormatting sqref="R3717">
    <cfRule type="cellIs" dxfId="4979" priority="4911" stopIfTrue="1" operator="greaterThan">
      <formula>0</formula>
    </cfRule>
  </conditionalFormatting>
  <conditionalFormatting sqref="R3718">
    <cfRule type="cellIs" dxfId="4978" priority="4910" stopIfTrue="1" operator="greaterThan">
      <formula>0</formula>
    </cfRule>
  </conditionalFormatting>
  <conditionalFormatting sqref="R3719">
    <cfRule type="cellIs" dxfId="4977" priority="4909" stopIfTrue="1" operator="greaterThan">
      <formula>0</formula>
    </cfRule>
  </conditionalFormatting>
  <conditionalFormatting sqref="R3720">
    <cfRule type="cellIs" dxfId="4976" priority="4908" stopIfTrue="1" operator="greaterThan">
      <formula>0</formula>
    </cfRule>
  </conditionalFormatting>
  <conditionalFormatting sqref="R3721">
    <cfRule type="cellIs" dxfId="4975" priority="4907" stopIfTrue="1" operator="greaterThan">
      <formula>0</formula>
    </cfRule>
  </conditionalFormatting>
  <conditionalFormatting sqref="R3722">
    <cfRule type="cellIs" dxfId="4974" priority="4906" stopIfTrue="1" operator="greaterThan">
      <formula>0</formula>
    </cfRule>
  </conditionalFormatting>
  <conditionalFormatting sqref="W3713:X3713">
    <cfRule type="cellIs" dxfId="4973" priority="4905" stopIfTrue="1" operator="equal">
      <formula>"NO APLICA"</formula>
    </cfRule>
  </conditionalFormatting>
  <conditionalFormatting sqref="W3714:X3717">
    <cfRule type="cellIs" dxfId="4972" priority="4904" stopIfTrue="1" operator="equal">
      <formula>"NO APLICA"</formula>
    </cfRule>
  </conditionalFormatting>
  <conditionalFormatting sqref="W3714:X3714">
    <cfRule type="cellIs" dxfId="4971" priority="4903" stopIfTrue="1" operator="equal">
      <formula>"NO APLICA"</formula>
    </cfRule>
  </conditionalFormatting>
  <conditionalFormatting sqref="Y3713">
    <cfRule type="cellIs" dxfId="4970" priority="4902" stopIfTrue="1" operator="equal">
      <formula>"NO APLICA"</formula>
    </cfRule>
  </conditionalFormatting>
  <conditionalFormatting sqref="Y3714:Y3717">
    <cfRule type="cellIs" dxfId="4969" priority="4901" stopIfTrue="1" operator="equal">
      <formula>"NO APLICA"</formula>
    </cfRule>
  </conditionalFormatting>
  <conditionalFormatting sqref="W3718:X3721">
    <cfRule type="cellIs" dxfId="4968" priority="4900" stopIfTrue="1" operator="equal">
      <formula>"NO APLICA"</formula>
    </cfRule>
  </conditionalFormatting>
  <conditionalFormatting sqref="W3718:X3718">
    <cfRule type="cellIs" dxfId="4967" priority="4899" stopIfTrue="1" operator="equal">
      <formula>"NO APLICA"</formula>
    </cfRule>
  </conditionalFormatting>
  <conditionalFormatting sqref="Y3718:Y3721">
    <cfRule type="cellIs" dxfId="4966" priority="4898" stopIfTrue="1" operator="equal">
      <formula>"NO APLICA"</formula>
    </cfRule>
  </conditionalFormatting>
  <conditionalFormatting sqref="T3727">
    <cfRule type="cellIs" dxfId="4965" priority="4896" operator="equal">
      <formula>"CUMPLE"</formula>
    </cfRule>
    <cfRule type="cellIs" dxfId="4964" priority="4897" operator="equal">
      <formula>"NO CUMPLE"</formula>
    </cfRule>
  </conditionalFormatting>
  <conditionalFormatting sqref="T3727:T3729">
    <cfRule type="cellIs" dxfId="4963" priority="4895" operator="equal">
      <formula>"VERIFICAR"</formula>
    </cfRule>
  </conditionalFormatting>
  <conditionalFormatting sqref="AD3713:AF3717">
    <cfRule type="cellIs" dxfId="4962" priority="4893" stopIfTrue="1" operator="equal">
      <formula>"NO"</formula>
    </cfRule>
    <cfRule type="cellIs" dxfId="4961" priority="4894" stopIfTrue="1" operator="equal">
      <formula>"SI"</formula>
    </cfRule>
  </conditionalFormatting>
  <conditionalFormatting sqref="AD3718:AF3721">
    <cfRule type="cellIs" dxfId="4960" priority="4891" stopIfTrue="1" operator="equal">
      <formula>"NO"</formula>
    </cfRule>
    <cfRule type="cellIs" dxfId="4959" priority="4892" stopIfTrue="1" operator="equal">
      <formula>"SI"</formula>
    </cfRule>
  </conditionalFormatting>
  <conditionalFormatting sqref="W3722:Y3722">
    <cfRule type="cellIs" dxfId="4958" priority="4889" stopIfTrue="1" operator="equal">
      <formula>"NO"</formula>
    </cfRule>
    <cfRule type="cellIs" dxfId="4957" priority="4890" stopIfTrue="1" operator="equal">
      <formula>"SI"</formula>
    </cfRule>
  </conditionalFormatting>
  <conditionalFormatting sqref="W3722:X3722">
    <cfRule type="cellIs" dxfId="4956" priority="4888" stopIfTrue="1" operator="equal">
      <formula>"NO APLICA"</formula>
    </cfRule>
  </conditionalFormatting>
  <conditionalFormatting sqref="Y3722">
    <cfRule type="cellIs" dxfId="4955" priority="4887" stopIfTrue="1" operator="equal">
      <formula>"NO APLICA"</formula>
    </cfRule>
  </conditionalFormatting>
  <conditionalFormatting sqref="AD3722:AF3722">
    <cfRule type="cellIs" dxfId="4954" priority="4885" stopIfTrue="1" operator="equal">
      <formula>"NO"</formula>
    </cfRule>
    <cfRule type="cellIs" dxfId="4953" priority="4886" stopIfTrue="1" operator="equal">
      <formula>"SI"</formula>
    </cfRule>
  </conditionalFormatting>
  <conditionalFormatting sqref="AE3727">
    <cfRule type="cellIs" dxfId="4952" priority="4882" stopIfTrue="1" operator="equal">
      <formula>"VERIFICAR"</formula>
    </cfRule>
    <cfRule type="cellIs" dxfId="4951" priority="4883" stopIfTrue="1" operator="equal">
      <formula>"NO CUMPLE"</formula>
    </cfRule>
    <cfRule type="cellIs" dxfId="4950" priority="4884" stopIfTrue="1" operator="equal">
      <formula>"CUMPLE"</formula>
    </cfRule>
  </conditionalFormatting>
  <conditionalFormatting sqref="AF3727">
    <cfRule type="cellIs" dxfId="4949" priority="4879" stopIfTrue="1" operator="equal">
      <formula>"VERIFICAR"</formula>
    </cfRule>
    <cfRule type="cellIs" dxfId="4948" priority="4880" stopIfTrue="1" operator="equal">
      <formula>"NO CUMPLE"</formula>
    </cfRule>
    <cfRule type="cellIs" dxfId="4947" priority="4881" stopIfTrue="1" operator="equal">
      <formula>"CUMPLE"</formula>
    </cfRule>
  </conditionalFormatting>
  <conditionalFormatting sqref="Y3730">
    <cfRule type="cellIs" dxfId="4946" priority="4878" operator="equal">
      <formula>"VERIFICAR CUADRO"</formula>
    </cfRule>
  </conditionalFormatting>
  <conditionalFormatting sqref="AC3731:AC3736">
    <cfRule type="cellIs" dxfId="4945" priority="4877" stopIfTrue="1" operator="greaterThan">
      <formula>0</formula>
    </cfRule>
  </conditionalFormatting>
  <conditionalFormatting sqref="AC3731:AC3736">
    <cfRule type="cellIs" dxfId="4944" priority="4876" stopIfTrue="1" operator="greaterThan">
      <formula>0</formula>
    </cfRule>
  </conditionalFormatting>
  <conditionalFormatting sqref="AD3731:AD3736">
    <cfRule type="containsText" dxfId="4943" priority="4874" stopIfTrue="1" operator="containsText" text="NO CUMPLE">
      <formula>NOT(ISERROR(SEARCH("NO CUMPLE",AD3731)))</formula>
    </cfRule>
    <cfRule type="containsText" dxfId="4942" priority="4875" stopIfTrue="1" operator="containsText" text="CUMPLE">
      <formula>NOT(ISERROR(SEARCH("CUMPLE",AD3731)))</formula>
    </cfRule>
  </conditionalFormatting>
  <conditionalFormatting sqref="Y3736">
    <cfRule type="containsText" dxfId="4941" priority="4872" stopIfTrue="1" operator="containsText" text="NO CUMPLE">
      <formula>NOT(ISERROR(SEARCH("NO CUMPLE",Y3736)))</formula>
    </cfRule>
    <cfRule type="containsText" dxfId="4940" priority="4873" stopIfTrue="1" operator="containsText" text="CUMPLE">
      <formula>NOT(ISERROR(SEARCH("CUMPLE",Y3736)))</formula>
    </cfRule>
  </conditionalFormatting>
  <conditionalFormatting sqref="AA3713:AA3722">
    <cfRule type="cellIs" dxfId="4939" priority="4870" stopIfTrue="1" operator="equal">
      <formula>"NO APLICA"</formula>
    </cfRule>
    <cfRule type="cellIs" dxfId="4938" priority="4871" stopIfTrue="1" operator="equal">
      <formula>"TERCIARIA"</formula>
    </cfRule>
  </conditionalFormatting>
  <conditionalFormatting sqref="AB3713:AB3722">
    <cfRule type="cellIs" dxfId="4937" priority="4868" stopIfTrue="1" operator="equal">
      <formula>"N/A"</formula>
    </cfRule>
    <cfRule type="cellIs" dxfId="4936" priority="4869" stopIfTrue="1" operator="equal">
      <formula>"NO"</formula>
    </cfRule>
  </conditionalFormatting>
  <conditionalFormatting sqref="M3743:M3752">
    <cfRule type="cellIs" dxfId="4935" priority="4867" stopIfTrue="1" operator="lessThan">
      <formula>0</formula>
    </cfRule>
  </conditionalFormatting>
  <conditionalFormatting sqref="C3745:D3751 B3744:B3751 F3745:I3751 C3744:I3744 B3752:O3752 B3743:R3743 Q3744:R3745 J3744:O3751 Q3746:Q3752 P3744:P3752">
    <cfRule type="cellIs" dxfId="4934" priority="4866" stopIfTrue="1" operator="greaterThan">
      <formula>0</formula>
    </cfRule>
  </conditionalFormatting>
  <conditionalFormatting sqref="C3745:D3751">
    <cfRule type="cellIs" dxfId="4933" priority="4865" stopIfTrue="1" operator="greaterThan">
      <formula>0</formula>
    </cfRule>
  </conditionalFormatting>
  <conditionalFormatting sqref="C3743:M3743 C3745:D3751 F3745:I3751 C3744:I3744 K3744:M3751 J3744:J3752 L3752:M3752">
    <cfRule type="cellIs" dxfId="4932" priority="4864" stopIfTrue="1" operator="greaterThan">
      <formula>0</formula>
    </cfRule>
  </conditionalFormatting>
  <conditionalFormatting sqref="M3743:M3752">
    <cfRule type="cellIs" dxfId="4931" priority="4863" stopIfTrue="1" operator="lessThan">
      <formula>0</formula>
    </cfRule>
  </conditionalFormatting>
  <conditionalFormatting sqref="J3744:J3752 L3744:O3752 C3743:O3743">
    <cfRule type="cellIs" dxfId="4930" priority="4862" stopIfTrue="1" operator="greaterThan">
      <formula>0</formula>
    </cfRule>
  </conditionalFormatting>
  <conditionalFormatting sqref="H3745:I3751 K3745:M3752">
    <cfRule type="cellIs" dxfId="4929" priority="4861" stopIfTrue="1" operator="greaterThan">
      <formula>0</formula>
    </cfRule>
  </conditionalFormatting>
  <conditionalFormatting sqref="I3744">
    <cfRule type="cellIs" dxfId="4928" priority="4860" stopIfTrue="1" operator="greaterThan">
      <formula>0</formula>
    </cfRule>
  </conditionalFormatting>
  <conditionalFormatting sqref="I3752">
    <cfRule type="cellIs" dxfId="4927" priority="4859" stopIfTrue="1" operator="greaterThan">
      <formula>0</formula>
    </cfRule>
  </conditionalFormatting>
  <conditionalFormatting sqref="E3745:E3751">
    <cfRule type="cellIs" dxfId="4926" priority="4858" stopIfTrue="1" operator="greaterThan">
      <formula>0</formula>
    </cfRule>
  </conditionalFormatting>
  <conditionalFormatting sqref="K3760:K3765">
    <cfRule type="containsText" dxfId="4925" priority="4856" stopIfTrue="1" operator="containsText" text="NO CUMPLE">
      <formula>NOT(ISERROR(SEARCH("NO CUMPLE",K3760)))</formula>
    </cfRule>
    <cfRule type="containsText" dxfId="4924" priority="4857" stopIfTrue="1" operator="containsText" text="CUMPLE">
      <formula>NOT(ISERROR(SEARCH("CUMPLE",K3760)))</formula>
    </cfRule>
  </conditionalFormatting>
  <conditionalFormatting sqref="K3766">
    <cfRule type="containsText" dxfId="4923" priority="4854" stopIfTrue="1" operator="containsText" text="NO CUMPLE">
      <formula>NOT(ISERROR(SEARCH("NO CUMPLE",K3766)))</formula>
    </cfRule>
    <cfRule type="containsText" dxfId="4922" priority="4855" stopIfTrue="1" operator="containsText" text="CUMPLE">
      <formula>NOT(ISERROR(SEARCH("CUMPLE",K3766)))</formula>
    </cfRule>
  </conditionalFormatting>
  <conditionalFormatting sqref="Q3759">
    <cfRule type="cellIs" dxfId="4921" priority="4852" operator="greaterThanOrEqual">
      <formula>NUMMINCONT</formula>
    </cfRule>
    <cfRule type="cellIs" dxfId="4920" priority="4853" operator="lessThan">
      <formula>NUMMINCONT</formula>
    </cfRule>
  </conditionalFormatting>
  <conditionalFormatting sqref="W3743:Y3751">
    <cfRule type="cellIs" dxfId="4919" priority="4850" stopIfTrue="1" operator="equal">
      <formula>"NO"</formula>
    </cfRule>
    <cfRule type="cellIs" dxfId="4918" priority="4851" stopIfTrue="1" operator="equal">
      <formula>"SI"</formula>
    </cfRule>
  </conditionalFormatting>
  <conditionalFormatting sqref="R3746">
    <cfRule type="cellIs" dxfId="4917" priority="4849" stopIfTrue="1" operator="greaterThan">
      <formula>0</formula>
    </cfRule>
  </conditionalFormatting>
  <conditionalFormatting sqref="R3747">
    <cfRule type="cellIs" dxfId="4916" priority="4848" stopIfTrue="1" operator="greaterThan">
      <formula>0</formula>
    </cfRule>
  </conditionalFormatting>
  <conditionalFormatting sqref="R3748">
    <cfRule type="cellIs" dxfId="4915" priority="4847" stopIfTrue="1" operator="greaterThan">
      <formula>0</formula>
    </cfRule>
  </conditionalFormatting>
  <conditionalFormatting sqref="R3749">
    <cfRule type="cellIs" dxfId="4914" priority="4846" stopIfTrue="1" operator="greaterThan">
      <formula>0</formula>
    </cfRule>
  </conditionalFormatting>
  <conditionalFormatting sqref="R3750">
    <cfRule type="cellIs" dxfId="4913" priority="4845" stopIfTrue="1" operator="greaterThan">
      <formula>0</formula>
    </cfRule>
  </conditionalFormatting>
  <conditionalFormatting sqref="R3751">
    <cfRule type="cellIs" dxfId="4912" priority="4844" stopIfTrue="1" operator="greaterThan">
      <formula>0</formula>
    </cfRule>
  </conditionalFormatting>
  <conditionalFormatting sqref="R3752">
    <cfRule type="cellIs" dxfId="4911" priority="4843" stopIfTrue="1" operator="greaterThan">
      <formula>0</formula>
    </cfRule>
  </conditionalFormatting>
  <conditionalFormatting sqref="W3743:X3743">
    <cfRule type="cellIs" dxfId="4910" priority="4842" stopIfTrue="1" operator="equal">
      <formula>"NO APLICA"</formula>
    </cfRule>
  </conditionalFormatting>
  <conditionalFormatting sqref="W3744:X3747">
    <cfRule type="cellIs" dxfId="4909" priority="4841" stopIfTrue="1" operator="equal">
      <formula>"NO APLICA"</formula>
    </cfRule>
  </conditionalFormatting>
  <conditionalFormatting sqref="W3744:X3744">
    <cfRule type="cellIs" dxfId="4908" priority="4840" stopIfTrue="1" operator="equal">
      <formula>"NO APLICA"</formula>
    </cfRule>
  </conditionalFormatting>
  <conditionalFormatting sqref="Y3743">
    <cfRule type="cellIs" dxfId="4907" priority="4839" stopIfTrue="1" operator="equal">
      <formula>"NO APLICA"</formula>
    </cfRule>
  </conditionalFormatting>
  <conditionalFormatting sqref="Y3744:Y3747">
    <cfRule type="cellIs" dxfId="4906" priority="4838" stopIfTrue="1" operator="equal">
      <formula>"NO APLICA"</formula>
    </cfRule>
  </conditionalFormatting>
  <conditionalFormatting sqref="W3748:X3751">
    <cfRule type="cellIs" dxfId="4905" priority="4837" stopIfTrue="1" operator="equal">
      <formula>"NO APLICA"</formula>
    </cfRule>
  </conditionalFormatting>
  <conditionalFormatting sqref="W3748:X3748">
    <cfRule type="cellIs" dxfId="4904" priority="4836" stopIfTrue="1" operator="equal">
      <formula>"NO APLICA"</formula>
    </cfRule>
  </conditionalFormatting>
  <conditionalFormatting sqref="Y3748:Y3751">
    <cfRule type="cellIs" dxfId="4903" priority="4835" stopIfTrue="1" operator="equal">
      <formula>"NO APLICA"</formula>
    </cfRule>
  </conditionalFormatting>
  <conditionalFormatting sqref="T3757">
    <cfRule type="cellIs" dxfId="4902" priority="4833" operator="equal">
      <formula>"CUMPLE"</formula>
    </cfRule>
    <cfRule type="cellIs" dxfId="4901" priority="4834" operator="equal">
      <formula>"NO CUMPLE"</formula>
    </cfRule>
  </conditionalFormatting>
  <conditionalFormatting sqref="T3757:T3759">
    <cfRule type="cellIs" dxfId="4900" priority="4832" operator="equal">
      <formula>"VERIFICAR"</formula>
    </cfRule>
  </conditionalFormatting>
  <conditionalFormatting sqref="AD3743:AF3747">
    <cfRule type="cellIs" dxfId="4899" priority="4830" stopIfTrue="1" operator="equal">
      <formula>"NO"</formula>
    </cfRule>
    <cfRule type="cellIs" dxfId="4898" priority="4831" stopIfTrue="1" operator="equal">
      <formula>"SI"</formula>
    </cfRule>
  </conditionalFormatting>
  <conditionalFormatting sqref="AD3748:AF3751">
    <cfRule type="cellIs" dxfId="4897" priority="4828" stopIfTrue="1" operator="equal">
      <formula>"NO"</formula>
    </cfRule>
    <cfRule type="cellIs" dxfId="4896" priority="4829" stopIfTrue="1" operator="equal">
      <formula>"SI"</formula>
    </cfRule>
  </conditionalFormatting>
  <conditionalFormatting sqref="W3752:Y3752">
    <cfRule type="cellIs" dxfId="4895" priority="4826" stopIfTrue="1" operator="equal">
      <formula>"NO"</formula>
    </cfRule>
    <cfRule type="cellIs" dxfId="4894" priority="4827" stopIfTrue="1" operator="equal">
      <formula>"SI"</formula>
    </cfRule>
  </conditionalFormatting>
  <conditionalFormatting sqref="W3752:X3752">
    <cfRule type="cellIs" dxfId="4893" priority="4825" stopIfTrue="1" operator="equal">
      <formula>"NO APLICA"</formula>
    </cfRule>
  </conditionalFormatting>
  <conditionalFormatting sqref="Y3752">
    <cfRule type="cellIs" dxfId="4892" priority="4824" stopIfTrue="1" operator="equal">
      <formula>"NO APLICA"</formula>
    </cfRule>
  </conditionalFormatting>
  <conditionalFormatting sqref="AD3752:AF3752">
    <cfRule type="cellIs" dxfId="4891" priority="4822" stopIfTrue="1" operator="equal">
      <formula>"NO"</formula>
    </cfRule>
    <cfRule type="cellIs" dxfId="4890" priority="4823" stopIfTrue="1" operator="equal">
      <formula>"SI"</formula>
    </cfRule>
  </conditionalFormatting>
  <conditionalFormatting sqref="AE3757">
    <cfRule type="cellIs" dxfId="4889" priority="4819" stopIfTrue="1" operator="equal">
      <formula>"VERIFICAR"</formula>
    </cfRule>
    <cfRule type="cellIs" dxfId="4888" priority="4820" stopIfTrue="1" operator="equal">
      <formula>"NO CUMPLE"</formula>
    </cfRule>
    <cfRule type="cellIs" dxfId="4887" priority="4821" stopIfTrue="1" operator="equal">
      <formula>"CUMPLE"</formula>
    </cfRule>
  </conditionalFormatting>
  <conditionalFormatting sqref="AF3757">
    <cfRule type="cellIs" dxfId="4886" priority="4816" stopIfTrue="1" operator="equal">
      <formula>"VERIFICAR"</formula>
    </cfRule>
    <cfRule type="cellIs" dxfId="4885" priority="4817" stopIfTrue="1" operator="equal">
      <formula>"NO CUMPLE"</formula>
    </cfRule>
    <cfRule type="cellIs" dxfId="4884" priority="4818" stopIfTrue="1" operator="equal">
      <formula>"CUMPLE"</formula>
    </cfRule>
  </conditionalFormatting>
  <conditionalFormatting sqref="Y3760">
    <cfRule type="cellIs" dxfId="4883" priority="4815" operator="equal">
      <formula>"VERIFICAR CUADRO"</formula>
    </cfRule>
  </conditionalFormatting>
  <conditionalFormatting sqref="AC3761:AC3766">
    <cfRule type="cellIs" dxfId="4882" priority="4814" stopIfTrue="1" operator="greaterThan">
      <formula>0</formula>
    </cfRule>
  </conditionalFormatting>
  <conditionalFormatting sqref="AC3761:AC3766">
    <cfRule type="cellIs" dxfId="4881" priority="4813" stopIfTrue="1" operator="greaterThan">
      <formula>0</formula>
    </cfRule>
  </conditionalFormatting>
  <conditionalFormatting sqref="AD3761:AD3766">
    <cfRule type="containsText" dxfId="4880" priority="4811" stopIfTrue="1" operator="containsText" text="NO CUMPLE">
      <formula>NOT(ISERROR(SEARCH("NO CUMPLE",AD3761)))</formula>
    </cfRule>
    <cfRule type="containsText" dxfId="4879" priority="4812" stopIfTrue="1" operator="containsText" text="CUMPLE">
      <formula>NOT(ISERROR(SEARCH("CUMPLE",AD3761)))</formula>
    </cfRule>
  </conditionalFormatting>
  <conditionalFormatting sqref="Y3766">
    <cfRule type="containsText" dxfId="4878" priority="4809" stopIfTrue="1" operator="containsText" text="NO CUMPLE">
      <formula>NOT(ISERROR(SEARCH("NO CUMPLE",Y3766)))</formula>
    </cfRule>
    <cfRule type="containsText" dxfId="4877" priority="4810" stopIfTrue="1" operator="containsText" text="CUMPLE">
      <formula>NOT(ISERROR(SEARCH("CUMPLE",Y3766)))</formula>
    </cfRule>
  </conditionalFormatting>
  <conditionalFormatting sqref="AA3743:AA3752">
    <cfRule type="cellIs" dxfId="4876" priority="4807" stopIfTrue="1" operator="equal">
      <formula>"NO APLICA"</formula>
    </cfRule>
    <cfRule type="cellIs" dxfId="4875" priority="4808" stopIfTrue="1" operator="equal">
      <formula>"TERCIARIA"</formula>
    </cfRule>
  </conditionalFormatting>
  <conditionalFormatting sqref="AB3743:AB3752">
    <cfRule type="cellIs" dxfId="4874" priority="4805" stopIfTrue="1" operator="equal">
      <formula>"N/A"</formula>
    </cfRule>
    <cfRule type="cellIs" dxfId="4873" priority="4806" stopIfTrue="1" operator="equal">
      <formula>"NO"</formula>
    </cfRule>
  </conditionalFormatting>
  <conditionalFormatting sqref="M3773:M3782">
    <cfRule type="cellIs" dxfId="4872" priority="4804" stopIfTrue="1" operator="lessThan">
      <formula>0</formula>
    </cfRule>
  </conditionalFormatting>
  <conditionalFormatting sqref="C3775:D3781 B3774:B3781 F3775:I3781 C3774:I3774 B3782:O3782 B3773:R3773 Q3774:R3775 J3774:O3781 Q3776:Q3782 P3774:P3782">
    <cfRule type="cellIs" dxfId="4871" priority="4803" stopIfTrue="1" operator="greaterThan">
      <formula>0</formula>
    </cfRule>
  </conditionalFormatting>
  <conditionalFormatting sqref="C3775:D3781">
    <cfRule type="cellIs" dxfId="4870" priority="4802" stopIfTrue="1" operator="greaterThan">
      <formula>0</formula>
    </cfRule>
  </conditionalFormatting>
  <conditionalFormatting sqref="C3773:M3773 C3775:D3781 F3775:I3781 C3774:I3774 K3774:M3781 J3774:J3782 L3782:M3782">
    <cfRule type="cellIs" dxfId="4869" priority="4801" stopIfTrue="1" operator="greaterThan">
      <formula>0</formula>
    </cfRule>
  </conditionalFormatting>
  <conditionalFormatting sqref="M3773:M3782">
    <cfRule type="cellIs" dxfId="4868" priority="4800" stopIfTrue="1" operator="lessThan">
      <formula>0</formula>
    </cfRule>
  </conditionalFormatting>
  <conditionalFormatting sqref="J3774:J3782 L3774:O3782 C3773:O3773">
    <cfRule type="cellIs" dxfId="4867" priority="4799" stopIfTrue="1" operator="greaterThan">
      <formula>0</formula>
    </cfRule>
  </conditionalFormatting>
  <conditionalFormatting sqref="H3775:I3781 K3775:M3782">
    <cfRule type="cellIs" dxfId="4866" priority="4798" stopIfTrue="1" operator="greaterThan">
      <formula>0</formula>
    </cfRule>
  </conditionalFormatting>
  <conditionalFormatting sqref="I3774">
    <cfRule type="cellIs" dxfId="4865" priority="4797" stopIfTrue="1" operator="greaterThan">
      <formula>0</formula>
    </cfRule>
  </conditionalFormatting>
  <conditionalFormatting sqref="I3782">
    <cfRule type="cellIs" dxfId="4864" priority="4796" stopIfTrue="1" operator="greaterThan">
      <formula>0</formula>
    </cfRule>
  </conditionalFormatting>
  <conditionalFormatting sqref="E3775:E3781">
    <cfRule type="cellIs" dxfId="4863" priority="4795" stopIfTrue="1" operator="greaterThan">
      <formula>0</formula>
    </cfRule>
  </conditionalFormatting>
  <conditionalFormatting sqref="K3790:K3795">
    <cfRule type="containsText" dxfId="4862" priority="4793" stopIfTrue="1" operator="containsText" text="NO CUMPLE">
      <formula>NOT(ISERROR(SEARCH("NO CUMPLE",K3790)))</formula>
    </cfRule>
    <cfRule type="containsText" dxfId="4861" priority="4794" stopIfTrue="1" operator="containsText" text="CUMPLE">
      <formula>NOT(ISERROR(SEARCH("CUMPLE",K3790)))</formula>
    </cfRule>
  </conditionalFormatting>
  <conditionalFormatting sqref="K3796">
    <cfRule type="containsText" dxfId="4860" priority="4791" stopIfTrue="1" operator="containsText" text="NO CUMPLE">
      <formula>NOT(ISERROR(SEARCH("NO CUMPLE",K3796)))</formula>
    </cfRule>
    <cfRule type="containsText" dxfId="4859" priority="4792" stopIfTrue="1" operator="containsText" text="CUMPLE">
      <formula>NOT(ISERROR(SEARCH("CUMPLE",K3796)))</formula>
    </cfRule>
  </conditionalFormatting>
  <conditionalFormatting sqref="Q3789">
    <cfRule type="cellIs" dxfId="4858" priority="4789" operator="greaterThanOrEqual">
      <formula>NUMMINCONT</formula>
    </cfRule>
    <cfRule type="cellIs" dxfId="4857" priority="4790" operator="lessThan">
      <formula>NUMMINCONT</formula>
    </cfRule>
  </conditionalFormatting>
  <conditionalFormatting sqref="W3773:Y3781">
    <cfRule type="cellIs" dxfId="4856" priority="4787" stopIfTrue="1" operator="equal">
      <formula>"NO"</formula>
    </cfRule>
    <cfRule type="cellIs" dxfId="4855" priority="4788" stopIfTrue="1" operator="equal">
      <formula>"SI"</formula>
    </cfRule>
  </conditionalFormatting>
  <conditionalFormatting sqref="R3776">
    <cfRule type="cellIs" dxfId="4854" priority="4786" stopIfTrue="1" operator="greaterThan">
      <formula>0</formula>
    </cfRule>
  </conditionalFormatting>
  <conditionalFormatting sqref="R3777">
    <cfRule type="cellIs" dxfId="4853" priority="4785" stopIfTrue="1" operator="greaterThan">
      <formula>0</formula>
    </cfRule>
  </conditionalFormatting>
  <conditionalFormatting sqref="R3778">
    <cfRule type="cellIs" dxfId="4852" priority="4784" stopIfTrue="1" operator="greaterThan">
      <formula>0</formula>
    </cfRule>
  </conditionalFormatting>
  <conditionalFormatting sqref="R3779">
    <cfRule type="cellIs" dxfId="4851" priority="4783" stopIfTrue="1" operator="greaterThan">
      <formula>0</formula>
    </cfRule>
  </conditionalFormatting>
  <conditionalFormatting sqref="R3780">
    <cfRule type="cellIs" dxfId="4850" priority="4782" stopIfTrue="1" operator="greaterThan">
      <formula>0</formula>
    </cfRule>
  </conditionalFormatting>
  <conditionalFormatting sqref="R3781">
    <cfRule type="cellIs" dxfId="4849" priority="4781" stopIfTrue="1" operator="greaterThan">
      <formula>0</formula>
    </cfRule>
  </conditionalFormatting>
  <conditionalFormatting sqref="R3782">
    <cfRule type="cellIs" dxfId="4848" priority="4780" stopIfTrue="1" operator="greaterThan">
      <formula>0</formula>
    </cfRule>
  </conditionalFormatting>
  <conditionalFormatting sqref="W3773:X3773">
    <cfRule type="cellIs" dxfId="4847" priority="4779" stopIfTrue="1" operator="equal">
      <formula>"NO APLICA"</formula>
    </cfRule>
  </conditionalFormatting>
  <conditionalFormatting sqref="W3774:X3777">
    <cfRule type="cellIs" dxfId="4846" priority="4778" stopIfTrue="1" operator="equal">
      <formula>"NO APLICA"</formula>
    </cfRule>
  </conditionalFormatting>
  <conditionalFormatting sqref="W3774:X3774">
    <cfRule type="cellIs" dxfId="4845" priority="4777" stopIfTrue="1" operator="equal">
      <formula>"NO APLICA"</formula>
    </cfRule>
  </conditionalFormatting>
  <conditionalFormatting sqref="Y3773">
    <cfRule type="cellIs" dxfId="4844" priority="4776" stopIfTrue="1" operator="equal">
      <formula>"NO APLICA"</formula>
    </cfRule>
  </conditionalFormatting>
  <conditionalFormatting sqref="Y3774:Y3777">
    <cfRule type="cellIs" dxfId="4843" priority="4775" stopIfTrue="1" operator="equal">
      <formula>"NO APLICA"</formula>
    </cfRule>
  </conditionalFormatting>
  <conditionalFormatting sqref="W3778:X3781">
    <cfRule type="cellIs" dxfId="4842" priority="4774" stopIfTrue="1" operator="equal">
      <formula>"NO APLICA"</formula>
    </cfRule>
  </conditionalFormatting>
  <conditionalFormatting sqref="W3778:X3778">
    <cfRule type="cellIs" dxfId="4841" priority="4773" stopIfTrue="1" operator="equal">
      <formula>"NO APLICA"</formula>
    </cfRule>
  </conditionalFormatting>
  <conditionalFormatting sqref="Y3778:Y3781">
    <cfRule type="cellIs" dxfId="4840" priority="4772" stopIfTrue="1" operator="equal">
      <formula>"NO APLICA"</formula>
    </cfRule>
  </conditionalFormatting>
  <conditionalFormatting sqref="T3787">
    <cfRule type="cellIs" dxfId="4839" priority="4770" operator="equal">
      <formula>"CUMPLE"</formula>
    </cfRule>
    <cfRule type="cellIs" dxfId="4838" priority="4771" operator="equal">
      <formula>"NO CUMPLE"</formula>
    </cfRule>
  </conditionalFormatting>
  <conditionalFormatting sqref="T3787:T3789">
    <cfRule type="cellIs" dxfId="4837" priority="4769" operator="equal">
      <formula>"VERIFICAR"</formula>
    </cfRule>
  </conditionalFormatting>
  <conditionalFormatting sqref="AD3773:AF3777">
    <cfRule type="cellIs" dxfId="4836" priority="4767" stopIfTrue="1" operator="equal">
      <formula>"NO"</formula>
    </cfRule>
    <cfRule type="cellIs" dxfId="4835" priority="4768" stopIfTrue="1" operator="equal">
      <formula>"SI"</formula>
    </cfRule>
  </conditionalFormatting>
  <conditionalFormatting sqref="AD3778:AF3781">
    <cfRule type="cellIs" dxfId="4834" priority="4765" stopIfTrue="1" operator="equal">
      <formula>"NO"</formula>
    </cfRule>
    <cfRule type="cellIs" dxfId="4833" priority="4766" stopIfTrue="1" operator="equal">
      <formula>"SI"</formula>
    </cfRule>
  </conditionalFormatting>
  <conditionalFormatting sqref="W3782:Y3782">
    <cfRule type="cellIs" dxfId="4832" priority="4763" stopIfTrue="1" operator="equal">
      <formula>"NO"</formula>
    </cfRule>
    <cfRule type="cellIs" dxfId="4831" priority="4764" stopIfTrue="1" operator="equal">
      <formula>"SI"</formula>
    </cfRule>
  </conditionalFormatting>
  <conditionalFormatting sqref="W3782:X3782">
    <cfRule type="cellIs" dxfId="4830" priority="4762" stopIfTrue="1" operator="equal">
      <formula>"NO APLICA"</formula>
    </cfRule>
  </conditionalFormatting>
  <conditionalFormatting sqref="Y3782">
    <cfRule type="cellIs" dxfId="4829" priority="4761" stopIfTrue="1" operator="equal">
      <formula>"NO APLICA"</formula>
    </cfRule>
  </conditionalFormatting>
  <conditionalFormatting sqref="AD3782:AF3782">
    <cfRule type="cellIs" dxfId="4828" priority="4759" stopIfTrue="1" operator="equal">
      <formula>"NO"</formula>
    </cfRule>
    <cfRule type="cellIs" dxfId="4827" priority="4760" stopIfTrue="1" operator="equal">
      <formula>"SI"</formula>
    </cfRule>
  </conditionalFormatting>
  <conditionalFormatting sqref="AE3787">
    <cfRule type="cellIs" dxfId="4826" priority="4756" stopIfTrue="1" operator="equal">
      <formula>"VERIFICAR"</formula>
    </cfRule>
    <cfRule type="cellIs" dxfId="4825" priority="4757" stopIfTrue="1" operator="equal">
      <formula>"NO CUMPLE"</formula>
    </cfRule>
    <cfRule type="cellIs" dxfId="4824" priority="4758" stopIfTrue="1" operator="equal">
      <formula>"CUMPLE"</formula>
    </cfRule>
  </conditionalFormatting>
  <conditionalFormatting sqref="AF3787">
    <cfRule type="cellIs" dxfId="4823" priority="4753" stopIfTrue="1" operator="equal">
      <formula>"VERIFICAR"</formula>
    </cfRule>
    <cfRule type="cellIs" dxfId="4822" priority="4754" stopIfTrue="1" operator="equal">
      <formula>"NO CUMPLE"</formula>
    </cfRule>
    <cfRule type="cellIs" dxfId="4821" priority="4755" stopIfTrue="1" operator="equal">
      <formula>"CUMPLE"</formula>
    </cfRule>
  </conditionalFormatting>
  <conditionalFormatting sqref="Y3790">
    <cfRule type="cellIs" dxfId="4820" priority="4752" operator="equal">
      <formula>"VERIFICAR CUADRO"</formula>
    </cfRule>
  </conditionalFormatting>
  <conditionalFormatting sqref="AC3791:AC3796">
    <cfRule type="cellIs" dxfId="4819" priority="4751" stopIfTrue="1" operator="greaterThan">
      <formula>0</formula>
    </cfRule>
  </conditionalFormatting>
  <conditionalFormatting sqref="AC3791:AC3796">
    <cfRule type="cellIs" dxfId="4818" priority="4750" stopIfTrue="1" operator="greaterThan">
      <formula>0</formula>
    </cfRule>
  </conditionalFormatting>
  <conditionalFormatting sqref="AD3791:AD3796">
    <cfRule type="containsText" dxfId="4817" priority="4748" stopIfTrue="1" operator="containsText" text="NO CUMPLE">
      <formula>NOT(ISERROR(SEARCH("NO CUMPLE",AD3791)))</formula>
    </cfRule>
    <cfRule type="containsText" dxfId="4816" priority="4749" stopIfTrue="1" operator="containsText" text="CUMPLE">
      <formula>NOT(ISERROR(SEARCH("CUMPLE",AD3791)))</formula>
    </cfRule>
  </conditionalFormatting>
  <conditionalFormatting sqref="Y3796">
    <cfRule type="containsText" dxfId="4815" priority="4746" stopIfTrue="1" operator="containsText" text="NO CUMPLE">
      <formula>NOT(ISERROR(SEARCH("NO CUMPLE",Y3796)))</formula>
    </cfRule>
    <cfRule type="containsText" dxfId="4814" priority="4747" stopIfTrue="1" operator="containsText" text="CUMPLE">
      <formula>NOT(ISERROR(SEARCH("CUMPLE",Y3796)))</formula>
    </cfRule>
  </conditionalFormatting>
  <conditionalFormatting sqref="AA3773:AA3782">
    <cfRule type="cellIs" dxfId="4813" priority="4744" stopIfTrue="1" operator="equal">
      <formula>"NO APLICA"</formula>
    </cfRule>
    <cfRule type="cellIs" dxfId="4812" priority="4745" stopIfTrue="1" operator="equal">
      <formula>"TERCIARIA"</formula>
    </cfRule>
  </conditionalFormatting>
  <conditionalFormatting sqref="AB3773:AB3782">
    <cfRule type="cellIs" dxfId="4811" priority="4742" stopIfTrue="1" operator="equal">
      <formula>"N/A"</formula>
    </cfRule>
    <cfRule type="cellIs" dxfId="4810" priority="4743" stopIfTrue="1" operator="equal">
      <formula>"NO"</formula>
    </cfRule>
  </conditionalFormatting>
  <conditionalFormatting sqref="M3803:M3812">
    <cfRule type="cellIs" dxfId="4809" priority="4741" stopIfTrue="1" operator="lessThan">
      <formula>0</formula>
    </cfRule>
  </conditionalFormatting>
  <conditionalFormatting sqref="C3805:D3811 B3804:B3811 F3805:I3811 C3804:I3804 B3812:O3812 B3803:R3803 Q3804:R3805 J3804:O3811 Q3806:Q3812 P3804:P3812">
    <cfRule type="cellIs" dxfId="4808" priority="4740" stopIfTrue="1" operator="greaterThan">
      <formula>0</formula>
    </cfRule>
  </conditionalFormatting>
  <conditionalFormatting sqref="C3805:D3811">
    <cfRule type="cellIs" dxfId="4807" priority="4739" stopIfTrue="1" operator="greaterThan">
      <formula>0</formula>
    </cfRule>
  </conditionalFormatting>
  <conditionalFormatting sqref="C3803:M3803 C3805:D3811 F3805:I3811 C3804:I3804 K3804:M3811 J3804:J3812 L3812:M3812">
    <cfRule type="cellIs" dxfId="4806" priority="4738" stopIfTrue="1" operator="greaterThan">
      <formula>0</formula>
    </cfRule>
  </conditionalFormatting>
  <conditionalFormatting sqref="M3803:M3812">
    <cfRule type="cellIs" dxfId="4805" priority="4737" stopIfTrue="1" operator="lessThan">
      <formula>0</formula>
    </cfRule>
  </conditionalFormatting>
  <conditionalFormatting sqref="J3804:J3812 L3804:O3812 C3803:O3803">
    <cfRule type="cellIs" dxfId="4804" priority="4736" stopIfTrue="1" operator="greaterThan">
      <formula>0</formula>
    </cfRule>
  </conditionalFormatting>
  <conditionalFormatting sqref="H3805:I3811 K3805:M3812">
    <cfRule type="cellIs" dxfId="4803" priority="4735" stopIfTrue="1" operator="greaterThan">
      <formula>0</formula>
    </cfRule>
  </conditionalFormatting>
  <conditionalFormatting sqref="I3804">
    <cfRule type="cellIs" dxfId="4802" priority="4734" stopIfTrue="1" operator="greaterThan">
      <formula>0</formula>
    </cfRule>
  </conditionalFormatting>
  <conditionalFormatting sqref="I3812">
    <cfRule type="cellIs" dxfId="4801" priority="4733" stopIfTrue="1" operator="greaterThan">
      <formula>0</formula>
    </cfRule>
  </conditionalFormatting>
  <conditionalFormatting sqref="E3805:E3811">
    <cfRule type="cellIs" dxfId="4800" priority="4732" stopIfTrue="1" operator="greaterThan">
      <formula>0</formula>
    </cfRule>
  </conditionalFormatting>
  <conditionalFormatting sqref="K3820:K3825">
    <cfRule type="containsText" dxfId="4799" priority="4730" stopIfTrue="1" operator="containsText" text="NO CUMPLE">
      <formula>NOT(ISERROR(SEARCH("NO CUMPLE",K3820)))</formula>
    </cfRule>
    <cfRule type="containsText" dxfId="4798" priority="4731" stopIfTrue="1" operator="containsText" text="CUMPLE">
      <formula>NOT(ISERROR(SEARCH("CUMPLE",K3820)))</formula>
    </cfRule>
  </conditionalFormatting>
  <conditionalFormatting sqref="K3826">
    <cfRule type="containsText" dxfId="4797" priority="4728" stopIfTrue="1" operator="containsText" text="NO CUMPLE">
      <formula>NOT(ISERROR(SEARCH("NO CUMPLE",K3826)))</formula>
    </cfRule>
    <cfRule type="containsText" dxfId="4796" priority="4729" stopIfTrue="1" operator="containsText" text="CUMPLE">
      <formula>NOT(ISERROR(SEARCH("CUMPLE",K3826)))</formula>
    </cfRule>
  </conditionalFormatting>
  <conditionalFormatting sqref="Q3819">
    <cfRule type="cellIs" dxfId="4795" priority="4726" operator="greaterThanOrEqual">
      <formula>NUMMINCONT</formula>
    </cfRule>
    <cfRule type="cellIs" dxfId="4794" priority="4727" operator="lessThan">
      <formula>NUMMINCONT</formula>
    </cfRule>
  </conditionalFormatting>
  <conditionalFormatting sqref="W3803:Y3811">
    <cfRule type="cellIs" dxfId="4793" priority="4724" stopIfTrue="1" operator="equal">
      <formula>"NO"</formula>
    </cfRule>
    <cfRule type="cellIs" dxfId="4792" priority="4725" stopIfTrue="1" operator="equal">
      <formula>"SI"</formula>
    </cfRule>
  </conditionalFormatting>
  <conditionalFormatting sqref="R3806">
    <cfRule type="cellIs" dxfId="4791" priority="4723" stopIfTrue="1" operator="greaterThan">
      <formula>0</formula>
    </cfRule>
  </conditionalFormatting>
  <conditionalFormatting sqref="R3807">
    <cfRule type="cellIs" dxfId="4790" priority="4722" stopIfTrue="1" operator="greaterThan">
      <formula>0</formula>
    </cfRule>
  </conditionalFormatting>
  <conditionalFormatting sqref="R3808">
    <cfRule type="cellIs" dxfId="4789" priority="4721" stopIfTrue="1" operator="greaterThan">
      <formula>0</formula>
    </cfRule>
  </conditionalFormatting>
  <conditionalFormatting sqref="R3809">
    <cfRule type="cellIs" dxfId="4788" priority="4720" stopIfTrue="1" operator="greaterThan">
      <formula>0</formula>
    </cfRule>
  </conditionalFormatting>
  <conditionalFormatting sqref="R3810">
    <cfRule type="cellIs" dxfId="4787" priority="4719" stopIfTrue="1" operator="greaterThan">
      <formula>0</formula>
    </cfRule>
  </conditionalFormatting>
  <conditionalFormatting sqref="R3811">
    <cfRule type="cellIs" dxfId="4786" priority="4718" stopIfTrue="1" operator="greaterThan">
      <formula>0</formula>
    </cfRule>
  </conditionalFormatting>
  <conditionalFormatting sqref="R3812">
    <cfRule type="cellIs" dxfId="4785" priority="4717" stopIfTrue="1" operator="greaterThan">
      <formula>0</formula>
    </cfRule>
  </conditionalFormatting>
  <conditionalFormatting sqref="W3803:X3803">
    <cfRule type="cellIs" dxfId="4784" priority="4716" stopIfTrue="1" operator="equal">
      <formula>"NO APLICA"</formula>
    </cfRule>
  </conditionalFormatting>
  <conditionalFormatting sqref="W3804:X3807">
    <cfRule type="cellIs" dxfId="4783" priority="4715" stopIfTrue="1" operator="equal">
      <formula>"NO APLICA"</formula>
    </cfRule>
  </conditionalFormatting>
  <conditionalFormatting sqref="W3804:X3804">
    <cfRule type="cellIs" dxfId="4782" priority="4714" stopIfTrue="1" operator="equal">
      <formula>"NO APLICA"</formula>
    </cfRule>
  </conditionalFormatting>
  <conditionalFormatting sqref="Y3803">
    <cfRule type="cellIs" dxfId="4781" priority="4713" stopIfTrue="1" operator="equal">
      <formula>"NO APLICA"</formula>
    </cfRule>
  </conditionalFormatting>
  <conditionalFormatting sqref="Y3804:Y3807">
    <cfRule type="cellIs" dxfId="4780" priority="4712" stopIfTrue="1" operator="equal">
      <formula>"NO APLICA"</formula>
    </cfRule>
  </conditionalFormatting>
  <conditionalFormatting sqref="W3808:X3811">
    <cfRule type="cellIs" dxfId="4779" priority="4711" stopIfTrue="1" operator="equal">
      <formula>"NO APLICA"</formula>
    </cfRule>
  </conditionalFormatting>
  <conditionalFormatting sqref="W3808:X3808">
    <cfRule type="cellIs" dxfId="4778" priority="4710" stopIfTrue="1" operator="equal">
      <formula>"NO APLICA"</formula>
    </cfRule>
  </conditionalFormatting>
  <conditionalFormatting sqref="Y3808:Y3811">
    <cfRule type="cellIs" dxfId="4777" priority="4709" stopIfTrue="1" operator="equal">
      <formula>"NO APLICA"</formula>
    </cfRule>
  </conditionalFormatting>
  <conditionalFormatting sqref="T3817">
    <cfRule type="cellIs" dxfId="4776" priority="4707" operator="equal">
      <formula>"CUMPLE"</formula>
    </cfRule>
    <cfRule type="cellIs" dxfId="4775" priority="4708" operator="equal">
      <formula>"NO CUMPLE"</formula>
    </cfRule>
  </conditionalFormatting>
  <conditionalFormatting sqref="T3817:T3819">
    <cfRule type="cellIs" dxfId="4774" priority="4706" operator="equal">
      <formula>"VERIFICAR"</formula>
    </cfRule>
  </conditionalFormatting>
  <conditionalFormatting sqref="AD3803:AF3807">
    <cfRule type="cellIs" dxfId="4773" priority="4704" stopIfTrue="1" operator="equal">
      <formula>"NO"</formula>
    </cfRule>
    <cfRule type="cellIs" dxfId="4772" priority="4705" stopIfTrue="1" operator="equal">
      <formula>"SI"</formula>
    </cfRule>
  </conditionalFormatting>
  <conditionalFormatting sqref="AD3808:AF3811">
    <cfRule type="cellIs" dxfId="4771" priority="4702" stopIfTrue="1" operator="equal">
      <formula>"NO"</formula>
    </cfRule>
    <cfRule type="cellIs" dxfId="4770" priority="4703" stopIfTrue="1" operator="equal">
      <formula>"SI"</formula>
    </cfRule>
  </conditionalFormatting>
  <conditionalFormatting sqref="W3812:Y3812">
    <cfRule type="cellIs" dxfId="4769" priority="4700" stopIfTrue="1" operator="equal">
      <formula>"NO"</formula>
    </cfRule>
    <cfRule type="cellIs" dxfId="4768" priority="4701" stopIfTrue="1" operator="equal">
      <formula>"SI"</formula>
    </cfRule>
  </conditionalFormatting>
  <conditionalFormatting sqref="W3812:X3812">
    <cfRule type="cellIs" dxfId="4767" priority="4699" stopIfTrue="1" operator="equal">
      <formula>"NO APLICA"</formula>
    </cfRule>
  </conditionalFormatting>
  <conditionalFormatting sqref="Y3812">
    <cfRule type="cellIs" dxfId="4766" priority="4698" stopIfTrue="1" operator="equal">
      <formula>"NO APLICA"</formula>
    </cfRule>
  </conditionalFormatting>
  <conditionalFormatting sqref="AD3812:AF3812">
    <cfRule type="cellIs" dxfId="4765" priority="4696" stopIfTrue="1" operator="equal">
      <formula>"NO"</formula>
    </cfRule>
    <cfRule type="cellIs" dxfId="4764" priority="4697" stopIfTrue="1" operator="equal">
      <formula>"SI"</formula>
    </cfRule>
  </conditionalFormatting>
  <conditionalFormatting sqref="AE3817">
    <cfRule type="cellIs" dxfId="4763" priority="4693" stopIfTrue="1" operator="equal">
      <formula>"VERIFICAR"</formula>
    </cfRule>
    <cfRule type="cellIs" dxfId="4762" priority="4694" stopIfTrue="1" operator="equal">
      <formula>"NO CUMPLE"</formula>
    </cfRule>
    <cfRule type="cellIs" dxfId="4761" priority="4695" stopIfTrue="1" operator="equal">
      <formula>"CUMPLE"</formula>
    </cfRule>
  </conditionalFormatting>
  <conditionalFormatting sqref="AF3817">
    <cfRule type="cellIs" dxfId="4760" priority="4690" stopIfTrue="1" operator="equal">
      <formula>"VERIFICAR"</formula>
    </cfRule>
    <cfRule type="cellIs" dxfId="4759" priority="4691" stopIfTrue="1" operator="equal">
      <formula>"NO CUMPLE"</formula>
    </cfRule>
    <cfRule type="cellIs" dxfId="4758" priority="4692" stopIfTrue="1" operator="equal">
      <formula>"CUMPLE"</formula>
    </cfRule>
  </conditionalFormatting>
  <conditionalFormatting sqref="Y3820">
    <cfRule type="cellIs" dxfId="4757" priority="4689" operator="equal">
      <formula>"VERIFICAR CUADRO"</formula>
    </cfRule>
  </conditionalFormatting>
  <conditionalFormatting sqref="AC3821:AC3826">
    <cfRule type="cellIs" dxfId="4756" priority="4688" stopIfTrue="1" operator="greaterThan">
      <formula>0</formula>
    </cfRule>
  </conditionalFormatting>
  <conditionalFormatting sqref="AC3821:AC3826">
    <cfRule type="cellIs" dxfId="4755" priority="4687" stopIfTrue="1" operator="greaterThan">
      <formula>0</formula>
    </cfRule>
  </conditionalFormatting>
  <conditionalFormatting sqref="AD3821:AD3826">
    <cfRule type="containsText" dxfId="4754" priority="4685" stopIfTrue="1" operator="containsText" text="NO CUMPLE">
      <formula>NOT(ISERROR(SEARCH("NO CUMPLE",AD3821)))</formula>
    </cfRule>
    <cfRule type="containsText" dxfId="4753" priority="4686" stopIfTrue="1" operator="containsText" text="CUMPLE">
      <formula>NOT(ISERROR(SEARCH("CUMPLE",AD3821)))</formula>
    </cfRule>
  </conditionalFormatting>
  <conditionalFormatting sqref="Y3826">
    <cfRule type="containsText" dxfId="4752" priority="4683" stopIfTrue="1" operator="containsText" text="NO CUMPLE">
      <formula>NOT(ISERROR(SEARCH("NO CUMPLE",Y3826)))</formula>
    </cfRule>
    <cfRule type="containsText" dxfId="4751" priority="4684" stopIfTrue="1" operator="containsText" text="CUMPLE">
      <formula>NOT(ISERROR(SEARCH("CUMPLE",Y3826)))</formula>
    </cfRule>
  </conditionalFormatting>
  <conditionalFormatting sqref="AA3803:AA3812">
    <cfRule type="cellIs" dxfId="4750" priority="4681" stopIfTrue="1" operator="equal">
      <formula>"NO APLICA"</formula>
    </cfRule>
    <cfRule type="cellIs" dxfId="4749" priority="4682" stopIfTrue="1" operator="equal">
      <formula>"TERCIARIA"</formula>
    </cfRule>
  </conditionalFormatting>
  <conditionalFormatting sqref="AB3803:AB3812">
    <cfRule type="cellIs" dxfId="4748" priority="4679" stopIfTrue="1" operator="equal">
      <formula>"N/A"</formula>
    </cfRule>
    <cfRule type="cellIs" dxfId="4747" priority="4680" stopIfTrue="1" operator="equal">
      <formula>"NO"</formula>
    </cfRule>
  </conditionalFormatting>
  <conditionalFormatting sqref="M3833:M3842">
    <cfRule type="cellIs" dxfId="4746" priority="4678" stopIfTrue="1" operator="lessThan">
      <formula>0</formula>
    </cfRule>
  </conditionalFormatting>
  <conditionalFormatting sqref="C3835:D3841 B3834:B3841 F3835:I3841 C3834:I3834 B3842:O3842 B3833:R3833 Q3834:R3835 J3834:O3841 Q3836:Q3842 P3834:P3842">
    <cfRule type="cellIs" dxfId="4745" priority="4677" stopIfTrue="1" operator="greaterThan">
      <formula>0</formula>
    </cfRule>
  </conditionalFormatting>
  <conditionalFormatting sqref="C3835:D3841">
    <cfRule type="cellIs" dxfId="4744" priority="4676" stopIfTrue="1" operator="greaterThan">
      <formula>0</formula>
    </cfRule>
  </conditionalFormatting>
  <conditionalFormatting sqref="C3833:M3833 C3835:D3841 F3835:I3841 C3834:I3834 K3834:M3841 J3834:J3842 L3842:M3842">
    <cfRule type="cellIs" dxfId="4743" priority="4675" stopIfTrue="1" operator="greaterThan">
      <formula>0</formula>
    </cfRule>
  </conditionalFormatting>
  <conditionalFormatting sqref="M3833:M3842">
    <cfRule type="cellIs" dxfId="4742" priority="4674" stopIfTrue="1" operator="lessThan">
      <formula>0</formula>
    </cfRule>
  </conditionalFormatting>
  <conditionalFormatting sqref="J3834:J3842 L3834:O3842 C3833:O3833">
    <cfRule type="cellIs" dxfId="4741" priority="4673" stopIfTrue="1" operator="greaterThan">
      <formula>0</formula>
    </cfRule>
  </conditionalFormatting>
  <conditionalFormatting sqref="H3835:I3841 K3835:M3842">
    <cfRule type="cellIs" dxfId="4740" priority="4672" stopIfTrue="1" operator="greaterThan">
      <formula>0</formula>
    </cfRule>
  </conditionalFormatting>
  <conditionalFormatting sqref="I3834">
    <cfRule type="cellIs" dxfId="4739" priority="4671" stopIfTrue="1" operator="greaterThan">
      <formula>0</formula>
    </cfRule>
  </conditionalFormatting>
  <conditionalFormatting sqref="I3842">
    <cfRule type="cellIs" dxfId="4738" priority="4670" stopIfTrue="1" operator="greaterThan">
      <formula>0</formula>
    </cfRule>
  </conditionalFormatting>
  <conditionalFormatting sqref="E3835:E3841">
    <cfRule type="cellIs" dxfId="4737" priority="4669" stopIfTrue="1" operator="greaterThan">
      <formula>0</formula>
    </cfRule>
  </conditionalFormatting>
  <conditionalFormatting sqref="K3850:K3855">
    <cfRule type="containsText" dxfId="4736" priority="4667" stopIfTrue="1" operator="containsText" text="NO CUMPLE">
      <formula>NOT(ISERROR(SEARCH("NO CUMPLE",K3850)))</formula>
    </cfRule>
    <cfRule type="containsText" dxfId="4735" priority="4668" stopIfTrue="1" operator="containsText" text="CUMPLE">
      <formula>NOT(ISERROR(SEARCH("CUMPLE",K3850)))</formula>
    </cfRule>
  </conditionalFormatting>
  <conditionalFormatting sqref="K3856">
    <cfRule type="containsText" dxfId="4734" priority="4665" stopIfTrue="1" operator="containsText" text="NO CUMPLE">
      <formula>NOT(ISERROR(SEARCH("NO CUMPLE",K3856)))</formula>
    </cfRule>
    <cfRule type="containsText" dxfId="4733" priority="4666" stopIfTrue="1" operator="containsText" text="CUMPLE">
      <formula>NOT(ISERROR(SEARCH("CUMPLE",K3856)))</formula>
    </cfRule>
  </conditionalFormatting>
  <conditionalFormatting sqref="Q3849">
    <cfRule type="cellIs" dxfId="4732" priority="4663" operator="greaterThanOrEqual">
      <formula>NUMMINCONT</formula>
    </cfRule>
    <cfRule type="cellIs" dxfId="4731" priority="4664" operator="lessThan">
      <formula>NUMMINCONT</formula>
    </cfRule>
  </conditionalFormatting>
  <conditionalFormatting sqref="W3833:Y3841">
    <cfRule type="cellIs" dxfId="4730" priority="4661" stopIfTrue="1" operator="equal">
      <formula>"NO"</formula>
    </cfRule>
    <cfRule type="cellIs" dxfId="4729" priority="4662" stopIfTrue="1" operator="equal">
      <formula>"SI"</formula>
    </cfRule>
  </conditionalFormatting>
  <conditionalFormatting sqref="R3836">
    <cfRule type="cellIs" dxfId="4728" priority="4660" stopIfTrue="1" operator="greaterThan">
      <formula>0</formula>
    </cfRule>
  </conditionalFormatting>
  <conditionalFormatting sqref="R3837">
    <cfRule type="cellIs" dxfId="4727" priority="4659" stopIfTrue="1" operator="greaterThan">
      <formula>0</formula>
    </cfRule>
  </conditionalFormatting>
  <conditionalFormatting sqref="R3838">
    <cfRule type="cellIs" dxfId="4726" priority="4658" stopIfTrue="1" operator="greaterThan">
      <formula>0</formula>
    </cfRule>
  </conditionalFormatting>
  <conditionalFormatting sqref="R3839">
    <cfRule type="cellIs" dxfId="4725" priority="4657" stopIfTrue="1" operator="greaterThan">
      <formula>0</formula>
    </cfRule>
  </conditionalFormatting>
  <conditionalFormatting sqref="R3840">
    <cfRule type="cellIs" dxfId="4724" priority="4656" stopIfTrue="1" operator="greaterThan">
      <formula>0</formula>
    </cfRule>
  </conditionalFormatting>
  <conditionalFormatting sqref="R3841">
    <cfRule type="cellIs" dxfId="4723" priority="4655" stopIfTrue="1" operator="greaterThan">
      <formula>0</formula>
    </cfRule>
  </conditionalFormatting>
  <conditionalFormatting sqref="R3842">
    <cfRule type="cellIs" dxfId="4722" priority="4654" stopIfTrue="1" operator="greaterThan">
      <formula>0</formula>
    </cfRule>
  </conditionalFormatting>
  <conditionalFormatting sqref="W3833:X3833">
    <cfRule type="cellIs" dxfId="4721" priority="4653" stopIfTrue="1" operator="equal">
      <formula>"NO APLICA"</formula>
    </cfRule>
  </conditionalFormatting>
  <conditionalFormatting sqref="W3834:X3837">
    <cfRule type="cellIs" dxfId="4720" priority="4652" stopIfTrue="1" operator="equal">
      <formula>"NO APLICA"</formula>
    </cfRule>
  </conditionalFormatting>
  <conditionalFormatting sqref="W3834:X3834">
    <cfRule type="cellIs" dxfId="4719" priority="4651" stopIfTrue="1" operator="equal">
      <formula>"NO APLICA"</formula>
    </cfRule>
  </conditionalFormatting>
  <conditionalFormatting sqref="Y3833">
    <cfRule type="cellIs" dxfId="4718" priority="4650" stopIfTrue="1" operator="equal">
      <formula>"NO APLICA"</formula>
    </cfRule>
  </conditionalFormatting>
  <conditionalFormatting sqref="Y3834:Y3837">
    <cfRule type="cellIs" dxfId="4717" priority="4649" stopIfTrue="1" operator="equal">
      <formula>"NO APLICA"</formula>
    </cfRule>
  </conditionalFormatting>
  <conditionalFormatting sqref="W3838:X3841">
    <cfRule type="cellIs" dxfId="4716" priority="4648" stopIfTrue="1" operator="equal">
      <formula>"NO APLICA"</formula>
    </cfRule>
  </conditionalFormatting>
  <conditionalFormatting sqref="W3838:X3838">
    <cfRule type="cellIs" dxfId="4715" priority="4647" stopIfTrue="1" operator="equal">
      <formula>"NO APLICA"</formula>
    </cfRule>
  </conditionalFormatting>
  <conditionalFormatting sqref="Y3838:Y3841">
    <cfRule type="cellIs" dxfId="4714" priority="4646" stopIfTrue="1" operator="equal">
      <formula>"NO APLICA"</formula>
    </cfRule>
  </conditionalFormatting>
  <conditionalFormatting sqref="T3847">
    <cfRule type="cellIs" dxfId="4713" priority="4644" operator="equal">
      <formula>"CUMPLE"</formula>
    </cfRule>
    <cfRule type="cellIs" dxfId="4712" priority="4645" operator="equal">
      <formula>"NO CUMPLE"</formula>
    </cfRule>
  </conditionalFormatting>
  <conditionalFormatting sqref="T3847:T3849">
    <cfRule type="cellIs" dxfId="4711" priority="4643" operator="equal">
      <formula>"VERIFICAR"</formula>
    </cfRule>
  </conditionalFormatting>
  <conditionalFormatting sqref="AD3833:AF3837">
    <cfRule type="cellIs" dxfId="4710" priority="4641" stopIfTrue="1" operator="equal">
      <formula>"NO"</formula>
    </cfRule>
    <cfRule type="cellIs" dxfId="4709" priority="4642" stopIfTrue="1" operator="equal">
      <formula>"SI"</formula>
    </cfRule>
  </conditionalFormatting>
  <conditionalFormatting sqref="AD3838:AF3841">
    <cfRule type="cellIs" dxfId="4708" priority="4639" stopIfTrue="1" operator="equal">
      <formula>"NO"</formula>
    </cfRule>
    <cfRule type="cellIs" dxfId="4707" priority="4640" stopIfTrue="1" operator="equal">
      <formula>"SI"</formula>
    </cfRule>
  </conditionalFormatting>
  <conditionalFormatting sqref="W3842:Y3842">
    <cfRule type="cellIs" dxfId="4706" priority="4637" stopIfTrue="1" operator="equal">
      <formula>"NO"</formula>
    </cfRule>
    <cfRule type="cellIs" dxfId="4705" priority="4638" stopIfTrue="1" operator="equal">
      <formula>"SI"</formula>
    </cfRule>
  </conditionalFormatting>
  <conditionalFormatting sqref="W3842:X3842">
    <cfRule type="cellIs" dxfId="4704" priority="4636" stopIfTrue="1" operator="equal">
      <formula>"NO APLICA"</formula>
    </cfRule>
  </conditionalFormatting>
  <conditionalFormatting sqref="Y3842">
    <cfRule type="cellIs" dxfId="4703" priority="4635" stopIfTrue="1" operator="equal">
      <formula>"NO APLICA"</formula>
    </cfRule>
  </conditionalFormatting>
  <conditionalFormatting sqref="AD3842:AF3842">
    <cfRule type="cellIs" dxfId="4702" priority="4633" stopIfTrue="1" operator="equal">
      <formula>"NO"</formula>
    </cfRule>
    <cfRule type="cellIs" dxfId="4701" priority="4634" stopIfTrue="1" operator="equal">
      <formula>"SI"</formula>
    </cfRule>
  </conditionalFormatting>
  <conditionalFormatting sqref="AE3847">
    <cfRule type="cellIs" dxfId="4700" priority="4630" stopIfTrue="1" operator="equal">
      <formula>"VERIFICAR"</formula>
    </cfRule>
    <cfRule type="cellIs" dxfId="4699" priority="4631" stopIfTrue="1" operator="equal">
      <formula>"NO CUMPLE"</formula>
    </cfRule>
    <cfRule type="cellIs" dxfId="4698" priority="4632" stopIfTrue="1" operator="equal">
      <formula>"CUMPLE"</formula>
    </cfRule>
  </conditionalFormatting>
  <conditionalFormatting sqref="AF3847">
    <cfRule type="cellIs" dxfId="4697" priority="4627" stopIfTrue="1" operator="equal">
      <formula>"VERIFICAR"</formula>
    </cfRule>
    <cfRule type="cellIs" dxfId="4696" priority="4628" stopIfTrue="1" operator="equal">
      <formula>"NO CUMPLE"</formula>
    </cfRule>
    <cfRule type="cellIs" dxfId="4695" priority="4629" stopIfTrue="1" operator="equal">
      <formula>"CUMPLE"</formula>
    </cfRule>
  </conditionalFormatting>
  <conditionalFormatting sqref="Y3850">
    <cfRule type="cellIs" dxfId="4694" priority="4626" operator="equal">
      <formula>"VERIFICAR CUADRO"</formula>
    </cfRule>
  </conditionalFormatting>
  <conditionalFormatting sqref="AC3851:AC3856">
    <cfRule type="cellIs" dxfId="4693" priority="4625" stopIfTrue="1" operator="greaterThan">
      <formula>0</formula>
    </cfRule>
  </conditionalFormatting>
  <conditionalFormatting sqref="AC3851:AC3856">
    <cfRule type="cellIs" dxfId="4692" priority="4624" stopIfTrue="1" operator="greaterThan">
      <formula>0</formula>
    </cfRule>
  </conditionalFormatting>
  <conditionalFormatting sqref="AD3851:AD3856">
    <cfRule type="containsText" dxfId="4691" priority="4622" stopIfTrue="1" operator="containsText" text="NO CUMPLE">
      <formula>NOT(ISERROR(SEARCH("NO CUMPLE",AD3851)))</formula>
    </cfRule>
    <cfRule type="containsText" dxfId="4690" priority="4623" stopIfTrue="1" operator="containsText" text="CUMPLE">
      <formula>NOT(ISERROR(SEARCH("CUMPLE",AD3851)))</formula>
    </cfRule>
  </conditionalFormatting>
  <conditionalFormatting sqref="Y3856">
    <cfRule type="containsText" dxfId="4689" priority="4620" stopIfTrue="1" operator="containsText" text="NO CUMPLE">
      <formula>NOT(ISERROR(SEARCH("NO CUMPLE",Y3856)))</formula>
    </cfRule>
    <cfRule type="containsText" dxfId="4688" priority="4621" stopIfTrue="1" operator="containsText" text="CUMPLE">
      <formula>NOT(ISERROR(SEARCH("CUMPLE",Y3856)))</formula>
    </cfRule>
  </conditionalFormatting>
  <conditionalFormatting sqref="AA3833:AA3842">
    <cfRule type="cellIs" dxfId="4687" priority="4618" stopIfTrue="1" operator="equal">
      <formula>"NO APLICA"</formula>
    </cfRule>
    <cfRule type="cellIs" dxfId="4686" priority="4619" stopIfTrue="1" operator="equal">
      <formula>"TERCIARIA"</formula>
    </cfRule>
  </conditionalFormatting>
  <conditionalFormatting sqref="AB3833:AB3842">
    <cfRule type="cellIs" dxfId="4685" priority="4616" stopIfTrue="1" operator="equal">
      <formula>"N/A"</formula>
    </cfRule>
    <cfRule type="cellIs" dxfId="4684" priority="4617" stopIfTrue="1" operator="equal">
      <formula>"NO"</formula>
    </cfRule>
  </conditionalFormatting>
  <conditionalFormatting sqref="M3863:M3872">
    <cfRule type="cellIs" dxfId="4683" priority="4615" stopIfTrue="1" operator="lessThan">
      <formula>0</formula>
    </cfRule>
  </conditionalFormatting>
  <conditionalFormatting sqref="C3865:D3871 B3864:B3871 F3865:I3871 C3864:I3864 B3872:O3872 B3863:R3863 Q3864:R3865 J3864:O3871 Q3866:Q3872 P3864:P3872">
    <cfRule type="cellIs" dxfId="4682" priority="4614" stopIfTrue="1" operator="greaterThan">
      <formula>0</formula>
    </cfRule>
  </conditionalFormatting>
  <conditionalFormatting sqref="C3865:D3871">
    <cfRule type="cellIs" dxfId="4681" priority="4613" stopIfTrue="1" operator="greaterThan">
      <formula>0</formula>
    </cfRule>
  </conditionalFormatting>
  <conditionalFormatting sqref="C3863:M3863 C3865:D3871 F3865:I3871 C3864:I3864 K3864:M3871 J3864:J3872 L3872:M3872">
    <cfRule type="cellIs" dxfId="4680" priority="4612" stopIfTrue="1" operator="greaterThan">
      <formula>0</formula>
    </cfRule>
  </conditionalFormatting>
  <conditionalFormatting sqref="M3863:M3872">
    <cfRule type="cellIs" dxfId="4679" priority="4611" stopIfTrue="1" operator="lessThan">
      <formula>0</formula>
    </cfRule>
  </conditionalFormatting>
  <conditionalFormatting sqref="J3864:J3872 L3864:O3872 C3863:O3863">
    <cfRule type="cellIs" dxfId="4678" priority="4610" stopIfTrue="1" operator="greaterThan">
      <formula>0</formula>
    </cfRule>
  </conditionalFormatting>
  <conditionalFormatting sqref="H3865:I3871 K3865:M3872">
    <cfRule type="cellIs" dxfId="4677" priority="4609" stopIfTrue="1" operator="greaterThan">
      <formula>0</formula>
    </cfRule>
  </conditionalFormatting>
  <conditionalFormatting sqref="I3864">
    <cfRule type="cellIs" dxfId="4676" priority="4608" stopIfTrue="1" operator="greaterThan">
      <formula>0</formula>
    </cfRule>
  </conditionalFormatting>
  <conditionalFormatting sqref="I3872">
    <cfRule type="cellIs" dxfId="4675" priority="4607" stopIfTrue="1" operator="greaterThan">
      <formula>0</formula>
    </cfRule>
  </conditionalFormatting>
  <conditionalFormatting sqref="E3865:E3871">
    <cfRule type="cellIs" dxfId="4674" priority="4606" stopIfTrue="1" operator="greaterThan">
      <formula>0</formula>
    </cfRule>
  </conditionalFormatting>
  <conditionalFormatting sqref="K3880:K3885">
    <cfRule type="containsText" dxfId="4673" priority="4604" stopIfTrue="1" operator="containsText" text="NO CUMPLE">
      <formula>NOT(ISERROR(SEARCH("NO CUMPLE",K3880)))</formula>
    </cfRule>
    <cfRule type="containsText" dxfId="4672" priority="4605" stopIfTrue="1" operator="containsText" text="CUMPLE">
      <formula>NOT(ISERROR(SEARCH("CUMPLE",K3880)))</formula>
    </cfRule>
  </conditionalFormatting>
  <conditionalFormatting sqref="K3886">
    <cfRule type="containsText" dxfId="4671" priority="4602" stopIfTrue="1" operator="containsText" text="NO CUMPLE">
      <formula>NOT(ISERROR(SEARCH("NO CUMPLE",K3886)))</formula>
    </cfRule>
    <cfRule type="containsText" dxfId="4670" priority="4603" stopIfTrue="1" operator="containsText" text="CUMPLE">
      <formula>NOT(ISERROR(SEARCH("CUMPLE",K3886)))</formula>
    </cfRule>
  </conditionalFormatting>
  <conditionalFormatting sqref="Q3879">
    <cfRule type="cellIs" dxfId="4669" priority="4600" operator="greaterThanOrEqual">
      <formula>NUMMINCONT</formula>
    </cfRule>
    <cfRule type="cellIs" dxfId="4668" priority="4601" operator="lessThan">
      <formula>NUMMINCONT</formula>
    </cfRule>
  </conditionalFormatting>
  <conditionalFormatting sqref="W3863:Y3871">
    <cfRule type="cellIs" dxfId="4667" priority="4598" stopIfTrue="1" operator="equal">
      <formula>"NO"</formula>
    </cfRule>
    <cfRule type="cellIs" dxfId="4666" priority="4599" stopIfTrue="1" operator="equal">
      <formula>"SI"</formula>
    </cfRule>
  </conditionalFormatting>
  <conditionalFormatting sqref="R3866">
    <cfRule type="cellIs" dxfId="4665" priority="4597" stopIfTrue="1" operator="greaterThan">
      <formula>0</formula>
    </cfRule>
  </conditionalFormatting>
  <conditionalFormatting sqref="R3867">
    <cfRule type="cellIs" dxfId="4664" priority="4596" stopIfTrue="1" operator="greaterThan">
      <formula>0</formula>
    </cfRule>
  </conditionalFormatting>
  <conditionalFormatting sqref="R3868">
    <cfRule type="cellIs" dxfId="4663" priority="4595" stopIfTrue="1" operator="greaterThan">
      <formula>0</formula>
    </cfRule>
  </conditionalFormatting>
  <conditionalFormatting sqref="R3869">
    <cfRule type="cellIs" dxfId="4662" priority="4594" stopIfTrue="1" operator="greaterThan">
      <formula>0</formula>
    </cfRule>
  </conditionalFormatting>
  <conditionalFormatting sqref="R3870">
    <cfRule type="cellIs" dxfId="4661" priority="4593" stopIfTrue="1" operator="greaterThan">
      <formula>0</formula>
    </cfRule>
  </conditionalFormatting>
  <conditionalFormatting sqref="R3871">
    <cfRule type="cellIs" dxfId="4660" priority="4592" stopIfTrue="1" operator="greaterThan">
      <formula>0</formula>
    </cfRule>
  </conditionalFormatting>
  <conditionalFormatting sqref="R3872">
    <cfRule type="cellIs" dxfId="4659" priority="4591" stopIfTrue="1" operator="greaterThan">
      <formula>0</formula>
    </cfRule>
  </conditionalFormatting>
  <conditionalFormatting sqref="W3863:X3863">
    <cfRule type="cellIs" dxfId="4658" priority="4590" stopIfTrue="1" operator="equal">
      <formula>"NO APLICA"</formula>
    </cfRule>
  </conditionalFormatting>
  <conditionalFormatting sqref="W3864:X3867">
    <cfRule type="cellIs" dxfId="4657" priority="4589" stopIfTrue="1" operator="equal">
      <formula>"NO APLICA"</formula>
    </cfRule>
  </conditionalFormatting>
  <conditionalFormatting sqref="W3864:X3864">
    <cfRule type="cellIs" dxfId="4656" priority="4588" stopIfTrue="1" operator="equal">
      <formula>"NO APLICA"</formula>
    </cfRule>
  </conditionalFormatting>
  <conditionalFormatting sqref="Y3863">
    <cfRule type="cellIs" dxfId="4655" priority="4587" stopIfTrue="1" operator="equal">
      <formula>"NO APLICA"</formula>
    </cfRule>
  </conditionalFormatting>
  <conditionalFormatting sqref="Y3864:Y3867">
    <cfRule type="cellIs" dxfId="4654" priority="4586" stopIfTrue="1" operator="equal">
      <formula>"NO APLICA"</formula>
    </cfRule>
  </conditionalFormatting>
  <conditionalFormatting sqref="W3868:X3871">
    <cfRule type="cellIs" dxfId="4653" priority="4585" stopIfTrue="1" operator="equal">
      <formula>"NO APLICA"</formula>
    </cfRule>
  </conditionalFormatting>
  <conditionalFormatting sqref="W3868:X3868">
    <cfRule type="cellIs" dxfId="4652" priority="4584" stopIfTrue="1" operator="equal">
      <formula>"NO APLICA"</formula>
    </cfRule>
  </conditionalFormatting>
  <conditionalFormatting sqref="Y3868:Y3871">
    <cfRule type="cellIs" dxfId="4651" priority="4583" stopIfTrue="1" operator="equal">
      <formula>"NO APLICA"</formula>
    </cfRule>
  </conditionalFormatting>
  <conditionalFormatting sqref="T3877">
    <cfRule type="cellIs" dxfId="4650" priority="4581" operator="equal">
      <formula>"CUMPLE"</formula>
    </cfRule>
    <cfRule type="cellIs" dxfId="4649" priority="4582" operator="equal">
      <formula>"NO CUMPLE"</formula>
    </cfRule>
  </conditionalFormatting>
  <conditionalFormatting sqref="T3877:T3879">
    <cfRule type="cellIs" dxfId="4648" priority="4580" operator="equal">
      <formula>"VERIFICAR"</formula>
    </cfRule>
  </conditionalFormatting>
  <conditionalFormatting sqref="AD3863:AF3867">
    <cfRule type="cellIs" dxfId="4647" priority="4578" stopIfTrue="1" operator="equal">
      <formula>"NO"</formula>
    </cfRule>
    <cfRule type="cellIs" dxfId="4646" priority="4579" stopIfTrue="1" operator="equal">
      <formula>"SI"</formula>
    </cfRule>
  </conditionalFormatting>
  <conditionalFormatting sqref="AD3868:AF3871">
    <cfRule type="cellIs" dxfId="4645" priority="4576" stopIfTrue="1" operator="equal">
      <formula>"NO"</formula>
    </cfRule>
    <cfRule type="cellIs" dxfId="4644" priority="4577" stopIfTrue="1" operator="equal">
      <formula>"SI"</formula>
    </cfRule>
  </conditionalFormatting>
  <conditionalFormatting sqref="W3872:Y3872">
    <cfRule type="cellIs" dxfId="4643" priority="4574" stopIfTrue="1" operator="equal">
      <formula>"NO"</formula>
    </cfRule>
    <cfRule type="cellIs" dxfId="4642" priority="4575" stopIfTrue="1" operator="equal">
      <formula>"SI"</formula>
    </cfRule>
  </conditionalFormatting>
  <conditionalFormatting sqref="W3872:X3872">
    <cfRule type="cellIs" dxfId="4641" priority="4573" stopIfTrue="1" operator="equal">
      <formula>"NO APLICA"</formula>
    </cfRule>
  </conditionalFormatting>
  <conditionalFormatting sqref="Y3872">
    <cfRule type="cellIs" dxfId="4640" priority="4572" stopIfTrue="1" operator="equal">
      <formula>"NO APLICA"</formula>
    </cfRule>
  </conditionalFormatting>
  <conditionalFormatting sqref="AD3872:AF3872">
    <cfRule type="cellIs" dxfId="4639" priority="4570" stopIfTrue="1" operator="equal">
      <formula>"NO"</formula>
    </cfRule>
    <cfRule type="cellIs" dxfId="4638" priority="4571" stopIfTrue="1" operator="equal">
      <formula>"SI"</formula>
    </cfRule>
  </conditionalFormatting>
  <conditionalFormatting sqref="AE3877">
    <cfRule type="cellIs" dxfId="4637" priority="4567" stopIfTrue="1" operator="equal">
      <formula>"VERIFICAR"</formula>
    </cfRule>
    <cfRule type="cellIs" dxfId="4636" priority="4568" stopIfTrue="1" operator="equal">
      <formula>"NO CUMPLE"</formula>
    </cfRule>
    <cfRule type="cellIs" dxfId="4635" priority="4569" stopIfTrue="1" operator="equal">
      <formula>"CUMPLE"</formula>
    </cfRule>
  </conditionalFormatting>
  <conditionalFormatting sqref="AF3877">
    <cfRule type="cellIs" dxfId="4634" priority="4564" stopIfTrue="1" operator="equal">
      <formula>"VERIFICAR"</formula>
    </cfRule>
    <cfRule type="cellIs" dxfId="4633" priority="4565" stopIfTrue="1" operator="equal">
      <formula>"NO CUMPLE"</formula>
    </cfRule>
    <cfRule type="cellIs" dxfId="4632" priority="4566" stopIfTrue="1" operator="equal">
      <formula>"CUMPLE"</formula>
    </cfRule>
  </conditionalFormatting>
  <conditionalFormatting sqref="Y3880">
    <cfRule type="cellIs" dxfId="4631" priority="4563" operator="equal">
      <formula>"VERIFICAR CUADRO"</formula>
    </cfRule>
  </conditionalFormatting>
  <conditionalFormatting sqref="AC3881:AC3886">
    <cfRule type="cellIs" dxfId="4630" priority="4562" stopIfTrue="1" operator="greaterThan">
      <formula>0</formula>
    </cfRule>
  </conditionalFormatting>
  <conditionalFormatting sqref="AC3881:AC3886">
    <cfRule type="cellIs" dxfId="4629" priority="4561" stopIfTrue="1" operator="greaterThan">
      <formula>0</formula>
    </cfRule>
  </conditionalFormatting>
  <conditionalFormatting sqref="AD3881:AD3886">
    <cfRule type="containsText" dxfId="4628" priority="4559" stopIfTrue="1" operator="containsText" text="NO CUMPLE">
      <formula>NOT(ISERROR(SEARCH("NO CUMPLE",AD3881)))</formula>
    </cfRule>
    <cfRule type="containsText" dxfId="4627" priority="4560" stopIfTrue="1" operator="containsText" text="CUMPLE">
      <formula>NOT(ISERROR(SEARCH("CUMPLE",AD3881)))</formula>
    </cfRule>
  </conditionalFormatting>
  <conditionalFormatting sqref="Y3886">
    <cfRule type="containsText" dxfId="4626" priority="4557" stopIfTrue="1" operator="containsText" text="NO CUMPLE">
      <formula>NOT(ISERROR(SEARCH("NO CUMPLE",Y3886)))</formula>
    </cfRule>
    <cfRule type="containsText" dxfId="4625" priority="4558" stopIfTrue="1" operator="containsText" text="CUMPLE">
      <formula>NOT(ISERROR(SEARCH("CUMPLE",Y3886)))</formula>
    </cfRule>
  </conditionalFormatting>
  <conditionalFormatting sqref="AA3863:AA3872">
    <cfRule type="cellIs" dxfId="4624" priority="4555" stopIfTrue="1" operator="equal">
      <formula>"NO APLICA"</formula>
    </cfRule>
    <cfRule type="cellIs" dxfId="4623" priority="4556" stopIfTrue="1" operator="equal">
      <formula>"TERCIARIA"</formula>
    </cfRule>
  </conditionalFormatting>
  <conditionalFormatting sqref="AB3863:AB3872">
    <cfRule type="cellIs" dxfId="4622" priority="4553" stopIfTrue="1" operator="equal">
      <formula>"N/A"</formula>
    </cfRule>
    <cfRule type="cellIs" dxfId="4621" priority="4554" stopIfTrue="1" operator="equal">
      <formula>"NO"</formula>
    </cfRule>
  </conditionalFormatting>
  <conditionalFormatting sqref="M3893:M3902">
    <cfRule type="cellIs" dxfId="4620" priority="4552" stopIfTrue="1" operator="lessThan">
      <formula>0</formula>
    </cfRule>
  </conditionalFormatting>
  <conditionalFormatting sqref="C3895:D3901 B3894:B3901 F3895:I3901 C3894:I3894 B3902:O3902 B3893:R3893 Q3894:R3895 J3894:O3901 Q3896:Q3902 P3894:P3902">
    <cfRule type="cellIs" dxfId="4619" priority="4551" stopIfTrue="1" operator="greaterThan">
      <formula>0</formula>
    </cfRule>
  </conditionalFormatting>
  <conditionalFormatting sqref="C3895:D3901">
    <cfRule type="cellIs" dxfId="4618" priority="4550" stopIfTrue="1" operator="greaterThan">
      <formula>0</formula>
    </cfRule>
  </conditionalFormatting>
  <conditionalFormatting sqref="C3893:M3893 C3895:D3901 F3895:I3901 C3894:I3894 K3894:M3901 J3894:J3902 L3902:M3902">
    <cfRule type="cellIs" dxfId="4617" priority="4549" stopIfTrue="1" operator="greaterThan">
      <formula>0</formula>
    </cfRule>
  </conditionalFormatting>
  <conditionalFormatting sqref="M3893:M3902">
    <cfRule type="cellIs" dxfId="4616" priority="4548" stopIfTrue="1" operator="lessThan">
      <formula>0</formula>
    </cfRule>
  </conditionalFormatting>
  <conditionalFormatting sqref="J3894:J3902 L3894:O3902 C3893:O3893">
    <cfRule type="cellIs" dxfId="4615" priority="4547" stopIfTrue="1" operator="greaterThan">
      <formula>0</formula>
    </cfRule>
  </conditionalFormatting>
  <conditionalFormatting sqref="H3895:I3901 K3895:M3902">
    <cfRule type="cellIs" dxfId="4614" priority="4546" stopIfTrue="1" operator="greaterThan">
      <formula>0</formula>
    </cfRule>
  </conditionalFormatting>
  <conditionalFormatting sqref="I3894">
    <cfRule type="cellIs" dxfId="4613" priority="4545" stopIfTrue="1" operator="greaterThan">
      <formula>0</formula>
    </cfRule>
  </conditionalFormatting>
  <conditionalFormatting sqref="I3902">
    <cfRule type="cellIs" dxfId="4612" priority="4544" stopIfTrue="1" operator="greaterThan">
      <formula>0</formula>
    </cfRule>
  </conditionalFormatting>
  <conditionalFormatting sqref="E3895:E3901">
    <cfRule type="cellIs" dxfId="4611" priority="4543" stopIfTrue="1" operator="greaterThan">
      <formula>0</formula>
    </cfRule>
  </conditionalFormatting>
  <conditionalFormatting sqref="K3910:K3915">
    <cfRule type="containsText" dxfId="4610" priority="4541" stopIfTrue="1" operator="containsText" text="NO CUMPLE">
      <formula>NOT(ISERROR(SEARCH("NO CUMPLE",K3910)))</formula>
    </cfRule>
    <cfRule type="containsText" dxfId="4609" priority="4542" stopIfTrue="1" operator="containsText" text="CUMPLE">
      <formula>NOT(ISERROR(SEARCH("CUMPLE",K3910)))</formula>
    </cfRule>
  </conditionalFormatting>
  <conditionalFormatting sqref="K3916">
    <cfRule type="containsText" dxfId="4608" priority="4539" stopIfTrue="1" operator="containsText" text="NO CUMPLE">
      <formula>NOT(ISERROR(SEARCH("NO CUMPLE",K3916)))</formula>
    </cfRule>
    <cfRule type="containsText" dxfId="4607" priority="4540" stopIfTrue="1" operator="containsText" text="CUMPLE">
      <formula>NOT(ISERROR(SEARCH("CUMPLE",K3916)))</formula>
    </cfRule>
  </conditionalFormatting>
  <conditionalFormatting sqref="Q3909">
    <cfRule type="cellIs" dxfId="4606" priority="4537" operator="greaterThanOrEqual">
      <formula>NUMMINCONT</formula>
    </cfRule>
    <cfRule type="cellIs" dxfId="4605" priority="4538" operator="lessThan">
      <formula>NUMMINCONT</formula>
    </cfRule>
  </conditionalFormatting>
  <conditionalFormatting sqref="W3893:Y3901">
    <cfRule type="cellIs" dxfId="4604" priority="4535" stopIfTrue="1" operator="equal">
      <formula>"NO"</formula>
    </cfRule>
    <cfRule type="cellIs" dxfId="4603" priority="4536" stopIfTrue="1" operator="equal">
      <formula>"SI"</formula>
    </cfRule>
  </conditionalFormatting>
  <conditionalFormatting sqref="R3896">
    <cfRule type="cellIs" dxfId="4602" priority="4534" stopIfTrue="1" operator="greaterThan">
      <formula>0</formula>
    </cfRule>
  </conditionalFormatting>
  <conditionalFormatting sqref="R3897">
    <cfRule type="cellIs" dxfId="4601" priority="4533" stopIfTrue="1" operator="greaterThan">
      <formula>0</formula>
    </cfRule>
  </conditionalFormatting>
  <conditionalFormatting sqref="R3898">
    <cfRule type="cellIs" dxfId="4600" priority="4532" stopIfTrue="1" operator="greaterThan">
      <formula>0</formula>
    </cfRule>
  </conditionalFormatting>
  <conditionalFormatting sqref="R3899">
    <cfRule type="cellIs" dxfId="4599" priority="4531" stopIfTrue="1" operator="greaterThan">
      <formula>0</formula>
    </cfRule>
  </conditionalFormatting>
  <conditionalFormatting sqref="R3900">
    <cfRule type="cellIs" dxfId="4598" priority="4530" stopIfTrue="1" operator="greaterThan">
      <formula>0</formula>
    </cfRule>
  </conditionalFormatting>
  <conditionalFormatting sqref="R3901">
    <cfRule type="cellIs" dxfId="4597" priority="4529" stopIfTrue="1" operator="greaterThan">
      <formula>0</formula>
    </cfRule>
  </conditionalFormatting>
  <conditionalFormatting sqref="R3902">
    <cfRule type="cellIs" dxfId="4596" priority="4528" stopIfTrue="1" operator="greaterThan">
      <formula>0</formula>
    </cfRule>
  </conditionalFormatting>
  <conditionalFormatting sqref="W3893:X3893">
    <cfRule type="cellIs" dxfId="4595" priority="4527" stopIfTrue="1" operator="equal">
      <formula>"NO APLICA"</formula>
    </cfRule>
  </conditionalFormatting>
  <conditionalFormatting sqref="W3894:X3897">
    <cfRule type="cellIs" dxfId="4594" priority="4526" stopIfTrue="1" operator="equal">
      <formula>"NO APLICA"</formula>
    </cfRule>
  </conditionalFormatting>
  <conditionalFormatting sqref="W3894:X3894">
    <cfRule type="cellIs" dxfId="4593" priority="4525" stopIfTrue="1" operator="equal">
      <formula>"NO APLICA"</formula>
    </cfRule>
  </conditionalFormatting>
  <conditionalFormatting sqref="Y3893">
    <cfRule type="cellIs" dxfId="4592" priority="4524" stopIfTrue="1" operator="equal">
      <formula>"NO APLICA"</formula>
    </cfRule>
  </conditionalFormatting>
  <conditionalFormatting sqref="Y3894:Y3897">
    <cfRule type="cellIs" dxfId="4591" priority="4523" stopIfTrue="1" operator="equal">
      <formula>"NO APLICA"</formula>
    </cfRule>
  </conditionalFormatting>
  <conditionalFormatting sqref="W3898:X3901">
    <cfRule type="cellIs" dxfId="4590" priority="4522" stopIfTrue="1" operator="equal">
      <formula>"NO APLICA"</formula>
    </cfRule>
  </conditionalFormatting>
  <conditionalFormatting sqref="W3898:X3898">
    <cfRule type="cellIs" dxfId="4589" priority="4521" stopIfTrue="1" operator="equal">
      <formula>"NO APLICA"</formula>
    </cfRule>
  </conditionalFormatting>
  <conditionalFormatting sqref="Y3898:Y3901">
    <cfRule type="cellIs" dxfId="4588" priority="4520" stopIfTrue="1" operator="equal">
      <formula>"NO APLICA"</formula>
    </cfRule>
  </conditionalFormatting>
  <conditionalFormatting sqref="T3907">
    <cfRule type="cellIs" dxfId="4587" priority="4518" operator="equal">
      <formula>"CUMPLE"</formula>
    </cfRule>
    <cfRule type="cellIs" dxfId="4586" priority="4519" operator="equal">
      <formula>"NO CUMPLE"</formula>
    </cfRule>
  </conditionalFormatting>
  <conditionalFormatting sqref="T3907:T3909">
    <cfRule type="cellIs" dxfId="4585" priority="4517" operator="equal">
      <formula>"VERIFICAR"</formula>
    </cfRule>
  </conditionalFormatting>
  <conditionalFormatting sqref="AD3893:AF3897">
    <cfRule type="cellIs" dxfId="4584" priority="4515" stopIfTrue="1" operator="equal">
      <formula>"NO"</formula>
    </cfRule>
    <cfRule type="cellIs" dxfId="4583" priority="4516" stopIfTrue="1" operator="equal">
      <formula>"SI"</formula>
    </cfRule>
  </conditionalFormatting>
  <conditionalFormatting sqref="AD3898:AF3901">
    <cfRule type="cellIs" dxfId="4582" priority="4513" stopIfTrue="1" operator="equal">
      <formula>"NO"</formula>
    </cfRule>
    <cfRule type="cellIs" dxfId="4581" priority="4514" stopIfTrue="1" operator="equal">
      <formula>"SI"</formula>
    </cfRule>
  </conditionalFormatting>
  <conditionalFormatting sqref="W3902:Y3902">
    <cfRule type="cellIs" dxfId="4580" priority="4511" stopIfTrue="1" operator="equal">
      <formula>"NO"</formula>
    </cfRule>
    <cfRule type="cellIs" dxfId="4579" priority="4512" stopIfTrue="1" operator="equal">
      <formula>"SI"</formula>
    </cfRule>
  </conditionalFormatting>
  <conditionalFormatting sqref="W3902:X3902">
    <cfRule type="cellIs" dxfId="4578" priority="4510" stopIfTrue="1" operator="equal">
      <formula>"NO APLICA"</formula>
    </cfRule>
  </conditionalFormatting>
  <conditionalFormatting sqref="Y3902">
    <cfRule type="cellIs" dxfId="4577" priority="4509" stopIfTrue="1" operator="equal">
      <formula>"NO APLICA"</formula>
    </cfRule>
  </conditionalFormatting>
  <conditionalFormatting sqref="AD3902:AF3902">
    <cfRule type="cellIs" dxfId="4576" priority="4507" stopIfTrue="1" operator="equal">
      <formula>"NO"</formula>
    </cfRule>
    <cfRule type="cellIs" dxfId="4575" priority="4508" stopIfTrue="1" operator="equal">
      <formula>"SI"</formula>
    </cfRule>
  </conditionalFormatting>
  <conditionalFormatting sqref="AE3907">
    <cfRule type="cellIs" dxfId="4574" priority="4504" stopIfTrue="1" operator="equal">
      <formula>"VERIFICAR"</formula>
    </cfRule>
    <cfRule type="cellIs" dxfId="4573" priority="4505" stopIfTrue="1" operator="equal">
      <formula>"NO CUMPLE"</formula>
    </cfRule>
    <cfRule type="cellIs" dxfId="4572" priority="4506" stopIfTrue="1" operator="equal">
      <formula>"CUMPLE"</formula>
    </cfRule>
  </conditionalFormatting>
  <conditionalFormatting sqref="AF3907">
    <cfRule type="cellIs" dxfId="4571" priority="4501" stopIfTrue="1" operator="equal">
      <formula>"VERIFICAR"</formula>
    </cfRule>
    <cfRule type="cellIs" dxfId="4570" priority="4502" stopIfTrue="1" operator="equal">
      <formula>"NO CUMPLE"</formula>
    </cfRule>
    <cfRule type="cellIs" dxfId="4569" priority="4503" stopIfTrue="1" operator="equal">
      <formula>"CUMPLE"</formula>
    </cfRule>
  </conditionalFormatting>
  <conditionalFormatting sqref="Y3910">
    <cfRule type="cellIs" dxfId="4568" priority="4500" operator="equal">
      <formula>"VERIFICAR CUADRO"</formula>
    </cfRule>
  </conditionalFormatting>
  <conditionalFormatting sqref="AC3911:AC3916">
    <cfRule type="cellIs" dxfId="4567" priority="4499" stopIfTrue="1" operator="greaterThan">
      <formula>0</formula>
    </cfRule>
  </conditionalFormatting>
  <conditionalFormatting sqref="AC3911:AC3916">
    <cfRule type="cellIs" dxfId="4566" priority="4498" stopIfTrue="1" operator="greaterThan">
      <formula>0</formula>
    </cfRule>
  </conditionalFormatting>
  <conditionalFormatting sqref="AD3911:AD3916">
    <cfRule type="containsText" dxfId="4565" priority="4496" stopIfTrue="1" operator="containsText" text="NO CUMPLE">
      <formula>NOT(ISERROR(SEARCH("NO CUMPLE",AD3911)))</formula>
    </cfRule>
    <cfRule type="containsText" dxfId="4564" priority="4497" stopIfTrue="1" operator="containsText" text="CUMPLE">
      <formula>NOT(ISERROR(SEARCH("CUMPLE",AD3911)))</formula>
    </cfRule>
  </conditionalFormatting>
  <conditionalFormatting sqref="Y3916">
    <cfRule type="containsText" dxfId="4563" priority="4494" stopIfTrue="1" operator="containsText" text="NO CUMPLE">
      <formula>NOT(ISERROR(SEARCH("NO CUMPLE",Y3916)))</formula>
    </cfRule>
    <cfRule type="containsText" dxfId="4562" priority="4495" stopIfTrue="1" operator="containsText" text="CUMPLE">
      <formula>NOT(ISERROR(SEARCH("CUMPLE",Y3916)))</formula>
    </cfRule>
  </conditionalFormatting>
  <conditionalFormatting sqref="AA3893:AA3902">
    <cfRule type="cellIs" dxfId="4561" priority="4492" stopIfTrue="1" operator="equal">
      <formula>"NO APLICA"</formula>
    </cfRule>
    <cfRule type="cellIs" dxfId="4560" priority="4493" stopIfTrue="1" operator="equal">
      <formula>"TERCIARIA"</formula>
    </cfRule>
  </conditionalFormatting>
  <conditionalFormatting sqref="AB3893:AB3902">
    <cfRule type="cellIs" dxfId="4559" priority="4490" stopIfTrue="1" operator="equal">
      <formula>"N/A"</formula>
    </cfRule>
    <cfRule type="cellIs" dxfId="4558" priority="4491" stopIfTrue="1" operator="equal">
      <formula>"NO"</formula>
    </cfRule>
  </conditionalFormatting>
  <conditionalFormatting sqref="M3923:M3932">
    <cfRule type="cellIs" dxfId="4557" priority="4489" stopIfTrue="1" operator="lessThan">
      <formula>0</formula>
    </cfRule>
  </conditionalFormatting>
  <conditionalFormatting sqref="C3925:D3931 B3924:B3931 F3925:I3931 C3924:I3924 B3932:O3932 B3923:R3923 Q3924:R3925 J3924:O3931 Q3926:Q3932 P3924:P3932">
    <cfRule type="cellIs" dxfId="4556" priority="4488" stopIfTrue="1" operator="greaterThan">
      <formula>0</formula>
    </cfRule>
  </conditionalFormatting>
  <conditionalFormatting sqref="C3925:D3931">
    <cfRule type="cellIs" dxfId="4555" priority="4487" stopIfTrue="1" operator="greaterThan">
      <formula>0</formula>
    </cfRule>
  </conditionalFormatting>
  <conditionalFormatting sqref="C3923:M3923 C3925:D3931 F3925:I3931 C3924:I3924 K3924:M3931 J3924:J3932 L3932:M3932">
    <cfRule type="cellIs" dxfId="4554" priority="4486" stopIfTrue="1" operator="greaterThan">
      <formula>0</formula>
    </cfRule>
  </conditionalFormatting>
  <conditionalFormatting sqref="M3923:M3932">
    <cfRule type="cellIs" dxfId="4553" priority="4485" stopIfTrue="1" operator="lessThan">
      <formula>0</formula>
    </cfRule>
  </conditionalFormatting>
  <conditionalFormatting sqref="J3924:J3932 L3924:O3932 C3923:O3923">
    <cfRule type="cellIs" dxfId="4552" priority="4484" stopIfTrue="1" operator="greaterThan">
      <formula>0</formula>
    </cfRule>
  </conditionalFormatting>
  <conditionalFormatting sqref="H3925:I3931 K3925:M3932">
    <cfRule type="cellIs" dxfId="4551" priority="4483" stopIfTrue="1" operator="greaterThan">
      <formula>0</formula>
    </cfRule>
  </conditionalFormatting>
  <conditionalFormatting sqref="I3924">
    <cfRule type="cellIs" dxfId="4550" priority="4482" stopIfTrue="1" operator="greaterThan">
      <formula>0</formula>
    </cfRule>
  </conditionalFormatting>
  <conditionalFormatting sqref="I3932">
    <cfRule type="cellIs" dxfId="4549" priority="4481" stopIfTrue="1" operator="greaterThan">
      <formula>0</formula>
    </cfRule>
  </conditionalFormatting>
  <conditionalFormatting sqref="E3925:E3931">
    <cfRule type="cellIs" dxfId="4548" priority="4480" stopIfTrue="1" operator="greaterThan">
      <formula>0</formula>
    </cfRule>
  </conditionalFormatting>
  <conditionalFormatting sqref="K3940:K3945">
    <cfRule type="containsText" dxfId="4547" priority="4478" stopIfTrue="1" operator="containsText" text="NO CUMPLE">
      <formula>NOT(ISERROR(SEARCH("NO CUMPLE",K3940)))</formula>
    </cfRule>
    <cfRule type="containsText" dxfId="4546" priority="4479" stopIfTrue="1" operator="containsText" text="CUMPLE">
      <formula>NOT(ISERROR(SEARCH("CUMPLE",K3940)))</formula>
    </cfRule>
  </conditionalFormatting>
  <conditionalFormatting sqref="K3946">
    <cfRule type="containsText" dxfId="4545" priority="4476" stopIfTrue="1" operator="containsText" text="NO CUMPLE">
      <formula>NOT(ISERROR(SEARCH("NO CUMPLE",K3946)))</formula>
    </cfRule>
    <cfRule type="containsText" dxfId="4544" priority="4477" stopIfTrue="1" operator="containsText" text="CUMPLE">
      <formula>NOT(ISERROR(SEARCH("CUMPLE",K3946)))</formula>
    </cfRule>
  </conditionalFormatting>
  <conditionalFormatting sqref="Q3939">
    <cfRule type="cellIs" dxfId="4543" priority="4474" operator="greaterThanOrEqual">
      <formula>NUMMINCONT</formula>
    </cfRule>
    <cfRule type="cellIs" dxfId="4542" priority="4475" operator="lessThan">
      <formula>NUMMINCONT</formula>
    </cfRule>
  </conditionalFormatting>
  <conditionalFormatting sqref="W3923:Y3931">
    <cfRule type="cellIs" dxfId="4541" priority="4472" stopIfTrue="1" operator="equal">
      <formula>"NO"</formula>
    </cfRule>
    <cfRule type="cellIs" dxfId="4540" priority="4473" stopIfTrue="1" operator="equal">
      <formula>"SI"</formula>
    </cfRule>
  </conditionalFormatting>
  <conditionalFormatting sqref="R3926">
    <cfRule type="cellIs" dxfId="4539" priority="4471" stopIfTrue="1" operator="greaterThan">
      <formula>0</formula>
    </cfRule>
  </conditionalFormatting>
  <conditionalFormatting sqref="R3927">
    <cfRule type="cellIs" dxfId="4538" priority="4470" stopIfTrue="1" operator="greaterThan">
      <formula>0</formula>
    </cfRule>
  </conditionalFormatting>
  <conditionalFormatting sqref="R3928">
    <cfRule type="cellIs" dxfId="4537" priority="4469" stopIfTrue="1" operator="greaterThan">
      <formula>0</formula>
    </cfRule>
  </conditionalFormatting>
  <conditionalFormatting sqref="R3929">
    <cfRule type="cellIs" dxfId="4536" priority="4468" stopIfTrue="1" operator="greaterThan">
      <formula>0</formula>
    </cfRule>
  </conditionalFormatting>
  <conditionalFormatting sqref="R3930">
    <cfRule type="cellIs" dxfId="4535" priority="4467" stopIfTrue="1" operator="greaterThan">
      <formula>0</formula>
    </cfRule>
  </conditionalFormatting>
  <conditionalFormatting sqref="R3931">
    <cfRule type="cellIs" dxfId="4534" priority="4466" stopIfTrue="1" operator="greaterThan">
      <formula>0</formula>
    </cfRule>
  </conditionalFormatting>
  <conditionalFormatting sqref="R3932">
    <cfRule type="cellIs" dxfId="4533" priority="4465" stopIfTrue="1" operator="greaterThan">
      <formula>0</formula>
    </cfRule>
  </conditionalFormatting>
  <conditionalFormatting sqref="W3923:X3923">
    <cfRule type="cellIs" dxfId="4532" priority="4464" stopIfTrue="1" operator="equal">
      <formula>"NO APLICA"</formula>
    </cfRule>
  </conditionalFormatting>
  <conditionalFormatting sqref="W3924:X3927">
    <cfRule type="cellIs" dxfId="4531" priority="4463" stopIfTrue="1" operator="equal">
      <formula>"NO APLICA"</formula>
    </cfRule>
  </conditionalFormatting>
  <conditionalFormatting sqref="W3924:X3924">
    <cfRule type="cellIs" dxfId="4530" priority="4462" stopIfTrue="1" operator="equal">
      <formula>"NO APLICA"</formula>
    </cfRule>
  </conditionalFormatting>
  <conditionalFormatting sqref="Y3923">
    <cfRule type="cellIs" dxfId="4529" priority="4461" stopIfTrue="1" operator="equal">
      <formula>"NO APLICA"</formula>
    </cfRule>
  </conditionalFormatting>
  <conditionalFormatting sqref="Y3924:Y3927">
    <cfRule type="cellIs" dxfId="4528" priority="4460" stopIfTrue="1" operator="equal">
      <formula>"NO APLICA"</formula>
    </cfRule>
  </conditionalFormatting>
  <conditionalFormatting sqref="W3928:X3931">
    <cfRule type="cellIs" dxfId="4527" priority="4459" stopIfTrue="1" operator="equal">
      <formula>"NO APLICA"</formula>
    </cfRule>
  </conditionalFormatting>
  <conditionalFormatting sqref="W3928:X3928">
    <cfRule type="cellIs" dxfId="4526" priority="4458" stopIfTrue="1" operator="equal">
      <formula>"NO APLICA"</formula>
    </cfRule>
  </conditionalFormatting>
  <conditionalFormatting sqref="Y3928:Y3931">
    <cfRule type="cellIs" dxfId="4525" priority="4457" stopIfTrue="1" operator="equal">
      <formula>"NO APLICA"</formula>
    </cfRule>
  </conditionalFormatting>
  <conditionalFormatting sqref="T3937">
    <cfRule type="cellIs" dxfId="4524" priority="4455" operator="equal">
      <formula>"CUMPLE"</formula>
    </cfRule>
    <cfRule type="cellIs" dxfId="4523" priority="4456" operator="equal">
      <formula>"NO CUMPLE"</formula>
    </cfRule>
  </conditionalFormatting>
  <conditionalFormatting sqref="T3937:T3939">
    <cfRule type="cellIs" dxfId="4522" priority="4454" operator="equal">
      <formula>"VERIFICAR"</formula>
    </cfRule>
  </conditionalFormatting>
  <conditionalFormatting sqref="AD3923:AF3927">
    <cfRule type="cellIs" dxfId="4521" priority="4452" stopIfTrue="1" operator="equal">
      <formula>"NO"</formula>
    </cfRule>
    <cfRule type="cellIs" dxfId="4520" priority="4453" stopIfTrue="1" operator="equal">
      <formula>"SI"</formula>
    </cfRule>
  </conditionalFormatting>
  <conditionalFormatting sqref="AD3928:AF3931">
    <cfRule type="cellIs" dxfId="4519" priority="4450" stopIfTrue="1" operator="equal">
      <formula>"NO"</formula>
    </cfRule>
    <cfRule type="cellIs" dxfId="4518" priority="4451" stopIfTrue="1" operator="equal">
      <formula>"SI"</formula>
    </cfRule>
  </conditionalFormatting>
  <conditionalFormatting sqref="W3932:Y3932">
    <cfRule type="cellIs" dxfId="4517" priority="4448" stopIfTrue="1" operator="equal">
      <formula>"NO"</formula>
    </cfRule>
    <cfRule type="cellIs" dxfId="4516" priority="4449" stopIfTrue="1" operator="equal">
      <formula>"SI"</formula>
    </cfRule>
  </conditionalFormatting>
  <conditionalFormatting sqref="W3932:X3932">
    <cfRule type="cellIs" dxfId="4515" priority="4447" stopIfTrue="1" operator="equal">
      <formula>"NO APLICA"</formula>
    </cfRule>
  </conditionalFormatting>
  <conditionalFormatting sqref="Y3932">
    <cfRule type="cellIs" dxfId="4514" priority="4446" stopIfTrue="1" operator="equal">
      <formula>"NO APLICA"</formula>
    </cfRule>
  </conditionalFormatting>
  <conditionalFormatting sqref="AD3932:AF3932">
    <cfRule type="cellIs" dxfId="4513" priority="4444" stopIfTrue="1" operator="equal">
      <formula>"NO"</formula>
    </cfRule>
    <cfRule type="cellIs" dxfId="4512" priority="4445" stopIfTrue="1" operator="equal">
      <formula>"SI"</formula>
    </cfRule>
  </conditionalFormatting>
  <conditionalFormatting sqref="AE3937">
    <cfRule type="cellIs" dxfId="4511" priority="4441" stopIfTrue="1" operator="equal">
      <formula>"VERIFICAR"</formula>
    </cfRule>
    <cfRule type="cellIs" dxfId="4510" priority="4442" stopIfTrue="1" operator="equal">
      <formula>"NO CUMPLE"</formula>
    </cfRule>
    <cfRule type="cellIs" dxfId="4509" priority="4443" stopIfTrue="1" operator="equal">
      <formula>"CUMPLE"</formula>
    </cfRule>
  </conditionalFormatting>
  <conditionalFormatting sqref="AF3937">
    <cfRule type="cellIs" dxfId="4508" priority="4438" stopIfTrue="1" operator="equal">
      <formula>"VERIFICAR"</formula>
    </cfRule>
    <cfRule type="cellIs" dxfId="4507" priority="4439" stopIfTrue="1" operator="equal">
      <formula>"NO CUMPLE"</formula>
    </cfRule>
    <cfRule type="cellIs" dxfId="4506" priority="4440" stopIfTrue="1" operator="equal">
      <formula>"CUMPLE"</formula>
    </cfRule>
  </conditionalFormatting>
  <conditionalFormatting sqref="Y3940">
    <cfRule type="cellIs" dxfId="4505" priority="4437" operator="equal">
      <formula>"VERIFICAR CUADRO"</formula>
    </cfRule>
  </conditionalFormatting>
  <conditionalFormatting sqref="AC3941:AC3946">
    <cfRule type="cellIs" dxfId="4504" priority="4436" stopIfTrue="1" operator="greaterThan">
      <formula>0</formula>
    </cfRule>
  </conditionalFormatting>
  <conditionalFormatting sqref="AC3941:AC3946">
    <cfRule type="cellIs" dxfId="4503" priority="4435" stopIfTrue="1" operator="greaterThan">
      <formula>0</formula>
    </cfRule>
  </conditionalFormatting>
  <conditionalFormatting sqref="AD3941:AD3946">
    <cfRule type="containsText" dxfId="4502" priority="4433" stopIfTrue="1" operator="containsText" text="NO CUMPLE">
      <formula>NOT(ISERROR(SEARCH("NO CUMPLE",AD3941)))</formula>
    </cfRule>
    <cfRule type="containsText" dxfId="4501" priority="4434" stopIfTrue="1" operator="containsText" text="CUMPLE">
      <formula>NOT(ISERROR(SEARCH("CUMPLE",AD3941)))</formula>
    </cfRule>
  </conditionalFormatting>
  <conditionalFormatting sqref="Y3946">
    <cfRule type="containsText" dxfId="4500" priority="4431" stopIfTrue="1" operator="containsText" text="NO CUMPLE">
      <formula>NOT(ISERROR(SEARCH("NO CUMPLE",Y3946)))</formula>
    </cfRule>
    <cfRule type="containsText" dxfId="4499" priority="4432" stopIfTrue="1" operator="containsText" text="CUMPLE">
      <formula>NOT(ISERROR(SEARCH("CUMPLE",Y3946)))</formula>
    </cfRule>
  </conditionalFormatting>
  <conditionalFormatting sqref="AA3923:AA3932">
    <cfRule type="cellIs" dxfId="4498" priority="4429" stopIfTrue="1" operator="equal">
      <formula>"NO APLICA"</formula>
    </cfRule>
    <cfRule type="cellIs" dxfId="4497" priority="4430" stopIfTrue="1" operator="equal">
      <formula>"TERCIARIA"</formula>
    </cfRule>
  </conditionalFormatting>
  <conditionalFormatting sqref="AB3923:AB3932">
    <cfRule type="cellIs" dxfId="4496" priority="4427" stopIfTrue="1" operator="equal">
      <formula>"N/A"</formula>
    </cfRule>
    <cfRule type="cellIs" dxfId="4495" priority="4428" stopIfTrue="1" operator="equal">
      <formula>"NO"</formula>
    </cfRule>
  </conditionalFormatting>
  <conditionalFormatting sqref="M3953:M3962">
    <cfRule type="cellIs" dxfId="4494" priority="4426" stopIfTrue="1" operator="lessThan">
      <formula>0</formula>
    </cfRule>
  </conditionalFormatting>
  <conditionalFormatting sqref="C3955:D3961 B3954:B3961 F3955:I3961 C3954:I3954 B3962:O3962 B3953:R3953 Q3954:R3955 J3954:O3961 Q3956:Q3962 P3954:P3962">
    <cfRule type="cellIs" dxfId="4493" priority="4425" stopIfTrue="1" operator="greaterThan">
      <formula>0</formula>
    </cfRule>
  </conditionalFormatting>
  <conditionalFormatting sqref="C3955:D3961">
    <cfRule type="cellIs" dxfId="4492" priority="4424" stopIfTrue="1" operator="greaterThan">
      <formula>0</formula>
    </cfRule>
  </conditionalFormatting>
  <conditionalFormatting sqref="C3953:M3953 C3955:D3961 F3955:I3961 C3954:I3954 K3954:M3961 J3954:J3962 L3962:M3962">
    <cfRule type="cellIs" dxfId="4491" priority="4423" stopIfTrue="1" operator="greaterThan">
      <formula>0</formula>
    </cfRule>
  </conditionalFormatting>
  <conditionalFormatting sqref="M3953:M3962">
    <cfRule type="cellIs" dxfId="4490" priority="4422" stopIfTrue="1" operator="lessThan">
      <formula>0</formula>
    </cfRule>
  </conditionalFormatting>
  <conditionalFormatting sqref="J3954:J3962 L3954:O3962 C3953:O3953">
    <cfRule type="cellIs" dxfId="4489" priority="4421" stopIfTrue="1" operator="greaterThan">
      <formula>0</formula>
    </cfRule>
  </conditionalFormatting>
  <conditionalFormatting sqref="H3955:I3961 K3955:M3962">
    <cfRule type="cellIs" dxfId="4488" priority="4420" stopIfTrue="1" operator="greaterThan">
      <formula>0</formula>
    </cfRule>
  </conditionalFormatting>
  <conditionalFormatting sqref="I3954">
    <cfRule type="cellIs" dxfId="4487" priority="4419" stopIfTrue="1" operator="greaterThan">
      <formula>0</formula>
    </cfRule>
  </conditionalFormatting>
  <conditionalFormatting sqref="I3962">
    <cfRule type="cellIs" dxfId="4486" priority="4418" stopIfTrue="1" operator="greaterThan">
      <formula>0</formula>
    </cfRule>
  </conditionalFormatting>
  <conditionalFormatting sqref="E3955:E3961">
    <cfRule type="cellIs" dxfId="4485" priority="4417" stopIfTrue="1" operator="greaterThan">
      <formula>0</formula>
    </cfRule>
  </conditionalFormatting>
  <conditionalFormatting sqref="K3970:K3975">
    <cfRule type="containsText" dxfId="4484" priority="4415" stopIfTrue="1" operator="containsText" text="NO CUMPLE">
      <formula>NOT(ISERROR(SEARCH("NO CUMPLE",K3970)))</formula>
    </cfRule>
    <cfRule type="containsText" dxfId="4483" priority="4416" stopIfTrue="1" operator="containsText" text="CUMPLE">
      <formula>NOT(ISERROR(SEARCH("CUMPLE",K3970)))</formula>
    </cfRule>
  </conditionalFormatting>
  <conditionalFormatting sqref="K3976">
    <cfRule type="containsText" dxfId="4482" priority="4413" stopIfTrue="1" operator="containsText" text="NO CUMPLE">
      <formula>NOT(ISERROR(SEARCH("NO CUMPLE",K3976)))</formula>
    </cfRule>
    <cfRule type="containsText" dxfId="4481" priority="4414" stopIfTrue="1" operator="containsText" text="CUMPLE">
      <formula>NOT(ISERROR(SEARCH("CUMPLE",K3976)))</formula>
    </cfRule>
  </conditionalFormatting>
  <conditionalFormatting sqref="Q3969">
    <cfRule type="cellIs" dxfId="4480" priority="4411" operator="greaterThanOrEqual">
      <formula>NUMMINCONT</formula>
    </cfRule>
    <cfRule type="cellIs" dxfId="4479" priority="4412" operator="lessThan">
      <formula>NUMMINCONT</formula>
    </cfRule>
  </conditionalFormatting>
  <conditionalFormatting sqref="W3953:Y3961">
    <cfRule type="cellIs" dxfId="4478" priority="4409" stopIfTrue="1" operator="equal">
      <formula>"NO"</formula>
    </cfRule>
    <cfRule type="cellIs" dxfId="4477" priority="4410" stopIfTrue="1" operator="equal">
      <formula>"SI"</formula>
    </cfRule>
  </conditionalFormatting>
  <conditionalFormatting sqref="R3956">
    <cfRule type="cellIs" dxfId="4476" priority="4408" stopIfTrue="1" operator="greaterThan">
      <formula>0</formula>
    </cfRule>
  </conditionalFormatting>
  <conditionalFormatting sqref="R3957">
    <cfRule type="cellIs" dxfId="4475" priority="4407" stopIfTrue="1" operator="greaterThan">
      <formula>0</formula>
    </cfRule>
  </conditionalFormatting>
  <conditionalFormatting sqref="R3958">
    <cfRule type="cellIs" dxfId="4474" priority="4406" stopIfTrue="1" operator="greaterThan">
      <formula>0</formula>
    </cfRule>
  </conditionalFormatting>
  <conditionalFormatting sqref="R3959">
    <cfRule type="cellIs" dxfId="4473" priority="4405" stopIfTrue="1" operator="greaterThan">
      <formula>0</formula>
    </cfRule>
  </conditionalFormatting>
  <conditionalFormatting sqref="R3960">
    <cfRule type="cellIs" dxfId="4472" priority="4404" stopIfTrue="1" operator="greaterThan">
      <formula>0</formula>
    </cfRule>
  </conditionalFormatting>
  <conditionalFormatting sqref="R3961">
    <cfRule type="cellIs" dxfId="4471" priority="4403" stopIfTrue="1" operator="greaterThan">
      <formula>0</formula>
    </cfRule>
  </conditionalFormatting>
  <conditionalFormatting sqref="R3962">
    <cfRule type="cellIs" dxfId="4470" priority="4402" stopIfTrue="1" operator="greaterThan">
      <formula>0</formula>
    </cfRule>
  </conditionalFormatting>
  <conditionalFormatting sqref="W3953:X3953">
    <cfRule type="cellIs" dxfId="4469" priority="4401" stopIfTrue="1" operator="equal">
      <formula>"NO APLICA"</formula>
    </cfRule>
  </conditionalFormatting>
  <conditionalFormatting sqref="W3954:X3957">
    <cfRule type="cellIs" dxfId="4468" priority="4400" stopIfTrue="1" operator="equal">
      <formula>"NO APLICA"</formula>
    </cfRule>
  </conditionalFormatting>
  <conditionalFormatting sqref="W3954:X3954">
    <cfRule type="cellIs" dxfId="4467" priority="4399" stopIfTrue="1" operator="equal">
      <formula>"NO APLICA"</formula>
    </cfRule>
  </conditionalFormatting>
  <conditionalFormatting sqref="Y3953">
    <cfRule type="cellIs" dxfId="4466" priority="4398" stopIfTrue="1" operator="equal">
      <formula>"NO APLICA"</formula>
    </cfRule>
  </conditionalFormatting>
  <conditionalFormatting sqref="Y3954:Y3957">
    <cfRule type="cellIs" dxfId="4465" priority="4397" stopIfTrue="1" operator="equal">
      <formula>"NO APLICA"</formula>
    </cfRule>
  </conditionalFormatting>
  <conditionalFormatting sqref="W3958:X3961">
    <cfRule type="cellIs" dxfId="4464" priority="4396" stopIfTrue="1" operator="equal">
      <formula>"NO APLICA"</formula>
    </cfRule>
  </conditionalFormatting>
  <conditionalFormatting sqref="W3958:X3958">
    <cfRule type="cellIs" dxfId="4463" priority="4395" stopIfTrue="1" operator="equal">
      <formula>"NO APLICA"</formula>
    </cfRule>
  </conditionalFormatting>
  <conditionalFormatting sqref="Y3958:Y3961">
    <cfRule type="cellIs" dxfId="4462" priority="4394" stopIfTrue="1" operator="equal">
      <formula>"NO APLICA"</formula>
    </cfRule>
  </conditionalFormatting>
  <conditionalFormatting sqref="T3967">
    <cfRule type="cellIs" dxfId="4461" priority="4392" operator="equal">
      <formula>"CUMPLE"</formula>
    </cfRule>
    <cfRule type="cellIs" dxfId="4460" priority="4393" operator="equal">
      <formula>"NO CUMPLE"</formula>
    </cfRule>
  </conditionalFormatting>
  <conditionalFormatting sqref="T3967:T3969">
    <cfRule type="cellIs" dxfId="4459" priority="4391" operator="equal">
      <formula>"VERIFICAR"</formula>
    </cfRule>
  </conditionalFormatting>
  <conditionalFormatting sqref="AD3953:AF3957">
    <cfRule type="cellIs" dxfId="4458" priority="4389" stopIfTrue="1" operator="equal">
      <formula>"NO"</formula>
    </cfRule>
    <cfRule type="cellIs" dxfId="4457" priority="4390" stopIfTrue="1" operator="equal">
      <formula>"SI"</formula>
    </cfRule>
  </conditionalFormatting>
  <conditionalFormatting sqref="AD3958:AF3961">
    <cfRule type="cellIs" dxfId="4456" priority="4387" stopIfTrue="1" operator="equal">
      <formula>"NO"</formula>
    </cfRule>
    <cfRule type="cellIs" dxfId="4455" priority="4388" stopIfTrue="1" operator="equal">
      <formula>"SI"</formula>
    </cfRule>
  </conditionalFormatting>
  <conditionalFormatting sqref="W3962:Y3962">
    <cfRule type="cellIs" dxfId="4454" priority="4385" stopIfTrue="1" operator="equal">
      <formula>"NO"</formula>
    </cfRule>
    <cfRule type="cellIs" dxfId="4453" priority="4386" stopIfTrue="1" operator="equal">
      <formula>"SI"</formula>
    </cfRule>
  </conditionalFormatting>
  <conditionalFormatting sqref="W3962:X3962">
    <cfRule type="cellIs" dxfId="4452" priority="4384" stopIfTrue="1" operator="equal">
      <formula>"NO APLICA"</formula>
    </cfRule>
  </conditionalFormatting>
  <conditionalFormatting sqref="Y3962">
    <cfRule type="cellIs" dxfId="4451" priority="4383" stopIfTrue="1" operator="equal">
      <formula>"NO APLICA"</formula>
    </cfRule>
  </conditionalFormatting>
  <conditionalFormatting sqref="AD3962:AF3962">
    <cfRule type="cellIs" dxfId="4450" priority="4381" stopIfTrue="1" operator="equal">
      <formula>"NO"</formula>
    </cfRule>
    <cfRule type="cellIs" dxfId="4449" priority="4382" stopIfTrue="1" operator="equal">
      <formula>"SI"</formula>
    </cfRule>
  </conditionalFormatting>
  <conditionalFormatting sqref="AE3967">
    <cfRule type="cellIs" dxfId="4448" priority="4378" stopIfTrue="1" operator="equal">
      <formula>"VERIFICAR"</formula>
    </cfRule>
    <cfRule type="cellIs" dxfId="4447" priority="4379" stopIfTrue="1" operator="equal">
      <formula>"NO CUMPLE"</formula>
    </cfRule>
    <cfRule type="cellIs" dxfId="4446" priority="4380" stopIfTrue="1" operator="equal">
      <formula>"CUMPLE"</formula>
    </cfRule>
  </conditionalFormatting>
  <conditionalFormatting sqref="AF3967">
    <cfRule type="cellIs" dxfId="4445" priority="4375" stopIfTrue="1" operator="equal">
      <formula>"VERIFICAR"</formula>
    </cfRule>
    <cfRule type="cellIs" dxfId="4444" priority="4376" stopIfTrue="1" operator="equal">
      <formula>"NO CUMPLE"</formula>
    </cfRule>
    <cfRule type="cellIs" dxfId="4443" priority="4377" stopIfTrue="1" operator="equal">
      <formula>"CUMPLE"</formula>
    </cfRule>
  </conditionalFormatting>
  <conditionalFormatting sqref="Y3970">
    <cfRule type="cellIs" dxfId="4442" priority="4374" operator="equal">
      <formula>"VERIFICAR CUADRO"</formula>
    </cfRule>
  </conditionalFormatting>
  <conditionalFormatting sqref="AC3971:AC3976">
    <cfRule type="cellIs" dxfId="4441" priority="4373" stopIfTrue="1" operator="greaterThan">
      <formula>0</formula>
    </cfRule>
  </conditionalFormatting>
  <conditionalFormatting sqref="AC3971:AC3976">
    <cfRule type="cellIs" dxfId="4440" priority="4372" stopIfTrue="1" operator="greaterThan">
      <formula>0</formula>
    </cfRule>
  </conditionalFormatting>
  <conditionalFormatting sqref="AD3971:AD3976">
    <cfRule type="containsText" dxfId="4439" priority="4370" stopIfTrue="1" operator="containsText" text="NO CUMPLE">
      <formula>NOT(ISERROR(SEARCH("NO CUMPLE",AD3971)))</formula>
    </cfRule>
    <cfRule type="containsText" dxfId="4438" priority="4371" stopIfTrue="1" operator="containsText" text="CUMPLE">
      <formula>NOT(ISERROR(SEARCH("CUMPLE",AD3971)))</formula>
    </cfRule>
  </conditionalFormatting>
  <conditionalFormatting sqref="Y3976">
    <cfRule type="containsText" dxfId="4437" priority="4368" stopIfTrue="1" operator="containsText" text="NO CUMPLE">
      <formula>NOT(ISERROR(SEARCH("NO CUMPLE",Y3976)))</formula>
    </cfRule>
    <cfRule type="containsText" dxfId="4436" priority="4369" stopIfTrue="1" operator="containsText" text="CUMPLE">
      <formula>NOT(ISERROR(SEARCH("CUMPLE",Y3976)))</formula>
    </cfRule>
  </conditionalFormatting>
  <conditionalFormatting sqref="AA3953:AA3962">
    <cfRule type="cellIs" dxfId="4435" priority="4366" stopIfTrue="1" operator="equal">
      <formula>"NO APLICA"</formula>
    </cfRule>
    <cfRule type="cellIs" dxfId="4434" priority="4367" stopIfTrue="1" operator="equal">
      <formula>"TERCIARIA"</formula>
    </cfRule>
  </conditionalFormatting>
  <conditionalFormatting sqref="AB3953:AB3962">
    <cfRule type="cellIs" dxfId="4433" priority="4364" stopIfTrue="1" operator="equal">
      <formula>"N/A"</formula>
    </cfRule>
    <cfRule type="cellIs" dxfId="4432" priority="4365" stopIfTrue="1" operator="equal">
      <formula>"NO"</formula>
    </cfRule>
  </conditionalFormatting>
  <conditionalFormatting sqref="M3983:M3992">
    <cfRule type="cellIs" dxfId="4431" priority="4363" stopIfTrue="1" operator="lessThan">
      <formula>0</formula>
    </cfRule>
  </conditionalFormatting>
  <conditionalFormatting sqref="C3985:D3991 B3984:B3991 F3985:I3991 C3984:I3984 B3992:O3992 B3983:R3983 Q3984:R3985 J3984:O3991 Q3986:Q3992 P3984:P3992">
    <cfRule type="cellIs" dxfId="4430" priority="4362" stopIfTrue="1" operator="greaterThan">
      <formula>0</formula>
    </cfRule>
  </conditionalFormatting>
  <conditionalFormatting sqref="C3985:D3991">
    <cfRule type="cellIs" dxfId="4429" priority="4361" stopIfTrue="1" operator="greaterThan">
      <formula>0</formula>
    </cfRule>
  </conditionalFormatting>
  <conditionalFormatting sqref="C3983:M3983 C3985:D3991 F3985:I3991 C3984:I3984 K3984:M3991 J3984:J3992 L3992:M3992">
    <cfRule type="cellIs" dxfId="4428" priority="4360" stopIfTrue="1" operator="greaterThan">
      <formula>0</formula>
    </cfRule>
  </conditionalFormatting>
  <conditionalFormatting sqref="M3983:M3992">
    <cfRule type="cellIs" dxfId="4427" priority="4359" stopIfTrue="1" operator="lessThan">
      <formula>0</formula>
    </cfRule>
  </conditionalFormatting>
  <conditionalFormatting sqref="J3984:J3992 L3984:O3992 C3983:O3983">
    <cfRule type="cellIs" dxfId="4426" priority="4358" stopIfTrue="1" operator="greaterThan">
      <formula>0</formula>
    </cfRule>
  </conditionalFormatting>
  <conditionalFormatting sqref="H3985:I3991 K3985:M3992">
    <cfRule type="cellIs" dxfId="4425" priority="4357" stopIfTrue="1" operator="greaterThan">
      <formula>0</formula>
    </cfRule>
  </conditionalFormatting>
  <conditionalFormatting sqref="I3984">
    <cfRule type="cellIs" dxfId="4424" priority="4356" stopIfTrue="1" operator="greaterThan">
      <formula>0</formula>
    </cfRule>
  </conditionalFormatting>
  <conditionalFormatting sqref="I3992">
    <cfRule type="cellIs" dxfId="4423" priority="4355" stopIfTrue="1" operator="greaterThan">
      <formula>0</formula>
    </cfRule>
  </conditionalFormatting>
  <conditionalFormatting sqref="E3985:E3991">
    <cfRule type="cellIs" dxfId="4422" priority="4354" stopIfTrue="1" operator="greaterThan">
      <formula>0</formula>
    </cfRule>
  </conditionalFormatting>
  <conditionalFormatting sqref="K4000:K4005">
    <cfRule type="containsText" dxfId="4421" priority="4352" stopIfTrue="1" operator="containsText" text="NO CUMPLE">
      <formula>NOT(ISERROR(SEARCH("NO CUMPLE",K4000)))</formula>
    </cfRule>
    <cfRule type="containsText" dxfId="4420" priority="4353" stopIfTrue="1" operator="containsText" text="CUMPLE">
      <formula>NOT(ISERROR(SEARCH("CUMPLE",K4000)))</formula>
    </cfRule>
  </conditionalFormatting>
  <conditionalFormatting sqref="K4006">
    <cfRule type="containsText" dxfId="4419" priority="4350" stopIfTrue="1" operator="containsText" text="NO CUMPLE">
      <formula>NOT(ISERROR(SEARCH("NO CUMPLE",K4006)))</formula>
    </cfRule>
    <cfRule type="containsText" dxfId="4418" priority="4351" stopIfTrue="1" operator="containsText" text="CUMPLE">
      <formula>NOT(ISERROR(SEARCH("CUMPLE",K4006)))</formula>
    </cfRule>
  </conditionalFormatting>
  <conditionalFormatting sqref="Q3999">
    <cfRule type="cellIs" dxfId="4417" priority="4348" operator="greaterThanOrEqual">
      <formula>NUMMINCONT</formula>
    </cfRule>
    <cfRule type="cellIs" dxfId="4416" priority="4349" operator="lessThan">
      <formula>NUMMINCONT</formula>
    </cfRule>
  </conditionalFormatting>
  <conditionalFormatting sqref="W3983:Y3991">
    <cfRule type="cellIs" dxfId="4415" priority="4346" stopIfTrue="1" operator="equal">
      <formula>"NO"</formula>
    </cfRule>
    <cfRule type="cellIs" dxfId="4414" priority="4347" stopIfTrue="1" operator="equal">
      <formula>"SI"</formula>
    </cfRule>
  </conditionalFormatting>
  <conditionalFormatting sqref="R3986">
    <cfRule type="cellIs" dxfId="4413" priority="4345" stopIfTrue="1" operator="greaterThan">
      <formula>0</formula>
    </cfRule>
  </conditionalFormatting>
  <conditionalFormatting sqref="R3987">
    <cfRule type="cellIs" dxfId="4412" priority="4344" stopIfTrue="1" operator="greaterThan">
      <formula>0</formula>
    </cfRule>
  </conditionalFormatting>
  <conditionalFormatting sqref="R3988">
    <cfRule type="cellIs" dxfId="4411" priority="4343" stopIfTrue="1" operator="greaterThan">
      <formula>0</formula>
    </cfRule>
  </conditionalFormatting>
  <conditionalFormatting sqref="R3989">
    <cfRule type="cellIs" dxfId="4410" priority="4342" stopIfTrue="1" operator="greaterThan">
      <formula>0</formula>
    </cfRule>
  </conditionalFormatting>
  <conditionalFormatting sqref="R3990">
    <cfRule type="cellIs" dxfId="4409" priority="4341" stopIfTrue="1" operator="greaterThan">
      <formula>0</formula>
    </cfRule>
  </conditionalFormatting>
  <conditionalFormatting sqref="R3991">
    <cfRule type="cellIs" dxfId="4408" priority="4340" stopIfTrue="1" operator="greaterThan">
      <formula>0</formula>
    </cfRule>
  </conditionalFormatting>
  <conditionalFormatting sqref="R3992">
    <cfRule type="cellIs" dxfId="4407" priority="4339" stopIfTrue="1" operator="greaterThan">
      <formula>0</formula>
    </cfRule>
  </conditionalFormatting>
  <conditionalFormatting sqref="W3983:X3983">
    <cfRule type="cellIs" dxfId="4406" priority="4338" stopIfTrue="1" operator="equal">
      <formula>"NO APLICA"</formula>
    </cfRule>
  </conditionalFormatting>
  <conditionalFormatting sqref="W3984:X3987">
    <cfRule type="cellIs" dxfId="4405" priority="4337" stopIfTrue="1" operator="equal">
      <formula>"NO APLICA"</formula>
    </cfRule>
  </conditionalFormatting>
  <conditionalFormatting sqref="W3984:X3984">
    <cfRule type="cellIs" dxfId="4404" priority="4336" stopIfTrue="1" operator="equal">
      <formula>"NO APLICA"</formula>
    </cfRule>
  </conditionalFormatting>
  <conditionalFormatting sqref="Y3983">
    <cfRule type="cellIs" dxfId="4403" priority="4335" stopIfTrue="1" operator="equal">
      <formula>"NO APLICA"</formula>
    </cfRule>
  </conditionalFormatting>
  <conditionalFormatting sqref="Y3984:Y3987">
    <cfRule type="cellIs" dxfId="4402" priority="4334" stopIfTrue="1" operator="equal">
      <formula>"NO APLICA"</formula>
    </cfRule>
  </conditionalFormatting>
  <conditionalFormatting sqref="W3988:X3991">
    <cfRule type="cellIs" dxfId="4401" priority="4333" stopIfTrue="1" operator="equal">
      <formula>"NO APLICA"</formula>
    </cfRule>
  </conditionalFormatting>
  <conditionalFormatting sqref="W3988:X3988">
    <cfRule type="cellIs" dxfId="4400" priority="4332" stopIfTrue="1" operator="equal">
      <formula>"NO APLICA"</formula>
    </cfRule>
  </conditionalFormatting>
  <conditionalFormatting sqref="Y3988:Y3991">
    <cfRule type="cellIs" dxfId="4399" priority="4331" stopIfTrue="1" operator="equal">
      <formula>"NO APLICA"</formula>
    </cfRule>
  </conditionalFormatting>
  <conditionalFormatting sqref="T3997">
    <cfRule type="cellIs" dxfId="4398" priority="4329" operator="equal">
      <formula>"CUMPLE"</formula>
    </cfRule>
    <cfRule type="cellIs" dxfId="4397" priority="4330" operator="equal">
      <formula>"NO CUMPLE"</formula>
    </cfRule>
  </conditionalFormatting>
  <conditionalFormatting sqref="T3997:T3999">
    <cfRule type="cellIs" dxfId="4396" priority="4328" operator="equal">
      <formula>"VERIFICAR"</formula>
    </cfRule>
  </conditionalFormatting>
  <conditionalFormatting sqref="AD3983:AF3987">
    <cfRule type="cellIs" dxfId="4395" priority="4326" stopIfTrue="1" operator="equal">
      <formula>"NO"</formula>
    </cfRule>
    <cfRule type="cellIs" dxfId="4394" priority="4327" stopIfTrue="1" operator="equal">
      <formula>"SI"</formula>
    </cfRule>
  </conditionalFormatting>
  <conditionalFormatting sqref="AD3988:AF3991">
    <cfRule type="cellIs" dxfId="4393" priority="4324" stopIfTrue="1" operator="equal">
      <formula>"NO"</formula>
    </cfRule>
    <cfRule type="cellIs" dxfId="4392" priority="4325" stopIfTrue="1" operator="equal">
      <formula>"SI"</formula>
    </cfRule>
  </conditionalFormatting>
  <conditionalFormatting sqref="W3992:Y3992">
    <cfRule type="cellIs" dxfId="4391" priority="4322" stopIfTrue="1" operator="equal">
      <formula>"NO"</formula>
    </cfRule>
    <cfRule type="cellIs" dxfId="4390" priority="4323" stopIfTrue="1" operator="equal">
      <formula>"SI"</formula>
    </cfRule>
  </conditionalFormatting>
  <conditionalFormatting sqref="W3992:X3992">
    <cfRule type="cellIs" dxfId="4389" priority="4321" stopIfTrue="1" operator="equal">
      <formula>"NO APLICA"</formula>
    </cfRule>
  </conditionalFormatting>
  <conditionalFormatting sqref="Y3992">
    <cfRule type="cellIs" dxfId="4388" priority="4320" stopIfTrue="1" operator="equal">
      <formula>"NO APLICA"</formula>
    </cfRule>
  </conditionalFormatting>
  <conditionalFormatting sqref="AD3992:AF3992">
    <cfRule type="cellIs" dxfId="4387" priority="4318" stopIfTrue="1" operator="equal">
      <formula>"NO"</formula>
    </cfRule>
    <cfRule type="cellIs" dxfId="4386" priority="4319" stopIfTrue="1" operator="equal">
      <formula>"SI"</formula>
    </cfRule>
  </conditionalFormatting>
  <conditionalFormatting sqref="AE3997">
    <cfRule type="cellIs" dxfId="4385" priority="4315" stopIfTrue="1" operator="equal">
      <formula>"VERIFICAR"</formula>
    </cfRule>
    <cfRule type="cellIs" dxfId="4384" priority="4316" stopIfTrue="1" operator="equal">
      <formula>"NO CUMPLE"</formula>
    </cfRule>
    <cfRule type="cellIs" dxfId="4383" priority="4317" stopIfTrue="1" operator="equal">
      <formula>"CUMPLE"</formula>
    </cfRule>
  </conditionalFormatting>
  <conditionalFormatting sqref="AF3997">
    <cfRule type="cellIs" dxfId="4382" priority="4312" stopIfTrue="1" operator="equal">
      <formula>"VERIFICAR"</formula>
    </cfRule>
    <cfRule type="cellIs" dxfId="4381" priority="4313" stopIfTrue="1" operator="equal">
      <formula>"NO CUMPLE"</formula>
    </cfRule>
    <cfRule type="cellIs" dxfId="4380" priority="4314" stopIfTrue="1" operator="equal">
      <formula>"CUMPLE"</formula>
    </cfRule>
  </conditionalFormatting>
  <conditionalFormatting sqref="Y4000">
    <cfRule type="cellIs" dxfId="4379" priority="4311" operator="equal">
      <formula>"VERIFICAR CUADRO"</formula>
    </cfRule>
  </conditionalFormatting>
  <conditionalFormatting sqref="AC4001:AC4006">
    <cfRule type="cellIs" dxfId="4378" priority="4310" stopIfTrue="1" operator="greaterThan">
      <formula>0</formula>
    </cfRule>
  </conditionalFormatting>
  <conditionalFormatting sqref="AC4001:AC4006">
    <cfRule type="cellIs" dxfId="4377" priority="4309" stopIfTrue="1" operator="greaterThan">
      <formula>0</formula>
    </cfRule>
  </conditionalFormatting>
  <conditionalFormatting sqref="AD4001:AD4006">
    <cfRule type="containsText" dxfId="4376" priority="4307" stopIfTrue="1" operator="containsText" text="NO CUMPLE">
      <formula>NOT(ISERROR(SEARCH("NO CUMPLE",AD4001)))</formula>
    </cfRule>
    <cfRule type="containsText" dxfId="4375" priority="4308" stopIfTrue="1" operator="containsText" text="CUMPLE">
      <formula>NOT(ISERROR(SEARCH("CUMPLE",AD4001)))</formula>
    </cfRule>
  </conditionalFormatting>
  <conditionalFormatting sqref="Y4006">
    <cfRule type="containsText" dxfId="4374" priority="4305" stopIfTrue="1" operator="containsText" text="NO CUMPLE">
      <formula>NOT(ISERROR(SEARCH("NO CUMPLE",Y4006)))</formula>
    </cfRule>
    <cfRule type="containsText" dxfId="4373" priority="4306" stopIfTrue="1" operator="containsText" text="CUMPLE">
      <formula>NOT(ISERROR(SEARCH("CUMPLE",Y4006)))</formula>
    </cfRule>
  </conditionalFormatting>
  <conditionalFormatting sqref="AA3983:AA3992">
    <cfRule type="cellIs" dxfId="4372" priority="4303" stopIfTrue="1" operator="equal">
      <formula>"NO APLICA"</formula>
    </cfRule>
    <cfRule type="cellIs" dxfId="4371" priority="4304" stopIfTrue="1" operator="equal">
      <formula>"TERCIARIA"</formula>
    </cfRule>
  </conditionalFormatting>
  <conditionalFormatting sqref="AB3983:AB3992">
    <cfRule type="cellIs" dxfId="4370" priority="4301" stopIfTrue="1" operator="equal">
      <formula>"N/A"</formula>
    </cfRule>
    <cfRule type="cellIs" dxfId="4369" priority="4302" stopIfTrue="1" operator="equal">
      <formula>"NO"</formula>
    </cfRule>
  </conditionalFormatting>
  <conditionalFormatting sqref="M4013:M4022">
    <cfRule type="cellIs" dxfId="4368" priority="4300" stopIfTrue="1" operator="lessThan">
      <formula>0</formula>
    </cfRule>
  </conditionalFormatting>
  <conditionalFormatting sqref="C4015:D4021 B4014:B4021 F4015:I4021 C4014:I4014 B4022:O4022 B4013:R4013 Q4014:R4015 J4014:O4021 Q4016:Q4022 P4014:P4022">
    <cfRule type="cellIs" dxfId="4367" priority="4299" stopIfTrue="1" operator="greaterThan">
      <formula>0</formula>
    </cfRule>
  </conditionalFormatting>
  <conditionalFormatting sqref="C4015:D4021">
    <cfRule type="cellIs" dxfId="4366" priority="4298" stopIfTrue="1" operator="greaterThan">
      <formula>0</formula>
    </cfRule>
  </conditionalFormatting>
  <conditionalFormatting sqref="C4013:M4013 C4015:D4021 F4015:I4021 C4014:I4014 K4014:M4021 J4014:J4022 L4022:M4022">
    <cfRule type="cellIs" dxfId="4365" priority="4297" stopIfTrue="1" operator="greaterThan">
      <formula>0</formula>
    </cfRule>
  </conditionalFormatting>
  <conditionalFormatting sqref="M4013:M4022">
    <cfRule type="cellIs" dxfId="4364" priority="4296" stopIfTrue="1" operator="lessThan">
      <formula>0</formula>
    </cfRule>
  </conditionalFormatting>
  <conditionalFormatting sqref="J4014:J4022 L4014:O4022 C4013:O4013">
    <cfRule type="cellIs" dxfId="4363" priority="4295" stopIfTrue="1" operator="greaterThan">
      <formula>0</formula>
    </cfRule>
  </conditionalFormatting>
  <conditionalFormatting sqref="H4015:I4021 K4015:M4022">
    <cfRule type="cellIs" dxfId="4362" priority="4294" stopIfTrue="1" operator="greaterThan">
      <formula>0</formula>
    </cfRule>
  </conditionalFormatting>
  <conditionalFormatting sqref="I4014">
    <cfRule type="cellIs" dxfId="4361" priority="4293" stopIfTrue="1" operator="greaterThan">
      <formula>0</formula>
    </cfRule>
  </conditionalFormatting>
  <conditionalFormatting sqref="I4022">
    <cfRule type="cellIs" dxfId="4360" priority="4292" stopIfTrue="1" operator="greaterThan">
      <formula>0</formula>
    </cfRule>
  </conditionalFormatting>
  <conditionalFormatting sqref="E4015:E4021">
    <cfRule type="cellIs" dxfId="4359" priority="4291" stopIfTrue="1" operator="greaterThan">
      <formula>0</formula>
    </cfRule>
  </conditionalFormatting>
  <conditionalFormatting sqref="K4030:K4035">
    <cfRule type="containsText" dxfId="4358" priority="4289" stopIfTrue="1" operator="containsText" text="NO CUMPLE">
      <formula>NOT(ISERROR(SEARCH("NO CUMPLE",K4030)))</formula>
    </cfRule>
    <cfRule type="containsText" dxfId="4357" priority="4290" stopIfTrue="1" operator="containsText" text="CUMPLE">
      <formula>NOT(ISERROR(SEARCH("CUMPLE",K4030)))</formula>
    </cfRule>
  </conditionalFormatting>
  <conditionalFormatting sqref="K4036">
    <cfRule type="containsText" dxfId="4356" priority="4287" stopIfTrue="1" operator="containsText" text="NO CUMPLE">
      <formula>NOT(ISERROR(SEARCH("NO CUMPLE",K4036)))</formula>
    </cfRule>
    <cfRule type="containsText" dxfId="4355" priority="4288" stopIfTrue="1" operator="containsText" text="CUMPLE">
      <formula>NOT(ISERROR(SEARCH("CUMPLE",K4036)))</formula>
    </cfRule>
  </conditionalFormatting>
  <conditionalFormatting sqref="Q4029">
    <cfRule type="cellIs" dxfId="4354" priority="4285" operator="greaterThanOrEqual">
      <formula>NUMMINCONT</formula>
    </cfRule>
    <cfRule type="cellIs" dxfId="4353" priority="4286" operator="lessThan">
      <formula>NUMMINCONT</formula>
    </cfRule>
  </conditionalFormatting>
  <conditionalFormatting sqref="W4013:Y4021">
    <cfRule type="cellIs" dxfId="4352" priority="4283" stopIfTrue="1" operator="equal">
      <formula>"NO"</formula>
    </cfRule>
    <cfRule type="cellIs" dxfId="4351" priority="4284" stopIfTrue="1" operator="equal">
      <formula>"SI"</formula>
    </cfRule>
  </conditionalFormatting>
  <conditionalFormatting sqref="R4016">
    <cfRule type="cellIs" dxfId="4350" priority="4282" stopIfTrue="1" operator="greaterThan">
      <formula>0</formula>
    </cfRule>
  </conditionalFormatting>
  <conditionalFormatting sqref="R4017">
    <cfRule type="cellIs" dxfId="4349" priority="4281" stopIfTrue="1" operator="greaterThan">
      <formula>0</formula>
    </cfRule>
  </conditionalFormatting>
  <conditionalFormatting sqref="R4018">
    <cfRule type="cellIs" dxfId="4348" priority="4280" stopIfTrue="1" operator="greaterThan">
      <formula>0</formula>
    </cfRule>
  </conditionalFormatting>
  <conditionalFormatting sqref="R4019">
    <cfRule type="cellIs" dxfId="4347" priority="4279" stopIfTrue="1" operator="greaterThan">
      <formula>0</formula>
    </cfRule>
  </conditionalFormatting>
  <conditionalFormatting sqref="R4020">
    <cfRule type="cellIs" dxfId="4346" priority="4278" stopIfTrue="1" operator="greaterThan">
      <formula>0</formula>
    </cfRule>
  </conditionalFormatting>
  <conditionalFormatting sqref="R4021">
    <cfRule type="cellIs" dxfId="4345" priority="4277" stopIfTrue="1" operator="greaterThan">
      <formula>0</formula>
    </cfRule>
  </conditionalFormatting>
  <conditionalFormatting sqref="R4022">
    <cfRule type="cellIs" dxfId="4344" priority="4276" stopIfTrue="1" operator="greaterThan">
      <formula>0</formula>
    </cfRule>
  </conditionalFormatting>
  <conditionalFormatting sqref="W4013:X4013">
    <cfRule type="cellIs" dxfId="4343" priority="4275" stopIfTrue="1" operator="equal">
      <formula>"NO APLICA"</formula>
    </cfRule>
  </conditionalFormatting>
  <conditionalFormatting sqref="W4014:X4017">
    <cfRule type="cellIs" dxfId="4342" priority="4274" stopIfTrue="1" operator="equal">
      <formula>"NO APLICA"</formula>
    </cfRule>
  </conditionalFormatting>
  <conditionalFormatting sqref="W4014:X4014">
    <cfRule type="cellIs" dxfId="4341" priority="4273" stopIfTrue="1" operator="equal">
      <formula>"NO APLICA"</formula>
    </cfRule>
  </conditionalFormatting>
  <conditionalFormatting sqref="Y4013">
    <cfRule type="cellIs" dxfId="4340" priority="4272" stopIfTrue="1" operator="equal">
      <formula>"NO APLICA"</formula>
    </cfRule>
  </conditionalFormatting>
  <conditionalFormatting sqref="Y4014:Y4017">
    <cfRule type="cellIs" dxfId="4339" priority="4271" stopIfTrue="1" operator="equal">
      <formula>"NO APLICA"</formula>
    </cfRule>
  </conditionalFormatting>
  <conditionalFormatting sqref="W4018:X4021">
    <cfRule type="cellIs" dxfId="4338" priority="4270" stopIfTrue="1" operator="equal">
      <formula>"NO APLICA"</formula>
    </cfRule>
  </conditionalFormatting>
  <conditionalFormatting sqref="W4018:X4018">
    <cfRule type="cellIs" dxfId="4337" priority="4269" stopIfTrue="1" operator="equal">
      <formula>"NO APLICA"</formula>
    </cfRule>
  </conditionalFormatting>
  <conditionalFormatting sqref="Y4018:Y4021">
    <cfRule type="cellIs" dxfId="4336" priority="4268" stopIfTrue="1" operator="equal">
      <formula>"NO APLICA"</formula>
    </cfRule>
  </conditionalFormatting>
  <conditionalFormatting sqref="T4027">
    <cfRule type="cellIs" dxfId="4335" priority="4266" operator="equal">
      <formula>"CUMPLE"</formula>
    </cfRule>
    <cfRule type="cellIs" dxfId="4334" priority="4267" operator="equal">
      <formula>"NO CUMPLE"</formula>
    </cfRule>
  </conditionalFormatting>
  <conditionalFormatting sqref="T4027:T4029">
    <cfRule type="cellIs" dxfId="4333" priority="4265" operator="equal">
      <formula>"VERIFICAR"</formula>
    </cfRule>
  </conditionalFormatting>
  <conditionalFormatting sqref="AD4013:AF4017">
    <cfRule type="cellIs" dxfId="4332" priority="4263" stopIfTrue="1" operator="equal">
      <formula>"NO"</formula>
    </cfRule>
    <cfRule type="cellIs" dxfId="4331" priority="4264" stopIfTrue="1" operator="equal">
      <formula>"SI"</formula>
    </cfRule>
  </conditionalFormatting>
  <conditionalFormatting sqref="AD4018:AF4021">
    <cfRule type="cellIs" dxfId="4330" priority="4261" stopIfTrue="1" operator="equal">
      <formula>"NO"</formula>
    </cfRule>
    <cfRule type="cellIs" dxfId="4329" priority="4262" stopIfTrue="1" operator="equal">
      <formula>"SI"</formula>
    </cfRule>
  </conditionalFormatting>
  <conditionalFormatting sqref="W4022:Y4022">
    <cfRule type="cellIs" dxfId="4328" priority="4259" stopIfTrue="1" operator="equal">
      <formula>"NO"</formula>
    </cfRule>
    <cfRule type="cellIs" dxfId="4327" priority="4260" stopIfTrue="1" operator="equal">
      <formula>"SI"</formula>
    </cfRule>
  </conditionalFormatting>
  <conditionalFormatting sqref="W4022:X4022">
    <cfRule type="cellIs" dxfId="4326" priority="4258" stopIfTrue="1" operator="equal">
      <formula>"NO APLICA"</formula>
    </cfRule>
  </conditionalFormatting>
  <conditionalFormatting sqref="Y4022">
    <cfRule type="cellIs" dxfId="4325" priority="4257" stopIfTrue="1" operator="equal">
      <formula>"NO APLICA"</formula>
    </cfRule>
  </conditionalFormatting>
  <conditionalFormatting sqref="AD4022:AF4022">
    <cfRule type="cellIs" dxfId="4324" priority="4255" stopIfTrue="1" operator="equal">
      <formula>"NO"</formula>
    </cfRule>
    <cfRule type="cellIs" dxfId="4323" priority="4256" stopIfTrue="1" operator="equal">
      <formula>"SI"</formula>
    </cfRule>
  </conditionalFormatting>
  <conditionalFormatting sqref="AE4027">
    <cfRule type="cellIs" dxfId="4322" priority="4252" stopIfTrue="1" operator="equal">
      <formula>"VERIFICAR"</formula>
    </cfRule>
    <cfRule type="cellIs" dxfId="4321" priority="4253" stopIfTrue="1" operator="equal">
      <formula>"NO CUMPLE"</formula>
    </cfRule>
    <cfRule type="cellIs" dxfId="4320" priority="4254" stopIfTrue="1" operator="equal">
      <formula>"CUMPLE"</formula>
    </cfRule>
  </conditionalFormatting>
  <conditionalFormatting sqref="AF4027">
    <cfRule type="cellIs" dxfId="4319" priority="4249" stopIfTrue="1" operator="equal">
      <formula>"VERIFICAR"</formula>
    </cfRule>
    <cfRule type="cellIs" dxfId="4318" priority="4250" stopIfTrue="1" operator="equal">
      <formula>"NO CUMPLE"</formula>
    </cfRule>
    <cfRule type="cellIs" dxfId="4317" priority="4251" stopIfTrue="1" operator="equal">
      <formula>"CUMPLE"</formula>
    </cfRule>
  </conditionalFormatting>
  <conditionalFormatting sqref="Y4030">
    <cfRule type="cellIs" dxfId="4316" priority="4248" operator="equal">
      <formula>"VERIFICAR CUADRO"</formula>
    </cfRule>
  </conditionalFormatting>
  <conditionalFormatting sqref="AC4031:AC4036">
    <cfRule type="cellIs" dxfId="4315" priority="4247" stopIfTrue="1" operator="greaterThan">
      <formula>0</formula>
    </cfRule>
  </conditionalFormatting>
  <conditionalFormatting sqref="AC4031:AC4036">
    <cfRule type="cellIs" dxfId="4314" priority="4246" stopIfTrue="1" operator="greaterThan">
      <formula>0</formula>
    </cfRule>
  </conditionalFormatting>
  <conditionalFormatting sqref="AD4031:AD4036">
    <cfRule type="containsText" dxfId="4313" priority="4244" stopIfTrue="1" operator="containsText" text="NO CUMPLE">
      <formula>NOT(ISERROR(SEARCH("NO CUMPLE",AD4031)))</formula>
    </cfRule>
    <cfRule type="containsText" dxfId="4312" priority="4245" stopIfTrue="1" operator="containsText" text="CUMPLE">
      <formula>NOT(ISERROR(SEARCH("CUMPLE",AD4031)))</formula>
    </cfRule>
  </conditionalFormatting>
  <conditionalFormatting sqref="Y4036">
    <cfRule type="containsText" dxfId="4311" priority="4242" stopIfTrue="1" operator="containsText" text="NO CUMPLE">
      <formula>NOT(ISERROR(SEARCH("NO CUMPLE",Y4036)))</formula>
    </cfRule>
    <cfRule type="containsText" dxfId="4310" priority="4243" stopIfTrue="1" operator="containsText" text="CUMPLE">
      <formula>NOT(ISERROR(SEARCH("CUMPLE",Y4036)))</formula>
    </cfRule>
  </conditionalFormatting>
  <conditionalFormatting sqref="AA4013:AA4022">
    <cfRule type="cellIs" dxfId="4309" priority="4240" stopIfTrue="1" operator="equal">
      <formula>"NO APLICA"</formula>
    </cfRule>
    <cfRule type="cellIs" dxfId="4308" priority="4241" stopIfTrue="1" operator="equal">
      <formula>"TERCIARIA"</formula>
    </cfRule>
  </conditionalFormatting>
  <conditionalFormatting sqref="AB4013:AB4022">
    <cfRule type="cellIs" dxfId="4307" priority="4238" stopIfTrue="1" operator="equal">
      <formula>"N/A"</formula>
    </cfRule>
    <cfRule type="cellIs" dxfId="4306" priority="4239" stopIfTrue="1" operator="equal">
      <formula>"NO"</formula>
    </cfRule>
  </conditionalFormatting>
  <conditionalFormatting sqref="M4043:M4052">
    <cfRule type="cellIs" dxfId="4305" priority="4237" stopIfTrue="1" operator="lessThan">
      <formula>0</formula>
    </cfRule>
  </conditionalFormatting>
  <conditionalFormatting sqref="C4045:D4051 B4044:B4051 F4045:I4051 C4044:I4044 B4052:O4052 B4043:R4043 Q4044:R4045 J4044:O4051 Q4046:Q4052 P4044:P4052">
    <cfRule type="cellIs" dxfId="4304" priority="4236" stopIfTrue="1" operator="greaterThan">
      <formula>0</formula>
    </cfRule>
  </conditionalFormatting>
  <conditionalFormatting sqref="C4045:D4051">
    <cfRule type="cellIs" dxfId="4303" priority="4235" stopIfTrue="1" operator="greaterThan">
      <formula>0</formula>
    </cfRule>
  </conditionalFormatting>
  <conditionalFormatting sqref="C4043:M4043 C4045:D4051 F4045:I4051 C4044:I4044 K4044:M4051 J4044:J4052 L4052:M4052">
    <cfRule type="cellIs" dxfId="4302" priority="4234" stopIfTrue="1" operator="greaterThan">
      <formula>0</formula>
    </cfRule>
  </conditionalFormatting>
  <conditionalFormatting sqref="M4043:M4052">
    <cfRule type="cellIs" dxfId="4301" priority="4233" stopIfTrue="1" operator="lessThan">
      <formula>0</formula>
    </cfRule>
  </conditionalFormatting>
  <conditionalFormatting sqref="J4044:J4052 L4044:O4052 C4043:O4043">
    <cfRule type="cellIs" dxfId="4300" priority="4232" stopIfTrue="1" operator="greaterThan">
      <formula>0</formula>
    </cfRule>
  </conditionalFormatting>
  <conditionalFormatting sqref="H4045:I4051 K4045:M4052">
    <cfRule type="cellIs" dxfId="4299" priority="4231" stopIfTrue="1" operator="greaterThan">
      <formula>0</formula>
    </cfRule>
  </conditionalFormatting>
  <conditionalFormatting sqref="I4044">
    <cfRule type="cellIs" dxfId="4298" priority="4230" stopIfTrue="1" operator="greaterThan">
      <formula>0</formula>
    </cfRule>
  </conditionalFormatting>
  <conditionalFormatting sqref="I4052">
    <cfRule type="cellIs" dxfId="4297" priority="4229" stopIfTrue="1" operator="greaterThan">
      <formula>0</formula>
    </cfRule>
  </conditionalFormatting>
  <conditionalFormatting sqref="E4045:E4051">
    <cfRule type="cellIs" dxfId="4296" priority="4228" stopIfTrue="1" operator="greaterThan">
      <formula>0</formula>
    </cfRule>
  </conditionalFormatting>
  <conditionalFormatting sqref="K4060:K4065">
    <cfRule type="containsText" dxfId="4295" priority="4226" stopIfTrue="1" operator="containsText" text="NO CUMPLE">
      <formula>NOT(ISERROR(SEARCH("NO CUMPLE",K4060)))</formula>
    </cfRule>
    <cfRule type="containsText" dxfId="4294" priority="4227" stopIfTrue="1" operator="containsText" text="CUMPLE">
      <formula>NOT(ISERROR(SEARCH("CUMPLE",K4060)))</formula>
    </cfRule>
  </conditionalFormatting>
  <conditionalFormatting sqref="K4066">
    <cfRule type="containsText" dxfId="4293" priority="4224" stopIfTrue="1" operator="containsText" text="NO CUMPLE">
      <formula>NOT(ISERROR(SEARCH("NO CUMPLE",K4066)))</formula>
    </cfRule>
    <cfRule type="containsText" dxfId="4292" priority="4225" stopIfTrue="1" operator="containsText" text="CUMPLE">
      <formula>NOT(ISERROR(SEARCH("CUMPLE",K4066)))</formula>
    </cfRule>
  </conditionalFormatting>
  <conditionalFormatting sqref="Q4059">
    <cfRule type="cellIs" dxfId="4291" priority="4222" operator="greaterThanOrEqual">
      <formula>NUMMINCONT</formula>
    </cfRule>
    <cfRule type="cellIs" dxfId="4290" priority="4223" operator="lessThan">
      <formula>NUMMINCONT</formula>
    </cfRule>
  </conditionalFormatting>
  <conditionalFormatting sqref="W4043:Y4051">
    <cfRule type="cellIs" dxfId="4289" priority="4220" stopIfTrue="1" operator="equal">
      <formula>"NO"</formula>
    </cfRule>
    <cfRule type="cellIs" dxfId="4288" priority="4221" stopIfTrue="1" operator="equal">
      <formula>"SI"</formula>
    </cfRule>
  </conditionalFormatting>
  <conditionalFormatting sqref="R4046">
    <cfRule type="cellIs" dxfId="4287" priority="4219" stopIfTrue="1" operator="greaterThan">
      <formula>0</formula>
    </cfRule>
  </conditionalFormatting>
  <conditionalFormatting sqref="R4047">
    <cfRule type="cellIs" dxfId="4286" priority="4218" stopIfTrue="1" operator="greaterThan">
      <formula>0</formula>
    </cfRule>
  </conditionalFormatting>
  <conditionalFormatting sqref="R4048">
    <cfRule type="cellIs" dxfId="4285" priority="4217" stopIfTrue="1" operator="greaterThan">
      <formula>0</formula>
    </cfRule>
  </conditionalFormatting>
  <conditionalFormatting sqref="R4049">
    <cfRule type="cellIs" dxfId="4284" priority="4216" stopIfTrue="1" operator="greaterThan">
      <formula>0</formula>
    </cfRule>
  </conditionalFormatting>
  <conditionalFormatting sqref="R4050">
    <cfRule type="cellIs" dxfId="4283" priority="4215" stopIfTrue="1" operator="greaterThan">
      <formula>0</formula>
    </cfRule>
  </conditionalFormatting>
  <conditionalFormatting sqref="R4051">
    <cfRule type="cellIs" dxfId="4282" priority="4214" stopIfTrue="1" operator="greaterThan">
      <formula>0</formula>
    </cfRule>
  </conditionalFormatting>
  <conditionalFormatting sqref="R4052">
    <cfRule type="cellIs" dxfId="4281" priority="4213" stopIfTrue="1" operator="greaterThan">
      <formula>0</formula>
    </cfRule>
  </conditionalFormatting>
  <conditionalFormatting sqref="W4043:X4043">
    <cfRule type="cellIs" dxfId="4280" priority="4212" stopIfTrue="1" operator="equal">
      <formula>"NO APLICA"</formula>
    </cfRule>
  </conditionalFormatting>
  <conditionalFormatting sqref="W4044:X4047">
    <cfRule type="cellIs" dxfId="4279" priority="4211" stopIfTrue="1" operator="equal">
      <formula>"NO APLICA"</formula>
    </cfRule>
  </conditionalFormatting>
  <conditionalFormatting sqref="W4044:X4044">
    <cfRule type="cellIs" dxfId="4278" priority="4210" stopIfTrue="1" operator="equal">
      <formula>"NO APLICA"</formula>
    </cfRule>
  </conditionalFormatting>
  <conditionalFormatting sqref="Y4043">
    <cfRule type="cellIs" dxfId="4277" priority="4209" stopIfTrue="1" operator="equal">
      <formula>"NO APLICA"</formula>
    </cfRule>
  </conditionalFormatting>
  <conditionalFormatting sqref="Y4044:Y4047">
    <cfRule type="cellIs" dxfId="4276" priority="4208" stopIfTrue="1" operator="equal">
      <formula>"NO APLICA"</formula>
    </cfRule>
  </conditionalFormatting>
  <conditionalFormatting sqref="W4048:X4051">
    <cfRule type="cellIs" dxfId="4275" priority="4207" stopIfTrue="1" operator="equal">
      <formula>"NO APLICA"</formula>
    </cfRule>
  </conditionalFormatting>
  <conditionalFormatting sqref="W4048:X4048">
    <cfRule type="cellIs" dxfId="4274" priority="4206" stopIfTrue="1" operator="equal">
      <formula>"NO APLICA"</formula>
    </cfRule>
  </conditionalFormatting>
  <conditionalFormatting sqref="Y4048:Y4051">
    <cfRule type="cellIs" dxfId="4273" priority="4205" stopIfTrue="1" operator="equal">
      <formula>"NO APLICA"</formula>
    </cfRule>
  </conditionalFormatting>
  <conditionalFormatting sqref="T4057">
    <cfRule type="cellIs" dxfId="4272" priority="4203" operator="equal">
      <formula>"CUMPLE"</formula>
    </cfRule>
    <cfRule type="cellIs" dxfId="4271" priority="4204" operator="equal">
      <formula>"NO CUMPLE"</formula>
    </cfRule>
  </conditionalFormatting>
  <conditionalFormatting sqref="T4057:T4059">
    <cfRule type="cellIs" dxfId="4270" priority="4202" operator="equal">
      <formula>"VERIFICAR"</formula>
    </cfRule>
  </conditionalFormatting>
  <conditionalFormatting sqref="AD4043:AF4047">
    <cfRule type="cellIs" dxfId="4269" priority="4200" stopIfTrue="1" operator="equal">
      <formula>"NO"</formula>
    </cfRule>
    <cfRule type="cellIs" dxfId="4268" priority="4201" stopIfTrue="1" operator="equal">
      <formula>"SI"</formula>
    </cfRule>
  </conditionalFormatting>
  <conditionalFormatting sqref="AD4048:AF4051">
    <cfRule type="cellIs" dxfId="4267" priority="4198" stopIfTrue="1" operator="equal">
      <formula>"NO"</formula>
    </cfRule>
    <cfRule type="cellIs" dxfId="4266" priority="4199" stopIfTrue="1" operator="equal">
      <formula>"SI"</formula>
    </cfRule>
  </conditionalFormatting>
  <conditionalFormatting sqref="W4052:Y4052">
    <cfRule type="cellIs" dxfId="4265" priority="4196" stopIfTrue="1" operator="equal">
      <formula>"NO"</formula>
    </cfRule>
    <cfRule type="cellIs" dxfId="4264" priority="4197" stopIfTrue="1" operator="equal">
      <formula>"SI"</formula>
    </cfRule>
  </conditionalFormatting>
  <conditionalFormatting sqref="W4052:X4052">
    <cfRule type="cellIs" dxfId="4263" priority="4195" stopIfTrue="1" operator="equal">
      <formula>"NO APLICA"</formula>
    </cfRule>
  </conditionalFormatting>
  <conditionalFormatting sqref="Y4052">
    <cfRule type="cellIs" dxfId="4262" priority="4194" stopIfTrue="1" operator="equal">
      <formula>"NO APLICA"</formula>
    </cfRule>
  </conditionalFormatting>
  <conditionalFormatting sqref="AD4052:AF4052">
    <cfRule type="cellIs" dxfId="4261" priority="4192" stopIfTrue="1" operator="equal">
      <formula>"NO"</formula>
    </cfRule>
    <cfRule type="cellIs" dxfId="4260" priority="4193" stopIfTrue="1" operator="equal">
      <formula>"SI"</formula>
    </cfRule>
  </conditionalFormatting>
  <conditionalFormatting sqref="AE4057">
    <cfRule type="cellIs" dxfId="4259" priority="4189" stopIfTrue="1" operator="equal">
      <formula>"VERIFICAR"</formula>
    </cfRule>
    <cfRule type="cellIs" dxfId="4258" priority="4190" stopIfTrue="1" operator="equal">
      <formula>"NO CUMPLE"</formula>
    </cfRule>
    <cfRule type="cellIs" dxfId="4257" priority="4191" stopIfTrue="1" operator="equal">
      <formula>"CUMPLE"</formula>
    </cfRule>
  </conditionalFormatting>
  <conditionalFormatting sqref="AF4057">
    <cfRule type="cellIs" dxfId="4256" priority="4186" stopIfTrue="1" operator="equal">
      <formula>"VERIFICAR"</formula>
    </cfRule>
    <cfRule type="cellIs" dxfId="4255" priority="4187" stopIfTrue="1" operator="equal">
      <formula>"NO CUMPLE"</formula>
    </cfRule>
    <cfRule type="cellIs" dxfId="4254" priority="4188" stopIfTrue="1" operator="equal">
      <formula>"CUMPLE"</formula>
    </cfRule>
  </conditionalFormatting>
  <conditionalFormatting sqref="Y4060">
    <cfRule type="cellIs" dxfId="4253" priority="4185" operator="equal">
      <formula>"VERIFICAR CUADRO"</formula>
    </cfRule>
  </conditionalFormatting>
  <conditionalFormatting sqref="AC4061:AC4066">
    <cfRule type="cellIs" dxfId="4252" priority="4184" stopIfTrue="1" operator="greaterThan">
      <formula>0</formula>
    </cfRule>
  </conditionalFormatting>
  <conditionalFormatting sqref="AC4061:AC4066">
    <cfRule type="cellIs" dxfId="4251" priority="4183" stopIfTrue="1" operator="greaterThan">
      <formula>0</formula>
    </cfRule>
  </conditionalFormatting>
  <conditionalFormatting sqref="AD4061:AD4066">
    <cfRule type="containsText" dxfId="4250" priority="4181" stopIfTrue="1" operator="containsText" text="NO CUMPLE">
      <formula>NOT(ISERROR(SEARCH("NO CUMPLE",AD4061)))</formula>
    </cfRule>
    <cfRule type="containsText" dxfId="4249" priority="4182" stopIfTrue="1" operator="containsText" text="CUMPLE">
      <formula>NOT(ISERROR(SEARCH("CUMPLE",AD4061)))</formula>
    </cfRule>
  </conditionalFormatting>
  <conditionalFormatting sqref="Y4066">
    <cfRule type="containsText" dxfId="4248" priority="4179" stopIfTrue="1" operator="containsText" text="NO CUMPLE">
      <formula>NOT(ISERROR(SEARCH("NO CUMPLE",Y4066)))</formula>
    </cfRule>
    <cfRule type="containsText" dxfId="4247" priority="4180" stopIfTrue="1" operator="containsText" text="CUMPLE">
      <formula>NOT(ISERROR(SEARCH("CUMPLE",Y4066)))</formula>
    </cfRule>
  </conditionalFormatting>
  <conditionalFormatting sqref="AA4043:AA4052">
    <cfRule type="cellIs" dxfId="4246" priority="4177" stopIfTrue="1" operator="equal">
      <formula>"NO APLICA"</formula>
    </cfRule>
    <cfRule type="cellIs" dxfId="4245" priority="4178" stopIfTrue="1" operator="equal">
      <formula>"TERCIARIA"</formula>
    </cfRule>
  </conditionalFormatting>
  <conditionalFormatting sqref="AB4043:AB4052">
    <cfRule type="cellIs" dxfId="4244" priority="4175" stopIfTrue="1" operator="equal">
      <formula>"N/A"</formula>
    </cfRule>
    <cfRule type="cellIs" dxfId="4243" priority="4176" stopIfTrue="1" operator="equal">
      <formula>"NO"</formula>
    </cfRule>
  </conditionalFormatting>
  <conditionalFormatting sqref="M4073:M4082">
    <cfRule type="cellIs" dxfId="4242" priority="4174" stopIfTrue="1" operator="lessThan">
      <formula>0</formula>
    </cfRule>
  </conditionalFormatting>
  <conditionalFormatting sqref="C4075:D4081 B4074:B4081 F4075:I4081 C4074:I4074 B4082:O4082 B4073:R4073 Q4074:R4075 J4074:O4081 Q4076:Q4082 P4074:P4082">
    <cfRule type="cellIs" dxfId="4241" priority="4173" stopIfTrue="1" operator="greaterThan">
      <formula>0</formula>
    </cfRule>
  </conditionalFormatting>
  <conditionalFormatting sqref="C4075:D4081">
    <cfRule type="cellIs" dxfId="4240" priority="4172" stopIfTrue="1" operator="greaterThan">
      <formula>0</formula>
    </cfRule>
  </conditionalFormatting>
  <conditionalFormatting sqref="C4073:M4073 C4075:D4081 F4075:I4081 C4074:I4074 K4074:M4081 J4074:J4082 L4082:M4082">
    <cfRule type="cellIs" dxfId="4239" priority="4171" stopIfTrue="1" operator="greaterThan">
      <formula>0</formula>
    </cfRule>
  </conditionalFormatting>
  <conditionalFormatting sqref="M4073:M4082">
    <cfRule type="cellIs" dxfId="4238" priority="4170" stopIfTrue="1" operator="lessThan">
      <formula>0</formula>
    </cfRule>
  </conditionalFormatting>
  <conditionalFormatting sqref="J4074:J4082 L4074:O4082 C4073:O4073">
    <cfRule type="cellIs" dxfId="4237" priority="4169" stopIfTrue="1" operator="greaterThan">
      <formula>0</formula>
    </cfRule>
  </conditionalFormatting>
  <conditionalFormatting sqref="H4075:I4081 K4075:M4082">
    <cfRule type="cellIs" dxfId="4236" priority="4168" stopIfTrue="1" operator="greaterThan">
      <formula>0</formula>
    </cfRule>
  </conditionalFormatting>
  <conditionalFormatting sqref="I4074">
    <cfRule type="cellIs" dxfId="4235" priority="4167" stopIfTrue="1" operator="greaterThan">
      <formula>0</formula>
    </cfRule>
  </conditionalFormatting>
  <conditionalFormatting sqref="I4082">
    <cfRule type="cellIs" dxfId="4234" priority="4166" stopIfTrue="1" operator="greaterThan">
      <formula>0</formula>
    </cfRule>
  </conditionalFormatting>
  <conditionalFormatting sqref="E4075:E4081">
    <cfRule type="cellIs" dxfId="4233" priority="4165" stopIfTrue="1" operator="greaterThan">
      <formula>0</formula>
    </cfRule>
  </conditionalFormatting>
  <conditionalFormatting sqref="K4090:K4095">
    <cfRule type="containsText" dxfId="4232" priority="4163" stopIfTrue="1" operator="containsText" text="NO CUMPLE">
      <formula>NOT(ISERROR(SEARCH("NO CUMPLE",K4090)))</formula>
    </cfRule>
    <cfRule type="containsText" dxfId="4231" priority="4164" stopIfTrue="1" operator="containsText" text="CUMPLE">
      <formula>NOT(ISERROR(SEARCH("CUMPLE",K4090)))</formula>
    </cfRule>
  </conditionalFormatting>
  <conditionalFormatting sqref="K4096">
    <cfRule type="containsText" dxfId="4230" priority="4161" stopIfTrue="1" operator="containsText" text="NO CUMPLE">
      <formula>NOT(ISERROR(SEARCH("NO CUMPLE",K4096)))</formula>
    </cfRule>
    <cfRule type="containsText" dxfId="4229" priority="4162" stopIfTrue="1" operator="containsText" text="CUMPLE">
      <formula>NOT(ISERROR(SEARCH("CUMPLE",K4096)))</formula>
    </cfRule>
  </conditionalFormatting>
  <conditionalFormatting sqref="Q4089">
    <cfRule type="cellIs" dxfId="4228" priority="4159" operator="greaterThanOrEqual">
      <formula>NUMMINCONT</formula>
    </cfRule>
    <cfRule type="cellIs" dxfId="4227" priority="4160" operator="lessThan">
      <formula>NUMMINCONT</formula>
    </cfRule>
  </conditionalFormatting>
  <conditionalFormatting sqref="W4073:Y4081">
    <cfRule type="cellIs" dxfId="4226" priority="4157" stopIfTrue="1" operator="equal">
      <formula>"NO"</formula>
    </cfRule>
    <cfRule type="cellIs" dxfId="4225" priority="4158" stopIfTrue="1" operator="equal">
      <formula>"SI"</formula>
    </cfRule>
  </conditionalFormatting>
  <conditionalFormatting sqref="R4076">
    <cfRule type="cellIs" dxfId="4224" priority="4156" stopIfTrue="1" operator="greaterThan">
      <formula>0</formula>
    </cfRule>
  </conditionalFormatting>
  <conditionalFormatting sqref="R4077">
    <cfRule type="cellIs" dxfId="4223" priority="4155" stopIfTrue="1" operator="greaterThan">
      <formula>0</formula>
    </cfRule>
  </conditionalFormatting>
  <conditionalFormatting sqref="R4078">
    <cfRule type="cellIs" dxfId="4222" priority="4154" stopIfTrue="1" operator="greaterThan">
      <formula>0</formula>
    </cfRule>
  </conditionalFormatting>
  <conditionalFormatting sqref="R4079">
    <cfRule type="cellIs" dxfId="4221" priority="4153" stopIfTrue="1" operator="greaterThan">
      <formula>0</formula>
    </cfRule>
  </conditionalFormatting>
  <conditionalFormatting sqref="R4080">
    <cfRule type="cellIs" dxfId="4220" priority="4152" stopIfTrue="1" operator="greaterThan">
      <formula>0</formula>
    </cfRule>
  </conditionalFormatting>
  <conditionalFormatting sqref="R4081">
    <cfRule type="cellIs" dxfId="4219" priority="4151" stopIfTrue="1" operator="greaterThan">
      <formula>0</formula>
    </cfRule>
  </conditionalFormatting>
  <conditionalFormatting sqref="R4082">
    <cfRule type="cellIs" dxfId="4218" priority="4150" stopIfTrue="1" operator="greaterThan">
      <formula>0</formula>
    </cfRule>
  </conditionalFormatting>
  <conditionalFormatting sqref="W4073:X4073">
    <cfRule type="cellIs" dxfId="4217" priority="4149" stopIfTrue="1" operator="equal">
      <formula>"NO APLICA"</formula>
    </cfRule>
  </conditionalFormatting>
  <conditionalFormatting sqref="W4074:X4077">
    <cfRule type="cellIs" dxfId="4216" priority="4148" stopIfTrue="1" operator="equal">
      <formula>"NO APLICA"</formula>
    </cfRule>
  </conditionalFormatting>
  <conditionalFormatting sqref="W4074:X4074">
    <cfRule type="cellIs" dxfId="4215" priority="4147" stopIfTrue="1" operator="equal">
      <formula>"NO APLICA"</formula>
    </cfRule>
  </conditionalFormatting>
  <conditionalFormatting sqref="Y4073">
    <cfRule type="cellIs" dxfId="4214" priority="4146" stopIfTrue="1" operator="equal">
      <formula>"NO APLICA"</formula>
    </cfRule>
  </conditionalFormatting>
  <conditionalFormatting sqref="Y4074:Y4077">
    <cfRule type="cellIs" dxfId="4213" priority="4145" stopIfTrue="1" operator="equal">
      <formula>"NO APLICA"</formula>
    </cfRule>
  </conditionalFormatting>
  <conditionalFormatting sqref="W4078:X4081">
    <cfRule type="cellIs" dxfId="4212" priority="4144" stopIfTrue="1" operator="equal">
      <formula>"NO APLICA"</formula>
    </cfRule>
  </conditionalFormatting>
  <conditionalFormatting sqref="W4078:X4078">
    <cfRule type="cellIs" dxfId="4211" priority="4143" stopIfTrue="1" operator="equal">
      <formula>"NO APLICA"</formula>
    </cfRule>
  </conditionalFormatting>
  <conditionalFormatting sqref="Y4078:Y4081">
    <cfRule type="cellIs" dxfId="4210" priority="4142" stopIfTrue="1" operator="equal">
      <formula>"NO APLICA"</formula>
    </cfRule>
  </conditionalFormatting>
  <conditionalFormatting sqref="T4087">
    <cfRule type="cellIs" dxfId="4209" priority="4140" operator="equal">
      <formula>"CUMPLE"</formula>
    </cfRule>
    <cfRule type="cellIs" dxfId="4208" priority="4141" operator="equal">
      <formula>"NO CUMPLE"</formula>
    </cfRule>
  </conditionalFormatting>
  <conditionalFormatting sqref="T4087:T4089">
    <cfRule type="cellIs" dxfId="4207" priority="4139" operator="equal">
      <formula>"VERIFICAR"</formula>
    </cfRule>
  </conditionalFormatting>
  <conditionalFormatting sqref="AD4073:AF4077">
    <cfRule type="cellIs" dxfId="4206" priority="4137" stopIfTrue="1" operator="equal">
      <formula>"NO"</formula>
    </cfRule>
    <cfRule type="cellIs" dxfId="4205" priority="4138" stopIfTrue="1" operator="equal">
      <formula>"SI"</formula>
    </cfRule>
  </conditionalFormatting>
  <conditionalFormatting sqref="AD4078:AF4081">
    <cfRule type="cellIs" dxfId="4204" priority="4135" stopIfTrue="1" operator="equal">
      <formula>"NO"</formula>
    </cfRule>
    <cfRule type="cellIs" dxfId="4203" priority="4136" stopIfTrue="1" operator="equal">
      <formula>"SI"</formula>
    </cfRule>
  </conditionalFormatting>
  <conditionalFormatting sqref="W4082:Y4082">
    <cfRule type="cellIs" dxfId="4202" priority="4133" stopIfTrue="1" operator="equal">
      <formula>"NO"</formula>
    </cfRule>
    <cfRule type="cellIs" dxfId="4201" priority="4134" stopIfTrue="1" operator="equal">
      <formula>"SI"</formula>
    </cfRule>
  </conditionalFormatting>
  <conditionalFormatting sqref="W4082:X4082">
    <cfRule type="cellIs" dxfId="4200" priority="4132" stopIfTrue="1" operator="equal">
      <formula>"NO APLICA"</formula>
    </cfRule>
  </conditionalFormatting>
  <conditionalFormatting sqref="Y4082">
    <cfRule type="cellIs" dxfId="4199" priority="4131" stopIfTrue="1" operator="equal">
      <formula>"NO APLICA"</formula>
    </cfRule>
  </conditionalFormatting>
  <conditionalFormatting sqref="AD4082:AF4082">
    <cfRule type="cellIs" dxfId="4198" priority="4129" stopIfTrue="1" operator="equal">
      <formula>"NO"</formula>
    </cfRule>
    <cfRule type="cellIs" dxfId="4197" priority="4130" stopIfTrue="1" operator="equal">
      <formula>"SI"</formula>
    </cfRule>
  </conditionalFormatting>
  <conditionalFormatting sqref="AE4087">
    <cfRule type="cellIs" dxfId="4196" priority="4126" stopIfTrue="1" operator="equal">
      <formula>"VERIFICAR"</formula>
    </cfRule>
    <cfRule type="cellIs" dxfId="4195" priority="4127" stopIfTrue="1" operator="equal">
      <formula>"NO CUMPLE"</formula>
    </cfRule>
    <cfRule type="cellIs" dxfId="4194" priority="4128" stopIfTrue="1" operator="equal">
      <formula>"CUMPLE"</formula>
    </cfRule>
  </conditionalFormatting>
  <conditionalFormatting sqref="AF4087">
    <cfRule type="cellIs" dxfId="4193" priority="4123" stopIfTrue="1" operator="equal">
      <formula>"VERIFICAR"</formula>
    </cfRule>
    <cfRule type="cellIs" dxfId="4192" priority="4124" stopIfTrue="1" operator="equal">
      <formula>"NO CUMPLE"</formula>
    </cfRule>
    <cfRule type="cellIs" dxfId="4191" priority="4125" stopIfTrue="1" operator="equal">
      <formula>"CUMPLE"</formula>
    </cfRule>
  </conditionalFormatting>
  <conditionalFormatting sqref="Y4090">
    <cfRule type="cellIs" dxfId="4190" priority="4122" operator="equal">
      <formula>"VERIFICAR CUADRO"</formula>
    </cfRule>
  </conditionalFormatting>
  <conditionalFormatting sqref="AC4091:AC4096">
    <cfRule type="cellIs" dxfId="4189" priority="4121" stopIfTrue="1" operator="greaterThan">
      <formula>0</formula>
    </cfRule>
  </conditionalFormatting>
  <conditionalFormatting sqref="AC4091:AC4096">
    <cfRule type="cellIs" dxfId="4188" priority="4120" stopIfTrue="1" operator="greaterThan">
      <formula>0</formula>
    </cfRule>
  </conditionalFormatting>
  <conditionalFormatting sqref="AD4091:AD4096">
    <cfRule type="containsText" dxfId="4187" priority="4118" stopIfTrue="1" operator="containsText" text="NO CUMPLE">
      <formula>NOT(ISERROR(SEARCH("NO CUMPLE",AD4091)))</formula>
    </cfRule>
    <cfRule type="containsText" dxfId="4186" priority="4119" stopIfTrue="1" operator="containsText" text="CUMPLE">
      <formula>NOT(ISERROR(SEARCH("CUMPLE",AD4091)))</formula>
    </cfRule>
  </conditionalFormatting>
  <conditionalFormatting sqref="Y4096">
    <cfRule type="containsText" dxfId="4185" priority="4116" stopIfTrue="1" operator="containsText" text="NO CUMPLE">
      <formula>NOT(ISERROR(SEARCH("NO CUMPLE",Y4096)))</formula>
    </cfRule>
    <cfRule type="containsText" dxfId="4184" priority="4117" stopIfTrue="1" operator="containsText" text="CUMPLE">
      <formula>NOT(ISERROR(SEARCH("CUMPLE",Y4096)))</formula>
    </cfRule>
  </conditionalFormatting>
  <conditionalFormatting sqref="AA4073:AA4082">
    <cfRule type="cellIs" dxfId="4183" priority="4114" stopIfTrue="1" operator="equal">
      <formula>"NO APLICA"</formula>
    </cfRule>
    <cfRule type="cellIs" dxfId="4182" priority="4115" stopIfTrue="1" operator="equal">
      <formula>"TERCIARIA"</formula>
    </cfRule>
  </conditionalFormatting>
  <conditionalFormatting sqref="AB4073:AB4082">
    <cfRule type="cellIs" dxfId="4181" priority="4112" stopIfTrue="1" operator="equal">
      <formula>"N/A"</formula>
    </cfRule>
    <cfRule type="cellIs" dxfId="4180" priority="4113" stopIfTrue="1" operator="equal">
      <formula>"NO"</formula>
    </cfRule>
  </conditionalFormatting>
  <conditionalFormatting sqref="M4103:M4112">
    <cfRule type="cellIs" dxfId="4179" priority="4111" stopIfTrue="1" operator="lessThan">
      <formula>0</formula>
    </cfRule>
  </conditionalFormatting>
  <conditionalFormatting sqref="C4105:D4111 B4104:B4111 F4105:I4111 C4104:I4104 B4112:O4112 B4103:R4103 Q4104:R4105 J4104:O4111 Q4106:Q4112 P4104:P4112">
    <cfRule type="cellIs" dxfId="4178" priority="4110" stopIfTrue="1" operator="greaterThan">
      <formula>0</formula>
    </cfRule>
  </conditionalFormatting>
  <conditionalFormatting sqref="C4105:D4111">
    <cfRule type="cellIs" dxfId="4177" priority="4109" stopIfTrue="1" operator="greaterThan">
      <formula>0</formula>
    </cfRule>
  </conditionalFormatting>
  <conditionalFormatting sqref="C4103:M4103 C4105:D4111 F4105:I4111 C4104:I4104 K4104:M4111 J4104:J4112 L4112:M4112">
    <cfRule type="cellIs" dxfId="4176" priority="4108" stopIfTrue="1" operator="greaterThan">
      <formula>0</formula>
    </cfRule>
  </conditionalFormatting>
  <conditionalFormatting sqref="M4103:M4112">
    <cfRule type="cellIs" dxfId="4175" priority="4107" stopIfTrue="1" operator="lessThan">
      <formula>0</formula>
    </cfRule>
  </conditionalFormatting>
  <conditionalFormatting sqref="J4104:J4112 L4104:O4112 C4103:O4103">
    <cfRule type="cellIs" dxfId="4174" priority="4106" stopIfTrue="1" operator="greaterThan">
      <formula>0</formula>
    </cfRule>
  </conditionalFormatting>
  <conditionalFormatting sqref="H4105:I4111 K4105:M4112">
    <cfRule type="cellIs" dxfId="4173" priority="4105" stopIfTrue="1" operator="greaterThan">
      <formula>0</formula>
    </cfRule>
  </conditionalFormatting>
  <conditionalFormatting sqref="I4104">
    <cfRule type="cellIs" dxfId="4172" priority="4104" stopIfTrue="1" operator="greaterThan">
      <formula>0</formula>
    </cfRule>
  </conditionalFormatting>
  <conditionalFormatting sqref="I4112">
    <cfRule type="cellIs" dxfId="4171" priority="4103" stopIfTrue="1" operator="greaterThan">
      <formula>0</formula>
    </cfRule>
  </conditionalFormatting>
  <conditionalFormatting sqref="E4105:E4111">
    <cfRule type="cellIs" dxfId="4170" priority="4102" stopIfTrue="1" operator="greaterThan">
      <formula>0</formula>
    </cfRule>
  </conditionalFormatting>
  <conditionalFormatting sqref="K4120:K4125">
    <cfRule type="containsText" dxfId="4169" priority="4100" stopIfTrue="1" operator="containsText" text="NO CUMPLE">
      <formula>NOT(ISERROR(SEARCH("NO CUMPLE",K4120)))</formula>
    </cfRule>
    <cfRule type="containsText" dxfId="4168" priority="4101" stopIfTrue="1" operator="containsText" text="CUMPLE">
      <formula>NOT(ISERROR(SEARCH("CUMPLE",K4120)))</formula>
    </cfRule>
  </conditionalFormatting>
  <conditionalFormatting sqref="K4126">
    <cfRule type="containsText" dxfId="4167" priority="4098" stopIfTrue="1" operator="containsText" text="NO CUMPLE">
      <formula>NOT(ISERROR(SEARCH("NO CUMPLE",K4126)))</formula>
    </cfRule>
    <cfRule type="containsText" dxfId="4166" priority="4099" stopIfTrue="1" operator="containsText" text="CUMPLE">
      <formula>NOT(ISERROR(SEARCH("CUMPLE",K4126)))</formula>
    </cfRule>
  </conditionalFormatting>
  <conditionalFormatting sqref="Q4119">
    <cfRule type="cellIs" dxfId="4165" priority="4096" operator="greaterThanOrEqual">
      <formula>NUMMINCONT</formula>
    </cfRule>
    <cfRule type="cellIs" dxfId="4164" priority="4097" operator="lessThan">
      <formula>NUMMINCONT</formula>
    </cfRule>
  </conditionalFormatting>
  <conditionalFormatting sqref="W4103:Y4111">
    <cfRule type="cellIs" dxfId="4163" priority="4094" stopIfTrue="1" operator="equal">
      <formula>"NO"</formula>
    </cfRule>
    <cfRule type="cellIs" dxfId="4162" priority="4095" stopIfTrue="1" operator="equal">
      <formula>"SI"</formula>
    </cfRule>
  </conditionalFormatting>
  <conditionalFormatting sqref="R4106">
    <cfRule type="cellIs" dxfId="4161" priority="4093" stopIfTrue="1" operator="greaterThan">
      <formula>0</formula>
    </cfRule>
  </conditionalFormatting>
  <conditionalFormatting sqref="R4107">
    <cfRule type="cellIs" dxfId="4160" priority="4092" stopIfTrue="1" operator="greaterThan">
      <formula>0</formula>
    </cfRule>
  </conditionalFormatting>
  <conditionalFormatting sqref="R4108">
    <cfRule type="cellIs" dxfId="4159" priority="4091" stopIfTrue="1" operator="greaterThan">
      <formula>0</formula>
    </cfRule>
  </conditionalFormatting>
  <conditionalFormatting sqref="R4109">
    <cfRule type="cellIs" dxfId="4158" priority="4090" stopIfTrue="1" operator="greaterThan">
      <formula>0</formula>
    </cfRule>
  </conditionalFormatting>
  <conditionalFormatting sqref="R4110">
    <cfRule type="cellIs" dxfId="4157" priority="4089" stopIfTrue="1" operator="greaterThan">
      <formula>0</formula>
    </cfRule>
  </conditionalFormatting>
  <conditionalFormatting sqref="R4111">
    <cfRule type="cellIs" dxfId="4156" priority="4088" stopIfTrue="1" operator="greaterThan">
      <formula>0</formula>
    </cfRule>
  </conditionalFormatting>
  <conditionalFormatting sqref="R4112">
    <cfRule type="cellIs" dxfId="4155" priority="4087" stopIfTrue="1" operator="greaterThan">
      <formula>0</formula>
    </cfRule>
  </conditionalFormatting>
  <conditionalFormatting sqref="W4103:X4103">
    <cfRule type="cellIs" dxfId="4154" priority="4086" stopIfTrue="1" operator="equal">
      <formula>"NO APLICA"</formula>
    </cfRule>
  </conditionalFormatting>
  <conditionalFormatting sqref="W4104:X4107">
    <cfRule type="cellIs" dxfId="4153" priority="4085" stopIfTrue="1" operator="equal">
      <formula>"NO APLICA"</formula>
    </cfRule>
  </conditionalFormatting>
  <conditionalFormatting sqref="W4104:X4104">
    <cfRule type="cellIs" dxfId="4152" priority="4084" stopIfTrue="1" operator="equal">
      <formula>"NO APLICA"</formula>
    </cfRule>
  </conditionalFormatting>
  <conditionalFormatting sqref="Y4103">
    <cfRule type="cellIs" dxfId="4151" priority="4083" stopIfTrue="1" operator="equal">
      <formula>"NO APLICA"</formula>
    </cfRule>
  </conditionalFormatting>
  <conditionalFormatting sqref="Y4104:Y4107">
    <cfRule type="cellIs" dxfId="4150" priority="4082" stopIfTrue="1" operator="equal">
      <formula>"NO APLICA"</formula>
    </cfRule>
  </conditionalFormatting>
  <conditionalFormatting sqref="W4108:X4111">
    <cfRule type="cellIs" dxfId="4149" priority="4081" stopIfTrue="1" operator="equal">
      <formula>"NO APLICA"</formula>
    </cfRule>
  </conditionalFormatting>
  <conditionalFormatting sqref="W4108:X4108">
    <cfRule type="cellIs" dxfId="4148" priority="4080" stopIfTrue="1" operator="equal">
      <formula>"NO APLICA"</formula>
    </cfRule>
  </conditionalFormatting>
  <conditionalFormatting sqref="Y4108:Y4111">
    <cfRule type="cellIs" dxfId="4147" priority="4079" stopIfTrue="1" operator="equal">
      <formula>"NO APLICA"</formula>
    </cfRule>
  </conditionalFormatting>
  <conditionalFormatting sqref="T4117">
    <cfRule type="cellIs" dxfId="4146" priority="4077" operator="equal">
      <formula>"CUMPLE"</formula>
    </cfRule>
    <cfRule type="cellIs" dxfId="4145" priority="4078" operator="equal">
      <formula>"NO CUMPLE"</formula>
    </cfRule>
  </conditionalFormatting>
  <conditionalFormatting sqref="T4117:T4119">
    <cfRule type="cellIs" dxfId="4144" priority="4076" operator="equal">
      <formula>"VERIFICAR"</formula>
    </cfRule>
  </conditionalFormatting>
  <conditionalFormatting sqref="AD4103:AF4107">
    <cfRule type="cellIs" dxfId="4143" priority="4074" stopIfTrue="1" operator="equal">
      <formula>"NO"</formula>
    </cfRule>
    <cfRule type="cellIs" dxfId="4142" priority="4075" stopIfTrue="1" operator="equal">
      <formula>"SI"</formula>
    </cfRule>
  </conditionalFormatting>
  <conditionalFormatting sqref="AD4108:AF4111">
    <cfRule type="cellIs" dxfId="4141" priority="4072" stopIfTrue="1" operator="equal">
      <formula>"NO"</formula>
    </cfRule>
    <cfRule type="cellIs" dxfId="4140" priority="4073" stopIfTrue="1" operator="equal">
      <formula>"SI"</formula>
    </cfRule>
  </conditionalFormatting>
  <conditionalFormatting sqref="W4112:Y4112">
    <cfRule type="cellIs" dxfId="4139" priority="4070" stopIfTrue="1" operator="equal">
      <formula>"NO"</formula>
    </cfRule>
    <cfRule type="cellIs" dxfId="4138" priority="4071" stopIfTrue="1" operator="equal">
      <formula>"SI"</formula>
    </cfRule>
  </conditionalFormatting>
  <conditionalFormatting sqref="W4112:X4112">
    <cfRule type="cellIs" dxfId="4137" priority="4069" stopIfTrue="1" operator="equal">
      <formula>"NO APLICA"</formula>
    </cfRule>
  </conditionalFormatting>
  <conditionalFormatting sqref="Y4112">
    <cfRule type="cellIs" dxfId="4136" priority="4068" stopIfTrue="1" operator="equal">
      <formula>"NO APLICA"</formula>
    </cfRule>
  </conditionalFormatting>
  <conditionalFormatting sqref="AD4112:AF4112">
    <cfRule type="cellIs" dxfId="4135" priority="4066" stopIfTrue="1" operator="equal">
      <formula>"NO"</formula>
    </cfRule>
    <cfRule type="cellIs" dxfId="4134" priority="4067" stopIfTrue="1" operator="equal">
      <formula>"SI"</formula>
    </cfRule>
  </conditionalFormatting>
  <conditionalFormatting sqref="AE4117">
    <cfRule type="cellIs" dxfId="4133" priority="4063" stopIfTrue="1" operator="equal">
      <formula>"VERIFICAR"</formula>
    </cfRule>
    <cfRule type="cellIs" dxfId="4132" priority="4064" stopIfTrue="1" operator="equal">
      <formula>"NO CUMPLE"</formula>
    </cfRule>
    <cfRule type="cellIs" dxfId="4131" priority="4065" stopIfTrue="1" operator="equal">
      <formula>"CUMPLE"</formula>
    </cfRule>
  </conditionalFormatting>
  <conditionalFormatting sqref="AF4117">
    <cfRule type="cellIs" dxfId="4130" priority="4060" stopIfTrue="1" operator="equal">
      <formula>"VERIFICAR"</formula>
    </cfRule>
    <cfRule type="cellIs" dxfId="4129" priority="4061" stopIfTrue="1" operator="equal">
      <formula>"NO CUMPLE"</formula>
    </cfRule>
    <cfRule type="cellIs" dxfId="4128" priority="4062" stopIfTrue="1" operator="equal">
      <formula>"CUMPLE"</formula>
    </cfRule>
  </conditionalFormatting>
  <conditionalFormatting sqref="Y4120">
    <cfRule type="cellIs" dxfId="4127" priority="4059" operator="equal">
      <formula>"VERIFICAR CUADRO"</formula>
    </cfRule>
  </conditionalFormatting>
  <conditionalFormatting sqref="AC4121:AC4126">
    <cfRule type="cellIs" dxfId="4126" priority="4058" stopIfTrue="1" operator="greaterThan">
      <formula>0</formula>
    </cfRule>
  </conditionalFormatting>
  <conditionalFormatting sqref="AC4121:AC4126">
    <cfRule type="cellIs" dxfId="4125" priority="4057" stopIfTrue="1" operator="greaterThan">
      <formula>0</formula>
    </cfRule>
  </conditionalFormatting>
  <conditionalFormatting sqref="AD4121:AD4126">
    <cfRule type="containsText" dxfId="4124" priority="4055" stopIfTrue="1" operator="containsText" text="NO CUMPLE">
      <formula>NOT(ISERROR(SEARCH("NO CUMPLE",AD4121)))</formula>
    </cfRule>
    <cfRule type="containsText" dxfId="4123" priority="4056" stopIfTrue="1" operator="containsText" text="CUMPLE">
      <formula>NOT(ISERROR(SEARCH("CUMPLE",AD4121)))</formula>
    </cfRule>
  </conditionalFormatting>
  <conditionalFormatting sqref="Y4126">
    <cfRule type="containsText" dxfId="4122" priority="4053" stopIfTrue="1" operator="containsText" text="NO CUMPLE">
      <formula>NOT(ISERROR(SEARCH("NO CUMPLE",Y4126)))</formula>
    </cfRule>
    <cfRule type="containsText" dxfId="4121" priority="4054" stopIfTrue="1" operator="containsText" text="CUMPLE">
      <formula>NOT(ISERROR(SEARCH("CUMPLE",Y4126)))</formula>
    </cfRule>
  </conditionalFormatting>
  <conditionalFormatting sqref="AA4103:AA4112">
    <cfRule type="cellIs" dxfId="4120" priority="4051" stopIfTrue="1" operator="equal">
      <formula>"NO APLICA"</formula>
    </cfRule>
    <cfRule type="cellIs" dxfId="4119" priority="4052" stopIfTrue="1" operator="equal">
      <formula>"TERCIARIA"</formula>
    </cfRule>
  </conditionalFormatting>
  <conditionalFormatting sqref="AB4103:AB4112">
    <cfRule type="cellIs" dxfId="4118" priority="4049" stopIfTrue="1" operator="equal">
      <formula>"N/A"</formula>
    </cfRule>
    <cfRule type="cellIs" dxfId="4117" priority="4050" stopIfTrue="1" operator="equal">
      <formula>"NO"</formula>
    </cfRule>
  </conditionalFormatting>
  <conditionalFormatting sqref="M4133:M4142">
    <cfRule type="cellIs" dxfId="4116" priority="4048" stopIfTrue="1" operator="lessThan">
      <formula>0</formula>
    </cfRule>
  </conditionalFormatting>
  <conditionalFormatting sqref="C4135:D4141 B4134:B4141 F4135:I4141 C4134:I4134 B4142:O4142 B4133:R4133 Q4134:R4135 J4134:O4141 Q4136:Q4142 P4134:P4142">
    <cfRule type="cellIs" dxfId="4115" priority="4047" stopIfTrue="1" operator="greaterThan">
      <formula>0</formula>
    </cfRule>
  </conditionalFormatting>
  <conditionalFormatting sqref="C4135:D4141">
    <cfRule type="cellIs" dxfId="4114" priority="4046" stopIfTrue="1" operator="greaterThan">
      <formula>0</formula>
    </cfRule>
  </conditionalFormatting>
  <conditionalFormatting sqref="C4133:M4133 C4135:D4141 F4135:I4141 C4134:I4134 K4134:M4141 J4134:J4142 L4142:M4142">
    <cfRule type="cellIs" dxfId="4113" priority="4045" stopIfTrue="1" operator="greaterThan">
      <formula>0</formula>
    </cfRule>
  </conditionalFormatting>
  <conditionalFormatting sqref="M4133:M4142">
    <cfRule type="cellIs" dxfId="4112" priority="4044" stopIfTrue="1" operator="lessThan">
      <formula>0</formula>
    </cfRule>
  </conditionalFormatting>
  <conditionalFormatting sqref="J4134:J4142 L4134:O4142 C4133:O4133">
    <cfRule type="cellIs" dxfId="4111" priority="4043" stopIfTrue="1" operator="greaterThan">
      <formula>0</formula>
    </cfRule>
  </conditionalFormatting>
  <conditionalFormatting sqref="H4135:I4141 K4135:M4142">
    <cfRule type="cellIs" dxfId="4110" priority="4042" stopIfTrue="1" operator="greaterThan">
      <formula>0</formula>
    </cfRule>
  </conditionalFormatting>
  <conditionalFormatting sqref="I4134">
    <cfRule type="cellIs" dxfId="4109" priority="4041" stopIfTrue="1" operator="greaterThan">
      <formula>0</formula>
    </cfRule>
  </conditionalFormatting>
  <conditionalFormatting sqref="I4142">
    <cfRule type="cellIs" dxfId="4108" priority="4040" stopIfTrue="1" operator="greaterThan">
      <formula>0</formula>
    </cfRule>
  </conditionalFormatting>
  <conditionalFormatting sqref="E4135:E4141">
    <cfRule type="cellIs" dxfId="4107" priority="4039" stopIfTrue="1" operator="greaterThan">
      <formula>0</formula>
    </cfRule>
  </conditionalFormatting>
  <conditionalFormatting sqref="K4150:K4155">
    <cfRule type="containsText" dxfId="4106" priority="4037" stopIfTrue="1" operator="containsText" text="NO CUMPLE">
      <formula>NOT(ISERROR(SEARCH("NO CUMPLE",K4150)))</formula>
    </cfRule>
    <cfRule type="containsText" dxfId="4105" priority="4038" stopIfTrue="1" operator="containsText" text="CUMPLE">
      <formula>NOT(ISERROR(SEARCH("CUMPLE",K4150)))</formula>
    </cfRule>
  </conditionalFormatting>
  <conditionalFormatting sqref="K4156">
    <cfRule type="containsText" dxfId="4104" priority="4035" stopIfTrue="1" operator="containsText" text="NO CUMPLE">
      <formula>NOT(ISERROR(SEARCH("NO CUMPLE",K4156)))</formula>
    </cfRule>
    <cfRule type="containsText" dxfId="4103" priority="4036" stopIfTrue="1" operator="containsText" text="CUMPLE">
      <formula>NOT(ISERROR(SEARCH("CUMPLE",K4156)))</formula>
    </cfRule>
  </conditionalFormatting>
  <conditionalFormatting sqref="Q4149">
    <cfRule type="cellIs" dxfId="4102" priority="4033" operator="greaterThanOrEqual">
      <formula>NUMMINCONT</formula>
    </cfRule>
    <cfRule type="cellIs" dxfId="4101" priority="4034" operator="lessThan">
      <formula>NUMMINCONT</formula>
    </cfRule>
  </conditionalFormatting>
  <conditionalFormatting sqref="W4133:Y4141">
    <cfRule type="cellIs" dxfId="4100" priority="4031" stopIfTrue="1" operator="equal">
      <formula>"NO"</formula>
    </cfRule>
    <cfRule type="cellIs" dxfId="4099" priority="4032" stopIfTrue="1" operator="equal">
      <formula>"SI"</formula>
    </cfRule>
  </conditionalFormatting>
  <conditionalFormatting sqref="R4136">
    <cfRule type="cellIs" dxfId="4098" priority="4030" stopIfTrue="1" operator="greaterThan">
      <formula>0</formula>
    </cfRule>
  </conditionalFormatting>
  <conditionalFormatting sqref="R4137">
    <cfRule type="cellIs" dxfId="4097" priority="4029" stopIfTrue="1" operator="greaterThan">
      <formula>0</formula>
    </cfRule>
  </conditionalFormatting>
  <conditionalFormatting sqref="R4138">
    <cfRule type="cellIs" dxfId="4096" priority="4028" stopIfTrue="1" operator="greaterThan">
      <formula>0</formula>
    </cfRule>
  </conditionalFormatting>
  <conditionalFormatting sqref="R4139">
    <cfRule type="cellIs" dxfId="4095" priority="4027" stopIfTrue="1" operator="greaterThan">
      <formula>0</formula>
    </cfRule>
  </conditionalFormatting>
  <conditionalFormatting sqref="R4140">
    <cfRule type="cellIs" dxfId="4094" priority="4026" stopIfTrue="1" operator="greaterThan">
      <formula>0</formula>
    </cfRule>
  </conditionalFormatting>
  <conditionalFormatting sqref="R4141">
    <cfRule type="cellIs" dxfId="4093" priority="4025" stopIfTrue="1" operator="greaterThan">
      <formula>0</formula>
    </cfRule>
  </conditionalFormatting>
  <conditionalFormatting sqref="R4142">
    <cfRule type="cellIs" dxfId="4092" priority="4024" stopIfTrue="1" operator="greaterThan">
      <formula>0</formula>
    </cfRule>
  </conditionalFormatting>
  <conditionalFormatting sqref="W4133:X4133">
    <cfRule type="cellIs" dxfId="4091" priority="4023" stopIfTrue="1" operator="equal">
      <formula>"NO APLICA"</formula>
    </cfRule>
  </conditionalFormatting>
  <conditionalFormatting sqref="W4134:X4137">
    <cfRule type="cellIs" dxfId="4090" priority="4022" stopIfTrue="1" operator="equal">
      <formula>"NO APLICA"</formula>
    </cfRule>
  </conditionalFormatting>
  <conditionalFormatting sqref="W4134:X4134">
    <cfRule type="cellIs" dxfId="4089" priority="4021" stopIfTrue="1" operator="equal">
      <formula>"NO APLICA"</formula>
    </cfRule>
  </conditionalFormatting>
  <conditionalFormatting sqref="Y4133">
    <cfRule type="cellIs" dxfId="4088" priority="4020" stopIfTrue="1" operator="equal">
      <formula>"NO APLICA"</formula>
    </cfRule>
  </conditionalFormatting>
  <conditionalFormatting sqref="Y4134:Y4137">
    <cfRule type="cellIs" dxfId="4087" priority="4019" stopIfTrue="1" operator="equal">
      <formula>"NO APLICA"</formula>
    </cfRule>
  </conditionalFormatting>
  <conditionalFormatting sqref="W4138:X4141">
    <cfRule type="cellIs" dxfId="4086" priority="4018" stopIfTrue="1" operator="equal">
      <formula>"NO APLICA"</formula>
    </cfRule>
  </conditionalFormatting>
  <conditionalFormatting sqref="W4138:X4138">
    <cfRule type="cellIs" dxfId="4085" priority="4017" stopIfTrue="1" operator="equal">
      <formula>"NO APLICA"</formula>
    </cfRule>
  </conditionalFormatting>
  <conditionalFormatting sqref="Y4138:Y4141">
    <cfRule type="cellIs" dxfId="4084" priority="4016" stopIfTrue="1" operator="equal">
      <formula>"NO APLICA"</formula>
    </cfRule>
  </conditionalFormatting>
  <conditionalFormatting sqref="T4147">
    <cfRule type="cellIs" dxfId="4083" priority="4014" operator="equal">
      <formula>"CUMPLE"</formula>
    </cfRule>
    <cfRule type="cellIs" dxfId="4082" priority="4015" operator="equal">
      <formula>"NO CUMPLE"</formula>
    </cfRule>
  </conditionalFormatting>
  <conditionalFormatting sqref="T4147:T4149">
    <cfRule type="cellIs" dxfId="4081" priority="4013" operator="equal">
      <formula>"VERIFICAR"</formula>
    </cfRule>
  </conditionalFormatting>
  <conditionalFormatting sqref="AD4133:AF4137">
    <cfRule type="cellIs" dxfId="4080" priority="4011" stopIfTrue="1" operator="equal">
      <formula>"NO"</formula>
    </cfRule>
    <cfRule type="cellIs" dxfId="4079" priority="4012" stopIfTrue="1" operator="equal">
      <formula>"SI"</formula>
    </cfRule>
  </conditionalFormatting>
  <conditionalFormatting sqref="AD4138:AF4141">
    <cfRule type="cellIs" dxfId="4078" priority="4009" stopIfTrue="1" operator="equal">
      <formula>"NO"</formula>
    </cfRule>
    <cfRule type="cellIs" dxfId="4077" priority="4010" stopIfTrue="1" operator="equal">
      <formula>"SI"</formula>
    </cfRule>
  </conditionalFormatting>
  <conditionalFormatting sqref="W4142:Y4142">
    <cfRule type="cellIs" dxfId="4076" priority="4007" stopIfTrue="1" operator="equal">
      <formula>"NO"</formula>
    </cfRule>
    <cfRule type="cellIs" dxfId="4075" priority="4008" stopIfTrue="1" operator="equal">
      <formula>"SI"</formula>
    </cfRule>
  </conditionalFormatting>
  <conditionalFormatting sqref="W4142:X4142">
    <cfRule type="cellIs" dxfId="4074" priority="4006" stopIfTrue="1" operator="equal">
      <formula>"NO APLICA"</formula>
    </cfRule>
  </conditionalFormatting>
  <conditionalFormatting sqref="Y4142">
    <cfRule type="cellIs" dxfId="4073" priority="4005" stopIfTrue="1" operator="equal">
      <formula>"NO APLICA"</formula>
    </cfRule>
  </conditionalFormatting>
  <conditionalFormatting sqref="AD4142:AF4142">
    <cfRule type="cellIs" dxfId="4072" priority="4003" stopIfTrue="1" operator="equal">
      <formula>"NO"</formula>
    </cfRule>
    <cfRule type="cellIs" dxfId="4071" priority="4004" stopIfTrue="1" operator="equal">
      <formula>"SI"</formula>
    </cfRule>
  </conditionalFormatting>
  <conditionalFormatting sqref="AE4147">
    <cfRule type="cellIs" dxfId="4070" priority="4000" stopIfTrue="1" operator="equal">
      <formula>"VERIFICAR"</formula>
    </cfRule>
    <cfRule type="cellIs" dxfId="4069" priority="4001" stopIfTrue="1" operator="equal">
      <formula>"NO CUMPLE"</formula>
    </cfRule>
    <cfRule type="cellIs" dxfId="4068" priority="4002" stopIfTrue="1" operator="equal">
      <formula>"CUMPLE"</formula>
    </cfRule>
  </conditionalFormatting>
  <conditionalFormatting sqref="AF4147">
    <cfRule type="cellIs" dxfId="4067" priority="3997" stopIfTrue="1" operator="equal">
      <formula>"VERIFICAR"</formula>
    </cfRule>
    <cfRule type="cellIs" dxfId="4066" priority="3998" stopIfTrue="1" operator="equal">
      <formula>"NO CUMPLE"</formula>
    </cfRule>
    <cfRule type="cellIs" dxfId="4065" priority="3999" stopIfTrue="1" operator="equal">
      <formula>"CUMPLE"</formula>
    </cfRule>
  </conditionalFormatting>
  <conditionalFormatting sqref="Y4150">
    <cfRule type="cellIs" dxfId="4064" priority="3996" operator="equal">
      <formula>"VERIFICAR CUADRO"</formula>
    </cfRule>
  </conditionalFormatting>
  <conditionalFormatting sqref="AC4151:AC4156">
    <cfRule type="cellIs" dxfId="4063" priority="3995" stopIfTrue="1" operator="greaterThan">
      <formula>0</formula>
    </cfRule>
  </conditionalFormatting>
  <conditionalFormatting sqref="AC4151:AC4156">
    <cfRule type="cellIs" dxfId="4062" priority="3994" stopIfTrue="1" operator="greaterThan">
      <formula>0</formula>
    </cfRule>
  </conditionalFormatting>
  <conditionalFormatting sqref="AD4151:AD4156">
    <cfRule type="containsText" dxfId="4061" priority="3992" stopIfTrue="1" operator="containsText" text="NO CUMPLE">
      <formula>NOT(ISERROR(SEARCH("NO CUMPLE",AD4151)))</formula>
    </cfRule>
    <cfRule type="containsText" dxfId="4060" priority="3993" stopIfTrue="1" operator="containsText" text="CUMPLE">
      <formula>NOT(ISERROR(SEARCH("CUMPLE",AD4151)))</formula>
    </cfRule>
  </conditionalFormatting>
  <conditionalFormatting sqref="Y4156">
    <cfRule type="containsText" dxfId="4059" priority="3990" stopIfTrue="1" operator="containsText" text="NO CUMPLE">
      <formula>NOT(ISERROR(SEARCH("NO CUMPLE",Y4156)))</formula>
    </cfRule>
    <cfRule type="containsText" dxfId="4058" priority="3991" stopIfTrue="1" operator="containsText" text="CUMPLE">
      <formula>NOT(ISERROR(SEARCH("CUMPLE",Y4156)))</formula>
    </cfRule>
  </conditionalFormatting>
  <conditionalFormatting sqref="AA4133:AA4142">
    <cfRule type="cellIs" dxfId="4057" priority="3988" stopIfTrue="1" operator="equal">
      <formula>"NO APLICA"</formula>
    </cfRule>
    <cfRule type="cellIs" dxfId="4056" priority="3989" stopIfTrue="1" operator="equal">
      <formula>"TERCIARIA"</formula>
    </cfRule>
  </conditionalFormatting>
  <conditionalFormatting sqref="AB4133:AB4142">
    <cfRule type="cellIs" dxfId="4055" priority="3986" stopIfTrue="1" operator="equal">
      <formula>"N/A"</formula>
    </cfRule>
    <cfRule type="cellIs" dxfId="4054" priority="3987" stopIfTrue="1" operator="equal">
      <formula>"NO"</formula>
    </cfRule>
  </conditionalFormatting>
  <conditionalFormatting sqref="M4163:M4172">
    <cfRule type="cellIs" dxfId="4053" priority="3985" stopIfTrue="1" operator="lessThan">
      <formula>0</formula>
    </cfRule>
  </conditionalFormatting>
  <conditionalFormatting sqref="C4165:D4171 B4164:B4171 F4165:I4171 C4164:I4164 B4172:O4172 B4163:R4163 Q4164:R4165 J4164:O4171 Q4166:Q4172 P4164:P4172">
    <cfRule type="cellIs" dxfId="4052" priority="3984" stopIfTrue="1" operator="greaterThan">
      <formula>0</formula>
    </cfRule>
  </conditionalFormatting>
  <conditionalFormatting sqref="C4165:D4171">
    <cfRule type="cellIs" dxfId="4051" priority="3983" stopIfTrue="1" operator="greaterThan">
      <formula>0</formula>
    </cfRule>
  </conditionalFormatting>
  <conditionalFormatting sqref="C4163:M4163 C4165:D4171 F4165:I4171 C4164:I4164 K4164:M4171 J4164:J4172 L4172:M4172">
    <cfRule type="cellIs" dxfId="4050" priority="3982" stopIfTrue="1" operator="greaterThan">
      <formula>0</formula>
    </cfRule>
  </conditionalFormatting>
  <conditionalFormatting sqref="M4163:M4172">
    <cfRule type="cellIs" dxfId="4049" priority="3981" stopIfTrue="1" operator="lessThan">
      <formula>0</formula>
    </cfRule>
  </conditionalFormatting>
  <conditionalFormatting sqref="J4164:J4172 L4164:O4172 C4163:O4163">
    <cfRule type="cellIs" dxfId="4048" priority="3980" stopIfTrue="1" operator="greaterThan">
      <formula>0</formula>
    </cfRule>
  </conditionalFormatting>
  <conditionalFormatting sqref="H4165:I4171 K4165:M4172">
    <cfRule type="cellIs" dxfId="4047" priority="3979" stopIfTrue="1" operator="greaterThan">
      <formula>0</formula>
    </cfRule>
  </conditionalFormatting>
  <conditionalFormatting sqref="I4164">
    <cfRule type="cellIs" dxfId="4046" priority="3978" stopIfTrue="1" operator="greaterThan">
      <formula>0</formula>
    </cfRule>
  </conditionalFormatting>
  <conditionalFormatting sqref="I4172">
    <cfRule type="cellIs" dxfId="4045" priority="3977" stopIfTrue="1" operator="greaterThan">
      <formula>0</formula>
    </cfRule>
  </conditionalFormatting>
  <conditionalFormatting sqref="E4165:E4171">
    <cfRule type="cellIs" dxfId="4044" priority="3976" stopIfTrue="1" operator="greaterThan">
      <formula>0</formula>
    </cfRule>
  </conditionalFormatting>
  <conditionalFormatting sqref="K4180:K4185">
    <cfRule type="containsText" dxfId="4043" priority="3974" stopIfTrue="1" operator="containsText" text="NO CUMPLE">
      <formula>NOT(ISERROR(SEARCH("NO CUMPLE",K4180)))</formula>
    </cfRule>
    <cfRule type="containsText" dxfId="4042" priority="3975" stopIfTrue="1" operator="containsText" text="CUMPLE">
      <formula>NOT(ISERROR(SEARCH("CUMPLE",K4180)))</formula>
    </cfRule>
  </conditionalFormatting>
  <conditionalFormatting sqref="K4186">
    <cfRule type="containsText" dxfId="4041" priority="3972" stopIfTrue="1" operator="containsText" text="NO CUMPLE">
      <formula>NOT(ISERROR(SEARCH("NO CUMPLE",K4186)))</formula>
    </cfRule>
    <cfRule type="containsText" dxfId="4040" priority="3973" stopIfTrue="1" operator="containsText" text="CUMPLE">
      <formula>NOT(ISERROR(SEARCH("CUMPLE",K4186)))</formula>
    </cfRule>
  </conditionalFormatting>
  <conditionalFormatting sqref="Q4179">
    <cfRule type="cellIs" dxfId="4039" priority="3970" operator="greaterThanOrEqual">
      <formula>NUMMINCONT</formula>
    </cfRule>
    <cfRule type="cellIs" dxfId="4038" priority="3971" operator="lessThan">
      <formula>NUMMINCONT</formula>
    </cfRule>
  </conditionalFormatting>
  <conditionalFormatting sqref="W4163:Y4171">
    <cfRule type="cellIs" dxfId="4037" priority="3968" stopIfTrue="1" operator="equal">
      <formula>"NO"</formula>
    </cfRule>
    <cfRule type="cellIs" dxfId="4036" priority="3969" stopIfTrue="1" operator="equal">
      <formula>"SI"</formula>
    </cfRule>
  </conditionalFormatting>
  <conditionalFormatting sqref="R4166">
    <cfRule type="cellIs" dxfId="4035" priority="3967" stopIfTrue="1" operator="greaterThan">
      <formula>0</formula>
    </cfRule>
  </conditionalFormatting>
  <conditionalFormatting sqref="R4167">
    <cfRule type="cellIs" dxfId="4034" priority="3966" stopIfTrue="1" operator="greaterThan">
      <formula>0</formula>
    </cfRule>
  </conditionalFormatting>
  <conditionalFormatting sqref="R4168">
    <cfRule type="cellIs" dxfId="4033" priority="3965" stopIfTrue="1" operator="greaterThan">
      <formula>0</formula>
    </cfRule>
  </conditionalFormatting>
  <conditionalFormatting sqref="R4169">
    <cfRule type="cellIs" dxfId="4032" priority="3964" stopIfTrue="1" operator="greaterThan">
      <formula>0</formula>
    </cfRule>
  </conditionalFormatting>
  <conditionalFormatting sqref="R4170">
    <cfRule type="cellIs" dxfId="4031" priority="3963" stopIfTrue="1" operator="greaterThan">
      <formula>0</formula>
    </cfRule>
  </conditionalFormatting>
  <conditionalFormatting sqref="R4171">
    <cfRule type="cellIs" dxfId="4030" priority="3962" stopIfTrue="1" operator="greaterThan">
      <formula>0</formula>
    </cfRule>
  </conditionalFormatting>
  <conditionalFormatting sqref="R4172">
    <cfRule type="cellIs" dxfId="4029" priority="3961" stopIfTrue="1" operator="greaterThan">
      <formula>0</formula>
    </cfRule>
  </conditionalFormatting>
  <conditionalFormatting sqref="W4163:X4163">
    <cfRule type="cellIs" dxfId="4028" priority="3960" stopIfTrue="1" operator="equal">
      <formula>"NO APLICA"</formula>
    </cfRule>
  </conditionalFormatting>
  <conditionalFormatting sqref="W4164:X4167">
    <cfRule type="cellIs" dxfId="4027" priority="3959" stopIfTrue="1" operator="equal">
      <formula>"NO APLICA"</formula>
    </cfRule>
  </conditionalFormatting>
  <conditionalFormatting sqref="W4164:X4164">
    <cfRule type="cellIs" dxfId="4026" priority="3958" stopIfTrue="1" operator="equal">
      <formula>"NO APLICA"</formula>
    </cfRule>
  </conditionalFormatting>
  <conditionalFormatting sqref="Y4163">
    <cfRule type="cellIs" dxfId="4025" priority="3957" stopIfTrue="1" operator="equal">
      <formula>"NO APLICA"</formula>
    </cfRule>
  </conditionalFormatting>
  <conditionalFormatting sqref="Y4164:Y4167">
    <cfRule type="cellIs" dxfId="4024" priority="3956" stopIfTrue="1" operator="equal">
      <formula>"NO APLICA"</formula>
    </cfRule>
  </conditionalFormatting>
  <conditionalFormatting sqref="W4168:X4171">
    <cfRule type="cellIs" dxfId="4023" priority="3955" stopIfTrue="1" operator="equal">
      <formula>"NO APLICA"</formula>
    </cfRule>
  </conditionalFormatting>
  <conditionalFormatting sqref="W4168:X4168">
    <cfRule type="cellIs" dxfId="4022" priority="3954" stopIfTrue="1" operator="equal">
      <formula>"NO APLICA"</formula>
    </cfRule>
  </conditionalFormatting>
  <conditionalFormatting sqref="Y4168:Y4171">
    <cfRule type="cellIs" dxfId="4021" priority="3953" stopIfTrue="1" operator="equal">
      <formula>"NO APLICA"</formula>
    </cfRule>
  </conditionalFormatting>
  <conditionalFormatting sqref="T4177">
    <cfRule type="cellIs" dxfId="4020" priority="3951" operator="equal">
      <formula>"CUMPLE"</formula>
    </cfRule>
    <cfRule type="cellIs" dxfId="4019" priority="3952" operator="equal">
      <formula>"NO CUMPLE"</formula>
    </cfRule>
  </conditionalFormatting>
  <conditionalFormatting sqref="T4177:T4179">
    <cfRule type="cellIs" dxfId="4018" priority="3950" operator="equal">
      <formula>"VERIFICAR"</formula>
    </cfRule>
  </conditionalFormatting>
  <conditionalFormatting sqref="AD4163:AF4167">
    <cfRule type="cellIs" dxfId="4017" priority="3948" stopIfTrue="1" operator="equal">
      <formula>"NO"</formula>
    </cfRule>
    <cfRule type="cellIs" dxfId="4016" priority="3949" stopIfTrue="1" operator="equal">
      <formula>"SI"</formula>
    </cfRule>
  </conditionalFormatting>
  <conditionalFormatting sqref="AD4168:AF4171">
    <cfRule type="cellIs" dxfId="4015" priority="3946" stopIfTrue="1" operator="equal">
      <formula>"NO"</formula>
    </cfRule>
    <cfRule type="cellIs" dxfId="4014" priority="3947" stopIfTrue="1" operator="equal">
      <formula>"SI"</formula>
    </cfRule>
  </conditionalFormatting>
  <conditionalFormatting sqref="W4172:Y4172">
    <cfRule type="cellIs" dxfId="4013" priority="3944" stopIfTrue="1" operator="equal">
      <formula>"NO"</formula>
    </cfRule>
    <cfRule type="cellIs" dxfId="4012" priority="3945" stopIfTrue="1" operator="equal">
      <formula>"SI"</formula>
    </cfRule>
  </conditionalFormatting>
  <conditionalFormatting sqref="W4172:X4172">
    <cfRule type="cellIs" dxfId="4011" priority="3943" stopIfTrue="1" operator="equal">
      <formula>"NO APLICA"</formula>
    </cfRule>
  </conditionalFormatting>
  <conditionalFormatting sqref="Y4172">
    <cfRule type="cellIs" dxfId="4010" priority="3942" stopIfTrue="1" operator="equal">
      <formula>"NO APLICA"</formula>
    </cfRule>
  </conditionalFormatting>
  <conditionalFormatting sqref="AD4172:AF4172">
    <cfRule type="cellIs" dxfId="4009" priority="3940" stopIfTrue="1" operator="equal">
      <formula>"NO"</formula>
    </cfRule>
    <cfRule type="cellIs" dxfId="4008" priority="3941" stopIfTrue="1" operator="equal">
      <formula>"SI"</formula>
    </cfRule>
  </conditionalFormatting>
  <conditionalFormatting sqref="AE4177">
    <cfRule type="cellIs" dxfId="4007" priority="3937" stopIfTrue="1" operator="equal">
      <formula>"VERIFICAR"</formula>
    </cfRule>
    <cfRule type="cellIs" dxfId="4006" priority="3938" stopIfTrue="1" operator="equal">
      <formula>"NO CUMPLE"</formula>
    </cfRule>
    <cfRule type="cellIs" dxfId="4005" priority="3939" stopIfTrue="1" operator="equal">
      <formula>"CUMPLE"</formula>
    </cfRule>
  </conditionalFormatting>
  <conditionalFormatting sqref="AF4177">
    <cfRule type="cellIs" dxfId="4004" priority="3934" stopIfTrue="1" operator="equal">
      <formula>"VERIFICAR"</formula>
    </cfRule>
    <cfRule type="cellIs" dxfId="4003" priority="3935" stopIfTrue="1" operator="equal">
      <formula>"NO CUMPLE"</formula>
    </cfRule>
    <cfRule type="cellIs" dxfId="4002" priority="3936" stopIfTrue="1" operator="equal">
      <formula>"CUMPLE"</formula>
    </cfRule>
  </conditionalFormatting>
  <conditionalFormatting sqref="Y4180">
    <cfRule type="cellIs" dxfId="4001" priority="3933" operator="equal">
      <formula>"VERIFICAR CUADRO"</formula>
    </cfRule>
  </conditionalFormatting>
  <conditionalFormatting sqref="AC4181:AC4186">
    <cfRule type="cellIs" dxfId="4000" priority="3932" stopIfTrue="1" operator="greaterThan">
      <formula>0</formula>
    </cfRule>
  </conditionalFormatting>
  <conditionalFormatting sqref="AC4181:AC4186">
    <cfRule type="cellIs" dxfId="3999" priority="3931" stopIfTrue="1" operator="greaterThan">
      <formula>0</formula>
    </cfRule>
  </conditionalFormatting>
  <conditionalFormatting sqref="AD4181:AD4186">
    <cfRule type="containsText" dxfId="3998" priority="3929" stopIfTrue="1" operator="containsText" text="NO CUMPLE">
      <formula>NOT(ISERROR(SEARCH("NO CUMPLE",AD4181)))</formula>
    </cfRule>
    <cfRule type="containsText" dxfId="3997" priority="3930" stopIfTrue="1" operator="containsText" text="CUMPLE">
      <formula>NOT(ISERROR(SEARCH("CUMPLE",AD4181)))</formula>
    </cfRule>
  </conditionalFormatting>
  <conditionalFormatting sqref="Y4186">
    <cfRule type="containsText" dxfId="3996" priority="3927" stopIfTrue="1" operator="containsText" text="NO CUMPLE">
      <formula>NOT(ISERROR(SEARCH("NO CUMPLE",Y4186)))</formula>
    </cfRule>
    <cfRule type="containsText" dxfId="3995" priority="3928" stopIfTrue="1" operator="containsText" text="CUMPLE">
      <formula>NOT(ISERROR(SEARCH("CUMPLE",Y4186)))</formula>
    </cfRule>
  </conditionalFormatting>
  <conditionalFormatting sqref="AA4163:AA4172">
    <cfRule type="cellIs" dxfId="3994" priority="3925" stopIfTrue="1" operator="equal">
      <formula>"NO APLICA"</formula>
    </cfRule>
    <cfRule type="cellIs" dxfId="3993" priority="3926" stopIfTrue="1" operator="equal">
      <formula>"TERCIARIA"</formula>
    </cfRule>
  </conditionalFormatting>
  <conditionalFormatting sqref="AB4163:AB4172">
    <cfRule type="cellIs" dxfId="3992" priority="3923" stopIfTrue="1" operator="equal">
      <formula>"N/A"</formula>
    </cfRule>
    <cfRule type="cellIs" dxfId="3991" priority="3924" stopIfTrue="1" operator="equal">
      <formula>"NO"</formula>
    </cfRule>
  </conditionalFormatting>
  <conditionalFormatting sqref="M4193:M4202">
    <cfRule type="cellIs" dxfId="3990" priority="3922" stopIfTrue="1" operator="lessThan">
      <formula>0</formula>
    </cfRule>
  </conditionalFormatting>
  <conditionalFormatting sqref="C4195:D4201 B4194:B4201 F4195:I4201 C4194:I4194 B4202:O4202 B4193:R4193 Q4194:R4195 J4194:O4201 Q4196:Q4202 P4194:P4202">
    <cfRule type="cellIs" dxfId="3989" priority="3921" stopIfTrue="1" operator="greaterThan">
      <formula>0</formula>
    </cfRule>
  </conditionalFormatting>
  <conditionalFormatting sqref="C4195:D4201">
    <cfRule type="cellIs" dxfId="3988" priority="3920" stopIfTrue="1" operator="greaterThan">
      <formula>0</formula>
    </cfRule>
  </conditionalFormatting>
  <conditionalFormatting sqref="C4193:M4193 C4195:D4201 F4195:I4201 C4194:I4194 K4194:M4201 J4194:J4202 L4202:M4202">
    <cfRule type="cellIs" dxfId="3987" priority="3919" stopIfTrue="1" operator="greaterThan">
      <formula>0</formula>
    </cfRule>
  </conditionalFormatting>
  <conditionalFormatting sqref="M4193:M4202">
    <cfRule type="cellIs" dxfId="3986" priority="3918" stopIfTrue="1" operator="lessThan">
      <formula>0</formula>
    </cfRule>
  </conditionalFormatting>
  <conditionalFormatting sqref="J4194:J4202 L4194:O4202 C4193:O4193">
    <cfRule type="cellIs" dxfId="3985" priority="3917" stopIfTrue="1" operator="greaterThan">
      <formula>0</formula>
    </cfRule>
  </conditionalFormatting>
  <conditionalFormatting sqref="H4195:I4201 K4195:M4202">
    <cfRule type="cellIs" dxfId="3984" priority="3916" stopIfTrue="1" operator="greaterThan">
      <formula>0</formula>
    </cfRule>
  </conditionalFormatting>
  <conditionalFormatting sqref="I4194">
    <cfRule type="cellIs" dxfId="3983" priority="3915" stopIfTrue="1" operator="greaterThan">
      <formula>0</formula>
    </cfRule>
  </conditionalFormatting>
  <conditionalFormatting sqref="I4202">
    <cfRule type="cellIs" dxfId="3982" priority="3914" stopIfTrue="1" operator="greaterThan">
      <formula>0</formula>
    </cfRule>
  </conditionalFormatting>
  <conditionalFormatting sqref="E4195:E4201">
    <cfRule type="cellIs" dxfId="3981" priority="3913" stopIfTrue="1" operator="greaterThan">
      <formula>0</formula>
    </cfRule>
  </conditionalFormatting>
  <conditionalFormatting sqref="K4210:K4215">
    <cfRule type="containsText" dxfId="3980" priority="3911" stopIfTrue="1" operator="containsText" text="NO CUMPLE">
      <formula>NOT(ISERROR(SEARCH("NO CUMPLE",K4210)))</formula>
    </cfRule>
    <cfRule type="containsText" dxfId="3979" priority="3912" stopIfTrue="1" operator="containsText" text="CUMPLE">
      <formula>NOT(ISERROR(SEARCH("CUMPLE",K4210)))</formula>
    </cfRule>
  </conditionalFormatting>
  <conditionalFormatting sqref="K4216">
    <cfRule type="containsText" dxfId="3978" priority="3909" stopIfTrue="1" operator="containsText" text="NO CUMPLE">
      <formula>NOT(ISERROR(SEARCH("NO CUMPLE",K4216)))</formula>
    </cfRule>
    <cfRule type="containsText" dxfId="3977" priority="3910" stopIfTrue="1" operator="containsText" text="CUMPLE">
      <formula>NOT(ISERROR(SEARCH("CUMPLE",K4216)))</formula>
    </cfRule>
  </conditionalFormatting>
  <conditionalFormatting sqref="Q4209">
    <cfRule type="cellIs" dxfId="3976" priority="3907" operator="greaterThanOrEqual">
      <formula>NUMMINCONT</formula>
    </cfRule>
    <cfRule type="cellIs" dxfId="3975" priority="3908" operator="lessThan">
      <formula>NUMMINCONT</formula>
    </cfRule>
  </conditionalFormatting>
  <conditionalFormatting sqref="W4193:Y4201">
    <cfRule type="cellIs" dxfId="3974" priority="3905" stopIfTrue="1" operator="equal">
      <formula>"NO"</formula>
    </cfRule>
    <cfRule type="cellIs" dxfId="3973" priority="3906" stopIfTrue="1" operator="equal">
      <formula>"SI"</formula>
    </cfRule>
  </conditionalFormatting>
  <conditionalFormatting sqref="R4196">
    <cfRule type="cellIs" dxfId="3972" priority="3904" stopIfTrue="1" operator="greaterThan">
      <formula>0</formula>
    </cfRule>
  </conditionalFormatting>
  <conditionalFormatting sqref="R4197">
    <cfRule type="cellIs" dxfId="3971" priority="3903" stopIfTrue="1" operator="greaterThan">
      <formula>0</formula>
    </cfRule>
  </conditionalFormatting>
  <conditionalFormatting sqref="R4198">
    <cfRule type="cellIs" dxfId="3970" priority="3902" stopIfTrue="1" operator="greaterThan">
      <formula>0</formula>
    </cfRule>
  </conditionalFormatting>
  <conditionalFormatting sqref="R4199">
    <cfRule type="cellIs" dxfId="3969" priority="3901" stopIfTrue="1" operator="greaterThan">
      <formula>0</formula>
    </cfRule>
  </conditionalFormatting>
  <conditionalFormatting sqref="R4200">
    <cfRule type="cellIs" dxfId="3968" priority="3900" stopIfTrue="1" operator="greaterThan">
      <formula>0</formula>
    </cfRule>
  </conditionalFormatting>
  <conditionalFormatting sqref="R4201">
    <cfRule type="cellIs" dxfId="3967" priority="3899" stopIfTrue="1" operator="greaterThan">
      <formula>0</formula>
    </cfRule>
  </conditionalFormatting>
  <conditionalFormatting sqref="R4202">
    <cfRule type="cellIs" dxfId="3966" priority="3898" stopIfTrue="1" operator="greaterThan">
      <formula>0</formula>
    </cfRule>
  </conditionalFormatting>
  <conditionalFormatting sqref="W4193:X4193">
    <cfRule type="cellIs" dxfId="3965" priority="3897" stopIfTrue="1" operator="equal">
      <formula>"NO APLICA"</formula>
    </cfRule>
  </conditionalFormatting>
  <conditionalFormatting sqref="W4194:X4197">
    <cfRule type="cellIs" dxfId="3964" priority="3896" stopIfTrue="1" operator="equal">
      <formula>"NO APLICA"</formula>
    </cfRule>
  </conditionalFormatting>
  <conditionalFormatting sqref="W4194:X4194">
    <cfRule type="cellIs" dxfId="3963" priority="3895" stopIfTrue="1" operator="equal">
      <formula>"NO APLICA"</formula>
    </cfRule>
  </conditionalFormatting>
  <conditionalFormatting sqref="Y4193">
    <cfRule type="cellIs" dxfId="3962" priority="3894" stopIfTrue="1" operator="equal">
      <formula>"NO APLICA"</formula>
    </cfRule>
  </conditionalFormatting>
  <conditionalFormatting sqref="Y4194:Y4197">
    <cfRule type="cellIs" dxfId="3961" priority="3893" stopIfTrue="1" operator="equal">
      <formula>"NO APLICA"</formula>
    </cfRule>
  </conditionalFormatting>
  <conditionalFormatting sqref="W4198:X4201">
    <cfRule type="cellIs" dxfId="3960" priority="3892" stopIfTrue="1" operator="equal">
      <formula>"NO APLICA"</formula>
    </cfRule>
  </conditionalFormatting>
  <conditionalFormatting sqref="W4198:X4198">
    <cfRule type="cellIs" dxfId="3959" priority="3891" stopIfTrue="1" operator="equal">
      <formula>"NO APLICA"</formula>
    </cfRule>
  </conditionalFormatting>
  <conditionalFormatting sqref="Y4198:Y4201">
    <cfRule type="cellIs" dxfId="3958" priority="3890" stopIfTrue="1" operator="equal">
      <formula>"NO APLICA"</formula>
    </cfRule>
  </conditionalFormatting>
  <conditionalFormatting sqref="T4207">
    <cfRule type="cellIs" dxfId="3957" priority="3888" operator="equal">
      <formula>"CUMPLE"</formula>
    </cfRule>
    <cfRule type="cellIs" dxfId="3956" priority="3889" operator="equal">
      <formula>"NO CUMPLE"</formula>
    </cfRule>
  </conditionalFormatting>
  <conditionalFormatting sqref="T4207:T4209">
    <cfRule type="cellIs" dxfId="3955" priority="3887" operator="equal">
      <formula>"VERIFICAR"</formula>
    </cfRule>
  </conditionalFormatting>
  <conditionalFormatting sqref="AD4193:AF4197">
    <cfRule type="cellIs" dxfId="3954" priority="3885" stopIfTrue="1" operator="equal">
      <formula>"NO"</formula>
    </cfRule>
    <cfRule type="cellIs" dxfId="3953" priority="3886" stopIfTrue="1" operator="equal">
      <formula>"SI"</formula>
    </cfRule>
  </conditionalFormatting>
  <conditionalFormatting sqref="AD4198:AF4201">
    <cfRule type="cellIs" dxfId="3952" priority="3883" stopIfTrue="1" operator="equal">
      <formula>"NO"</formula>
    </cfRule>
    <cfRule type="cellIs" dxfId="3951" priority="3884" stopIfTrue="1" operator="equal">
      <formula>"SI"</formula>
    </cfRule>
  </conditionalFormatting>
  <conditionalFormatting sqref="W4202:Y4202">
    <cfRule type="cellIs" dxfId="3950" priority="3881" stopIfTrue="1" operator="equal">
      <formula>"NO"</formula>
    </cfRule>
    <cfRule type="cellIs" dxfId="3949" priority="3882" stopIfTrue="1" operator="equal">
      <formula>"SI"</formula>
    </cfRule>
  </conditionalFormatting>
  <conditionalFormatting sqref="W4202:X4202">
    <cfRule type="cellIs" dxfId="3948" priority="3880" stopIfTrue="1" operator="equal">
      <formula>"NO APLICA"</formula>
    </cfRule>
  </conditionalFormatting>
  <conditionalFormatting sqref="Y4202">
    <cfRule type="cellIs" dxfId="3947" priority="3879" stopIfTrue="1" operator="equal">
      <formula>"NO APLICA"</formula>
    </cfRule>
  </conditionalFormatting>
  <conditionalFormatting sqref="AD4202:AF4202">
    <cfRule type="cellIs" dxfId="3946" priority="3877" stopIfTrue="1" operator="equal">
      <formula>"NO"</formula>
    </cfRule>
    <cfRule type="cellIs" dxfId="3945" priority="3878" stopIfTrue="1" operator="equal">
      <formula>"SI"</formula>
    </cfRule>
  </conditionalFormatting>
  <conditionalFormatting sqref="AE4207">
    <cfRule type="cellIs" dxfId="3944" priority="3874" stopIfTrue="1" operator="equal">
      <formula>"VERIFICAR"</formula>
    </cfRule>
    <cfRule type="cellIs" dxfId="3943" priority="3875" stopIfTrue="1" operator="equal">
      <formula>"NO CUMPLE"</formula>
    </cfRule>
    <cfRule type="cellIs" dxfId="3942" priority="3876" stopIfTrue="1" operator="equal">
      <formula>"CUMPLE"</formula>
    </cfRule>
  </conditionalFormatting>
  <conditionalFormatting sqref="AF4207">
    <cfRule type="cellIs" dxfId="3941" priority="3871" stopIfTrue="1" operator="equal">
      <formula>"VERIFICAR"</formula>
    </cfRule>
    <cfRule type="cellIs" dxfId="3940" priority="3872" stopIfTrue="1" operator="equal">
      <formula>"NO CUMPLE"</formula>
    </cfRule>
    <cfRule type="cellIs" dxfId="3939" priority="3873" stopIfTrue="1" operator="equal">
      <formula>"CUMPLE"</formula>
    </cfRule>
  </conditionalFormatting>
  <conditionalFormatting sqref="Y4210">
    <cfRule type="cellIs" dxfId="3938" priority="3870" operator="equal">
      <formula>"VERIFICAR CUADRO"</formula>
    </cfRule>
  </conditionalFormatting>
  <conditionalFormatting sqref="AC4211:AC4216">
    <cfRule type="cellIs" dxfId="3937" priority="3869" stopIfTrue="1" operator="greaterThan">
      <formula>0</formula>
    </cfRule>
  </conditionalFormatting>
  <conditionalFormatting sqref="AC4211:AC4216">
    <cfRule type="cellIs" dxfId="3936" priority="3868" stopIfTrue="1" operator="greaterThan">
      <formula>0</formula>
    </cfRule>
  </conditionalFormatting>
  <conditionalFormatting sqref="AD4211:AD4216">
    <cfRule type="containsText" dxfId="3935" priority="3866" stopIfTrue="1" operator="containsText" text="NO CUMPLE">
      <formula>NOT(ISERROR(SEARCH("NO CUMPLE",AD4211)))</formula>
    </cfRule>
    <cfRule type="containsText" dxfId="3934" priority="3867" stopIfTrue="1" operator="containsText" text="CUMPLE">
      <formula>NOT(ISERROR(SEARCH("CUMPLE",AD4211)))</formula>
    </cfRule>
  </conditionalFormatting>
  <conditionalFormatting sqref="Y4216">
    <cfRule type="containsText" dxfId="3933" priority="3864" stopIfTrue="1" operator="containsText" text="NO CUMPLE">
      <formula>NOT(ISERROR(SEARCH("NO CUMPLE",Y4216)))</formula>
    </cfRule>
    <cfRule type="containsText" dxfId="3932" priority="3865" stopIfTrue="1" operator="containsText" text="CUMPLE">
      <formula>NOT(ISERROR(SEARCH("CUMPLE",Y4216)))</formula>
    </cfRule>
  </conditionalFormatting>
  <conditionalFormatting sqref="AA4193:AA4202">
    <cfRule type="cellIs" dxfId="3931" priority="3862" stopIfTrue="1" operator="equal">
      <formula>"NO APLICA"</formula>
    </cfRule>
    <cfRule type="cellIs" dxfId="3930" priority="3863" stopIfTrue="1" operator="equal">
      <formula>"TERCIARIA"</formula>
    </cfRule>
  </conditionalFormatting>
  <conditionalFormatting sqref="AB4193:AB4202">
    <cfRule type="cellIs" dxfId="3929" priority="3860" stopIfTrue="1" operator="equal">
      <formula>"N/A"</formula>
    </cfRule>
    <cfRule type="cellIs" dxfId="3928" priority="3861" stopIfTrue="1" operator="equal">
      <formula>"NO"</formula>
    </cfRule>
  </conditionalFormatting>
  <conditionalFormatting sqref="M4223:M4232">
    <cfRule type="cellIs" dxfId="3927" priority="3859" stopIfTrue="1" operator="lessThan">
      <formula>0</formula>
    </cfRule>
  </conditionalFormatting>
  <conditionalFormatting sqref="C4225:D4231 B4224:B4231 F4225:I4231 C4224:I4224 B4232:O4232 B4223:R4223 Q4224:R4225 J4224:O4231 Q4226:Q4232 P4224:P4232">
    <cfRule type="cellIs" dxfId="3926" priority="3858" stopIfTrue="1" operator="greaterThan">
      <formula>0</formula>
    </cfRule>
  </conditionalFormatting>
  <conditionalFormatting sqref="C4225:D4231">
    <cfRule type="cellIs" dxfId="3925" priority="3857" stopIfTrue="1" operator="greaterThan">
      <formula>0</formula>
    </cfRule>
  </conditionalFormatting>
  <conditionalFormatting sqref="C4223:M4223 C4225:D4231 F4225:I4231 C4224:I4224 K4224:M4231 J4224:J4232 L4232:M4232">
    <cfRule type="cellIs" dxfId="3924" priority="3856" stopIfTrue="1" operator="greaterThan">
      <formula>0</formula>
    </cfRule>
  </conditionalFormatting>
  <conditionalFormatting sqref="M4223:M4232">
    <cfRule type="cellIs" dxfId="3923" priority="3855" stopIfTrue="1" operator="lessThan">
      <formula>0</formula>
    </cfRule>
  </conditionalFormatting>
  <conditionalFormatting sqref="J4224:J4232 L4224:O4232 C4223:O4223">
    <cfRule type="cellIs" dxfId="3922" priority="3854" stopIfTrue="1" operator="greaterThan">
      <formula>0</formula>
    </cfRule>
  </conditionalFormatting>
  <conditionalFormatting sqref="H4225:I4231 K4225:M4232">
    <cfRule type="cellIs" dxfId="3921" priority="3853" stopIfTrue="1" operator="greaterThan">
      <formula>0</formula>
    </cfRule>
  </conditionalFormatting>
  <conditionalFormatting sqref="I4224">
    <cfRule type="cellIs" dxfId="3920" priority="3852" stopIfTrue="1" operator="greaterThan">
      <formula>0</formula>
    </cfRule>
  </conditionalFormatting>
  <conditionalFormatting sqref="I4232">
    <cfRule type="cellIs" dxfId="3919" priority="3851" stopIfTrue="1" operator="greaterThan">
      <formula>0</formula>
    </cfRule>
  </conditionalFormatting>
  <conditionalFormatting sqref="E4225:E4231">
    <cfRule type="cellIs" dxfId="3918" priority="3850" stopIfTrue="1" operator="greaterThan">
      <formula>0</formula>
    </cfRule>
  </conditionalFormatting>
  <conditionalFormatting sqref="K4240:K4245">
    <cfRule type="containsText" dxfId="3917" priority="3848" stopIfTrue="1" operator="containsText" text="NO CUMPLE">
      <formula>NOT(ISERROR(SEARCH("NO CUMPLE",K4240)))</formula>
    </cfRule>
    <cfRule type="containsText" dxfId="3916" priority="3849" stopIfTrue="1" operator="containsText" text="CUMPLE">
      <formula>NOT(ISERROR(SEARCH("CUMPLE",K4240)))</formula>
    </cfRule>
  </conditionalFormatting>
  <conditionalFormatting sqref="K4246">
    <cfRule type="containsText" dxfId="3915" priority="3846" stopIfTrue="1" operator="containsText" text="NO CUMPLE">
      <formula>NOT(ISERROR(SEARCH("NO CUMPLE",K4246)))</formula>
    </cfRule>
    <cfRule type="containsText" dxfId="3914" priority="3847" stopIfTrue="1" operator="containsText" text="CUMPLE">
      <formula>NOT(ISERROR(SEARCH("CUMPLE",K4246)))</formula>
    </cfRule>
  </conditionalFormatting>
  <conditionalFormatting sqref="Q4239">
    <cfRule type="cellIs" dxfId="3913" priority="3844" operator="greaterThanOrEqual">
      <formula>NUMMINCONT</formula>
    </cfRule>
    <cfRule type="cellIs" dxfId="3912" priority="3845" operator="lessThan">
      <formula>NUMMINCONT</formula>
    </cfRule>
  </conditionalFormatting>
  <conditionalFormatting sqref="W4223:Y4231">
    <cfRule type="cellIs" dxfId="3911" priority="3842" stopIfTrue="1" operator="equal">
      <formula>"NO"</formula>
    </cfRule>
    <cfRule type="cellIs" dxfId="3910" priority="3843" stopIfTrue="1" operator="equal">
      <formula>"SI"</formula>
    </cfRule>
  </conditionalFormatting>
  <conditionalFormatting sqref="R4226">
    <cfRule type="cellIs" dxfId="3909" priority="3841" stopIfTrue="1" operator="greaterThan">
      <formula>0</formula>
    </cfRule>
  </conditionalFormatting>
  <conditionalFormatting sqref="R4227">
    <cfRule type="cellIs" dxfId="3908" priority="3840" stopIfTrue="1" operator="greaterThan">
      <formula>0</formula>
    </cfRule>
  </conditionalFormatting>
  <conditionalFormatting sqref="R4228">
    <cfRule type="cellIs" dxfId="3907" priority="3839" stopIfTrue="1" operator="greaterThan">
      <formula>0</formula>
    </cfRule>
  </conditionalFormatting>
  <conditionalFormatting sqref="R4229">
    <cfRule type="cellIs" dxfId="3906" priority="3838" stopIfTrue="1" operator="greaterThan">
      <formula>0</formula>
    </cfRule>
  </conditionalFormatting>
  <conditionalFormatting sqref="R4230">
    <cfRule type="cellIs" dxfId="3905" priority="3837" stopIfTrue="1" operator="greaterThan">
      <formula>0</formula>
    </cfRule>
  </conditionalFormatting>
  <conditionalFormatting sqref="R4231">
    <cfRule type="cellIs" dxfId="3904" priority="3836" stopIfTrue="1" operator="greaterThan">
      <formula>0</formula>
    </cfRule>
  </conditionalFormatting>
  <conditionalFormatting sqref="R4232">
    <cfRule type="cellIs" dxfId="3903" priority="3835" stopIfTrue="1" operator="greaterThan">
      <formula>0</formula>
    </cfRule>
  </conditionalFormatting>
  <conditionalFormatting sqref="W4223:X4223">
    <cfRule type="cellIs" dxfId="3902" priority="3834" stopIfTrue="1" operator="equal">
      <formula>"NO APLICA"</formula>
    </cfRule>
  </conditionalFormatting>
  <conditionalFormatting sqref="W4224:X4227">
    <cfRule type="cellIs" dxfId="3901" priority="3833" stopIfTrue="1" operator="equal">
      <formula>"NO APLICA"</formula>
    </cfRule>
  </conditionalFormatting>
  <conditionalFormatting sqref="W4224:X4224">
    <cfRule type="cellIs" dxfId="3900" priority="3832" stopIfTrue="1" operator="equal">
      <formula>"NO APLICA"</formula>
    </cfRule>
  </conditionalFormatting>
  <conditionalFormatting sqref="Y4223">
    <cfRule type="cellIs" dxfId="3899" priority="3831" stopIfTrue="1" operator="equal">
      <formula>"NO APLICA"</formula>
    </cfRule>
  </conditionalFormatting>
  <conditionalFormatting sqref="Y4224:Y4227">
    <cfRule type="cellIs" dxfId="3898" priority="3830" stopIfTrue="1" operator="equal">
      <formula>"NO APLICA"</formula>
    </cfRule>
  </conditionalFormatting>
  <conditionalFormatting sqref="W4228:X4231">
    <cfRule type="cellIs" dxfId="3897" priority="3829" stopIfTrue="1" operator="equal">
      <formula>"NO APLICA"</formula>
    </cfRule>
  </conditionalFormatting>
  <conditionalFormatting sqref="W4228:X4228">
    <cfRule type="cellIs" dxfId="3896" priority="3828" stopIfTrue="1" operator="equal">
      <formula>"NO APLICA"</formula>
    </cfRule>
  </conditionalFormatting>
  <conditionalFormatting sqref="Y4228:Y4231">
    <cfRule type="cellIs" dxfId="3895" priority="3827" stopIfTrue="1" operator="equal">
      <formula>"NO APLICA"</formula>
    </cfRule>
  </conditionalFormatting>
  <conditionalFormatting sqref="T4237">
    <cfRule type="cellIs" dxfId="3894" priority="3825" operator="equal">
      <formula>"CUMPLE"</formula>
    </cfRule>
    <cfRule type="cellIs" dxfId="3893" priority="3826" operator="equal">
      <formula>"NO CUMPLE"</formula>
    </cfRule>
  </conditionalFormatting>
  <conditionalFormatting sqref="T4237:T4239">
    <cfRule type="cellIs" dxfId="3892" priority="3824" operator="equal">
      <formula>"VERIFICAR"</formula>
    </cfRule>
  </conditionalFormatting>
  <conditionalFormatting sqref="AD4223:AF4227">
    <cfRule type="cellIs" dxfId="3891" priority="3822" stopIfTrue="1" operator="equal">
      <formula>"NO"</formula>
    </cfRule>
    <cfRule type="cellIs" dxfId="3890" priority="3823" stopIfTrue="1" operator="equal">
      <formula>"SI"</formula>
    </cfRule>
  </conditionalFormatting>
  <conditionalFormatting sqref="AD4228:AF4231">
    <cfRule type="cellIs" dxfId="3889" priority="3820" stopIfTrue="1" operator="equal">
      <formula>"NO"</formula>
    </cfRule>
    <cfRule type="cellIs" dxfId="3888" priority="3821" stopIfTrue="1" operator="equal">
      <formula>"SI"</formula>
    </cfRule>
  </conditionalFormatting>
  <conditionalFormatting sqref="W4232:Y4232">
    <cfRule type="cellIs" dxfId="3887" priority="3818" stopIfTrue="1" operator="equal">
      <formula>"NO"</formula>
    </cfRule>
    <cfRule type="cellIs" dxfId="3886" priority="3819" stopIfTrue="1" operator="equal">
      <formula>"SI"</formula>
    </cfRule>
  </conditionalFormatting>
  <conditionalFormatting sqref="W4232:X4232">
    <cfRule type="cellIs" dxfId="3885" priority="3817" stopIfTrue="1" operator="equal">
      <formula>"NO APLICA"</formula>
    </cfRule>
  </conditionalFormatting>
  <conditionalFormatting sqref="Y4232">
    <cfRule type="cellIs" dxfId="3884" priority="3816" stopIfTrue="1" operator="equal">
      <formula>"NO APLICA"</formula>
    </cfRule>
  </conditionalFormatting>
  <conditionalFormatting sqref="AD4232:AF4232">
    <cfRule type="cellIs" dxfId="3883" priority="3814" stopIfTrue="1" operator="equal">
      <formula>"NO"</formula>
    </cfRule>
    <cfRule type="cellIs" dxfId="3882" priority="3815" stopIfTrue="1" operator="equal">
      <formula>"SI"</formula>
    </cfRule>
  </conditionalFormatting>
  <conditionalFormatting sqref="AE4237">
    <cfRule type="cellIs" dxfId="3881" priority="3811" stopIfTrue="1" operator="equal">
      <formula>"VERIFICAR"</formula>
    </cfRule>
    <cfRule type="cellIs" dxfId="3880" priority="3812" stopIfTrue="1" operator="equal">
      <formula>"NO CUMPLE"</formula>
    </cfRule>
    <cfRule type="cellIs" dxfId="3879" priority="3813" stopIfTrue="1" operator="equal">
      <formula>"CUMPLE"</formula>
    </cfRule>
  </conditionalFormatting>
  <conditionalFormatting sqref="AF4237">
    <cfRule type="cellIs" dxfId="3878" priority="3808" stopIfTrue="1" operator="equal">
      <formula>"VERIFICAR"</formula>
    </cfRule>
    <cfRule type="cellIs" dxfId="3877" priority="3809" stopIfTrue="1" operator="equal">
      <formula>"NO CUMPLE"</formula>
    </cfRule>
    <cfRule type="cellIs" dxfId="3876" priority="3810" stopIfTrue="1" operator="equal">
      <formula>"CUMPLE"</formula>
    </cfRule>
  </conditionalFormatting>
  <conditionalFormatting sqref="Y4240">
    <cfRule type="cellIs" dxfId="3875" priority="3807" operator="equal">
      <formula>"VERIFICAR CUADRO"</formula>
    </cfRule>
  </conditionalFormatting>
  <conditionalFormatting sqref="AC4241:AC4246">
    <cfRule type="cellIs" dxfId="3874" priority="3806" stopIfTrue="1" operator="greaterThan">
      <formula>0</formula>
    </cfRule>
  </conditionalFormatting>
  <conditionalFormatting sqref="AC4241:AC4246">
    <cfRule type="cellIs" dxfId="3873" priority="3805" stopIfTrue="1" operator="greaterThan">
      <formula>0</formula>
    </cfRule>
  </conditionalFormatting>
  <conditionalFormatting sqref="AD4241:AD4246">
    <cfRule type="containsText" dxfId="3872" priority="3803" stopIfTrue="1" operator="containsText" text="NO CUMPLE">
      <formula>NOT(ISERROR(SEARCH("NO CUMPLE",AD4241)))</formula>
    </cfRule>
    <cfRule type="containsText" dxfId="3871" priority="3804" stopIfTrue="1" operator="containsText" text="CUMPLE">
      <formula>NOT(ISERROR(SEARCH("CUMPLE",AD4241)))</formula>
    </cfRule>
  </conditionalFormatting>
  <conditionalFormatting sqref="Y4246">
    <cfRule type="containsText" dxfId="3870" priority="3801" stopIfTrue="1" operator="containsText" text="NO CUMPLE">
      <formula>NOT(ISERROR(SEARCH("NO CUMPLE",Y4246)))</formula>
    </cfRule>
    <cfRule type="containsText" dxfId="3869" priority="3802" stopIfTrue="1" operator="containsText" text="CUMPLE">
      <formula>NOT(ISERROR(SEARCH("CUMPLE",Y4246)))</formula>
    </cfRule>
  </conditionalFormatting>
  <conditionalFormatting sqref="AA4223:AA4232">
    <cfRule type="cellIs" dxfId="3868" priority="3799" stopIfTrue="1" operator="equal">
      <formula>"NO APLICA"</formula>
    </cfRule>
    <cfRule type="cellIs" dxfId="3867" priority="3800" stopIfTrue="1" operator="equal">
      <formula>"TERCIARIA"</formula>
    </cfRule>
  </conditionalFormatting>
  <conditionalFormatting sqref="AB4223:AB4232">
    <cfRule type="cellIs" dxfId="3866" priority="3797" stopIfTrue="1" operator="equal">
      <formula>"N/A"</formula>
    </cfRule>
    <cfRule type="cellIs" dxfId="3865" priority="3798" stopIfTrue="1" operator="equal">
      <formula>"NO"</formula>
    </cfRule>
  </conditionalFormatting>
  <conditionalFormatting sqref="M4253:M4262">
    <cfRule type="cellIs" dxfId="3864" priority="3796" stopIfTrue="1" operator="lessThan">
      <formula>0</formula>
    </cfRule>
  </conditionalFormatting>
  <conditionalFormatting sqref="C4255:D4261 B4254:B4261 F4255:I4261 C4254:I4254 B4262:O4262 B4253:R4253 Q4254:R4255 J4254:O4261 Q4256:Q4262 P4254:P4262">
    <cfRule type="cellIs" dxfId="3863" priority="3795" stopIfTrue="1" operator="greaterThan">
      <formula>0</formula>
    </cfRule>
  </conditionalFormatting>
  <conditionalFormatting sqref="C4255:D4261">
    <cfRule type="cellIs" dxfId="3862" priority="3794" stopIfTrue="1" operator="greaterThan">
      <formula>0</formula>
    </cfRule>
  </conditionalFormatting>
  <conditionalFormatting sqref="C4253:M4253 C4255:D4261 F4255:I4261 C4254:I4254 K4254:M4261 J4254:J4262 L4262:M4262">
    <cfRule type="cellIs" dxfId="3861" priority="3793" stopIfTrue="1" operator="greaterThan">
      <formula>0</formula>
    </cfRule>
  </conditionalFormatting>
  <conditionalFormatting sqref="M4253:M4262">
    <cfRule type="cellIs" dxfId="3860" priority="3792" stopIfTrue="1" operator="lessThan">
      <formula>0</formula>
    </cfRule>
  </conditionalFormatting>
  <conditionalFormatting sqref="J4254:J4262 L4254:O4262 C4253:O4253">
    <cfRule type="cellIs" dxfId="3859" priority="3791" stopIfTrue="1" operator="greaterThan">
      <formula>0</formula>
    </cfRule>
  </conditionalFormatting>
  <conditionalFormatting sqref="H4255:I4261 K4255:M4262">
    <cfRule type="cellIs" dxfId="3858" priority="3790" stopIfTrue="1" operator="greaterThan">
      <formula>0</formula>
    </cfRule>
  </conditionalFormatting>
  <conditionalFormatting sqref="I4254">
    <cfRule type="cellIs" dxfId="3857" priority="3789" stopIfTrue="1" operator="greaterThan">
      <formula>0</formula>
    </cfRule>
  </conditionalFormatting>
  <conditionalFormatting sqref="I4262">
    <cfRule type="cellIs" dxfId="3856" priority="3788" stopIfTrue="1" operator="greaterThan">
      <formula>0</formula>
    </cfRule>
  </conditionalFormatting>
  <conditionalFormatting sqref="E4255:E4261">
    <cfRule type="cellIs" dxfId="3855" priority="3787" stopIfTrue="1" operator="greaterThan">
      <formula>0</formula>
    </cfRule>
  </conditionalFormatting>
  <conditionalFormatting sqref="K4270:K4275">
    <cfRule type="containsText" dxfId="3854" priority="3785" stopIfTrue="1" operator="containsText" text="NO CUMPLE">
      <formula>NOT(ISERROR(SEARCH("NO CUMPLE",K4270)))</formula>
    </cfRule>
    <cfRule type="containsText" dxfId="3853" priority="3786" stopIfTrue="1" operator="containsText" text="CUMPLE">
      <formula>NOT(ISERROR(SEARCH("CUMPLE",K4270)))</formula>
    </cfRule>
  </conditionalFormatting>
  <conditionalFormatting sqref="K4276">
    <cfRule type="containsText" dxfId="3852" priority="3783" stopIfTrue="1" operator="containsText" text="NO CUMPLE">
      <formula>NOT(ISERROR(SEARCH("NO CUMPLE",K4276)))</formula>
    </cfRule>
    <cfRule type="containsText" dxfId="3851" priority="3784" stopIfTrue="1" operator="containsText" text="CUMPLE">
      <formula>NOT(ISERROR(SEARCH("CUMPLE",K4276)))</formula>
    </cfRule>
  </conditionalFormatting>
  <conditionalFormatting sqref="Q4269">
    <cfRule type="cellIs" dxfId="3850" priority="3781" operator="greaterThanOrEqual">
      <formula>NUMMINCONT</formula>
    </cfRule>
    <cfRule type="cellIs" dxfId="3849" priority="3782" operator="lessThan">
      <formula>NUMMINCONT</formula>
    </cfRule>
  </conditionalFormatting>
  <conditionalFormatting sqref="W4253:Y4261">
    <cfRule type="cellIs" dxfId="3848" priority="3779" stopIfTrue="1" operator="equal">
      <formula>"NO"</formula>
    </cfRule>
    <cfRule type="cellIs" dxfId="3847" priority="3780" stopIfTrue="1" operator="equal">
      <formula>"SI"</formula>
    </cfRule>
  </conditionalFormatting>
  <conditionalFormatting sqref="R4256">
    <cfRule type="cellIs" dxfId="3846" priority="3778" stopIfTrue="1" operator="greaterThan">
      <formula>0</formula>
    </cfRule>
  </conditionalFormatting>
  <conditionalFormatting sqref="R4257">
    <cfRule type="cellIs" dxfId="3845" priority="3777" stopIfTrue="1" operator="greaterThan">
      <formula>0</formula>
    </cfRule>
  </conditionalFormatting>
  <conditionalFormatting sqref="R4258">
    <cfRule type="cellIs" dxfId="3844" priority="3776" stopIfTrue="1" operator="greaterThan">
      <formula>0</formula>
    </cfRule>
  </conditionalFormatting>
  <conditionalFormatting sqref="R4259">
    <cfRule type="cellIs" dxfId="3843" priority="3775" stopIfTrue="1" operator="greaterThan">
      <formula>0</formula>
    </cfRule>
  </conditionalFormatting>
  <conditionalFormatting sqref="R4260">
    <cfRule type="cellIs" dxfId="3842" priority="3774" stopIfTrue="1" operator="greaterThan">
      <formula>0</formula>
    </cfRule>
  </conditionalFormatting>
  <conditionalFormatting sqref="R4261">
    <cfRule type="cellIs" dxfId="3841" priority="3773" stopIfTrue="1" operator="greaterThan">
      <formula>0</formula>
    </cfRule>
  </conditionalFormatting>
  <conditionalFormatting sqref="R4262">
    <cfRule type="cellIs" dxfId="3840" priority="3772" stopIfTrue="1" operator="greaterThan">
      <formula>0</formula>
    </cfRule>
  </conditionalFormatting>
  <conditionalFormatting sqref="W4253:X4253">
    <cfRule type="cellIs" dxfId="3839" priority="3771" stopIfTrue="1" operator="equal">
      <formula>"NO APLICA"</formula>
    </cfRule>
  </conditionalFormatting>
  <conditionalFormatting sqref="W4254:X4257">
    <cfRule type="cellIs" dxfId="3838" priority="3770" stopIfTrue="1" operator="equal">
      <formula>"NO APLICA"</formula>
    </cfRule>
  </conditionalFormatting>
  <conditionalFormatting sqref="W4254:X4254">
    <cfRule type="cellIs" dxfId="3837" priority="3769" stopIfTrue="1" operator="equal">
      <formula>"NO APLICA"</formula>
    </cfRule>
  </conditionalFormatting>
  <conditionalFormatting sqref="Y4253">
    <cfRule type="cellIs" dxfId="3836" priority="3768" stopIfTrue="1" operator="equal">
      <formula>"NO APLICA"</formula>
    </cfRule>
  </conditionalFormatting>
  <conditionalFormatting sqref="Y4254:Y4257">
    <cfRule type="cellIs" dxfId="3835" priority="3767" stopIfTrue="1" operator="equal">
      <formula>"NO APLICA"</formula>
    </cfRule>
  </conditionalFormatting>
  <conditionalFormatting sqref="W4258:X4261">
    <cfRule type="cellIs" dxfId="3834" priority="3766" stopIfTrue="1" operator="equal">
      <formula>"NO APLICA"</formula>
    </cfRule>
  </conditionalFormatting>
  <conditionalFormatting sqref="W4258:X4258">
    <cfRule type="cellIs" dxfId="3833" priority="3765" stopIfTrue="1" operator="equal">
      <formula>"NO APLICA"</formula>
    </cfRule>
  </conditionalFormatting>
  <conditionalFormatting sqref="Y4258:Y4261">
    <cfRule type="cellIs" dxfId="3832" priority="3764" stopIfTrue="1" operator="equal">
      <formula>"NO APLICA"</formula>
    </cfRule>
  </conditionalFormatting>
  <conditionalFormatting sqref="T4267">
    <cfRule type="cellIs" dxfId="3831" priority="3762" operator="equal">
      <formula>"CUMPLE"</formula>
    </cfRule>
    <cfRule type="cellIs" dxfId="3830" priority="3763" operator="equal">
      <formula>"NO CUMPLE"</formula>
    </cfRule>
  </conditionalFormatting>
  <conditionalFormatting sqref="T4267:T4269">
    <cfRule type="cellIs" dxfId="3829" priority="3761" operator="equal">
      <formula>"VERIFICAR"</formula>
    </cfRule>
  </conditionalFormatting>
  <conditionalFormatting sqref="AD4253:AF4257">
    <cfRule type="cellIs" dxfId="3828" priority="3759" stopIfTrue="1" operator="equal">
      <formula>"NO"</formula>
    </cfRule>
    <cfRule type="cellIs" dxfId="3827" priority="3760" stopIfTrue="1" operator="equal">
      <formula>"SI"</formula>
    </cfRule>
  </conditionalFormatting>
  <conditionalFormatting sqref="AD4258:AF4261">
    <cfRule type="cellIs" dxfId="3826" priority="3757" stopIfTrue="1" operator="equal">
      <formula>"NO"</formula>
    </cfRule>
    <cfRule type="cellIs" dxfId="3825" priority="3758" stopIfTrue="1" operator="equal">
      <formula>"SI"</formula>
    </cfRule>
  </conditionalFormatting>
  <conditionalFormatting sqref="W4262:Y4262">
    <cfRule type="cellIs" dxfId="3824" priority="3755" stopIfTrue="1" operator="equal">
      <formula>"NO"</formula>
    </cfRule>
    <cfRule type="cellIs" dxfId="3823" priority="3756" stopIfTrue="1" operator="equal">
      <formula>"SI"</formula>
    </cfRule>
  </conditionalFormatting>
  <conditionalFormatting sqref="W4262:X4262">
    <cfRule type="cellIs" dxfId="3822" priority="3754" stopIfTrue="1" operator="equal">
      <formula>"NO APLICA"</formula>
    </cfRule>
  </conditionalFormatting>
  <conditionalFormatting sqref="Y4262">
    <cfRule type="cellIs" dxfId="3821" priority="3753" stopIfTrue="1" operator="equal">
      <formula>"NO APLICA"</formula>
    </cfRule>
  </conditionalFormatting>
  <conditionalFormatting sqref="AD4262:AF4262">
    <cfRule type="cellIs" dxfId="3820" priority="3751" stopIfTrue="1" operator="equal">
      <formula>"NO"</formula>
    </cfRule>
    <cfRule type="cellIs" dxfId="3819" priority="3752" stopIfTrue="1" operator="equal">
      <formula>"SI"</formula>
    </cfRule>
  </conditionalFormatting>
  <conditionalFormatting sqref="AE4267">
    <cfRule type="cellIs" dxfId="3818" priority="3748" stopIfTrue="1" operator="equal">
      <formula>"VERIFICAR"</formula>
    </cfRule>
    <cfRule type="cellIs" dxfId="3817" priority="3749" stopIfTrue="1" operator="equal">
      <formula>"NO CUMPLE"</formula>
    </cfRule>
    <cfRule type="cellIs" dxfId="3816" priority="3750" stopIfTrue="1" operator="equal">
      <formula>"CUMPLE"</formula>
    </cfRule>
  </conditionalFormatting>
  <conditionalFormatting sqref="AF4267">
    <cfRule type="cellIs" dxfId="3815" priority="3745" stopIfTrue="1" operator="equal">
      <formula>"VERIFICAR"</formula>
    </cfRule>
    <cfRule type="cellIs" dxfId="3814" priority="3746" stopIfTrue="1" operator="equal">
      <formula>"NO CUMPLE"</formula>
    </cfRule>
    <cfRule type="cellIs" dxfId="3813" priority="3747" stopIfTrue="1" operator="equal">
      <formula>"CUMPLE"</formula>
    </cfRule>
  </conditionalFormatting>
  <conditionalFormatting sqref="Y4270">
    <cfRule type="cellIs" dxfId="3812" priority="3744" operator="equal">
      <formula>"VERIFICAR CUADRO"</formula>
    </cfRule>
  </conditionalFormatting>
  <conditionalFormatting sqref="AC4271:AC4276">
    <cfRule type="cellIs" dxfId="3811" priority="3743" stopIfTrue="1" operator="greaterThan">
      <formula>0</formula>
    </cfRule>
  </conditionalFormatting>
  <conditionalFormatting sqref="AC4271:AC4276">
    <cfRule type="cellIs" dxfId="3810" priority="3742" stopIfTrue="1" operator="greaterThan">
      <formula>0</formula>
    </cfRule>
  </conditionalFormatting>
  <conditionalFormatting sqref="AD4271:AD4276">
    <cfRule type="containsText" dxfId="3809" priority="3740" stopIfTrue="1" operator="containsText" text="NO CUMPLE">
      <formula>NOT(ISERROR(SEARCH("NO CUMPLE",AD4271)))</formula>
    </cfRule>
    <cfRule type="containsText" dxfId="3808" priority="3741" stopIfTrue="1" operator="containsText" text="CUMPLE">
      <formula>NOT(ISERROR(SEARCH("CUMPLE",AD4271)))</formula>
    </cfRule>
  </conditionalFormatting>
  <conditionalFormatting sqref="Y4276">
    <cfRule type="containsText" dxfId="3807" priority="3738" stopIfTrue="1" operator="containsText" text="NO CUMPLE">
      <formula>NOT(ISERROR(SEARCH("NO CUMPLE",Y4276)))</formula>
    </cfRule>
    <cfRule type="containsText" dxfId="3806" priority="3739" stopIfTrue="1" operator="containsText" text="CUMPLE">
      <formula>NOT(ISERROR(SEARCH("CUMPLE",Y4276)))</formula>
    </cfRule>
  </conditionalFormatting>
  <conditionalFormatting sqref="AA4253:AA4262">
    <cfRule type="cellIs" dxfId="3805" priority="3736" stopIfTrue="1" operator="equal">
      <formula>"NO APLICA"</formula>
    </cfRule>
    <cfRule type="cellIs" dxfId="3804" priority="3737" stopIfTrue="1" operator="equal">
      <formula>"TERCIARIA"</formula>
    </cfRule>
  </conditionalFormatting>
  <conditionalFormatting sqref="AB4253:AB4262">
    <cfRule type="cellIs" dxfId="3803" priority="3734" stopIfTrue="1" operator="equal">
      <formula>"N/A"</formula>
    </cfRule>
    <cfRule type="cellIs" dxfId="3802" priority="3735" stopIfTrue="1" operator="equal">
      <formula>"NO"</formula>
    </cfRule>
  </conditionalFormatting>
  <conditionalFormatting sqref="M4283:M4292">
    <cfRule type="cellIs" dxfId="3801" priority="3733" stopIfTrue="1" operator="lessThan">
      <formula>0</formula>
    </cfRule>
  </conditionalFormatting>
  <conditionalFormatting sqref="C4285:D4291 B4284:B4291 F4285:I4291 C4284:I4284 B4292:O4292 B4283:R4283 Q4284:R4285 J4284:O4291 Q4286:Q4292 P4284:P4292">
    <cfRule type="cellIs" dxfId="3800" priority="3732" stopIfTrue="1" operator="greaterThan">
      <formula>0</formula>
    </cfRule>
  </conditionalFormatting>
  <conditionalFormatting sqref="C4285:D4291">
    <cfRule type="cellIs" dxfId="3799" priority="3731" stopIfTrue="1" operator="greaterThan">
      <formula>0</formula>
    </cfRule>
  </conditionalFormatting>
  <conditionalFormatting sqref="C4283:M4283 C4285:D4291 F4285:I4291 C4284:I4284 K4284:M4291 J4284:J4292 L4292:M4292">
    <cfRule type="cellIs" dxfId="3798" priority="3730" stopIfTrue="1" operator="greaterThan">
      <formula>0</formula>
    </cfRule>
  </conditionalFormatting>
  <conditionalFormatting sqref="M4283:M4292">
    <cfRule type="cellIs" dxfId="3797" priority="3729" stopIfTrue="1" operator="lessThan">
      <formula>0</formula>
    </cfRule>
  </conditionalFormatting>
  <conditionalFormatting sqref="J4284:J4292 L4284:O4292 C4283:O4283">
    <cfRule type="cellIs" dxfId="3796" priority="3728" stopIfTrue="1" operator="greaterThan">
      <formula>0</formula>
    </cfRule>
  </conditionalFormatting>
  <conditionalFormatting sqref="H4285:I4291 K4285:M4292">
    <cfRule type="cellIs" dxfId="3795" priority="3727" stopIfTrue="1" operator="greaterThan">
      <formula>0</formula>
    </cfRule>
  </conditionalFormatting>
  <conditionalFormatting sqref="I4284">
    <cfRule type="cellIs" dxfId="3794" priority="3726" stopIfTrue="1" operator="greaterThan">
      <formula>0</formula>
    </cfRule>
  </conditionalFormatting>
  <conditionalFormatting sqref="I4292">
    <cfRule type="cellIs" dxfId="3793" priority="3725" stopIfTrue="1" operator="greaterThan">
      <formula>0</formula>
    </cfRule>
  </conditionalFormatting>
  <conditionalFormatting sqref="E4285:E4291">
    <cfRule type="cellIs" dxfId="3792" priority="3724" stopIfTrue="1" operator="greaterThan">
      <formula>0</formula>
    </cfRule>
  </conditionalFormatting>
  <conditionalFormatting sqref="K4300:K4305">
    <cfRule type="containsText" dxfId="3791" priority="3722" stopIfTrue="1" operator="containsText" text="NO CUMPLE">
      <formula>NOT(ISERROR(SEARCH("NO CUMPLE",K4300)))</formula>
    </cfRule>
    <cfRule type="containsText" dxfId="3790" priority="3723" stopIfTrue="1" operator="containsText" text="CUMPLE">
      <formula>NOT(ISERROR(SEARCH("CUMPLE",K4300)))</formula>
    </cfRule>
  </conditionalFormatting>
  <conditionalFormatting sqref="K4306">
    <cfRule type="containsText" dxfId="3789" priority="3720" stopIfTrue="1" operator="containsText" text="NO CUMPLE">
      <formula>NOT(ISERROR(SEARCH("NO CUMPLE",K4306)))</formula>
    </cfRule>
    <cfRule type="containsText" dxfId="3788" priority="3721" stopIfTrue="1" operator="containsText" text="CUMPLE">
      <formula>NOT(ISERROR(SEARCH("CUMPLE",K4306)))</formula>
    </cfRule>
  </conditionalFormatting>
  <conditionalFormatting sqref="Q4299">
    <cfRule type="cellIs" dxfId="3787" priority="3718" operator="greaterThanOrEqual">
      <formula>NUMMINCONT</formula>
    </cfRule>
    <cfRule type="cellIs" dxfId="3786" priority="3719" operator="lessThan">
      <formula>NUMMINCONT</formula>
    </cfRule>
  </conditionalFormatting>
  <conditionalFormatting sqref="W4283:Y4291">
    <cfRule type="cellIs" dxfId="3785" priority="3716" stopIfTrue="1" operator="equal">
      <formula>"NO"</formula>
    </cfRule>
    <cfRule type="cellIs" dxfId="3784" priority="3717" stopIfTrue="1" operator="equal">
      <formula>"SI"</formula>
    </cfRule>
  </conditionalFormatting>
  <conditionalFormatting sqref="R4286">
    <cfRule type="cellIs" dxfId="3783" priority="3715" stopIfTrue="1" operator="greaterThan">
      <formula>0</formula>
    </cfRule>
  </conditionalFormatting>
  <conditionalFormatting sqref="R4287">
    <cfRule type="cellIs" dxfId="3782" priority="3714" stopIfTrue="1" operator="greaterThan">
      <formula>0</formula>
    </cfRule>
  </conditionalFormatting>
  <conditionalFormatting sqref="R4288">
    <cfRule type="cellIs" dxfId="3781" priority="3713" stopIfTrue="1" operator="greaterThan">
      <formula>0</formula>
    </cfRule>
  </conditionalFormatting>
  <conditionalFormatting sqref="R4289">
    <cfRule type="cellIs" dxfId="3780" priority="3712" stopIfTrue="1" operator="greaterThan">
      <formula>0</formula>
    </cfRule>
  </conditionalFormatting>
  <conditionalFormatting sqref="R4290">
    <cfRule type="cellIs" dxfId="3779" priority="3711" stopIfTrue="1" operator="greaterThan">
      <formula>0</formula>
    </cfRule>
  </conditionalFormatting>
  <conditionalFormatting sqref="R4291">
    <cfRule type="cellIs" dxfId="3778" priority="3710" stopIfTrue="1" operator="greaterThan">
      <formula>0</formula>
    </cfRule>
  </conditionalFormatting>
  <conditionalFormatting sqref="R4292">
    <cfRule type="cellIs" dxfId="3777" priority="3709" stopIfTrue="1" operator="greaterThan">
      <formula>0</formula>
    </cfRule>
  </conditionalFormatting>
  <conditionalFormatting sqref="W4283:X4283">
    <cfRule type="cellIs" dxfId="3776" priority="3708" stopIfTrue="1" operator="equal">
      <formula>"NO APLICA"</formula>
    </cfRule>
  </conditionalFormatting>
  <conditionalFormatting sqref="W4284:X4287">
    <cfRule type="cellIs" dxfId="3775" priority="3707" stopIfTrue="1" operator="equal">
      <formula>"NO APLICA"</formula>
    </cfRule>
  </conditionalFormatting>
  <conditionalFormatting sqref="W4284:X4284">
    <cfRule type="cellIs" dxfId="3774" priority="3706" stopIfTrue="1" operator="equal">
      <formula>"NO APLICA"</formula>
    </cfRule>
  </conditionalFormatting>
  <conditionalFormatting sqref="Y4283">
    <cfRule type="cellIs" dxfId="3773" priority="3705" stopIfTrue="1" operator="equal">
      <formula>"NO APLICA"</formula>
    </cfRule>
  </conditionalFormatting>
  <conditionalFormatting sqref="Y4284:Y4287">
    <cfRule type="cellIs" dxfId="3772" priority="3704" stopIfTrue="1" operator="equal">
      <formula>"NO APLICA"</formula>
    </cfRule>
  </conditionalFormatting>
  <conditionalFormatting sqref="W4288:X4291">
    <cfRule type="cellIs" dxfId="3771" priority="3703" stopIfTrue="1" operator="equal">
      <formula>"NO APLICA"</formula>
    </cfRule>
  </conditionalFormatting>
  <conditionalFormatting sqref="W4288:X4288">
    <cfRule type="cellIs" dxfId="3770" priority="3702" stopIfTrue="1" operator="equal">
      <formula>"NO APLICA"</formula>
    </cfRule>
  </conditionalFormatting>
  <conditionalFormatting sqref="Y4288:Y4291">
    <cfRule type="cellIs" dxfId="3769" priority="3701" stopIfTrue="1" operator="equal">
      <formula>"NO APLICA"</formula>
    </cfRule>
  </conditionalFormatting>
  <conditionalFormatting sqref="T4297">
    <cfRule type="cellIs" dxfId="3768" priority="3699" operator="equal">
      <formula>"CUMPLE"</formula>
    </cfRule>
    <cfRule type="cellIs" dxfId="3767" priority="3700" operator="equal">
      <formula>"NO CUMPLE"</formula>
    </cfRule>
  </conditionalFormatting>
  <conditionalFormatting sqref="T4297:T4299">
    <cfRule type="cellIs" dxfId="3766" priority="3698" operator="equal">
      <formula>"VERIFICAR"</formula>
    </cfRule>
  </conditionalFormatting>
  <conditionalFormatting sqref="AD4283:AF4287">
    <cfRule type="cellIs" dxfId="3765" priority="3696" stopIfTrue="1" operator="equal">
      <formula>"NO"</formula>
    </cfRule>
    <cfRule type="cellIs" dxfId="3764" priority="3697" stopIfTrue="1" operator="equal">
      <formula>"SI"</formula>
    </cfRule>
  </conditionalFormatting>
  <conditionalFormatting sqref="AD4288:AF4291">
    <cfRule type="cellIs" dxfId="3763" priority="3694" stopIfTrue="1" operator="equal">
      <formula>"NO"</formula>
    </cfRule>
    <cfRule type="cellIs" dxfId="3762" priority="3695" stopIfTrue="1" operator="equal">
      <formula>"SI"</formula>
    </cfRule>
  </conditionalFormatting>
  <conditionalFormatting sqref="W4292:Y4292">
    <cfRule type="cellIs" dxfId="3761" priority="3692" stopIfTrue="1" operator="equal">
      <formula>"NO"</formula>
    </cfRule>
    <cfRule type="cellIs" dxfId="3760" priority="3693" stopIfTrue="1" operator="equal">
      <formula>"SI"</formula>
    </cfRule>
  </conditionalFormatting>
  <conditionalFormatting sqref="W4292:X4292">
    <cfRule type="cellIs" dxfId="3759" priority="3691" stopIfTrue="1" operator="equal">
      <formula>"NO APLICA"</formula>
    </cfRule>
  </conditionalFormatting>
  <conditionalFormatting sqref="Y4292">
    <cfRule type="cellIs" dxfId="3758" priority="3690" stopIfTrue="1" operator="equal">
      <formula>"NO APLICA"</formula>
    </cfRule>
  </conditionalFormatting>
  <conditionalFormatting sqref="AD4292:AF4292">
    <cfRule type="cellIs" dxfId="3757" priority="3688" stopIfTrue="1" operator="equal">
      <formula>"NO"</formula>
    </cfRule>
    <cfRule type="cellIs" dxfId="3756" priority="3689" stopIfTrue="1" operator="equal">
      <formula>"SI"</formula>
    </cfRule>
  </conditionalFormatting>
  <conditionalFormatting sqref="AE4297">
    <cfRule type="cellIs" dxfId="3755" priority="3685" stopIfTrue="1" operator="equal">
      <formula>"VERIFICAR"</formula>
    </cfRule>
    <cfRule type="cellIs" dxfId="3754" priority="3686" stopIfTrue="1" operator="equal">
      <formula>"NO CUMPLE"</formula>
    </cfRule>
    <cfRule type="cellIs" dxfId="3753" priority="3687" stopIfTrue="1" operator="equal">
      <formula>"CUMPLE"</formula>
    </cfRule>
  </conditionalFormatting>
  <conditionalFormatting sqref="AF4297">
    <cfRule type="cellIs" dxfId="3752" priority="3682" stopIfTrue="1" operator="equal">
      <formula>"VERIFICAR"</formula>
    </cfRule>
    <cfRule type="cellIs" dxfId="3751" priority="3683" stopIfTrue="1" operator="equal">
      <formula>"NO CUMPLE"</formula>
    </cfRule>
    <cfRule type="cellIs" dxfId="3750" priority="3684" stopIfTrue="1" operator="equal">
      <formula>"CUMPLE"</formula>
    </cfRule>
  </conditionalFormatting>
  <conditionalFormatting sqref="Y4300">
    <cfRule type="cellIs" dxfId="3749" priority="3681" operator="equal">
      <formula>"VERIFICAR CUADRO"</formula>
    </cfRule>
  </conditionalFormatting>
  <conditionalFormatting sqref="AC4301:AC4306">
    <cfRule type="cellIs" dxfId="3748" priority="3680" stopIfTrue="1" operator="greaterThan">
      <formula>0</formula>
    </cfRule>
  </conditionalFormatting>
  <conditionalFormatting sqref="AC4301:AC4306">
    <cfRule type="cellIs" dxfId="3747" priority="3679" stopIfTrue="1" operator="greaterThan">
      <formula>0</formula>
    </cfRule>
  </conditionalFormatting>
  <conditionalFormatting sqref="AD4301:AD4306">
    <cfRule type="containsText" dxfId="3746" priority="3677" stopIfTrue="1" operator="containsText" text="NO CUMPLE">
      <formula>NOT(ISERROR(SEARCH("NO CUMPLE",AD4301)))</formula>
    </cfRule>
    <cfRule type="containsText" dxfId="3745" priority="3678" stopIfTrue="1" operator="containsText" text="CUMPLE">
      <formula>NOT(ISERROR(SEARCH("CUMPLE",AD4301)))</formula>
    </cfRule>
  </conditionalFormatting>
  <conditionalFormatting sqref="Y4306">
    <cfRule type="containsText" dxfId="3744" priority="3675" stopIfTrue="1" operator="containsText" text="NO CUMPLE">
      <formula>NOT(ISERROR(SEARCH("NO CUMPLE",Y4306)))</formula>
    </cfRule>
    <cfRule type="containsText" dxfId="3743" priority="3676" stopIfTrue="1" operator="containsText" text="CUMPLE">
      <formula>NOT(ISERROR(SEARCH("CUMPLE",Y4306)))</formula>
    </cfRule>
  </conditionalFormatting>
  <conditionalFormatting sqref="AA4283:AA4292">
    <cfRule type="cellIs" dxfId="3742" priority="3673" stopIfTrue="1" operator="equal">
      <formula>"NO APLICA"</formula>
    </cfRule>
    <cfRule type="cellIs" dxfId="3741" priority="3674" stopIfTrue="1" operator="equal">
      <formula>"TERCIARIA"</formula>
    </cfRule>
  </conditionalFormatting>
  <conditionalFormatting sqref="AB4283:AB4292">
    <cfRule type="cellIs" dxfId="3740" priority="3671" stopIfTrue="1" operator="equal">
      <formula>"N/A"</formula>
    </cfRule>
    <cfRule type="cellIs" dxfId="3739" priority="3672" stopIfTrue="1" operator="equal">
      <formula>"NO"</formula>
    </cfRule>
  </conditionalFormatting>
  <conditionalFormatting sqref="M4313:M4322">
    <cfRule type="cellIs" dxfId="3738" priority="3670" stopIfTrue="1" operator="lessThan">
      <formula>0</formula>
    </cfRule>
  </conditionalFormatting>
  <conditionalFormatting sqref="C4315:D4321 B4314:B4321 F4315:I4321 C4314:I4314 B4322:O4322 B4313:R4313 Q4314:R4315 J4314:O4321 Q4316:Q4322 P4314:P4322">
    <cfRule type="cellIs" dxfId="3737" priority="3669" stopIfTrue="1" operator="greaterThan">
      <formula>0</formula>
    </cfRule>
  </conditionalFormatting>
  <conditionalFormatting sqref="C4315:D4321">
    <cfRule type="cellIs" dxfId="3736" priority="3668" stopIfTrue="1" operator="greaterThan">
      <formula>0</formula>
    </cfRule>
  </conditionalFormatting>
  <conditionalFormatting sqref="C4313:M4313 C4315:D4321 F4315:I4321 C4314:I4314 K4314:M4321 J4314:J4322 L4322:M4322">
    <cfRule type="cellIs" dxfId="3735" priority="3667" stopIfTrue="1" operator="greaterThan">
      <formula>0</formula>
    </cfRule>
  </conditionalFormatting>
  <conditionalFormatting sqref="M4313:M4322">
    <cfRule type="cellIs" dxfId="3734" priority="3666" stopIfTrue="1" operator="lessThan">
      <formula>0</formula>
    </cfRule>
  </conditionalFormatting>
  <conditionalFormatting sqref="J4314:J4322 L4314:O4322 C4313:O4313">
    <cfRule type="cellIs" dxfId="3733" priority="3665" stopIfTrue="1" operator="greaterThan">
      <formula>0</formula>
    </cfRule>
  </conditionalFormatting>
  <conditionalFormatting sqref="H4315:I4321 K4315:M4322">
    <cfRule type="cellIs" dxfId="3732" priority="3664" stopIfTrue="1" operator="greaterThan">
      <formula>0</formula>
    </cfRule>
  </conditionalFormatting>
  <conditionalFormatting sqref="I4314">
    <cfRule type="cellIs" dxfId="3731" priority="3663" stopIfTrue="1" operator="greaterThan">
      <formula>0</formula>
    </cfRule>
  </conditionalFormatting>
  <conditionalFormatting sqref="I4322">
    <cfRule type="cellIs" dxfId="3730" priority="3662" stopIfTrue="1" operator="greaterThan">
      <formula>0</formula>
    </cfRule>
  </conditionalFormatting>
  <conditionalFormatting sqref="E4315:E4321">
    <cfRule type="cellIs" dxfId="3729" priority="3661" stopIfTrue="1" operator="greaterThan">
      <formula>0</formula>
    </cfRule>
  </conditionalFormatting>
  <conditionalFormatting sqref="K4330:K4335">
    <cfRule type="containsText" dxfId="3728" priority="3659" stopIfTrue="1" operator="containsText" text="NO CUMPLE">
      <formula>NOT(ISERROR(SEARCH("NO CUMPLE",K4330)))</formula>
    </cfRule>
    <cfRule type="containsText" dxfId="3727" priority="3660" stopIfTrue="1" operator="containsText" text="CUMPLE">
      <formula>NOT(ISERROR(SEARCH("CUMPLE",K4330)))</formula>
    </cfRule>
  </conditionalFormatting>
  <conditionalFormatting sqref="K4336">
    <cfRule type="containsText" dxfId="3726" priority="3657" stopIfTrue="1" operator="containsText" text="NO CUMPLE">
      <formula>NOT(ISERROR(SEARCH("NO CUMPLE",K4336)))</formula>
    </cfRule>
    <cfRule type="containsText" dxfId="3725" priority="3658" stopIfTrue="1" operator="containsText" text="CUMPLE">
      <formula>NOT(ISERROR(SEARCH("CUMPLE",K4336)))</formula>
    </cfRule>
  </conditionalFormatting>
  <conditionalFormatting sqref="Q4329">
    <cfRule type="cellIs" dxfId="3724" priority="3655" operator="greaterThanOrEqual">
      <formula>NUMMINCONT</formula>
    </cfRule>
    <cfRule type="cellIs" dxfId="3723" priority="3656" operator="lessThan">
      <formula>NUMMINCONT</formula>
    </cfRule>
  </conditionalFormatting>
  <conditionalFormatting sqref="W4313:Y4321">
    <cfRule type="cellIs" dxfId="3722" priority="3653" stopIfTrue="1" operator="equal">
      <formula>"NO"</formula>
    </cfRule>
    <cfRule type="cellIs" dxfId="3721" priority="3654" stopIfTrue="1" operator="equal">
      <formula>"SI"</formula>
    </cfRule>
  </conditionalFormatting>
  <conditionalFormatting sqref="R4316">
    <cfRule type="cellIs" dxfId="3720" priority="3652" stopIfTrue="1" operator="greaterThan">
      <formula>0</formula>
    </cfRule>
  </conditionalFormatting>
  <conditionalFormatting sqref="R4317">
    <cfRule type="cellIs" dxfId="3719" priority="3651" stopIfTrue="1" operator="greaterThan">
      <formula>0</formula>
    </cfRule>
  </conditionalFormatting>
  <conditionalFormatting sqref="R4318">
    <cfRule type="cellIs" dxfId="3718" priority="3650" stopIfTrue="1" operator="greaterThan">
      <formula>0</formula>
    </cfRule>
  </conditionalFormatting>
  <conditionalFormatting sqref="R4319">
    <cfRule type="cellIs" dxfId="3717" priority="3649" stopIfTrue="1" operator="greaterThan">
      <formula>0</formula>
    </cfRule>
  </conditionalFormatting>
  <conditionalFormatting sqref="R4320">
    <cfRule type="cellIs" dxfId="3716" priority="3648" stopIfTrue="1" operator="greaterThan">
      <formula>0</formula>
    </cfRule>
  </conditionalFormatting>
  <conditionalFormatting sqref="R4321">
    <cfRule type="cellIs" dxfId="3715" priority="3647" stopIfTrue="1" operator="greaterThan">
      <formula>0</formula>
    </cfRule>
  </conditionalFormatting>
  <conditionalFormatting sqref="R4322">
    <cfRule type="cellIs" dxfId="3714" priority="3646" stopIfTrue="1" operator="greaterThan">
      <formula>0</formula>
    </cfRule>
  </conditionalFormatting>
  <conditionalFormatting sqref="W4313:X4313">
    <cfRule type="cellIs" dxfId="3713" priority="3645" stopIfTrue="1" operator="equal">
      <formula>"NO APLICA"</formula>
    </cfRule>
  </conditionalFormatting>
  <conditionalFormatting sqref="W4314:X4317">
    <cfRule type="cellIs" dxfId="3712" priority="3644" stopIfTrue="1" operator="equal">
      <formula>"NO APLICA"</formula>
    </cfRule>
  </conditionalFormatting>
  <conditionalFormatting sqref="W4314:X4314">
    <cfRule type="cellIs" dxfId="3711" priority="3643" stopIfTrue="1" operator="equal">
      <formula>"NO APLICA"</formula>
    </cfRule>
  </conditionalFormatting>
  <conditionalFormatting sqref="Y4313">
    <cfRule type="cellIs" dxfId="3710" priority="3642" stopIfTrue="1" operator="equal">
      <formula>"NO APLICA"</formula>
    </cfRule>
  </conditionalFormatting>
  <conditionalFormatting sqref="Y4314:Y4317">
    <cfRule type="cellIs" dxfId="3709" priority="3641" stopIfTrue="1" operator="equal">
      <formula>"NO APLICA"</formula>
    </cfRule>
  </conditionalFormatting>
  <conditionalFormatting sqref="W4318:X4321">
    <cfRule type="cellIs" dxfId="3708" priority="3640" stopIfTrue="1" operator="equal">
      <formula>"NO APLICA"</formula>
    </cfRule>
  </conditionalFormatting>
  <conditionalFormatting sqref="W4318:X4318">
    <cfRule type="cellIs" dxfId="3707" priority="3639" stopIfTrue="1" operator="equal">
      <formula>"NO APLICA"</formula>
    </cfRule>
  </conditionalFormatting>
  <conditionalFormatting sqref="Y4318:Y4321">
    <cfRule type="cellIs" dxfId="3706" priority="3638" stopIfTrue="1" operator="equal">
      <formula>"NO APLICA"</formula>
    </cfRule>
  </conditionalFormatting>
  <conditionalFormatting sqref="T4327">
    <cfRule type="cellIs" dxfId="3705" priority="3636" operator="equal">
      <formula>"CUMPLE"</formula>
    </cfRule>
    <cfRule type="cellIs" dxfId="3704" priority="3637" operator="equal">
      <formula>"NO CUMPLE"</formula>
    </cfRule>
  </conditionalFormatting>
  <conditionalFormatting sqref="T4327:T4329">
    <cfRule type="cellIs" dxfId="3703" priority="3635" operator="equal">
      <formula>"VERIFICAR"</formula>
    </cfRule>
  </conditionalFormatting>
  <conditionalFormatting sqref="AD4313:AF4317">
    <cfRule type="cellIs" dxfId="3702" priority="3633" stopIfTrue="1" operator="equal">
      <formula>"NO"</formula>
    </cfRule>
    <cfRule type="cellIs" dxfId="3701" priority="3634" stopIfTrue="1" operator="equal">
      <formula>"SI"</formula>
    </cfRule>
  </conditionalFormatting>
  <conditionalFormatting sqref="AD4318:AF4321">
    <cfRule type="cellIs" dxfId="3700" priority="3631" stopIfTrue="1" operator="equal">
      <formula>"NO"</formula>
    </cfRule>
    <cfRule type="cellIs" dxfId="3699" priority="3632" stopIfTrue="1" operator="equal">
      <formula>"SI"</formula>
    </cfRule>
  </conditionalFormatting>
  <conditionalFormatting sqref="W4322:Y4322">
    <cfRule type="cellIs" dxfId="3698" priority="3629" stopIfTrue="1" operator="equal">
      <formula>"NO"</formula>
    </cfRule>
    <cfRule type="cellIs" dxfId="3697" priority="3630" stopIfTrue="1" operator="equal">
      <formula>"SI"</formula>
    </cfRule>
  </conditionalFormatting>
  <conditionalFormatting sqref="W4322:X4322">
    <cfRule type="cellIs" dxfId="3696" priority="3628" stopIfTrue="1" operator="equal">
      <formula>"NO APLICA"</formula>
    </cfRule>
  </conditionalFormatting>
  <conditionalFormatting sqref="Y4322">
    <cfRule type="cellIs" dxfId="3695" priority="3627" stopIfTrue="1" operator="equal">
      <formula>"NO APLICA"</formula>
    </cfRule>
  </conditionalFormatting>
  <conditionalFormatting sqref="AD4322:AF4322">
    <cfRule type="cellIs" dxfId="3694" priority="3625" stopIfTrue="1" operator="equal">
      <formula>"NO"</formula>
    </cfRule>
    <cfRule type="cellIs" dxfId="3693" priority="3626" stopIfTrue="1" operator="equal">
      <formula>"SI"</formula>
    </cfRule>
  </conditionalFormatting>
  <conditionalFormatting sqref="AE4327">
    <cfRule type="cellIs" dxfId="3692" priority="3622" stopIfTrue="1" operator="equal">
      <formula>"VERIFICAR"</formula>
    </cfRule>
    <cfRule type="cellIs" dxfId="3691" priority="3623" stopIfTrue="1" operator="equal">
      <formula>"NO CUMPLE"</formula>
    </cfRule>
    <cfRule type="cellIs" dxfId="3690" priority="3624" stopIfTrue="1" operator="equal">
      <formula>"CUMPLE"</formula>
    </cfRule>
  </conditionalFormatting>
  <conditionalFormatting sqref="AF4327">
    <cfRule type="cellIs" dxfId="3689" priority="3619" stopIfTrue="1" operator="equal">
      <formula>"VERIFICAR"</formula>
    </cfRule>
    <cfRule type="cellIs" dxfId="3688" priority="3620" stopIfTrue="1" operator="equal">
      <formula>"NO CUMPLE"</formula>
    </cfRule>
    <cfRule type="cellIs" dxfId="3687" priority="3621" stopIfTrue="1" operator="equal">
      <formula>"CUMPLE"</formula>
    </cfRule>
  </conditionalFormatting>
  <conditionalFormatting sqref="Y4330">
    <cfRule type="cellIs" dxfId="3686" priority="3618" operator="equal">
      <formula>"VERIFICAR CUADRO"</formula>
    </cfRule>
  </conditionalFormatting>
  <conditionalFormatting sqref="AC4331:AC4336">
    <cfRule type="cellIs" dxfId="3685" priority="3617" stopIfTrue="1" operator="greaterThan">
      <formula>0</formula>
    </cfRule>
  </conditionalFormatting>
  <conditionalFormatting sqref="AC4331:AC4336">
    <cfRule type="cellIs" dxfId="3684" priority="3616" stopIfTrue="1" operator="greaterThan">
      <formula>0</formula>
    </cfRule>
  </conditionalFormatting>
  <conditionalFormatting sqref="AD4331:AD4336">
    <cfRule type="containsText" dxfId="3683" priority="3614" stopIfTrue="1" operator="containsText" text="NO CUMPLE">
      <formula>NOT(ISERROR(SEARCH("NO CUMPLE",AD4331)))</formula>
    </cfRule>
    <cfRule type="containsText" dxfId="3682" priority="3615" stopIfTrue="1" operator="containsText" text="CUMPLE">
      <formula>NOT(ISERROR(SEARCH("CUMPLE",AD4331)))</formula>
    </cfRule>
  </conditionalFormatting>
  <conditionalFormatting sqref="Y4336">
    <cfRule type="containsText" dxfId="3681" priority="3612" stopIfTrue="1" operator="containsText" text="NO CUMPLE">
      <formula>NOT(ISERROR(SEARCH("NO CUMPLE",Y4336)))</formula>
    </cfRule>
    <cfRule type="containsText" dxfId="3680" priority="3613" stopIfTrue="1" operator="containsText" text="CUMPLE">
      <formula>NOT(ISERROR(SEARCH("CUMPLE",Y4336)))</formula>
    </cfRule>
  </conditionalFormatting>
  <conditionalFormatting sqref="AA4313:AA4322">
    <cfRule type="cellIs" dxfId="3679" priority="3610" stopIfTrue="1" operator="equal">
      <formula>"NO APLICA"</formula>
    </cfRule>
    <cfRule type="cellIs" dxfId="3678" priority="3611" stopIfTrue="1" operator="equal">
      <formula>"TERCIARIA"</formula>
    </cfRule>
  </conditionalFormatting>
  <conditionalFormatting sqref="AB4313:AB4322">
    <cfRule type="cellIs" dxfId="3677" priority="3608" stopIfTrue="1" operator="equal">
      <formula>"N/A"</formula>
    </cfRule>
    <cfRule type="cellIs" dxfId="3676" priority="3609" stopIfTrue="1" operator="equal">
      <formula>"NO"</formula>
    </cfRule>
  </conditionalFormatting>
  <conditionalFormatting sqref="M4343:M4352">
    <cfRule type="cellIs" dxfId="3675" priority="3607" stopIfTrue="1" operator="lessThan">
      <formula>0</formula>
    </cfRule>
  </conditionalFormatting>
  <conditionalFormatting sqref="C4345:D4351 B4344:B4351 F4345:I4351 C4344:I4344 B4352:O4352 B4343:R4343 Q4344:R4345 J4344:O4351 Q4346:Q4352 P4344:P4352">
    <cfRule type="cellIs" dxfId="3674" priority="3606" stopIfTrue="1" operator="greaterThan">
      <formula>0</formula>
    </cfRule>
  </conditionalFormatting>
  <conditionalFormatting sqref="C4345:D4351">
    <cfRule type="cellIs" dxfId="3673" priority="3605" stopIfTrue="1" operator="greaterThan">
      <formula>0</formula>
    </cfRule>
  </conditionalFormatting>
  <conditionalFormatting sqref="C4343:M4343 C4345:D4351 F4345:I4351 C4344:I4344 K4344:M4351 J4344:J4352 L4352:M4352">
    <cfRule type="cellIs" dxfId="3672" priority="3604" stopIfTrue="1" operator="greaterThan">
      <formula>0</formula>
    </cfRule>
  </conditionalFormatting>
  <conditionalFormatting sqref="M4343:M4352">
    <cfRule type="cellIs" dxfId="3671" priority="3603" stopIfTrue="1" operator="lessThan">
      <formula>0</formula>
    </cfRule>
  </conditionalFormatting>
  <conditionalFormatting sqref="J4344:J4352 L4344:O4352 C4343:O4343">
    <cfRule type="cellIs" dxfId="3670" priority="3602" stopIfTrue="1" operator="greaterThan">
      <formula>0</formula>
    </cfRule>
  </conditionalFormatting>
  <conditionalFormatting sqref="H4345:I4351 K4345:M4352">
    <cfRule type="cellIs" dxfId="3669" priority="3601" stopIfTrue="1" operator="greaterThan">
      <formula>0</formula>
    </cfRule>
  </conditionalFormatting>
  <conditionalFormatting sqref="I4344">
    <cfRule type="cellIs" dxfId="3668" priority="3600" stopIfTrue="1" operator="greaterThan">
      <formula>0</formula>
    </cfRule>
  </conditionalFormatting>
  <conditionalFormatting sqref="I4352">
    <cfRule type="cellIs" dxfId="3667" priority="3599" stopIfTrue="1" operator="greaterThan">
      <formula>0</formula>
    </cfRule>
  </conditionalFormatting>
  <conditionalFormatting sqref="E4345:E4351">
    <cfRule type="cellIs" dxfId="3666" priority="3598" stopIfTrue="1" operator="greaterThan">
      <formula>0</formula>
    </cfRule>
  </conditionalFormatting>
  <conditionalFormatting sqref="K4360:K4365">
    <cfRule type="containsText" dxfId="3665" priority="3596" stopIfTrue="1" operator="containsText" text="NO CUMPLE">
      <formula>NOT(ISERROR(SEARCH("NO CUMPLE",K4360)))</formula>
    </cfRule>
    <cfRule type="containsText" dxfId="3664" priority="3597" stopIfTrue="1" operator="containsText" text="CUMPLE">
      <formula>NOT(ISERROR(SEARCH("CUMPLE",K4360)))</formula>
    </cfRule>
  </conditionalFormatting>
  <conditionalFormatting sqref="K4366">
    <cfRule type="containsText" dxfId="3663" priority="3594" stopIfTrue="1" operator="containsText" text="NO CUMPLE">
      <formula>NOT(ISERROR(SEARCH("NO CUMPLE",K4366)))</formula>
    </cfRule>
    <cfRule type="containsText" dxfId="3662" priority="3595" stopIfTrue="1" operator="containsText" text="CUMPLE">
      <formula>NOT(ISERROR(SEARCH("CUMPLE",K4366)))</formula>
    </cfRule>
  </conditionalFormatting>
  <conditionalFormatting sqref="Q4359">
    <cfRule type="cellIs" dxfId="3661" priority="3592" operator="greaterThanOrEqual">
      <formula>NUMMINCONT</formula>
    </cfRule>
    <cfRule type="cellIs" dxfId="3660" priority="3593" operator="lessThan">
      <formula>NUMMINCONT</formula>
    </cfRule>
  </conditionalFormatting>
  <conditionalFormatting sqref="W4343:Y4351">
    <cfRule type="cellIs" dxfId="3659" priority="3590" stopIfTrue="1" operator="equal">
      <formula>"NO"</formula>
    </cfRule>
    <cfRule type="cellIs" dxfId="3658" priority="3591" stopIfTrue="1" operator="equal">
      <formula>"SI"</formula>
    </cfRule>
  </conditionalFormatting>
  <conditionalFormatting sqref="R4346">
    <cfRule type="cellIs" dxfId="3657" priority="3589" stopIfTrue="1" operator="greaterThan">
      <formula>0</formula>
    </cfRule>
  </conditionalFormatting>
  <conditionalFormatting sqref="R4347">
    <cfRule type="cellIs" dxfId="3656" priority="3588" stopIfTrue="1" operator="greaterThan">
      <formula>0</formula>
    </cfRule>
  </conditionalFormatting>
  <conditionalFormatting sqref="R4348">
    <cfRule type="cellIs" dxfId="3655" priority="3587" stopIfTrue="1" operator="greaterThan">
      <formula>0</formula>
    </cfRule>
  </conditionalFormatting>
  <conditionalFormatting sqref="R4349">
    <cfRule type="cellIs" dxfId="3654" priority="3586" stopIfTrue="1" operator="greaterThan">
      <formula>0</formula>
    </cfRule>
  </conditionalFormatting>
  <conditionalFormatting sqref="R4350">
    <cfRule type="cellIs" dxfId="3653" priority="3585" stopIfTrue="1" operator="greaterThan">
      <formula>0</formula>
    </cfRule>
  </conditionalFormatting>
  <conditionalFormatting sqref="R4351">
    <cfRule type="cellIs" dxfId="3652" priority="3584" stopIfTrue="1" operator="greaterThan">
      <formula>0</formula>
    </cfRule>
  </conditionalFormatting>
  <conditionalFormatting sqref="R4352">
    <cfRule type="cellIs" dxfId="3651" priority="3583" stopIfTrue="1" operator="greaterThan">
      <formula>0</formula>
    </cfRule>
  </conditionalFormatting>
  <conditionalFormatting sqref="W4343:X4343">
    <cfRule type="cellIs" dxfId="3650" priority="3582" stopIfTrue="1" operator="equal">
      <formula>"NO APLICA"</formula>
    </cfRule>
  </conditionalFormatting>
  <conditionalFormatting sqref="W4344:X4347">
    <cfRule type="cellIs" dxfId="3649" priority="3581" stopIfTrue="1" operator="equal">
      <formula>"NO APLICA"</formula>
    </cfRule>
  </conditionalFormatting>
  <conditionalFormatting sqref="W4344:X4344">
    <cfRule type="cellIs" dxfId="3648" priority="3580" stopIfTrue="1" operator="equal">
      <formula>"NO APLICA"</formula>
    </cfRule>
  </conditionalFormatting>
  <conditionalFormatting sqref="Y4343">
    <cfRule type="cellIs" dxfId="3647" priority="3579" stopIfTrue="1" operator="equal">
      <formula>"NO APLICA"</formula>
    </cfRule>
  </conditionalFormatting>
  <conditionalFormatting sqref="Y4344:Y4347">
    <cfRule type="cellIs" dxfId="3646" priority="3578" stopIfTrue="1" operator="equal">
      <formula>"NO APLICA"</formula>
    </cfRule>
  </conditionalFormatting>
  <conditionalFormatting sqref="W4348:X4351">
    <cfRule type="cellIs" dxfId="3645" priority="3577" stopIfTrue="1" operator="equal">
      <formula>"NO APLICA"</formula>
    </cfRule>
  </conditionalFormatting>
  <conditionalFormatting sqref="W4348:X4348">
    <cfRule type="cellIs" dxfId="3644" priority="3576" stopIfTrue="1" operator="equal">
      <formula>"NO APLICA"</formula>
    </cfRule>
  </conditionalFormatting>
  <conditionalFormatting sqref="Y4348:Y4351">
    <cfRule type="cellIs" dxfId="3643" priority="3575" stopIfTrue="1" operator="equal">
      <formula>"NO APLICA"</formula>
    </cfRule>
  </conditionalFormatting>
  <conditionalFormatting sqref="T4357">
    <cfRule type="cellIs" dxfId="3642" priority="3573" operator="equal">
      <formula>"CUMPLE"</formula>
    </cfRule>
    <cfRule type="cellIs" dxfId="3641" priority="3574" operator="equal">
      <formula>"NO CUMPLE"</formula>
    </cfRule>
  </conditionalFormatting>
  <conditionalFormatting sqref="T4357:T4359">
    <cfRule type="cellIs" dxfId="3640" priority="3572" operator="equal">
      <formula>"VERIFICAR"</formula>
    </cfRule>
  </conditionalFormatting>
  <conditionalFormatting sqref="AD4343:AF4347">
    <cfRule type="cellIs" dxfId="3639" priority="3570" stopIfTrue="1" operator="equal">
      <formula>"NO"</formula>
    </cfRule>
    <cfRule type="cellIs" dxfId="3638" priority="3571" stopIfTrue="1" operator="equal">
      <formula>"SI"</formula>
    </cfRule>
  </conditionalFormatting>
  <conditionalFormatting sqref="AD4348:AF4351">
    <cfRule type="cellIs" dxfId="3637" priority="3568" stopIfTrue="1" operator="equal">
      <formula>"NO"</formula>
    </cfRule>
    <cfRule type="cellIs" dxfId="3636" priority="3569" stopIfTrue="1" operator="equal">
      <formula>"SI"</formula>
    </cfRule>
  </conditionalFormatting>
  <conditionalFormatting sqref="W4352:Y4352">
    <cfRule type="cellIs" dxfId="3635" priority="3566" stopIfTrue="1" operator="equal">
      <formula>"NO"</formula>
    </cfRule>
    <cfRule type="cellIs" dxfId="3634" priority="3567" stopIfTrue="1" operator="equal">
      <formula>"SI"</formula>
    </cfRule>
  </conditionalFormatting>
  <conditionalFormatting sqref="W4352:X4352">
    <cfRule type="cellIs" dxfId="3633" priority="3565" stopIfTrue="1" operator="equal">
      <formula>"NO APLICA"</formula>
    </cfRule>
  </conditionalFormatting>
  <conditionalFormatting sqref="Y4352">
    <cfRule type="cellIs" dxfId="3632" priority="3564" stopIfTrue="1" operator="equal">
      <formula>"NO APLICA"</formula>
    </cfRule>
  </conditionalFormatting>
  <conditionalFormatting sqref="AD4352:AF4352">
    <cfRule type="cellIs" dxfId="3631" priority="3562" stopIfTrue="1" operator="equal">
      <formula>"NO"</formula>
    </cfRule>
    <cfRule type="cellIs" dxfId="3630" priority="3563" stopIfTrue="1" operator="equal">
      <formula>"SI"</formula>
    </cfRule>
  </conditionalFormatting>
  <conditionalFormatting sqref="AE4357">
    <cfRule type="cellIs" dxfId="3629" priority="3559" stopIfTrue="1" operator="equal">
      <formula>"VERIFICAR"</formula>
    </cfRule>
    <cfRule type="cellIs" dxfId="3628" priority="3560" stopIfTrue="1" operator="equal">
      <formula>"NO CUMPLE"</formula>
    </cfRule>
    <cfRule type="cellIs" dxfId="3627" priority="3561" stopIfTrue="1" operator="equal">
      <formula>"CUMPLE"</formula>
    </cfRule>
  </conditionalFormatting>
  <conditionalFormatting sqref="AF4357">
    <cfRule type="cellIs" dxfId="3626" priority="3556" stopIfTrue="1" operator="equal">
      <formula>"VERIFICAR"</formula>
    </cfRule>
    <cfRule type="cellIs" dxfId="3625" priority="3557" stopIfTrue="1" operator="equal">
      <formula>"NO CUMPLE"</formula>
    </cfRule>
    <cfRule type="cellIs" dxfId="3624" priority="3558" stopIfTrue="1" operator="equal">
      <formula>"CUMPLE"</formula>
    </cfRule>
  </conditionalFormatting>
  <conditionalFormatting sqref="Y4360">
    <cfRule type="cellIs" dxfId="3623" priority="3555" operator="equal">
      <formula>"VERIFICAR CUADRO"</formula>
    </cfRule>
  </conditionalFormatting>
  <conditionalFormatting sqref="AC4361:AC4366">
    <cfRule type="cellIs" dxfId="3622" priority="3554" stopIfTrue="1" operator="greaterThan">
      <formula>0</formula>
    </cfRule>
  </conditionalFormatting>
  <conditionalFormatting sqref="AC4361:AC4366">
    <cfRule type="cellIs" dxfId="3621" priority="3553" stopIfTrue="1" operator="greaterThan">
      <formula>0</formula>
    </cfRule>
  </conditionalFormatting>
  <conditionalFormatting sqref="AD4361:AD4366">
    <cfRule type="containsText" dxfId="3620" priority="3551" stopIfTrue="1" operator="containsText" text="NO CUMPLE">
      <formula>NOT(ISERROR(SEARCH("NO CUMPLE",AD4361)))</formula>
    </cfRule>
    <cfRule type="containsText" dxfId="3619" priority="3552" stopIfTrue="1" operator="containsText" text="CUMPLE">
      <formula>NOT(ISERROR(SEARCH("CUMPLE",AD4361)))</formula>
    </cfRule>
  </conditionalFormatting>
  <conditionalFormatting sqref="Y4366">
    <cfRule type="containsText" dxfId="3618" priority="3549" stopIfTrue="1" operator="containsText" text="NO CUMPLE">
      <formula>NOT(ISERROR(SEARCH("NO CUMPLE",Y4366)))</formula>
    </cfRule>
    <cfRule type="containsText" dxfId="3617" priority="3550" stopIfTrue="1" operator="containsText" text="CUMPLE">
      <formula>NOT(ISERROR(SEARCH("CUMPLE",Y4366)))</formula>
    </cfRule>
  </conditionalFormatting>
  <conditionalFormatting sqref="AA4343:AA4352">
    <cfRule type="cellIs" dxfId="3616" priority="3547" stopIfTrue="1" operator="equal">
      <formula>"NO APLICA"</formula>
    </cfRule>
    <cfRule type="cellIs" dxfId="3615" priority="3548" stopIfTrue="1" operator="equal">
      <formula>"TERCIARIA"</formula>
    </cfRule>
  </conditionalFormatting>
  <conditionalFormatting sqref="AB4343:AB4352">
    <cfRule type="cellIs" dxfId="3614" priority="3545" stopIfTrue="1" operator="equal">
      <formula>"N/A"</formula>
    </cfRule>
    <cfRule type="cellIs" dxfId="3613" priority="3546" stopIfTrue="1" operator="equal">
      <formula>"NO"</formula>
    </cfRule>
  </conditionalFormatting>
  <conditionalFormatting sqref="M4373:M4382">
    <cfRule type="cellIs" dxfId="3612" priority="3544" stopIfTrue="1" operator="lessThan">
      <formula>0</formula>
    </cfRule>
  </conditionalFormatting>
  <conditionalFormatting sqref="C4375:D4381 B4374:B4381 F4375:I4381 C4374:I4374 B4382:O4382 B4373:R4373 Q4374:R4375 J4374:O4381 Q4376:Q4382 P4374:P4382">
    <cfRule type="cellIs" dxfId="3611" priority="3543" stopIfTrue="1" operator="greaterThan">
      <formula>0</formula>
    </cfRule>
  </conditionalFormatting>
  <conditionalFormatting sqref="C4375:D4381">
    <cfRule type="cellIs" dxfId="3610" priority="3542" stopIfTrue="1" operator="greaterThan">
      <formula>0</formula>
    </cfRule>
  </conditionalFormatting>
  <conditionalFormatting sqref="C4373:M4373 C4375:D4381 F4375:I4381 C4374:I4374 K4374:M4381 J4374:J4382 L4382:M4382">
    <cfRule type="cellIs" dxfId="3609" priority="3541" stopIfTrue="1" operator="greaterThan">
      <formula>0</formula>
    </cfRule>
  </conditionalFormatting>
  <conditionalFormatting sqref="M4373:M4382">
    <cfRule type="cellIs" dxfId="3608" priority="3540" stopIfTrue="1" operator="lessThan">
      <formula>0</formula>
    </cfRule>
  </conditionalFormatting>
  <conditionalFormatting sqref="J4374:J4382 L4374:O4382 C4373:O4373">
    <cfRule type="cellIs" dxfId="3607" priority="3539" stopIfTrue="1" operator="greaterThan">
      <formula>0</formula>
    </cfRule>
  </conditionalFormatting>
  <conditionalFormatting sqref="H4375:I4381 K4375:M4382">
    <cfRule type="cellIs" dxfId="3606" priority="3538" stopIfTrue="1" operator="greaterThan">
      <formula>0</formula>
    </cfRule>
  </conditionalFormatting>
  <conditionalFormatting sqref="I4374">
    <cfRule type="cellIs" dxfId="3605" priority="3537" stopIfTrue="1" operator="greaterThan">
      <formula>0</formula>
    </cfRule>
  </conditionalFormatting>
  <conditionalFormatting sqref="I4382">
    <cfRule type="cellIs" dxfId="3604" priority="3536" stopIfTrue="1" operator="greaterThan">
      <formula>0</formula>
    </cfRule>
  </conditionalFormatting>
  <conditionalFormatting sqref="E4375:E4381">
    <cfRule type="cellIs" dxfId="3603" priority="3535" stopIfTrue="1" operator="greaterThan">
      <formula>0</formula>
    </cfRule>
  </conditionalFormatting>
  <conditionalFormatting sqref="K4390:K4395">
    <cfRule type="containsText" dxfId="3602" priority="3533" stopIfTrue="1" operator="containsText" text="NO CUMPLE">
      <formula>NOT(ISERROR(SEARCH("NO CUMPLE",K4390)))</formula>
    </cfRule>
    <cfRule type="containsText" dxfId="3601" priority="3534" stopIfTrue="1" operator="containsText" text="CUMPLE">
      <formula>NOT(ISERROR(SEARCH("CUMPLE",K4390)))</formula>
    </cfRule>
  </conditionalFormatting>
  <conditionalFormatting sqref="K4396">
    <cfRule type="containsText" dxfId="3600" priority="3531" stopIfTrue="1" operator="containsText" text="NO CUMPLE">
      <formula>NOT(ISERROR(SEARCH("NO CUMPLE",K4396)))</formula>
    </cfRule>
    <cfRule type="containsText" dxfId="3599" priority="3532" stopIfTrue="1" operator="containsText" text="CUMPLE">
      <formula>NOT(ISERROR(SEARCH("CUMPLE",K4396)))</formula>
    </cfRule>
  </conditionalFormatting>
  <conditionalFormatting sqref="Q4389">
    <cfRule type="cellIs" dxfId="3598" priority="3529" operator="greaterThanOrEqual">
      <formula>NUMMINCONT</formula>
    </cfRule>
    <cfRule type="cellIs" dxfId="3597" priority="3530" operator="lessThan">
      <formula>NUMMINCONT</formula>
    </cfRule>
  </conditionalFormatting>
  <conditionalFormatting sqref="W4373:Y4381">
    <cfRule type="cellIs" dxfId="3596" priority="3527" stopIfTrue="1" operator="equal">
      <formula>"NO"</formula>
    </cfRule>
    <cfRule type="cellIs" dxfId="3595" priority="3528" stopIfTrue="1" operator="equal">
      <formula>"SI"</formula>
    </cfRule>
  </conditionalFormatting>
  <conditionalFormatting sqref="R4376">
    <cfRule type="cellIs" dxfId="3594" priority="3526" stopIfTrue="1" operator="greaterThan">
      <formula>0</formula>
    </cfRule>
  </conditionalFormatting>
  <conditionalFormatting sqref="R4377">
    <cfRule type="cellIs" dxfId="3593" priority="3525" stopIfTrue="1" operator="greaterThan">
      <formula>0</formula>
    </cfRule>
  </conditionalFormatting>
  <conditionalFormatting sqref="R4378">
    <cfRule type="cellIs" dxfId="3592" priority="3524" stopIfTrue="1" operator="greaterThan">
      <formula>0</formula>
    </cfRule>
  </conditionalFormatting>
  <conditionalFormatting sqref="R4379">
    <cfRule type="cellIs" dxfId="3591" priority="3523" stopIfTrue="1" operator="greaterThan">
      <formula>0</formula>
    </cfRule>
  </conditionalFormatting>
  <conditionalFormatting sqref="R4380">
    <cfRule type="cellIs" dxfId="3590" priority="3522" stopIfTrue="1" operator="greaterThan">
      <formula>0</formula>
    </cfRule>
  </conditionalFormatting>
  <conditionalFormatting sqref="R4381">
    <cfRule type="cellIs" dxfId="3589" priority="3521" stopIfTrue="1" operator="greaterThan">
      <formula>0</formula>
    </cfRule>
  </conditionalFormatting>
  <conditionalFormatting sqref="R4382">
    <cfRule type="cellIs" dxfId="3588" priority="3520" stopIfTrue="1" operator="greaterThan">
      <formula>0</formula>
    </cfRule>
  </conditionalFormatting>
  <conditionalFormatting sqref="W4373:X4373">
    <cfRule type="cellIs" dxfId="3587" priority="3519" stopIfTrue="1" operator="equal">
      <formula>"NO APLICA"</formula>
    </cfRule>
  </conditionalFormatting>
  <conditionalFormatting sqref="W4374:X4377">
    <cfRule type="cellIs" dxfId="3586" priority="3518" stopIfTrue="1" operator="equal">
      <formula>"NO APLICA"</formula>
    </cfRule>
  </conditionalFormatting>
  <conditionalFormatting sqref="W4374:X4374">
    <cfRule type="cellIs" dxfId="3585" priority="3517" stopIfTrue="1" operator="equal">
      <formula>"NO APLICA"</formula>
    </cfRule>
  </conditionalFormatting>
  <conditionalFormatting sqref="Y4373">
    <cfRule type="cellIs" dxfId="3584" priority="3516" stopIfTrue="1" operator="equal">
      <formula>"NO APLICA"</formula>
    </cfRule>
  </conditionalFormatting>
  <conditionalFormatting sqref="Y4374:Y4377">
    <cfRule type="cellIs" dxfId="3583" priority="3515" stopIfTrue="1" operator="equal">
      <formula>"NO APLICA"</formula>
    </cfRule>
  </conditionalFormatting>
  <conditionalFormatting sqref="W4378:X4381">
    <cfRule type="cellIs" dxfId="3582" priority="3514" stopIfTrue="1" operator="equal">
      <formula>"NO APLICA"</formula>
    </cfRule>
  </conditionalFormatting>
  <conditionalFormatting sqref="W4378:X4378">
    <cfRule type="cellIs" dxfId="3581" priority="3513" stopIfTrue="1" operator="equal">
      <formula>"NO APLICA"</formula>
    </cfRule>
  </conditionalFormatting>
  <conditionalFormatting sqref="Y4378:Y4381">
    <cfRule type="cellIs" dxfId="3580" priority="3512" stopIfTrue="1" operator="equal">
      <formula>"NO APLICA"</formula>
    </cfRule>
  </conditionalFormatting>
  <conditionalFormatting sqref="T4387">
    <cfRule type="cellIs" dxfId="3579" priority="3510" operator="equal">
      <formula>"CUMPLE"</formula>
    </cfRule>
    <cfRule type="cellIs" dxfId="3578" priority="3511" operator="equal">
      <formula>"NO CUMPLE"</formula>
    </cfRule>
  </conditionalFormatting>
  <conditionalFormatting sqref="T4387:T4389">
    <cfRule type="cellIs" dxfId="3577" priority="3509" operator="equal">
      <formula>"VERIFICAR"</formula>
    </cfRule>
  </conditionalFormatting>
  <conditionalFormatting sqref="AD4373:AF4377">
    <cfRule type="cellIs" dxfId="3576" priority="3507" stopIfTrue="1" operator="equal">
      <formula>"NO"</formula>
    </cfRule>
    <cfRule type="cellIs" dxfId="3575" priority="3508" stopIfTrue="1" operator="equal">
      <formula>"SI"</formula>
    </cfRule>
  </conditionalFormatting>
  <conditionalFormatting sqref="AD4378:AF4381">
    <cfRule type="cellIs" dxfId="3574" priority="3505" stopIfTrue="1" operator="equal">
      <formula>"NO"</formula>
    </cfRule>
    <cfRule type="cellIs" dxfId="3573" priority="3506" stopIfTrue="1" operator="equal">
      <formula>"SI"</formula>
    </cfRule>
  </conditionalFormatting>
  <conditionalFormatting sqref="W4382:Y4382">
    <cfRule type="cellIs" dxfId="3572" priority="3503" stopIfTrue="1" operator="equal">
      <formula>"NO"</formula>
    </cfRule>
    <cfRule type="cellIs" dxfId="3571" priority="3504" stopIfTrue="1" operator="equal">
      <formula>"SI"</formula>
    </cfRule>
  </conditionalFormatting>
  <conditionalFormatting sqref="W4382:X4382">
    <cfRule type="cellIs" dxfId="3570" priority="3502" stopIfTrue="1" operator="equal">
      <formula>"NO APLICA"</formula>
    </cfRule>
  </conditionalFormatting>
  <conditionalFormatting sqref="Y4382">
    <cfRule type="cellIs" dxfId="3569" priority="3501" stopIfTrue="1" operator="equal">
      <formula>"NO APLICA"</formula>
    </cfRule>
  </conditionalFormatting>
  <conditionalFormatting sqref="AD4382:AF4382">
    <cfRule type="cellIs" dxfId="3568" priority="3499" stopIfTrue="1" operator="equal">
      <formula>"NO"</formula>
    </cfRule>
    <cfRule type="cellIs" dxfId="3567" priority="3500" stopIfTrue="1" operator="equal">
      <formula>"SI"</formula>
    </cfRule>
  </conditionalFormatting>
  <conditionalFormatting sqref="AE4387">
    <cfRule type="cellIs" dxfId="3566" priority="3496" stopIfTrue="1" operator="equal">
      <formula>"VERIFICAR"</formula>
    </cfRule>
    <cfRule type="cellIs" dxfId="3565" priority="3497" stopIfTrue="1" operator="equal">
      <formula>"NO CUMPLE"</formula>
    </cfRule>
    <cfRule type="cellIs" dxfId="3564" priority="3498" stopIfTrue="1" operator="equal">
      <formula>"CUMPLE"</formula>
    </cfRule>
  </conditionalFormatting>
  <conditionalFormatting sqref="AF4387">
    <cfRule type="cellIs" dxfId="3563" priority="3493" stopIfTrue="1" operator="equal">
      <formula>"VERIFICAR"</formula>
    </cfRule>
    <cfRule type="cellIs" dxfId="3562" priority="3494" stopIfTrue="1" operator="equal">
      <formula>"NO CUMPLE"</formula>
    </cfRule>
    <cfRule type="cellIs" dxfId="3561" priority="3495" stopIfTrue="1" operator="equal">
      <formula>"CUMPLE"</formula>
    </cfRule>
  </conditionalFormatting>
  <conditionalFormatting sqref="Y4390">
    <cfRule type="cellIs" dxfId="3560" priority="3492" operator="equal">
      <formula>"VERIFICAR CUADRO"</formula>
    </cfRule>
  </conditionalFormatting>
  <conditionalFormatting sqref="AC4391:AC4396">
    <cfRule type="cellIs" dxfId="3559" priority="3491" stopIfTrue="1" operator="greaterThan">
      <formula>0</formula>
    </cfRule>
  </conditionalFormatting>
  <conditionalFormatting sqref="AC4391:AC4396">
    <cfRule type="cellIs" dxfId="3558" priority="3490" stopIfTrue="1" operator="greaterThan">
      <formula>0</formula>
    </cfRule>
  </conditionalFormatting>
  <conditionalFormatting sqref="AD4391:AD4396">
    <cfRule type="containsText" dxfId="3557" priority="3488" stopIfTrue="1" operator="containsText" text="NO CUMPLE">
      <formula>NOT(ISERROR(SEARCH("NO CUMPLE",AD4391)))</formula>
    </cfRule>
    <cfRule type="containsText" dxfId="3556" priority="3489" stopIfTrue="1" operator="containsText" text="CUMPLE">
      <formula>NOT(ISERROR(SEARCH("CUMPLE",AD4391)))</formula>
    </cfRule>
  </conditionalFormatting>
  <conditionalFormatting sqref="Y4396">
    <cfRule type="containsText" dxfId="3555" priority="3486" stopIfTrue="1" operator="containsText" text="NO CUMPLE">
      <formula>NOT(ISERROR(SEARCH("NO CUMPLE",Y4396)))</formula>
    </cfRule>
    <cfRule type="containsText" dxfId="3554" priority="3487" stopIfTrue="1" operator="containsText" text="CUMPLE">
      <formula>NOT(ISERROR(SEARCH("CUMPLE",Y4396)))</formula>
    </cfRule>
  </conditionalFormatting>
  <conditionalFormatting sqref="AA4373:AA4382">
    <cfRule type="cellIs" dxfId="3553" priority="3484" stopIfTrue="1" operator="equal">
      <formula>"NO APLICA"</formula>
    </cfRule>
    <cfRule type="cellIs" dxfId="3552" priority="3485" stopIfTrue="1" operator="equal">
      <formula>"TERCIARIA"</formula>
    </cfRule>
  </conditionalFormatting>
  <conditionalFormatting sqref="AB4373:AB4382">
    <cfRule type="cellIs" dxfId="3551" priority="3482" stopIfTrue="1" operator="equal">
      <formula>"N/A"</formula>
    </cfRule>
    <cfRule type="cellIs" dxfId="3550" priority="3483" stopIfTrue="1" operator="equal">
      <formula>"NO"</formula>
    </cfRule>
  </conditionalFormatting>
  <conditionalFormatting sqref="M4403:M4412">
    <cfRule type="cellIs" dxfId="3549" priority="3481" stopIfTrue="1" operator="lessThan">
      <formula>0</formula>
    </cfRule>
  </conditionalFormatting>
  <conditionalFormatting sqref="C4405:D4411 B4404:B4411 F4405:I4411 C4404:I4404 B4412:O4412 B4403:R4403 Q4404:R4405 J4404:O4411 Q4406:Q4412 P4404:P4412">
    <cfRule type="cellIs" dxfId="3548" priority="3480" stopIfTrue="1" operator="greaterThan">
      <formula>0</formula>
    </cfRule>
  </conditionalFormatting>
  <conditionalFormatting sqref="C4405:D4411">
    <cfRule type="cellIs" dxfId="3547" priority="3479" stopIfTrue="1" operator="greaterThan">
      <formula>0</formula>
    </cfRule>
  </conditionalFormatting>
  <conditionalFormatting sqref="C4403:M4403 C4405:D4411 F4405:I4411 C4404:I4404 K4404:M4411 J4404:J4412 L4412:M4412">
    <cfRule type="cellIs" dxfId="3546" priority="3478" stopIfTrue="1" operator="greaterThan">
      <formula>0</formula>
    </cfRule>
  </conditionalFormatting>
  <conditionalFormatting sqref="M4403:M4412">
    <cfRule type="cellIs" dxfId="3545" priority="3477" stopIfTrue="1" operator="lessThan">
      <formula>0</formula>
    </cfRule>
  </conditionalFormatting>
  <conditionalFormatting sqref="J4404:J4412 L4404:O4412 C4403:O4403">
    <cfRule type="cellIs" dxfId="3544" priority="3476" stopIfTrue="1" operator="greaterThan">
      <formula>0</formula>
    </cfRule>
  </conditionalFormatting>
  <conditionalFormatting sqref="H4405:I4411 K4405:M4412">
    <cfRule type="cellIs" dxfId="3543" priority="3475" stopIfTrue="1" operator="greaterThan">
      <formula>0</formula>
    </cfRule>
  </conditionalFormatting>
  <conditionalFormatting sqref="I4404">
    <cfRule type="cellIs" dxfId="3542" priority="3474" stopIfTrue="1" operator="greaterThan">
      <formula>0</formula>
    </cfRule>
  </conditionalFormatting>
  <conditionalFormatting sqref="I4412">
    <cfRule type="cellIs" dxfId="3541" priority="3473" stopIfTrue="1" operator="greaterThan">
      <formula>0</formula>
    </cfRule>
  </conditionalFormatting>
  <conditionalFormatting sqref="E4405:E4411">
    <cfRule type="cellIs" dxfId="3540" priority="3472" stopIfTrue="1" operator="greaterThan">
      <formula>0</formula>
    </cfRule>
  </conditionalFormatting>
  <conditionalFormatting sqref="K4420:K4425">
    <cfRule type="containsText" dxfId="3539" priority="3470" stopIfTrue="1" operator="containsText" text="NO CUMPLE">
      <formula>NOT(ISERROR(SEARCH("NO CUMPLE",K4420)))</formula>
    </cfRule>
    <cfRule type="containsText" dxfId="3538" priority="3471" stopIfTrue="1" operator="containsText" text="CUMPLE">
      <formula>NOT(ISERROR(SEARCH("CUMPLE",K4420)))</formula>
    </cfRule>
  </conditionalFormatting>
  <conditionalFormatting sqref="K4426">
    <cfRule type="containsText" dxfId="3537" priority="3468" stopIfTrue="1" operator="containsText" text="NO CUMPLE">
      <formula>NOT(ISERROR(SEARCH("NO CUMPLE",K4426)))</formula>
    </cfRule>
    <cfRule type="containsText" dxfId="3536" priority="3469" stopIfTrue="1" operator="containsText" text="CUMPLE">
      <formula>NOT(ISERROR(SEARCH("CUMPLE",K4426)))</formula>
    </cfRule>
  </conditionalFormatting>
  <conditionalFormatting sqref="Q4419">
    <cfRule type="cellIs" dxfId="3535" priority="3466" operator="greaterThanOrEqual">
      <formula>NUMMINCONT</formula>
    </cfRule>
    <cfRule type="cellIs" dxfId="3534" priority="3467" operator="lessThan">
      <formula>NUMMINCONT</formula>
    </cfRule>
  </conditionalFormatting>
  <conditionalFormatting sqref="W4403:Y4411">
    <cfRule type="cellIs" dxfId="3533" priority="3464" stopIfTrue="1" operator="equal">
      <formula>"NO"</formula>
    </cfRule>
    <cfRule type="cellIs" dxfId="3532" priority="3465" stopIfTrue="1" operator="equal">
      <formula>"SI"</formula>
    </cfRule>
  </conditionalFormatting>
  <conditionalFormatting sqref="R4406">
    <cfRule type="cellIs" dxfId="3531" priority="3463" stopIfTrue="1" operator="greaterThan">
      <formula>0</formula>
    </cfRule>
  </conditionalFormatting>
  <conditionalFormatting sqref="R4407">
    <cfRule type="cellIs" dxfId="3530" priority="3462" stopIfTrue="1" operator="greaterThan">
      <formula>0</formula>
    </cfRule>
  </conditionalFormatting>
  <conditionalFormatting sqref="R4408">
    <cfRule type="cellIs" dxfId="3529" priority="3461" stopIfTrue="1" operator="greaterThan">
      <formula>0</formula>
    </cfRule>
  </conditionalFormatting>
  <conditionalFormatting sqref="R4409">
    <cfRule type="cellIs" dxfId="3528" priority="3460" stopIfTrue="1" operator="greaterThan">
      <formula>0</formula>
    </cfRule>
  </conditionalFormatting>
  <conditionalFormatting sqref="R4410">
    <cfRule type="cellIs" dxfId="3527" priority="3459" stopIfTrue="1" operator="greaterThan">
      <formula>0</formula>
    </cfRule>
  </conditionalFormatting>
  <conditionalFormatting sqref="R4411">
    <cfRule type="cellIs" dxfId="3526" priority="3458" stopIfTrue="1" operator="greaterThan">
      <formula>0</formula>
    </cfRule>
  </conditionalFormatting>
  <conditionalFormatting sqref="R4412">
    <cfRule type="cellIs" dxfId="3525" priority="3457" stopIfTrue="1" operator="greaterThan">
      <formula>0</formula>
    </cfRule>
  </conditionalFormatting>
  <conditionalFormatting sqref="W4403:X4403">
    <cfRule type="cellIs" dxfId="3524" priority="3456" stopIfTrue="1" operator="equal">
      <formula>"NO APLICA"</formula>
    </cfRule>
  </conditionalFormatting>
  <conditionalFormatting sqref="W4404:X4407">
    <cfRule type="cellIs" dxfId="3523" priority="3455" stopIfTrue="1" operator="equal">
      <formula>"NO APLICA"</formula>
    </cfRule>
  </conditionalFormatting>
  <conditionalFormatting sqref="W4404:X4404">
    <cfRule type="cellIs" dxfId="3522" priority="3454" stopIfTrue="1" operator="equal">
      <formula>"NO APLICA"</formula>
    </cfRule>
  </conditionalFormatting>
  <conditionalFormatting sqref="Y4403">
    <cfRule type="cellIs" dxfId="3521" priority="3453" stopIfTrue="1" operator="equal">
      <formula>"NO APLICA"</formula>
    </cfRule>
  </conditionalFormatting>
  <conditionalFormatting sqref="Y4404:Y4407">
    <cfRule type="cellIs" dxfId="3520" priority="3452" stopIfTrue="1" operator="equal">
      <formula>"NO APLICA"</formula>
    </cfRule>
  </conditionalFormatting>
  <conditionalFormatting sqref="W4408:X4411">
    <cfRule type="cellIs" dxfId="3519" priority="3451" stopIfTrue="1" operator="equal">
      <formula>"NO APLICA"</formula>
    </cfRule>
  </conditionalFormatting>
  <conditionalFormatting sqref="W4408:X4408">
    <cfRule type="cellIs" dxfId="3518" priority="3450" stopIfTrue="1" operator="equal">
      <formula>"NO APLICA"</formula>
    </cfRule>
  </conditionalFormatting>
  <conditionalFormatting sqref="Y4408:Y4411">
    <cfRule type="cellIs" dxfId="3517" priority="3449" stopIfTrue="1" operator="equal">
      <formula>"NO APLICA"</formula>
    </cfRule>
  </conditionalFormatting>
  <conditionalFormatting sqref="T4417">
    <cfRule type="cellIs" dxfId="3516" priority="3447" operator="equal">
      <formula>"CUMPLE"</formula>
    </cfRule>
    <cfRule type="cellIs" dxfId="3515" priority="3448" operator="equal">
      <formula>"NO CUMPLE"</formula>
    </cfRule>
  </conditionalFormatting>
  <conditionalFormatting sqref="T4417:T4419">
    <cfRule type="cellIs" dxfId="3514" priority="3446" operator="equal">
      <formula>"VERIFICAR"</formula>
    </cfRule>
  </conditionalFormatting>
  <conditionalFormatting sqref="AD4403:AF4407">
    <cfRule type="cellIs" dxfId="3513" priority="3444" stopIfTrue="1" operator="equal">
      <formula>"NO"</formula>
    </cfRule>
    <cfRule type="cellIs" dxfId="3512" priority="3445" stopIfTrue="1" operator="equal">
      <formula>"SI"</formula>
    </cfRule>
  </conditionalFormatting>
  <conditionalFormatting sqref="AD4408:AF4411">
    <cfRule type="cellIs" dxfId="3511" priority="3442" stopIfTrue="1" operator="equal">
      <formula>"NO"</formula>
    </cfRule>
    <cfRule type="cellIs" dxfId="3510" priority="3443" stopIfTrue="1" operator="equal">
      <formula>"SI"</formula>
    </cfRule>
  </conditionalFormatting>
  <conditionalFormatting sqref="W4412:Y4412">
    <cfRule type="cellIs" dxfId="3509" priority="3440" stopIfTrue="1" operator="equal">
      <formula>"NO"</formula>
    </cfRule>
    <cfRule type="cellIs" dxfId="3508" priority="3441" stopIfTrue="1" operator="equal">
      <formula>"SI"</formula>
    </cfRule>
  </conditionalFormatting>
  <conditionalFormatting sqref="W4412:X4412">
    <cfRule type="cellIs" dxfId="3507" priority="3439" stopIfTrue="1" operator="equal">
      <formula>"NO APLICA"</formula>
    </cfRule>
  </conditionalFormatting>
  <conditionalFormatting sqref="Y4412">
    <cfRule type="cellIs" dxfId="3506" priority="3438" stopIfTrue="1" operator="equal">
      <formula>"NO APLICA"</formula>
    </cfRule>
  </conditionalFormatting>
  <conditionalFormatting sqref="AD4412:AF4412">
    <cfRule type="cellIs" dxfId="3505" priority="3436" stopIfTrue="1" operator="equal">
      <formula>"NO"</formula>
    </cfRule>
    <cfRule type="cellIs" dxfId="3504" priority="3437" stopIfTrue="1" operator="equal">
      <formula>"SI"</formula>
    </cfRule>
  </conditionalFormatting>
  <conditionalFormatting sqref="AE4417">
    <cfRule type="cellIs" dxfId="3503" priority="3433" stopIfTrue="1" operator="equal">
      <formula>"VERIFICAR"</formula>
    </cfRule>
    <cfRule type="cellIs" dxfId="3502" priority="3434" stopIfTrue="1" operator="equal">
      <formula>"NO CUMPLE"</formula>
    </cfRule>
    <cfRule type="cellIs" dxfId="3501" priority="3435" stopIfTrue="1" operator="equal">
      <formula>"CUMPLE"</formula>
    </cfRule>
  </conditionalFormatting>
  <conditionalFormatting sqref="AF4417">
    <cfRule type="cellIs" dxfId="3500" priority="3430" stopIfTrue="1" operator="equal">
      <formula>"VERIFICAR"</formula>
    </cfRule>
    <cfRule type="cellIs" dxfId="3499" priority="3431" stopIfTrue="1" operator="equal">
      <formula>"NO CUMPLE"</formula>
    </cfRule>
    <cfRule type="cellIs" dxfId="3498" priority="3432" stopIfTrue="1" operator="equal">
      <formula>"CUMPLE"</formula>
    </cfRule>
  </conditionalFormatting>
  <conditionalFormatting sqref="Y4420">
    <cfRule type="cellIs" dxfId="3497" priority="3429" operator="equal">
      <formula>"VERIFICAR CUADRO"</formula>
    </cfRule>
  </conditionalFormatting>
  <conditionalFormatting sqref="AC4421:AC4426">
    <cfRule type="cellIs" dxfId="3496" priority="3428" stopIfTrue="1" operator="greaterThan">
      <formula>0</formula>
    </cfRule>
  </conditionalFormatting>
  <conditionalFormatting sqref="AC4421:AC4426">
    <cfRule type="cellIs" dxfId="3495" priority="3427" stopIfTrue="1" operator="greaterThan">
      <formula>0</formula>
    </cfRule>
  </conditionalFormatting>
  <conditionalFormatting sqref="AD4421:AD4426">
    <cfRule type="containsText" dxfId="3494" priority="3425" stopIfTrue="1" operator="containsText" text="NO CUMPLE">
      <formula>NOT(ISERROR(SEARCH("NO CUMPLE",AD4421)))</formula>
    </cfRule>
    <cfRule type="containsText" dxfId="3493" priority="3426" stopIfTrue="1" operator="containsText" text="CUMPLE">
      <formula>NOT(ISERROR(SEARCH("CUMPLE",AD4421)))</formula>
    </cfRule>
  </conditionalFormatting>
  <conditionalFormatting sqref="Y4426">
    <cfRule type="containsText" dxfId="3492" priority="3423" stopIfTrue="1" operator="containsText" text="NO CUMPLE">
      <formula>NOT(ISERROR(SEARCH("NO CUMPLE",Y4426)))</formula>
    </cfRule>
    <cfRule type="containsText" dxfId="3491" priority="3424" stopIfTrue="1" operator="containsText" text="CUMPLE">
      <formula>NOT(ISERROR(SEARCH("CUMPLE",Y4426)))</formula>
    </cfRule>
  </conditionalFormatting>
  <conditionalFormatting sqref="AA4403:AA4412">
    <cfRule type="cellIs" dxfId="3490" priority="3421" stopIfTrue="1" operator="equal">
      <formula>"NO APLICA"</formula>
    </cfRule>
    <cfRule type="cellIs" dxfId="3489" priority="3422" stopIfTrue="1" operator="equal">
      <formula>"TERCIARIA"</formula>
    </cfRule>
  </conditionalFormatting>
  <conditionalFormatting sqref="AB4403:AB4412">
    <cfRule type="cellIs" dxfId="3488" priority="3419" stopIfTrue="1" operator="equal">
      <formula>"N/A"</formula>
    </cfRule>
    <cfRule type="cellIs" dxfId="3487" priority="3420" stopIfTrue="1" operator="equal">
      <formula>"NO"</formula>
    </cfRule>
  </conditionalFormatting>
  <conditionalFormatting sqref="M4433:M4442">
    <cfRule type="cellIs" dxfId="3486" priority="3418" stopIfTrue="1" operator="lessThan">
      <formula>0</formula>
    </cfRule>
  </conditionalFormatting>
  <conditionalFormatting sqref="C4435:D4441 B4434:B4441 F4435:I4441 C4434:I4434 B4442:O4442 B4433:R4433 Q4434:R4435 J4434:O4441 Q4436:Q4442 P4434:P4442">
    <cfRule type="cellIs" dxfId="3485" priority="3417" stopIfTrue="1" operator="greaterThan">
      <formula>0</formula>
    </cfRule>
  </conditionalFormatting>
  <conditionalFormatting sqref="C4435:D4441">
    <cfRule type="cellIs" dxfId="3484" priority="3416" stopIfTrue="1" operator="greaterThan">
      <formula>0</formula>
    </cfRule>
  </conditionalFormatting>
  <conditionalFormatting sqref="C4433:M4433 C4435:D4441 F4435:I4441 C4434:I4434 K4434:M4441 J4434:J4442 L4442:M4442">
    <cfRule type="cellIs" dxfId="3483" priority="3415" stopIfTrue="1" operator="greaterThan">
      <formula>0</formula>
    </cfRule>
  </conditionalFormatting>
  <conditionalFormatting sqref="M4433:M4442">
    <cfRule type="cellIs" dxfId="3482" priority="3414" stopIfTrue="1" operator="lessThan">
      <formula>0</formula>
    </cfRule>
  </conditionalFormatting>
  <conditionalFormatting sqref="J4434:J4442 L4434:O4442 C4433:O4433">
    <cfRule type="cellIs" dxfId="3481" priority="3413" stopIfTrue="1" operator="greaterThan">
      <formula>0</formula>
    </cfRule>
  </conditionalFormatting>
  <conditionalFormatting sqref="H4435:I4441 K4435:M4442">
    <cfRule type="cellIs" dxfId="3480" priority="3412" stopIfTrue="1" operator="greaterThan">
      <formula>0</formula>
    </cfRule>
  </conditionalFormatting>
  <conditionalFormatting sqref="I4434">
    <cfRule type="cellIs" dxfId="3479" priority="3411" stopIfTrue="1" operator="greaterThan">
      <formula>0</formula>
    </cfRule>
  </conditionalFormatting>
  <conditionalFormatting sqref="I4442">
    <cfRule type="cellIs" dxfId="3478" priority="3410" stopIfTrue="1" operator="greaterThan">
      <formula>0</formula>
    </cfRule>
  </conditionalFormatting>
  <conditionalFormatting sqref="E4435:E4441">
    <cfRule type="cellIs" dxfId="3477" priority="3409" stopIfTrue="1" operator="greaterThan">
      <formula>0</formula>
    </cfRule>
  </conditionalFormatting>
  <conditionalFormatting sqref="K4450:K4455">
    <cfRule type="containsText" dxfId="3476" priority="3407" stopIfTrue="1" operator="containsText" text="NO CUMPLE">
      <formula>NOT(ISERROR(SEARCH("NO CUMPLE",K4450)))</formula>
    </cfRule>
    <cfRule type="containsText" dxfId="3475" priority="3408" stopIfTrue="1" operator="containsText" text="CUMPLE">
      <formula>NOT(ISERROR(SEARCH("CUMPLE",K4450)))</formula>
    </cfRule>
  </conditionalFormatting>
  <conditionalFormatting sqref="K4456">
    <cfRule type="containsText" dxfId="3474" priority="3405" stopIfTrue="1" operator="containsText" text="NO CUMPLE">
      <formula>NOT(ISERROR(SEARCH("NO CUMPLE",K4456)))</formula>
    </cfRule>
    <cfRule type="containsText" dxfId="3473" priority="3406" stopIfTrue="1" operator="containsText" text="CUMPLE">
      <formula>NOT(ISERROR(SEARCH("CUMPLE",K4456)))</formula>
    </cfRule>
  </conditionalFormatting>
  <conditionalFormatting sqref="Q4449">
    <cfRule type="cellIs" dxfId="3472" priority="3403" operator="greaterThanOrEqual">
      <formula>NUMMINCONT</formula>
    </cfRule>
    <cfRule type="cellIs" dxfId="3471" priority="3404" operator="lessThan">
      <formula>NUMMINCONT</formula>
    </cfRule>
  </conditionalFormatting>
  <conditionalFormatting sqref="W4433:Y4441">
    <cfRule type="cellIs" dxfId="3470" priority="3401" stopIfTrue="1" operator="equal">
      <formula>"NO"</formula>
    </cfRule>
    <cfRule type="cellIs" dxfId="3469" priority="3402" stopIfTrue="1" operator="equal">
      <formula>"SI"</formula>
    </cfRule>
  </conditionalFormatting>
  <conditionalFormatting sqref="R4436">
    <cfRule type="cellIs" dxfId="3468" priority="3400" stopIfTrue="1" operator="greaterThan">
      <formula>0</formula>
    </cfRule>
  </conditionalFormatting>
  <conditionalFormatting sqref="R4437">
    <cfRule type="cellIs" dxfId="3467" priority="3399" stopIfTrue="1" operator="greaterThan">
      <formula>0</formula>
    </cfRule>
  </conditionalFormatting>
  <conditionalFormatting sqref="R4438">
    <cfRule type="cellIs" dxfId="3466" priority="3398" stopIfTrue="1" operator="greaterThan">
      <formula>0</formula>
    </cfRule>
  </conditionalFormatting>
  <conditionalFormatting sqref="R4439">
    <cfRule type="cellIs" dxfId="3465" priority="3397" stopIfTrue="1" operator="greaterThan">
      <formula>0</formula>
    </cfRule>
  </conditionalFormatting>
  <conditionalFormatting sqref="R4440">
    <cfRule type="cellIs" dxfId="3464" priority="3396" stopIfTrue="1" operator="greaterThan">
      <formula>0</formula>
    </cfRule>
  </conditionalFormatting>
  <conditionalFormatting sqref="R4441">
    <cfRule type="cellIs" dxfId="3463" priority="3395" stopIfTrue="1" operator="greaterThan">
      <formula>0</formula>
    </cfRule>
  </conditionalFormatting>
  <conditionalFormatting sqref="R4442">
    <cfRule type="cellIs" dxfId="3462" priority="3394" stopIfTrue="1" operator="greaterThan">
      <formula>0</formula>
    </cfRule>
  </conditionalFormatting>
  <conditionalFormatting sqref="W4433:X4433">
    <cfRule type="cellIs" dxfId="3461" priority="3393" stopIfTrue="1" operator="equal">
      <formula>"NO APLICA"</formula>
    </cfRule>
  </conditionalFormatting>
  <conditionalFormatting sqref="W4434:X4437">
    <cfRule type="cellIs" dxfId="3460" priority="3392" stopIfTrue="1" operator="equal">
      <formula>"NO APLICA"</formula>
    </cfRule>
  </conditionalFormatting>
  <conditionalFormatting sqref="W4434:X4434">
    <cfRule type="cellIs" dxfId="3459" priority="3391" stopIfTrue="1" operator="equal">
      <formula>"NO APLICA"</formula>
    </cfRule>
  </conditionalFormatting>
  <conditionalFormatting sqref="Y4433">
    <cfRule type="cellIs" dxfId="3458" priority="3390" stopIfTrue="1" operator="equal">
      <formula>"NO APLICA"</formula>
    </cfRule>
  </conditionalFormatting>
  <conditionalFormatting sqref="Y4434:Y4437">
    <cfRule type="cellIs" dxfId="3457" priority="3389" stopIfTrue="1" operator="equal">
      <formula>"NO APLICA"</formula>
    </cfRule>
  </conditionalFormatting>
  <conditionalFormatting sqref="W4438:X4441">
    <cfRule type="cellIs" dxfId="3456" priority="3388" stopIfTrue="1" operator="equal">
      <formula>"NO APLICA"</formula>
    </cfRule>
  </conditionalFormatting>
  <conditionalFormatting sqref="W4438:X4438">
    <cfRule type="cellIs" dxfId="3455" priority="3387" stopIfTrue="1" operator="equal">
      <formula>"NO APLICA"</formula>
    </cfRule>
  </conditionalFormatting>
  <conditionalFormatting sqref="Y4438:Y4441">
    <cfRule type="cellIs" dxfId="3454" priority="3386" stopIfTrue="1" operator="equal">
      <formula>"NO APLICA"</formula>
    </cfRule>
  </conditionalFormatting>
  <conditionalFormatting sqref="T4447">
    <cfRule type="cellIs" dxfId="3453" priority="3384" operator="equal">
      <formula>"CUMPLE"</formula>
    </cfRule>
    <cfRule type="cellIs" dxfId="3452" priority="3385" operator="equal">
      <formula>"NO CUMPLE"</formula>
    </cfRule>
  </conditionalFormatting>
  <conditionalFormatting sqref="T4447:T4449">
    <cfRule type="cellIs" dxfId="3451" priority="3383" operator="equal">
      <formula>"VERIFICAR"</formula>
    </cfRule>
  </conditionalFormatting>
  <conditionalFormatting sqref="AD4433:AF4437">
    <cfRule type="cellIs" dxfId="3450" priority="3381" stopIfTrue="1" operator="equal">
      <formula>"NO"</formula>
    </cfRule>
    <cfRule type="cellIs" dxfId="3449" priority="3382" stopIfTrue="1" operator="equal">
      <formula>"SI"</formula>
    </cfRule>
  </conditionalFormatting>
  <conditionalFormatting sqref="AD4438:AF4441">
    <cfRule type="cellIs" dxfId="3448" priority="3379" stopIfTrue="1" operator="equal">
      <formula>"NO"</formula>
    </cfRule>
    <cfRule type="cellIs" dxfId="3447" priority="3380" stopIfTrue="1" operator="equal">
      <formula>"SI"</formula>
    </cfRule>
  </conditionalFormatting>
  <conditionalFormatting sqref="W4442:Y4442">
    <cfRule type="cellIs" dxfId="3446" priority="3377" stopIfTrue="1" operator="equal">
      <formula>"NO"</formula>
    </cfRule>
    <cfRule type="cellIs" dxfId="3445" priority="3378" stopIfTrue="1" operator="equal">
      <formula>"SI"</formula>
    </cfRule>
  </conditionalFormatting>
  <conditionalFormatting sqref="W4442:X4442">
    <cfRule type="cellIs" dxfId="3444" priority="3376" stopIfTrue="1" operator="equal">
      <formula>"NO APLICA"</formula>
    </cfRule>
  </conditionalFormatting>
  <conditionalFormatting sqref="Y4442">
    <cfRule type="cellIs" dxfId="3443" priority="3375" stopIfTrue="1" operator="equal">
      <formula>"NO APLICA"</formula>
    </cfRule>
  </conditionalFormatting>
  <conditionalFormatting sqref="AD4442:AF4442">
    <cfRule type="cellIs" dxfId="3442" priority="3373" stopIfTrue="1" operator="equal">
      <formula>"NO"</formula>
    </cfRule>
    <cfRule type="cellIs" dxfId="3441" priority="3374" stopIfTrue="1" operator="equal">
      <formula>"SI"</formula>
    </cfRule>
  </conditionalFormatting>
  <conditionalFormatting sqref="AE4447">
    <cfRule type="cellIs" dxfId="3440" priority="3370" stopIfTrue="1" operator="equal">
      <formula>"VERIFICAR"</formula>
    </cfRule>
    <cfRule type="cellIs" dxfId="3439" priority="3371" stopIfTrue="1" operator="equal">
      <formula>"NO CUMPLE"</formula>
    </cfRule>
    <cfRule type="cellIs" dxfId="3438" priority="3372" stopIfTrue="1" operator="equal">
      <formula>"CUMPLE"</formula>
    </cfRule>
  </conditionalFormatting>
  <conditionalFormatting sqref="AF4447">
    <cfRule type="cellIs" dxfId="3437" priority="3367" stopIfTrue="1" operator="equal">
      <formula>"VERIFICAR"</formula>
    </cfRule>
    <cfRule type="cellIs" dxfId="3436" priority="3368" stopIfTrue="1" operator="equal">
      <formula>"NO CUMPLE"</formula>
    </cfRule>
    <cfRule type="cellIs" dxfId="3435" priority="3369" stopIfTrue="1" operator="equal">
      <formula>"CUMPLE"</formula>
    </cfRule>
  </conditionalFormatting>
  <conditionalFormatting sqref="Y4450">
    <cfRule type="cellIs" dxfId="3434" priority="3366" operator="equal">
      <formula>"VERIFICAR CUADRO"</formula>
    </cfRule>
  </conditionalFormatting>
  <conditionalFormatting sqref="AC4451:AC4456">
    <cfRule type="cellIs" dxfId="3433" priority="3365" stopIfTrue="1" operator="greaterThan">
      <formula>0</formula>
    </cfRule>
  </conditionalFormatting>
  <conditionalFormatting sqref="AC4451:AC4456">
    <cfRule type="cellIs" dxfId="3432" priority="3364" stopIfTrue="1" operator="greaterThan">
      <formula>0</formula>
    </cfRule>
  </conditionalFormatting>
  <conditionalFormatting sqref="AD4451:AD4456">
    <cfRule type="containsText" dxfId="3431" priority="3362" stopIfTrue="1" operator="containsText" text="NO CUMPLE">
      <formula>NOT(ISERROR(SEARCH("NO CUMPLE",AD4451)))</formula>
    </cfRule>
    <cfRule type="containsText" dxfId="3430" priority="3363" stopIfTrue="1" operator="containsText" text="CUMPLE">
      <formula>NOT(ISERROR(SEARCH("CUMPLE",AD4451)))</formula>
    </cfRule>
  </conditionalFormatting>
  <conditionalFormatting sqref="Y4456">
    <cfRule type="containsText" dxfId="3429" priority="3360" stopIfTrue="1" operator="containsText" text="NO CUMPLE">
      <formula>NOT(ISERROR(SEARCH("NO CUMPLE",Y4456)))</formula>
    </cfRule>
    <cfRule type="containsText" dxfId="3428" priority="3361" stopIfTrue="1" operator="containsText" text="CUMPLE">
      <formula>NOT(ISERROR(SEARCH("CUMPLE",Y4456)))</formula>
    </cfRule>
  </conditionalFormatting>
  <conditionalFormatting sqref="AA4433:AA4442">
    <cfRule type="cellIs" dxfId="3427" priority="3358" stopIfTrue="1" operator="equal">
      <formula>"NO APLICA"</formula>
    </cfRule>
    <cfRule type="cellIs" dxfId="3426" priority="3359" stopIfTrue="1" operator="equal">
      <formula>"TERCIARIA"</formula>
    </cfRule>
  </conditionalFormatting>
  <conditionalFormatting sqref="AB4433:AB4442">
    <cfRule type="cellIs" dxfId="3425" priority="3356" stopIfTrue="1" operator="equal">
      <formula>"N/A"</formula>
    </cfRule>
    <cfRule type="cellIs" dxfId="3424" priority="3357" stopIfTrue="1" operator="equal">
      <formula>"NO"</formula>
    </cfRule>
  </conditionalFormatting>
  <conditionalFormatting sqref="M4463:M4472">
    <cfRule type="cellIs" dxfId="3423" priority="3355" stopIfTrue="1" operator="lessThan">
      <formula>0</formula>
    </cfRule>
  </conditionalFormatting>
  <conditionalFormatting sqref="C4465:D4471 B4464:B4471 F4465:I4471 C4464:I4464 B4472:O4472 B4463:R4463 Q4464:R4465 J4464:O4471 Q4466:Q4472 P4464:P4472">
    <cfRule type="cellIs" dxfId="3422" priority="3354" stopIfTrue="1" operator="greaterThan">
      <formula>0</formula>
    </cfRule>
  </conditionalFormatting>
  <conditionalFormatting sqref="C4465:D4471">
    <cfRule type="cellIs" dxfId="3421" priority="3353" stopIfTrue="1" operator="greaterThan">
      <formula>0</formula>
    </cfRule>
  </conditionalFormatting>
  <conditionalFormatting sqref="C4463:M4463 C4465:D4471 F4465:I4471 C4464:I4464 K4464:M4471 J4464:J4472 L4472:M4472">
    <cfRule type="cellIs" dxfId="3420" priority="3352" stopIfTrue="1" operator="greaterThan">
      <formula>0</formula>
    </cfRule>
  </conditionalFormatting>
  <conditionalFormatting sqref="M4463:M4472">
    <cfRule type="cellIs" dxfId="3419" priority="3351" stopIfTrue="1" operator="lessThan">
      <formula>0</formula>
    </cfRule>
  </conditionalFormatting>
  <conditionalFormatting sqref="J4464:J4472 L4464:O4472 C4463:O4463">
    <cfRule type="cellIs" dxfId="3418" priority="3350" stopIfTrue="1" operator="greaterThan">
      <formula>0</formula>
    </cfRule>
  </conditionalFormatting>
  <conditionalFormatting sqref="H4465:I4471 K4465:M4472">
    <cfRule type="cellIs" dxfId="3417" priority="3349" stopIfTrue="1" operator="greaterThan">
      <formula>0</formula>
    </cfRule>
  </conditionalFormatting>
  <conditionalFormatting sqref="I4464">
    <cfRule type="cellIs" dxfId="3416" priority="3348" stopIfTrue="1" operator="greaterThan">
      <formula>0</formula>
    </cfRule>
  </conditionalFormatting>
  <conditionalFormatting sqref="I4472">
    <cfRule type="cellIs" dxfId="3415" priority="3347" stopIfTrue="1" operator="greaterThan">
      <formula>0</formula>
    </cfRule>
  </conditionalFormatting>
  <conditionalFormatting sqref="E4465:E4471">
    <cfRule type="cellIs" dxfId="3414" priority="3346" stopIfTrue="1" operator="greaterThan">
      <formula>0</formula>
    </cfRule>
  </conditionalFormatting>
  <conditionalFormatting sqref="K4480:K4485">
    <cfRule type="containsText" dxfId="3413" priority="3344" stopIfTrue="1" operator="containsText" text="NO CUMPLE">
      <formula>NOT(ISERROR(SEARCH("NO CUMPLE",K4480)))</formula>
    </cfRule>
    <cfRule type="containsText" dxfId="3412" priority="3345" stopIfTrue="1" operator="containsText" text="CUMPLE">
      <formula>NOT(ISERROR(SEARCH("CUMPLE",K4480)))</formula>
    </cfRule>
  </conditionalFormatting>
  <conditionalFormatting sqref="K4486">
    <cfRule type="containsText" dxfId="3411" priority="3342" stopIfTrue="1" operator="containsText" text="NO CUMPLE">
      <formula>NOT(ISERROR(SEARCH("NO CUMPLE",K4486)))</formula>
    </cfRule>
    <cfRule type="containsText" dxfId="3410" priority="3343" stopIfTrue="1" operator="containsText" text="CUMPLE">
      <formula>NOT(ISERROR(SEARCH("CUMPLE",K4486)))</formula>
    </cfRule>
  </conditionalFormatting>
  <conditionalFormatting sqref="Q4479">
    <cfRule type="cellIs" dxfId="3409" priority="3340" operator="greaterThanOrEqual">
      <formula>NUMMINCONT</formula>
    </cfRule>
    <cfRule type="cellIs" dxfId="3408" priority="3341" operator="lessThan">
      <formula>NUMMINCONT</formula>
    </cfRule>
  </conditionalFormatting>
  <conditionalFormatting sqref="W4463:Y4471">
    <cfRule type="cellIs" dxfId="3407" priority="3338" stopIfTrue="1" operator="equal">
      <formula>"NO"</formula>
    </cfRule>
    <cfRule type="cellIs" dxfId="3406" priority="3339" stopIfTrue="1" operator="equal">
      <formula>"SI"</formula>
    </cfRule>
  </conditionalFormatting>
  <conditionalFormatting sqref="R4466">
    <cfRule type="cellIs" dxfId="3405" priority="3337" stopIfTrue="1" operator="greaterThan">
      <formula>0</formula>
    </cfRule>
  </conditionalFormatting>
  <conditionalFormatting sqref="R4467">
    <cfRule type="cellIs" dxfId="3404" priority="3336" stopIfTrue="1" operator="greaterThan">
      <formula>0</formula>
    </cfRule>
  </conditionalFormatting>
  <conditionalFormatting sqref="R4468">
    <cfRule type="cellIs" dxfId="3403" priority="3335" stopIfTrue="1" operator="greaterThan">
      <formula>0</formula>
    </cfRule>
  </conditionalFormatting>
  <conditionalFormatting sqref="R4469">
    <cfRule type="cellIs" dxfId="3402" priority="3334" stopIfTrue="1" operator="greaterThan">
      <formula>0</formula>
    </cfRule>
  </conditionalFormatting>
  <conditionalFormatting sqref="R4470">
    <cfRule type="cellIs" dxfId="3401" priority="3333" stopIfTrue="1" operator="greaterThan">
      <formula>0</formula>
    </cfRule>
  </conditionalFormatting>
  <conditionalFormatting sqref="R4471">
    <cfRule type="cellIs" dxfId="3400" priority="3332" stopIfTrue="1" operator="greaterThan">
      <formula>0</formula>
    </cfRule>
  </conditionalFormatting>
  <conditionalFormatting sqref="R4472">
    <cfRule type="cellIs" dxfId="3399" priority="3331" stopIfTrue="1" operator="greaterThan">
      <formula>0</formula>
    </cfRule>
  </conditionalFormatting>
  <conditionalFormatting sqref="W4463:X4463">
    <cfRule type="cellIs" dxfId="3398" priority="3330" stopIfTrue="1" operator="equal">
      <formula>"NO APLICA"</formula>
    </cfRule>
  </conditionalFormatting>
  <conditionalFormatting sqref="W4464:X4467">
    <cfRule type="cellIs" dxfId="3397" priority="3329" stopIfTrue="1" operator="equal">
      <formula>"NO APLICA"</formula>
    </cfRule>
  </conditionalFormatting>
  <conditionalFormatting sqref="W4464:X4464">
    <cfRule type="cellIs" dxfId="3396" priority="3328" stopIfTrue="1" operator="equal">
      <formula>"NO APLICA"</formula>
    </cfRule>
  </conditionalFormatting>
  <conditionalFormatting sqref="Y4463">
    <cfRule type="cellIs" dxfId="3395" priority="3327" stopIfTrue="1" operator="equal">
      <formula>"NO APLICA"</formula>
    </cfRule>
  </conditionalFormatting>
  <conditionalFormatting sqref="Y4464:Y4467">
    <cfRule type="cellIs" dxfId="3394" priority="3326" stopIfTrue="1" operator="equal">
      <formula>"NO APLICA"</formula>
    </cfRule>
  </conditionalFormatting>
  <conditionalFormatting sqref="W4468:X4471">
    <cfRule type="cellIs" dxfId="3393" priority="3325" stopIfTrue="1" operator="equal">
      <formula>"NO APLICA"</formula>
    </cfRule>
  </conditionalFormatting>
  <conditionalFormatting sqref="W4468:X4468">
    <cfRule type="cellIs" dxfId="3392" priority="3324" stopIfTrue="1" operator="equal">
      <formula>"NO APLICA"</formula>
    </cfRule>
  </conditionalFormatting>
  <conditionalFormatting sqref="Y4468:Y4471">
    <cfRule type="cellIs" dxfId="3391" priority="3323" stopIfTrue="1" operator="equal">
      <formula>"NO APLICA"</formula>
    </cfRule>
  </conditionalFormatting>
  <conditionalFormatting sqref="T4477">
    <cfRule type="cellIs" dxfId="3390" priority="3321" operator="equal">
      <formula>"CUMPLE"</formula>
    </cfRule>
    <cfRule type="cellIs" dxfId="3389" priority="3322" operator="equal">
      <formula>"NO CUMPLE"</formula>
    </cfRule>
  </conditionalFormatting>
  <conditionalFormatting sqref="T4477:T4479">
    <cfRule type="cellIs" dxfId="3388" priority="3320" operator="equal">
      <formula>"VERIFICAR"</formula>
    </cfRule>
  </conditionalFormatting>
  <conditionalFormatting sqref="AD4463:AF4467">
    <cfRule type="cellIs" dxfId="3387" priority="3318" stopIfTrue="1" operator="equal">
      <formula>"NO"</formula>
    </cfRule>
    <cfRule type="cellIs" dxfId="3386" priority="3319" stopIfTrue="1" operator="equal">
      <formula>"SI"</formula>
    </cfRule>
  </conditionalFormatting>
  <conditionalFormatting sqref="AD4468:AF4471">
    <cfRule type="cellIs" dxfId="3385" priority="3316" stopIfTrue="1" operator="equal">
      <formula>"NO"</formula>
    </cfRule>
    <cfRule type="cellIs" dxfId="3384" priority="3317" stopIfTrue="1" operator="equal">
      <formula>"SI"</formula>
    </cfRule>
  </conditionalFormatting>
  <conditionalFormatting sqref="W4472:Y4472">
    <cfRule type="cellIs" dxfId="3383" priority="3314" stopIfTrue="1" operator="equal">
      <formula>"NO"</formula>
    </cfRule>
    <cfRule type="cellIs" dxfId="3382" priority="3315" stopIfTrue="1" operator="equal">
      <formula>"SI"</formula>
    </cfRule>
  </conditionalFormatting>
  <conditionalFormatting sqref="W4472:X4472">
    <cfRule type="cellIs" dxfId="3381" priority="3313" stopIfTrue="1" operator="equal">
      <formula>"NO APLICA"</formula>
    </cfRule>
  </conditionalFormatting>
  <conditionalFormatting sqref="Y4472">
    <cfRule type="cellIs" dxfId="3380" priority="3312" stopIfTrue="1" operator="equal">
      <formula>"NO APLICA"</formula>
    </cfRule>
  </conditionalFormatting>
  <conditionalFormatting sqref="AD4472:AF4472">
    <cfRule type="cellIs" dxfId="3379" priority="3310" stopIfTrue="1" operator="equal">
      <formula>"NO"</formula>
    </cfRule>
    <cfRule type="cellIs" dxfId="3378" priority="3311" stopIfTrue="1" operator="equal">
      <formula>"SI"</formula>
    </cfRule>
  </conditionalFormatting>
  <conditionalFormatting sqref="AE4477">
    <cfRule type="cellIs" dxfId="3377" priority="3307" stopIfTrue="1" operator="equal">
      <formula>"VERIFICAR"</formula>
    </cfRule>
    <cfRule type="cellIs" dxfId="3376" priority="3308" stopIfTrue="1" operator="equal">
      <formula>"NO CUMPLE"</formula>
    </cfRule>
    <cfRule type="cellIs" dxfId="3375" priority="3309" stopIfTrue="1" operator="equal">
      <formula>"CUMPLE"</formula>
    </cfRule>
  </conditionalFormatting>
  <conditionalFormatting sqref="AF4477">
    <cfRule type="cellIs" dxfId="3374" priority="3304" stopIfTrue="1" operator="equal">
      <formula>"VERIFICAR"</formula>
    </cfRule>
    <cfRule type="cellIs" dxfId="3373" priority="3305" stopIfTrue="1" operator="equal">
      <formula>"NO CUMPLE"</formula>
    </cfRule>
    <cfRule type="cellIs" dxfId="3372" priority="3306" stopIfTrue="1" operator="equal">
      <formula>"CUMPLE"</formula>
    </cfRule>
  </conditionalFormatting>
  <conditionalFormatting sqref="Y4480">
    <cfRule type="cellIs" dxfId="3371" priority="3303" operator="equal">
      <formula>"VERIFICAR CUADRO"</formula>
    </cfRule>
  </conditionalFormatting>
  <conditionalFormatting sqref="AC4481:AC4486">
    <cfRule type="cellIs" dxfId="3370" priority="3302" stopIfTrue="1" operator="greaterThan">
      <formula>0</formula>
    </cfRule>
  </conditionalFormatting>
  <conditionalFormatting sqref="AC4481:AC4486">
    <cfRule type="cellIs" dxfId="3369" priority="3301" stopIfTrue="1" operator="greaterThan">
      <formula>0</formula>
    </cfRule>
  </conditionalFormatting>
  <conditionalFormatting sqref="AD4481:AD4486">
    <cfRule type="containsText" dxfId="3368" priority="3299" stopIfTrue="1" operator="containsText" text="NO CUMPLE">
      <formula>NOT(ISERROR(SEARCH("NO CUMPLE",AD4481)))</formula>
    </cfRule>
    <cfRule type="containsText" dxfId="3367" priority="3300" stopIfTrue="1" operator="containsText" text="CUMPLE">
      <formula>NOT(ISERROR(SEARCH("CUMPLE",AD4481)))</formula>
    </cfRule>
  </conditionalFormatting>
  <conditionalFormatting sqref="Y4486">
    <cfRule type="containsText" dxfId="3366" priority="3297" stopIfTrue="1" operator="containsText" text="NO CUMPLE">
      <formula>NOT(ISERROR(SEARCH("NO CUMPLE",Y4486)))</formula>
    </cfRule>
    <cfRule type="containsText" dxfId="3365" priority="3298" stopIfTrue="1" operator="containsText" text="CUMPLE">
      <formula>NOT(ISERROR(SEARCH("CUMPLE",Y4486)))</formula>
    </cfRule>
  </conditionalFormatting>
  <conditionalFormatting sqref="AA4463:AA4472">
    <cfRule type="cellIs" dxfId="3364" priority="3295" stopIfTrue="1" operator="equal">
      <formula>"NO APLICA"</formula>
    </cfRule>
    <cfRule type="cellIs" dxfId="3363" priority="3296" stopIfTrue="1" operator="equal">
      <formula>"TERCIARIA"</formula>
    </cfRule>
  </conditionalFormatting>
  <conditionalFormatting sqref="AB4463:AB4472">
    <cfRule type="cellIs" dxfId="3362" priority="3293" stopIfTrue="1" operator="equal">
      <formula>"N/A"</formula>
    </cfRule>
    <cfRule type="cellIs" dxfId="3361" priority="3294" stopIfTrue="1" operator="equal">
      <formula>"NO"</formula>
    </cfRule>
  </conditionalFormatting>
  <conditionalFormatting sqref="M4493:M4502">
    <cfRule type="cellIs" dxfId="3360" priority="3292" stopIfTrue="1" operator="lessThan">
      <formula>0</formula>
    </cfRule>
  </conditionalFormatting>
  <conditionalFormatting sqref="C4495:D4501 B4494:B4501 F4495:I4501 C4494:I4494 B4502:O4502 B4493:R4493 Q4494:R4495 J4494:O4501 Q4496:Q4502 P4494:P4502">
    <cfRule type="cellIs" dxfId="3359" priority="3291" stopIfTrue="1" operator="greaterThan">
      <formula>0</formula>
    </cfRule>
  </conditionalFormatting>
  <conditionalFormatting sqref="C4495:D4501">
    <cfRule type="cellIs" dxfId="3358" priority="3290" stopIfTrue="1" operator="greaterThan">
      <formula>0</formula>
    </cfRule>
  </conditionalFormatting>
  <conditionalFormatting sqref="C4493:M4493 C4495:D4501 F4495:I4501 C4494:I4494 K4494:M4501 J4494:J4502 L4502:M4502">
    <cfRule type="cellIs" dxfId="3357" priority="3289" stopIfTrue="1" operator="greaterThan">
      <formula>0</formula>
    </cfRule>
  </conditionalFormatting>
  <conditionalFormatting sqref="M4493:M4502">
    <cfRule type="cellIs" dxfId="3356" priority="3288" stopIfTrue="1" operator="lessThan">
      <formula>0</formula>
    </cfRule>
  </conditionalFormatting>
  <conditionalFormatting sqref="J4494:J4502 L4494:O4502 C4493:O4493">
    <cfRule type="cellIs" dxfId="3355" priority="3287" stopIfTrue="1" operator="greaterThan">
      <formula>0</formula>
    </cfRule>
  </conditionalFormatting>
  <conditionalFormatting sqref="H4495:I4501 K4495:M4502">
    <cfRule type="cellIs" dxfId="3354" priority="3286" stopIfTrue="1" operator="greaterThan">
      <formula>0</formula>
    </cfRule>
  </conditionalFormatting>
  <conditionalFormatting sqref="I4494">
    <cfRule type="cellIs" dxfId="3353" priority="3285" stopIfTrue="1" operator="greaterThan">
      <formula>0</formula>
    </cfRule>
  </conditionalFormatting>
  <conditionalFormatting sqref="I4502">
    <cfRule type="cellIs" dxfId="3352" priority="3284" stopIfTrue="1" operator="greaterThan">
      <formula>0</formula>
    </cfRule>
  </conditionalFormatting>
  <conditionalFormatting sqref="E4495:E4501">
    <cfRule type="cellIs" dxfId="3351" priority="3283" stopIfTrue="1" operator="greaterThan">
      <formula>0</formula>
    </cfRule>
  </conditionalFormatting>
  <conditionalFormatting sqref="K4510:K4515">
    <cfRule type="containsText" dxfId="3350" priority="3281" stopIfTrue="1" operator="containsText" text="NO CUMPLE">
      <formula>NOT(ISERROR(SEARCH("NO CUMPLE",K4510)))</formula>
    </cfRule>
    <cfRule type="containsText" dxfId="3349" priority="3282" stopIfTrue="1" operator="containsText" text="CUMPLE">
      <formula>NOT(ISERROR(SEARCH("CUMPLE",K4510)))</formula>
    </cfRule>
  </conditionalFormatting>
  <conditionalFormatting sqref="K4516">
    <cfRule type="containsText" dxfId="3348" priority="3279" stopIfTrue="1" operator="containsText" text="NO CUMPLE">
      <formula>NOT(ISERROR(SEARCH("NO CUMPLE",K4516)))</formula>
    </cfRule>
    <cfRule type="containsText" dxfId="3347" priority="3280" stopIfTrue="1" operator="containsText" text="CUMPLE">
      <formula>NOT(ISERROR(SEARCH("CUMPLE",K4516)))</formula>
    </cfRule>
  </conditionalFormatting>
  <conditionalFormatting sqref="Q4509">
    <cfRule type="cellIs" dxfId="3346" priority="3277" operator="greaterThanOrEqual">
      <formula>NUMMINCONT</formula>
    </cfRule>
    <cfRule type="cellIs" dxfId="3345" priority="3278" operator="lessThan">
      <formula>NUMMINCONT</formula>
    </cfRule>
  </conditionalFormatting>
  <conditionalFormatting sqref="W4493:Y4501">
    <cfRule type="cellIs" dxfId="3344" priority="3275" stopIfTrue="1" operator="equal">
      <formula>"NO"</formula>
    </cfRule>
    <cfRule type="cellIs" dxfId="3343" priority="3276" stopIfTrue="1" operator="equal">
      <formula>"SI"</formula>
    </cfRule>
  </conditionalFormatting>
  <conditionalFormatting sqref="R4496">
    <cfRule type="cellIs" dxfId="3342" priority="3274" stopIfTrue="1" operator="greaterThan">
      <formula>0</formula>
    </cfRule>
  </conditionalFormatting>
  <conditionalFormatting sqref="R4497">
    <cfRule type="cellIs" dxfId="3341" priority="3273" stopIfTrue="1" operator="greaterThan">
      <formula>0</formula>
    </cfRule>
  </conditionalFormatting>
  <conditionalFormatting sqref="R4498">
    <cfRule type="cellIs" dxfId="3340" priority="3272" stopIfTrue="1" operator="greaterThan">
      <formula>0</formula>
    </cfRule>
  </conditionalFormatting>
  <conditionalFormatting sqref="R4499">
    <cfRule type="cellIs" dxfId="3339" priority="3271" stopIfTrue="1" operator="greaterThan">
      <formula>0</formula>
    </cfRule>
  </conditionalFormatting>
  <conditionalFormatting sqref="R4500">
    <cfRule type="cellIs" dxfId="3338" priority="3270" stopIfTrue="1" operator="greaterThan">
      <formula>0</formula>
    </cfRule>
  </conditionalFormatting>
  <conditionalFormatting sqref="R4501">
    <cfRule type="cellIs" dxfId="3337" priority="3269" stopIfTrue="1" operator="greaterThan">
      <formula>0</formula>
    </cfRule>
  </conditionalFormatting>
  <conditionalFormatting sqref="R4502">
    <cfRule type="cellIs" dxfId="3336" priority="3268" stopIfTrue="1" operator="greaterThan">
      <formula>0</formula>
    </cfRule>
  </conditionalFormatting>
  <conditionalFormatting sqref="W4493:X4493">
    <cfRule type="cellIs" dxfId="3335" priority="3267" stopIfTrue="1" operator="equal">
      <formula>"NO APLICA"</formula>
    </cfRule>
  </conditionalFormatting>
  <conditionalFormatting sqref="W4494:X4497">
    <cfRule type="cellIs" dxfId="3334" priority="3266" stopIfTrue="1" operator="equal">
      <formula>"NO APLICA"</formula>
    </cfRule>
  </conditionalFormatting>
  <conditionalFormatting sqref="W4494:X4494">
    <cfRule type="cellIs" dxfId="3333" priority="3265" stopIfTrue="1" operator="equal">
      <formula>"NO APLICA"</formula>
    </cfRule>
  </conditionalFormatting>
  <conditionalFormatting sqref="Y4493">
    <cfRule type="cellIs" dxfId="3332" priority="3264" stopIfTrue="1" operator="equal">
      <formula>"NO APLICA"</formula>
    </cfRule>
  </conditionalFormatting>
  <conditionalFormatting sqref="Y4494:Y4497">
    <cfRule type="cellIs" dxfId="3331" priority="3263" stopIfTrue="1" operator="equal">
      <formula>"NO APLICA"</formula>
    </cfRule>
  </conditionalFormatting>
  <conditionalFormatting sqref="W4498:X4501">
    <cfRule type="cellIs" dxfId="3330" priority="3262" stopIfTrue="1" operator="equal">
      <formula>"NO APLICA"</formula>
    </cfRule>
  </conditionalFormatting>
  <conditionalFormatting sqref="W4498:X4498">
    <cfRule type="cellIs" dxfId="3329" priority="3261" stopIfTrue="1" operator="equal">
      <formula>"NO APLICA"</formula>
    </cfRule>
  </conditionalFormatting>
  <conditionalFormatting sqref="Y4498:Y4501">
    <cfRule type="cellIs" dxfId="3328" priority="3260" stopIfTrue="1" operator="equal">
      <formula>"NO APLICA"</formula>
    </cfRule>
  </conditionalFormatting>
  <conditionalFormatting sqref="T4507">
    <cfRule type="cellIs" dxfId="3327" priority="3258" operator="equal">
      <formula>"CUMPLE"</formula>
    </cfRule>
    <cfRule type="cellIs" dxfId="3326" priority="3259" operator="equal">
      <formula>"NO CUMPLE"</formula>
    </cfRule>
  </conditionalFormatting>
  <conditionalFormatting sqref="T4507:T4509">
    <cfRule type="cellIs" dxfId="3325" priority="3257" operator="equal">
      <formula>"VERIFICAR"</formula>
    </cfRule>
  </conditionalFormatting>
  <conditionalFormatting sqref="AD4493:AF4497">
    <cfRule type="cellIs" dxfId="3324" priority="3255" stopIfTrue="1" operator="equal">
      <formula>"NO"</formula>
    </cfRule>
    <cfRule type="cellIs" dxfId="3323" priority="3256" stopIfTrue="1" operator="equal">
      <formula>"SI"</formula>
    </cfRule>
  </conditionalFormatting>
  <conditionalFormatting sqref="AD4498:AF4501">
    <cfRule type="cellIs" dxfId="3322" priority="3253" stopIfTrue="1" operator="equal">
      <formula>"NO"</formula>
    </cfRule>
    <cfRule type="cellIs" dxfId="3321" priority="3254" stopIfTrue="1" operator="equal">
      <formula>"SI"</formula>
    </cfRule>
  </conditionalFormatting>
  <conditionalFormatting sqref="W4502:Y4502">
    <cfRule type="cellIs" dxfId="3320" priority="3251" stopIfTrue="1" operator="equal">
      <formula>"NO"</formula>
    </cfRule>
    <cfRule type="cellIs" dxfId="3319" priority="3252" stopIfTrue="1" operator="equal">
      <formula>"SI"</formula>
    </cfRule>
  </conditionalFormatting>
  <conditionalFormatting sqref="W4502:X4502">
    <cfRule type="cellIs" dxfId="3318" priority="3250" stopIfTrue="1" operator="equal">
      <formula>"NO APLICA"</formula>
    </cfRule>
  </conditionalFormatting>
  <conditionalFormatting sqref="Y4502">
    <cfRule type="cellIs" dxfId="3317" priority="3249" stopIfTrue="1" operator="equal">
      <formula>"NO APLICA"</formula>
    </cfRule>
  </conditionalFormatting>
  <conditionalFormatting sqref="AD4502:AF4502">
    <cfRule type="cellIs" dxfId="3316" priority="3247" stopIfTrue="1" operator="equal">
      <formula>"NO"</formula>
    </cfRule>
    <cfRule type="cellIs" dxfId="3315" priority="3248" stopIfTrue="1" operator="equal">
      <formula>"SI"</formula>
    </cfRule>
  </conditionalFormatting>
  <conditionalFormatting sqref="AE4507">
    <cfRule type="cellIs" dxfId="3314" priority="3244" stopIfTrue="1" operator="equal">
      <formula>"VERIFICAR"</formula>
    </cfRule>
    <cfRule type="cellIs" dxfId="3313" priority="3245" stopIfTrue="1" operator="equal">
      <formula>"NO CUMPLE"</formula>
    </cfRule>
    <cfRule type="cellIs" dxfId="3312" priority="3246" stopIfTrue="1" operator="equal">
      <formula>"CUMPLE"</formula>
    </cfRule>
  </conditionalFormatting>
  <conditionalFormatting sqref="AF4507">
    <cfRule type="cellIs" dxfId="3311" priority="3241" stopIfTrue="1" operator="equal">
      <formula>"VERIFICAR"</formula>
    </cfRule>
    <cfRule type="cellIs" dxfId="3310" priority="3242" stopIfTrue="1" operator="equal">
      <formula>"NO CUMPLE"</formula>
    </cfRule>
    <cfRule type="cellIs" dxfId="3309" priority="3243" stopIfTrue="1" operator="equal">
      <formula>"CUMPLE"</formula>
    </cfRule>
  </conditionalFormatting>
  <conditionalFormatting sqref="Y4510">
    <cfRule type="cellIs" dxfId="3308" priority="3240" operator="equal">
      <formula>"VERIFICAR CUADRO"</formula>
    </cfRule>
  </conditionalFormatting>
  <conditionalFormatting sqref="AC4511:AC4516">
    <cfRule type="cellIs" dxfId="3307" priority="3239" stopIfTrue="1" operator="greaterThan">
      <formula>0</formula>
    </cfRule>
  </conditionalFormatting>
  <conditionalFormatting sqref="AC4511:AC4516">
    <cfRule type="cellIs" dxfId="3306" priority="3238" stopIfTrue="1" operator="greaterThan">
      <formula>0</formula>
    </cfRule>
  </conditionalFormatting>
  <conditionalFormatting sqref="AD4511:AD4516">
    <cfRule type="containsText" dxfId="3305" priority="3236" stopIfTrue="1" operator="containsText" text="NO CUMPLE">
      <formula>NOT(ISERROR(SEARCH("NO CUMPLE",AD4511)))</formula>
    </cfRule>
    <cfRule type="containsText" dxfId="3304" priority="3237" stopIfTrue="1" operator="containsText" text="CUMPLE">
      <formula>NOT(ISERROR(SEARCH("CUMPLE",AD4511)))</formula>
    </cfRule>
  </conditionalFormatting>
  <conditionalFormatting sqref="Y4516">
    <cfRule type="containsText" dxfId="3303" priority="3234" stopIfTrue="1" operator="containsText" text="NO CUMPLE">
      <formula>NOT(ISERROR(SEARCH("NO CUMPLE",Y4516)))</formula>
    </cfRule>
    <cfRule type="containsText" dxfId="3302" priority="3235" stopIfTrue="1" operator="containsText" text="CUMPLE">
      <formula>NOT(ISERROR(SEARCH("CUMPLE",Y4516)))</formula>
    </cfRule>
  </conditionalFormatting>
  <conditionalFormatting sqref="AA4493:AA4502">
    <cfRule type="cellIs" dxfId="3301" priority="3232" stopIfTrue="1" operator="equal">
      <formula>"NO APLICA"</formula>
    </cfRule>
    <cfRule type="cellIs" dxfId="3300" priority="3233" stopIfTrue="1" operator="equal">
      <formula>"TERCIARIA"</formula>
    </cfRule>
  </conditionalFormatting>
  <conditionalFormatting sqref="AB4493:AB4502">
    <cfRule type="cellIs" dxfId="3299" priority="3230" stopIfTrue="1" operator="equal">
      <formula>"N/A"</formula>
    </cfRule>
    <cfRule type="cellIs" dxfId="3298" priority="3231" stopIfTrue="1" operator="equal">
      <formula>"NO"</formula>
    </cfRule>
  </conditionalFormatting>
  <conditionalFormatting sqref="M4523:M4532">
    <cfRule type="cellIs" dxfId="3297" priority="3229" stopIfTrue="1" operator="lessThan">
      <formula>0</formula>
    </cfRule>
  </conditionalFormatting>
  <conditionalFormatting sqref="C4525:D4531 B4524:B4531 F4525:I4531 C4524:I4524 B4532:O4532 B4523:R4523 Q4524:R4525 J4524:O4531 Q4526:Q4532 P4524:P4532">
    <cfRule type="cellIs" dxfId="3296" priority="3228" stopIfTrue="1" operator="greaterThan">
      <formula>0</formula>
    </cfRule>
  </conditionalFormatting>
  <conditionalFormatting sqref="C4525:D4531">
    <cfRule type="cellIs" dxfId="3295" priority="3227" stopIfTrue="1" operator="greaterThan">
      <formula>0</formula>
    </cfRule>
  </conditionalFormatting>
  <conditionalFormatting sqref="C4523:M4523 C4525:D4531 F4525:I4531 C4524:I4524 K4524:M4531 J4524:J4532 L4532:M4532">
    <cfRule type="cellIs" dxfId="3294" priority="3226" stopIfTrue="1" operator="greaterThan">
      <formula>0</formula>
    </cfRule>
  </conditionalFormatting>
  <conditionalFormatting sqref="M4523:M4532">
    <cfRule type="cellIs" dxfId="3293" priority="3225" stopIfTrue="1" operator="lessThan">
      <formula>0</formula>
    </cfRule>
  </conditionalFormatting>
  <conditionalFormatting sqref="J4524:J4532 L4524:O4532 C4523:O4523">
    <cfRule type="cellIs" dxfId="3292" priority="3224" stopIfTrue="1" operator="greaterThan">
      <formula>0</formula>
    </cfRule>
  </conditionalFormatting>
  <conditionalFormatting sqref="H4525:I4531 K4525:M4532">
    <cfRule type="cellIs" dxfId="3291" priority="3223" stopIfTrue="1" operator="greaterThan">
      <formula>0</formula>
    </cfRule>
  </conditionalFormatting>
  <conditionalFormatting sqref="I4524">
    <cfRule type="cellIs" dxfId="3290" priority="3222" stopIfTrue="1" operator="greaterThan">
      <formula>0</formula>
    </cfRule>
  </conditionalFormatting>
  <conditionalFormatting sqref="I4532">
    <cfRule type="cellIs" dxfId="3289" priority="3221" stopIfTrue="1" operator="greaterThan">
      <formula>0</formula>
    </cfRule>
  </conditionalFormatting>
  <conditionalFormatting sqref="E4525:E4531">
    <cfRule type="cellIs" dxfId="3288" priority="3220" stopIfTrue="1" operator="greaterThan">
      <formula>0</formula>
    </cfRule>
  </conditionalFormatting>
  <conditionalFormatting sqref="K4540:K4545">
    <cfRule type="containsText" dxfId="3287" priority="3218" stopIfTrue="1" operator="containsText" text="NO CUMPLE">
      <formula>NOT(ISERROR(SEARCH("NO CUMPLE",K4540)))</formula>
    </cfRule>
    <cfRule type="containsText" dxfId="3286" priority="3219" stopIfTrue="1" operator="containsText" text="CUMPLE">
      <formula>NOT(ISERROR(SEARCH("CUMPLE",K4540)))</formula>
    </cfRule>
  </conditionalFormatting>
  <conditionalFormatting sqref="K4546">
    <cfRule type="containsText" dxfId="3285" priority="3216" stopIfTrue="1" operator="containsText" text="NO CUMPLE">
      <formula>NOT(ISERROR(SEARCH("NO CUMPLE",K4546)))</formula>
    </cfRule>
    <cfRule type="containsText" dxfId="3284" priority="3217" stopIfTrue="1" operator="containsText" text="CUMPLE">
      <formula>NOT(ISERROR(SEARCH("CUMPLE",K4546)))</formula>
    </cfRule>
  </conditionalFormatting>
  <conditionalFormatting sqref="Q4539">
    <cfRule type="cellIs" dxfId="3283" priority="3214" operator="greaterThanOrEqual">
      <formula>NUMMINCONT</formula>
    </cfRule>
    <cfRule type="cellIs" dxfId="3282" priority="3215" operator="lessThan">
      <formula>NUMMINCONT</formula>
    </cfRule>
  </conditionalFormatting>
  <conditionalFormatting sqref="W4523:Y4531">
    <cfRule type="cellIs" dxfId="3281" priority="3212" stopIfTrue="1" operator="equal">
      <formula>"NO"</formula>
    </cfRule>
    <cfRule type="cellIs" dxfId="3280" priority="3213" stopIfTrue="1" operator="equal">
      <formula>"SI"</formula>
    </cfRule>
  </conditionalFormatting>
  <conditionalFormatting sqref="R4526">
    <cfRule type="cellIs" dxfId="3279" priority="3211" stopIfTrue="1" operator="greaterThan">
      <formula>0</formula>
    </cfRule>
  </conditionalFormatting>
  <conditionalFormatting sqref="R4527">
    <cfRule type="cellIs" dxfId="3278" priority="3210" stopIfTrue="1" operator="greaterThan">
      <formula>0</formula>
    </cfRule>
  </conditionalFormatting>
  <conditionalFormatting sqref="R4528">
    <cfRule type="cellIs" dxfId="3277" priority="3209" stopIfTrue="1" operator="greaterThan">
      <formula>0</formula>
    </cfRule>
  </conditionalFormatting>
  <conditionalFormatting sqref="R4529">
    <cfRule type="cellIs" dxfId="3276" priority="3208" stopIfTrue="1" operator="greaterThan">
      <formula>0</formula>
    </cfRule>
  </conditionalFormatting>
  <conditionalFormatting sqref="R4530">
    <cfRule type="cellIs" dxfId="3275" priority="3207" stopIfTrue="1" operator="greaterThan">
      <formula>0</formula>
    </cfRule>
  </conditionalFormatting>
  <conditionalFormatting sqref="R4531">
    <cfRule type="cellIs" dxfId="3274" priority="3206" stopIfTrue="1" operator="greaterThan">
      <formula>0</formula>
    </cfRule>
  </conditionalFormatting>
  <conditionalFormatting sqref="R4532">
    <cfRule type="cellIs" dxfId="3273" priority="3205" stopIfTrue="1" operator="greaterThan">
      <formula>0</formula>
    </cfRule>
  </conditionalFormatting>
  <conditionalFormatting sqref="W4523:X4523">
    <cfRule type="cellIs" dxfId="3272" priority="3204" stopIfTrue="1" operator="equal">
      <formula>"NO APLICA"</formula>
    </cfRule>
  </conditionalFormatting>
  <conditionalFormatting sqref="W4524:X4527">
    <cfRule type="cellIs" dxfId="3271" priority="3203" stopIfTrue="1" operator="equal">
      <formula>"NO APLICA"</formula>
    </cfRule>
  </conditionalFormatting>
  <conditionalFormatting sqref="W4524:X4524">
    <cfRule type="cellIs" dxfId="3270" priority="3202" stopIfTrue="1" operator="equal">
      <formula>"NO APLICA"</formula>
    </cfRule>
  </conditionalFormatting>
  <conditionalFormatting sqref="Y4523">
    <cfRule type="cellIs" dxfId="3269" priority="3201" stopIfTrue="1" operator="equal">
      <formula>"NO APLICA"</formula>
    </cfRule>
  </conditionalFormatting>
  <conditionalFormatting sqref="Y4524:Y4527">
    <cfRule type="cellIs" dxfId="3268" priority="3200" stopIfTrue="1" operator="equal">
      <formula>"NO APLICA"</formula>
    </cfRule>
  </conditionalFormatting>
  <conditionalFormatting sqref="W4528:X4531">
    <cfRule type="cellIs" dxfId="3267" priority="3199" stopIfTrue="1" operator="equal">
      <formula>"NO APLICA"</formula>
    </cfRule>
  </conditionalFormatting>
  <conditionalFormatting sqref="W4528:X4528">
    <cfRule type="cellIs" dxfId="3266" priority="3198" stopIfTrue="1" operator="equal">
      <formula>"NO APLICA"</formula>
    </cfRule>
  </conditionalFormatting>
  <conditionalFormatting sqref="Y4528:Y4531">
    <cfRule type="cellIs" dxfId="3265" priority="3197" stopIfTrue="1" operator="equal">
      <formula>"NO APLICA"</formula>
    </cfRule>
  </conditionalFormatting>
  <conditionalFormatting sqref="T4537">
    <cfRule type="cellIs" dxfId="3264" priority="3195" operator="equal">
      <formula>"CUMPLE"</formula>
    </cfRule>
    <cfRule type="cellIs" dxfId="3263" priority="3196" operator="equal">
      <formula>"NO CUMPLE"</formula>
    </cfRule>
  </conditionalFormatting>
  <conditionalFormatting sqref="T4537:T4539">
    <cfRule type="cellIs" dxfId="3262" priority="3194" operator="equal">
      <formula>"VERIFICAR"</formula>
    </cfRule>
  </conditionalFormatting>
  <conditionalFormatting sqref="AD4523:AF4527">
    <cfRule type="cellIs" dxfId="3261" priority="3192" stopIfTrue="1" operator="equal">
      <formula>"NO"</formula>
    </cfRule>
    <cfRule type="cellIs" dxfId="3260" priority="3193" stopIfTrue="1" operator="equal">
      <formula>"SI"</formula>
    </cfRule>
  </conditionalFormatting>
  <conditionalFormatting sqref="AD4528:AF4531">
    <cfRule type="cellIs" dxfId="3259" priority="3190" stopIfTrue="1" operator="equal">
      <formula>"NO"</formula>
    </cfRule>
    <cfRule type="cellIs" dxfId="3258" priority="3191" stopIfTrue="1" operator="equal">
      <formula>"SI"</formula>
    </cfRule>
  </conditionalFormatting>
  <conditionalFormatting sqref="W4532:Y4532">
    <cfRule type="cellIs" dxfId="3257" priority="3188" stopIfTrue="1" operator="equal">
      <formula>"NO"</formula>
    </cfRule>
    <cfRule type="cellIs" dxfId="3256" priority="3189" stopIfTrue="1" operator="equal">
      <formula>"SI"</formula>
    </cfRule>
  </conditionalFormatting>
  <conditionalFormatting sqref="W4532:X4532">
    <cfRule type="cellIs" dxfId="3255" priority="3187" stopIfTrue="1" operator="equal">
      <formula>"NO APLICA"</formula>
    </cfRule>
  </conditionalFormatting>
  <conditionalFormatting sqref="Y4532">
    <cfRule type="cellIs" dxfId="3254" priority="3186" stopIfTrue="1" operator="equal">
      <formula>"NO APLICA"</formula>
    </cfRule>
  </conditionalFormatting>
  <conditionalFormatting sqref="AD4532:AF4532">
    <cfRule type="cellIs" dxfId="3253" priority="3184" stopIfTrue="1" operator="equal">
      <formula>"NO"</formula>
    </cfRule>
    <cfRule type="cellIs" dxfId="3252" priority="3185" stopIfTrue="1" operator="equal">
      <formula>"SI"</formula>
    </cfRule>
  </conditionalFormatting>
  <conditionalFormatting sqref="AE4537">
    <cfRule type="cellIs" dxfId="3251" priority="3181" stopIfTrue="1" operator="equal">
      <formula>"VERIFICAR"</formula>
    </cfRule>
    <cfRule type="cellIs" dxfId="3250" priority="3182" stopIfTrue="1" operator="equal">
      <formula>"NO CUMPLE"</formula>
    </cfRule>
    <cfRule type="cellIs" dxfId="3249" priority="3183" stopIfTrue="1" operator="equal">
      <formula>"CUMPLE"</formula>
    </cfRule>
  </conditionalFormatting>
  <conditionalFormatting sqref="AF4537">
    <cfRule type="cellIs" dxfId="3248" priority="3178" stopIfTrue="1" operator="equal">
      <formula>"VERIFICAR"</formula>
    </cfRule>
    <cfRule type="cellIs" dxfId="3247" priority="3179" stopIfTrue="1" operator="equal">
      <formula>"NO CUMPLE"</formula>
    </cfRule>
    <cfRule type="cellIs" dxfId="3246" priority="3180" stopIfTrue="1" operator="equal">
      <formula>"CUMPLE"</formula>
    </cfRule>
  </conditionalFormatting>
  <conditionalFormatting sqref="Y4540">
    <cfRule type="cellIs" dxfId="3245" priority="3177" operator="equal">
      <formula>"VERIFICAR CUADRO"</formula>
    </cfRule>
  </conditionalFormatting>
  <conditionalFormatting sqref="AC4541:AC4546">
    <cfRule type="cellIs" dxfId="3244" priority="3176" stopIfTrue="1" operator="greaterThan">
      <formula>0</formula>
    </cfRule>
  </conditionalFormatting>
  <conditionalFormatting sqref="AC4541:AC4546">
    <cfRule type="cellIs" dxfId="3243" priority="3175" stopIfTrue="1" operator="greaterThan">
      <formula>0</formula>
    </cfRule>
  </conditionalFormatting>
  <conditionalFormatting sqref="AD4541:AD4546">
    <cfRule type="containsText" dxfId="3242" priority="3173" stopIfTrue="1" operator="containsText" text="NO CUMPLE">
      <formula>NOT(ISERROR(SEARCH("NO CUMPLE",AD4541)))</formula>
    </cfRule>
    <cfRule type="containsText" dxfId="3241" priority="3174" stopIfTrue="1" operator="containsText" text="CUMPLE">
      <formula>NOT(ISERROR(SEARCH("CUMPLE",AD4541)))</formula>
    </cfRule>
  </conditionalFormatting>
  <conditionalFormatting sqref="Y4546">
    <cfRule type="containsText" dxfId="3240" priority="3171" stopIfTrue="1" operator="containsText" text="NO CUMPLE">
      <formula>NOT(ISERROR(SEARCH("NO CUMPLE",Y4546)))</formula>
    </cfRule>
    <cfRule type="containsText" dxfId="3239" priority="3172" stopIfTrue="1" operator="containsText" text="CUMPLE">
      <formula>NOT(ISERROR(SEARCH("CUMPLE",Y4546)))</formula>
    </cfRule>
  </conditionalFormatting>
  <conditionalFormatting sqref="AA4523:AA4532">
    <cfRule type="cellIs" dxfId="3238" priority="3169" stopIfTrue="1" operator="equal">
      <formula>"NO APLICA"</formula>
    </cfRule>
    <cfRule type="cellIs" dxfId="3237" priority="3170" stopIfTrue="1" operator="equal">
      <formula>"TERCIARIA"</formula>
    </cfRule>
  </conditionalFormatting>
  <conditionalFormatting sqref="AB4523:AB4532">
    <cfRule type="cellIs" dxfId="3236" priority="3167" stopIfTrue="1" operator="equal">
      <formula>"N/A"</formula>
    </cfRule>
    <cfRule type="cellIs" dxfId="3235" priority="3168" stopIfTrue="1" operator="equal">
      <formula>"NO"</formula>
    </cfRule>
  </conditionalFormatting>
  <conditionalFormatting sqref="M4553:M4562">
    <cfRule type="cellIs" dxfId="3234" priority="3166" stopIfTrue="1" operator="lessThan">
      <formula>0</formula>
    </cfRule>
  </conditionalFormatting>
  <conditionalFormatting sqref="C4555:D4561 B4554:B4561 F4555:I4561 C4554:I4554 B4562:O4562 B4553:R4553 Q4554:R4555 J4554:O4561 Q4556:Q4562 P4554:P4562">
    <cfRule type="cellIs" dxfId="3233" priority="3165" stopIfTrue="1" operator="greaterThan">
      <formula>0</formula>
    </cfRule>
  </conditionalFormatting>
  <conditionalFormatting sqref="C4555:D4561">
    <cfRule type="cellIs" dxfId="3232" priority="3164" stopIfTrue="1" operator="greaterThan">
      <formula>0</formula>
    </cfRule>
  </conditionalFormatting>
  <conditionalFormatting sqref="C4553:M4553 C4555:D4561 F4555:I4561 C4554:I4554 K4554:M4561 J4554:J4562 L4562:M4562">
    <cfRule type="cellIs" dxfId="3231" priority="3163" stopIfTrue="1" operator="greaterThan">
      <formula>0</formula>
    </cfRule>
  </conditionalFormatting>
  <conditionalFormatting sqref="M4553:M4562">
    <cfRule type="cellIs" dxfId="3230" priority="3162" stopIfTrue="1" operator="lessThan">
      <formula>0</formula>
    </cfRule>
  </conditionalFormatting>
  <conditionalFormatting sqref="J4554:J4562 L4554:O4562 C4553:O4553">
    <cfRule type="cellIs" dxfId="3229" priority="3161" stopIfTrue="1" operator="greaterThan">
      <formula>0</formula>
    </cfRule>
  </conditionalFormatting>
  <conditionalFormatting sqref="H4555:I4561 K4555:M4562">
    <cfRule type="cellIs" dxfId="3228" priority="3160" stopIfTrue="1" operator="greaterThan">
      <formula>0</formula>
    </cfRule>
  </conditionalFormatting>
  <conditionalFormatting sqref="I4554">
    <cfRule type="cellIs" dxfId="3227" priority="3159" stopIfTrue="1" operator="greaterThan">
      <formula>0</formula>
    </cfRule>
  </conditionalFormatting>
  <conditionalFormatting sqref="I4562">
    <cfRule type="cellIs" dxfId="3226" priority="3158" stopIfTrue="1" operator="greaterThan">
      <formula>0</formula>
    </cfRule>
  </conditionalFormatting>
  <conditionalFormatting sqref="E4555:E4561">
    <cfRule type="cellIs" dxfId="3225" priority="3157" stopIfTrue="1" operator="greaterThan">
      <formula>0</formula>
    </cfRule>
  </conditionalFormatting>
  <conditionalFormatting sqref="K4570:K4575">
    <cfRule type="containsText" dxfId="3224" priority="3155" stopIfTrue="1" operator="containsText" text="NO CUMPLE">
      <formula>NOT(ISERROR(SEARCH("NO CUMPLE",K4570)))</formula>
    </cfRule>
    <cfRule type="containsText" dxfId="3223" priority="3156" stopIfTrue="1" operator="containsText" text="CUMPLE">
      <formula>NOT(ISERROR(SEARCH("CUMPLE",K4570)))</formula>
    </cfRule>
  </conditionalFormatting>
  <conditionalFormatting sqref="K4576">
    <cfRule type="containsText" dxfId="3222" priority="3153" stopIfTrue="1" operator="containsText" text="NO CUMPLE">
      <formula>NOT(ISERROR(SEARCH("NO CUMPLE",K4576)))</formula>
    </cfRule>
    <cfRule type="containsText" dxfId="3221" priority="3154" stopIfTrue="1" operator="containsText" text="CUMPLE">
      <formula>NOT(ISERROR(SEARCH("CUMPLE",K4576)))</formula>
    </cfRule>
  </conditionalFormatting>
  <conditionalFormatting sqref="Q4569">
    <cfRule type="cellIs" dxfId="3220" priority="3151" operator="greaterThanOrEqual">
      <formula>NUMMINCONT</formula>
    </cfRule>
    <cfRule type="cellIs" dxfId="3219" priority="3152" operator="lessThan">
      <formula>NUMMINCONT</formula>
    </cfRule>
  </conditionalFormatting>
  <conditionalFormatting sqref="W4553:Y4561">
    <cfRule type="cellIs" dxfId="3218" priority="3149" stopIfTrue="1" operator="equal">
      <formula>"NO"</formula>
    </cfRule>
    <cfRule type="cellIs" dxfId="3217" priority="3150" stopIfTrue="1" operator="equal">
      <formula>"SI"</formula>
    </cfRule>
  </conditionalFormatting>
  <conditionalFormatting sqref="R4556">
    <cfRule type="cellIs" dxfId="3216" priority="3148" stopIfTrue="1" operator="greaterThan">
      <formula>0</formula>
    </cfRule>
  </conditionalFormatting>
  <conditionalFormatting sqref="R4557">
    <cfRule type="cellIs" dxfId="3215" priority="3147" stopIfTrue="1" operator="greaterThan">
      <formula>0</formula>
    </cfRule>
  </conditionalFormatting>
  <conditionalFormatting sqref="R4558">
    <cfRule type="cellIs" dxfId="3214" priority="3146" stopIfTrue="1" operator="greaterThan">
      <formula>0</formula>
    </cfRule>
  </conditionalFormatting>
  <conditionalFormatting sqref="R4559">
    <cfRule type="cellIs" dxfId="3213" priority="3145" stopIfTrue="1" operator="greaterThan">
      <formula>0</formula>
    </cfRule>
  </conditionalFormatting>
  <conditionalFormatting sqref="R4560">
    <cfRule type="cellIs" dxfId="3212" priority="3144" stopIfTrue="1" operator="greaterThan">
      <formula>0</formula>
    </cfRule>
  </conditionalFormatting>
  <conditionalFormatting sqref="R4561">
    <cfRule type="cellIs" dxfId="3211" priority="3143" stopIfTrue="1" operator="greaterThan">
      <formula>0</formula>
    </cfRule>
  </conditionalFormatting>
  <conditionalFormatting sqref="R4562">
    <cfRule type="cellIs" dxfId="3210" priority="3142" stopIfTrue="1" operator="greaterThan">
      <formula>0</formula>
    </cfRule>
  </conditionalFormatting>
  <conditionalFormatting sqref="W4553:X4553">
    <cfRule type="cellIs" dxfId="3209" priority="3141" stopIfTrue="1" operator="equal">
      <formula>"NO APLICA"</formula>
    </cfRule>
  </conditionalFormatting>
  <conditionalFormatting sqref="W4554:X4557">
    <cfRule type="cellIs" dxfId="3208" priority="3140" stopIfTrue="1" operator="equal">
      <formula>"NO APLICA"</formula>
    </cfRule>
  </conditionalFormatting>
  <conditionalFormatting sqref="W4554:X4554">
    <cfRule type="cellIs" dxfId="3207" priority="3139" stopIfTrue="1" operator="equal">
      <formula>"NO APLICA"</formula>
    </cfRule>
  </conditionalFormatting>
  <conditionalFormatting sqref="Y4553">
    <cfRule type="cellIs" dxfId="3206" priority="3138" stopIfTrue="1" operator="equal">
      <formula>"NO APLICA"</formula>
    </cfRule>
  </conditionalFormatting>
  <conditionalFormatting sqref="Y4554:Y4557">
    <cfRule type="cellIs" dxfId="3205" priority="3137" stopIfTrue="1" operator="equal">
      <formula>"NO APLICA"</formula>
    </cfRule>
  </conditionalFormatting>
  <conditionalFormatting sqref="W4558:X4561">
    <cfRule type="cellIs" dxfId="3204" priority="3136" stopIfTrue="1" operator="equal">
      <formula>"NO APLICA"</formula>
    </cfRule>
  </conditionalFormatting>
  <conditionalFormatting sqref="W4558:X4558">
    <cfRule type="cellIs" dxfId="3203" priority="3135" stopIfTrue="1" operator="equal">
      <formula>"NO APLICA"</formula>
    </cfRule>
  </conditionalFormatting>
  <conditionalFormatting sqref="Y4558:Y4561">
    <cfRule type="cellIs" dxfId="3202" priority="3134" stopIfTrue="1" operator="equal">
      <formula>"NO APLICA"</formula>
    </cfRule>
  </conditionalFormatting>
  <conditionalFormatting sqref="T4567">
    <cfRule type="cellIs" dxfId="3201" priority="3132" operator="equal">
      <formula>"CUMPLE"</formula>
    </cfRule>
    <cfRule type="cellIs" dxfId="3200" priority="3133" operator="equal">
      <formula>"NO CUMPLE"</formula>
    </cfRule>
  </conditionalFormatting>
  <conditionalFormatting sqref="T4567:T4569">
    <cfRule type="cellIs" dxfId="3199" priority="3131" operator="equal">
      <formula>"VERIFICAR"</formula>
    </cfRule>
  </conditionalFormatting>
  <conditionalFormatting sqref="AD4553:AF4557">
    <cfRule type="cellIs" dxfId="3198" priority="3129" stopIfTrue="1" operator="equal">
      <formula>"NO"</formula>
    </cfRule>
    <cfRule type="cellIs" dxfId="3197" priority="3130" stopIfTrue="1" operator="equal">
      <formula>"SI"</formula>
    </cfRule>
  </conditionalFormatting>
  <conditionalFormatting sqref="AD4558:AF4561">
    <cfRule type="cellIs" dxfId="3196" priority="3127" stopIfTrue="1" operator="equal">
      <formula>"NO"</formula>
    </cfRule>
    <cfRule type="cellIs" dxfId="3195" priority="3128" stopIfTrue="1" operator="equal">
      <formula>"SI"</formula>
    </cfRule>
  </conditionalFormatting>
  <conditionalFormatting sqref="W4562:Y4562">
    <cfRule type="cellIs" dxfId="3194" priority="3125" stopIfTrue="1" operator="equal">
      <formula>"NO"</formula>
    </cfRule>
    <cfRule type="cellIs" dxfId="3193" priority="3126" stopIfTrue="1" operator="equal">
      <formula>"SI"</formula>
    </cfRule>
  </conditionalFormatting>
  <conditionalFormatting sqref="W4562:X4562">
    <cfRule type="cellIs" dxfId="3192" priority="3124" stopIfTrue="1" operator="equal">
      <formula>"NO APLICA"</formula>
    </cfRule>
  </conditionalFormatting>
  <conditionalFormatting sqref="Y4562">
    <cfRule type="cellIs" dxfId="3191" priority="3123" stopIfTrue="1" operator="equal">
      <formula>"NO APLICA"</formula>
    </cfRule>
  </conditionalFormatting>
  <conditionalFormatting sqref="AD4562:AF4562">
    <cfRule type="cellIs" dxfId="3190" priority="3121" stopIfTrue="1" operator="equal">
      <formula>"NO"</formula>
    </cfRule>
    <cfRule type="cellIs" dxfId="3189" priority="3122" stopIfTrue="1" operator="equal">
      <formula>"SI"</formula>
    </cfRule>
  </conditionalFormatting>
  <conditionalFormatting sqref="AE4567">
    <cfRule type="cellIs" dxfId="3188" priority="3118" stopIfTrue="1" operator="equal">
      <formula>"VERIFICAR"</formula>
    </cfRule>
    <cfRule type="cellIs" dxfId="3187" priority="3119" stopIfTrue="1" operator="equal">
      <formula>"NO CUMPLE"</formula>
    </cfRule>
    <cfRule type="cellIs" dxfId="3186" priority="3120" stopIfTrue="1" operator="equal">
      <formula>"CUMPLE"</formula>
    </cfRule>
  </conditionalFormatting>
  <conditionalFormatting sqref="AF4567">
    <cfRule type="cellIs" dxfId="3185" priority="3115" stopIfTrue="1" operator="equal">
      <formula>"VERIFICAR"</formula>
    </cfRule>
    <cfRule type="cellIs" dxfId="3184" priority="3116" stopIfTrue="1" operator="equal">
      <formula>"NO CUMPLE"</formula>
    </cfRule>
    <cfRule type="cellIs" dxfId="3183" priority="3117" stopIfTrue="1" operator="equal">
      <formula>"CUMPLE"</formula>
    </cfRule>
  </conditionalFormatting>
  <conditionalFormatting sqref="Y4570">
    <cfRule type="cellIs" dxfId="3182" priority="3114" operator="equal">
      <formula>"VERIFICAR CUADRO"</formula>
    </cfRule>
  </conditionalFormatting>
  <conditionalFormatting sqref="AC4571:AC4576">
    <cfRule type="cellIs" dxfId="3181" priority="3113" stopIfTrue="1" operator="greaterThan">
      <formula>0</formula>
    </cfRule>
  </conditionalFormatting>
  <conditionalFormatting sqref="AC4571:AC4576">
    <cfRule type="cellIs" dxfId="3180" priority="3112" stopIfTrue="1" operator="greaterThan">
      <formula>0</formula>
    </cfRule>
  </conditionalFormatting>
  <conditionalFormatting sqref="AD4571:AD4576">
    <cfRule type="containsText" dxfId="3179" priority="3110" stopIfTrue="1" operator="containsText" text="NO CUMPLE">
      <formula>NOT(ISERROR(SEARCH("NO CUMPLE",AD4571)))</formula>
    </cfRule>
    <cfRule type="containsText" dxfId="3178" priority="3111" stopIfTrue="1" operator="containsText" text="CUMPLE">
      <formula>NOT(ISERROR(SEARCH("CUMPLE",AD4571)))</formula>
    </cfRule>
  </conditionalFormatting>
  <conditionalFormatting sqref="Y4576">
    <cfRule type="containsText" dxfId="3177" priority="3108" stopIfTrue="1" operator="containsText" text="NO CUMPLE">
      <formula>NOT(ISERROR(SEARCH("NO CUMPLE",Y4576)))</formula>
    </cfRule>
    <cfRule type="containsText" dxfId="3176" priority="3109" stopIfTrue="1" operator="containsText" text="CUMPLE">
      <formula>NOT(ISERROR(SEARCH("CUMPLE",Y4576)))</formula>
    </cfRule>
  </conditionalFormatting>
  <conditionalFormatting sqref="AA4553:AA4562">
    <cfRule type="cellIs" dxfId="3175" priority="3106" stopIfTrue="1" operator="equal">
      <formula>"NO APLICA"</formula>
    </cfRule>
    <cfRule type="cellIs" dxfId="3174" priority="3107" stopIfTrue="1" operator="equal">
      <formula>"TERCIARIA"</formula>
    </cfRule>
  </conditionalFormatting>
  <conditionalFormatting sqref="AB4553:AB4562">
    <cfRule type="cellIs" dxfId="3173" priority="3104" stopIfTrue="1" operator="equal">
      <formula>"N/A"</formula>
    </cfRule>
    <cfRule type="cellIs" dxfId="3172" priority="3105" stopIfTrue="1" operator="equal">
      <formula>"NO"</formula>
    </cfRule>
  </conditionalFormatting>
  <conditionalFormatting sqref="M4583:M4592">
    <cfRule type="cellIs" dxfId="3171" priority="3103" stopIfTrue="1" operator="lessThan">
      <formula>0</formula>
    </cfRule>
  </conditionalFormatting>
  <conditionalFormatting sqref="C4585:D4591 B4584:B4591 F4585:I4591 C4584:I4584 B4592:O4592 B4583:R4583 Q4584:R4585 J4584:O4591 Q4586:Q4592 P4584:P4592">
    <cfRule type="cellIs" dxfId="3170" priority="3102" stopIfTrue="1" operator="greaterThan">
      <formula>0</formula>
    </cfRule>
  </conditionalFormatting>
  <conditionalFormatting sqref="C4585:D4591">
    <cfRule type="cellIs" dxfId="3169" priority="3101" stopIfTrue="1" operator="greaterThan">
      <formula>0</formula>
    </cfRule>
  </conditionalFormatting>
  <conditionalFormatting sqref="C4583:M4583 C4585:D4591 F4585:I4591 C4584:I4584 K4584:M4591 J4584:J4592 L4592:M4592">
    <cfRule type="cellIs" dxfId="3168" priority="3100" stopIfTrue="1" operator="greaterThan">
      <formula>0</formula>
    </cfRule>
  </conditionalFormatting>
  <conditionalFormatting sqref="M4583:M4592">
    <cfRule type="cellIs" dxfId="3167" priority="3099" stopIfTrue="1" operator="lessThan">
      <formula>0</formula>
    </cfRule>
  </conditionalFormatting>
  <conditionalFormatting sqref="J4584:J4592 L4584:O4592 C4583:O4583">
    <cfRule type="cellIs" dxfId="3166" priority="3098" stopIfTrue="1" operator="greaterThan">
      <formula>0</formula>
    </cfRule>
  </conditionalFormatting>
  <conditionalFormatting sqref="H4585:I4591 K4585:M4592">
    <cfRule type="cellIs" dxfId="3165" priority="3097" stopIfTrue="1" operator="greaterThan">
      <formula>0</formula>
    </cfRule>
  </conditionalFormatting>
  <conditionalFormatting sqref="I4584">
    <cfRule type="cellIs" dxfId="3164" priority="3096" stopIfTrue="1" operator="greaterThan">
      <formula>0</formula>
    </cfRule>
  </conditionalFormatting>
  <conditionalFormatting sqref="I4592">
    <cfRule type="cellIs" dxfId="3163" priority="3095" stopIfTrue="1" operator="greaterThan">
      <formula>0</formula>
    </cfRule>
  </conditionalFormatting>
  <conditionalFormatting sqref="E4585:E4591">
    <cfRule type="cellIs" dxfId="3162" priority="3094" stopIfTrue="1" operator="greaterThan">
      <formula>0</formula>
    </cfRule>
  </conditionalFormatting>
  <conditionalFormatting sqref="K4600:K4605">
    <cfRule type="containsText" dxfId="3161" priority="3092" stopIfTrue="1" operator="containsText" text="NO CUMPLE">
      <formula>NOT(ISERROR(SEARCH("NO CUMPLE",K4600)))</formula>
    </cfRule>
    <cfRule type="containsText" dxfId="3160" priority="3093" stopIfTrue="1" operator="containsText" text="CUMPLE">
      <formula>NOT(ISERROR(SEARCH("CUMPLE",K4600)))</formula>
    </cfRule>
  </conditionalFormatting>
  <conditionalFormatting sqref="K4606">
    <cfRule type="containsText" dxfId="3159" priority="3090" stopIfTrue="1" operator="containsText" text="NO CUMPLE">
      <formula>NOT(ISERROR(SEARCH("NO CUMPLE",K4606)))</formula>
    </cfRule>
    <cfRule type="containsText" dxfId="3158" priority="3091" stopIfTrue="1" operator="containsText" text="CUMPLE">
      <formula>NOT(ISERROR(SEARCH("CUMPLE",K4606)))</formula>
    </cfRule>
  </conditionalFormatting>
  <conditionalFormatting sqref="Q4599">
    <cfRule type="cellIs" dxfId="3157" priority="3088" operator="greaterThanOrEqual">
      <formula>NUMMINCONT</formula>
    </cfRule>
    <cfRule type="cellIs" dxfId="3156" priority="3089" operator="lessThan">
      <formula>NUMMINCONT</formula>
    </cfRule>
  </conditionalFormatting>
  <conditionalFormatting sqref="W4583:Y4591">
    <cfRule type="cellIs" dxfId="3155" priority="3086" stopIfTrue="1" operator="equal">
      <formula>"NO"</formula>
    </cfRule>
    <cfRule type="cellIs" dxfId="3154" priority="3087" stopIfTrue="1" operator="equal">
      <formula>"SI"</formula>
    </cfRule>
  </conditionalFormatting>
  <conditionalFormatting sqref="R4586">
    <cfRule type="cellIs" dxfId="3153" priority="3085" stopIfTrue="1" operator="greaterThan">
      <formula>0</formula>
    </cfRule>
  </conditionalFormatting>
  <conditionalFormatting sqref="R4587">
    <cfRule type="cellIs" dxfId="3152" priority="3084" stopIfTrue="1" operator="greaterThan">
      <formula>0</formula>
    </cfRule>
  </conditionalFormatting>
  <conditionalFormatting sqref="R4588">
    <cfRule type="cellIs" dxfId="3151" priority="3083" stopIfTrue="1" operator="greaterThan">
      <formula>0</formula>
    </cfRule>
  </conditionalFormatting>
  <conditionalFormatting sqref="R4589">
    <cfRule type="cellIs" dxfId="3150" priority="3082" stopIfTrue="1" operator="greaterThan">
      <formula>0</formula>
    </cfRule>
  </conditionalFormatting>
  <conditionalFormatting sqref="R4590">
    <cfRule type="cellIs" dxfId="3149" priority="3081" stopIfTrue="1" operator="greaterThan">
      <formula>0</formula>
    </cfRule>
  </conditionalFormatting>
  <conditionalFormatting sqref="R4591">
    <cfRule type="cellIs" dxfId="3148" priority="3080" stopIfTrue="1" operator="greaterThan">
      <formula>0</formula>
    </cfRule>
  </conditionalFormatting>
  <conditionalFormatting sqref="R4592">
    <cfRule type="cellIs" dxfId="3147" priority="3079" stopIfTrue="1" operator="greaterThan">
      <formula>0</formula>
    </cfRule>
  </conditionalFormatting>
  <conditionalFormatting sqref="W4583:X4583">
    <cfRule type="cellIs" dxfId="3146" priority="3078" stopIfTrue="1" operator="equal">
      <formula>"NO APLICA"</formula>
    </cfRule>
  </conditionalFormatting>
  <conditionalFormatting sqref="W4584:X4587">
    <cfRule type="cellIs" dxfId="3145" priority="3077" stopIfTrue="1" operator="equal">
      <formula>"NO APLICA"</formula>
    </cfRule>
  </conditionalFormatting>
  <conditionalFormatting sqref="W4584:X4584">
    <cfRule type="cellIs" dxfId="3144" priority="3076" stopIfTrue="1" operator="equal">
      <formula>"NO APLICA"</formula>
    </cfRule>
  </conditionalFormatting>
  <conditionalFormatting sqref="Y4583">
    <cfRule type="cellIs" dxfId="3143" priority="3075" stopIfTrue="1" operator="equal">
      <formula>"NO APLICA"</formula>
    </cfRule>
  </conditionalFormatting>
  <conditionalFormatting sqref="Y4584:Y4587">
    <cfRule type="cellIs" dxfId="3142" priority="3074" stopIfTrue="1" operator="equal">
      <formula>"NO APLICA"</formula>
    </cfRule>
  </conditionalFormatting>
  <conditionalFormatting sqref="W4588:X4591">
    <cfRule type="cellIs" dxfId="3141" priority="3073" stopIfTrue="1" operator="equal">
      <formula>"NO APLICA"</formula>
    </cfRule>
  </conditionalFormatting>
  <conditionalFormatting sqref="W4588:X4588">
    <cfRule type="cellIs" dxfId="3140" priority="3072" stopIfTrue="1" operator="equal">
      <formula>"NO APLICA"</formula>
    </cfRule>
  </conditionalFormatting>
  <conditionalFormatting sqref="Y4588:Y4591">
    <cfRule type="cellIs" dxfId="3139" priority="3071" stopIfTrue="1" operator="equal">
      <formula>"NO APLICA"</formula>
    </cfRule>
  </conditionalFormatting>
  <conditionalFormatting sqref="T4597">
    <cfRule type="cellIs" dxfId="3138" priority="3069" operator="equal">
      <formula>"CUMPLE"</formula>
    </cfRule>
    <cfRule type="cellIs" dxfId="3137" priority="3070" operator="equal">
      <formula>"NO CUMPLE"</formula>
    </cfRule>
  </conditionalFormatting>
  <conditionalFormatting sqref="T4597:T4599">
    <cfRule type="cellIs" dxfId="3136" priority="3068" operator="equal">
      <formula>"VERIFICAR"</formula>
    </cfRule>
  </conditionalFormatting>
  <conditionalFormatting sqref="AD4583:AF4587">
    <cfRule type="cellIs" dxfId="3135" priority="3066" stopIfTrue="1" operator="equal">
      <formula>"NO"</formula>
    </cfRule>
    <cfRule type="cellIs" dxfId="3134" priority="3067" stopIfTrue="1" operator="equal">
      <formula>"SI"</formula>
    </cfRule>
  </conditionalFormatting>
  <conditionalFormatting sqref="AD4588:AF4591">
    <cfRule type="cellIs" dxfId="3133" priority="3064" stopIfTrue="1" operator="equal">
      <formula>"NO"</formula>
    </cfRule>
    <cfRule type="cellIs" dxfId="3132" priority="3065" stopIfTrue="1" operator="equal">
      <formula>"SI"</formula>
    </cfRule>
  </conditionalFormatting>
  <conditionalFormatting sqref="W4592:Y4592">
    <cfRule type="cellIs" dxfId="3131" priority="3062" stopIfTrue="1" operator="equal">
      <formula>"NO"</formula>
    </cfRule>
    <cfRule type="cellIs" dxfId="3130" priority="3063" stopIfTrue="1" operator="equal">
      <formula>"SI"</formula>
    </cfRule>
  </conditionalFormatting>
  <conditionalFormatting sqref="W4592:X4592">
    <cfRule type="cellIs" dxfId="3129" priority="3061" stopIfTrue="1" operator="equal">
      <formula>"NO APLICA"</formula>
    </cfRule>
  </conditionalFormatting>
  <conditionalFormatting sqref="Y4592">
    <cfRule type="cellIs" dxfId="3128" priority="3060" stopIfTrue="1" operator="equal">
      <formula>"NO APLICA"</formula>
    </cfRule>
  </conditionalFormatting>
  <conditionalFormatting sqref="AD4592:AF4592">
    <cfRule type="cellIs" dxfId="3127" priority="3058" stopIfTrue="1" operator="equal">
      <formula>"NO"</formula>
    </cfRule>
    <cfRule type="cellIs" dxfId="3126" priority="3059" stopIfTrue="1" operator="equal">
      <formula>"SI"</formula>
    </cfRule>
  </conditionalFormatting>
  <conditionalFormatting sqref="AE4597">
    <cfRule type="cellIs" dxfId="3125" priority="3055" stopIfTrue="1" operator="equal">
      <formula>"VERIFICAR"</formula>
    </cfRule>
    <cfRule type="cellIs" dxfId="3124" priority="3056" stopIfTrue="1" operator="equal">
      <formula>"NO CUMPLE"</formula>
    </cfRule>
    <cfRule type="cellIs" dxfId="3123" priority="3057" stopIfTrue="1" operator="equal">
      <formula>"CUMPLE"</formula>
    </cfRule>
  </conditionalFormatting>
  <conditionalFormatting sqref="AF4597">
    <cfRule type="cellIs" dxfId="3122" priority="3052" stopIfTrue="1" operator="equal">
      <formula>"VERIFICAR"</formula>
    </cfRule>
    <cfRule type="cellIs" dxfId="3121" priority="3053" stopIfTrue="1" operator="equal">
      <formula>"NO CUMPLE"</formula>
    </cfRule>
    <cfRule type="cellIs" dxfId="3120" priority="3054" stopIfTrue="1" operator="equal">
      <formula>"CUMPLE"</formula>
    </cfRule>
  </conditionalFormatting>
  <conditionalFormatting sqref="Y4600">
    <cfRule type="cellIs" dxfId="3119" priority="3051" operator="equal">
      <formula>"VERIFICAR CUADRO"</formula>
    </cfRule>
  </conditionalFormatting>
  <conditionalFormatting sqref="AC4601:AC4606">
    <cfRule type="cellIs" dxfId="3118" priority="3050" stopIfTrue="1" operator="greaterThan">
      <formula>0</formula>
    </cfRule>
  </conditionalFormatting>
  <conditionalFormatting sqref="AC4601:AC4606">
    <cfRule type="cellIs" dxfId="3117" priority="3049" stopIfTrue="1" operator="greaterThan">
      <formula>0</formula>
    </cfRule>
  </conditionalFormatting>
  <conditionalFormatting sqref="AD4601:AD4606">
    <cfRule type="containsText" dxfId="3116" priority="3047" stopIfTrue="1" operator="containsText" text="NO CUMPLE">
      <formula>NOT(ISERROR(SEARCH("NO CUMPLE",AD4601)))</formula>
    </cfRule>
    <cfRule type="containsText" dxfId="3115" priority="3048" stopIfTrue="1" operator="containsText" text="CUMPLE">
      <formula>NOT(ISERROR(SEARCH("CUMPLE",AD4601)))</formula>
    </cfRule>
  </conditionalFormatting>
  <conditionalFormatting sqref="Y4606">
    <cfRule type="containsText" dxfId="3114" priority="3045" stopIfTrue="1" operator="containsText" text="NO CUMPLE">
      <formula>NOT(ISERROR(SEARCH("NO CUMPLE",Y4606)))</formula>
    </cfRule>
    <cfRule type="containsText" dxfId="3113" priority="3046" stopIfTrue="1" operator="containsText" text="CUMPLE">
      <formula>NOT(ISERROR(SEARCH("CUMPLE",Y4606)))</formula>
    </cfRule>
  </conditionalFormatting>
  <conditionalFormatting sqref="AA4583:AA4592">
    <cfRule type="cellIs" dxfId="3112" priority="3043" stopIfTrue="1" operator="equal">
      <formula>"NO APLICA"</formula>
    </cfRule>
    <cfRule type="cellIs" dxfId="3111" priority="3044" stopIfTrue="1" operator="equal">
      <formula>"TERCIARIA"</formula>
    </cfRule>
  </conditionalFormatting>
  <conditionalFormatting sqref="AB4583:AB4592">
    <cfRule type="cellIs" dxfId="3110" priority="3041" stopIfTrue="1" operator="equal">
      <formula>"N/A"</formula>
    </cfRule>
    <cfRule type="cellIs" dxfId="3109" priority="3042" stopIfTrue="1" operator="equal">
      <formula>"NO"</formula>
    </cfRule>
  </conditionalFormatting>
  <conditionalFormatting sqref="M4613:M4622">
    <cfRule type="cellIs" dxfId="3108" priority="3040" stopIfTrue="1" operator="lessThan">
      <formula>0</formula>
    </cfRule>
  </conditionalFormatting>
  <conditionalFormatting sqref="C4615:D4621 B4614:B4621 F4615:I4621 C4614:I4614 B4622:O4622 B4613:R4613 Q4614:R4615 J4614:O4621 Q4616:Q4622 P4614:P4622">
    <cfRule type="cellIs" dxfId="3107" priority="3039" stopIfTrue="1" operator="greaterThan">
      <formula>0</formula>
    </cfRule>
  </conditionalFormatting>
  <conditionalFormatting sqref="C4615:D4621">
    <cfRule type="cellIs" dxfId="3106" priority="3038" stopIfTrue="1" operator="greaterThan">
      <formula>0</formula>
    </cfRule>
  </conditionalFormatting>
  <conditionalFormatting sqref="C4613:M4613 C4615:D4621 F4615:I4621 C4614:I4614 K4614:M4621 J4614:J4622 L4622:M4622">
    <cfRule type="cellIs" dxfId="3105" priority="3037" stopIfTrue="1" operator="greaterThan">
      <formula>0</formula>
    </cfRule>
  </conditionalFormatting>
  <conditionalFormatting sqref="M4613:M4622">
    <cfRule type="cellIs" dxfId="3104" priority="3036" stopIfTrue="1" operator="lessThan">
      <formula>0</formula>
    </cfRule>
  </conditionalFormatting>
  <conditionalFormatting sqref="J4614:J4622 L4614:O4622 C4613:O4613">
    <cfRule type="cellIs" dxfId="3103" priority="3035" stopIfTrue="1" operator="greaterThan">
      <formula>0</formula>
    </cfRule>
  </conditionalFormatting>
  <conditionalFormatting sqref="H4615:I4621 K4615:M4622">
    <cfRule type="cellIs" dxfId="3102" priority="3034" stopIfTrue="1" operator="greaterThan">
      <formula>0</formula>
    </cfRule>
  </conditionalFormatting>
  <conditionalFormatting sqref="I4614">
    <cfRule type="cellIs" dxfId="3101" priority="3033" stopIfTrue="1" operator="greaterThan">
      <formula>0</formula>
    </cfRule>
  </conditionalFormatting>
  <conditionalFormatting sqref="I4622">
    <cfRule type="cellIs" dxfId="3100" priority="3032" stopIfTrue="1" operator="greaterThan">
      <formula>0</formula>
    </cfRule>
  </conditionalFormatting>
  <conditionalFormatting sqref="E4615:E4621">
    <cfRule type="cellIs" dxfId="3099" priority="3031" stopIfTrue="1" operator="greaterThan">
      <formula>0</formula>
    </cfRule>
  </conditionalFormatting>
  <conditionalFormatting sqref="K4630:K4635">
    <cfRule type="containsText" dxfId="3098" priority="3029" stopIfTrue="1" operator="containsText" text="NO CUMPLE">
      <formula>NOT(ISERROR(SEARCH("NO CUMPLE",K4630)))</formula>
    </cfRule>
    <cfRule type="containsText" dxfId="3097" priority="3030" stopIfTrue="1" operator="containsText" text="CUMPLE">
      <formula>NOT(ISERROR(SEARCH("CUMPLE",K4630)))</formula>
    </cfRule>
  </conditionalFormatting>
  <conditionalFormatting sqref="K4636">
    <cfRule type="containsText" dxfId="3096" priority="3027" stopIfTrue="1" operator="containsText" text="NO CUMPLE">
      <formula>NOT(ISERROR(SEARCH("NO CUMPLE",K4636)))</formula>
    </cfRule>
    <cfRule type="containsText" dxfId="3095" priority="3028" stopIfTrue="1" operator="containsText" text="CUMPLE">
      <formula>NOT(ISERROR(SEARCH("CUMPLE",K4636)))</formula>
    </cfRule>
  </conditionalFormatting>
  <conditionalFormatting sqref="Q4629">
    <cfRule type="cellIs" dxfId="3094" priority="3025" operator="greaterThanOrEqual">
      <formula>NUMMINCONT</formula>
    </cfRule>
    <cfRule type="cellIs" dxfId="3093" priority="3026" operator="lessThan">
      <formula>NUMMINCONT</formula>
    </cfRule>
  </conditionalFormatting>
  <conditionalFormatting sqref="W4613:Y4621">
    <cfRule type="cellIs" dxfId="3092" priority="3023" stopIfTrue="1" operator="equal">
      <formula>"NO"</formula>
    </cfRule>
    <cfRule type="cellIs" dxfId="3091" priority="3024" stopIfTrue="1" operator="equal">
      <formula>"SI"</formula>
    </cfRule>
  </conditionalFormatting>
  <conditionalFormatting sqref="R4616">
    <cfRule type="cellIs" dxfId="3090" priority="3022" stopIfTrue="1" operator="greaterThan">
      <formula>0</formula>
    </cfRule>
  </conditionalFormatting>
  <conditionalFormatting sqref="R4617">
    <cfRule type="cellIs" dxfId="3089" priority="3021" stopIfTrue="1" operator="greaterThan">
      <formula>0</formula>
    </cfRule>
  </conditionalFormatting>
  <conditionalFormatting sqref="R4618">
    <cfRule type="cellIs" dxfId="3088" priority="3020" stopIfTrue="1" operator="greaterThan">
      <formula>0</formula>
    </cfRule>
  </conditionalFormatting>
  <conditionalFormatting sqref="R4619">
    <cfRule type="cellIs" dxfId="3087" priority="3019" stopIfTrue="1" operator="greaterThan">
      <formula>0</formula>
    </cfRule>
  </conditionalFormatting>
  <conditionalFormatting sqref="R4620">
    <cfRule type="cellIs" dxfId="3086" priority="3018" stopIfTrue="1" operator="greaterThan">
      <formula>0</formula>
    </cfRule>
  </conditionalFormatting>
  <conditionalFormatting sqref="R4621">
    <cfRule type="cellIs" dxfId="3085" priority="3017" stopIfTrue="1" operator="greaterThan">
      <formula>0</formula>
    </cfRule>
  </conditionalFormatting>
  <conditionalFormatting sqref="R4622">
    <cfRule type="cellIs" dxfId="3084" priority="3016" stopIfTrue="1" operator="greaterThan">
      <formula>0</formula>
    </cfRule>
  </conditionalFormatting>
  <conditionalFormatting sqref="W4613:X4613">
    <cfRule type="cellIs" dxfId="3083" priority="3015" stopIfTrue="1" operator="equal">
      <formula>"NO APLICA"</formula>
    </cfRule>
  </conditionalFormatting>
  <conditionalFormatting sqref="W4614:X4617">
    <cfRule type="cellIs" dxfId="3082" priority="3014" stopIfTrue="1" operator="equal">
      <formula>"NO APLICA"</formula>
    </cfRule>
  </conditionalFormatting>
  <conditionalFormatting sqref="W4614:X4614">
    <cfRule type="cellIs" dxfId="3081" priority="3013" stopIfTrue="1" operator="equal">
      <formula>"NO APLICA"</formula>
    </cfRule>
  </conditionalFormatting>
  <conditionalFormatting sqref="Y4613">
    <cfRule type="cellIs" dxfId="3080" priority="3012" stopIfTrue="1" operator="equal">
      <formula>"NO APLICA"</formula>
    </cfRule>
  </conditionalFormatting>
  <conditionalFormatting sqref="Y4614:Y4617">
    <cfRule type="cellIs" dxfId="3079" priority="3011" stopIfTrue="1" operator="equal">
      <formula>"NO APLICA"</formula>
    </cfRule>
  </conditionalFormatting>
  <conditionalFormatting sqref="W4618:X4621">
    <cfRule type="cellIs" dxfId="3078" priority="3010" stopIfTrue="1" operator="equal">
      <formula>"NO APLICA"</formula>
    </cfRule>
  </conditionalFormatting>
  <conditionalFormatting sqref="W4618:X4618">
    <cfRule type="cellIs" dxfId="3077" priority="3009" stopIfTrue="1" operator="equal">
      <formula>"NO APLICA"</formula>
    </cfRule>
  </conditionalFormatting>
  <conditionalFormatting sqref="Y4618:Y4621">
    <cfRule type="cellIs" dxfId="3076" priority="3008" stopIfTrue="1" operator="equal">
      <formula>"NO APLICA"</formula>
    </cfRule>
  </conditionalFormatting>
  <conditionalFormatting sqref="T4627">
    <cfRule type="cellIs" dxfId="3075" priority="3006" operator="equal">
      <formula>"CUMPLE"</formula>
    </cfRule>
    <cfRule type="cellIs" dxfId="3074" priority="3007" operator="equal">
      <formula>"NO CUMPLE"</formula>
    </cfRule>
  </conditionalFormatting>
  <conditionalFormatting sqref="T4627:T4629">
    <cfRule type="cellIs" dxfId="3073" priority="3005" operator="equal">
      <formula>"VERIFICAR"</formula>
    </cfRule>
  </conditionalFormatting>
  <conditionalFormatting sqref="AD4613:AF4617">
    <cfRule type="cellIs" dxfId="3072" priority="3003" stopIfTrue="1" operator="equal">
      <formula>"NO"</formula>
    </cfRule>
    <cfRule type="cellIs" dxfId="3071" priority="3004" stopIfTrue="1" operator="equal">
      <formula>"SI"</formula>
    </cfRule>
  </conditionalFormatting>
  <conditionalFormatting sqref="AD4618:AF4621">
    <cfRule type="cellIs" dxfId="3070" priority="3001" stopIfTrue="1" operator="equal">
      <formula>"NO"</formula>
    </cfRule>
    <cfRule type="cellIs" dxfId="3069" priority="3002" stopIfTrue="1" operator="equal">
      <formula>"SI"</formula>
    </cfRule>
  </conditionalFormatting>
  <conditionalFormatting sqref="W4622:Y4622">
    <cfRule type="cellIs" dxfId="3068" priority="2999" stopIfTrue="1" operator="equal">
      <formula>"NO"</formula>
    </cfRule>
    <cfRule type="cellIs" dxfId="3067" priority="3000" stopIfTrue="1" operator="equal">
      <formula>"SI"</formula>
    </cfRule>
  </conditionalFormatting>
  <conditionalFormatting sqref="W4622:X4622">
    <cfRule type="cellIs" dxfId="3066" priority="2998" stopIfTrue="1" operator="equal">
      <formula>"NO APLICA"</formula>
    </cfRule>
  </conditionalFormatting>
  <conditionalFormatting sqref="Y4622">
    <cfRule type="cellIs" dxfId="3065" priority="2997" stopIfTrue="1" operator="equal">
      <formula>"NO APLICA"</formula>
    </cfRule>
  </conditionalFormatting>
  <conditionalFormatting sqref="AD4622:AF4622">
    <cfRule type="cellIs" dxfId="3064" priority="2995" stopIfTrue="1" operator="equal">
      <formula>"NO"</formula>
    </cfRule>
    <cfRule type="cellIs" dxfId="3063" priority="2996" stopIfTrue="1" operator="equal">
      <formula>"SI"</formula>
    </cfRule>
  </conditionalFormatting>
  <conditionalFormatting sqref="AE4627">
    <cfRule type="cellIs" dxfId="3062" priority="2992" stopIfTrue="1" operator="equal">
      <formula>"VERIFICAR"</formula>
    </cfRule>
    <cfRule type="cellIs" dxfId="3061" priority="2993" stopIfTrue="1" operator="equal">
      <formula>"NO CUMPLE"</formula>
    </cfRule>
    <cfRule type="cellIs" dxfId="3060" priority="2994" stopIfTrue="1" operator="equal">
      <formula>"CUMPLE"</formula>
    </cfRule>
  </conditionalFormatting>
  <conditionalFormatting sqref="AF4627">
    <cfRule type="cellIs" dxfId="3059" priority="2989" stopIfTrue="1" operator="equal">
      <formula>"VERIFICAR"</formula>
    </cfRule>
    <cfRule type="cellIs" dxfId="3058" priority="2990" stopIfTrue="1" operator="equal">
      <formula>"NO CUMPLE"</formula>
    </cfRule>
    <cfRule type="cellIs" dxfId="3057" priority="2991" stopIfTrue="1" operator="equal">
      <formula>"CUMPLE"</formula>
    </cfRule>
  </conditionalFormatting>
  <conditionalFormatting sqref="Y4630">
    <cfRule type="cellIs" dxfId="3056" priority="2988" operator="equal">
      <formula>"VERIFICAR CUADRO"</formula>
    </cfRule>
  </conditionalFormatting>
  <conditionalFormatting sqref="AC4631:AC4636">
    <cfRule type="cellIs" dxfId="3055" priority="2987" stopIfTrue="1" operator="greaterThan">
      <formula>0</formula>
    </cfRule>
  </conditionalFormatting>
  <conditionalFormatting sqref="AC4631:AC4636">
    <cfRule type="cellIs" dxfId="3054" priority="2986" stopIfTrue="1" operator="greaterThan">
      <formula>0</formula>
    </cfRule>
  </conditionalFormatting>
  <conditionalFormatting sqref="AD4631:AD4636">
    <cfRule type="containsText" dxfId="3053" priority="2984" stopIfTrue="1" operator="containsText" text="NO CUMPLE">
      <formula>NOT(ISERROR(SEARCH("NO CUMPLE",AD4631)))</formula>
    </cfRule>
    <cfRule type="containsText" dxfId="3052" priority="2985" stopIfTrue="1" operator="containsText" text="CUMPLE">
      <formula>NOT(ISERROR(SEARCH("CUMPLE",AD4631)))</formula>
    </cfRule>
  </conditionalFormatting>
  <conditionalFormatting sqref="Y4636">
    <cfRule type="containsText" dxfId="3051" priority="2982" stopIfTrue="1" operator="containsText" text="NO CUMPLE">
      <formula>NOT(ISERROR(SEARCH("NO CUMPLE",Y4636)))</formula>
    </cfRule>
    <cfRule type="containsText" dxfId="3050" priority="2983" stopIfTrue="1" operator="containsText" text="CUMPLE">
      <formula>NOT(ISERROR(SEARCH("CUMPLE",Y4636)))</formula>
    </cfRule>
  </conditionalFormatting>
  <conditionalFormatting sqref="AA4613:AA4622">
    <cfRule type="cellIs" dxfId="3049" priority="2980" stopIfTrue="1" operator="equal">
      <formula>"NO APLICA"</formula>
    </cfRule>
    <cfRule type="cellIs" dxfId="3048" priority="2981" stopIfTrue="1" operator="equal">
      <formula>"TERCIARIA"</formula>
    </cfRule>
  </conditionalFormatting>
  <conditionalFormatting sqref="AB4613:AB4622">
    <cfRule type="cellIs" dxfId="3047" priority="2978" stopIfTrue="1" operator="equal">
      <formula>"N/A"</formula>
    </cfRule>
    <cfRule type="cellIs" dxfId="3046" priority="2979" stopIfTrue="1" operator="equal">
      <formula>"NO"</formula>
    </cfRule>
  </conditionalFormatting>
  <conditionalFormatting sqref="M4643:M4652">
    <cfRule type="cellIs" dxfId="3045" priority="2977" stopIfTrue="1" operator="lessThan">
      <formula>0</formula>
    </cfRule>
  </conditionalFormatting>
  <conditionalFormatting sqref="C4645:D4651 B4644:B4651 F4645:I4651 C4644:I4644 B4652:O4652 B4643:R4643 Q4644:R4645 J4644:O4651 Q4646:Q4652 P4644:P4652">
    <cfRule type="cellIs" dxfId="3044" priority="2976" stopIfTrue="1" operator="greaterThan">
      <formula>0</formula>
    </cfRule>
  </conditionalFormatting>
  <conditionalFormatting sqref="C4645:D4651">
    <cfRule type="cellIs" dxfId="3043" priority="2975" stopIfTrue="1" operator="greaterThan">
      <formula>0</formula>
    </cfRule>
  </conditionalFormatting>
  <conditionalFormatting sqref="C4643:M4643 C4645:D4651 F4645:I4651 C4644:I4644 K4644:M4651 J4644:J4652 L4652:M4652">
    <cfRule type="cellIs" dxfId="3042" priority="2974" stopIfTrue="1" operator="greaterThan">
      <formula>0</formula>
    </cfRule>
  </conditionalFormatting>
  <conditionalFormatting sqref="M4643:M4652">
    <cfRule type="cellIs" dxfId="3041" priority="2973" stopIfTrue="1" operator="lessThan">
      <formula>0</formula>
    </cfRule>
  </conditionalFormatting>
  <conditionalFormatting sqref="J4644:J4652 L4644:O4652 C4643:O4643">
    <cfRule type="cellIs" dxfId="3040" priority="2972" stopIfTrue="1" operator="greaterThan">
      <formula>0</formula>
    </cfRule>
  </conditionalFormatting>
  <conditionalFormatting sqref="H4645:I4651 K4645:M4652">
    <cfRule type="cellIs" dxfId="3039" priority="2971" stopIfTrue="1" operator="greaterThan">
      <formula>0</formula>
    </cfRule>
  </conditionalFormatting>
  <conditionalFormatting sqref="I4644">
    <cfRule type="cellIs" dxfId="3038" priority="2970" stopIfTrue="1" operator="greaterThan">
      <formula>0</formula>
    </cfRule>
  </conditionalFormatting>
  <conditionalFormatting sqref="I4652">
    <cfRule type="cellIs" dxfId="3037" priority="2969" stopIfTrue="1" operator="greaterThan">
      <formula>0</formula>
    </cfRule>
  </conditionalFormatting>
  <conditionalFormatting sqref="E4645:E4651">
    <cfRule type="cellIs" dxfId="3036" priority="2968" stopIfTrue="1" operator="greaterThan">
      <formula>0</formula>
    </cfRule>
  </conditionalFormatting>
  <conditionalFormatting sqref="K4660:K4665">
    <cfRule type="containsText" dxfId="3035" priority="2966" stopIfTrue="1" operator="containsText" text="NO CUMPLE">
      <formula>NOT(ISERROR(SEARCH("NO CUMPLE",K4660)))</formula>
    </cfRule>
    <cfRule type="containsText" dxfId="3034" priority="2967" stopIfTrue="1" operator="containsText" text="CUMPLE">
      <formula>NOT(ISERROR(SEARCH("CUMPLE",K4660)))</formula>
    </cfRule>
  </conditionalFormatting>
  <conditionalFormatting sqref="K4666">
    <cfRule type="containsText" dxfId="3033" priority="2964" stopIfTrue="1" operator="containsText" text="NO CUMPLE">
      <formula>NOT(ISERROR(SEARCH("NO CUMPLE",K4666)))</formula>
    </cfRule>
    <cfRule type="containsText" dxfId="3032" priority="2965" stopIfTrue="1" operator="containsText" text="CUMPLE">
      <formula>NOT(ISERROR(SEARCH("CUMPLE",K4666)))</formula>
    </cfRule>
  </conditionalFormatting>
  <conditionalFormatting sqref="Q4659">
    <cfRule type="cellIs" dxfId="3031" priority="2962" operator="greaterThanOrEqual">
      <formula>NUMMINCONT</formula>
    </cfRule>
    <cfRule type="cellIs" dxfId="3030" priority="2963" operator="lessThan">
      <formula>NUMMINCONT</formula>
    </cfRule>
  </conditionalFormatting>
  <conditionalFormatting sqref="W4643:Y4651">
    <cfRule type="cellIs" dxfId="3029" priority="2960" stopIfTrue="1" operator="equal">
      <formula>"NO"</formula>
    </cfRule>
    <cfRule type="cellIs" dxfId="3028" priority="2961" stopIfTrue="1" operator="equal">
      <formula>"SI"</formula>
    </cfRule>
  </conditionalFormatting>
  <conditionalFormatting sqref="R4646">
    <cfRule type="cellIs" dxfId="3027" priority="2959" stopIfTrue="1" operator="greaterThan">
      <formula>0</formula>
    </cfRule>
  </conditionalFormatting>
  <conditionalFormatting sqref="R4647">
    <cfRule type="cellIs" dxfId="3026" priority="2958" stopIfTrue="1" operator="greaterThan">
      <formula>0</formula>
    </cfRule>
  </conditionalFormatting>
  <conditionalFormatting sqref="R4648">
    <cfRule type="cellIs" dxfId="3025" priority="2957" stopIfTrue="1" operator="greaterThan">
      <formula>0</formula>
    </cfRule>
  </conditionalFormatting>
  <conditionalFormatting sqref="R4649">
    <cfRule type="cellIs" dxfId="3024" priority="2956" stopIfTrue="1" operator="greaterThan">
      <formula>0</formula>
    </cfRule>
  </conditionalFormatting>
  <conditionalFormatting sqref="R4650">
    <cfRule type="cellIs" dxfId="3023" priority="2955" stopIfTrue="1" operator="greaterThan">
      <formula>0</formula>
    </cfRule>
  </conditionalFormatting>
  <conditionalFormatting sqref="R4651">
    <cfRule type="cellIs" dxfId="3022" priority="2954" stopIfTrue="1" operator="greaterThan">
      <formula>0</formula>
    </cfRule>
  </conditionalFormatting>
  <conditionalFormatting sqref="R4652">
    <cfRule type="cellIs" dxfId="3021" priority="2953" stopIfTrue="1" operator="greaterThan">
      <formula>0</formula>
    </cfRule>
  </conditionalFormatting>
  <conditionalFormatting sqref="W4643:X4643">
    <cfRule type="cellIs" dxfId="3020" priority="2952" stopIfTrue="1" operator="equal">
      <formula>"NO APLICA"</formula>
    </cfRule>
  </conditionalFormatting>
  <conditionalFormatting sqref="W4644:X4647">
    <cfRule type="cellIs" dxfId="3019" priority="2951" stopIfTrue="1" operator="equal">
      <formula>"NO APLICA"</formula>
    </cfRule>
  </conditionalFormatting>
  <conditionalFormatting sqref="W4644:X4644">
    <cfRule type="cellIs" dxfId="3018" priority="2950" stopIfTrue="1" operator="equal">
      <formula>"NO APLICA"</formula>
    </cfRule>
  </conditionalFormatting>
  <conditionalFormatting sqref="Y4643">
    <cfRule type="cellIs" dxfId="3017" priority="2949" stopIfTrue="1" operator="equal">
      <formula>"NO APLICA"</formula>
    </cfRule>
  </conditionalFormatting>
  <conditionalFormatting sqref="Y4644:Y4647">
    <cfRule type="cellIs" dxfId="3016" priority="2948" stopIfTrue="1" operator="equal">
      <formula>"NO APLICA"</formula>
    </cfRule>
  </conditionalFormatting>
  <conditionalFormatting sqref="W4648:X4651">
    <cfRule type="cellIs" dxfId="3015" priority="2947" stopIfTrue="1" operator="equal">
      <formula>"NO APLICA"</formula>
    </cfRule>
  </conditionalFormatting>
  <conditionalFormatting sqref="W4648:X4648">
    <cfRule type="cellIs" dxfId="3014" priority="2946" stopIfTrue="1" operator="equal">
      <formula>"NO APLICA"</formula>
    </cfRule>
  </conditionalFormatting>
  <conditionalFormatting sqref="Y4648:Y4651">
    <cfRule type="cellIs" dxfId="3013" priority="2945" stopIfTrue="1" operator="equal">
      <formula>"NO APLICA"</formula>
    </cfRule>
  </conditionalFormatting>
  <conditionalFormatting sqref="T4657">
    <cfRule type="cellIs" dxfId="3012" priority="2943" operator="equal">
      <formula>"CUMPLE"</formula>
    </cfRule>
    <cfRule type="cellIs" dxfId="3011" priority="2944" operator="equal">
      <formula>"NO CUMPLE"</formula>
    </cfRule>
  </conditionalFormatting>
  <conditionalFormatting sqref="T4657:T4659">
    <cfRule type="cellIs" dxfId="3010" priority="2942" operator="equal">
      <formula>"VERIFICAR"</formula>
    </cfRule>
  </conditionalFormatting>
  <conditionalFormatting sqref="AD4643:AF4647">
    <cfRule type="cellIs" dxfId="3009" priority="2940" stopIfTrue="1" operator="equal">
      <formula>"NO"</formula>
    </cfRule>
    <cfRule type="cellIs" dxfId="3008" priority="2941" stopIfTrue="1" operator="equal">
      <formula>"SI"</formula>
    </cfRule>
  </conditionalFormatting>
  <conditionalFormatting sqref="AD4648:AF4651">
    <cfRule type="cellIs" dxfId="3007" priority="2938" stopIfTrue="1" operator="equal">
      <formula>"NO"</formula>
    </cfRule>
    <cfRule type="cellIs" dxfId="3006" priority="2939" stopIfTrue="1" operator="equal">
      <formula>"SI"</formula>
    </cfRule>
  </conditionalFormatting>
  <conditionalFormatting sqref="W4652:Y4652">
    <cfRule type="cellIs" dxfId="3005" priority="2936" stopIfTrue="1" operator="equal">
      <formula>"NO"</formula>
    </cfRule>
    <cfRule type="cellIs" dxfId="3004" priority="2937" stopIfTrue="1" operator="equal">
      <formula>"SI"</formula>
    </cfRule>
  </conditionalFormatting>
  <conditionalFormatting sqref="W4652:X4652">
    <cfRule type="cellIs" dxfId="3003" priority="2935" stopIfTrue="1" operator="equal">
      <formula>"NO APLICA"</formula>
    </cfRule>
  </conditionalFormatting>
  <conditionalFormatting sqref="Y4652">
    <cfRule type="cellIs" dxfId="3002" priority="2934" stopIfTrue="1" operator="equal">
      <formula>"NO APLICA"</formula>
    </cfRule>
  </conditionalFormatting>
  <conditionalFormatting sqref="AD4652:AF4652">
    <cfRule type="cellIs" dxfId="3001" priority="2932" stopIfTrue="1" operator="equal">
      <formula>"NO"</formula>
    </cfRule>
    <cfRule type="cellIs" dxfId="3000" priority="2933" stopIfTrue="1" operator="equal">
      <formula>"SI"</formula>
    </cfRule>
  </conditionalFormatting>
  <conditionalFormatting sqref="AE4657">
    <cfRule type="cellIs" dxfId="2999" priority="2929" stopIfTrue="1" operator="equal">
      <formula>"VERIFICAR"</formula>
    </cfRule>
    <cfRule type="cellIs" dxfId="2998" priority="2930" stopIfTrue="1" operator="equal">
      <formula>"NO CUMPLE"</formula>
    </cfRule>
    <cfRule type="cellIs" dxfId="2997" priority="2931" stopIfTrue="1" operator="equal">
      <formula>"CUMPLE"</formula>
    </cfRule>
  </conditionalFormatting>
  <conditionalFormatting sqref="AF4657">
    <cfRule type="cellIs" dxfId="2996" priority="2926" stopIfTrue="1" operator="equal">
      <formula>"VERIFICAR"</formula>
    </cfRule>
    <cfRule type="cellIs" dxfId="2995" priority="2927" stopIfTrue="1" operator="equal">
      <formula>"NO CUMPLE"</formula>
    </cfRule>
    <cfRule type="cellIs" dxfId="2994" priority="2928" stopIfTrue="1" operator="equal">
      <formula>"CUMPLE"</formula>
    </cfRule>
  </conditionalFormatting>
  <conditionalFormatting sqref="Y4660">
    <cfRule type="cellIs" dxfId="2993" priority="2925" operator="equal">
      <formula>"VERIFICAR CUADRO"</formula>
    </cfRule>
  </conditionalFormatting>
  <conditionalFormatting sqref="AC4661:AC4666">
    <cfRule type="cellIs" dxfId="2992" priority="2924" stopIfTrue="1" operator="greaterThan">
      <formula>0</formula>
    </cfRule>
  </conditionalFormatting>
  <conditionalFormatting sqref="AC4661:AC4666">
    <cfRule type="cellIs" dxfId="2991" priority="2923" stopIfTrue="1" operator="greaterThan">
      <formula>0</formula>
    </cfRule>
  </conditionalFormatting>
  <conditionalFormatting sqref="AD4661:AD4666">
    <cfRule type="containsText" dxfId="2990" priority="2921" stopIfTrue="1" operator="containsText" text="NO CUMPLE">
      <formula>NOT(ISERROR(SEARCH("NO CUMPLE",AD4661)))</formula>
    </cfRule>
    <cfRule type="containsText" dxfId="2989" priority="2922" stopIfTrue="1" operator="containsText" text="CUMPLE">
      <formula>NOT(ISERROR(SEARCH("CUMPLE",AD4661)))</formula>
    </cfRule>
  </conditionalFormatting>
  <conditionalFormatting sqref="Y4666">
    <cfRule type="containsText" dxfId="2988" priority="2919" stopIfTrue="1" operator="containsText" text="NO CUMPLE">
      <formula>NOT(ISERROR(SEARCH("NO CUMPLE",Y4666)))</formula>
    </cfRule>
    <cfRule type="containsText" dxfId="2987" priority="2920" stopIfTrue="1" operator="containsText" text="CUMPLE">
      <formula>NOT(ISERROR(SEARCH("CUMPLE",Y4666)))</formula>
    </cfRule>
  </conditionalFormatting>
  <conditionalFormatting sqref="AA4643:AA4652">
    <cfRule type="cellIs" dxfId="2986" priority="2917" stopIfTrue="1" operator="equal">
      <formula>"NO APLICA"</formula>
    </cfRule>
    <cfRule type="cellIs" dxfId="2985" priority="2918" stopIfTrue="1" operator="equal">
      <formula>"TERCIARIA"</formula>
    </cfRule>
  </conditionalFormatting>
  <conditionalFormatting sqref="AB4643:AB4652">
    <cfRule type="cellIs" dxfId="2984" priority="2915" stopIfTrue="1" operator="equal">
      <formula>"N/A"</formula>
    </cfRule>
    <cfRule type="cellIs" dxfId="2983" priority="2916" stopIfTrue="1" operator="equal">
      <formula>"NO"</formula>
    </cfRule>
  </conditionalFormatting>
  <conditionalFormatting sqref="M4673:M4682">
    <cfRule type="cellIs" dxfId="2982" priority="2914" stopIfTrue="1" operator="lessThan">
      <formula>0</formula>
    </cfRule>
  </conditionalFormatting>
  <conditionalFormatting sqref="C4675:D4681 B4674:B4681 F4675:I4681 C4674:I4674 B4682:O4682 B4673:R4673 Q4674:R4675 J4674:O4681 Q4676:Q4682 P4674:P4682">
    <cfRule type="cellIs" dxfId="2981" priority="2913" stopIfTrue="1" operator="greaterThan">
      <formula>0</formula>
    </cfRule>
  </conditionalFormatting>
  <conditionalFormatting sqref="C4675:D4681">
    <cfRule type="cellIs" dxfId="2980" priority="2912" stopIfTrue="1" operator="greaterThan">
      <formula>0</formula>
    </cfRule>
  </conditionalFormatting>
  <conditionalFormatting sqref="C4673:M4673 C4675:D4681 F4675:I4681 C4674:I4674 K4674:M4681 J4674:J4682 L4682:M4682">
    <cfRule type="cellIs" dxfId="2979" priority="2911" stopIfTrue="1" operator="greaterThan">
      <formula>0</formula>
    </cfRule>
  </conditionalFormatting>
  <conditionalFormatting sqref="M4673:M4682">
    <cfRule type="cellIs" dxfId="2978" priority="2910" stopIfTrue="1" operator="lessThan">
      <formula>0</formula>
    </cfRule>
  </conditionalFormatting>
  <conditionalFormatting sqref="J4674:J4682 L4674:O4682 C4673:O4673">
    <cfRule type="cellIs" dxfId="2977" priority="2909" stopIfTrue="1" operator="greaterThan">
      <formula>0</formula>
    </cfRule>
  </conditionalFormatting>
  <conditionalFormatting sqref="H4675:I4681 K4675:M4682">
    <cfRule type="cellIs" dxfId="2976" priority="2908" stopIfTrue="1" operator="greaterThan">
      <formula>0</formula>
    </cfRule>
  </conditionalFormatting>
  <conditionalFormatting sqref="I4674">
    <cfRule type="cellIs" dxfId="2975" priority="2907" stopIfTrue="1" operator="greaterThan">
      <formula>0</formula>
    </cfRule>
  </conditionalFormatting>
  <conditionalFormatting sqref="I4682">
    <cfRule type="cellIs" dxfId="2974" priority="2906" stopIfTrue="1" operator="greaterThan">
      <formula>0</formula>
    </cfRule>
  </conditionalFormatting>
  <conditionalFormatting sqref="E4675:E4681">
    <cfRule type="cellIs" dxfId="2973" priority="2905" stopIfTrue="1" operator="greaterThan">
      <formula>0</formula>
    </cfRule>
  </conditionalFormatting>
  <conditionalFormatting sqref="K4690:K4695">
    <cfRule type="containsText" dxfId="2972" priority="2903" stopIfTrue="1" operator="containsText" text="NO CUMPLE">
      <formula>NOT(ISERROR(SEARCH("NO CUMPLE",K4690)))</formula>
    </cfRule>
    <cfRule type="containsText" dxfId="2971" priority="2904" stopIfTrue="1" operator="containsText" text="CUMPLE">
      <formula>NOT(ISERROR(SEARCH("CUMPLE",K4690)))</formula>
    </cfRule>
  </conditionalFormatting>
  <conditionalFormatting sqref="K4696">
    <cfRule type="containsText" dxfId="2970" priority="2901" stopIfTrue="1" operator="containsText" text="NO CUMPLE">
      <formula>NOT(ISERROR(SEARCH("NO CUMPLE",K4696)))</formula>
    </cfRule>
    <cfRule type="containsText" dxfId="2969" priority="2902" stopIfTrue="1" operator="containsText" text="CUMPLE">
      <formula>NOT(ISERROR(SEARCH("CUMPLE",K4696)))</formula>
    </cfRule>
  </conditionalFormatting>
  <conditionalFormatting sqref="Q4689">
    <cfRule type="cellIs" dxfId="2968" priority="2899" operator="greaterThanOrEqual">
      <formula>NUMMINCONT</formula>
    </cfRule>
    <cfRule type="cellIs" dxfId="2967" priority="2900" operator="lessThan">
      <formula>NUMMINCONT</formula>
    </cfRule>
  </conditionalFormatting>
  <conditionalFormatting sqref="W4673:Y4681">
    <cfRule type="cellIs" dxfId="2966" priority="2897" stopIfTrue="1" operator="equal">
      <formula>"NO"</formula>
    </cfRule>
    <cfRule type="cellIs" dxfId="2965" priority="2898" stopIfTrue="1" operator="equal">
      <formula>"SI"</formula>
    </cfRule>
  </conditionalFormatting>
  <conditionalFormatting sqref="R4676">
    <cfRule type="cellIs" dxfId="2964" priority="2896" stopIfTrue="1" operator="greaterThan">
      <formula>0</formula>
    </cfRule>
  </conditionalFormatting>
  <conditionalFormatting sqref="R4677">
    <cfRule type="cellIs" dxfId="2963" priority="2895" stopIfTrue="1" operator="greaterThan">
      <formula>0</formula>
    </cfRule>
  </conditionalFormatting>
  <conditionalFormatting sqref="R4678">
    <cfRule type="cellIs" dxfId="2962" priority="2894" stopIfTrue="1" operator="greaterThan">
      <formula>0</formula>
    </cfRule>
  </conditionalFormatting>
  <conditionalFormatting sqref="R4679">
    <cfRule type="cellIs" dxfId="2961" priority="2893" stopIfTrue="1" operator="greaterThan">
      <formula>0</formula>
    </cfRule>
  </conditionalFormatting>
  <conditionalFormatting sqref="R4680">
    <cfRule type="cellIs" dxfId="2960" priority="2892" stopIfTrue="1" operator="greaterThan">
      <formula>0</formula>
    </cfRule>
  </conditionalFormatting>
  <conditionalFormatting sqref="R4681">
    <cfRule type="cellIs" dxfId="2959" priority="2891" stopIfTrue="1" operator="greaterThan">
      <formula>0</formula>
    </cfRule>
  </conditionalFormatting>
  <conditionalFormatting sqref="R4682">
    <cfRule type="cellIs" dxfId="2958" priority="2890" stopIfTrue="1" operator="greaterThan">
      <formula>0</formula>
    </cfRule>
  </conditionalFormatting>
  <conditionalFormatting sqref="W4673:X4673">
    <cfRule type="cellIs" dxfId="2957" priority="2889" stopIfTrue="1" operator="equal">
      <formula>"NO APLICA"</formula>
    </cfRule>
  </conditionalFormatting>
  <conditionalFormatting sqref="W4674:X4677">
    <cfRule type="cellIs" dxfId="2956" priority="2888" stopIfTrue="1" operator="equal">
      <formula>"NO APLICA"</formula>
    </cfRule>
  </conditionalFormatting>
  <conditionalFormatting sqref="W4674:X4674">
    <cfRule type="cellIs" dxfId="2955" priority="2887" stopIfTrue="1" operator="equal">
      <formula>"NO APLICA"</formula>
    </cfRule>
  </conditionalFormatting>
  <conditionalFormatting sqref="Y4673">
    <cfRule type="cellIs" dxfId="2954" priority="2886" stopIfTrue="1" operator="equal">
      <formula>"NO APLICA"</formula>
    </cfRule>
  </conditionalFormatting>
  <conditionalFormatting sqref="Y4674:Y4677">
    <cfRule type="cellIs" dxfId="2953" priority="2885" stopIfTrue="1" operator="equal">
      <formula>"NO APLICA"</formula>
    </cfRule>
  </conditionalFormatting>
  <conditionalFormatting sqref="W4678:X4681">
    <cfRule type="cellIs" dxfId="2952" priority="2884" stopIfTrue="1" operator="equal">
      <formula>"NO APLICA"</formula>
    </cfRule>
  </conditionalFormatting>
  <conditionalFormatting sqref="W4678:X4678">
    <cfRule type="cellIs" dxfId="2951" priority="2883" stopIfTrue="1" operator="equal">
      <formula>"NO APLICA"</formula>
    </cfRule>
  </conditionalFormatting>
  <conditionalFormatting sqref="Y4678:Y4681">
    <cfRule type="cellIs" dxfId="2950" priority="2882" stopIfTrue="1" operator="equal">
      <formula>"NO APLICA"</formula>
    </cfRule>
  </conditionalFormatting>
  <conditionalFormatting sqref="T4687">
    <cfRule type="cellIs" dxfId="2949" priority="2880" operator="equal">
      <formula>"CUMPLE"</formula>
    </cfRule>
    <cfRule type="cellIs" dxfId="2948" priority="2881" operator="equal">
      <formula>"NO CUMPLE"</formula>
    </cfRule>
  </conditionalFormatting>
  <conditionalFormatting sqref="T4687:T4689">
    <cfRule type="cellIs" dxfId="2947" priority="2879" operator="equal">
      <formula>"VERIFICAR"</formula>
    </cfRule>
  </conditionalFormatting>
  <conditionalFormatting sqref="AD4673:AF4677">
    <cfRule type="cellIs" dxfId="2946" priority="2877" stopIfTrue="1" operator="equal">
      <formula>"NO"</formula>
    </cfRule>
    <cfRule type="cellIs" dxfId="2945" priority="2878" stopIfTrue="1" operator="equal">
      <formula>"SI"</formula>
    </cfRule>
  </conditionalFormatting>
  <conditionalFormatting sqref="AD4678:AF4681">
    <cfRule type="cellIs" dxfId="2944" priority="2875" stopIfTrue="1" operator="equal">
      <formula>"NO"</formula>
    </cfRule>
    <cfRule type="cellIs" dxfId="2943" priority="2876" stopIfTrue="1" operator="equal">
      <formula>"SI"</formula>
    </cfRule>
  </conditionalFormatting>
  <conditionalFormatting sqref="W4682:Y4682">
    <cfRule type="cellIs" dxfId="2942" priority="2873" stopIfTrue="1" operator="equal">
      <formula>"NO"</formula>
    </cfRule>
    <cfRule type="cellIs" dxfId="2941" priority="2874" stopIfTrue="1" operator="equal">
      <formula>"SI"</formula>
    </cfRule>
  </conditionalFormatting>
  <conditionalFormatting sqref="W4682:X4682">
    <cfRule type="cellIs" dxfId="2940" priority="2872" stopIfTrue="1" operator="equal">
      <formula>"NO APLICA"</formula>
    </cfRule>
  </conditionalFormatting>
  <conditionalFormatting sqref="Y4682">
    <cfRule type="cellIs" dxfId="2939" priority="2871" stopIfTrue="1" operator="equal">
      <formula>"NO APLICA"</formula>
    </cfRule>
  </conditionalFormatting>
  <conditionalFormatting sqref="AD4682:AF4682">
    <cfRule type="cellIs" dxfId="2938" priority="2869" stopIfTrue="1" operator="equal">
      <formula>"NO"</formula>
    </cfRule>
    <cfRule type="cellIs" dxfId="2937" priority="2870" stopIfTrue="1" operator="equal">
      <formula>"SI"</formula>
    </cfRule>
  </conditionalFormatting>
  <conditionalFormatting sqref="AE4687">
    <cfRule type="cellIs" dxfId="2936" priority="2866" stopIfTrue="1" operator="equal">
      <formula>"VERIFICAR"</formula>
    </cfRule>
    <cfRule type="cellIs" dxfId="2935" priority="2867" stopIfTrue="1" operator="equal">
      <formula>"NO CUMPLE"</formula>
    </cfRule>
    <cfRule type="cellIs" dxfId="2934" priority="2868" stopIfTrue="1" operator="equal">
      <formula>"CUMPLE"</formula>
    </cfRule>
  </conditionalFormatting>
  <conditionalFormatting sqref="AF4687">
    <cfRule type="cellIs" dxfId="2933" priority="2863" stopIfTrue="1" operator="equal">
      <formula>"VERIFICAR"</formula>
    </cfRule>
    <cfRule type="cellIs" dxfId="2932" priority="2864" stopIfTrue="1" operator="equal">
      <formula>"NO CUMPLE"</formula>
    </cfRule>
    <cfRule type="cellIs" dxfId="2931" priority="2865" stopIfTrue="1" operator="equal">
      <formula>"CUMPLE"</formula>
    </cfRule>
  </conditionalFormatting>
  <conditionalFormatting sqref="Y4690">
    <cfRule type="cellIs" dxfId="2930" priority="2862" operator="equal">
      <formula>"VERIFICAR CUADRO"</formula>
    </cfRule>
  </conditionalFormatting>
  <conditionalFormatting sqref="AC4691:AC4696">
    <cfRule type="cellIs" dxfId="2929" priority="2861" stopIfTrue="1" operator="greaterThan">
      <formula>0</formula>
    </cfRule>
  </conditionalFormatting>
  <conditionalFormatting sqref="AC4691:AC4696">
    <cfRule type="cellIs" dxfId="2928" priority="2860" stopIfTrue="1" operator="greaterThan">
      <formula>0</formula>
    </cfRule>
  </conditionalFormatting>
  <conditionalFormatting sqref="AD4691:AD4696">
    <cfRule type="containsText" dxfId="2927" priority="2858" stopIfTrue="1" operator="containsText" text="NO CUMPLE">
      <formula>NOT(ISERROR(SEARCH("NO CUMPLE",AD4691)))</formula>
    </cfRule>
    <cfRule type="containsText" dxfId="2926" priority="2859" stopIfTrue="1" operator="containsText" text="CUMPLE">
      <formula>NOT(ISERROR(SEARCH("CUMPLE",AD4691)))</formula>
    </cfRule>
  </conditionalFormatting>
  <conditionalFormatting sqref="Y4696">
    <cfRule type="containsText" dxfId="2925" priority="2856" stopIfTrue="1" operator="containsText" text="NO CUMPLE">
      <formula>NOT(ISERROR(SEARCH("NO CUMPLE",Y4696)))</formula>
    </cfRule>
    <cfRule type="containsText" dxfId="2924" priority="2857" stopIfTrue="1" operator="containsText" text="CUMPLE">
      <formula>NOT(ISERROR(SEARCH("CUMPLE",Y4696)))</formula>
    </cfRule>
  </conditionalFormatting>
  <conditionalFormatting sqref="AA4673:AA4682">
    <cfRule type="cellIs" dxfId="2923" priority="2854" stopIfTrue="1" operator="equal">
      <formula>"NO APLICA"</formula>
    </cfRule>
    <cfRule type="cellIs" dxfId="2922" priority="2855" stopIfTrue="1" operator="equal">
      <formula>"TERCIARIA"</formula>
    </cfRule>
  </conditionalFormatting>
  <conditionalFormatting sqref="AB4673:AB4682">
    <cfRule type="cellIs" dxfId="2921" priority="2852" stopIfTrue="1" operator="equal">
      <formula>"N/A"</formula>
    </cfRule>
    <cfRule type="cellIs" dxfId="2920" priority="2853" stopIfTrue="1" operator="equal">
      <formula>"NO"</formula>
    </cfRule>
  </conditionalFormatting>
  <conditionalFormatting sqref="M4703:M4712">
    <cfRule type="cellIs" dxfId="2919" priority="2851" stopIfTrue="1" operator="lessThan">
      <formula>0</formula>
    </cfRule>
  </conditionalFormatting>
  <conditionalFormatting sqref="C4705:D4711 B4704:B4711 F4705:I4711 C4704:I4704 B4712:O4712 B4703:R4703 Q4704:R4705 J4704:O4711 Q4706:Q4712 P4704:P4712">
    <cfRule type="cellIs" dxfId="2918" priority="2850" stopIfTrue="1" operator="greaterThan">
      <formula>0</formula>
    </cfRule>
  </conditionalFormatting>
  <conditionalFormatting sqref="C4705:D4711">
    <cfRule type="cellIs" dxfId="2917" priority="2849" stopIfTrue="1" operator="greaterThan">
      <formula>0</formula>
    </cfRule>
  </conditionalFormatting>
  <conditionalFormatting sqref="C4703:M4703 C4705:D4711 F4705:I4711 C4704:I4704 K4704:M4711 J4704:J4712 L4712:M4712">
    <cfRule type="cellIs" dxfId="2916" priority="2848" stopIfTrue="1" operator="greaterThan">
      <formula>0</formula>
    </cfRule>
  </conditionalFormatting>
  <conditionalFormatting sqref="M4703:M4712">
    <cfRule type="cellIs" dxfId="2915" priority="2847" stopIfTrue="1" operator="lessThan">
      <formula>0</formula>
    </cfRule>
  </conditionalFormatting>
  <conditionalFormatting sqref="J4704:J4712 L4704:O4712 C4703:O4703">
    <cfRule type="cellIs" dxfId="2914" priority="2846" stopIfTrue="1" operator="greaterThan">
      <formula>0</formula>
    </cfRule>
  </conditionalFormatting>
  <conditionalFormatting sqref="H4705:I4711 K4705:M4712">
    <cfRule type="cellIs" dxfId="2913" priority="2845" stopIfTrue="1" operator="greaterThan">
      <formula>0</formula>
    </cfRule>
  </conditionalFormatting>
  <conditionalFormatting sqref="I4704">
    <cfRule type="cellIs" dxfId="2912" priority="2844" stopIfTrue="1" operator="greaterThan">
      <formula>0</formula>
    </cfRule>
  </conditionalFormatting>
  <conditionalFormatting sqref="I4712">
    <cfRule type="cellIs" dxfId="2911" priority="2843" stopIfTrue="1" operator="greaterThan">
      <formula>0</formula>
    </cfRule>
  </conditionalFormatting>
  <conditionalFormatting sqref="E4705:E4711">
    <cfRule type="cellIs" dxfId="2910" priority="2842" stopIfTrue="1" operator="greaterThan">
      <formula>0</formula>
    </cfRule>
  </conditionalFormatting>
  <conditionalFormatting sqref="K4720:K4725">
    <cfRule type="containsText" dxfId="2909" priority="2840" stopIfTrue="1" operator="containsText" text="NO CUMPLE">
      <formula>NOT(ISERROR(SEARCH("NO CUMPLE",K4720)))</formula>
    </cfRule>
    <cfRule type="containsText" dxfId="2908" priority="2841" stopIfTrue="1" operator="containsText" text="CUMPLE">
      <formula>NOT(ISERROR(SEARCH("CUMPLE",K4720)))</formula>
    </cfRule>
  </conditionalFormatting>
  <conditionalFormatting sqref="K4726">
    <cfRule type="containsText" dxfId="2907" priority="2838" stopIfTrue="1" operator="containsText" text="NO CUMPLE">
      <formula>NOT(ISERROR(SEARCH("NO CUMPLE",K4726)))</formula>
    </cfRule>
    <cfRule type="containsText" dxfId="2906" priority="2839" stopIfTrue="1" operator="containsText" text="CUMPLE">
      <formula>NOT(ISERROR(SEARCH("CUMPLE",K4726)))</formula>
    </cfRule>
  </conditionalFormatting>
  <conditionalFormatting sqref="Q4719">
    <cfRule type="cellIs" dxfId="2905" priority="2836" operator="greaterThanOrEqual">
      <formula>NUMMINCONT</formula>
    </cfRule>
    <cfRule type="cellIs" dxfId="2904" priority="2837" operator="lessThan">
      <formula>NUMMINCONT</formula>
    </cfRule>
  </conditionalFormatting>
  <conditionalFormatting sqref="W4703:Y4711">
    <cfRule type="cellIs" dxfId="2903" priority="2834" stopIfTrue="1" operator="equal">
      <formula>"NO"</formula>
    </cfRule>
    <cfRule type="cellIs" dxfId="2902" priority="2835" stopIfTrue="1" operator="equal">
      <formula>"SI"</formula>
    </cfRule>
  </conditionalFormatting>
  <conditionalFormatting sqref="R4706">
    <cfRule type="cellIs" dxfId="2901" priority="2833" stopIfTrue="1" operator="greaterThan">
      <formula>0</formula>
    </cfRule>
  </conditionalFormatting>
  <conditionalFormatting sqref="R4707">
    <cfRule type="cellIs" dxfId="2900" priority="2832" stopIfTrue="1" operator="greaterThan">
      <formula>0</formula>
    </cfRule>
  </conditionalFormatting>
  <conditionalFormatting sqref="R4708">
    <cfRule type="cellIs" dxfId="2899" priority="2831" stopIfTrue="1" operator="greaterThan">
      <formula>0</formula>
    </cfRule>
  </conditionalFormatting>
  <conditionalFormatting sqref="R4709">
    <cfRule type="cellIs" dxfId="2898" priority="2830" stopIfTrue="1" operator="greaterThan">
      <formula>0</formula>
    </cfRule>
  </conditionalFormatting>
  <conditionalFormatting sqref="R4710">
    <cfRule type="cellIs" dxfId="2897" priority="2829" stopIfTrue="1" operator="greaterThan">
      <formula>0</formula>
    </cfRule>
  </conditionalFormatting>
  <conditionalFormatting sqref="R4711">
    <cfRule type="cellIs" dxfId="2896" priority="2828" stopIfTrue="1" operator="greaterThan">
      <formula>0</formula>
    </cfRule>
  </conditionalFormatting>
  <conditionalFormatting sqref="R4712">
    <cfRule type="cellIs" dxfId="2895" priority="2827" stopIfTrue="1" operator="greaterThan">
      <formula>0</formula>
    </cfRule>
  </conditionalFormatting>
  <conditionalFormatting sqref="W4703:X4703">
    <cfRule type="cellIs" dxfId="2894" priority="2826" stopIfTrue="1" operator="equal">
      <formula>"NO APLICA"</formula>
    </cfRule>
  </conditionalFormatting>
  <conditionalFormatting sqref="W4704:X4707">
    <cfRule type="cellIs" dxfId="2893" priority="2825" stopIfTrue="1" operator="equal">
      <formula>"NO APLICA"</formula>
    </cfRule>
  </conditionalFormatting>
  <conditionalFormatting sqref="W4704:X4704">
    <cfRule type="cellIs" dxfId="2892" priority="2824" stopIfTrue="1" operator="equal">
      <formula>"NO APLICA"</formula>
    </cfRule>
  </conditionalFormatting>
  <conditionalFormatting sqref="Y4703">
    <cfRule type="cellIs" dxfId="2891" priority="2823" stopIfTrue="1" operator="equal">
      <formula>"NO APLICA"</formula>
    </cfRule>
  </conditionalFormatting>
  <conditionalFormatting sqref="Y4704:Y4707">
    <cfRule type="cellIs" dxfId="2890" priority="2822" stopIfTrue="1" operator="equal">
      <formula>"NO APLICA"</formula>
    </cfRule>
  </conditionalFormatting>
  <conditionalFormatting sqref="W4708:X4711">
    <cfRule type="cellIs" dxfId="2889" priority="2821" stopIfTrue="1" operator="equal">
      <formula>"NO APLICA"</formula>
    </cfRule>
  </conditionalFormatting>
  <conditionalFormatting sqref="W4708:X4708">
    <cfRule type="cellIs" dxfId="2888" priority="2820" stopIfTrue="1" operator="equal">
      <formula>"NO APLICA"</formula>
    </cfRule>
  </conditionalFormatting>
  <conditionalFormatting sqref="Y4708:Y4711">
    <cfRule type="cellIs" dxfId="2887" priority="2819" stopIfTrue="1" operator="equal">
      <formula>"NO APLICA"</formula>
    </cfRule>
  </conditionalFormatting>
  <conditionalFormatting sqref="T4717">
    <cfRule type="cellIs" dxfId="2886" priority="2817" operator="equal">
      <formula>"CUMPLE"</formula>
    </cfRule>
    <cfRule type="cellIs" dxfId="2885" priority="2818" operator="equal">
      <formula>"NO CUMPLE"</formula>
    </cfRule>
  </conditionalFormatting>
  <conditionalFormatting sqref="T4717:T4719">
    <cfRule type="cellIs" dxfId="2884" priority="2816" operator="equal">
      <formula>"VERIFICAR"</formula>
    </cfRule>
  </conditionalFormatting>
  <conditionalFormatting sqref="AD4703:AF4707">
    <cfRule type="cellIs" dxfId="2883" priority="2814" stopIfTrue="1" operator="equal">
      <formula>"NO"</formula>
    </cfRule>
    <cfRule type="cellIs" dxfId="2882" priority="2815" stopIfTrue="1" operator="equal">
      <formula>"SI"</formula>
    </cfRule>
  </conditionalFormatting>
  <conditionalFormatting sqref="AD4708:AF4711">
    <cfRule type="cellIs" dxfId="2881" priority="2812" stopIfTrue="1" operator="equal">
      <formula>"NO"</formula>
    </cfRule>
    <cfRule type="cellIs" dxfId="2880" priority="2813" stopIfTrue="1" operator="equal">
      <formula>"SI"</formula>
    </cfRule>
  </conditionalFormatting>
  <conditionalFormatting sqref="W4712:Y4712">
    <cfRule type="cellIs" dxfId="2879" priority="2810" stopIfTrue="1" operator="equal">
      <formula>"NO"</formula>
    </cfRule>
    <cfRule type="cellIs" dxfId="2878" priority="2811" stopIfTrue="1" operator="equal">
      <formula>"SI"</formula>
    </cfRule>
  </conditionalFormatting>
  <conditionalFormatting sqref="W4712:X4712">
    <cfRule type="cellIs" dxfId="2877" priority="2809" stopIfTrue="1" operator="equal">
      <formula>"NO APLICA"</formula>
    </cfRule>
  </conditionalFormatting>
  <conditionalFormatting sqref="Y4712">
    <cfRule type="cellIs" dxfId="2876" priority="2808" stopIfTrue="1" operator="equal">
      <formula>"NO APLICA"</formula>
    </cfRule>
  </conditionalFormatting>
  <conditionalFormatting sqref="AD4712:AF4712">
    <cfRule type="cellIs" dxfId="2875" priority="2806" stopIfTrue="1" operator="equal">
      <formula>"NO"</formula>
    </cfRule>
    <cfRule type="cellIs" dxfId="2874" priority="2807" stopIfTrue="1" operator="equal">
      <formula>"SI"</formula>
    </cfRule>
  </conditionalFormatting>
  <conditionalFormatting sqref="AE4717">
    <cfRule type="cellIs" dxfId="2873" priority="2803" stopIfTrue="1" operator="equal">
      <formula>"VERIFICAR"</formula>
    </cfRule>
    <cfRule type="cellIs" dxfId="2872" priority="2804" stopIfTrue="1" operator="equal">
      <formula>"NO CUMPLE"</formula>
    </cfRule>
    <cfRule type="cellIs" dxfId="2871" priority="2805" stopIfTrue="1" operator="equal">
      <formula>"CUMPLE"</formula>
    </cfRule>
  </conditionalFormatting>
  <conditionalFormatting sqref="AF4717">
    <cfRule type="cellIs" dxfId="2870" priority="2800" stopIfTrue="1" operator="equal">
      <formula>"VERIFICAR"</formula>
    </cfRule>
    <cfRule type="cellIs" dxfId="2869" priority="2801" stopIfTrue="1" operator="equal">
      <formula>"NO CUMPLE"</formula>
    </cfRule>
    <cfRule type="cellIs" dxfId="2868" priority="2802" stopIfTrue="1" operator="equal">
      <formula>"CUMPLE"</formula>
    </cfRule>
  </conditionalFormatting>
  <conditionalFormatting sqref="Y4720">
    <cfRule type="cellIs" dxfId="2867" priority="2799" operator="equal">
      <formula>"VERIFICAR CUADRO"</formula>
    </cfRule>
  </conditionalFormatting>
  <conditionalFormatting sqref="AC4721:AC4726">
    <cfRule type="cellIs" dxfId="2866" priority="2798" stopIfTrue="1" operator="greaterThan">
      <formula>0</formula>
    </cfRule>
  </conditionalFormatting>
  <conditionalFormatting sqref="AC4721:AC4726">
    <cfRule type="cellIs" dxfId="2865" priority="2797" stopIfTrue="1" operator="greaterThan">
      <formula>0</formula>
    </cfRule>
  </conditionalFormatting>
  <conditionalFormatting sqref="AD4721:AD4726">
    <cfRule type="containsText" dxfId="2864" priority="2795" stopIfTrue="1" operator="containsText" text="NO CUMPLE">
      <formula>NOT(ISERROR(SEARCH("NO CUMPLE",AD4721)))</formula>
    </cfRule>
    <cfRule type="containsText" dxfId="2863" priority="2796" stopIfTrue="1" operator="containsText" text="CUMPLE">
      <formula>NOT(ISERROR(SEARCH("CUMPLE",AD4721)))</formula>
    </cfRule>
  </conditionalFormatting>
  <conditionalFormatting sqref="Y4726">
    <cfRule type="containsText" dxfId="2862" priority="2793" stopIfTrue="1" operator="containsText" text="NO CUMPLE">
      <formula>NOT(ISERROR(SEARCH("NO CUMPLE",Y4726)))</formula>
    </cfRule>
    <cfRule type="containsText" dxfId="2861" priority="2794" stopIfTrue="1" operator="containsText" text="CUMPLE">
      <formula>NOT(ISERROR(SEARCH("CUMPLE",Y4726)))</formula>
    </cfRule>
  </conditionalFormatting>
  <conditionalFormatting sqref="AA4703:AA4712">
    <cfRule type="cellIs" dxfId="2860" priority="2791" stopIfTrue="1" operator="equal">
      <formula>"NO APLICA"</formula>
    </cfRule>
    <cfRule type="cellIs" dxfId="2859" priority="2792" stopIfTrue="1" operator="equal">
      <formula>"TERCIARIA"</formula>
    </cfRule>
  </conditionalFormatting>
  <conditionalFormatting sqref="AB4703:AB4712">
    <cfRule type="cellIs" dxfId="2858" priority="2789" stopIfTrue="1" operator="equal">
      <formula>"N/A"</formula>
    </cfRule>
    <cfRule type="cellIs" dxfId="2857" priority="2790" stopIfTrue="1" operator="equal">
      <formula>"NO"</formula>
    </cfRule>
  </conditionalFormatting>
  <conditionalFormatting sqref="M4733:M4742">
    <cfRule type="cellIs" dxfId="2856" priority="2788" stopIfTrue="1" operator="lessThan">
      <formula>0</formula>
    </cfRule>
  </conditionalFormatting>
  <conditionalFormatting sqref="C4735:D4741 B4734:B4741 F4735:I4741 C4734:I4734 B4742:O4742 B4733:R4733 Q4734:R4735 J4734:O4741 Q4736:Q4742 P4734:P4742">
    <cfRule type="cellIs" dxfId="2855" priority="2787" stopIfTrue="1" operator="greaterThan">
      <formula>0</formula>
    </cfRule>
  </conditionalFormatting>
  <conditionalFormatting sqref="C4735:D4741">
    <cfRule type="cellIs" dxfId="2854" priority="2786" stopIfTrue="1" operator="greaterThan">
      <formula>0</formula>
    </cfRule>
  </conditionalFormatting>
  <conditionalFormatting sqref="C4733:M4733 C4735:D4741 F4735:I4741 C4734:I4734 K4734:M4741 J4734:J4742 L4742:M4742">
    <cfRule type="cellIs" dxfId="2853" priority="2785" stopIfTrue="1" operator="greaterThan">
      <formula>0</formula>
    </cfRule>
  </conditionalFormatting>
  <conditionalFormatting sqref="M4733:M4742">
    <cfRule type="cellIs" dxfId="2852" priority="2784" stopIfTrue="1" operator="lessThan">
      <formula>0</formula>
    </cfRule>
  </conditionalFormatting>
  <conditionalFormatting sqref="J4734:J4742 L4734:O4742 C4733:O4733">
    <cfRule type="cellIs" dxfId="2851" priority="2783" stopIfTrue="1" operator="greaterThan">
      <formula>0</formula>
    </cfRule>
  </conditionalFormatting>
  <conditionalFormatting sqref="H4735:I4741 K4735:M4742">
    <cfRule type="cellIs" dxfId="2850" priority="2782" stopIfTrue="1" operator="greaterThan">
      <formula>0</formula>
    </cfRule>
  </conditionalFormatting>
  <conditionalFormatting sqref="I4734">
    <cfRule type="cellIs" dxfId="2849" priority="2781" stopIfTrue="1" operator="greaterThan">
      <formula>0</formula>
    </cfRule>
  </conditionalFormatting>
  <conditionalFormatting sqref="I4742">
    <cfRule type="cellIs" dxfId="2848" priority="2780" stopIfTrue="1" operator="greaterThan">
      <formula>0</formula>
    </cfRule>
  </conditionalFormatting>
  <conditionalFormatting sqref="E4735:E4741">
    <cfRule type="cellIs" dxfId="2847" priority="2779" stopIfTrue="1" operator="greaterThan">
      <formula>0</formula>
    </cfRule>
  </conditionalFormatting>
  <conditionalFormatting sqref="K4750:K4755">
    <cfRule type="containsText" dxfId="2846" priority="2777" stopIfTrue="1" operator="containsText" text="NO CUMPLE">
      <formula>NOT(ISERROR(SEARCH("NO CUMPLE",K4750)))</formula>
    </cfRule>
    <cfRule type="containsText" dxfId="2845" priority="2778" stopIfTrue="1" operator="containsText" text="CUMPLE">
      <formula>NOT(ISERROR(SEARCH("CUMPLE",K4750)))</formula>
    </cfRule>
  </conditionalFormatting>
  <conditionalFormatting sqref="K4756">
    <cfRule type="containsText" dxfId="2844" priority="2775" stopIfTrue="1" operator="containsText" text="NO CUMPLE">
      <formula>NOT(ISERROR(SEARCH("NO CUMPLE",K4756)))</formula>
    </cfRule>
    <cfRule type="containsText" dxfId="2843" priority="2776" stopIfTrue="1" operator="containsText" text="CUMPLE">
      <formula>NOT(ISERROR(SEARCH("CUMPLE",K4756)))</formula>
    </cfRule>
  </conditionalFormatting>
  <conditionalFormatting sqref="Q4749">
    <cfRule type="cellIs" dxfId="2842" priority="2773" operator="greaterThanOrEqual">
      <formula>NUMMINCONT</formula>
    </cfRule>
    <cfRule type="cellIs" dxfId="2841" priority="2774" operator="lessThan">
      <formula>NUMMINCONT</formula>
    </cfRule>
  </conditionalFormatting>
  <conditionalFormatting sqref="W4733:Y4741">
    <cfRule type="cellIs" dxfId="2840" priority="2771" stopIfTrue="1" operator="equal">
      <formula>"NO"</formula>
    </cfRule>
    <cfRule type="cellIs" dxfId="2839" priority="2772" stopIfTrue="1" operator="equal">
      <formula>"SI"</formula>
    </cfRule>
  </conditionalFormatting>
  <conditionalFormatting sqref="R4736">
    <cfRule type="cellIs" dxfId="2838" priority="2770" stopIfTrue="1" operator="greaterThan">
      <formula>0</formula>
    </cfRule>
  </conditionalFormatting>
  <conditionalFormatting sqref="R4737">
    <cfRule type="cellIs" dxfId="2837" priority="2769" stopIfTrue="1" operator="greaterThan">
      <formula>0</formula>
    </cfRule>
  </conditionalFormatting>
  <conditionalFormatting sqref="R4738">
    <cfRule type="cellIs" dxfId="2836" priority="2768" stopIfTrue="1" operator="greaterThan">
      <formula>0</formula>
    </cfRule>
  </conditionalFormatting>
  <conditionalFormatting sqref="R4739">
    <cfRule type="cellIs" dxfId="2835" priority="2767" stopIfTrue="1" operator="greaterThan">
      <formula>0</formula>
    </cfRule>
  </conditionalFormatting>
  <conditionalFormatting sqref="R4740">
    <cfRule type="cellIs" dxfId="2834" priority="2766" stopIfTrue="1" operator="greaterThan">
      <formula>0</formula>
    </cfRule>
  </conditionalFormatting>
  <conditionalFormatting sqref="R4741">
    <cfRule type="cellIs" dxfId="2833" priority="2765" stopIfTrue="1" operator="greaterThan">
      <formula>0</formula>
    </cfRule>
  </conditionalFormatting>
  <conditionalFormatting sqref="R4742">
    <cfRule type="cellIs" dxfId="2832" priority="2764" stopIfTrue="1" operator="greaterThan">
      <formula>0</formula>
    </cfRule>
  </conditionalFormatting>
  <conditionalFormatting sqref="W4733:X4733">
    <cfRule type="cellIs" dxfId="2831" priority="2763" stopIfTrue="1" operator="equal">
      <formula>"NO APLICA"</formula>
    </cfRule>
  </conditionalFormatting>
  <conditionalFormatting sqref="W4734:X4737">
    <cfRule type="cellIs" dxfId="2830" priority="2762" stopIfTrue="1" operator="equal">
      <formula>"NO APLICA"</formula>
    </cfRule>
  </conditionalFormatting>
  <conditionalFormatting sqref="W4734:X4734">
    <cfRule type="cellIs" dxfId="2829" priority="2761" stopIfTrue="1" operator="equal">
      <formula>"NO APLICA"</formula>
    </cfRule>
  </conditionalFormatting>
  <conditionalFormatting sqref="Y4733">
    <cfRule type="cellIs" dxfId="2828" priority="2760" stopIfTrue="1" operator="equal">
      <formula>"NO APLICA"</formula>
    </cfRule>
  </conditionalFormatting>
  <conditionalFormatting sqref="Y4734:Y4737">
    <cfRule type="cellIs" dxfId="2827" priority="2759" stopIfTrue="1" operator="equal">
      <formula>"NO APLICA"</formula>
    </cfRule>
  </conditionalFormatting>
  <conditionalFormatting sqref="W4738:X4741">
    <cfRule type="cellIs" dxfId="2826" priority="2758" stopIfTrue="1" operator="equal">
      <formula>"NO APLICA"</formula>
    </cfRule>
  </conditionalFormatting>
  <conditionalFormatting sqref="W4738:X4738">
    <cfRule type="cellIs" dxfId="2825" priority="2757" stopIfTrue="1" operator="equal">
      <formula>"NO APLICA"</formula>
    </cfRule>
  </conditionalFormatting>
  <conditionalFormatting sqref="Y4738:Y4741">
    <cfRule type="cellIs" dxfId="2824" priority="2756" stopIfTrue="1" operator="equal">
      <formula>"NO APLICA"</formula>
    </cfRule>
  </conditionalFormatting>
  <conditionalFormatting sqref="T4747">
    <cfRule type="cellIs" dxfId="2823" priority="2754" operator="equal">
      <formula>"CUMPLE"</formula>
    </cfRule>
    <cfRule type="cellIs" dxfId="2822" priority="2755" operator="equal">
      <formula>"NO CUMPLE"</formula>
    </cfRule>
  </conditionalFormatting>
  <conditionalFormatting sqref="T4747:T4749">
    <cfRule type="cellIs" dxfId="2821" priority="2753" operator="equal">
      <formula>"VERIFICAR"</formula>
    </cfRule>
  </conditionalFormatting>
  <conditionalFormatting sqref="AD4733:AF4737">
    <cfRule type="cellIs" dxfId="2820" priority="2751" stopIfTrue="1" operator="equal">
      <formula>"NO"</formula>
    </cfRule>
    <cfRule type="cellIs" dxfId="2819" priority="2752" stopIfTrue="1" operator="equal">
      <formula>"SI"</formula>
    </cfRule>
  </conditionalFormatting>
  <conditionalFormatting sqref="AD4738:AF4741">
    <cfRule type="cellIs" dxfId="2818" priority="2749" stopIfTrue="1" operator="equal">
      <formula>"NO"</formula>
    </cfRule>
    <cfRule type="cellIs" dxfId="2817" priority="2750" stopIfTrue="1" operator="equal">
      <formula>"SI"</formula>
    </cfRule>
  </conditionalFormatting>
  <conditionalFormatting sqref="W4742:Y4742">
    <cfRule type="cellIs" dxfId="2816" priority="2747" stopIfTrue="1" operator="equal">
      <formula>"NO"</formula>
    </cfRule>
    <cfRule type="cellIs" dxfId="2815" priority="2748" stopIfTrue="1" operator="equal">
      <formula>"SI"</formula>
    </cfRule>
  </conditionalFormatting>
  <conditionalFormatting sqref="W4742:X4742">
    <cfRule type="cellIs" dxfId="2814" priority="2746" stopIfTrue="1" operator="equal">
      <formula>"NO APLICA"</formula>
    </cfRule>
  </conditionalFormatting>
  <conditionalFormatting sqref="Y4742">
    <cfRule type="cellIs" dxfId="2813" priority="2745" stopIfTrue="1" operator="equal">
      <formula>"NO APLICA"</formula>
    </cfRule>
  </conditionalFormatting>
  <conditionalFormatting sqref="AD4742:AF4742">
    <cfRule type="cellIs" dxfId="2812" priority="2743" stopIfTrue="1" operator="equal">
      <formula>"NO"</formula>
    </cfRule>
    <cfRule type="cellIs" dxfId="2811" priority="2744" stopIfTrue="1" operator="equal">
      <formula>"SI"</formula>
    </cfRule>
  </conditionalFormatting>
  <conditionalFormatting sqref="AE4747">
    <cfRule type="cellIs" dxfId="2810" priority="2740" stopIfTrue="1" operator="equal">
      <formula>"VERIFICAR"</formula>
    </cfRule>
    <cfRule type="cellIs" dxfId="2809" priority="2741" stopIfTrue="1" operator="equal">
      <formula>"NO CUMPLE"</formula>
    </cfRule>
    <cfRule type="cellIs" dxfId="2808" priority="2742" stopIfTrue="1" operator="equal">
      <formula>"CUMPLE"</formula>
    </cfRule>
  </conditionalFormatting>
  <conditionalFormatting sqref="AF4747">
    <cfRule type="cellIs" dxfId="2807" priority="2737" stopIfTrue="1" operator="equal">
      <formula>"VERIFICAR"</formula>
    </cfRule>
    <cfRule type="cellIs" dxfId="2806" priority="2738" stopIfTrue="1" operator="equal">
      <formula>"NO CUMPLE"</formula>
    </cfRule>
    <cfRule type="cellIs" dxfId="2805" priority="2739" stopIfTrue="1" operator="equal">
      <formula>"CUMPLE"</formula>
    </cfRule>
  </conditionalFormatting>
  <conditionalFormatting sqref="Y4750">
    <cfRule type="cellIs" dxfId="2804" priority="2736" operator="equal">
      <formula>"VERIFICAR CUADRO"</formula>
    </cfRule>
  </conditionalFormatting>
  <conditionalFormatting sqref="AC4751:AC4756">
    <cfRule type="cellIs" dxfId="2803" priority="2735" stopIfTrue="1" operator="greaterThan">
      <formula>0</formula>
    </cfRule>
  </conditionalFormatting>
  <conditionalFormatting sqref="AC4751:AC4756">
    <cfRule type="cellIs" dxfId="2802" priority="2734" stopIfTrue="1" operator="greaterThan">
      <formula>0</formula>
    </cfRule>
  </conditionalFormatting>
  <conditionalFormatting sqref="AD4751:AD4756">
    <cfRule type="containsText" dxfId="2801" priority="2732" stopIfTrue="1" operator="containsText" text="NO CUMPLE">
      <formula>NOT(ISERROR(SEARCH("NO CUMPLE",AD4751)))</formula>
    </cfRule>
    <cfRule type="containsText" dxfId="2800" priority="2733" stopIfTrue="1" operator="containsText" text="CUMPLE">
      <formula>NOT(ISERROR(SEARCH("CUMPLE",AD4751)))</formula>
    </cfRule>
  </conditionalFormatting>
  <conditionalFormatting sqref="Y4756">
    <cfRule type="containsText" dxfId="2799" priority="2730" stopIfTrue="1" operator="containsText" text="NO CUMPLE">
      <formula>NOT(ISERROR(SEARCH("NO CUMPLE",Y4756)))</formula>
    </cfRule>
    <cfRule type="containsText" dxfId="2798" priority="2731" stopIfTrue="1" operator="containsText" text="CUMPLE">
      <formula>NOT(ISERROR(SEARCH("CUMPLE",Y4756)))</formula>
    </cfRule>
  </conditionalFormatting>
  <conditionalFormatting sqref="AA4733:AA4742">
    <cfRule type="cellIs" dxfId="2797" priority="2728" stopIfTrue="1" operator="equal">
      <formula>"NO APLICA"</formula>
    </cfRule>
    <cfRule type="cellIs" dxfId="2796" priority="2729" stopIfTrue="1" operator="equal">
      <formula>"TERCIARIA"</formula>
    </cfRule>
  </conditionalFormatting>
  <conditionalFormatting sqref="AB4733:AB4742">
    <cfRule type="cellIs" dxfId="2795" priority="2726" stopIfTrue="1" operator="equal">
      <formula>"N/A"</formula>
    </cfRule>
    <cfRule type="cellIs" dxfId="2794" priority="2727" stopIfTrue="1" operator="equal">
      <formula>"NO"</formula>
    </cfRule>
  </conditionalFormatting>
  <conditionalFormatting sqref="M4763:M4772">
    <cfRule type="cellIs" dxfId="2793" priority="2725" stopIfTrue="1" operator="lessThan">
      <formula>0</formula>
    </cfRule>
  </conditionalFormatting>
  <conditionalFormatting sqref="C4765:D4771 B4764:B4771 F4765:I4771 C4764:I4764 B4772:O4772 B4763:R4763 Q4764:R4765 J4764:O4771 Q4766:Q4772 P4764:P4772">
    <cfRule type="cellIs" dxfId="2792" priority="2724" stopIfTrue="1" operator="greaterThan">
      <formula>0</formula>
    </cfRule>
  </conditionalFormatting>
  <conditionalFormatting sqref="C4765:D4771">
    <cfRule type="cellIs" dxfId="2791" priority="2723" stopIfTrue="1" operator="greaterThan">
      <formula>0</formula>
    </cfRule>
  </conditionalFormatting>
  <conditionalFormatting sqref="C4763:M4763 C4765:D4771 F4765:I4771 C4764:I4764 K4764:M4771 J4764:J4772 L4772:M4772">
    <cfRule type="cellIs" dxfId="2790" priority="2722" stopIfTrue="1" operator="greaterThan">
      <formula>0</formula>
    </cfRule>
  </conditionalFormatting>
  <conditionalFormatting sqref="M4763:M4772">
    <cfRule type="cellIs" dxfId="2789" priority="2721" stopIfTrue="1" operator="lessThan">
      <formula>0</formula>
    </cfRule>
  </conditionalFormatting>
  <conditionalFormatting sqref="J4764:J4772 L4764:O4772 C4763:O4763">
    <cfRule type="cellIs" dxfId="2788" priority="2720" stopIfTrue="1" operator="greaterThan">
      <formula>0</formula>
    </cfRule>
  </conditionalFormatting>
  <conditionalFormatting sqref="H4765:I4771 K4765:M4772">
    <cfRule type="cellIs" dxfId="2787" priority="2719" stopIfTrue="1" operator="greaterThan">
      <formula>0</formula>
    </cfRule>
  </conditionalFormatting>
  <conditionalFormatting sqref="I4764">
    <cfRule type="cellIs" dxfId="2786" priority="2718" stopIfTrue="1" operator="greaterThan">
      <formula>0</formula>
    </cfRule>
  </conditionalFormatting>
  <conditionalFormatting sqref="I4772">
    <cfRule type="cellIs" dxfId="2785" priority="2717" stopIfTrue="1" operator="greaterThan">
      <formula>0</formula>
    </cfRule>
  </conditionalFormatting>
  <conditionalFormatting sqref="E4765:E4771">
    <cfRule type="cellIs" dxfId="2784" priority="2716" stopIfTrue="1" operator="greaterThan">
      <formula>0</formula>
    </cfRule>
  </conditionalFormatting>
  <conditionalFormatting sqref="K4780:K4785">
    <cfRule type="containsText" dxfId="2783" priority="2714" stopIfTrue="1" operator="containsText" text="NO CUMPLE">
      <formula>NOT(ISERROR(SEARCH("NO CUMPLE",K4780)))</formula>
    </cfRule>
    <cfRule type="containsText" dxfId="2782" priority="2715" stopIfTrue="1" operator="containsText" text="CUMPLE">
      <formula>NOT(ISERROR(SEARCH("CUMPLE",K4780)))</formula>
    </cfRule>
  </conditionalFormatting>
  <conditionalFormatting sqref="K4786">
    <cfRule type="containsText" dxfId="2781" priority="2712" stopIfTrue="1" operator="containsText" text="NO CUMPLE">
      <formula>NOT(ISERROR(SEARCH("NO CUMPLE",K4786)))</formula>
    </cfRule>
    <cfRule type="containsText" dxfId="2780" priority="2713" stopIfTrue="1" operator="containsText" text="CUMPLE">
      <formula>NOT(ISERROR(SEARCH("CUMPLE",K4786)))</formula>
    </cfRule>
  </conditionalFormatting>
  <conditionalFormatting sqref="Q4779">
    <cfRule type="cellIs" dxfId="2779" priority="2710" operator="greaterThanOrEqual">
      <formula>NUMMINCONT</formula>
    </cfRule>
    <cfRule type="cellIs" dxfId="2778" priority="2711" operator="lessThan">
      <formula>NUMMINCONT</formula>
    </cfRule>
  </conditionalFormatting>
  <conditionalFormatting sqref="W4763:Y4771">
    <cfRule type="cellIs" dxfId="2777" priority="2708" stopIfTrue="1" operator="equal">
      <formula>"NO"</formula>
    </cfRule>
    <cfRule type="cellIs" dxfId="2776" priority="2709" stopIfTrue="1" operator="equal">
      <formula>"SI"</formula>
    </cfRule>
  </conditionalFormatting>
  <conditionalFormatting sqref="R4766">
    <cfRule type="cellIs" dxfId="2775" priority="2707" stopIfTrue="1" operator="greaterThan">
      <formula>0</formula>
    </cfRule>
  </conditionalFormatting>
  <conditionalFormatting sqref="R4767">
    <cfRule type="cellIs" dxfId="2774" priority="2706" stopIfTrue="1" operator="greaterThan">
      <formula>0</formula>
    </cfRule>
  </conditionalFormatting>
  <conditionalFormatting sqref="R4768">
    <cfRule type="cellIs" dxfId="2773" priority="2705" stopIfTrue="1" operator="greaterThan">
      <formula>0</formula>
    </cfRule>
  </conditionalFormatting>
  <conditionalFormatting sqref="R4769">
    <cfRule type="cellIs" dxfId="2772" priority="2704" stopIfTrue="1" operator="greaterThan">
      <formula>0</formula>
    </cfRule>
  </conditionalFormatting>
  <conditionalFormatting sqref="R4770">
    <cfRule type="cellIs" dxfId="2771" priority="2703" stopIfTrue="1" operator="greaterThan">
      <formula>0</formula>
    </cfRule>
  </conditionalFormatting>
  <conditionalFormatting sqref="R4771">
    <cfRule type="cellIs" dxfId="2770" priority="2702" stopIfTrue="1" operator="greaterThan">
      <formula>0</formula>
    </cfRule>
  </conditionalFormatting>
  <conditionalFormatting sqref="R4772">
    <cfRule type="cellIs" dxfId="2769" priority="2701" stopIfTrue="1" operator="greaterThan">
      <formula>0</formula>
    </cfRule>
  </conditionalFormatting>
  <conditionalFormatting sqref="W4763:X4763">
    <cfRule type="cellIs" dxfId="2768" priority="2700" stopIfTrue="1" operator="equal">
      <formula>"NO APLICA"</formula>
    </cfRule>
  </conditionalFormatting>
  <conditionalFormatting sqref="W4764:X4767">
    <cfRule type="cellIs" dxfId="2767" priority="2699" stopIfTrue="1" operator="equal">
      <formula>"NO APLICA"</formula>
    </cfRule>
  </conditionalFormatting>
  <conditionalFormatting sqref="W4764:X4764">
    <cfRule type="cellIs" dxfId="2766" priority="2698" stopIfTrue="1" operator="equal">
      <formula>"NO APLICA"</formula>
    </cfRule>
  </conditionalFormatting>
  <conditionalFormatting sqref="Y4763">
    <cfRule type="cellIs" dxfId="2765" priority="2697" stopIfTrue="1" operator="equal">
      <formula>"NO APLICA"</formula>
    </cfRule>
  </conditionalFormatting>
  <conditionalFormatting sqref="Y4764:Y4767">
    <cfRule type="cellIs" dxfId="2764" priority="2696" stopIfTrue="1" operator="equal">
      <formula>"NO APLICA"</formula>
    </cfRule>
  </conditionalFormatting>
  <conditionalFormatting sqref="W4768:X4771">
    <cfRule type="cellIs" dxfId="2763" priority="2695" stopIfTrue="1" operator="equal">
      <formula>"NO APLICA"</formula>
    </cfRule>
  </conditionalFormatting>
  <conditionalFormatting sqref="W4768:X4768">
    <cfRule type="cellIs" dxfId="2762" priority="2694" stopIfTrue="1" operator="equal">
      <formula>"NO APLICA"</formula>
    </cfRule>
  </conditionalFormatting>
  <conditionalFormatting sqref="Y4768:Y4771">
    <cfRule type="cellIs" dxfId="2761" priority="2693" stopIfTrue="1" operator="equal">
      <formula>"NO APLICA"</formula>
    </cfRule>
  </conditionalFormatting>
  <conditionalFormatting sqref="T4777">
    <cfRule type="cellIs" dxfId="2760" priority="2691" operator="equal">
      <formula>"CUMPLE"</formula>
    </cfRule>
    <cfRule type="cellIs" dxfId="2759" priority="2692" operator="equal">
      <formula>"NO CUMPLE"</formula>
    </cfRule>
  </conditionalFormatting>
  <conditionalFormatting sqref="T4777:T4779">
    <cfRule type="cellIs" dxfId="2758" priority="2690" operator="equal">
      <formula>"VERIFICAR"</formula>
    </cfRule>
  </conditionalFormatting>
  <conditionalFormatting sqref="AD4763:AF4767">
    <cfRule type="cellIs" dxfId="2757" priority="2688" stopIfTrue="1" operator="equal">
      <formula>"NO"</formula>
    </cfRule>
    <cfRule type="cellIs" dxfId="2756" priority="2689" stopIfTrue="1" operator="equal">
      <formula>"SI"</formula>
    </cfRule>
  </conditionalFormatting>
  <conditionalFormatting sqref="AD4768:AF4771">
    <cfRule type="cellIs" dxfId="2755" priority="2686" stopIfTrue="1" operator="equal">
      <formula>"NO"</formula>
    </cfRule>
    <cfRule type="cellIs" dxfId="2754" priority="2687" stopIfTrue="1" operator="equal">
      <formula>"SI"</formula>
    </cfRule>
  </conditionalFormatting>
  <conditionalFormatting sqref="W4772:Y4772">
    <cfRule type="cellIs" dxfId="2753" priority="2684" stopIfTrue="1" operator="equal">
      <formula>"NO"</formula>
    </cfRule>
    <cfRule type="cellIs" dxfId="2752" priority="2685" stopIfTrue="1" operator="equal">
      <formula>"SI"</formula>
    </cfRule>
  </conditionalFormatting>
  <conditionalFormatting sqref="W4772:X4772">
    <cfRule type="cellIs" dxfId="2751" priority="2683" stopIfTrue="1" operator="equal">
      <formula>"NO APLICA"</formula>
    </cfRule>
  </conditionalFormatting>
  <conditionalFormatting sqref="Y4772">
    <cfRule type="cellIs" dxfId="2750" priority="2682" stopIfTrue="1" operator="equal">
      <formula>"NO APLICA"</formula>
    </cfRule>
  </conditionalFormatting>
  <conditionalFormatting sqref="AD4772:AF4772">
    <cfRule type="cellIs" dxfId="2749" priority="2680" stopIfTrue="1" operator="equal">
      <formula>"NO"</formula>
    </cfRule>
    <cfRule type="cellIs" dxfId="2748" priority="2681" stopIfTrue="1" operator="equal">
      <formula>"SI"</formula>
    </cfRule>
  </conditionalFormatting>
  <conditionalFormatting sqref="AE4777">
    <cfRule type="cellIs" dxfId="2747" priority="2677" stopIfTrue="1" operator="equal">
      <formula>"VERIFICAR"</formula>
    </cfRule>
    <cfRule type="cellIs" dxfId="2746" priority="2678" stopIfTrue="1" operator="equal">
      <formula>"NO CUMPLE"</formula>
    </cfRule>
    <cfRule type="cellIs" dxfId="2745" priority="2679" stopIfTrue="1" operator="equal">
      <formula>"CUMPLE"</formula>
    </cfRule>
  </conditionalFormatting>
  <conditionalFormatting sqref="AF4777">
    <cfRule type="cellIs" dxfId="2744" priority="2674" stopIfTrue="1" operator="equal">
      <formula>"VERIFICAR"</formula>
    </cfRule>
    <cfRule type="cellIs" dxfId="2743" priority="2675" stopIfTrue="1" operator="equal">
      <formula>"NO CUMPLE"</formula>
    </cfRule>
    <cfRule type="cellIs" dxfId="2742" priority="2676" stopIfTrue="1" operator="equal">
      <formula>"CUMPLE"</formula>
    </cfRule>
  </conditionalFormatting>
  <conditionalFormatting sqref="Y4780">
    <cfRule type="cellIs" dxfId="2741" priority="2673" operator="equal">
      <formula>"VERIFICAR CUADRO"</formula>
    </cfRule>
  </conditionalFormatting>
  <conditionalFormatting sqref="AC4781:AC4786">
    <cfRule type="cellIs" dxfId="2740" priority="2672" stopIfTrue="1" operator="greaterThan">
      <formula>0</formula>
    </cfRule>
  </conditionalFormatting>
  <conditionalFormatting sqref="AC4781:AC4786">
    <cfRule type="cellIs" dxfId="2739" priority="2671" stopIfTrue="1" operator="greaterThan">
      <formula>0</formula>
    </cfRule>
  </conditionalFormatting>
  <conditionalFormatting sqref="AD4781:AD4786">
    <cfRule type="containsText" dxfId="2738" priority="2669" stopIfTrue="1" operator="containsText" text="NO CUMPLE">
      <formula>NOT(ISERROR(SEARCH("NO CUMPLE",AD4781)))</formula>
    </cfRule>
    <cfRule type="containsText" dxfId="2737" priority="2670" stopIfTrue="1" operator="containsText" text="CUMPLE">
      <formula>NOT(ISERROR(SEARCH("CUMPLE",AD4781)))</formula>
    </cfRule>
  </conditionalFormatting>
  <conditionalFormatting sqref="Y4786">
    <cfRule type="containsText" dxfId="2736" priority="2667" stopIfTrue="1" operator="containsText" text="NO CUMPLE">
      <formula>NOT(ISERROR(SEARCH("NO CUMPLE",Y4786)))</formula>
    </cfRule>
    <cfRule type="containsText" dxfId="2735" priority="2668" stopIfTrue="1" operator="containsText" text="CUMPLE">
      <formula>NOT(ISERROR(SEARCH("CUMPLE",Y4786)))</formula>
    </cfRule>
  </conditionalFormatting>
  <conditionalFormatting sqref="AA4763:AA4772">
    <cfRule type="cellIs" dxfId="2734" priority="2665" stopIfTrue="1" operator="equal">
      <formula>"NO APLICA"</formula>
    </cfRule>
    <cfRule type="cellIs" dxfId="2733" priority="2666" stopIfTrue="1" operator="equal">
      <formula>"TERCIARIA"</formula>
    </cfRule>
  </conditionalFormatting>
  <conditionalFormatting sqref="AB4763:AB4772">
    <cfRule type="cellIs" dxfId="2732" priority="2663" stopIfTrue="1" operator="equal">
      <formula>"N/A"</formula>
    </cfRule>
    <cfRule type="cellIs" dxfId="2731" priority="2664" stopIfTrue="1" operator="equal">
      <formula>"NO"</formula>
    </cfRule>
  </conditionalFormatting>
  <conditionalFormatting sqref="M4793:M4802">
    <cfRule type="cellIs" dxfId="2730" priority="2662" stopIfTrue="1" operator="lessThan">
      <formula>0</formula>
    </cfRule>
  </conditionalFormatting>
  <conditionalFormatting sqref="C4795:D4801 B4794:B4801 F4795:I4801 C4794:I4794 B4802:O4802 B4793:R4793 Q4794:R4795 J4794:O4801 Q4796:Q4802 P4794:P4802">
    <cfRule type="cellIs" dxfId="2729" priority="2661" stopIfTrue="1" operator="greaterThan">
      <formula>0</formula>
    </cfRule>
  </conditionalFormatting>
  <conditionalFormatting sqref="C4795:D4801">
    <cfRule type="cellIs" dxfId="2728" priority="2660" stopIfTrue="1" operator="greaterThan">
      <formula>0</formula>
    </cfRule>
  </conditionalFormatting>
  <conditionalFormatting sqref="C4793:M4793 C4795:D4801 F4795:I4801 C4794:I4794 K4794:M4801 J4794:J4802 L4802:M4802">
    <cfRule type="cellIs" dxfId="2727" priority="2659" stopIfTrue="1" operator="greaterThan">
      <formula>0</formula>
    </cfRule>
  </conditionalFormatting>
  <conditionalFormatting sqref="M4793:M4802">
    <cfRule type="cellIs" dxfId="2726" priority="2658" stopIfTrue="1" operator="lessThan">
      <formula>0</formula>
    </cfRule>
  </conditionalFormatting>
  <conditionalFormatting sqref="J4794:J4802 L4794:O4802 C4793:O4793">
    <cfRule type="cellIs" dxfId="2725" priority="2657" stopIfTrue="1" operator="greaterThan">
      <formula>0</formula>
    </cfRule>
  </conditionalFormatting>
  <conditionalFormatting sqref="H4795:I4801 K4795:M4802">
    <cfRule type="cellIs" dxfId="2724" priority="2656" stopIfTrue="1" operator="greaterThan">
      <formula>0</formula>
    </cfRule>
  </conditionalFormatting>
  <conditionalFormatting sqref="I4794">
    <cfRule type="cellIs" dxfId="2723" priority="2655" stopIfTrue="1" operator="greaterThan">
      <formula>0</formula>
    </cfRule>
  </conditionalFormatting>
  <conditionalFormatting sqref="I4802">
    <cfRule type="cellIs" dxfId="2722" priority="2654" stopIfTrue="1" operator="greaterThan">
      <formula>0</formula>
    </cfRule>
  </conditionalFormatting>
  <conditionalFormatting sqref="E4795:E4801">
    <cfRule type="cellIs" dxfId="2721" priority="2653" stopIfTrue="1" operator="greaterThan">
      <formula>0</formula>
    </cfRule>
  </conditionalFormatting>
  <conditionalFormatting sqref="K4810:K4815">
    <cfRule type="containsText" dxfId="2720" priority="2651" stopIfTrue="1" operator="containsText" text="NO CUMPLE">
      <formula>NOT(ISERROR(SEARCH("NO CUMPLE",K4810)))</formula>
    </cfRule>
    <cfRule type="containsText" dxfId="2719" priority="2652" stopIfTrue="1" operator="containsText" text="CUMPLE">
      <formula>NOT(ISERROR(SEARCH("CUMPLE",K4810)))</formula>
    </cfRule>
  </conditionalFormatting>
  <conditionalFormatting sqref="K4816">
    <cfRule type="containsText" dxfId="2718" priority="2649" stopIfTrue="1" operator="containsText" text="NO CUMPLE">
      <formula>NOT(ISERROR(SEARCH("NO CUMPLE",K4816)))</formula>
    </cfRule>
    <cfRule type="containsText" dxfId="2717" priority="2650" stopIfTrue="1" operator="containsText" text="CUMPLE">
      <formula>NOT(ISERROR(SEARCH("CUMPLE",K4816)))</formula>
    </cfRule>
  </conditionalFormatting>
  <conditionalFormatting sqref="Q4809">
    <cfRule type="cellIs" dxfId="2716" priority="2647" operator="greaterThanOrEqual">
      <formula>NUMMINCONT</formula>
    </cfRule>
    <cfRule type="cellIs" dxfId="2715" priority="2648" operator="lessThan">
      <formula>NUMMINCONT</formula>
    </cfRule>
  </conditionalFormatting>
  <conditionalFormatting sqref="W4793:Y4801">
    <cfRule type="cellIs" dxfId="2714" priority="2645" stopIfTrue="1" operator="equal">
      <formula>"NO"</formula>
    </cfRule>
    <cfRule type="cellIs" dxfId="2713" priority="2646" stopIfTrue="1" operator="equal">
      <formula>"SI"</formula>
    </cfRule>
  </conditionalFormatting>
  <conditionalFormatting sqref="R4796">
    <cfRule type="cellIs" dxfId="2712" priority="2644" stopIfTrue="1" operator="greaterThan">
      <formula>0</formula>
    </cfRule>
  </conditionalFormatting>
  <conditionalFormatting sqref="R4797">
    <cfRule type="cellIs" dxfId="2711" priority="2643" stopIfTrue="1" operator="greaterThan">
      <formula>0</formula>
    </cfRule>
  </conditionalFormatting>
  <conditionalFormatting sqref="R4798">
    <cfRule type="cellIs" dxfId="2710" priority="2642" stopIfTrue="1" operator="greaterThan">
      <formula>0</formula>
    </cfRule>
  </conditionalFormatting>
  <conditionalFormatting sqref="R4799">
    <cfRule type="cellIs" dxfId="2709" priority="2641" stopIfTrue="1" operator="greaterThan">
      <formula>0</formula>
    </cfRule>
  </conditionalFormatting>
  <conditionalFormatting sqref="R4800">
    <cfRule type="cellIs" dxfId="2708" priority="2640" stopIfTrue="1" operator="greaterThan">
      <formula>0</formula>
    </cfRule>
  </conditionalFormatting>
  <conditionalFormatting sqref="R4801">
    <cfRule type="cellIs" dxfId="2707" priority="2639" stopIfTrue="1" operator="greaterThan">
      <formula>0</formula>
    </cfRule>
  </conditionalFormatting>
  <conditionalFormatting sqref="R4802">
    <cfRule type="cellIs" dxfId="2706" priority="2638" stopIfTrue="1" operator="greaterThan">
      <formula>0</formula>
    </cfRule>
  </conditionalFormatting>
  <conditionalFormatting sqref="W4793:X4793">
    <cfRule type="cellIs" dxfId="2705" priority="2637" stopIfTrue="1" operator="equal">
      <formula>"NO APLICA"</formula>
    </cfRule>
  </conditionalFormatting>
  <conditionalFormatting sqref="W4794:X4797">
    <cfRule type="cellIs" dxfId="2704" priority="2636" stopIfTrue="1" operator="equal">
      <formula>"NO APLICA"</formula>
    </cfRule>
  </conditionalFormatting>
  <conditionalFormatting sqref="W4794:X4794">
    <cfRule type="cellIs" dxfId="2703" priority="2635" stopIfTrue="1" operator="equal">
      <formula>"NO APLICA"</formula>
    </cfRule>
  </conditionalFormatting>
  <conditionalFormatting sqref="Y4793">
    <cfRule type="cellIs" dxfId="2702" priority="2634" stopIfTrue="1" operator="equal">
      <formula>"NO APLICA"</formula>
    </cfRule>
  </conditionalFormatting>
  <conditionalFormatting sqref="Y4794:Y4797">
    <cfRule type="cellIs" dxfId="2701" priority="2633" stopIfTrue="1" operator="equal">
      <formula>"NO APLICA"</formula>
    </cfRule>
  </conditionalFormatting>
  <conditionalFormatting sqref="W4798:X4801">
    <cfRule type="cellIs" dxfId="2700" priority="2632" stopIfTrue="1" operator="equal">
      <formula>"NO APLICA"</formula>
    </cfRule>
  </conditionalFormatting>
  <conditionalFormatting sqref="W4798:X4798">
    <cfRule type="cellIs" dxfId="2699" priority="2631" stopIfTrue="1" operator="equal">
      <formula>"NO APLICA"</formula>
    </cfRule>
  </conditionalFormatting>
  <conditionalFormatting sqref="Y4798:Y4801">
    <cfRule type="cellIs" dxfId="2698" priority="2630" stopIfTrue="1" operator="equal">
      <formula>"NO APLICA"</formula>
    </cfRule>
  </conditionalFormatting>
  <conditionalFormatting sqref="T4807">
    <cfRule type="cellIs" dxfId="2697" priority="2628" operator="equal">
      <formula>"CUMPLE"</formula>
    </cfRule>
    <cfRule type="cellIs" dxfId="2696" priority="2629" operator="equal">
      <formula>"NO CUMPLE"</formula>
    </cfRule>
  </conditionalFormatting>
  <conditionalFormatting sqref="T4807:T4809">
    <cfRule type="cellIs" dxfId="2695" priority="2627" operator="equal">
      <formula>"VERIFICAR"</formula>
    </cfRule>
  </conditionalFormatting>
  <conditionalFormatting sqref="AD4793:AF4797">
    <cfRule type="cellIs" dxfId="2694" priority="2625" stopIfTrue="1" operator="equal">
      <formula>"NO"</formula>
    </cfRule>
    <cfRule type="cellIs" dxfId="2693" priority="2626" stopIfTrue="1" operator="equal">
      <formula>"SI"</formula>
    </cfRule>
  </conditionalFormatting>
  <conditionalFormatting sqref="AD4798:AF4801">
    <cfRule type="cellIs" dxfId="2692" priority="2623" stopIfTrue="1" operator="equal">
      <formula>"NO"</formula>
    </cfRule>
    <cfRule type="cellIs" dxfId="2691" priority="2624" stopIfTrue="1" operator="equal">
      <formula>"SI"</formula>
    </cfRule>
  </conditionalFormatting>
  <conditionalFormatting sqref="W4802:Y4802">
    <cfRule type="cellIs" dxfId="2690" priority="2621" stopIfTrue="1" operator="equal">
      <formula>"NO"</formula>
    </cfRule>
    <cfRule type="cellIs" dxfId="2689" priority="2622" stopIfTrue="1" operator="equal">
      <formula>"SI"</formula>
    </cfRule>
  </conditionalFormatting>
  <conditionalFormatting sqref="W4802:X4802">
    <cfRule type="cellIs" dxfId="2688" priority="2620" stopIfTrue="1" operator="equal">
      <formula>"NO APLICA"</formula>
    </cfRule>
  </conditionalFormatting>
  <conditionalFormatting sqref="Y4802">
    <cfRule type="cellIs" dxfId="2687" priority="2619" stopIfTrue="1" operator="equal">
      <formula>"NO APLICA"</formula>
    </cfRule>
  </conditionalFormatting>
  <conditionalFormatting sqref="AD4802:AF4802">
    <cfRule type="cellIs" dxfId="2686" priority="2617" stopIfTrue="1" operator="equal">
      <formula>"NO"</formula>
    </cfRule>
    <cfRule type="cellIs" dxfId="2685" priority="2618" stopIfTrue="1" operator="equal">
      <formula>"SI"</formula>
    </cfRule>
  </conditionalFormatting>
  <conditionalFormatting sqref="AE4807">
    <cfRule type="cellIs" dxfId="2684" priority="2614" stopIfTrue="1" operator="equal">
      <formula>"VERIFICAR"</formula>
    </cfRule>
    <cfRule type="cellIs" dxfId="2683" priority="2615" stopIfTrue="1" operator="equal">
      <formula>"NO CUMPLE"</formula>
    </cfRule>
    <cfRule type="cellIs" dxfId="2682" priority="2616" stopIfTrue="1" operator="equal">
      <formula>"CUMPLE"</formula>
    </cfRule>
  </conditionalFormatting>
  <conditionalFormatting sqref="AF4807">
    <cfRule type="cellIs" dxfId="2681" priority="2611" stopIfTrue="1" operator="equal">
      <formula>"VERIFICAR"</formula>
    </cfRule>
    <cfRule type="cellIs" dxfId="2680" priority="2612" stopIfTrue="1" operator="equal">
      <formula>"NO CUMPLE"</formula>
    </cfRule>
    <cfRule type="cellIs" dxfId="2679" priority="2613" stopIfTrue="1" operator="equal">
      <formula>"CUMPLE"</formula>
    </cfRule>
  </conditionalFormatting>
  <conditionalFormatting sqref="Y4810">
    <cfRule type="cellIs" dxfId="2678" priority="2610" operator="equal">
      <formula>"VERIFICAR CUADRO"</formula>
    </cfRule>
  </conditionalFormatting>
  <conditionalFormatting sqref="AC4811:AC4816">
    <cfRule type="cellIs" dxfId="2677" priority="2609" stopIfTrue="1" operator="greaterThan">
      <formula>0</formula>
    </cfRule>
  </conditionalFormatting>
  <conditionalFormatting sqref="AC4811:AC4816">
    <cfRule type="cellIs" dxfId="2676" priority="2608" stopIfTrue="1" operator="greaterThan">
      <formula>0</formula>
    </cfRule>
  </conditionalFormatting>
  <conditionalFormatting sqref="AD4811:AD4816">
    <cfRule type="containsText" dxfId="2675" priority="2606" stopIfTrue="1" operator="containsText" text="NO CUMPLE">
      <formula>NOT(ISERROR(SEARCH("NO CUMPLE",AD4811)))</formula>
    </cfRule>
    <cfRule type="containsText" dxfId="2674" priority="2607" stopIfTrue="1" operator="containsText" text="CUMPLE">
      <formula>NOT(ISERROR(SEARCH("CUMPLE",AD4811)))</formula>
    </cfRule>
  </conditionalFormatting>
  <conditionalFormatting sqref="Y4816">
    <cfRule type="containsText" dxfId="2673" priority="2604" stopIfTrue="1" operator="containsText" text="NO CUMPLE">
      <formula>NOT(ISERROR(SEARCH("NO CUMPLE",Y4816)))</formula>
    </cfRule>
    <cfRule type="containsText" dxfId="2672" priority="2605" stopIfTrue="1" operator="containsText" text="CUMPLE">
      <formula>NOT(ISERROR(SEARCH("CUMPLE",Y4816)))</formula>
    </cfRule>
  </conditionalFormatting>
  <conditionalFormatting sqref="AA4793:AA4802">
    <cfRule type="cellIs" dxfId="2671" priority="2602" stopIfTrue="1" operator="equal">
      <formula>"NO APLICA"</formula>
    </cfRule>
    <cfRule type="cellIs" dxfId="2670" priority="2603" stopIfTrue="1" operator="equal">
      <formula>"TERCIARIA"</formula>
    </cfRule>
  </conditionalFormatting>
  <conditionalFormatting sqref="AB4793:AB4802">
    <cfRule type="cellIs" dxfId="2669" priority="2600" stopIfTrue="1" operator="equal">
      <formula>"N/A"</formula>
    </cfRule>
    <cfRule type="cellIs" dxfId="2668" priority="2601" stopIfTrue="1" operator="equal">
      <formula>"NO"</formula>
    </cfRule>
  </conditionalFormatting>
  <conditionalFormatting sqref="M4823:M4832">
    <cfRule type="cellIs" dxfId="2667" priority="2599" stopIfTrue="1" operator="lessThan">
      <formula>0</formula>
    </cfRule>
  </conditionalFormatting>
  <conditionalFormatting sqref="C4825:D4831 B4824:B4831 F4825:I4831 C4824:I4824 B4832:O4832 B4823:R4823 Q4824:R4825 J4824:O4831 Q4826:Q4832 P4824:P4832">
    <cfRule type="cellIs" dxfId="2666" priority="2598" stopIfTrue="1" operator="greaterThan">
      <formula>0</formula>
    </cfRule>
  </conditionalFormatting>
  <conditionalFormatting sqref="C4825:D4831">
    <cfRule type="cellIs" dxfId="2665" priority="2597" stopIfTrue="1" operator="greaterThan">
      <formula>0</formula>
    </cfRule>
  </conditionalFormatting>
  <conditionalFormatting sqref="C4823:M4823 C4825:D4831 F4825:I4831 C4824:I4824 K4824:M4831 J4824:J4832 L4832:M4832">
    <cfRule type="cellIs" dxfId="2664" priority="2596" stopIfTrue="1" operator="greaterThan">
      <formula>0</formula>
    </cfRule>
  </conditionalFormatting>
  <conditionalFormatting sqref="M4823:M4832">
    <cfRule type="cellIs" dxfId="2663" priority="2595" stopIfTrue="1" operator="lessThan">
      <formula>0</formula>
    </cfRule>
  </conditionalFormatting>
  <conditionalFormatting sqref="J4824:J4832 L4824:O4832 C4823:O4823">
    <cfRule type="cellIs" dxfId="2662" priority="2594" stopIfTrue="1" operator="greaterThan">
      <formula>0</formula>
    </cfRule>
  </conditionalFormatting>
  <conditionalFormatting sqref="H4825:I4831 K4825:M4832">
    <cfRule type="cellIs" dxfId="2661" priority="2593" stopIfTrue="1" operator="greaterThan">
      <formula>0</formula>
    </cfRule>
  </conditionalFormatting>
  <conditionalFormatting sqref="I4824">
    <cfRule type="cellIs" dxfId="2660" priority="2592" stopIfTrue="1" operator="greaterThan">
      <formula>0</formula>
    </cfRule>
  </conditionalFormatting>
  <conditionalFormatting sqref="I4832">
    <cfRule type="cellIs" dxfId="2659" priority="2591" stopIfTrue="1" operator="greaterThan">
      <formula>0</formula>
    </cfRule>
  </conditionalFormatting>
  <conditionalFormatting sqref="E4825:E4831">
    <cfRule type="cellIs" dxfId="2658" priority="2590" stopIfTrue="1" operator="greaterThan">
      <formula>0</formula>
    </cfRule>
  </conditionalFormatting>
  <conditionalFormatting sqref="K4840:K4845">
    <cfRule type="containsText" dxfId="2657" priority="2588" stopIfTrue="1" operator="containsText" text="NO CUMPLE">
      <formula>NOT(ISERROR(SEARCH("NO CUMPLE",K4840)))</formula>
    </cfRule>
    <cfRule type="containsText" dxfId="2656" priority="2589" stopIfTrue="1" operator="containsText" text="CUMPLE">
      <formula>NOT(ISERROR(SEARCH("CUMPLE",K4840)))</formula>
    </cfRule>
  </conditionalFormatting>
  <conditionalFormatting sqref="K4846">
    <cfRule type="containsText" dxfId="2655" priority="2586" stopIfTrue="1" operator="containsText" text="NO CUMPLE">
      <formula>NOT(ISERROR(SEARCH("NO CUMPLE",K4846)))</formula>
    </cfRule>
    <cfRule type="containsText" dxfId="2654" priority="2587" stopIfTrue="1" operator="containsText" text="CUMPLE">
      <formula>NOT(ISERROR(SEARCH("CUMPLE",K4846)))</formula>
    </cfRule>
  </conditionalFormatting>
  <conditionalFormatting sqref="Q4839">
    <cfRule type="cellIs" dxfId="2653" priority="2584" operator="greaterThanOrEqual">
      <formula>NUMMINCONT</formula>
    </cfRule>
    <cfRule type="cellIs" dxfId="2652" priority="2585" operator="lessThan">
      <formula>NUMMINCONT</formula>
    </cfRule>
  </conditionalFormatting>
  <conditionalFormatting sqref="W4823:Y4831">
    <cfRule type="cellIs" dxfId="2651" priority="2582" stopIfTrue="1" operator="equal">
      <formula>"NO"</formula>
    </cfRule>
    <cfRule type="cellIs" dxfId="2650" priority="2583" stopIfTrue="1" operator="equal">
      <formula>"SI"</formula>
    </cfRule>
  </conditionalFormatting>
  <conditionalFormatting sqref="R4826">
    <cfRule type="cellIs" dxfId="2649" priority="2581" stopIfTrue="1" operator="greaterThan">
      <formula>0</formula>
    </cfRule>
  </conditionalFormatting>
  <conditionalFormatting sqref="R4827">
    <cfRule type="cellIs" dxfId="2648" priority="2580" stopIfTrue="1" operator="greaterThan">
      <formula>0</formula>
    </cfRule>
  </conditionalFormatting>
  <conditionalFormatting sqref="R4828">
    <cfRule type="cellIs" dxfId="2647" priority="2579" stopIfTrue="1" operator="greaterThan">
      <formula>0</formula>
    </cfRule>
  </conditionalFormatting>
  <conditionalFormatting sqref="R4829">
    <cfRule type="cellIs" dxfId="2646" priority="2578" stopIfTrue="1" operator="greaterThan">
      <formula>0</formula>
    </cfRule>
  </conditionalFormatting>
  <conditionalFormatting sqref="R4830">
    <cfRule type="cellIs" dxfId="2645" priority="2577" stopIfTrue="1" operator="greaterThan">
      <formula>0</formula>
    </cfRule>
  </conditionalFormatting>
  <conditionalFormatting sqref="R4831">
    <cfRule type="cellIs" dxfId="2644" priority="2576" stopIfTrue="1" operator="greaterThan">
      <formula>0</formula>
    </cfRule>
  </conditionalFormatting>
  <conditionalFormatting sqref="R4832">
    <cfRule type="cellIs" dxfId="2643" priority="2575" stopIfTrue="1" operator="greaterThan">
      <formula>0</formula>
    </cfRule>
  </conditionalFormatting>
  <conditionalFormatting sqref="W4823:X4823">
    <cfRule type="cellIs" dxfId="2642" priority="2574" stopIfTrue="1" operator="equal">
      <formula>"NO APLICA"</formula>
    </cfRule>
  </conditionalFormatting>
  <conditionalFormatting sqref="W4824:X4827">
    <cfRule type="cellIs" dxfId="2641" priority="2573" stopIfTrue="1" operator="equal">
      <formula>"NO APLICA"</formula>
    </cfRule>
  </conditionalFormatting>
  <conditionalFormatting sqref="W4824:X4824">
    <cfRule type="cellIs" dxfId="2640" priority="2572" stopIfTrue="1" operator="equal">
      <formula>"NO APLICA"</formula>
    </cfRule>
  </conditionalFormatting>
  <conditionalFormatting sqref="Y4823">
    <cfRule type="cellIs" dxfId="2639" priority="2571" stopIfTrue="1" operator="equal">
      <formula>"NO APLICA"</formula>
    </cfRule>
  </conditionalFormatting>
  <conditionalFormatting sqref="Y4824:Y4827">
    <cfRule type="cellIs" dxfId="2638" priority="2570" stopIfTrue="1" operator="equal">
      <formula>"NO APLICA"</formula>
    </cfRule>
  </conditionalFormatting>
  <conditionalFormatting sqref="W4828:X4831">
    <cfRule type="cellIs" dxfId="2637" priority="2569" stopIfTrue="1" operator="equal">
      <formula>"NO APLICA"</formula>
    </cfRule>
  </conditionalFormatting>
  <conditionalFormatting sqref="W4828:X4828">
    <cfRule type="cellIs" dxfId="2636" priority="2568" stopIfTrue="1" operator="equal">
      <formula>"NO APLICA"</formula>
    </cfRule>
  </conditionalFormatting>
  <conditionalFormatting sqref="Y4828:Y4831">
    <cfRule type="cellIs" dxfId="2635" priority="2567" stopIfTrue="1" operator="equal">
      <formula>"NO APLICA"</formula>
    </cfRule>
  </conditionalFormatting>
  <conditionalFormatting sqref="T4837">
    <cfRule type="cellIs" dxfId="2634" priority="2565" operator="equal">
      <formula>"CUMPLE"</formula>
    </cfRule>
    <cfRule type="cellIs" dxfId="2633" priority="2566" operator="equal">
      <formula>"NO CUMPLE"</formula>
    </cfRule>
  </conditionalFormatting>
  <conditionalFormatting sqref="T4837:T4839">
    <cfRule type="cellIs" dxfId="2632" priority="2564" operator="equal">
      <formula>"VERIFICAR"</formula>
    </cfRule>
  </conditionalFormatting>
  <conditionalFormatting sqref="AD4823:AF4827">
    <cfRule type="cellIs" dxfId="2631" priority="2562" stopIfTrue="1" operator="equal">
      <formula>"NO"</formula>
    </cfRule>
    <cfRule type="cellIs" dxfId="2630" priority="2563" stopIfTrue="1" operator="equal">
      <formula>"SI"</formula>
    </cfRule>
  </conditionalFormatting>
  <conditionalFormatting sqref="AD4828:AF4831">
    <cfRule type="cellIs" dxfId="2629" priority="2560" stopIfTrue="1" operator="equal">
      <formula>"NO"</formula>
    </cfRule>
    <cfRule type="cellIs" dxfId="2628" priority="2561" stopIfTrue="1" operator="equal">
      <formula>"SI"</formula>
    </cfRule>
  </conditionalFormatting>
  <conditionalFormatting sqref="W4832:Y4832">
    <cfRule type="cellIs" dxfId="2627" priority="2558" stopIfTrue="1" operator="equal">
      <formula>"NO"</formula>
    </cfRule>
    <cfRule type="cellIs" dxfId="2626" priority="2559" stopIfTrue="1" operator="equal">
      <formula>"SI"</formula>
    </cfRule>
  </conditionalFormatting>
  <conditionalFormatting sqref="W4832:X4832">
    <cfRule type="cellIs" dxfId="2625" priority="2557" stopIfTrue="1" operator="equal">
      <formula>"NO APLICA"</formula>
    </cfRule>
  </conditionalFormatting>
  <conditionalFormatting sqref="Y4832">
    <cfRule type="cellIs" dxfId="2624" priority="2556" stopIfTrue="1" operator="equal">
      <formula>"NO APLICA"</formula>
    </cfRule>
  </conditionalFormatting>
  <conditionalFormatting sqref="AD4832:AF4832">
    <cfRule type="cellIs" dxfId="2623" priority="2554" stopIfTrue="1" operator="equal">
      <formula>"NO"</formula>
    </cfRule>
    <cfRule type="cellIs" dxfId="2622" priority="2555" stopIfTrue="1" operator="equal">
      <formula>"SI"</formula>
    </cfRule>
  </conditionalFormatting>
  <conditionalFormatting sqref="AE4837">
    <cfRule type="cellIs" dxfId="2621" priority="2551" stopIfTrue="1" operator="equal">
      <formula>"VERIFICAR"</formula>
    </cfRule>
    <cfRule type="cellIs" dxfId="2620" priority="2552" stopIfTrue="1" operator="equal">
      <formula>"NO CUMPLE"</formula>
    </cfRule>
    <cfRule type="cellIs" dxfId="2619" priority="2553" stopIfTrue="1" operator="equal">
      <formula>"CUMPLE"</formula>
    </cfRule>
  </conditionalFormatting>
  <conditionalFormatting sqref="AF4837">
    <cfRule type="cellIs" dxfId="2618" priority="2548" stopIfTrue="1" operator="equal">
      <formula>"VERIFICAR"</formula>
    </cfRule>
    <cfRule type="cellIs" dxfId="2617" priority="2549" stopIfTrue="1" operator="equal">
      <formula>"NO CUMPLE"</formula>
    </cfRule>
    <cfRule type="cellIs" dxfId="2616" priority="2550" stopIfTrue="1" operator="equal">
      <formula>"CUMPLE"</formula>
    </cfRule>
  </conditionalFormatting>
  <conditionalFormatting sqref="Y4840">
    <cfRule type="cellIs" dxfId="2615" priority="2547" operator="equal">
      <formula>"VERIFICAR CUADRO"</formula>
    </cfRule>
  </conditionalFormatting>
  <conditionalFormatting sqref="AC4841:AC4846">
    <cfRule type="cellIs" dxfId="2614" priority="2546" stopIfTrue="1" operator="greaterThan">
      <formula>0</formula>
    </cfRule>
  </conditionalFormatting>
  <conditionalFormatting sqref="AC4841:AC4846">
    <cfRule type="cellIs" dxfId="2613" priority="2545" stopIfTrue="1" operator="greaterThan">
      <formula>0</formula>
    </cfRule>
  </conditionalFormatting>
  <conditionalFormatting sqref="AD4841:AD4846">
    <cfRule type="containsText" dxfId="2612" priority="2543" stopIfTrue="1" operator="containsText" text="NO CUMPLE">
      <formula>NOT(ISERROR(SEARCH("NO CUMPLE",AD4841)))</formula>
    </cfRule>
    <cfRule type="containsText" dxfId="2611" priority="2544" stopIfTrue="1" operator="containsText" text="CUMPLE">
      <formula>NOT(ISERROR(SEARCH("CUMPLE",AD4841)))</formula>
    </cfRule>
  </conditionalFormatting>
  <conditionalFormatting sqref="Y4846">
    <cfRule type="containsText" dxfId="2610" priority="2541" stopIfTrue="1" operator="containsText" text="NO CUMPLE">
      <formula>NOT(ISERROR(SEARCH("NO CUMPLE",Y4846)))</formula>
    </cfRule>
    <cfRule type="containsText" dxfId="2609" priority="2542" stopIfTrue="1" operator="containsText" text="CUMPLE">
      <formula>NOT(ISERROR(SEARCH("CUMPLE",Y4846)))</formula>
    </cfRule>
  </conditionalFormatting>
  <conditionalFormatting sqref="AA4823:AA4832">
    <cfRule type="cellIs" dxfId="2608" priority="2539" stopIfTrue="1" operator="equal">
      <formula>"NO APLICA"</formula>
    </cfRule>
    <cfRule type="cellIs" dxfId="2607" priority="2540" stopIfTrue="1" operator="equal">
      <formula>"TERCIARIA"</formula>
    </cfRule>
  </conditionalFormatting>
  <conditionalFormatting sqref="AB4823:AB4832">
    <cfRule type="cellIs" dxfId="2606" priority="2537" stopIfTrue="1" operator="equal">
      <formula>"N/A"</formula>
    </cfRule>
    <cfRule type="cellIs" dxfId="2605" priority="2538" stopIfTrue="1" operator="equal">
      <formula>"NO"</formula>
    </cfRule>
  </conditionalFormatting>
  <conditionalFormatting sqref="M4853:M4862">
    <cfRule type="cellIs" dxfId="2604" priority="2536" stopIfTrue="1" operator="lessThan">
      <formula>0</formula>
    </cfRule>
  </conditionalFormatting>
  <conditionalFormatting sqref="C4855:D4861 B4854:B4861 F4855:I4861 C4854:I4854 B4862:O4862 B4853:R4853 Q4854:R4855 J4854:O4861 Q4856:Q4862 P4854:P4862">
    <cfRule type="cellIs" dxfId="2603" priority="2535" stopIfTrue="1" operator="greaterThan">
      <formula>0</formula>
    </cfRule>
  </conditionalFormatting>
  <conditionalFormatting sqref="C4855:D4861">
    <cfRule type="cellIs" dxfId="2602" priority="2534" stopIfTrue="1" operator="greaterThan">
      <formula>0</formula>
    </cfRule>
  </conditionalFormatting>
  <conditionalFormatting sqref="C4853:M4853 C4855:D4861 F4855:I4861 C4854:I4854 K4854:M4861 J4854:J4862 L4862:M4862">
    <cfRule type="cellIs" dxfId="2601" priority="2533" stopIfTrue="1" operator="greaterThan">
      <formula>0</formula>
    </cfRule>
  </conditionalFormatting>
  <conditionalFormatting sqref="M4853:M4862">
    <cfRule type="cellIs" dxfId="2600" priority="2532" stopIfTrue="1" operator="lessThan">
      <formula>0</formula>
    </cfRule>
  </conditionalFormatting>
  <conditionalFormatting sqref="J4854:J4862 L4854:O4862 C4853:O4853">
    <cfRule type="cellIs" dxfId="2599" priority="2531" stopIfTrue="1" operator="greaterThan">
      <formula>0</formula>
    </cfRule>
  </conditionalFormatting>
  <conditionalFormatting sqref="H4855:I4861 K4855:M4862">
    <cfRule type="cellIs" dxfId="2598" priority="2530" stopIfTrue="1" operator="greaterThan">
      <formula>0</formula>
    </cfRule>
  </conditionalFormatting>
  <conditionalFormatting sqref="I4854">
    <cfRule type="cellIs" dxfId="2597" priority="2529" stopIfTrue="1" operator="greaterThan">
      <formula>0</formula>
    </cfRule>
  </conditionalFormatting>
  <conditionalFormatting sqref="I4862">
    <cfRule type="cellIs" dxfId="2596" priority="2528" stopIfTrue="1" operator="greaterThan">
      <formula>0</formula>
    </cfRule>
  </conditionalFormatting>
  <conditionalFormatting sqref="E4855:E4861">
    <cfRule type="cellIs" dxfId="2595" priority="2527" stopIfTrue="1" operator="greaterThan">
      <formula>0</formula>
    </cfRule>
  </conditionalFormatting>
  <conditionalFormatting sqref="K4870:K4875">
    <cfRule type="containsText" dxfId="2594" priority="2525" stopIfTrue="1" operator="containsText" text="NO CUMPLE">
      <formula>NOT(ISERROR(SEARCH("NO CUMPLE",K4870)))</formula>
    </cfRule>
    <cfRule type="containsText" dxfId="2593" priority="2526" stopIfTrue="1" operator="containsText" text="CUMPLE">
      <formula>NOT(ISERROR(SEARCH("CUMPLE",K4870)))</formula>
    </cfRule>
  </conditionalFormatting>
  <conditionalFormatting sqref="K4876">
    <cfRule type="containsText" dxfId="2592" priority="2523" stopIfTrue="1" operator="containsText" text="NO CUMPLE">
      <formula>NOT(ISERROR(SEARCH("NO CUMPLE",K4876)))</formula>
    </cfRule>
    <cfRule type="containsText" dxfId="2591" priority="2524" stopIfTrue="1" operator="containsText" text="CUMPLE">
      <formula>NOT(ISERROR(SEARCH("CUMPLE",K4876)))</formula>
    </cfRule>
  </conditionalFormatting>
  <conditionalFormatting sqref="Q4869">
    <cfRule type="cellIs" dxfId="2590" priority="2521" operator="greaterThanOrEqual">
      <formula>NUMMINCONT</formula>
    </cfRule>
    <cfRule type="cellIs" dxfId="2589" priority="2522" operator="lessThan">
      <formula>NUMMINCONT</formula>
    </cfRule>
  </conditionalFormatting>
  <conditionalFormatting sqref="W4853:Y4861">
    <cfRule type="cellIs" dxfId="2588" priority="2519" stopIfTrue="1" operator="equal">
      <formula>"NO"</formula>
    </cfRule>
    <cfRule type="cellIs" dxfId="2587" priority="2520" stopIfTrue="1" operator="equal">
      <formula>"SI"</formula>
    </cfRule>
  </conditionalFormatting>
  <conditionalFormatting sqref="R4856">
    <cfRule type="cellIs" dxfId="2586" priority="2518" stopIfTrue="1" operator="greaterThan">
      <formula>0</formula>
    </cfRule>
  </conditionalFormatting>
  <conditionalFormatting sqref="R4857">
    <cfRule type="cellIs" dxfId="2585" priority="2517" stopIfTrue="1" operator="greaterThan">
      <formula>0</formula>
    </cfRule>
  </conditionalFormatting>
  <conditionalFormatting sqref="R4858">
    <cfRule type="cellIs" dxfId="2584" priority="2516" stopIfTrue="1" operator="greaterThan">
      <formula>0</formula>
    </cfRule>
  </conditionalFormatting>
  <conditionalFormatting sqref="R4859">
    <cfRule type="cellIs" dxfId="2583" priority="2515" stopIfTrue="1" operator="greaterThan">
      <formula>0</formula>
    </cfRule>
  </conditionalFormatting>
  <conditionalFormatting sqref="R4860">
    <cfRule type="cellIs" dxfId="2582" priority="2514" stopIfTrue="1" operator="greaterThan">
      <formula>0</formula>
    </cfRule>
  </conditionalFormatting>
  <conditionalFormatting sqref="R4861">
    <cfRule type="cellIs" dxfId="2581" priority="2513" stopIfTrue="1" operator="greaterThan">
      <formula>0</formula>
    </cfRule>
  </conditionalFormatting>
  <conditionalFormatting sqref="R4862">
    <cfRule type="cellIs" dxfId="2580" priority="2512" stopIfTrue="1" operator="greaterThan">
      <formula>0</formula>
    </cfRule>
  </conditionalFormatting>
  <conditionalFormatting sqref="W4853:X4853">
    <cfRule type="cellIs" dxfId="2579" priority="2511" stopIfTrue="1" operator="equal">
      <formula>"NO APLICA"</formula>
    </cfRule>
  </conditionalFormatting>
  <conditionalFormatting sqref="W4854:X4857">
    <cfRule type="cellIs" dxfId="2578" priority="2510" stopIfTrue="1" operator="equal">
      <formula>"NO APLICA"</formula>
    </cfRule>
  </conditionalFormatting>
  <conditionalFormatting sqref="W4854:X4854">
    <cfRule type="cellIs" dxfId="2577" priority="2509" stopIfTrue="1" operator="equal">
      <formula>"NO APLICA"</formula>
    </cfRule>
  </conditionalFormatting>
  <conditionalFormatting sqref="Y4853">
    <cfRule type="cellIs" dxfId="2576" priority="2508" stopIfTrue="1" operator="equal">
      <formula>"NO APLICA"</formula>
    </cfRule>
  </conditionalFormatting>
  <conditionalFormatting sqref="Y4854:Y4857">
    <cfRule type="cellIs" dxfId="2575" priority="2507" stopIfTrue="1" operator="equal">
      <formula>"NO APLICA"</formula>
    </cfRule>
  </conditionalFormatting>
  <conditionalFormatting sqref="W4858:X4861">
    <cfRule type="cellIs" dxfId="2574" priority="2506" stopIfTrue="1" operator="equal">
      <formula>"NO APLICA"</formula>
    </cfRule>
  </conditionalFormatting>
  <conditionalFormatting sqref="W4858:X4858">
    <cfRule type="cellIs" dxfId="2573" priority="2505" stopIfTrue="1" operator="equal">
      <formula>"NO APLICA"</formula>
    </cfRule>
  </conditionalFormatting>
  <conditionalFormatting sqref="Y4858:Y4861">
    <cfRule type="cellIs" dxfId="2572" priority="2504" stopIfTrue="1" operator="equal">
      <formula>"NO APLICA"</formula>
    </cfRule>
  </conditionalFormatting>
  <conditionalFormatting sqref="T4867">
    <cfRule type="cellIs" dxfId="2571" priority="2502" operator="equal">
      <formula>"CUMPLE"</formula>
    </cfRule>
    <cfRule type="cellIs" dxfId="2570" priority="2503" operator="equal">
      <formula>"NO CUMPLE"</formula>
    </cfRule>
  </conditionalFormatting>
  <conditionalFormatting sqref="T4867:T4869">
    <cfRule type="cellIs" dxfId="2569" priority="2501" operator="equal">
      <formula>"VERIFICAR"</formula>
    </cfRule>
  </conditionalFormatting>
  <conditionalFormatting sqref="AD4853:AF4857">
    <cfRule type="cellIs" dxfId="2568" priority="2499" stopIfTrue="1" operator="equal">
      <formula>"NO"</formula>
    </cfRule>
    <cfRule type="cellIs" dxfId="2567" priority="2500" stopIfTrue="1" operator="equal">
      <formula>"SI"</formula>
    </cfRule>
  </conditionalFormatting>
  <conditionalFormatting sqref="AD4858:AF4861">
    <cfRule type="cellIs" dxfId="2566" priority="2497" stopIfTrue="1" operator="equal">
      <formula>"NO"</formula>
    </cfRule>
    <cfRule type="cellIs" dxfId="2565" priority="2498" stopIfTrue="1" operator="equal">
      <formula>"SI"</formula>
    </cfRule>
  </conditionalFormatting>
  <conditionalFormatting sqref="W4862:Y4862">
    <cfRule type="cellIs" dxfId="2564" priority="2495" stopIfTrue="1" operator="equal">
      <formula>"NO"</formula>
    </cfRule>
    <cfRule type="cellIs" dxfId="2563" priority="2496" stopIfTrue="1" operator="equal">
      <formula>"SI"</formula>
    </cfRule>
  </conditionalFormatting>
  <conditionalFormatting sqref="W4862:X4862">
    <cfRule type="cellIs" dxfId="2562" priority="2494" stopIfTrue="1" operator="equal">
      <formula>"NO APLICA"</formula>
    </cfRule>
  </conditionalFormatting>
  <conditionalFormatting sqref="Y4862">
    <cfRule type="cellIs" dxfId="2561" priority="2493" stopIfTrue="1" operator="equal">
      <formula>"NO APLICA"</formula>
    </cfRule>
  </conditionalFormatting>
  <conditionalFormatting sqref="AD4862:AF4862">
    <cfRule type="cellIs" dxfId="2560" priority="2491" stopIfTrue="1" operator="equal">
      <formula>"NO"</formula>
    </cfRule>
    <cfRule type="cellIs" dxfId="2559" priority="2492" stopIfTrue="1" operator="equal">
      <formula>"SI"</formula>
    </cfRule>
  </conditionalFormatting>
  <conditionalFormatting sqref="AE4867">
    <cfRule type="cellIs" dxfId="2558" priority="2488" stopIfTrue="1" operator="equal">
      <formula>"VERIFICAR"</formula>
    </cfRule>
    <cfRule type="cellIs" dxfId="2557" priority="2489" stopIfTrue="1" operator="equal">
      <formula>"NO CUMPLE"</formula>
    </cfRule>
    <cfRule type="cellIs" dxfId="2556" priority="2490" stopIfTrue="1" operator="equal">
      <formula>"CUMPLE"</formula>
    </cfRule>
  </conditionalFormatting>
  <conditionalFormatting sqref="AF4867">
    <cfRule type="cellIs" dxfId="2555" priority="2485" stopIfTrue="1" operator="equal">
      <formula>"VERIFICAR"</formula>
    </cfRule>
    <cfRule type="cellIs" dxfId="2554" priority="2486" stopIfTrue="1" operator="equal">
      <formula>"NO CUMPLE"</formula>
    </cfRule>
    <cfRule type="cellIs" dxfId="2553" priority="2487" stopIfTrue="1" operator="equal">
      <formula>"CUMPLE"</formula>
    </cfRule>
  </conditionalFormatting>
  <conditionalFormatting sqref="Y4870">
    <cfRule type="cellIs" dxfId="2552" priority="2484" operator="equal">
      <formula>"VERIFICAR CUADRO"</formula>
    </cfRule>
  </conditionalFormatting>
  <conditionalFormatting sqref="AC4871:AC4876">
    <cfRule type="cellIs" dxfId="2551" priority="2483" stopIfTrue="1" operator="greaterThan">
      <formula>0</formula>
    </cfRule>
  </conditionalFormatting>
  <conditionalFormatting sqref="AC4871:AC4876">
    <cfRule type="cellIs" dxfId="2550" priority="2482" stopIfTrue="1" operator="greaterThan">
      <formula>0</formula>
    </cfRule>
  </conditionalFormatting>
  <conditionalFormatting sqref="AD4871:AD4876">
    <cfRule type="containsText" dxfId="2549" priority="2480" stopIfTrue="1" operator="containsText" text="NO CUMPLE">
      <formula>NOT(ISERROR(SEARCH("NO CUMPLE",AD4871)))</formula>
    </cfRule>
    <cfRule type="containsText" dxfId="2548" priority="2481" stopIfTrue="1" operator="containsText" text="CUMPLE">
      <formula>NOT(ISERROR(SEARCH("CUMPLE",AD4871)))</formula>
    </cfRule>
  </conditionalFormatting>
  <conditionalFormatting sqref="Y4876">
    <cfRule type="containsText" dxfId="2547" priority="2478" stopIfTrue="1" operator="containsText" text="NO CUMPLE">
      <formula>NOT(ISERROR(SEARCH("NO CUMPLE",Y4876)))</formula>
    </cfRule>
    <cfRule type="containsText" dxfId="2546" priority="2479" stopIfTrue="1" operator="containsText" text="CUMPLE">
      <formula>NOT(ISERROR(SEARCH("CUMPLE",Y4876)))</formula>
    </cfRule>
  </conditionalFormatting>
  <conditionalFormatting sqref="AA4853:AA4862">
    <cfRule type="cellIs" dxfId="2545" priority="2476" stopIfTrue="1" operator="equal">
      <formula>"NO APLICA"</formula>
    </cfRule>
    <cfRule type="cellIs" dxfId="2544" priority="2477" stopIfTrue="1" operator="equal">
      <formula>"TERCIARIA"</formula>
    </cfRule>
  </conditionalFormatting>
  <conditionalFormatting sqref="AB4853:AB4862">
    <cfRule type="cellIs" dxfId="2543" priority="2474" stopIfTrue="1" operator="equal">
      <formula>"N/A"</formula>
    </cfRule>
    <cfRule type="cellIs" dxfId="2542" priority="2475" stopIfTrue="1" operator="equal">
      <formula>"NO"</formula>
    </cfRule>
  </conditionalFormatting>
  <conditionalFormatting sqref="M4883:M4892">
    <cfRule type="cellIs" dxfId="2541" priority="2473" stopIfTrue="1" operator="lessThan">
      <formula>0</formula>
    </cfRule>
  </conditionalFormatting>
  <conditionalFormatting sqref="C4885:D4891 B4884:B4891 F4885:I4891 C4884:I4884 B4892:O4892 B4883:R4883 Q4884:R4885 J4884:O4891 Q4886:Q4892 P4884:P4892">
    <cfRule type="cellIs" dxfId="2540" priority="2472" stopIfTrue="1" operator="greaterThan">
      <formula>0</formula>
    </cfRule>
  </conditionalFormatting>
  <conditionalFormatting sqref="C4885:D4891">
    <cfRule type="cellIs" dxfId="2539" priority="2471" stopIfTrue="1" operator="greaterThan">
      <formula>0</formula>
    </cfRule>
  </conditionalFormatting>
  <conditionalFormatting sqref="C4883:M4883 C4885:D4891 F4885:I4891 C4884:I4884 K4884:M4891 J4884:J4892 L4892:M4892">
    <cfRule type="cellIs" dxfId="2538" priority="2470" stopIfTrue="1" operator="greaterThan">
      <formula>0</formula>
    </cfRule>
  </conditionalFormatting>
  <conditionalFormatting sqref="M4883:M4892">
    <cfRule type="cellIs" dxfId="2537" priority="2469" stopIfTrue="1" operator="lessThan">
      <formula>0</formula>
    </cfRule>
  </conditionalFormatting>
  <conditionalFormatting sqref="J4884:J4892 L4884:O4892 C4883:O4883">
    <cfRule type="cellIs" dxfId="2536" priority="2468" stopIfTrue="1" operator="greaterThan">
      <formula>0</formula>
    </cfRule>
  </conditionalFormatting>
  <conditionalFormatting sqref="H4885:I4891 K4885:M4892">
    <cfRule type="cellIs" dxfId="2535" priority="2467" stopIfTrue="1" operator="greaterThan">
      <formula>0</formula>
    </cfRule>
  </conditionalFormatting>
  <conditionalFormatting sqref="I4884">
    <cfRule type="cellIs" dxfId="2534" priority="2466" stopIfTrue="1" operator="greaterThan">
      <formula>0</formula>
    </cfRule>
  </conditionalFormatting>
  <conditionalFormatting sqref="I4892">
    <cfRule type="cellIs" dxfId="2533" priority="2465" stopIfTrue="1" operator="greaterThan">
      <formula>0</formula>
    </cfRule>
  </conditionalFormatting>
  <conditionalFormatting sqref="E4885:E4891">
    <cfRule type="cellIs" dxfId="2532" priority="2464" stopIfTrue="1" operator="greaterThan">
      <formula>0</formula>
    </cfRule>
  </conditionalFormatting>
  <conditionalFormatting sqref="K4900:K4905">
    <cfRule type="containsText" dxfId="2531" priority="2462" stopIfTrue="1" operator="containsText" text="NO CUMPLE">
      <formula>NOT(ISERROR(SEARCH("NO CUMPLE",K4900)))</formula>
    </cfRule>
    <cfRule type="containsText" dxfId="2530" priority="2463" stopIfTrue="1" operator="containsText" text="CUMPLE">
      <formula>NOT(ISERROR(SEARCH("CUMPLE",K4900)))</formula>
    </cfRule>
  </conditionalFormatting>
  <conditionalFormatting sqref="K4906">
    <cfRule type="containsText" dxfId="2529" priority="2460" stopIfTrue="1" operator="containsText" text="NO CUMPLE">
      <formula>NOT(ISERROR(SEARCH("NO CUMPLE",K4906)))</formula>
    </cfRule>
    <cfRule type="containsText" dxfId="2528" priority="2461" stopIfTrue="1" operator="containsText" text="CUMPLE">
      <formula>NOT(ISERROR(SEARCH("CUMPLE",K4906)))</formula>
    </cfRule>
  </conditionalFormatting>
  <conditionalFormatting sqref="Q4899">
    <cfRule type="cellIs" dxfId="2527" priority="2458" operator="greaterThanOrEqual">
      <formula>NUMMINCONT</formula>
    </cfRule>
    <cfRule type="cellIs" dxfId="2526" priority="2459" operator="lessThan">
      <formula>NUMMINCONT</formula>
    </cfRule>
  </conditionalFormatting>
  <conditionalFormatting sqref="W4883:Y4891">
    <cfRule type="cellIs" dxfId="2525" priority="2456" stopIfTrue="1" operator="equal">
      <formula>"NO"</formula>
    </cfRule>
    <cfRule type="cellIs" dxfId="2524" priority="2457" stopIfTrue="1" operator="equal">
      <formula>"SI"</formula>
    </cfRule>
  </conditionalFormatting>
  <conditionalFormatting sqref="R4886">
    <cfRule type="cellIs" dxfId="2523" priority="2455" stopIfTrue="1" operator="greaterThan">
      <formula>0</formula>
    </cfRule>
  </conditionalFormatting>
  <conditionalFormatting sqref="R4887">
    <cfRule type="cellIs" dxfId="2522" priority="2454" stopIfTrue="1" operator="greaterThan">
      <formula>0</formula>
    </cfRule>
  </conditionalFormatting>
  <conditionalFormatting sqref="R4888">
    <cfRule type="cellIs" dxfId="2521" priority="2453" stopIfTrue="1" operator="greaterThan">
      <formula>0</formula>
    </cfRule>
  </conditionalFormatting>
  <conditionalFormatting sqref="R4889">
    <cfRule type="cellIs" dxfId="2520" priority="2452" stopIfTrue="1" operator="greaterThan">
      <formula>0</formula>
    </cfRule>
  </conditionalFormatting>
  <conditionalFormatting sqref="R4890">
    <cfRule type="cellIs" dxfId="2519" priority="2451" stopIfTrue="1" operator="greaterThan">
      <formula>0</formula>
    </cfRule>
  </conditionalFormatting>
  <conditionalFormatting sqref="R4891">
    <cfRule type="cellIs" dxfId="2518" priority="2450" stopIfTrue="1" operator="greaterThan">
      <formula>0</formula>
    </cfRule>
  </conditionalFormatting>
  <conditionalFormatting sqref="R4892">
    <cfRule type="cellIs" dxfId="2517" priority="2449" stopIfTrue="1" operator="greaterThan">
      <formula>0</formula>
    </cfRule>
  </conditionalFormatting>
  <conditionalFormatting sqref="W4883:X4883">
    <cfRule type="cellIs" dxfId="2516" priority="2448" stopIfTrue="1" operator="equal">
      <formula>"NO APLICA"</formula>
    </cfRule>
  </conditionalFormatting>
  <conditionalFormatting sqref="W4884:X4887">
    <cfRule type="cellIs" dxfId="2515" priority="2447" stopIfTrue="1" operator="equal">
      <formula>"NO APLICA"</formula>
    </cfRule>
  </conditionalFormatting>
  <conditionalFormatting sqref="W4884:X4884">
    <cfRule type="cellIs" dxfId="2514" priority="2446" stopIfTrue="1" operator="equal">
      <formula>"NO APLICA"</formula>
    </cfRule>
  </conditionalFormatting>
  <conditionalFormatting sqref="Y4883">
    <cfRule type="cellIs" dxfId="2513" priority="2445" stopIfTrue="1" operator="equal">
      <formula>"NO APLICA"</formula>
    </cfRule>
  </conditionalFormatting>
  <conditionalFormatting sqref="Y4884:Y4887">
    <cfRule type="cellIs" dxfId="2512" priority="2444" stopIfTrue="1" operator="equal">
      <formula>"NO APLICA"</formula>
    </cfRule>
  </conditionalFormatting>
  <conditionalFormatting sqref="W4888:X4891">
    <cfRule type="cellIs" dxfId="2511" priority="2443" stopIfTrue="1" operator="equal">
      <formula>"NO APLICA"</formula>
    </cfRule>
  </conditionalFormatting>
  <conditionalFormatting sqref="W4888:X4888">
    <cfRule type="cellIs" dxfId="2510" priority="2442" stopIfTrue="1" operator="equal">
      <formula>"NO APLICA"</formula>
    </cfRule>
  </conditionalFormatting>
  <conditionalFormatting sqref="Y4888:Y4891">
    <cfRule type="cellIs" dxfId="2509" priority="2441" stopIfTrue="1" operator="equal">
      <formula>"NO APLICA"</formula>
    </cfRule>
  </conditionalFormatting>
  <conditionalFormatting sqref="T4897">
    <cfRule type="cellIs" dxfId="2508" priority="2439" operator="equal">
      <formula>"CUMPLE"</formula>
    </cfRule>
    <cfRule type="cellIs" dxfId="2507" priority="2440" operator="equal">
      <formula>"NO CUMPLE"</formula>
    </cfRule>
  </conditionalFormatting>
  <conditionalFormatting sqref="T4897:T4899">
    <cfRule type="cellIs" dxfId="2506" priority="2438" operator="equal">
      <formula>"VERIFICAR"</formula>
    </cfRule>
  </conditionalFormatting>
  <conditionalFormatting sqref="AD4883:AF4887">
    <cfRule type="cellIs" dxfId="2505" priority="2436" stopIfTrue="1" operator="equal">
      <formula>"NO"</formula>
    </cfRule>
    <cfRule type="cellIs" dxfId="2504" priority="2437" stopIfTrue="1" operator="equal">
      <formula>"SI"</formula>
    </cfRule>
  </conditionalFormatting>
  <conditionalFormatting sqref="AD4888:AF4891">
    <cfRule type="cellIs" dxfId="2503" priority="2434" stopIfTrue="1" operator="equal">
      <formula>"NO"</formula>
    </cfRule>
    <cfRule type="cellIs" dxfId="2502" priority="2435" stopIfTrue="1" operator="equal">
      <formula>"SI"</formula>
    </cfRule>
  </conditionalFormatting>
  <conditionalFormatting sqref="W4892:Y4892">
    <cfRule type="cellIs" dxfId="2501" priority="2432" stopIfTrue="1" operator="equal">
      <formula>"NO"</formula>
    </cfRule>
    <cfRule type="cellIs" dxfId="2500" priority="2433" stopIfTrue="1" operator="equal">
      <formula>"SI"</formula>
    </cfRule>
  </conditionalFormatting>
  <conditionalFormatting sqref="W4892:X4892">
    <cfRule type="cellIs" dxfId="2499" priority="2431" stopIfTrue="1" operator="equal">
      <formula>"NO APLICA"</formula>
    </cfRule>
  </conditionalFormatting>
  <conditionalFormatting sqref="Y4892">
    <cfRule type="cellIs" dxfId="2498" priority="2430" stopIfTrue="1" operator="equal">
      <formula>"NO APLICA"</formula>
    </cfRule>
  </conditionalFormatting>
  <conditionalFormatting sqref="AD4892:AF4892">
    <cfRule type="cellIs" dxfId="2497" priority="2428" stopIfTrue="1" operator="equal">
      <formula>"NO"</formula>
    </cfRule>
    <cfRule type="cellIs" dxfId="2496" priority="2429" stopIfTrue="1" operator="equal">
      <formula>"SI"</formula>
    </cfRule>
  </conditionalFormatting>
  <conditionalFormatting sqref="AE4897">
    <cfRule type="cellIs" dxfId="2495" priority="2425" stopIfTrue="1" operator="equal">
      <formula>"VERIFICAR"</formula>
    </cfRule>
    <cfRule type="cellIs" dxfId="2494" priority="2426" stopIfTrue="1" operator="equal">
      <formula>"NO CUMPLE"</formula>
    </cfRule>
    <cfRule type="cellIs" dxfId="2493" priority="2427" stopIfTrue="1" operator="equal">
      <formula>"CUMPLE"</formula>
    </cfRule>
  </conditionalFormatting>
  <conditionalFormatting sqref="AF4897">
    <cfRule type="cellIs" dxfId="2492" priority="2422" stopIfTrue="1" operator="equal">
      <formula>"VERIFICAR"</formula>
    </cfRule>
    <cfRule type="cellIs" dxfId="2491" priority="2423" stopIfTrue="1" operator="equal">
      <formula>"NO CUMPLE"</formula>
    </cfRule>
    <cfRule type="cellIs" dxfId="2490" priority="2424" stopIfTrue="1" operator="equal">
      <formula>"CUMPLE"</formula>
    </cfRule>
  </conditionalFormatting>
  <conditionalFormatting sqref="Y4900">
    <cfRule type="cellIs" dxfId="2489" priority="2421" operator="equal">
      <formula>"VERIFICAR CUADRO"</formula>
    </cfRule>
  </conditionalFormatting>
  <conditionalFormatting sqref="AC4901:AC4906">
    <cfRule type="cellIs" dxfId="2488" priority="2420" stopIfTrue="1" operator="greaterThan">
      <formula>0</formula>
    </cfRule>
  </conditionalFormatting>
  <conditionalFormatting sqref="AC4901:AC4906">
    <cfRule type="cellIs" dxfId="2487" priority="2419" stopIfTrue="1" operator="greaterThan">
      <formula>0</formula>
    </cfRule>
  </conditionalFormatting>
  <conditionalFormatting sqref="AD4901:AD4906">
    <cfRule type="containsText" dxfId="2486" priority="2417" stopIfTrue="1" operator="containsText" text="NO CUMPLE">
      <formula>NOT(ISERROR(SEARCH("NO CUMPLE",AD4901)))</formula>
    </cfRule>
    <cfRule type="containsText" dxfId="2485" priority="2418" stopIfTrue="1" operator="containsText" text="CUMPLE">
      <formula>NOT(ISERROR(SEARCH("CUMPLE",AD4901)))</formula>
    </cfRule>
  </conditionalFormatting>
  <conditionalFormatting sqref="Y4906">
    <cfRule type="containsText" dxfId="2484" priority="2415" stopIfTrue="1" operator="containsText" text="NO CUMPLE">
      <formula>NOT(ISERROR(SEARCH("NO CUMPLE",Y4906)))</formula>
    </cfRule>
    <cfRule type="containsText" dxfId="2483" priority="2416" stopIfTrue="1" operator="containsText" text="CUMPLE">
      <formula>NOT(ISERROR(SEARCH("CUMPLE",Y4906)))</formula>
    </cfRule>
  </conditionalFormatting>
  <conditionalFormatting sqref="AA4883:AA4892">
    <cfRule type="cellIs" dxfId="2482" priority="2413" stopIfTrue="1" operator="equal">
      <formula>"NO APLICA"</formula>
    </cfRule>
    <cfRule type="cellIs" dxfId="2481" priority="2414" stopIfTrue="1" operator="equal">
      <formula>"TERCIARIA"</formula>
    </cfRule>
  </conditionalFormatting>
  <conditionalFormatting sqref="AB4883:AB4892">
    <cfRule type="cellIs" dxfId="2480" priority="2411" stopIfTrue="1" operator="equal">
      <formula>"N/A"</formula>
    </cfRule>
    <cfRule type="cellIs" dxfId="2479" priority="2412" stopIfTrue="1" operator="equal">
      <formula>"NO"</formula>
    </cfRule>
  </conditionalFormatting>
  <conditionalFormatting sqref="M4913:M4922">
    <cfRule type="cellIs" dxfId="2478" priority="2410" stopIfTrue="1" operator="lessThan">
      <formula>0</formula>
    </cfRule>
  </conditionalFormatting>
  <conditionalFormatting sqref="C4915:D4921 B4914:B4921 F4915:I4921 C4914:I4914 B4922:O4922 B4913:R4913 Q4914:R4915 J4914:O4921 Q4916:Q4922 P4914:P4922">
    <cfRule type="cellIs" dxfId="2477" priority="2409" stopIfTrue="1" operator="greaterThan">
      <formula>0</formula>
    </cfRule>
  </conditionalFormatting>
  <conditionalFormatting sqref="C4915:D4921">
    <cfRule type="cellIs" dxfId="2476" priority="2408" stopIfTrue="1" operator="greaterThan">
      <formula>0</formula>
    </cfRule>
  </conditionalFormatting>
  <conditionalFormatting sqref="C4913:M4913 C4915:D4921 F4915:I4921 C4914:I4914 K4914:M4921 J4914:J4922 L4922:M4922">
    <cfRule type="cellIs" dxfId="2475" priority="2407" stopIfTrue="1" operator="greaterThan">
      <formula>0</formula>
    </cfRule>
  </conditionalFormatting>
  <conditionalFormatting sqref="M4913:M4922">
    <cfRule type="cellIs" dxfId="2474" priority="2406" stopIfTrue="1" operator="lessThan">
      <formula>0</formula>
    </cfRule>
  </conditionalFormatting>
  <conditionalFormatting sqref="J4914:J4922 L4914:O4922 C4913:O4913">
    <cfRule type="cellIs" dxfId="2473" priority="2405" stopIfTrue="1" operator="greaterThan">
      <formula>0</formula>
    </cfRule>
  </conditionalFormatting>
  <conditionalFormatting sqref="H4915:I4921 K4915:M4922">
    <cfRule type="cellIs" dxfId="2472" priority="2404" stopIfTrue="1" operator="greaterThan">
      <formula>0</formula>
    </cfRule>
  </conditionalFormatting>
  <conditionalFormatting sqref="I4914">
    <cfRule type="cellIs" dxfId="2471" priority="2403" stopIfTrue="1" operator="greaterThan">
      <formula>0</formula>
    </cfRule>
  </conditionalFormatting>
  <conditionalFormatting sqref="I4922">
    <cfRule type="cellIs" dxfId="2470" priority="2402" stopIfTrue="1" operator="greaterThan">
      <formula>0</formula>
    </cfRule>
  </conditionalFormatting>
  <conditionalFormatting sqref="E4915:E4921">
    <cfRule type="cellIs" dxfId="2469" priority="2401" stopIfTrue="1" operator="greaterThan">
      <formula>0</formula>
    </cfRule>
  </conditionalFormatting>
  <conditionalFormatting sqref="K4930:K4935">
    <cfRule type="containsText" dxfId="2468" priority="2399" stopIfTrue="1" operator="containsText" text="NO CUMPLE">
      <formula>NOT(ISERROR(SEARCH("NO CUMPLE",K4930)))</formula>
    </cfRule>
    <cfRule type="containsText" dxfId="2467" priority="2400" stopIfTrue="1" operator="containsText" text="CUMPLE">
      <formula>NOT(ISERROR(SEARCH("CUMPLE",K4930)))</formula>
    </cfRule>
  </conditionalFormatting>
  <conditionalFormatting sqref="K4936">
    <cfRule type="containsText" dxfId="2466" priority="2397" stopIfTrue="1" operator="containsText" text="NO CUMPLE">
      <formula>NOT(ISERROR(SEARCH("NO CUMPLE",K4936)))</formula>
    </cfRule>
    <cfRule type="containsText" dxfId="2465" priority="2398" stopIfTrue="1" operator="containsText" text="CUMPLE">
      <formula>NOT(ISERROR(SEARCH("CUMPLE",K4936)))</formula>
    </cfRule>
  </conditionalFormatting>
  <conditionalFormatting sqref="Q4929">
    <cfRule type="cellIs" dxfId="2464" priority="2395" operator="greaterThanOrEqual">
      <formula>NUMMINCONT</formula>
    </cfRule>
    <cfRule type="cellIs" dxfId="2463" priority="2396" operator="lessThan">
      <formula>NUMMINCONT</formula>
    </cfRule>
  </conditionalFormatting>
  <conditionalFormatting sqref="W4913:Y4921">
    <cfRule type="cellIs" dxfId="2462" priority="2393" stopIfTrue="1" operator="equal">
      <formula>"NO"</formula>
    </cfRule>
    <cfRule type="cellIs" dxfId="2461" priority="2394" stopIfTrue="1" operator="equal">
      <formula>"SI"</formula>
    </cfRule>
  </conditionalFormatting>
  <conditionalFormatting sqref="R4916">
    <cfRule type="cellIs" dxfId="2460" priority="2392" stopIfTrue="1" operator="greaterThan">
      <formula>0</formula>
    </cfRule>
  </conditionalFormatting>
  <conditionalFormatting sqref="R4917">
    <cfRule type="cellIs" dxfId="2459" priority="2391" stopIfTrue="1" operator="greaterThan">
      <formula>0</formula>
    </cfRule>
  </conditionalFormatting>
  <conditionalFormatting sqref="R4918">
    <cfRule type="cellIs" dxfId="2458" priority="2390" stopIfTrue="1" operator="greaterThan">
      <formula>0</formula>
    </cfRule>
  </conditionalFormatting>
  <conditionalFormatting sqref="R4919">
    <cfRule type="cellIs" dxfId="2457" priority="2389" stopIfTrue="1" operator="greaterThan">
      <formula>0</formula>
    </cfRule>
  </conditionalFormatting>
  <conditionalFormatting sqref="R4920">
    <cfRule type="cellIs" dxfId="2456" priority="2388" stopIfTrue="1" operator="greaterThan">
      <formula>0</formula>
    </cfRule>
  </conditionalFormatting>
  <conditionalFormatting sqref="R4921">
    <cfRule type="cellIs" dxfId="2455" priority="2387" stopIfTrue="1" operator="greaterThan">
      <formula>0</formula>
    </cfRule>
  </conditionalFormatting>
  <conditionalFormatting sqref="R4922">
    <cfRule type="cellIs" dxfId="2454" priority="2386" stopIfTrue="1" operator="greaterThan">
      <formula>0</formula>
    </cfRule>
  </conditionalFormatting>
  <conditionalFormatting sqref="W4913:X4913">
    <cfRule type="cellIs" dxfId="2453" priority="2385" stopIfTrue="1" operator="equal">
      <formula>"NO APLICA"</formula>
    </cfRule>
  </conditionalFormatting>
  <conditionalFormatting sqref="W4914:X4917">
    <cfRule type="cellIs" dxfId="2452" priority="2384" stopIfTrue="1" operator="equal">
      <formula>"NO APLICA"</formula>
    </cfRule>
  </conditionalFormatting>
  <conditionalFormatting sqref="W4914:X4914">
    <cfRule type="cellIs" dxfId="2451" priority="2383" stopIfTrue="1" operator="equal">
      <formula>"NO APLICA"</formula>
    </cfRule>
  </conditionalFormatting>
  <conditionalFormatting sqref="Y4913">
    <cfRule type="cellIs" dxfId="2450" priority="2382" stopIfTrue="1" operator="equal">
      <formula>"NO APLICA"</formula>
    </cfRule>
  </conditionalFormatting>
  <conditionalFormatting sqref="Y4914:Y4917">
    <cfRule type="cellIs" dxfId="2449" priority="2381" stopIfTrue="1" operator="equal">
      <formula>"NO APLICA"</formula>
    </cfRule>
  </conditionalFormatting>
  <conditionalFormatting sqref="W4918:X4921">
    <cfRule type="cellIs" dxfId="2448" priority="2380" stopIfTrue="1" operator="equal">
      <formula>"NO APLICA"</formula>
    </cfRule>
  </conditionalFormatting>
  <conditionalFormatting sqref="W4918:X4918">
    <cfRule type="cellIs" dxfId="2447" priority="2379" stopIfTrue="1" operator="equal">
      <formula>"NO APLICA"</formula>
    </cfRule>
  </conditionalFormatting>
  <conditionalFormatting sqref="Y4918:Y4921">
    <cfRule type="cellIs" dxfId="2446" priority="2378" stopIfTrue="1" operator="equal">
      <formula>"NO APLICA"</formula>
    </cfRule>
  </conditionalFormatting>
  <conditionalFormatting sqref="T4927">
    <cfRule type="cellIs" dxfId="2445" priority="2376" operator="equal">
      <formula>"CUMPLE"</formula>
    </cfRule>
    <cfRule type="cellIs" dxfId="2444" priority="2377" operator="equal">
      <formula>"NO CUMPLE"</formula>
    </cfRule>
  </conditionalFormatting>
  <conditionalFormatting sqref="T4927:T4929">
    <cfRule type="cellIs" dxfId="2443" priority="2375" operator="equal">
      <formula>"VERIFICAR"</formula>
    </cfRule>
  </conditionalFormatting>
  <conditionalFormatting sqref="AD4913:AF4917">
    <cfRule type="cellIs" dxfId="2442" priority="2373" stopIfTrue="1" operator="equal">
      <formula>"NO"</formula>
    </cfRule>
    <cfRule type="cellIs" dxfId="2441" priority="2374" stopIfTrue="1" operator="equal">
      <formula>"SI"</formula>
    </cfRule>
  </conditionalFormatting>
  <conditionalFormatting sqref="AD4918:AF4921">
    <cfRule type="cellIs" dxfId="2440" priority="2371" stopIfTrue="1" operator="equal">
      <formula>"NO"</formula>
    </cfRule>
    <cfRule type="cellIs" dxfId="2439" priority="2372" stopIfTrue="1" operator="equal">
      <formula>"SI"</formula>
    </cfRule>
  </conditionalFormatting>
  <conditionalFormatting sqref="W4922:Y4922">
    <cfRule type="cellIs" dxfId="2438" priority="2369" stopIfTrue="1" operator="equal">
      <formula>"NO"</formula>
    </cfRule>
    <cfRule type="cellIs" dxfId="2437" priority="2370" stopIfTrue="1" operator="equal">
      <formula>"SI"</formula>
    </cfRule>
  </conditionalFormatting>
  <conditionalFormatting sqref="W4922:X4922">
    <cfRule type="cellIs" dxfId="2436" priority="2368" stopIfTrue="1" operator="equal">
      <formula>"NO APLICA"</formula>
    </cfRule>
  </conditionalFormatting>
  <conditionalFormatting sqref="Y4922">
    <cfRule type="cellIs" dxfId="2435" priority="2367" stopIfTrue="1" operator="equal">
      <formula>"NO APLICA"</formula>
    </cfRule>
  </conditionalFormatting>
  <conditionalFormatting sqref="AD4922:AF4922">
    <cfRule type="cellIs" dxfId="2434" priority="2365" stopIfTrue="1" operator="equal">
      <formula>"NO"</formula>
    </cfRule>
    <cfRule type="cellIs" dxfId="2433" priority="2366" stopIfTrue="1" operator="equal">
      <formula>"SI"</formula>
    </cfRule>
  </conditionalFormatting>
  <conditionalFormatting sqref="AE4927">
    <cfRule type="cellIs" dxfId="2432" priority="2362" stopIfTrue="1" operator="equal">
      <formula>"VERIFICAR"</formula>
    </cfRule>
    <cfRule type="cellIs" dxfId="2431" priority="2363" stopIfTrue="1" operator="equal">
      <formula>"NO CUMPLE"</formula>
    </cfRule>
    <cfRule type="cellIs" dxfId="2430" priority="2364" stopIfTrue="1" operator="equal">
      <formula>"CUMPLE"</formula>
    </cfRule>
  </conditionalFormatting>
  <conditionalFormatting sqref="AF4927">
    <cfRule type="cellIs" dxfId="2429" priority="2359" stopIfTrue="1" operator="equal">
      <formula>"VERIFICAR"</formula>
    </cfRule>
    <cfRule type="cellIs" dxfId="2428" priority="2360" stopIfTrue="1" operator="equal">
      <formula>"NO CUMPLE"</formula>
    </cfRule>
    <cfRule type="cellIs" dxfId="2427" priority="2361" stopIfTrue="1" operator="equal">
      <formula>"CUMPLE"</formula>
    </cfRule>
  </conditionalFormatting>
  <conditionalFormatting sqref="Y4930">
    <cfRule type="cellIs" dxfId="2426" priority="2358" operator="equal">
      <formula>"VERIFICAR CUADRO"</formula>
    </cfRule>
  </conditionalFormatting>
  <conditionalFormatting sqref="AC4931:AC4936">
    <cfRule type="cellIs" dxfId="2425" priority="2357" stopIfTrue="1" operator="greaterThan">
      <formula>0</formula>
    </cfRule>
  </conditionalFormatting>
  <conditionalFormatting sqref="AC4931:AC4936">
    <cfRule type="cellIs" dxfId="2424" priority="2356" stopIfTrue="1" operator="greaterThan">
      <formula>0</formula>
    </cfRule>
  </conditionalFormatting>
  <conditionalFormatting sqref="AD4931:AD4936">
    <cfRule type="containsText" dxfId="2423" priority="2354" stopIfTrue="1" operator="containsText" text="NO CUMPLE">
      <formula>NOT(ISERROR(SEARCH("NO CUMPLE",AD4931)))</formula>
    </cfRule>
    <cfRule type="containsText" dxfId="2422" priority="2355" stopIfTrue="1" operator="containsText" text="CUMPLE">
      <formula>NOT(ISERROR(SEARCH("CUMPLE",AD4931)))</formula>
    </cfRule>
  </conditionalFormatting>
  <conditionalFormatting sqref="Y4936">
    <cfRule type="containsText" dxfId="2421" priority="2352" stopIfTrue="1" operator="containsText" text="NO CUMPLE">
      <formula>NOT(ISERROR(SEARCH("NO CUMPLE",Y4936)))</formula>
    </cfRule>
    <cfRule type="containsText" dxfId="2420" priority="2353" stopIfTrue="1" operator="containsText" text="CUMPLE">
      <formula>NOT(ISERROR(SEARCH("CUMPLE",Y4936)))</formula>
    </cfRule>
  </conditionalFormatting>
  <conditionalFormatting sqref="AA4913:AA4922">
    <cfRule type="cellIs" dxfId="2419" priority="2350" stopIfTrue="1" operator="equal">
      <formula>"NO APLICA"</formula>
    </cfRule>
    <cfRule type="cellIs" dxfId="2418" priority="2351" stopIfTrue="1" operator="equal">
      <formula>"TERCIARIA"</formula>
    </cfRule>
  </conditionalFormatting>
  <conditionalFormatting sqref="AB4913:AB4922">
    <cfRule type="cellIs" dxfId="2417" priority="2348" stopIfTrue="1" operator="equal">
      <formula>"N/A"</formula>
    </cfRule>
    <cfRule type="cellIs" dxfId="2416" priority="2349" stopIfTrue="1" operator="equal">
      <formula>"NO"</formula>
    </cfRule>
  </conditionalFormatting>
  <conditionalFormatting sqref="M4943:M4952">
    <cfRule type="cellIs" dxfId="2415" priority="2347" stopIfTrue="1" operator="lessThan">
      <formula>0</formula>
    </cfRule>
  </conditionalFormatting>
  <conditionalFormatting sqref="C4945:D4951 B4944:B4951 F4945:I4951 C4944:I4944 B4952:O4952 B4943:R4943 Q4944:R4945 J4944:O4951 Q4946:Q4952 P4944:P4952">
    <cfRule type="cellIs" dxfId="2414" priority="2346" stopIfTrue="1" operator="greaterThan">
      <formula>0</formula>
    </cfRule>
  </conditionalFormatting>
  <conditionalFormatting sqref="C4945:D4951">
    <cfRule type="cellIs" dxfId="2413" priority="2345" stopIfTrue="1" operator="greaterThan">
      <formula>0</formula>
    </cfRule>
  </conditionalFormatting>
  <conditionalFormatting sqref="C4943:M4943 C4945:D4951 F4945:I4951 C4944:I4944 K4944:M4951 J4944:J4952 L4952:M4952">
    <cfRule type="cellIs" dxfId="2412" priority="2344" stopIfTrue="1" operator="greaterThan">
      <formula>0</formula>
    </cfRule>
  </conditionalFormatting>
  <conditionalFormatting sqref="M4943:M4952">
    <cfRule type="cellIs" dxfId="2411" priority="2343" stopIfTrue="1" operator="lessThan">
      <formula>0</formula>
    </cfRule>
  </conditionalFormatting>
  <conditionalFormatting sqref="J4944:J4952 L4944:O4952 C4943:O4943">
    <cfRule type="cellIs" dxfId="2410" priority="2342" stopIfTrue="1" operator="greaterThan">
      <formula>0</formula>
    </cfRule>
  </conditionalFormatting>
  <conditionalFormatting sqref="H4945:I4951 K4945:M4952">
    <cfRule type="cellIs" dxfId="2409" priority="2341" stopIfTrue="1" operator="greaterThan">
      <formula>0</formula>
    </cfRule>
  </conditionalFormatting>
  <conditionalFormatting sqref="I4944">
    <cfRule type="cellIs" dxfId="2408" priority="2340" stopIfTrue="1" operator="greaterThan">
      <formula>0</formula>
    </cfRule>
  </conditionalFormatting>
  <conditionalFormatting sqref="I4952">
    <cfRule type="cellIs" dxfId="2407" priority="2339" stopIfTrue="1" operator="greaterThan">
      <formula>0</formula>
    </cfRule>
  </conditionalFormatting>
  <conditionalFormatting sqref="E4945:E4951">
    <cfRule type="cellIs" dxfId="2406" priority="2338" stopIfTrue="1" operator="greaterThan">
      <formula>0</formula>
    </cfRule>
  </conditionalFormatting>
  <conditionalFormatting sqref="K4960:K4965">
    <cfRule type="containsText" dxfId="2405" priority="2336" stopIfTrue="1" operator="containsText" text="NO CUMPLE">
      <formula>NOT(ISERROR(SEARCH("NO CUMPLE",K4960)))</formula>
    </cfRule>
    <cfRule type="containsText" dxfId="2404" priority="2337" stopIfTrue="1" operator="containsText" text="CUMPLE">
      <formula>NOT(ISERROR(SEARCH("CUMPLE",K4960)))</formula>
    </cfRule>
  </conditionalFormatting>
  <conditionalFormatting sqref="K4966">
    <cfRule type="containsText" dxfId="2403" priority="2334" stopIfTrue="1" operator="containsText" text="NO CUMPLE">
      <formula>NOT(ISERROR(SEARCH("NO CUMPLE",K4966)))</formula>
    </cfRule>
    <cfRule type="containsText" dxfId="2402" priority="2335" stopIfTrue="1" operator="containsText" text="CUMPLE">
      <formula>NOT(ISERROR(SEARCH("CUMPLE",K4966)))</formula>
    </cfRule>
  </conditionalFormatting>
  <conditionalFormatting sqref="Q4959">
    <cfRule type="cellIs" dxfId="2401" priority="2332" operator="greaterThanOrEqual">
      <formula>NUMMINCONT</formula>
    </cfRule>
    <cfRule type="cellIs" dxfId="2400" priority="2333" operator="lessThan">
      <formula>NUMMINCONT</formula>
    </cfRule>
  </conditionalFormatting>
  <conditionalFormatting sqref="W4943:Y4951">
    <cfRule type="cellIs" dxfId="2399" priority="2330" stopIfTrue="1" operator="equal">
      <formula>"NO"</formula>
    </cfRule>
    <cfRule type="cellIs" dxfId="2398" priority="2331" stopIfTrue="1" operator="equal">
      <formula>"SI"</formula>
    </cfRule>
  </conditionalFormatting>
  <conditionalFormatting sqref="R4946">
    <cfRule type="cellIs" dxfId="2397" priority="2329" stopIfTrue="1" operator="greaterThan">
      <formula>0</formula>
    </cfRule>
  </conditionalFormatting>
  <conditionalFormatting sqref="R4947">
    <cfRule type="cellIs" dxfId="2396" priority="2328" stopIfTrue="1" operator="greaterThan">
      <formula>0</formula>
    </cfRule>
  </conditionalFormatting>
  <conditionalFormatting sqref="R4948">
    <cfRule type="cellIs" dxfId="2395" priority="2327" stopIfTrue="1" operator="greaterThan">
      <formula>0</formula>
    </cfRule>
  </conditionalFormatting>
  <conditionalFormatting sqref="R4949">
    <cfRule type="cellIs" dxfId="2394" priority="2326" stopIfTrue="1" operator="greaterThan">
      <formula>0</formula>
    </cfRule>
  </conditionalFormatting>
  <conditionalFormatting sqref="R4950">
    <cfRule type="cellIs" dxfId="2393" priority="2325" stopIfTrue="1" operator="greaterThan">
      <formula>0</formula>
    </cfRule>
  </conditionalFormatting>
  <conditionalFormatting sqref="R4951">
    <cfRule type="cellIs" dxfId="2392" priority="2324" stopIfTrue="1" operator="greaterThan">
      <formula>0</formula>
    </cfRule>
  </conditionalFormatting>
  <conditionalFormatting sqref="R4952">
    <cfRule type="cellIs" dxfId="2391" priority="2323" stopIfTrue="1" operator="greaterThan">
      <formula>0</formula>
    </cfRule>
  </conditionalFormatting>
  <conditionalFormatting sqref="W4943:X4943">
    <cfRule type="cellIs" dxfId="2390" priority="2322" stopIfTrue="1" operator="equal">
      <formula>"NO APLICA"</formula>
    </cfRule>
  </conditionalFormatting>
  <conditionalFormatting sqref="W4944:X4947">
    <cfRule type="cellIs" dxfId="2389" priority="2321" stopIfTrue="1" operator="equal">
      <formula>"NO APLICA"</formula>
    </cfRule>
  </conditionalFormatting>
  <conditionalFormatting sqref="W4944:X4944">
    <cfRule type="cellIs" dxfId="2388" priority="2320" stopIfTrue="1" operator="equal">
      <formula>"NO APLICA"</formula>
    </cfRule>
  </conditionalFormatting>
  <conditionalFormatting sqref="Y4943">
    <cfRule type="cellIs" dxfId="2387" priority="2319" stopIfTrue="1" operator="equal">
      <formula>"NO APLICA"</formula>
    </cfRule>
  </conditionalFormatting>
  <conditionalFormatting sqref="Y4944:Y4947">
    <cfRule type="cellIs" dxfId="2386" priority="2318" stopIfTrue="1" operator="equal">
      <formula>"NO APLICA"</formula>
    </cfRule>
  </conditionalFormatting>
  <conditionalFormatting sqref="W4948:X4951">
    <cfRule type="cellIs" dxfId="2385" priority="2317" stopIfTrue="1" operator="equal">
      <formula>"NO APLICA"</formula>
    </cfRule>
  </conditionalFormatting>
  <conditionalFormatting sqref="W4948:X4948">
    <cfRule type="cellIs" dxfId="2384" priority="2316" stopIfTrue="1" operator="equal">
      <formula>"NO APLICA"</formula>
    </cfRule>
  </conditionalFormatting>
  <conditionalFormatting sqref="Y4948:Y4951">
    <cfRule type="cellIs" dxfId="2383" priority="2315" stopIfTrue="1" operator="equal">
      <formula>"NO APLICA"</formula>
    </cfRule>
  </conditionalFormatting>
  <conditionalFormatting sqref="T4957">
    <cfRule type="cellIs" dxfId="2382" priority="2313" operator="equal">
      <formula>"CUMPLE"</formula>
    </cfRule>
    <cfRule type="cellIs" dxfId="2381" priority="2314" operator="equal">
      <formula>"NO CUMPLE"</formula>
    </cfRule>
  </conditionalFormatting>
  <conditionalFormatting sqref="T4957:T4959">
    <cfRule type="cellIs" dxfId="2380" priority="2312" operator="equal">
      <formula>"VERIFICAR"</formula>
    </cfRule>
  </conditionalFormatting>
  <conditionalFormatting sqref="AD4943:AF4947">
    <cfRule type="cellIs" dxfId="2379" priority="2310" stopIfTrue="1" operator="equal">
      <formula>"NO"</formula>
    </cfRule>
    <cfRule type="cellIs" dxfId="2378" priority="2311" stopIfTrue="1" operator="equal">
      <formula>"SI"</formula>
    </cfRule>
  </conditionalFormatting>
  <conditionalFormatting sqref="AD4948:AF4951">
    <cfRule type="cellIs" dxfId="2377" priority="2308" stopIfTrue="1" operator="equal">
      <formula>"NO"</formula>
    </cfRule>
    <cfRule type="cellIs" dxfId="2376" priority="2309" stopIfTrue="1" operator="equal">
      <formula>"SI"</formula>
    </cfRule>
  </conditionalFormatting>
  <conditionalFormatting sqref="W4952:Y4952">
    <cfRule type="cellIs" dxfId="2375" priority="2306" stopIfTrue="1" operator="equal">
      <formula>"NO"</formula>
    </cfRule>
    <cfRule type="cellIs" dxfId="2374" priority="2307" stopIfTrue="1" operator="equal">
      <formula>"SI"</formula>
    </cfRule>
  </conditionalFormatting>
  <conditionalFormatting sqref="W4952:X4952">
    <cfRule type="cellIs" dxfId="2373" priority="2305" stopIfTrue="1" operator="equal">
      <formula>"NO APLICA"</formula>
    </cfRule>
  </conditionalFormatting>
  <conditionalFormatting sqref="Y4952">
    <cfRule type="cellIs" dxfId="2372" priority="2304" stopIfTrue="1" operator="equal">
      <formula>"NO APLICA"</formula>
    </cfRule>
  </conditionalFormatting>
  <conditionalFormatting sqref="AD4952:AF4952">
    <cfRule type="cellIs" dxfId="2371" priority="2302" stopIfTrue="1" operator="equal">
      <formula>"NO"</formula>
    </cfRule>
    <cfRule type="cellIs" dxfId="2370" priority="2303" stopIfTrue="1" operator="equal">
      <formula>"SI"</formula>
    </cfRule>
  </conditionalFormatting>
  <conditionalFormatting sqref="AE4957">
    <cfRule type="cellIs" dxfId="2369" priority="2299" stopIfTrue="1" operator="equal">
      <formula>"VERIFICAR"</formula>
    </cfRule>
    <cfRule type="cellIs" dxfId="2368" priority="2300" stopIfTrue="1" operator="equal">
      <formula>"NO CUMPLE"</formula>
    </cfRule>
    <cfRule type="cellIs" dxfId="2367" priority="2301" stopIfTrue="1" operator="equal">
      <formula>"CUMPLE"</formula>
    </cfRule>
  </conditionalFormatting>
  <conditionalFormatting sqref="AF4957">
    <cfRule type="cellIs" dxfId="2366" priority="2296" stopIfTrue="1" operator="equal">
      <formula>"VERIFICAR"</formula>
    </cfRule>
    <cfRule type="cellIs" dxfId="2365" priority="2297" stopIfTrue="1" operator="equal">
      <formula>"NO CUMPLE"</formula>
    </cfRule>
    <cfRule type="cellIs" dxfId="2364" priority="2298" stopIfTrue="1" operator="equal">
      <formula>"CUMPLE"</formula>
    </cfRule>
  </conditionalFormatting>
  <conditionalFormatting sqref="Y4960">
    <cfRule type="cellIs" dxfId="2363" priority="2295" operator="equal">
      <formula>"VERIFICAR CUADRO"</formula>
    </cfRule>
  </conditionalFormatting>
  <conditionalFormatting sqref="AC4961:AC4966">
    <cfRule type="cellIs" dxfId="2362" priority="2294" stopIfTrue="1" operator="greaterThan">
      <formula>0</formula>
    </cfRule>
  </conditionalFormatting>
  <conditionalFormatting sqref="AC4961:AC4966">
    <cfRule type="cellIs" dxfId="2361" priority="2293" stopIfTrue="1" operator="greaterThan">
      <formula>0</formula>
    </cfRule>
  </conditionalFormatting>
  <conditionalFormatting sqref="AD4961:AD4966">
    <cfRule type="containsText" dxfId="2360" priority="2291" stopIfTrue="1" operator="containsText" text="NO CUMPLE">
      <formula>NOT(ISERROR(SEARCH("NO CUMPLE",AD4961)))</formula>
    </cfRule>
    <cfRule type="containsText" dxfId="2359" priority="2292" stopIfTrue="1" operator="containsText" text="CUMPLE">
      <formula>NOT(ISERROR(SEARCH("CUMPLE",AD4961)))</formula>
    </cfRule>
  </conditionalFormatting>
  <conditionalFormatting sqref="Y4966">
    <cfRule type="containsText" dxfId="2358" priority="2289" stopIfTrue="1" operator="containsText" text="NO CUMPLE">
      <formula>NOT(ISERROR(SEARCH("NO CUMPLE",Y4966)))</formula>
    </cfRule>
    <cfRule type="containsText" dxfId="2357" priority="2290" stopIfTrue="1" operator="containsText" text="CUMPLE">
      <formula>NOT(ISERROR(SEARCH("CUMPLE",Y4966)))</formula>
    </cfRule>
  </conditionalFormatting>
  <conditionalFormatting sqref="AA4943:AA4952">
    <cfRule type="cellIs" dxfId="2356" priority="2287" stopIfTrue="1" operator="equal">
      <formula>"NO APLICA"</formula>
    </cfRule>
    <cfRule type="cellIs" dxfId="2355" priority="2288" stopIfTrue="1" operator="equal">
      <formula>"TERCIARIA"</formula>
    </cfRule>
  </conditionalFormatting>
  <conditionalFormatting sqref="AB4943:AB4952">
    <cfRule type="cellIs" dxfId="2354" priority="2285" stopIfTrue="1" operator="equal">
      <formula>"N/A"</formula>
    </cfRule>
    <cfRule type="cellIs" dxfId="2353" priority="2286" stopIfTrue="1" operator="equal">
      <formula>"NO"</formula>
    </cfRule>
  </conditionalFormatting>
  <conditionalFormatting sqref="M4973:M4982">
    <cfRule type="cellIs" dxfId="2352" priority="2284" stopIfTrue="1" operator="lessThan">
      <formula>0</formula>
    </cfRule>
  </conditionalFormatting>
  <conditionalFormatting sqref="C4975:D4981 B4974:B4981 F4975:I4981 C4974:I4974 B4982:O4982 B4973:R4973 Q4974:R4975 J4974:O4981 Q4976:Q4982 P4974:P4982">
    <cfRule type="cellIs" dxfId="2351" priority="2283" stopIfTrue="1" operator="greaterThan">
      <formula>0</formula>
    </cfRule>
  </conditionalFormatting>
  <conditionalFormatting sqref="C4975:D4981">
    <cfRule type="cellIs" dxfId="2350" priority="2282" stopIfTrue="1" operator="greaterThan">
      <formula>0</formula>
    </cfRule>
  </conditionalFormatting>
  <conditionalFormatting sqref="C4973:M4973 C4975:D4981 F4975:I4981 C4974:I4974 K4974:M4981 J4974:J4982 L4982:M4982">
    <cfRule type="cellIs" dxfId="2349" priority="2281" stopIfTrue="1" operator="greaterThan">
      <formula>0</formula>
    </cfRule>
  </conditionalFormatting>
  <conditionalFormatting sqref="M4973:M4982">
    <cfRule type="cellIs" dxfId="2348" priority="2280" stopIfTrue="1" operator="lessThan">
      <formula>0</formula>
    </cfRule>
  </conditionalFormatting>
  <conditionalFormatting sqref="J4974:J4982 L4974:O4982 C4973:O4973">
    <cfRule type="cellIs" dxfId="2347" priority="2279" stopIfTrue="1" operator="greaterThan">
      <formula>0</formula>
    </cfRule>
  </conditionalFormatting>
  <conditionalFormatting sqref="H4975:I4981 K4975:M4982">
    <cfRule type="cellIs" dxfId="2346" priority="2278" stopIfTrue="1" operator="greaterThan">
      <formula>0</formula>
    </cfRule>
  </conditionalFormatting>
  <conditionalFormatting sqref="I4974">
    <cfRule type="cellIs" dxfId="2345" priority="2277" stopIfTrue="1" operator="greaterThan">
      <formula>0</formula>
    </cfRule>
  </conditionalFormatting>
  <conditionalFormatting sqref="I4982">
    <cfRule type="cellIs" dxfId="2344" priority="2276" stopIfTrue="1" operator="greaterThan">
      <formula>0</formula>
    </cfRule>
  </conditionalFormatting>
  <conditionalFormatting sqref="E4975:E4981">
    <cfRule type="cellIs" dxfId="2343" priority="2275" stopIfTrue="1" operator="greaterThan">
      <formula>0</formula>
    </cfRule>
  </conditionalFormatting>
  <conditionalFormatting sqref="K4990:K4995">
    <cfRule type="containsText" dxfId="2342" priority="2273" stopIfTrue="1" operator="containsText" text="NO CUMPLE">
      <formula>NOT(ISERROR(SEARCH("NO CUMPLE",K4990)))</formula>
    </cfRule>
    <cfRule type="containsText" dxfId="2341" priority="2274" stopIfTrue="1" operator="containsText" text="CUMPLE">
      <formula>NOT(ISERROR(SEARCH("CUMPLE",K4990)))</formula>
    </cfRule>
  </conditionalFormatting>
  <conditionalFormatting sqref="K4996">
    <cfRule type="containsText" dxfId="2340" priority="2271" stopIfTrue="1" operator="containsText" text="NO CUMPLE">
      <formula>NOT(ISERROR(SEARCH("NO CUMPLE",K4996)))</formula>
    </cfRule>
    <cfRule type="containsText" dxfId="2339" priority="2272" stopIfTrue="1" operator="containsText" text="CUMPLE">
      <formula>NOT(ISERROR(SEARCH("CUMPLE",K4996)))</formula>
    </cfRule>
  </conditionalFormatting>
  <conditionalFormatting sqref="Q4989">
    <cfRule type="cellIs" dxfId="2338" priority="2269" operator="greaterThanOrEqual">
      <formula>NUMMINCONT</formula>
    </cfRule>
    <cfRule type="cellIs" dxfId="2337" priority="2270" operator="lessThan">
      <formula>NUMMINCONT</formula>
    </cfRule>
  </conditionalFormatting>
  <conditionalFormatting sqref="W4973:Y4981">
    <cfRule type="cellIs" dxfId="2336" priority="2267" stopIfTrue="1" operator="equal">
      <formula>"NO"</formula>
    </cfRule>
    <cfRule type="cellIs" dxfId="2335" priority="2268" stopIfTrue="1" operator="equal">
      <formula>"SI"</formula>
    </cfRule>
  </conditionalFormatting>
  <conditionalFormatting sqref="R4976">
    <cfRule type="cellIs" dxfId="2334" priority="2266" stopIfTrue="1" operator="greaterThan">
      <formula>0</formula>
    </cfRule>
  </conditionalFormatting>
  <conditionalFormatting sqref="R4977">
    <cfRule type="cellIs" dxfId="2333" priority="2265" stopIfTrue="1" operator="greaterThan">
      <formula>0</formula>
    </cfRule>
  </conditionalFormatting>
  <conditionalFormatting sqref="R4978">
    <cfRule type="cellIs" dxfId="2332" priority="2264" stopIfTrue="1" operator="greaterThan">
      <formula>0</formula>
    </cfRule>
  </conditionalFormatting>
  <conditionalFormatting sqref="R4979">
    <cfRule type="cellIs" dxfId="2331" priority="2263" stopIfTrue="1" operator="greaterThan">
      <formula>0</formula>
    </cfRule>
  </conditionalFormatting>
  <conditionalFormatting sqref="R4980">
    <cfRule type="cellIs" dxfId="2330" priority="2262" stopIfTrue="1" operator="greaterThan">
      <formula>0</formula>
    </cfRule>
  </conditionalFormatting>
  <conditionalFormatting sqref="R4981">
    <cfRule type="cellIs" dxfId="2329" priority="2261" stopIfTrue="1" operator="greaterThan">
      <formula>0</formula>
    </cfRule>
  </conditionalFormatting>
  <conditionalFormatting sqref="R4982">
    <cfRule type="cellIs" dxfId="2328" priority="2260" stopIfTrue="1" operator="greaterThan">
      <formula>0</formula>
    </cfRule>
  </conditionalFormatting>
  <conditionalFormatting sqref="W4973:X4973">
    <cfRule type="cellIs" dxfId="2327" priority="2259" stopIfTrue="1" operator="equal">
      <formula>"NO APLICA"</formula>
    </cfRule>
  </conditionalFormatting>
  <conditionalFormatting sqref="W4974:X4977">
    <cfRule type="cellIs" dxfId="2326" priority="2258" stopIfTrue="1" operator="equal">
      <formula>"NO APLICA"</formula>
    </cfRule>
  </conditionalFormatting>
  <conditionalFormatting sqref="W4974:X4974">
    <cfRule type="cellIs" dxfId="2325" priority="2257" stopIfTrue="1" operator="equal">
      <formula>"NO APLICA"</formula>
    </cfRule>
  </conditionalFormatting>
  <conditionalFormatting sqref="Y4973">
    <cfRule type="cellIs" dxfId="2324" priority="2256" stopIfTrue="1" operator="equal">
      <formula>"NO APLICA"</formula>
    </cfRule>
  </conditionalFormatting>
  <conditionalFormatting sqref="Y4974:Y4977">
    <cfRule type="cellIs" dxfId="2323" priority="2255" stopIfTrue="1" operator="equal">
      <formula>"NO APLICA"</formula>
    </cfRule>
  </conditionalFormatting>
  <conditionalFormatting sqref="W4978:X4981">
    <cfRule type="cellIs" dxfId="2322" priority="2254" stopIfTrue="1" operator="equal">
      <formula>"NO APLICA"</formula>
    </cfRule>
  </conditionalFormatting>
  <conditionalFormatting sqref="W4978:X4978">
    <cfRule type="cellIs" dxfId="2321" priority="2253" stopIfTrue="1" operator="equal">
      <formula>"NO APLICA"</formula>
    </cfRule>
  </conditionalFormatting>
  <conditionalFormatting sqref="Y4978:Y4981">
    <cfRule type="cellIs" dxfId="2320" priority="2252" stopIfTrue="1" operator="equal">
      <formula>"NO APLICA"</formula>
    </cfRule>
  </conditionalFormatting>
  <conditionalFormatting sqref="T4987">
    <cfRule type="cellIs" dxfId="2319" priority="2250" operator="equal">
      <formula>"CUMPLE"</formula>
    </cfRule>
    <cfRule type="cellIs" dxfId="2318" priority="2251" operator="equal">
      <formula>"NO CUMPLE"</formula>
    </cfRule>
  </conditionalFormatting>
  <conditionalFormatting sqref="T4987:T4989">
    <cfRule type="cellIs" dxfId="2317" priority="2249" operator="equal">
      <formula>"VERIFICAR"</formula>
    </cfRule>
  </conditionalFormatting>
  <conditionalFormatting sqref="AD4973:AF4977">
    <cfRule type="cellIs" dxfId="2316" priority="2247" stopIfTrue="1" operator="equal">
      <formula>"NO"</formula>
    </cfRule>
    <cfRule type="cellIs" dxfId="2315" priority="2248" stopIfTrue="1" operator="equal">
      <formula>"SI"</formula>
    </cfRule>
  </conditionalFormatting>
  <conditionalFormatting sqref="AD4978:AF4981">
    <cfRule type="cellIs" dxfId="2314" priority="2245" stopIfTrue="1" operator="equal">
      <formula>"NO"</formula>
    </cfRule>
    <cfRule type="cellIs" dxfId="2313" priority="2246" stopIfTrue="1" operator="equal">
      <formula>"SI"</formula>
    </cfRule>
  </conditionalFormatting>
  <conditionalFormatting sqref="W4982:Y4982">
    <cfRule type="cellIs" dxfId="2312" priority="2243" stopIfTrue="1" operator="equal">
      <formula>"NO"</formula>
    </cfRule>
    <cfRule type="cellIs" dxfId="2311" priority="2244" stopIfTrue="1" operator="equal">
      <formula>"SI"</formula>
    </cfRule>
  </conditionalFormatting>
  <conditionalFormatting sqref="W4982:X4982">
    <cfRule type="cellIs" dxfId="2310" priority="2242" stopIfTrue="1" operator="equal">
      <formula>"NO APLICA"</formula>
    </cfRule>
  </conditionalFormatting>
  <conditionalFormatting sqref="Y4982">
    <cfRule type="cellIs" dxfId="2309" priority="2241" stopIfTrue="1" operator="equal">
      <formula>"NO APLICA"</formula>
    </cfRule>
  </conditionalFormatting>
  <conditionalFormatting sqref="AD4982:AF4982">
    <cfRule type="cellIs" dxfId="2308" priority="2239" stopIfTrue="1" operator="equal">
      <formula>"NO"</formula>
    </cfRule>
    <cfRule type="cellIs" dxfId="2307" priority="2240" stopIfTrue="1" operator="equal">
      <formula>"SI"</formula>
    </cfRule>
  </conditionalFormatting>
  <conditionalFormatting sqref="AE4987">
    <cfRule type="cellIs" dxfId="2306" priority="2236" stopIfTrue="1" operator="equal">
      <formula>"VERIFICAR"</formula>
    </cfRule>
    <cfRule type="cellIs" dxfId="2305" priority="2237" stopIfTrue="1" operator="equal">
      <formula>"NO CUMPLE"</formula>
    </cfRule>
    <cfRule type="cellIs" dxfId="2304" priority="2238" stopIfTrue="1" operator="equal">
      <formula>"CUMPLE"</formula>
    </cfRule>
  </conditionalFormatting>
  <conditionalFormatting sqref="AF4987">
    <cfRule type="cellIs" dxfId="2303" priority="2233" stopIfTrue="1" operator="equal">
      <formula>"VERIFICAR"</formula>
    </cfRule>
    <cfRule type="cellIs" dxfId="2302" priority="2234" stopIfTrue="1" operator="equal">
      <formula>"NO CUMPLE"</formula>
    </cfRule>
    <cfRule type="cellIs" dxfId="2301" priority="2235" stopIfTrue="1" operator="equal">
      <formula>"CUMPLE"</formula>
    </cfRule>
  </conditionalFormatting>
  <conditionalFormatting sqref="Y4990">
    <cfRule type="cellIs" dxfId="2300" priority="2232" operator="equal">
      <formula>"VERIFICAR CUADRO"</formula>
    </cfRule>
  </conditionalFormatting>
  <conditionalFormatting sqref="AC4991:AC4996">
    <cfRule type="cellIs" dxfId="2299" priority="2231" stopIfTrue="1" operator="greaterThan">
      <formula>0</formula>
    </cfRule>
  </conditionalFormatting>
  <conditionalFormatting sqref="AC4991:AC4996">
    <cfRule type="cellIs" dxfId="2298" priority="2230" stopIfTrue="1" operator="greaterThan">
      <formula>0</formula>
    </cfRule>
  </conditionalFormatting>
  <conditionalFormatting sqref="AD4991:AD4996">
    <cfRule type="containsText" dxfId="2297" priority="2228" stopIfTrue="1" operator="containsText" text="NO CUMPLE">
      <formula>NOT(ISERROR(SEARCH("NO CUMPLE",AD4991)))</formula>
    </cfRule>
    <cfRule type="containsText" dxfId="2296" priority="2229" stopIfTrue="1" operator="containsText" text="CUMPLE">
      <formula>NOT(ISERROR(SEARCH("CUMPLE",AD4991)))</formula>
    </cfRule>
  </conditionalFormatting>
  <conditionalFormatting sqref="Y4996">
    <cfRule type="containsText" dxfId="2295" priority="2226" stopIfTrue="1" operator="containsText" text="NO CUMPLE">
      <formula>NOT(ISERROR(SEARCH("NO CUMPLE",Y4996)))</formula>
    </cfRule>
    <cfRule type="containsText" dxfId="2294" priority="2227" stopIfTrue="1" operator="containsText" text="CUMPLE">
      <formula>NOT(ISERROR(SEARCH("CUMPLE",Y4996)))</formula>
    </cfRule>
  </conditionalFormatting>
  <conditionalFormatting sqref="AA4973:AA4982">
    <cfRule type="cellIs" dxfId="2293" priority="2224" stopIfTrue="1" operator="equal">
      <formula>"NO APLICA"</formula>
    </cfRule>
    <cfRule type="cellIs" dxfId="2292" priority="2225" stopIfTrue="1" operator="equal">
      <formula>"TERCIARIA"</formula>
    </cfRule>
  </conditionalFormatting>
  <conditionalFormatting sqref="AB4973:AB4982">
    <cfRule type="cellIs" dxfId="2291" priority="2222" stopIfTrue="1" operator="equal">
      <formula>"N/A"</formula>
    </cfRule>
    <cfRule type="cellIs" dxfId="2290" priority="2223" stopIfTrue="1" operator="equal">
      <formula>"NO"</formula>
    </cfRule>
  </conditionalFormatting>
  <conditionalFormatting sqref="M5003:M5012">
    <cfRule type="cellIs" dxfId="2289" priority="2221" stopIfTrue="1" operator="lessThan">
      <formula>0</formula>
    </cfRule>
  </conditionalFormatting>
  <conditionalFormatting sqref="C5005:D5011 B5004:B5011 F5005:I5011 C5004:I5004 B5012:O5012 B5003:R5003 Q5004:R5005 J5004:O5011 Q5006:Q5012 P5004:P5012">
    <cfRule type="cellIs" dxfId="2288" priority="2220" stopIfTrue="1" operator="greaterThan">
      <formula>0</formula>
    </cfRule>
  </conditionalFormatting>
  <conditionalFormatting sqref="C5005:D5011">
    <cfRule type="cellIs" dxfId="2287" priority="2219" stopIfTrue="1" operator="greaterThan">
      <formula>0</formula>
    </cfRule>
  </conditionalFormatting>
  <conditionalFormatting sqref="C5003:M5003 C5005:D5011 F5005:I5011 C5004:I5004 K5004:M5011 J5004:J5012 L5012:M5012">
    <cfRule type="cellIs" dxfId="2286" priority="2218" stopIfTrue="1" operator="greaterThan">
      <formula>0</formula>
    </cfRule>
  </conditionalFormatting>
  <conditionalFormatting sqref="M5003:M5012">
    <cfRule type="cellIs" dxfId="2285" priority="2217" stopIfTrue="1" operator="lessThan">
      <formula>0</formula>
    </cfRule>
  </conditionalFormatting>
  <conditionalFormatting sqref="J5004:J5012 L5004:O5012 C5003:O5003">
    <cfRule type="cellIs" dxfId="2284" priority="2216" stopIfTrue="1" operator="greaterThan">
      <formula>0</formula>
    </cfRule>
  </conditionalFormatting>
  <conditionalFormatting sqref="H5005:I5011 K5005:M5012">
    <cfRule type="cellIs" dxfId="2283" priority="2215" stopIfTrue="1" operator="greaterThan">
      <formula>0</formula>
    </cfRule>
  </conditionalFormatting>
  <conditionalFormatting sqref="I5004">
    <cfRule type="cellIs" dxfId="2282" priority="2214" stopIfTrue="1" operator="greaterThan">
      <formula>0</formula>
    </cfRule>
  </conditionalFormatting>
  <conditionalFormatting sqref="I5012">
    <cfRule type="cellIs" dxfId="2281" priority="2213" stopIfTrue="1" operator="greaterThan">
      <formula>0</formula>
    </cfRule>
  </conditionalFormatting>
  <conditionalFormatting sqref="E5005:E5011">
    <cfRule type="cellIs" dxfId="2280" priority="2212" stopIfTrue="1" operator="greaterThan">
      <formula>0</formula>
    </cfRule>
  </conditionalFormatting>
  <conditionalFormatting sqref="K5020:K5025">
    <cfRule type="containsText" dxfId="2279" priority="2210" stopIfTrue="1" operator="containsText" text="NO CUMPLE">
      <formula>NOT(ISERROR(SEARCH("NO CUMPLE",K5020)))</formula>
    </cfRule>
    <cfRule type="containsText" dxfId="2278" priority="2211" stopIfTrue="1" operator="containsText" text="CUMPLE">
      <formula>NOT(ISERROR(SEARCH("CUMPLE",K5020)))</formula>
    </cfRule>
  </conditionalFormatting>
  <conditionalFormatting sqref="K5026">
    <cfRule type="containsText" dxfId="2277" priority="2208" stopIfTrue="1" operator="containsText" text="NO CUMPLE">
      <formula>NOT(ISERROR(SEARCH("NO CUMPLE",K5026)))</formula>
    </cfRule>
    <cfRule type="containsText" dxfId="2276" priority="2209" stopIfTrue="1" operator="containsText" text="CUMPLE">
      <formula>NOT(ISERROR(SEARCH("CUMPLE",K5026)))</formula>
    </cfRule>
  </conditionalFormatting>
  <conditionalFormatting sqref="Q5019">
    <cfRule type="cellIs" dxfId="2275" priority="2206" operator="greaterThanOrEqual">
      <formula>NUMMINCONT</formula>
    </cfRule>
    <cfRule type="cellIs" dxfId="2274" priority="2207" operator="lessThan">
      <formula>NUMMINCONT</formula>
    </cfRule>
  </conditionalFormatting>
  <conditionalFormatting sqref="W5003:Y5011">
    <cfRule type="cellIs" dxfId="2273" priority="2204" stopIfTrue="1" operator="equal">
      <formula>"NO"</formula>
    </cfRule>
    <cfRule type="cellIs" dxfId="2272" priority="2205" stopIfTrue="1" operator="equal">
      <formula>"SI"</formula>
    </cfRule>
  </conditionalFormatting>
  <conditionalFormatting sqref="R5006">
    <cfRule type="cellIs" dxfId="2271" priority="2203" stopIfTrue="1" operator="greaterThan">
      <formula>0</formula>
    </cfRule>
  </conditionalFormatting>
  <conditionalFormatting sqref="R5007">
    <cfRule type="cellIs" dxfId="2270" priority="2202" stopIfTrue="1" operator="greaterThan">
      <formula>0</formula>
    </cfRule>
  </conditionalFormatting>
  <conditionalFormatting sqref="R5008">
    <cfRule type="cellIs" dxfId="2269" priority="2201" stopIfTrue="1" operator="greaterThan">
      <formula>0</formula>
    </cfRule>
  </conditionalFormatting>
  <conditionalFormatting sqref="R5009">
    <cfRule type="cellIs" dxfId="2268" priority="2200" stopIfTrue="1" operator="greaterThan">
      <formula>0</formula>
    </cfRule>
  </conditionalFormatting>
  <conditionalFormatting sqref="R5010">
    <cfRule type="cellIs" dxfId="2267" priority="2199" stopIfTrue="1" operator="greaterThan">
      <formula>0</formula>
    </cfRule>
  </conditionalFormatting>
  <conditionalFormatting sqref="R5011">
    <cfRule type="cellIs" dxfId="2266" priority="2198" stopIfTrue="1" operator="greaterThan">
      <formula>0</formula>
    </cfRule>
  </conditionalFormatting>
  <conditionalFormatting sqref="R5012">
    <cfRule type="cellIs" dxfId="2265" priority="2197" stopIfTrue="1" operator="greaterThan">
      <formula>0</formula>
    </cfRule>
  </conditionalFormatting>
  <conditionalFormatting sqref="W5003:X5003">
    <cfRule type="cellIs" dxfId="2264" priority="2196" stopIfTrue="1" operator="equal">
      <formula>"NO APLICA"</formula>
    </cfRule>
  </conditionalFormatting>
  <conditionalFormatting sqref="W5004:X5007">
    <cfRule type="cellIs" dxfId="2263" priority="2195" stopIfTrue="1" operator="equal">
      <formula>"NO APLICA"</formula>
    </cfRule>
  </conditionalFormatting>
  <conditionalFormatting sqref="W5004:X5004">
    <cfRule type="cellIs" dxfId="2262" priority="2194" stopIfTrue="1" operator="equal">
      <formula>"NO APLICA"</formula>
    </cfRule>
  </conditionalFormatting>
  <conditionalFormatting sqref="Y5003">
    <cfRule type="cellIs" dxfId="2261" priority="2193" stopIfTrue="1" operator="equal">
      <formula>"NO APLICA"</formula>
    </cfRule>
  </conditionalFormatting>
  <conditionalFormatting sqref="Y5004:Y5007">
    <cfRule type="cellIs" dxfId="2260" priority="2192" stopIfTrue="1" operator="equal">
      <formula>"NO APLICA"</formula>
    </cfRule>
  </conditionalFormatting>
  <conditionalFormatting sqref="W5008:X5011">
    <cfRule type="cellIs" dxfId="2259" priority="2191" stopIfTrue="1" operator="equal">
      <formula>"NO APLICA"</formula>
    </cfRule>
  </conditionalFormatting>
  <conditionalFormatting sqref="W5008:X5008">
    <cfRule type="cellIs" dxfId="2258" priority="2190" stopIfTrue="1" operator="equal">
      <formula>"NO APLICA"</formula>
    </cfRule>
  </conditionalFormatting>
  <conditionalFormatting sqref="Y5008:Y5011">
    <cfRule type="cellIs" dxfId="2257" priority="2189" stopIfTrue="1" operator="equal">
      <formula>"NO APLICA"</formula>
    </cfRule>
  </conditionalFormatting>
  <conditionalFormatting sqref="T5017">
    <cfRule type="cellIs" dxfId="2256" priority="2187" operator="equal">
      <formula>"CUMPLE"</formula>
    </cfRule>
    <cfRule type="cellIs" dxfId="2255" priority="2188" operator="equal">
      <formula>"NO CUMPLE"</formula>
    </cfRule>
  </conditionalFormatting>
  <conditionalFormatting sqref="T5017:T5019">
    <cfRule type="cellIs" dxfId="2254" priority="2186" operator="equal">
      <formula>"VERIFICAR"</formula>
    </cfRule>
  </conditionalFormatting>
  <conditionalFormatting sqref="AD5003:AF5007">
    <cfRule type="cellIs" dxfId="2253" priority="2184" stopIfTrue="1" operator="equal">
      <formula>"NO"</formula>
    </cfRule>
    <cfRule type="cellIs" dxfId="2252" priority="2185" stopIfTrue="1" operator="equal">
      <formula>"SI"</formula>
    </cfRule>
  </conditionalFormatting>
  <conditionalFormatting sqref="AD5008:AF5011">
    <cfRule type="cellIs" dxfId="2251" priority="2182" stopIfTrue="1" operator="equal">
      <formula>"NO"</formula>
    </cfRule>
    <cfRule type="cellIs" dxfId="2250" priority="2183" stopIfTrue="1" operator="equal">
      <formula>"SI"</formula>
    </cfRule>
  </conditionalFormatting>
  <conditionalFormatting sqref="W5012:Y5012">
    <cfRule type="cellIs" dxfId="2249" priority="2180" stopIfTrue="1" operator="equal">
      <formula>"NO"</formula>
    </cfRule>
    <cfRule type="cellIs" dxfId="2248" priority="2181" stopIfTrue="1" operator="equal">
      <formula>"SI"</formula>
    </cfRule>
  </conditionalFormatting>
  <conditionalFormatting sqref="W5012:X5012">
    <cfRule type="cellIs" dxfId="2247" priority="2179" stopIfTrue="1" operator="equal">
      <formula>"NO APLICA"</formula>
    </cfRule>
  </conditionalFormatting>
  <conditionalFormatting sqref="Y5012">
    <cfRule type="cellIs" dxfId="2246" priority="2178" stopIfTrue="1" operator="equal">
      <formula>"NO APLICA"</formula>
    </cfRule>
  </conditionalFormatting>
  <conditionalFormatting sqref="AD5012:AF5012">
    <cfRule type="cellIs" dxfId="2245" priority="2176" stopIfTrue="1" operator="equal">
      <formula>"NO"</formula>
    </cfRule>
    <cfRule type="cellIs" dxfId="2244" priority="2177" stopIfTrue="1" operator="equal">
      <formula>"SI"</formula>
    </cfRule>
  </conditionalFormatting>
  <conditionalFormatting sqref="AE5017">
    <cfRule type="cellIs" dxfId="2243" priority="2173" stopIfTrue="1" operator="equal">
      <formula>"VERIFICAR"</formula>
    </cfRule>
    <cfRule type="cellIs" dxfId="2242" priority="2174" stopIfTrue="1" operator="equal">
      <formula>"NO CUMPLE"</formula>
    </cfRule>
    <cfRule type="cellIs" dxfId="2241" priority="2175" stopIfTrue="1" operator="equal">
      <formula>"CUMPLE"</formula>
    </cfRule>
  </conditionalFormatting>
  <conditionalFormatting sqref="AF5017">
    <cfRule type="cellIs" dxfId="2240" priority="2170" stopIfTrue="1" operator="equal">
      <formula>"VERIFICAR"</formula>
    </cfRule>
    <cfRule type="cellIs" dxfId="2239" priority="2171" stopIfTrue="1" operator="equal">
      <formula>"NO CUMPLE"</formula>
    </cfRule>
    <cfRule type="cellIs" dxfId="2238" priority="2172" stopIfTrue="1" operator="equal">
      <formula>"CUMPLE"</formula>
    </cfRule>
  </conditionalFormatting>
  <conditionalFormatting sqref="Y5020">
    <cfRule type="cellIs" dxfId="2237" priority="2169" operator="equal">
      <formula>"VERIFICAR CUADRO"</formula>
    </cfRule>
  </conditionalFormatting>
  <conditionalFormatting sqref="AC5021:AC5026">
    <cfRule type="cellIs" dxfId="2236" priority="2168" stopIfTrue="1" operator="greaterThan">
      <formula>0</formula>
    </cfRule>
  </conditionalFormatting>
  <conditionalFormatting sqref="AC5021:AC5026">
    <cfRule type="cellIs" dxfId="2235" priority="2167" stopIfTrue="1" operator="greaterThan">
      <formula>0</formula>
    </cfRule>
  </conditionalFormatting>
  <conditionalFormatting sqref="AD5021:AD5026">
    <cfRule type="containsText" dxfId="2234" priority="2165" stopIfTrue="1" operator="containsText" text="NO CUMPLE">
      <formula>NOT(ISERROR(SEARCH("NO CUMPLE",AD5021)))</formula>
    </cfRule>
    <cfRule type="containsText" dxfId="2233" priority="2166" stopIfTrue="1" operator="containsText" text="CUMPLE">
      <formula>NOT(ISERROR(SEARCH("CUMPLE",AD5021)))</formula>
    </cfRule>
  </conditionalFormatting>
  <conditionalFormatting sqref="Y5026">
    <cfRule type="containsText" dxfId="2232" priority="2163" stopIfTrue="1" operator="containsText" text="NO CUMPLE">
      <formula>NOT(ISERROR(SEARCH("NO CUMPLE",Y5026)))</formula>
    </cfRule>
    <cfRule type="containsText" dxfId="2231" priority="2164" stopIfTrue="1" operator="containsText" text="CUMPLE">
      <formula>NOT(ISERROR(SEARCH("CUMPLE",Y5026)))</formula>
    </cfRule>
  </conditionalFormatting>
  <conditionalFormatting sqref="AA5003:AA5012">
    <cfRule type="cellIs" dxfId="2230" priority="2161" stopIfTrue="1" operator="equal">
      <formula>"NO APLICA"</formula>
    </cfRule>
    <cfRule type="cellIs" dxfId="2229" priority="2162" stopIfTrue="1" operator="equal">
      <formula>"TERCIARIA"</formula>
    </cfRule>
  </conditionalFormatting>
  <conditionalFormatting sqref="AB5003:AB5012">
    <cfRule type="cellIs" dxfId="2228" priority="2159" stopIfTrue="1" operator="equal">
      <formula>"N/A"</formula>
    </cfRule>
    <cfRule type="cellIs" dxfId="2227" priority="2160" stopIfTrue="1" operator="equal">
      <formula>"NO"</formula>
    </cfRule>
  </conditionalFormatting>
  <conditionalFormatting sqref="M5033:M5042">
    <cfRule type="cellIs" dxfId="2226" priority="2158" stopIfTrue="1" operator="lessThan">
      <formula>0</formula>
    </cfRule>
  </conditionalFormatting>
  <conditionalFormatting sqref="C5035:D5041 B5034:B5041 F5035:I5041 C5034:I5034 B5042:O5042 B5033:R5033 Q5034:R5035 J5034:O5041 Q5036:Q5042 P5034:P5042">
    <cfRule type="cellIs" dxfId="2225" priority="2157" stopIfTrue="1" operator="greaterThan">
      <formula>0</formula>
    </cfRule>
  </conditionalFormatting>
  <conditionalFormatting sqref="C5035:D5041">
    <cfRule type="cellIs" dxfId="2224" priority="2156" stopIfTrue="1" operator="greaterThan">
      <formula>0</formula>
    </cfRule>
  </conditionalFormatting>
  <conditionalFormatting sqref="C5033:M5033 C5035:D5041 F5035:I5041 C5034:I5034 K5034:M5041 J5034:J5042 L5042:M5042">
    <cfRule type="cellIs" dxfId="2223" priority="2155" stopIfTrue="1" operator="greaterThan">
      <formula>0</formula>
    </cfRule>
  </conditionalFormatting>
  <conditionalFormatting sqref="M5033:M5042">
    <cfRule type="cellIs" dxfId="2222" priority="2154" stopIfTrue="1" operator="lessThan">
      <formula>0</formula>
    </cfRule>
  </conditionalFormatting>
  <conditionalFormatting sqref="J5034:J5042 L5034:O5042 C5033:O5033">
    <cfRule type="cellIs" dxfId="2221" priority="2153" stopIfTrue="1" operator="greaterThan">
      <formula>0</formula>
    </cfRule>
  </conditionalFormatting>
  <conditionalFormatting sqref="H5035:I5041 K5035:M5042">
    <cfRule type="cellIs" dxfId="2220" priority="2152" stopIfTrue="1" operator="greaterThan">
      <formula>0</formula>
    </cfRule>
  </conditionalFormatting>
  <conditionalFormatting sqref="I5034">
    <cfRule type="cellIs" dxfId="2219" priority="2151" stopIfTrue="1" operator="greaterThan">
      <formula>0</formula>
    </cfRule>
  </conditionalFormatting>
  <conditionalFormatting sqref="I5042">
    <cfRule type="cellIs" dxfId="2218" priority="2150" stopIfTrue="1" operator="greaterThan">
      <formula>0</formula>
    </cfRule>
  </conditionalFormatting>
  <conditionalFormatting sqref="E5035:E5041">
    <cfRule type="cellIs" dxfId="2217" priority="2149" stopIfTrue="1" operator="greaterThan">
      <formula>0</formula>
    </cfRule>
  </conditionalFormatting>
  <conditionalFormatting sqref="K5050:K5055">
    <cfRule type="containsText" dxfId="2216" priority="2147" stopIfTrue="1" operator="containsText" text="NO CUMPLE">
      <formula>NOT(ISERROR(SEARCH("NO CUMPLE",K5050)))</formula>
    </cfRule>
    <cfRule type="containsText" dxfId="2215" priority="2148" stopIfTrue="1" operator="containsText" text="CUMPLE">
      <formula>NOT(ISERROR(SEARCH("CUMPLE",K5050)))</formula>
    </cfRule>
  </conditionalFormatting>
  <conditionalFormatting sqref="K5056">
    <cfRule type="containsText" dxfId="2214" priority="2145" stopIfTrue="1" operator="containsText" text="NO CUMPLE">
      <formula>NOT(ISERROR(SEARCH("NO CUMPLE",K5056)))</formula>
    </cfRule>
    <cfRule type="containsText" dxfId="2213" priority="2146" stopIfTrue="1" operator="containsText" text="CUMPLE">
      <formula>NOT(ISERROR(SEARCH("CUMPLE",K5056)))</formula>
    </cfRule>
  </conditionalFormatting>
  <conditionalFormatting sqref="Q5049">
    <cfRule type="cellIs" dxfId="2212" priority="2143" operator="greaterThanOrEqual">
      <formula>NUMMINCONT</formula>
    </cfRule>
    <cfRule type="cellIs" dxfId="2211" priority="2144" operator="lessThan">
      <formula>NUMMINCONT</formula>
    </cfRule>
  </conditionalFormatting>
  <conditionalFormatting sqref="W5033:Y5041">
    <cfRule type="cellIs" dxfId="2210" priority="2141" stopIfTrue="1" operator="equal">
      <formula>"NO"</formula>
    </cfRule>
    <cfRule type="cellIs" dxfId="2209" priority="2142" stopIfTrue="1" operator="equal">
      <formula>"SI"</formula>
    </cfRule>
  </conditionalFormatting>
  <conditionalFormatting sqref="R5036">
    <cfRule type="cellIs" dxfId="2208" priority="2140" stopIfTrue="1" operator="greaterThan">
      <formula>0</formula>
    </cfRule>
  </conditionalFormatting>
  <conditionalFormatting sqref="R5037">
    <cfRule type="cellIs" dxfId="2207" priority="2139" stopIfTrue="1" operator="greaterThan">
      <formula>0</formula>
    </cfRule>
  </conditionalFormatting>
  <conditionalFormatting sqref="R5038">
    <cfRule type="cellIs" dxfId="2206" priority="2138" stopIfTrue="1" operator="greaterThan">
      <formula>0</formula>
    </cfRule>
  </conditionalFormatting>
  <conditionalFormatting sqref="R5039">
    <cfRule type="cellIs" dxfId="2205" priority="2137" stopIfTrue="1" operator="greaterThan">
      <formula>0</formula>
    </cfRule>
  </conditionalFormatting>
  <conditionalFormatting sqref="R5040">
    <cfRule type="cellIs" dxfId="2204" priority="2136" stopIfTrue="1" operator="greaterThan">
      <formula>0</formula>
    </cfRule>
  </conditionalFormatting>
  <conditionalFormatting sqref="R5041">
    <cfRule type="cellIs" dxfId="2203" priority="2135" stopIfTrue="1" operator="greaterThan">
      <formula>0</formula>
    </cfRule>
  </conditionalFormatting>
  <conditionalFormatting sqref="R5042">
    <cfRule type="cellIs" dxfId="2202" priority="2134" stopIfTrue="1" operator="greaterThan">
      <formula>0</formula>
    </cfRule>
  </conditionalFormatting>
  <conditionalFormatting sqref="W5033:X5033">
    <cfRule type="cellIs" dxfId="2201" priority="2133" stopIfTrue="1" operator="equal">
      <formula>"NO APLICA"</formula>
    </cfRule>
  </conditionalFormatting>
  <conditionalFormatting sqref="W5034:X5037">
    <cfRule type="cellIs" dxfId="2200" priority="2132" stopIfTrue="1" operator="equal">
      <formula>"NO APLICA"</formula>
    </cfRule>
  </conditionalFormatting>
  <conditionalFormatting sqref="W5034:X5034">
    <cfRule type="cellIs" dxfId="2199" priority="2131" stopIfTrue="1" operator="equal">
      <formula>"NO APLICA"</formula>
    </cfRule>
  </conditionalFormatting>
  <conditionalFormatting sqref="Y5033">
    <cfRule type="cellIs" dxfId="2198" priority="2130" stopIfTrue="1" operator="equal">
      <formula>"NO APLICA"</formula>
    </cfRule>
  </conditionalFormatting>
  <conditionalFormatting sqref="Y5034:Y5037">
    <cfRule type="cellIs" dxfId="2197" priority="2129" stopIfTrue="1" operator="equal">
      <formula>"NO APLICA"</formula>
    </cfRule>
  </conditionalFormatting>
  <conditionalFormatting sqref="W5038:X5041">
    <cfRule type="cellIs" dxfId="2196" priority="2128" stopIfTrue="1" operator="equal">
      <formula>"NO APLICA"</formula>
    </cfRule>
  </conditionalFormatting>
  <conditionalFormatting sqref="W5038:X5038">
    <cfRule type="cellIs" dxfId="2195" priority="2127" stopIfTrue="1" operator="equal">
      <formula>"NO APLICA"</formula>
    </cfRule>
  </conditionalFormatting>
  <conditionalFormatting sqref="Y5038:Y5041">
    <cfRule type="cellIs" dxfId="2194" priority="2126" stopIfTrue="1" operator="equal">
      <formula>"NO APLICA"</formula>
    </cfRule>
  </conditionalFormatting>
  <conditionalFormatting sqref="T5047">
    <cfRule type="cellIs" dxfId="2193" priority="2124" operator="equal">
      <formula>"CUMPLE"</formula>
    </cfRule>
    <cfRule type="cellIs" dxfId="2192" priority="2125" operator="equal">
      <formula>"NO CUMPLE"</formula>
    </cfRule>
  </conditionalFormatting>
  <conditionalFormatting sqref="T5047:T5049">
    <cfRule type="cellIs" dxfId="2191" priority="2123" operator="equal">
      <formula>"VERIFICAR"</formula>
    </cfRule>
  </conditionalFormatting>
  <conditionalFormatting sqref="AD5033:AF5037">
    <cfRule type="cellIs" dxfId="2190" priority="2121" stopIfTrue="1" operator="equal">
      <formula>"NO"</formula>
    </cfRule>
    <cfRule type="cellIs" dxfId="2189" priority="2122" stopIfTrue="1" operator="equal">
      <formula>"SI"</formula>
    </cfRule>
  </conditionalFormatting>
  <conditionalFormatting sqref="AD5038:AF5041">
    <cfRule type="cellIs" dxfId="2188" priority="2119" stopIfTrue="1" operator="equal">
      <formula>"NO"</formula>
    </cfRule>
    <cfRule type="cellIs" dxfId="2187" priority="2120" stopIfTrue="1" operator="equal">
      <formula>"SI"</formula>
    </cfRule>
  </conditionalFormatting>
  <conditionalFormatting sqref="W5042:Y5042">
    <cfRule type="cellIs" dxfId="2186" priority="2117" stopIfTrue="1" operator="equal">
      <formula>"NO"</formula>
    </cfRule>
    <cfRule type="cellIs" dxfId="2185" priority="2118" stopIfTrue="1" operator="equal">
      <formula>"SI"</formula>
    </cfRule>
  </conditionalFormatting>
  <conditionalFormatting sqref="W5042:X5042">
    <cfRule type="cellIs" dxfId="2184" priority="2116" stopIfTrue="1" operator="equal">
      <formula>"NO APLICA"</formula>
    </cfRule>
  </conditionalFormatting>
  <conditionalFormatting sqref="Y5042">
    <cfRule type="cellIs" dxfId="2183" priority="2115" stopIfTrue="1" operator="equal">
      <formula>"NO APLICA"</formula>
    </cfRule>
  </conditionalFormatting>
  <conditionalFormatting sqref="AD5042:AF5042">
    <cfRule type="cellIs" dxfId="2182" priority="2113" stopIfTrue="1" operator="equal">
      <formula>"NO"</formula>
    </cfRule>
    <cfRule type="cellIs" dxfId="2181" priority="2114" stopIfTrue="1" operator="equal">
      <formula>"SI"</formula>
    </cfRule>
  </conditionalFormatting>
  <conditionalFormatting sqref="AE5047">
    <cfRule type="cellIs" dxfId="2180" priority="2110" stopIfTrue="1" operator="equal">
      <formula>"VERIFICAR"</formula>
    </cfRule>
    <cfRule type="cellIs" dxfId="2179" priority="2111" stopIfTrue="1" operator="equal">
      <formula>"NO CUMPLE"</formula>
    </cfRule>
    <cfRule type="cellIs" dxfId="2178" priority="2112" stopIfTrue="1" operator="equal">
      <formula>"CUMPLE"</formula>
    </cfRule>
  </conditionalFormatting>
  <conditionalFormatting sqref="AF5047">
    <cfRule type="cellIs" dxfId="2177" priority="2107" stopIfTrue="1" operator="equal">
      <formula>"VERIFICAR"</formula>
    </cfRule>
    <cfRule type="cellIs" dxfId="2176" priority="2108" stopIfTrue="1" operator="equal">
      <formula>"NO CUMPLE"</formula>
    </cfRule>
    <cfRule type="cellIs" dxfId="2175" priority="2109" stopIfTrue="1" operator="equal">
      <formula>"CUMPLE"</formula>
    </cfRule>
  </conditionalFormatting>
  <conditionalFormatting sqref="Y5050">
    <cfRule type="cellIs" dxfId="2174" priority="2106" operator="equal">
      <formula>"VERIFICAR CUADRO"</formula>
    </cfRule>
  </conditionalFormatting>
  <conditionalFormatting sqref="AC5051:AC5056">
    <cfRule type="cellIs" dxfId="2173" priority="2105" stopIfTrue="1" operator="greaterThan">
      <formula>0</formula>
    </cfRule>
  </conditionalFormatting>
  <conditionalFormatting sqref="AC5051:AC5056">
    <cfRule type="cellIs" dxfId="2172" priority="2104" stopIfTrue="1" operator="greaterThan">
      <formula>0</formula>
    </cfRule>
  </conditionalFormatting>
  <conditionalFormatting sqref="AD5051:AD5056">
    <cfRule type="containsText" dxfId="2171" priority="2102" stopIfTrue="1" operator="containsText" text="NO CUMPLE">
      <formula>NOT(ISERROR(SEARCH("NO CUMPLE",AD5051)))</formula>
    </cfRule>
    <cfRule type="containsText" dxfId="2170" priority="2103" stopIfTrue="1" operator="containsText" text="CUMPLE">
      <formula>NOT(ISERROR(SEARCH("CUMPLE",AD5051)))</formula>
    </cfRule>
  </conditionalFormatting>
  <conditionalFormatting sqref="Y5056">
    <cfRule type="containsText" dxfId="2169" priority="2100" stopIfTrue="1" operator="containsText" text="NO CUMPLE">
      <formula>NOT(ISERROR(SEARCH("NO CUMPLE",Y5056)))</formula>
    </cfRule>
    <cfRule type="containsText" dxfId="2168" priority="2101" stopIfTrue="1" operator="containsText" text="CUMPLE">
      <formula>NOT(ISERROR(SEARCH("CUMPLE",Y5056)))</formula>
    </cfRule>
  </conditionalFormatting>
  <conditionalFormatting sqref="AA5033:AA5042">
    <cfRule type="cellIs" dxfId="2167" priority="2098" stopIfTrue="1" operator="equal">
      <formula>"NO APLICA"</formula>
    </cfRule>
    <cfRule type="cellIs" dxfId="2166" priority="2099" stopIfTrue="1" operator="equal">
      <formula>"TERCIARIA"</formula>
    </cfRule>
  </conditionalFormatting>
  <conditionalFormatting sqref="AB5033:AB5042">
    <cfRule type="cellIs" dxfId="2165" priority="2096" stopIfTrue="1" operator="equal">
      <formula>"N/A"</formula>
    </cfRule>
    <cfRule type="cellIs" dxfId="2164" priority="2097" stopIfTrue="1" operator="equal">
      <formula>"NO"</formula>
    </cfRule>
  </conditionalFormatting>
  <conditionalFormatting sqref="M5063:M5072">
    <cfRule type="cellIs" dxfId="2163" priority="2095" stopIfTrue="1" operator="lessThan">
      <formula>0</formula>
    </cfRule>
  </conditionalFormatting>
  <conditionalFormatting sqref="C5065:D5071 B5064:B5071 F5065:I5071 C5064:I5064 B5072:O5072 B5063:R5063 Q5064:R5065 J5064:O5071 Q5066:Q5072 P5064:P5072">
    <cfRule type="cellIs" dxfId="2162" priority="2094" stopIfTrue="1" operator="greaterThan">
      <formula>0</formula>
    </cfRule>
  </conditionalFormatting>
  <conditionalFormatting sqref="C5065:D5071">
    <cfRule type="cellIs" dxfId="2161" priority="2093" stopIfTrue="1" operator="greaterThan">
      <formula>0</formula>
    </cfRule>
  </conditionalFormatting>
  <conditionalFormatting sqref="C5063:M5063 C5065:D5071 F5065:I5071 C5064:I5064 K5064:M5071 J5064:J5072 L5072:M5072">
    <cfRule type="cellIs" dxfId="2160" priority="2092" stopIfTrue="1" operator="greaterThan">
      <formula>0</formula>
    </cfRule>
  </conditionalFormatting>
  <conditionalFormatting sqref="M5063:M5072">
    <cfRule type="cellIs" dxfId="2159" priority="2091" stopIfTrue="1" operator="lessThan">
      <formula>0</formula>
    </cfRule>
  </conditionalFormatting>
  <conditionalFormatting sqref="J5064:J5072 L5064:O5072 C5063:O5063">
    <cfRule type="cellIs" dxfId="2158" priority="2090" stopIfTrue="1" operator="greaterThan">
      <formula>0</formula>
    </cfRule>
  </conditionalFormatting>
  <conditionalFormatting sqref="H5065:I5071 K5065:M5072">
    <cfRule type="cellIs" dxfId="2157" priority="2089" stopIfTrue="1" operator="greaterThan">
      <formula>0</formula>
    </cfRule>
  </conditionalFormatting>
  <conditionalFormatting sqref="I5064">
    <cfRule type="cellIs" dxfId="2156" priority="2088" stopIfTrue="1" operator="greaterThan">
      <formula>0</formula>
    </cfRule>
  </conditionalFormatting>
  <conditionalFormatting sqref="I5072">
    <cfRule type="cellIs" dxfId="2155" priority="2087" stopIfTrue="1" operator="greaterThan">
      <formula>0</formula>
    </cfRule>
  </conditionalFormatting>
  <conditionalFormatting sqref="E5065:E5071">
    <cfRule type="cellIs" dxfId="2154" priority="2086" stopIfTrue="1" operator="greaterThan">
      <formula>0</formula>
    </cfRule>
  </conditionalFormatting>
  <conditionalFormatting sqref="K5080:K5085">
    <cfRule type="containsText" dxfId="2153" priority="2084" stopIfTrue="1" operator="containsText" text="NO CUMPLE">
      <formula>NOT(ISERROR(SEARCH("NO CUMPLE",K5080)))</formula>
    </cfRule>
    <cfRule type="containsText" dxfId="2152" priority="2085" stopIfTrue="1" operator="containsText" text="CUMPLE">
      <formula>NOT(ISERROR(SEARCH("CUMPLE",K5080)))</formula>
    </cfRule>
  </conditionalFormatting>
  <conditionalFormatting sqref="K5086">
    <cfRule type="containsText" dxfId="2151" priority="2082" stopIfTrue="1" operator="containsText" text="NO CUMPLE">
      <formula>NOT(ISERROR(SEARCH("NO CUMPLE",K5086)))</formula>
    </cfRule>
    <cfRule type="containsText" dxfId="2150" priority="2083" stopIfTrue="1" operator="containsText" text="CUMPLE">
      <formula>NOT(ISERROR(SEARCH("CUMPLE",K5086)))</formula>
    </cfRule>
  </conditionalFormatting>
  <conditionalFormatting sqref="Q5079">
    <cfRule type="cellIs" dxfId="2149" priority="2080" operator="greaterThanOrEqual">
      <formula>NUMMINCONT</formula>
    </cfRule>
    <cfRule type="cellIs" dxfId="2148" priority="2081" operator="lessThan">
      <formula>NUMMINCONT</formula>
    </cfRule>
  </conditionalFormatting>
  <conditionalFormatting sqref="W5063:Y5071">
    <cfRule type="cellIs" dxfId="2147" priority="2078" stopIfTrue="1" operator="equal">
      <formula>"NO"</formula>
    </cfRule>
    <cfRule type="cellIs" dxfId="2146" priority="2079" stopIfTrue="1" operator="equal">
      <formula>"SI"</formula>
    </cfRule>
  </conditionalFormatting>
  <conditionalFormatting sqref="R5066">
    <cfRule type="cellIs" dxfId="2145" priority="2077" stopIfTrue="1" operator="greaterThan">
      <formula>0</formula>
    </cfRule>
  </conditionalFormatting>
  <conditionalFormatting sqref="R5067">
    <cfRule type="cellIs" dxfId="2144" priority="2076" stopIfTrue="1" operator="greaterThan">
      <formula>0</formula>
    </cfRule>
  </conditionalFormatting>
  <conditionalFormatting sqref="R5068">
    <cfRule type="cellIs" dxfId="2143" priority="2075" stopIfTrue="1" operator="greaterThan">
      <formula>0</formula>
    </cfRule>
  </conditionalFormatting>
  <conditionalFormatting sqref="R5069">
    <cfRule type="cellIs" dxfId="2142" priority="2074" stopIfTrue="1" operator="greaterThan">
      <formula>0</formula>
    </cfRule>
  </conditionalFormatting>
  <conditionalFormatting sqref="R5070">
    <cfRule type="cellIs" dxfId="2141" priority="2073" stopIfTrue="1" operator="greaterThan">
      <formula>0</formula>
    </cfRule>
  </conditionalFormatting>
  <conditionalFormatting sqref="R5071">
    <cfRule type="cellIs" dxfId="2140" priority="2072" stopIfTrue="1" operator="greaterThan">
      <formula>0</formula>
    </cfRule>
  </conditionalFormatting>
  <conditionalFormatting sqref="R5072">
    <cfRule type="cellIs" dxfId="2139" priority="2071" stopIfTrue="1" operator="greaterThan">
      <formula>0</formula>
    </cfRule>
  </conditionalFormatting>
  <conditionalFormatting sqref="W5063:X5063">
    <cfRule type="cellIs" dxfId="2138" priority="2070" stopIfTrue="1" operator="equal">
      <formula>"NO APLICA"</formula>
    </cfRule>
  </conditionalFormatting>
  <conditionalFormatting sqref="W5064:X5067">
    <cfRule type="cellIs" dxfId="2137" priority="2069" stopIfTrue="1" operator="equal">
      <formula>"NO APLICA"</formula>
    </cfRule>
  </conditionalFormatting>
  <conditionalFormatting sqref="W5064:X5064">
    <cfRule type="cellIs" dxfId="2136" priority="2068" stopIfTrue="1" operator="equal">
      <formula>"NO APLICA"</formula>
    </cfRule>
  </conditionalFormatting>
  <conditionalFormatting sqref="Y5063">
    <cfRule type="cellIs" dxfId="2135" priority="2067" stopIfTrue="1" operator="equal">
      <formula>"NO APLICA"</formula>
    </cfRule>
  </conditionalFormatting>
  <conditionalFormatting sqref="Y5064:Y5067">
    <cfRule type="cellIs" dxfId="2134" priority="2066" stopIfTrue="1" operator="equal">
      <formula>"NO APLICA"</formula>
    </cfRule>
  </conditionalFormatting>
  <conditionalFormatting sqref="W5068:X5071">
    <cfRule type="cellIs" dxfId="2133" priority="2065" stopIfTrue="1" operator="equal">
      <formula>"NO APLICA"</formula>
    </cfRule>
  </conditionalFormatting>
  <conditionalFormatting sqref="W5068:X5068">
    <cfRule type="cellIs" dxfId="2132" priority="2064" stopIfTrue="1" operator="equal">
      <formula>"NO APLICA"</formula>
    </cfRule>
  </conditionalFormatting>
  <conditionalFormatting sqref="Y5068:Y5071">
    <cfRule type="cellIs" dxfId="2131" priority="2063" stopIfTrue="1" operator="equal">
      <formula>"NO APLICA"</formula>
    </cfRule>
  </conditionalFormatting>
  <conditionalFormatting sqref="T5077">
    <cfRule type="cellIs" dxfId="2130" priority="2061" operator="equal">
      <formula>"CUMPLE"</formula>
    </cfRule>
    <cfRule type="cellIs" dxfId="2129" priority="2062" operator="equal">
      <formula>"NO CUMPLE"</formula>
    </cfRule>
  </conditionalFormatting>
  <conditionalFormatting sqref="T5077:T5079">
    <cfRule type="cellIs" dxfId="2128" priority="2060" operator="equal">
      <formula>"VERIFICAR"</formula>
    </cfRule>
  </conditionalFormatting>
  <conditionalFormatting sqref="AD5063:AF5067">
    <cfRule type="cellIs" dxfId="2127" priority="2058" stopIfTrue="1" operator="equal">
      <formula>"NO"</formula>
    </cfRule>
    <cfRule type="cellIs" dxfId="2126" priority="2059" stopIfTrue="1" operator="equal">
      <formula>"SI"</formula>
    </cfRule>
  </conditionalFormatting>
  <conditionalFormatting sqref="AD5068:AF5071">
    <cfRule type="cellIs" dxfId="2125" priority="2056" stopIfTrue="1" operator="equal">
      <formula>"NO"</formula>
    </cfRule>
    <cfRule type="cellIs" dxfId="2124" priority="2057" stopIfTrue="1" operator="equal">
      <formula>"SI"</formula>
    </cfRule>
  </conditionalFormatting>
  <conditionalFormatting sqref="W5072:Y5072">
    <cfRule type="cellIs" dxfId="2123" priority="2054" stopIfTrue="1" operator="equal">
      <formula>"NO"</formula>
    </cfRule>
    <cfRule type="cellIs" dxfId="2122" priority="2055" stopIfTrue="1" operator="equal">
      <formula>"SI"</formula>
    </cfRule>
  </conditionalFormatting>
  <conditionalFormatting sqref="W5072:X5072">
    <cfRule type="cellIs" dxfId="2121" priority="2053" stopIfTrue="1" operator="equal">
      <formula>"NO APLICA"</formula>
    </cfRule>
  </conditionalFormatting>
  <conditionalFormatting sqref="Y5072">
    <cfRule type="cellIs" dxfId="2120" priority="2052" stopIfTrue="1" operator="equal">
      <formula>"NO APLICA"</formula>
    </cfRule>
  </conditionalFormatting>
  <conditionalFormatting sqref="AD5072:AF5072">
    <cfRule type="cellIs" dxfId="2119" priority="2050" stopIfTrue="1" operator="equal">
      <formula>"NO"</formula>
    </cfRule>
    <cfRule type="cellIs" dxfId="2118" priority="2051" stopIfTrue="1" operator="equal">
      <formula>"SI"</formula>
    </cfRule>
  </conditionalFormatting>
  <conditionalFormatting sqref="AE5077">
    <cfRule type="cellIs" dxfId="2117" priority="2047" stopIfTrue="1" operator="equal">
      <formula>"VERIFICAR"</formula>
    </cfRule>
    <cfRule type="cellIs" dxfId="2116" priority="2048" stopIfTrue="1" operator="equal">
      <formula>"NO CUMPLE"</formula>
    </cfRule>
    <cfRule type="cellIs" dxfId="2115" priority="2049" stopIfTrue="1" operator="equal">
      <formula>"CUMPLE"</formula>
    </cfRule>
  </conditionalFormatting>
  <conditionalFormatting sqref="AF5077">
    <cfRule type="cellIs" dxfId="2114" priority="2044" stopIfTrue="1" operator="equal">
      <formula>"VERIFICAR"</formula>
    </cfRule>
    <cfRule type="cellIs" dxfId="2113" priority="2045" stopIfTrue="1" operator="equal">
      <formula>"NO CUMPLE"</formula>
    </cfRule>
    <cfRule type="cellIs" dxfId="2112" priority="2046" stopIfTrue="1" operator="equal">
      <formula>"CUMPLE"</formula>
    </cfRule>
  </conditionalFormatting>
  <conditionalFormatting sqref="Y5080">
    <cfRule type="cellIs" dxfId="2111" priority="2043" operator="equal">
      <formula>"VERIFICAR CUADRO"</formula>
    </cfRule>
  </conditionalFormatting>
  <conditionalFormatting sqref="AC5081:AC5086">
    <cfRule type="cellIs" dxfId="2110" priority="2042" stopIfTrue="1" operator="greaterThan">
      <formula>0</formula>
    </cfRule>
  </conditionalFormatting>
  <conditionalFormatting sqref="AC5081:AC5086">
    <cfRule type="cellIs" dxfId="2109" priority="2041" stopIfTrue="1" operator="greaterThan">
      <formula>0</formula>
    </cfRule>
  </conditionalFormatting>
  <conditionalFormatting sqref="AD5081:AD5086">
    <cfRule type="containsText" dxfId="2108" priority="2039" stopIfTrue="1" operator="containsText" text="NO CUMPLE">
      <formula>NOT(ISERROR(SEARCH("NO CUMPLE",AD5081)))</formula>
    </cfRule>
    <cfRule type="containsText" dxfId="2107" priority="2040" stopIfTrue="1" operator="containsText" text="CUMPLE">
      <formula>NOT(ISERROR(SEARCH("CUMPLE",AD5081)))</formula>
    </cfRule>
  </conditionalFormatting>
  <conditionalFormatting sqref="Y5086">
    <cfRule type="containsText" dxfId="2106" priority="2037" stopIfTrue="1" operator="containsText" text="NO CUMPLE">
      <formula>NOT(ISERROR(SEARCH("NO CUMPLE",Y5086)))</formula>
    </cfRule>
    <cfRule type="containsText" dxfId="2105" priority="2038" stopIfTrue="1" operator="containsText" text="CUMPLE">
      <formula>NOT(ISERROR(SEARCH("CUMPLE",Y5086)))</formula>
    </cfRule>
  </conditionalFormatting>
  <conditionalFormatting sqref="AA5063:AA5072">
    <cfRule type="cellIs" dxfId="2104" priority="2035" stopIfTrue="1" operator="equal">
      <formula>"NO APLICA"</formula>
    </cfRule>
    <cfRule type="cellIs" dxfId="2103" priority="2036" stopIfTrue="1" operator="equal">
      <formula>"TERCIARIA"</formula>
    </cfRule>
  </conditionalFormatting>
  <conditionalFormatting sqref="AB5063:AB5072">
    <cfRule type="cellIs" dxfId="2102" priority="2033" stopIfTrue="1" operator="equal">
      <formula>"N/A"</formula>
    </cfRule>
    <cfRule type="cellIs" dxfId="2101" priority="2034" stopIfTrue="1" operator="equal">
      <formula>"NO"</formula>
    </cfRule>
  </conditionalFormatting>
  <conditionalFormatting sqref="M5093:M5102">
    <cfRule type="cellIs" dxfId="2100" priority="2032" stopIfTrue="1" operator="lessThan">
      <formula>0</formula>
    </cfRule>
  </conditionalFormatting>
  <conditionalFormatting sqref="C5095:D5101 B5094:B5101 F5095:I5101 C5094:I5094 B5102:O5102 B5093:R5093 Q5094:R5095 J5094:O5101 Q5096:Q5102 P5094:P5102">
    <cfRule type="cellIs" dxfId="2099" priority="2031" stopIfTrue="1" operator="greaterThan">
      <formula>0</formula>
    </cfRule>
  </conditionalFormatting>
  <conditionalFormatting sqref="C5095:D5101">
    <cfRule type="cellIs" dxfId="2098" priority="2030" stopIfTrue="1" operator="greaterThan">
      <formula>0</formula>
    </cfRule>
  </conditionalFormatting>
  <conditionalFormatting sqref="C5093:M5093 C5095:D5101 F5095:I5101 C5094:I5094 K5094:M5101 J5094:J5102 L5102:M5102">
    <cfRule type="cellIs" dxfId="2097" priority="2029" stopIfTrue="1" operator="greaterThan">
      <formula>0</formula>
    </cfRule>
  </conditionalFormatting>
  <conditionalFormatting sqref="M5093:M5102">
    <cfRule type="cellIs" dxfId="2096" priority="2028" stopIfTrue="1" operator="lessThan">
      <formula>0</formula>
    </cfRule>
  </conditionalFormatting>
  <conditionalFormatting sqref="J5094:J5102 L5094:O5102 C5093:O5093">
    <cfRule type="cellIs" dxfId="2095" priority="2027" stopIfTrue="1" operator="greaterThan">
      <formula>0</formula>
    </cfRule>
  </conditionalFormatting>
  <conditionalFormatting sqref="H5095:I5101 K5095:M5102">
    <cfRule type="cellIs" dxfId="2094" priority="2026" stopIfTrue="1" operator="greaterThan">
      <formula>0</formula>
    </cfRule>
  </conditionalFormatting>
  <conditionalFormatting sqref="I5094">
    <cfRule type="cellIs" dxfId="2093" priority="2025" stopIfTrue="1" operator="greaterThan">
      <formula>0</formula>
    </cfRule>
  </conditionalFormatting>
  <conditionalFormatting sqref="I5102">
    <cfRule type="cellIs" dxfId="2092" priority="2024" stopIfTrue="1" operator="greaterThan">
      <formula>0</formula>
    </cfRule>
  </conditionalFormatting>
  <conditionalFormatting sqref="E5095:E5101">
    <cfRule type="cellIs" dxfId="2091" priority="2023" stopIfTrue="1" operator="greaterThan">
      <formula>0</formula>
    </cfRule>
  </conditionalFormatting>
  <conditionalFormatting sqref="K5110:K5115">
    <cfRule type="containsText" dxfId="2090" priority="2021" stopIfTrue="1" operator="containsText" text="NO CUMPLE">
      <formula>NOT(ISERROR(SEARCH("NO CUMPLE",K5110)))</formula>
    </cfRule>
    <cfRule type="containsText" dxfId="2089" priority="2022" stopIfTrue="1" operator="containsText" text="CUMPLE">
      <formula>NOT(ISERROR(SEARCH("CUMPLE",K5110)))</formula>
    </cfRule>
  </conditionalFormatting>
  <conditionalFormatting sqref="K5116">
    <cfRule type="containsText" dxfId="2088" priority="2019" stopIfTrue="1" operator="containsText" text="NO CUMPLE">
      <formula>NOT(ISERROR(SEARCH("NO CUMPLE",K5116)))</formula>
    </cfRule>
    <cfRule type="containsText" dxfId="2087" priority="2020" stopIfTrue="1" operator="containsText" text="CUMPLE">
      <formula>NOT(ISERROR(SEARCH("CUMPLE",K5116)))</formula>
    </cfRule>
  </conditionalFormatting>
  <conditionalFormatting sqref="Q5109">
    <cfRule type="cellIs" dxfId="2086" priority="2017" operator="greaterThanOrEqual">
      <formula>NUMMINCONT</formula>
    </cfRule>
    <cfRule type="cellIs" dxfId="2085" priority="2018" operator="lessThan">
      <formula>NUMMINCONT</formula>
    </cfRule>
  </conditionalFormatting>
  <conditionalFormatting sqref="W5093:Y5101">
    <cfRule type="cellIs" dxfId="2084" priority="2015" stopIfTrue="1" operator="equal">
      <formula>"NO"</formula>
    </cfRule>
    <cfRule type="cellIs" dxfId="2083" priority="2016" stopIfTrue="1" operator="equal">
      <formula>"SI"</formula>
    </cfRule>
  </conditionalFormatting>
  <conditionalFormatting sqref="R5096">
    <cfRule type="cellIs" dxfId="2082" priority="2014" stopIfTrue="1" operator="greaterThan">
      <formula>0</formula>
    </cfRule>
  </conditionalFormatting>
  <conditionalFormatting sqref="R5097">
    <cfRule type="cellIs" dxfId="2081" priority="2013" stopIfTrue="1" operator="greaterThan">
      <formula>0</formula>
    </cfRule>
  </conditionalFormatting>
  <conditionalFormatting sqref="R5098">
    <cfRule type="cellIs" dxfId="2080" priority="2012" stopIfTrue="1" operator="greaterThan">
      <formula>0</formula>
    </cfRule>
  </conditionalFormatting>
  <conditionalFormatting sqref="R5099">
    <cfRule type="cellIs" dxfId="2079" priority="2011" stopIfTrue="1" operator="greaterThan">
      <formula>0</formula>
    </cfRule>
  </conditionalFormatting>
  <conditionalFormatting sqref="R5100">
    <cfRule type="cellIs" dxfId="2078" priority="2010" stopIfTrue="1" operator="greaterThan">
      <formula>0</formula>
    </cfRule>
  </conditionalFormatting>
  <conditionalFormatting sqref="R5101">
    <cfRule type="cellIs" dxfId="2077" priority="2009" stopIfTrue="1" operator="greaterThan">
      <formula>0</formula>
    </cfRule>
  </conditionalFormatting>
  <conditionalFormatting sqref="R5102">
    <cfRule type="cellIs" dxfId="2076" priority="2008" stopIfTrue="1" operator="greaterThan">
      <formula>0</formula>
    </cfRule>
  </conditionalFormatting>
  <conditionalFormatting sqref="W5093:X5093">
    <cfRule type="cellIs" dxfId="2075" priority="2007" stopIfTrue="1" operator="equal">
      <formula>"NO APLICA"</formula>
    </cfRule>
  </conditionalFormatting>
  <conditionalFormatting sqref="W5094:X5097">
    <cfRule type="cellIs" dxfId="2074" priority="2006" stopIfTrue="1" operator="equal">
      <formula>"NO APLICA"</formula>
    </cfRule>
  </conditionalFormatting>
  <conditionalFormatting sqref="W5094:X5094">
    <cfRule type="cellIs" dxfId="2073" priority="2005" stopIfTrue="1" operator="equal">
      <formula>"NO APLICA"</formula>
    </cfRule>
  </conditionalFormatting>
  <conditionalFormatting sqref="Y5093">
    <cfRule type="cellIs" dxfId="2072" priority="2004" stopIfTrue="1" operator="equal">
      <formula>"NO APLICA"</formula>
    </cfRule>
  </conditionalFormatting>
  <conditionalFormatting sqref="Y5094:Y5097">
    <cfRule type="cellIs" dxfId="2071" priority="2003" stopIfTrue="1" operator="equal">
      <formula>"NO APLICA"</formula>
    </cfRule>
  </conditionalFormatting>
  <conditionalFormatting sqref="W5098:X5101">
    <cfRule type="cellIs" dxfId="2070" priority="2002" stopIfTrue="1" operator="equal">
      <formula>"NO APLICA"</formula>
    </cfRule>
  </conditionalFormatting>
  <conditionalFormatting sqref="W5098:X5098">
    <cfRule type="cellIs" dxfId="2069" priority="2001" stopIfTrue="1" operator="equal">
      <formula>"NO APLICA"</formula>
    </cfRule>
  </conditionalFormatting>
  <conditionalFormatting sqref="Y5098:Y5101">
    <cfRule type="cellIs" dxfId="2068" priority="2000" stopIfTrue="1" operator="equal">
      <formula>"NO APLICA"</formula>
    </cfRule>
  </conditionalFormatting>
  <conditionalFormatting sqref="T5107">
    <cfRule type="cellIs" dxfId="2067" priority="1998" operator="equal">
      <formula>"CUMPLE"</formula>
    </cfRule>
    <cfRule type="cellIs" dxfId="2066" priority="1999" operator="equal">
      <formula>"NO CUMPLE"</formula>
    </cfRule>
  </conditionalFormatting>
  <conditionalFormatting sqref="T5107:T5109">
    <cfRule type="cellIs" dxfId="2065" priority="1997" operator="equal">
      <formula>"VERIFICAR"</formula>
    </cfRule>
  </conditionalFormatting>
  <conditionalFormatting sqref="AD5093:AF5097">
    <cfRule type="cellIs" dxfId="2064" priority="1995" stopIfTrue="1" operator="equal">
      <formula>"NO"</formula>
    </cfRule>
    <cfRule type="cellIs" dxfId="2063" priority="1996" stopIfTrue="1" operator="equal">
      <formula>"SI"</formula>
    </cfRule>
  </conditionalFormatting>
  <conditionalFormatting sqref="AD5098:AF5101">
    <cfRule type="cellIs" dxfId="2062" priority="1993" stopIfTrue="1" operator="equal">
      <formula>"NO"</formula>
    </cfRule>
    <cfRule type="cellIs" dxfId="2061" priority="1994" stopIfTrue="1" operator="equal">
      <formula>"SI"</formula>
    </cfRule>
  </conditionalFormatting>
  <conditionalFormatting sqref="W5102:Y5102">
    <cfRule type="cellIs" dxfId="2060" priority="1991" stopIfTrue="1" operator="equal">
      <formula>"NO"</formula>
    </cfRule>
    <cfRule type="cellIs" dxfId="2059" priority="1992" stopIfTrue="1" operator="equal">
      <formula>"SI"</formula>
    </cfRule>
  </conditionalFormatting>
  <conditionalFormatting sqref="W5102:X5102">
    <cfRule type="cellIs" dxfId="2058" priority="1990" stopIfTrue="1" operator="equal">
      <formula>"NO APLICA"</formula>
    </cfRule>
  </conditionalFormatting>
  <conditionalFormatting sqref="Y5102">
    <cfRule type="cellIs" dxfId="2057" priority="1989" stopIfTrue="1" operator="equal">
      <formula>"NO APLICA"</formula>
    </cfRule>
  </conditionalFormatting>
  <conditionalFormatting sqref="AD5102:AF5102">
    <cfRule type="cellIs" dxfId="2056" priority="1987" stopIfTrue="1" operator="equal">
      <formula>"NO"</formula>
    </cfRule>
    <cfRule type="cellIs" dxfId="2055" priority="1988" stopIfTrue="1" operator="equal">
      <formula>"SI"</formula>
    </cfRule>
  </conditionalFormatting>
  <conditionalFormatting sqref="AE5107">
    <cfRule type="cellIs" dxfId="2054" priority="1984" stopIfTrue="1" operator="equal">
      <formula>"VERIFICAR"</formula>
    </cfRule>
    <cfRule type="cellIs" dxfId="2053" priority="1985" stopIfTrue="1" operator="equal">
      <formula>"NO CUMPLE"</formula>
    </cfRule>
    <cfRule type="cellIs" dxfId="2052" priority="1986" stopIfTrue="1" operator="equal">
      <formula>"CUMPLE"</formula>
    </cfRule>
  </conditionalFormatting>
  <conditionalFormatting sqref="AF5107">
    <cfRule type="cellIs" dxfId="2051" priority="1981" stopIfTrue="1" operator="equal">
      <formula>"VERIFICAR"</formula>
    </cfRule>
    <cfRule type="cellIs" dxfId="2050" priority="1982" stopIfTrue="1" operator="equal">
      <formula>"NO CUMPLE"</formula>
    </cfRule>
    <cfRule type="cellIs" dxfId="2049" priority="1983" stopIfTrue="1" operator="equal">
      <formula>"CUMPLE"</formula>
    </cfRule>
  </conditionalFormatting>
  <conditionalFormatting sqref="Y5110">
    <cfRule type="cellIs" dxfId="2048" priority="1980" operator="equal">
      <formula>"VERIFICAR CUADRO"</formula>
    </cfRule>
  </conditionalFormatting>
  <conditionalFormatting sqref="AC5111:AC5116">
    <cfRule type="cellIs" dxfId="2047" priority="1979" stopIfTrue="1" operator="greaterThan">
      <formula>0</formula>
    </cfRule>
  </conditionalFormatting>
  <conditionalFormatting sqref="AC5111:AC5116">
    <cfRule type="cellIs" dxfId="2046" priority="1978" stopIfTrue="1" operator="greaterThan">
      <formula>0</formula>
    </cfRule>
  </conditionalFormatting>
  <conditionalFormatting sqref="AD5111:AD5116">
    <cfRule type="containsText" dxfId="2045" priority="1976" stopIfTrue="1" operator="containsText" text="NO CUMPLE">
      <formula>NOT(ISERROR(SEARCH("NO CUMPLE",AD5111)))</formula>
    </cfRule>
    <cfRule type="containsText" dxfId="2044" priority="1977" stopIfTrue="1" operator="containsText" text="CUMPLE">
      <formula>NOT(ISERROR(SEARCH("CUMPLE",AD5111)))</formula>
    </cfRule>
  </conditionalFormatting>
  <conditionalFormatting sqref="Y5116">
    <cfRule type="containsText" dxfId="2043" priority="1974" stopIfTrue="1" operator="containsText" text="NO CUMPLE">
      <formula>NOT(ISERROR(SEARCH("NO CUMPLE",Y5116)))</formula>
    </cfRule>
    <cfRule type="containsText" dxfId="2042" priority="1975" stopIfTrue="1" operator="containsText" text="CUMPLE">
      <formula>NOT(ISERROR(SEARCH("CUMPLE",Y5116)))</formula>
    </cfRule>
  </conditionalFormatting>
  <conditionalFormatting sqref="AA5093:AA5102">
    <cfRule type="cellIs" dxfId="2041" priority="1972" stopIfTrue="1" operator="equal">
      <formula>"NO APLICA"</formula>
    </cfRule>
    <cfRule type="cellIs" dxfId="2040" priority="1973" stopIfTrue="1" operator="equal">
      <formula>"TERCIARIA"</formula>
    </cfRule>
  </conditionalFormatting>
  <conditionalFormatting sqref="AB5093:AB5102">
    <cfRule type="cellIs" dxfId="2039" priority="1970" stopIfTrue="1" operator="equal">
      <formula>"N/A"</formula>
    </cfRule>
    <cfRule type="cellIs" dxfId="2038" priority="1971" stopIfTrue="1" operator="equal">
      <formula>"NO"</formula>
    </cfRule>
  </conditionalFormatting>
  <conditionalFormatting sqref="M5123:M5132">
    <cfRule type="cellIs" dxfId="2037" priority="1969" stopIfTrue="1" operator="lessThan">
      <formula>0</formula>
    </cfRule>
  </conditionalFormatting>
  <conditionalFormatting sqref="C5125:D5131 B5124:B5131 F5125:I5131 C5124:I5124 B5132:O5132 B5123:R5123 Q5124:R5125 J5124:O5131 Q5126:Q5132 P5124:P5132">
    <cfRule type="cellIs" dxfId="2036" priority="1968" stopIfTrue="1" operator="greaterThan">
      <formula>0</formula>
    </cfRule>
  </conditionalFormatting>
  <conditionalFormatting sqref="C5125:D5131">
    <cfRule type="cellIs" dxfId="2035" priority="1967" stopIfTrue="1" operator="greaterThan">
      <formula>0</formula>
    </cfRule>
  </conditionalFormatting>
  <conditionalFormatting sqref="C5123:M5123 C5125:D5131 F5125:I5131 C5124:I5124 K5124:M5131 J5124:J5132 L5132:M5132">
    <cfRule type="cellIs" dxfId="2034" priority="1966" stopIfTrue="1" operator="greaterThan">
      <formula>0</formula>
    </cfRule>
  </conditionalFormatting>
  <conditionalFormatting sqref="M5123:M5132">
    <cfRule type="cellIs" dxfId="2033" priority="1965" stopIfTrue="1" operator="lessThan">
      <formula>0</formula>
    </cfRule>
  </conditionalFormatting>
  <conditionalFormatting sqref="J5124:J5132 L5124:O5132 C5123:O5123">
    <cfRule type="cellIs" dxfId="2032" priority="1964" stopIfTrue="1" operator="greaterThan">
      <formula>0</formula>
    </cfRule>
  </conditionalFormatting>
  <conditionalFormatting sqref="H5125:I5131 K5125:M5132">
    <cfRule type="cellIs" dxfId="2031" priority="1963" stopIfTrue="1" operator="greaterThan">
      <formula>0</formula>
    </cfRule>
  </conditionalFormatting>
  <conditionalFormatting sqref="I5124">
    <cfRule type="cellIs" dxfId="2030" priority="1962" stopIfTrue="1" operator="greaterThan">
      <formula>0</formula>
    </cfRule>
  </conditionalFormatting>
  <conditionalFormatting sqref="I5132">
    <cfRule type="cellIs" dxfId="2029" priority="1961" stopIfTrue="1" operator="greaterThan">
      <formula>0</formula>
    </cfRule>
  </conditionalFormatting>
  <conditionalFormatting sqref="E5125:E5131">
    <cfRule type="cellIs" dxfId="2028" priority="1960" stopIfTrue="1" operator="greaterThan">
      <formula>0</formula>
    </cfRule>
  </conditionalFormatting>
  <conditionalFormatting sqref="K5140:K5145">
    <cfRule type="containsText" dxfId="2027" priority="1958" stopIfTrue="1" operator="containsText" text="NO CUMPLE">
      <formula>NOT(ISERROR(SEARCH("NO CUMPLE",K5140)))</formula>
    </cfRule>
    <cfRule type="containsText" dxfId="2026" priority="1959" stopIfTrue="1" operator="containsText" text="CUMPLE">
      <formula>NOT(ISERROR(SEARCH("CUMPLE",K5140)))</formula>
    </cfRule>
  </conditionalFormatting>
  <conditionalFormatting sqref="K5146">
    <cfRule type="containsText" dxfId="2025" priority="1956" stopIfTrue="1" operator="containsText" text="NO CUMPLE">
      <formula>NOT(ISERROR(SEARCH("NO CUMPLE",K5146)))</formula>
    </cfRule>
    <cfRule type="containsText" dxfId="2024" priority="1957" stopIfTrue="1" operator="containsText" text="CUMPLE">
      <formula>NOT(ISERROR(SEARCH("CUMPLE",K5146)))</formula>
    </cfRule>
  </conditionalFormatting>
  <conditionalFormatting sqref="Q5139">
    <cfRule type="cellIs" dxfId="2023" priority="1954" operator="greaterThanOrEqual">
      <formula>NUMMINCONT</formula>
    </cfRule>
    <cfRule type="cellIs" dxfId="2022" priority="1955" operator="lessThan">
      <formula>NUMMINCONT</formula>
    </cfRule>
  </conditionalFormatting>
  <conditionalFormatting sqref="W5123:Y5131">
    <cfRule type="cellIs" dxfId="2021" priority="1952" stopIfTrue="1" operator="equal">
      <formula>"NO"</formula>
    </cfRule>
    <cfRule type="cellIs" dxfId="2020" priority="1953" stopIfTrue="1" operator="equal">
      <formula>"SI"</formula>
    </cfRule>
  </conditionalFormatting>
  <conditionalFormatting sqref="R5126">
    <cfRule type="cellIs" dxfId="2019" priority="1951" stopIfTrue="1" operator="greaterThan">
      <formula>0</formula>
    </cfRule>
  </conditionalFormatting>
  <conditionalFormatting sqref="R5127">
    <cfRule type="cellIs" dxfId="2018" priority="1950" stopIfTrue="1" operator="greaterThan">
      <formula>0</formula>
    </cfRule>
  </conditionalFormatting>
  <conditionalFormatting sqref="R5128">
    <cfRule type="cellIs" dxfId="2017" priority="1949" stopIfTrue="1" operator="greaterThan">
      <formula>0</formula>
    </cfRule>
  </conditionalFormatting>
  <conditionalFormatting sqref="R5129">
    <cfRule type="cellIs" dxfId="2016" priority="1948" stopIfTrue="1" operator="greaterThan">
      <formula>0</formula>
    </cfRule>
  </conditionalFormatting>
  <conditionalFormatting sqref="R5130">
    <cfRule type="cellIs" dxfId="2015" priority="1947" stopIfTrue="1" operator="greaterThan">
      <formula>0</formula>
    </cfRule>
  </conditionalFormatting>
  <conditionalFormatting sqref="R5131">
    <cfRule type="cellIs" dxfId="2014" priority="1946" stopIfTrue="1" operator="greaterThan">
      <formula>0</formula>
    </cfRule>
  </conditionalFormatting>
  <conditionalFormatting sqref="R5132">
    <cfRule type="cellIs" dxfId="2013" priority="1945" stopIfTrue="1" operator="greaterThan">
      <formula>0</formula>
    </cfRule>
  </conditionalFormatting>
  <conditionalFormatting sqref="W5123:X5123">
    <cfRule type="cellIs" dxfId="2012" priority="1944" stopIfTrue="1" operator="equal">
      <formula>"NO APLICA"</formula>
    </cfRule>
  </conditionalFormatting>
  <conditionalFormatting sqref="W5124:X5127">
    <cfRule type="cellIs" dxfId="2011" priority="1943" stopIfTrue="1" operator="equal">
      <formula>"NO APLICA"</formula>
    </cfRule>
  </conditionalFormatting>
  <conditionalFormatting sqref="W5124:X5124">
    <cfRule type="cellIs" dxfId="2010" priority="1942" stopIfTrue="1" operator="equal">
      <formula>"NO APLICA"</formula>
    </cfRule>
  </conditionalFormatting>
  <conditionalFormatting sqref="Y5123">
    <cfRule type="cellIs" dxfId="2009" priority="1941" stopIfTrue="1" operator="equal">
      <formula>"NO APLICA"</formula>
    </cfRule>
  </conditionalFormatting>
  <conditionalFormatting sqref="Y5124:Y5127">
    <cfRule type="cellIs" dxfId="2008" priority="1940" stopIfTrue="1" operator="equal">
      <formula>"NO APLICA"</formula>
    </cfRule>
  </conditionalFormatting>
  <conditionalFormatting sqref="W5128:X5131">
    <cfRule type="cellIs" dxfId="2007" priority="1939" stopIfTrue="1" operator="equal">
      <formula>"NO APLICA"</formula>
    </cfRule>
  </conditionalFormatting>
  <conditionalFormatting sqref="W5128:X5128">
    <cfRule type="cellIs" dxfId="2006" priority="1938" stopIfTrue="1" operator="equal">
      <formula>"NO APLICA"</formula>
    </cfRule>
  </conditionalFormatting>
  <conditionalFormatting sqref="Y5128:Y5131">
    <cfRule type="cellIs" dxfId="2005" priority="1937" stopIfTrue="1" operator="equal">
      <formula>"NO APLICA"</formula>
    </cfRule>
  </conditionalFormatting>
  <conditionalFormatting sqref="T5137">
    <cfRule type="cellIs" dxfId="2004" priority="1935" operator="equal">
      <formula>"CUMPLE"</formula>
    </cfRule>
    <cfRule type="cellIs" dxfId="2003" priority="1936" operator="equal">
      <formula>"NO CUMPLE"</formula>
    </cfRule>
  </conditionalFormatting>
  <conditionalFormatting sqref="T5137:T5139">
    <cfRule type="cellIs" dxfId="2002" priority="1934" operator="equal">
      <formula>"VERIFICAR"</formula>
    </cfRule>
  </conditionalFormatting>
  <conditionalFormatting sqref="AD5123:AF5127">
    <cfRule type="cellIs" dxfId="2001" priority="1932" stopIfTrue="1" operator="equal">
      <formula>"NO"</formula>
    </cfRule>
    <cfRule type="cellIs" dxfId="2000" priority="1933" stopIfTrue="1" operator="equal">
      <formula>"SI"</formula>
    </cfRule>
  </conditionalFormatting>
  <conditionalFormatting sqref="AD5128:AF5131">
    <cfRule type="cellIs" dxfId="1999" priority="1930" stopIfTrue="1" operator="equal">
      <formula>"NO"</formula>
    </cfRule>
    <cfRule type="cellIs" dxfId="1998" priority="1931" stopIfTrue="1" operator="equal">
      <formula>"SI"</formula>
    </cfRule>
  </conditionalFormatting>
  <conditionalFormatting sqref="W5132:Y5132">
    <cfRule type="cellIs" dxfId="1997" priority="1928" stopIfTrue="1" operator="equal">
      <formula>"NO"</formula>
    </cfRule>
    <cfRule type="cellIs" dxfId="1996" priority="1929" stopIfTrue="1" operator="equal">
      <formula>"SI"</formula>
    </cfRule>
  </conditionalFormatting>
  <conditionalFormatting sqref="W5132:X5132">
    <cfRule type="cellIs" dxfId="1995" priority="1927" stopIfTrue="1" operator="equal">
      <formula>"NO APLICA"</formula>
    </cfRule>
  </conditionalFormatting>
  <conditionalFormatting sqref="Y5132">
    <cfRule type="cellIs" dxfId="1994" priority="1926" stopIfTrue="1" operator="equal">
      <formula>"NO APLICA"</formula>
    </cfRule>
  </conditionalFormatting>
  <conditionalFormatting sqref="AD5132:AF5132">
    <cfRule type="cellIs" dxfId="1993" priority="1924" stopIfTrue="1" operator="equal">
      <formula>"NO"</formula>
    </cfRule>
    <cfRule type="cellIs" dxfId="1992" priority="1925" stopIfTrue="1" operator="equal">
      <formula>"SI"</formula>
    </cfRule>
  </conditionalFormatting>
  <conditionalFormatting sqref="AE5137">
    <cfRule type="cellIs" dxfId="1991" priority="1921" stopIfTrue="1" operator="equal">
      <formula>"VERIFICAR"</formula>
    </cfRule>
    <cfRule type="cellIs" dxfId="1990" priority="1922" stopIfTrue="1" operator="equal">
      <formula>"NO CUMPLE"</formula>
    </cfRule>
    <cfRule type="cellIs" dxfId="1989" priority="1923" stopIfTrue="1" operator="equal">
      <formula>"CUMPLE"</formula>
    </cfRule>
  </conditionalFormatting>
  <conditionalFormatting sqref="AF5137">
    <cfRule type="cellIs" dxfId="1988" priority="1918" stopIfTrue="1" operator="equal">
      <formula>"VERIFICAR"</formula>
    </cfRule>
    <cfRule type="cellIs" dxfId="1987" priority="1919" stopIfTrue="1" operator="equal">
      <formula>"NO CUMPLE"</formula>
    </cfRule>
    <cfRule type="cellIs" dxfId="1986" priority="1920" stopIfTrue="1" operator="equal">
      <formula>"CUMPLE"</formula>
    </cfRule>
  </conditionalFormatting>
  <conditionalFormatting sqref="Y5140">
    <cfRule type="cellIs" dxfId="1985" priority="1917" operator="equal">
      <formula>"VERIFICAR CUADRO"</formula>
    </cfRule>
  </conditionalFormatting>
  <conditionalFormatting sqref="AC5141:AC5146">
    <cfRule type="cellIs" dxfId="1984" priority="1916" stopIfTrue="1" operator="greaterThan">
      <formula>0</formula>
    </cfRule>
  </conditionalFormatting>
  <conditionalFormatting sqref="AC5141:AC5146">
    <cfRule type="cellIs" dxfId="1983" priority="1915" stopIfTrue="1" operator="greaterThan">
      <formula>0</formula>
    </cfRule>
  </conditionalFormatting>
  <conditionalFormatting sqref="AD5141:AD5146">
    <cfRule type="containsText" dxfId="1982" priority="1913" stopIfTrue="1" operator="containsText" text="NO CUMPLE">
      <formula>NOT(ISERROR(SEARCH("NO CUMPLE",AD5141)))</formula>
    </cfRule>
    <cfRule type="containsText" dxfId="1981" priority="1914" stopIfTrue="1" operator="containsText" text="CUMPLE">
      <formula>NOT(ISERROR(SEARCH("CUMPLE",AD5141)))</formula>
    </cfRule>
  </conditionalFormatting>
  <conditionalFormatting sqref="Y5146">
    <cfRule type="containsText" dxfId="1980" priority="1911" stopIfTrue="1" operator="containsText" text="NO CUMPLE">
      <formula>NOT(ISERROR(SEARCH("NO CUMPLE",Y5146)))</formula>
    </cfRule>
    <cfRule type="containsText" dxfId="1979" priority="1912" stopIfTrue="1" operator="containsText" text="CUMPLE">
      <formula>NOT(ISERROR(SEARCH("CUMPLE",Y5146)))</formula>
    </cfRule>
  </conditionalFormatting>
  <conditionalFormatting sqref="AA5123:AA5132">
    <cfRule type="cellIs" dxfId="1978" priority="1909" stopIfTrue="1" operator="equal">
      <formula>"NO APLICA"</formula>
    </cfRule>
    <cfRule type="cellIs" dxfId="1977" priority="1910" stopIfTrue="1" operator="equal">
      <formula>"TERCIARIA"</formula>
    </cfRule>
  </conditionalFormatting>
  <conditionalFormatting sqref="AB5123:AB5132">
    <cfRule type="cellIs" dxfId="1976" priority="1907" stopIfTrue="1" operator="equal">
      <formula>"N/A"</formula>
    </cfRule>
    <cfRule type="cellIs" dxfId="1975" priority="1908" stopIfTrue="1" operator="equal">
      <formula>"NO"</formula>
    </cfRule>
  </conditionalFormatting>
  <conditionalFormatting sqref="M5153:M5162">
    <cfRule type="cellIs" dxfId="1974" priority="1906" stopIfTrue="1" operator="lessThan">
      <formula>0</formula>
    </cfRule>
  </conditionalFormatting>
  <conditionalFormatting sqref="C5155:D5161 B5154:B5161 F5155:I5161 C5154:I5154 B5162:O5162 B5153:R5153 Q5154:R5155 J5154:O5161 Q5156:Q5162 P5154:P5162">
    <cfRule type="cellIs" dxfId="1973" priority="1905" stopIfTrue="1" operator="greaterThan">
      <formula>0</formula>
    </cfRule>
  </conditionalFormatting>
  <conditionalFormatting sqref="C5155:D5161">
    <cfRule type="cellIs" dxfId="1972" priority="1904" stopIfTrue="1" operator="greaterThan">
      <formula>0</formula>
    </cfRule>
  </conditionalFormatting>
  <conditionalFormatting sqref="C5153:M5153 C5155:D5161 F5155:I5161 C5154:I5154 K5154:M5161 J5154:J5162 L5162:M5162">
    <cfRule type="cellIs" dxfId="1971" priority="1903" stopIfTrue="1" operator="greaterThan">
      <formula>0</formula>
    </cfRule>
  </conditionalFormatting>
  <conditionalFormatting sqref="M5153:M5162">
    <cfRule type="cellIs" dxfId="1970" priority="1902" stopIfTrue="1" operator="lessThan">
      <formula>0</formula>
    </cfRule>
  </conditionalFormatting>
  <conditionalFormatting sqref="J5154:J5162 L5154:O5162 C5153:O5153">
    <cfRule type="cellIs" dxfId="1969" priority="1901" stopIfTrue="1" operator="greaterThan">
      <formula>0</formula>
    </cfRule>
  </conditionalFormatting>
  <conditionalFormatting sqref="H5155:I5161 K5155:M5162">
    <cfRule type="cellIs" dxfId="1968" priority="1900" stopIfTrue="1" operator="greaterThan">
      <formula>0</formula>
    </cfRule>
  </conditionalFormatting>
  <conditionalFormatting sqref="I5154">
    <cfRule type="cellIs" dxfId="1967" priority="1899" stopIfTrue="1" operator="greaterThan">
      <formula>0</formula>
    </cfRule>
  </conditionalFormatting>
  <conditionalFormatting sqref="I5162">
    <cfRule type="cellIs" dxfId="1966" priority="1898" stopIfTrue="1" operator="greaterThan">
      <formula>0</formula>
    </cfRule>
  </conditionalFormatting>
  <conditionalFormatting sqref="E5155:E5161">
    <cfRule type="cellIs" dxfId="1965" priority="1897" stopIfTrue="1" operator="greaterThan">
      <formula>0</formula>
    </cfRule>
  </conditionalFormatting>
  <conditionalFormatting sqref="K5170:K5175">
    <cfRule type="containsText" dxfId="1964" priority="1895" stopIfTrue="1" operator="containsText" text="NO CUMPLE">
      <formula>NOT(ISERROR(SEARCH("NO CUMPLE",K5170)))</formula>
    </cfRule>
    <cfRule type="containsText" dxfId="1963" priority="1896" stopIfTrue="1" operator="containsText" text="CUMPLE">
      <formula>NOT(ISERROR(SEARCH("CUMPLE",K5170)))</formula>
    </cfRule>
  </conditionalFormatting>
  <conditionalFormatting sqref="K5176">
    <cfRule type="containsText" dxfId="1962" priority="1893" stopIfTrue="1" operator="containsText" text="NO CUMPLE">
      <formula>NOT(ISERROR(SEARCH("NO CUMPLE",K5176)))</formula>
    </cfRule>
    <cfRule type="containsText" dxfId="1961" priority="1894" stopIfTrue="1" operator="containsText" text="CUMPLE">
      <formula>NOT(ISERROR(SEARCH("CUMPLE",K5176)))</formula>
    </cfRule>
  </conditionalFormatting>
  <conditionalFormatting sqref="Q5169">
    <cfRule type="cellIs" dxfId="1960" priority="1891" operator="greaterThanOrEqual">
      <formula>NUMMINCONT</formula>
    </cfRule>
    <cfRule type="cellIs" dxfId="1959" priority="1892" operator="lessThan">
      <formula>NUMMINCONT</formula>
    </cfRule>
  </conditionalFormatting>
  <conditionalFormatting sqref="W5153:Y5161">
    <cfRule type="cellIs" dxfId="1958" priority="1889" stopIfTrue="1" operator="equal">
      <formula>"NO"</formula>
    </cfRule>
    <cfRule type="cellIs" dxfId="1957" priority="1890" stopIfTrue="1" operator="equal">
      <formula>"SI"</formula>
    </cfRule>
  </conditionalFormatting>
  <conditionalFormatting sqref="R5156">
    <cfRule type="cellIs" dxfId="1956" priority="1888" stopIfTrue="1" operator="greaterThan">
      <formula>0</formula>
    </cfRule>
  </conditionalFormatting>
  <conditionalFormatting sqref="R5157">
    <cfRule type="cellIs" dxfId="1955" priority="1887" stopIfTrue="1" operator="greaterThan">
      <formula>0</formula>
    </cfRule>
  </conditionalFormatting>
  <conditionalFormatting sqref="R5158">
    <cfRule type="cellIs" dxfId="1954" priority="1886" stopIfTrue="1" operator="greaterThan">
      <formula>0</formula>
    </cfRule>
  </conditionalFormatting>
  <conditionalFormatting sqref="R5159">
    <cfRule type="cellIs" dxfId="1953" priority="1885" stopIfTrue="1" operator="greaterThan">
      <formula>0</formula>
    </cfRule>
  </conditionalFormatting>
  <conditionalFormatting sqref="R5160">
    <cfRule type="cellIs" dxfId="1952" priority="1884" stopIfTrue="1" operator="greaterThan">
      <formula>0</formula>
    </cfRule>
  </conditionalFormatting>
  <conditionalFormatting sqref="R5161">
    <cfRule type="cellIs" dxfId="1951" priority="1883" stopIfTrue="1" operator="greaterThan">
      <formula>0</formula>
    </cfRule>
  </conditionalFormatting>
  <conditionalFormatting sqref="R5162">
    <cfRule type="cellIs" dxfId="1950" priority="1882" stopIfTrue="1" operator="greaterThan">
      <formula>0</formula>
    </cfRule>
  </conditionalFormatting>
  <conditionalFormatting sqref="W5153:X5153">
    <cfRule type="cellIs" dxfId="1949" priority="1881" stopIfTrue="1" operator="equal">
      <formula>"NO APLICA"</formula>
    </cfRule>
  </conditionalFormatting>
  <conditionalFormatting sqref="W5154:X5157">
    <cfRule type="cellIs" dxfId="1948" priority="1880" stopIfTrue="1" operator="equal">
      <formula>"NO APLICA"</formula>
    </cfRule>
  </conditionalFormatting>
  <conditionalFormatting sqref="W5154:X5154">
    <cfRule type="cellIs" dxfId="1947" priority="1879" stopIfTrue="1" operator="equal">
      <formula>"NO APLICA"</formula>
    </cfRule>
  </conditionalFormatting>
  <conditionalFormatting sqref="Y5153">
    <cfRule type="cellIs" dxfId="1946" priority="1878" stopIfTrue="1" operator="equal">
      <formula>"NO APLICA"</formula>
    </cfRule>
  </conditionalFormatting>
  <conditionalFormatting sqref="Y5154:Y5157">
    <cfRule type="cellIs" dxfId="1945" priority="1877" stopIfTrue="1" operator="equal">
      <formula>"NO APLICA"</formula>
    </cfRule>
  </conditionalFormatting>
  <conditionalFormatting sqref="W5158:X5161">
    <cfRule type="cellIs" dxfId="1944" priority="1876" stopIfTrue="1" operator="equal">
      <formula>"NO APLICA"</formula>
    </cfRule>
  </conditionalFormatting>
  <conditionalFormatting sqref="W5158:X5158">
    <cfRule type="cellIs" dxfId="1943" priority="1875" stopIfTrue="1" operator="equal">
      <formula>"NO APLICA"</formula>
    </cfRule>
  </conditionalFormatting>
  <conditionalFormatting sqref="Y5158:Y5161">
    <cfRule type="cellIs" dxfId="1942" priority="1874" stopIfTrue="1" operator="equal">
      <formula>"NO APLICA"</formula>
    </cfRule>
  </conditionalFormatting>
  <conditionalFormatting sqref="T5167">
    <cfRule type="cellIs" dxfId="1941" priority="1872" operator="equal">
      <formula>"CUMPLE"</formula>
    </cfRule>
    <cfRule type="cellIs" dxfId="1940" priority="1873" operator="equal">
      <formula>"NO CUMPLE"</formula>
    </cfRule>
  </conditionalFormatting>
  <conditionalFormatting sqref="T5167:T5169">
    <cfRule type="cellIs" dxfId="1939" priority="1871" operator="equal">
      <formula>"VERIFICAR"</formula>
    </cfRule>
  </conditionalFormatting>
  <conditionalFormatting sqref="AD5153:AF5157">
    <cfRule type="cellIs" dxfId="1938" priority="1869" stopIfTrue="1" operator="equal">
      <formula>"NO"</formula>
    </cfRule>
    <cfRule type="cellIs" dxfId="1937" priority="1870" stopIfTrue="1" operator="equal">
      <formula>"SI"</formula>
    </cfRule>
  </conditionalFormatting>
  <conditionalFormatting sqref="AD5158:AF5161">
    <cfRule type="cellIs" dxfId="1936" priority="1867" stopIfTrue="1" operator="equal">
      <formula>"NO"</formula>
    </cfRule>
    <cfRule type="cellIs" dxfId="1935" priority="1868" stopIfTrue="1" operator="equal">
      <formula>"SI"</formula>
    </cfRule>
  </conditionalFormatting>
  <conditionalFormatting sqref="W5162:Y5162">
    <cfRule type="cellIs" dxfId="1934" priority="1865" stopIfTrue="1" operator="equal">
      <formula>"NO"</formula>
    </cfRule>
    <cfRule type="cellIs" dxfId="1933" priority="1866" stopIfTrue="1" operator="equal">
      <formula>"SI"</formula>
    </cfRule>
  </conditionalFormatting>
  <conditionalFormatting sqref="W5162:X5162">
    <cfRule type="cellIs" dxfId="1932" priority="1864" stopIfTrue="1" operator="equal">
      <formula>"NO APLICA"</formula>
    </cfRule>
  </conditionalFormatting>
  <conditionalFormatting sqref="Y5162">
    <cfRule type="cellIs" dxfId="1931" priority="1863" stopIfTrue="1" operator="equal">
      <formula>"NO APLICA"</formula>
    </cfRule>
  </conditionalFormatting>
  <conditionalFormatting sqref="AD5162:AF5162">
    <cfRule type="cellIs" dxfId="1930" priority="1861" stopIfTrue="1" operator="equal">
      <formula>"NO"</formula>
    </cfRule>
    <cfRule type="cellIs" dxfId="1929" priority="1862" stopIfTrue="1" operator="equal">
      <formula>"SI"</formula>
    </cfRule>
  </conditionalFormatting>
  <conditionalFormatting sqref="AE5167">
    <cfRule type="cellIs" dxfId="1928" priority="1858" stopIfTrue="1" operator="equal">
      <formula>"VERIFICAR"</formula>
    </cfRule>
    <cfRule type="cellIs" dxfId="1927" priority="1859" stopIfTrue="1" operator="equal">
      <formula>"NO CUMPLE"</formula>
    </cfRule>
    <cfRule type="cellIs" dxfId="1926" priority="1860" stopIfTrue="1" operator="equal">
      <formula>"CUMPLE"</formula>
    </cfRule>
  </conditionalFormatting>
  <conditionalFormatting sqref="AF5167">
    <cfRule type="cellIs" dxfId="1925" priority="1855" stopIfTrue="1" operator="equal">
      <formula>"VERIFICAR"</formula>
    </cfRule>
    <cfRule type="cellIs" dxfId="1924" priority="1856" stopIfTrue="1" operator="equal">
      <formula>"NO CUMPLE"</formula>
    </cfRule>
    <cfRule type="cellIs" dxfId="1923" priority="1857" stopIfTrue="1" operator="equal">
      <formula>"CUMPLE"</formula>
    </cfRule>
  </conditionalFormatting>
  <conditionalFormatting sqref="Y5170">
    <cfRule type="cellIs" dxfId="1922" priority="1854" operator="equal">
      <formula>"VERIFICAR CUADRO"</formula>
    </cfRule>
  </conditionalFormatting>
  <conditionalFormatting sqref="AC5171:AC5176">
    <cfRule type="cellIs" dxfId="1921" priority="1853" stopIfTrue="1" operator="greaterThan">
      <formula>0</formula>
    </cfRule>
  </conditionalFormatting>
  <conditionalFormatting sqref="AC5171:AC5176">
    <cfRule type="cellIs" dxfId="1920" priority="1852" stopIfTrue="1" operator="greaterThan">
      <formula>0</formula>
    </cfRule>
  </conditionalFormatting>
  <conditionalFormatting sqref="AD5171:AD5176">
    <cfRule type="containsText" dxfId="1919" priority="1850" stopIfTrue="1" operator="containsText" text="NO CUMPLE">
      <formula>NOT(ISERROR(SEARCH("NO CUMPLE",AD5171)))</formula>
    </cfRule>
    <cfRule type="containsText" dxfId="1918" priority="1851" stopIfTrue="1" operator="containsText" text="CUMPLE">
      <formula>NOT(ISERROR(SEARCH("CUMPLE",AD5171)))</formula>
    </cfRule>
  </conditionalFormatting>
  <conditionalFormatting sqref="Y5176">
    <cfRule type="containsText" dxfId="1917" priority="1848" stopIfTrue="1" operator="containsText" text="NO CUMPLE">
      <formula>NOT(ISERROR(SEARCH("NO CUMPLE",Y5176)))</formula>
    </cfRule>
    <cfRule type="containsText" dxfId="1916" priority="1849" stopIfTrue="1" operator="containsText" text="CUMPLE">
      <formula>NOT(ISERROR(SEARCH("CUMPLE",Y5176)))</formula>
    </cfRule>
  </conditionalFormatting>
  <conditionalFormatting sqref="AA5153:AA5162">
    <cfRule type="cellIs" dxfId="1915" priority="1846" stopIfTrue="1" operator="equal">
      <formula>"NO APLICA"</formula>
    </cfRule>
    <cfRule type="cellIs" dxfId="1914" priority="1847" stopIfTrue="1" operator="equal">
      <formula>"TERCIARIA"</formula>
    </cfRule>
  </conditionalFormatting>
  <conditionalFormatting sqref="AB5153:AB5162">
    <cfRule type="cellIs" dxfId="1913" priority="1844" stopIfTrue="1" operator="equal">
      <formula>"N/A"</formula>
    </cfRule>
    <cfRule type="cellIs" dxfId="1912" priority="1845" stopIfTrue="1" operator="equal">
      <formula>"NO"</formula>
    </cfRule>
  </conditionalFormatting>
  <conditionalFormatting sqref="M5183:M5192">
    <cfRule type="cellIs" dxfId="1911" priority="1843" stopIfTrue="1" operator="lessThan">
      <formula>0</formula>
    </cfRule>
  </conditionalFormatting>
  <conditionalFormatting sqref="C5185:D5191 B5184:B5191 F5185:I5191 C5184:I5184 B5192:O5192 B5183:R5183 Q5184:R5185 J5184:O5191 Q5186:Q5192 P5184:P5192">
    <cfRule type="cellIs" dxfId="1910" priority="1842" stopIfTrue="1" operator="greaterThan">
      <formula>0</formula>
    </cfRule>
  </conditionalFormatting>
  <conditionalFormatting sqref="C5185:D5191">
    <cfRule type="cellIs" dxfId="1909" priority="1841" stopIfTrue="1" operator="greaterThan">
      <formula>0</formula>
    </cfRule>
  </conditionalFormatting>
  <conditionalFormatting sqref="C5183:M5183 C5185:D5191 F5185:I5191 C5184:I5184 K5184:M5191 J5184:J5192 L5192:M5192">
    <cfRule type="cellIs" dxfId="1908" priority="1840" stopIfTrue="1" operator="greaterThan">
      <formula>0</formula>
    </cfRule>
  </conditionalFormatting>
  <conditionalFormatting sqref="M5183:M5192">
    <cfRule type="cellIs" dxfId="1907" priority="1839" stopIfTrue="1" operator="lessThan">
      <formula>0</formula>
    </cfRule>
  </conditionalFormatting>
  <conditionalFormatting sqref="J5184:J5192 L5184:O5192 C5183:O5183">
    <cfRule type="cellIs" dxfId="1906" priority="1838" stopIfTrue="1" operator="greaterThan">
      <formula>0</formula>
    </cfRule>
  </conditionalFormatting>
  <conditionalFormatting sqref="H5185:I5191 K5185:M5192">
    <cfRule type="cellIs" dxfId="1905" priority="1837" stopIfTrue="1" operator="greaterThan">
      <formula>0</formula>
    </cfRule>
  </conditionalFormatting>
  <conditionalFormatting sqref="I5184">
    <cfRule type="cellIs" dxfId="1904" priority="1836" stopIfTrue="1" operator="greaterThan">
      <formula>0</formula>
    </cfRule>
  </conditionalFormatting>
  <conditionalFormatting sqref="I5192">
    <cfRule type="cellIs" dxfId="1903" priority="1835" stopIfTrue="1" operator="greaterThan">
      <formula>0</formula>
    </cfRule>
  </conditionalFormatting>
  <conditionalFormatting sqref="E5185:E5191">
    <cfRule type="cellIs" dxfId="1902" priority="1834" stopIfTrue="1" operator="greaterThan">
      <formula>0</formula>
    </cfRule>
  </conditionalFormatting>
  <conditionalFormatting sqref="K5200:K5205">
    <cfRule type="containsText" dxfId="1901" priority="1832" stopIfTrue="1" operator="containsText" text="NO CUMPLE">
      <formula>NOT(ISERROR(SEARCH("NO CUMPLE",K5200)))</formula>
    </cfRule>
    <cfRule type="containsText" dxfId="1900" priority="1833" stopIfTrue="1" operator="containsText" text="CUMPLE">
      <formula>NOT(ISERROR(SEARCH("CUMPLE",K5200)))</formula>
    </cfRule>
  </conditionalFormatting>
  <conditionalFormatting sqref="K5206">
    <cfRule type="containsText" dxfId="1899" priority="1830" stopIfTrue="1" operator="containsText" text="NO CUMPLE">
      <formula>NOT(ISERROR(SEARCH("NO CUMPLE",K5206)))</formula>
    </cfRule>
    <cfRule type="containsText" dxfId="1898" priority="1831" stopIfTrue="1" operator="containsText" text="CUMPLE">
      <formula>NOT(ISERROR(SEARCH("CUMPLE",K5206)))</formula>
    </cfRule>
  </conditionalFormatting>
  <conditionalFormatting sqref="Q5199">
    <cfRule type="cellIs" dxfId="1897" priority="1828" operator="greaterThanOrEqual">
      <formula>NUMMINCONT</formula>
    </cfRule>
    <cfRule type="cellIs" dxfId="1896" priority="1829" operator="lessThan">
      <formula>NUMMINCONT</formula>
    </cfRule>
  </conditionalFormatting>
  <conditionalFormatting sqref="W5183:Y5191">
    <cfRule type="cellIs" dxfId="1895" priority="1826" stopIfTrue="1" operator="equal">
      <formula>"NO"</formula>
    </cfRule>
    <cfRule type="cellIs" dxfId="1894" priority="1827" stopIfTrue="1" operator="equal">
      <formula>"SI"</formula>
    </cfRule>
  </conditionalFormatting>
  <conditionalFormatting sqref="R5186">
    <cfRule type="cellIs" dxfId="1893" priority="1825" stopIfTrue="1" operator="greaterThan">
      <formula>0</formula>
    </cfRule>
  </conditionalFormatting>
  <conditionalFormatting sqref="R5187">
    <cfRule type="cellIs" dxfId="1892" priority="1824" stopIfTrue="1" operator="greaterThan">
      <formula>0</formula>
    </cfRule>
  </conditionalFormatting>
  <conditionalFormatting sqref="R5188">
    <cfRule type="cellIs" dxfId="1891" priority="1823" stopIfTrue="1" operator="greaterThan">
      <formula>0</formula>
    </cfRule>
  </conditionalFormatting>
  <conditionalFormatting sqref="R5189">
    <cfRule type="cellIs" dxfId="1890" priority="1822" stopIfTrue="1" operator="greaterThan">
      <formula>0</formula>
    </cfRule>
  </conditionalFormatting>
  <conditionalFormatting sqref="R5190">
    <cfRule type="cellIs" dxfId="1889" priority="1821" stopIfTrue="1" operator="greaterThan">
      <formula>0</formula>
    </cfRule>
  </conditionalFormatting>
  <conditionalFormatting sqref="R5191">
    <cfRule type="cellIs" dxfId="1888" priority="1820" stopIfTrue="1" operator="greaterThan">
      <formula>0</formula>
    </cfRule>
  </conditionalFormatting>
  <conditionalFormatting sqref="R5192">
    <cfRule type="cellIs" dxfId="1887" priority="1819" stopIfTrue="1" operator="greaterThan">
      <formula>0</formula>
    </cfRule>
  </conditionalFormatting>
  <conditionalFormatting sqref="W5183:X5183">
    <cfRule type="cellIs" dxfId="1886" priority="1818" stopIfTrue="1" operator="equal">
      <formula>"NO APLICA"</formula>
    </cfRule>
  </conditionalFormatting>
  <conditionalFormatting sqref="W5184:X5187">
    <cfRule type="cellIs" dxfId="1885" priority="1817" stopIfTrue="1" operator="equal">
      <formula>"NO APLICA"</formula>
    </cfRule>
  </conditionalFormatting>
  <conditionalFormatting sqref="W5184:X5184">
    <cfRule type="cellIs" dxfId="1884" priority="1816" stopIfTrue="1" operator="equal">
      <formula>"NO APLICA"</formula>
    </cfRule>
  </conditionalFormatting>
  <conditionalFormatting sqref="Y5183">
    <cfRule type="cellIs" dxfId="1883" priority="1815" stopIfTrue="1" operator="equal">
      <formula>"NO APLICA"</formula>
    </cfRule>
  </conditionalFormatting>
  <conditionalFormatting sqref="Y5184:Y5187">
    <cfRule type="cellIs" dxfId="1882" priority="1814" stopIfTrue="1" operator="equal">
      <formula>"NO APLICA"</formula>
    </cfRule>
  </conditionalFormatting>
  <conditionalFormatting sqref="W5188:X5191">
    <cfRule type="cellIs" dxfId="1881" priority="1813" stopIfTrue="1" operator="equal">
      <formula>"NO APLICA"</formula>
    </cfRule>
  </conditionalFormatting>
  <conditionalFormatting sqref="W5188:X5188">
    <cfRule type="cellIs" dxfId="1880" priority="1812" stopIfTrue="1" operator="equal">
      <formula>"NO APLICA"</formula>
    </cfRule>
  </conditionalFormatting>
  <conditionalFormatting sqref="Y5188:Y5191">
    <cfRule type="cellIs" dxfId="1879" priority="1811" stopIfTrue="1" operator="equal">
      <formula>"NO APLICA"</formula>
    </cfRule>
  </conditionalFormatting>
  <conditionalFormatting sqref="T5197">
    <cfRule type="cellIs" dxfId="1878" priority="1809" operator="equal">
      <formula>"CUMPLE"</formula>
    </cfRule>
    <cfRule type="cellIs" dxfId="1877" priority="1810" operator="equal">
      <formula>"NO CUMPLE"</formula>
    </cfRule>
  </conditionalFormatting>
  <conditionalFormatting sqref="T5197:T5199">
    <cfRule type="cellIs" dxfId="1876" priority="1808" operator="equal">
      <formula>"VERIFICAR"</formula>
    </cfRule>
  </conditionalFormatting>
  <conditionalFormatting sqref="AD5183:AF5187">
    <cfRule type="cellIs" dxfId="1875" priority="1806" stopIfTrue="1" operator="equal">
      <formula>"NO"</formula>
    </cfRule>
    <cfRule type="cellIs" dxfId="1874" priority="1807" stopIfTrue="1" operator="equal">
      <formula>"SI"</formula>
    </cfRule>
  </conditionalFormatting>
  <conditionalFormatting sqref="AD5188:AF5191">
    <cfRule type="cellIs" dxfId="1873" priority="1804" stopIfTrue="1" operator="equal">
      <formula>"NO"</formula>
    </cfRule>
    <cfRule type="cellIs" dxfId="1872" priority="1805" stopIfTrue="1" operator="equal">
      <formula>"SI"</formula>
    </cfRule>
  </conditionalFormatting>
  <conditionalFormatting sqref="W5192:Y5192">
    <cfRule type="cellIs" dxfId="1871" priority="1802" stopIfTrue="1" operator="equal">
      <formula>"NO"</formula>
    </cfRule>
    <cfRule type="cellIs" dxfId="1870" priority="1803" stopIfTrue="1" operator="equal">
      <formula>"SI"</formula>
    </cfRule>
  </conditionalFormatting>
  <conditionalFormatting sqref="W5192:X5192">
    <cfRule type="cellIs" dxfId="1869" priority="1801" stopIfTrue="1" operator="equal">
      <formula>"NO APLICA"</formula>
    </cfRule>
  </conditionalFormatting>
  <conditionalFormatting sqref="Y5192">
    <cfRule type="cellIs" dxfId="1868" priority="1800" stopIfTrue="1" operator="equal">
      <formula>"NO APLICA"</formula>
    </cfRule>
  </conditionalFormatting>
  <conditionalFormatting sqref="AD5192:AF5192">
    <cfRule type="cellIs" dxfId="1867" priority="1798" stopIfTrue="1" operator="equal">
      <formula>"NO"</formula>
    </cfRule>
    <cfRule type="cellIs" dxfId="1866" priority="1799" stopIfTrue="1" operator="equal">
      <formula>"SI"</formula>
    </cfRule>
  </conditionalFormatting>
  <conditionalFormatting sqref="AE5197">
    <cfRule type="cellIs" dxfId="1865" priority="1795" stopIfTrue="1" operator="equal">
      <formula>"VERIFICAR"</formula>
    </cfRule>
    <cfRule type="cellIs" dxfId="1864" priority="1796" stopIfTrue="1" operator="equal">
      <formula>"NO CUMPLE"</formula>
    </cfRule>
    <cfRule type="cellIs" dxfId="1863" priority="1797" stopIfTrue="1" operator="equal">
      <formula>"CUMPLE"</formula>
    </cfRule>
  </conditionalFormatting>
  <conditionalFormatting sqref="AF5197">
    <cfRule type="cellIs" dxfId="1862" priority="1792" stopIfTrue="1" operator="equal">
      <formula>"VERIFICAR"</formula>
    </cfRule>
    <cfRule type="cellIs" dxfId="1861" priority="1793" stopIfTrue="1" operator="equal">
      <formula>"NO CUMPLE"</formula>
    </cfRule>
    <cfRule type="cellIs" dxfId="1860" priority="1794" stopIfTrue="1" operator="equal">
      <formula>"CUMPLE"</formula>
    </cfRule>
  </conditionalFormatting>
  <conditionalFormatting sqref="Y5200">
    <cfRule type="cellIs" dxfId="1859" priority="1791" operator="equal">
      <formula>"VERIFICAR CUADRO"</formula>
    </cfRule>
  </conditionalFormatting>
  <conditionalFormatting sqref="AC5201:AC5206">
    <cfRule type="cellIs" dxfId="1858" priority="1790" stopIfTrue="1" operator="greaterThan">
      <formula>0</formula>
    </cfRule>
  </conditionalFormatting>
  <conditionalFormatting sqref="AC5201:AC5206">
    <cfRule type="cellIs" dxfId="1857" priority="1789" stopIfTrue="1" operator="greaterThan">
      <formula>0</formula>
    </cfRule>
  </conditionalFormatting>
  <conditionalFormatting sqref="AD5201:AD5206">
    <cfRule type="containsText" dxfId="1856" priority="1787" stopIfTrue="1" operator="containsText" text="NO CUMPLE">
      <formula>NOT(ISERROR(SEARCH("NO CUMPLE",AD5201)))</formula>
    </cfRule>
    <cfRule type="containsText" dxfId="1855" priority="1788" stopIfTrue="1" operator="containsText" text="CUMPLE">
      <formula>NOT(ISERROR(SEARCH("CUMPLE",AD5201)))</formula>
    </cfRule>
  </conditionalFormatting>
  <conditionalFormatting sqref="Y5206">
    <cfRule type="containsText" dxfId="1854" priority="1785" stopIfTrue="1" operator="containsText" text="NO CUMPLE">
      <formula>NOT(ISERROR(SEARCH("NO CUMPLE",Y5206)))</formula>
    </cfRule>
    <cfRule type="containsText" dxfId="1853" priority="1786" stopIfTrue="1" operator="containsText" text="CUMPLE">
      <formula>NOT(ISERROR(SEARCH("CUMPLE",Y5206)))</formula>
    </cfRule>
  </conditionalFormatting>
  <conditionalFormatting sqref="AA5183:AA5192">
    <cfRule type="cellIs" dxfId="1852" priority="1783" stopIfTrue="1" operator="equal">
      <formula>"NO APLICA"</formula>
    </cfRule>
    <cfRule type="cellIs" dxfId="1851" priority="1784" stopIfTrue="1" operator="equal">
      <formula>"TERCIARIA"</formula>
    </cfRule>
  </conditionalFormatting>
  <conditionalFormatting sqref="AB5183:AB5192">
    <cfRule type="cellIs" dxfId="1850" priority="1781" stopIfTrue="1" operator="equal">
      <formula>"N/A"</formula>
    </cfRule>
    <cfRule type="cellIs" dxfId="1849" priority="1782" stopIfTrue="1" operator="equal">
      <formula>"NO"</formula>
    </cfRule>
  </conditionalFormatting>
  <conditionalFormatting sqref="M5213:M5222">
    <cfRule type="cellIs" dxfId="1848" priority="1780" stopIfTrue="1" operator="lessThan">
      <formula>0</formula>
    </cfRule>
  </conditionalFormatting>
  <conditionalFormatting sqref="C5215:D5221 B5214:B5221 F5215:I5221 C5214:I5214 B5222:O5222 B5213:R5213 Q5214:R5215 J5214:O5221 Q5216:Q5222 P5214:P5222">
    <cfRule type="cellIs" dxfId="1847" priority="1779" stopIfTrue="1" operator="greaterThan">
      <formula>0</formula>
    </cfRule>
  </conditionalFormatting>
  <conditionalFormatting sqref="C5215:D5221">
    <cfRule type="cellIs" dxfId="1846" priority="1778" stopIfTrue="1" operator="greaterThan">
      <formula>0</formula>
    </cfRule>
  </conditionalFormatting>
  <conditionalFormatting sqref="C5213:M5213 C5215:D5221 F5215:I5221 C5214:I5214 K5214:M5221 J5214:J5222 L5222:M5222">
    <cfRule type="cellIs" dxfId="1845" priority="1777" stopIfTrue="1" operator="greaterThan">
      <formula>0</formula>
    </cfRule>
  </conditionalFormatting>
  <conditionalFormatting sqref="M5213:M5222">
    <cfRule type="cellIs" dxfId="1844" priority="1776" stopIfTrue="1" operator="lessThan">
      <formula>0</formula>
    </cfRule>
  </conditionalFormatting>
  <conditionalFormatting sqref="J5214:J5222 L5214:O5222 C5213:O5213">
    <cfRule type="cellIs" dxfId="1843" priority="1775" stopIfTrue="1" operator="greaterThan">
      <formula>0</formula>
    </cfRule>
  </conditionalFormatting>
  <conditionalFormatting sqref="H5215:I5221 K5215:M5222">
    <cfRule type="cellIs" dxfId="1842" priority="1774" stopIfTrue="1" operator="greaterThan">
      <formula>0</formula>
    </cfRule>
  </conditionalFormatting>
  <conditionalFormatting sqref="I5214">
    <cfRule type="cellIs" dxfId="1841" priority="1773" stopIfTrue="1" operator="greaterThan">
      <formula>0</formula>
    </cfRule>
  </conditionalFormatting>
  <conditionalFormatting sqref="I5222">
    <cfRule type="cellIs" dxfId="1840" priority="1772" stopIfTrue="1" operator="greaterThan">
      <formula>0</formula>
    </cfRule>
  </conditionalFormatting>
  <conditionalFormatting sqref="E5215:E5221">
    <cfRule type="cellIs" dxfId="1839" priority="1771" stopIfTrue="1" operator="greaterThan">
      <formula>0</formula>
    </cfRule>
  </conditionalFormatting>
  <conditionalFormatting sqref="K5230:K5235">
    <cfRule type="containsText" dxfId="1838" priority="1769" stopIfTrue="1" operator="containsText" text="NO CUMPLE">
      <formula>NOT(ISERROR(SEARCH("NO CUMPLE",K5230)))</formula>
    </cfRule>
    <cfRule type="containsText" dxfId="1837" priority="1770" stopIfTrue="1" operator="containsText" text="CUMPLE">
      <formula>NOT(ISERROR(SEARCH("CUMPLE",K5230)))</formula>
    </cfRule>
  </conditionalFormatting>
  <conditionalFormatting sqref="K5236">
    <cfRule type="containsText" dxfId="1836" priority="1767" stopIfTrue="1" operator="containsText" text="NO CUMPLE">
      <formula>NOT(ISERROR(SEARCH("NO CUMPLE",K5236)))</formula>
    </cfRule>
    <cfRule type="containsText" dxfId="1835" priority="1768" stopIfTrue="1" operator="containsText" text="CUMPLE">
      <formula>NOT(ISERROR(SEARCH("CUMPLE",K5236)))</formula>
    </cfRule>
  </conditionalFormatting>
  <conditionalFormatting sqref="Q5229">
    <cfRule type="cellIs" dxfId="1834" priority="1765" operator="greaterThanOrEqual">
      <formula>NUMMINCONT</formula>
    </cfRule>
    <cfRule type="cellIs" dxfId="1833" priority="1766" operator="lessThan">
      <formula>NUMMINCONT</formula>
    </cfRule>
  </conditionalFormatting>
  <conditionalFormatting sqref="W5213:Y5221">
    <cfRule type="cellIs" dxfId="1832" priority="1763" stopIfTrue="1" operator="equal">
      <formula>"NO"</formula>
    </cfRule>
    <cfRule type="cellIs" dxfId="1831" priority="1764" stopIfTrue="1" operator="equal">
      <formula>"SI"</formula>
    </cfRule>
  </conditionalFormatting>
  <conditionalFormatting sqref="R5216">
    <cfRule type="cellIs" dxfId="1830" priority="1762" stopIfTrue="1" operator="greaterThan">
      <formula>0</formula>
    </cfRule>
  </conditionalFormatting>
  <conditionalFormatting sqref="R5217">
    <cfRule type="cellIs" dxfId="1829" priority="1761" stopIfTrue="1" operator="greaterThan">
      <formula>0</formula>
    </cfRule>
  </conditionalFormatting>
  <conditionalFormatting sqref="R5218">
    <cfRule type="cellIs" dxfId="1828" priority="1760" stopIfTrue="1" operator="greaterThan">
      <formula>0</formula>
    </cfRule>
  </conditionalFormatting>
  <conditionalFormatting sqref="R5219">
    <cfRule type="cellIs" dxfId="1827" priority="1759" stopIfTrue="1" operator="greaterThan">
      <formula>0</formula>
    </cfRule>
  </conditionalFormatting>
  <conditionalFormatting sqref="R5220">
    <cfRule type="cellIs" dxfId="1826" priority="1758" stopIfTrue="1" operator="greaterThan">
      <formula>0</formula>
    </cfRule>
  </conditionalFormatting>
  <conditionalFormatting sqref="R5221">
    <cfRule type="cellIs" dxfId="1825" priority="1757" stopIfTrue="1" operator="greaterThan">
      <formula>0</formula>
    </cfRule>
  </conditionalFormatting>
  <conditionalFormatting sqref="R5222">
    <cfRule type="cellIs" dxfId="1824" priority="1756" stopIfTrue="1" operator="greaterThan">
      <formula>0</formula>
    </cfRule>
  </conditionalFormatting>
  <conditionalFormatting sqref="W5213:X5213">
    <cfRule type="cellIs" dxfId="1823" priority="1755" stopIfTrue="1" operator="equal">
      <formula>"NO APLICA"</formula>
    </cfRule>
  </conditionalFormatting>
  <conditionalFormatting sqref="W5214:X5217">
    <cfRule type="cellIs" dxfId="1822" priority="1754" stopIfTrue="1" operator="equal">
      <formula>"NO APLICA"</formula>
    </cfRule>
  </conditionalFormatting>
  <conditionalFormatting sqref="W5214:X5214">
    <cfRule type="cellIs" dxfId="1821" priority="1753" stopIfTrue="1" operator="equal">
      <formula>"NO APLICA"</formula>
    </cfRule>
  </conditionalFormatting>
  <conditionalFormatting sqref="Y5213">
    <cfRule type="cellIs" dxfId="1820" priority="1752" stopIfTrue="1" operator="equal">
      <formula>"NO APLICA"</formula>
    </cfRule>
  </conditionalFormatting>
  <conditionalFormatting sqref="Y5214:Y5217">
    <cfRule type="cellIs" dxfId="1819" priority="1751" stopIfTrue="1" operator="equal">
      <formula>"NO APLICA"</formula>
    </cfRule>
  </conditionalFormatting>
  <conditionalFormatting sqref="W5218:X5221">
    <cfRule type="cellIs" dxfId="1818" priority="1750" stopIfTrue="1" operator="equal">
      <formula>"NO APLICA"</formula>
    </cfRule>
  </conditionalFormatting>
  <conditionalFormatting sqref="W5218:X5218">
    <cfRule type="cellIs" dxfId="1817" priority="1749" stopIfTrue="1" operator="equal">
      <formula>"NO APLICA"</formula>
    </cfRule>
  </conditionalFormatting>
  <conditionalFormatting sqref="Y5218:Y5221">
    <cfRule type="cellIs" dxfId="1816" priority="1748" stopIfTrue="1" operator="equal">
      <formula>"NO APLICA"</formula>
    </cfRule>
  </conditionalFormatting>
  <conditionalFormatting sqref="T5227">
    <cfRule type="cellIs" dxfId="1815" priority="1746" operator="equal">
      <formula>"CUMPLE"</formula>
    </cfRule>
    <cfRule type="cellIs" dxfId="1814" priority="1747" operator="equal">
      <formula>"NO CUMPLE"</formula>
    </cfRule>
  </conditionalFormatting>
  <conditionalFormatting sqref="T5227:T5229">
    <cfRule type="cellIs" dxfId="1813" priority="1745" operator="equal">
      <formula>"VERIFICAR"</formula>
    </cfRule>
  </conditionalFormatting>
  <conditionalFormatting sqref="AD5213:AF5217">
    <cfRule type="cellIs" dxfId="1812" priority="1743" stopIfTrue="1" operator="equal">
      <formula>"NO"</formula>
    </cfRule>
    <cfRule type="cellIs" dxfId="1811" priority="1744" stopIfTrue="1" operator="equal">
      <formula>"SI"</formula>
    </cfRule>
  </conditionalFormatting>
  <conditionalFormatting sqref="AD5218:AF5221">
    <cfRule type="cellIs" dxfId="1810" priority="1741" stopIfTrue="1" operator="equal">
      <formula>"NO"</formula>
    </cfRule>
    <cfRule type="cellIs" dxfId="1809" priority="1742" stopIfTrue="1" operator="equal">
      <formula>"SI"</formula>
    </cfRule>
  </conditionalFormatting>
  <conditionalFormatting sqref="W5222:Y5222">
    <cfRule type="cellIs" dxfId="1808" priority="1739" stopIfTrue="1" operator="equal">
      <formula>"NO"</formula>
    </cfRule>
    <cfRule type="cellIs" dxfId="1807" priority="1740" stopIfTrue="1" operator="equal">
      <formula>"SI"</formula>
    </cfRule>
  </conditionalFormatting>
  <conditionalFormatting sqref="W5222:X5222">
    <cfRule type="cellIs" dxfId="1806" priority="1738" stopIfTrue="1" operator="equal">
      <formula>"NO APLICA"</formula>
    </cfRule>
  </conditionalFormatting>
  <conditionalFormatting sqref="Y5222">
    <cfRule type="cellIs" dxfId="1805" priority="1737" stopIfTrue="1" operator="equal">
      <formula>"NO APLICA"</formula>
    </cfRule>
  </conditionalFormatting>
  <conditionalFormatting sqref="AD5222:AF5222">
    <cfRule type="cellIs" dxfId="1804" priority="1735" stopIfTrue="1" operator="equal">
      <formula>"NO"</formula>
    </cfRule>
    <cfRule type="cellIs" dxfId="1803" priority="1736" stopIfTrue="1" operator="equal">
      <formula>"SI"</formula>
    </cfRule>
  </conditionalFormatting>
  <conditionalFormatting sqref="AE5227">
    <cfRule type="cellIs" dxfId="1802" priority="1732" stopIfTrue="1" operator="equal">
      <formula>"VERIFICAR"</formula>
    </cfRule>
    <cfRule type="cellIs" dxfId="1801" priority="1733" stopIfTrue="1" operator="equal">
      <formula>"NO CUMPLE"</formula>
    </cfRule>
    <cfRule type="cellIs" dxfId="1800" priority="1734" stopIfTrue="1" operator="equal">
      <formula>"CUMPLE"</formula>
    </cfRule>
  </conditionalFormatting>
  <conditionalFormatting sqref="AF5227">
    <cfRule type="cellIs" dxfId="1799" priority="1729" stopIfTrue="1" operator="equal">
      <formula>"VERIFICAR"</formula>
    </cfRule>
    <cfRule type="cellIs" dxfId="1798" priority="1730" stopIfTrue="1" operator="equal">
      <formula>"NO CUMPLE"</formula>
    </cfRule>
    <cfRule type="cellIs" dxfId="1797" priority="1731" stopIfTrue="1" operator="equal">
      <formula>"CUMPLE"</formula>
    </cfRule>
  </conditionalFormatting>
  <conditionalFormatting sqref="Y5230">
    <cfRule type="cellIs" dxfId="1796" priority="1728" operator="equal">
      <formula>"VERIFICAR CUADRO"</formula>
    </cfRule>
  </conditionalFormatting>
  <conditionalFormatting sqref="AC5231:AC5236">
    <cfRule type="cellIs" dxfId="1795" priority="1727" stopIfTrue="1" operator="greaterThan">
      <formula>0</formula>
    </cfRule>
  </conditionalFormatting>
  <conditionalFormatting sqref="AC5231:AC5236">
    <cfRule type="cellIs" dxfId="1794" priority="1726" stopIfTrue="1" operator="greaterThan">
      <formula>0</formula>
    </cfRule>
  </conditionalFormatting>
  <conditionalFormatting sqref="AD5231:AD5236">
    <cfRule type="containsText" dxfId="1793" priority="1724" stopIfTrue="1" operator="containsText" text="NO CUMPLE">
      <formula>NOT(ISERROR(SEARCH("NO CUMPLE",AD5231)))</formula>
    </cfRule>
    <cfRule type="containsText" dxfId="1792" priority="1725" stopIfTrue="1" operator="containsText" text="CUMPLE">
      <formula>NOT(ISERROR(SEARCH("CUMPLE",AD5231)))</formula>
    </cfRule>
  </conditionalFormatting>
  <conditionalFormatting sqref="Y5236">
    <cfRule type="containsText" dxfId="1791" priority="1722" stopIfTrue="1" operator="containsText" text="NO CUMPLE">
      <formula>NOT(ISERROR(SEARCH("NO CUMPLE",Y5236)))</formula>
    </cfRule>
    <cfRule type="containsText" dxfId="1790" priority="1723" stopIfTrue="1" operator="containsText" text="CUMPLE">
      <formula>NOT(ISERROR(SEARCH("CUMPLE",Y5236)))</formula>
    </cfRule>
  </conditionalFormatting>
  <conditionalFormatting sqref="AA5213:AA5222">
    <cfRule type="cellIs" dxfId="1789" priority="1720" stopIfTrue="1" operator="equal">
      <formula>"NO APLICA"</formula>
    </cfRule>
    <cfRule type="cellIs" dxfId="1788" priority="1721" stopIfTrue="1" operator="equal">
      <formula>"TERCIARIA"</formula>
    </cfRule>
  </conditionalFormatting>
  <conditionalFormatting sqref="AB5213:AB5222">
    <cfRule type="cellIs" dxfId="1787" priority="1718" stopIfTrue="1" operator="equal">
      <formula>"N/A"</formula>
    </cfRule>
    <cfRule type="cellIs" dxfId="1786" priority="1719" stopIfTrue="1" operator="equal">
      <formula>"NO"</formula>
    </cfRule>
  </conditionalFormatting>
  <conditionalFormatting sqref="M5243:M5252">
    <cfRule type="cellIs" dxfId="1785" priority="1717" stopIfTrue="1" operator="lessThan">
      <formula>0</formula>
    </cfRule>
  </conditionalFormatting>
  <conditionalFormatting sqref="C5245:D5251 B5244:B5251 F5245:I5251 C5244:I5244 B5252:O5252 B5243:R5243 Q5244:R5245 J5244:O5251 Q5246:Q5252 P5244:P5252">
    <cfRule type="cellIs" dxfId="1784" priority="1716" stopIfTrue="1" operator="greaterThan">
      <formula>0</formula>
    </cfRule>
  </conditionalFormatting>
  <conditionalFormatting sqref="C5245:D5251">
    <cfRule type="cellIs" dxfId="1783" priority="1715" stopIfTrue="1" operator="greaterThan">
      <formula>0</formula>
    </cfRule>
  </conditionalFormatting>
  <conditionalFormatting sqref="C5243:M5243 C5245:D5251 F5245:I5251 C5244:I5244 K5244:M5251 J5244:J5252 L5252:M5252">
    <cfRule type="cellIs" dxfId="1782" priority="1714" stopIfTrue="1" operator="greaterThan">
      <formula>0</formula>
    </cfRule>
  </conditionalFormatting>
  <conditionalFormatting sqref="M5243:M5252">
    <cfRule type="cellIs" dxfId="1781" priority="1713" stopIfTrue="1" operator="lessThan">
      <formula>0</formula>
    </cfRule>
  </conditionalFormatting>
  <conditionalFormatting sqref="J5244:J5252 L5244:O5252 C5243:O5243">
    <cfRule type="cellIs" dxfId="1780" priority="1712" stopIfTrue="1" operator="greaterThan">
      <formula>0</formula>
    </cfRule>
  </conditionalFormatting>
  <conditionalFormatting sqref="H5245:I5251 K5245:M5252">
    <cfRule type="cellIs" dxfId="1779" priority="1711" stopIfTrue="1" operator="greaterThan">
      <formula>0</formula>
    </cfRule>
  </conditionalFormatting>
  <conditionalFormatting sqref="I5244">
    <cfRule type="cellIs" dxfId="1778" priority="1710" stopIfTrue="1" operator="greaterThan">
      <formula>0</formula>
    </cfRule>
  </conditionalFormatting>
  <conditionalFormatting sqref="I5252">
    <cfRule type="cellIs" dxfId="1777" priority="1709" stopIfTrue="1" operator="greaterThan">
      <formula>0</formula>
    </cfRule>
  </conditionalFormatting>
  <conditionalFormatting sqref="E5245:E5251">
    <cfRule type="cellIs" dxfId="1776" priority="1708" stopIfTrue="1" operator="greaterThan">
      <formula>0</formula>
    </cfRule>
  </conditionalFormatting>
  <conditionalFormatting sqref="K5260:K5265">
    <cfRule type="containsText" dxfId="1775" priority="1706" stopIfTrue="1" operator="containsText" text="NO CUMPLE">
      <formula>NOT(ISERROR(SEARCH("NO CUMPLE",K5260)))</formula>
    </cfRule>
    <cfRule type="containsText" dxfId="1774" priority="1707" stopIfTrue="1" operator="containsText" text="CUMPLE">
      <formula>NOT(ISERROR(SEARCH("CUMPLE",K5260)))</formula>
    </cfRule>
  </conditionalFormatting>
  <conditionalFormatting sqref="K5266">
    <cfRule type="containsText" dxfId="1773" priority="1704" stopIfTrue="1" operator="containsText" text="NO CUMPLE">
      <formula>NOT(ISERROR(SEARCH("NO CUMPLE",K5266)))</formula>
    </cfRule>
    <cfRule type="containsText" dxfId="1772" priority="1705" stopIfTrue="1" operator="containsText" text="CUMPLE">
      <formula>NOT(ISERROR(SEARCH("CUMPLE",K5266)))</formula>
    </cfRule>
  </conditionalFormatting>
  <conditionalFormatting sqref="Q5259">
    <cfRule type="cellIs" dxfId="1771" priority="1702" operator="greaterThanOrEqual">
      <formula>NUMMINCONT</formula>
    </cfRule>
    <cfRule type="cellIs" dxfId="1770" priority="1703" operator="lessThan">
      <formula>NUMMINCONT</formula>
    </cfRule>
  </conditionalFormatting>
  <conditionalFormatting sqref="W5243:Y5251">
    <cfRule type="cellIs" dxfId="1769" priority="1700" stopIfTrue="1" operator="equal">
      <formula>"NO"</formula>
    </cfRule>
    <cfRule type="cellIs" dxfId="1768" priority="1701" stopIfTrue="1" operator="equal">
      <formula>"SI"</formula>
    </cfRule>
  </conditionalFormatting>
  <conditionalFormatting sqref="R5246">
    <cfRule type="cellIs" dxfId="1767" priority="1699" stopIfTrue="1" operator="greaterThan">
      <formula>0</formula>
    </cfRule>
  </conditionalFormatting>
  <conditionalFormatting sqref="R5247">
    <cfRule type="cellIs" dxfId="1766" priority="1698" stopIfTrue="1" operator="greaterThan">
      <formula>0</formula>
    </cfRule>
  </conditionalFormatting>
  <conditionalFormatting sqref="R5248">
    <cfRule type="cellIs" dxfId="1765" priority="1697" stopIfTrue="1" operator="greaterThan">
      <formula>0</formula>
    </cfRule>
  </conditionalFormatting>
  <conditionalFormatting sqref="R5249">
    <cfRule type="cellIs" dxfId="1764" priority="1696" stopIfTrue="1" operator="greaterThan">
      <formula>0</formula>
    </cfRule>
  </conditionalFormatting>
  <conditionalFormatting sqref="R5250">
    <cfRule type="cellIs" dxfId="1763" priority="1695" stopIfTrue="1" operator="greaterThan">
      <formula>0</formula>
    </cfRule>
  </conditionalFormatting>
  <conditionalFormatting sqref="R5251">
    <cfRule type="cellIs" dxfId="1762" priority="1694" stopIfTrue="1" operator="greaterThan">
      <formula>0</formula>
    </cfRule>
  </conditionalFormatting>
  <conditionalFormatting sqref="R5252">
    <cfRule type="cellIs" dxfId="1761" priority="1693" stopIfTrue="1" operator="greaterThan">
      <formula>0</formula>
    </cfRule>
  </conditionalFormatting>
  <conditionalFormatting sqref="W5243:X5243">
    <cfRule type="cellIs" dxfId="1760" priority="1692" stopIfTrue="1" operator="equal">
      <formula>"NO APLICA"</formula>
    </cfRule>
  </conditionalFormatting>
  <conditionalFormatting sqref="W5244:X5247">
    <cfRule type="cellIs" dxfId="1759" priority="1691" stopIfTrue="1" operator="equal">
      <formula>"NO APLICA"</formula>
    </cfRule>
  </conditionalFormatting>
  <conditionalFormatting sqref="W5244:X5244">
    <cfRule type="cellIs" dxfId="1758" priority="1690" stopIfTrue="1" operator="equal">
      <formula>"NO APLICA"</formula>
    </cfRule>
  </conditionalFormatting>
  <conditionalFormatting sqref="Y5243">
    <cfRule type="cellIs" dxfId="1757" priority="1689" stopIfTrue="1" operator="equal">
      <formula>"NO APLICA"</formula>
    </cfRule>
  </conditionalFormatting>
  <conditionalFormatting sqref="Y5244:Y5247">
    <cfRule type="cellIs" dxfId="1756" priority="1688" stopIfTrue="1" operator="equal">
      <formula>"NO APLICA"</formula>
    </cfRule>
  </conditionalFormatting>
  <conditionalFormatting sqref="W5248:X5251">
    <cfRule type="cellIs" dxfId="1755" priority="1687" stopIfTrue="1" operator="equal">
      <formula>"NO APLICA"</formula>
    </cfRule>
  </conditionalFormatting>
  <conditionalFormatting sqref="W5248:X5248">
    <cfRule type="cellIs" dxfId="1754" priority="1686" stopIfTrue="1" operator="equal">
      <formula>"NO APLICA"</formula>
    </cfRule>
  </conditionalFormatting>
  <conditionalFormatting sqref="Y5248:Y5251">
    <cfRule type="cellIs" dxfId="1753" priority="1685" stopIfTrue="1" operator="equal">
      <formula>"NO APLICA"</formula>
    </cfRule>
  </conditionalFormatting>
  <conditionalFormatting sqref="T5257">
    <cfRule type="cellIs" dxfId="1752" priority="1683" operator="equal">
      <formula>"CUMPLE"</formula>
    </cfRule>
    <cfRule type="cellIs" dxfId="1751" priority="1684" operator="equal">
      <formula>"NO CUMPLE"</formula>
    </cfRule>
  </conditionalFormatting>
  <conditionalFormatting sqref="T5257:T5259">
    <cfRule type="cellIs" dxfId="1750" priority="1682" operator="equal">
      <formula>"VERIFICAR"</formula>
    </cfRule>
  </conditionalFormatting>
  <conditionalFormatting sqref="AD5243:AF5247">
    <cfRule type="cellIs" dxfId="1749" priority="1680" stopIfTrue="1" operator="equal">
      <formula>"NO"</formula>
    </cfRule>
    <cfRule type="cellIs" dxfId="1748" priority="1681" stopIfTrue="1" operator="equal">
      <formula>"SI"</formula>
    </cfRule>
  </conditionalFormatting>
  <conditionalFormatting sqref="AD5248:AF5251">
    <cfRule type="cellIs" dxfId="1747" priority="1678" stopIfTrue="1" operator="equal">
      <formula>"NO"</formula>
    </cfRule>
    <cfRule type="cellIs" dxfId="1746" priority="1679" stopIfTrue="1" operator="equal">
      <formula>"SI"</formula>
    </cfRule>
  </conditionalFormatting>
  <conditionalFormatting sqref="W5252:Y5252">
    <cfRule type="cellIs" dxfId="1745" priority="1676" stopIfTrue="1" operator="equal">
      <formula>"NO"</formula>
    </cfRule>
    <cfRule type="cellIs" dxfId="1744" priority="1677" stopIfTrue="1" operator="equal">
      <formula>"SI"</formula>
    </cfRule>
  </conditionalFormatting>
  <conditionalFormatting sqref="W5252:X5252">
    <cfRule type="cellIs" dxfId="1743" priority="1675" stopIfTrue="1" operator="equal">
      <formula>"NO APLICA"</formula>
    </cfRule>
  </conditionalFormatting>
  <conditionalFormatting sqref="Y5252">
    <cfRule type="cellIs" dxfId="1742" priority="1674" stopIfTrue="1" operator="equal">
      <formula>"NO APLICA"</formula>
    </cfRule>
  </conditionalFormatting>
  <conditionalFormatting sqref="AD5252:AF5252">
    <cfRule type="cellIs" dxfId="1741" priority="1672" stopIfTrue="1" operator="equal">
      <formula>"NO"</formula>
    </cfRule>
    <cfRule type="cellIs" dxfId="1740" priority="1673" stopIfTrue="1" operator="equal">
      <formula>"SI"</formula>
    </cfRule>
  </conditionalFormatting>
  <conditionalFormatting sqref="AE5257">
    <cfRule type="cellIs" dxfId="1739" priority="1669" stopIfTrue="1" operator="equal">
      <formula>"VERIFICAR"</formula>
    </cfRule>
    <cfRule type="cellIs" dxfId="1738" priority="1670" stopIfTrue="1" operator="equal">
      <formula>"NO CUMPLE"</formula>
    </cfRule>
    <cfRule type="cellIs" dxfId="1737" priority="1671" stopIfTrue="1" operator="equal">
      <formula>"CUMPLE"</formula>
    </cfRule>
  </conditionalFormatting>
  <conditionalFormatting sqref="AF5257">
    <cfRule type="cellIs" dxfId="1736" priority="1666" stopIfTrue="1" operator="equal">
      <formula>"VERIFICAR"</formula>
    </cfRule>
    <cfRule type="cellIs" dxfId="1735" priority="1667" stopIfTrue="1" operator="equal">
      <formula>"NO CUMPLE"</formula>
    </cfRule>
    <cfRule type="cellIs" dxfId="1734" priority="1668" stopIfTrue="1" operator="equal">
      <formula>"CUMPLE"</formula>
    </cfRule>
  </conditionalFormatting>
  <conditionalFormatting sqref="Y5260">
    <cfRule type="cellIs" dxfId="1733" priority="1665" operator="equal">
      <formula>"VERIFICAR CUADRO"</formula>
    </cfRule>
  </conditionalFormatting>
  <conditionalFormatting sqref="AC5261:AC5266">
    <cfRule type="cellIs" dxfId="1732" priority="1664" stopIfTrue="1" operator="greaterThan">
      <formula>0</formula>
    </cfRule>
  </conditionalFormatting>
  <conditionalFormatting sqref="AC5261:AC5266">
    <cfRule type="cellIs" dxfId="1731" priority="1663" stopIfTrue="1" operator="greaterThan">
      <formula>0</formula>
    </cfRule>
  </conditionalFormatting>
  <conditionalFormatting sqref="AD5261:AD5266">
    <cfRule type="containsText" dxfId="1730" priority="1661" stopIfTrue="1" operator="containsText" text="NO CUMPLE">
      <formula>NOT(ISERROR(SEARCH("NO CUMPLE",AD5261)))</formula>
    </cfRule>
    <cfRule type="containsText" dxfId="1729" priority="1662" stopIfTrue="1" operator="containsText" text="CUMPLE">
      <formula>NOT(ISERROR(SEARCH("CUMPLE",AD5261)))</formula>
    </cfRule>
  </conditionalFormatting>
  <conditionalFormatting sqref="Y5266">
    <cfRule type="containsText" dxfId="1728" priority="1659" stopIfTrue="1" operator="containsText" text="NO CUMPLE">
      <formula>NOT(ISERROR(SEARCH("NO CUMPLE",Y5266)))</formula>
    </cfRule>
    <cfRule type="containsText" dxfId="1727" priority="1660" stopIfTrue="1" operator="containsText" text="CUMPLE">
      <formula>NOT(ISERROR(SEARCH("CUMPLE",Y5266)))</formula>
    </cfRule>
  </conditionalFormatting>
  <conditionalFormatting sqref="AA5243:AA5252">
    <cfRule type="cellIs" dxfId="1726" priority="1657" stopIfTrue="1" operator="equal">
      <formula>"NO APLICA"</formula>
    </cfRule>
    <cfRule type="cellIs" dxfId="1725" priority="1658" stopIfTrue="1" operator="equal">
      <formula>"TERCIARIA"</formula>
    </cfRule>
  </conditionalFormatting>
  <conditionalFormatting sqref="AB5243:AB5252">
    <cfRule type="cellIs" dxfId="1724" priority="1655" stopIfTrue="1" operator="equal">
      <formula>"N/A"</formula>
    </cfRule>
    <cfRule type="cellIs" dxfId="1723" priority="1656" stopIfTrue="1" operator="equal">
      <formula>"NO"</formula>
    </cfRule>
  </conditionalFormatting>
  <conditionalFormatting sqref="M5273:M5282">
    <cfRule type="cellIs" dxfId="1722" priority="1654" stopIfTrue="1" operator="lessThan">
      <formula>0</formula>
    </cfRule>
  </conditionalFormatting>
  <conditionalFormatting sqref="C5275:D5281 B5274:B5281 F5275:I5281 C5274:I5274 B5282:O5282 B5273:R5273 Q5274:R5275 J5274:O5281 Q5276:Q5282 P5274:P5282">
    <cfRule type="cellIs" dxfId="1721" priority="1653" stopIfTrue="1" operator="greaterThan">
      <formula>0</formula>
    </cfRule>
  </conditionalFormatting>
  <conditionalFormatting sqref="C5275:D5281">
    <cfRule type="cellIs" dxfId="1720" priority="1652" stopIfTrue="1" operator="greaterThan">
      <formula>0</formula>
    </cfRule>
  </conditionalFormatting>
  <conditionalFormatting sqref="C5273:M5273 C5275:D5281 F5275:I5281 C5274:I5274 K5274:M5281 J5274:J5282 L5282:M5282">
    <cfRule type="cellIs" dxfId="1719" priority="1651" stopIfTrue="1" operator="greaterThan">
      <formula>0</formula>
    </cfRule>
  </conditionalFormatting>
  <conditionalFormatting sqref="M5273:M5282">
    <cfRule type="cellIs" dxfId="1718" priority="1650" stopIfTrue="1" operator="lessThan">
      <formula>0</formula>
    </cfRule>
  </conditionalFormatting>
  <conditionalFormatting sqref="J5274:J5282 L5274:O5282 C5273:O5273">
    <cfRule type="cellIs" dxfId="1717" priority="1649" stopIfTrue="1" operator="greaterThan">
      <formula>0</formula>
    </cfRule>
  </conditionalFormatting>
  <conditionalFormatting sqref="H5275:I5281 K5275:M5282">
    <cfRule type="cellIs" dxfId="1716" priority="1648" stopIfTrue="1" operator="greaterThan">
      <formula>0</formula>
    </cfRule>
  </conditionalFormatting>
  <conditionalFormatting sqref="I5274">
    <cfRule type="cellIs" dxfId="1715" priority="1647" stopIfTrue="1" operator="greaterThan">
      <formula>0</formula>
    </cfRule>
  </conditionalFormatting>
  <conditionalFormatting sqref="I5282">
    <cfRule type="cellIs" dxfId="1714" priority="1646" stopIfTrue="1" operator="greaterThan">
      <formula>0</formula>
    </cfRule>
  </conditionalFormatting>
  <conditionalFormatting sqref="E5275:E5281">
    <cfRule type="cellIs" dxfId="1713" priority="1645" stopIfTrue="1" operator="greaterThan">
      <formula>0</formula>
    </cfRule>
  </conditionalFormatting>
  <conditionalFormatting sqref="K5290:K5295">
    <cfRule type="containsText" dxfId="1712" priority="1643" stopIfTrue="1" operator="containsText" text="NO CUMPLE">
      <formula>NOT(ISERROR(SEARCH("NO CUMPLE",K5290)))</formula>
    </cfRule>
    <cfRule type="containsText" dxfId="1711" priority="1644" stopIfTrue="1" operator="containsText" text="CUMPLE">
      <formula>NOT(ISERROR(SEARCH("CUMPLE",K5290)))</formula>
    </cfRule>
  </conditionalFormatting>
  <conditionalFormatting sqref="K5296">
    <cfRule type="containsText" dxfId="1710" priority="1641" stopIfTrue="1" operator="containsText" text="NO CUMPLE">
      <formula>NOT(ISERROR(SEARCH("NO CUMPLE",K5296)))</formula>
    </cfRule>
    <cfRule type="containsText" dxfId="1709" priority="1642" stopIfTrue="1" operator="containsText" text="CUMPLE">
      <formula>NOT(ISERROR(SEARCH("CUMPLE",K5296)))</formula>
    </cfRule>
  </conditionalFormatting>
  <conditionalFormatting sqref="Q5289">
    <cfRule type="cellIs" dxfId="1708" priority="1639" operator="greaterThanOrEqual">
      <formula>NUMMINCONT</formula>
    </cfRule>
    <cfRule type="cellIs" dxfId="1707" priority="1640" operator="lessThan">
      <formula>NUMMINCONT</formula>
    </cfRule>
  </conditionalFormatting>
  <conditionalFormatting sqref="W5273:Y5281">
    <cfRule type="cellIs" dxfId="1706" priority="1637" stopIfTrue="1" operator="equal">
      <formula>"NO"</formula>
    </cfRule>
    <cfRule type="cellIs" dxfId="1705" priority="1638" stopIfTrue="1" operator="equal">
      <formula>"SI"</formula>
    </cfRule>
  </conditionalFormatting>
  <conditionalFormatting sqref="R5276">
    <cfRule type="cellIs" dxfId="1704" priority="1636" stopIfTrue="1" operator="greaterThan">
      <formula>0</formula>
    </cfRule>
  </conditionalFormatting>
  <conditionalFormatting sqref="R5277">
    <cfRule type="cellIs" dxfId="1703" priority="1635" stopIfTrue="1" operator="greaterThan">
      <formula>0</formula>
    </cfRule>
  </conditionalFormatting>
  <conditionalFormatting sqref="R5278">
    <cfRule type="cellIs" dxfId="1702" priority="1634" stopIfTrue="1" operator="greaterThan">
      <formula>0</formula>
    </cfRule>
  </conditionalFormatting>
  <conditionalFormatting sqref="R5279">
    <cfRule type="cellIs" dxfId="1701" priority="1633" stopIfTrue="1" operator="greaterThan">
      <formula>0</formula>
    </cfRule>
  </conditionalFormatting>
  <conditionalFormatting sqref="R5280">
    <cfRule type="cellIs" dxfId="1700" priority="1632" stopIfTrue="1" operator="greaterThan">
      <formula>0</formula>
    </cfRule>
  </conditionalFormatting>
  <conditionalFormatting sqref="R5281">
    <cfRule type="cellIs" dxfId="1699" priority="1631" stopIfTrue="1" operator="greaterThan">
      <formula>0</formula>
    </cfRule>
  </conditionalFormatting>
  <conditionalFormatting sqref="R5282">
    <cfRule type="cellIs" dxfId="1698" priority="1630" stopIfTrue="1" operator="greaterThan">
      <formula>0</formula>
    </cfRule>
  </conditionalFormatting>
  <conditionalFormatting sqref="W5273:X5273">
    <cfRule type="cellIs" dxfId="1697" priority="1629" stopIfTrue="1" operator="equal">
      <formula>"NO APLICA"</formula>
    </cfRule>
  </conditionalFormatting>
  <conditionalFormatting sqref="W5274:X5277">
    <cfRule type="cellIs" dxfId="1696" priority="1628" stopIfTrue="1" operator="equal">
      <formula>"NO APLICA"</formula>
    </cfRule>
  </conditionalFormatting>
  <conditionalFormatting sqref="W5274:X5274">
    <cfRule type="cellIs" dxfId="1695" priority="1627" stopIfTrue="1" operator="equal">
      <formula>"NO APLICA"</formula>
    </cfRule>
  </conditionalFormatting>
  <conditionalFormatting sqref="Y5273">
    <cfRule type="cellIs" dxfId="1694" priority="1626" stopIfTrue="1" operator="equal">
      <formula>"NO APLICA"</formula>
    </cfRule>
  </conditionalFormatting>
  <conditionalFormatting sqref="Y5274:Y5277">
    <cfRule type="cellIs" dxfId="1693" priority="1625" stopIfTrue="1" operator="equal">
      <formula>"NO APLICA"</formula>
    </cfRule>
  </conditionalFormatting>
  <conditionalFormatting sqref="W5278:X5281">
    <cfRule type="cellIs" dxfId="1692" priority="1624" stopIfTrue="1" operator="equal">
      <formula>"NO APLICA"</formula>
    </cfRule>
  </conditionalFormatting>
  <conditionalFormatting sqref="W5278:X5278">
    <cfRule type="cellIs" dxfId="1691" priority="1623" stopIfTrue="1" operator="equal">
      <formula>"NO APLICA"</formula>
    </cfRule>
  </conditionalFormatting>
  <conditionalFormatting sqref="Y5278:Y5281">
    <cfRule type="cellIs" dxfId="1690" priority="1622" stopIfTrue="1" operator="equal">
      <formula>"NO APLICA"</formula>
    </cfRule>
  </conditionalFormatting>
  <conditionalFormatting sqref="T5287">
    <cfRule type="cellIs" dxfId="1689" priority="1620" operator="equal">
      <formula>"CUMPLE"</formula>
    </cfRule>
    <cfRule type="cellIs" dxfId="1688" priority="1621" operator="equal">
      <formula>"NO CUMPLE"</formula>
    </cfRule>
  </conditionalFormatting>
  <conditionalFormatting sqref="T5287:T5289">
    <cfRule type="cellIs" dxfId="1687" priority="1619" operator="equal">
      <formula>"VERIFICAR"</formula>
    </cfRule>
  </conditionalFormatting>
  <conditionalFormatting sqref="AD5273:AF5277">
    <cfRule type="cellIs" dxfId="1686" priority="1617" stopIfTrue="1" operator="equal">
      <formula>"NO"</formula>
    </cfRule>
    <cfRule type="cellIs" dxfId="1685" priority="1618" stopIfTrue="1" operator="equal">
      <formula>"SI"</formula>
    </cfRule>
  </conditionalFormatting>
  <conditionalFormatting sqref="AD5278:AF5281">
    <cfRule type="cellIs" dxfId="1684" priority="1615" stopIfTrue="1" operator="equal">
      <formula>"NO"</formula>
    </cfRule>
    <cfRule type="cellIs" dxfId="1683" priority="1616" stopIfTrue="1" operator="equal">
      <formula>"SI"</formula>
    </cfRule>
  </conditionalFormatting>
  <conditionalFormatting sqref="W5282:Y5282">
    <cfRule type="cellIs" dxfId="1682" priority="1613" stopIfTrue="1" operator="equal">
      <formula>"NO"</formula>
    </cfRule>
    <cfRule type="cellIs" dxfId="1681" priority="1614" stopIfTrue="1" operator="equal">
      <formula>"SI"</formula>
    </cfRule>
  </conditionalFormatting>
  <conditionalFormatting sqref="W5282:X5282">
    <cfRule type="cellIs" dxfId="1680" priority="1612" stopIfTrue="1" operator="equal">
      <formula>"NO APLICA"</formula>
    </cfRule>
  </conditionalFormatting>
  <conditionalFormatting sqref="Y5282">
    <cfRule type="cellIs" dxfId="1679" priority="1611" stopIfTrue="1" operator="equal">
      <formula>"NO APLICA"</formula>
    </cfRule>
  </conditionalFormatting>
  <conditionalFormatting sqref="AD5282:AF5282">
    <cfRule type="cellIs" dxfId="1678" priority="1609" stopIfTrue="1" operator="equal">
      <formula>"NO"</formula>
    </cfRule>
    <cfRule type="cellIs" dxfId="1677" priority="1610" stopIfTrue="1" operator="equal">
      <formula>"SI"</formula>
    </cfRule>
  </conditionalFormatting>
  <conditionalFormatting sqref="AE5287">
    <cfRule type="cellIs" dxfId="1676" priority="1606" stopIfTrue="1" operator="equal">
      <formula>"VERIFICAR"</formula>
    </cfRule>
    <cfRule type="cellIs" dxfId="1675" priority="1607" stopIfTrue="1" operator="equal">
      <formula>"NO CUMPLE"</formula>
    </cfRule>
    <cfRule type="cellIs" dxfId="1674" priority="1608" stopIfTrue="1" operator="equal">
      <formula>"CUMPLE"</formula>
    </cfRule>
  </conditionalFormatting>
  <conditionalFormatting sqref="AF5287">
    <cfRule type="cellIs" dxfId="1673" priority="1603" stopIfTrue="1" operator="equal">
      <formula>"VERIFICAR"</formula>
    </cfRule>
    <cfRule type="cellIs" dxfId="1672" priority="1604" stopIfTrue="1" operator="equal">
      <formula>"NO CUMPLE"</formula>
    </cfRule>
    <cfRule type="cellIs" dxfId="1671" priority="1605" stopIfTrue="1" operator="equal">
      <formula>"CUMPLE"</formula>
    </cfRule>
  </conditionalFormatting>
  <conditionalFormatting sqref="Y5290">
    <cfRule type="cellIs" dxfId="1670" priority="1602" operator="equal">
      <formula>"VERIFICAR CUADRO"</formula>
    </cfRule>
  </conditionalFormatting>
  <conditionalFormatting sqref="AC5291:AC5296">
    <cfRule type="cellIs" dxfId="1669" priority="1601" stopIfTrue="1" operator="greaterThan">
      <formula>0</formula>
    </cfRule>
  </conditionalFormatting>
  <conditionalFormatting sqref="AC5291:AC5296">
    <cfRule type="cellIs" dxfId="1668" priority="1600" stopIfTrue="1" operator="greaterThan">
      <formula>0</formula>
    </cfRule>
  </conditionalFormatting>
  <conditionalFormatting sqref="AD5291:AD5296">
    <cfRule type="containsText" dxfId="1667" priority="1598" stopIfTrue="1" operator="containsText" text="NO CUMPLE">
      <formula>NOT(ISERROR(SEARCH("NO CUMPLE",AD5291)))</formula>
    </cfRule>
    <cfRule type="containsText" dxfId="1666" priority="1599" stopIfTrue="1" operator="containsText" text="CUMPLE">
      <formula>NOT(ISERROR(SEARCH("CUMPLE",AD5291)))</formula>
    </cfRule>
  </conditionalFormatting>
  <conditionalFormatting sqref="Y5296">
    <cfRule type="containsText" dxfId="1665" priority="1596" stopIfTrue="1" operator="containsText" text="NO CUMPLE">
      <formula>NOT(ISERROR(SEARCH("NO CUMPLE",Y5296)))</formula>
    </cfRule>
    <cfRule type="containsText" dxfId="1664" priority="1597" stopIfTrue="1" operator="containsText" text="CUMPLE">
      <formula>NOT(ISERROR(SEARCH("CUMPLE",Y5296)))</formula>
    </cfRule>
  </conditionalFormatting>
  <conditionalFormatting sqref="AA5273:AA5282">
    <cfRule type="cellIs" dxfId="1663" priority="1594" stopIfTrue="1" operator="equal">
      <formula>"NO APLICA"</formula>
    </cfRule>
    <cfRule type="cellIs" dxfId="1662" priority="1595" stopIfTrue="1" operator="equal">
      <formula>"TERCIARIA"</formula>
    </cfRule>
  </conditionalFormatting>
  <conditionalFormatting sqref="AB5273:AB5282">
    <cfRule type="cellIs" dxfId="1661" priority="1592" stopIfTrue="1" operator="equal">
      <formula>"N/A"</formula>
    </cfRule>
    <cfRule type="cellIs" dxfId="1660" priority="1593" stopIfTrue="1" operator="equal">
      <formula>"NO"</formula>
    </cfRule>
  </conditionalFormatting>
  <conditionalFormatting sqref="M5303:M5312">
    <cfRule type="cellIs" dxfId="1659" priority="1591" stopIfTrue="1" operator="lessThan">
      <formula>0</formula>
    </cfRule>
  </conditionalFormatting>
  <conditionalFormatting sqref="C5305:D5311 B5304:B5311 F5305:I5311 C5304:I5304 B5312:O5312 B5303:R5303 Q5304:R5305 J5304:O5311 Q5306:Q5312 P5304:P5312">
    <cfRule type="cellIs" dxfId="1658" priority="1590" stopIfTrue="1" operator="greaterThan">
      <formula>0</formula>
    </cfRule>
  </conditionalFormatting>
  <conditionalFormatting sqref="C5305:D5311">
    <cfRule type="cellIs" dxfId="1657" priority="1589" stopIfTrue="1" operator="greaterThan">
      <formula>0</formula>
    </cfRule>
  </conditionalFormatting>
  <conditionalFormatting sqref="C5303:M5303 C5305:D5311 F5305:I5311 C5304:I5304 K5304:M5311 J5304:J5312 L5312:M5312">
    <cfRule type="cellIs" dxfId="1656" priority="1588" stopIfTrue="1" operator="greaterThan">
      <formula>0</formula>
    </cfRule>
  </conditionalFormatting>
  <conditionalFormatting sqref="M5303:M5312">
    <cfRule type="cellIs" dxfId="1655" priority="1587" stopIfTrue="1" operator="lessThan">
      <formula>0</formula>
    </cfRule>
  </conditionalFormatting>
  <conditionalFormatting sqref="J5304:J5312 L5304:O5312 C5303:O5303">
    <cfRule type="cellIs" dxfId="1654" priority="1586" stopIfTrue="1" operator="greaterThan">
      <formula>0</formula>
    </cfRule>
  </conditionalFormatting>
  <conditionalFormatting sqref="H5305:I5311 K5305:M5312">
    <cfRule type="cellIs" dxfId="1653" priority="1585" stopIfTrue="1" operator="greaterThan">
      <formula>0</formula>
    </cfRule>
  </conditionalFormatting>
  <conditionalFormatting sqref="I5304">
    <cfRule type="cellIs" dxfId="1652" priority="1584" stopIfTrue="1" operator="greaterThan">
      <formula>0</formula>
    </cfRule>
  </conditionalFormatting>
  <conditionalFormatting sqref="I5312">
    <cfRule type="cellIs" dxfId="1651" priority="1583" stopIfTrue="1" operator="greaterThan">
      <formula>0</formula>
    </cfRule>
  </conditionalFormatting>
  <conditionalFormatting sqref="E5305:E5311">
    <cfRule type="cellIs" dxfId="1650" priority="1582" stopIfTrue="1" operator="greaterThan">
      <formula>0</formula>
    </cfRule>
  </conditionalFormatting>
  <conditionalFormatting sqref="K5320:K5325">
    <cfRule type="containsText" dxfId="1649" priority="1580" stopIfTrue="1" operator="containsText" text="NO CUMPLE">
      <formula>NOT(ISERROR(SEARCH("NO CUMPLE",K5320)))</formula>
    </cfRule>
    <cfRule type="containsText" dxfId="1648" priority="1581" stopIfTrue="1" operator="containsText" text="CUMPLE">
      <formula>NOT(ISERROR(SEARCH("CUMPLE",K5320)))</formula>
    </cfRule>
  </conditionalFormatting>
  <conditionalFormatting sqref="K5326">
    <cfRule type="containsText" dxfId="1647" priority="1578" stopIfTrue="1" operator="containsText" text="NO CUMPLE">
      <formula>NOT(ISERROR(SEARCH("NO CUMPLE",K5326)))</formula>
    </cfRule>
    <cfRule type="containsText" dxfId="1646" priority="1579" stopIfTrue="1" operator="containsText" text="CUMPLE">
      <formula>NOT(ISERROR(SEARCH("CUMPLE",K5326)))</formula>
    </cfRule>
  </conditionalFormatting>
  <conditionalFormatting sqref="Q5319">
    <cfRule type="cellIs" dxfId="1645" priority="1576" operator="greaterThanOrEqual">
      <formula>NUMMINCONT</formula>
    </cfRule>
    <cfRule type="cellIs" dxfId="1644" priority="1577" operator="lessThan">
      <formula>NUMMINCONT</formula>
    </cfRule>
  </conditionalFormatting>
  <conditionalFormatting sqref="W5303:Y5311">
    <cfRule type="cellIs" dxfId="1643" priority="1574" stopIfTrue="1" operator="equal">
      <formula>"NO"</formula>
    </cfRule>
    <cfRule type="cellIs" dxfId="1642" priority="1575" stopIfTrue="1" operator="equal">
      <formula>"SI"</formula>
    </cfRule>
  </conditionalFormatting>
  <conditionalFormatting sqref="R5306">
    <cfRule type="cellIs" dxfId="1641" priority="1573" stopIfTrue="1" operator="greaterThan">
      <formula>0</formula>
    </cfRule>
  </conditionalFormatting>
  <conditionalFormatting sqref="R5307">
    <cfRule type="cellIs" dxfId="1640" priority="1572" stopIfTrue="1" operator="greaterThan">
      <formula>0</formula>
    </cfRule>
  </conditionalFormatting>
  <conditionalFormatting sqref="R5308">
    <cfRule type="cellIs" dxfId="1639" priority="1571" stopIfTrue="1" operator="greaterThan">
      <formula>0</formula>
    </cfRule>
  </conditionalFormatting>
  <conditionalFormatting sqref="R5309">
    <cfRule type="cellIs" dxfId="1638" priority="1570" stopIfTrue="1" operator="greaterThan">
      <formula>0</formula>
    </cfRule>
  </conditionalFormatting>
  <conditionalFormatting sqref="R5310">
    <cfRule type="cellIs" dxfId="1637" priority="1569" stopIfTrue="1" operator="greaterThan">
      <formula>0</formula>
    </cfRule>
  </conditionalFormatting>
  <conditionalFormatting sqref="R5311">
    <cfRule type="cellIs" dxfId="1636" priority="1568" stopIfTrue="1" operator="greaterThan">
      <formula>0</formula>
    </cfRule>
  </conditionalFormatting>
  <conditionalFormatting sqref="R5312">
    <cfRule type="cellIs" dxfId="1635" priority="1567" stopIfTrue="1" operator="greaterThan">
      <formula>0</formula>
    </cfRule>
  </conditionalFormatting>
  <conditionalFormatting sqref="W5303:X5303">
    <cfRule type="cellIs" dxfId="1634" priority="1566" stopIfTrue="1" operator="equal">
      <formula>"NO APLICA"</formula>
    </cfRule>
  </conditionalFormatting>
  <conditionalFormatting sqref="W5304:X5307">
    <cfRule type="cellIs" dxfId="1633" priority="1565" stopIfTrue="1" operator="equal">
      <formula>"NO APLICA"</formula>
    </cfRule>
  </conditionalFormatting>
  <conditionalFormatting sqref="W5304:X5304">
    <cfRule type="cellIs" dxfId="1632" priority="1564" stopIfTrue="1" operator="equal">
      <formula>"NO APLICA"</formula>
    </cfRule>
  </conditionalFormatting>
  <conditionalFormatting sqref="Y5303">
    <cfRule type="cellIs" dxfId="1631" priority="1563" stopIfTrue="1" operator="equal">
      <formula>"NO APLICA"</formula>
    </cfRule>
  </conditionalFormatting>
  <conditionalFormatting sqref="Y5304:Y5307">
    <cfRule type="cellIs" dxfId="1630" priority="1562" stopIfTrue="1" operator="equal">
      <formula>"NO APLICA"</formula>
    </cfRule>
  </conditionalFormatting>
  <conditionalFormatting sqref="W5308:X5311">
    <cfRule type="cellIs" dxfId="1629" priority="1561" stopIfTrue="1" operator="equal">
      <formula>"NO APLICA"</formula>
    </cfRule>
  </conditionalFormatting>
  <conditionalFormatting sqref="W5308:X5308">
    <cfRule type="cellIs" dxfId="1628" priority="1560" stopIfTrue="1" operator="equal">
      <formula>"NO APLICA"</formula>
    </cfRule>
  </conditionalFormatting>
  <conditionalFormatting sqref="Y5308:Y5311">
    <cfRule type="cellIs" dxfId="1627" priority="1559" stopIfTrue="1" operator="equal">
      <formula>"NO APLICA"</formula>
    </cfRule>
  </conditionalFormatting>
  <conditionalFormatting sqref="T5317">
    <cfRule type="cellIs" dxfId="1626" priority="1557" operator="equal">
      <formula>"CUMPLE"</formula>
    </cfRule>
    <cfRule type="cellIs" dxfId="1625" priority="1558" operator="equal">
      <formula>"NO CUMPLE"</formula>
    </cfRule>
  </conditionalFormatting>
  <conditionalFormatting sqref="T5317:T5319">
    <cfRule type="cellIs" dxfId="1624" priority="1556" operator="equal">
      <formula>"VERIFICAR"</formula>
    </cfRule>
  </conditionalFormatting>
  <conditionalFormatting sqref="AD5303:AF5307">
    <cfRule type="cellIs" dxfId="1623" priority="1554" stopIfTrue="1" operator="equal">
      <formula>"NO"</formula>
    </cfRule>
    <cfRule type="cellIs" dxfId="1622" priority="1555" stopIfTrue="1" operator="equal">
      <formula>"SI"</formula>
    </cfRule>
  </conditionalFormatting>
  <conditionalFormatting sqref="AD5308:AF5311">
    <cfRule type="cellIs" dxfId="1621" priority="1552" stopIfTrue="1" operator="equal">
      <formula>"NO"</formula>
    </cfRule>
    <cfRule type="cellIs" dxfId="1620" priority="1553" stopIfTrue="1" operator="equal">
      <formula>"SI"</formula>
    </cfRule>
  </conditionalFormatting>
  <conditionalFormatting sqref="W5312:Y5312">
    <cfRule type="cellIs" dxfId="1619" priority="1550" stopIfTrue="1" operator="equal">
      <formula>"NO"</formula>
    </cfRule>
    <cfRule type="cellIs" dxfId="1618" priority="1551" stopIfTrue="1" operator="equal">
      <formula>"SI"</formula>
    </cfRule>
  </conditionalFormatting>
  <conditionalFormatting sqref="W5312:X5312">
    <cfRule type="cellIs" dxfId="1617" priority="1549" stopIfTrue="1" operator="equal">
      <formula>"NO APLICA"</formula>
    </cfRule>
  </conditionalFormatting>
  <conditionalFormatting sqref="Y5312">
    <cfRule type="cellIs" dxfId="1616" priority="1548" stopIfTrue="1" operator="equal">
      <formula>"NO APLICA"</formula>
    </cfRule>
  </conditionalFormatting>
  <conditionalFormatting sqref="AD5312:AF5312">
    <cfRule type="cellIs" dxfId="1615" priority="1546" stopIfTrue="1" operator="equal">
      <formula>"NO"</formula>
    </cfRule>
    <cfRule type="cellIs" dxfId="1614" priority="1547" stopIfTrue="1" operator="equal">
      <formula>"SI"</formula>
    </cfRule>
  </conditionalFormatting>
  <conditionalFormatting sqref="AE5317">
    <cfRule type="cellIs" dxfId="1613" priority="1543" stopIfTrue="1" operator="equal">
      <formula>"VERIFICAR"</formula>
    </cfRule>
    <cfRule type="cellIs" dxfId="1612" priority="1544" stopIfTrue="1" operator="equal">
      <formula>"NO CUMPLE"</formula>
    </cfRule>
    <cfRule type="cellIs" dxfId="1611" priority="1545" stopIfTrue="1" operator="equal">
      <formula>"CUMPLE"</formula>
    </cfRule>
  </conditionalFormatting>
  <conditionalFormatting sqref="AF5317">
    <cfRule type="cellIs" dxfId="1610" priority="1540" stopIfTrue="1" operator="equal">
      <formula>"VERIFICAR"</formula>
    </cfRule>
    <cfRule type="cellIs" dxfId="1609" priority="1541" stopIfTrue="1" operator="equal">
      <formula>"NO CUMPLE"</formula>
    </cfRule>
    <cfRule type="cellIs" dxfId="1608" priority="1542" stopIfTrue="1" operator="equal">
      <formula>"CUMPLE"</formula>
    </cfRule>
  </conditionalFormatting>
  <conditionalFormatting sqref="Y5320">
    <cfRule type="cellIs" dxfId="1607" priority="1539" operator="equal">
      <formula>"VERIFICAR CUADRO"</formula>
    </cfRule>
  </conditionalFormatting>
  <conditionalFormatting sqref="AC5321:AC5326">
    <cfRule type="cellIs" dxfId="1606" priority="1538" stopIfTrue="1" operator="greaterThan">
      <formula>0</formula>
    </cfRule>
  </conditionalFormatting>
  <conditionalFormatting sqref="AC5321:AC5326">
    <cfRule type="cellIs" dxfId="1605" priority="1537" stopIfTrue="1" operator="greaterThan">
      <formula>0</formula>
    </cfRule>
  </conditionalFormatting>
  <conditionalFormatting sqref="AD5321:AD5326">
    <cfRule type="containsText" dxfId="1604" priority="1535" stopIfTrue="1" operator="containsText" text="NO CUMPLE">
      <formula>NOT(ISERROR(SEARCH("NO CUMPLE",AD5321)))</formula>
    </cfRule>
    <cfRule type="containsText" dxfId="1603" priority="1536" stopIfTrue="1" operator="containsText" text="CUMPLE">
      <formula>NOT(ISERROR(SEARCH("CUMPLE",AD5321)))</formula>
    </cfRule>
  </conditionalFormatting>
  <conditionalFormatting sqref="Y5326">
    <cfRule type="containsText" dxfId="1602" priority="1533" stopIfTrue="1" operator="containsText" text="NO CUMPLE">
      <formula>NOT(ISERROR(SEARCH("NO CUMPLE",Y5326)))</formula>
    </cfRule>
    <cfRule type="containsText" dxfId="1601" priority="1534" stopIfTrue="1" operator="containsText" text="CUMPLE">
      <formula>NOT(ISERROR(SEARCH("CUMPLE",Y5326)))</formula>
    </cfRule>
  </conditionalFormatting>
  <conditionalFormatting sqref="AA5303:AA5312">
    <cfRule type="cellIs" dxfId="1600" priority="1531" stopIfTrue="1" operator="equal">
      <formula>"NO APLICA"</formula>
    </cfRule>
    <cfRule type="cellIs" dxfId="1599" priority="1532" stopIfTrue="1" operator="equal">
      <formula>"TERCIARIA"</formula>
    </cfRule>
  </conditionalFormatting>
  <conditionalFormatting sqref="AB5303:AB5312">
    <cfRule type="cellIs" dxfId="1598" priority="1529" stopIfTrue="1" operator="equal">
      <formula>"N/A"</formula>
    </cfRule>
    <cfRule type="cellIs" dxfId="1597" priority="1530" stopIfTrue="1" operator="equal">
      <formula>"NO"</formula>
    </cfRule>
  </conditionalFormatting>
  <conditionalFormatting sqref="M5333:M5342">
    <cfRule type="cellIs" dxfId="1596" priority="1528" stopIfTrue="1" operator="lessThan">
      <formula>0</formula>
    </cfRule>
  </conditionalFormatting>
  <conditionalFormatting sqref="C5335:D5341 B5334:B5341 F5335:I5341 C5334:I5334 B5342:O5342 B5333:R5333 Q5334:R5335 J5334:O5341 Q5336:Q5342 P5334:P5342">
    <cfRule type="cellIs" dxfId="1595" priority="1527" stopIfTrue="1" operator="greaterThan">
      <formula>0</formula>
    </cfRule>
  </conditionalFormatting>
  <conditionalFormatting sqref="C5335:D5341">
    <cfRule type="cellIs" dxfId="1594" priority="1526" stopIfTrue="1" operator="greaterThan">
      <formula>0</formula>
    </cfRule>
  </conditionalFormatting>
  <conditionalFormatting sqref="C5333:M5333 C5335:D5341 F5335:I5341 C5334:I5334 K5334:M5341 J5334:J5342 L5342:M5342">
    <cfRule type="cellIs" dxfId="1593" priority="1525" stopIfTrue="1" operator="greaterThan">
      <formula>0</formula>
    </cfRule>
  </conditionalFormatting>
  <conditionalFormatting sqref="M5333:M5342">
    <cfRule type="cellIs" dxfId="1592" priority="1524" stopIfTrue="1" operator="lessThan">
      <formula>0</formula>
    </cfRule>
  </conditionalFormatting>
  <conditionalFormatting sqref="J5334:J5342 L5334:O5342 C5333:O5333">
    <cfRule type="cellIs" dxfId="1591" priority="1523" stopIfTrue="1" operator="greaterThan">
      <formula>0</formula>
    </cfRule>
  </conditionalFormatting>
  <conditionalFormatting sqref="H5335:I5341 K5335:M5342">
    <cfRule type="cellIs" dxfId="1590" priority="1522" stopIfTrue="1" operator="greaterThan">
      <formula>0</formula>
    </cfRule>
  </conditionalFormatting>
  <conditionalFormatting sqref="I5334">
    <cfRule type="cellIs" dxfId="1589" priority="1521" stopIfTrue="1" operator="greaterThan">
      <formula>0</formula>
    </cfRule>
  </conditionalFormatting>
  <conditionalFormatting sqref="I5342">
    <cfRule type="cellIs" dxfId="1588" priority="1520" stopIfTrue="1" operator="greaterThan">
      <formula>0</formula>
    </cfRule>
  </conditionalFormatting>
  <conditionalFormatting sqref="E5335:E5341">
    <cfRule type="cellIs" dxfId="1587" priority="1519" stopIfTrue="1" operator="greaterThan">
      <formula>0</formula>
    </cfRule>
  </conditionalFormatting>
  <conditionalFormatting sqref="K5350:K5355">
    <cfRule type="containsText" dxfId="1586" priority="1517" stopIfTrue="1" operator="containsText" text="NO CUMPLE">
      <formula>NOT(ISERROR(SEARCH("NO CUMPLE",K5350)))</formula>
    </cfRule>
    <cfRule type="containsText" dxfId="1585" priority="1518" stopIfTrue="1" operator="containsText" text="CUMPLE">
      <formula>NOT(ISERROR(SEARCH("CUMPLE",K5350)))</formula>
    </cfRule>
  </conditionalFormatting>
  <conditionalFormatting sqref="K5356">
    <cfRule type="containsText" dxfId="1584" priority="1515" stopIfTrue="1" operator="containsText" text="NO CUMPLE">
      <formula>NOT(ISERROR(SEARCH("NO CUMPLE",K5356)))</formula>
    </cfRule>
    <cfRule type="containsText" dxfId="1583" priority="1516" stopIfTrue="1" operator="containsText" text="CUMPLE">
      <formula>NOT(ISERROR(SEARCH("CUMPLE",K5356)))</formula>
    </cfRule>
  </conditionalFormatting>
  <conditionalFormatting sqref="Q5349">
    <cfRule type="cellIs" dxfId="1582" priority="1513" operator="greaterThanOrEqual">
      <formula>NUMMINCONT</formula>
    </cfRule>
    <cfRule type="cellIs" dxfId="1581" priority="1514" operator="lessThan">
      <formula>NUMMINCONT</formula>
    </cfRule>
  </conditionalFormatting>
  <conditionalFormatting sqref="W5333:Y5341">
    <cfRule type="cellIs" dxfId="1580" priority="1511" stopIfTrue="1" operator="equal">
      <formula>"NO"</formula>
    </cfRule>
    <cfRule type="cellIs" dxfId="1579" priority="1512" stopIfTrue="1" operator="equal">
      <formula>"SI"</formula>
    </cfRule>
  </conditionalFormatting>
  <conditionalFormatting sqref="R5336">
    <cfRule type="cellIs" dxfId="1578" priority="1510" stopIfTrue="1" operator="greaterThan">
      <formula>0</formula>
    </cfRule>
  </conditionalFormatting>
  <conditionalFormatting sqref="R5337">
    <cfRule type="cellIs" dxfId="1577" priority="1509" stopIfTrue="1" operator="greaterThan">
      <formula>0</formula>
    </cfRule>
  </conditionalFormatting>
  <conditionalFormatting sqref="R5338">
    <cfRule type="cellIs" dxfId="1576" priority="1508" stopIfTrue="1" operator="greaterThan">
      <formula>0</formula>
    </cfRule>
  </conditionalFormatting>
  <conditionalFormatting sqref="R5339">
    <cfRule type="cellIs" dxfId="1575" priority="1507" stopIfTrue="1" operator="greaterThan">
      <formula>0</formula>
    </cfRule>
  </conditionalFormatting>
  <conditionalFormatting sqref="R5340">
    <cfRule type="cellIs" dxfId="1574" priority="1506" stopIfTrue="1" operator="greaterThan">
      <formula>0</formula>
    </cfRule>
  </conditionalFormatting>
  <conditionalFormatting sqref="R5341">
    <cfRule type="cellIs" dxfId="1573" priority="1505" stopIfTrue="1" operator="greaterThan">
      <formula>0</formula>
    </cfRule>
  </conditionalFormatting>
  <conditionalFormatting sqref="R5342">
    <cfRule type="cellIs" dxfId="1572" priority="1504" stopIfTrue="1" operator="greaterThan">
      <formula>0</formula>
    </cfRule>
  </conditionalFormatting>
  <conditionalFormatting sqref="W5333:X5333">
    <cfRule type="cellIs" dxfId="1571" priority="1503" stopIfTrue="1" operator="equal">
      <formula>"NO APLICA"</formula>
    </cfRule>
  </conditionalFormatting>
  <conditionalFormatting sqref="W5334:X5337">
    <cfRule type="cellIs" dxfId="1570" priority="1502" stopIfTrue="1" operator="equal">
      <formula>"NO APLICA"</formula>
    </cfRule>
  </conditionalFormatting>
  <conditionalFormatting sqref="W5334:X5334">
    <cfRule type="cellIs" dxfId="1569" priority="1501" stopIfTrue="1" operator="equal">
      <formula>"NO APLICA"</formula>
    </cfRule>
  </conditionalFormatting>
  <conditionalFormatting sqref="Y5333">
    <cfRule type="cellIs" dxfId="1568" priority="1500" stopIfTrue="1" operator="equal">
      <formula>"NO APLICA"</formula>
    </cfRule>
  </conditionalFormatting>
  <conditionalFormatting sqref="Y5334:Y5337">
    <cfRule type="cellIs" dxfId="1567" priority="1499" stopIfTrue="1" operator="equal">
      <formula>"NO APLICA"</formula>
    </cfRule>
  </conditionalFormatting>
  <conditionalFormatting sqref="W5338:X5341">
    <cfRule type="cellIs" dxfId="1566" priority="1498" stopIfTrue="1" operator="equal">
      <formula>"NO APLICA"</formula>
    </cfRule>
  </conditionalFormatting>
  <conditionalFormatting sqref="W5338:X5338">
    <cfRule type="cellIs" dxfId="1565" priority="1497" stopIfTrue="1" operator="equal">
      <formula>"NO APLICA"</formula>
    </cfRule>
  </conditionalFormatting>
  <conditionalFormatting sqref="Y5338:Y5341">
    <cfRule type="cellIs" dxfId="1564" priority="1496" stopIfTrue="1" operator="equal">
      <formula>"NO APLICA"</formula>
    </cfRule>
  </conditionalFormatting>
  <conditionalFormatting sqref="T5347">
    <cfRule type="cellIs" dxfId="1563" priority="1494" operator="equal">
      <formula>"CUMPLE"</formula>
    </cfRule>
    <cfRule type="cellIs" dxfId="1562" priority="1495" operator="equal">
      <formula>"NO CUMPLE"</formula>
    </cfRule>
  </conditionalFormatting>
  <conditionalFormatting sqref="T5347:T5349">
    <cfRule type="cellIs" dxfId="1561" priority="1493" operator="equal">
      <formula>"VERIFICAR"</formula>
    </cfRule>
  </conditionalFormatting>
  <conditionalFormatting sqref="AD5333:AF5337">
    <cfRule type="cellIs" dxfId="1560" priority="1491" stopIfTrue="1" operator="equal">
      <formula>"NO"</formula>
    </cfRule>
    <cfRule type="cellIs" dxfId="1559" priority="1492" stopIfTrue="1" operator="equal">
      <formula>"SI"</formula>
    </cfRule>
  </conditionalFormatting>
  <conditionalFormatting sqref="AD5338:AF5341">
    <cfRule type="cellIs" dxfId="1558" priority="1489" stopIfTrue="1" operator="equal">
      <formula>"NO"</formula>
    </cfRule>
    <cfRule type="cellIs" dxfId="1557" priority="1490" stopIfTrue="1" operator="equal">
      <formula>"SI"</formula>
    </cfRule>
  </conditionalFormatting>
  <conditionalFormatting sqref="W5342:Y5342">
    <cfRule type="cellIs" dxfId="1556" priority="1487" stopIfTrue="1" operator="equal">
      <formula>"NO"</formula>
    </cfRule>
    <cfRule type="cellIs" dxfId="1555" priority="1488" stopIfTrue="1" operator="equal">
      <formula>"SI"</formula>
    </cfRule>
  </conditionalFormatting>
  <conditionalFormatting sqref="W5342:X5342">
    <cfRule type="cellIs" dxfId="1554" priority="1486" stopIfTrue="1" operator="equal">
      <formula>"NO APLICA"</formula>
    </cfRule>
  </conditionalFormatting>
  <conditionalFormatting sqref="Y5342">
    <cfRule type="cellIs" dxfId="1553" priority="1485" stopIfTrue="1" operator="equal">
      <formula>"NO APLICA"</formula>
    </cfRule>
  </conditionalFormatting>
  <conditionalFormatting sqref="AD5342:AF5342">
    <cfRule type="cellIs" dxfId="1552" priority="1483" stopIfTrue="1" operator="equal">
      <formula>"NO"</formula>
    </cfRule>
    <cfRule type="cellIs" dxfId="1551" priority="1484" stopIfTrue="1" operator="equal">
      <formula>"SI"</formula>
    </cfRule>
  </conditionalFormatting>
  <conditionalFormatting sqref="AE5347">
    <cfRule type="cellIs" dxfId="1550" priority="1480" stopIfTrue="1" operator="equal">
      <formula>"VERIFICAR"</formula>
    </cfRule>
    <cfRule type="cellIs" dxfId="1549" priority="1481" stopIfTrue="1" operator="equal">
      <formula>"NO CUMPLE"</formula>
    </cfRule>
    <cfRule type="cellIs" dxfId="1548" priority="1482" stopIfTrue="1" operator="equal">
      <formula>"CUMPLE"</formula>
    </cfRule>
  </conditionalFormatting>
  <conditionalFormatting sqref="AF5347">
    <cfRule type="cellIs" dxfId="1547" priority="1477" stopIfTrue="1" operator="equal">
      <formula>"VERIFICAR"</formula>
    </cfRule>
    <cfRule type="cellIs" dxfId="1546" priority="1478" stopIfTrue="1" operator="equal">
      <formula>"NO CUMPLE"</formula>
    </cfRule>
    <cfRule type="cellIs" dxfId="1545" priority="1479" stopIfTrue="1" operator="equal">
      <formula>"CUMPLE"</formula>
    </cfRule>
  </conditionalFormatting>
  <conditionalFormatting sqref="Y5350">
    <cfRule type="cellIs" dxfId="1544" priority="1476" operator="equal">
      <formula>"VERIFICAR CUADRO"</formula>
    </cfRule>
  </conditionalFormatting>
  <conditionalFormatting sqref="AC5351:AC5356">
    <cfRule type="cellIs" dxfId="1543" priority="1475" stopIfTrue="1" operator="greaterThan">
      <formula>0</formula>
    </cfRule>
  </conditionalFormatting>
  <conditionalFormatting sqref="AC5351:AC5356">
    <cfRule type="cellIs" dxfId="1542" priority="1474" stopIfTrue="1" operator="greaterThan">
      <formula>0</formula>
    </cfRule>
  </conditionalFormatting>
  <conditionalFormatting sqref="AD5351:AD5356">
    <cfRule type="containsText" dxfId="1541" priority="1472" stopIfTrue="1" operator="containsText" text="NO CUMPLE">
      <formula>NOT(ISERROR(SEARCH("NO CUMPLE",AD5351)))</formula>
    </cfRule>
    <cfRule type="containsText" dxfId="1540" priority="1473" stopIfTrue="1" operator="containsText" text="CUMPLE">
      <formula>NOT(ISERROR(SEARCH("CUMPLE",AD5351)))</formula>
    </cfRule>
  </conditionalFormatting>
  <conditionalFormatting sqref="Y5356">
    <cfRule type="containsText" dxfId="1539" priority="1470" stopIfTrue="1" operator="containsText" text="NO CUMPLE">
      <formula>NOT(ISERROR(SEARCH("NO CUMPLE",Y5356)))</formula>
    </cfRule>
    <cfRule type="containsText" dxfId="1538" priority="1471" stopIfTrue="1" operator="containsText" text="CUMPLE">
      <formula>NOT(ISERROR(SEARCH("CUMPLE",Y5356)))</formula>
    </cfRule>
  </conditionalFormatting>
  <conditionalFormatting sqref="AA5333:AA5342">
    <cfRule type="cellIs" dxfId="1537" priority="1468" stopIfTrue="1" operator="equal">
      <formula>"NO APLICA"</formula>
    </cfRule>
    <cfRule type="cellIs" dxfId="1536" priority="1469" stopIfTrue="1" operator="equal">
      <formula>"TERCIARIA"</formula>
    </cfRule>
  </conditionalFormatting>
  <conditionalFormatting sqref="AB5333:AB5342">
    <cfRule type="cellIs" dxfId="1535" priority="1466" stopIfTrue="1" operator="equal">
      <formula>"N/A"</formula>
    </cfRule>
    <cfRule type="cellIs" dxfId="1534" priority="1467" stopIfTrue="1" operator="equal">
      <formula>"NO"</formula>
    </cfRule>
  </conditionalFormatting>
  <conditionalFormatting sqref="M5363:M5372">
    <cfRule type="cellIs" dxfId="1533" priority="1465" stopIfTrue="1" operator="lessThan">
      <formula>0</formula>
    </cfRule>
  </conditionalFormatting>
  <conditionalFormatting sqref="C5365:D5371 B5364:B5371 F5365:I5371 C5364:I5364 B5372:O5372 B5363:R5363 Q5364:R5365 J5364:O5371 Q5366:Q5372 P5364:P5372">
    <cfRule type="cellIs" dxfId="1532" priority="1464" stopIfTrue="1" operator="greaterThan">
      <formula>0</formula>
    </cfRule>
  </conditionalFormatting>
  <conditionalFormatting sqref="C5365:D5371">
    <cfRule type="cellIs" dxfId="1531" priority="1463" stopIfTrue="1" operator="greaterThan">
      <formula>0</formula>
    </cfRule>
  </conditionalFormatting>
  <conditionalFormatting sqref="C5363:M5363 C5365:D5371 F5365:I5371 C5364:I5364 K5364:M5371 J5364:J5372 L5372:M5372">
    <cfRule type="cellIs" dxfId="1530" priority="1462" stopIfTrue="1" operator="greaterThan">
      <formula>0</formula>
    </cfRule>
  </conditionalFormatting>
  <conditionalFormatting sqref="M5363:M5372">
    <cfRule type="cellIs" dxfId="1529" priority="1461" stopIfTrue="1" operator="lessThan">
      <formula>0</formula>
    </cfRule>
  </conditionalFormatting>
  <conditionalFormatting sqref="J5364:J5372 L5364:O5372 C5363:O5363">
    <cfRule type="cellIs" dxfId="1528" priority="1460" stopIfTrue="1" operator="greaterThan">
      <formula>0</formula>
    </cfRule>
  </conditionalFormatting>
  <conditionalFormatting sqref="H5365:I5371 K5365:M5372">
    <cfRule type="cellIs" dxfId="1527" priority="1459" stopIfTrue="1" operator="greaterThan">
      <formula>0</formula>
    </cfRule>
  </conditionalFormatting>
  <conditionalFormatting sqref="I5364">
    <cfRule type="cellIs" dxfId="1526" priority="1458" stopIfTrue="1" operator="greaterThan">
      <formula>0</formula>
    </cfRule>
  </conditionalFormatting>
  <conditionalFormatting sqref="I5372">
    <cfRule type="cellIs" dxfId="1525" priority="1457" stopIfTrue="1" operator="greaterThan">
      <formula>0</formula>
    </cfRule>
  </conditionalFormatting>
  <conditionalFormatting sqref="E5365:E5371">
    <cfRule type="cellIs" dxfId="1524" priority="1456" stopIfTrue="1" operator="greaterThan">
      <formula>0</formula>
    </cfRule>
  </conditionalFormatting>
  <conditionalFormatting sqref="K5380:K5385">
    <cfRule type="containsText" dxfId="1523" priority="1454" stopIfTrue="1" operator="containsText" text="NO CUMPLE">
      <formula>NOT(ISERROR(SEARCH("NO CUMPLE",K5380)))</formula>
    </cfRule>
    <cfRule type="containsText" dxfId="1522" priority="1455" stopIfTrue="1" operator="containsText" text="CUMPLE">
      <formula>NOT(ISERROR(SEARCH("CUMPLE",K5380)))</formula>
    </cfRule>
  </conditionalFormatting>
  <conditionalFormatting sqref="K5386">
    <cfRule type="containsText" dxfId="1521" priority="1452" stopIfTrue="1" operator="containsText" text="NO CUMPLE">
      <formula>NOT(ISERROR(SEARCH("NO CUMPLE",K5386)))</formula>
    </cfRule>
    <cfRule type="containsText" dxfId="1520" priority="1453" stopIfTrue="1" operator="containsText" text="CUMPLE">
      <formula>NOT(ISERROR(SEARCH("CUMPLE",K5386)))</formula>
    </cfRule>
  </conditionalFormatting>
  <conditionalFormatting sqref="Q5379">
    <cfRule type="cellIs" dxfId="1519" priority="1450" operator="greaterThanOrEqual">
      <formula>NUMMINCONT</formula>
    </cfRule>
    <cfRule type="cellIs" dxfId="1518" priority="1451" operator="lessThan">
      <formula>NUMMINCONT</formula>
    </cfRule>
  </conditionalFormatting>
  <conditionalFormatting sqref="W5363:Y5371">
    <cfRule type="cellIs" dxfId="1517" priority="1448" stopIfTrue="1" operator="equal">
      <formula>"NO"</formula>
    </cfRule>
    <cfRule type="cellIs" dxfId="1516" priority="1449" stopIfTrue="1" operator="equal">
      <formula>"SI"</formula>
    </cfRule>
  </conditionalFormatting>
  <conditionalFormatting sqref="R5366">
    <cfRule type="cellIs" dxfId="1515" priority="1447" stopIfTrue="1" operator="greaterThan">
      <formula>0</formula>
    </cfRule>
  </conditionalFormatting>
  <conditionalFormatting sqref="R5367">
    <cfRule type="cellIs" dxfId="1514" priority="1446" stopIfTrue="1" operator="greaterThan">
      <formula>0</formula>
    </cfRule>
  </conditionalFormatting>
  <conditionalFormatting sqref="R5368">
    <cfRule type="cellIs" dxfId="1513" priority="1445" stopIfTrue="1" operator="greaterThan">
      <formula>0</formula>
    </cfRule>
  </conditionalFormatting>
  <conditionalFormatting sqref="R5369">
    <cfRule type="cellIs" dxfId="1512" priority="1444" stopIfTrue="1" operator="greaterThan">
      <formula>0</formula>
    </cfRule>
  </conditionalFormatting>
  <conditionalFormatting sqref="R5370">
    <cfRule type="cellIs" dxfId="1511" priority="1443" stopIfTrue="1" operator="greaterThan">
      <formula>0</formula>
    </cfRule>
  </conditionalFormatting>
  <conditionalFormatting sqref="R5371">
    <cfRule type="cellIs" dxfId="1510" priority="1442" stopIfTrue="1" operator="greaterThan">
      <formula>0</formula>
    </cfRule>
  </conditionalFormatting>
  <conditionalFormatting sqref="R5372">
    <cfRule type="cellIs" dxfId="1509" priority="1441" stopIfTrue="1" operator="greaterThan">
      <formula>0</formula>
    </cfRule>
  </conditionalFormatting>
  <conditionalFormatting sqref="W5363:X5363">
    <cfRule type="cellIs" dxfId="1508" priority="1440" stopIfTrue="1" operator="equal">
      <formula>"NO APLICA"</formula>
    </cfRule>
  </conditionalFormatting>
  <conditionalFormatting sqref="W5364:X5367">
    <cfRule type="cellIs" dxfId="1507" priority="1439" stopIfTrue="1" operator="equal">
      <formula>"NO APLICA"</formula>
    </cfRule>
  </conditionalFormatting>
  <conditionalFormatting sqref="W5364:X5364">
    <cfRule type="cellIs" dxfId="1506" priority="1438" stopIfTrue="1" operator="equal">
      <formula>"NO APLICA"</formula>
    </cfRule>
  </conditionalFormatting>
  <conditionalFormatting sqref="Y5363">
    <cfRule type="cellIs" dxfId="1505" priority="1437" stopIfTrue="1" operator="equal">
      <formula>"NO APLICA"</formula>
    </cfRule>
  </conditionalFormatting>
  <conditionalFormatting sqref="Y5364:Y5367">
    <cfRule type="cellIs" dxfId="1504" priority="1436" stopIfTrue="1" operator="equal">
      <formula>"NO APLICA"</formula>
    </cfRule>
  </conditionalFormatting>
  <conditionalFormatting sqref="W5368:X5371">
    <cfRule type="cellIs" dxfId="1503" priority="1435" stopIfTrue="1" operator="equal">
      <formula>"NO APLICA"</formula>
    </cfRule>
  </conditionalFormatting>
  <conditionalFormatting sqref="W5368:X5368">
    <cfRule type="cellIs" dxfId="1502" priority="1434" stopIfTrue="1" operator="equal">
      <formula>"NO APLICA"</formula>
    </cfRule>
  </conditionalFormatting>
  <conditionalFormatting sqref="Y5368:Y5371">
    <cfRule type="cellIs" dxfId="1501" priority="1433" stopIfTrue="1" operator="equal">
      <formula>"NO APLICA"</formula>
    </cfRule>
  </conditionalFormatting>
  <conditionalFormatting sqref="T5377">
    <cfRule type="cellIs" dxfId="1500" priority="1431" operator="equal">
      <formula>"CUMPLE"</formula>
    </cfRule>
    <cfRule type="cellIs" dxfId="1499" priority="1432" operator="equal">
      <formula>"NO CUMPLE"</formula>
    </cfRule>
  </conditionalFormatting>
  <conditionalFormatting sqref="T5377:T5379">
    <cfRule type="cellIs" dxfId="1498" priority="1430" operator="equal">
      <formula>"VERIFICAR"</formula>
    </cfRule>
  </conditionalFormatting>
  <conditionalFormatting sqref="AD5363:AF5367">
    <cfRule type="cellIs" dxfId="1497" priority="1428" stopIfTrue="1" operator="equal">
      <formula>"NO"</formula>
    </cfRule>
    <cfRule type="cellIs" dxfId="1496" priority="1429" stopIfTrue="1" operator="equal">
      <formula>"SI"</formula>
    </cfRule>
  </conditionalFormatting>
  <conditionalFormatting sqref="AD5368:AF5371">
    <cfRule type="cellIs" dxfId="1495" priority="1426" stopIfTrue="1" operator="equal">
      <formula>"NO"</formula>
    </cfRule>
    <cfRule type="cellIs" dxfId="1494" priority="1427" stopIfTrue="1" operator="equal">
      <formula>"SI"</formula>
    </cfRule>
  </conditionalFormatting>
  <conditionalFormatting sqref="W5372:Y5372">
    <cfRule type="cellIs" dxfId="1493" priority="1424" stopIfTrue="1" operator="equal">
      <formula>"NO"</formula>
    </cfRule>
    <cfRule type="cellIs" dxfId="1492" priority="1425" stopIfTrue="1" operator="equal">
      <formula>"SI"</formula>
    </cfRule>
  </conditionalFormatting>
  <conditionalFormatting sqref="W5372:X5372">
    <cfRule type="cellIs" dxfId="1491" priority="1423" stopIfTrue="1" operator="equal">
      <formula>"NO APLICA"</formula>
    </cfRule>
  </conditionalFormatting>
  <conditionalFormatting sqref="Y5372">
    <cfRule type="cellIs" dxfId="1490" priority="1422" stopIfTrue="1" operator="equal">
      <formula>"NO APLICA"</formula>
    </cfRule>
  </conditionalFormatting>
  <conditionalFormatting sqref="AD5372:AF5372">
    <cfRule type="cellIs" dxfId="1489" priority="1420" stopIfTrue="1" operator="equal">
      <formula>"NO"</formula>
    </cfRule>
    <cfRule type="cellIs" dxfId="1488" priority="1421" stopIfTrue="1" operator="equal">
      <formula>"SI"</formula>
    </cfRule>
  </conditionalFormatting>
  <conditionalFormatting sqref="AE5377">
    <cfRule type="cellIs" dxfId="1487" priority="1417" stopIfTrue="1" operator="equal">
      <formula>"VERIFICAR"</formula>
    </cfRule>
    <cfRule type="cellIs" dxfId="1486" priority="1418" stopIfTrue="1" operator="equal">
      <formula>"NO CUMPLE"</formula>
    </cfRule>
    <cfRule type="cellIs" dxfId="1485" priority="1419" stopIfTrue="1" operator="equal">
      <formula>"CUMPLE"</formula>
    </cfRule>
  </conditionalFormatting>
  <conditionalFormatting sqref="AF5377">
    <cfRule type="cellIs" dxfId="1484" priority="1414" stopIfTrue="1" operator="equal">
      <formula>"VERIFICAR"</formula>
    </cfRule>
    <cfRule type="cellIs" dxfId="1483" priority="1415" stopIfTrue="1" operator="equal">
      <formula>"NO CUMPLE"</formula>
    </cfRule>
    <cfRule type="cellIs" dxfId="1482" priority="1416" stopIfTrue="1" operator="equal">
      <formula>"CUMPLE"</formula>
    </cfRule>
  </conditionalFormatting>
  <conditionalFormatting sqref="Y5380">
    <cfRule type="cellIs" dxfId="1481" priority="1413" operator="equal">
      <formula>"VERIFICAR CUADRO"</formula>
    </cfRule>
  </conditionalFormatting>
  <conditionalFormatting sqref="AC5381:AC5386">
    <cfRule type="cellIs" dxfId="1480" priority="1412" stopIfTrue="1" operator="greaterThan">
      <formula>0</formula>
    </cfRule>
  </conditionalFormatting>
  <conditionalFormatting sqref="AC5381:AC5386">
    <cfRule type="cellIs" dxfId="1479" priority="1411" stopIfTrue="1" operator="greaterThan">
      <formula>0</formula>
    </cfRule>
  </conditionalFormatting>
  <conditionalFormatting sqref="AD5381:AD5386">
    <cfRule type="containsText" dxfId="1478" priority="1409" stopIfTrue="1" operator="containsText" text="NO CUMPLE">
      <formula>NOT(ISERROR(SEARCH("NO CUMPLE",AD5381)))</formula>
    </cfRule>
    <cfRule type="containsText" dxfId="1477" priority="1410" stopIfTrue="1" operator="containsText" text="CUMPLE">
      <formula>NOT(ISERROR(SEARCH("CUMPLE",AD5381)))</formula>
    </cfRule>
  </conditionalFormatting>
  <conditionalFormatting sqref="Y5386">
    <cfRule type="containsText" dxfId="1476" priority="1407" stopIfTrue="1" operator="containsText" text="NO CUMPLE">
      <formula>NOT(ISERROR(SEARCH("NO CUMPLE",Y5386)))</formula>
    </cfRule>
    <cfRule type="containsText" dxfId="1475" priority="1408" stopIfTrue="1" operator="containsText" text="CUMPLE">
      <formula>NOT(ISERROR(SEARCH("CUMPLE",Y5386)))</formula>
    </cfRule>
  </conditionalFormatting>
  <conditionalFormatting sqref="AA5363:AA5372">
    <cfRule type="cellIs" dxfId="1474" priority="1405" stopIfTrue="1" operator="equal">
      <formula>"NO APLICA"</formula>
    </cfRule>
    <cfRule type="cellIs" dxfId="1473" priority="1406" stopIfTrue="1" operator="equal">
      <formula>"TERCIARIA"</formula>
    </cfRule>
  </conditionalFormatting>
  <conditionalFormatting sqref="AB5363:AB5372">
    <cfRule type="cellIs" dxfId="1472" priority="1403" stopIfTrue="1" operator="equal">
      <formula>"N/A"</formula>
    </cfRule>
    <cfRule type="cellIs" dxfId="1471" priority="1404" stopIfTrue="1" operator="equal">
      <formula>"NO"</formula>
    </cfRule>
  </conditionalFormatting>
  <conditionalFormatting sqref="M5393:M5402">
    <cfRule type="cellIs" dxfId="1470" priority="1402" stopIfTrue="1" operator="lessThan">
      <formula>0</formula>
    </cfRule>
  </conditionalFormatting>
  <conditionalFormatting sqref="C5395:D5401 B5394:B5401 F5395:I5401 C5394:I5394 B5402:O5402 B5393:R5393 Q5394:R5395 J5394:O5401 Q5396:Q5402 P5394:P5402">
    <cfRule type="cellIs" dxfId="1469" priority="1401" stopIfTrue="1" operator="greaterThan">
      <formula>0</formula>
    </cfRule>
  </conditionalFormatting>
  <conditionalFormatting sqref="C5395:D5401">
    <cfRule type="cellIs" dxfId="1468" priority="1400" stopIfTrue="1" operator="greaterThan">
      <formula>0</formula>
    </cfRule>
  </conditionalFormatting>
  <conditionalFormatting sqref="C5393:M5393 C5395:D5401 F5395:I5401 C5394:I5394 K5394:M5401 J5394:J5402 L5402:M5402">
    <cfRule type="cellIs" dxfId="1467" priority="1399" stopIfTrue="1" operator="greaterThan">
      <formula>0</formula>
    </cfRule>
  </conditionalFormatting>
  <conditionalFormatting sqref="M5393:M5402">
    <cfRule type="cellIs" dxfId="1466" priority="1398" stopIfTrue="1" operator="lessThan">
      <formula>0</formula>
    </cfRule>
  </conditionalFormatting>
  <conditionalFormatting sqref="J5394:J5402 L5394:O5402 C5393:O5393">
    <cfRule type="cellIs" dxfId="1465" priority="1397" stopIfTrue="1" operator="greaterThan">
      <formula>0</formula>
    </cfRule>
  </conditionalFormatting>
  <conditionalFormatting sqref="H5395:I5401 K5395:M5402">
    <cfRule type="cellIs" dxfId="1464" priority="1396" stopIfTrue="1" operator="greaterThan">
      <formula>0</formula>
    </cfRule>
  </conditionalFormatting>
  <conditionalFormatting sqref="I5394">
    <cfRule type="cellIs" dxfId="1463" priority="1395" stopIfTrue="1" operator="greaterThan">
      <formula>0</formula>
    </cfRule>
  </conditionalFormatting>
  <conditionalFormatting sqref="I5402">
    <cfRule type="cellIs" dxfId="1462" priority="1394" stopIfTrue="1" operator="greaterThan">
      <formula>0</formula>
    </cfRule>
  </conditionalFormatting>
  <conditionalFormatting sqref="E5395:E5401">
    <cfRule type="cellIs" dxfId="1461" priority="1393" stopIfTrue="1" operator="greaterThan">
      <formula>0</formula>
    </cfRule>
  </conditionalFormatting>
  <conditionalFormatting sqref="K5410:K5415">
    <cfRule type="containsText" dxfId="1460" priority="1391" stopIfTrue="1" operator="containsText" text="NO CUMPLE">
      <formula>NOT(ISERROR(SEARCH("NO CUMPLE",K5410)))</formula>
    </cfRule>
    <cfRule type="containsText" dxfId="1459" priority="1392" stopIfTrue="1" operator="containsText" text="CUMPLE">
      <formula>NOT(ISERROR(SEARCH("CUMPLE",K5410)))</formula>
    </cfRule>
  </conditionalFormatting>
  <conditionalFormatting sqref="K5416">
    <cfRule type="containsText" dxfId="1458" priority="1389" stopIfTrue="1" operator="containsText" text="NO CUMPLE">
      <formula>NOT(ISERROR(SEARCH("NO CUMPLE",K5416)))</formula>
    </cfRule>
    <cfRule type="containsText" dxfId="1457" priority="1390" stopIfTrue="1" operator="containsText" text="CUMPLE">
      <formula>NOT(ISERROR(SEARCH("CUMPLE",K5416)))</formula>
    </cfRule>
  </conditionalFormatting>
  <conditionalFormatting sqref="Q5409">
    <cfRule type="cellIs" dxfId="1456" priority="1387" operator="greaterThanOrEqual">
      <formula>NUMMINCONT</formula>
    </cfRule>
    <cfRule type="cellIs" dxfId="1455" priority="1388" operator="lessThan">
      <formula>NUMMINCONT</formula>
    </cfRule>
  </conditionalFormatting>
  <conditionalFormatting sqref="W5393:Y5401">
    <cfRule type="cellIs" dxfId="1454" priority="1385" stopIfTrue="1" operator="equal">
      <formula>"NO"</formula>
    </cfRule>
    <cfRule type="cellIs" dxfId="1453" priority="1386" stopIfTrue="1" operator="equal">
      <formula>"SI"</formula>
    </cfRule>
  </conditionalFormatting>
  <conditionalFormatting sqref="R5396">
    <cfRule type="cellIs" dxfId="1452" priority="1384" stopIfTrue="1" operator="greaterThan">
      <formula>0</formula>
    </cfRule>
  </conditionalFormatting>
  <conditionalFormatting sqref="R5397">
    <cfRule type="cellIs" dxfId="1451" priority="1383" stopIfTrue="1" operator="greaterThan">
      <formula>0</formula>
    </cfRule>
  </conditionalFormatting>
  <conditionalFormatting sqref="R5398">
    <cfRule type="cellIs" dxfId="1450" priority="1382" stopIfTrue="1" operator="greaterThan">
      <formula>0</formula>
    </cfRule>
  </conditionalFormatting>
  <conditionalFormatting sqref="R5399">
    <cfRule type="cellIs" dxfId="1449" priority="1381" stopIfTrue="1" operator="greaterThan">
      <formula>0</formula>
    </cfRule>
  </conditionalFormatting>
  <conditionalFormatting sqref="R5400">
    <cfRule type="cellIs" dxfId="1448" priority="1380" stopIfTrue="1" operator="greaterThan">
      <formula>0</formula>
    </cfRule>
  </conditionalFormatting>
  <conditionalFormatting sqref="R5401">
    <cfRule type="cellIs" dxfId="1447" priority="1379" stopIfTrue="1" operator="greaterThan">
      <formula>0</formula>
    </cfRule>
  </conditionalFormatting>
  <conditionalFormatting sqref="R5402">
    <cfRule type="cellIs" dxfId="1446" priority="1378" stopIfTrue="1" operator="greaterThan">
      <formula>0</formula>
    </cfRule>
  </conditionalFormatting>
  <conditionalFormatting sqref="W5393:X5393">
    <cfRule type="cellIs" dxfId="1445" priority="1377" stopIfTrue="1" operator="equal">
      <formula>"NO APLICA"</formula>
    </cfRule>
  </conditionalFormatting>
  <conditionalFormatting sqref="W5394:X5397">
    <cfRule type="cellIs" dxfId="1444" priority="1376" stopIfTrue="1" operator="equal">
      <formula>"NO APLICA"</formula>
    </cfRule>
  </conditionalFormatting>
  <conditionalFormatting sqref="W5394:X5394">
    <cfRule type="cellIs" dxfId="1443" priority="1375" stopIfTrue="1" operator="equal">
      <formula>"NO APLICA"</formula>
    </cfRule>
  </conditionalFormatting>
  <conditionalFormatting sqref="Y5393">
    <cfRule type="cellIs" dxfId="1442" priority="1374" stopIfTrue="1" operator="equal">
      <formula>"NO APLICA"</formula>
    </cfRule>
  </conditionalFormatting>
  <conditionalFormatting sqref="Y5394:Y5397">
    <cfRule type="cellIs" dxfId="1441" priority="1373" stopIfTrue="1" operator="equal">
      <formula>"NO APLICA"</formula>
    </cfRule>
  </conditionalFormatting>
  <conditionalFormatting sqref="W5398:X5401">
    <cfRule type="cellIs" dxfId="1440" priority="1372" stopIfTrue="1" operator="equal">
      <formula>"NO APLICA"</formula>
    </cfRule>
  </conditionalFormatting>
  <conditionalFormatting sqref="W5398:X5398">
    <cfRule type="cellIs" dxfId="1439" priority="1371" stopIfTrue="1" operator="equal">
      <formula>"NO APLICA"</formula>
    </cfRule>
  </conditionalFormatting>
  <conditionalFormatting sqref="Y5398:Y5401">
    <cfRule type="cellIs" dxfId="1438" priority="1370" stopIfTrue="1" operator="equal">
      <formula>"NO APLICA"</formula>
    </cfRule>
  </conditionalFormatting>
  <conditionalFormatting sqref="T5407">
    <cfRule type="cellIs" dxfId="1437" priority="1368" operator="equal">
      <formula>"CUMPLE"</formula>
    </cfRule>
    <cfRule type="cellIs" dxfId="1436" priority="1369" operator="equal">
      <formula>"NO CUMPLE"</formula>
    </cfRule>
  </conditionalFormatting>
  <conditionalFormatting sqref="T5407:T5409">
    <cfRule type="cellIs" dxfId="1435" priority="1367" operator="equal">
      <formula>"VERIFICAR"</formula>
    </cfRule>
  </conditionalFormatting>
  <conditionalFormatting sqref="AD5393:AF5397">
    <cfRule type="cellIs" dxfId="1434" priority="1365" stopIfTrue="1" operator="equal">
      <formula>"NO"</formula>
    </cfRule>
    <cfRule type="cellIs" dxfId="1433" priority="1366" stopIfTrue="1" operator="equal">
      <formula>"SI"</formula>
    </cfRule>
  </conditionalFormatting>
  <conditionalFormatting sqref="AD5398:AF5401">
    <cfRule type="cellIs" dxfId="1432" priority="1363" stopIfTrue="1" operator="equal">
      <formula>"NO"</formula>
    </cfRule>
    <cfRule type="cellIs" dxfId="1431" priority="1364" stopIfTrue="1" operator="equal">
      <formula>"SI"</formula>
    </cfRule>
  </conditionalFormatting>
  <conditionalFormatting sqref="W5402:Y5402">
    <cfRule type="cellIs" dxfId="1430" priority="1361" stopIfTrue="1" operator="equal">
      <formula>"NO"</formula>
    </cfRule>
    <cfRule type="cellIs" dxfId="1429" priority="1362" stopIfTrue="1" operator="equal">
      <formula>"SI"</formula>
    </cfRule>
  </conditionalFormatting>
  <conditionalFormatting sqref="W5402:X5402">
    <cfRule type="cellIs" dxfId="1428" priority="1360" stopIfTrue="1" operator="equal">
      <formula>"NO APLICA"</formula>
    </cfRule>
  </conditionalFormatting>
  <conditionalFormatting sqref="Y5402">
    <cfRule type="cellIs" dxfId="1427" priority="1359" stopIfTrue="1" operator="equal">
      <formula>"NO APLICA"</formula>
    </cfRule>
  </conditionalFormatting>
  <conditionalFormatting sqref="AD5402:AF5402">
    <cfRule type="cellIs" dxfId="1426" priority="1357" stopIfTrue="1" operator="equal">
      <formula>"NO"</formula>
    </cfRule>
    <cfRule type="cellIs" dxfId="1425" priority="1358" stopIfTrue="1" operator="equal">
      <formula>"SI"</formula>
    </cfRule>
  </conditionalFormatting>
  <conditionalFormatting sqref="AE5407">
    <cfRule type="cellIs" dxfId="1424" priority="1354" stopIfTrue="1" operator="equal">
      <formula>"VERIFICAR"</formula>
    </cfRule>
    <cfRule type="cellIs" dxfId="1423" priority="1355" stopIfTrue="1" operator="equal">
      <formula>"NO CUMPLE"</formula>
    </cfRule>
    <cfRule type="cellIs" dxfId="1422" priority="1356" stopIfTrue="1" operator="equal">
      <formula>"CUMPLE"</formula>
    </cfRule>
  </conditionalFormatting>
  <conditionalFormatting sqref="AF5407">
    <cfRule type="cellIs" dxfId="1421" priority="1351" stopIfTrue="1" operator="equal">
      <formula>"VERIFICAR"</formula>
    </cfRule>
    <cfRule type="cellIs" dxfId="1420" priority="1352" stopIfTrue="1" operator="equal">
      <formula>"NO CUMPLE"</formula>
    </cfRule>
    <cfRule type="cellIs" dxfId="1419" priority="1353" stopIfTrue="1" operator="equal">
      <formula>"CUMPLE"</formula>
    </cfRule>
  </conditionalFormatting>
  <conditionalFormatting sqref="Y5410">
    <cfRule type="cellIs" dxfId="1418" priority="1350" operator="equal">
      <formula>"VERIFICAR CUADRO"</formula>
    </cfRule>
  </conditionalFormatting>
  <conditionalFormatting sqref="AC5411:AC5416">
    <cfRule type="cellIs" dxfId="1417" priority="1349" stopIfTrue="1" operator="greaterThan">
      <formula>0</formula>
    </cfRule>
  </conditionalFormatting>
  <conditionalFormatting sqref="AC5411:AC5416">
    <cfRule type="cellIs" dxfId="1416" priority="1348" stopIfTrue="1" operator="greaterThan">
      <formula>0</formula>
    </cfRule>
  </conditionalFormatting>
  <conditionalFormatting sqref="AD5411:AD5416">
    <cfRule type="containsText" dxfId="1415" priority="1346" stopIfTrue="1" operator="containsText" text="NO CUMPLE">
      <formula>NOT(ISERROR(SEARCH("NO CUMPLE",AD5411)))</formula>
    </cfRule>
    <cfRule type="containsText" dxfId="1414" priority="1347" stopIfTrue="1" operator="containsText" text="CUMPLE">
      <formula>NOT(ISERROR(SEARCH("CUMPLE",AD5411)))</formula>
    </cfRule>
  </conditionalFormatting>
  <conditionalFormatting sqref="Y5416">
    <cfRule type="containsText" dxfId="1413" priority="1344" stopIfTrue="1" operator="containsText" text="NO CUMPLE">
      <formula>NOT(ISERROR(SEARCH("NO CUMPLE",Y5416)))</formula>
    </cfRule>
    <cfRule type="containsText" dxfId="1412" priority="1345" stopIfTrue="1" operator="containsText" text="CUMPLE">
      <formula>NOT(ISERROR(SEARCH("CUMPLE",Y5416)))</formula>
    </cfRule>
  </conditionalFormatting>
  <conditionalFormatting sqref="AA5393:AA5402">
    <cfRule type="cellIs" dxfId="1411" priority="1342" stopIfTrue="1" operator="equal">
      <formula>"NO APLICA"</formula>
    </cfRule>
    <cfRule type="cellIs" dxfId="1410" priority="1343" stopIfTrue="1" operator="equal">
      <formula>"TERCIARIA"</formula>
    </cfRule>
  </conditionalFormatting>
  <conditionalFormatting sqref="AB5393:AB5402">
    <cfRule type="cellIs" dxfId="1409" priority="1340" stopIfTrue="1" operator="equal">
      <formula>"N/A"</formula>
    </cfRule>
    <cfRule type="cellIs" dxfId="1408" priority="1341" stopIfTrue="1" operator="equal">
      <formula>"NO"</formula>
    </cfRule>
  </conditionalFormatting>
  <conditionalFormatting sqref="M5423:M5432">
    <cfRule type="cellIs" dxfId="1407" priority="1339" stopIfTrue="1" operator="lessThan">
      <formula>0</formula>
    </cfRule>
  </conditionalFormatting>
  <conditionalFormatting sqref="C5425:D5431 B5424:B5431 F5425:I5431 C5424:I5424 B5432:O5432 B5423:R5423 Q5424:R5425 J5424:O5431 Q5426:Q5432 P5424:P5432">
    <cfRule type="cellIs" dxfId="1406" priority="1338" stopIfTrue="1" operator="greaterThan">
      <formula>0</formula>
    </cfRule>
  </conditionalFormatting>
  <conditionalFormatting sqref="C5425:D5431">
    <cfRule type="cellIs" dxfId="1405" priority="1337" stopIfTrue="1" operator="greaterThan">
      <formula>0</formula>
    </cfRule>
  </conditionalFormatting>
  <conditionalFormatting sqref="C5423:M5423 C5425:D5431 F5425:I5431 C5424:I5424 K5424:M5431 J5424:J5432 L5432:M5432">
    <cfRule type="cellIs" dxfId="1404" priority="1336" stopIfTrue="1" operator="greaterThan">
      <formula>0</formula>
    </cfRule>
  </conditionalFormatting>
  <conditionalFormatting sqref="M5423:M5432">
    <cfRule type="cellIs" dxfId="1403" priority="1335" stopIfTrue="1" operator="lessThan">
      <formula>0</formula>
    </cfRule>
  </conditionalFormatting>
  <conditionalFormatting sqref="J5424:J5432 L5424:O5432 C5423:O5423">
    <cfRule type="cellIs" dxfId="1402" priority="1334" stopIfTrue="1" operator="greaterThan">
      <formula>0</formula>
    </cfRule>
  </conditionalFormatting>
  <conditionalFormatting sqref="H5425:I5431 K5425:M5432">
    <cfRule type="cellIs" dxfId="1401" priority="1333" stopIfTrue="1" operator="greaterThan">
      <formula>0</formula>
    </cfRule>
  </conditionalFormatting>
  <conditionalFormatting sqref="I5424">
    <cfRule type="cellIs" dxfId="1400" priority="1332" stopIfTrue="1" operator="greaterThan">
      <formula>0</formula>
    </cfRule>
  </conditionalFormatting>
  <conditionalFormatting sqref="I5432">
    <cfRule type="cellIs" dxfId="1399" priority="1331" stopIfTrue="1" operator="greaterThan">
      <formula>0</formula>
    </cfRule>
  </conditionalFormatting>
  <conditionalFormatting sqref="E5425:E5431">
    <cfRule type="cellIs" dxfId="1398" priority="1330" stopIfTrue="1" operator="greaterThan">
      <formula>0</formula>
    </cfRule>
  </conditionalFormatting>
  <conditionalFormatting sqref="K5440:K5445">
    <cfRule type="containsText" dxfId="1397" priority="1328" stopIfTrue="1" operator="containsText" text="NO CUMPLE">
      <formula>NOT(ISERROR(SEARCH("NO CUMPLE",K5440)))</formula>
    </cfRule>
    <cfRule type="containsText" dxfId="1396" priority="1329" stopIfTrue="1" operator="containsText" text="CUMPLE">
      <formula>NOT(ISERROR(SEARCH("CUMPLE",K5440)))</formula>
    </cfRule>
  </conditionalFormatting>
  <conditionalFormatting sqref="K5446">
    <cfRule type="containsText" dxfId="1395" priority="1326" stopIfTrue="1" operator="containsText" text="NO CUMPLE">
      <formula>NOT(ISERROR(SEARCH("NO CUMPLE",K5446)))</formula>
    </cfRule>
    <cfRule type="containsText" dxfId="1394" priority="1327" stopIfTrue="1" operator="containsText" text="CUMPLE">
      <formula>NOT(ISERROR(SEARCH("CUMPLE",K5446)))</formula>
    </cfRule>
  </conditionalFormatting>
  <conditionalFormatting sqref="Q5439">
    <cfRule type="cellIs" dxfId="1393" priority="1324" operator="greaterThanOrEqual">
      <formula>NUMMINCONT</formula>
    </cfRule>
    <cfRule type="cellIs" dxfId="1392" priority="1325" operator="lessThan">
      <formula>NUMMINCONT</formula>
    </cfRule>
  </conditionalFormatting>
  <conditionalFormatting sqref="W5423:Y5431">
    <cfRule type="cellIs" dxfId="1391" priority="1322" stopIfTrue="1" operator="equal">
      <formula>"NO"</formula>
    </cfRule>
    <cfRule type="cellIs" dxfId="1390" priority="1323" stopIfTrue="1" operator="equal">
      <formula>"SI"</formula>
    </cfRule>
  </conditionalFormatting>
  <conditionalFormatting sqref="R5426">
    <cfRule type="cellIs" dxfId="1389" priority="1321" stopIfTrue="1" operator="greaterThan">
      <formula>0</formula>
    </cfRule>
  </conditionalFormatting>
  <conditionalFormatting sqref="R5427">
    <cfRule type="cellIs" dxfId="1388" priority="1320" stopIfTrue="1" operator="greaterThan">
      <formula>0</formula>
    </cfRule>
  </conditionalFormatting>
  <conditionalFormatting sqref="R5428">
    <cfRule type="cellIs" dxfId="1387" priority="1319" stopIfTrue="1" operator="greaterThan">
      <formula>0</formula>
    </cfRule>
  </conditionalFormatting>
  <conditionalFormatting sqref="R5429">
    <cfRule type="cellIs" dxfId="1386" priority="1318" stopIfTrue="1" operator="greaterThan">
      <formula>0</formula>
    </cfRule>
  </conditionalFormatting>
  <conditionalFormatting sqref="R5430">
    <cfRule type="cellIs" dxfId="1385" priority="1317" stopIfTrue="1" operator="greaterThan">
      <formula>0</formula>
    </cfRule>
  </conditionalFormatting>
  <conditionalFormatting sqref="R5431">
    <cfRule type="cellIs" dxfId="1384" priority="1316" stopIfTrue="1" operator="greaterThan">
      <formula>0</formula>
    </cfRule>
  </conditionalFormatting>
  <conditionalFormatting sqref="R5432">
    <cfRule type="cellIs" dxfId="1383" priority="1315" stopIfTrue="1" operator="greaterThan">
      <formula>0</formula>
    </cfRule>
  </conditionalFormatting>
  <conditionalFormatting sqref="W5423:X5423">
    <cfRule type="cellIs" dxfId="1382" priority="1314" stopIfTrue="1" operator="equal">
      <formula>"NO APLICA"</formula>
    </cfRule>
  </conditionalFormatting>
  <conditionalFormatting sqref="W5424:X5427">
    <cfRule type="cellIs" dxfId="1381" priority="1313" stopIfTrue="1" operator="equal">
      <formula>"NO APLICA"</formula>
    </cfRule>
  </conditionalFormatting>
  <conditionalFormatting sqref="W5424:X5424">
    <cfRule type="cellIs" dxfId="1380" priority="1312" stopIfTrue="1" operator="equal">
      <formula>"NO APLICA"</formula>
    </cfRule>
  </conditionalFormatting>
  <conditionalFormatting sqref="Y5423">
    <cfRule type="cellIs" dxfId="1379" priority="1311" stopIfTrue="1" operator="equal">
      <formula>"NO APLICA"</formula>
    </cfRule>
  </conditionalFormatting>
  <conditionalFormatting sqref="Y5424:Y5427">
    <cfRule type="cellIs" dxfId="1378" priority="1310" stopIfTrue="1" operator="equal">
      <formula>"NO APLICA"</formula>
    </cfRule>
  </conditionalFormatting>
  <conditionalFormatting sqref="W5428:X5431">
    <cfRule type="cellIs" dxfId="1377" priority="1309" stopIfTrue="1" operator="equal">
      <formula>"NO APLICA"</formula>
    </cfRule>
  </conditionalFormatting>
  <conditionalFormatting sqref="W5428:X5428">
    <cfRule type="cellIs" dxfId="1376" priority="1308" stopIfTrue="1" operator="equal">
      <formula>"NO APLICA"</formula>
    </cfRule>
  </conditionalFormatting>
  <conditionalFormatting sqref="Y5428:Y5431">
    <cfRule type="cellIs" dxfId="1375" priority="1307" stopIfTrue="1" operator="equal">
      <formula>"NO APLICA"</formula>
    </cfRule>
  </conditionalFormatting>
  <conditionalFormatting sqref="T5437">
    <cfRule type="cellIs" dxfId="1374" priority="1305" operator="equal">
      <formula>"CUMPLE"</formula>
    </cfRule>
    <cfRule type="cellIs" dxfId="1373" priority="1306" operator="equal">
      <formula>"NO CUMPLE"</formula>
    </cfRule>
  </conditionalFormatting>
  <conditionalFormatting sqref="T5437:T5439">
    <cfRule type="cellIs" dxfId="1372" priority="1304" operator="equal">
      <formula>"VERIFICAR"</formula>
    </cfRule>
  </conditionalFormatting>
  <conditionalFormatting sqref="AD5423:AF5427">
    <cfRule type="cellIs" dxfId="1371" priority="1302" stopIfTrue="1" operator="equal">
      <formula>"NO"</formula>
    </cfRule>
    <cfRule type="cellIs" dxfId="1370" priority="1303" stopIfTrue="1" operator="equal">
      <formula>"SI"</formula>
    </cfRule>
  </conditionalFormatting>
  <conditionalFormatting sqref="AD5428:AF5431">
    <cfRule type="cellIs" dxfId="1369" priority="1300" stopIfTrue="1" operator="equal">
      <formula>"NO"</formula>
    </cfRule>
    <cfRule type="cellIs" dxfId="1368" priority="1301" stopIfTrue="1" operator="equal">
      <formula>"SI"</formula>
    </cfRule>
  </conditionalFormatting>
  <conditionalFormatting sqref="W5432:Y5432">
    <cfRule type="cellIs" dxfId="1367" priority="1298" stopIfTrue="1" operator="equal">
      <formula>"NO"</formula>
    </cfRule>
    <cfRule type="cellIs" dxfId="1366" priority="1299" stopIfTrue="1" operator="equal">
      <formula>"SI"</formula>
    </cfRule>
  </conditionalFormatting>
  <conditionalFormatting sqref="W5432:X5432">
    <cfRule type="cellIs" dxfId="1365" priority="1297" stopIfTrue="1" operator="equal">
      <formula>"NO APLICA"</formula>
    </cfRule>
  </conditionalFormatting>
  <conditionalFormatting sqref="Y5432">
    <cfRule type="cellIs" dxfId="1364" priority="1296" stopIfTrue="1" operator="equal">
      <formula>"NO APLICA"</formula>
    </cfRule>
  </conditionalFormatting>
  <conditionalFormatting sqref="AD5432:AF5432">
    <cfRule type="cellIs" dxfId="1363" priority="1294" stopIfTrue="1" operator="equal">
      <formula>"NO"</formula>
    </cfRule>
    <cfRule type="cellIs" dxfId="1362" priority="1295" stopIfTrue="1" operator="equal">
      <formula>"SI"</formula>
    </cfRule>
  </conditionalFormatting>
  <conditionalFormatting sqref="AE5437">
    <cfRule type="cellIs" dxfId="1361" priority="1291" stopIfTrue="1" operator="equal">
      <formula>"VERIFICAR"</formula>
    </cfRule>
    <cfRule type="cellIs" dxfId="1360" priority="1292" stopIfTrue="1" operator="equal">
      <formula>"NO CUMPLE"</formula>
    </cfRule>
    <cfRule type="cellIs" dxfId="1359" priority="1293" stopIfTrue="1" operator="equal">
      <formula>"CUMPLE"</formula>
    </cfRule>
  </conditionalFormatting>
  <conditionalFormatting sqref="AF5437">
    <cfRule type="cellIs" dxfId="1358" priority="1288" stopIfTrue="1" operator="equal">
      <formula>"VERIFICAR"</formula>
    </cfRule>
    <cfRule type="cellIs" dxfId="1357" priority="1289" stopIfTrue="1" operator="equal">
      <formula>"NO CUMPLE"</formula>
    </cfRule>
    <cfRule type="cellIs" dxfId="1356" priority="1290" stopIfTrue="1" operator="equal">
      <formula>"CUMPLE"</formula>
    </cfRule>
  </conditionalFormatting>
  <conditionalFormatting sqref="Y5440">
    <cfRule type="cellIs" dxfId="1355" priority="1287" operator="equal">
      <formula>"VERIFICAR CUADRO"</formula>
    </cfRule>
  </conditionalFormatting>
  <conditionalFormatting sqref="AC5441:AC5446">
    <cfRule type="cellIs" dxfId="1354" priority="1286" stopIfTrue="1" operator="greaterThan">
      <formula>0</formula>
    </cfRule>
  </conditionalFormatting>
  <conditionalFormatting sqref="AC5441:AC5446">
    <cfRule type="cellIs" dxfId="1353" priority="1285" stopIfTrue="1" operator="greaterThan">
      <formula>0</formula>
    </cfRule>
  </conditionalFormatting>
  <conditionalFormatting sqref="AD5441:AD5446">
    <cfRule type="containsText" dxfId="1352" priority="1283" stopIfTrue="1" operator="containsText" text="NO CUMPLE">
      <formula>NOT(ISERROR(SEARCH("NO CUMPLE",AD5441)))</formula>
    </cfRule>
    <cfRule type="containsText" dxfId="1351" priority="1284" stopIfTrue="1" operator="containsText" text="CUMPLE">
      <formula>NOT(ISERROR(SEARCH("CUMPLE",AD5441)))</formula>
    </cfRule>
  </conditionalFormatting>
  <conditionalFormatting sqref="Y5446">
    <cfRule type="containsText" dxfId="1350" priority="1281" stopIfTrue="1" operator="containsText" text="NO CUMPLE">
      <formula>NOT(ISERROR(SEARCH("NO CUMPLE",Y5446)))</formula>
    </cfRule>
    <cfRule type="containsText" dxfId="1349" priority="1282" stopIfTrue="1" operator="containsText" text="CUMPLE">
      <formula>NOT(ISERROR(SEARCH("CUMPLE",Y5446)))</formula>
    </cfRule>
  </conditionalFormatting>
  <conditionalFormatting sqref="AA5423:AA5432">
    <cfRule type="cellIs" dxfId="1348" priority="1279" stopIfTrue="1" operator="equal">
      <formula>"NO APLICA"</formula>
    </cfRule>
    <cfRule type="cellIs" dxfId="1347" priority="1280" stopIfTrue="1" operator="equal">
      <formula>"TERCIARIA"</formula>
    </cfRule>
  </conditionalFormatting>
  <conditionalFormatting sqref="AB5423:AB5432">
    <cfRule type="cellIs" dxfId="1346" priority="1277" stopIfTrue="1" operator="equal">
      <formula>"N/A"</formula>
    </cfRule>
    <cfRule type="cellIs" dxfId="1345" priority="1278" stopIfTrue="1" operator="equal">
      <formula>"NO"</formula>
    </cfRule>
  </conditionalFormatting>
  <conditionalFormatting sqref="M5453:M5462">
    <cfRule type="cellIs" dxfId="1344" priority="1276" stopIfTrue="1" operator="lessThan">
      <formula>0</formula>
    </cfRule>
  </conditionalFormatting>
  <conditionalFormatting sqref="C5455:D5461 B5454:B5461 F5455:I5461 C5454:I5454 B5462:O5462 B5453:R5453 Q5454:R5455 J5454:O5461 Q5456:Q5462 P5454:P5462">
    <cfRule type="cellIs" dxfId="1343" priority="1275" stopIfTrue="1" operator="greaterThan">
      <formula>0</formula>
    </cfRule>
  </conditionalFormatting>
  <conditionalFormatting sqref="C5455:D5461">
    <cfRule type="cellIs" dxfId="1342" priority="1274" stopIfTrue="1" operator="greaterThan">
      <formula>0</formula>
    </cfRule>
  </conditionalFormatting>
  <conditionalFormatting sqref="C5453:M5453 C5455:D5461 F5455:I5461 C5454:I5454 K5454:M5461 J5454:J5462 L5462:M5462">
    <cfRule type="cellIs" dxfId="1341" priority="1273" stopIfTrue="1" operator="greaterThan">
      <formula>0</formula>
    </cfRule>
  </conditionalFormatting>
  <conditionalFormatting sqref="M5453:M5462">
    <cfRule type="cellIs" dxfId="1340" priority="1272" stopIfTrue="1" operator="lessThan">
      <formula>0</formula>
    </cfRule>
  </conditionalFormatting>
  <conditionalFormatting sqref="J5454:J5462 L5454:O5462 C5453:O5453">
    <cfRule type="cellIs" dxfId="1339" priority="1271" stopIfTrue="1" operator="greaterThan">
      <formula>0</formula>
    </cfRule>
  </conditionalFormatting>
  <conditionalFormatting sqref="H5455:I5461 K5455:M5462">
    <cfRule type="cellIs" dxfId="1338" priority="1270" stopIfTrue="1" operator="greaterThan">
      <formula>0</formula>
    </cfRule>
  </conditionalFormatting>
  <conditionalFormatting sqref="I5454">
    <cfRule type="cellIs" dxfId="1337" priority="1269" stopIfTrue="1" operator="greaterThan">
      <formula>0</formula>
    </cfRule>
  </conditionalFormatting>
  <conditionalFormatting sqref="I5462">
    <cfRule type="cellIs" dxfId="1336" priority="1268" stopIfTrue="1" operator="greaterThan">
      <formula>0</formula>
    </cfRule>
  </conditionalFormatting>
  <conditionalFormatting sqref="E5455:E5461">
    <cfRule type="cellIs" dxfId="1335" priority="1267" stopIfTrue="1" operator="greaterThan">
      <formula>0</formula>
    </cfRule>
  </conditionalFormatting>
  <conditionalFormatting sqref="K5470:K5475">
    <cfRule type="containsText" dxfId="1334" priority="1265" stopIfTrue="1" operator="containsText" text="NO CUMPLE">
      <formula>NOT(ISERROR(SEARCH("NO CUMPLE",K5470)))</formula>
    </cfRule>
    <cfRule type="containsText" dxfId="1333" priority="1266" stopIfTrue="1" operator="containsText" text="CUMPLE">
      <formula>NOT(ISERROR(SEARCH("CUMPLE",K5470)))</formula>
    </cfRule>
  </conditionalFormatting>
  <conditionalFormatting sqref="K5476">
    <cfRule type="containsText" dxfId="1332" priority="1263" stopIfTrue="1" operator="containsText" text="NO CUMPLE">
      <formula>NOT(ISERROR(SEARCH("NO CUMPLE",K5476)))</formula>
    </cfRule>
    <cfRule type="containsText" dxfId="1331" priority="1264" stopIfTrue="1" operator="containsText" text="CUMPLE">
      <formula>NOT(ISERROR(SEARCH("CUMPLE",K5476)))</formula>
    </cfRule>
  </conditionalFormatting>
  <conditionalFormatting sqref="Q5469">
    <cfRule type="cellIs" dxfId="1330" priority="1261" operator="greaterThanOrEqual">
      <formula>NUMMINCONT</formula>
    </cfRule>
    <cfRule type="cellIs" dxfId="1329" priority="1262" operator="lessThan">
      <formula>NUMMINCONT</formula>
    </cfRule>
  </conditionalFormatting>
  <conditionalFormatting sqref="W5453:Y5461">
    <cfRule type="cellIs" dxfId="1328" priority="1259" stopIfTrue="1" operator="equal">
      <formula>"NO"</formula>
    </cfRule>
    <cfRule type="cellIs" dxfId="1327" priority="1260" stopIfTrue="1" operator="equal">
      <formula>"SI"</formula>
    </cfRule>
  </conditionalFormatting>
  <conditionalFormatting sqref="R5456">
    <cfRule type="cellIs" dxfId="1326" priority="1258" stopIfTrue="1" operator="greaterThan">
      <formula>0</formula>
    </cfRule>
  </conditionalFormatting>
  <conditionalFormatting sqref="R5457">
    <cfRule type="cellIs" dxfId="1325" priority="1257" stopIfTrue="1" operator="greaterThan">
      <formula>0</formula>
    </cfRule>
  </conditionalFormatting>
  <conditionalFormatting sqref="R5458">
    <cfRule type="cellIs" dxfId="1324" priority="1256" stopIfTrue="1" operator="greaterThan">
      <formula>0</formula>
    </cfRule>
  </conditionalFormatting>
  <conditionalFormatting sqref="R5459">
    <cfRule type="cellIs" dxfId="1323" priority="1255" stopIfTrue="1" operator="greaterThan">
      <formula>0</formula>
    </cfRule>
  </conditionalFormatting>
  <conditionalFormatting sqref="R5460">
    <cfRule type="cellIs" dxfId="1322" priority="1254" stopIfTrue="1" operator="greaterThan">
      <formula>0</formula>
    </cfRule>
  </conditionalFormatting>
  <conditionalFormatting sqref="R5461">
    <cfRule type="cellIs" dxfId="1321" priority="1253" stopIfTrue="1" operator="greaterThan">
      <formula>0</formula>
    </cfRule>
  </conditionalFormatting>
  <conditionalFormatting sqref="R5462">
    <cfRule type="cellIs" dxfId="1320" priority="1252" stopIfTrue="1" operator="greaterThan">
      <formula>0</formula>
    </cfRule>
  </conditionalFormatting>
  <conditionalFormatting sqref="W5453:X5453">
    <cfRule type="cellIs" dxfId="1319" priority="1251" stopIfTrue="1" operator="equal">
      <formula>"NO APLICA"</formula>
    </cfRule>
  </conditionalFormatting>
  <conditionalFormatting sqref="W5454:X5457">
    <cfRule type="cellIs" dxfId="1318" priority="1250" stopIfTrue="1" operator="equal">
      <formula>"NO APLICA"</formula>
    </cfRule>
  </conditionalFormatting>
  <conditionalFormatting sqref="W5454:X5454">
    <cfRule type="cellIs" dxfId="1317" priority="1249" stopIfTrue="1" operator="equal">
      <formula>"NO APLICA"</formula>
    </cfRule>
  </conditionalFormatting>
  <conditionalFormatting sqref="Y5453">
    <cfRule type="cellIs" dxfId="1316" priority="1248" stopIfTrue="1" operator="equal">
      <formula>"NO APLICA"</formula>
    </cfRule>
  </conditionalFormatting>
  <conditionalFormatting sqref="Y5454:Y5457">
    <cfRule type="cellIs" dxfId="1315" priority="1247" stopIfTrue="1" operator="equal">
      <formula>"NO APLICA"</formula>
    </cfRule>
  </conditionalFormatting>
  <conditionalFormatting sqref="W5458:X5461">
    <cfRule type="cellIs" dxfId="1314" priority="1246" stopIfTrue="1" operator="equal">
      <formula>"NO APLICA"</formula>
    </cfRule>
  </conditionalFormatting>
  <conditionalFormatting sqref="W5458:X5458">
    <cfRule type="cellIs" dxfId="1313" priority="1245" stopIfTrue="1" operator="equal">
      <formula>"NO APLICA"</formula>
    </cfRule>
  </conditionalFormatting>
  <conditionalFormatting sqref="Y5458:Y5461">
    <cfRule type="cellIs" dxfId="1312" priority="1244" stopIfTrue="1" operator="equal">
      <formula>"NO APLICA"</formula>
    </cfRule>
  </conditionalFormatting>
  <conditionalFormatting sqref="T5467">
    <cfRule type="cellIs" dxfId="1311" priority="1242" operator="equal">
      <formula>"CUMPLE"</formula>
    </cfRule>
    <cfRule type="cellIs" dxfId="1310" priority="1243" operator="equal">
      <formula>"NO CUMPLE"</formula>
    </cfRule>
  </conditionalFormatting>
  <conditionalFormatting sqref="T5467:T5469">
    <cfRule type="cellIs" dxfId="1309" priority="1241" operator="equal">
      <formula>"VERIFICAR"</formula>
    </cfRule>
  </conditionalFormatting>
  <conditionalFormatting sqref="AD5453:AF5457">
    <cfRule type="cellIs" dxfId="1308" priority="1239" stopIfTrue="1" operator="equal">
      <formula>"NO"</formula>
    </cfRule>
    <cfRule type="cellIs" dxfId="1307" priority="1240" stopIfTrue="1" operator="equal">
      <formula>"SI"</formula>
    </cfRule>
  </conditionalFormatting>
  <conditionalFormatting sqref="AD5458:AF5461">
    <cfRule type="cellIs" dxfId="1306" priority="1237" stopIfTrue="1" operator="equal">
      <formula>"NO"</formula>
    </cfRule>
    <cfRule type="cellIs" dxfId="1305" priority="1238" stopIfTrue="1" operator="equal">
      <formula>"SI"</formula>
    </cfRule>
  </conditionalFormatting>
  <conditionalFormatting sqref="W5462:Y5462">
    <cfRule type="cellIs" dxfId="1304" priority="1235" stopIfTrue="1" operator="equal">
      <formula>"NO"</formula>
    </cfRule>
    <cfRule type="cellIs" dxfId="1303" priority="1236" stopIfTrue="1" operator="equal">
      <formula>"SI"</formula>
    </cfRule>
  </conditionalFormatting>
  <conditionalFormatting sqref="W5462:X5462">
    <cfRule type="cellIs" dxfId="1302" priority="1234" stopIfTrue="1" operator="equal">
      <formula>"NO APLICA"</formula>
    </cfRule>
  </conditionalFormatting>
  <conditionalFormatting sqref="Y5462">
    <cfRule type="cellIs" dxfId="1301" priority="1233" stopIfTrue="1" operator="equal">
      <formula>"NO APLICA"</formula>
    </cfRule>
  </conditionalFormatting>
  <conditionalFormatting sqref="AD5462:AF5462">
    <cfRule type="cellIs" dxfId="1300" priority="1231" stopIfTrue="1" operator="equal">
      <formula>"NO"</formula>
    </cfRule>
    <cfRule type="cellIs" dxfId="1299" priority="1232" stopIfTrue="1" operator="equal">
      <formula>"SI"</formula>
    </cfRule>
  </conditionalFormatting>
  <conditionalFormatting sqref="AE5467">
    <cfRule type="cellIs" dxfId="1298" priority="1228" stopIfTrue="1" operator="equal">
      <formula>"VERIFICAR"</formula>
    </cfRule>
    <cfRule type="cellIs" dxfId="1297" priority="1229" stopIfTrue="1" operator="equal">
      <formula>"NO CUMPLE"</formula>
    </cfRule>
    <cfRule type="cellIs" dxfId="1296" priority="1230" stopIfTrue="1" operator="equal">
      <formula>"CUMPLE"</formula>
    </cfRule>
  </conditionalFormatting>
  <conditionalFormatting sqref="AF5467">
    <cfRule type="cellIs" dxfId="1295" priority="1225" stopIfTrue="1" operator="equal">
      <formula>"VERIFICAR"</formula>
    </cfRule>
    <cfRule type="cellIs" dxfId="1294" priority="1226" stopIfTrue="1" operator="equal">
      <formula>"NO CUMPLE"</formula>
    </cfRule>
    <cfRule type="cellIs" dxfId="1293" priority="1227" stopIfTrue="1" operator="equal">
      <formula>"CUMPLE"</formula>
    </cfRule>
  </conditionalFormatting>
  <conditionalFormatting sqref="Y5470">
    <cfRule type="cellIs" dxfId="1292" priority="1224" operator="equal">
      <formula>"VERIFICAR CUADRO"</formula>
    </cfRule>
  </conditionalFormatting>
  <conditionalFormatting sqref="AC5471:AC5476">
    <cfRule type="cellIs" dxfId="1291" priority="1223" stopIfTrue="1" operator="greaterThan">
      <formula>0</formula>
    </cfRule>
  </conditionalFormatting>
  <conditionalFormatting sqref="AC5471:AC5476">
    <cfRule type="cellIs" dxfId="1290" priority="1222" stopIfTrue="1" operator="greaterThan">
      <formula>0</formula>
    </cfRule>
  </conditionalFormatting>
  <conditionalFormatting sqref="AD5471:AD5476">
    <cfRule type="containsText" dxfId="1289" priority="1220" stopIfTrue="1" operator="containsText" text="NO CUMPLE">
      <formula>NOT(ISERROR(SEARCH("NO CUMPLE",AD5471)))</formula>
    </cfRule>
    <cfRule type="containsText" dxfId="1288" priority="1221" stopIfTrue="1" operator="containsText" text="CUMPLE">
      <formula>NOT(ISERROR(SEARCH("CUMPLE",AD5471)))</formula>
    </cfRule>
  </conditionalFormatting>
  <conditionalFormatting sqref="Y5476">
    <cfRule type="containsText" dxfId="1287" priority="1218" stopIfTrue="1" operator="containsText" text="NO CUMPLE">
      <formula>NOT(ISERROR(SEARCH("NO CUMPLE",Y5476)))</formula>
    </cfRule>
    <cfRule type="containsText" dxfId="1286" priority="1219" stopIfTrue="1" operator="containsText" text="CUMPLE">
      <formula>NOT(ISERROR(SEARCH("CUMPLE",Y5476)))</formula>
    </cfRule>
  </conditionalFormatting>
  <conditionalFormatting sqref="AA5453:AA5462">
    <cfRule type="cellIs" dxfId="1285" priority="1216" stopIfTrue="1" operator="equal">
      <formula>"NO APLICA"</formula>
    </cfRule>
    <cfRule type="cellIs" dxfId="1284" priority="1217" stopIfTrue="1" operator="equal">
      <formula>"TERCIARIA"</formula>
    </cfRule>
  </conditionalFormatting>
  <conditionalFormatting sqref="AB5453:AB5462">
    <cfRule type="cellIs" dxfId="1283" priority="1214" stopIfTrue="1" operator="equal">
      <formula>"N/A"</formula>
    </cfRule>
    <cfRule type="cellIs" dxfId="1282" priority="1215" stopIfTrue="1" operator="equal">
      <formula>"NO"</formula>
    </cfRule>
  </conditionalFormatting>
  <conditionalFormatting sqref="M5483:M5492">
    <cfRule type="cellIs" dxfId="1281" priority="1213" stopIfTrue="1" operator="lessThan">
      <formula>0</formula>
    </cfRule>
  </conditionalFormatting>
  <conditionalFormatting sqref="C5485:D5491 B5484:B5491 F5485:I5491 C5484:I5484 B5492:O5492 B5483:R5483 Q5484:R5485 J5484:O5491 Q5486:Q5492 P5484:P5492">
    <cfRule type="cellIs" dxfId="1280" priority="1212" stopIfTrue="1" operator="greaterThan">
      <formula>0</formula>
    </cfRule>
  </conditionalFormatting>
  <conditionalFormatting sqref="C5485:D5491">
    <cfRule type="cellIs" dxfId="1279" priority="1211" stopIfTrue="1" operator="greaterThan">
      <formula>0</formula>
    </cfRule>
  </conditionalFormatting>
  <conditionalFormatting sqref="C5483:M5483 C5485:D5491 F5485:I5491 C5484:I5484 K5484:M5491 J5484:J5492 L5492:M5492">
    <cfRule type="cellIs" dxfId="1278" priority="1210" stopIfTrue="1" operator="greaterThan">
      <formula>0</formula>
    </cfRule>
  </conditionalFormatting>
  <conditionalFormatting sqref="M5483:M5492">
    <cfRule type="cellIs" dxfId="1277" priority="1209" stopIfTrue="1" operator="lessThan">
      <formula>0</formula>
    </cfRule>
  </conditionalFormatting>
  <conditionalFormatting sqref="J5484:J5492 L5484:O5492 C5483:O5483">
    <cfRule type="cellIs" dxfId="1276" priority="1208" stopIfTrue="1" operator="greaterThan">
      <formula>0</formula>
    </cfRule>
  </conditionalFormatting>
  <conditionalFormatting sqref="H5485:I5491 K5485:M5492">
    <cfRule type="cellIs" dxfId="1275" priority="1207" stopIfTrue="1" operator="greaterThan">
      <formula>0</formula>
    </cfRule>
  </conditionalFormatting>
  <conditionalFormatting sqref="I5484">
    <cfRule type="cellIs" dxfId="1274" priority="1206" stopIfTrue="1" operator="greaterThan">
      <formula>0</formula>
    </cfRule>
  </conditionalFormatting>
  <conditionalFormatting sqref="I5492">
    <cfRule type="cellIs" dxfId="1273" priority="1205" stopIfTrue="1" operator="greaterThan">
      <formula>0</formula>
    </cfRule>
  </conditionalFormatting>
  <conditionalFormatting sqref="E5485:E5491">
    <cfRule type="cellIs" dxfId="1272" priority="1204" stopIfTrue="1" operator="greaterThan">
      <formula>0</formula>
    </cfRule>
  </conditionalFormatting>
  <conditionalFormatting sqref="K5500:K5505">
    <cfRule type="containsText" dxfId="1271" priority="1202" stopIfTrue="1" operator="containsText" text="NO CUMPLE">
      <formula>NOT(ISERROR(SEARCH("NO CUMPLE",K5500)))</formula>
    </cfRule>
    <cfRule type="containsText" dxfId="1270" priority="1203" stopIfTrue="1" operator="containsText" text="CUMPLE">
      <formula>NOT(ISERROR(SEARCH("CUMPLE",K5500)))</formula>
    </cfRule>
  </conditionalFormatting>
  <conditionalFormatting sqref="K5506">
    <cfRule type="containsText" dxfId="1269" priority="1200" stopIfTrue="1" operator="containsText" text="NO CUMPLE">
      <formula>NOT(ISERROR(SEARCH("NO CUMPLE",K5506)))</formula>
    </cfRule>
    <cfRule type="containsText" dxfId="1268" priority="1201" stopIfTrue="1" operator="containsText" text="CUMPLE">
      <formula>NOT(ISERROR(SEARCH("CUMPLE",K5506)))</formula>
    </cfRule>
  </conditionalFormatting>
  <conditionalFormatting sqref="Q5499">
    <cfRule type="cellIs" dxfId="1267" priority="1198" operator="greaterThanOrEqual">
      <formula>NUMMINCONT</formula>
    </cfRule>
    <cfRule type="cellIs" dxfId="1266" priority="1199" operator="lessThan">
      <formula>NUMMINCONT</formula>
    </cfRule>
  </conditionalFormatting>
  <conditionalFormatting sqref="W5483:Y5491">
    <cfRule type="cellIs" dxfId="1265" priority="1196" stopIfTrue="1" operator="equal">
      <formula>"NO"</formula>
    </cfRule>
    <cfRule type="cellIs" dxfId="1264" priority="1197" stopIfTrue="1" operator="equal">
      <formula>"SI"</formula>
    </cfRule>
  </conditionalFormatting>
  <conditionalFormatting sqref="R5486">
    <cfRule type="cellIs" dxfId="1263" priority="1195" stopIfTrue="1" operator="greaterThan">
      <formula>0</formula>
    </cfRule>
  </conditionalFormatting>
  <conditionalFormatting sqref="R5487">
    <cfRule type="cellIs" dxfId="1262" priority="1194" stopIfTrue="1" operator="greaterThan">
      <formula>0</formula>
    </cfRule>
  </conditionalFormatting>
  <conditionalFormatting sqref="R5488">
    <cfRule type="cellIs" dxfId="1261" priority="1193" stopIfTrue="1" operator="greaterThan">
      <formula>0</formula>
    </cfRule>
  </conditionalFormatting>
  <conditionalFormatting sqref="R5489">
    <cfRule type="cellIs" dxfId="1260" priority="1192" stopIfTrue="1" operator="greaterThan">
      <formula>0</formula>
    </cfRule>
  </conditionalFormatting>
  <conditionalFormatting sqref="R5490">
    <cfRule type="cellIs" dxfId="1259" priority="1191" stopIfTrue="1" operator="greaterThan">
      <formula>0</formula>
    </cfRule>
  </conditionalFormatting>
  <conditionalFormatting sqref="R5491">
    <cfRule type="cellIs" dxfId="1258" priority="1190" stopIfTrue="1" operator="greaterThan">
      <formula>0</formula>
    </cfRule>
  </conditionalFormatting>
  <conditionalFormatting sqref="R5492">
    <cfRule type="cellIs" dxfId="1257" priority="1189" stopIfTrue="1" operator="greaterThan">
      <formula>0</formula>
    </cfRule>
  </conditionalFormatting>
  <conditionalFormatting sqref="W5483:X5483">
    <cfRule type="cellIs" dxfId="1256" priority="1188" stopIfTrue="1" operator="equal">
      <formula>"NO APLICA"</formula>
    </cfRule>
  </conditionalFormatting>
  <conditionalFormatting sqref="W5484:X5487">
    <cfRule type="cellIs" dxfId="1255" priority="1187" stopIfTrue="1" operator="equal">
      <formula>"NO APLICA"</formula>
    </cfRule>
  </conditionalFormatting>
  <conditionalFormatting sqref="W5484:X5484">
    <cfRule type="cellIs" dxfId="1254" priority="1186" stopIfTrue="1" operator="equal">
      <formula>"NO APLICA"</formula>
    </cfRule>
  </conditionalFormatting>
  <conditionalFormatting sqref="Y5483">
    <cfRule type="cellIs" dxfId="1253" priority="1185" stopIfTrue="1" operator="equal">
      <formula>"NO APLICA"</formula>
    </cfRule>
  </conditionalFormatting>
  <conditionalFormatting sqref="Y5484:Y5487">
    <cfRule type="cellIs" dxfId="1252" priority="1184" stopIfTrue="1" operator="equal">
      <formula>"NO APLICA"</formula>
    </cfRule>
  </conditionalFormatting>
  <conditionalFormatting sqref="W5488:X5491">
    <cfRule type="cellIs" dxfId="1251" priority="1183" stopIfTrue="1" operator="equal">
      <formula>"NO APLICA"</formula>
    </cfRule>
  </conditionalFormatting>
  <conditionalFormatting sqref="W5488:X5488">
    <cfRule type="cellIs" dxfId="1250" priority="1182" stopIfTrue="1" operator="equal">
      <formula>"NO APLICA"</formula>
    </cfRule>
  </conditionalFormatting>
  <conditionalFormatting sqref="Y5488:Y5491">
    <cfRule type="cellIs" dxfId="1249" priority="1181" stopIfTrue="1" operator="equal">
      <formula>"NO APLICA"</formula>
    </cfRule>
  </conditionalFormatting>
  <conditionalFormatting sqref="T5497">
    <cfRule type="cellIs" dxfId="1248" priority="1179" operator="equal">
      <formula>"CUMPLE"</formula>
    </cfRule>
    <cfRule type="cellIs" dxfId="1247" priority="1180" operator="equal">
      <formula>"NO CUMPLE"</formula>
    </cfRule>
  </conditionalFormatting>
  <conditionalFormatting sqref="T5497:T5499">
    <cfRule type="cellIs" dxfId="1246" priority="1178" operator="equal">
      <formula>"VERIFICAR"</formula>
    </cfRule>
  </conditionalFormatting>
  <conditionalFormatting sqref="AD5483:AF5487">
    <cfRule type="cellIs" dxfId="1245" priority="1176" stopIfTrue="1" operator="equal">
      <formula>"NO"</formula>
    </cfRule>
    <cfRule type="cellIs" dxfId="1244" priority="1177" stopIfTrue="1" operator="equal">
      <formula>"SI"</formula>
    </cfRule>
  </conditionalFormatting>
  <conditionalFormatting sqref="AD5488:AF5491">
    <cfRule type="cellIs" dxfId="1243" priority="1174" stopIfTrue="1" operator="equal">
      <formula>"NO"</formula>
    </cfRule>
    <cfRule type="cellIs" dxfId="1242" priority="1175" stopIfTrue="1" operator="equal">
      <formula>"SI"</formula>
    </cfRule>
  </conditionalFormatting>
  <conditionalFormatting sqref="W5492:Y5492">
    <cfRule type="cellIs" dxfId="1241" priority="1172" stopIfTrue="1" operator="equal">
      <formula>"NO"</formula>
    </cfRule>
    <cfRule type="cellIs" dxfId="1240" priority="1173" stopIfTrue="1" operator="equal">
      <formula>"SI"</formula>
    </cfRule>
  </conditionalFormatting>
  <conditionalFormatting sqref="W5492:X5492">
    <cfRule type="cellIs" dxfId="1239" priority="1171" stopIfTrue="1" operator="equal">
      <formula>"NO APLICA"</formula>
    </cfRule>
  </conditionalFormatting>
  <conditionalFormatting sqref="Y5492">
    <cfRule type="cellIs" dxfId="1238" priority="1170" stopIfTrue="1" operator="equal">
      <formula>"NO APLICA"</formula>
    </cfRule>
  </conditionalFormatting>
  <conditionalFormatting sqref="AD5492:AF5492">
    <cfRule type="cellIs" dxfId="1237" priority="1168" stopIfTrue="1" operator="equal">
      <formula>"NO"</formula>
    </cfRule>
    <cfRule type="cellIs" dxfId="1236" priority="1169" stopIfTrue="1" operator="equal">
      <formula>"SI"</formula>
    </cfRule>
  </conditionalFormatting>
  <conditionalFormatting sqref="AE5497">
    <cfRule type="cellIs" dxfId="1235" priority="1165" stopIfTrue="1" operator="equal">
      <formula>"VERIFICAR"</formula>
    </cfRule>
    <cfRule type="cellIs" dxfId="1234" priority="1166" stopIfTrue="1" operator="equal">
      <formula>"NO CUMPLE"</formula>
    </cfRule>
    <cfRule type="cellIs" dxfId="1233" priority="1167" stopIfTrue="1" operator="equal">
      <formula>"CUMPLE"</formula>
    </cfRule>
  </conditionalFormatting>
  <conditionalFormatting sqref="AF5497">
    <cfRule type="cellIs" dxfId="1232" priority="1162" stopIfTrue="1" operator="equal">
      <formula>"VERIFICAR"</formula>
    </cfRule>
    <cfRule type="cellIs" dxfId="1231" priority="1163" stopIfTrue="1" operator="equal">
      <formula>"NO CUMPLE"</formula>
    </cfRule>
    <cfRule type="cellIs" dxfId="1230" priority="1164" stopIfTrue="1" operator="equal">
      <formula>"CUMPLE"</formula>
    </cfRule>
  </conditionalFormatting>
  <conditionalFormatting sqref="Y5500">
    <cfRule type="cellIs" dxfId="1229" priority="1161" operator="equal">
      <formula>"VERIFICAR CUADRO"</formula>
    </cfRule>
  </conditionalFormatting>
  <conditionalFormatting sqref="AC5501:AC5506">
    <cfRule type="cellIs" dxfId="1228" priority="1160" stopIfTrue="1" operator="greaterThan">
      <formula>0</formula>
    </cfRule>
  </conditionalFormatting>
  <conditionalFormatting sqref="AC5501:AC5506">
    <cfRule type="cellIs" dxfId="1227" priority="1159" stopIfTrue="1" operator="greaterThan">
      <formula>0</formula>
    </cfRule>
  </conditionalFormatting>
  <conditionalFormatting sqref="AD5501:AD5506">
    <cfRule type="containsText" dxfId="1226" priority="1157" stopIfTrue="1" operator="containsText" text="NO CUMPLE">
      <formula>NOT(ISERROR(SEARCH("NO CUMPLE",AD5501)))</formula>
    </cfRule>
    <cfRule type="containsText" dxfId="1225" priority="1158" stopIfTrue="1" operator="containsText" text="CUMPLE">
      <formula>NOT(ISERROR(SEARCH("CUMPLE",AD5501)))</formula>
    </cfRule>
  </conditionalFormatting>
  <conditionalFormatting sqref="Y5506">
    <cfRule type="containsText" dxfId="1224" priority="1155" stopIfTrue="1" operator="containsText" text="NO CUMPLE">
      <formula>NOT(ISERROR(SEARCH("NO CUMPLE",Y5506)))</formula>
    </cfRule>
    <cfRule type="containsText" dxfId="1223" priority="1156" stopIfTrue="1" operator="containsText" text="CUMPLE">
      <formula>NOT(ISERROR(SEARCH("CUMPLE",Y5506)))</formula>
    </cfRule>
  </conditionalFormatting>
  <conditionalFormatting sqref="AA5483:AA5492">
    <cfRule type="cellIs" dxfId="1222" priority="1153" stopIfTrue="1" operator="equal">
      <formula>"NO APLICA"</formula>
    </cfRule>
    <cfRule type="cellIs" dxfId="1221" priority="1154" stopIfTrue="1" operator="equal">
      <formula>"TERCIARIA"</formula>
    </cfRule>
  </conditionalFormatting>
  <conditionalFormatting sqref="AB5483:AB5492">
    <cfRule type="cellIs" dxfId="1220" priority="1151" stopIfTrue="1" operator="equal">
      <formula>"N/A"</formula>
    </cfRule>
    <cfRule type="cellIs" dxfId="1219" priority="1152" stopIfTrue="1" operator="equal">
      <formula>"NO"</formula>
    </cfRule>
  </conditionalFormatting>
  <conditionalFormatting sqref="M5513:M5522">
    <cfRule type="cellIs" dxfId="1218" priority="1150" stopIfTrue="1" operator="lessThan">
      <formula>0</formula>
    </cfRule>
  </conditionalFormatting>
  <conditionalFormatting sqref="C5515:D5521 B5514:B5521 F5515:I5521 C5514:I5514 B5522:O5522 B5513:R5513 Q5514:R5515 J5514:O5521 Q5516:Q5522 P5514:P5522">
    <cfRule type="cellIs" dxfId="1217" priority="1149" stopIfTrue="1" operator="greaterThan">
      <formula>0</formula>
    </cfRule>
  </conditionalFormatting>
  <conditionalFormatting sqref="C5515:D5521">
    <cfRule type="cellIs" dxfId="1216" priority="1148" stopIfTrue="1" operator="greaterThan">
      <formula>0</formula>
    </cfRule>
  </conditionalFormatting>
  <conditionalFormatting sqref="C5513:M5513 C5515:D5521 F5515:I5521 C5514:I5514 K5514:M5521 J5514:J5522 L5522:M5522">
    <cfRule type="cellIs" dxfId="1215" priority="1147" stopIfTrue="1" operator="greaterThan">
      <formula>0</formula>
    </cfRule>
  </conditionalFormatting>
  <conditionalFormatting sqref="M5513:M5522">
    <cfRule type="cellIs" dxfId="1214" priority="1146" stopIfTrue="1" operator="lessThan">
      <formula>0</formula>
    </cfRule>
  </conditionalFormatting>
  <conditionalFormatting sqref="J5514:J5522 L5514:O5522 C5513:O5513">
    <cfRule type="cellIs" dxfId="1213" priority="1145" stopIfTrue="1" operator="greaterThan">
      <formula>0</formula>
    </cfRule>
  </conditionalFormatting>
  <conditionalFormatting sqref="H5515:I5521 K5515:M5522">
    <cfRule type="cellIs" dxfId="1212" priority="1144" stopIfTrue="1" operator="greaterThan">
      <formula>0</formula>
    </cfRule>
  </conditionalFormatting>
  <conditionalFormatting sqref="I5514">
    <cfRule type="cellIs" dxfId="1211" priority="1143" stopIfTrue="1" operator="greaterThan">
      <formula>0</formula>
    </cfRule>
  </conditionalFormatting>
  <conditionalFormatting sqref="I5522">
    <cfRule type="cellIs" dxfId="1210" priority="1142" stopIfTrue="1" operator="greaterThan">
      <formula>0</formula>
    </cfRule>
  </conditionalFormatting>
  <conditionalFormatting sqref="E5515:E5521">
    <cfRule type="cellIs" dxfId="1209" priority="1141" stopIfTrue="1" operator="greaterThan">
      <formula>0</formula>
    </cfRule>
  </conditionalFormatting>
  <conditionalFormatting sqref="K5530:K5535">
    <cfRule type="containsText" dxfId="1208" priority="1139" stopIfTrue="1" operator="containsText" text="NO CUMPLE">
      <formula>NOT(ISERROR(SEARCH("NO CUMPLE",K5530)))</formula>
    </cfRule>
    <cfRule type="containsText" dxfId="1207" priority="1140" stopIfTrue="1" operator="containsText" text="CUMPLE">
      <formula>NOT(ISERROR(SEARCH("CUMPLE",K5530)))</formula>
    </cfRule>
  </conditionalFormatting>
  <conditionalFormatting sqref="K5536">
    <cfRule type="containsText" dxfId="1206" priority="1137" stopIfTrue="1" operator="containsText" text="NO CUMPLE">
      <formula>NOT(ISERROR(SEARCH("NO CUMPLE",K5536)))</formula>
    </cfRule>
    <cfRule type="containsText" dxfId="1205" priority="1138" stopIfTrue="1" operator="containsText" text="CUMPLE">
      <formula>NOT(ISERROR(SEARCH("CUMPLE",K5536)))</formula>
    </cfRule>
  </conditionalFormatting>
  <conditionalFormatting sqref="Q5529">
    <cfRule type="cellIs" dxfId="1204" priority="1135" operator="greaterThanOrEqual">
      <formula>NUMMINCONT</formula>
    </cfRule>
    <cfRule type="cellIs" dxfId="1203" priority="1136" operator="lessThan">
      <formula>NUMMINCONT</formula>
    </cfRule>
  </conditionalFormatting>
  <conditionalFormatting sqref="W5513:Y5521">
    <cfRule type="cellIs" dxfId="1202" priority="1133" stopIfTrue="1" operator="equal">
      <formula>"NO"</formula>
    </cfRule>
    <cfRule type="cellIs" dxfId="1201" priority="1134" stopIfTrue="1" operator="equal">
      <formula>"SI"</formula>
    </cfRule>
  </conditionalFormatting>
  <conditionalFormatting sqref="R5516">
    <cfRule type="cellIs" dxfId="1200" priority="1132" stopIfTrue="1" operator="greaterThan">
      <formula>0</formula>
    </cfRule>
  </conditionalFormatting>
  <conditionalFormatting sqref="R5517">
    <cfRule type="cellIs" dxfId="1199" priority="1131" stopIfTrue="1" operator="greaterThan">
      <formula>0</formula>
    </cfRule>
  </conditionalFormatting>
  <conditionalFormatting sqref="R5518">
    <cfRule type="cellIs" dxfId="1198" priority="1130" stopIfTrue="1" operator="greaterThan">
      <formula>0</formula>
    </cfRule>
  </conditionalFormatting>
  <conditionalFormatting sqref="R5519">
    <cfRule type="cellIs" dxfId="1197" priority="1129" stopIfTrue="1" operator="greaterThan">
      <formula>0</formula>
    </cfRule>
  </conditionalFormatting>
  <conditionalFormatting sqref="R5520">
    <cfRule type="cellIs" dxfId="1196" priority="1128" stopIfTrue="1" operator="greaterThan">
      <formula>0</formula>
    </cfRule>
  </conditionalFormatting>
  <conditionalFormatting sqref="R5521">
    <cfRule type="cellIs" dxfId="1195" priority="1127" stopIfTrue="1" operator="greaterThan">
      <formula>0</formula>
    </cfRule>
  </conditionalFormatting>
  <conditionalFormatting sqref="R5522">
    <cfRule type="cellIs" dxfId="1194" priority="1126" stopIfTrue="1" operator="greaterThan">
      <formula>0</formula>
    </cfRule>
  </conditionalFormatting>
  <conditionalFormatting sqref="W5513:X5513">
    <cfRule type="cellIs" dxfId="1193" priority="1125" stopIfTrue="1" operator="equal">
      <formula>"NO APLICA"</formula>
    </cfRule>
  </conditionalFormatting>
  <conditionalFormatting sqref="W5514:X5517">
    <cfRule type="cellIs" dxfId="1192" priority="1124" stopIfTrue="1" operator="equal">
      <formula>"NO APLICA"</formula>
    </cfRule>
  </conditionalFormatting>
  <conditionalFormatting sqref="W5514:X5514">
    <cfRule type="cellIs" dxfId="1191" priority="1123" stopIfTrue="1" operator="equal">
      <formula>"NO APLICA"</formula>
    </cfRule>
  </conditionalFormatting>
  <conditionalFormatting sqref="Y5513">
    <cfRule type="cellIs" dxfId="1190" priority="1122" stopIfTrue="1" operator="equal">
      <formula>"NO APLICA"</formula>
    </cfRule>
  </conditionalFormatting>
  <conditionalFormatting sqref="Y5514:Y5517">
    <cfRule type="cellIs" dxfId="1189" priority="1121" stopIfTrue="1" operator="equal">
      <formula>"NO APLICA"</formula>
    </cfRule>
  </conditionalFormatting>
  <conditionalFormatting sqref="W5518:X5521">
    <cfRule type="cellIs" dxfId="1188" priority="1120" stopIfTrue="1" operator="equal">
      <formula>"NO APLICA"</formula>
    </cfRule>
  </conditionalFormatting>
  <conditionalFormatting sqref="W5518:X5518">
    <cfRule type="cellIs" dxfId="1187" priority="1119" stopIfTrue="1" operator="equal">
      <formula>"NO APLICA"</formula>
    </cfRule>
  </conditionalFormatting>
  <conditionalFormatting sqref="Y5518:Y5521">
    <cfRule type="cellIs" dxfId="1186" priority="1118" stopIfTrue="1" operator="equal">
      <formula>"NO APLICA"</formula>
    </cfRule>
  </conditionalFormatting>
  <conditionalFormatting sqref="T5527">
    <cfRule type="cellIs" dxfId="1185" priority="1116" operator="equal">
      <formula>"CUMPLE"</formula>
    </cfRule>
    <cfRule type="cellIs" dxfId="1184" priority="1117" operator="equal">
      <formula>"NO CUMPLE"</formula>
    </cfRule>
  </conditionalFormatting>
  <conditionalFormatting sqref="T5527:T5529">
    <cfRule type="cellIs" dxfId="1183" priority="1115" operator="equal">
      <formula>"VERIFICAR"</formula>
    </cfRule>
  </conditionalFormatting>
  <conditionalFormatting sqref="AD5513:AF5517">
    <cfRule type="cellIs" dxfId="1182" priority="1113" stopIfTrue="1" operator="equal">
      <formula>"NO"</formula>
    </cfRule>
    <cfRule type="cellIs" dxfId="1181" priority="1114" stopIfTrue="1" operator="equal">
      <formula>"SI"</formula>
    </cfRule>
  </conditionalFormatting>
  <conditionalFormatting sqref="AD5518:AF5521">
    <cfRule type="cellIs" dxfId="1180" priority="1111" stopIfTrue="1" operator="equal">
      <formula>"NO"</formula>
    </cfRule>
    <cfRule type="cellIs" dxfId="1179" priority="1112" stopIfTrue="1" operator="equal">
      <formula>"SI"</formula>
    </cfRule>
  </conditionalFormatting>
  <conditionalFormatting sqref="W5522:Y5522">
    <cfRule type="cellIs" dxfId="1178" priority="1109" stopIfTrue="1" operator="equal">
      <formula>"NO"</formula>
    </cfRule>
    <cfRule type="cellIs" dxfId="1177" priority="1110" stopIfTrue="1" operator="equal">
      <formula>"SI"</formula>
    </cfRule>
  </conditionalFormatting>
  <conditionalFormatting sqref="W5522:X5522">
    <cfRule type="cellIs" dxfId="1176" priority="1108" stopIfTrue="1" operator="equal">
      <formula>"NO APLICA"</formula>
    </cfRule>
  </conditionalFormatting>
  <conditionalFormatting sqref="Y5522">
    <cfRule type="cellIs" dxfId="1175" priority="1107" stopIfTrue="1" operator="equal">
      <formula>"NO APLICA"</formula>
    </cfRule>
  </conditionalFormatting>
  <conditionalFormatting sqref="AD5522:AF5522">
    <cfRule type="cellIs" dxfId="1174" priority="1105" stopIfTrue="1" operator="equal">
      <formula>"NO"</formula>
    </cfRule>
    <cfRule type="cellIs" dxfId="1173" priority="1106" stopIfTrue="1" operator="equal">
      <formula>"SI"</formula>
    </cfRule>
  </conditionalFormatting>
  <conditionalFormatting sqref="AE5527">
    <cfRule type="cellIs" dxfId="1172" priority="1102" stopIfTrue="1" operator="equal">
      <formula>"VERIFICAR"</formula>
    </cfRule>
    <cfRule type="cellIs" dxfId="1171" priority="1103" stopIfTrue="1" operator="equal">
      <formula>"NO CUMPLE"</formula>
    </cfRule>
    <cfRule type="cellIs" dxfId="1170" priority="1104" stopIfTrue="1" operator="equal">
      <formula>"CUMPLE"</formula>
    </cfRule>
  </conditionalFormatting>
  <conditionalFormatting sqref="AF5527">
    <cfRule type="cellIs" dxfId="1169" priority="1099" stopIfTrue="1" operator="equal">
      <formula>"VERIFICAR"</formula>
    </cfRule>
    <cfRule type="cellIs" dxfId="1168" priority="1100" stopIfTrue="1" operator="equal">
      <formula>"NO CUMPLE"</formula>
    </cfRule>
    <cfRule type="cellIs" dxfId="1167" priority="1101" stopIfTrue="1" operator="equal">
      <formula>"CUMPLE"</formula>
    </cfRule>
  </conditionalFormatting>
  <conditionalFormatting sqref="Y5530">
    <cfRule type="cellIs" dxfId="1166" priority="1098" operator="equal">
      <formula>"VERIFICAR CUADRO"</formula>
    </cfRule>
  </conditionalFormatting>
  <conditionalFormatting sqref="AC5531:AC5536">
    <cfRule type="cellIs" dxfId="1165" priority="1097" stopIfTrue="1" operator="greaterThan">
      <formula>0</formula>
    </cfRule>
  </conditionalFormatting>
  <conditionalFormatting sqref="AC5531:AC5536">
    <cfRule type="cellIs" dxfId="1164" priority="1096" stopIfTrue="1" operator="greaterThan">
      <formula>0</formula>
    </cfRule>
  </conditionalFormatting>
  <conditionalFormatting sqref="AD5531:AD5536">
    <cfRule type="containsText" dxfId="1163" priority="1094" stopIfTrue="1" operator="containsText" text="NO CUMPLE">
      <formula>NOT(ISERROR(SEARCH("NO CUMPLE",AD5531)))</formula>
    </cfRule>
    <cfRule type="containsText" dxfId="1162" priority="1095" stopIfTrue="1" operator="containsText" text="CUMPLE">
      <formula>NOT(ISERROR(SEARCH("CUMPLE",AD5531)))</formula>
    </cfRule>
  </conditionalFormatting>
  <conditionalFormatting sqref="Y5536">
    <cfRule type="containsText" dxfId="1161" priority="1092" stopIfTrue="1" operator="containsText" text="NO CUMPLE">
      <formula>NOT(ISERROR(SEARCH("NO CUMPLE",Y5536)))</formula>
    </cfRule>
    <cfRule type="containsText" dxfId="1160" priority="1093" stopIfTrue="1" operator="containsText" text="CUMPLE">
      <formula>NOT(ISERROR(SEARCH("CUMPLE",Y5536)))</formula>
    </cfRule>
  </conditionalFormatting>
  <conditionalFormatting sqref="AA5513:AA5522">
    <cfRule type="cellIs" dxfId="1159" priority="1090" stopIfTrue="1" operator="equal">
      <formula>"NO APLICA"</formula>
    </cfRule>
    <cfRule type="cellIs" dxfId="1158" priority="1091" stopIfTrue="1" operator="equal">
      <formula>"TERCIARIA"</formula>
    </cfRule>
  </conditionalFormatting>
  <conditionalFormatting sqref="AB5513:AB5522">
    <cfRule type="cellIs" dxfId="1157" priority="1088" stopIfTrue="1" operator="equal">
      <formula>"N/A"</formula>
    </cfRule>
    <cfRule type="cellIs" dxfId="1156" priority="1089" stopIfTrue="1" operator="equal">
      <formula>"NO"</formula>
    </cfRule>
  </conditionalFormatting>
  <conditionalFormatting sqref="M5543:M5552">
    <cfRule type="cellIs" dxfId="1155" priority="1087" stopIfTrue="1" operator="lessThan">
      <formula>0</formula>
    </cfRule>
  </conditionalFormatting>
  <conditionalFormatting sqref="C5545:D5551 B5544:B5551 F5545:I5551 C5544:I5544 B5552:O5552 B5543:R5543 Q5544:R5545 J5544:O5551 Q5546:Q5552 P5544:P5552">
    <cfRule type="cellIs" dxfId="1154" priority="1086" stopIfTrue="1" operator="greaterThan">
      <formula>0</formula>
    </cfRule>
  </conditionalFormatting>
  <conditionalFormatting sqref="C5545:D5551">
    <cfRule type="cellIs" dxfId="1153" priority="1085" stopIfTrue="1" operator="greaterThan">
      <formula>0</formula>
    </cfRule>
  </conditionalFormatting>
  <conditionalFormatting sqref="C5543:M5543 C5545:D5551 F5545:I5551 C5544:I5544 K5544:M5551 J5544:J5552 L5552:M5552">
    <cfRule type="cellIs" dxfId="1152" priority="1084" stopIfTrue="1" operator="greaterThan">
      <formula>0</formula>
    </cfRule>
  </conditionalFormatting>
  <conditionalFormatting sqref="M5543:M5552">
    <cfRule type="cellIs" dxfId="1151" priority="1083" stopIfTrue="1" operator="lessThan">
      <formula>0</formula>
    </cfRule>
  </conditionalFormatting>
  <conditionalFormatting sqref="J5544:J5552 L5544:O5552 C5543:O5543">
    <cfRule type="cellIs" dxfId="1150" priority="1082" stopIfTrue="1" operator="greaterThan">
      <formula>0</formula>
    </cfRule>
  </conditionalFormatting>
  <conditionalFormatting sqref="H5545:I5551 K5545:M5552">
    <cfRule type="cellIs" dxfId="1149" priority="1081" stopIfTrue="1" operator="greaterThan">
      <formula>0</formula>
    </cfRule>
  </conditionalFormatting>
  <conditionalFormatting sqref="I5544">
    <cfRule type="cellIs" dxfId="1148" priority="1080" stopIfTrue="1" operator="greaterThan">
      <formula>0</formula>
    </cfRule>
  </conditionalFormatting>
  <conditionalFormatting sqref="I5552">
    <cfRule type="cellIs" dxfId="1147" priority="1079" stopIfTrue="1" operator="greaterThan">
      <formula>0</formula>
    </cfRule>
  </conditionalFormatting>
  <conditionalFormatting sqref="E5545:E5551">
    <cfRule type="cellIs" dxfId="1146" priority="1078" stopIfTrue="1" operator="greaterThan">
      <formula>0</formula>
    </cfRule>
  </conditionalFormatting>
  <conditionalFormatting sqref="K5560:K5565">
    <cfRule type="containsText" dxfId="1145" priority="1076" stopIfTrue="1" operator="containsText" text="NO CUMPLE">
      <formula>NOT(ISERROR(SEARCH("NO CUMPLE",K5560)))</formula>
    </cfRule>
    <cfRule type="containsText" dxfId="1144" priority="1077" stopIfTrue="1" operator="containsText" text="CUMPLE">
      <formula>NOT(ISERROR(SEARCH("CUMPLE",K5560)))</formula>
    </cfRule>
  </conditionalFormatting>
  <conditionalFormatting sqref="K5566">
    <cfRule type="containsText" dxfId="1143" priority="1074" stopIfTrue="1" operator="containsText" text="NO CUMPLE">
      <formula>NOT(ISERROR(SEARCH("NO CUMPLE",K5566)))</formula>
    </cfRule>
    <cfRule type="containsText" dxfId="1142" priority="1075" stopIfTrue="1" operator="containsText" text="CUMPLE">
      <formula>NOT(ISERROR(SEARCH("CUMPLE",K5566)))</formula>
    </cfRule>
  </conditionalFormatting>
  <conditionalFormatting sqref="Q5559">
    <cfRule type="cellIs" dxfId="1141" priority="1072" operator="greaterThanOrEqual">
      <formula>NUMMINCONT</formula>
    </cfRule>
    <cfRule type="cellIs" dxfId="1140" priority="1073" operator="lessThan">
      <formula>NUMMINCONT</formula>
    </cfRule>
  </conditionalFormatting>
  <conditionalFormatting sqref="W5543:Y5551">
    <cfRule type="cellIs" dxfId="1139" priority="1070" stopIfTrue="1" operator="equal">
      <formula>"NO"</formula>
    </cfRule>
    <cfRule type="cellIs" dxfId="1138" priority="1071" stopIfTrue="1" operator="equal">
      <formula>"SI"</formula>
    </cfRule>
  </conditionalFormatting>
  <conditionalFormatting sqref="R5546">
    <cfRule type="cellIs" dxfId="1137" priority="1069" stopIfTrue="1" operator="greaterThan">
      <formula>0</formula>
    </cfRule>
  </conditionalFormatting>
  <conditionalFormatting sqref="R5547">
    <cfRule type="cellIs" dxfId="1136" priority="1068" stopIfTrue="1" operator="greaterThan">
      <formula>0</formula>
    </cfRule>
  </conditionalFormatting>
  <conditionalFormatting sqref="R5548">
    <cfRule type="cellIs" dxfId="1135" priority="1067" stopIfTrue="1" operator="greaterThan">
      <formula>0</formula>
    </cfRule>
  </conditionalFormatting>
  <conditionalFormatting sqref="R5549">
    <cfRule type="cellIs" dxfId="1134" priority="1066" stopIfTrue="1" operator="greaterThan">
      <formula>0</formula>
    </cfRule>
  </conditionalFormatting>
  <conditionalFormatting sqref="R5550">
    <cfRule type="cellIs" dxfId="1133" priority="1065" stopIfTrue="1" operator="greaterThan">
      <formula>0</formula>
    </cfRule>
  </conditionalFormatting>
  <conditionalFormatting sqref="R5551">
    <cfRule type="cellIs" dxfId="1132" priority="1064" stopIfTrue="1" operator="greaterThan">
      <formula>0</formula>
    </cfRule>
  </conditionalFormatting>
  <conditionalFormatting sqref="R5552">
    <cfRule type="cellIs" dxfId="1131" priority="1063" stopIfTrue="1" operator="greaterThan">
      <formula>0</formula>
    </cfRule>
  </conditionalFormatting>
  <conditionalFormatting sqref="W5543:X5543">
    <cfRule type="cellIs" dxfId="1130" priority="1062" stopIfTrue="1" operator="equal">
      <formula>"NO APLICA"</formula>
    </cfRule>
  </conditionalFormatting>
  <conditionalFormatting sqref="W5544:X5547">
    <cfRule type="cellIs" dxfId="1129" priority="1061" stopIfTrue="1" operator="equal">
      <formula>"NO APLICA"</formula>
    </cfRule>
  </conditionalFormatting>
  <conditionalFormatting sqref="W5544:X5544">
    <cfRule type="cellIs" dxfId="1128" priority="1060" stopIfTrue="1" operator="equal">
      <formula>"NO APLICA"</formula>
    </cfRule>
  </conditionalFormatting>
  <conditionalFormatting sqref="Y5543">
    <cfRule type="cellIs" dxfId="1127" priority="1059" stopIfTrue="1" operator="equal">
      <formula>"NO APLICA"</formula>
    </cfRule>
  </conditionalFormatting>
  <conditionalFormatting sqref="Y5544:Y5547">
    <cfRule type="cellIs" dxfId="1126" priority="1058" stopIfTrue="1" operator="equal">
      <formula>"NO APLICA"</formula>
    </cfRule>
  </conditionalFormatting>
  <conditionalFormatting sqref="W5548:X5551">
    <cfRule type="cellIs" dxfId="1125" priority="1057" stopIfTrue="1" operator="equal">
      <formula>"NO APLICA"</formula>
    </cfRule>
  </conditionalFormatting>
  <conditionalFormatting sqref="W5548:X5548">
    <cfRule type="cellIs" dxfId="1124" priority="1056" stopIfTrue="1" operator="equal">
      <formula>"NO APLICA"</formula>
    </cfRule>
  </conditionalFormatting>
  <conditionalFormatting sqref="Y5548:Y5551">
    <cfRule type="cellIs" dxfId="1123" priority="1055" stopIfTrue="1" operator="equal">
      <formula>"NO APLICA"</formula>
    </cfRule>
  </conditionalFormatting>
  <conditionalFormatting sqref="T5557">
    <cfRule type="cellIs" dxfId="1122" priority="1053" operator="equal">
      <formula>"CUMPLE"</formula>
    </cfRule>
    <cfRule type="cellIs" dxfId="1121" priority="1054" operator="equal">
      <formula>"NO CUMPLE"</formula>
    </cfRule>
  </conditionalFormatting>
  <conditionalFormatting sqref="T5557:T5559">
    <cfRule type="cellIs" dxfId="1120" priority="1052" operator="equal">
      <formula>"VERIFICAR"</formula>
    </cfRule>
  </conditionalFormatting>
  <conditionalFormatting sqref="AD5543:AF5547">
    <cfRule type="cellIs" dxfId="1119" priority="1050" stopIfTrue="1" operator="equal">
      <formula>"NO"</formula>
    </cfRule>
    <cfRule type="cellIs" dxfId="1118" priority="1051" stopIfTrue="1" operator="equal">
      <formula>"SI"</formula>
    </cfRule>
  </conditionalFormatting>
  <conditionalFormatting sqref="AD5548:AF5551">
    <cfRule type="cellIs" dxfId="1117" priority="1048" stopIfTrue="1" operator="equal">
      <formula>"NO"</formula>
    </cfRule>
    <cfRule type="cellIs" dxfId="1116" priority="1049" stopIfTrue="1" operator="equal">
      <formula>"SI"</formula>
    </cfRule>
  </conditionalFormatting>
  <conditionalFormatting sqref="W5552:Y5552">
    <cfRule type="cellIs" dxfId="1115" priority="1046" stopIfTrue="1" operator="equal">
      <formula>"NO"</formula>
    </cfRule>
    <cfRule type="cellIs" dxfId="1114" priority="1047" stopIfTrue="1" operator="equal">
      <formula>"SI"</formula>
    </cfRule>
  </conditionalFormatting>
  <conditionalFormatting sqref="W5552:X5552">
    <cfRule type="cellIs" dxfId="1113" priority="1045" stopIfTrue="1" operator="equal">
      <formula>"NO APLICA"</formula>
    </cfRule>
  </conditionalFormatting>
  <conditionalFormatting sqref="Y5552">
    <cfRule type="cellIs" dxfId="1112" priority="1044" stopIfTrue="1" operator="equal">
      <formula>"NO APLICA"</formula>
    </cfRule>
  </conditionalFormatting>
  <conditionalFormatting sqref="AD5552:AF5552">
    <cfRule type="cellIs" dxfId="1111" priority="1042" stopIfTrue="1" operator="equal">
      <formula>"NO"</formula>
    </cfRule>
    <cfRule type="cellIs" dxfId="1110" priority="1043" stopIfTrue="1" operator="equal">
      <formula>"SI"</formula>
    </cfRule>
  </conditionalFormatting>
  <conditionalFormatting sqref="AE5557">
    <cfRule type="cellIs" dxfId="1109" priority="1039" stopIfTrue="1" operator="equal">
      <formula>"VERIFICAR"</formula>
    </cfRule>
    <cfRule type="cellIs" dxfId="1108" priority="1040" stopIfTrue="1" operator="equal">
      <formula>"NO CUMPLE"</formula>
    </cfRule>
    <cfRule type="cellIs" dxfId="1107" priority="1041" stopIfTrue="1" operator="equal">
      <formula>"CUMPLE"</formula>
    </cfRule>
  </conditionalFormatting>
  <conditionalFormatting sqref="AF5557">
    <cfRule type="cellIs" dxfId="1106" priority="1036" stopIfTrue="1" operator="equal">
      <formula>"VERIFICAR"</formula>
    </cfRule>
    <cfRule type="cellIs" dxfId="1105" priority="1037" stopIfTrue="1" operator="equal">
      <formula>"NO CUMPLE"</formula>
    </cfRule>
    <cfRule type="cellIs" dxfId="1104" priority="1038" stopIfTrue="1" operator="equal">
      <formula>"CUMPLE"</formula>
    </cfRule>
  </conditionalFormatting>
  <conditionalFormatting sqref="Y5560">
    <cfRule type="cellIs" dxfId="1103" priority="1035" operator="equal">
      <formula>"VERIFICAR CUADRO"</formula>
    </cfRule>
  </conditionalFormatting>
  <conditionalFormatting sqref="AC5561:AC5566">
    <cfRule type="cellIs" dxfId="1102" priority="1034" stopIfTrue="1" operator="greaterThan">
      <formula>0</formula>
    </cfRule>
  </conditionalFormatting>
  <conditionalFormatting sqref="AC5561:AC5566">
    <cfRule type="cellIs" dxfId="1101" priority="1033" stopIfTrue="1" operator="greaterThan">
      <formula>0</formula>
    </cfRule>
  </conditionalFormatting>
  <conditionalFormatting sqref="AD5561:AD5566">
    <cfRule type="containsText" dxfId="1100" priority="1031" stopIfTrue="1" operator="containsText" text="NO CUMPLE">
      <formula>NOT(ISERROR(SEARCH("NO CUMPLE",AD5561)))</formula>
    </cfRule>
    <cfRule type="containsText" dxfId="1099" priority="1032" stopIfTrue="1" operator="containsText" text="CUMPLE">
      <formula>NOT(ISERROR(SEARCH("CUMPLE",AD5561)))</formula>
    </cfRule>
  </conditionalFormatting>
  <conditionalFormatting sqref="Y5566">
    <cfRule type="containsText" dxfId="1098" priority="1029" stopIfTrue="1" operator="containsText" text="NO CUMPLE">
      <formula>NOT(ISERROR(SEARCH("NO CUMPLE",Y5566)))</formula>
    </cfRule>
    <cfRule type="containsText" dxfId="1097" priority="1030" stopIfTrue="1" operator="containsText" text="CUMPLE">
      <formula>NOT(ISERROR(SEARCH("CUMPLE",Y5566)))</formula>
    </cfRule>
  </conditionalFormatting>
  <conditionalFormatting sqref="AA5543:AA5552">
    <cfRule type="cellIs" dxfId="1096" priority="1027" stopIfTrue="1" operator="equal">
      <formula>"NO APLICA"</formula>
    </cfRule>
    <cfRule type="cellIs" dxfId="1095" priority="1028" stopIfTrue="1" operator="equal">
      <formula>"TERCIARIA"</formula>
    </cfRule>
  </conditionalFormatting>
  <conditionalFormatting sqref="AB5543:AB5552">
    <cfRule type="cellIs" dxfId="1094" priority="1025" stopIfTrue="1" operator="equal">
      <formula>"N/A"</formula>
    </cfRule>
    <cfRule type="cellIs" dxfId="1093" priority="1026" stopIfTrue="1" operator="equal">
      <formula>"NO"</formula>
    </cfRule>
  </conditionalFormatting>
  <conditionalFormatting sqref="M5573:M5582">
    <cfRule type="cellIs" dxfId="1092" priority="1024" stopIfTrue="1" operator="lessThan">
      <formula>0</formula>
    </cfRule>
  </conditionalFormatting>
  <conditionalFormatting sqref="C5575:D5581 B5574:B5581 F5575:I5581 C5574:I5574 B5582:O5582 B5573:R5573 Q5574:R5575 J5574:O5581 Q5576:Q5582 P5574:P5582">
    <cfRule type="cellIs" dxfId="1091" priority="1023" stopIfTrue="1" operator="greaterThan">
      <formula>0</formula>
    </cfRule>
  </conditionalFormatting>
  <conditionalFormatting sqref="C5575:D5581">
    <cfRule type="cellIs" dxfId="1090" priority="1022" stopIfTrue="1" operator="greaterThan">
      <formula>0</formula>
    </cfRule>
  </conditionalFormatting>
  <conditionalFormatting sqref="C5573:M5573 C5575:D5581 F5575:I5581 C5574:I5574 K5574:M5581 J5574:J5582 L5582:M5582">
    <cfRule type="cellIs" dxfId="1089" priority="1021" stopIfTrue="1" operator="greaterThan">
      <formula>0</formula>
    </cfRule>
  </conditionalFormatting>
  <conditionalFormatting sqref="M5573:M5582">
    <cfRule type="cellIs" dxfId="1088" priority="1020" stopIfTrue="1" operator="lessThan">
      <formula>0</formula>
    </cfRule>
  </conditionalFormatting>
  <conditionalFormatting sqref="J5574:J5582 L5574:O5582 C5573:O5573">
    <cfRule type="cellIs" dxfId="1087" priority="1019" stopIfTrue="1" operator="greaterThan">
      <formula>0</formula>
    </cfRule>
  </conditionalFormatting>
  <conditionalFormatting sqref="H5575:I5581 K5575:M5582">
    <cfRule type="cellIs" dxfId="1086" priority="1018" stopIfTrue="1" operator="greaterThan">
      <formula>0</formula>
    </cfRule>
  </conditionalFormatting>
  <conditionalFormatting sqref="I5574">
    <cfRule type="cellIs" dxfId="1085" priority="1017" stopIfTrue="1" operator="greaterThan">
      <formula>0</formula>
    </cfRule>
  </conditionalFormatting>
  <conditionalFormatting sqref="I5582">
    <cfRule type="cellIs" dxfId="1084" priority="1016" stopIfTrue="1" operator="greaterThan">
      <formula>0</formula>
    </cfRule>
  </conditionalFormatting>
  <conditionalFormatting sqref="E5575:E5581">
    <cfRule type="cellIs" dxfId="1083" priority="1015" stopIfTrue="1" operator="greaterThan">
      <formula>0</formula>
    </cfRule>
  </conditionalFormatting>
  <conditionalFormatting sqref="K5590:K5595">
    <cfRule type="containsText" dxfId="1082" priority="1013" stopIfTrue="1" operator="containsText" text="NO CUMPLE">
      <formula>NOT(ISERROR(SEARCH("NO CUMPLE",K5590)))</formula>
    </cfRule>
    <cfRule type="containsText" dxfId="1081" priority="1014" stopIfTrue="1" operator="containsText" text="CUMPLE">
      <formula>NOT(ISERROR(SEARCH("CUMPLE",K5590)))</formula>
    </cfRule>
  </conditionalFormatting>
  <conditionalFormatting sqref="K5596">
    <cfRule type="containsText" dxfId="1080" priority="1011" stopIfTrue="1" operator="containsText" text="NO CUMPLE">
      <formula>NOT(ISERROR(SEARCH("NO CUMPLE",K5596)))</formula>
    </cfRule>
    <cfRule type="containsText" dxfId="1079" priority="1012" stopIfTrue="1" operator="containsText" text="CUMPLE">
      <formula>NOT(ISERROR(SEARCH("CUMPLE",K5596)))</formula>
    </cfRule>
  </conditionalFormatting>
  <conditionalFormatting sqref="Q5589">
    <cfRule type="cellIs" dxfId="1078" priority="1009" operator="greaterThanOrEqual">
      <formula>NUMMINCONT</formula>
    </cfRule>
    <cfRule type="cellIs" dxfId="1077" priority="1010" operator="lessThan">
      <formula>NUMMINCONT</formula>
    </cfRule>
  </conditionalFormatting>
  <conditionalFormatting sqref="W5573:Y5581">
    <cfRule type="cellIs" dxfId="1076" priority="1007" stopIfTrue="1" operator="equal">
      <formula>"NO"</formula>
    </cfRule>
    <cfRule type="cellIs" dxfId="1075" priority="1008" stopIfTrue="1" operator="equal">
      <formula>"SI"</formula>
    </cfRule>
  </conditionalFormatting>
  <conditionalFormatting sqref="R5576">
    <cfRule type="cellIs" dxfId="1074" priority="1006" stopIfTrue="1" operator="greaterThan">
      <formula>0</formula>
    </cfRule>
  </conditionalFormatting>
  <conditionalFormatting sqref="R5577">
    <cfRule type="cellIs" dxfId="1073" priority="1005" stopIfTrue="1" operator="greaterThan">
      <formula>0</formula>
    </cfRule>
  </conditionalFormatting>
  <conditionalFormatting sqref="R5578">
    <cfRule type="cellIs" dxfId="1072" priority="1004" stopIfTrue="1" operator="greaterThan">
      <formula>0</formula>
    </cfRule>
  </conditionalFormatting>
  <conditionalFormatting sqref="R5579">
    <cfRule type="cellIs" dxfId="1071" priority="1003" stopIfTrue="1" operator="greaterThan">
      <formula>0</formula>
    </cfRule>
  </conditionalFormatting>
  <conditionalFormatting sqref="R5580">
    <cfRule type="cellIs" dxfId="1070" priority="1002" stopIfTrue="1" operator="greaterThan">
      <formula>0</formula>
    </cfRule>
  </conditionalFormatting>
  <conditionalFormatting sqref="R5581">
    <cfRule type="cellIs" dxfId="1069" priority="1001" stopIfTrue="1" operator="greaterThan">
      <formula>0</formula>
    </cfRule>
  </conditionalFormatting>
  <conditionalFormatting sqref="R5582">
    <cfRule type="cellIs" dxfId="1068" priority="1000" stopIfTrue="1" operator="greaterThan">
      <formula>0</formula>
    </cfRule>
  </conditionalFormatting>
  <conditionalFormatting sqref="W5573:X5573">
    <cfRule type="cellIs" dxfId="1067" priority="999" stopIfTrue="1" operator="equal">
      <formula>"NO APLICA"</formula>
    </cfRule>
  </conditionalFormatting>
  <conditionalFormatting sqref="W5574:X5577">
    <cfRule type="cellIs" dxfId="1066" priority="998" stopIfTrue="1" operator="equal">
      <formula>"NO APLICA"</formula>
    </cfRule>
  </conditionalFormatting>
  <conditionalFormatting sqref="W5574:X5574">
    <cfRule type="cellIs" dxfId="1065" priority="997" stopIfTrue="1" operator="equal">
      <formula>"NO APLICA"</formula>
    </cfRule>
  </conditionalFormatting>
  <conditionalFormatting sqref="Y5573">
    <cfRule type="cellIs" dxfId="1064" priority="996" stopIfTrue="1" operator="equal">
      <formula>"NO APLICA"</formula>
    </cfRule>
  </conditionalFormatting>
  <conditionalFormatting sqref="Y5574:Y5577">
    <cfRule type="cellIs" dxfId="1063" priority="995" stopIfTrue="1" operator="equal">
      <formula>"NO APLICA"</formula>
    </cfRule>
  </conditionalFormatting>
  <conditionalFormatting sqref="W5578:X5581">
    <cfRule type="cellIs" dxfId="1062" priority="994" stopIfTrue="1" operator="equal">
      <formula>"NO APLICA"</formula>
    </cfRule>
  </conditionalFormatting>
  <conditionalFormatting sqref="W5578:X5578">
    <cfRule type="cellIs" dxfId="1061" priority="993" stopIfTrue="1" operator="equal">
      <formula>"NO APLICA"</formula>
    </cfRule>
  </conditionalFormatting>
  <conditionalFormatting sqref="Y5578:Y5581">
    <cfRule type="cellIs" dxfId="1060" priority="992" stopIfTrue="1" operator="equal">
      <formula>"NO APLICA"</formula>
    </cfRule>
  </conditionalFormatting>
  <conditionalFormatting sqref="T5587">
    <cfRule type="cellIs" dxfId="1059" priority="990" operator="equal">
      <formula>"CUMPLE"</formula>
    </cfRule>
    <cfRule type="cellIs" dxfId="1058" priority="991" operator="equal">
      <formula>"NO CUMPLE"</formula>
    </cfRule>
  </conditionalFormatting>
  <conditionalFormatting sqref="T5587:T5589">
    <cfRule type="cellIs" dxfId="1057" priority="989" operator="equal">
      <formula>"VERIFICAR"</formula>
    </cfRule>
  </conditionalFormatting>
  <conditionalFormatting sqref="AD5573:AF5577">
    <cfRule type="cellIs" dxfId="1056" priority="987" stopIfTrue="1" operator="equal">
      <formula>"NO"</formula>
    </cfRule>
    <cfRule type="cellIs" dxfId="1055" priority="988" stopIfTrue="1" operator="equal">
      <formula>"SI"</formula>
    </cfRule>
  </conditionalFormatting>
  <conditionalFormatting sqref="AD5578:AF5581">
    <cfRule type="cellIs" dxfId="1054" priority="985" stopIfTrue="1" operator="equal">
      <formula>"NO"</formula>
    </cfRule>
    <cfRule type="cellIs" dxfId="1053" priority="986" stopIfTrue="1" operator="equal">
      <formula>"SI"</formula>
    </cfRule>
  </conditionalFormatting>
  <conditionalFormatting sqref="W5582:Y5582">
    <cfRule type="cellIs" dxfId="1052" priority="983" stopIfTrue="1" operator="equal">
      <formula>"NO"</formula>
    </cfRule>
    <cfRule type="cellIs" dxfId="1051" priority="984" stopIfTrue="1" operator="equal">
      <formula>"SI"</formula>
    </cfRule>
  </conditionalFormatting>
  <conditionalFormatting sqref="W5582:X5582">
    <cfRule type="cellIs" dxfId="1050" priority="982" stopIfTrue="1" operator="equal">
      <formula>"NO APLICA"</formula>
    </cfRule>
  </conditionalFormatting>
  <conditionalFormatting sqref="Y5582">
    <cfRule type="cellIs" dxfId="1049" priority="981" stopIfTrue="1" operator="equal">
      <formula>"NO APLICA"</formula>
    </cfRule>
  </conditionalFormatting>
  <conditionalFormatting sqref="AD5582:AF5582">
    <cfRule type="cellIs" dxfId="1048" priority="979" stopIfTrue="1" operator="equal">
      <formula>"NO"</formula>
    </cfRule>
    <cfRule type="cellIs" dxfId="1047" priority="980" stopIfTrue="1" operator="equal">
      <formula>"SI"</formula>
    </cfRule>
  </conditionalFormatting>
  <conditionalFormatting sqref="AE5587">
    <cfRule type="cellIs" dxfId="1046" priority="976" stopIfTrue="1" operator="equal">
      <formula>"VERIFICAR"</formula>
    </cfRule>
    <cfRule type="cellIs" dxfId="1045" priority="977" stopIfTrue="1" operator="equal">
      <formula>"NO CUMPLE"</formula>
    </cfRule>
    <cfRule type="cellIs" dxfId="1044" priority="978" stopIfTrue="1" operator="equal">
      <formula>"CUMPLE"</formula>
    </cfRule>
  </conditionalFormatting>
  <conditionalFormatting sqref="AF5587">
    <cfRule type="cellIs" dxfId="1043" priority="973" stopIfTrue="1" operator="equal">
      <formula>"VERIFICAR"</formula>
    </cfRule>
    <cfRule type="cellIs" dxfId="1042" priority="974" stopIfTrue="1" operator="equal">
      <formula>"NO CUMPLE"</formula>
    </cfRule>
    <cfRule type="cellIs" dxfId="1041" priority="975" stopIfTrue="1" operator="equal">
      <formula>"CUMPLE"</formula>
    </cfRule>
  </conditionalFormatting>
  <conditionalFormatting sqref="Y5590">
    <cfRule type="cellIs" dxfId="1040" priority="972" operator="equal">
      <formula>"VERIFICAR CUADRO"</formula>
    </cfRule>
  </conditionalFormatting>
  <conditionalFormatting sqref="AC5591:AC5596">
    <cfRule type="cellIs" dxfId="1039" priority="971" stopIfTrue="1" operator="greaterThan">
      <formula>0</formula>
    </cfRule>
  </conditionalFormatting>
  <conditionalFormatting sqref="AC5591:AC5596">
    <cfRule type="cellIs" dxfId="1038" priority="970" stopIfTrue="1" operator="greaterThan">
      <formula>0</formula>
    </cfRule>
  </conditionalFormatting>
  <conditionalFormatting sqref="AD5591:AD5596">
    <cfRule type="containsText" dxfId="1037" priority="968" stopIfTrue="1" operator="containsText" text="NO CUMPLE">
      <formula>NOT(ISERROR(SEARCH("NO CUMPLE",AD5591)))</formula>
    </cfRule>
    <cfRule type="containsText" dxfId="1036" priority="969" stopIfTrue="1" operator="containsText" text="CUMPLE">
      <formula>NOT(ISERROR(SEARCH("CUMPLE",AD5591)))</formula>
    </cfRule>
  </conditionalFormatting>
  <conditionalFormatting sqref="Y5596">
    <cfRule type="containsText" dxfId="1035" priority="966" stopIfTrue="1" operator="containsText" text="NO CUMPLE">
      <formula>NOT(ISERROR(SEARCH("NO CUMPLE",Y5596)))</formula>
    </cfRule>
    <cfRule type="containsText" dxfId="1034" priority="967" stopIfTrue="1" operator="containsText" text="CUMPLE">
      <formula>NOT(ISERROR(SEARCH("CUMPLE",Y5596)))</formula>
    </cfRule>
  </conditionalFormatting>
  <conditionalFormatting sqref="AA5573:AA5582">
    <cfRule type="cellIs" dxfId="1033" priority="964" stopIfTrue="1" operator="equal">
      <formula>"NO APLICA"</formula>
    </cfRule>
    <cfRule type="cellIs" dxfId="1032" priority="965" stopIfTrue="1" operator="equal">
      <formula>"TERCIARIA"</formula>
    </cfRule>
  </conditionalFormatting>
  <conditionalFormatting sqref="AB5573:AB5582">
    <cfRule type="cellIs" dxfId="1031" priority="962" stopIfTrue="1" operator="equal">
      <formula>"N/A"</formula>
    </cfRule>
    <cfRule type="cellIs" dxfId="1030" priority="963" stopIfTrue="1" operator="equal">
      <formula>"NO"</formula>
    </cfRule>
  </conditionalFormatting>
  <conditionalFormatting sqref="M5603:M5612">
    <cfRule type="cellIs" dxfId="1029" priority="961" stopIfTrue="1" operator="lessThan">
      <formula>0</formula>
    </cfRule>
  </conditionalFormatting>
  <conditionalFormatting sqref="C5605:D5611 B5604:B5611 F5605:I5611 C5604:I5604 B5612:O5612 B5603:R5603 Q5604:R5605 J5604:O5611 Q5606:Q5612 P5604:P5612">
    <cfRule type="cellIs" dxfId="1028" priority="960" stopIfTrue="1" operator="greaterThan">
      <formula>0</formula>
    </cfRule>
  </conditionalFormatting>
  <conditionalFormatting sqref="C5605:D5611">
    <cfRule type="cellIs" dxfId="1027" priority="959" stopIfTrue="1" operator="greaterThan">
      <formula>0</formula>
    </cfRule>
  </conditionalFormatting>
  <conditionalFormatting sqref="C5603:M5603 C5605:D5611 F5605:I5611 C5604:I5604 K5604:M5611 J5604:J5612 L5612:M5612">
    <cfRule type="cellIs" dxfId="1026" priority="958" stopIfTrue="1" operator="greaterThan">
      <formula>0</formula>
    </cfRule>
  </conditionalFormatting>
  <conditionalFormatting sqref="M5603:M5612">
    <cfRule type="cellIs" dxfId="1025" priority="957" stopIfTrue="1" operator="lessThan">
      <formula>0</formula>
    </cfRule>
  </conditionalFormatting>
  <conditionalFormatting sqref="J5604:J5612 L5604:O5612 C5603:O5603">
    <cfRule type="cellIs" dxfId="1024" priority="956" stopIfTrue="1" operator="greaterThan">
      <formula>0</formula>
    </cfRule>
  </conditionalFormatting>
  <conditionalFormatting sqref="H5605:I5611 K5605:M5612">
    <cfRule type="cellIs" dxfId="1023" priority="955" stopIfTrue="1" operator="greaterThan">
      <formula>0</formula>
    </cfRule>
  </conditionalFormatting>
  <conditionalFormatting sqref="I5604">
    <cfRule type="cellIs" dxfId="1022" priority="954" stopIfTrue="1" operator="greaterThan">
      <formula>0</formula>
    </cfRule>
  </conditionalFormatting>
  <conditionalFormatting sqref="I5612">
    <cfRule type="cellIs" dxfId="1021" priority="953" stopIfTrue="1" operator="greaterThan">
      <formula>0</formula>
    </cfRule>
  </conditionalFormatting>
  <conditionalFormatting sqref="E5605:E5611">
    <cfRule type="cellIs" dxfId="1020" priority="952" stopIfTrue="1" operator="greaterThan">
      <formula>0</formula>
    </cfRule>
  </conditionalFormatting>
  <conditionalFormatting sqref="K5620:K5625">
    <cfRule type="containsText" dxfId="1019" priority="950" stopIfTrue="1" operator="containsText" text="NO CUMPLE">
      <formula>NOT(ISERROR(SEARCH("NO CUMPLE",K5620)))</formula>
    </cfRule>
    <cfRule type="containsText" dxfId="1018" priority="951" stopIfTrue="1" operator="containsText" text="CUMPLE">
      <formula>NOT(ISERROR(SEARCH("CUMPLE",K5620)))</formula>
    </cfRule>
  </conditionalFormatting>
  <conditionalFormatting sqref="K5626">
    <cfRule type="containsText" dxfId="1017" priority="948" stopIfTrue="1" operator="containsText" text="NO CUMPLE">
      <formula>NOT(ISERROR(SEARCH("NO CUMPLE",K5626)))</formula>
    </cfRule>
    <cfRule type="containsText" dxfId="1016" priority="949" stopIfTrue="1" operator="containsText" text="CUMPLE">
      <formula>NOT(ISERROR(SEARCH("CUMPLE",K5626)))</formula>
    </cfRule>
  </conditionalFormatting>
  <conditionalFormatting sqref="Q5619">
    <cfRule type="cellIs" dxfId="1015" priority="946" operator="greaterThanOrEqual">
      <formula>NUMMINCONT</formula>
    </cfRule>
    <cfRule type="cellIs" dxfId="1014" priority="947" operator="lessThan">
      <formula>NUMMINCONT</formula>
    </cfRule>
  </conditionalFormatting>
  <conditionalFormatting sqref="W5603:Y5611">
    <cfRule type="cellIs" dxfId="1013" priority="944" stopIfTrue="1" operator="equal">
      <formula>"NO"</formula>
    </cfRule>
    <cfRule type="cellIs" dxfId="1012" priority="945" stopIfTrue="1" operator="equal">
      <formula>"SI"</formula>
    </cfRule>
  </conditionalFormatting>
  <conditionalFormatting sqref="R5606">
    <cfRule type="cellIs" dxfId="1011" priority="943" stopIfTrue="1" operator="greaterThan">
      <formula>0</formula>
    </cfRule>
  </conditionalFormatting>
  <conditionalFormatting sqref="R5607">
    <cfRule type="cellIs" dxfId="1010" priority="942" stopIfTrue="1" operator="greaterThan">
      <formula>0</formula>
    </cfRule>
  </conditionalFormatting>
  <conditionalFormatting sqref="R5608">
    <cfRule type="cellIs" dxfId="1009" priority="941" stopIfTrue="1" operator="greaterThan">
      <formula>0</formula>
    </cfRule>
  </conditionalFormatting>
  <conditionalFormatting sqref="R5609">
    <cfRule type="cellIs" dxfId="1008" priority="940" stopIfTrue="1" operator="greaterThan">
      <formula>0</formula>
    </cfRule>
  </conditionalFormatting>
  <conditionalFormatting sqref="R5610">
    <cfRule type="cellIs" dxfId="1007" priority="939" stopIfTrue="1" operator="greaterThan">
      <formula>0</formula>
    </cfRule>
  </conditionalFormatting>
  <conditionalFormatting sqref="R5611">
    <cfRule type="cellIs" dxfId="1006" priority="938" stopIfTrue="1" operator="greaterThan">
      <formula>0</formula>
    </cfRule>
  </conditionalFormatting>
  <conditionalFormatting sqref="R5612">
    <cfRule type="cellIs" dxfId="1005" priority="937" stopIfTrue="1" operator="greaterThan">
      <formula>0</formula>
    </cfRule>
  </conditionalFormatting>
  <conditionalFormatting sqref="W5603:X5603">
    <cfRule type="cellIs" dxfId="1004" priority="936" stopIfTrue="1" operator="equal">
      <formula>"NO APLICA"</formula>
    </cfRule>
  </conditionalFormatting>
  <conditionalFormatting sqref="W5604:X5607">
    <cfRule type="cellIs" dxfId="1003" priority="935" stopIfTrue="1" operator="equal">
      <formula>"NO APLICA"</formula>
    </cfRule>
  </conditionalFormatting>
  <conditionalFormatting sqref="W5604:X5604">
    <cfRule type="cellIs" dxfId="1002" priority="934" stopIfTrue="1" operator="equal">
      <formula>"NO APLICA"</formula>
    </cfRule>
  </conditionalFormatting>
  <conditionalFormatting sqref="Y5603">
    <cfRule type="cellIs" dxfId="1001" priority="933" stopIfTrue="1" operator="equal">
      <formula>"NO APLICA"</formula>
    </cfRule>
  </conditionalFormatting>
  <conditionalFormatting sqref="Y5604:Y5607">
    <cfRule type="cellIs" dxfId="1000" priority="932" stopIfTrue="1" operator="equal">
      <formula>"NO APLICA"</formula>
    </cfRule>
  </conditionalFormatting>
  <conditionalFormatting sqref="W5608:X5611">
    <cfRule type="cellIs" dxfId="999" priority="931" stopIfTrue="1" operator="equal">
      <formula>"NO APLICA"</formula>
    </cfRule>
  </conditionalFormatting>
  <conditionalFormatting sqref="W5608:X5608">
    <cfRule type="cellIs" dxfId="998" priority="930" stopIfTrue="1" operator="equal">
      <formula>"NO APLICA"</formula>
    </cfRule>
  </conditionalFormatting>
  <conditionalFormatting sqref="Y5608:Y5611">
    <cfRule type="cellIs" dxfId="997" priority="929" stopIfTrue="1" operator="equal">
      <formula>"NO APLICA"</formula>
    </cfRule>
  </conditionalFormatting>
  <conditionalFormatting sqref="T5617">
    <cfRule type="cellIs" dxfId="996" priority="927" operator="equal">
      <formula>"CUMPLE"</formula>
    </cfRule>
    <cfRule type="cellIs" dxfId="995" priority="928" operator="equal">
      <formula>"NO CUMPLE"</formula>
    </cfRule>
  </conditionalFormatting>
  <conditionalFormatting sqref="T5617:T5619">
    <cfRule type="cellIs" dxfId="994" priority="926" operator="equal">
      <formula>"VERIFICAR"</formula>
    </cfRule>
  </conditionalFormatting>
  <conditionalFormatting sqref="AD5603:AF5607">
    <cfRule type="cellIs" dxfId="993" priority="924" stopIfTrue="1" operator="equal">
      <formula>"NO"</formula>
    </cfRule>
    <cfRule type="cellIs" dxfId="992" priority="925" stopIfTrue="1" operator="equal">
      <formula>"SI"</formula>
    </cfRule>
  </conditionalFormatting>
  <conditionalFormatting sqref="AD5608:AF5611">
    <cfRule type="cellIs" dxfId="991" priority="922" stopIfTrue="1" operator="equal">
      <formula>"NO"</formula>
    </cfRule>
    <cfRule type="cellIs" dxfId="990" priority="923" stopIfTrue="1" operator="equal">
      <formula>"SI"</formula>
    </cfRule>
  </conditionalFormatting>
  <conditionalFormatting sqref="W5612:Y5612">
    <cfRule type="cellIs" dxfId="989" priority="920" stopIfTrue="1" operator="equal">
      <formula>"NO"</formula>
    </cfRule>
    <cfRule type="cellIs" dxfId="988" priority="921" stopIfTrue="1" operator="equal">
      <formula>"SI"</formula>
    </cfRule>
  </conditionalFormatting>
  <conditionalFormatting sqref="W5612:X5612">
    <cfRule type="cellIs" dxfId="987" priority="919" stopIfTrue="1" operator="equal">
      <formula>"NO APLICA"</formula>
    </cfRule>
  </conditionalFormatting>
  <conditionalFormatting sqref="Y5612">
    <cfRule type="cellIs" dxfId="986" priority="918" stopIfTrue="1" operator="equal">
      <formula>"NO APLICA"</formula>
    </cfRule>
  </conditionalFormatting>
  <conditionalFormatting sqref="AD5612:AF5612">
    <cfRule type="cellIs" dxfId="985" priority="916" stopIfTrue="1" operator="equal">
      <formula>"NO"</formula>
    </cfRule>
    <cfRule type="cellIs" dxfId="984" priority="917" stopIfTrue="1" operator="equal">
      <formula>"SI"</formula>
    </cfRule>
  </conditionalFormatting>
  <conditionalFormatting sqref="AE5617">
    <cfRule type="cellIs" dxfId="983" priority="913" stopIfTrue="1" operator="equal">
      <formula>"VERIFICAR"</formula>
    </cfRule>
    <cfRule type="cellIs" dxfId="982" priority="914" stopIfTrue="1" operator="equal">
      <formula>"NO CUMPLE"</formula>
    </cfRule>
    <cfRule type="cellIs" dxfId="981" priority="915" stopIfTrue="1" operator="equal">
      <formula>"CUMPLE"</formula>
    </cfRule>
  </conditionalFormatting>
  <conditionalFormatting sqref="AF5617">
    <cfRule type="cellIs" dxfId="980" priority="910" stopIfTrue="1" operator="equal">
      <formula>"VERIFICAR"</formula>
    </cfRule>
    <cfRule type="cellIs" dxfId="979" priority="911" stopIfTrue="1" operator="equal">
      <formula>"NO CUMPLE"</formula>
    </cfRule>
    <cfRule type="cellIs" dxfId="978" priority="912" stopIfTrue="1" operator="equal">
      <formula>"CUMPLE"</formula>
    </cfRule>
  </conditionalFormatting>
  <conditionalFormatting sqref="Y5620">
    <cfRule type="cellIs" dxfId="977" priority="909" operator="equal">
      <formula>"VERIFICAR CUADRO"</formula>
    </cfRule>
  </conditionalFormatting>
  <conditionalFormatting sqref="AC5621:AC5626">
    <cfRule type="cellIs" dxfId="976" priority="908" stopIfTrue="1" operator="greaterThan">
      <formula>0</formula>
    </cfRule>
  </conditionalFormatting>
  <conditionalFormatting sqref="AC5621:AC5626">
    <cfRule type="cellIs" dxfId="975" priority="907" stopIfTrue="1" operator="greaterThan">
      <formula>0</formula>
    </cfRule>
  </conditionalFormatting>
  <conditionalFormatting sqref="AD5621:AD5626">
    <cfRule type="containsText" dxfId="974" priority="905" stopIfTrue="1" operator="containsText" text="NO CUMPLE">
      <formula>NOT(ISERROR(SEARCH("NO CUMPLE",AD5621)))</formula>
    </cfRule>
    <cfRule type="containsText" dxfId="973" priority="906" stopIfTrue="1" operator="containsText" text="CUMPLE">
      <formula>NOT(ISERROR(SEARCH("CUMPLE",AD5621)))</formula>
    </cfRule>
  </conditionalFormatting>
  <conditionalFormatting sqref="Y5626">
    <cfRule type="containsText" dxfId="972" priority="903" stopIfTrue="1" operator="containsText" text="NO CUMPLE">
      <formula>NOT(ISERROR(SEARCH("NO CUMPLE",Y5626)))</formula>
    </cfRule>
    <cfRule type="containsText" dxfId="971" priority="904" stopIfTrue="1" operator="containsText" text="CUMPLE">
      <formula>NOT(ISERROR(SEARCH("CUMPLE",Y5626)))</formula>
    </cfRule>
  </conditionalFormatting>
  <conditionalFormatting sqref="AA5603:AA5612">
    <cfRule type="cellIs" dxfId="970" priority="901" stopIfTrue="1" operator="equal">
      <formula>"NO APLICA"</formula>
    </cfRule>
    <cfRule type="cellIs" dxfId="969" priority="902" stopIfTrue="1" operator="equal">
      <formula>"TERCIARIA"</formula>
    </cfRule>
  </conditionalFormatting>
  <conditionalFormatting sqref="AB5603:AB5612">
    <cfRule type="cellIs" dxfId="968" priority="899" stopIfTrue="1" operator="equal">
      <formula>"N/A"</formula>
    </cfRule>
    <cfRule type="cellIs" dxfId="967" priority="900" stopIfTrue="1" operator="equal">
      <formula>"NO"</formula>
    </cfRule>
  </conditionalFormatting>
  <conditionalFormatting sqref="M5633:M5642">
    <cfRule type="cellIs" dxfId="966" priority="898" stopIfTrue="1" operator="lessThan">
      <formula>0</formula>
    </cfRule>
  </conditionalFormatting>
  <conditionalFormatting sqref="C5635:D5641 B5634:B5641 F5635:I5641 C5634:I5634 B5642:O5642 B5633:R5633 Q5634:R5635 J5634:O5641 Q5636:Q5642 P5634:P5642">
    <cfRule type="cellIs" dxfId="965" priority="897" stopIfTrue="1" operator="greaterThan">
      <formula>0</formula>
    </cfRule>
  </conditionalFormatting>
  <conditionalFormatting sqref="C5635:D5641">
    <cfRule type="cellIs" dxfId="964" priority="896" stopIfTrue="1" operator="greaterThan">
      <formula>0</formula>
    </cfRule>
  </conditionalFormatting>
  <conditionalFormatting sqref="C5633:M5633 C5635:D5641 F5635:I5641 C5634:I5634 K5634:M5641 J5634:J5642 L5642:M5642">
    <cfRule type="cellIs" dxfId="963" priority="895" stopIfTrue="1" operator="greaterThan">
      <formula>0</formula>
    </cfRule>
  </conditionalFormatting>
  <conditionalFormatting sqref="M5633:M5642">
    <cfRule type="cellIs" dxfId="962" priority="894" stopIfTrue="1" operator="lessThan">
      <formula>0</formula>
    </cfRule>
  </conditionalFormatting>
  <conditionalFormatting sqref="J5634:J5642 L5634:O5642 C5633:O5633">
    <cfRule type="cellIs" dxfId="961" priority="893" stopIfTrue="1" operator="greaterThan">
      <formula>0</formula>
    </cfRule>
  </conditionalFormatting>
  <conditionalFormatting sqref="H5635:I5641 K5635:M5642">
    <cfRule type="cellIs" dxfId="960" priority="892" stopIfTrue="1" operator="greaterThan">
      <formula>0</formula>
    </cfRule>
  </conditionalFormatting>
  <conditionalFormatting sqref="I5634">
    <cfRule type="cellIs" dxfId="959" priority="891" stopIfTrue="1" operator="greaterThan">
      <formula>0</formula>
    </cfRule>
  </conditionalFormatting>
  <conditionalFormatting sqref="I5642">
    <cfRule type="cellIs" dxfId="958" priority="890" stopIfTrue="1" operator="greaterThan">
      <formula>0</formula>
    </cfRule>
  </conditionalFormatting>
  <conditionalFormatting sqref="E5635:E5641">
    <cfRule type="cellIs" dxfId="957" priority="889" stopIfTrue="1" operator="greaterThan">
      <formula>0</formula>
    </cfRule>
  </conditionalFormatting>
  <conditionalFormatting sqref="K5650:K5655">
    <cfRule type="containsText" dxfId="956" priority="887" stopIfTrue="1" operator="containsText" text="NO CUMPLE">
      <formula>NOT(ISERROR(SEARCH("NO CUMPLE",K5650)))</formula>
    </cfRule>
    <cfRule type="containsText" dxfId="955" priority="888" stopIfTrue="1" operator="containsText" text="CUMPLE">
      <formula>NOT(ISERROR(SEARCH("CUMPLE",K5650)))</formula>
    </cfRule>
  </conditionalFormatting>
  <conditionalFormatting sqref="K5656">
    <cfRule type="containsText" dxfId="954" priority="885" stopIfTrue="1" operator="containsText" text="NO CUMPLE">
      <formula>NOT(ISERROR(SEARCH("NO CUMPLE",K5656)))</formula>
    </cfRule>
    <cfRule type="containsText" dxfId="953" priority="886" stopIfTrue="1" operator="containsText" text="CUMPLE">
      <formula>NOT(ISERROR(SEARCH("CUMPLE",K5656)))</formula>
    </cfRule>
  </conditionalFormatting>
  <conditionalFormatting sqref="Q5649">
    <cfRule type="cellIs" dxfId="952" priority="883" operator="greaterThanOrEqual">
      <formula>NUMMINCONT</formula>
    </cfRule>
    <cfRule type="cellIs" dxfId="951" priority="884" operator="lessThan">
      <formula>NUMMINCONT</formula>
    </cfRule>
  </conditionalFormatting>
  <conditionalFormatting sqref="W5633:Y5641">
    <cfRule type="cellIs" dxfId="950" priority="881" stopIfTrue="1" operator="equal">
      <formula>"NO"</formula>
    </cfRule>
    <cfRule type="cellIs" dxfId="949" priority="882" stopIfTrue="1" operator="equal">
      <formula>"SI"</formula>
    </cfRule>
  </conditionalFormatting>
  <conditionalFormatting sqref="R5636">
    <cfRule type="cellIs" dxfId="948" priority="880" stopIfTrue="1" operator="greaterThan">
      <formula>0</formula>
    </cfRule>
  </conditionalFormatting>
  <conditionalFormatting sqref="R5637">
    <cfRule type="cellIs" dxfId="947" priority="879" stopIfTrue="1" operator="greaterThan">
      <formula>0</formula>
    </cfRule>
  </conditionalFormatting>
  <conditionalFormatting sqref="R5638">
    <cfRule type="cellIs" dxfId="946" priority="878" stopIfTrue="1" operator="greaterThan">
      <formula>0</formula>
    </cfRule>
  </conditionalFormatting>
  <conditionalFormatting sqref="R5639">
    <cfRule type="cellIs" dxfId="945" priority="877" stopIfTrue="1" operator="greaterThan">
      <formula>0</formula>
    </cfRule>
  </conditionalFormatting>
  <conditionalFormatting sqref="R5640">
    <cfRule type="cellIs" dxfId="944" priority="876" stopIfTrue="1" operator="greaterThan">
      <formula>0</formula>
    </cfRule>
  </conditionalFormatting>
  <conditionalFormatting sqref="R5641">
    <cfRule type="cellIs" dxfId="943" priority="875" stopIfTrue="1" operator="greaterThan">
      <formula>0</formula>
    </cfRule>
  </conditionalFormatting>
  <conditionalFormatting sqref="R5642">
    <cfRule type="cellIs" dxfId="942" priority="874" stopIfTrue="1" operator="greaterThan">
      <formula>0</formula>
    </cfRule>
  </conditionalFormatting>
  <conditionalFormatting sqref="W5633:X5633">
    <cfRule type="cellIs" dxfId="941" priority="873" stopIfTrue="1" operator="equal">
      <formula>"NO APLICA"</formula>
    </cfRule>
  </conditionalFormatting>
  <conditionalFormatting sqref="W5634:X5637">
    <cfRule type="cellIs" dxfId="940" priority="872" stopIfTrue="1" operator="equal">
      <formula>"NO APLICA"</formula>
    </cfRule>
  </conditionalFormatting>
  <conditionalFormatting sqref="W5634:X5634">
    <cfRule type="cellIs" dxfId="939" priority="871" stopIfTrue="1" operator="equal">
      <formula>"NO APLICA"</formula>
    </cfRule>
  </conditionalFormatting>
  <conditionalFormatting sqref="Y5633">
    <cfRule type="cellIs" dxfId="938" priority="870" stopIfTrue="1" operator="equal">
      <formula>"NO APLICA"</formula>
    </cfRule>
  </conditionalFormatting>
  <conditionalFormatting sqref="Y5634:Y5637">
    <cfRule type="cellIs" dxfId="937" priority="869" stopIfTrue="1" operator="equal">
      <formula>"NO APLICA"</formula>
    </cfRule>
  </conditionalFormatting>
  <conditionalFormatting sqref="W5638:X5641">
    <cfRule type="cellIs" dxfId="936" priority="868" stopIfTrue="1" operator="equal">
      <formula>"NO APLICA"</formula>
    </cfRule>
  </conditionalFormatting>
  <conditionalFormatting sqref="W5638:X5638">
    <cfRule type="cellIs" dxfId="935" priority="867" stopIfTrue="1" operator="equal">
      <formula>"NO APLICA"</formula>
    </cfRule>
  </conditionalFormatting>
  <conditionalFormatting sqref="Y5638:Y5641">
    <cfRule type="cellIs" dxfId="934" priority="866" stopIfTrue="1" operator="equal">
      <formula>"NO APLICA"</formula>
    </cfRule>
  </conditionalFormatting>
  <conditionalFormatting sqref="T5647">
    <cfRule type="cellIs" dxfId="933" priority="864" operator="equal">
      <formula>"CUMPLE"</formula>
    </cfRule>
    <cfRule type="cellIs" dxfId="932" priority="865" operator="equal">
      <formula>"NO CUMPLE"</formula>
    </cfRule>
  </conditionalFormatting>
  <conditionalFormatting sqref="T5647:T5649">
    <cfRule type="cellIs" dxfId="931" priority="863" operator="equal">
      <formula>"VERIFICAR"</formula>
    </cfRule>
  </conditionalFormatting>
  <conditionalFormatting sqref="AD5633:AF5637">
    <cfRule type="cellIs" dxfId="930" priority="861" stopIfTrue="1" operator="equal">
      <formula>"NO"</formula>
    </cfRule>
    <cfRule type="cellIs" dxfId="929" priority="862" stopIfTrue="1" operator="equal">
      <formula>"SI"</formula>
    </cfRule>
  </conditionalFormatting>
  <conditionalFormatting sqref="AD5638:AF5641">
    <cfRule type="cellIs" dxfId="928" priority="859" stopIfTrue="1" operator="equal">
      <formula>"NO"</formula>
    </cfRule>
    <cfRule type="cellIs" dxfId="927" priority="860" stopIfTrue="1" operator="equal">
      <formula>"SI"</formula>
    </cfRule>
  </conditionalFormatting>
  <conditionalFormatting sqref="W5642:Y5642">
    <cfRule type="cellIs" dxfId="926" priority="857" stopIfTrue="1" operator="equal">
      <formula>"NO"</formula>
    </cfRule>
    <cfRule type="cellIs" dxfId="925" priority="858" stopIfTrue="1" operator="equal">
      <formula>"SI"</formula>
    </cfRule>
  </conditionalFormatting>
  <conditionalFormatting sqref="W5642:X5642">
    <cfRule type="cellIs" dxfId="924" priority="856" stopIfTrue="1" operator="equal">
      <formula>"NO APLICA"</formula>
    </cfRule>
  </conditionalFormatting>
  <conditionalFormatting sqref="Y5642">
    <cfRule type="cellIs" dxfId="923" priority="855" stopIfTrue="1" operator="equal">
      <formula>"NO APLICA"</formula>
    </cfRule>
  </conditionalFormatting>
  <conditionalFormatting sqref="AD5642:AF5642">
    <cfRule type="cellIs" dxfId="922" priority="853" stopIfTrue="1" operator="equal">
      <formula>"NO"</formula>
    </cfRule>
    <cfRule type="cellIs" dxfId="921" priority="854" stopIfTrue="1" operator="equal">
      <formula>"SI"</formula>
    </cfRule>
  </conditionalFormatting>
  <conditionalFormatting sqref="AE5647">
    <cfRule type="cellIs" dxfId="920" priority="850" stopIfTrue="1" operator="equal">
      <formula>"VERIFICAR"</formula>
    </cfRule>
    <cfRule type="cellIs" dxfId="919" priority="851" stopIfTrue="1" operator="equal">
      <formula>"NO CUMPLE"</formula>
    </cfRule>
    <cfRule type="cellIs" dxfId="918" priority="852" stopIfTrue="1" operator="equal">
      <formula>"CUMPLE"</formula>
    </cfRule>
  </conditionalFormatting>
  <conditionalFormatting sqref="AF5647">
    <cfRule type="cellIs" dxfId="917" priority="847" stopIfTrue="1" operator="equal">
      <formula>"VERIFICAR"</formula>
    </cfRule>
    <cfRule type="cellIs" dxfId="916" priority="848" stopIfTrue="1" operator="equal">
      <formula>"NO CUMPLE"</formula>
    </cfRule>
    <cfRule type="cellIs" dxfId="915" priority="849" stopIfTrue="1" operator="equal">
      <formula>"CUMPLE"</formula>
    </cfRule>
  </conditionalFormatting>
  <conditionalFormatting sqref="Y5650">
    <cfRule type="cellIs" dxfId="914" priority="846" operator="equal">
      <formula>"VERIFICAR CUADRO"</formula>
    </cfRule>
  </conditionalFormatting>
  <conditionalFormatting sqref="AC5651:AC5656">
    <cfRule type="cellIs" dxfId="913" priority="845" stopIfTrue="1" operator="greaterThan">
      <formula>0</formula>
    </cfRule>
  </conditionalFormatting>
  <conditionalFormatting sqref="AC5651:AC5656">
    <cfRule type="cellIs" dxfId="912" priority="844" stopIfTrue="1" operator="greaterThan">
      <formula>0</formula>
    </cfRule>
  </conditionalFormatting>
  <conditionalFormatting sqref="AD5651:AD5656">
    <cfRule type="containsText" dxfId="911" priority="842" stopIfTrue="1" operator="containsText" text="NO CUMPLE">
      <formula>NOT(ISERROR(SEARCH("NO CUMPLE",AD5651)))</formula>
    </cfRule>
    <cfRule type="containsText" dxfId="910" priority="843" stopIfTrue="1" operator="containsText" text="CUMPLE">
      <formula>NOT(ISERROR(SEARCH("CUMPLE",AD5651)))</formula>
    </cfRule>
  </conditionalFormatting>
  <conditionalFormatting sqref="Y5656">
    <cfRule type="containsText" dxfId="909" priority="840" stopIfTrue="1" operator="containsText" text="NO CUMPLE">
      <formula>NOT(ISERROR(SEARCH("NO CUMPLE",Y5656)))</formula>
    </cfRule>
    <cfRule type="containsText" dxfId="908" priority="841" stopIfTrue="1" operator="containsText" text="CUMPLE">
      <formula>NOT(ISERROR(SEARCH("CUMPLE",Y5656)))</formula>
    </cfRule>
  </conditionalFormatting>
  <conditionalFormatting sqref="AA5633:AA5642">
    <cfRule type="cellIs" dxfId="907" priority="838" stopIfTrue="1" operator="equal">
      <formula>"NO APLICA"</formula>
    </cfRule>
    <cfRule type="cellIs" dxfId="906" priority="839" stopIfTrue="1" operator="equal">
      <formula>"TERCIARIA"</formula>
    </cfRule>
  </conditionalFormatting>
  <conditionalFormatting sqref="AB5633:AB5642">
    <cfRule type="cellIs" dxfId="905" priority="836" stopIfTrue="1" operator="equal">
      <formula>"N/A"</formula>
    </cfRule>
    <cfRule type="cellIs" dxfId="904" priority="837" stopIfTrue="1" operator="equal">
      <formula>"NO"</formula>
    </cfRule>
  </conditionalFormatting>
  <conditionalFormatting sqref="M5663:M5672">
    <cfRule type="cellIs" dxfId="903" priority="835" stopIfTrue="1" operator="lessThan">
      <formula>0</formula>
    </cfRule>
  </conditionalFormatting>
  <conditionalFormatting sqref="C5665:D5671 B5664:B5671 F5665:I5671 C5664:I5664 B5672:O5672 B5663:R5663 Q5664:R5665 J5664:O5671 Q5666:Q5672 P5664:P5672">
    <cfRule type="cellIs" dxfId="902" priority="834" stopIfTrue="1" operator="greaterThan">
      <formula>0</formula>
    </cfRule>
  </conditionalFormatting>
  <conditionalFormatting sqref="C5665:D5671">
    <cfRule type="cellIs" dxfId="901" priority="833" stopIfTrue="1" operator="greaterThan">
      <formula>0</formula>
    </cfRule>
  </conditionalFormatting>
  <conditionalFormatting sqref="C5663:M5663 C5665:D5671 F5665:I5671 C5664:I5664 K5664:M5671 J5664:J5672 L5672:M5672">
    <cfRule type="cellIs" dxfId="900" priority="832" stopIfTrue="1" operator="greaterThan">
      <formula>0</formula>
    </cfRule>
  </conditionalFormatting>
  <conditionalFormatting sqref="M5663:M5672">
    <cfRule type="cellIs" dxfId="899" priority="831" stopIfTrue="1" operator="lessThan">
      <formula>0</formula>
    </cfRule>
  </conditionalFormatting>
  <conditionalFormatting sqref="J5664:J5672 L5664:O5672 C5663:O5663">
    <cfRule type="cellIs" dxfId="898" priority="830" stopIfTrue="1" operator="greaterThan">
      <formula>0</formula>
    </cfRule>
  </conditionalFormatting>
  <conditionalFormatting sqref="H5665:I5671 K5665:M5672">
    <cfRule type="cellIs" dxfId="897" priority="829" stopIfTrue="1" operator="greaterThan">
      <formula>0</formula>
    </cfRule>
  </conditionalFormatting>
  <conditionalFormatting sqref="I5664">
    <cfRule type="cellIs" dxfId="896" priority="828" stopIfTrue="1" operator="greaterThan">
      <formula>0</formula>
    </cfRule>
  </conditionalFormatting>
  <conditionalFormatting sqref="I5672">
    <cfRule type="cellIs" dxfId="895" priority="827" stopIfTrue="1" operator="greaterThan">
      <formula>0</formula>
    </cfRule>
  </conditionalFormatting>
  <conditionalFormatting sqref="E5665:E5671">
    <cfRule type="cellIs" dxfId="894" priority="826" stopIfTrue="1" operator="greaterThan">
      <formula>0</formula>
    </cfRule>
  </conditionalFormatting>
  <conditionalFormatting sqref="K5680:K5685">
    <cfRule type="containsText" dxfId="893" priority="824" stopIfTrue="1" operator="containsText" text="NO CUMPLE">
      <formula>NOT(ISERROR(SEARCH("NO CUMPLE",K5680)))</formula>
    </cfRule>
    <cfRule type="containsText" dxfId="892" priority="825" stopIfTrue="1" operator="containsText" text="CUMPLE">
      <formula>NOT(ISERROR(SEARCH("CUMPLE",K5680)))</formula>
    </cfRule>
  </conditionalFormatting>
  <conditionalFormatting sqref="K5686">
    <cfRule type="containsText" dxfId="891" priority="822" stopIfTrue="1" operator="containsText" text="NO CUMPLE">
      <formula>NOT(ISERROR(SEARCH("NO CUMPLE",K5686)))</formula>
    </cfRule>
    <cfRule type="containsText" dxfId="890" priority="823" stopIfTrue="1" operator="containsText" text="CUMPLE">
      <formula>NOT(ISERROR(SEARCH("CUMPLE",K5686)))</formula>
    </cfRule>
  </conditionalFormatting>
  <conditionalFormatting sqref="Q5679">
    <cfRule type="cellIs" dxfId="889" priority="820" operator="greaterThanOrEqual">
      <formula>NUMMINCONT</formula>
    </cfRule>
    <cfRule type="cellIs" dxfId="888" priority="821" operator="lessThan">
      <formula>NUMMINCONT</formula>
    </cfRule>
  </conditionalFormatting>
  <conditionalFormatting sqref="W5663:Y5671">
    <cfRule type="cellIs" dxfId="887" priority="818" stopIfTrue="1" operator="equal">
      <formula>"NO"</formula>
    </cfRule>
    <cfRule type="cellIs" dxfId="886" priority="819" stopIfTrue="1" operator="equal">
      <formula>"SI"</formula>
    </cfRule>
  </conditionalFormatting>
  <conditionalFormatting sqref="R5666">
    <cfRule type="cellIs" dxfId="885" priority="817" stopIfTrue="1" operator="greaterThan">
      <formula>0</formula>
    </cfRule>
  </conditionalFormatting>
  <conditionalFormatting sqref="R5667">
    <cfRule type="cellIs" dxfId="884" priority="816" stopIfTrue="1" operator="greaterThan">
      <formula>0</formula>
    </cfRule>
  </conditionalFormatting>
  <conditionalFormatting sqref="R5668">
    <cfRule type="cellIs" dxfId="883" priority="815" stopIfTrue="1" operator="greaterThan">
      <formula>0</formula>
    </cfRule>
  </conditionalFormatting>
  <conditionalFormatting sqref="R5669">
    <cfRule type="cellIs" dxfId="882" priority="814" stopIfTrue="1" operator="greaterThan">
      <formula>0</formula>
    </cfRule>
  </conditionalFormatting>
  <conditionalFormatting sqref="R5670">
    <cfRule type="cellIs" dxfId="881" priority="813" stopIfTrue="1" operator="greaterThan">
      <formula>0</formula>
    </cfRule>
  </conditionalFormatting>
  <conditionalFormatting sqref="R5671">
    <cfRule type="cellIs" dxfId="880" priority="812" stopIfTrue="1" operator="greaterThan">
      <formula>0</formula>
    </cfRule>
  </conditionalFormatting>
  <conditionalFormatting sqref="R5672">
    <cfRule type="cellIs" dxfId="879" priority="811" stopIfTrue="1" operator="greaterThan">
      <formula>0</formula>
    </cfRule>
  </conditionalFormatting>
  <conditionalFormatting sqref="W5663:X5663">
    <cfRule type="cellIs" dxfId="878" priority="810" stopIfTrue="1" operator="equal">
      <formula>"NO APLICA"</formula>
    </cfRule>
  </conditionalFormatting>
  <conditionalFormatting sqref="W5664:X5667">
    <cfRule type="cellIs" dxfId="877" priority="809" stopIfTrue="1" operator="equal">
      <formula>"NO APLICA"</formula>
    </cfRule>
  </conditionalFormatting>
  <conditionalFormatting sqref="W5664:X5664">
    <cfRule type="cellIs" dxfId="876" priority="808" stopIfTrue="1" operator="equal">
      <formula>"NO APLICA"</formula>
    </cfRule>
  </conditionalFormatting>
  <conditionalFormatting sqref="Y5663">
    <cfRule type="cellIs" dxfId="875" priority="807" stopIfTrue="1" operator="equal">
      <formula>"NO APLICA"</formula>
    </cfRule>
  </conditionalFormatting>
  <conditionalFormatting sqref="Y5664:Y5667">
    <cfRule type="cellIs" dxfId="874" priority="806" stopIfTrue="1" operator="equal">
      <formula>"NO APLICA"</formula>
    </cfRule>
  </conditionalFormatting>
  <conditionalFormatting sqref="W5668:X5671">
    <cfRule type="cellIs" dxfId="873" priority="805" stopIfTrue="1" operator="equal">
      <formula>"NO APLICA"</formula>
    </cfRule>
  </conditionalFormatting>
  <conditionalFormatting sqref="W5668:X5668">
    <cfRule type="cellIs" dxfId="872" priority="804" stopIfTrue="1" operator="equal">
      <formula>"NO APLICA"</formula>
    </cfRule>
  </conditionalFormatting>
  <conditionalFormatting sqref="Y5668:Y5671">
    <cfRule type="cellIs" dxfId="871" priority="803" stopIfTrue="1" operator="equal">
      <formula>"NO APLICA"</formula>
    </cfRule>
  </conditionalFormatting>
  <conditionalFormatting sqref="T5677">
    <cfRule type="cellIs" dxfId="870" priority="801" operator="equal">
      <formula>"CUMPLE"</formula>
    </cfRule>
    <cfRule type="cellIs" dxfId="869" priority="802" operator="equal">
      <formula>"NO CUMPLE"</formula>
    </cfRule>
  </conditionalFormatting>
  <conditionalFormatting sqref="T5677:T5679">
    <cfRule type="cellIs" dxfId="868" priority="800" operator="equal">
      <formula>"VERIFICAR"</formula>
    </cfRule>
  </conditionalFormatting>
  <conditionalFormatting sqref="AD5663:AF5667">
    <cfRule type="cellIs" dxfId="867" priority="798" stopIfTrue="1" operator="equal">
      <formula>"NO"</formula>
    </cfRule>
    <cfRule type="cellIs" dxfId="866" priority="799" stopIfTrue="1" operator="equal">
      <formula>"SI"</formula>
    </cfRule>
  </conditionalFormatting>
  <conditionalFormatting sqref="AD5668:AF5671">
    <cfRule type="cellIs" dxfId="865" priority="796" stopIfTrue="1" operator="equal">
      <formula>"NO"</formula>
    </cfRule>
    <cfRule type="cellIs" dxfId="864" priority="797" stopIfTrue="1" operator="equal">
      <formula>"SI"</formula>
    </cfRule>
  </conditionalFormatting>
  <conditionalFormatting sqref="W5672:Y5672">
    <cfRule type="cellIs" dxfId="863" priority="794" stopIfTrue="1" operator="equal">
      <formula>"NO"</formula>
    </cfRule>
    <cfRule type="cellIs" dxfId="862" priority="795" stopIfTrue="1" operator="equal">
      <formula>"SI"</formula>
    </cfRule>
  </conditionalFormatting>
  <conditionalFormatting sqref="W5672:X5672">
    <cfRule type="cellIs" dxfId="861" priority="793" stopIfTrue="1" operator="equal">
      <formula>"NO APLICA"</formula>
    </cfRule>
  </conditionalFormatting>
  <conditionalFormatting sqref="Y5672">
    <cfRule type="cellIs" dxfId="860" priority="792" stopIfTrue="1" operator="equal">
      <formula>"NO APLICA"</formula>
    </cfRule>
  </conditionalFormatting>
  <conditionalFormatting sqref="AD5672:AF5672">
    <cfRule type="cellIs" dxfId="859" priority="790" stopIfTrue="1" operator="equal">
      <formula>"NO"</formula>
    </cfRule>
    <cfRule type="cellIs" dxfId="858" priority="791" stopIfTrue="1" operator="equal">
      <formula>"SI"</formula>
    </cfRule>
  </conditionalFormatting>
  <conditionalFormatting sqref="AE5677">
    <cfRule type="cellIs" dxfId="857" priority="787" stopIfTrue="1" operator="equal">
      <formula>"VERIFICAR"</formula>
    </cfRule>
    <cfRule type="cellIs" dxfId="856" priority="788" stopIfTrue="1" operator="equal">
      <formula>"NO CUMPLE"</formula>
    </cfRule>
    <cfRule type="cellIs" dxfId="855" priority="789" stopIfTrue="1" operator="equal">
      <formula>"CUMPLE"</formula>
    </cfRule>
  </conditionalFormatting>
  <conditionalFormatting sqref="AF5677">
    <cfRule type="cellIs" dxfId="854" priority="784" stopIfTrue="1" operator="equal">
      <formula>"VERIFICAR"</formula>
    </cfRule>
    <cfRule type="cellIs" dxfId="853" priority="785" stopIfTrue="1" operator="equal">
      <formula>"NO CUMPLE"</formula>
    </cfRule>
    <cfRule type="cellIs" dxfId="852" priority="786" stopIfTrue="1" operator="equal">
      <formula>"CUMPLE"</formula>
    </cfRule>
  </conditionalFormatting>
  <conditionalFormatting sqref="Y5680">
    <cfRule type="cellIs" dxfId="851" priority="783" operator="equal">
      <formula>"VERIFICAR CUADRO"</formula>
    </cfRule>
  </conditionalFormatting>
  <conditionalFormatting sqref="AC5681:AC5686">
    <cfRule type="cellIs" dxfId="850" priority="782" stopIfTrue="1" operator="greaterThan">
      <formula>0</formula>
    </cfRule>
  </conditionalFormatting>
  <conditionalFormatting sqref="AC5681:AC5686">
    <cfRule type="cellIs" dxfId="849" priority="781" stopIfTrue="1" operator="greaterThan">
      <formula>0</formula>
    </cfRule>
  </conditionalFormatting>
  <conditionalFormatting sqref="AD5681:AD5686">
    <cfRule type="containsText" dxfId="848" priority="779" stopIfTrue="1" operator="containsText" text="NO CUMPLE">
      <formula>NOT(ISERROR(SEARCH("NO CUMPLE",AD5681)))</formula>
    </cfRule>
    <cfRule type="containsText" dxfId="847" priority="780" stopIfTrue="1" operator="containsText" text="CUMPLE">
      <formula>NOT(ISERROR(SEARCH("CUMPLE",AD5681)))</formula>
    </cfRule>
  </conditionalFormatting>
  <conditionalFormatting sqref="Y5686">
    <cfRule type="containsText" dxfId="846" priority="777" stopIfTrue="1" operator="containsText" text="NO CUMPLE">
      <formula>NOT(ISERROR(SEARCH("NO CUMPLE",Y5686)))</formula>
    </cfRule>
    <cfRule type="containsText" dxfId="845" priority="778" stopIfTrue="1" operator="containsText" text="CUMPLE">
      <formula>NOT(ISERROR(SEARCH("CUMPLE",Y5686)))</formula>
    </cfRule>
  </conditionalFormatting>
  <conditionalFormatting sqref="AA5663:AA5672">
    <cfRule type="cellIs" dxfId="844" priority="775" stopIfTrue="1" operator="equal">
      <formula>"NO APLICA"</formula>
    </cfRule>
    <cfRule type="cellIs" dxfId="843" priority="776" stopIfTrue="1" operator="equal">
      <formula>"TERCIARIA"</formula>
    </cfRule>
  </conditionalFormatting>
  <conditionalFormatting sqref="AB5663:AB5672">
    <cfRule type="cellIs" dxfId="842" priority="773" stopIfTrue="1" operator="equal">
      <formula>"N/A"</formula>
    </cfRule>
    <cfRule type="cellIs" dxfId="841" priority="774" stopIfTrue="1" operator="equal">
      <formula>"NO"</formula>
    </cfRule>
  </conditionalFormatting>
  <conditionalFormatting sqref="M5693:M5702">
    <cfRule type="cellIs" dxfId="840" priority="772" stopIfTrue="1" operator="lessThan">
      <formula>0</formula>
    </cfRule>
  </conditionalFormatting>
  <conditionalFormatting sqref="C5695:D5701 B5694:B5701 F5695:I5701 C5694:I5694 B5702:O5702 B5693:R5693 Q5694:R5695 J5694:O5701 Q5696:Q5702 P5694:P5702">
    <cfRule type="cellIs" dxfId="839" priority="771" stopIfTrue="1" operator="greaterThan">
      <formula>0</formula>
    </cfRule>
  </conditionalFormatting>
  <conditionalFormatting sqref="C5695:D5701">
    <cfRule type="cellIs" dxfId="838" priority="770" stopIfTrue="1" operator="greaterThan">
      <formula>0</formula>
    </cfRule>
  </conditionalFormatting>
  <conditionalFormatting sqref="C5693:M5693 C5695:D5701 F5695:I5701 C5694:I5694 K5694:M5701 J5694:J5702 L5702:M5702">
    <cfRule type="cellIs" dxfId="837" priority="769" stopIfTrue="1" operator="greaterThan">
      <formula>0</formula>
    </cfRule>
  </conditionalFormatting>
  <conditionalFormatting sqref="M5693:M5702">
    <cfRule type="cellIs" dxfId="836" priority="768" stopIfTrue="1" operator="lessThan">
      <formula>0</formula>
    </cfRule>
  </conditionalFormatting>
  <conditionalFormatting sqref="J5694:J5702 L5694:O5702 C5693:O5693">
    <cfRule type="cellIs" dxfId="835" priority="767" stopIfTrue="1" operator="greaterThan">
      <formula>0</formula>
    </cfRule>
  </conditionalFormatting>
  <conditionalFormatting sqref="H5695:I5701 K5695:M5702">
    <cfRule type="cellIs" dxfId="834" priority="766" stopIfTrue="1" operator="greaterThan">
      <formula>0</formula>
    </cfRule>
  </conditionalFormatting>
  <conditionalFormatting sqref="I5694">
    <cfRule type="cellIs" dxfId="833" priority="765" stopIfTrue="1" operator="greaterThan">
      <formula>0</formula>
    </cfRule>
  </conditionalFormatting>
  <conditionalFormatting sqref="I5702">
    <cfRule type="cellIs" dxfId="832" priority="764" stopIfTrue="1" operator="greaterThan">
      <formula>0</formula>
    </cfRule>
  </conditionalFormatting>
  <conditionalFormatting sqref="E5695:E5701">
    <cfRule type="cellIs" dxfId="831" priority="763" stopIfTrue="1" operator="greaterThan">
      <formula>0</formula>
    </cfRule>
  </conditionalFormatting>
  <conditionalFormatting sqref="K5710:K5715">
    <cfRule type="containsText" dxfId="830" priority="761" stopIfTrue="1" operator="containsText" text="NO CUMPLE">
      <formula>NOT(ISERROR(SEARCH("NO CUMPLE",K5710)))</formula>
    </cfRule>
    <cfRule type="containsText" dxfId="829" priority="762" stopIfTrue="1" operator="containsText" text="CUMPLE">
      <formula>NOT(ISERROR(SEARCH("CUMPLE",K5710)))</formula>
    </cfRule>
  </conditionalFormatting>
  <conditionalFormatting sqref="K5716">
    <cfRule type="containsText" dxfId="828" priority="759" stopIfTrue="1" operator="containsText" text="NO CUMPLE">
      <formula>NOT(ISERROR(SEARCH("NO CUMPLE",K5716)))</formula>
    </cfRule>
    <cfRule type="containsText" dxfId="827" priority="760" stopIfTrue="1" operator="containsText" text="CUMPLE">
      <formula>NOT(ISERROR(SEARCH("CUMPLE",K5716)))</formula>
    </cfRule>
  </conditionalFormatting>
  <conditionalFormatting sqref="Q5709">
    <cfRule type="cellIs" dxfId="826" priority="757" operator="greaterThanOrEqual">
      <formula>NUMMINCONT</formula>
    </cfRule>
    <cfRule type="cellIs" dxfId="825" priority="758" operator="lessThan">
      <formula>NUMMINCONT</formula>
    </cfRule>
  </conditionalFormatting>
  <conditionalFormatting sqref="W5693:Y5701">
    <cfRule type="cellIs" dxfId="824" priority="755" stopIfTrue="1" operator="equal">
      <formula>"NO"</formula>
    </cfRule>
    <cfRule type="cellIs" dxfId="823" priority="756" stopIfTrue="1" operator="equal">
      <formula>"SI"</formula>
    </cfRule>
  </conditionalFormatting>
  <conditionalFormatting sqref="R5696">
    <cfRule type="cellIs" dxfId="822" priority="754" stopIfTrue="1" operator="greaterThan">
      <formula>0</formula>
    </cfRule>
  </conditionalFormatting>
  <conditionalFormatting sqref="R5697">
    <cfRule type="cellIs" dxfId="821" priority="753" stopIfTrue="1" operator="greaterThan">
      <formula>0</formula>
    </cfRule>
  </conditionalFormatting>
  <conditionalFormatting sqref="R5698">
    <cfRule type="cellIs" dxfId="820" priority="752" stopIfTrue="1" operator="greaterThan">
      <formula>0</formula>
    </cfRule>
  </conditionalFormatting>
  <conditionalFormatting sqref="R5699">
    <cfRule type="cellIs" dxfId="819" priority="751" stopIfTrue="1" operator="greaterThan">
      <formula>0</formula>
    </cfRule>
  </conditionalFormatting>
  <conditionalFormatting sqref="R5700">
    <cfRule type="cellIs" dxfId="818" priority="750" stopIfTrue="1" operator="greaterThan">
      <formula>0</formula>
    </cfRule>
  </conditionalFormatting>
  <conditionalFormatting sqref="R5701">
    <cfRule type="cellIs" dxfId="817" priority="749" stopIfTrue="1" operator="greaterThan">
      <formula>0</formula>
    </cfRule>
  </conditionalFormatting>
  <conditionalFormatting sqref="R5702">
    <cfRule type="cellIs" dxfId="816" priority="748" stopIfTrue="1" operator="greaterThan">
      <formula>0</formula>
    </cfRule>
  </conditionalFormatting>
  <conditionalFormatting sqref="W5693:X5693">
    <cfRule type="cellIs" dxfId="815" priority="747" stopIfTrue="1" operator="equal">
      <formula>"NO APLICA"</formula>
    </cfRule>
  </conditionalFormatting>
  <conditionalFormatting sqref="W5694:X5697">
    <cfRule type="cellIs" dxfId="814" priority="746" stopIfTrue="1" operator="equal">
      <formula>"NO APLICA"</formula>
    </cfRule>
  </conditionalFormatting>
  <conditionalFormatting sqref="W5694:X5694">
    <cfRule type="cellIs" dxfId="813" priority="745" stopIfTrue="1" operator="equal">
      <formula>"NO APLICA"</formula>
    </cfRule>
  </conditionalFormatting>
  <conditionalFormatting sqref="Y5693">
    <cfRule type="cellIs" dxfId="812" priority="744" stopIfTrue="1" operator="equal">
      <formula>"NO APLICA"</formula>
    </cfRule>
  </conditionalFormatting>
  <conditionalFormatting sqref="Y5694:Y5697">
    <cfRule type="cellIs" dxfId="811" priority="743" stopIfTrue="1" operator="equal">
      <formula>"NO APLICA"</formula>
    </cfRule>
  </conditionalFormatting>
  <conditionalFormatting sqref="W5698:X5701">
    <cfRule type="cellIs" dxfId="810" priority="742" stopIfTrue="1" operator="equal">
      <formula>"NO APLICA"</formula>
    </cfRule>
  </conditionalFormatting>
  <conditionalFormatting sqref="W5698:X5698">
    <cfRule type="cellIs" dxfId="809" priority="741" stopIfTrue="1" operator="equal">
      <formula>"NO APLICA"</formula>
    </cfRule>
  </conditionalFormatting>
  <conditionalFormatting sqref="Y5698:Y5701">
    <cfRule type="cellIs" dxfId="808" priority="740" stopIfTrue="1" operator="equal">
      <formula>"NO APLICA"</formula>
    </cfRule>
  </conditionalFormatting>
  <conditionalFormatting sqref="T5707">
    <cfRule type="cellIs" dxfId="807" priority="738" operator="equal">
      <formula>"CUMPLE"</formula>
    </cfRule>
    <cfRule type="cellIs" dxfId="806" priority="739" operator="equal">
      <formula>"NO CUMPLE"</formula>
    </cfRule>
  </conditionalFormatting>
  <conditionalFormatting sqref="T5707:T5709">
    <cfRule type="cellIs" dxfId="805" priority="737" operator="equal">
      <formula>"VERIFICAR"</formula>
    </cfRule>
  </conditionalFormatting>
  <conditionalFormatting sqref="AD5693:AF5697">
    <cfRule type="cellIs" dxfId="804" priority="735" stopIfTrue="1" operator="equal">
      <formula>"NO"</formula>
    </cfRule>
    <cfRule type="cellIs" dxfId="803" priority="736" stopIfTrue="1" operator="equal">
      <formula>"SI"</formula>
    </cfRule>
  </conditionalFormatting>
  <conditionalFormatting sqref="AD5698:AF5701">
    <cfRule type="cellIs" dxfId="802" priority="733" stopIfTrue="1" operator="equal">
      <formula>"NO"</formula>
    </cfRule>
    <cfRule type="cellIs" dxfId="801" priority="734" stopIfTrue="1" operator="equal">
      <formula>"SI"</formula>
    </cfRule>
  </conditionalFormatting>
  <conditionalFormatting sqref="W5702:Y5702">
    <cfRule type="cellIs" dxfId="800" priority="731" stopIfTrue="1" operator="equal">
      <formula>"NO"</formula>
    </cfRule>
    <cfRule type="cellIs" dxfId="799" priority="732" stopIfTrue="1" operator="equal">
      <formula>"SI"</formula>
    </cfRule>
  </conditionalFormatting>
  <conditionalFormatting sqref="W5702:X5702">
    <cfRule type="cellIs" dxfId="798" priority="730" stopIfTrue="1" operator="equal">
      <formula>"NO APLICA"</formula>
    </cfRule>
  </conditionalFormatting>
  <conditionalFormatting sqref="Y5702">
    <cfRule type="cellIs" dxfId="797" priority="729" stopIfTrue="1" operator="equal">
      <formula>"NO APLICA"</formula>
    </cfRule>
  </conditionalFormatting>
  <conditionalFormatting sqref="AD5702:AF5702">
    <cfRule type="cellIs" dxfId="796" priority="727" stopIfTrue="1" operator="equal">
      <formula>"NO"</formula>
    </cfRule>
    <cfRule type="cellIs" dxfId="795" priority="728" stopIfTrue="1" operator="equal">
      <formula>"SI"</formula>
    </cfRule>
  </conditionalFormatting>
  <conditionalFormatting sqref="AE5707">
    <cfRule type="cellIs" dxfId="794" priority="724" stopIfTrue="1" operator="equal">
      <formula>"VERIFICAR"</formula>
    </cfRule>
    <cfRule type="cellIs" dxfId="793" priority="725" stopIfTrue="1" operator="equal">
      <formula>"NO CUMPLE"</formula>
    </cfRule>
    <cfRule type="cellIs" dxfId="792" priority="726" stopIfTrue="1" operator="equal">
      <formula>"CUMPLE"</formula>
    </cfRule>
  </conditionalFormatting>
  <conditionalFormatting sqref="AF5707">
    <cfRule type="cellIs" dxfId="791" priority="721" stopIfTrue="1" operator="equal">
      <formula>"VERIFICAR"</formula>
    </cfRule>
    <cfRule type="cellIs" dxfId="790" priority="722" stopIfTrue="1" operator="equal">
      <formula>"NO CUMPLE"</formula>
    </cfRule>
    <cfRule type="cellIs" dxfId="789" priority="723" stopIfTrue="1" operator="equal">
      <formula>"CUMPLE"</formula>
    </cfRule>
  </conditionalFormatting>
  <conditionalFormatting sqref="Y5710">
    <cfRule type="cellIs" dxfId="788" priority="720" operator="equal">
      <formula>"VERIFICAR CUADRO"</formula>
    </cfRule>
  </conditionalFormatting>
  <conditionalFormatting sqref="AC5711:AC5716">
    <cfRule type="cellIs" dxfId="787" priority="719" stopIfTrue="1" operator="greaterThan">
      <formula>0</formula>
    </cfRule>
  </conditionalFormatting>
  <conditionalFormatting sqref="AC5711:AC5716">
    <cfRule type="cellIs" dxfId="786" priority="718" stopIfTrue="1" operator="greaterThan">
      <formula>0</formula>
    </cfRule>
  </conditionalFormatting>
  <conditionalFormatting sqref="AD5711:AD5716">
    <cfRule type="containsText" dxfId="785" priority="716" stopIfTrue="1" operator="containsText" text="NO CUMPLE">
      <formula>NOT(ISERROR(SEARCH("NO CUMPLE",AD5711)))</formula>
    </cfRule>
    <cfRule type="containsText" dxfId="784" priority="717" stopIfTrue="1" operator="containsText" text="CUMPLE">
      <formula>NOT(ISERROR(SEARCH("CUMPLE",AD5711)))</formula>
    </cfRule>
  </conditionalFormatting>
  <conditionalFormatting sqref="Y5716">
    <cfRule type="containsText" dxfId="783" priority="714" stopIfTrue="1" operator="containsText" text="NO CUMPLE">
      <formula>NOT(ISERROR(SEARCH("NO CUMPLE",Y5716)))</formula>
    </cfRule>
    <cfRule type="containsText" dxfId="782" priority="715" stopIfTrue="1" operator="containsText" text="CUMPLE">
      <formula>NOT(ISERROR(SEARCH("CUMPLE",Y5716)))</formula>
    </cfRule>
  </conditionalFormatting>
  <conditionalFormatting sqref="AA5693:AA5702">
    <cfRule type="cellIs" dxfId="781" priority="712" stopIfTrue="1" operator="equal">
      <formula>"NO APLICA"</formula>
    </cfRule>
    <cfRule type="cellIs" dxfId="780" priority="713" stopIfTrue="1" operator="equal">
      <formula>"TERCIARIA"</formula>
    </cfRule>
  </conditionalFormatting>
  <conditionalFormatting sqref="AB5693:AB5702">
    <cfRule type="cellIs" dxfId="779" priority="710" stopIfTrue="1" operator="equal">
      <formula>"N/A"</formula>
    </cfRule>
    <cfRule type="cellIs" dxfId="778" priority="711" stopIfTrue="1" operator="equal">
      <formula>"NO"</formula>
    </cfRule>
  </conditionalFormatting>
  <conditionalFormatting sqref="M5723:M5732">
    <cfRule type="cellIs" dxfId="777" priority="709" stopIfTrue="1" operator="lessThan">
      <formula>0</formula>
    </cfRule>
  </conditionalFormatting>
  <conditionalFormatting sqref="C5725:D5731 B5724:B5731 F5725:I5731 C5724:I5724 B5732:O5732 B5723:R5723 Q5724:R5725 J5724:O5731 Q5726:Q5732 P5724:P5732">
    <cfRule type="cellIs" dxfId="776" priority="708" stopIfTrue="1" operator="greaterThan">
      <formula>0</formula>
    </cfRule>
  </conditionalFormatting>
  <conditionalFormatting sqref="C5725:D5731">
    <cfRule type="cellIs" dxfId="775" priority="707" stopIfTrue="1" operator="greaterThan">
      <formula>0</formula>
    </cfRule>
  </conditionalFormatting>
  <conditionalFormatting sqref="C5723:M5723 C5725:D5731 F5725:I5731 C5724:I5724 K5724:M5731 J5724:J5732 L5732:M5732">
    <cfRule type="cellIs" dxfId="774" priority="706" stopIfTrue="1" operator="greaterThan">
      <formula>0</formula>
    </cfRule>
  </conditionalFormatting>
  <conditionalFormatting sqref="M5723:M5732">
    <cfRule type="cellIs" dxfId="773" priority="705" stopIfTrue="1" operator="lessThan">
      <formula>0</formula>
    </cfRule>
  </conditionalFormatting>
  <conditionalFormatting sqref="J5724:J5732 L5724:O5732 C5723:O5723">
    <cfRule type="cellIs" dxfId="772" priority="704" stopIfTrue="1" operator="greaterThan">
      <formula>0</formula>
    </cfRule>
  </conditionalFormatting>
  <conditionalFormatting sqref="H5725:I5731 K5725:M5732">
    <cfRule type="cellIs" dxfId="771" priority="703" stopIfTrue="1" operator="greaterThan">
      <formula>0</formula>
    </cfRule>
  </conditionalFormatting>
  <conditionalFormatting sqref="I5724">
    <cfRule type="cellIs" dxfId="770" priority="702" stopIfTrue="1" operator="greaterThan">
      <formula>0</formula>
    </cfRule>
  </conditionalFormatting>
  <conditionalFormatting sqref="I5732">
    <cfRule type="cellIs" dxfId="769" priority="701" stopIfTrue="1" operator="greaterThan">
      <formula>0</formula>
    </cfRule>
  </conditionalFormatting>
  <conditionalFormatting sqref="E5725:E5731">
    <cfRule type="cellIs" dxfId="768" priority="700" stopIfTrue="1" operator="greaterThan">
      <formula>0</formula>
    </cfRule>
  </conditionalFormatting>
  <conditionalFormatting sqref="K5740:K5745">
    <cfRule type="containsText" dxfId="767" priority="698" stopIfTrue="1" operator="containsText" text="NO CUMPLE">
      <formula>NOT(ISERROR(SEARCH("NO CUMPLE",K5740)))</formula>
    </cfRule>
    <cfRule type="containsText" dxfId="766" priority="699" stopIfTrue="1" operator="containsText" text="CUMPLE">
      <formula>NOT(ISERROR(SEARCH("CUMPLE",K5740)))</formula>
    </cfRule>
  </conditionalFormatting>
  <conditionalFormatting sqref="K5746">
    <cfRule type="containsText" dxfId="765" priority="696" stopIfTrue="1" operator="containsText" text="NO CUMPLE">
      <formula>NOT(ISERROR(SEARCH("NO CUMPLE",K5746)))</formula>
    </cfRule>
    <cfRule type="containsText" dxfId="764" priority="697" stopIfTrue="1" operator="containsText" text="CUMPLE">
      <formula>NOT(ISERROR(SEARCH("CUMPLE",K5746)))</formula>
    </cfRule>
  </conditionalFormatting>
  <conditionalFormatting sqref="Q5739">
    <cfRule type="cellIs" dxfId="763" priority="694" operator="greaterThanOrEqual">
      <formula>NUMMINCONT</formula>
    </cfRule>
    <cfRule type="cellIs" dxfId="762" priority="695" operator="lessThan">
      <formula>NUMMINCONT</formula>
    </cfRule>
  </conditionalFormatting>
  <conditionalFormatting sqref="W5723:Y5731">
    <cfRule type="cellIs" dxfId="761" priority="692" stopIfTrue="1" operator="equal">
      <formula>"NO"</formula>
    </cfRule>
    <cfRule type="cellIs" dxfId="760" priority="693" stopIfTrue="1" operator="equal">
      <formula>"SI"</formula>
    </cfRule>
  </conditionalFormatting>
  <conditionalFormatting sqref="R5726">
    <cfRule type="cellIs" dxfId="759" priority="691" stopIfTrue="1" operator="greaterThan">
      <formula>0</formula>
    </cfRule>
  </conditionalFormatting>
  <conditionalFormatting sqref="R5727">
    <cfRule type="cellIs" dxfId="758" priority="690" stopIfTrue="1" operator="greaterThan">
      <formula>0</formula>
    </cfRule>
  </conditionalFormatting>
  <conditionalFormatting sqref="R5728">
    <cfRule type="cellIs" dxfId="757" priority="689" stopIfTrue="1" operator="greaterThan">
      <formula>0</formula>
    </cfRule>
  </conditionalFormatting>
  <conditionalFormatting sqref="R5729">
    <cfRule type="cellIs" dxfId="756" priority="688" stopIfTrue="1" operator="greaterThan">
      <formula>0</formula>
    </cfRule>
  </conditionalFormatting>
  <conditionalFormatting sqref="R5730">
    <cfRule type="cellIs" dxfId="755" priority="687" stopIfTrue="1" operator="greaterThan">
      <formula>0</formula>
    </cfRule>
  </conditionalFormatting>
  <conditionalFormatting sqref="R5731">
    <cfRule type="cellIs" dxfId="754" priority="686" stopIfTrue="1" operator="greaterThan">
      <formula>0</formula>
    </cfRule>
  </conditionalFormatting>
  <conditionalFormatting sqref="R5732">
    <cfRule type="cellIs" dxfId="753" priority="685" stopIfTrue="1" operator="greaterThan">
      <formula>0</formula>
    </cfRule>
  </conditionalFormatting>
  <conditionalFormatting sqref="W5723:X5723">
    <cfRule type="cellIs" dxfId="752" priority="684" stopIfTrue="1" operator="equal">
      <formula>"NO APLICA"</formula>
    </cfRule>
  </conditionalFormatting>
  <conditionalFormatting sqref="W5724:X5727">
    <cfRule type="cellIs" dxfId="751" priority="683" stopIfTrue="1" operator="equal">
      <formula>"NO APLICA"</formula>
    </cfRule>
  </conditionalFormatting>
  <conditionalFormatting sqref="W5724:X5724">
    <cfRule type="cellIs" dxfId="750" priority="682" stopIfTrue="1" operator="equal">
      <formula>"NO APLICA"</formula>
    </cfRule>
  </conditionalFormatting>
  <conditionalFormatting sqref="Y5723">
    <cfRule type="cellIs" dxfId="749" priority="681" stopIfTrue="1" operator="equal">
      <formula>"NO APLICA"</formula>
    </cfRule>
  </conditionalFormatting>
  <conditionalFormatting sqref="Y5724:Y5727">
    <cfRule type="cellIs" dxfId="748" priority="680" stopIfTrue="1" operator="equal">
      <formula>"NO APLICA"</formula>
    </cfRule>
  </conditionalFormatting>
  <conditionalFormatting sqref="W5728:X5731">
    <cfRule type="cellIs" dxfId="747" priority="679" stopIfTrue="1" operator="equal">
      <formula>"NO APLICA"</formula>
    </cfRule>
  </conditionalFormatting>
  <conditionalFormatting sqref="W5728:X5728">
    <cfRule type="cellIs" dxfId="746" priority="678" stopIfTrue="1" operator="equal">
      <formula>"NO APLICA"</formula>
    </cfRule>
  </conditionalFormatting>
  <conditionalFormatting sqref="Y5728:Y5731">
    <cfRule type="cellIs" dxfId="745" priority="677" stopIfTrue="1" operator="equal">
      <formula>"NO APLICA"</formula>
    </cfRule>
  </conditionalFormatting>
  <conditionalFormatting sqref="T5737">
    <cfRule type="cellIs" dxfId="744" priority="675" operator="equal">
      <formula>"CUMPLE"</formula>
    </cfRule>
    <cfRule type="cellIs" dxfId="743" priority="676" operator="equal">
      <formula>"NO CUMPLE"</formula>
    </cfRule>
  </conditionalFormatting>
  <conditionalFormatting sqref="T5737:T5739">
    <cfRule type="cellIs" dxfId="742" priority="674" operator="equal">
      <formula>"VERIFICAR"</formula>
    </cfRule>
  </conditionalFormatting>
  <conditionalFormatting sqref="AD5723:AF5727">
    <cfRule type="cellIs" dxfId="741" priority="672" stopIfTrue="1" operator="equal">
      <formula>"NO"</formula>
    </cfRule>
    <cfRule type="cellIs" dxfId="740" priority="673" stopIfTrue="1" operator="equal">
      <formula>"SI"</formula>
    </cfRule>
  </conditionalFormatting>
  <conditionalFormatting sqref="AD5728:AF5731">
    <cfRule type="cellIs" dxfId="739" priority="670" stopIfTrue="1" operator="equal">
      <formula>"NO"</formula>
    </cfRule>
    <cfRule type="cellIs" dxfId="738" priority="671" stopIfTrue="1" operator="equal">
      <formula>"SI"</formula>
    </cfRule>
  </conditionalFormatting>
  <conditionalFormatting sqref="W5732:Y5732">
    <cfRule type="cellIs" dxfId="737" priority="668" stopIfTrue="1" operator="equal">
      <formula>"NO"</formula>
    </cfRule>
    <cfRule type="cellIs" dxfId="736" priority="669" stopIfTrue="1" operator="equal">
      <formula>"SI"</formula>
    </cfRule>
  </conditionalFormatting>
  <conditionalFormatting sqref="W5732:X5732">
    <cfRule type="cellIs" dxfId="735" priority="667" stopIfTrue="1" operator="equal">
      <formula>"NO APLICA"</formula>
    </cfRule>
  </conditionalFormatting>
  <conditionalFormatting sqref="Y5732">
    <cfRule type="cellIs" dxfId="734" priority="666" stopIfTrue="1" operator="equal">
      <formula>"NO APLICA"</formula>
    </cfRule>
  </conditionalFormatting>
  <conditionalFormatting sqref="AD5732:AF5732">
    <cfRule type="cellIs" dxfId="733" priority="664" stopIfTrue="1" operator="equal">
      <formula>"NO"</formula>
    </cfRule>
    <cfRule type="cellIs" dxfId="732" priority="665" stopIfTrue="1" operator="equal">
      <formula>"SI"</formula>
    </cfRule>
  </conditionalFormatting>
  <conditionalFormatting sqref="AE5737">
    <cfRule type="cellIs" dxfId="731" priority="661" stopIfTrue="1" operator="equal">
      <formula>"VERIFICAR"</formula>
    </cfRule>
    <cfRule type="cellIs" dxfId="730" priority="662" stopIfTrue="1" operator="equal">
      <formula>"NO CUMPLE"</formula>
    </cfRule>
    <cfRule type="cellIs" dxfId="729" priority="663" stopIfTrue="1" operator="equal">
      <formula>"CUMPLE"</formula>
    </cfRule>
  </conditionalFormatting>
  <conditionalFormatting sqref="AF5737">
    <cfRule type="cellIs" dxfId="728" priority="658" stopIfTrue="1" operator="equal">
      <formula>"VERIFICAR"</formula>
    </cfRule>
    <cfRule type="cellIs" dxfId="727" priority="659" stopIfTrue="1" operator="equal">
      <formula>"NO CUMPLE"</formula>
    </cfRule>
    <cfRule type="cellIs" dxfId="726" priority="660" stopIfTrue="1" operator="equal">
      <formula>"CUMPLE"</formula>
    </cfRule>
  </conditionalFormatting>
  <conditionalFormatting sqref="Y5740">
    <cfRule type="cellIs" dxfId="725" priority="657" operator="equal">
      <formula>"VERIFICAR CUADRO"</formula>
    </cfRule>
  </conditionalFormatting>
  <conditionalFormatting sqref="AC5741:AC5746">
    <cfRule type="cellIs" dxfId="724" priority="656" stopIfTrue="1" operator="greaterThan">
      <formula>0</formula>
    </cfRule>
  </conditionalFormatting>
  <conditionalFormatting sqref="AC5741:AC5746">
    <cfRule type="cellIs" dxfId="723" priority="655" stopIfTrue="1" operator="greaterThan">
      <formula>0</formula>
    </cfRule>
  </conditionalFormatting>
  <conditionalFormatting sqref="AD5741:AD5746">
    <cfRule type="containsText" dxfId="722" priority="653" stopIfTrue="1" operator="containsText" text="NO CUMPLE">
      <formula>NOT(ISERROR(SEARCH("NO CUMPLE",AD5741)))</formula>
    </cfRule>
    <cfRule type="containsText" dxfId="721" priority="654" stopIfTrue="1" operator="containsText" text="CUMPLE">
      <formula>NOT(ISERROR(SEARCH("CUMPLE",AD5741)))</formula>
    </cfRule>
  </conditionalFormatting>
  <conditionalFormatting sqref="Y5746">
    <cfRule type="containsText" dxfId="720" priority="651" stopIfTrue="1" operator="containsText" text="NO CUMPLE">
      <formula>NOT(ISERROR(SEARCH("NO CUMPLE",Y5746)))</formula>
    </cfRule>
    <cfRule type="containsText" dxfId="719" priority="652" stopIfTrue="1" operator="containsText" text="CUMPLE">
      <formula>NOT(ISERROR(SEARCH("CUMPLE",Y5746)))</formula>
    </cfRule>
  </conditionalFormatting>
  <conditionalFormatting sqref="AA5723:AA5732">
    <cfRule type="cellIs" dxfId="718" priority="649" stopIfTrue="1" operator="equal">
      <formula>"NO APLICA"</formula>
    </cfRule>
    <cfRule type="cellIs" dxfId="717" priority="650" stopIfTrue="1" operator="equal">
      <formula>"TERCIARIA"</formula>
    </cfRule>
  </conditionalFormatting>
  <conditionalFormatting sqref="AB5723:AB5732">
    <cfRule type="cellIs" dxfId="716" priority="647" stopIfTrue="1" operator="equal">
      <formula>"N/A"</formula>
    </cfRule>
    <cfRule type="cellIs" dxfId="715" priority="648" stopIfTrue="1" operator="equal">
      <formula>"NO"</formula>
    </cfRule>
  </conditionalFormatting>
  <conditionalFormatting sqref="M5753:M5762">
    <cfRule type="cellIs" dxfId="714" priority="646" stopIfTrue="1" operator="lessThan">
      <formula>0</formula>
    </cfRule>
  </conditionalFormatting>
  <conditionalFormatting sqref="C5755:D5761 B5754:B5761 F5755:I5761 C5754:I5754 B5762:O5762 B5753:R5753 Q5754:R5755 J5754:O5761 Q5756:Q5762 P5754:P5762">
    <cfRule type="cellIs" dxfId="713" priority="645" stopIfTrue="1" operator="greaterThan">
      <formula>0</formula>
    </cfRule>
  </conditionalFormatting>
  <conditionalFormatting sqref="C5755:D5761">
    <cfRule type="cellIs" dxfId="712" priority="644" stopIfTrue="1" operator="greaterThan">
      <formula>0</formula>
    </cfRule>
  </conditionalFormatting>
  <conditionalFormatting sqref="C5753:M5753 C5755:D5761 F5755:I5761 C5754:I5754 K5754:M5761 J5754:J5762 L5762:M5762">
    <cfRule type="cellIs" dxfId="711" priority="643" stopIfTrue="1" operator="greaterThan">
      <formula>0</formula>
    </cfRule>
  </conditionalFormatting>
  <conditionalFormatting sqref="M5753:M5762">
    <cfRule type="cellIs" dxfId="710" priority="642" stopIfTrue="1" operator="lessThan">
      <formula>0</formula>
    </cfRule>
  </conditionalFormatting>
  <conditionalFormatting sqref="J5754:J5762 L5754:O5762 C5753:O5753">
    <cfRule type="cellIs" dxfId="709" priority="641" stopIfTrue="1" operator="greaterThan">
      <formula>0</formula>
    </cfRule>
  </conditionalFormatting>
  <conditionalFormatting sqref="H5755:I5761 K5755:M5762">
    <cfRule type="cellIs" dxfId="708" priority="640" stopIfTrue="1" operator="greaterThan">
      <formula>0</formula>
    </cfRule>
  </conditionalFormatting>
  <conditionalFormatting sqref="I5754">
    <cfRule type="cellIs" dxfId="707" priority="639" stopIfTrue="1" operator="greaterThan">
      <formula>0</formula>
    </cfRule>
  </conditionalFormatting>
  <conditionalFormatting sqref="I5762">
    <cfRule type="cellIs" dxfId="706" priority="638" stopIfTrue="1" operator="greaterThan">
      <formula>0</formula>
    </cfRule>
  </conditionalFormatting>
  <conditionalFormatting sqref="E5755:E5761">
    <cfRule type="cellIs" dxfId="705" priority="637" stopIfTrue="1" operator="greaterThan">
      <formula>0</formula>
    </cfRule>
  </conditionalFormatting>
  <conditionalFormatting sqref="K5770:K5775">
    <cfRule type="containsText" dxfId="704" priority="635" stopIfTrue="1" operator="containsText" text="NO CUMPLE">
      <formula>NOT(ISERROR(SEARCH("NO CUMPLE",K5770)))</formula>
    </cfRule>
    <cfRule type="containsText" dxfId="703" priority="636" stopIfTrue="1" operator="containsText" text="CUMPLE">
      <formula>NOT(ISERROR(SEARCH("CUMPLE",K5770)))</formula>
    </cfRule>
  </conditionalFormatting>
  <conditionalFormatting sqref="K5776">
    <cfRule type="containsText" dxfId="702" priority="633" stopIfTrue="1" operator="containsText" text="NO CUMPLE">
      <formula>NOT(ISERROR(SEARCH("NO CUMPLE",K5776)))</formula>
    </cfRule>
    <cfRule type="containsText" dxfId="701" priority="634" stopIfTrue="1" operator="containsText" text="CUMPLE">
      <formula>NOT(ISERROR(SEARCH("CUMPLE",K5776)))</formula>
    </cfRule>
  </conditionalFormatting>
  <conditionalFormatting sqref="Q5769">
    <cfRule type="cellIs" dxfId="700" priority="631" operator="greaterThanOrEqual">
      <formula>NUMMINCONT</formula>
    </cfRule>
    <cfRule type="cellIs" dxfId="699" priority="632" operator="lessThan">
      <formula>NUMMINCONT</formula>
    </cfRule>
  </conditionalFormatting>
  <conditionalFormatting sqref="W5753:Y5761">
    <cfRule type="cellIs" dxfId="698" priority="629" stopIfTrue="1" operator="equal">
      <formula>"NO"</formula>
    </cfRule>
    <cfRule type="cellIs" dxfId="697" priority="630" stopIfTrue="1" operator="equal">
      <formula>"SI"</formula>
    </cfRule>
  </conditionalFormatting>
  <conditionalFormatting sqref="R5756">
    <cfRule type="cellIs" dxfId="696" priority="628" stopIfTrue="1" operator="greaterThan">
      <formula>0</formula>
    </cfRule>
  </conditionalFormatting>
  <conditionalFormatting sqref="R5757">
    <cfRule type="cellIs" dxfId="695" priority="627" stopIfTrue="1" operator="greaterThan">
      <formula>0</formula>
    </cfRule>
  </conditionalFormatting>
  <conditionalFormatting sqref="R5758">
    <cfRule type="cellIs" dxfId="694" priority="626" stopIfTrue="1" operator="greaterThan">
      <formula>0</formula>
    </cfRule>
  </conditionalFormatting>
  <conditionalFormatting sqref="R5759">
    <cfRule type="cellIs" dxfId="693" priority="625" stopIfTrue="1" operator="greaterThan">
      <formula>0</formula>
    </cfRule>
  </conditionalFormatting>
  <conditionalFormatting sqref="R5760">
    <cfRule type="cellIs" dxfId="692" priority="624" stopIfTrue="1" operator="greaterThan">
      <formula>0</formula>
    </cfRule>
  </conditionalFormatting>
  <conditionalFormatting sqref="R5761">
    <cfRule type="cellIs" dxfId="691" priority="623" stopIfTrue="1" operator="greaterThan">
      <formula>0</formula>
    </cfRule>
  </conditionalFormatting>
  <conditionalFormatting sqref="R5762">
    <cfRule type="cellIs" dxfId="690" priority="622" stopIfTrue="1" operator="greaterThan">
      <formula>0</formula>
    </cfRule>
  </conditionalFormatting>
  <conditionalFormatting sqref="W5753:X5753">
    <cfRule type="cellIs" dxfId="689" priority="621" stopIfTrue="1" operator="equal">
      <formula>"NO APLICA"</formula>
    </cfRule>
  </conditionalFormatting>
  <conditionalFormatting sqref="W5754:X5757">
    <cfRule type="cellIs" dxfId="688" priority="620" stopIfTrue="1" operator="equal">
      <formula>"NO APLICA"</formula>
    </cfRule>
  </conditionalFormatting>
  <conditionalFormatting sqref="W5754:X5754">
    <cfRule type="cellIs" dxfId="687" priority="619" stopIfTrue="1" operator="equal">
      <formula>"NO APLICA"</formula>
    </cfRule>
  </conditionalFormatting>
  <conditionalFormatting sqref="Y5753">
    <cfRule type="cellIs" dxfId="686" priority="618" stopIfTrue="1" operator="equal">
      <formula>"NO APLICA"</formula>
    </cfRule>
  </conditionalFormatting>
  <conditionalFormatting sqref="Y5754:Y5757">
    <cfRule type="cellIs" dxfId="685" priority="617" stopIfTrue="1" operator="equal">
      <formula>"NO APLICA"</formula>
    </cfRule>
  </conditionalFormatting>
  <conditionalFormatting sqref="W5758:X5761">
    <cfRule type="cellIs" dxfId="684" priority="616" stopIfTrue="1" operator="equal">
      <formula>"NO APLICA"</formula>
    </cfRule>
  </conditionalFormatting>
  <conditionalFormatting sqref="W5758:X5758">
    <cfRule type="cellIs" dxfId="683" priority="615" stopIfTrue="1" operator="equal">
      <formula>"NO APLICA"</formula>
    </cfRule>
  </conditionalFormatting>
  <conditionalFormatting sqref="Y5758:Y5761">
    <cfRule type="cellIs" dxfId="682" priority="614" stopIfTrue="1" operator="equal">
      <formula>"NO APLICA"</formula>
    </cfRule>
  </conditionalFormatting>
  <conditionalFormatting sqref="T5767">
    <cfRule type="cellIs" dxfId="681" priority="612" operator="equal">
      <formula>"CUMPLE"</formula>
    </cfRule>
    <cfRule type="cellIs" dxfId="680" priority="613" operator="equal">
      <formula>"NO CUMPLE"</formula>
    </cfRule>
  </conditionalFormatting>
  <conditionalFormatting sqref="T5767:T5769">
    <cfRule type="cellIs" dxfId="679" priority="611" operator="equal">
      <formula>"VERIFICAR"</formula>
    </cfRule>
  </conditionalFormatting>
  <conditionalFormatting sqref="AD5753:AF5757">
    <cfRule type="cellIs" dxfId="678" priority="609" stopIfTrue="1" operator="equal">
      <formula>"NO"</formula>
    </cfRule>
    <cfRule type="cellIs" dxfId="677" priority="610" stopIfTrue="1" operator="equal">
      <formula>"SI"</formula>
    </cfRule>
  </conditionalFormatting>
  <conditionalFormatting sqref="AD5758:AF5761">
    <cfRule type="cellIs" dxfId="676" priority="607" stopIfTrue="1" operator="equal">
      <formula>"NO"</formula>
    </cfRule>
    <cfRule type="cellIs" dxfId="675" priority="608" stopIfTrue="1" operator="equal">
      <formula>"SI"</formula>
    </cfRule>
  </conditionalFormatting>
  <conditionalFormatting sqref="W5762:Y5762">
    <cfRule type="cellIs" dxfId="674" priority="605" stopIfTrue="1" operator="equal">
      <formula>"NO"</formula>
    </cfRule>
    <cfRule type="cellIs" dxfId="673" priority="606" stopIfTrue="1" operator="equal">
      <formula>"SI"</formula>
    </cfRule>
  </conditionalFormatting>
  <conditionalFormatting sqref="W5762:X5762">
    <cfRule type="cellIs" dxfId="672" priority="604" stopIfTrue="1" operator="equal">
      <formula>"NO APLICA"</formula>
    </cfRule>
  </conditionalFormatting>
  <conditionalFormatting sqref="Y5762">
    <cfRule type="cellIs" dxfId="671" priority="603" stopIfTrue="1" operator="equal">
      <formula>"NO APLICA"</formula>
    </cfRule>
  </conditionalFormatting>
  <conditionalFormatting sqref="AD5762:AF5762">
    <cfRule type="cellIs" dxfId="670" priority="601" stopIfTrue="1" operator="equal">
      <formula>"NO"</formula>
    </cfRule>
    <cfRule type="cellIs" dxfId="669" priority="602" stopIfTrue="1" operator="equal">
      <formula>"SI"</formula>
    </cfRule>
  </conditionalFormatting>
  <conditionalFormatting sqref="AE5767">
    <cfRule type="cellIs" dxfId="668" priority="598" stopIfTrue="1" operator="equal">
      <formula>"VERIFICAR"</formula>
    </cfRule>
    <cfRule type="cellIs" dxfId="667" priority="599" stopIfTrue="1" operator="equal">
      <formula>"NO CUMPLE"</formula>
    </cfRule>
    <cfRule type="cellIs" dxfId="666" priority="600" stopIfTrue="1" operator="equal">
      <formula>"CUMPLE"</formula>
    </cfRule>
  </conditionalFormatting>
  <conditionalFormatting sqref="AF5767">
    <cfRule type="cellIs" dxfId="665" priority="595" stopIfTrue="1" operator="equal">
      <formula>"VERIFICAR"</formula>
    </cfRule>
    <cfRule type="cellIs" dxfId="664" priority="596" stopIfTrue="1" operator="equal">
      <formula>"NO CUMPLE"</formula>
    </cfRule>
    <cfRule type="cellIs" dxfId="663" priority="597" stopIfTrue="1" operator="equal">
      <formula>"CUMPLE"</formula>
    </cfRule>
  </conditionalFormatting>
  <conditionalFormatting sqref="Y5770">
    <cfRule type="cellIs" dxfId="662" priority="594" operator="equal">
      <formula>"VERIFICAR CUADRO"</formula>
    </cfRule>
  </conditionalFormatting>
  <conditionalFormatting sqref="AC5771:AC5776">
    <cfRule type="cellIs" dxfId="661" priority="593" stopIfTrue="1" operator="greaterThan">
      <formula>0</formula>
    </cfRule>
  </conditionalFormatting>
  <conditionalFormatting sqref="AC5771:AC5776">
    <cfRule type="cellIs" dxfId="660" priority="592" stopIfTrue="1" operator="greaterThan">
      <formula>0</formula>
    </cfRule>
  </conditionalFormatting>
  <conditionalFormatting sqref="AD5771:AD5776">
    <cfRule type="containsText" dxfId="659" priority="590" stopIfTrue="1" operator="containsText" text="NO CUMPLE">
      <formula>NOT(ISERROR(SEARCH("NO CUMPLE",AD5771)))</formula>
    </cfRule>
    <cfRule type="containsText" dxfId="658" priority="591" stopIfTrue="1" operator="containsText" text="CUMPLE">
      <formula>NOT(ISERROR(SEARCH("CUMPLE",AD5771)))</formula>
    </cfRule>
  </conditionalFormatting>
  <conditionalFormatting sqref="Y5776">
    <cfRule type="containsText" dxfId="657" priority="588" stopIfTrue="1" operator="containsText" text="NO CUMPLE">
      <formula>NOT(ISERROR(SEARCH("NO CUMPLE",Y5776)))</formula>
    </cfRule>
    <cfRule type="containsText" dxfId="656" priority="589" stopIfTrue="1" operator="containsText" text="CUMPLE">
      <formula>NOT(ISERROR(SEARCH("CUMPLE",Y5776)))</formula>
    </cfRule>
  </conditionalFormatting>
  <conditionalFormatting sqref="AA5753:AA5762">
    <cfRule type="cellIs" dxfId="655" priority="586" stopIfTrue="1" operator="equal">
      <formula>"NO APLICA"</formula>
    </cfRule>
    <cfRule type="cellIs" dxfId="654" priority="587" stopIfTrue="1" operator="equal">
      <formula>"TERCIARIA"</formula>
    </cfRule>
  </conditionalFormatting>
  <conditionalFormatting sqref="AB5753:AB5762">
    <cfRule type="cellIs" dxfId="653" priority="584" stopIfTrue="1" operator="equal">
      <formula>"N/A"</formula>
    </cfRule>
    <cfRule type="cellIs" dxfId="652" priority="585" stopIfTrue="1" operator="equal">
      <formula>"NO"</formula>
    </cfRule>
  </conditionalFormatting>
  <conditionalFormatting sqref="M5783:M5792">
    <cfRule type="cellIs" dxfId="651" priority="583" stopIfTrue="1" operator="lessThan">
      <formula>0</formula>
    </cfRule>
  </conditionalFormatting>
  <conditionalFormatting sqref="C5785:D5791 B5784:B5791 F5785:I5791 C5784:I5784 B5792:O5792 B5783:R5783 Q5784:R5785 J5784:O5791 Q5786:Q5792 P5784:P5792">
    <cfRule type="cellIs" dxfId="650" priority="582" stopIfTrue="1" operator="greaterThan">
      <formula>0</formula>
    </cfRule>
  </conditionalFormatting>
  <conditionalFormatting sqref="C5785:D5791">
    <cfRule type="cellIs" dxfId="649" priority="581" stopIfTrue="1" operator="greaterThan">
      <formula>0</formula>
    </cfRule>
  </conditionalFormatting>
  <conditionalFormatting sqref="C5783:M5783 C5785:D5791 F5785:I5791 C5784:I5784 K5784:M5791 J5784:J5792 L5792:M5792">
    <cfRule type="cellIs" dxfId="648" priority="580" stopIfTrue="1" operator="greaterThan">
      <formula>0</formula>
    </cfRule>
  </conditionalFormatting>
  <conditionalFormatting sqref="M5783:M5792">
    <cfRule type="cellIs" dxfId="647" priority="579" stopIfTrue="1" operator="lessThan">
      <formula>0</formula>
    </cfRule>
  </conditionalFormatting>
  <conditionalFormatting sqref="J5784:J5792 L5784:O5792 C5783:O5783">
    <cfRule type="cellIs" dxfId="646" priority="578" stopIfTrue="1" operator="greaterThan">
      <formula>0</formula>
    </cfRule>
  </conditionalFormatting>
  <conditionalFormatting sqref="H5785:I5791 K5785:M5792">
    <cfRule type="cellIs" dxfId="645" priority="577" stopIfTrue="1" operator="greaterThan">
      <formula>0</formula>
    </cfRule>
  </conditionalFormatting>
  <conditionalFormatting sqref="I5784">
    <cfRule type="cellIs" dxfId="644" priority="576" stopIfTrue="1" operator="greaterThan">
      <formula>0</formula>
    </cfRule>
  </conditionalFormatting>
  <conditionalFormatting sqref="I5792">
    <cfRule type="cellIs" dxfId="643" priority="575" stopIfTrue="1" operator="greaterThan">
      <formula>0</formula>
    </cfRule>
  </conditionalFormatting>
  <conditionalFormatting sqref="E5785:E5791">
    <cfRule type="cellIs" dxfId="642" priority="574" stopIfTrue="1" operator="greaterThan">
      <formula>0</formula>
    </cfRule>
  </conditionalFormatting>
  <conditionalFormatting sqref="K5800:K5805">
    <cfRule type="containsText" dxfId="641" priority="572" stopIfTrue="1" operator="containsText" text="NO CUMPLE">
      <formula>NOT(ISERROR(SEARCH("NO CUMPLE",K5800)))</formula>
    </cfRule>
    <cfRule type="containsText" dxfId="640" priority="573" stopIfTrue="1" operator="containsText" text="CUMPLE">
      <formula>NOT(ISERROR(SEARCH("CUMPLE",K5800)))</formula>
    </cfRule>
  </conditionalFormatting>
  <conditionalFormatting sqref="K5806">
    <cfRule type="containsText" dxfId="639" priority="570" stopIfTrue="1" operator="containsText" text="NO CUMPLE">
      <formula>NOT(ISERROR(SEARCH("NO CUMPLE",K5806)))</formula>
    </cfRule>
    <cfRule type="containsText" dxfId="638" priority="571" stopIfTrue="1" operator="containsText" text="CUMPLE">
      <formula>NOT(ISERROR(SEARCH("CUMPLE",K5806)))</formula>
    </cfRule>
  </conditionalFormatting>
  <conditionalFormatting sqref="Q5799">
    <cfRule type="cellIs" dxfId="637" priority="568" operator="greaterThanOrEqual">
      <formula>NUMMINCONT</formula>
    </cfRule>
    <cfRule type="cellIs" dxfId="636" priority="569" operator="lessThan">
      <formula>NUMMINCONT</formula>
    </cfRule>
  </conditionalFormatting>
  <conditionalFormatting sqref="W5783:Y5791">
    <cfRule type="cellIs" dxfId="635" priority="566" stopIfTrue="1" operator="equal">
      <formula>"NO"</formula>
    </cfRule>
    <cfRule type="cellIs" dxfId="634" priority="567" stopIfTrue="1" operator="equal">
      <formula>"SI"</formula>
    </cfRule>
  </conditionalFormatting>
  <conditionalFormatting sqref="R5786">
    <cfRule type="cellIs" dxfId="633" priority="565" stopIfTrue="1" operator="greaterThan">
      <formula>0</formula>
    </cfRule>
  </conditionalFormatting>
  <conditionalFormatting sqref="R5787">
    <cfRule type="cellIs" dxfId="632" priority="564" stopIfTrue="1" operator="greaterThan">
      <formula>0</formula>
    </cfRule>
  </conditionalFormatting>
  <conditionalFormatting sqref="R5788">
    <cfRule type="cellIs" dxfId="631" priority="563" stopIfTrue="1" operator="greaterThan">
      <formula>0</formula>
    </cfRule>
  </conditionalFormatting>
  <conditionalFormatting sqref="R5789">
    <cfRule type="cellIs" dxfId="630" priority="562" stopIfTrue="1" operator="greaterThan">
      <formula>0</formula>
    </cfRule>
  </conditionalFormatting>
  <conditionalFormatting sqref="R5790">
    <cfRule type="cellIs" dxfId="629" priority="561" stopIfTrue="1" operator="greaterThan">
      <formula>0</formula>
    </cfRule>
  </conditionalFormatting>
  <conditionalFormatting sqref="R5791">
    <cfRule type="cellIs" dxfId="628" priority="560" stopIfTrue="1" operator="greaterThan">
      <formula>0</formula>
    </cfRule>
  </conditionalFormatting>
  <conditionalFormatting sqref="R5792">
    <cfRule type="cellIs" dxfId="627" priority="559" stopIfTrue="1" operator="greaterThan">
      <formula>0</formula>
    </cfRule>
  </conditionalFormatting>
  <conditionalFormatting sqref="W5783:X5783">
    <cfRule type="cellIs" dxfId="626" priority="558" stopIfTrue="1" operator="equal">
      <formula>"NO APLICA"</formula>
    </cfRule>
  </conditionalFormatting>
  <conditionalFormatting sqref="W5784:X5787">
    <cfRule type="cellIs" dxfId="625" priority="557" stopIfTrue="1" operator="equal">
      <formula>"NO APLICA"</formula>
    </cfRule>
  </conditionalFormatting>
  <conditionalFormatting sqref="W5784:X5784">
    <cfRule type="cellIs" dxfId="624" priority="556" stopIfTrue="1" operator="equal">
      <formula>"NO APLICA"</formula>
    </cfRule>
  </conditionalFormatting>
  <conditionalFormatting sqref="Y5783">
    <cfRule type="cellIs" dxfId="623" priority="555" stopIfTrue="1" operator="equal">
      <formula>"NO APLICA"</formula>
    </cfRule>
  </conditionalFormatting>
  <conditionalFormatting sqref="Y5784:Y5787">
    <cfRule type="cellIs" dxfId="622" priority="554" stopIfTrue="1" operator="equal">
      <formula>"NO APLICA"</formula>
    </cfRule>
  </conditionalFormatting>
  <conditionalFormatting sqref="W5788:X5791">
    <cfRule type="cellIs" dxfId="621" priority="553" stopIfTrue="1" operator="equal">
      <formula>"NO APLICA"</formula>
    </cfRule>
  </conditionalFormatting>
  <conditionalFormatting sqref="W5788:X5788">
    <cfRule type="cellIs" dxfId="620" priority="552" stopIfTrue="1" operator="equal">
      <formula>"NO APLICA"</formula>
    </cfRule>
  </conditionalFormatting>
  <conditionalFormatting sqref="Y5788:Y5791">
    <cfRule type="cellIs" dxfId="619" priority="551" stopIfTrue="1" operator="equal">
      <formula>"NO APLICA"</formula>
    </cfRule>
  </conditionalFormatting>
  <conditionalFormatting sqref="T5797">
    <cfRule type="cellIs" dxfId="618" priority="549" operator="equal">
      <formula>"CUMPLE"</formula>
    </cfRule>
    <cfRule type="cellIs" dxfId="617" priority="550" operator="equal">
      <formula>"NO CUMPLE"</formula>
    </cfRule>
  </conditionalFormatting>
  <conditionalFormatting sqref="T5797:T5799">
    <cfRule type="cellIs" dxfId="616" priority="548" operator="equal">
      <formula>"VERIFICAR"</formula>
    </cfRule>
  </conditionalFormatting>
  <conditionalFormatting sqref="AD5783:AF5787">
    <cfRule type="cellIs" dxfId="615" priority="546" stopIfTrue="1" operator="equal">
      <formula>"NO"</formula>
    </cfRule>
    <cfRule type="cellIs" dxfId="614" priority="547" stopIfTrue="1" operator="equal">
      <formula>"SI"</formula>
    </cfRule>
  </conditionalFormatting>
  <conditionalFormatting sqref="AD5788:AF5791">
    <cfRule type="cellIs" dxfId="613" priority="544" stopIfTrue="1" operator="equal">
      <formula>"NO"</formula>
    </cfRule>
    <cfRule type="cellIs" dxfId="612" priority="545" stopIfTrue="1" operator="equal">
      <formula>"SI"</formula>
    </cfRule>
  </conditionalFormatting>
  <conditionalFormatting sqref="W5792:Y5792">
    <cfRule type="cellIs" dxfId="611" priority="542" stopIfTrue="1" operator="equal">
      <formula>"NO"</formula>
    </cfRule>
    <cfRule type="cellIs" dxfId="610" priority="543" stopIfTrue="1" operator="equal">
      <formula>"SI"</formula>
    </cfRule>
  </conditionalFormatting>
  <conditionalFormatting sqref="W5792:X5792">
    <cfRule type="cellIs" dxfId="609" priority="541" stopIfTrue="1" operator="equal">
      <formula>"NO APLICA"</formula>
    </cfRule>
  </conditionalFormatting>
  <conditionalFormatting sqref="Y5792">
    <cfRule type="cellIs" dxfId="608" priority="540" stopIfTrue="1" operator="equal">
      <formula>"NO APLICA"</formula>
    </cfRule>
  </conditionalFormatting>
  <conditionalFormatting sqref="AD5792:AF5792">
    <cfRule type="cellIs" dxfId="607" priority="538" stopIfTrue="1" operator="equal">
      <formula>"NO"</formula>
    </cfRule>
    <cfRule type="cellIs" dxfId="606" priority="539" stopIfTrue="1" operator="equal">
      <formula>"SI"</formula>
    </cfRule>
  </conditionalFormatting>
  <conditionalFormatting sqref="AE5797">
    <cfRule type="cellIs" dxfId="605" priority="535" stopIfTrue="1" operator="equal">
      <formula>"VERIFICAR"</formula>
    </cfRule>
    <cfRule type="cellIs" dxfId="604" priority="536" stopIfTrue="1" operator="equal">
      <formula>"NO CUMPLE"</formula>
    </cfRule>
    <cfRule type="cellIs" dxfId="603" priority="537" stopIfTrue="1" operator="equal">
      <formula>"CUMPLE"</formula>
    </cfRule>
  </conditionalFormatting>
  <conditionalFormatting sqref="AF5797">
    <cfRule type="cellIs" dxfId="602" priority="532" stopIfTrue="1" operator="equal">
      <formula>"VERIFICAR"</formula>
    </cfRule>
    <cfRule type="cellIs" dxfId="601" priority="533" stopIfTrue="1" operator="equal">
      <formula>"NO CUMPLE"</formula>
    </cfRule>
    <cfRule type="cellIs" dxfId="600" priority="534" stopIfTrue="1" operator="equal">
      <formula>"CUMPLE"</formula>
    </cfRule>
  </conditionalFormatting>
  <conditionalFormatting sqref="Y5800">
    <cfRule type="cellIs" dxfId="599" priority="531" operator="equal">
      <formula>"VERIFICAR CUADRO"</formula>
    </cfRule>
  </conditionalFormatting>
  <conditionalFormatting sqref="AC5801:AC5806">
    <cfRule type="cellIs" dxfId="598" priority="530" stopIfTrue="1" operator="greaterThan">
      <formula>0</formula>
    </cfRule>
  </conditionalFormatting>
  <conditionalFormatting sqref="AC5801:AC5806">
    <cfRule type="cellIs" dxfId="597" priority="529" stopIfTrue="1" operator="greaterThan">
      <formula>0</formula>
    </cfRule>
  </conditionalFormatting>
  <conditionalFormatting sqref="AD5801:AD5806">
    <cfRule type="containsText" dxfId="596" priority="527" stopIfTrue="1" operator="containsText" text="NO CUMPLE">
      <formula>NOT(ISERROR(SEARCH("NO CUMPLE",AD5801)))</formula>
    </cfRule>
    <cfRule type="containsText" dxfId="595" priority="528" stopIfTrue="1" operator="containsText" text="CUMPLE">
      <formula>NOT(ISERROR(SEARCH("CUMPLE",AD5801)))</formula>
    </cfRule>
  </conditionalFormatting>
  <conditionalFormatting sqref="Y5806">
    <cfRule type="containsText" dxfId="594" priority="525" stopIfTrue="1" operator="containsText" text="NO CUMPLE">
      <formula>NOT(ISERROR(SEARCH("NO CUMPLE",Y5806)))</formula>
    </cfRule>
    <cfRule type="containsText" dxfId="593" priority="526" stopIfTrue="1" operator="containsText" text="CUMPLE">
      <formula>NOT(ISERROR(SEARCH("CUMPLE",Y5806)))</formula>
    </cfRule>
  </conditionalFormatting>
  <conditionalFormatting sqref="AA5783:AA5792">
    <cfRule type="cellIs" dxfId="592" priority="523" stopIfTrue="1" operator="equal">
      <formula>"NO APLICA"</formula>
    </cfRule>
    <cfRule type="cellIs" dxfId="591" priority="524" stopIfTrue="1" operator="equal">
      <formula>"TERCIARIA"</formula>
    </cfRule>
  </conditionalFormatting>
  <conditionalFormatting sqref="AB5783:AB5792">
    <cfRule type="cellIs" dxfId="590" priority="521" stopIfTrue="1" operator="equal">
      <formula>"N/A"</formula>
    </cfRule>
    <cfRule type="cellIs" dxfId="589" priority="522" stopIfTrue="1" operator="equal">
      <formula>"NO"</formula>
    </cfRule>
  </conditionalFormatting>
  <conditionalFormatting sqref="M5813:M5822">
    <cfRule type="cellIs" dxfId="588" priority="520" stopIfTrue="1" operator="lessThan">
      <formula>0</formula>
    </cfRule>
  </conditionalFormatting>
  <conditionalFormatting sqref="C5815:D5821 B5814:B5821 F5815:I5821 C5814:I5814 B5822:O5822 B5813:R5813 Q5814:R5815 J5814:O5821 Q5816:Q5822 P5814:P5822">
    <cfRule type="cellIs" dxfId="587" priority="519" stopIfTrue="1" operator="greaterThan">
      <formula>0</formula>
    </cfRule>
  </conditionalFormatting>
  <conditionalFormatting sqref="C5815:D5821">
    <cfRule type="cellIs" dxfId="586" priority="518" stopIfTrue="1" operator="greaterThan">
      <formula>0</formula>
    </cfRule>
  </conditionalFormatting>
  <conditionalFormatting sqref="C5813:M5813 C5815:D5821 F5815:I5821 C5814:I5814 K5814:M5821 J5814:J5822 L5822:M5822">
    <cfRule type="cellIs" dxfId="585" priority="517" stopIfTrue="1" operator="greaterThan">
      <formula>0</formula>
    </cfRule>
  </conditionalFormatting>
  <conditionalFormatting sqref="M5813:M5822">
    <cfRule type="cellIs" dxfId="584" priority="516" stopIfTrue="1" operator="lessThan">
      <formula>0</formula>
    </cfRule>
  </conditionalFormatting>
  <conditionalFormatting sqref="J5814:J5822 L5814:O5822 C5813:O5813">
    <cfRule type="cellIs" dxfId="583" priority="515" stopIfTrue="1" operator="greaterThan">
      <formula>0</formula>
    </cfRule>
  </conditionalFormatting>
  <conditionalFormatting sqref="H5815:I5821 K5815:M5822">
    <cfRule type="cellIs" dxfId="582" priority="514" stopIfTrue="1" operator="greaterThan">
      <formula>0</formula>
    </cfRule>
  </conditionalFormatting>
  <conditionalFormatting sqref="I5814">
    <cfRule type="cellIs" dxfId="581" priority="513" stopIfTrue="1" operator="greaterThan">
      <formula>0</formula>
    </cfRule>
  </conditionalFormatting>
  <conditionalFormatting sqref="I5822">
    <cfRule type="cellIs" dxfId="580" priority="512" stopIfTrue="1" operator="greaterThan">
      <formula>0</formula>
    </cfRule>
  </conditionalFormatting>
  <conditionalFormatting sqref="E5815:E5821">
    <cfRule type="cellIs" dxfId="579" priority="511" stopIfTrue="1" operator="greaterThan">
      <formula>0</formula>
    </cfRule>
  </conditionalFormatting>
  <conditionalFormatting sqref="K5830:K5835">
    <cfRule type="containsText" dxfId="578" priority="509" stopIfTrue="1" operator="containsText" text="NO CUMPLE">
      <formula>NOT(ISERROR(SEARCH("NO CUMPLE",K5830)))</formula>
    </cfRule>
    <cfRule type="containsText" dxfId="577" priority="510" stopIfTrue="1" operator="containsText" text="CUMPLE">
      <formula>NOT(ISERROR(SEARCH("CUMPLE",K5830)))</formula>
    </cfRule>
  </conditionalFormatting>
  <conditionalFormatting sqref="K5836">
    <cfRule type="containsText" dxfId="576" priority="507" stopIfTrue="1" operator="containsText" text="NO CUMPLE">
      <formula>NOT(ISERROR(SEARCH("NO CUMPLE",K5836)))</formula>
    </cfRule>
    <cfRule type="containsText" dxfId="575" priority="508" stopIfTrue="1" operator="containsText" text="CUMPLE">
      <formula>NOT(ISERROR(SEARCH("CUMPLE",K5836)))</formula>
    </cfRule>
  </conditionalFormatting>
  <conditionalFormatting sqref="Q5829">
    <cfRule type="cellIs" dxfId="574" priority="505" operator="greaterThanOrEqual">
      <formula>NUMMINCONT</formula>
    </cfRule>
    <cfRule type="cellIs" dxfId="573" priority="506" operator="lessThan">
      <formula>NUMMINCONT</formula>
    </cfRule>
  </conditionalFormatting>
  <conditionalFormatting sqref="W5813:Y5821">
    <cfRule type="cellIs" dxfId="572" priority="503" stopIfTrue="1" operator="equal">
      <formula>"NO"</formula>
    </cfRule>
    <cfRule type="cellIs" dxfId="571" priority="504" stopIfTrue="1" operator="equal">
      <formula>"SI"</formula>
    </cfRule>
  </conditionalFormatting>
  <conditionalFormatting sqref="R5816">
    <cfRule type="cellIs" dxfId="570" priority="502" stopIfTrue="1" operator="greaterThan">
      <formula>0</formula>
    </cfRule>
  </conditionalFormatting>
  <conditionalFormatting sqref="R5817">
    <cfRule type="cellIs" dxfId="569" priority="501" stopIfTrue="1" operator="greaterThan">
      <formula>0</formula>
    </cfRule>
  </conditionalFormatting>
  <conditionalFormatting sqref="R5818">
    <cfRule type="cellIs" dxfId="568" priority="500" stopIfTrue="1" operator="greaterThan">
      <formula>0</formula>
    </cfRule>
  </conditionalFormatting>
  <conditionalFormatting sqref="R5819">
    <cfRule type="cellIs" dxfId="567" priority="499" stopIfTrue="1" operator="greaterThan">
      <formula>0</formula>
    </cfRule>
  </conditionalFormatting>
  <conditionalFormatting sqref="R5820">
    <cfRule type="cellIs" dxfId="566" priority="498" stopIfTrue="1" operator="greaterThan">
      <formula>0</formula>
    </cfRule>
  </conditionalFormatting>
  <conditionalFormatting sqref="R5821">
    <cfRule type="cellIs" dxfId="565" priority="497" stopIfTrue="1" operator="greaterThan">
      <formula>0</formula>
    </cfRule>
  </conditionalFormatting>
  <conditionalFormatting sqref="R5822">
    <cfRule type="cellIs" dxfId="564" priority="496" stopIfTrue="1" operator="greaterThan">
      <formula>0</formula>
    </cfRule>
  </conditionalFormatting>
  <conditionalFormatting sqref="W5813:X5813">
    <cfRule type="cellIs" dxfId="563" priority="495" stopIfTrue="1" operator="equal">
      <formula>"NO APLICA"</formula>
    </cfRule>
  </conditionalFormatting>
  <conditionalFormatting sqref="W5814:X5817">
    <cfRule type="cellIs" dxfId="562" priority="494" stopIfTrue="1" operator="equal">
      <formula>"NO APLICA"</formula>
    </cfRule>
  </conditionalFormatting>
  <conditionalFormatting sqref="W5814:X5814">
    <cfRule type="cellIs" dxfId="561" priority="493" stopIfTrue="1" operator="equal">
      <formula>"NO APLICA"</formula>
    </cfRule>
  </conditionalFormatting>
  <conditionalFormatting sqref="Y5813">
    <cfRule type="cellIs" dxfId="560" priority="492" stopIfTrue="1" operator="equal">
      <formula>"NO APLICA"</formula>
    </cfRule>
  </conditionalFormatting>
  <conditionalFormatting sqref="Y5814:Y5817">
    <cfRule type="cellIs" dxfId="559" priority="491" stopIfTrue="1" operator="equal">
      <formula>"NO APLICA"</formula>
    </cfRule>
  </conditionalFormatting>
  <conditionalFormatting sqref="W5818:X5821">
    <cfRule type="cellIs" dxfId="558" priority="490" stopIfTrue="1" operator="equal">
      <formula>"NO APLICA"</formula>
    </cfRule>
  </conditionalFormatting>
  <conditionalFormatting sqref="W5818:X5818">
    <cfRule type="cellIs" dxfId="557" priority="489" stopIfTrue="1" operator="equal">
      <formula>"NO APLICA"</formula>
    </cfRule>
  </conditionalFormatting>
  <conditionalFormatting sqref="Y5818:Y5821">
    <cfRule type="cellIs" dxfId="556" priority="488" stopIfTrue="1" operator="equal">
      <formula>"NO APLICA"</formula>
    </cfRule>
  </conditionalFormatting>
  <conditionalFormatting sqref="T5827">
    <cfRule type="cellIs" dxfId="555" priority="486" operator="equal">
      <formula>"CUMPLE"</formula>
    </cfRule>
    <cfRule type="cellIs" dxfId="554" priority="487" operator="equal">
      <formula>"NO CUMPLE"</formula>
    </cfRule>
  </conditionalFormatting>
  <conditionalFormatting sqref="T5827:T5829">
    <cfRule type="cellIs" dxfId="553" priority="485" operator="equal">
      <formula>"VERIFICAR"</formula>
    </cfRule>
  </conditionalFormatting>
  <conditionalFormatting sqref="AD5813:AF5817">
    <cfRule type="cellIs" dxfId="552" priority="483" stopIfTrue="1" operator="equal">
      <formula>"NO"</formula>
    </cfRule>
    <cfRule type="cellIs" dxfId="551" priority="484" stopIfTrue="1" operator="equal">
      <formula>"SI"</formula>
    </cfRule>
  </conditionalFormatting>
  <conditionalFormatting sqref="AD5818:AF5821">
    <cfRule type="cellIs" dxfId="550" priority="481" stopIfTrue="1" operator="equal">
      <formula>"NO"</formula>
    </cfRule>
    <cfRule type="cellIs" dxfId="549" priority="482" stopIfTrue="1" operator="equal">
      <formula>"SI"</formula>
    </cfRule>
  </conditionalFormatting>
  <conditionalFormatting sqref="W5822:Y5822">
    <cfRule type="cellIs" dxfId="548" priority="479" stopIfTrue="1" operator="equal">
      <formula>"NO"</formula>
    </cfRule>
    <cfRule type="cellIs" dxfId="547" priority="480" stopIfTrue="1" operator="equal">
      <formula>"SI"</formula>
    </cfRule>
  </conditionalFormatting>
  <conditionalFormatting sqref="W5822:X5822">
    <cfRule type="cellIs" dxfId="546" priority="478" stopIfTrue="1" operator="equal">
      <formula>"NO APLICA"</formula>
    </cfRule>
  </conditionalFormatting>
  <conditionalFormatting sqref="Y5822">
    <cfRule type="cellIs" dxfId="545" priority="477" stopIfTrue="1" operator="equal">
      <formula>"NO APLICA"</formula>
    </cfRule>
  </conditionalFormatting>
  <conditionalFormatting sqref="AD5822:AF5822">
    <cfRule type="cellIs" dxfId="544" priority="475" stopIfTrue="1" operator="equal">
      <formula>"NO"</formula>
    </cfRule>
    <cfRule type="cellIs" dxfId="543" priority="476" stopIfTrue="1" operator="equal">
      <formula>"SI"</formula>
    </cfRule>
  </conditionalFormatting>
  <conditionalFormatting sqref="AE5827">
    <cfRule type="cellIs" dxfId="542" priority="472" stopIfTrue="1" operator="equal">
      <formula>"VERIFICAR"</formula>
    </cfRule>
    <cfRule type="cellIs" dxfId="541" priority="473" stopIfTrue="1" operator="equal">
      <formula>"NO CUMPLE"</formula>
    </cfRule>
    <cfRule type="cellIs" dxfId="540" priority="474" stopIfTrue="1" operator="equal">
      <formula>"CUMPLE"</formula>
    </cfRule>
  </conditionalFormatting>
  <conditionalFormatting sqref="AF5827">
    <cfRule type="cellIs" dxfId="539" priority="469" stopIfTrue="1" operator="equal">
      <formula>"VERIFICAR"</formula>
    </cfRule>
    <cfRule type="cellIs" dxfId="538" priority="470" stopIfTrue="1" operator="equal">
      <formula>"NO CUMPLE"</formula>
    </cfRule>
    <cfRule type="cellIs" dxfId="537" priority="471" stopIfTrue="1" operator="equal">
      <formula>"CUMPLE"</formula>
    </cfRule>
  </conditionalFormatting>
  <conditionalFormatting sqref="Y5830">
    <cfRule type="cellIs" dxfId="536" priority="468" operator="equal">
      <formula>"VERIFICAR CUADRO"</formula>
    </cfRule>
  </conditionalFormatting>
  <conditionalFormatting sqref="AC5831:AC5836">
    <cfRule type="cellIs" dxfId="535" priority="467" stopIfTrue="1" operator="greaterThan">
      <formula>0</formula>
    </cfRule>
  </conditionalFormatting>
  <conditionalFormatting sqref="AC5831:AC5836">
    <cfRule type="cellIs" dxfId="534" priority="466" stopIfTrue="1" operator="greaterThan">
      <formula>0</formula>
    </cfRule>
  </conditionalFormatting>
  <conditionalFormatting sqref="AD5831:AD5836">
    <cfRule type="containsText" dxfId="533" priority="464" stopIfTrue="1" operator="containsText" text="NO CUMPLE">
      <formula>NOT(ISERROR(SEARCH("NO CUMPLE",AD5831)))</formula>
    </cfRule>
    <cfRule type="containsText" dxfId="532" priority="465" stopIfTrue="1" operator="containsText" text="CUMPLE">
      <formula>NOT(ISERROR(SEARCH("CUMPLE",AD5831)))</formula>
    </cfRule>
  </conditionalFormatting>
  <conditionalFormatting sqref="Y5836">
    <cfRule type="containsText" dxfId="531" priority="462" stopIfTrue="1" operator="containsText" text="NO CUMPLE">
      <formula>NOT(ISERROR(SEARCH("NO CUMPLE",Y5836)))</formula>
    </cfRule>
    <cfRule type="containsText" dxfId="530" priority="463" stopIfTrue="1" operator="containsText" text="CUMPLE">
      <formula>NOT(ISERROR(SEARCH("CUMPLE",Y5836)))</formula>
    </cfRule>
  </conditionalFormatting>
  <conditionalFormatting sqref="AA5813:AA5822">
    <cfRule type="cellIs" dxfId="529" priority="460" stopIfTrue="1" operator="equal">
      <formula>"NO APLICA"</formula>
    </cfRule>
    <cfRule type="cellIs" dxfId="528" priority="461" stopIfTrue="1" operator="equal">
      <formula>"TERCIARIA"</formula>
    </cfRule>
  </conditionalFormatting>
  <conditionalFormatting sqref="AB5813:AB5822">
    <cfRule type="cellIs" dxfId="527" priority="458" stopIfTrue="1" operator="equal">
      <formula>"N/A"</formula>
    </cfRule>
    <cfRule type="cellIs" dxfId="526" priority="459" stopIfTrue="1" operator="equal">
      <formula>"NO"</formula>
    </cfRule>
  </conditionalFormatting>
  <conditionalFormatting sqref="M5843:M5852">
    <cfRule type="cellIs" dxfId="525" priority="457" stopIfTrue="1" operator="lessThan">
      <formula>0</formula>
    </cfRule>
  </conditionalFormatting>
  <conditionalFormatting sqref="C5845:D5851 B5844:B5851 F5845:I5851 C5844:I5844 B5852:O5852 B5843:R5843 Q5844:R5845 J5844:O5851 Q5846:Q5852 P5844:P5852">
    <cfRule type="cellIs" dxfId="524" priority="456" stopIfTrue="1" operator="greaterThan">
      <formula>0</formula>
    </cfRule>
  </conditionalFormatting>
  <conditionalFormatting sqref="C5845:D5851">
    <cfRule type="cellIs" dxfId="523" priority="455" stopIfTrue="1" operator="greaterThan">
      <formula>0</formula>
    </cfRule>
  </conditionalFormatting>
  <conditionalFormatting sqref="C5843:M5843 C5845:D5851 F5845:I5851 C5844:I5844 K5844:M5851 J5844:J5852 L5852:M5852">
    <cfRule type="cellIs" dxfId="522" priority="454" stopIfTrue="1" operator="greaterThan">
      <formula>0</formula>
    </cfRule>
  </conditionalFormatting>
  <conditionalFormatting sqref="M5843:M5852">
    <cfRule type="cellIs" dxfId="521" priority="453" stopIfTrue="1" operator="lessThan">
      <formula>0</formula>
    </cfRule>
  </conditionalFormatting>
  <conditionalFormatting sqref="J5844:J5852 L5844:O5852 C5843:O5843">
    <cfRule type="cellIs" dxfId="520" priority="452" stopIfTrue="1" operator="greaterThan">
      <formula>0</formula>
    </cfRule>
  </conditionalFormatting>
  <conditionalFormatting sqref="H5845:I5851 K5845:M5852">
    <cfRule type="cellIs" dxfId="519" priority="451" stopIfTrue="1" operator="greaterThan">
      <formula>0</formula>
    </cfRule>
  </conditionalFormatting>
  <conditionalFormatting sqref="I5844">
    <cfRule type="cellIs" dxfId="518" priority="450" stopIfTrue="1" operator="greaterThan">
      <formula>0</formula>
    </cfRule>
  </conditionalFormatting>
  <conditionalFormatting sqref="I5852">
    <cfRule type="cellIs" dxfId="517" priority="449" stopIfTrue="1" operator="greaterThan">
      <formula>0</formula>
    </cfRule>
  </conditionalFormatting>
  <conditionalFormatting sqref="E5845:E5851">
    <cfRule type="cellIs" dxfId="516" priority="448" stopIfTrue="1" operator="greaterThan">
      <formula>0</formula>
    </cfRule>
  </conditionalFormatting>
  <conditionalFormatting sqref="K5860:K5865">
    <cfRule type="containsText" dxfId="515" priority="446" stopIfTrue="1" operator="containsText" text="NO CUMPLE">
      <formula>NOT(ISERROR(SEARCH("NO CUMPLE",K5860)))</formula>
    </cfRule>
    <cfRule type="containsText" dxfId="514" priority="447" stopIfTrue="1" operator="containsText" text="CUMPLE">
      <formula>NOT(ISERROR(SEARCH("CUMPLE",K5860)))</formula>
    </cfRule>
  </conditionalFormatting>
  <conditionalFormatting sqref="K5866">
    <cfRule type="containsText" dxfId="513" priority="444" stopIfTrue="1" operator="containsText" text="NO CUMPLE">
      <formula>NOT(ISERROR(SEARCH("NO CUMPLE",K5866)))</formula>
    </cfRule>
    <cfRule type="containsText" dxfId="512" priority="445" stopIfTrue="1" operator="containsText" text="CUMPLE">
      <formula>NOT(ISERROR(SEARCH("CUMPLE",K5866)))</formula>
    </cfRule>
  </conditionalFormatting>
  <conditionalFormatting sqref="Q5859">
    <cfRule type="cellIs" dxfId="511" priority="442" operator="greaterThanOrEqual">
      <formula>NUMMINCONT</formula>
    </cfRule>
    <cfRule type="cellIs" dxfId="510" priority="443" operator="lessThan">
      <formula>NUMMINCONT</formula>
    </cfRule>
  </conditionalFormatting>
  <conditionalFormatting sqref="W5843:Y5851">
    <cfRule type="cellIs" dxfId="509" priority="440" stopIfTrue="1" operator="equal">
      <formula>"NO"</formula>
    </cfRule>
    <cfRule type="cellIs" dxfId="508" priority="441" stopIfTrue="1" operator="equal">
      <formula>"SI"</formula>
    </cfRule>
  </conditionalFormatting>
  <conditionalFormatting sqref="R5846">
    <cfRule type="cellIs" dxfId="507" priority="439" stopIfTrue="1" operator="greaterThan">
      <formula>0</formula>
    </cfRule>
  </conditionalFormatting>
  <conditionalFormatting sqref="R5847">
    <cfRule type="cellIs" dxfId="506" priority="438" stopIfTrue="1" operator="greaterThan">
      <formula>0</formula>
    </cfRule>
  </conditionalFormatting>
  <conditionalFormatting sqref="R5848">
    <cfRule type="cellIs" dxfId="505" priority="437" stopIfTrue="1" operator="greaterThan">
      <formula>0</formula>
    </cfRule>
  </conditionalFormatting>
  <conditionalFormatting sqref="R5849">
    <cfRule type="cellIs" dxfId="504" priority="436" stopIfTrue="1" operator="greaterThan">
      <formula>0</formula>
    </cfRule>
  </conditionalFormatting>
  <conditionalFormatting sqref="R5850">
    <cfRule type="cellIs" dxfId="503" priority="435" stopIfTrue="1" operator="greaterThan">
      <formula>0</formula>
    </cfRule>
  </conditionalFormatting>
  <conditionalFormatting sqref="R5851">
    <cfRule type="cellIs" dxfId="502" priority="434" stopIfTrue="1" operator="greaterThan">
      <formula>0</formula>
    </cfRule>
  </conditionalFormatting>
  <conditionalFormatting sqref="R5852">
    <cfRule type="cellIs" dxfId="501" priority="433" stopIfTrue="1" operator="greaterThan">
      <formula>0</formula>
    </cfRule>
  </conditionalFormatting>
  <conditionalFormatting sqref="W5843:X5843">
    <cfRule type="cellIs" dxfId="500" priority="432" stopIfTrue="1" operator="equal">
      <formula>"NO APLICA"</formula>
    </cfRule>
  </conditionalFormatting>
  <conditionalFormatting sqref="W5844:X5847">
    <cfRule type="cellIs" dxfId="499" priority="431" stopIfTrue="1" operator="equal">
      <formula>"NO APLICA"</formula>
    </cfRule>
  </conditionalFormatting>
  <conditionalFormatting sqref="W5844:X5844">
    <cfRule type="cellIs" dxfId="498" priority="430" stopIfTrue="1" operator="equal">
      <formula>"NO APLICA"</formula>
    </cfRule>
  </conditionalFormatting>
  <conditionalFormatting sqref="Y5843">
    <cfRule type="cellIs" dxfId="497" priority="429" stopIfTrue="1" operator="equal">
      <formula>"NO APLICA"</formula>
    </cfRule>
  </conditionalFormatting>
  <conditionalFormatting sqref="Y5844:Y5847">
    <cfRule type="cellIs" dxfId="496" priority="428" stopIfTrue="1" operator="equal">
      <formula>"NO APLICA"</formula>
    </cfRule>
  </conditionalFormatting>
  <conditionalFormatting sqref="W5848:X5851">
    <cfRule type="cellIs" dxfId="495" priority="427" stopIfTrue="1" operator="equal">
      <formula>"NO APLICA"</formula>
    </cfRule>
  </conditionalFormatting>
  <conditionalFormatting sqref="W5848:X5848">
    <cfRule type="cellIs" dxfId="494" priority="426" stopIfTrue="1" operator="equal">
      <formula>"NO APLICA"</formula>
    </cfRule>
  </conditionalFormatting>
  <conditionalFormatting sqref="Y5848:Y5851">
    <cfRule type="cellIs" dxfId="493" priority="425" stopIfTrue="1" operator="equal">
      <formula>"NO APLICA"</formula>
    </cfRule>
  </conditionalFormatting>
  <conditionalFormatting sqref="T5857">
    <cfRule type="cellIs" dxfId="492" priority="423" operator="equal">
      <formula>"CUMPLE"</formula>
    </cfRule>
    <cfRule type="cellIs" dxfId="491" priority="424" operator="equal">
      <formula>"NO CUMPLE"</formula>
    </cfRule>
  </conditionalFormatting>
  <conditionalFormatting sqref="T5857:T5859">
    <cfRule type="cellIs" dxfId="490" priority="422" operator="equal">
      <formula>"VERIFICAR"</formula>
    </cfRule>
  </conditionalFormatting>
  <conditionalFormatting sqref="AD5843:AF5847">
    <cfRule type="cellIs" dxfId="489" priority="420" stopIfTrue="1" operator="equal">
      <formula>"NO"</formula>
    </cfRule>
    <cfRule type="cellIs" dxfId="488" priority="421" stopIfTrue="1" operator="equal">
      <formula>"SI"</formula>
    </cfRule>
  </conditionalFormatting>
  <conditionalFormatting sqref="AD5848:AF5851">
    <cfRule type="cellIs" dxfId="487" priority="418" stopIfTrue="1" operator="equal">
      <formula>"NO"</formula>
    </cfRule>
    <cfRule type="cellIs" dxfId="486" priority="419" stopIfTrue="1" operator="equal">
      <formula>"SI"</formula>
    </cfRule>
  </conditionalFormatting>
  <conditionalFormatting sqref="W5852:Y5852">
    <cfRule type="cellIs" dxfId="485" priority="416" stopIfTrue="1" operator="equal">
      <formula>"NO"</formula>
    </cfRule>
    <cfRule type="cellIs" dxfId="484" priority="417" stopIfTrue="1" operator="equal">
      <formula>"SI"</formula>
    </cfRule>
  </conditionalFormatting>
  <conditionalFormatting sqref="W5852:X5852">
    <cfRule type="cellIs" dxfId="483" priority="415" stopIfTrue="1" operator="equal">
      <formula>"NO APLICA"</formula>
    </cfRule>
  </conditionalFormatting>
  <conditionalFormatting sqref="Y5852">
    <cfRule type="cellIs" dxfId="482" priority="414" stopIfTrue="1" operator="equal">
      <formula>"NO APLICA"</formula>
    </cfRule>
  </conditionalFormatting>
  <conditionalFormatting sqref="AD5852:AF5852">
    <cfRule type="cellIs" dxfId="481" priority="412" stopIfTrue="1" operator="equal">
      <formula>"NO"</formula>
    </cfRule>
    <cfRule type="cellIs" dxfId="480" priority="413" stopIfTrue="1" operator="equal">
      <formula>"SI"</formula>
    </cfRule>
  </conditionalFormatting>
  <conditionalFormatting sqref="AE5857">
    <cfRule type="cellIs" dxfId="479" priority="409" stopIfTrue="1" operator="equal">
      <formula>"VERIFICAR"</formula>
    </cfRule>
    <cfRule type="cellIs" dxfId="478" priority="410" stopIfTrue="1" operator="equal">
      <formula>"NO CUMPLE"</formula>
    </cfRule>
    <cfRule type="cellIs" dxfId="477" priority="411" stopIfTrue="1" operator="equal">
      <formula>"CUMPLE"</formula>
    </cfRule>
  </conditionalFormatting>
  <conditionalFormatting sqref="AF5857">
    <cfRule type="cellIs" dxfId="476" priority="406" stopIfTrue="1" operator="equal">
      <formula>"VERIFICAR"</formula>
    </cfRule>
    <cfRule type="cellIs" dxfId="475" priority="407" stopIfTrue="1" operator="equal">
      <formula>"NO CUMPLE"</formula>
    </cfRule>
    <cfRule type="cellIs" dxfId="474" priority="408" stopIfTrue="1" operator="equal">
      <formula>"CUMPLE"</formula>
    </cfRule>
  </conditionalFormatting>
  <conditionalFormatting sqref="Y5860">
    <cfRule type="cellIs" dxfId="473" priority="405" operator="equal">
      <formula>"VERIFICAR CUADRO"</formula>
    </cfRule>
  </conditionalFormatting>
  <conditionalFormatting sqref="AC5861:AC5866">
    <cfRule type="cellIs" dxfId="472" priority="404" stopIfTrue="1" operator="greaterThan">
      <formula>0</formula>
    </cfRule>
  </conditionalFormatting>
  <conditionalFormatting sqref="AC5861:AC5866">
    <cfRule type="cellIs" dxfId="471" priority="403" stopIfTrue="1" operator="greaterThan">
      <formula>0</formula>
    </cfRule>
  </conditionalFormatting>
  <conditionalFormatting sqref="AD5861:AD5866">
    <cfRule type="containsText" dxfId="470" priority="401" stopIfTrue="1" operator="containsText" text="NO CUMPLE">
      <formula>NOT(ISERROR(SEARCH("NO CUMPLE",AD5861)))</formula>
    </cfRule>
    <cfRule type="containsText" dxfId="469" priority="402" stopIfTrue="1" operator="containsText" text="CUMPLE">
      <formula>NOT(ISERROR(SEARCH("CUMPLE",AD5861)))</formula>
    </cfRule>
  </conditionalFormatting>
  <conditionalFormatting sqref="Y5866">
    <cfRule type="containsText" dxfId="468" priority="399" stopIfTrue="1" operator="containsText" text="NO CUMPLE">
      <formula>NOT(ISERROR(SEARCH("NO CUMPLE",Y5866)))</formula>
    </cfRule>
    <cfRule type="containsText" dxfId="467" priority="400" stopIfTrue="1" operator="containsText" text="CUMPLE">
      <formula>NOT(ISERROR(SEARCH("CUMPLE",Y5866)))</formula>
    </cfRule>
  </conditionalFormatting>
  <conditionalFormatting sqref="AA5843:AA5852">
    <cfRule type="cellIs" dxfId="466" priority="397" stopIfTrue="1" operator="equal">
      <formula>"NO APLICA"</formula>
    </cfRule>
    <cfRule type="cellIs" dxfId="465" priority="398" stopIfTrue="1" operator="equal">
      <formula>"TERCIARIA"</formula>
    </cfRule>
  </conditionalFormatting>
  <conditionalFormatting sqref="AB5843:AB5852">
    <cfRule type="cellIs" dxfId="464" priority="395" stopIfTrue="1" operator="equal">
      <formula>"N/A"</formula>
    </cfRule>
    <cfRule type="cellIs" dxfId="463" priority="396" stopIfTrue="1" operator="equal">
      <formula>"NO"</formula>
    </cfRule>
  </conditionalFormatting>
  <conditionalFormatting sqref="M5873:M5882">
    <cfRule type="cellIs" dxfId="462" priority="394" stopIfTrue="1" operator="lessThan">
      <formula>0</formula>
    </cfRule>
  </conditionalFormatting>
  <conditionalFormatting sqref="C5875:D5881 B5874:B5881 F5875:I5881 C5874:I5874 B5882:O5882 B5873:R5873 Q5874:R5875 J5874:O5881 Q5876:Q5882 P5874:P5882">
    <cfRule type="cellIs" dxfId="461" priority="393" stopIfTrue="1" operator="greaterThan">
      <formula>0</formula>
    </cfRule>
  </conditionalFormatting>
  <conditionalFormatting sqref="C5875:D5881">
    <cfRule type="cellIs" dxfId="460" priority="392" stopIfTrue="1" operator="greaterThan">
      <formula>0</formula>
    </cfRule>
  </conditionalFormatting>
  <conditionalFormatting sqref="C5873:M5873 C5875:D5881 F5875:I5881 C5874:I5874 K5874:M5881 J5874:J5882 L5882:M5882">
    <cfRule type="cellIs" dxfId="459" priority="391" stopIfTrue="1" operator="greaterThan">
      <formula>0</formula>
    </cfRule>
  </conditionalFormatting>
  <conditionalFormatting sqref="M5873:M5882">
    <cfRule type="cellIs" dxfId="458" priority="390" stopIfTrue="1" operator="lessThan">
      <formula>0</formula>
    </cfRule>
  </conditionalFormatting>
  <conditionalFormatting sqref="J5874:J5882 L5874:O5882 C5873:O5873">
    <cfRule type="cellIs" dxfId="457" priority="389" stopIfTrue="1" operator="greaterThan">
      <formula>0</formula>
    </cfRule>
  </conditionalFormatting>
  <conditionalFormatting sqref="H5875:I5881 K5875:M5882">
    <cfRule type="cellIs" dxfId="456" priority="388" stopIfTrue="1" operator="greaterThan">
      <formula>0</formula>
    </cfRule>
  </conditionalFormatting>
  <conditionalFormatting sqref="I5874">
    <cfRule type="cellIs" dxfId="455" priority="387" stopIfTrue="1" operator="greaterThan">
      <formula>0</formula>
    </cfRule>
  </conditionalFormatting>
  <conditionalFormatting sqref="I5882">
    <cfRule type="cellIs" dxfId="454" priority="386" stopIfTrue="1" operator="greaterThan">
      <formula>0</formula>
    </cfRule>
  </conditionalFormatting>
  <conditionalFormatting sqref="E5875:E5881">
    <cfRule type="cellIs" dxfId="453" priority="385" stopIfTrue="1" operator="greaterThan">
      <formula>0</formula>
    </cfRule>
  </conditionalFormatting>
  <conditionalFormatting sqref="K5890:K5895">
    <cfRule type="containsText" dxfId="452" priority="383" stopIfTrue="1" operator="containsText" text="NO CUMPLE">
      <formula>NOT(ISERROR(SEARCH("NO CUMPLE",K5890)))</formula>
    </cfRule>
    <cfRule type="containsText" dxfId="451" priority="384" stopIfTrue="1" operator="containsText" text="CUMPLE">
      <formula>NOT(ISERROR(SEARCH("CUMPLE",K5890)))</formula>
    </cfRule>
  </conditionalFormatting>
  <conditionalFormatting sqref="K5896">
    <cfRule type="containsText" dxfId="450" priority="381" stopIfTrue="1" operator="containsText" text="NO CUMPLE">
      <formula>NOT(ISERROR(SEARCH("NO CUMPLE",K5896)))</formula>
    </cfRule>
    <cfRule type="containsText" dxfId="449" priority="382" stopIfTrue="1" operator="containsText" text="CUMPLE">
      <formula>NOT(ISERROR(SEARCH("CUMPLE",K5896)))</formula>
    </cfRule>
  </conditionalFormatting>
  <conditionalFormatting sqref="Q5889">
    <cfRule type="cellIs" dxfId="448" priority="379" operator="greaterThanOrEqual">
      <formula>NUMMINCONT</formula>
    </cfRule>
    <cfRule type="cellIs" dxfId="447" priority="380" operator="lessThan">
      <formula>NUMMINCONT</formula>
    </cfRule>
  </conditionalFormatting>
  <conditionalFormatting sqref="W5873:Y5881">
    <cfRule type="cellIs" dxfId="446" priority="377" stopIfTrue="1" operator="equal">
      <formula>"NO"</formula>
    </cfRule>
    <cfRule type="cellIs" dxfId="445" priority="378" stopIfTrue="1" operator="equal">
      <formula>"SI"</formula>
    </cfRule>
  </conditionalFormatting>
  <conditionalFormatting sqref="R5876">
    <cfRule type="cellIs" dxfId="444" priority="376" stopIfTrue="1" operator="greaterThan">
      <formula>0</formula>
    </cfRule>
  </conditionalFormatting>
  <conditionalFormatting sqref="R5877">
    <cfRule type="cellIs" dxfId="443" priority="375" stopIfTrue="1" operator="greaterThan">
      <formula>0</formula>
    </cfRule>
  </conditionalFormatting>
  <conditionalFormatting sqref="R5878">
    <cfRule type="cellIs" dxfId="442" priority="374" stopIfTrue="1" operator="greaterThan">
      <formula>0</formula>
    </cfRule>
  </conditionalFormatting>
  <conditionalFormatting sqref="R5879">
    <cfRule type="cellIs" dxfId="441" priority="373" stopIfTrue="1" operator="greaterThan">
      <formula>0</formula>
    </cfRule>
  </conditionalFormatting>
  <conditionalFormatting sqref="R5880">
    <cfRule type="cellIs" dxfId="440" priority="372" stopIfTrue="1" operator="greaterThan">
      <formula>0</formula>
    </cfRule>
  </conditionalFormatting>
  <conditionalFormatting sqref="R5881">
    <cfRule type="cellIs" dxfId="439" priority="371" stopIfTrue="1" operator="greaterThan">
      <formula>0</formula>
    </cfRule>
  </conditionalFormatting>
  <conditionalFormatting sqref="R5882">
    <cfRule type="cellIs" dxfId="438" priority="370" stopIfTrue="1" operator="greaterThan">
      <formula>0</formula>
    </cfRule>
  </conditionalFormatting>
  <conditionalFormatting sqref="W5873:X5873">
    <cfRule type="cellIs" dxfId="437" priority="369" stopIfTrue="1" operator="equal">
      <formula>"NO APLICA"</formula>
    </cfRule>
  </conditionalFormatting>
  <conditionalFormatting sqref="W5874:X5877">
    <cfRule type="cellIs" dxfId="436" priority="368" stopIfTrue="1" operator="equal">
      <formula>"NO APLICA"</formula>
    </cfRule>
  </conditionalFormatting>
  <conditionalFormatting sqref="W5874:X5874">
    <cfRule type="cellIs" dxfId="435" priority="367" stopIfTrue="1" operator="equal">
      <formula>"NO APLICA"</formula>
    </cfRule>
  </conditionalFormatting>
  <conditionalFormatting sqref="Y5873">
    <cfRule type="cellIs" dxfId="434" priority="366" stopIfTrue="1" operator="equal">
      <formula>"NO APLICA"</formula>
    </cfRule>
  </conditionalFormatting>
  <conditionalFormatting sqref="Y5874:Y5877">
    <cfRule type="cellIs" dxfId="433" priority="365" stopIfTrue="1" operator="equal">
      <formula>"NO APLICA"</formula>
    </cfRule>
  </conditionalFormatting>
  <conditionalFormatting sqref="W5878:X5881">
    <cfRule type="cellIs" dxfId="432" priority="364" stopIfTrue="1" operator="equal">
      <formula>"NO APLICA"</formula>
    </cfRule>
  </conditionalFormatting>
  <conditionalFormatting sqref="W5878:X5878">
    <cfRule type="cellIs" dxfId="431" priority="363" stopIfTrue="1" operator="equal">
      <formula>"NO APLICA"</formula>
    </cfRule>
  </conditionalFormatting>
  <conditionalFormatting sqref="Y5878:Y5881">
    <cfRule type="cellIs" dxfId="430" priority="362" stopIfTrue="1" operator="equal">
      <formula>"NO APLICA"</formula>
    </cfRule>
  </conditionalFormatting>
  <conditionalFormatting sqref="T5887">
    <cfRule type="cellIs" dxfId="429" priority="360" operator="equal">
      <formula>"CUMPLE"</formula>
    </cfRule>
    <cfRule type="cellIs" dxfId="428" priority="361" operator="equal">
      <formula>"NO CUMPLE"</formula>
    </cfRule>
  </conditionalFormatting>
  <conditionalFormatting sqref="T5887:T5889">
    <cfRule type="cellIs" dxfId="427" priority="359" operator="equal">
      <formula>"VERIFICAR"</formula>
    </cfRule>
  </conditionalFormatting>
  <conditionalFormatting sqref="AD5873:AF5877">
    <cfRule type="cellIs" dxfId="426" priority="357" stopIfTrue="1" operator="equal">
      <formula>"NO"</formula>
    </cfRule>
    <cfRule type="cellIs" dxfId="425" priority="358" stopIfTrue="1" operator="equal">
      <formula>"SI"</formula>
    </cfRule>
  </conditionalFormatting>
  <conditionalFormatting sqref="AD5878:AF5881">
    <cfRule type="cellIs" dxfId="424" priority="355" stopIfTrue="1" operator="equal">
      <formula>"NO"</formula>
    </cfRule>
    <cfRule type="cellIs" dxfId="423" priority="356" stopIfTrue="1" operator="equal">
      <formula>"SI"</formula>
    </cfRule>
  </conditionalFormatting>
  <conditionalFormatting sqref="W5882:Y5882">
    <cfRule type="cellIs" dxfId="422" priority="353" stopIfTrue="1" operator="equal">
      <formula>"NO"</formula>
    </cfRule>
    <cfRule type="cellIs" dxfId="421" priority="354" stopIfTrue="1" operator="equal">
      <formula>"SI"</formula>
    </cfRule>
  </conditionalFormatting>
  <conditionalFormatting sqref="W5882:X5882">
    <cfRule type="cellIs" dxfId="420" priority="352" stopIfTrue="1" operator="equal">
      <formula>"NO APLICA"</formula>
    </cfRule>
  </conditionalFormatting>
  <conditionalFormatting sqref="Y5882">
    <cfRule type="cellIs" dxfId="419" priority="351" stopIfTrue="1" operator="equal">
      <formula>"NO APLICA"</formula>
    </cfRule>
  </conditionalFormatting>
  <conditionalFormatting sqref="AD5882:AF5882">
    <cfRule type="cellIs" dxfId="418" priority="349" stopIfTrue="1" operator="equal">
      <formula>"NO"</formula>
    </cfRule>
    <cfRule type="cellIs" dxfId="417" priority="350" stopIfTrue="1" operator="equal">
      <formula>"SI"</formula>
    </cfRule>
  </conditionalFormatting>
  <conditionalFormatting sqref="AE5887">
    <cfRule type="cellIs" dxfId="416" priority="346" stopIfTrue="1" operator="equal">
      <formula>"VERIFICAR"</formula>
    </cfRule>
    <cfRule type="cellIs" dxfId="415" priority="347" stopIfTrue="1" operator="equal">
      <formula>"NO CUMPLE"</formula>
    </cfRule>
    <cfRule type="cellIs" dxfId="414" priority="348" stopIfTrue="1" operator="equal">
      <formula>"CUMPLE"</formula>
    </cfRule>
  </conditionalFormatting>
  <conditionalFormatting sqref="AF5887">
    <cfRule type="cellIs" dxfId="413" priority="343" stopIfTrue="1" operator="equal">
      <formula>"VERIFICAR"</formula>
    </cfRule>
    <cfRule type="cellIs" dxfId="412" priority="344" stopIfTrue="1" operator="equal">
      <formula>"NO CUMPLE"</formula>
    </cfRule>
    <cfRule type="cellIs" dxfId="411" priority="345" stopIfTrue="1" operator="equal">
      <formula>"CUMPLE"</formula>
    </cfRule>
  </conditionalFormatting>
  <conditionalFormatting sqref="Y5890">
    <cfRule type="cellIs" dxfId="410" priority="342" operator="equal">
      <formula>"VERIFICAR CUADRO"</formula>
    </cfRule>
  </conditionalFormatting>
  <conditionalFormatting sqref="AC5891:AC5896">
    <cfRule type="cellIs" dxfId="409" priority="341" stopIfTrue="1" operator="greaterThan">
      <formula>0</formula>
    </cfRule>
  </conditionalFormatting>
  <conditionalFormatting sqref="AC5891:AC5896">
    <cfRule type="cellIs" dxfId="408" priority="340" stopIfTrue="1" operator="greaterThan">
      <formula>0</formula>
    </cfRule>
  </conditionalFormatting>
  <conditionalFormatting sqref="AD5891:AD5896">
    <cfRule type="containsText" dxfId="407" priority="338" stopIfTrue="1" operator="containsText" text="NO CUMPLE">
      <formula>NOT(ISERROR(SEARCH("NO CUMPLE",AD5891)))</formula>
    </cfRule>
    <cfRule type="containsText" dxfId="406" priority="339" stopIfTrue="1" operator="containsText" text="CUMPLE">
      <formula>NOT(ISERROR(SEARCH("CUMPLE",AD5891)))</formula>
    </cfRule>
  </conditionalFormatting>
  <conditionalFormatting sqref="Y5896">
    <cfRule type="containsText" dxfId="405" priority="336" stopIfTrue="1" operator="containsText" text="NO CUMPLE">
      <formula>NOT(ISERROR(SEARCH("NO CUMPLE",Y5896)))</formula>
    </cfRule>
    <cfRule type="containsText" dxfId="404" priority="337" stopIfTrue="1" operator="containsText" text="CUMPLE">
      <formula>NOT(ISERROR(SEARCH("CUMPLE",Y5896)))</formula>
    </cfRule>
  </conditionalFormatting>
  <conditionalFormatting sqref="AA5873:AA5882">
    <cfRule type="cellIs" dxfId="403" priority="334" stopIfTrue="1" operator="equal">
      <formula>"NO APLICA"</formula>
    </cfRule>
    <cfRule type="cellIs" dxfId="402" priority="335" stopIfTrue="1" operator="equal">
      <formula>"TERCIARIA"</formula>
    </cfRule>
  </conditionalFormatting>
  <conditionalFormatting sqref="AB5873:AB5882">
    <cfRule type="cellIs" dxfId="401" priority="332" stopIfTrue="1" operator="equal">
      <formula>"N/A"</formula>
    </cfRule>
    <cfRule type="cellIs" dxfId="400" priority="333" stopIfTrue="1" operator="equal">
      <formula>"NO"</formula>
    </cfRule>
  </conditionalFormatting>
  <conditionalFormatting sqref="M5903:M5912">
    <cfRule type="cellIs" dxfId="399" priority="331" stopIfTrue="1" operator="lessThan">
      <formula>0</formula>
    </cfRule>
  </conditionalFormatting>
  <conditionalFormatting sqref="C5905:D5911 B5904:B5911 F5905:I5911 C5904:I5904 B5912:O5912 B5903:R5903 Q5904:R5905 J5904:O5911 Q5906:Q5912 P5904:P5912">
    <cfRule type="cellIs" dxfId="398" priority="330" stopIfTrue="1" operator="greaterThan">
      <formula>0</formula>
    </cfRule>
  </conditionalFormatting>
  <conditionalFormatting sqref="C5905:D5911">
    <cfRule type="cellIs" dxfId="397" priority="329" stopIfTrue="1" operator="greaterThan">
      <formula>0</formula>
    </cfRule>
  </conditionalFormatting>
  <conditionalFormatting sqref="C5903:M5903 C5905:D5911 F5905:I5911 C5904:I5904 K5904:M5911 J5904:J5912 L5912:M5912">
    <cfRule type="cellIs" dxfId="396" priority="328" stopIfTrue="1" operator="greaterThan">
      <formula>0</formula>
    </cfRule>
  </conditionalFormatting>
  <conditionalFormatting sqref="M5903:M5912">
    <cfRule type="cellIs" dxfId="395" priority="327" stopIfTrue="1" operator="lessThan">
      <formula>0</formula>
    </cfRule>
  </conditionalFormatting>
  <conditionalFormatting sqref="J5904:J5912 L5904:O5912 C5903:O5903">
    <cfRule type="cellIs" dxfId="394" priority="326" stopIfTrue="1" operator="greaterThan">
      <formula>0</formula>
    </cfRule>
  </conditionalFormatting>
  <conditionalFormatting sqref="H5905:I5911 K5905:M5912">
    <cfRule type="cellIs" dxfId="393" priority="325" stopIfTrue="1" operator="greaterThan">
      <formula>0</formula>
    </cfRule>
  </conditionalFormatting>
  <conditionalFormatting sqref="I5904">
    <cfRule type="cellIs" dxfId="392" priority="324" stopIfTrue="1" operator="greaterThan">
      <formula>0</formula>
    </cfRule>
  </conditionalFormatting>
  <conditionalFormatting sqref="I5912">
    <cfRule type="cellIs" dxfId="391" priority="323" stopIfTrue="1" operator="greaterThan">
      <formula>0</formula>
    </cfRule>
  </conditionalFormatting>
  <conditionalFormatting sqref="E5905:E5911">
    <cfRule type="cellIs" dxfId="390" priority="322" stopIfTrue="1" operator="greaterThan">
      <formula>0</formula>
    </cfRule>
  </conditionalFormatting>
  <conditionalFormatting sqref="K5920:K5925">
    <cfRule type="containsText" dxfId="389" priority="320" stopIfTrue="1" operator="containsText" text="NO CUMPLE">
      <formula>NOT(ISERROR(SEARCH("NO CUMPLE",K5920)))</formula>
    </cfRule>
    <cfRule type="containsText" dxfId="388" priority="321" stopIfTrue="1" operator="containsText" text="CUMPLE">
      <formula>NOT(ISERROR(SEARCH("CUMPLE",K5920)))</formula>
    </cfRule>
  </conditionalFormatting>
  <conditionalFormatting sqref="K5926">
    <cfRule type="containsText" dxfId="387" priority="318" stopIfTrue="1" operator="containsText" text="NO CUMPLE">
      <formula>NOT(ISERROR(SEARCH("NO CUMPLE",K5926)))</formula>
    </cfRule>
    <cfRule type="containsText" dxfId="386" priority="319" stopIfTrue="1" operator="containsText" text="CUMPLE">
      <formula>NOT(ISERROR(SEARCH("CUMPLE",K5926)))</formula>
    </cfRule>
  </conditionalFormatting>
  <conditionalFormatting sqref="Q5919">
    <cfRule type="cellIs" dxfId="385" priority="316" operator="greaterThanOrEqual">
      <formula>NUMMINCONT</formula>
    </cfRule>
    <cfRule type="cellIs" dxfId="384" priority="317" operator="lessThan">
      <formula>NUMMINCONT</formula>
    </cfRule>
  </conditionalFormatting>
  <conditionalFormatting sqref="W5903:Y5911">
    <cfRule type="cellIs" dxfId="383" priority="314" stopIfTrue="1" operator="equal">
      <formula>"NO"</formula>
    </cfRule>
    <cfRule type="cellIs" dxfId="382" priority="315" stopIfTrue="1" operator="equal">
      <formula>"SI"</formula>
    </cfRule>
  </conditionalFormatting>
  <conditionalFormatting sqref="R5906">
    <cfRule type="cellIs" dxfId="381" priority="313" stopIfTrue="1" operator="greaterThan">
      <formula>0</formula>
    </cfRule>
  </conditionalFormatting>
  <conditionalFormatting sqref="R5907">
    <cfRule type="cellIs" dxfId="380" priority="312" stopIfTrue="1" operator="greaterThan">
      <formula>0</formula>
    </cfRule>
  </conditionalFormatting>
  <conditionalFormatting sqref="R5908">
    <cfRule type="cellIs" dxfId="379" priority="311" stopIfTrue="1" operator="greaterThan">
      <formula>0</formula>
    </cfRule>
  </conditionalFormatting>
  <conditionalFormatting sqref="R5909">
    <cfRule type="cellIs" dxfId="378" priority="310" stopIfTrue="1" operator="greaterThan">
      <formula>0</formula>
    </cfRule>
  </conditionalFormatting>
  <conditionalFormatting sqref="R5910">
    <cfRule type="cellIs" dxfId="377" priority="309" stopIfTrue="1" operator="greaterThan">
      <formula>0</formula>
    </cfRule>
  </conditionalFormatting>
  <conditionalFormatting sqref="R5911">
    <cfRule type="cellIs" dxfId="376" priority="308" stopIfTrue="1" operator="greaterThan">
      <formula>0</formula>
    </cfRule>
  </conditionalFormatting>
  <conditionalFormatting sqref="R5912">
    <cfRule type="cellIs" dxfId="375" priority="307" stopIfTrue="1" operator="greaterThan">
      <formula>0</formula>
    </cfRule>
  </conditionalFormatting>
  <conditionalFormatting sqref="W5903:X5903">
    <cfRule type="cellIs" dxfId="374" priority="306" stopIfTrue="1" operator="equal">
      <formula>"NO APLICA"</formula>
    </cfRule>
  </conditionalFormatting>
  <conditionalFormatting sqref="W5904:X5907">
    <cfRule type="cellIs" dxfId="373" priority="305" stopIfTrue="1" operator="equal">
      <formula>"NO APLICA"</formula>
    </cfRule>
  </conditionalFormatting>
  <conditionalFormatting sqref="W5904:X5904">
    <cfRule type="cellIs" dxfId="372" priority="304" stopIfTrue="1" operator="equal">
      <formula>"NO APLICA"</formula>
    </cfRule>
  </conditionalFormatting>
  <conditionalFormatting sqref="Y5903">
    <cfRule type="cellIs" dxfId="371" priority="303" stopIfTrue="1" operator="equal">
      <formula>"NO APLICA"</formula>
    </cfRule>
  </conditionalFormatting>
  <conditionalFormatting sqref="Y5904:Y5907">
    <cfRule type="cellIs" dxfId="370" priority="302" stopIfTrue="1" operator="equal">
      <formula>"NO APLICA"</formula>
    </cfRule>
  </conditionalFormatting>
  <conditionalFormatting sqref="W5908:X5911">
    <cfRule type="cellIs" dxfId="369" priority="301" stopIfTrue="1" operator="equal">
      <formula>"NO APLICA"</formula>
    </cfRule>
  </conditionalFormatting>
  <conditionalFormatting sqref="W5908:X5908">
    <cfRule type="cellIs" dxfId="368" priority="299" stopIfTrue="1" operator="equal">
      <formula>"NO APLICA"</formula>
    </cfRule>
  </conditionalFormatting>
  <conditionalFormatting sqref="Y5908:Y5911">
    <cfRule type="cellIs" dxfId="367" priority="298" stopIfTrue="1" operator="equal">
      <formula>"NO APLICA"</formula>
    </cfRule>
  </conditionalFormatting>
  <conditionalFormatting sqref="T5917">
    <cfRule type="cellIs" dxfId="366" priority="296" operator="equal">
      <formula>"CUMPLE"</formula>
    </cfRule>
    <cfRule type="cellIs" dxfId="365" priority="297" operator="equal">
      <formula>"NO CUMPLE"</formula>
    </cfRule>
  </conditionalFormatting>
  <conditionalFormatting sqref="T5917:T5919">
    <cfRule type="cellIs" dxfId="364" priority="295" operator="equal">
      <formula>"VERIFICAR"</formula>
    </cfRule>
  </conditionalFormatting>
  <conditionalFormatting sqref="AD5903:AF5907">
    <cfRule type="cellIs" dxfId="363" priority="293" stopIfTrue="1" operator="equal">
      <formula>"NO"</formula>
    </cfRule>
    <cfRule type="cellIs" dxfId="362" priority="294" stopIfTrue="1" operator="equal">
      <formula>"SI"</formula>
    </cfRule>
  </conditionalFormatting>
  <conditionalFormatting sqref="AD5908:AF5911">
    <cfRule type="cellIs" dxfId="361" priority="291" stopIfTrue="1" operator="equal">
      <formula>"NO"</formula>
    </cfRule>
    <cfRule type="cellIs" dxfId="360" priority="292" stopIfTrue="1" operator="equal">
      <formula>"SI"</formula>
    </cfRule>
  </conditionalFormatting>
  <conditionalFormatting sqref="W5912:Y5912">
    <cfRule type="cellIs" dxfId="359" priority="289" stopIfTrue="1" operator="equal">
      <formula>"NO"</formula>
    </cfRule>
    <cfRule type="cellIs" dxfId="358" priority="290" stopIfTrue="1" operator="equal">
      <formula>"SI"</formula>
    </cfRule>
  </conditionalFormatting>
  <conditionalFormatting sqref="W5912:X5912">
    <cfRule type="cellIs" dxfId="357" priority="288" stopIfTrue="1" operator="equal">
      <formula>"NO APLICA"</formula>
    </cfRule>
  </conditionalFormatting>
  <conditionalFormatting sqref="Y5912">
    <cfRule type="cellIs" dxfId="356" priority="287" stopIfTrue="1" operator="equal">
      <formula>"NO APLICA"</formula>
    </cfRule>
  </conditionalFormatting>
  <conditionalFormatting sqref="AD5912:AF5912">
    <cfRule type="cellIs" dxfId="355" priority="285" stopIfTrue="1" operator="equal">
      <formula>"NO"</formula>
    </cfRule>
    <cfRule type="cellIs" dxfId="354" priority="286" stopIfTrue="1" operator="equal">
      <formula>"SI"</formula>
    </cfRule>
  </conditionalFormatting>
  <conditionalFormatting sqref="AE5917">
    <cfRule type="cellIs" dxfId="353" priority="282" stopIfTrue="1" operator="equal">
      <formula>"VERIFICAR"</formula>
    </cfRule>
    <cfRule type="cellIs" dxfId="352" priority="283" stopIfTrue="1" operator="equal">
      <formula>"NO CUMPLE"</formula>
    </cfRule>
    <cfRule type="cellIs" dxfId="351" priority="284" stopIfTrue="1" operator="equal">
      <formula>"CUMPLE"</formula>
    </cfRule>
  </conditionalFormatting>
  <conditionalFormatting sqref="AF5917">
    <cfRule type="cellIs" dxfId="350" priority="279" stopIfTrue="1" operator="equal">
      <formula>"VERIFICAR"</formula>
    </cfRule>
    <cfRule type="cellIs" dxfId="349" priority="280" stopIfTrue="1" operator="equal">
      <formula>"NO CUMPLE"</formula>
    </cfRule>
    <cfRule type="cellIs" dxfId="348" priority="281" stopIfTrue="1" operator="equal">
      <formula>"CUMPLE"</formula>
    </cfRule>
  </conditionalFormatting>
  <conditionalFormatting sqref="Y5920">
    <cfRule type="cellIs" dxfId="347" priority="278" operator="equal">
      <formula>"VERIFICAR CUADRO"</formula>
    </cfRule>
  </conditionalFormatting>
  <conditionalFormatting sqref="AC5921:AC5926">
    <cfRule type="cellIs" dxfId="346" priority="277" stopIfTrue="1" operator="greaterThan">
      <formula>0</formula>
    </cfRule>
  </conditionalFormatting>
  <conditionalFormatting sqref="AC5921:AC5926">
    <cfRule type="cellIs" dxfId="345" priority="276" stopIfTrue="1" operator="greaterThan">
      <formula>0</formula>
    </cfRule>
  </conditionalFormatting>
  <conditionalFormatting sqref="AD5921:AD5926">
    <cfRule type="containsText" dxfId="344" priority="274" stopIfTrue="1" operator="containsText" text="NO CUMPLE">
      <formula>NOT(ISERROR(SEARCH("NO CUMPLE",AD5921)))</formula>
    </cfRule>
    <cfRule type="containsText" dxfId="343" priority="275" stopIfTrue="1" operator="containsText" text="CUMPLE">
      <formula>NOT(ISERROR(SEARCH("CUMPLE",AD5921)))</formula>
    </cfRule>
  </conditionalFormatting>
  <conditionalFormatting sqref="Y5926">
    <cfRule type="containsText" dxfId="342" priority="272" stopIfTrue="1" operator="containsText" text="NO CUMPLE">
      <formula>NOT(ISERROR(SEARCH("NO CUMPLE",Y5926)))</formula>
    </cfRule>
    <cfRule type="containsText" dxfId="341" priority="273" stopIfTrue="1" operator="containsText" text="CUMPLE">
      <formula>NOT(ISERROR(SEARCH("CUMPLE",Y5926)))</formula>
    </cfRule>
  </conditionalFormatting>
  <conditionalFormatting sqref="AA5903:AA5912">
    <cfRule type="cellIs" dxfId="340" priority="270" stopIfTrue="1" operator="equal">
      <formula>"NO APLICA"</formula>
    </cfRule>
    <cfRule type="cellIs" dxfId="339" priority="271" stopIfTrue="1" operator="equal">
      <formula>"TERCIARIA"</formula>
    </cfRule>
  </conditionalFormatting>
  <conditionalFormatting sqref="AB5903:AB5912">
    <cfRule type="cellIs" dxfId="338" priority="268" stopIfTrue="1" operator="equal">
      <formula>"N/A"</formula>
    </cfRule>
    <cfRule type="cellIs" dxfId="337" priority="269" stopIfTrue="1" operator="equal">
      <formula>"NO"</formula>
    </cfRule>
  </conditionalFormatting>
  <conditionalFormatting sqref="M5933:M5942">
    <cfRule type="cellIs" dxfId="336" priority="267" stopIfTrue="1" operator="lessThan">
      <formula>0</formula>
    </cfRule>
  </conditionalFormatting>
  <conditionalFormatting sqref="C5935:D5941 B5934:B5941 F5935:I5941 C5934:I5934 B5942:O5942 B5933:R5933 Q5934:R5935 J5934:O5941 Q5936:Q5942 P5934:P5942">
    <cfRule type="cellIs" dxfId="335" priority="266" stopIfTrue="1" operator="greaterThan">
      <formula>0</formula>
    </cfRule>
  </conditionalFormatting>
  <conditionalFormatting sqref="C5935:D5941">
    <cfRule type="cellIs" dxfId="334" priority="265" stopIfTrue="1" operator="greaterThan">
      <formula>0</formula>
    </cfRule>
  </conditionalFormatting>
  <conditionalFormatting sqref="C5933:M5933 C5935:D5941 F5935:I5941 C5934:I5934 K5934:M5941 J5934:J5942 L5942:M5942">
    <cfRule type="cellIs" dxfId="333" priority="264" stopIfTrue="1" operator="greaterThan">
      <formula>0</formula>
    </cfRule>
  </conditionalFormatting>
  <conditionalFormatting sqref="M5933:M5942">
    <cfRule type="cellIs" dxfId="332" priority="263" stopIfTrue="1" operator="lessThan">
      <formula>0</formula>
    </cfRule>
  </conditionalFormatting>
  <conditionalFormatting sqref="J5934:J5942 L5934:O5942 C5933:O5933">
    <cfRule type="cellIs" dxfId="331" priority="262" stopIfTrue="1" operator="greaterThan">
      <formula>0</formula>
    </cfRule>
  </conditionalFormatting>
  <conditionalFormatting sqref="H5935:I5941 K5935:M5942">
    <cfRule type="cellIs" dxfId="330" priority="261" stopIfTrue="1" operator="greaterThan">
      <formula>0</formula>
    </cfRule>
  </conditionalFormatting>
  <conditionalFormatting sqref="I5934">
    <cfRule type="cellIs" dxfId="329" priority="260" stopIfTrue="1" operator="greaterThan">
      <formula>0</formula>
    </cfRule>
  </conditionalFormatting>
  <conditionalFormatting sqref="I5942">
    <cfRule type="cellIs" dxfId="328" priority="259" stopIfTrue="1" operator="greaterThan">
      <formula>0</formula>
    </cfRule>
  </conditionalFormatting>
  <conditionalFormatting sqref="E5935:E5941">
    <cfRule type="cellIs" dxfId="327" priority="258" stopIfTrue="1" operator="greaterThan">
      <formula>0</formula>
    </cfRule>
  </conditionalFormatting>
  <conditionalFormatting sqref="K5950:K5955">
    <cfRule type="containsText" dxfId="326" priority="256" stopIfTrue="1" operator="containsText" text="NO CUMPLE">
      <formula>NOT(ISERROR(SEARCH("NO CUMPLE",K5950)))</formula>
    </cfRule>
    <cfRule type="containsText" dxfId="325" priority="257" stopIfTrue="1" operator="containsText" text="CUMPLE">
      <formula>NOT(ISERROR(SEARCH("CUMPLE",K5950)))</formula>
    </cfRule>
  </conditionalFormatting>
  <conditionalFormatting sqref="K5956">
    <cfRule type="containsText" dxfId="324" priority="254" stopIfTrue="1" operator="containsText" text="NO CUMPLE">
      <formula>NOT(ISERROR(SEARCH("NO CUMPLE",K5956)))</formula>
    </cfRule>
    <cfRule type="containsText" dxfId="323" priority="255" stopIfTrue="1" operator="containsText" text="CUMPLE">
      <formula>NOT(ISERROR(SEARCH("CUMPLE",K5956)))</formula>
    </cfRule>
  </conditionalFormatting>
  <conditionalFormatting sqref="Q5949">
    <cfRule type="cellIs" dxfId="322" priority="252" operator="greaterThanOrEqual">
      <formula>NUMMINCONT</formula>
    </cfRule>
    <cfRule type="cellIs" dxfId="321" priority="253" operator="lessThan">
      <formula>NUMMINCONT</formula>
    </cfRule>
  </conditionalFormatting>
  <conditionalFormatting sqref="W5933:Y5941">
    <cfRule type="cellIs" dxfId="320" priority="250" stopIfTrue="1" operator="equal">
      <formula>"NO"</formula>
    </cfRule>
    <cfRule type="cellIs" dxfId="319" priority="251" stopIfTrue="1" operator="equal">
      <formula>"SI"</formula>
    </cfRule>
  </conditionalFormatting>
  <conditionalFormatting sqref="R5936">
    <cfRule type="cellIs" dxfId="318" priority="249" stopIfTrue="1" operator="greaterThan">
      <formula>0</formula>
    </cfRule>
  </conditionalFormatting>
  <conditionalFormatting sqref="R5937">
    <cfRule type="cellIs" dxfId="317" priority="248" stopIfTrue="1" operator="greaterThan">
      <formula>0</formula>
    </cfRule>
  </conditionalFormatting>
  <conditionalFormatting sqref="R5938">
    <cfRule type="cellIs" dxfId="316" priority="247" stopIfTrue="1" operator="greaterThan">
      <formula>0</formula>
    </cfRule>
  </conditionalFormatting>
  <conditionalFormatting sqref="R5939">
    <cfRule type="cellIs" dxfId="315" priority="246" stopIfTrue="1" operator="greaterThan">
      <formula>0</formula>
    </cfRule>
  </conditionalFormatting>
  <conditionalFormatting sqref="R5940">
    <cfRule type="cellIs" dxfId="314" priority="245" stopIfTrue="1" operator="greaterThan">
      <formula>0</formula>
    </cfRule>
  </conditionalFormatting>
  <conditionalFormatting sqref="R5941">
    <cfRule type="cellIs" dxfId="313" priority="244" stopIfTrue="1" operator="greaterThan">
      <formula>0</formula>
    </cfRule>
  </conditionalFormatting>
  <conditionalFormatting sqref="R5942">
    <cfRule type="cellIs" dxfId="312" priority="243" stopIfTrue="1" operator="greaterThan">
      <formula>0</formula>
    </cfRule>
  </conditionalFormatting>
  <conditionalFormatting sqref="W5933:X5933">
    <cfRule type="cellIs" dxfId="311" priority="242" stopIfTrue="1" operator="equal">
      <formula>"NO APLICA"</formula>
    </cfRule>
  </conditionalFormatting>
  <conditionalFormatting sqref="W5934:X5937">
    <cfRule type="cellIs" dxfId="310" priority="241" stopIfTrue="1" operator="equal">
      <formula>"NO APLICA"</formula>
    </cfRule>
  </conditionalFormatting>
  <conditionalFormatting sqref="W5934:X5934">
    <cfRule type="cellIs" dxfId="309" priority="240" stopIfTrue="1" operator="equal">
      <formula>"NO APLICA"</formula>
    </cfRule>
  </conditionalFormatting>
  <conditionalFormatting sqref="Y5933">
    <cfRule type="cellIs" dxfId="308" priority="239" stopIfTrue="1" operator="equal">
      <formula>"NO APLICA"</formula>
    </cfRule>
  </conditionalFormatting>
  <conditionalFormatting sqref="Y5934:Y5937">
    <cfRule type="cellIs" dxfId="307" priority="238" stopIfTrue="1" operator="equal">
      <formula>"NO APLICA"</formula>
    </cfRule>
  </conditionalFormatting>
  <conditionalFormatting sqref="W5938:X5941">
    <cfRule type="cellIs" dxfId="306" priority="237" stopIfTrue="1" operator="equal">
      <formula>"NO APLICA"</formula>
    </cfRule>
  </conditionalFormatting>
  <conditionalFormatting sqref="W5938:X5938">
    <cfRule type="cellIs" dxfId="305" priority="236" stopIfTrue="1" operator="equal">
      <formula>"NO APLICA"</formula>
    </cfRule>
  </conditionalFormatting>
  <conditionalFormatting sqref="Y5938:Y5941">
    <cfRule type="cellIs" dxfId="304" priority="235" stopIfTrue="1" operator="equal">
      <formula>"NO APLICA"</formula>
    </cfRule>
  </conditionalFormatting>
  <conditionalFormatting sqref="T5947">
    <cfRule type="cellIs" dxfId="303" priority="233" operator="equal">
      <formula>"CUMPLE"</formula>
    </cfRule>
    <cfRule type="cellIs" dxfId="302" priority="234" operator="equal">
      <formula>"NO CUMPLE"</formula>
    </cfRule>
  </conditionalFormatting>
  <conditionalFormatting sqref="T5947:T5949">
    <cfRule type="cellIs" dxfId="301" priority="232" operator="equal">
      <formula>"VERIFICAR"</formula>
    </cfRule>
  </conditionalFormatting>
  <conditionalFormatting sqref="AD5933:AF5937">
    <cfRule type="cellIs" dxfId="300" priority="230" stopIfTrue="1" operator="equal">
      <formula>"NO"</formula>
    </cfRule>
    <cfRule type="cellIs" dxfId="299" priority="231" stopIfTrue="1" operator="equal">
      <formula>"SI"</formula>
    </cfRule>
  </conditionalFormatting>
  <conditionalFormatting sqref="AD5938:AF5941">
    <cfRule type="cellIs" dxfId="298" priority="228" stopIfTrue="1" operator="equal">
      <formula>"NO"</formula>
    </cfRule>
    <cfRule type="cellIs" dxfId="297" priority="229" stopIfTrue="1" operator="equal">
      <formula>"SI"</formula>
    </cfRule>
  </conditionalFormatting>
  <conditionalFormatting sqref="W5942:Y5942">
    <cfRule type="cellIs" dxfId="296" priority="226" stopIfTrue="1" operator="equal">
      <formula>"NO"</formula>
    </cfRule>
    <cfRule type="cellIs" dxfId="295" priority="227" stopIfTrue="1" operator="equal">
      <formula>"SI"</formula>
    </cfRule>
  </conditionalFormatting>
  <conditionalFormatting sqref="W5942:X5942">
    <cfRule type="cellIs" dxfId="294" priority="225" stopIfTrue="1" operator="equal">
      <formula>"NO APLICA"</formula>
    </cfRule>
  </conditionalFormatting>
  <conditionalFormatting sqref="Y5942">
    <cfRule type="cellIs" dxfId="293" priority="224" stopIfTrue="1" operator="equal">
      <formula>"NO APLICA"</formula>
    </cfRule>
  </conditionalFormatting>
  <conditionalFormatting sqref="AD5942:AF5942">
    <cfRule type="cellIs" dxfId="292" priority="222" stopIfTrue="1" operator="equal">
      <formula>"NO"</formula>
    </cfRule>
    <cfRule type="cellIs" dxfId="291" priority="223" stopIfTrue="1" operator="equal">
      <formula>"SI"</formula>
    </cfRule>
  </conditionalFormatting>
  <conditionalFormatting sqref="AE5947">
    <cfRule type="cellIs" dxfId="290" priority="219" stopIfTrue="1" operator="equal">
      <formula>"VERIFICAR"</formula>
    </cfRule>
    <cfRule type="cellIs" dxfId="289" priority="220" stopIfTrue="1" operator="equal">
      <formula>"NO CUMPLE"</formula>
    </cfRule>
    <cfRule type="cellIs" dxfId="288" priority="221" stopIfTrue="1" operator="equal">
      <formula>"CUMPLE"</formula>
    </cfRule>
  </conditionalFormatting>
  <conditionalFormatting sqref="AF5947">
    <cfRule type="cellIs" dxfId="287" priority="216" stopIfTrue="1" operator="equal">
      <formula>"VERIFICAR"</formula>
    </cfRule>
    <cfRule type="cellIs" dxfId="286" priority="217" stopIfTrue="1" operator="equal">
      <formula>"NO CUMPLE"</formula>
    </cfRule>
    <cfRule type="cellIs" dxfId="285" priority="218" stopIfTrue="1" operator="equal">
      <formula>"CUMPLE"</formula>
    </cfRule>
  </conditionalFormatting>
  <conditionalFormatting sqref="Y5950">
    <cfRule type="cellIs" dxfId="284" priority="215" operator="equal">
      <formula>"VERIFICAR CUADRO"</formula>
    </cfRule>
  </conditionalFormatting>
  <conditionalFormatting sqref="AC5951:AC5956">
    <cfRule type="cellIs" dxfId="283" priority="214" stopIfTrue="1" operator="greaterThan">
      <formula>0</formula>
    </cfRule>
  </conditionalFormatting>
  <conditionalFormatting sqref="AC5951:AC5956">
    <cfRule type="cellIs" dxfId="282" priority="213" stopIfTrue="1" operator="greaterThan">
      <formula>0</formula>
    </cfRule>
  </conditionalFormatting>
  <conditionalFormatting sqref="AD5951:AD5956">
    <cfRule type="containsText" dxfId="281" priority="211" stopIfTrue="1" operator="containsText" text="NO CUMPLE">
      <formula>NOT(ISERROR(SEARCH("NO CUMPLE",AD5951)))</formula>
    </cfRule>
    <cfRule type="containsText" dxfId="280" priority="212" stopIfTrue="1" operator="containsText" text="CUMPLE">
      <formula>NOT(ISERROR(SEARCH("CUMPLE",AD5951)))</formula>
    </cfRule>
  </conditionalFormatting>
  <conditionalFormatting sqref="Y5956">
    <cfRule type="containsText" dxfId="279" priority="209" stopIfTrue="1" operator="containsText" text="NO CUMPLE">
      <formula>NOT(ISERROR(SEARCH("NO CUMPLE",Y5956)))</formula>
    </cfRule>
    <cfRule type="containsText" dxfId="278" priority="210" stopIfTrue="1" operator="containsText" text="CUMPLE">
      <formula>NOT(ISERROR(SEARCH("CUMPLE",Y5956)))</formula>
    </cfRule>
  </conditionalFormatting>
  <conditionalFormatting sqref="AA5933:AA5942">
    <cfRule type="cellIs" dxfId="277" priority="207" stopIfTrue="1" operator="equal">
      <formula>"NO APLICA"</formula>
    </cfRule>
    <cfRule type="cellIs" dxfId="276" priority="208" stopIfTrue="1" operator="equal">
      <formula>"TERCIARIA"</formula>
    </cfRule>
  </conditionalFormatting>
  <conditionalFormatting sqref="AB5933:AB5942">
    <cfRule type="cellIs" dxfId="275" priority="205" stopIfTrue="1" operator="equal">
      <formula>"N/A"</formula>
    </cfRule>
    <cfRule type="cellIs" dxfId="274" priority="206" stopIfTrue="1" operator="equal">
      <formula>"NO"</formula>
    </cfRule>
  </conditionalFormatting>
  <conditionalFormatting sqref="M5963:M5972">
    <cfRule type="cellIs" dxfId="273" priority="204" stopIfTrue="1" operator="lessThan">
      <formula>0</formula>
    </cfRule>
  </conditionalFormatting>
  <conditionalFormatting sqref="C5965:D5971 B5964:B5971 F5965:I5971 C5964:I5964 B5972:O5972 B5963:R5963 Q5964:R5965 J5964:O5971 Q5966:Q5972 P5964:P5972">
    <cfRule type="cellIs" dxfId="272" priority="203" stopIfTrue="1" operator="greaterThan">
      <formula>0</formula>
    </cfRule>
  </conditionalFormatting>
  <conditionalFormatting sqref="C5965:D5971">
    <cfRule type="cellIs" dxfId="271" priority="202" stopIfTrue="1" operator="greaterThan">
      <formula>0</formula>
    </cfRule>
  </conditionalFormatting>
  <conditionalFormatting sqref="C5963:M5963 C5965:D5971 F5965:I5971 C5964:I5964 K5964:M5971 J5964:J5972 L5972:M5972">
    <cfRule type="cellIs" dxfId="270" priority="201" stopIfTrue="1" operator="greaterThan">
      <formula>0</formula>
    </cfRule>
  </conditionalFormatting>
  <conditionalFormatting sqref="M5963:M5972">
    <cfRule type="cellIs" dxfId="269" priority="200" stopIfTrue="1" operator="lessThan">
      <formula>0</formula>
    </cfRule>
  </conditionalFormatting>
  <conditionalFormatting sqref="J5964:J5972 L5964:O5972 C5963:O5963">
    <cfRule type="cellIs" dxfId="268" priority="199" stopIfTrue="1" operator="greaterThan">
      <formula>0</formula>
    </cfRule>
  </conditionalFormatting>
  <conditionalFormatting sqref="H5965:I5971 K5965:M5972">
    <cfRule type="cellIs" dxfId="267" priority="198" stopIfTrue="1" operator="greaterThan">
      <formula>0</formula>
    </cfRule>
  </conditionalFormatting>
  <conditionalFormatting sqref="I5964">
    <cfRule type="cellIs" dxfId="266" priority="197" stopIfTrue="1" operator="greaterThan">
      <formula>0</formula>
    </cfRule>
  </conditionalFormatting>
  <conditionalFormatting sqref="I5972">
    <cfRule type="cellIs" dxfId="265" priority="196" stopIfTrue="1" operator="greaterThan">
      <formula>0</formula>
    </cfRule>
  </conditionalFormatting>
  <conditionalFormatting sqref="E5965:E5971">
    <cfRule type="cellIs" dxfId="264" priority="195" stopIfTrue="1" operator="greaterThan">
      <formula>0</formula>
    </cfRule>
  </conditionalFormatting>
  <conditionalFormatting sqref="K5980:K5985">
    <cfRule type="containsText" dxfId="263" priority="193" stopIfTrue="1" operator="containsText" text="NO CUMPLE">
      <formula>NOT(ISERROR(SEARCH("NO CUMPLE",K5980)))</formula>
    </cfRule>
    <cfRule type="containsText" dxfId="262" priority="194" stopIfTrue="1" operator="containsText" text="CUMPLE">
      <formula>NOT(ISERROR(SEARCH("CUMPLE",K5980)))</formula>
    </cfRule>
  </conditionalFormatting>
  <conditionalFormatting sqref="K5986">
    <cfRule type="containsText" dxfId="261" priority="191" stopIfTrue="1" operator="containsText" text="NO CUMPLE">
      <formula>NOT(ISERROR(SEARCH("NO CUMPLE",K5986)))</formula>
    </cfRule>
    <cfRule type="containsText" dxfId="260" priority="192" stopIfTrue="1" operator="containsText" text="CUMPLE">
      <formula>NOT(ISERROR(SEARCH("CUMPLE",K5986)))</formula>
    </cfRule>
  </conditionalFormatting>
  <conditionalFormatting sqref="Q5979">
    <cfRule type="cellIs" dxfId="259" priority="189" operator="greaterThanOrEqual">
      <formula>NUMMINCONT</formula>
    </cfRule>
    <cfRule type="cellIs" dxfId="258" priority="190" operator="lessThan">
      <formula>NUMMINCONT</formula>
    </cfRule>
  </conditionalFormatting>
  <conditionalFormatting sqref="W5963:Y5971">
    <cfRule type="cellIs" dxfId="257" priority="187" stopIfTrue="1" operator="equal">
      <formula>"NO"</formula>
    </cfRule>
    <cfRule type="cellIs" dxfId="256" priority="188" stopIfTrue="1" operator="equal">
      <formula>"SI"</formula>
    </cfRule>
  </conditionalFormatting>
  <conditionalFormatting sqref="R5966">
    <cfRule type="cellIs" dxfId="255" priority="186" stopIfTrue="1" operator="greaterThan">
      <formula>0</formula>
    </cfRule>
  </conditionalFormatting>
  <conditionalFormatting sqref="R5967">
    <cfRule type="cellIs" dxfId="254" priority="185" stopIfTrue="1" operator="greaterThan">
      <formula>0</formula>
    </cfRule>
  </conditionalFormatting>
  <conditionalFormatting sqref="R5968">
    <cfRule type="cellIs" dxfId="253" priority="184" stopIfTrue="1" operator="greaterThan">
      <formula>0</formula>
    </cfRule>
  </conditionalFormatting>
  <conditionalFormatting sqref="R5969">
    <cfRule type="cellIs" dxfId="252" priority="183" stopIfTrue="1" operator="greaterThan">
      <formula>0</formula>
    </cfRule>
  </conditionalFormatting>
  <conditionalFormatting sqref="R5970">
    <cfRule type="cellIs" dxfId="251" priority="182" stopIfTrue="1" operator="greaterThan">
      <formula>0</formula>
    </cfRule>
  </conditionalFormatting>
  <conditionalFormatting sqref="R5971">
    <cfRule type="cellIs" dxfId="250" priority="181" stopIfTrue="1" operator="greaterThan">
      <formula>0</formula>
    </cfRule>
  </conditionalFormatting>
  <conditionalFormatting sqref="R5972">
    <cfRule type="cellIs" dxfId="249" priority="180" stopIfTrue="1" operator="greaterThan">
      <formula>0</formula>
    </cfRule>
  </conditionalFormatting>
  <conditionalFormatting sqref="W5963:X5963">
    <cfRule type="cellIs" dxfId="248" priority="179" stopIfTrue="1" operator="equal">
      <formula>"NO APLICA"</formula>
    </cfRule>
  </conditionalFormatting>
  <conditionalFormatting sqref="W5964:X5967">
    <cfRule type="cellIs" dxfId="247" priority="178" stopIfTrue="1" operator="equal">
      <formula>"NO APLICA"</formula>
    </cfRule>
  </conditionalFormatting>
  <conditionalFormatting sqref="W5964:X5964">
    <cfRule type="cellIs" dxfId="246" priority="177" stopIfTrue="1" operator="equal">
      <formula>"NO APLICA"</formula>
    </cfRule>
  </conditionalFormatting>
  <conditionalFormatting sqref="Y5963">
    <cfRule type="cellIs" dxfId="245" priority="176" stopIfTrue="1" operator="equal">
      <formula>"NO APLICA"</formula>
    </cfRule>
  </conditionalFormatting>
  <conditionalFormatting sqref="Y5964:Y5967">
    <cfRule type="cellIs" dxfId="244" priority="175" stopIfTrue="1" operator="equal">
      <formula>"NO APLICA"</formula>
    </cfRule>
  </conditionalFormatting>
  <conditionalFormatting sqref="W5968:X5971">
    <cfRule type="cellIs" dxfId="243" priority="174" stopIfTrue="1" operator="equal">
      <formula>"NO APLICA"</formula>
    </cfRule>
  </conditionalFormatting>
  <conditionalFormatting sqref="W5968:X5968">
    <cfRule type="cellIs" dxfId="242" priority="173" stopIfTrue="1" operator="equal">
      <formula>"NO APLICA"</formula>
    </cfRule>
  </conditionalFormatting>
  <conditionalFormatting sqref="Y5968:Y5971">
    <cfRule type="cellIs" dxfId="241" priority="172" stopIfTrue="1" operator="equal">
      <formula>"NO APLICA"</formula>
    </cfRule>
  </conditionalFormatting>
  <conditionalFormatting sqref="T5977">
    <cfRule type="cellIs" dxfId="240" priority="170" operator="equal">
      <formula>"CUMPLE"</formula>
    </cfRule>
    <cfRule type="cellIs" dxfId="239" priority="171" operator="equal">
      <formula>"NO CUMPLE"</formula>
    </cfRule>
  </conditionalFormatting>
  <conditionalFormatting sqref="T5977:T5979">
    <cfRule type="cellIs" dxfId="238" priority="169" operator="equal">
      <formula>"VERIFICAR"</formula>
    </cfRule>
  </conditionalFormatting>
  <conditionalFormatting sqref="AD5963:AF5967">
    <cfRule type="cellIs" dxfId="237" priority="167" stopIfTrue="1" operator="equal">
      <formula>"NO"</formula>
    </cfRule>
    <cfRule type="cellIs" dxfId="236" priority="168" stopIfTrue="1" operator="equal">
      <formula>"SI"</formula>
    </cfRule>
  </conditionalFormatting>
  <conditionalFormatting sqref="AD5968:AF5971">
    <cfRule type="cellIs" dxfId="235" priority="165" stopIfTrue="1" operator="equal">
      <formula>"NO"</formula>
    </cfRule>
    <cfRule type="cellIs" dxfId="234" priority="166" stopIfTrue="1" operator="equal">
      <formula>"SI"</formula>
    </cfRule>
  </conditionalFormatting>
  <conditionalFormatting sqref="W5972:Y5972">
    <cfRule type="cellIs" dxfId="233" priority="163" stopIfTrue="1" operator="equal">
      <formula>"NO"</formula>
    </cfRule>
    <cfRule type="cellIs" dxfId="232" priority="164" stopIfTrue="1" operator="equal">
      <formula>"SI"</formula>
    </cfRule>
  </conditionalFormatting>
  <conditionalFormatting sqref="W5972:X5972">
    <cfRule type="cellIs" dxfId="231" priority="162" stopIfTrue="1" operator="equal">
      <formula>"NO APLICA"</formula>
    </cfRule>
  </conditionalFormatting>
  <conditionalFormatting sqref="Y5972">
    <cfRule type="cellIs" dxfId="230" priority="161" stopIfTrue="1" operator="equal">
      <formula>"NO APLICA"</formula>
    </cfRule>
  </conditionalFormatting>
  <conditionalFormatting sqref="AD5972:AF5972">
    <cfRule type="cellIs" dxfId="229" priority="159" stopIfTrue="1" operator="equal">
      <formula>"NO"</formula>
    </cfRule>
    <cfRule type="cellIs" dxfId="228" priority="160" stopIfTrue="1" operator="equal">
      <formula>"SI"</formula>
    </cfRule>
  </conditionalFormatting>
  <conditionalFormatting sqref="AE5977">
    <cfRule type="cellIs" dxfId="227" priority="156" stopIfTrue="1" operator="equal">
      <formula>"VERIFICAR"</formula>
    </cfRule>
    <cfRule type="cellIs" dxfId="226" priority="157" stopIfTrue="1" operator="equal">
      <formula>"NO CUMPLE"</formula>
    </cfRule>
    <cfRule type="cellIs" dxfId="225" priority="158" stopIfTrue="1" operator="equal">
      <formula>"CUMPLE"</formula>
    </cfRule>
  </conditionalFormatting>
  <conditionalFormatting sqref="AF5977">
    <cfRule type="cellIs" dxfId="224" priority="153" stopIfTrue="1" operator="equal">
      <formula>"VERIFICAR"</formula>
    </cfRule>
    <cfRule type="cellIs" dxfId="223" priority="154" stopIfTrue="1" operator="equal">
      <formula>"NO CUMPLE"</formula>
    </cfRule>
    <cfRule type="cellIs" dxfId="222" priority="155" stopIfTrue="1" operator="equal">
      <formula>"CUMPLE"</formula>
    </cfRule>
  </conditionalFormatting>
  <conditionalFormatting sqref="Y5980">
    <cfRule type="cellIs" dxfId="221" priority="152" operator="equal">
      <formula>"VERIFICAR CUADRO"</formula>
    </cfRule>
  </conditionalFormatting>
  <conditionalFormatting sqref="AC5981:AC5986">
    <cfRule type="cellIs" dxfId="220" priority="151" stopIfTrue="1" operator="greaterThan">
      <formula>0</formula>
    </cfRule>
  </conditionalFormatting>
  <conditionalFormatting sqref="AC5981:AC5986">
    <cfRule type="cellIs" dxfId="219" priority="150" stopIfTrue="1" operator="greaterThan">
      <formula>0</formula>
    </cfRule>
  </conditionalFormatting>
  <conditionalFormatting sqref="AD5981:AD5986">
    <cfRule type="containsText" dxfId="218" priority="148" stopIfTrue="1" operator="containsText" text="NO CUMPLE">
      <formula>NOT(ISERROR(SEARCH("NO CUMPLE",AD5981)))</formula>
    </cfRule>
    <cfRule type="containsText" dxfId="217" priority="149" stopIfTrue="1" operator="containsText" text="CUMPLE">
      <formula>NOT(ISERROR(SEARCH("CUMPLE",AD5981)))</formula>
    </cfRule>
  </conditionalFormatting>
  <conditionalFormatting sqref="Y5986">
    <cfRule type="containsText" dxfId="216" priority="146" stopIfTrue="1" operator="containsText" text="NO CUMPLE">
      <formula>NOT(ISERROR(SEARCH("NO CUMPLE",Y5986)))</formula>
    </cfRule>
    <cfRule type="containsText" dxfId="215" priority="147" stopIfTrue="1" operator="containsText" text="CUMPLE">
      <formula>NOT(ISERROR(SEARCH("CUMPLE",Y5986)))</formula>
    </cfRule>
  </conditionalFormatting>
  <conditionalFormatting sqref="AA5963:AA5972">
    <cfRule type="cellIs" dxfId="214" priority="144" stopIfTrue="1" operator="equal">
      <formula>"NO APLICA"</formula>
    </cfRule>
    <cfRule type="cellIs" dxfId="213" priority="145" stopIfTrue="1" operator="equal">
      <formula>"TERCIARIA"</formula>
    </cfRule>
  </conditionalFormatting>
  <conditionalFormatting sqref="AB5963:AB5972">
    <cfRule type="cellIs" dxfId="212" priority="142" stopIfTrue="1" operator="equal">
      <formula>"N/A"</formula>
    </cfRule>
    <cfRule type="cellIs" dxfId="211" priority="143" stopIfTrue="1" operator="equal">
      <formula>"NO"</formula>
    </cfRule>
  </conditionalFormatting>
  <conditionalFormatting sqref="M5993:M6002">
    <cfRule type="cellIs" dxfId="210" priority="141" stopIfTrue="1" operator="lessThan">
      <formula>0</formula>
    </cfRule>
  </conditionalFormatting>
  <conditionalFormatting sqref="C5995:D6001 B5994:B6001 F5995:I6001 C5994:I5994 B6002:O6002 B5993:R5993 Q5994:R5995 J5994:O6001 Q5996:Q6002 P5994:P6002">
    <cfRule type="cellIs" dxfId="209" priority="140" stopIfTrue="1" operator="greaterThan">
      <formula>0</formula>
    </cfRule>
  </conditionalFormatting>
  <conditionalFormatting sqref="C5995:D6001">
    <cfRule type="cellIs" dxfId="208" priority="139" stopIfTrue="1" operator="greaterThan">
      <formula>0</formula>
    </cfRule>
  </conditionalFormatting>
  <conditionalFormatting sqref="C5993:M5993 C5995:D6001 F5995:I6001 C5994:I5994 K5994:M6001 J5994:J6002 L6002:M6002">
    <cfRule type="cellIs" dxfId="207" priority="138" stopIfTrue="1" operator="greaterThan">
      <formula>0</formula>
    </cfRule>
  </conditionalFormatting>
  <conditionalFormatting sqref="M5993:M6002">
    <cfRule type="cellIs" dxfId="206" priority="137" stopIfTrue="1" operator="lessThan">
      <formula>0</formula>
    </cfRule>
  </conditionalFormatting>
  <conditionalFormatting sqref="J5994:J6002 L5994:O6002 C5993:O5993">
    <cfRule type="cellIs" dxfId="205" priority="136" stopIfTrue="1" operator="greaterThan">
      <formula>0</formula>
    </cfRule>
  </conditionalFormatting>
  <conditionalFormatting sqref="H5995:I6001 K5995:M6002">
    <cfRule type="cellIs" dxfId="204" priority="135" stopIfTrue="1" operator="greaterThan">
      <formula>0</formula>
    </cfRule>
  </conditionalFormatting>
  <conditionalFormatting sqref="I5994">
    <cfRule type="cellIs" dxfId="203" priority="134" stopIfTrue="1" operator="greaterThan">
      <formula>0</formula>
    </cfRule>
  </conditionalFormatting>
  <conditionalFormatting sqref="I6002">
    <cfRule type="cellIs" dxfId="202" priority="133" stopIfTrue="1" operator="greaterThan">
      <formula>0</formula>
    </cfRule>
  </conditionalFormatting>
  <conditionalFormatting sqref="E5995:E6001">
    <cfRule type="cellIs" dxfId="201" priority="132" stopIfTrue="1" operator="greaterThan">
      <formula>0</formula>
    </cfRule>
  </conditionalFormatting>
  <conditionalFormatting sqref="K6010:K6015">
    <cfRule type="containsText" dxfId="200" priority="130" stopIfTrue="1" operator="containsText" text="NO CUMPLE">
      <formula>NOT(ISERROR(SEARCH("NO CUMPLE",K6010)))</formula>
    </cfRule>
    <cfRule type="containsText" dxfId="199" priority="131" stopIfTrue="1" operator="containsText" text="CUMPLE">
      <formula>NOT(ISERROR(SEARCH("CUMPLE",K6010)))</formula>
    </cfRule>
  </conditionalFormatting>
  <conditionalFormatting sqref="K6016">
    <cfRule type="containsText" dxfId="198" priority="128" stopIfTrue="1" operator="containsText" text="NO CUMPLE">
      <formula>NOT(ISERROR(SEARCH("NO CUMPLE",K6016)))</formula>
    </cfRule>
    <cfRule type="containsText" dxfId="197" priority="129" stopIfTrue="1" operator="containsText" text="CUMPLE">
      <formula>NOT(ISERROR(SEARCH("CUMPLE",K6016)))</formula>
    </cfRule>
  </conditionalFormatting>
  <conditionalFormatting sqref="Q6009">
    <cfRule type="cellIs" dxfId="196" priority="126" operator="greaterThanOrEqual">
      <formula>NUMMINCONT</formula>
    </cfRule>
    <cfRule type="cellIs" dxfId="195" priority="127" operator="lessThan">
      <formula>NUMMINCONT</formula>
    </cfRule>
  </conditionalFormatting>
  <conditionalFormatting sqref="W5993:Y6001">
    <cfRule type="cellIs" dxfId="194" priority="124" stopIfTrue="1" operator="equal">
      <formula>"NO"</formula>
    </cfRule>
    <cfRule type="cellIs" dxfId="193" priority="125" stopIfTrue="1" operator="equal">
      <formula>"SI"</formula>
    </cfRule>
  </conditionalFormatting>
  <conditionalFormatting sqref="R5996">
    <cfRule type="cellIs" dxfId="192" priority="123" stopIfTrue="1" operator="greaterThan">
      <formula>0</formula>
    </cfRule>
  </conditionalFormatting>
  <conditionalFormatting sqref="R5997">
    <cfRule type="cellIs" dxfId="191" priority="122" stopIfTrue="1" operator="greaterThan">
      <formula>0</formula>
    </cfRule>
  </conditionalFormatting>
  <conditionalFormatting sqref="R5998">
    <cfRule type="cellIs" dxfId="190" priority="121" stopIfTrue="1" operator="greaterThan">
      <formula>0</formula>
    </cfRule>
  </conditionalFormatting>
  <conditionalFormatting sqref="R5999">
    <cfRule type="cellIs" dxfId="189" priority="120" stopIfTrue="1" operator="greaterThan">
      <formula>0</formula>
    </cfRule>
  </conditionalFormatting>
  <conditionalFormatting sqref="R6000">
    <cfRule type="cellIs" dxfId="188" priority="119" stopIfTrue="1" operator="greaterThan">
      <formula>0</formula>
    </cfRule>
  </conditionalFormatting>
  <conditionalFormatting sqref="R6001">
    <cfRule type="cellIs" dxfId="187" priority="118" stopIfTrue="1" operator="greaterThan">
      <formula>0</formula>
    </cfRule>
  </conditionalFormatting>
  <conditionalFormatting sqref="R6002">
    <cfRule type="cellIs" dxfId="186" priority="117" stopIfTrue="1" operator="greaterThan">
      <formula>0</formula>
    </cfRule>
  </conditionalFormatting>
  <conditionalFormatting sqref="W5993:X5993">
    <cfRule type="cellIs" dxfId="185" priority="116" stopIfTrue="1" operator="equal">
      <formula>"NO APLICA"</formula>
    </cfRule>
  </conditionalFormatting>
  <conditionalFormatting sqref="W5994:X5997">
    <cfRule type="cellIs" dxfId="184" priority="115" stopIfTrue="1" operator="equal">
      <formula>"NO APLICA"</formula>
    </cfRule>
  </conditionalFormatting>
  <conditionalFormatting sqref="W5994:X5994">
    <cfRule type="cellIs" dxfId="183" priority="114" stopIfTrue="1" operator="equal">
      <formula>"NO APLICA"</formula>
    </cfRule>
  </conditionalFormatting>
  <conditionalFormatting sqref="Y5993">
    <cfRule type="cellIs" dxfId="182" priority="113" stopIfTrue="1" operator="equal">
      <formula>"NO APLICA"</formula>
    </cfRule>
  </conditionalFormatting>
  <conditionalFormatting sqref="Y5994:Y5997">
    <cfRule type="cellIs" dxfId="181" priority="112" stopIfTrue="1" operator="equal">
      <formula>"NO APLICA"</formula>
    </cfRule>
  </conditionalFormatting>
  <conditionalFormatting sqref="W5998:X6001">
    <cfRule type="cellIs" dxfId="180" priority="111" stopIfTrue="1" operator="equal">
      <formula>"NO APLICA"</formula>
    </cfRule>
  </conditionalFormatting>
  <conditionalFormatting sqref="W5998:X5998">
    <cfRule type="cellIs" dxfId="179" priority="110" stopIfTrue="1" operator="equal">
      <formula>"NO APLICA"</formula>
    </cfRule>
  </conditionalFormatting>
  <conditionalFormatting sqref="Y5998:Y6001">
    <cfRule type="cellIs" dxfId="178" priority="109" stopIfTrue="1" operator="equal">
      <formula>"NO APLICA"</formula>
    </cfRule>
  </conditionalFormatting>
  <conditionalFormatting sqref="T6007">
    <cfRule type="cellIs" dxfId="177" priority="107" operator="equal">
      <formula>"CUMPLE"</formula>
    </cfRule>
    <cfRule type="cellIs" dxfId="176" priority="108" operator="equal">
      <formula>"NO CUMPLE"</formula>
    </cfRule>
  </conditionalFormatting>
  <conditionalFormatting sqref="T6007:T6009">
    <cfRule type="cellIs" dxfId="175" priority="106" operator="equal">
      <formula>"VERIFICAR"</formula>
    </cfRule>
  </conditionalFormatting>
  <conditionalFormatting sqref="AD5993:AF5997">
    <cfRule type="cellIs" dxfId="174" priority="104" stopIfTrue="1" operator="equal">
      <formula>"NO"</formula>
    </cfRule>
    <cfRule type="cellIs" dxfId="173" priority="105" stopIfTrue="1" operator="equal">
      <formula>"SI"</formula>
    </cfRule>
  </conditionalFormatting>
  <conditionalFormatting sqref="AD5998:AF6001">
    <cfRule type="cellIs" dxfId="172" priority="102" stopIfTrue="1" operator="equal">
      <formula>"NO"</formula>
    </cfRule>
    <cfRule type="cellIs" dxfId="171" priority="103" stopIfTrue="1" operator="equal">
      <formula>"SI"</formula>
    </cfRule>
  </conditionalFormatting>
  <conditionalFormatting sqref="W6002:Y6002">
    <cfRule type="cellIs" dxfId="170" priority="100" stopIfTrue="1" operator="equal">
      <formula>"NO"</formula>
    </cfRule>
    <cfRule type="cellIs" dxfId="169" priority="101" stopIfTrue="1" operator="equal">
      <formula>"SI"</formula>
    </cfRule>
  </conditionalFormatting>
  <conditionalFormatting sqref="W6002:X6002">
    <cfRule type="cellIs" dxfId="168" priority="99" stopIfTrue="1" operator="equal">
      <formula>"NO APLICA"</formula>
    </cfRule>
  </conditionalFormatting>
  <conditionalFormatting sqref="Y6002">
    <cfRule type="cellIs" dxfId="167" priority="98" stopIfTrue="1" operator="equal">
      <formula>"NO APLICA"</formula>
    </cfRule>
  </conditionalFormatting>
  <conditionalFormatting sqref="AD6002:AF6002">
    <cfRule type="cellIs" dxfId="166" priority="96" stopIfTrue="1" operator="equal">
      <formula>"NO"</formula>
    </cfRule>
    <cfRule type="cellIs" dxfId="165" priority="97" stopIfTrue="1" operator="equal">
      <formula>"SI"</formula>
    </cfRule>
  </conditionalFormatting>
  <conditionalFormatting sqref="AE6007">
    <cfRule type="cellIs" dxfId="164" priority="93" stopIfTrue="1" operator="equal">
      <formula>"VERIFICAR"</formula>
    </cfRule>
    <cfRule type="cellIs" dxfId="163" priority="94" stopIfTrue="1" operator="equal">
      <formula>"NO CUMPLE"</formula>
    </cfRule>
    <cfRule type="cellIs" dxfId="162" priority="95" stopIfTrue="1" operator="equal">
      <formula>"CUMPLE"</formula>
    </cfRule>
  </conditionalFormatting>
  <conditionalFormatting sqref="AF6007">
    <cfRule type="cellIs" dxfId="161" priority="90" stopIfTrue="1" operator="equal">
      <formula>"VERIFICAR"</formula>
    </cfRule>
    <cfRule type="cellIs" dxfId="160" priority="91" stopIfTrue="1" operator="equal">
      <formula>"NO CUMPLE"</formula>
    </cfRule>
    <cfRule type="cellIs" dxfId="159" priority="92" stopIfTrue="1" operator="equal">
      <formula>"CUMPLE"</formula>
    </cfRule>
  </conditionalFormatting>
  <conditionalFormatting sqref="Y6010">
    <cfRule type="cellIs" dxfId="158" priority="89" operator="equal">
      <formula>"VERIFICAR CUADRO"</formula>
    </cfRule>
  </conditionalFormatting>
  <conditionalFormatting sqref="AC6011:AC6016">
    <cfRule type="cellIs" dxfId="157" priority="88" stopIfTrue="1" operator="greaterThan">
      <formula>0</formula>
    </cfRule>
  </conditionalFormatting>
  <conditionalFormatting sqref="AC6011:AC6016">
    <cfRule type="cellIs" dxfId="156" priority="87" stopIfTrue="1" operator="greaterThan">
      <formula>0</formula>
    </cfRule>
  </conditionalFormatting>
  <conditionalFormatting sqref="AD6011:AD6016">
    <cfRule type="containsText" dxfId="155" priority="85" stopIfTrue="1" operator="containsText" text="NO CUMPLE">
      <formula>NOT(ISERROR(SEARCH("NO CUMPLE",AD6011)))</formula>
    </cfRule>
    <cfRule type="containsText" dxfId="154" priority="86" stopIfTrue="1" operator="containsText" text="CUMPLE">
      <formula>NOT(ISERROR(SEARCH("CUMPLE",AD6011)))</formula>
    </cfRule>
  </conditionalFormatting>
  <conditionalFormatting sqref="Y6016">
    <cfRule type="containsText" dxfId="153" priority="83" stopIfTrue="1" operator="containsText" text="NO CUMPLE">
      <formula>NOT(ISERROR(SEARCH("NO CUMPLE",Y6016)))</formula>
    </cfRule>
    <cfRule type="containsText" dxfId="152" priority="84" stopIfTrue="1" operator="containsText" text="CUMPLE">
      <formula>NOT(ISERROR(SEARCH("CUMPLE",Y6016)))</formula>
    </cfRule>
  </conditionalFormatting>
  <conditionalFormatting sqref="AA5993:AA6002">
    <cfRule type="cellIs" dxfId="151" priority="81" stopIfTrue="1" operator="equal">
      <formula>"NO APLICA"</formula>
    </cfRule>
    <cfRule type="cellIs" dxfId="150" priority="82" stopIfTrue="1" operator="equal">
      <formula>"TERCIARIA"</formula>
    </cfRule>
  </conditionalFormatting>
  <conditionalFormatting sqref="AB5993:AB6002">
    <cfRule type="cellIs" dxfId="149" priority="79" stopIfTrue="1" operator="equal">
      <formula>"N/A"</formula>
    </cfRule>
    <cfRule type="cellIs" dxfId="148" priority="80" stopIfTrue="1" operator="equal">
      <formula>"NO"</formula>
    </cfRule>
  </conditionalFormatting>
  <conditionalFormatting sqref="I58">
    <cfRule type="cellIs" dxfId="147" priority="78" stopIfTrue="1" operator="greaterThan">
      <formula>0</formula>
    </cfRule>
  </conditionalFormatting>
  <conditionalFormatting sqref="I58">
    <cfRule type="cellIs" dxfId="146" priority="77" stopIfTrue="1" operator="greaterThan">
      <formula>0</formula>
    </cfRule>
  </conditionalFormatting>
  <conditionalFormatting sqref="I355:I356">
    <cfRule type="cellIs" dxfId="145" priority="76" stopIfTrue="1" operator="greaterThan">
      <formula>0</formula>
    </cfRule>
  </conditionalFormatting>
  <conditionalFormatting sqref="I357">
    <cfRule type="cellIs" dxfId="144" priority="75" stopIfTrue="1" operator="greaterThan">
      <formula>0</formula>
    </cfRule>
  </conditionalFormatting>
  <conditionalFormatting sqref="I54:I56">
    <cfRule type="cellIs" dxfId="143" priority="72" stopIfTrue="1" operator="greaterThan">
      <formula>0</formula>
    </cfRule>
  </conditionalFormatting>
  <conditionalFormatting sqref="I57">
    <cfRule type="cellIs" dxfId="142" priority="71" stopIfTrue="1" operator="greaterThan">
      <formula>0</formula>
    </cfRule>
  </conditionalFormatting>
  <conditionalFormatting sqref="I57">
    <cfRule type="cellIs" dxfId="141" priority="70" stopIfTrue="1" operator="greaterThan">
      <formula>0</formula>
    </cfRule>
  </conditionalFormatting>
  <conditionalFormatting sqref="I57">
    <cfRule type="cellIs" dxfId="140" priority="69" stopIfTrue="1" operator="greaterThan">
      <formula>0</formula>
    </cfRule>
  </conditionalFormatting>
  <conditionalFormatting sqref="I57">
    <cfRule type="cellIs" dxfId="139" priority="68" stopIfTrue="1" operator="greaterThan">
      <formula>0</formula>
    </cfRule>
  </conditionalFormatting>
  <conditionalFormatting sqref="J54:J55">
    <cfRule type="cellIs" dxfId="138" priority="67" stopIfTrue="1" operator="greaterThan">
      <formula>0</formula>
    </cfRule>
  </conditionalFormatting>
  <conditionalFormatting sqref="L54:L55">
    <cfRule type="cellIs" dxfId="137" priority="66" stopIfTrue="1" operator="greaterThan">
      <formula>0</formula>
    </cfRule>
  </conditionalFormatting>
  <conditionalFormatting sqref="N54:N55">
    <cfRule type="cellIs" dxfId="136" priority="65" stopIfTrue="1" operator="greaterThan">
      <formula>0</formula>
    </cfRule>
  </conditionalFormatting>
  <conditionalFormatting sqref="O54">
    <cfRule type="cellIs" dxfId="135" priority="64" stopIfTrue="1" operator="greaterThan">
      <formula>0</formula>
    </cfRule>
  </conditionalFormatting>
  <conditionalFormatting sqref="O54">
    <cfRule type="cellIs" dxfId="134" priority="63" stopIfTrue="1" operator="greaterThan">
      <formula>0</formula>
    </cfRule>
  </conditionalFormatting>
  <conditionalFormatting sqref="K57:K59">
    <cfRule type="cellIs" dxfId="133" priority="62" stopIfTrue="1" operator="greaterThan">
      <formula>0</formula>
    </cfRule>
  </conditionalFormatting>
  <conditionalFormatting sqref="K57:K59">
    <cfRule type="cellIs" dxfId="132" priority="61" stopIfTrue="1" operator="greaterThan">
      <formula>0</formula>
    </cfRule>
  </conditionalFormatting>
  <conditionalFormatting sqref="Q54">
    <cfRule type="cellIs" dxfId="131" priority="60" stopIfTrue="1" operator="greaterThan">
      <formula>0</formula>
    </cfRule>
  </conditionalFormatting>
  <conditionalFormatting sqref="P54">
    <cfRule type="cellIs" dxfId="130" priority="59" stopIfTrue="1" operator="greaterThan">
      <formula>0</formula>
    </cfRule>
  </conditionalFormatting>
  <conditionalFormatting sqref="P24:P28">
    <cfRule type="cellIs" dxfId="129" priority="58" stopIfTrue="1" operator="greaterThan">
      <formula>0</formula>
    </cfRule>
  </conditionalFormatting>
  <conditionalFormatting sqref="D113:O113 J114:J117 L114:O117">
    <cfRule type="cellIs" dxfId="128" priority="30" stopIfTrue="1" operator="greaterThan">
      <formula>0</formula>
    </cfRule>
  </conditionalFormatting>
  <conditionalFormatting sqref="K115:M117 H115:I117">
    <cfRule type="cellIs" dxfId="127" priority="29" stopIfTrue="1" operator="greaterThan">
      <formula>0</formula>
    </cfRule>
  </conditionalFormatting>
  <conditionalFormatting sqref="I114:I117">
    <cfRule type="cellIs" dxfId="126" priority="28" stopIfTrue="1" operator="greaterThan">
      <formula>0</formula>
    </cfRule>
  </conditionalFormatting>
  <conditionalFormatting sqref="E115:E117">
    <cfRule type="cellIs" dxfId="125" priority="27" stopIfTrue="1" operator="greaterThan">
      <formula>0</formula>
    </cfRule>
  </conditionalFormatting>
  <conditionalFormatting sqref="M143:M147">
    <cfRule type="cellIs" dxfId="124" priority="53" stopIfTrue="1" operator="lessThan">
      <formula>0</formula>
    </cfRule>
  </conditionalFormatting>
  <conditionalFormatting sqref="D144:I144 D143:Q143 J144:Q147 F145:I147 D145:D147">
    <cfRule type="cellIs" dxfId="123" priority="52" stopIfTrue="1" operator="greaterThan">
      <formula>0</formula>
    </cfRule>
  </conditionalFormatting>
  <conditionalFormatting sqref="D145:D147">
    <cfRule type="cellIs" dxfId="122" priority="51" stopIfTrue="1" operator="greaterThan">
      <formula>0</formula>
    </cfRule>
  </conditionalFormatting>
  <conditionalFormatting sqref="D143:M143 D144:I144 F145:I147 D145:D147 J144:M147">
    <cfRule type="cellIs" dxfId="121" priority="50" stopIfTrue="1" operator="greaterThan">
      <formula>0</formula>
    </cfRule>
  </conditionalFormatting>
  <conditionalFormatting sqref="M143:M147">
    <cfRule type="cellIs" dxfId="120" priority="49" stopIfTrue="1" operator="lessThan">
      <formula>0</formula>
    </cfRule>
  </conditionalFormatting>
  <conditionalFormatting sqref="D143:O143 J144:J147 L144:O147">
    <cfRule type="cellIs" dxfId="119" priority="48" stopIfTrue="1" operator="greaterThan">
      <formula>0</formula>
    </cfRule>
  </conditionalFormatting>
  <conditionalFormatting sqref="K145:M147 H145:I147">
    <cfRule type="cellIs" dxfId="118" priority="47" stopIfTrue="1" operator="greaterThan">
      <formula>0</formula>
    </cfRule>
  </conditionalFormatting>
  <conditionalFormatting sqref="I144:I147">
    <cfRule type="cellIs" dxfId="117" priority="46" stopIfTrue="1" operator="greaterThan">
      <formula>0</formula>
    </cfRule>
  </conditionalFormatting>
  <conditionalFormatting sqref="E145:E147">
    <cfRule type="cellIs" dxfId="116" priority="45" stopIfTrue="1" operator="greaterThan">
      <formula>0</formula>
    </cfRule>
  </conditionalFormatting>
  <conditionalFormatting sqref="M83:M88">
    <cfRule type="cellIs" dxfId="115" priority="44" stopIfTrue="1" operator="lessThan">
      <formula>0</formula>
    </cfRule>
  </conditionalFormatting>
  <conditionalFormatting sqref="C83:Q83 J84:Q88 C84:I84 F85:I88 C85:D88">
    <cfRule type="cellIs" dxfId="114" priority="43" stopIfTrue="1" operator="greaterThan">
      <formula>0</formula>
    </cfRule>
  </conditionalFormatting>
  <conditionalFormatting sqref="C85:D88">
    <cfRule type="cellIs" dxfId="113" priority="42" stopIfTrue="1" operator="greaterThan">
      <formula>0</formula>
    </cfRule>
  </conditionalFormatting>
  <conditionalFormatting sqref="C83:M83 C84:I84 F85:I88 J84:M88 C85:D88">
    <cfRule type="cellIs" dxfId="112" priority="41" stopIfTrue="1" operator="greaterThan">
      <formula>0</formula>
    </cfRule>
  </conditionalFormatting>
  <conditionalFormatting sqref="M83:M88">
    <cfRule type="cellIs" dxfId="111" priority="40" stopIfTrue="1" operator="lessThan">
      <formula>0</formula>
    </cfRule>
  </conditionalFormatting>
  <conditionalFormatting sqref="C83:O83 I84:I87 J84:J88 L84:O88">
    <cfRule type="cellIs" dxfId="110" priority="39" stopIfTrue="1" operator="greaterThan">
      <formula>0</formula>
    </cfRule>
  </conditionalFormatting>
  <conditionalFormatting sqref="H85:I88 K85:M88">
    <cfRule type="cellIs" dxfId="109" priority="38" stopIfTrue="1" operator="greaterThan">
      <formula>0</formula>
    </cfRule>
  </conditionalFormatting>
  <conditionalFormatting sqref="I84:I87">
    <cfRule type="cellIs" dxfId="108" priority="37" stopIfTrue="1" operator="greaterThan">
      <formula>0</formula>
    </cfRule>
  </conditionalFormatting>
  <conditionalFormatting sqref="E85:E88">
    <cfRule type="cellIs" dxfId="107" priority="36" stopIfTrue="1" operator="greaterThan">
      <formula>0</formula>
    </cfRule>
  </conditionalFormatting>
  <conditionalFormatting sqref="M113:M117">
    <cfRule type="cellIs" dxfId="106" priority="35" stopIfTrue="1" operator="lessThan">
      <formula>0</formula>
    </cfRule>
  </conditionalFormatting>
  <conditionalFormatting sqref="D114:I114 D113:Q113 J114:Q117 F115:I117 D115:D117">
    <cfRule type="cellIs" dxfId="105" priority="34" stopIfTrue="1" operator="greaterThan">
      <formula>0</formula>
    </cfRule>
  </conditionalFormatting>
  <conditionalFormatting sqref="D115:D117">
    <cfRule type="cellIs" dxfId="104" priority="33" stopIfTrue="1" operator="greaterThan">
      <formula>0</formula>
    </cfRule>
  </conditionalFormatting>
  <conditionalFormatting sqref="D113:M113 D114:I114 F115:I117 D115:D117 J114:M117">
    <cfRule type="cellIs" dxfId="103" priority="32" stopIfTrue="1" operator="greaterThan">
      <formula>0</formula>
    </cfRule>
  </conditionalFormatting>
  <conditionalFormatting sqref="M113:M117">
    <cfRule type="cellIs" dxfId="102" priority="31" stopIfTrue="1" operator="lessThan">
      <formula>0</formula>
    </cfRule>
  </conditionalFormatting>
  <conditionalFormatting sqref="R28">
    <cfRule type="cellIs" dxfId="101" priority="26" stopIfTrue="1" operator="greaterThan">
      <formula>0</formula>
    </cfRule>
  </conditionalFormatting>
  <conditionalFormatting sqref="C58">
    <cfRule type="cellIs" dxfId="100" priority="21" stopIfTrue="1" operator="greaterThan">
      <formula>0</formula>
    </cfRule>
  </conditionalFormatting>
  <conditionalFormatting sqref="C58">
    <cfRule type="cellIs" dxfId="99" priority="20" stopIfTrue="1" operator="greaterThan">
      <formula>0</formula>
    </cfRule>
  </conditionalFormatting>
  <conditionalFormatting sqref="C58">
    <cfRule type="cellIs" dxfId="98" priority="19" stopIfTrue="1" operator="greaterThan">
      <formula>0</formula>
    </cfRule>
  </conditionalFormatting>
  <conditionalFormatting sqref="C59">
    <cfRule type="cellIs" dxfId="97" priority="18" stopIfTrue="1" operator="greaterThan">
      <formula>0</formula>
    </cfRule>
  </conditionalFormatting>
  <conditionalFormatting sqref="C59">
    <cfRule type="cellIs" dxfId="96" priority="17" stopIfTrue="1" operator="greaterThan">
      <formula>0</formula>
    </cfRule>
  </conditionalFormatting>
  <conditionalFormatting sqref="C59">
    <cfRule type="cellIs" dxfId="95" priority="16" stopIfTrue="1" operator="greaterThan">
      <formula>0</formula>
    </cfRule>
  </conditionalFormatting>
  <conditionalFormatting sqref="J58:J59">
    <cfRule type="cellIs" dxfId="94" priority="13" stopIfTrue="1" operator="greaterThan">
      <formula>0</formula>
    </cfRule>
  </conditionalFormatting>
  <conditionalFormatting sqref="J58:J59">
    <cfRule type="cellIs" dxfId="93" priority="12" stopIfTrue="1" operator="greaterThan">
      <formula>0</formula>
    </cfRule>
  </conditionalFormatting>
  <conditionalFormatting sqref="J58:J59">
    <cfRule type="cellIs" dxfId="92" priority="11" stopIfTrue="1" operator="greaterThan">
      <formula>0</formula>
    </cfRule>
  </conditionalFormatting>
  <conditionalFormatting sqref="L58:L59">
    <cfRule type="cellIs" dxfId="91" priority="6" stopIfTrue="1" operator="greaterThan">
      <formula>0</formula>
    </cfRule>
  </conditionalFormatting>
  <conditionalFormatting sqref="L58:L59">
    <cfRule type="cellIs" dxfId="90" priority="5" stopIfTrue="1" operator="greaterThan">
      <formula>0</formula>
    </cfRule>
  </conditionalFormatting>
  <conditionalFormatting sqref="L58:L59">
    <cfRule type="cellIs" dxfId="89" priority="4" stopIfTrue="1" operator="greaterThan">
      <formula>0</formula>
    </cfRule>
  </conditionalFormatting>
  <conditionalFormatting sqref="L58:L59">
    <cfRule type="cellIs" dxfId="88" priority="3" stopIfTrue="1" operator="greaterThan">
      <formula>0</formula>
    </cfRule>
  </conditionalFormatting>
  <conditionalFormatting sqref="Q69">
    <cfRule type="cellIs" dxfId="87" priority="1" operator="greaterThanOrEqual">
      <formula>NUMMINCONT</formula>
    </cfRule>
    <cfRule type="cellIs" dxfId="86" priority="2" operator="lessThan">
      <formula>NUMMINCONT</formula>
    </cfRule>
  </conditionalFormatting>
  <dataValidations xWindow="537" yWindow="570" count="8">
    <dataValidation operator="greaterThan" allowBlank="1" showInputMessage="1" showErrorMessage="1" sqref="J24:J33 J2303:J2312 J2333:J2342 J2363:J2372 J2393:J2402 J2423:J2432 J2483:J2492 J2513:J2522 J2543:J2552 J2573:J2582 J5603:J5612 J5633:J5642 J5663:J5672 J5693:J5702 J5723:J5732 J5753:J5762 J5783:J5792 J5813:J5822 J5843:J5852 J5873:J5882 J5903:J5912 J5933:J5942 J5963:J5972 J5993:J6002 J143:J152 J2453:J2462 J173:J182 J203:J212 J233:J242 J263:J272 J293:J302 J323:J332 J353:J362 J383:J392 J413:J422 J443:J452 J473:J482 J503:J512 J533:J542 J563:J572 J593:J602 J623:J632 J653:J662 J683:J692 J713:J722 J743:J752 J773:J782 J803:J812 J833:J842 J863:J872 J893:J902 J923:J932 J953:J962 J983:J992 J1013:J1022 J1043:J1052 J1073:J1082 J1103:J1112 J1133:J1142 J1163:J1172 J1193:J1202 J1223:J1232 J1253:J1262 J1283:J1292 J1313:J1322 J1343:J1352 J1373:J1382 J1403:J1412 J1433:J1442 J1463:J1472 J1493:J1502 J1523:J1532 J1553:J1562 J1583:J1592 J1613:J1622 J1643:J1652 J1673:J1682 J1703:J1712 J1733:J1742 J1763:J1772 J1793:J1802 J1823:J1832 J1853:J1862 J1883:J1892 J1913:J1922 J1943:J1952 J1973:J1982 J2003:J2012 J2033:J2042 J2063:J2072 J2093:J2102 J2123:J2132 J2153:J2162 J2183:J2192 J2213:J2222 J2243:J2252 J2273:J2282 J2603:J2612 J2633:J2642 J2663:J2672 J2693:J2702 J2723:J2732 J2753:J2762 J2783:J2792 J2813:J2822 J2843:J2852 J2873:J2882 J2903:J2912 J2933:J2942 J2963:J2972 J2993:J3002 J3023:J3032 J3053:J3062 J3083:J3092 J3113:J3122 J3143:J3152 J3173:J3182 J3203:J3212 J3233:J3242 J3263:J3272 J3293:J3302 J3323:J3332 J3353:J3362 J3383:J3392 J3413:J3422 J3443:J3452 J3473:J3482 J3503:J3512 J3533:J3542 J3563:J3572 J3593:J3602 J3623:J3632 J3653:J3662 J3683:J3692 J3713:J3722 J3743:J3752 J3773:J3782 J3803:J3812 J3833:J3842 J3863:J3872 J3893:J3902 J3923:J3932 J3953:J3962 J3983:J3992 J4013:J4022 J4043:J4052 J4073:J4082 J4103:J4112 J4133:J4142 J4163:J4172 J4193:J4202 J4223:J4232 J4253:J4262 J4283:J4292 J4313:J4322 J4343:J4352 J4373:J4382 J4403:J4412 J4433:J4442 J4463:J4472 J4493:J4502 J4523:J4532 J4553:J4562 J4583:J4592 J4613:J4622 J4643:J4652 J4673:J4682 J4703:J4712 J4733:J4742 J4763:J4772 J4793:J4802 J4823:J4832 J4853:J4862 J4883:J4892 J4913:J4922 J4943:J4952 J4973:J4982 J5003:J5012 J5033:J5042 J5063:J5072 J5093:J5102 J5123:J5132 J5153:J5162 J5183:J5192 J5213:J5222 J5243:J5252 J5273:J5282 J5303:J5312 J5333:J5342 J5363:J5372 J5393:J5402 J5423:J5432 J5453:J5462 J5483:J5492 J5513:J5522 J5543:J5552 J5573:J5582 J83:J92 J113:J122 J57:J62"/>
    <dataValidation allowBlank="1" showInputMessage="1" showErrorMessage="1" promptTitle="ADVERTENCIA!" prompt="Si el NOMBRE DEL INTEGRANTE este cuadro no coincide exactamente al NOMBRE DEL INTEGRANTE QUE APORTA LA EXPERIENCIA en el cuadro de arriba, el VFA aportado no se calculara correctamente." sqref="F41:F46 F2320:F2325 F2350:F2355 F2380:F2385 F2410:F2415 F2440:F2445 F2470:F2475 F2500:F2505 F2530:F2535 F2560:F2565 F2590:F2595 F5620:F5625 F5650:F5655 F5680:F5685 F5710:F5715 F5740:F5745 F5770:F5775 F5800:F5805 F5830:F5835 F5860:F5865 F5890:F5895 F5920:F5925 F5950:F5955 F5980:F5985 F6010:F6015 F100:F105 F130:F135 F160:F165 F190:F195 F220:F225 F250:F255 F280:F285 F310:F315 F340:F345 F370:F375 F400:F405 F430:F435 F460:F465 F490:F495 F520:F525 F550:F555 F580:F585 F610:F615 F640:F645 F670:F675 F700:F705 F730:F735 F760:F765 F790:F795 F820:F825 F850:F855 F880:F885 F910:F915 F940:F945 F970:F975 F1000:F1005 F1030:F1035 F1060:F1065 F1090:F1095 F1120:F1125 F1150:F1155 F1180:F1185 F1210:F1215 F1240:F1245 F1270:F1275 F1300:F1305 F1330:F1335 F1360:F1365 F1390:F1395 F1420:F1425 F1450:F1455 F1480:F1485 F1510:F1515 F1540:F1545 F1570:F1575 F1600:F1605 F1630:F1635 F1660:F1665 F1690:F1695 F1720:F1725 F1750:F1755 F1780:F1785 F1810:F1815 F1840:F1845 F1870:F1875 F1900:F1905 F1930:F1935 F1960:F1965 F1990:F1995 F2020:F2025 F2050:F2055 F2080:F2085 F2110:F2115 F2140:F2145 F2170:F2175 F2200:F2205 F2230:F2235 F2260:F2265 F2290:F2295 F2620:F2625 F2650:F2655 F2680:F2685 F2710:F2715 F2740:F2745 F2770:F2775 F2800:F2805 F2830:F2835 F2860:F2865 F2890:F2895 F2920:F2925 F2950:F2955 F2980:F2985 F3010:F3015 F3040:F3045 F3070:F3075 F3100:F3105 F3130:F3135 F3160:F3165 F3190:F3195 F3220:F3225 F3250:F3255 F3280:F3285 F3310:F3315 F3340:F3345 F3370:F3375 F3400:F3405 F3430:F3435 F3460:F3465 F3490:F3495 F3520:F3525 F3550:F3555 F3580:F3585 F3610:F3615 F3640:F3645 F3670:F3675 F3700:F3705 F3730:F3735 F3760:F3765 F3790:F3795 F3820:F3825 F3850:F3855 F3880:F3885 F3910:F3915 F3940:F3945 F3970:F3975 F4000:F4005 F4030:F4035 F4060:F4065 F4090:F4095 F4120:F4125 F4150:F4155 F4180:F4185 F4210:F4215 F4240:F4245 F4270:F4275 F4300:F4305 F4330:F4335 F4360:F4365 F4390:F4395 F4420:F4425 F4450:F4455 F4480:F4485 F4510:F4515 F4540:F4545 F4570:F4575 F4600:F4605 F4630:F4635 F4660:F4665 F4690:F4695 F4720:F4725 F4750:F4755 F4780:F4785 F4810:F4815 F4840:F4845 F4870:F4875 F4900:F4905 F4930:F4935 F4960:F4965 F4990:F4995 F5020:F5025 F5050:F5055 F5080:F5085 F5110:F5115 F5140:F5145 F5170:F5175 F5200:F5205 F5230:F5235 F5260:F5265 F5290:F5295 F5320:F5325 F5350:F5355 F5380:F5385 F5410:F5415 F5440:F5445 F5470:F5475 F5500:F5505 F5530:F5535 F5560:F5565 F5590:F5595 F70:F75"/>
    <dataValidation allowBlank="1" showInputMessage="1" showErrorMessage="1" promptTitle="ADVERTENCIA!" prompt="Si el NOMBRE DEL INTEGRANTE este cuadro no coincide exactamente al NOMBRE DEL INTEGRANTE QUE APORTA LA EXPERIENCIA en el cuadro de arriba, el Plazo aportado no se calculara correctamente." sqref="G41:G46 G2320:G2325 G2350:G2355 G2380:G2385 G2410:G2415 G2440:G2445 G2470:G2475 G2500:G2505 G2530:G2535 G2560:G2565 G2590:G2595 G5620:G5625 G5650:G5655 G5680:G5685 G5710:G5715 G5740:G5745 G5770:G5775 G5800:G5805 G5830:G5835 G5860:G5865 G5890:G5895 G5920:G5925 G5950:G5955 G5980:G5985 G70:G75 G100:G105 G130:G135 G160:G165 G190:G195 G220:G225 G250:G255 G280:G285 G310:G315 G340:G345 G370:G375 G400:G405 G430:G435 G460:G465 G490:G495 G520:G525 G550:G555 G580:G585 G610:G615 G640:G645 G670:G675 G700:G705 G730:G735 G760:G765 G790:G795 G820:G825 G850:G855 G880:G885 G910:G915 G940:G945 G970:G975 G1000:G1005 G1030:G1035 G1060:G1065 G1090:G1095 G1120:G1125 G1150:G1155 G1180:G1185 G1210:G1215 G1240:G1245 G1270:G1275 G1300:G1305 G1330:G1335 G1360:G1365 G1390:G1395 G1420:G1425 G1450:G1455 G1480:G1485 G1510:G1515 G1540:G1545 G1570:G1575 G1600:G1605 G1630:G1635 G1660:G1665 G1690:G1695 G1720:G1725 G1750:G1755 G1780:G1785 G1810:G1815 G1840:G1845 G1870:G1875 G1900:G1905 G1930:G1935 G1960:G1965 G1990:G1995 G2020:G2025 G2050:G2055 G2080:G2085 G2110:G2115 G2140:G2145 G2170:G2175 G2200:G2205 G2230:G2235 G2260:G2265 G2290:G2295 G2620:G2625 G2650:G2655 G2680:G2685 G2710:G2715 G2740:G2745 G2770:G2775 G2800:G2805 G2830:G2835 G2860:G2865 G2890:G2895 G2920:G2925 G2950:G2955 G2980:G2985 G3010:G3015 G3040:G3045 G3070:G3075 G3100:G3105 G3130:G3135 G3160:G3165 G3190:G3195 G3220:G3225 G3250:G3255 G3280:G3285 G3310:G3315 G3340:G3345 G3370:G3375 G3400:G3405 G3430:G3435 G3460:G3465 G3490:G3495 G3520:G3525 G3550:G3555 G3580:G3585 G3610:G3615 G3640:G3645 G3670:G3675 G3700:G3705 G3730:G3735 G3760:G3765 G3790:G3795 G3820:G3825 G3850:G3855 G3880:G3885 G3910:G3915 G3940:G3945 G3970:G3975 G4000:G4005 G4030:G4035 G4060:G4065 G4090:G4095 G4120:G4125 G4150:G4155 G4180:G4185 G4210:G4215 G4240:G4245 G4270:G4275 G4300:G4305 G4330:G4335 G4360:G4365 G4390:G4395 G4420:G4425 G4450:G4455 G4480:G4485 G4510:G4515 G4540:G4545 G4570:G4575 G4600:G4605 G4630:G4635 G4660:G4665 G4690:G4695 G4720:G4725 G4750:G4755 G4780:G4785 G4810:G4815 G4840:G4845 G4870:G4875 G4900:G4905 G4930:G4935 G4960:G4965 G4990:G4995 G5020:G5025 G5050:G5055 G5080:G5085 G5110:G5115 G5140:G5145 G5170:G5175 G5200:G5205 G5230:G5235 G5260:G5265 G5290:G5295 G5320:G5325 G5350:G5355 G5380:G5385 G5410:G5415 G5440:G5445 G5470:G5475 G5500:G5505 G5530:G5535 G5560:G5565 G5590:G5595 G6010:G6015"/>
    <dataValidation type="list" allowBlank="1" showInputMessage="1" showErrorMessage="1" sqref="AD413:AD422 AD2483:AD2492 AD2513:AD2522 AD2543:AD2552 AD2573:AD2582 AD5603:AD5612 AD5633:AD5642 AD5663:AD5672 AD5693:AD5702 AD5723:AD5732 AD5753:AD5762 AD5783:AD5792 AD5813:AD5822 AD5843:AD5852 AD5873:AD5882 AD5903:AD5912 AD5933:AD5942 AD5963:AD5972 AD83:AD92 AD143:AD152 AD113:AD122 AD24:AD33 AD173:AD182 AD233:AD242 AD263:AD272 AD293:AD302 AD323:AD332 AD353:AD362 AD383:AD392 AD443:AD452 AD473:AD482 AD503:AD512 AD533:AD542 AD563:AD572 AD593:AD602 AD623:AD632 AD653:AD662 AD683:AD692 AD713:AD722 AD743:AD752 AD773:AD782 AD803:AD812 AD833:AD842 AD863:AD872 AD893:AD902 AD923:AD932 AD953:AD962 AD983:AD992 AD1013:AD1022 AD1043:AD1052 AD1073:AD1082 AD1103:AD1112 AD1133:AD1142 AD1163:AD1172 AD1193:AD1202 AD1223:AD1232 AD1253:AD1262 AD1283:AD1292 AD1313:AD1322 AD1343:AD1352 AD1373:AD1382 AD1403:AD1412 AD1433:AD1442 AD1463:AD1472 AD1493:AD1502 AD1523:AD1532 AD1553:AD1562 AD1583:AD1592 AD1613:AD1622 AD1643:AD1652 AD1673:AD1682 AD1703:AD1712 AD1733:AD1742 AD1763:AD1772 AD1793:AD1802 AD1823:AD1832 AD1853:AD1862 AD1883:AD1892 AD1913:AD1922 AD1943:AD1952 AD1973:AD1982 AD2003:AD2012 AD2033:AD2042 AD2063:AD2072 AD2093:AD2102 AD2123:AD2132 AD2153:AD2162 AD2183:AD2192 AD2213:AD2222 AD2243:AD2252 AD2273:AD2282 AD2303:AD2312 AD2333:AD2342 AD2363:AD2372 AD2393:AD2402 AD2423:AD2432 AD2453:AD2462 AD2603:AD2612 AD2633:AD2642 AD2663:AD2672 AD2693:AD2702 AD2723:AD2732 AD2753:AD2762 AD2783:AD2792 AD2813:AD2822 AD2843:AD2852 AD2873:AD2882 AD2903:AD2912 AD2933:AD2942 AD2963:AD2972 AD2993:AD3002 AD3023:AD3032 AD3053:AD3062 AD3083:AD3092 AD3113:AD3122 AD3143:AD3152 AD3173:AD3182 AD3203:AD3212 AD3233:AD3242 AD3263:AD3272 AD3293:AD3302 AD3323:AD3332 AD3353:AD3362 AD3383:AD3392 AD3413:AD3422 AD3443:AD3452 AD3473:AD3482 AD3503:AD3512 AD3533:AD3542 AD3563:AD3572 AD3593:AD3602 AD3623:AD3632 AD3653:AD3662 AD3683:AD3692 AD3713:AD3722 AD3743:AD3752 AD3773:AD3782 AD3803:AD3812 AD3833:AD3842 AD3863:AD3872 AD3893:AD3902 AD3923:AD3932 AD3953:AD3962 AD3983:AD3992 AD4013:AD4022 AD4043:AD4052 AD4073:AD4082 AD4103:AD4112 AD4133:AD4142 AD4163:AD4172 AD4193:AD4202 AD4223:AD4232 AD4253:AD4262 AD4283:AD4292 AD4313:AD4322 AD4343:AD4352 AD4373:AD4382 AD4403:AD4412 AD4433:AD4442 AD4463:AD4472 AD4493:AD4502 AD4523:AD4532 AD4553:AD4562 AD4583:AD4592 AD4613:AD4622 AD4643:AD4652 AD4673:AD4682 AD4703:AD4712 AD4733:AD4742 AD4763:AD4772 AD4793:AD4802 AD4823:AD4832 AD4853:AD4862 AD4883:AD4892 AD4913:AD4922 AD4943:AD4952 AD4973:AD4982 AD5003:AD5012 AD5033:AD5042 AD5063:AD5072 AD5093:AD5102 AD5123:AD5132 AD5153:AD5162 AD5183:AD5192 AD5213:AD5222 AD5243:AD5252 AD5273:AD5282 AD5303:AD5312 AD5333:AD5342 AD5363:AD5372 AD5393:AD5402 AD5423:AD5432 AD5453:AD5462 AD5483:AD5492 AD5513:AD5522 AD5543:AD5552 AD5573:AD5582 AD5993:AD6002 AD203:AD212 AD54:AD62">
      <formula1>EJECUCIONCTO</formula1>
    </dataValidation>
    <dataValidation type="list" allowBlank="1" showInputMessage="1" showErrorMessage="1" sqref="AE413:AE422 AE2483:AE2492 AE2513:AE2522 AE2543:AE2552 AE2573:AE2582 AE5603:AE5612 AE5633:AE5642 AE5663:AE5672 AE5693:AE5702 AE5723:AE5732 AE5753:AE5762 AE5783:AE5792 AE5813:AE5822 AE5843:AE5852 AE5873:AE5882 AE5903:AE5912 AE5933:AE5942 AE5963:AE5972 AE83:AE92 AE113:AE122 AE143:AE152 AE173:AE182 AE24:AE33 AE233:AE242 AE293:AE302 AE323:AE332 AE263:AE272 AE383:AE392 AE353:AE362 AE443:AE452 AE473:AE482 AE503:AE512 AE533:AE542 AE563:AE572 AE593:AE602 AE623:AE632 AE653:AE662 AE683:AE692 AE713:AE722 AE743:AE752 AE773:AE782 AE803:AE812 AE833:AE842 AE863:AE872 AE893:AE902 AE923:AE932 AE953:AE962 AE983:AE992 AE1013:AE1022 AE1043:AE1052 AE1073:AE1082 AE1103:AE1112 AE1133:AE1142 AE1163:AE1172 AE1193:AE1202 AE1223:AE1232 AE1253:AE1262 AE1283:AE1292 AE1313:AE1322 AE1343:AE1352 AE1373:AE1382 AE1403:AE1412 AE1433:AE1442 AE1463:AE1472 AE1493:AE1502 AE1523:AE1532 AE1553:AE1562 AE1583:AE1592 AE1613:AE1622 AE1643:AE1652 AE1673:AE1682 AE1703:AE1712 AE1733:AE1742 AE1763:AE1772 AE1793:AE1802 AE1823:AE1832 AE1853:AE1862 AE1883:AE1892 AE1913:AE1922 AE1943:AE1952 AE1973:AE1982 AE2003:AE2012 AE2033:AE2042 AE2063:AE2072 AE2093:AE2102 AE2123:AE2132 AE2153:AE2162 AE2183:AE2192 AE2213:AE2222 AE2243:AE2252 AE2273:AE2282 AE2303:AE2312 AE2333:AE2342 AE2363:AE2372 AE2393:AE2402 AE2423:AE2432 AE2453:AE2462 AE2603:AE2612 AE2633:AE2642 AE2663:AE2672 AE2693:AE2702 AE2723:AE2732 AE2753:AE2762 AE2783:AE2792 AE2813:AE2822 AE2843:AE2852 AE2873:AE2882 AE2903:AE2912 AE2933:AE2942 AE2963:AE2972 AE2993:AE3002 AE3023:AE3032 AE3053:AE3062 AE3083:AE3092 AE3113:AE3122 AE3143:AE3152 AE3173:AE3182 AE3203:AE3212 AE3233:AE3242 AE3263:AE3272 AE3293:AE3302 AE3323:AE3332 AE3353:AE3362 AE3383:AE3392 AE3413:AE3422 AE3443:AE3452 AE3473:AE3482 AE3503:AE3512 AE3533:AE3542 AE3563:AE3572 AE3593:AE3602 AE3623:AE3632 AE3653:AE3662 AE3683:AE3692 AE3713:AE3722 AE3743:AE3752 AE3773:AE3782 AE3803:AE3812 AE3833:AE3842 AE3863:AE3872 AE3893:AE3902 AE3923:AE3932 AE3953:AE3962 AE3983:AE3992 AE4013:AE4022 AE4043:AE4052 AE4073:AE4082 AE4103:AE4112 AE4133:AE4142 AE4163:AE4172 AE4193:AE4202 AE4223:AE4232 AE4253:AE4262 AE4283:AE4292 AE4313:AE4322 AE4343:AE4352 AE4373:AE4382 AE4403:AE4412 AE4433:AE4442 AE4463:AE4472 AE4493:AE4502 AE4523:AE4532 AE4553:AE4562 AE4583:AE4592 AE4613:AE4622 AE4643:AE4652 AE4673:AE4682 AE4703:AE4712 AE4733:AE4742 AE4763:AE4772 AE4793:AE4802 AE4823:AE4832 AE4853:AE4862 AE4883:AE4892 AE4913:AE4922 AE4943:AE4952 AE4973:AE4982 AE5003:AE5012 AE5033:AE5042 AE5063:AE5072 AE5093:AE5102 AE5123:AE5132 AE5153:AE5162 AE5183:AE5192 AE5213:AE5222 AE5243:AE5252 AE5273:AE5282 AE5303:AE5312 AE5333:AE5342 AE5363:AE5372 AE5393:AE5402 AE5423:AE5432 AE5453:AE5462 AE5483:AE5492 AE5513:AE5522 AE5543:AE5552 AE5573:AE5582 AE5993:AE6002 AE203:AE212 AE54:AE62">
      <formula1>CUMPCTONACIONAL</formula1>
    </dataValidation>
    <dataValidation type="list" allowBlank="1" showInputMessage="1" showErrorMessage="1" sqref="AF413:AF422 AF2513:AF2522 AF2543:AF2552 AF2573:AF2582 AF5603:AF5612 AF5633:AF5642 AF5663:AF5672 AF5693:AF5702 AF5723:AF5732 AF5753:AF5762 AF5783:AF5792 AF5813:AF5822 AF5843:AF5852 AF5873:AF5882 AF5903:AF5912 AF5933:AF5942 AF5963:AF5972 AF83:AF92 AF113:AF122 AF143:AF152 AF173:AF182 AF203:AF212 AF233:AF242 AF293:AF302 AF323:AF332 AF353:AF362 AF383:AF392 AF263:AF272 AF443:AF452 AF473:AF482 AF503:AF512 AF533:AF542 AF563:AF572 AF593:AF602 AF623:AF632 AF653:AF662 AF683:AF692 AF713:AF722 AF743:AF752 AF773:AF782 AF803:AF812 AF833:AF842 AF863:AF872 AF893:AF902 AF923:AF932 AF953:AF962 AF983:AF992 AF1013:AF1022 AF1043:AF1052 AF1073:AF1082 AF1103:AF1112 AF1133:AF1142 AF1163:AF1172 AF1193:AF1202 AF1223:AF1232 AF1253:AF1262 AF1283:AF1292 AF1313:AF1322 AF1343:AF1352 AF1373:AF1382 AF1403:AF1412 AF1433:AF1442 AF1463:AF1472 AF1493:AF1502 AF1523:AF1532 AF1553:AF1562 AF1583:AF1592 AF1613:AF1622 AF1643:AF1652 AF1673:AF1682 AF1703:AF1712 AF1733:AF1742 AF1763:AF1772 AF1793:AF1802 AF1823:AF1832 AF1853:AF1862 AF1883:AF1892 AF1913:AF1922 AF1943:AF1952 AF1973:AF1982 AF2003:AF2012 AF2033:AF2042 AF2063:AF2072 AF2093:AF2102 AF2123:AF2132 AF2153:AF2162 AF2183:AF2192 AF2213:AF2222 AF2243:AF2252 AF2273:AF2282 AF2303:AF2312 AF2333:AF2342 AF2363:AF2372 AF2393:AF2402 AF2423:AF2432 AF2453:AF2462 AF2483:AF2492 AF2603:AF2612 AF2633:AF2642 AF2663:AF2672 AF2693:AF2702 AF2723:AF2732 AF2753:AF2762 AF2783:AF2792 AF2813:AF2822 AF2843:AF2852 AF2873:AF2882 AF2903:AF2912 AF2933:AF2942 AF2963:AF2972 AF2993:AF3002 AF3023:AF3032 AF3053:AF3062 AF3083:AF3092 AF3113:AF3122 AF3143:AF3152 AF3173:AF3182 AF3203:AF3212 AF3233:AF3242 AF3263:AF3272 AF3293:AF3302 AF3323:AF3332 AF3353:AF3362 AF3383:AF3392 AF3413:AF3422 AF3443:AF3452 AF3473:AF3482 AF3503:AF3512 AF3533:AF3542 AF3563:AF3572 AF3593:AF3602 AF3623:AF3632 AF3653:AF3662 AF3683:AF3692 AF3713:AF3722 AF3743:AF3752 AF3773:AF3782 AF3803:AF3812 AF3833:AF3842 AF3863:AF3872 AF3893:AF3902 AF3923:AF3932 AF3953:AF3962 AF3983:AF3992 AF4013:AF4022 AF4043:AF4052 AF4073:AF4082 AF4103:AF4112 AF4133:AF4142 AF4163:AF4172 AF4193:AF4202 AF4223:AF4232 AF4253:AF4262 AF4283:AF4292 AF4313:AF4322 AF4343:AF4352 AF4373:AF4382 AF4403:AF4412 AF4433:AF4442 AF4463:AF4472 AF4493:AF4502 AF4523:AF4532 AF4553:AF4562 AF4583:AF4592 AF4613:AF4622 AF4643:AF4652 AF4673:AF4682 AF4703:AF4712 AF4733:AF4742 AF4763:AF4772 AF4793:AF4802 AF4823:AF4832 AF4853:AF4862 AF4883:AF4892 AF4913:AF4922 AF4943:AF4952 AF4973:AF4982 AF5003:AF5012 AF5033:AF5042 AF5063:AF5072 AF5093:AF5102 AF5123:AF5132 AF5153:AF5162 AF5183:AF5192 AF5213:AF5222 AF5243:AF5252 AF5273:AF5282 AF5303:AF5312 AF5333:AF5342 AF5363:AF5372 AF5393:AF5402 AF5423:AF5432 AF5453:AF5462 AF5483:AF5492 AF5513:AF5522 AF5543:AF5552 AF5573:AF5582 AF5993:AF6002 AF24:AF33 AF54:AF62">
      <formula1>CONDCUMEXP</formula1>
    </dataValidation>
    <dataValidation type="list" allowBlank="1" showInputMessage="1" showErrorMessage="1" sqref="AA24:AA33 AA5633:AA5642 AA5663:AA5672 AA5693:AA5702 AA5723:AA5732 AA5753:AA5762 AA5783:AA5792 AA5813:AA5822 AA5843:AA5852 AA5873:AA5882 AA5903:AA5912 AA5933:AA5942 AA5963:AA5972 AA83:AA92 AA113:AA122 AA143:AA152 AA173:AA182 AA203:AA212 AA233:AA242 AA263:AA272 AA293:AA302 AA323:AA332 AA353:AA362 AA383:AA392 AA413:AA422 AA443:AA452 AA473:AA482 AA503:AA512 AA533:AA542 AA563:AA572 AA593:AA602 AA623:AA632 AA653:AA662 AA683:AA692 AA713:AA722 AA743:AA752 AA773:AA782 AA803:AA812 AA833:AA842 AA863:AA872 AA893:AA902 AA923:AA932 AA953:AA962 AA983:AA992 AA1013:AA1022 AA1043:AA1052 AA1073:AA1082 AA1103:AA1112 AA1133:AA1142 AA1163:AA1172 AA1193:AA1202 AA1223:AA1232 AA1253:AA1262 AA1283:AA1292 AA1313:AA1322 AA1343:AA1352 AA1373:AA1382 AA1403:AA1412 AA1433:AA1442 AA1463:AA1472 AA1493:AA1502 AA1523:AA1532 AA1553:AA1562 AA1583:AA1592 AA1613:AA1622 AA1643:AA1652 AA1673:AA1682 AA1703:AA1712 AA1733:AA1742 AA1763:AA1772 AA1793:AA1802 AA1823:AA1832 AA1853:AA1862 AA1883:AA1892 AA1913:AA1922 AA1943:AA1952 AA1973:AA1982 AA2003:AA2012 AA2033:AA2042 AA2063:AA2072 AA2093:AA2102 AA2123:AA2132 AA2153:AA2162 AA2183:AA2192 AA2213:AA2222 AA2243:AA2252 AA2273:AA2282 AA2303:AA2312 AA2333:AA2342 AA2363:AA2372 AA2393:AA2402 AA2423:AA2432 AA2453:AA2462 AA2483:AA2492 AA2513:AA2522 AA2543:AA2552 AA2573:AA2582 AA2603:AA2612 AA2633:AA2642 AA2663:AA2672 AA2693:AA2702 AA2723:AA2732 AA2753:AA2762 AA2783:AA2792 AA2813:AA2822 AA2843:AA2852 AA2873:AA2882 AA2903:AA2912 AA2933:AA2942 AA2963:AA2972 AA2993:AA3002 AA3023:AA3032 AA3053:AA3062 AA3083:AA3092 AA3113:AA3122 AA3143:AA3152 AA3173:AA3182 AA3203:AA3212 AA3233:AA3242 AA3263:AA3272 AA3293:AA3302 AA3323:AA3332 AA3353:AA3362 AA3383:AA3392 AA3413:AA3422 AA3443:AA3452 AA3473:AA3482 AA3503:AA3512 AA3533:AA3542 AA3563:AA3572 AA3593:AA3602 AA3623:AA3632 AA3653:AA3662 AA3683:AA3692 AA3713:AA3722 AA3743:AA3752 AA3773:AA3782 AA3803:AA3812 AA3833:AA3842 AA3863:AA3872 AA3893:AA3902 AA3923:AA3932 AA3953:AA3962 AA3983:AA3992 AA4013:AA4022 AA4043:AA4052 AA4073:AA4082 AA4103:AA4112 AA4133:AA4142 AA4163:AA4172 AA4193:AA4202 AA4223:AA4232 AA4253:AA4262 AA4283:AA4292 AA4313:AA4322 AA4343:AA4352 AA4373:AA4382 AA4403:AA4412 AA4433:AA4442 AA4463:AA4472 AA4493:AA4502 AA4523:AA4532 AA4553:AA4562 AA4583:AA4592 AA4613:AA4622 AA4643:AA4652 AA4673:AA4682 AA4703:AA4712 AA4733:AA4742 AA4763:AA4772 AA4793:AA4802 AA4823:AA4832 AA4853:AA4862 AA4883:AA4892 AA4913:AA4922 AA4943:AA4952 AA4973:AA4982 AA5003:AA5012 AA5033:AA5042 AA5063:AA5072 AA5093:AA5102 AA5123:AA5132 AA5153:AA5162 AA5183:AA5192 AA5213:AA5222 AA5243:AA5252 AA5273:AA5282 AA5303:AA5312 AA5333:AA5342 AA5363:AA5372 AA5393:AA5402 AA5423:AA5432 AA5453:AA5462 AA5483:AA5492 AA5513:AA5522 AA5543:AA5552 AA5573:AA5582 AA5603:AA5612 AA5993:AA6002 AA54:AA57 AA60:AA62">
      <formula1>TIPODEVIA</formula1>
    </dataValidation>
    <dataValidation type="list" allowBlank="1" showInputMessage="1" showErrorMessage="1" sqref="AB24:AB33 AB5603:AB5612 AB5573:AB5582 AB5543:AB5552 AB5513:AB5522 AB5483:AB5492 AB5453:AB5462 AB5423:AB5432 AB5393:AB5402 AB5363:AB5372 AB5333:AB5342 AB5303:AB5312 AB5273:AB5282 AB5243:AB5252 AB5213:AB5222 AB5183:AB5192 AB5153:AB5162 AB5123:AB5132 AB5093:AB5102 AB5063:AB5072 AB5033:AB5042 AB5003:AB5012 AB4973:AB4982 AB4943:AB4952 AB4913:AB4922 AB4883:AB4892 AB4853:AB4862 AB4823:AB4832 AB4793:AB4802 AB4763:AB4772 AB4733:AB4742 AB4703:AB4712 AB4673:AB4682 AB4643:AB4652 AB4613:AB4622 AB4583:AB4592 AB4553:AB4562 AB4523:AB4532 AB4493:AB4502 AB4463:AB4472 AB4433:AB4442 AB4403:AB4412 AB4373:AB4382 AB4343:AB4352 AB4313:AB4322 AB4283:AB4292 AB4253:AB4262 AB4223:AB4232 AB4193:AB4202 AB4163:AB4172 AB4133:AB4142 AB4103:AB4112 AB4073:AB4082 AB4043:AB4052 AB4013:AB4022 AB3983:AB3992 AB3953:AB3962 AB3923:AB3932 AB3893:AB3902 AB3863:AB3872 AB3833:AB3842 AB3803:AB3812 AB3773:AB3782 AB3743:AB3752 AB3713:AB3722 AB3683:AB3692 AB3653:AB3662 AB3623:AB3632 AB3593:AB3602 AB3563:AB3572 AB3533:AB3542 AB3503:AB3512 AB3473:AB3482 AB3443:AB3452 AB3413:AB3422 AB3383:AB3392 AB3353:AB3362 AB3323:AB3332 AB3293:AB3302 AB3263:AB3272 AB3233:AB3242 AB3203:AB3212 AB3173:AB3182 AB3143:AB3152 AB3113:AB3122 AB3083:AB3092 AB3053:AB3062 AB3023:AB3032 AB2993:AB3002 AB2963:AB2972 AB2933:AB2942 AB2903:AB2912 AB2873:AB2882 AB2843:AB2852 AB2813:AB2822 AB2783:AB2792 AB2753:AB2762 AB2723:AB2732 AB2693:AB2702 AB2663:AB2672 AB2633:AB2642 AB2603:AB2612 AB2573:AB2582 AB2543:AB2552 AB2513:AB2522 AB2483:AB2492 AB2453:AB2462 AB2423:AB2432 AB2393:AB2402 AB2363:AB2372 AB2333:AB2342 AB2303:AB2312 AB2273:AB2282 AB2243:AB2252 AB2213:AB2222 AB2183:AB2192 AB2153:AB2162 AB2123:AB2132 AB2093:AB2102 AB2063:AB2072 AB2033:AB2042 AB2003:AB2012 AB1973:AB1982 AB1943:AB1952 AB1913:AB1922 AB1883:AB1892 AB1853:AB1862 AB1823:AB1832 AB1793:AB1802 AB1763:AB1772 AB1733:AB1742 AB1703:AB1712 AB1673:AB1682 AB1643:AB1652 AB1613:AB1622 AB1583:AB1592 AB1553:AB1562 AB1523:AB1532 AB1493:AB1502 AB1463:AB1472 AB1433:AB1442 AB1403:AB1412 AB1373:AB1382 AB1343:AB1352 AB1313:AB1322 AB1283:AB1292 AB1253:AB1262 AB1223:AB1232 AB1193:AB1202 AB1163:AB1172 AB1133:AB1142 AB1103:AB1112 AB1073:AB1082 AB1043:AB1052 AB1013:AB1022 AB983:AB992 AB953:AB962 AB923:AB932 AB893:AB902 AB863:AB872 AB833:AB842 AB803:AB812 AB773:AB782 AB743:AB752 AB713:AB722 AB683:AB692 AB653:AB662 AB623:AB632 AB593:AB602 AB563:AB572 AB533:AB542 AB503:AB512 AB473:AB482 AB443:AB452 AB413:AB422 AB383:AB392 AB353:AB362 AB323:AB332 AB293:AB302 AB263:AB272 AB233:AB242 AB113:AB122 AB173:AB182 AB143:AB152 AB203:AB212 AB83:AB92 AB5963:AB5972 AB5933:AB5942 AB5903:AB5912 AB5873:AB5882 AB5843:AB5852 AB5813:AB5822 AB5783:AB5792 AB5753:AB5762 AB5723:AB5732 AB5693:AB5702 AB5663:AB5672 AB5633:AB5642 AB5993:AB6002 AB54:AB57 AB60:AB62">
      <formula1>CONDVIAURBANA</formula1>
    </dataValidation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21" fitToHeight="0" orientation="landscape" horizontalDpi="1200" verticalDpi="1200" r:id="rId1"/>
  <headerFooter alignWithMargins="0"/>
  <rowBreaks count="7" manualBreakCount="7">
    <brk id="78" max="34" man="1"/>
    <brk id="167" max="34" man="1"/>
    <brk id="245" max="34" man="1"/>
    <brk id="257" max="34" man="1"/>
    <brk id="335" max="34" man="1"/>
    <brk id="346" max="34" man="1"/>
    <brk id="379" max="34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6">
    <tabColor rgb="FF92D050"/>
  </sheetPr>
  <dimension ref="A1:N2104"/>
  <sheetViews>
    <sheetView workbookViewId="0">
      <selection activeCell="F5" sqref="F5"/>
    </sheetView>
  </sheetViews>
  <sheetFormatPr baseColWidth="10" defaultRowHeight="15"/>
  <cols>
    <col min="1" max="1" width="4.42578125" style="316" customWidth="1"/>
    <col min="2" max="2" width="18.5703125" style="316" bestFit="1" customWidth="1"/>
    <col min="3" max="3" width="18.5703125" style="316" customWidth="1"/>
    <col min="4" max="4" width="19.140625" style="449" customWidth="1"/>
    <col min="5" max="5" width="20.42578125" style="317" bestFit="1" customWidth="1"/>
    <col min="6" max="6" width="20.42578125" style="316" bestFit="1" customWidth="1"/>
    <col min="7" max="7" width="3.5703125" style="316" customWidth="1"/>
    <col min="8" max="8" width="22.7109375" style="316" bestFit="1" customWidth="1"/>
    <col min="9" max="9" width="18.5703125" style="316" customWidth="1"/>
    <col min="10" max="10" width="3.5703125" style="316" customWidth="1"/>
    <col min="11" max="11" width="15.140625" style="316" bestFit="1" customWidth="1"/>
    <col min="12" max="12" width="12.28515625" style="317" bestFit="1" customWidth="1"/>
    <col min="13" max="14" width="16.42578125" style="316" customWidth="1"/>
    <col min="15" max="16384" width="11.42578125" style="316"/>
  </cols>
  <sheetData>
    <row r="1" spans="1:14" ht="15.75" thickBot="1">
      <c r="D1" s="317"/>
    </row>
    <row r="2" spans="1:14" ht="15.75" thickBot="1">
      <c r="B2" s="785" t="s">
        <v>270</v>
      </c>
      <c r="C2" s="786"/>
      <c r="D2" s="786"/>
      <c r="E2" s="786"/>
      <c r="F2" s="786"/>
      <c r="G2" s="786"/>
      <c r="H2" s="786"/>
      <c r="I2" s="786"/>
      <c r="J2" s="786"/>
      <c r="K2" s="786"/>
      <c r="L2" s="786"/>
      <c r="M2" s="786"/>
      <c r="N2" s="787"/>
    </row>
    <row r="3" spans="1:14" ht="15.75" thickBot="1">
      <c r="D3" s="317"/>
      <c r="E3" s="318"/>
    </row>
    <row r="4" spans="1:14" s="396" customFormat="1" ht="60.75" thickBot="1">
      <c r="A4" s="392"/>
      <c r="B4" s="360" t="s">
        <v>171</v>
      </c>
      <c r="C4" s="360" t="s">
        <v>172</v>
      </c>
      <c r="D4" s="360" t="s">
        <v>277</v>
      </c>
      <c r="E4" s="393" t="s">
        <v>271</v>
      </c>
      <c r="F4" s="360" t="s">
        <v>276</v>
      </c>
      <c r="G4" s="394"/>
      <c r="H4" s="788" t="s">
        <v>273</v>
      </c>
      <c r="I4" s="789"/>
      <c r="J4" s="395"/>
      <c r="K4" s="790" t="s">
        <v>274</v>
      </c>
      <c r="L4" s="790"/>
      <c r="M4" s="790"/>
      <c r="N4" s="790"/>
    </row>
    <row r="5" spans="1:14">
      <c r="B5" s="319">
        <v>1</v>
      </c>
      <c r="C5" s="319">
        <v>1</v>
      </c>
      <c r="D5" s="447">
        <v>616000</v>
      </c>
      <c r="E5" s="324">
        <v>41640</v>
      </c>
      <c r="F5" s="450">
        <f ca="1">IF(OR(D5="",E5=""),"",ROUND(D5/LOOKUP(E5,SMMLV!$A$2:$A$36,SMMLV!$D$2:$D$100),3))</f>
        <v>1</v>
      </c>
      <c r="H5" s="402" t="s">
        <v>174</v>
      </c>
      <c r="I5" s="451">
        <v>1</v>
      </c>
      <c r="K5" s="445" t="s">
        <v>174</v>
      </c>
      <c r="L5" s="445" t="s">
        <v>175</v>
      </c>
      <c r="M5" s="791" t="s">
        <v>275</v>
      </c>
      <c r="N5" s="791"/>
    </row>
    <row r="6" spans="1:14">
      <c r="B6" s="319">
        <v>1</v>
      </c>
      <c r="C6" s="319">
        <v>2</v>
      </c>
      <c r="D6" s="448">
        <v>589500</v>
      </c>
      <c r="E6" s="320">
        <v>41275</v>
      </c>
      <c r="F6" s="450">
        <f ca="1">IF(OR(D6="",E6=""),"",ROUND(D6/LOOKUP(E6,SMMLV!$A$2:$A$36,SMMLV!$D$2:$D$100),3))</f>
        <v>1</v>
      </c>
      <c r="G6" s="326"/>
      <c r="H6" s="399" t="s">
        <v>175</v>
      </c>
      <c r="I6" s="452">
        <v>1</v>
      </c>
      <c r="J6" s="326"/>
      <c r="K6" s="792">
        <v>1</v>
      </c>
      <c r="L6" s="444">
        <v>1</v>
      </c>
      <c r="M6" s="781">
        <f t="shared" ref="M6:M15" ca="1" si="0">IF(SUMIFS($F$5:$F$1200,$B$5:$B$1200,$K$6,$C$5:$C$1200,$L6)=0,"NO APLICA",ROUND(SUMIFS($F$5:$F$1200,$B$5:$B$1200,$K$6,$C$5:$C$1200,$L6),3))</f>
        <v>1</v>
      </c>
      <c r="N6" s="781"/>
    </row>
    <row r="7" spans="1:14" ht="15.75" thickBot="1">
      <c r="B7" s="319">
        <v>200</v>
      </c>
      <c r="C7" s="319">
        <v>10</v>
      </c>
      <c r="D7" s="448">
        <v>566700</v>
      </c>
      <c r="E7" s="320">
        <v>40909</v>
      </c>
      <c r="F7" s="450">
        <f ca="1">IF(OR(D7="",E7=""),"",ROUND(D7/LOOKUP(E7,SMMLV!$A$2:$A$36,SMMLV!$D$2:$D$100),3))</f>
        <v>1</v>
      </c>
      <c r="H7" s="389" t="s">
        <v>272</v>
      </c>
      <c r="I7" s="401">
        <f ca="1">IF(OR(I5="",I6=""),"-",IF(SUMIFS($F$5:$F$1200,$B$5:$B$1200,$I$5,$C$5:$C$1200,$I$6)=0,"CONTRATO SIN SUSPENSIÓN",ROUND(SUMIFS($F$5:$F$1200,$B$5:$B$1200,$I$5,$C$5:$C$1200,$I$6),3)))</f>
        <v>1</v>
      </c>
      <c r="K7" s="782"/>
      <c r="L7" s="444">
        <v>2</v>
      </c>
      <c r="M7" s="781">
        <f t="shared" ca="1" si="0"/>
        <v>1</v>
      </c>
      <c r="N7" s="781"/>
    </row>
    <row r="8" spans="1:14">
      <c r="B8" s="325">
        <v>2</v>
      </c>
      <c r="C8" s="325">
        <v>4</v>
      </c>
      <c r="D8" s="448">
        <v>535600</v>
      </c>
      <c r="E8" s="320">
        <v>40544</v>
      </c>
      <c r="F8" s="450">
        <f ca="1">IF(OR(D8="",E8=""),"",ROUND(D8/LOOKUP(E8,SMMLV!$A$2:$A$36,SMMLV!$D$2:$D$100),3))</f>
        <v>1</v>
      </c>
      <c r="K8" s="782"/>
      <c r="L8" s="444">
        <v>3</v>
      </c>
      <c r="M8" s="781" t="str">
        <f t="shared" si="0"/>
        <v>NO APLICA</v>
      </c>
      <c r="N8" s="781"/>
    </row>
    <row r="9" spans="1:14">
      <c r="B9" s="319"/>
      <c r="C9" s="319"/>
      <c r="D9" s="448"/>
      <c r="E9" s="320"/>
      <c r="F9" s="450" t="str">
        <f>IF(OR(D9="",E9=""),"",ROUND(D9/LOOKUP(E9,SMMLV!$A$2:$A$36,SMMLV!$D$2:$D$100),3))</f>
        <v/>
      </c>
      <c r="K9" s="782"/>
      <c r="L9" s="444">
        <v>4</v>
      </c>
      <c r="M9" s="781" t="str">
        <f t="shared" si="0"/>
        <v>NO APLICA</v>
      </c>
      <c r="N9" s="781"/>
    </row>
    <row r="10" spans="1:14">
      <c r="B10" s="319"/>
      <c r="C10" s="319"/>
      <c r="D10" s="448"/>
      <c r="E10" s="320"/>
      <c r="F10" s="450" t="str">
        <f>IF(OR(D10="",E10=""),"",ROUND(D10/LOOKUP(E10,SMMLV!$A$2:$A$36,SMMLV!$D$2:$D$100),3))</f>
        <v/>
      </c>
      <c r="K10" s="782"/>
      <c r="L10" s="444">
        <v>5</v>
      </c>
      <c r="M10" s="781" t="str">
        <f t="shared" si="0"/>
        <v>NO APLICA</v>
      </c>
      <c r="N10" s="781"/>
    </row>
    <row r="11" spans="1:14">
      <c r="B11" s="319"/>
      <c r="C11" s="319"/>
      <c r="D11" s="448"/>
      <c r="E11" s="320"/>
      <c r="F11" s="450" t="str">
        <f>IF(OR(D11="",E11=""),"",ROUND(D11/LOOKUP(E11,SMMLV!$A$2:$A$36,SMMLV!$D$2:$D$100),3))</f>
        <v/>
      </c>
      <c r="K11" s="782"/>
      <c r="L11" s="444">
        <v>6</v>
      </c>
      <c r="M11" s="781" t="str">
        <f t="shared" si="0"/>
        <v>NO APLICA</v>
      </c>
      <c r="N11" s="781"/>
    </row>
    <row r="12" spans="1:14">
      <c r="A12" s="323"/>
      <c r="B12" s="319"/>
      <c r="C12" s="319"/>
      <c r="D12" s="448"/>
      <c r="E12" s="320"/>
      <c r="F12" s="450" t="str">
        <f>IF(OR(D12="",E12=""),"",ROUND(D12/LOOKUP(E12,SMMLV!$A$2:$A$36,SMMLV!$D$2:$D$100),3))</f>
        <v/>
      </c>
      <c r="K12" s="782"/>
      <c r="L12" s="444">
        <v>7</v>
      </c>
      <c r="M12" s="781" t="str">
        <f t="shared" si="0"/>
        <v>NO APLICA</v>
      </c>
      <c r="N12" s="781"/>
    </row>
    <row r="13" spans="1:14">
      <c r="A13" s="322"/>
      <c r="B13" s="319"/>
      <c r="C13" s="319"/>
      <c r="D13" s="448"/>
      <c r="E13" s="320"/>
      <c r="F13" s="450" t="str">
        <f>IF(OR(D13="",E13=""),"",ROUND(D13/LOOKUP(E13,SMMLV!$A$2:$A$36,SMMLV!$D$2:$D$100),3))</f>
        <v/>
      </c>
      <c r="K13" s="782"/>
      <c r="L13" s="444">
        <v>8</v>
      </c>
      <c r="M13" s="781" t="str">
        <f t="shared" si="0"/>
        <v>NO APLICA</v>
      </c>
      <c r="N13" s="781"/>
    </row>
    <row r="14" spans="1:14">
      <c r="B14" s="319"/>
      <c r="C14" s="319"/>
      <c r="D14" s="448"/>
      <c r="E14" s="320"/>
      <c r="F14" s="450" t="str">
        <f>IF(OR(D14="",E14=""),"",ROUND(D14/LOOKUP(E14,SMMLV!$A$2:$A$36,SMMLV!$D$2:$D$100),3))</f>
        <v/>
      </c>
      <c r="K14" s="782"/>
      <c r="L14" s="444">
        <v>9</v>
      </c>
      <c r="M14" s="781" t="str">
        <f t="shared" si="0"/>
        <v>NO APLICA</v>
      </c>
      <c r="N14" s="781"/>
    </row>
    <row r="15" spans="1:14">
      <c r="B15" s="319"/>
      <c r="C15" s="319"/>
      <c r="D15" s="448"/>
      <c r="E15" s="320"/>
      <c r="F15" s="450" t="str">
        <f>IF(OR(D15="",E15=""),"",ROUND(D15/LOOKUP(E15,SMMLV!$A$2:$A$36,SMMLV!$D$2:$D$100),3))</f>
        <v/>
      </c>
      <c r="K15" s="782"/>
      <c r="L15" s="444">
        <v>10</v>
      </c>
      <c r="M15" s="781" t="str">
        <f t="shared" si="0"/>
        <v>NO APLICA</v>
      </c>
      <c r="N15" s="781"/>
    </row>
    <row r="16" spans="1:14">
      <c r="B16" s="319"/>
      <c r="C16" s="319"/>
      <c r="D16" s="448"/>
      <c r="E16" s="320"/>
      <c r="F16" s="450" t="str">
        <f>IF(OR(D16="",E16=""),"",ROUND(D16/LOOKUP(E16,SMMLV!$A$2:$A$36,SMMLV!$D$2:$D$100),3))</f>
        <v/>
      </c>
      <c r="K16" s="782">
        <v>2</v>
      </c>
      <c r="L16" s="444">
        <v>1</v>
      </c>
      <c r="M16" s="781" t="str">
        <f t="shared" ref="M16:M25" si="1">IF(SUMIFS($F$5:$F$1200,$B$5:$B$1200,$K$16,$C$5:$C$1200,$L16)=0,"NO APLICA",ROUND(SUMIFS($F$5:$F$1200,$B$5:$B$1200,$K$16,$C$5:$C$1200,$L16),3))</f>
        <v>NO APLICA</v>
      </c>
      <c r="N16" s="781"/>
    </row>
    <row r="17" spans="2:14">
      <c r="B17" s="319"/>
      <c r="C17" s="319"/>
      <c r="D17" s="448"/>
      <c r="E17" s="320"/>
      <c r="F17" s="450" t="str">
        <f>IF(OR(D17="",E17=""),"",ROUND(D17/LOOKUP(E17,SMMLV!$A$2:$A$36,SMMLV!$D$2:$D$100),3))</f>
        <v/>
      </c>
      <c r="K17" s="782"/>
      <c r="L17" s="444">
        <v>2</v>
      </c>
      <c r="M17" s="781" t="str">
        <f t="shared" si="1"/>
        <v>NO APLICA</v>
      </c>
      <c r="N17" s="781"/>
    </row>
    <row r="18" spans="2:14">
      <c r="B18" s="319"/>
      <c r="C18" s="319"/>
      <c r="D18" s="448"/>
      <c r="E18" s="320"/>
      <c r="F18" s="450" t="str">
        <f>IF(OR(D18="",E18=""),"",ROUND(D18/LOOKUP(E18,SMMLV!$A$2:$A$36,SMMLV!$D$2:$D$100),3))</f>
        <v/>
      </c>
      <c r="K18" s="782"/>
      <c r="L18" s="444">
        <v>3</v>
      </c>
      <c r="M18" s="781" t="str">
        <f t="shared" si="1"/>
        <v>NO APLICA</v>
      </c>
      <c r="N18" s="781"/>
    </row>
    <row r="19" spans="2:14">
      <c r="B19" s="319"/>
      <c r="C19" s="319"/>
      <c r="D19" s="448"/>
      <c r="E19" s="320"/>
      <c r="F19" s="450" t="str">
        <f>IF(OR(D19="",E19=""),"",ROUND(D19/LOOKUP(E19,SMMLV!$A$2:$A$36,SMMLV!$D$2:$D$100),3))</f>
        <v/>
      </c>
      <c r="K19" s="782"/>
      <c r="L19" s="444">
        <v>4</v>
      </c>
      <c r="M19" s="781">
        <f t="shared" ca="1" si="1"/>
        <v>1</v>
      </c>
      <c r="N19" s="781"/>
    </row>
    <row r="20" spans="2:14">
      <c r="B20" s="319"/>
      <c r="C20" s="319"/>
      <c r="D20" s="448"/>
      <c r="E20" s="320"/>
      <c r="F20" s="450" t="str">
        <f>IF(OR(D20="",E20=""),"",ROUND(D20/LOOKUP(E20,SMMLV!$A$2:$A$36,SMMLV!$D$2:$D$100),3))</f>
        <v/>
      </c>
      <c r="H20" s="793"/>
      <c r="I20" s="793"/>
      <c r="K20" s="782"/>
      <c r="L20" s="444">
        <v>5</v>
      </c>
      <c r="M20" s="781" t="str">
        <f t="shared" si="1"/>
        <v>NO APLICA</v>
      </c>
      <c r="N20" s="781"/>
    </row>
    <row r="21" spans="2:14">
      <c r="B21" s="319"/>
      <c r="C21" s="319"/>
      <c r="D21" s="448"/>
      <c r="E21" s="320"/>
      <c r="F21" s="450" t="str">
        <f>IF(OR(D21="",E21=""),"",ROUND(D21/LOOKUP(E21,SMMLV!$A$2:$A$36,SMMLV!$D$2:$D$100),3))</f>
        <v/>
      </c>
      <c r="H21" s="793"/>
      <c r="I21" s="793"/>
      <c r="K21" s="782"/>
      <c r="L21" s="444">
        <v>6</v>
      </c>
      <c r="M21" s="781" t="str">
        <f t="shared" si="1"/>
        <v>NO APLICA</v>
      </c>
      <c r="N21" s="781"/>
    </row>
    <row r="22" spans="2:14">
      <c r="B22" s="319"/>
      <c r="C22" s="319"/>
      <c r="D22" s="448"/>
      <c r="E22" s="320"/>
      <c r="F22" s="450" t="str">
        <f>IF(OR(D22="",E22=""),"",ROUND(D22/LOOKUP(E22,SMMLV!$A$2:$A$36,SMMLV!$D$2:$D$100),3))</f>
        <v/>
      </c>
      <c r="K22" s="782"/>
      <c r="L22" s="444">
        <v>7</v>
      </c>
      <c r="M22" s="781" t="str">
        <f t="shared" si="1"/>
        <v>NO APLICA</v>
      </c>
      <c r="N22" s="781"/>
    </row>
    <row r="23" spans="2:14">
      <c r="B23" s="319"/>
      <c r="C23" s="319"/>
      <c r="D23" s="448"/>
      <c r="E23" s="320"/>
      <c r="F23" s="450" t="str">
        <f>IF(OR(D23="",E23=""),"",ROUND(D23/LOOKUP(E23,SMMLV!$A$2:$A$36,SMMLV!$D$2:$D$100),3))</f>
        <v/>
      </c>
      <c r="K23" s="782"/>
      <c r="L23" s="444">
        <v>8</v>
      </c>
      <c r="M23" s="781" t="str">
        <f t="shared" si="1"/>
        <v>NO APLICA</v>
      </c>
      <c r="N23" s="781"/>
    </row>
    <row r="24" spans="2:14">
      <c r="B24" s="319"/>
      <c r="C24" s="319"/>
      <c r="D24" s="448"/>
      <c r="E24" s="320"/>
      <c r="F24" s="450" t="str">
        <f>IF(OR(D24="",E24=""),"",ROUND(D24/LOOKUP(E24,SMMLV!$A$2:$A$36,SMMLV!$D$2:$D$100),3))</f>
        <v/>
      </c>
      <c r="K24" s="782"/>
      <c r="L24" s="444">
        <v>9</v>
      </c>
      <c r="M24" s="781" t="str">
        <f t="shared" si="1"/>
        <v>NO APLICA</v>
      </c>
      <c r="N24" s="781"/>
    </row>
    <row r="25" spans="2:14">
      <c r="B25" s="319"/>
      <c r="C25" s="319"/>
      <c r="D25" s="448"/>
      <c r="E25" s="320"/>
      <c r="F25" s="450" t="str">
        <f>IF(OR(D25="",E25=""),"",ROUND(D25/LOOKUP(E25,SMMLV!$A$2:$A$36,SMMLV!$D$2:$D$100),3))</f>
        <v/>
      </c>
      <c r="K25" s="782"/>
      <c r="L25" s="444">
        <v>10</v>
      </c>
      <c r="M25" s="781" t="str">
        <f t="shared" si="1"/>
        <v>NO APLICA</v>
      </c>
      <c r="N25" s="781"/>
    </row>
    <row r="26" spans="2:14">
      <c r="B26" s="319"/>
      <c r="C26" s="319"/>
      <c r="D26" s="448"/>
      <c r="E26" s="320"/>
      <c r="F26" s="450" t="str">
        <f>IF(OR(D26="",E26=""),"",ROUND(D26/LOOKUP(E26,SMMLV!$A$2:$A$36,SMMLV!$D$2:$D$100),3))</f>
        <v/>
      </c>
      <c r="K26" s="782">
        <v>3</v>
      </c>
      <c r="L26" s="444">
        <v>1</v>
      </c>
      <c r="M26" s="781" t="str">
        <f t="shared" ref="M26:M35" si="2">IF(SUMIFS($F$5:$F$1200,$B$5:$B$1200,$K$26,$C$5:$C$1200,$L26)=0,"NO APLICA",ROUND(SUMIFS($F$5:$F$1200,$B$5:$B$1200,$K$26,$C$5:$C$1200,$L26),3))</f>
        <v>NO APLICA</v>
      </c>
      <c r="N26" s="781"/>
    </row>
    <row r="27" spans="2:14">
      <c r="B27" s="319"/>
      <c r="C27" s="319"/>
      <c r="D27" s="448"/>
      <c r="E27" s="320"/>
      <c r="F27" s="450" t="str">
        <f>IF(OR(D27="",E27=""),"",ROUND(D27/LOOKUP(E27,SMMLV!$A$2:$A$36,SMMLV!$D$2:$D$100),3))</f>
        <v/>
      </c>
      <c r="K27" s="782"/>
      <c r="L27" s="444">
        <v>2</v>
      </c>
      <c r="M27" s="781" t="str">
        <f t="shared" si="2"/>
        <v>NO APLICA</v>
      </c>
      <c r="N27" s="781"/>
    </row>
    <row r="28" spans="2:14">
      <c r="B28" s="319"/>
      <c r="C28" s="319"/>
      <c r="D28" s="448"/>
      <c r="E28" s="320"/>
      <c r="F28" s="450" t="str">
        <f>IF(OR(D28="",E28=""),"",ROUND(D28/LOOKUP(E28,SMMLV!$A$2:$A$36,SMMLV!$D$2:$D$100),3))</f>
        <v/>
      </c>
      <c r="K28" s="782"/>
      <c r="L28" s="444">
        <v>3</v>
      </c>
      <c r="M28" s="781" t="str">
        <f t="shared" si="2"/>
        <v>NO APLICA</v>
      </c>
      <c r="N28" s="781"/>
    </row>
    <row r="29" spans="2:14">
      <c r="B29" s="319"/>
      <c r="C29" s="319"/>
      <c r="D29" s="448"/>
      <c r="E29" s="320"/>
      <c r="F29" s="450" t="str">
        <f>IF(OR(D29="",E29=""),"",ROUND(D29/LOOKUP(E29,SMMLV!$A$2:$A$36,SMMLV!$D$2:$D$100),3))</f>
        <v/>
      </c>
      <c r="K29" s="782"/>
      <c r="L29" s="444">
        <v>4</v>
      </c>
      <c r="M29" s="781" t="str">
        <f t="shared" si="2"/>
        <v>NO APLICA</v>
      </c>
      <c r="N29" s="781"/>
    </row>
    <row r="30" spans="2:14">
      <c r="B30" s="319"/>
      <c r="C30" s="319"/>
      <c r="D30" s="448"/>
      <c r="E30" s="320"/>
      <c r="F30" s="450" t="str">
        <f>IF(OR(D30="",E30=""),"",ROUND(D30/LOOKUP(E30,SMMLV!$A$2:$A$36,SMMLV!$D$2:$D$100),3))</f>
        <v/>
      </c>
      <c r="K30" s="782"/>
      <c r="L30" s="444">
        <v>5</v>
      </c>
      <c r="M30" s="781" t="str">
        <f t="shared" si="2"/>
        <v>NO APLICA</v>
      </c>
      <c r="N30" s="781"/>
    </row>
    <row r="31" spans="2:14">
      <c r="B31" s="319"/>
      <c r="C31" s="319"/>
      <c r="D31" s="448"/>
      <c r="E31" s="320"/>
      <c r="F31" s="450" t="str">
        <f>IF(OR(D31="",E31=""),"",ROUND(D31/LOOKUP(E31,SMMLV!$A$2:$A$36,SMMLV!$D$2:$D$100),3))</f>
        <v/>
      </c>
      <c r="K31" s="782"/>
      <c r="L31" s="444">
        <v>6</v>
      </c>
      <c r="M31" s="781" t="str">
        <f t="shared" si="2"/>
        <v>NO APLICA</v>
      </c>
      <c r="N31" s="781"/>
    </row>
    <row r="32" spans="2:14">
      <c r="B32" s="319"/>
      <c r="C32" s="319"/>
      <c r="D32" s="448"/>
      <c r="E32" s="320"/>
      <c r="F32" s="450" t="str">
        <f>IF(OR(D32="",E32=""),"",ROUND(D32/LOOKUP(E32,SMMLV!$A$2:$A$36,SMMLV!$D$2:$D$100),3))</f>
        <v/>
      </c>
      <c r="K32" s="782"/>
      <c r="L32" s="444">
        <v>7</v>
      </c>
      <c r="M32" s="781" t="str">
        <f t="shared" si="2"/>
        <v>NO APLICA</v>
      </c>
      <c r="N32" s="781"/>
    </row>
    <row r="33" spans="2:14">
      <c r="B33" s="319"/>
      <c r="C33" s="319"/>
      <c r="D33" s="448"/>
      <c r="E33" s="320"/>
      <c r="F33" s="450" t="str">
        <f>IF(OR(D33="",E33=""),"",ROUND(D33/LOOKUP(E33,SMMLV!$A$2:$A$36,SMMLV!$D$2:$D$100),3))</f>
        <v/>
      </c>
      <c r="K33" s="782"/>
      <c r="L33" s="444">
        <v>8</v>
      </c>
      <c r="M33" s="781" t="str">
        <f t="shared" si="2"/>
        <v>NO APLICA</v>
      </c>
      <c r="N33" s="781"/>
    </row>
    <row r="34" spans="2:14">
      <c r="B34" s="319"/>
      <c r="C34" s="319"/>
      <c r="D34" s="448"/>
      <c r="E34" s="320"/>
      <c r="F34" s="450" t="str">
        <f>IF(OR(D34="",E34=""),"",ROUND(D34/LOOKUP(E34,SMMLV!$A$2:$A$36,SMMLV!$D$2:$D$100),3))</f>
        <v/>
      </c>
      <c r="K34" s="782"/>
      <c r="L34" s="444">
        <v>9</v>
      </c>
      <c r="M34" s="781" t="str">
        <f t="shared" si="2"/>
        <v>NO APLICA</v>
      </c>
      <c r="N34" s="781"/>
    </row>
    <row r="35" spans="2:14">
      <c r="B35" s="319"/>
      <c r="C35" s="319"/>
      <c r="D35" s="448"/>
      <c r="E35" s="320"/>
      <c r="F35" s="450" t="str">
        <f>IF(OR(D35="",E35=""),"",ROUND(D35/LOOKUP(E35,SMMLV!$A$2:$A$36,SMMLV!$D$2:$D$100),3))</f>
        <v/>
      </c>
      <c r="K35" s="782"/>
      <c r="L35" s="444">
        <v>10</v>
      </c>
      <c r="M35" s="781" t="str">
        <f t="shared" si="2"/>
        <v>NO APLICA</v>
      </c>
      <c r="N35" s="781"/>
    </row>
    <row r="36" spans="2:14">
      <c r="B36" s="319"/>
      <c r="C36" s="319"/>
      <c r="D36" s="448"/>
      <c r="E36" s="320"/>
      <c r="F36" s="450" t="str">
        <f>IF(OR(D36="",E36=""),"",ROUND(D36/LOOKUP(E36,SMMLV!$A$2:$A$36,SMMLV!$D$2:$D$100),3))</f>
        <v/>
      </c>
      <c r="K36" s="782">
        <v>4</v>
      </c>
      <c r="L36" s="444">
        <v>1</v>
      </c>
      <c r="M36" s="781" t="str">
        <f t="shared" ref="M36:M45" si="3">IF(SUMIFS($F$5:$F$1200,$B$5:$B$1200,$K$36,$C$5:$C$1200,$L36)=0,"NO APLICA",ROUND(SUMIFS($F$5:$F$1200,$B$5:$B$1200,$K$36,$C$5:$C$1200,$L36),3))</f>
        <v>NO APLICA</v>
      </c>
      <c r="N36" s="781"/>
    </row>
    <row r="37" spans="2:14">
      <c r="B37" s="319"/>
      <c r="C37" s="319"/>
      <c r="D37" s="448"/>
      <c r="E37" s="320"/>
      <c r="F37" s="450" t="str">
        <f>IF(OR(D37="",E37=""),"",ROUND(D37/LOOKUP(E37,SMMLV!$A$2:$A$36,SMMLV!$D$2:$D$100),3))</f>
        <v/>
      </c>
      <c r="K37" s="782"/>
      <c r="L37" s="444">
        <v>2</v>
      </c>
      <c r="M37" s="781" t="str">
        <f t="shared" si="3"/>
        <v>NO APLICA</v>
      </c>
      <c r="N37" s="781"/>
    </row>
    <row r="38" spans="2:14">
      <c r="B38" s="319"/>
      <c r="C38" s="319"/>
      <c r="D38" s="448"/>
      <c r="E38" s="320"/>
      <c r="F38" s="450" t="str">
        <f>IF(OR(D38="",E38=""),"",ROUND(D38/LOOKUP(E38,SMMLV!$A$2:$A$36,SMMLV!$D$2:$D$100),3))</f>
        <v/>
      </c>
      <c r="K38" s="782"/>
      <c r="L38" s="444">
        <v>3</v>
      </c>
      <c r="M38" s="781" t="str">
        <f t="shared" si="3"/>
        <v>NO APLICA</v>
      </c>
      <c r="N38" s="781"/>
    </row>
    <row r="39" spans="2:14">
      <c r="B39" s="319"/>
      <c r="C39" s="319"/>
      <c r="D39" s="448"/>
      <c r="E39" s="320"/>
      <c r="F39" s="450" t="str">
        <f>IF(OR(D39="",E39=""),"",ROUND(D39/LOOKUP(E39,SMMLV!$A$2:$A$36,SMMLV!$D$2:$D$100),3))</f>
        <v/>
      </c>
      <c r="K39" s="782"/>
      <c r="L39" s="444">
        <v>4</v>
      </c>
      <c r="M39" s="781" t="str">
        <f t="shared" si="3"/>
        <v>NO APLICA</v>
      </c>
      <c r="N39" s="781"/>
    </row>
    <row r="40" spans="2:14">
      <c r="B40" s="319"/>
      <c r="C40" s="319"/>
      <c r="D40" s="448"/>
      <c r="E40" s="320"/>
      <c r="F40" s="450" t="str">
        <f>IF(OR(D40="",E40=""),"",ROUND(D40/LOOKUP(E40,SMMLV!$A$2:$A$36,SMMLV!$D$2:$D$100),3))</f>
        <v/>
      </c>
      <c r="K40" s="782"/>
      <c r="L40" s="444">
        <v>5</v>
      </c>
      <c r="M40" s="781" t="str">
        <f t="shared" si="3"/>
        <v>NO APLICA</v>
      </c>
      <c r="N40" s="781"/>
    </row>
    <row r="41" spans="2:14">
      <c r="B41" s="319"/>
      <c r="C41" s="319"/>
      <c r="D41" s="448"/>
      <c r="E41" s="320"/>
      <c r="F41" s="450" t="str">
        <f>IF(OR(D41="",E41=""),"",ROUND(D41/LOOKUP(E41,SMMLV!$A$2:$A$36,SMMLV!$D$2:$D$100),3))</f>
        <v/>
      </c>
      <c r="K41" s="782"/>
      <c r="L41" s="444">
        <v>6</v>
      </c>
      <c r="M41" s="781" t="str">
        <f t="shared" si="3"/>
        <v>NO APLICA</v>
      </c>
      <c r="N41" s="781"/>
    </row>
    <row r="42" spans="2:14">
      <c r="B42" s="319"/>
      <c r="C42" s="319"/>
      <c r="D42" s="448"/>
      <c r="E42" s="320"/>
      <c r="F42" s="450" t="str">
        <f>IF(OR(D42="",E42=""),"",ROUND(D42/LOOKUP(E42,SMMLV!$A$2:$A$36,SMMLV!$D$2:$D$100),3))</f>
        <v/>
      </c>
      <c r="K42" s="782"/>
      <c r="L42" s="444">
        <v>7</v>
      </c>
      <c r="M42" s="781" t="str">
        <f t="shared" si="3"/>
        <v>NO APLICA</v>
      </c>
      <c r="N42" s="781"/>
    </row>
    <row r="43" spans="2:14">
      <c r="B43" s="319"/>
      <c r="C43" s="319"/>
      <c r="D43" s="448"/>
      <c r="E43" s="320"/>
      <c r="F43" s="450" t="str">
        <f>IF(OR(D43="",E43=""),"",ROUND(D43/LOOKUP(E43,SMMLV!$A$2:$A$36,SMMLV!$D$2:$D$100),3))</f>
        <v/>
      </c>
      <c r="K43" s="782"/>
      <c r="L43" s="444">
        <v>8</v>
      </c>
      <c r="M43" s="781" t="str">
        <f t="shared" si="3"/>
        <v>NO APLICA</v>
      </c>
      <c r="N43" s="781"/>
    </row>
    <row r="44" spans="2:14">
      <c r="B44" s="319"/>
      <c r="C44" s="319"/>
      <c r="D44" s="448"/>
      <c r="E44" s="320"/>
      <c r="F44" s="450" t="str">
        <f>IF(OR(D44="",E44=""),"",ROUND(D44/LOOKUP(E44,SMMLV!$A$2:$A$36,SMMLV!$D$2:$D$100),3))</f>
        <v/>
      </c>
      <c r="K44" s="782"/>
      <c r="L44" s="444">
        <v>9</v>
      </c>
      <c r="M44" s="781" t="str">
        <f t="shared" si="3"/>
        <v>NO APLICA</v>
      </c>
      <c r="N44" s="781"/>
    </row>
    <row r="45" spans="2:14">
      <c r="B45" s="319"/>
      <c r="C45" s="319"/>
      <c r="D45" s="448"/>
      <c r="E45" s="320"/>
      <c r="F45" s="450" t="str">
        <f>IF(OR(D45="",E45=""),"",ROUND(D45/LOOKUP(E45,SMMLV!$A$2:$A$36,SMMLV!$D$2:$D$100),3))</f>
        <v/>
      </c>
      <c r="K45" s="782"/>
      <c r="L45" s="444">
        <v>10</v>
      </c>
      <c r="M45" s="781" t="str">
        <f t="shared" si="3"/>
        <v>NO APLICA</v>
      </c>
      <c r="N45" s="781"/>
    </row>
    <row r="46" spans="2:14">
      <c r="B46" s="319"/>
      <c r="C46" s="319"/>
      <c r="D46" s="448"/>
      <c r="E46" s="320"/>
      <c r="F46" s="450" t="str">
        <f>IF(OR(D46="",E46=""),"",ROUND(D46/LOOKUP(E46,SMMLV!$A$2:$A$36,SMMLV!$D$2:$D$100),3))</f>
        <v/>
      </c>
      <c r="K46" s="782">
        <v>5</v>
      </c>
      <c r="L46" s="444">
        <v>1</v>
      </c>
      <c r="M46" s="781" t="str">
        <f t="shared" ref="M46:M55" si="4">IF(SUMIFS($F$5:$F$1200,$B$5:$B$1200,$K$46,$C$5:$C$1200,$L46)=0,"NO APLICA",ROUND(SUMIFS($F$5:$F$1200,$B$5:$B$1200,$K$46,$C$5:$C$1200,$L46),3))</f>
        <v>NO APLICA</v>
      </c>
      <c r="N46" s="781"/>
    </row>
    <row r="47" spans="2:14">
      <c r="B47" s="319"/>
      <c r="C47" s="319"/>
      <c r="D47" s="448"/>
      <c r="E47" s="320"/>
      <c r="F47" s="450" t="str">
        <f>IF(OR(D47="",E47=""),"",ROUND(D47/LOOKUP(E47,SMMLV!$A$2:$A$36,SMMLV!$D$2:$D$100),3))</f>
        <v/>
      </c>
      <c r="K47" s="782"/>
      <c r="L47" s="444">
        <v>2</v>
      </c>
      <c r="M47" s="781" t="str">
        <f t="shared" si="4"/>
        <v>NO APLICA</v>
      </c>
      <c r="N47" s="781"/>
    </row>
    <row r="48" spans="2:14">
      <c r="B48" s="319"/>
      <c r="C48" s="319"/>
      <c r="D48" s="448"/>
      <c r="E48" s="320"/>
      <c r="F48" s="450" t="str">
        <f>IF(OR(D48="",E48=""),"",ROUND(D48/LOOKUP(E48,SMMLV!$A$2:$A$36,SMMLV!$D$2:$D$100),3))</f>
        <v/>
      </c>
      <c r="K48" s="782"/>
      <c r="L48" s="444">
        <v>3</v>
      </c>
      <c r="M48" s="781" t="str">
        <f t="shared" si="4"/>
        <v>NO APLICA</v>
      </c>
      <c r="N48" s="781"/>
    </row>
    <row r="49" spans="2:14">
      <c r="B49" s="319"/>
      <c r="C49" s="319"/>
      <c r="D49" s="448"/>
      <c r="E49" s="320"/>
      <c r="F49" s="450" t="str">
        <f>IF(OR(D49="",E49=""),"",ROUND(D49/LOOKUP(E49,SMMLV!$A$2:$A$36,SMMLV!$D$2:$D$100),3))</f>
        <v/>
      </c>
      <c r="K49" s="782"/>
      <c r="L49" s="444">
        <v>4</v>
      </c>
      <c r="M49" s="781" t="str">
        <f t="shared" si="4"/>
        <v>NO APLICA</v>
      </c>
      <c r="N49" s="781"/>
    </row>
    <row r="50" spans="2:14">
      <c r="B50" s="319"/>
      <c r="C50" s="319"/>
      <c r="D50" s="448"/>
      <c r="E50" s="320"/>
      <c r="F50" s="450" t="str">
        <f>IF(OR(D50="",E50=""),"",ROUND(D50/LOOKUP(E50,SMMLV!$A$2:$A$36,SMMLV!$D$2:$D$100),3))</f>
        <v/>
      </c>
      <c r="K50" s="782"/>
      <c r="L50" s="444">
        <v>5</v>
      </c>
      <c r="M50" s="781" t="str">
        <f t="shared" si="4"/>
        <v>NO APLICA</v>
      </c>
      <c r="N50" s="781"/>
    </row>
    <row r="51" spans="2:14">
      <c r="B51" s="319"/>
      <c r="C51" s="319"/>
      <c r="D51" s="448"/>
      <c r="E51" s="320"/>
      <c r="F51" s="450" t="str">
        <f>IF(OR(D51="",E51=""),"",ROUND(D51/LOOKUP(E51,SMMLV!$A$2:$A$36,SMMLV!$D$2:$D$100),3))</f>
        <v/>
      </c>
      <c r="K51" s="782"/>
      <c r="L51" s="444">
        <v>6</v>
      </c>
      <c r="M51" s="781" t="str">
        <f t="shared" si="4"/>
        <v>NO APLICA</v>
      </c>
      <c r="N51" s="781"/>
    </row>
    <row r="52" spans="2:14">
      <c r="B52" s="319"/>
      <c r="C52" s="319"/>
      <c r="D52" s="448"/>
      <c r="E52" s="320"/>
      <c r="F52" s="450" t="str">
        <f>IF(OR(D52="",E52=""),"",ROUND(D52/LOOKUP(E52,SMMLV!$A$2:$A$36,SMMLV!$D$2:$D$100),3))</f>
        <v/>
      </c>
      <c r="K52" s="782"/>
      <c r="L52" s="444">
        <v>7</v>
      </c>
      <c r="M52" s="781" t="str">
        <f t="shared" si="4"/>
        <v>NO APLICA</v>
      </c>
      <c r="N52" s="781"/>
    </row>
    <row r="53" spans="2:14">
      <c r="B53" s="319"/>
      <c r="C53" s="319"/>
      <c r="D53" s="448"/>
      <c r="E53" s="320"/>
      <c r="F53" s="450" t="str">
        <f>IF(OR(D53="",E53=""),"",ROUND(D53/LOOKUP(E53,SMMLV!$A$2:$A$36,SMMLV!$D$2:$D$100),3))</f>
        <v/>
      </c>
      <c r="K53" s="782"/>
      <c r="L53" s="444">
        <v>8</v>
      </c>
      <c r="M53" s="781" t="str">
        <f t="shared" si="4"/>
        <v>NO APLICA</v>
      </c>
      <c r="N53" s="781"/>
    </row>
    <row r="54" spans="2:14">
      <c r="B54" s="319"/>
      <c r="C54" s="319"/>
      <c r="D54" s="448"/>
      <c r="E54" s="320"/>
      <c r="F54" s="450" t="str">
        <f>IF(OR(D54="",E54=""),"",ROUND(D54/LOOKUP(E54,SMMLV!$A$2:$A$36,SMMLV!$D$2:$D$100),3))</f>
        <v/>
      </c>
      <c r="K54" s="782"/>
      <c r="L54" s="444">
        <v>9</v>
      </c>
      <c r="M54" s="781" t="str">
        <f t="shared" si="4"/>
        <v>NO APLICA</v>
      </c>
      <c r="N54" s="781"/>
    </row>
    <row r="55" spans="2:14">
      <c r="B55" s="319"/>
      <c r="C55" s="319"/>
      <c r="D55" s="448"/>
      <c r="E55" s="320"/>
      <c r="F55" s="450" t="str">
        <f>IF(OR(D55="",E55=""),"",ROUND(D55/LOOKUP(E55,SMMLV!$A$2:$A$36,SMMLV!$D$2:$D$100),3))</f>
        <v/>
      </c>
      <c r="K55" s="782"/>
      <c r="L55" s="444">
        <v>10</v>
      </c>
      <c r="M55" s="781" t="str">
        <f t="shared" si="4"/>
        <v>NO APLICA</v>
      </c>
      <c r="N55" s="781"/>
    </row>
    <row r="56" spans="2:14">
      <c r="B56" s="319"/>
      <c r="C56" s="319"/>
      <c r="D56" s="448"/>
      <c r="E56" s="320"/>
      <c r="F56" s="450" t="str">
        <f>IF(OR(D56="",E56=""),"",ROUND(D56/LOOKUP(E56,SMMLV!$A$2:$A$36,SMMLV!$D$2:$D$100),3))</f>
        <v/>
      </c>
      <c r="K56" s="782">
        <v>6</v>
      </c>
      <c r="L56" s="444">
        <v>1</v>
      </c>
      <c r="M56" s="781" t="str">
        <f t="shared" ref="M56:M65" si="5">IF(SUMIFS($F$5:$F$1200,$B$5:$B$1200,$K$56,$C$5:$C$1200,$L56)=0,"NO APLICA",ROUND(SUMIFS($F$5:$F$1200,$B$5:$B$1200,$K$56,$C$5:$C$1200,$L56),3))</f>
        <v>NO APLICA</v>
      </c>
      <c r="N56" s="781"/>
    </row>
    <row r="57" spans="2:14">
      <c r="B57" s="319"/>
      <c r="C57" s="319"/>
      <c r="D57" s="448"/>
      <c r="E57" s="320"/>
      <c r="F57" s="450" t="str">
        <f>IF(OR(D57="",E57=""),"",ROUND(D57/LOOKUP(E57,SMMLV!$A$2:$A$36,SMMLV!$D$2:$D$100),3))</f>
        <v/>
      </c>
      <c r="K57" s="782"/>
      <c r="L57" s="444">
        <v>2</v>
      </c>
      <c r="M57" s="781" t="str">
        <f t="shared" si="5"/>
        <v>NO APLICA</v>
      </c>
      <c r="N57" s="781"/>
    </row>
    <row r="58" spans="2:14">
      <c r="B58" s="319"/>
      <c r="C58" s="319"/>
      <c r="D58" s="448"/>
      <c r="E58" s="320"/>
      <c r="F58" s="450" t="str">
        <f>IF(OR(D58="",E58=""),"",ROUND(D58/LOOKUP(E58,SMMLV!$A$2:$A$36,SMMLV!$D$2:$D$100),3))</f>
        <v/>
      </c>
      <c r="K58" s="782"/>
      <c r="L58" s="444">
        <v>3</v>
      </c>
      <c r="M58" s="781" t="str">
        <f t="shared" si="5"/>
        <v>NO APLICA</v>
      </c>
      <c r="N58" s="781"/>
    </row>
    <row r="59" spans="2:14">
      <c r="B59" s="319"/>
      <c r="C59" s="319"/>
      <c r="D59" s="448"/>
      <c r="E59" s="320"/>
      <c r="F59" s="450" t="str">
        <f>IF(OR(D59="",E59=""),"",ROUND(D59/LOOKUP(E59,SMMLV!$A$2:$A$36,SMMLV!$D$2:$D$100),3))</f>
        <v/>
      </c>
      <c r="K59" s="782"/>
      <c r="L59" s="444">
        <v>4</v>
      </c>
      <c r="M59" s="781" t="str">
        <f t="shared" si="5"/>
        <v>NO APLICA</v>
      </c>
      <c r="N59" s="781"/>
    </row>
    <row r="60" spans="2:14">
      <c r="B60" s="319"/>
      <c r="C60" s="319"/>
      <c r="D60" s="448"/>
      <c r="E60" s="320"/>
      <c r="F60" s="450" t="str">
        <f>IF(OR(D60="",E60=""),"",ROUND(D60/LOOKUP(E60,SMMLV!$A$2:$A$36,SMMLV!$D$2:$D$100),3))</f>
        <v/>
      </c>
      <c r="K60" s="782"/>
      <c r="L60" s="444">
        <v>5</v>
      </c>
      <c r="M60" s="781" t="str">
        <f t="shared" si="5"/>
        <v>NO APLICA</v>
      </c>
      <c r="N60" s="781"/>
    </row>
    <row r="61" spans="2:14">
      <c r="B61" s="319"/>
      <c r="C61" s="319"/>
      <c r="D61" s="448"/>
      <c r="E61" s="320"/>
      <c r="F61" s="450" t="str">
        <f>IF(OR(D61="",E61=""),"",ROUND(D61/LOOKUP(E61,SMMLV!$A$2:$A$36,SMMLV!$D$2:$D$100),3))</f>
        <v/>
      </c>
      <c r="K61" s="782"/>
      <c r="L61" s="444">
        <v>6</v>
      </c>
      <c r="M61" s="781" t="str">
        <f t="shared" si="5"/>
        <v>NO APLICA</v>
      </c>
      <c r="N61" s="781"/>
    </row>
    <row r="62" spans="2:14">
      <c r="B62" s="319"/>
      <c r="C62" s="319"/>
      <c r="D62" s="448"/>
      <c r="E62" s="320"/>
      <c r="F62" s="450" t="str">
        <f>IF(OR(D62="",E62=""),"",ROUND(D62/LOOKUP(E62,SMMLV!$A$2:$A$36,SMMLV!$D$2:$D$100),3))</f>
        <v/>
      </c>
      <c r="K62" s="782"/>
      <c r="L62" s="444">
        <v>7</v>
      </c>
      <c r="M62" s="781" t="str">
        <f t="shared" si="5"/>
        <v>NO APLICA</v>
      </c>
      <c r="N62" s="781"/>
    </row>
    <row r="63" spans="2:14">
      <c r="B63" s="319"/>
      <c r="C63" s="319"/>
      <c r="D63" s="448"/>
      <c r="E63" s="320"/>
      <c r="F63" s="450" t="str">
        <f>IF(OR(D63="",E63=""),"",ROUND(D63/LOOKUP(E63,SMMLV!$A$2:$A$36,SMMLV!$D$2:$D$100),3))</f>
        <v/>
      </c>
      <c r="K63" s="782"/>
      <c r="L63" s="444">
        <v>8</v>
      </c>
      <c r="M63" s="781" t="str">
        <f t="shared" si="5"/>
        <v>NO APLICA</v>
      </c>
      <c r="N63" s="781"/>
    </row>
    <row r="64" spans="2:14">
      <c r="B64" s="319"/>
      <c r="C64" s="319"/>
      <c r="D64" s="448"/>
      <c r="E64" s="320"/>
      <c r="F64" s="450" t="str">
        <f>IF(OR(D64="",E64=""),"",ROUND(D64/LOOKUP(E64,SMMLV!$A$2:$A$36,SMMLV!$D$2:$D$100),3))</f>
        <v/>
      </c>
      <c r="K64" s="782"/>
      <c r="L64" s="444">
        <v>9</v>
      </c>
      <c r="M64" s="781" t="str">
        <f t="shared" si="5"/>
        <v>NO APLICA</v>
      </c>
      <c r="N64" s="781"/>
    </row>
    <row r="65" spans="2:14">
      <c r="B65" s="319"/>
      <c r="C65" s="319"/>
      <c r="D65" s="448"/>
      <c r="E65" s="320"/>
      <c r="F65" s="450" t="str">
        <f>IF(OR(D65="",E65=""),"",ROUND(D65/LOOKUP(E65,SMMLV!$A$2:$A$36,SMMLV!$D$2:$D$100),3))</f>
        <v/>
      </c>
      <c r="K65" s="782"/>
      <c r="L65" s="444">
        <v>10</v>
      </c>
      <c r="M65" s="781" t="str">
        <f t="shared" si="5"/>
        <v>NO APLICA</v>
      </c>
      <c r="N65" s="781"/>
    </row>
    <row r="66" spans="2:14">
      <c r="B66" s="319"/>
      <c r="C66" s="319"/>
      <c r="D66" s="448"/>
      <c r="E66" s="320"/>
      <c r="F66" s="450" t="str">
        <f>IF(OR(D66="",E66=""),"",ROUND(D66/LOOKUP(E66,SMMLV!$A$2:$A$36,SMMLV!$D$2:$D$100),3))</f>
        <v/>
      </c>
      <c r="K66" s="782">
        <v>7</v>
      </c>
      <c r="L66" s="444">
        <v>1</v>
      </c>
      <c r="M66" s="781" t="str">
        <f t="shared" ref="M66:M75" si="6">IF(SUMIFS($F$5:$F$1200,$B$5:$B$1200,$K$66,$C$5:$C$1200,$L66)=0,"NO APLICA",ROUND(SUMIFS($F$5:$F$1200,$B$5:$B$1200,$K$66,$C$5:$C$1200,$L66),3))</f>
        <v>NO APLICA</v>
      </c>
      <c r="N66" s="781"/>
    </row>
    <row r="67" spans="2:14">
      <c r="B67" s="319"/>
      <c r="C67" s="319"/>
      <c r="D67" s="448"/>
      <c r="E67" s="320"/>
      <c r="F67" s="450" t="str">
        <f>IF(OR(D67="",E67=""),"",ROUND(D67/LOOKUP(E67,SMMLV!$A$2:$A$36,SMMLV!$D$2:$D$100),3))</f>
        <v/>
      </c>
      <c r="K67" s="782"/>
      <c r="L67" s="444">
        <v>2</v>
      </c>
      <c r="M67" s="781" t="str">
        <f t="shared" si="6"/>
        <v>NO APLICA</v>
      </c>
      <c r="N67" s="781"/>
    </row>
    <row r="68" spans="2:14">
      <c r="B68" s="319"/>
      <c r="C68" s="319"/>
      <c r="D68" s="448"/>
      <c r="E68" s="320"/>
      <c r="F68" s="450" t="str">
        <f>IF(OR(D68="",E68=""),"",ROUND(D68/LOOKUP(E68,SMMLV!$A$2:$A$36,SMMLV!$D$2:$D$100),3))</f>
        <v/>
      </c>
      <c r="K68" s="782"/>
      <c r="L68" s="444">
        <v>3</v>
      </c>
      <c r="M68" s="781" t="str">
        <f t="shared" si="6"/>
        <v>NO APLICA</v>
      </c>
      <c r="N68" s="781"/>
    </row>
    <row r="69" spans="2:14">
      <c r="B69" s="319"/>
      <c r="C69" s="319"/>
      <c r="D69" s="448"/>
      <c r="E69" s="320"/>
      <c r="F69" s="450" t="str">
        <f>IF(OR(D69="",E69=""),"",ROUND(D69/LOOKUP(E69,SMMLV!$A$2:$A$36,SMMLV!$D$2:$D$100),3))</f>
        <v/>
      </c>
      <c r="K69" s="782"/>
      <c r="L69" s="444">
        <v>4</v>
      </c>
      <c r="M69" s="781" t="str">
        <f t="shared" si="6"/>
        <v>NO APLICA</v>
      </c>
      <c r="N69" s="781"/>
    </row>
    <row r="70" spans="2:14">
      <c r="B70" s="319"/>
      <c r="C70" s="319"/>
      <c r="D70" s="448"/>
      <c r="E70" s="320"/>
      <c r="F70" s="450" t="str">
        <f>IF(OR(D70="",E70=""),"",ROUND(D70/LOOKUP(E70,SMMLV!$A$2:$A$36,SMMLV!$D$2:$D$100),3))</f>
        <v/>
      </c>
      <c r="K70" s="782"/>
      <c r="L70" s="444">
        <v>5</v>
      </c>
      <c r="M70" s="781" t="str">
        <f t="shared" si="6"/>
        <v>NO APLICA</v>
      </c>
      <c r="N70" s="781"/>
    </row>
    <row r="71" spans="2:14">
      <c r="B71" s="319"/>
      <c r="C71" s="319"/>
      <c r="D71" s="448"/>
      <c r="E71" s="320"/>
      <c r="F71" s="450" t="str">
        <f>IF(OR(D71="",E71=""),"",ROUND(D71/LOOKUP(E71,SMMLV!$A$2:$A$36,SMMLV!$D$2:$D$100),3))</f>
        <v/>
      </c>
      <c r="K71" s="782"/>
      <c r="L71" s="444">
        <v>6</v>
      </c>
      <c r="M71" s="781" t="str">
        <f t="shared" si="6"/>
        <v>NO APLICA</v>
      </c>
      <c r="N71" s="781"/>
    </row>
    <row r="72" spans="2:14">
      <c r="B72" s="319"/>
      <c r="C72" s="319"/>
      <c r="D72" s="448"/>
      <c r="E72" s="320"/>
      <c r="F72" s="450" t="str">
        <f>IF(OR(D72="",E72=""),"",ROUND(D72/LOOKUP(E72,SMMLV!$A$2:$A$36,SMMLV!$D$2:$D$100),3))</f>
        <v/>
      </c>
      <c r="K72" s="782"/>
      <c r="L72" s="444">
        <v>7</v>
      </c>
      <c r="M72" s="781" t="str">
        <f t="shared" si="6"/>
        <v>NO APLICA</v>
      </c>
      <c r="N72" s="781"/>
    </row>
    <row r="73" spans="2:14">
      <c r="B73" s="319"/>
      <c r="C73" s="319"/>
      <c r="D73" s="448"/>
      <c r="E73" s="320"/>
      <c r="F73" s="450" t="str">
        <f>IF(OR(D73="",E73=""),"",ROUND(D73/LOOKUP(E73,SMMLV!$A$2:$A$36,SMMLV!$D$2:$D$100),3))</f>
        <v/>
      </c>
      <c r="K73" s="782"/>
      <c r="L73" s="444">
        <v>8</v>
      </c>
      <c r="M73" s="781" t="str">
        <f t="shared" si="6"/>
        <v>NO APLICA</v>
      </c>
      <c r="N73" s="781"/>
    </row>
    <row r="74" spans="2:14">
      <c r="B74" s="319"/>
      <c r="C74" s="319"/>
      <c r="D74" s="448"/>
      <c r="E74" s="320"/>
      <c r="F74" s="450" t="str">
        <f>IF(OR(D74="",E74=""),"",ROUND(D74/LOOKUP(E74,SMMLV!$A$2:$A$36,SMMLV!$D$2:$D$100),3))</f>
        <v/>
      </c>
      <c r="K74" s="782"/>
      <c r="L74" s="444">
        <v>9</v>
      </c>
      <c r="M74" s="781" t="str">
        <f t="shared" si="6"/>
        <v>NO APLICA</v>
      </c>
      <c r="N74" s="781"/>
    </row>
    <row r="75" spans="2:14">
      <c r="B75" s="319"/>
      <c r="C75" s="319"/>
      <c r="D75" s="448"/>
      <c r="E75" s="320"/>
      <c r="F75" s="450" t="str">
        <f>IF(OR(D75="",E75=""),"",ROUND(D75/LOOKUP(E75,SMMLV!$A$2:$A$36,SMMLV!$D$2:$D$100),3))</f>
        <v/>
      </c>
      <c r="K75" s="782"/>
      <c r="L75" s="444">
        <v>10</v>
      </c>
      <c r="M75" s="781" t="str">
        <f t="shared" si="6"/>
        <v>NO APLICA</v>
      </c>
      <c r="N75" s="781"/>
    </row>
    <row r="76" spans="2:14">
      <c r="B76" s="319"/>
      <c r="C76" s="319"/>
      <c r="D76" s="448"/>
      <c r="E76" s="320"/>
      <c r="F76" s="450" t="str">
        <f>IF(OR(D76="",E76=""),"",ROUND(D76/LOOKUP(E76,SMMLV!$A$2:$A$36,SMMLV!$D$2:$D$100),3))</f>
        <v/>
      </c>
      <c r="K76" s="782">
        <v>8</v>
      </c>
      <c r="L76" s="444">
        <v>1</v>
      </c>
      <c r="M76" s="781" t="str">
        <f t="shared" ref="M76:M85" si="7">IF(SUMIFS($F$5:$F$1200,$B$5:$B$1200,$K$76,$C$5:$C$1200,$L76)=0,"NO APLICA",ROUND(SUMIFS($F$5:$F$1200,$B$5:$B$1200,$K$76,$C$5:$C$1200,$L76),3))</f>
        <v>NO APLICA</v>
      </c>
      <c r="N76" s="781"/>
    </row>
    <row r="77" spans="2:14">
      <c r="B77" s="319"/>
      <c r="C77" s="319"/>
      <c r="D77" s="448"/>
      <c r="E77" s="320"/>
      <c r="F77" s="450" t="str">
        <f>IF(OR(D77="",E77=""),"",ROUND(D77/LOOKUP(E77,SMMLV!$A$2:$A$36,SMMLV!$D$2:$D$100),3))</f>
        <v/>
      </c>
      <c r="K77" s="782"/>
      <c r="L77" s="444">
        <v>2</v>
      </c>
      <c r="M77" s="781" t="str">
        <f t="shared" si="7"/>
        <v>NO APLICA</v>
      </c>
      <c r="N77" s="781"/>
    </row>
    <row r="78" spans="2:14">
      <c r="B78" s="319"/>
      <c r="C78" s="319"/>
      <c r="D78" s="448"/>
      <c r="E78" s="320"/>
      <c r="F78" s="450" t="str">
        <f>IF(OR(D78="",E78=""),"",ROUND(D78/LOOKUP(E78,SMMLV!$A$2:$A$36,SMMLV!$D$2:$D$100),3))</f>
        <v/>
      </c>
      <c r="K78" s="782"/>
      <c r="L78" s="444">
        <v>3</v>
      </c>
      <c r="M78" s="781" t="str">
        <f t="shared" si="7"/>
        <v>NO APLICA</v>
      </c>
      <c r="N78" s="781"/>
    </row>
    <row r="79" spans="2:14">
      <c r="B79" s="319"/>
      <c r="C79" s="319"/>
      <c r="D79" s="448"/>
      <c r="E79" s="320"/>
      <c r="F79" s="450" t="str">
        <f>IF(OR(D79="",E79=""),"",ROUND(D79/LOOKUP(E79,SMMLV!$A$2:$A$36,SMMLV!$D$2:$D$100),3))</f>
        <v/>
      </c>
      <c r="K79" s="782"/>
      <c r="L79" s="444">
        <v>4</v>
      </c>
      <c r="M79" s="781" t="str">
        <f t="shared" si="7"/>
        <v>NO APLICA</v>
      </c>
      <c r="N79" s="781"/>
    </row>
    <row r="80" spans="2:14">
      <c r="B80" s="319"/>
      <c r="C80" s="319"/>
      <c r="D80" s="448"/>
      <c r="E80" s="320"/>
      <c r="F80" s="450" t="str">
        <f>IF(OR(D80="",E80=""),"",ROUND(D80/LOOKUP(E80,SMMLV!$A$2:$A$36,SMMLV!$D$2:$D$100),3))</f>
        <v/>
      </c>
      <c r="K80" s="782"/>
      <c r="L80" s="444">
        <v>5</v>
      </c>
      <c r="M80" s="781" t="str">
        <f t="shared" si="7"/>
        <v>NO APLICA</v>
      </c>
      <c r="N80" s="781"/>
    </row>
    <row r="81" spans="2:14">
      <c r="B81" s="319"/>
      <c r="C81" s="319"/>
      <c r="D81" s="448"/>
      <c r="E81" s="320"/>
      <c r="F81" s="450" t="str">
        <f>IF(OR(D81="",E81=""),"",ROUND(D81/LOOKUP(E81,SMMLV!$A$2:$A$36,SMMLV!$D$2:$D$100),3))</f>
        <v/>
      </c>
      <c r="K81" s="782"/>
      <c r="L81" s="444">
        <v>6</v>
      </c>
      <c r="M81" s="781" t="str">
        <f t="shared" si="7"/>
        <v>NO APLICA</v>
      </c>
      <c r="N81" s="781"/>
    </row>
    <row r="82" spans="2:14">
      <c r="B82" s="319"/>
      <c r="C82" s="319"/>
      <c r="D82" s="448"/>
      <c r="E82" s="320"/>
      <c r="F82" s="450" t="str">
        <f>IF(OR(D82="",E82=""),"",ROUND(D82/LOOKUP(E82,SMMLV!$A$2:$A$36,SMMLV!$D$2:$D$100),3))</f>
        <v/>
      </c>
      <c r="K82" s="782"/>
      <c r="L82" s="444">
        <v>7</v>
      </c>
      <c r="M82" s="781" t="str">
        <f t="shared" si="7"/>
        <v>NO APLICA</v>
      </c>
      <c r="N82" s="781"/>
    </row>
    <row r="83" spans="2:14">
      <c r="B83" s="319"/>
      <c r="C83" s="319"/>
      <c r="D83" s="448"/>
      <c r="E83" s="320"/>
      <c r="F83" s="450" t="str">
        <f>IF(OR(D83="",E83=""),"",ROUND(D83/LOOKUP(E83,SMMLV!$A$2:$A$36,SMMLV!$D$2:$D$100),3))</f>
        <v/>
      </c>
      <c r="K83" s="782"/>
      <c r="L83" s="444">
        <v>8</v>
      </c>
      <c r="M83" s="781" t="str">
        <f t="shared" si="7"/>
        <v>NO APLICA</v>
      </c>
      <c r="N83" s="781"/>
    </row>
    <row r="84" spans="2:14">
      <c r="B84" s="319"/>
      <c r="C84" s="319"/>
      <c r="D84" s="448"/>
      <c r="E84" s="320"/>
      <c r="F84" s="450" t="str">
        <f>IF(OR(D84="",E84=""),"",ROUND(D84/LOOKUP(E84,SMMLV!$A$2:$A$36,SMMLV!$D$2:$D$100),3))</f>
        <v/>
      </c>
      <c r="K84" s="782"/>
      <c r="L84" s="444">
        <v>9</v>
      </c>
      <c r="M84" s="781" t="str">
        <f t="shared" si="7"/>
        <v>NO APLICA</v>
      </c>
      <c r="N84" s="781"/>
    </row>
    <row r="85" spans="2:14">
      <c r="B85" s="319"/>
      <c r="C85" s="319"/>
      <c r="D85" s="448"/>
      <c r="E85" s="320"/>
      <c r="F85" s="450" t="str">
        <f>IF(OR(D85="",E85=""),"",ROUND(D85/LOOKUP(E85,SMMLV!$A$2:$A$36,SMMLV!$D$2:$D$100),3))</f>
        <v/>
      </c>
      <c r="K85" s="782"/>
      <c r="L85" s="444">
        <v>10</v>
      </c>
      <c r="M85" s="781" t="str">
        <f t="shared" si="7"/>
        <v>NO APLICA</v>
      </c>
      <c r="N85" s="781"/>
    </row>
    <row r="86" spans="2:14">
      <c r="B86" s="319"/>
      <c r="C86" s="319"/>
      <c r="D86" s="448"/>
      <c r="E86" s="320"/>
      <c r="F86" s="450" t="str">
        <f>IF(OR(D86="",E86=""),"",ROUND(D86/LOOKUP(E86,SMMLV!$A$2:$A$36,SMMLV!$D$2:$D$100),3))</f>
        <v/>
      </c>
      <c r="K86" s="782">
        <v>9</v>
      </c>
      <c r="L86" s="444">
        <v>1</v>
      </c>
      <c r="M86" s="781" t="str">
        <f t="shared" ref="M86:M95" si="8">IF(SUMIFS($F$5:$F$1200,$B$5:$B$1200,$K$86,$C$5:$C$1200,$L86)=0,"NO APLICA",ROUND(SUMIFS($F$5:$F$1200,$B$5:$B$1200,$K$86,$C$5:$C$1200,$L86),3))</f>
        <v>NO APLICA</v>
      </c>
      <c r="N86" s="781"/>
    </row>
    <row r="87" spans="2:14">
      <c r="B87" s="319"/>
      <c r="C87" s="319"/>
      <c r="D87" s="448"/>
      <c r="E87" s="320"/>
      <c r="F87" s="450" t="str">
        <f>IF(OR(D87="",E87=""),"",ROUND(D87/LOOKUP(E87,SMMLV!$A$2:$A$36,SMMLV!$D$2:$D$100),3))</f>
        <v/>
      </c>
      <c r="K87" s="782"/>
      <c r="L87" s="444">
        <v>2</v>
      </c>
      <c r="M87" s="781" t="str">
        <f t="shared" si="8"/>
        <v>NO APLICA</v>
      </c>
      <c r="N87" s="781"/>
    </row>
    <row r="88" spans="2:14">
      <c r="B88" s="319"/>
      <c r="C88" s="319"/>
      <c r="D88" s="448"/>
      <c r="E88" s="320"/>
      <c r="F88" s="450" t="str">
        <f>IF(OR(D88="",E88=""),"",ROUND(D88/LOOKUP(E88,SMMLV!$A$2:$A$36,SMMLV!$D$2:$D$100),3))</f>
        <v/>
      </c>
      <c r="K88" s="782"/>
      <c r="L88" s="444">
        <v>3</v>
      </c>
      <c r="M88" s="781" t="str">
        <f t="shared" si="8"/>
        <v>NO APLICA</v>
      </c>
      <c r="N88" s="781"/>
    </row>
    <row r="89" spans="2:14">
      <c r="B89" s="319"/>
      <c r="C89" s="319"/>
      <c r="D89" s="448"/>
      <c r="E89" s="320"/>
      <c r="F89" s="450" t="str">
        <f>IF(OR(D89="",E89=""),"",ROUND(D89/LOOKUP(E89,SMMLV!$A$2:$A$36,SMMLV!$D$2:$D$100),3))</f>
        <v/>
      </c>
      <c r="K89" s="782"/>
      <c r="L89" s="444">
        <v>4</v>
      </c>
      <c r="M89" s="781" t="str">
        <f t="shared" si="8"/>
        <v>NO APLICA</v>
      </c>
      <c r="N89" s="781"/>
    </row>
    <row r="90" spans="2:14">
      <c r="B90" s="319"/>
      <c r="C90" s="319"/>
      <c r="D90" s="448"/>
      <c r="E90" s="320"/>
      <c r="F90" s="450" t="str">
        <f>IF(OR(D90="",E90=""),"",ROUND(D90/LOOKUP(E90,SMMLV!$A$2:$A$36,SMMLV!$D$2:$D$100),3))</f>
        <v/>
      </c>
      <c r="K90" s="782"/>
      <c r="L90" s="444">
        <v>5</v>
      </c>
      <c r="M90" s="781" t="str">
        <f t="shared" si="8"/>
        <v>NO APLICA</v>
      </c>
      <c r="N90" s="781"/>
    </row>
    <row r="91" spans="2:14">
      <c r="B91" s="319"/>
      <c r="C91" s="319"/>
      <c r="D91" s="448"/>
      <c r="E91" s="320"/>
      <c r="F91" s="450" t="str">
        <f>IF(OR(D91="",E91=""),"",ROUND(D91/LOOKUP(E91,SMMLV!$A$2:$A$36,SMMLV!$D$2:$D$100),3))</f>
        <v/>
      </c>
      <c r="K91" s="782"/>
      <c r="L91" s="444">
        <v>6</v>
      </c>
      <c r="M91" s="781" t="str">
        <f t="shared" si="8"/>
        <v>NO APLICA</v>
      </c>
      <c r="N91" s="781"/>
    </row>
    <row r="92" spans="2:14">
      <c r="B92" s="319"/>
      <c r="C92" s="319"/>
      <c r="D92" s="448"/>
      <c r="E92" s="320"/>
      <c r="F92" s="450" t="str">
        <f>IF(OR(D92="",E92=""),"",ROUND(D92/LOOKUP(E92,SMMLV!$A$2:$A$36,SMMLV!$D$2:$D$100),3))</f>
        <v/>
      </c>
      <c r="K92" s="782"/>
      <c r="L92" s="444">
        <v>7</v>
      </c>
      <c r="M92" s="781" t="str">
        <f t="shared" si="8"/>
        <v>NO APLICA</v>
      </c>
      <c r="N92" s="781"/>
    </row>
    <row r="93" spans="2:14">
      <c r="B93" s="319"/>
      <c r="C93" s="319"/>
      <c r="D93" s="448"/>
      <c r="E93" s="320"/>
      <c r="F93" s="450" t="str">
        <f>IF(OR(D93="",E93=""),"",ROUND(D93/LOOKUP(E93,SMMLV!$A$2:$A$36,SMMLV!$D$2:$D$100),3))</f>
        <v/>
      </c>
      <c r="K93" s="782"/>
      <c r="L93" s="444">
        <v>8</v>
      </c>
      <c r="M93" s="781" t="str">
        <f t="shared" si="8"/>
        <v>NO APLICA</v>
      </c>
      <c r="N93" s="781"/>
    </row>
    <row r="94" spans="2:14">
      <c r="B94" s="319"/>
      <c r="C94" s="319"/>
      <c r="D94" s="448"/>
      <c r="E94" s="320"/>
      <c r="F94" s="450" t="str">
        <f>IF(OR(D94="",E94=""),"",ROUND(D94/LOOKUP(E94,SMMLV!$A$2:$A$36,SMMLV!$D$2:$D$100),3))</f>
        <v/>
      </c>
      <c r="K94" s="782"/>
      <c r="L94" s="444">
        <v>9</v>
      </c>
      <c r="M94" s="781" t="str">
        <f t="shared" si="8"/>
        <v>NO APLICA</v>
      </c>
      <c r="N94" s="781"/>
    </row>
    <row r="95" spans="2:14">
      <c r="B95" s="319"/>
      <c r="C95" s="319"/>
      <c r="D95" s="448"/>
      <c r="E95" s="320"/>
      <c r="F95" s="450" t="str">
        <f>IF(OR(D95="",E95=""),"",ROUND(D95/LOOKUP(E95,SMMLV!$A$2:$A$36,SMMLV!$D$2:$D$100),3))</f>
        <v/>
      </c>
      <c r="K95" s="782"/>
      <c r="L95" s="444">
        <v>10</v>
      </c>
      <c r="M95" s="781" t="str">
        <f t="shared" si="8"/>
        <v>NO APLICA</v>
      </c>
      <c r="N95" s="781"/>
    </row>
    <row r="96" spans="2:14">
      <c r="B96" s="319"/>
      <c r="C96" s="319"/>
      <c r="D96" s="448"/>
      <c r="E96" s="320"/>
      <c r="F96" s="450" t="str">
        <f>IF(OR(D96="",E96=""),"",ROUND(D96/LOOKUP(E96,SMMLV!$A$2:$A$36,SMMLV!$D$2:$D$100),3))</f>
        <v/>
      </c>
      <c r="K96" s="782">
        <v>10</v>
      </c>
      <c r="L96" s="444">
        <v>1</v>
      </c>
      <c r="M96" s="781" t="str">
        <f t="shared" ref="M96:M105" si="9">IF(SUMIFS($F$5:$F$1200,$B$5:$B$1200,$K$96,$C$5:$C$1200,$L96)=0,"NO APLICA",ROUND(SUMIFS($F$5:$F$1200,$B$5:$B$1200,$K$96,$C$5:$C$1200,$L96),3))</f>
        <v>NO APLICA</v>
      </c>
      <c r="N96" s="781"/>
    </row>
    <row r="97" spans="2:14">
      <c r="B97" s="319"/>
      <c r="C97" s="319"/>
      <c r="D97" s="448"/>
      <c r="E97" s="320"/>
      <c r="F97" s="450" t="str">
        <f>IF(OR(D97="",E97=""),"",ROUND(D97/LOOKUP(E97,SMMLV!$A$2:$A$36,SMMLV!$D$2:$D$100),3))</f>
        <v/>
      </c>
      <c r="K97" s="782"/>
      <c r="L97" s="444">
        <v>2</v>
      </c>
      <c r="M97" s="781" t="str">
        <f t="shared" si="9"/>
        <v>NO APLICA</v>
      </c>
      <c r="N97" s="781"/>
    </row>
    <row r="98" spans="2:14">
      <c r="B98" s="319"/>
      <c r="C98" s="319"/>
      <c r="D98" s="448"/>
      <c r="E98" s="320"/>
      <c r="F98" s="450" t="str">
        <f>IF(OR(D98="",E98=""),"",ROUND(D98/LOOKUP(E98,SMMLV!$A$2:$A$36,SMMLV!$D$2:$D$100),3))</f>
        <v/>
      </c>
      <c r="K98" s="782"/>
      <c r="L98" s="444">
        <v>3</v>
      </c>
      <c r="M98" s="781" t="str">
        <f t="shared" si="9"/>
        <v>NO APLICA</v>
      </c>
      <c r="N98" s="781"/>
    </row>
    <row r="99" spans="2:14">
      <c r="B99" s="319"/>
      <c r="C99" s="319"/>
      <c r="D99" s="448"/>
      <c r="E99" s="320"/>
      <c r="F99" s="450" t="str">
        <f>IF(OR(D99="",E99=""),"",ROUND(D99/LOOKUP(E99,SMMLV!$A$2:$A$36,SMMLV!$D$2:$D$100),3))</f>
        <v/>
      </c>
      <c r="K99" s="782"/>
      <c r="L99" s="444">
        <v>4</v>
      </c>
      <c r="M99" s="781" t="str">
        <f t="shared" si="9"/>
        <v>NO APLICA</v>
      </c>
      <c r="N99" s="781"/>
    </row>
    <row r="100" spans="2:14">
      <c r="B100" s="319"/>
      <c r="C100" s="319"/>
      <c r="D100" s="448"/>
      <c r="E100" s="320"/>
      <c r="F100" s="450" t="str">
        <f>IF(OR(D100="",E100=""),"",ROUND(D100/LOOKUP(E100,SMMLV!$A$2:$A$36,SMMLV!$D$2:$D$100),3))</f>
        <v/>
      </c>
      <c r="K100" s="782"/>
      <c r="L100" s="444">
        <v>5</v>
      </c>
      <c r="M100" s="781" t="str">
        <f t="shared" si="9"/>
        <v>NO APLICA</v>
      </c>
      <c r="N100" s="781"/>
    </row>
    <row r="101" spans="2:14">
      <c r="B101" s="319"/>
      <c r="C101" s="319"/>
      <c r="D101" s="448"/>
      <c r="E101" s="320"/>
      <c r="F101" s="450" t="str">
        <f>IF(OR(D101="",E101=""),"",ROUND(D101/LOOKUP(E101,SMMLV!$A$2:$A$36,SMMLV!$D$2:$D$100),3))</f>
        <v/>
      </c>
      <c r="K101" s="782"/>
      <c r="L101" s="444">
        <v>6</v>
      </c>
      <c r="M101" s="781" t="str">
        <f t="shared" si="9"/>
        <v>NO APLICA</v>
      </c>
      <c r="N101" s="781"/>
    </row>
    <row r="102" spans="2:14">
      <c r="B102" s="319"/>
      <c r="C102" s="319"/>
      <c r="D102" s="448"/>
      <c r="E102" s="320"/>
      <c r="F102" s="450" t="str">
        <f>IF(OR(D102="",E102=""),"",ROUND(D102/LOOKUP(E102,SMMLV!$A$2:$A$36,SMMLV!$D$2:$D$100),3))</f>
        <v/>
      </c>
      <c r="K102" s="782"/>
      <c r="L102" s="444">
        <v>7</v>
      </c>
      <c r="M102" s="781" t="str">
        <f t="shared" si="9"/>
        <v>NO APLICA</v>
      </c>
      <c r="N102" s="781"/>
    </row>
    <row r="103" spans="2:14">
      <c r="B103" s="319"/>
      <c r="C103" s="319"/>
      <c r="D103" s="448"/>
      <c r="E103" s="320"/>
      <c r="F103" s="450" t="str">
        <f>IF(OR(D103="",E103=""),"",ROUND(D103/LOOKUP(E103,SMMLV!$A$2:$A$36,SMMLV!$D$2:$D$100),3))</f>
        <v/>
      </c>
      <c r="K103" s="782"/>
      <c r="L103" s="444">
        <v>8</v>
      </c>
      <c r="M103" s="781" t="str">
        <f t="shared" si="9"/>
        <v>NO APLICA</v>
      </c>
      <c r="N103" s="781"/>
    </row>
    <row r="104" spans="2:14">
      <c r="B104" s="319"/>
      <c r="C104" s="319"/>
      <c r="D104" s="448"/>
      <c r="E104" s="320"/>
      <c r="F104" s="450" t="str">
        <f>IF(OR(D104="",E104=""),"",ROUND(D104/LOOKUP(E104,SMMLV!$A$2:$A$36,SMMLV!$D$2:$D$100),3))</f>
        <v/>
      </c>
      <c r="K104" s="782"/>
      <c r="L104" s="444">
        <v>9</v>
      </c>
      <c r="M104" s="781" t="str">
        <f t="shared" si="9"/>
        <v>NO APLICA</v>
      </c>
      <c r="N104" s="781"/>
    </row>
    <row r="105" spans="2:14">
      <c r="B105" s="319"/>
      <c r="C105" s="319"/>
      <c r="D105" s="448"/>
      <c r="E105" s="320"/>
      <c r="F105" s="450" t="str">
        <f>IF(OR(D105="",E105=""),"",ROUND(D105/LOOKUP(E105,SMMLV!$A$2:$A$36,SMMLV!$D$2:$D$100),3))</f>
        <v/>
      </c>
      <c r="K105" s="782"/>
      <c r="L105" s="444">
        <v>10</v>
      </c>
      <c r="M105" s="781" t="str">
        <f t="shared" si="9"/>
        <v>NO APLICA</v>
      </c>
      <c r="N105" s="781"/>
    </row>
    <row r="106" spans="2:14">
      <c r="B106" s="319"/>
      <c r="C106" s="319"/>
      <c r="D106" s="448"/>
      <c r="E106" s="320"/>
      <c r="F106" s="450" t="str">
        <f>IF(OR(D106="",E106=""),"",ROUND(D106/LOOKUP(E106,SMMLV!$A$2:$A$36,SMMLV!$D$2:$D$100),3))</f>
        <v/>
      </c>
      <c r="K106" s="782">
        <v>11</v>
      </c>
      <c r="L106" s="444">
        <v>1</v>
      </c>
      <c r="M106" s="781" t="str">
        <f t="shared" ref="M106:M115" si="10">IF(SUMIFS($F$5:$F$1200,$B$5:$B$1200,$K$106,$C$5:$C$1200,$L106)=0,"NO APLICA",ROUND(SUMIFS($F$5:$F$1200,$B$5:$B$1200,$K$106,$C$5:$C$1200,$L106),3))</f>
        <v>NO APLICA</v>
      </c>
      <c r="N106" s="781"/>
    </row>
    <row r="107" spans="2:14">
      <c r="B107" s="319"/>
      <c r="C107" s="319"/>
      <c r="D107" s="448"/>
      <c r="E107" s="320"/>
      <c r="F107" s="450" t="str">
        <f>IF(OR(D107="",E107=""),"",ROUND(D107/LOOKUP(E107,SMMLV!$A$2:$A$36,SMMLV!$D$2:$D$100),3))</f>
        <v/>
      </c>
      <c r="K107" s="782"/>
      <c r="L107" s="444">
        <v>2</v>
      </c>
      <c r="M107" s="781" t="str">
        <f t="shared" si="10"/>
        <v>NO APLICA</v>
      </c>
      <c r="N107" s="781"/>
    </row>
    <row r="108" spans="2:14">
      <c r="B108" s="319"/>
      <c r="C108" s="319"/>
      <c r="D108" s="448"/>
      <c r="E108" s="320"/>
      <c r="F108" s="450" t="str">
        <f>IF(OR(D108="",E108=""),"",ROUND(D108/LOOKUP(E108,SMMLV!$A$2:$A$36,SMMLV!$D$2:$D$100),3))</f>
        <v/>
      </c>
      <c r="K108" s="782"/>
      <c r="L108" s="444">
        <v>3</v>
      </c>
      <c r="M108" s="781" t="str">
        <f t="shared" si="10"/>
        <v>NO APLICA</v>
      </c>
      <c r="N108" s="781"/>
    </row>
    <row r="109" spans="2:14">
      <c r="B109" s="319"/>
      <c r="C109" s="319"/>
      <c r="D109" s="448"/>
      <c r="E109" s="320"/>
      <c r="F109" s="450" t="str">
        <f>IF(OR(D109="",E109=""),"",ROUND(D109/LOOKUP(E109,SMMLV!$A$2:$A$36,SMMLV!$D$2:$D$100),3))</f>
        <v/>
      </c>
      <c r="K109" s="782"/>
      <c r="L109" s="444">
        <v>4</v>
      </c>
      <c r="M109" s="781" t="str">
        <f t="shared" si="10"/>
        <v>NO APLICA</v>
      </c>
      <c r="N109" s="781"/>
    </row>
    <row r="110" spans="2:14">
      <c r="B110" s="319"/>
      <c r="C110" s="319"/>
      <c r="D110" s="448"/>
      <c r="E110" s="320"/>
      <c r="F110" s="450" t="str">
        <f>IF(OR(D110="",E110=""),"",ROUND(D110/LOOKUP(E110,SMMLV!$A$2:$A$36,SMMLV!$D$2:$D$100),3))</f>
        <v/>
      </c>
      <c r="K110" s="782"/>
      <c r="L110" s="444">
        <v>5</v>
      </c>
      <c r="M110" s="781" t="str">
        <f t="shared" si="10"/>
        <v>NO APLICA</v>
      </c>
      <c r="N110" s="781"/>
    </row>
    <row r="111" spans="2:14">
      <c r="B111" s="319"/>
      <c r="C111" s="319"/>
      <c r="D111" s="448"/>
      <c r="E111" s="320"/>
      <c r="F111" s="450" t="str">
        <f>IF(OR(D111="",E111=""),"",ROUND(D111/LOOKUP(E111,SMMLV!$A$2:$A$36,SMMLV!$D$2:$D$100),3))</f>
        <v/>
      </c>
      <c r="K111" s="782"/>
      <c r="L111" s="444">
        <v>6</v>
      </c>
      <c r="M111" s="781" t="str">
        <f t="shared" si="10"/>
        <v>NO APLICA</v>
      </c>
      <c r="N111" s="781"/>
    </row>
    <row r="112" spans="2:14">
      <c r="B112" s="319"/>
      <c r="C112" s="319"/>
      <c r="D112" s="448"/>
      <c r="E112" s="320"/>
      <c r="F112" s="450" t="str">
        <f>IF(OR(D112="",E112=""),"",ROUND(D112/LOOKUP(E112,SMMLV!$A$2:$A$36,SMMLV!$D$2:$D$100),3))</f>
        <v/>
      </c>
      <c r="K112" s="782"/>
      <c r="L112" s="444">
        <v>7</v>
      </c>
      <c r="M112" s="781" t="str">
        <f t="shared" si="10"/>
        <v>NO APLICA</v>
      </c>
      <c r="N112" s="781"/>
    </row>
    <row r="113" spans="2:14">
      <c r="B113" s="319"/>
      <c r="C113" s="319"/>
      <c r="D113" s="448"/>
      <c r="E113" s="320"/>
      <c r="F113" s="450" t="str">
        <f>IF(OR(D113="",E113=""),"",ROUND(D113/LOOKUP(E113,SMMLV!$A$2:$A$36,SMMLV!$D$2:$D$100),3))</f>
        <v/>
      </c>
      <c r="K113" s="782"/>
      <c r="L113" s="444">
        <v>8</v>
      </c>
      <c r="M113" s="781" t="str">
        <f t="shared" si="10"/>
        <v>NO APLICA</v>
      </c>
      <c r="N113" s="781"/>
    </row>
    <row r="114" spans="2:14">
      <c r="B114" s="319"/>
      <c r="C114" s="319"/>
      <c r="D114" s="448"/>
      <c r="E114" s="320"/>
      <c r="F114" s="450" t="str">
        <f>IF(OR(D114="",E114=""),"",ROUND(D114/LOOKUP(E114,SMMLV!$A$2:$A$36,SMMLV!$D$2:$D$100),3))</f>
        <v/>
      </c>
      <c r="K114" s="782"/>
      <c r="L114" s="444">
        <v>9</v>
      </c>
      <c r="M114" s="781" t="str">
        <f t="shared" si="10"/>
        <v>NO APLICA</v>
      </c>
      <c r="N114" s="781"/>
    </row>
    <row r="115" spans="2:14">
      <c r="B115" s="319"/>
      <c r="C115" s="319"/>
      <c r="D115" s="448"/>
      <c r="E115" s="320"/>
      <c r="F115" s="450" t="str">
        <f>IF(OR(D115="",E115=""),"",ROUND(D115/LOOKUP(E115,SMMLV!$A$2:$A$36,SMMLV!$D$2:$D$100),3))</f>
        <v/>
      </c>
      <c r="K115" s="782"/>
      <c r="L115" s="444">
        <v>10</v>
      </c>
      <c r="M115" s="781" t="str">
        <f t="shared" si="10"/>
        <v>NO APLICA</v>
      </c>
      <c r="N115" s="781"/>
    </row>
    <row r="116" spans="2:14">
      <c r="B116" s="319"/>
      <c r="C116" s="319"/>
      <c r="D116" s="448"/>
      <c r="E116" s="320"/>
      <c r="F116" s="450" t="str">
        <f>IF(OR(D116="",E116=""),"",ROUND(D116/LOOKUP(E116,SMMLV!$A$2:$A$36,SMMLV!$D$2:$D$100),3))</f>
        <v/>
      </c>
      <c r="K116" s="782">
        <v>12</v>
      </c>
      <c r="L116" s="444">
        <v>1</v>
      </c>
      <c r="M116" s="781" t="str">
        <f t="shared" ref="M116:M125" si="11">IF(SUMIFS($F$5:$F$1200,$B$5:$B$1200,$K$116,$C$5:$C$1200,$L116)=0,"NO APLICA",ROUND(SUMIFS($F$5:$F$1200,$B$5:$B$1200,$K$116,$C$5:$C$1200,$L116),3))</f>
        <v>NO APLICA</v>
      </c>
      <c r="N116" s="781"/>
    </row>
    <row r="117" spans="2:14">
      <c r="B117" s="319"/>
      <c r="C117" s="319"/>
      <c r="D117" s="448"/>
      <c r="E117" s="320"/>
      <c r="F117" s="450" t="str">
        <f>IF(OR(D117="",E117=""),"",ROUND(D117/LOOKUP(E117,SMMLV!$A$2:$A$36,SMMLV!$D$2:$D$100),3))</f>
        <v/>
      </c>
      <c r="K117" s="782"/>
      <c r="L117" s="444">
        <v>2</v>
      </c>
      <c r="M117" s="781" t="str">
        <f t="shared" si="11"/>
        <v>NO APLICA</v>
      </c>
      <c r="N117" s="781"/>
    </row>
    <row r="118" spans="2:14">
      <c r="B118" s="319"/>
      <c r="C118" s="319"/>
      <c r="D118" s="448"/>
      <c r="E118" s="320"/>
      <c r="F118" s="450" t="str">
        <f>IF(OR(D118="",E118=""),"",ROUND(D118/LOOKUP(E118,SMMLV!$A$2:$A$36,SMMLV!$D$2:$D$100),3))</f>
        <v/>
      </c>
      <c r="K118" s="782"/>
      <c r="L118" s="444">
        <v>3</v>
      </c>
      <c r="M118" s="781" t="str">
        <f t="shared" si="11"/>
        <v>NO APLICA</v>
      </c>
      <c r="N118" s="781"/>
    </row>
    <row r="119" spans="2:14">
      <c r="B119" s="319"/>
      <c r="C119" s="319"/>
      <c r="D119" s="448"/>
      <c r="E119" s="320"/>
      <c r="F119" s="450" t="str">
        <f>IF(OR(D119="",E119=""),"",ROUND(D119/LOOKUP(E119,SMMLV!$A$2:$A$36,SMMLV!$D$2:$D$100),3))</f>
        <v/>
      </c>
      <c r="K119" s="782"/>
      <c r="L119" s="444">
        <v>4</v>
      </c>
      <c r="M119" s="781" t="str">
        <f t="shared" si="11"/>
        <v>NO APLICA</v>
      </c>
      <c r="N119" s="781"/>
    </row>
    <row r="120" spans="2:14">
      <c r="B120" s="319"/>
      <c r="C120" s="319"/>
      <c r="D120" s="448"/>
      <c r="E120" s="320"/>
      <c r="F120" s="450" t="str">
        <f>IF(OR(D120="",E120=""),"",ROUND(D120/LOOKUP(E120,SMMLV!$A$2:$A$36,SMMLV!$D$2:$D$100),3))</f>
        <v/>
      </c>
      <c r="K120" s="782"/>
      <c r="L120" s="444">
        <v>5</v>
      </c>
      <c r="M120" s="781" t="str">
        <f t="shared" si="11"/>
        <v>NO APLICA</v>
      </c>
      <c r="N120" s="781"/>
    </row>
    <row r="121" spans="2:14">
      <c r="B121" s="319"/>
      <c r="C121" s="319"/>
      <c r="D121" s="448"/>
      <c r="E121" s="320"/>
      <c r="F121" s="450" t="str">
        <f>IF(OR(D121="",E121=""),"",ROUND(D121/LOOKUP(E121,SMMLV!$A$2:$A$36,SMMLV!$D$2:$D$100),3))</f>
        <v/>
      </c>
      <c r="K121" s="782"/>
      <c r="L121" s="444">
        <v>6</v>
      </c>
      <c r="M121" s="781" t="str">
        <f t="shared" si="11"/>
        <v>NO APLICA</v>
      </c>
      <c r="N121" s="781"/>
    </row>
    <row r="122" spans="2:14">
      <c r="B122" s="319"/>
      <c r="C122" s="319"/>
      <c r="D122" s="448"/>
      <c r="E122" s="320"/>
      <c r="F122" s="450" t="str">
        <f>IF(OR(D122="",E122=""),"",ROUND(D122/LOOKUP(E122,SMMLV!$A$2:$A$36,SMMLV!$D$2:$D$100),3))</f>
        <v/>
      </c>
      <c r="K122" s="782"/>
      <c r="L122" s="444">
        <v>7</v>
      </c>
      <c r="M122" s="781" t="str">
        <f t="shared" si="11"/>
        <v>NO APLICA</v>
      </c>
      <c r="N122" s="781"/>
    </row>
    <row r="123" spans="2:14">
      <c r="B123" s="319"/>
      <c r="C123" s="319"/>
      <c r="D123" s="448"/>
      <c r="E123" s="320"/>
      <c r="F123" s="450" t="str">
        <f>IF(OR(D123="",E123=""),"",ROUND(D123/LOOKUP(E123,SMMLV!$A$2:$A$36,SMMLV!$D$2:$D$100),3))</f>
        <v/>
      </c>
      <c r="K123" s="782"/>
      <c r="L123" s="444">
        <v>8</v>
      </c>
      <c r="M123" s="781" t="str">
        <f t="shared" si="11"/>
        <v>NO APLICA</v>
      </c>
      <c r="N123" s="781"/>
    </row>
    <row r="124" spans="2:14">
      <c r="B124" s="319"/>
      <c r="C124" s="319"/>
      <c r="D124" s="448"/>
      <c r="E124" s="320"/>
      <c r="F124" s="450" t="str">
        <f>IF(OR(D124="",E124=""),"",ROUND(D124/LOOKUP(E124,SMMLV!$A$2:$A$36,SMMLV!$D$2:$D$100),3))</f>
        <v/>
      </c>
      <c r="K124" s="782"/>
      <c r="L124" s="444">
        <v>9</v>
      </c>
      <c r="M124" s="781" t="str">
        <f t="shared" si="11"/>
        <v>NO APLICA</v>
      </c>
      <c r="N124" s="781"/>
    </row>
    <row r="125" spans="2:14">
      <c r="B125" s="319"/>
      <c r="C125" s="319"/>
      <c r="D125" s="448"/>
      <c r="E125" s="320"/>
      <c r="F125" s="450" t="str">
        <f>IF(OR(D125="",E125=""),"",ROUND(D125/LOOKUP(E125,SMMLV!$A$2:$A$36,SMMLV!$D$2:$D$100),3))</f>
        <v/>
      </c>
      <c r="K125" s="782"/>
      <c r="L125" s="444">
        <v>10</v>
      </c>
      <c r="M125" s="781" t="str">
        <f t="shared" si="11"/>
        <v>NO APLICA</v>
      </c>
      <c r="N125" s="781"/>
    </row>
    <row r="126" spans="2:14">
      <c r="B126" s="319"/>
      <c r="C126" s="319"/>
      <c r="D126" s="448"/>
      <c r="E126" s="320"/>
      <c r="F126" s="450" t="str">
        <f>IF(OR(D126="",E126=""),"",ROUND(D126/LOOKUP(E126,SMMLV!$A$2:$A$36,SMMLV!$D$2:$D$100),3))</f>
        <v/>
      </c>
      <c r="K126" s="782">
        <v>13</v>
      </c>
      <c r="L126" s="444">
        <v>1</v>
      </c>
      <c r="M126" s="781" t="str">
        <f t="shared" ref="M126:M135" si="12">IF(SUMIFS($F$5:$F$1200,$B$5:$B$1200,$K$126,$C$5:$C$1200,$L126)=0,"NO APLICA",ROUND(SUMIFS($F$5:$F$1200,$B$5:$B$1200,$K$126,$C$5:$C$1200,$L126),3))</f>
        <v>NO APLICA</v>
      </c>
      <c r="N126" s="781"/>
    </row>
    <row r="127" spans="2:14">
      <c r="B127" s="319"/>
      <c r="C127" s="319"/>
      <c r="D127" s="448"/>
      <c r="E127" s="320"/>
      <c r="F127" s="450" t="str">
        <f>IF(OR(D127="",E127=""),"",ROUND(D127/LOOKUP(E127,SMMLV!$A$2:$A$36,SMMLV!$D$2:$D$100),3))</f>
        <v/>
      </c>
      <c r="K127" s="782"/>
      <c r="L127" s="444">
        <v>2</v>
      </c>
      <c r="M127" s="781" t="str">
        <f t="shared" si="12"/>
        <v>NO APLICA</v>
      </c>
      <c r="N127" s="781"/>
    </row>
    <row r="128" spans="2:14">
      <c r="B128" s="319"/>
      <c r="C128" s="319"/>
      <c r="D128" s="448"/>
      <c r="E128" s="320"/>
      <c r="F128" s="450" t="str">
        <f>IF(OR(D128="",E128=""),"",ROUND(D128/LOOKUP(E128,SMMLV!$A$2:$A$36,SMMLV!$D$2:$D$100),3))</f>
        <v/>
      </c>
      <c r="K128" s="782"/>
      <c r="L128" s="444">
        <v>3</v>
      </c>
      <c r="M128" s="781" t="str">
        <f t="shared" si="12"/>
        <v>NO APLICA</v>
      </c>
      <c r="N128" s="781"/>
    </row>
    <row r="129" spans="2:14">
      <c r="B129" s="319"/>
      <c r="C129" s="319"/>
      <c r="D129" s="448"/>
      <c r="E129" s="320"/>
      <c r="F129" s="450" t="str">
        <f>IF(OR(D129="",E129=""),"",ROUND(D129/LOOKUP(E129,SMMLV!$A$2:$A$36,SMMLV!$D$2:$D$100),3))</f>
        <v/>
      </c>
      <c r="K129" s="782"/>
      <c r="L129" s="444">
        <v>4</v>
      </c>
      <c r="M129" s="781" t="str">
        <f t="shared" si="12"/>
        <v>NO APLICA</v>
      </c>
      <c r="N129" s="781"/>
    </row>
    <row r="130" spans="2:14">
      <c r="B130" s="319"/>
      <c r="C130" s="319"/>
      <c r="D130" s="448"/>
      <c r="E130" s="320"/>
      <c r="F130" s="450" t="str">
        <f>IF(OR(D130="",E130=""),"",ROUND(D130/LOOKUP(E130,SMMLV!$A$2:$A$36,SMMLV!$D$2:$D$100),3))</f>
        <v/>
      </c>
      <c r="K130" s="782"/>
      <c r="L130" s="444">
        <v>5</v>
      </c>
      <c r="M130" s="781" t="str">
        <f t="shared" si="12"/>
        <v>NO APLICA</v>
      </c>
      <c r="N130" s="781"/>
    </row>
    <row r="131" spans="2:14">
      <c r="B131" s="319"/>
      <c r="C131" s="319"/>
      <c r="D131" s="448"/>
      <c r="E131" s="320"/>
      <c r="F131" s="450" t="str">
        <f>IF(OR(D131="",E131=""),"",ROUND(D131/LOOKUP(E131,SMMLV!$A$2:$A$36,SMMLV!$D$2:$D$100),3))</f>
        <v/>
      </c>
      <c r="K131" s="782"/>
      <c r="L131" s="444">
        <v>6</v>
      </c>
      <c r="M131" s="781" t="str">
        <f t="shared" si="12"/>
        <v>NO APLICA</v>
      </c>
      <c r="N131" s="781"/>
    </row>
    <row r="132" spans="2:14">
      <c r="B132" s="319"/>
      <c r="C132" s="319"/>
      <c r="D132" s="448"/>
      <c r="E132" s="320"/>
      <c r="F132" s="450" t="str">
        <f>IF(OR(D132="",E132=""),"",ROUND(D132/LOOKUP(E132,SMMLV!$A$2:$A$36,SMMLV!$D$2:$D$100),3))</f>
        <v/>
      </c>
      <c r="K132" s="782"/>
      <c r="L132" s="444">
        <v>7</v>
      </c>
      <c r="M132" s="781" t="str">
        <f t="shared" si="12"/>
        <v>NO APLICA</v>
      </c>
      <c r="N132" s="781"/>
    </row>
    <row r="133" spans="2:14">
      <c r="B133" s="319"/>
      <c r="C133" s="319"/>
      <c r="D133" s="448"/>
      <c r="E133" s="320"/>
      <c r="F133" s="450" t="str">
        <f>IF(OR(D133="",E133=""),"",ROUND(D133/LOOKUP(E133,SMMLV!$A$2:$A$36,SMMLV!$D$2:$D$100),3))</f>
        <v/>
      </c>
      <c r="K133" s="782"/>
      <c r="L133" s="444">
        <v>8</v>
      </c>
      <c r="M133" s="781" t="str">
        <f t="shared" si="12"/>
        <v>NO APLICA</v>
      </c>
      <c r="N133" s="781"/>
    </row>
    <row r="134" spans="2:14">
      <c r="B134" s="319"/>
      <c r="C134" s="319"/>
      <c r="D134" s="448"/>
      <c r="E134" s="320"/>
      <c r="F134" s="450" t="str">
        <f>IF(OR(D134="",E134=""),"",ROUND(D134/LOOKUP(E134,SMMLV!$A$2:$A$36,SMMLV!$D$2:$D$100),3))</f>
        <v/>
      </c>
      <c r="K134" s="782"/>
      <c r="L134" s="444">
        <v>9</v>
      </c>
      <c r="M134" s="781" t="str">
        <f t="shared" si="12"/>
        <v>NO APLICA</v>
      </c>
      <c r="N134" s="781"/>
    </row>
    <row r="135" spans="2:14">
      <c r="B135" s="319"/>
      <c r="C135" s="319"/>
      <c r="D135" s="448"/>
      <c r="E135" s="320"/>
      <c r="F135" s="450" t="str">
        <f>IF(OR(D135="",E135=""),"",ROUND(D135/LOOKUP(E135,SMMLV!$A$2:$A$36,SMMLV!$D$2:$D$100),3))</f>
        <v/>
      </c>
      <c r="K135" s="782"/>
      <c r="L135" s="444">
        <v>10</v>
      </c>
      <c r="M135" s="781" t="str">
        <f t="shared" si="12"/>
        <v>NO APLICA</v>
      </c>
      <c r="N135" s="781"/>
    </row>
    <row r="136" spans="2:14">
      <c r="B136" s="319"/>
      <c r="C136" s="319"/>
      <c r="D136" s="448"/>
      <c r="E136" s="320"/>
      <c r="F136" s="450" t="str">
        <f>IF(OR(D136="",E136=""),"",ROUND(D136/LOOKUP(E136,SMMLV!$A$2:$A$36,SMMLV!$D$2:$D$100),3))</f>
        <v/>
      </c>
      <c r="K136" s="782">
        <v>14</v>
      </c>
      <c r="L136" s="444">
        <v>1</v>
      </c>
      <c r="M136" s="781" t="str">
        <f t="shared" ref="M136:M145" si="13">IF(SUMIFS($F$5:$F$1200,$B$5:$B$1200,$K$136,$C$5:$C$1200,$L136)=0,"NO APLICA",ROUND(SUMIFS($F$5:$F$1200,$B$5:$B$1200,$K$136,$C$5:$C$1200,$L136),3))</f>
        <v>NO APLICA</v>
      </c>
      <c r="N136" s="781"/>
    </row>
    <row r="137" spans="2:14">
      <c r="B137" s="319"/>
      <c r="C137" s="319"/>
      <c r="D137" s="448"/>
      <c r="E137" s="320"/>
      <c r="F137" s="450" t="str">
        <f>IF(OR(D137="",E137=""),"",ROUND(D137/LOOKUP(E137,SMMLV!$A$2:$A$36,SMMLV!$D$2:$D$100),3))</f>
        <v/>
      </c>
      <c r="K137" s="782"/>
      <c r="L137" s="444">
        <v>2</v>
      </c>
      <c r="M137" s="781" t="str">
        <f t="shared" si="13"/>
        <v>NO APLICA</v>
      </c>
      <c r="N137" s="781"/>
    </row>
    <row r="138" spans="2:14">
      <c r="B138" s="319"/>
      <c r="C138" s="319"/>
      <c r="D138" s="448"/>
      <c r="E138" s="320"/>
      <c r="F138" s="450" t="str">
        <f>IF(OR(D138="",E138=""),"",ROUND(D138/LOOKUP(E138,SMMLV!$A$2:$A$36,SMMLV!$D$2:$D$100),3))</f>
        <v/>
      </c>
      <c r="K138" s="782"/>
      <c r="L138" s="444">
        <v>3</v>
      </c>
      <c r="M138" s="781" t="str">
        <f t="shared" si="13"/>
        <v>NO APLICA</v>
      </c>
      <c r="N138" s="781"/>
    </row>
    <row r="139" spans="2:14">
      <c r="B139" s="319"/>
      <c r="C139" s="319"/>
      <c r="D139" s="448"/>
      <c r="E139" s="320"/>
      <c r="F139" s="450" t="str">
        <f>IF(OR(D139="",E139=""),"",ROUND(D139/LOOKUP(E139,SMMLV!$A$2:$A$36,SMMLV!$D$2:$D$100),3))</f>
        <v/>
      </c>
      <c r="K139" s="782"/>
      <c r="L139" s="444">
        <v>4</v>
      </c>
      <c r="M139" s="781" t="str">
        <f t="shared" si="13"/>
        <v>NO APLICA</v>
      </c>
      <c r="N139" s="781"/>
    </row>
    <row r="140" spans="2:14">
      <c r="B140" s="319"/>
      <c r="C140" s="319"/>
      <c r="D140" s="448"/>
      <c r="E140" s="320"/>
      <c r="F140" s="450" t="str">
        <f>IF(OR(D140="",E140=""),"",ROUND(D140/LOOKUP(E140,SMMLV!$A$2:$A$36,SMMLV!$D$2:$D$100),3))</f>
        <v/>
      </c>
      <c r="K140" s="782"/>
      <c r="L140" s="444">
        <v>5</v>
      </c>
      <c r="M140" s="781" t="str">
        <f t="shared" si="13"/>
        <v>NO APLICA</v>
      </c>
      <c r="N140" s="781"/>
    </row>
    <row r="141" spans="2:14">
      <c r="B141" s="319"/>
      <c r="C141" s="319"/>
      <c r="D141" s="448"/>
      <c r="E141" s="320"/>
      <c r="F141" s="450" t="str">
        <f>IF(OR(D141="",E141=""),"",ROUND(D141/LOOKUP(E141,SMMLV!$A$2:$A$36,SMMLV!$D$2:$D$100),3))</f>
        <v/>
      </c>
      <c r="K141" s="782"/>
      <c r="L141" s="444">
        <v>6</v>
      </c>
      <c r="M141" s="781" t="str">
        <f t="shared" si="13"/>
        <v>NO APLICA</v>
      </c>
      <c r="N141" s="781"/>
    </row>
    <row r="142" spans="2:14">
      <c r="B142" s="319"/>
      <c r="C142" s="319"/>
      <c r="D142" s="448"/>
      <c r="E142" s="320"/>
      <c r="F142" s="450" t="str">
        <f>IF(OR(D142="",E142=""),"",ROUND(D142/LOOKUP(E142,SMMLV!$A$2:$A$36,SMMLV!$D$2:$D$100),3))</f>
        <v/>
      </c>
      <c r="K142" s="782"/>
      <c r="L142" s="444">
        <v>7</v>
      </c>
      <c r="M142" s="781" t="str">
        <f t="shared" si="13"/>
        <v>NO APLICA</v>
      </c>
      <c r="N142" s="781"/>
    </row>
    <row r="143" spans="2:14">
      <c r="B143" s="319"/>
      <c r="C143" s="319"/>
      <c r="D143" s="448"/>
      <c r="E143" s="320"/>
      <c r="F143" s="450" t="str">
        <f>IF(OR(D143="",E143=""),"",ROUND(D143/LOOKUP(E143,SMMLV!$A$2:$A$36,SMMLV!$D$2:$D$100),3))</f>
        <v/>
      </c>
      <c r="K143" s="782"/>
      <c r="L143" s="444">
        <v>8</v>
      </c>
      <c r="M143" s="781" t="str">
        <f t="shared" si="13"/>
        <v>NO APLICA</v>
      </c>
      <c r="N143" s="781"/>
    </row>
    <row r="144" spans="2:14">
      <c r="B144" s="319"/>
      <c r="C144" s="319"/>
      <c r="D144" s="448"/>
      <c r="E144" s="320"/>
      <c r="F144" s="450" t="str">
        <f>IF(OR(D144="",E144=""),"",ROUND(D144/LOOKUP(E144,SMMLV!$A$2:$A$36,SMMLV!$D$2:$D$100),3))</f>
        <v/>
      </c>
      <c r="K144" s="782"/>
      <c r="L144" s="444">
        <v>9</v>
      </c>
      <c r="M144" s="781" t="str">
        <f t="shared" si="13"/>
        <v>NO APLICA</v>
      </c>
      <c r="N144" s="781"/>
    </row>
    <row r="145" spans="2:14">
      <c r="B145" s="319"/>
      <c r="C145" s="319"/>
      <c r="D145" s="448"/>
      <c r="E145" s="320"/>
      <c r="F145" s="450" t="str">
        <f>IF(OR(D145="",E145=""),"",ROUND(D145/LOOKUP(E145,SMMLV!$A$2:$A$36,SMMLV!$D$2:$D$100),3))</f>
        <v/>
      </c>
      <c r="K145" s="782"/>
      <c r="L145" s="444">
        <v>10</v>
      </c>
      <c r="M145" s="781" t="str">
        <f t="shared" si="13"/>
        <v>NO APLICA</v>
      </c>
      <c r="N145" s="781"/>
    </row>
    <row r="146" spans="2:14">
      <c r="B146" s="319"/>
      <c r="C146" s="319"/>
      <c r="D146" s="448"/>
      <c r="E146" s="320"/>
      <c r="F146" s="450" t="str">
        <f>IF(OR(D146="",E146=""),"",ROUND(D146/LOOKUP(E146,SMMLV!$A$2:$A$36,SMMLV!$D$2:$D$100),3))</f>
        <v/>
      </c>
      <c r="K146" s="782">
        <v>15</v>
      </c>
      <c r="L146" s="444">
        <v>1</v>
      </c>
      <c r="M146" s="781" t="str">
        <f t="shared" ref="M146:M155" si="14">IF(SUMIFS($F$5:$F$1200,$B$5:$B$1200,$K$146,$C$5:$C$1200,$L146)=0,"NO APLICA",ROUND(SUMIFS($F$5:$F$1200,$B$5:$B$1200,$K$146,$C$5:$C$1200,$L146),3))</f>
        <v>NO APLICA</v>
      </c>
      <c r="N146" s="781"/>
    </row>
    <row r="147" spans="2:14">
      <c r="B147" s="319"/>
      <c r="C147" s="319"/>
      <c r="D147" s="448"/>
      <c r="E147" s="320"/>
      <c r="F147" s="450" t="str">
        <f>IF(OR(D147="",E147=""),"",ROUND(D147/LOOKUP(E147,SMMLV!$A$2:$A$36,SMMLV!$D$2:$D$100),3))</f>
        <v/>
      </c>
      <c r="K147" s="782"/>
      <c r="L147" s="444">
        <v>2</v>
      </c>
      <c r="M147" s="781" t="str">
        <f t="shared" si="14"/>
        <v>NO APLICA</v>
      </c>
      <c r="N147" s="781"/>
    </row>
    <row r="148" spans="2:14">
      <c r="B148" s="319"/>
      <c r="C148" s="319"/>
      <c r="D148" s="448"/>
      <c r="E148" s="320"/>
      <c r="F148" s="450" t="str">
        <f>IF(OR(D148="",E148=""),"",ROUND(D148/LOOKUP(E148,SMMLV!$A$2:$A$36,SMMLV!$D$2:$D$100),3))</f>
        <v/>
      </c>
      <c r="K148" s="782"/>
      <c r="L148" s="444">
        <v>3</v>
      </c>
      <c r="M148" s="781" t="str">
        <f t="shared" si="14"/>
        <v>NO APLICA</v>
      </c>
      <c r="N148" s="781"/>
    </row>
    <row r="149" spans="2:14">
      <c r="B149" s="319"/>
      <c r="C149" s="319"/>
      <c r="D149" s="448"/>
      <c r="E149" s="320"/>
      <c r="F149" s="450" t="str">
        <f>IF(OR(D149="",E149=""),"",ROUND(D149/LOOKUP(E149,SMMLV!$A$2:$A$36,SMMLV!$D$2:$D$100),3))</f>
        <v/>
      </c>
      <c r="K149" s="782"/>
      <c r="L149" s="444">
        <v>4</v>
      </c>
      <c r="M149" s="781" t="str">
        <f t="shared" si="14"/>
        <v>NO APLICA</v>
      </c>
      <c r="N149" s="781"/>
    </row>
    <row r="150" spans="2:14">
      <c r="B150" s="319"/>
      <c r="C150" s="319"/>
      <c r="D150" s="448"/>
      <c r="E150" s="320"/>
      <c r="F150" s="450" t="str">
        <f>IF(OR(D150="",E150=""),"",ROUND(D150/LOOKUP(E150,SMMLV!$A$2:$A$36,SMMLV!$D$2:$D$100),3))</f>
        <v/>
      </c>
      <c r="K150" s="782"/>
      <c r="L150" s="444">
        <v>5</v>
      </c>
      <c r="M150" s="781" t="str">
        <f t="shared" si="14"/>
        <v>NO APLICA</v>
      </c>
      <c r="N150" s="781"/>
    </row>
    <row r="151" spans="2:14">
      <c r="B151" s="319"/>
      <c r="C151" s="319"/>
      <c r="D151" s="448"/>
      <c r="E151" s="320"/>
      <c r="F151" s="450" t="str">
        <f>IF(OR(D151="",E151=""),"",ROUND(D151/LOOKUP(E151,SMMLV!$A$2:$A$36,SMMLV!$D$2:$D$100),3))</f>
        <v/>
      </c>
      <c r="K151" s="782"/>
      <c r="L151" s="444">
        <v>6</v>
      </c>
      <c r="M151" s="781" t="str">
        <f t="shared" si="14"/>
        <v>NO APLICA</v>
      </c>
      <c r="N151" s="781"/>
    </row>
    <row r="152" spans="2:14">
      <c r="B152" s="319"/>
      <c r="C152" s="319"/>
      <c r="D152" s="448"/>
      <c r="E152" s="320"/>
      <c r="F152" s="450" t="str">
        <f>IF(OR(D152="",E152=""),"",ROUND(D152/LOOKUP(E152,SMMLV!$A$2:$A$36,SMMLV!$D$2:$D$100),3))</f>
        <v/>
      </c>
      <c r="K152" s="782"/>
      <c r="L152" s="444">
        <v>7</v>
      </c>
      <c r="M152" s="781" t="str">
        <f t="shared" si="14"/>
        <v>NO APLICA</v>
      </c>
      <c r="N152" s="781"/>
    </row>
    <row r="153" spans="2:14">
      <c r="B153" s="319"/>
      <c r="C153" s="319"/>
      <c r="D153" s="448"/>
      <c r="E153" s="320"/>
      <c r="F153" s="450" t="str">
        <f>IF(OR(D153="",E153=""),"",ROUND(D153/LOOKUP(E153,SMMLV!$A$2:$A$36,SMMLV!$D$2:$D$100),3))</f>
        <v/>
      </c>
      <c r="K153" s="782"/>
      <c r="L153" s="444">
        <v>8</v>
      </c>
      <c r="M153" s="781" t="str">
        <f t="shared" si="14"/>
        <v>NO APLICA</v>
      </c>
      <c r="N153" s="781"/>
    </row>
    <row r="154" spans="2:14">
      <c r="B154" s="319"/>
      <c r="C154" s="319"/>
      <c r="D154" s="448"/>
      <c r="E154" s="320"/>
      <c r="F154" s="450" t="str">
        <f>IF(OR(D154="",E154=""),"",ROUND(D154/LOOKUP(E154,SMMLV!$A$2:$A$36,SMMLV!$D$2:$D$100),3))</f>
        <v/>
      </c>
      <c r="K154" s="782"/>
      <c r="L154" s="444">
        <v>9</v>
      </c>
      <c r="M154" s="781" t="str">
        <f t="shared" si="14"/>
        <v>NO APLICA</v>
      </c>
      <c r="N154" s="781"/>
    </row>
    <row r="155" spans="2:14">
      <c r="B155" s="319"/>
      <c r="C155" s="319"/>
      <c r="D155" s="448"/>
      <c r="E155" s="320"/>
      <c r="F155" s="450" t="str">
        <f>IF(OR(D155="",E155=""),"",ROUND(D155/LOOKUP(E155,SMMLV!$A$2:$A$36,SMMLV!$D$2:$D$100),3))</f>
        <v/>
      </c>
      <c r="K155" s="782"/>
      <c r="L155" s="444">
        <v>10</v>
      </c>
      <c r="M155" s="781" t="str">
        <f t="shared" si="14"/>
        <v>NO APLICA</v>
      </c>
      <c r="N155" s="781"/>
    </row>
    <row r="156" spans="2:14">
      <c r="B156" s="319"/>
      <c r="C156" s="319"/>
      <c r="D156" s="448"/>
      <c r="E156" s="320"/>
      <c r="F156" s="450" t="str">
        <f>IF(OR(D156="",E156=""),"",ROUND(D156/LOOKUP(E156,SMMLV!$A$2:$A$36,SMMLV!$D$2:$D$100),3))</f>
        <v/>
      </c>
      <c r="K156" s="782">
        <v>16</v>
      </c>
      <c r="L156" s="444">
        <v>1</v>
      </c>
      <c r="M156" s="781" t="str">
        <f t="shared" ref="M156:M165" si="15">IF(SUMIFS($F$5:$F$1200,$B$5:$B$1200,$K$156,$C$5:$C$1200,$L156)=0,"NO APLICA",ROUND(SUMIFS($F$5:$F$1200,$B$5:$B$1200,$K$156,$C$5:$C$1200,$L156),3))</f>
        <v>NO APLICA</v>
      </c>
      <c r="N156" s="781"/>
    </row>
    <row r="157" spans="2:14">
      <c r="B157" s="319"/>
      <c r="C157" s="319"/>
      <c r="D157" s="448"/>
      <c r="E157" s="320"/>
      <c r="F157" s="450" t="str">
        <f>IF(OR(D157="",E157=""),"",ROUND(D157/LOOKUP(E157,SMMLV!$A$2:$A$36,SMMLV!$D$2:$D$100),3))</f>
        <v/>
      </c>
      <c r="K157" s="782"/>
      <c r="L157" s="444">
        <v>2</v>
      </c>
      <c r="M157" s="781" t="str">
        <f t="shared" si="15"/>
        <v>NO APLICA</v>
      </c>
      <c r="N157" s="781"/>
    </row>
    <row r="158" spans="2:14">
      <c r="B158" s="319"/>
      <c r="C158" s="319"/>
      <c r="D158" s="448"/>
      <c r="E158" s="320"/>
      <c r="F158" s="450" t="str">
        <f>IF(OR(D158="",E158=""),"",ROUND(D158/LOOKUP(E158,SMMLV!$A$2:$A$36,SMMLV!$D$2:$D$100),3))</f>
        <v/>
      </c>
      <c r="K158" s="782"/>
      <c r="L158" s="444">
        <v>3</v>
      </c>
      <c r="M158" s="781" t="str">
        <f t="shared" si="15"/>
        <v>NO APLICA</v>
      </c>
      <c r="N158" s="781"/>
    </row>
    <row r="159" spans="2:14">
      <c r="B159" s="319"/>
      <c r="C159" s="319"/>
      <c r="D159" s="448"/>
      <c r="E159" s="320"/>
      <c r="F159" s="450" t="str">
        <f>IF(OR(D159="",E159=""),"",ROUND(D159/LOOKUP(E159,SMMLV!$A$2:$A$36,SMMLV!$D$2:$D$100),3))</f>
        <v/>
      </c>
      <c r="K159" s="782"/>
      <c r="L159" s="444">
        <v>4</v>
      </c>
      <c r="M159" s="781" t="str">
        <f t="shared" si="15"/>
        <v>NO APLICA</v>
      </c>
      <c r="N159" s="781"/>
    </row>
    <row r="160" spans="2:14">
      <c r="B160" s="319"/>
      <c r="C160" s="319"/>
      <c r="D160" s="448"/>
      <c r="E160" s="320"/>
      <c r="F160" s="450" t="str">
        <f>IF(OR(D160="",E160=""),"",ROUND(D160/LOOKUP(E160,SMMLV!$A$2:$A$36,SMMLV!$D$2:$D$100),3))</f>
        <v/>
      </c>
      <c r="K160" s="782"/>
      <c r="L160" s="444">
        <v>5</v>
      </c>
      <c r="M160" s="781" t="str">
        <f t="shared" si="15"/>
        <v>NO APLICA</v>
      </c>
      <c r="N160" s="781"/>
    </row>
    <row r="161" spans="2:14">
      <c r="B161" s="319"/>
      <c r="C161" s="319"/>
      <c r="D161" s="448"/>
      <c r="E161" s="320"/>
      <c r="F161" s="450" t="str">
        <f>IF(OR(D161="",E161=""),"",ROUND(D161/LOOKUP(E161,SMMLV!$A$2:$A$36,SMMLV!$D$2:$D$100),3))</f>
        <v/>
      </c>
      <c r="K161" s="782"/>
      <c r="L161" s="444">
        <v>6</v>
      </c>
      <c r="M161" s="781" t="str">
        <f t="shared" si="15"/>
        <v>NO APLICA</v>
      </c>
      <c r="N161" s="781"/>
    </row>
    <row r="162" spans="2:14">
      <c r="B162" s="319"/>
      <c r="C162" s="319"/>
      <c r="D162" s="448"/>
      <c r="E162" s="320"/>
      <c r="F162" s="450" t="str">
        <f>IF(OR(D162="",E162=""),"",ROUND(D162/LOOKUP(E162,SMMLV!$A$2:$A$36,SMMLV!$D$2:$D$100),3))</f>
        <v/>
      </c>
      <c r="K162" s="782"/>
      <c r="L162" s="444">
        <v>7</v>
      </c>
      <c r="M162" s="781" t="str">
        <f t="shared" si="15"/>
        <v>NO APLICA</v>
      </c>
      <c r="N162" s="781"/>
    </row>
    <row r="163" spans="2:14">
      <c r="B163" s="319"/>
      <c r="C163" s="319"/>
      <c r="D163" s="448"/>
      <c r="E163" s="320"/>
      <c r="F163" s="450" t="str">
        <f>IF(OR(D163="",E163=""),"",ROUND(D163/LOOKUP(E163,SMMLV!$A$2:$A$36,SMMLV!$D$2:$D$100),3))</f>
        <v/>
      </c>
      <c r="K163" s="782"/>
      <c r="L163" s="444">
        <v>8</v>
      </c>
      <c r="M163" s="781" t="str">
        <f t="shared" si="15"/>
        <v>NO APLICA</v>
      </c>
      <c r="N163" s="781"/>
    </row>
    <row r="164" spans="2:14">
      <c r="B164" s="319"/>
      <c r="C164" s="319"/>
      <c r="D164" s="448"/>
      <c r="E164" s="320"/>
      <c r="F164" s="450" t="str">
        <f>IF(OR(D164="",E164=""),"",ROUND(D164/LOOKUP(E164,SMMLV!$A$2:$A$36,SMMLV!$D$2:$D$100),3))</f>
        <v/>
      </c>
      <c r="K164" s="782"/>
      <c r="L164" s="444">
        <v>9</v>
      </c>
      <c r="M164" s="781" t="str">
        <f t="shared" si="15"/>
        <v>NO APLICA</v>
      </c>
      <c r="N164" s="781"/>
    </row>
    <row r="165" spans="2:14">
      <c r="B165" s="319"/>
      <c r="C165" s="319"/>
      <c r="D165" s="448"/>
      <c r="E165" s="320"/>
      <c r="F165" s="450" t="str">
        <f>IF(OR(D165="",E165=""),"",ROUND(D165/LOOKUP(E165,SMMLV!$A$2:$A$36,SMMLV!$D$2:$D$100),3))</f>
        <v/>
      </c>
      <c r="K165" s="782"/>
      <c r="L165" s="444">
        <v>10</v>
      </c>
      <c r="M165" s="781" t="str">
        <f t="shared" si="15"/>
        <v>NO APLICA</v>
      </c>
      <c r="N165" s="781"/>
    </row>
    <row r="166" spans="2:14">
      <c r="B166" s="319"/>
      <c r="C166" s="319"/>
      <c r="D166" s="448"/>
      <c r="E166" s="320"/>
      <c r="F166" s="450" t="str">
        <f>IF(OR(D166="",E166=""),"",ROUND(D166/LOOKUP(E166,SMMLV!$A$2:$A$36,SMMLV!$D$2:$D$100),3))</f>
        <v/>
      </c>
      <c r="K166" s="782">
        <v>17</v>
      </c>
      <c r="L166" s="444">
        <v>1</v>
      </c>
      <c r="M166" s="781" t="str">
        <f t="shared" ref="M166:M175" si="16">IF(SUMIFS($F$5:$F$1200,$B$5:$B$1200,$K$166,$C$5:$C$1200,$L166)=0,"NO APLICA",ROUND(SUMIFS($F$5:$F$1200,$B$5:$B$1200,$K$166,$C$5:$C$1200,$L166),3))</f>
        <v>NO APLICA</v>
      </c>
      <c r="N166" s="781"/>
    </row>
    <row r="167" spans="2:14">
      <c r="B167" s="319"/>
      <c r="C167" s="319"/>
      <c r="D167" s="448"/>
      <c r="E167" s="320"/>
      <c r="F167" s="450" t="str">
        <f>IF(OR(D167="",E167=""),"",ROUND(D167/LOOKUP(E167,SMMLV!$A$2:$A$36,SMMLV!$D$2:$D$100),3))</f>
        <v/>
      </c>
      <c r="K167" s="782"/>
      <c r="L167" s="444">
        <v>2</v>
      </c>
      <c r="M167" s="781" t="str">
        <f t="shared" si="16"/>
        <v>NO APLICA</v>
      </c>
      <c r="N167" s="781"/>
    </row>
    <row r="168" spans="2:14">
      <c r="B168" s="319"/>
      <c r="C168" s="319"/>
      <c r="D168" s="448"/>
      <c r="E168" s="320"/>
      <c r="F168" s="450" t="str">
        <f>IF(OR(D168="",E168=""),"",ROUND(D168/LOOKUP(E168,SMMLV!$A$2:$A$36,SMMLV!$D$2:$D$100),3))</f>
        <v/>
      </c>
      <c r="K168" s="782"/>
      <c r="L168" s="444">
        <v>3</v>
      </c>
      <c r="M168" s="781" t="str">
        <f t="shared" si="16"/>
        <v>NO APLICA</v>
      </c>
      <c r="N168" s="781"/>
    </row>
    <row r="169" spans="2:14">
      <c r="B169" s="319"/>
      <c r="C169" s="319"/>
      <c r="D169" s="448"/>
      <c r="E169" s="320"/>
      <c r="F169" s="450" t="str">
        <f>IF(OR(D169="",E169=""),"",ROUND(D169/LOOKUP(E169,SMMLV!$A$2:$A$36,SMMLV!$D$2:$D$100),3))</f>
        <v/>
      </c>
      <c r="K169" s="782"/>
      <c r="L169" s="444">
        <v>4</v>
      </c>
      <c r="M169" s="781" t="str">
        <f t="shared" si="16"/>
        <v>NO APLICA</v>
      </c>
      <c r="N169" s="781"/>
    </row>
    <row r="170" spans="2:14">
      <c r="B170" s="319"/>
      <c r="C170" s="319"/>
      <c r="D170" s="448"/>
      <c r="E170" s="320"/>
      <c r="F170" s="450" t="str">
        <f>IF(OR(D170="",E170=""),"",ROUND(D170/LOOKUP(E170,SMMLV!$A$2:$A$36,SMMLV!$D$2:$D$100),3))</f>
        <v/>
      </c>
      <c r="K170" s="782"/>
      <c r="L170" s="444">
        <v>5</v>
      </c>
      <c r="M170" s="781" t="str">
        <f t="shared" si="16"/>
        <v>NO APLICA</v>
      </c>
      <c r="N170" s="781"/>
    </row>
    <row r="171" spans="2:14">
      <c r="B171" s="319"/>
      <c r="C171" s="319"/>
      <c r="D171" s="448"/>
      <c r="E171" s="320"/>
      <c r="F171" s="450" t="str">
        <f>IF(OR(D171="",E171=""),"",ROUND(D171/LOOKUP(E171,SMMLV!$A$2:$A$36,SMMLV!$D$2:$D$100),3))</f>
        <v/>
      </c>
      <c r="K171" s="782"/>
      <c r="L171" s="444">
        <v>6</v>
      </c>
      <c r="M171" s="781" t="str">
        <f t="shared" si="16"/>
        <v>NO APLICA</v>
      </c>
      <c r="N171" s="781"/>
    </row>
    <row r="172" spans="2:14">
      <c r="B172" s="319"/>
      <c r="C172" s="319"/>
      <c r="D172" s="448"/>
      <c r="E172" s="320"/>
      <c r="F172" s="450" t="str">
        <f>IF(OR(D172="",E172=""),"",ROUND(D172/LOOKUP(E172,SMMLV!$A$2:$A$36,SMMLV!$D$2:$D$100),3))</f>
        <v/>
      </c>
      <c r="K172" s="782"/>
      <c r="L172" s="444">
        <v>7</v>
      </c>
      <c r="M172" s="781" t="str">
        <f t="shared" si="16"/>
        <v>NO APLICA</v>
      </c>
      <c r="N172" s="781"/>
    </row>
    <row r="173" spans="2:14">
      <c r="B173" s="319"/>
      <c r="C173" s="319"/>
      <c r="D173" s="448"/>
      <c r="E173" s="320"/>
      <c r="F173" s="450" t="str">
        <f>IF(OR(D173="",E173=""),"",ROUND(D173/LOOKUP(E173,SMMLV!$A$2:$A$36,SMMLV!$D$2:$D$100),3))</f>
        <v/>
      </c>
      <c r="K173" s="782"/>
      <c r="L173" s="444">
        <v>8</v>
      </c>
      <c r="M173" s="781" t="str">
        <f t="shared" si="16"/>
        <v>NO APLICA</v>
      </c>
      <c r="N173" s="781"/>
    </row>
    <row r="174" spans="2:14">
      <c r="B174" s="319"/>
      <c r="C174" s="319"/>
      <c r="D174" s="448"/>
      <c r="E174" s="320"/>
      <c r="F174" s="450" t="str">
        <f>IF(OR(D174="",E174=""),"",ROUND(D174/LOOKUP(E174,SMMLV!$A$2:$A$36,SMMLV!$D$2:$D$100),3))</f>
        <v/>
      </c>
      <c r="K174" s="782"/>
      <c r="L174" s="444">
        <v>9</v>
      </c>
      <c r="M174" s="781" t="str">
        <f t="shared" si="16"/>
        <v>NO APLICA</v>
      </c>
      <c r="N174" s="781"/>
    </row>
    <row r="175" spans="2:14">
      <c r="B175" s="319"/>
      <c r="C175" s="319"/>
      <c r="D175" s="448"/>
      <c r="E175" s="320"/>
      <c r="F175" s="450" t="str">
        <f>IF(OR(D175="",E175=""),"",ROUND(D175/LOOKUP(E175,SMMLV!$A$2:$A$36,SMMLV!$D$2:$D$100),3))</f>
        <v/>
      </c>
      <c r="K175" s="782"/>
      <c r="L175" s="444">
        <v>10</v>
      </c>
      <c r="M175" s="781" t="str">
        <f t="shared" si="16"/>
        <v>NO APLICA</v>
      </c>
      <c r="N175" s="781"/>
    </row>
    <row r="176" spans="2:14">
      <c r="B176" s="319"/>
      <c r="C176" s="319"/>
      <c r="D176" s="448"/>
      <c r="E176" s="320"/>
      <c r="F176" s="450" t="str">
        <f>IF(OR(D176="",E176=""),"",ROUND(D176/LOOKUP(E176,SMMLV!$A$2:$A$36,SMMLV!$D$2:$D$100),3))</f>
        <v/>
      </c>
      <c r="K176" s="782">
        <v>18</v>
      </c>
      <c r="L176" s="444">
        <v>1</v>
      </c>
      <c r="M176" s="781" t="str">
        <f t="shared" ref="M176:M185" si="17">IF(SUMIFS($F$5:$F$1200,$B$5:$B$1200,$K$176,$C$5:$C$1200,$L176)=0,"NO APLICA",ROUND(SUMIFS($F$5:$F$1200,$B$5:$B$1200,$K$176,$C$5:$C$1200,$L176),3))</f>
        <v>NO APLICA</v>
      </c>
      <c r="N176" s="781"/>
    </row>
    <row r="177" spans="2:14">
      <c r="B177" s="319"/>
      <c r="C177" s="319"/>
      <c r="D177" s="448"/>
      <c r="E177" s="320"/>
      <c r="F177" s="450" t="str">
        <f>IF(OR(D177="",E177=""),"",ROUND(D177/LOOKUP(E177,SMMLV!$A$2:$A$36,SMMLV!$D$2:$D$100),3))</f>
        <v/>
      </c>
      <c r="K177" s="782"/>
      <c r="L177" s="444">
        <v>2</v>
      </c>
      <c r="M177" s="781" t="str">
        <f t="shared" si="17"/>
        <v>NO APLICA</v>
      </c>
      <c r="N177" s="781"/>
    </row>
    <row r="178" spans="2:14">
      <c r="B178" s="319"/>
      <c r="C178" s="319"/>
      <c r="D178" s="448"/>
      <c r="E178" s="320"/>
      <c r="F178" s="450" t="str">
        <f>IF(OR(D178="",E178=""),"",ROUND(D178/LOOKUP(E178,SMMLV!$A$2:$A$36,SMMLV!$D$2:$D$100),3))</f>
        <v/>
      </c>
      <c r="K178" s="782"/>
      <c r="L178" s="444">
        <v>3</v>
      </c>
      <c r="M178" s="781" t="str">
        <f t="shared" si="17"/>
        <v>NO APLICA</v>
      </c>
      <c r="N178" s="781"/>
    </row>
    <row r="179" spans="2:14">
      <c r="B179" s="319"/>
      <c r="C179" s="319"/>
      <c r="D179" s="448"/>
      <c r="E179" s="320"/>
      <c r="F179" s="450" t="str">
        <f>IF(OR(D179="",E179=""),"",ROUND(D179/LOOKUP(E179,SMMLV!$A$2:$A$36,SMMLV!$D$2:$D$100),3))</f>
        <v/>
      </c>
      <c r="K179" s="782"/>
      <c r="L179" s="444">
        <v>4</v>
      </c>
      <c r="M179" s="781" t="str">
        <f t="shared" si="17"/>
        <v>NO APLICA</v>
      </c>
      <c r="N179" s="781"/>
    </row>
    <row r="180" spans="2:14">
      <c r="B180" s="319"/>
      <c r="C180" s="319"/>
      <c r="D180" s="448"/>
      <c r="E180" s="320"/>
      <c r="F180" s="450" t="str">
        <f>IF(OR(D180="",E180=""),"",ROUND(D180/LOOKUP(E180,SMMLV!$A$2:$A$36,SMMLV!$D$2:$D$100),3))</f>
        <v/>
      </c>
      <c r="K180" s="782"/>
      <c r="L180" s="444">
        <v>5</v>
      </c>
      <c r="M180" s="781" t="str">
        <f t="shared" si="17"/>
        <v>NO APLICA</v>
      </c>
      <c r="N180" s="781"/>
    </row>
    <row r="181" spans="2:14">
      <c r="B181" s="319"/>
      <c r="C181" s="319"/>
      <c r="D181" s="448"/>
      <c r="E181" s="320"/>
      <c r="F181" s="450" t="str">
        <f>IF(OR(D181="",E181=""),"",ROUND(D181/LOOKUP(E181,SMMLV!$A$2:$A$36,SMMLV!$D$2:$D$100),3))</f>
        <v/>
      </c>
      <c r="K181" s="782"/>
      <c r="L181" s="444">
        <v>6</v>
      </c>
      <c r="M181" s="781" t="str">
        <f t="shared" si="17"/>
        <v>NO APLICA</v>
      </c>
      <c r="N181" s="781"/>
    </row>
    <row r="182" spans="2:14">
      <c r="B182" s="319"/>
      <c r="C182" s="319"/>
      <c r="D182" s="448"/>
      <c r="E182" s="320"/>
      <c r="F182" s="450" t="str">
        <f>IF(OR(D182="",E182=""),"",ROUND(D182/LOOKUP(E182,SMMLV!$A$2:$A$36,SMMLV!$D$2:$D$100),3))</f>
        <v/>
      </c>
      <c r="K182" s="782"/>
      <c r="L182" s="444">
        <v>7</v>
      </c>
      <c r="M182" s="781" t="str">
        <f t="shared" si="17"/>
        <v>NO APLICA</v>
      </c>
      <c r="N182" s="781"/>
    </row>
    <row r="183" spans="2:14">
      <c r="B183" s="319"/>
      <c r="C183" s="319"/>
      <c r="D183" s="448"/>
      <c r="E183" s="320"/>
      <c r="F183" s="450" t="str">
        <f>IF(OR(D183="",E183=""),"",ROUND(D183/LOOKUP(E183,SMMLV!$A$2:$A$36,SMMLV!$D$2:$D$100),3))</f>
        <v/>
      </c>
      <c r="K183" s="782"/>
      <c r="L183" s="444">
        <v>8</v>
      </c>
      <c r="M183" s="781" t="str">
        <f t="shared" si="17"/>
        <v>NO APLICA</v>
      </c>
      <c r="N183" s="781"/>
    </row>
    <row r="184" spans="2:14">
      <c r="B184" s="319"/>
      <c r="C184" s="319"/>
      <c r="D184" s="448"/>
      <c r="E184" s="320"/>
      <c r="F184" s="450" t="str">
        <f>IF(OR(D184="",E184=""),"",ROUND(D184/LOOKUP(E184,SMMLV!$A$2:$A$36,SMMLV!$D$2:$D$100),3))</f>
        <v/>
      </c>
      <c r="K184" s="782"/>
      <c r="L184" s="444">
        <v>9</v>
      </c>
      <c r="M184" s="781" t="str">
        <f t="shared" si="17"/>
        <v>NO APLICA</v>
      </c>
      <c r="N184" s="781"/>
    </row>
    <row r="185" spans="2:14">
      <c r="B185" s="319"/>
      <c r="C185" s="319"/>
      <c r="D185" s="448"/>
      <c r="E185" s="320"/>
      <c r="F185" s="450" t="str">
        <f>IF(OR(D185="",E185=""),"",ROUND(D185/LOOKUP(E185,SMMLV!$A$2:$A$36,SMMLV!$D$2:$D$100),3))</f>
        <v/>
      </c>
      <c r="K185" s="782"/>
      <c r="L185" s="444">
        <v>10</v>
      </c>
      <c r="M185" s="781" t="str">
        <f t="shared" si="17"/>
        <v>NO APLICA</v>
      </c>
      <c r="N185" s="781"/>
    </row>
    <row r="186" spans="2:14">
      <c r="B186" s="319"/>
      <c r="C186" s="319"/>
      <c r="D186" s="448"/>
      <c r="E186" s="320"/>
      <c r="F186" s="450" t="str">
        <f>IF(OR(D186="",E186=""),"",ROUND(D186/LOOKUP(E186,SMMLV!$A$2:$A$36,SMMLV!$D$2:$D$100),3))</f>
        <v/>
      </c>
      <c r="K186" s="782">
        <v>19</v>
      </c>
      <c r="L186" s="444">
        <v>1</v>
      </c>
      <c r="M186" s="781" t="str">
        <f t="shared" ref="M186:M195" si="18">IF(SUMIFS($F$5:$F$1200,$B$5:$B$1200,$K$186,$C$5:$C$1200,$L186)=0,"NO APLICA",ROUND(SUMIFS($F$5:$F$1200,$B$5:$B$1200,$K$186,$C$5:$C$1200,$L186),3))</f>
        <v>NO APLICA</v>
      </c>
      <c r="N186" s="781"/>
    </row>
    <row r="187" spans="2:14">
      <c r="B187" s="319"/>
      <c r="C187" s="319"/>
      <c r="D187" s="448"/>
      <c r="E187" s="320"/>
      <c r="F187" s="450" t="str">
        <f>IF(OR(D187="",E187=""),"",ROUND(D187/LOOKUP(E187,SMMLV!$A$2:$A$36,SMMLV!$D$2:$D$100),3))</f>
        <v/>
      </c>
      <c r="K187" s="782"/>
      <c r="L187" s="444">
        <v>2</v>
      </c>
      <c r="M187" s="781" t="str">
        <f t="shared" si="18"/>
        <v>NO APLICA</v>
      </c>
      <c r="N187" s="781"/>
    </row>
    <row r="188" spans="2:14">
      <c r="B188" s="319"/>
      <c r="C188" s="319"/>
      <c r="D188" s="448"/>
      <c r="E188" s="320"/>
      <c r="F188" s="450" t="str">
        <f>IF(OR(D188="",E188=""),"",ROUND(D188/LOOKUP(E188,SMMLV!$A$2:$A$36,SMMLV!$D$2:$D$100),3))</f>
        <v/>
      </c>
      <c r="K188" s="782"/>
      <c r="L188" s="444">
        <v>3</v>
      </c>
      <c r="M188" s="781" t="str">
        <f t="shared" si="18"/>
        <v>NO APLICA</v>
      </c>
      <c r="N188" s="781"/>
    </row>
    <row r="189" spans="2:14">
      <c r="B189" s="319"/>
      <c r="C189" s="319"/>
      <c r="D189" s="448"/>
      <c r="E189" s="320"/>
      <c r="F189" s="450" t="str">
        <f>IF(OR(D189="",E189=""),"",ROUND(D189/LOOKUP(E189,SMMLV!$A$2:$A$36,SMMLV!$D$2:$D$100),3))</f>
        <v/>
      </c>
      <c r="K189" s="782"/>
      <c r="L189" s="444">
        <v>4</v>
      </c>
      <c r="M189" s="781" t="str">
        <f t="shared" si="18"/>
        <v>NO APLICA</v>
      </c>
      <c r="N189" s="781"/>
    </row>
    <row r="190" spans="2:14">
      <c r="B190" s="319"/>
      <c r="C190" s="319"/>
      <c r="D190" s="448"/>
      <c r="E190" s="320"/>
      <c r="F190" s="450" t="str">
        <f>IF(OR(D190="",E190=""),"",ROUND(D190/LOOKUP(E190,SMMLV!$A$2:$A$36,SMMLV!$D$2:$D$100),3))</f>
        <v/>
      </c>
      <c r="K190" s="782"/>
      <c r="L190" s="444">
        <v>5</v>
      </c>
      <c r="M190" s="781" t="str">
        <f t="shared" si="18"/>
        <v>NO APLICA</v>
      </c>
      <c r="N190" s="781"/>
    </row>
    <row r="191" spans="2:14">
      <c r="B191" s="319"/>
      <c r="C191" s="319"/>
      <c r="D191" s="448"/>
      <c r="E191" s="320"/>
      <c r="F191" s="450" t="str">
        <f>IF(OR(D191="",E191=""),"",ROUND(D191/LOOKUP(E191,SMMLV!$A$2:$A$36,SMMLV!$D$2:$D$100),3))</f>
        <v/>
      </c>
      <c r="K191" s="782"/>
      <c r="L191" s="444">
        <v>6</v>
      </c>
      <c r="M191" s="781" t="str">
        <f t="shared" si="18"/>
        <v>NO APLICA</v>
      </c>
      <c r="N191" s="781"/>
    </row>
    <row r="192" spans="2:14">
      <c r="B192" s="319"/>
      <c r="C192" s="319"/>
      <c r="D192" s="448"/>
      <c r="E192" s="320"/>
      <c r="F192" s="450" t="str">
        <f>IF(OR(D192="",E192=""),"",ROUND(D192/LOOKUP(E192,SMMLV!$A$2:$A$36,SMMLV!$D$2:$D$100),3))</f>
        <v/>
      </c>
      <c r="K192" s="782"/>
      <c r="L192" s="444">
        <v>7</v>
      </c>
      <c r="M192" s="781" t="str">
        <f t="shared" si="18"/>
        <v>NO APLICA</v>
      </c>
      <c r="N192" s="781"/>
    </row>
    <row r="193" spans="2:14">
      <c r="B193" s="319"/>
      <c r="C193" s="319"/>
      <c r="D193" s="448"/>
      <c r="E193" s="320"/>
      <c r="F193" s="450" t="str">
        <f>IF(OR(D193="",E193=""),"",ROUND(D193/LOOKUP(E193,SMMLV!$A$2:$A$36,SMMLV!$D$2:$D$100),3))</f>
        <v/>
      </c>
      <c r="K193" s="782"/>
      <c r="L193" s="444">
        <v>8</v>
      </c>
      <c r="M193" s="781" t="str">
        <f t="shared" si="18"/>
        <v>NO APLICA</v>
      </c>
      <c r="N193" s="781"/>
    </row>
    <row r="194" spans="2:14">
      <c r="B194" s="319"/>
      <c r="C194" s="319"/>
      <c r="D194" s="448"/>
      <c r="E194" s="320"/>
      <c r="F194" s="450" t="str">
        <f>IF(OR(D194="",E194=""),"",ROUND(D194/LOOKUP(E194,SMMLV!$A$2:$A$36,SMMLV!$D$2:$D$100),3))</f>
        <v/>
      </c>
      <c r="K194" s="782"/>
      <c r="L194" s="444">
        <v>9</v>
      </c>
      <c r="M194" s="781" t="str">
        <f t="shared" si="18"/>
        <v>NO APLICA</v>
      </c>
      <c r="N194" s="781"/>
    </row>
    <row r="195" spans="2:14">
      <c r="B195" s="319"/>
      <c r="C195" s="319"/>
      <c r="D195" s="448"/>
      <c r="E195" s="320"/>
      <c r="F195" s="450" t="str">
        <f>IF(OR(D195="",E195=""),"",ROUND(D195/LOOKUP(E195,SMMLV!$A$2:$A$36,SMMLV!$D$2:$D$100),3))</f>
        <v/>
      </c>
      <c r="K195" s="782"/>
      <c r="L195" s="444">
        <v>10</v>
      </c>
      <c r="M195" s="781" t="str">
        <f t="shared" si="18"/>
        <v>NO APLICA</v>
      </c>
      <c r="N195" s="781"/>
    </row>
    <row r="196" spans="2:14">
      <c r="B196" s="319"/>
      <c r="C196" s="319"/>
      <c r="D196" s="448"/>
      <c r="E196" s="320"/>
      <c r="F196" s="450" t="str">
        <f>IF(OR(D196="",E196=""),"",ROUND(D196/LOOKUP(E196,SMMLV!$A$2:$A$36,SMMLV!$D$2:$D$100),3))</f>
        <v/>
      </c>
      <c r="K196" s="782">
        <v>20</v>
      </c>
      <c r="L196" s="444">
        <v>1</v>
      </c>
      <c r="M196" s="781" t="str">
        <f t="shared" ref="M196:M205" si="19">IF(SUMIFS($F$5:$F$1200,$B$5:$B$1200,$K$196,$C$5:$C$1200,$L196)=0,"NO APLICA",ROUND(SUMIFS($F$5:$F$1200,$B$5:$B$1200,$K$196,$C$5:$C$1200,$L196),3))</f>
        <v>NO APLICA</v>
      </c>
      <c r="N196" s="781"/>
    </row>
    <row r="197" spans="2:14">
      <c r="B197" s="319"/>
      <c r="C197" s="319"/>
      <c r="D197" s="448"/>
      <c r="E197" s="320"/>
      <c r="F197" s="450" t="str">
        <f>IF(OR(D197="",E197=""),"",ROUND(D197/LOOKUP(E197,SMMLV!$A$2:$A$36,SMMLV!$D$2:$D$100),3))</f>
        <v/>
      </c>
      <c r="K197" s="782"/>
      <c r="L197" s="444">
        <v>2</v>
      </c>
      <c r="M197" s="781" t="str">
        <f t="shared" si="19"/>
        <v>NO APLICA</v>
      </c>
      <c r="N197" s="781"/>
    </row>
    <row r="198" spans="2:14">
      <c r="B198" s="319"/>
      <c r="C198" s="319"/>
      <c r="D198" s="448"/>
      <c r="E198" s="320"/>
      <c r="F198" s="450" t="str">
        <f>IF(OR(D198="",E198=""),"",ROUND(D198/LOOKUP(E198,SMMLV!$A$2:$A$36,SMMLV!$D$2:$D$100),3))</f>
        <v/>
      </c>
      <c r="K198" s="782"/>
      <c r="L198" s="444">
        <v>3</v>
      </c>
      <c r="M198" s="781" t="str">
        <f t="shared" si="19"/>
        <v>NO APLICA</v>
      </c>
      <c r="N198" s="781"/>
    </row>
    <row r="199" spans="2:14">
      <c r="B199" s="319"/>
      <c r="C199" s="319"/>
      <c r="D199" s="448"/>
      <c r="E199" s="320"/>
      <c r="F199" s="450" t="str">
        <f>IF(OR(D199="",E199=""),"",ROUND(D199/LOOKUP(E199,SMMLV!$A$2:$A$36,SMMLV!$D$2:$D$100),3))</f>
        <v/>
      </c>
      <c r="K199" s="782"/>
      <c r="L199" s="444">
        <v>4</v>
      </c>
      <c r="M199" s="781" t="str">
        <f t="shared" si="19"/>
        <v>NO APLICA</v>
      </c>
      <c r="N199" s="781"/>
    </row>
    <row r="200" spans="2:14">
      <c r="B200" s="319"/>
      <c r="C200" s="319"/>
      <c r="D200" s="448"/>
      <c r="E200" s="320"/>
      <c r="F200" s="450" t="str">
        <f>IF(OR(D200="",E200=""),"",ROUND(D200/LOOKUP(E200,SMMLV!$A$2:$A$36,SMMLV!$D$2:$D$100),3))</f>
        <v/>
      </c>
      <c r="K200" s="782"/>
      <c r="L200" s="444">
        <v>5</v>
      </c>
      <c r="M200" s="781" t="str">
        <f t="shared" si="19"/>
        <v>NO APLICA</v>
      </c>
      <c r="N200" s="781"/>
    </row>
    <row r="201" spans="2:14">
      <c r="B201" s="319"/>
      <c r="C201" s="319"/>
      <c r="D201" s="448"/>
      <c r="E201" s="320"/>
      <c r="F201" s="450" t="str">
        <f>IF(OR(D201="",E201=""),"",ROUND(D201/LOOKUP(E201,SMMLV!$A$2:$A$36,SMMLV!$D$2:$D$100),3))</f>
        <v/>
      </c>
      <c r="K201" s="782"/>
      <c r="L201" s="444">
        <v>6</v>
      </c>
      <c r="M201" s="781" t="str">
        <f t="shared" si="19"/>
        <v>NO APLICA</v>
      </c>
      <c r="N201" s="781"/>
    </row>
    <row r="202" spans="2:14">
      <c r="B202" s="319"/>
      <c r="C202" s="319"/>
      <c r="D202" s="448"/>
      <c r="E202" s="320"/>
      <c r="F202" s="450" t="str">
        <f>IF(OR(D202="",E202=""),"",ROUND(D202/LOOKUP(E202,SMMLV!$A$2:$A$36,SMMLV!$D$2:$D$100),3))</f>
        <v/>
      </c>
      <c r="K202" s="782"/>
      <c r="L202" s="444">
        <v>7</v>
      </c>
      <c r="M202" s="781" t="str">
        <f t="shared" si="19"/>
        <v>NO APLICA</v>
      </c>
      <c r="N202" s="781"/>
    </row>
    <row r="203" spans="2:14">
      <c r="B203" s="319"/>
      <c r="C203" s="319"/>
      <c r="D203" s="448"/>
      <c r="E203" s="320"/>
      <c r="F203" s="450" t="str">
        <f>IF(OR(D203="",E203=""),"",ROUND(D203/LOOKUP(E203,SMMLV!$A$2:$A$36,SMMLV!$D$2:$D$100),3))</f>
        <v/>
      </c>
      <c r="K203" s="782"/>
      <c r="L203" s="444">
        <v>8</v>
      </c>
      <c r="M203" s="781" t="str">
        <f t="shared" si="19"/>
        <v>NO APLICA</v>
      </c>
      <c r="N203" s="781"/>
    </row>
    <row r="204" spans="2:14">
      <c r="B204" s="319"/>
      <c r="C204" s="319"/>
      <c r="D204" s="448"/>
      <c r="E204" s="320"/>
      <c r="F204" s="450" t="str">
        <f>IF(OR(D204="",E204=""),"",ROUND(D204/LOOKUP(E204,SMMLV!$A$2:$A$36,SMMLV!$D$2:$D$100),3))</f>
        <v/>
      </c>
      <c r="K204" s="782"/>
      <c r="L204" s="444">
        <v>9</v>
      </c>
      <c r="M204" s="781" t="str">
        <f t="shared" si="19"/>
        <v>NO APLICA</v>
      </c>
      <c r="N204" s="781"/>
    </row>
    <row r="205" spans="2:14">
      <c r="B205" s="319"/>
      <c r="C205" s="319"/>
      <c r="D205" s="448"/>
      <c r="E205" s="320"/>
      <c r="F205" s="450" t="str">
        <f>IF(OR(D205="",E205=""),"",ROUND(D205/LOOKUP(E205,SMMLV!$A$2:$A$36,SMMLV!$D$2:$D$100),3))</f>
        <v/>
      </c>
      <c r="K205" s="782"/>
      <c r="L205" s="444">
        <v>10</v>
      </c>
      <c r="M205" s="781" t="str">
        <f t="shared" si="19"/>
        <v>NO APLICA</v>
      </c>
      <c r="N205" s="781"/>
    </row>
    <row r="206" spans="2:14">
      <c r="B206" s="319"/>
      <c r="C206" s="319"/>
      <c r="D206" s="448"/>
      <c r="E206" s="320"/>
      <c r="F206" s="450" t="str">
        <f>IF(OR(D206="",E206=""),"",ROUND(D206/LOOKUP(E206,SMMLV!$A$2:$A$36,SMMLV!$D$2:$D$100),3))</f>
        <v/>
      </c>
      <c r="K206" s="782">
        <v>21</v>
      </c>
      <c r="L206" s="444">
        <v>1</v>
      </c>
      <c r="M206" s="781" t="str">
        <f t="shared" ref="M206:M215" si="20">IF(SUMIFS($F$5:$F$1200,$B$5:$B$1200,$K$206,$C$5:$C$1200,$L206)=0,"NO APLICA",ROUND(SUMIFS($F$5:$F$1200,$B$5:$B$1200,$K$206,$C$5:$C$1200,$L206),3))</f>
        <v>NO APLICA</v>
      </c>
      <c r="N206" s="781"/>
    </row>
    <row r="207" spans="2:14">
      <c r="B207" s="319"/>
      <c r="C207" s="319"/>
      <c r="D207" s="448"/>
      <c r="E207" s="320"/>
      <c r="F207" s="450" t="str">
        <f>IF(OR(D207="",E207=""),"",ROUND(D207/LOOKUP(E207,SMMLV!$A$2:$A$36,SMMLV!$D$2:$D$100),3))</f>
        <v/>
      </c>
      <c r="K207" s="782"/>
      <c r="L207" s="444">
        <v>2</v>
      </c>
      <c r="M207" s="781" t="str">
        <f t="shared" si="20"/>
        <v>NO APLICA</v>
      </c>
      <c r="N207" s="781"/>
    </row>
    <row r="208" spans="2:14">
      <c r="B208" s="319"/>
      <c r="C208" s="319"/>
      <c r="D208" s="448"/>
      <c r="E208" s="320"/>
      <c r="F208" s="450" t="str">
        <f>IF(OR(D208="",E208=""),"",ROUND(D208/LOOKUP(E208,SMMLV!$A$2:$A$36,SMMLV!$D$2:$D$100),3))</f>
        <v/>
      </c>
      <c r="K208" s="782"/>
      <c r="L208" s="444">
        <v>3</v>
      </c>
      <c r="M208" s="781" t="str">
        <f t="shared" si="20"/>
        <v>NO APLICA</v>
      </c>
      <c r="N208" s="781"/>
    </row>
    <row r="209" spans="2:14">
      <c r="B209" s="319"/>
      <c r="C209" s="319"/>
      <c r="D209" s="448"/>
      <c r="E209" s="320"/>
      <c r="F209" s="450" t="str">
        <f>IF(OR(D209="",E209=""),"",ROUND(D209/LOOKUP(E209,SMMLV!$A$2:$A$36,SMMLV!$D$2:$D$100),3))</f>
        <v/>
      </c>
      <c r="K209" s="782"/>
      <c r="L209" s="444">
        <v>4</v>
      </c>
      <c r="M209" s="781" t="str">
        <f t="shared" si="20"/>
        <v>NO APLICA</v>
      </c>
      <c r="N209" s="781"/>
    </row>
    <row r="210" spans="2:14">
      <c r="B210" s="319"/>
      <c r="C210" s="319"/>
      <c r="D210" s="448"/>
      <c r="E210" s="320"/>
      <c r="F210" s="450" t="str">
        <f>IF(OR(D210="",E210=""),"",ROUND(D210/LOOKUP(E210,SMMLV!$A$2:$A$36,SMMLV!$D$2:$D$100),3))</f>
        <v/>
      </c>
      <c r="K210" s="782"/>
      <c r="L210" s="444">
        <v>5</v>
      </c>
      <c r="M210" s="781" t="str">
        <f t="shared" si="20"/>
        <v>NO APLICA</v>
      </c>
      <c r="N210" s="781"/>
    </row>
    <row r="211" spans="2:14">
      <c r="B211" s="319"/>
      <c r="C211" s="319"/>
      <c r="D211" s="448"/>
      <c r="E211" s="320"/>
      <c r="F211" s="450" t="str">
        <f>IF(OR(D211="",E211=""),"",ROUND(D211/LOOKUP(E211,SMMLV!$A$2:$A$36,SMMLV!$D$2:$D$100),3))</f>
        <v/>
      </c>
      <c r="K211" s="782"/>
      <c r="L211" s="444">
        <v>6</v>
      </c>
      <c r="M211" s="781" t="str">
        <f t="shared" si="20"/>
        <v>NO APLICA</v>
      </c>
      <c r="N211" s="781"/>
    </row>
    <row r="212" spans="2:14">
      <c r="B212" s="319"/>
      <c r="C212" s="319"/>
      <c r="D212" s="448"/>
      <c r="E212" s="320"/>
      <c r="F212" s="450" t="str">
        <f>IF(OR(D212="",E212=""),"",ROUND(D212/LOOKUP(E212,SMMLV!$A$2:$A$36,SMMLV!$D$2:$D$100),3))</f>
        <v/>
      </c>
      <c r="K212" s="782"/>
      <c r="L212" s="444">
        <v>7</v>
      </c>
      <c r="M212" s="781" t="str">
        <f t="shared" si="20"/>
        <v>NO APLICA</v>
      </c>
      <c r="N212" s="781"/>
    </row>
    <row r="213" spans="2:14">
      <c r="B213" s="319"/>
      <c r="C213" s="319"/>
      <c r="D213" s="448"/>
      <c r="E213" s="320"/>
      <c r="F213" s="450" t="str">
        <f>IF(OR(D213="",E213=""),"",ROUND(D213/LOOKUP(E213,SMMLV!$A$2:$A$36,SMMLV!$D$2:$D$100),3))</f>
        <v/>
      </c>
      <c r="K213" s="782"/>
      <c r="L213" s="444">
        <v>8</v>
      </c>
      <c r="M213" s="781" t="str">
        <f t="shared" si="20"/>
        <v>NO APLICA</v>
      </c>
      <c r="N213" s="781"/>
    </row>
    <row r="214" spans="2:14">
      <c r="B214" s="319"/>
      <c r="C214" s="319"/>
      <c r="D214" s="448"/>
      <c r="E214" s="320"/>
      <c r="F214" s="450" t="str">
        <f>IF(OR(D214="",E214=""),"",ROUND(D214/LOOKUP(E214,SMMLV!$A$2:$A$36,SMMLV!$D$2:$D$100),3))</f>
        <v/>
      </c>
      <c r="K214" s="782"/>
      <c r="L214" s="444">
        <v>9</v>
      </c>
      <c r="M214" s="781" t="str">
        <f t="shared" si="20"/>
        <v>NO APLICA</v>
      </c>
      <c r="N214" s="781"/>
    </row>
    <row r="215" spans="2:14">
      <c r="B215" s="319"/>
      <c r="C215" s="319"/>
      <c r="D215" s="448"/>
      <c r="E215" s="320"/>
      <c r="F215" s="450" t="str">
        <f>IF(OR(D215="",E215=""),"",ROUND(D215/LOOKUP(E215,SMMLV!$A$2:$A$36,SMMLV!$D$2:$D$100),3))</f>
        <v/>
      </c>
      <c r="K215" s="782"/>
      <c r="L215" s="444">
        <v>10</v>
      </c>
      <c r="M215" s="781" t="str">
        <f t="shared" si="20"/>
        <v>NO APLICA</v>
      </c>
      <c r="N215" s="781"/>
    </row>
    <row r="216" spans="2:14">
      <c r="B216" s="319"/>
      <c r="C216" s="319"/>
      <c r="D216" s="448"/>
      <c r="E216" s="320"/>
      <c r="F216" s="450" t="str">
        <f>IF(OR(D216="",E216=""),"",ROUND(D216/LOOKUP(E216,SMMLV!$A$2:$A$36,SMMLV!$D$2:$D$100),3))</f>
        <v/>
      </c>
      <c r="K216" s="782">
        <v>22</v>
      </c>
      <c r="L216" s="444">
        <v>1</v>
      </c>
      <c r="M216" s="781" t="str">
        <f t="shared" ref="M216:M225" si="21">IF(SUMIFS($F$5:$F$1200,$B$5:$B$1200,$K$216,$C$5:$C$1200,$L216)=0,"NO APLICA",ROUND(SUMIFS($F$5:$F$1200,$B$5:$B$1200,$K$216,$C$5:$C$1200,$L216),3))</f>
        <v>NO APLICA</v>
      </c>
      <c r="N216" s="781"/>
    </row>
    <row r="217" spans="2:14">
      <c r="B217" s="319"/>
      <c r="C217" s="319"/>
      <c r="D217" s="448"/>
      <c r="E217" s="320"/>
      <c r="F217" s="450" t="str">
        <f>IF(OR(D217="",E217=""),"",ROUND(D217/LOOKUP(E217,SMMLV!$A$2:$A$36,SMMLV!$D$2:$D$100),3))</f>
        <v/>
      </c>
      <c r="K217" s="782"/>
      <c r="L217" s="444">
        <v>2</v>
      </c>
      <c r="M217" s="781" t="str">
        <f t="shared" si="21"/>
        <v>NO APLICA</v>
      </c>
      <c r="N217" s="781"/>
    </row>
    <row r="218" spans="2:14">
      <c r="B218" s="319"/>
      <c r="C218" s="319"/>
      <c r="D218" s="448"/>
      <c r="E218" s="320"/>
      <c r="F218" s="450" t="str">
        <f>IF(OR(D218="",E218=""),"",ROUND(D218/LOOKUP(E218,SMMLV!$A$2:$A$36,SMMLV!$D$2:$D$100),3))</f>
        <v/>
      </c>
      <c r="K218" s="782"/>
      <c r="L218" s="444">
        <v>3</v>
      </c>
      <c r="M218" s="781" t="str">
        <f t="shared" si="21"/>
        <v>NO APLICA</v>
      </c>
      <c r="N218" s="781"/>
    </row>
    <row r="219" spans="2:14">
      <c r="B219" s="319"/>
      <c r="C219" s="319"/>
      <c r="D219" s="448"/>
      <c r="E219" s="320"/>
      <c r="F219" s="450" t="str">
        <f>IF(OR(D219="",E219=""),"",ROUND(D219/LOOKUP(E219,SMMLV!$A$2:$A$36,SMMLV!$D$2:$D$100),3))</f>
        <v/>
      </c>
      <c r="K219" s="782"/>
      <c r="L219" s="444">
        <v>4</v>
      </c>
      <c r="M219" s="781" t="str">
        <f t="shared" si="21"/>
        <v>NO APLICA</v>
      </c>
      <c r="N219" s="781"/>
    </row>
    <row r="220" spans="2:14">
      <c r="B220" s="319"/>
      <c r="C220" s="319"/>
      <c r="D220" s="448"/>
      <c r="E220" s="320"/>
      <c r="F220" s="450" t="str">
        <f>IF(OR(D220="",E220=""),"",ROUND(D220/LOOKUP(E220,SMMLV!$A$2:$A$36,SMMLV!$D$2:$D$100),3))</f>
        <v/>
      </c>
      <c r="K220" s="782"/>
      <c r="L220" s="444">
        <v>5</v>
      </c>
      <c r="M220" s="781" t="str">
        <f t="shared" si="21"/>
        <v>NO APLICA</v>
      </c>
      <c r="N220" s="781"/>
    </row>
    <row r="221" spans="2:14">
      <c r="B221" s="319"/>
      <c r="C221" s="319"/>
      <c r="D221" s="448"/>
      <c r="E221" s="320"/>
      <c r="F221" s="450" t="str">
        <f>IF(OR(D221="",E221=""),"",ROUND(D221/LOOKUP(E221,SMMLV!$A$2:$A$36,SMMLV!$D$2:$D$100),3))</f>
        <v/>
      </c>
      <c r="K221" s="782"/>
      <c r="L221" s="444">
        <v>6</v>
      </c>
      <c r="M221" s="781" t="str">
        <f t="shared" si="21"/>
        <v>NO APLICA</v>
      </c>
      <c r="N221" s="781"/>
    </row>
    <row r="222" spans="2:14">
      <c r="B222" s="319"/>
      <c r="C222" s="319"/>
      <c r="D222" s="448"/>
      <c r="E222" s="320"/>
      <c r="F222" s="450" t="str">
        <f>IF(OR(D222="",E222=""),"",ROUND(D222/LOOKUP(E222,SMMLV!$A$2:$A$36,SMMLV!$D$2:$D$100),3))</f>
        <v/>
      </c>
      <c r="K222" s="782"/>
      <c r="L222" s="444">
        <v>7</v>
      </c>
      <c r="M222" s="781" t="str">
        <f t="shared" si="21"/>
        <v>NO APLICA</v>
      </c>
      <c r="N222" s="781"/>
    </row>
    <row r="223" spans="2:14">
      <c r="B223" s="319"/>
      <c r="C223" s="319"/>
      <c r="D223" s="448"/>
      <c r="E223" s="320"/>
      <c r="F223" s="450" t="str">
        <f>IF(OR(D223="",E223=""),"",ROUND(D223/LOOKUP(E223,SMMLV!$A$2:$A$36,SMMLV!$D$2:$D$100),3))</f>
        <v/>
      </c>
      <c r="K223" s="782"/>
      <c r="L223" s="444">
        <v>8</v>
      </c>
      <c r="M223" s="781" t="str">
        <f t="shared" si="21"/>
        <v>NO APLICA</v>
      </c>
      <c r="N223" s="781"/>
    </row>
    <row r="224" spans="2:14">
      <c r="B224" s="319"/>
      <c r="C224" s="319"/>
      <c r="D224" s="448"/>
      <c r="E224" s="320"/>
      <c r="F224" s="450" t="str">
        <f>IF(OR(D224="",E224=""),"",ROUND(D224/LOOKUP(E224,SMMLV!$A$2:$A$36,SMMLV!$D$2:$D$100),3))</f>
        <v/>
      </c>
      <c r="K224" s="782"/>
      <c r="L224" s="444">
        <v>9</v>
      </c>
      <c r="M224" s="781" t="str">
        <f t="shared" si="21"/>
        <v>NO APLICA</v>
      </c>
      <c r="N224" s="781"/>
    </row>
    <row r="225" spans="2:14">
      <c r="B225" s="319"/>
      <c r="C225" s="319"/>
      <c r="D225" s="448"/>
      <c r="E225" s="320"/>
      <c r="F225" s="450" t="str">
        <f>IF(OR(D225="",E225=""),"",ROUND(D225/LOOKUP(E225,SMMLV!$A$2:$A$36,SMMLV!$D$2:$D$100),3))</f>
        <v/>
      </c>
      <c r="K225" s="782"/>
      <c r="L225" s="444">
        <v>10</v>
      </c>
      <c r="M225" s="781" t="str">
        <f t="shared" si="21"/>
        <v>NO APLICA</v>
      </c>
      <c r="N225" s="781"/>
    </row>
    <row r="226" spans="2:14">
      <c r="B226" s="319"/>
      <c r="C226" s="319"/>
      <c r="D226" s="448"/>
      <c r="E226" s="320"/>
      <c r="F226" s="450" t="str">
        <f>IF(OR(D226="",E226=""),"",ROUND(D226/LOOKUP(E226,SMMLV!$A$2:$A$36,SMMLV!$D$2:$D$100),3))</f>
        <v/>
      </c>
      <c r="K226" s="782">
        <v>23</v>
      </c>
      <c r="L226" s="444">
        <v>1</v>
      </c>
      <c r="M226" s="781" t="str">
        <f t="shared" ref="M226:M235" si="22">IF(SUMIFS($F$5:$F$1200,$B$5:$B$1200,$K$226,$C$5:$C$1200,$L226)=0,"NO APLICA",ROUND(SUMIFS($F$5:$F$1200,$B$5:$B$1200,$K$226,$C$5:$C$1200,$L226),3))</f>
        <v>NO APLICA</v>
      </c>
      <c r="N226" s="781"/>
    </row>
    <row r="227" spans="2:14">
      <c r="B227" s="319"/>
      <c r="C227" s="319"/>
      <c r="D227" s="448"/>
      <c r="E227" s="320"/>
      <c r="F227" s="450" t="str">
        <f>IF(OR(D227="",E227=""),"",ROUND(D227/LOOKUP(E227,SMMLV!$A$2:$A$36,SMMLV!$D$2:$D$100),3))</f>
        <v/>
      </c>
      <c r="K227" s="782"/>
      <c r="L227" s="444">
        <v>2</v>
      </c>
      <c r="M227" s="781" t="str">
        <f t="shared" si="22"/>
        <v>NO APLICA</v>
      </c>
      <c r="N227" s="781"/>
    </row>
    <row r="228" spans="2:14">
      <c r="B228" s="319"/>
      <c r="C228" s="319"/>
      <c r="D228" s="448"/>
      <c r="E228" s="320"/>
      <c r="F228" s="450" t="str">
        <f>IF(OR(D228="",E228=""),"",ROUND(D228/LOOKUP(E228,SMMLV!$A$2:$A$36,SMMLV!$D$2:$D$100),3))</f>
        <v/>
      </c>
      <c r="K228" s="782"/>
      <c r="L228" s="444">
        <v>3</v>
      </c>
      <c r="M228" s="781" t="str">
        <f t="shared" si="22"/>
        <v>NO APLICA</v>
      </c>
      <c r="N228" s="781"/>
    </row>
    <row r="229" spans="2:14">
      <c r="B229" s="319"/>
      <c r="C229" s="319"/>
      <c r="D229" s="448"/>
      <c r="E229" s="320"/>
      <c r="F229" s="450" t="str">
        <f>IF(OR(D229="",E229=""),"",ROUND(D229/LOOKUP(E229,SMMLV!$A$2:$A$36,SMMLV!$D$2:$D$100),3))</f>
        <v/>
      </c>
      <c r="K229" s="782"/>
      <c r="L229" s="444">
        <v>4</v>
      </c>
      <c r="M229" s="781" t="str">
        <f t="shared" si="22"/>
        <v>NO APLICA</v>
      </c>
      <c r="N229" s="781"/>
    </row>
    <row r="230" spans="2:14">
      <c r="B230" s="319"/>
      <c r="C230" s="319"/>
      <c r="D230" s="448"/>
      <c r="E230" s="320"/>
      <c r="F230" s="450" t="str">
        <f>IF(OR(D230="",E230=""),"",ROUND(D230/LOOKUP(E230,SMMLV!$A$2:$A$36,SMMLV!$D$2:$D$100),3))</f>
        <v/>
      </c>
      <c r="K230" s="782"/>
      <c r="L230" s="444">
        <v>5</v>
      </c>
      <c r="M230" s="781" t="str">
        <f t="shared" si="22"/>
        <v>NO APLICA</v>
      </c>
      <c r="N230" s="781"/>
    </row>
    <row r="231" spans="2:14">
      <c r="B231" s="319"/>
      <c r="C231" s="319"/>
      <c r="D231" s="448"/>
      <c r="E231" s="320"/>
      <c r="F231" s="450" t="str">
        <f>IF(OR(D231="",E231=""),"",ROUND(D231/LOOKUP(E231,SMMLV!$A$2:$A$36,SMMLV!$D$2:$D$100),3))</f>
        <v/>
      </c>
      <c r="K231" s="782"/>
      <c r="L231" s="444">
        <v>6</v>
      </c>
      <c r="M231" s="781" t="str">
        <f t="shared" si="22"/>
        <v>NO APLICA</v>
      </c>
      <c r="N231" s="781"/>
    </row>
    <row r="232" spans="2:14">
      <c r="B232" s="319"/>
      <c r="C232" s="319"/>
      <c r="D232" s="448"/>
      <c r="E232" s="320"/>
      <c r="F232" s="450" t="str">
        <f>IF(OR(D232="",E232=""),"",ROUND(D232/LOOKUP(E232,SMMLV!$A$2:$A$36,SMMLV!$D$2:$D$100),3))</f>
        <v/>
      </c>
      <c r="K232" s="782"/>
      <c r="L232" s="444">
        <v>7</v>
      </c>
      <c r="M232" s="781" t="str">
        <f t="shared" si="22"/>
        <v>NO APLICA</v>
      </c>
      <c r="N232" s="781"/>
    </row>
    <row r="233" spans="2:14">
      <c r="B233" s="319"/>
      <c r="C233" s="319"/>
      <c r="D233" s="448"/>
      <c r="E233" s="320"/>
      <c r="F233" s="450" t="str">
        <f>IF(OR(D233="",E233=""),"",ROUND(D233/LOOKUP(E233,SMMLV!$A$2:$A$36,SMMLV!$D$2:$D$100),3))</f>
        <v/>
      </c>
      <c r="K233" s="782"/>
      <c r="L233" s="444">
        <v>8</v>
      </c>
      <c r="M233" s="781" t="str">
        <f t="shared" si="22"/>
        <v>NO APLICA</v>
      </c>
      <c r="N233" s="781"/>
    </row>
    <row r="234" spans="2:14">
      <c r="B234" s="319"/>
      <c r="C234" s="319"/>
      <c r="D234" s="448"/>
      <c r="E234" s="320"/>
      <c r="F234" s="450" t="str">
        <f>IF(OR(D234="",E234=""),"",ROUND(D234/LOOKUP(E234,SMMLV!$A$2:$A$36,SMMLV!$D$2:$D$100),3))</f>
        <v/>
      </c>
      <c r="K234" s="782"/>
      <c r="L234" s="444">
        <v>9</v>
      </c>
      <c r="M234" s="781" t="str">
        <f t="shared" si="22"/>
        <v>NO APLICA</v>
      </c>
      <c r="N234" s="781"/>
    </row>
    <row r="235" spans="2:14">
      <c r="B235" s="319"/>
      <c r="C235" s="319"/>
      <c r="D235" s="448"/>
      <c r="E235" s="320"/>
      <c r="F235" s="450" t="str">
        <f>IF(OR(D235="",E235=""),"",ROUND(D235/LOOKUP(E235,SMMLV!$A$2:$A$36,SMMLV!$D$2:$D$100),3))</f>
        <v/>
      </c>
      <c r="K235" s="782"/>
      <c r="L235" s="444">
        <v>10</v>
      </c>
      <c r="M235" s="781" t="str">
        <f t="shared" si="22"/>
        <v>NO APLICA</v>
      </c>
      <c r="N235" s="781"/>
    </row>
    <row r="236" spans="2:14">
      <c r="B236" s="319"/>
      <c r="C236" s="319"/>
      <c r="D236" s="448"/>
      <c r="E236" s="320"/>
      <c r="F236" s="450" t="str">
        <f>IF(OR(D236="",E236=""),"",ROUND(D236/LOOKUP(E236,SMMLV!$A$2:$A$36,SMMLV!$D$2:$D$100),3))</f>
        <v/>
      </c>
      <c r="K236" s="782">
        <v>24</v>
      </c>
      <c r="L236" s="444">
        <v>1</v>
      </c>
      <c r="M236" s="781" t="str">
        <f t="shared" ref="M236:M245" si="23">IF(SUMIFS($F$5:$F$1200,$B$5:$B$1200,$K$236,$C$5:$C$1200,$L236)=0,"NO APLICA",ROUND(SUMIFS($F$5:$F$1200,$B$5:$B$1200,$K$236,$C$5:$C$1200,$L236),3))</f>
        <v>NO APLICA</v>
      </c>
      <c r="N236" s="781"/>
    </row>
    <row r="237" spans="2:14">
      <c r="B237" s="319"/>
      <c r="C237" s="319"/>
      <c r="D237" s="448"/>
      <c r="E237" s="320"/>
      <c r="F237" s="450" t="str">
        <f>IF(OR(D237="",E237=""),"",ROUND(D237/LOOKUP(E237,SMMLV!$A$2:$A$36,SMMLV!$D$2:$D$100),3))</f>
        <v/>
      </c>
      <c r="K237" s="782"/>
      <c r="L237" s="444">
        <v>2</v>
      </c>
      <c r="M237" s="781" t="str">
        <f t="shared" si="23"/>
        <v>NO APLICA</v>
      </c>
      <c r="N237" s="781"/>
    </row>
    <row r="238" spans="2:14">
      <c r="B238" s="319"/>
      <c r="C238" s="319"/>
      <c r="D238" s="448"/>
      <c r="E238" s="320"/>
      <c r="F238" s="450" t="str">
        <f>IF(OR(D238="",E238=""),"",ROUND(D238/LOOKUP(E238,SMMLV!$A$2:$A$36,SMMLV!$D$2:$D$100),3))</f>
        <v/>
      </c>
      <c r="K238" s="782"/>
      <c r="L238" s="444">
        <v>3</v>
      </c>
      <c r="M238" s="781" t="str">
        <f t="shared" si="23"/>
        <v>NO APLICA</v>
      </c>
      <c r="N238" s="781"/>
    </row>
    <row r="239" spans="2:14">
      <c r="B239" s="319"/>
      <c r="C239" s="319"/>
      <c r="D239" s="448"/>
      <c r="E239" s="320"/>
      <c r="F239" s="450" t="str">
        <f>IF(OR(D239="",E239=""),"",ROUND(D239/LOOKUP(E239,SMMLV!$A$2:$A$36,SMMLV!$D$2:$D$100),3))</f>
        <v/>
      </c>
      <c r="K239" s="782"/>
      <c r="L239" s="444">
        <v>4</v>
      </c>
      <c r="M239" s="781" t="str">
        <f t="shared" si="23"/>
        <v>NO APLICA</v>
      </c>
      <c r="N239" s="781"/>
    </row>
    <row r="240" spans="2:14">
      <c r="B240" s="319"/>
      <c r="C240" s="319"/>
      <c r="D240" s="448"/>
      <c r="E240" s="320"/>
      <c r="F240" s="450" t="str">
        <f>IF(OR(D240="",E240=""),"",ROUND(D240/LOOKUP(E240,SMMLV!$A$2:$A$36,SMMLV!$D$2:$D$100),3))</f>
        <v/>
      </c>
      <c r="K240" s="782"/>
      <c r="L240" s="444">
        <v>5</v>
      </c>
      <c r="M240" s="781" t="str">
        <f t="shared" si="23"/>
        <v>NO APLICA</v>
      </c>
      <c r="N240" s="781"/>
    </row>
    <row r="241" spans="2:14">
      <c r="B241" s="319"/>
      <c r="C241" s="319"/>
      <c r="D241" s="448"/>
      <c r="E241" s="320"/>
      <c r="F241" s="450" t="str">
        <f>IF(OR(D241="",E241=""),"",ROUND(D241/LOOKUP(E241,SMMLV!$A$2:$A$36,SMMLV!$D$2:$D$100),3))</f>
        <v/>
      </c>
      <c r="K241" s="782"/>
      <c r="L241" s="444">
        <v>6</v>
      </c>
      <c r="M241" s="781" t="str">
        <f t="shared" si="23"/>
        <v>NO APLICA</v>
      </c>
      <c r="N241" s="781"/>
    </row>
    <row r="242" spans="2:14">
      <c r="B242" s="319"/>
      <c r="C242" s="319"/>
      <c r="D242" s="448"/>
      <c r="E242" s="320"/>
      <c r="F242" s="450" t="str">
        <f>IF(OR(D242="",E242=""),"",ROUND(D242/LOOKUP(E242,SMMLV!$A$2:$A$36,SMMLV!$D$2:$D$100),3))</f>
        <v/>
      </c>
      <c r="K242" s="782"/>
      <c r="L242" s="444">
        <v>7</v>
      </c>
      <c r="M242" s="781" t="str">
        <f t="shared" si="23"/>
        <v>NO APLICA</v>
      </c>
      <c r="N242" s="781"/>
    </row>
    <row r="243" spans="2:14">
      <c r="B243" s="319"/>
      <c r="C243" s="319"/>
      <c r="D243" s="448"/>
      <c r="E243" s="320"/>
      <c r="F243" s="450" t="str">
        <f>IF(OR(D243="",E243=""),"",ROUND(D243/LOOKUP(E243,SMMLV!$A$2:$A$36,SMMLV!$D$2:$D$100),3))</f>
        <v/>
      </c>
      <c r="K243" s="782"/>
      <c r="L243" s="444">
        <v>8</v>
      </c>
      <c r="M243" s="781" t="str">
        <f t="shared" si="23"/>
        <v>NO APLICA</v>
      </c>
      <c r="N243" s="781"/>
    </row>
    <row r="244" spans="2:14">
      <c r="B244" s="319"/>
      <c r="C244" s="319"/>
      <c r="D244" s="448"/>
      <c r="E244" s="320"/>
      <c r="F244" s="450" t="str">
        <f>IF(OR(D244="",E244=""),"",ROUND(D244/LOOKUP(E244,SMMLV!$A$2:$A$36,SMMLV!$D$2:$D$100),3))</f>
        <v/>
      </c>
      <c r="K244" s="782"/>
      <c r="L244" s="444">
        <v>9</v>
      </c>
      <c r="M244" s="781" t="str">
        <f t="shared" si="23"/>
        <v>NO APLICA</v>
      </c>
      <c r="N244" s="781"/>
    </row>
    <row r="245" spans="2:14">
      <c r="B245" s="319"/>
      <c r="C245" s="319"/>
      <c r="D245" s="448"/>
      <c r="E245" s="320"/>
      <c r="F245" s="450" t="str">
        <f>IF(OR(D245="",E245=""),"",ROUND(D245/LOOKUP(E245,SMMLV!$A$2:$A$36,SMMLV!$D$2:$D$100),3))</f>
        <v/>
      </c>
      <c r="K245" s="782"/>
      <c r="L245" s="444">
        <v>10</v>
      </c>
      <c r="M245" s="781" t="str">
        <f t="shared" si="23"/>
        <v>NO APLICA</v>
      </c>
      <c r="N245" s="781"/>
    </row>
    <row r="246" spans="2:14">
      <c r="B246" s="319"/>
      <c r="C246" s="319"/>
      <c r="D246" s="448"/>
      <c r="E246" s="320"/>
      <c r="F246" s="450" t="str">
        <f>IF(OR(D246="",E246=""),"",ROUND(D246/LOOKUP(E246,SMMLV!$A$2:$A$36,SMMLV!$D$2:$D$100),3))</f>
        <v/>
      </c>
      <c r="K246" s="782">
        <v>25</v>
      </c>
      <c r="L246" s="444">
        <v>1</v>
      </c>
      <c r="M246" s="783" t="str">
        <f t="shared" ref="M246:M255" si="24">IF(SUMIFS($F$5:$F$1200,$B$5:$B$1200,$K$246,$C$5:$C$1200,$L246)=0,"NO APLICA",ROUND(SUMIFS($F$5:$F$1200,$B$5:$B$1200,$K$246,$C$5:$C$1200,$L246),3))</f>
        <v>NO APLICA</v>
      </c>
      <c r="N246" s="784"/>
    </row>
    <row r="247" spans="2:14">
      <c r="B247" s="319"/>
      <c r="C247" s="319"/>
      <c r="D247" s="448"/>
      <c r="E247" s="320"/>
      <c r="F247" s="450" t="str">
        <f>IF(OR(D247="",E247=""),"",ROUND(D247/LOOKUP(E247,SMMLV!$A$2:$A$36,SMMLV!$D$2:$D$100),3))</f>
        <v/>
      </c>
      <c r="K247" s="782"/>
      <c r="L247" s="444">
        <v>2</v>
      </c>
      <c r="M247" s="783" t="str">
        <f t="shared" si="24"/>
        <v>NO APLICA</v>
      </c>
      <c r="N247" s="784"/>
    </row>
    <row r="248" spans="2:14">
      <c r="B248" s="319"/>
      <c r="C248" s="319"/>
      <c r="D248" s="448"/>
      <c r="E248" s="320"/>
      <c r="F248" s="450" t="str">
        <f>IF(OR(D248="",E248=""),"",ROUND(D248/LOOKUP(E248,SMMLV!$A$2:$A$36,SMMLV!$D$2:$D$100),3))</f>
        <v/>
      </c>
      <c r="K248" s="782"/>
      <c r="L248" s="444">
        <v>3</v>
      </c>
      <c r="M248" s="783" t="str">
        <f t="shared" si="24"/>
        <v>NO APLICA</v>
      </c>
      <c r="N248" s="784"/>
    </row>
    <row r="249" spans="2:14">
      <c r="B249" s="319"/>
      <c r="C249" s="319"/>
      <c r="D249" s="448"/>
      <c r="E249" s="320"/>
      <c r="F249" s="450" t="str">
        <f>IF(OR(D249="",E249=""),"",ROUND(D249/LOOKUP(E249,SMMLV!$A$2:$A$36,SMMLV!$D$2:$D$100),3))</f>
        <v/>
      </c>
      <c r="K249" s="782"/>
      <c r="L249" s="444">
        <v>4</v>
      </c>
      <c r="M249" s="783" t="str">
        <f t="shared" si="24"/>
        <v>NO APLICA</v>
      </c>
      <c r="N249" s="784"/>
    </row>
    <row r="250" spans="2:14">
      <c r="B250" s="319"/>
      <c r="C250" s="319"/>
      <c r="D250" s="448"/>
      <c r="E250" s="320"/>
      <c r="F250" s="450" t="str">
        <f>IF(OR(D250="",E250=""),"",ROUND(D250/LOOKUP(E250,SMMLV!$A$2:$A$36,SMMLV!$D$2:$D$100),3))</f>
        <v/>
      </c>
      <c r="K250" s="782"/>
      <c r="L250" s="444">
        <v>5</v>
      </c>
      <c r="M250" s="783" t="str">
        <f t="shared" si="24"/>
        <v>NO APLICA</v>
      </c>
      <c r="N250" s="784"/>
    </row>
    <row r="251" spans="2:14">
      <c r="B251" s="319"/>
      <c r="C251" s="319"/>
      <c r="D251" s="448"/>
      <c r="E251" s="320"/>
      <c r="F251" s="450" t="str">
        <f>IF(OR(D251="",E251=""),"",ROUND(D251/LOOKUP(E251,SMMLV!$A$2:$A$36,SMMLV!$D$2:$D$100),3))</f>
        <v/>
      </c>
      <c r="K251" s="782"/>
      <c r="L251" s="444">
        <v>6</v>
      </c>
      <c r="M251" s="783" t="str">
        <f t="shared" si="24"/>
        <v>NO APLICA</v>
      </c>
      <c r="N251" s="784"/>
    </row>
    <row r="252" spans="2:14">
      <c r="B252" s="319"/>
      <c r="C252" s="319"/>
      <c r="D252" s="448"/>
      <c r="E252" s="320"/>
      <c r="F252" s="450" t="str">
        <f>IF(OR(D252="",E252=""),"",ROUND(D252/LOOKUP(E252,SMMLV!$A$2:$A$36,SMMLV!$D$2:$D$100),3))</f>
        <v/>
      </c>
      <c r="K252" s="782"/>
      <c r="L252" s="444">
        <v>7</v>
      </c>
      <c r="M252" s="783" t="str">
        <f t="shared" si="24"/>
        <v>NO APLICA</v>
      </c>
      <c r="N252" s="784"/>
    </row>
    <row r="253" spans="2:14">
      <c r="B253" s="319"/>
      <c r="C253" s="319"/>
      <c r="D253" s="448"/>
      <c r="E253" s="320"/>
      <c r="F253" s="450" t="str">
        <f>IF(OR(D253="",E253=""),"",ROUND(D253/LOOKUP(E253,SMMLV!$A$2:$A$36,SMMLV!$D$2:$D$100),3))</f>
        <v/>
      </c>
      <c r="K253" s="782"/>
      <c r="L253" s="444">
        <v>8</v>
      </c>
      <c r="M253" s="783" t="str">
        <f t="shared" si="24"/>
        <v>NO APLICA</v>
      </c>
      <c r="N253" s="784"/>
    </row>
    <row r="254" spans="2:14">
      <c r="B254" s="319"/>
      <c r="C254" s="319"/>
      <c r="D254" s="448"/>
      <c r="E254" s="320"/>
      <c r="F254" s="450" t="str">
        <f>IF(OR(D254="",E254=""),"",ROUND(D254/LOOKUP(E254,SMMLV!$A$2:$A$36,SMMLV!$D$2:$D$100),3))</f>
        <v/>
      </c>
      <c r="K254" s="782"/>
      <c r="L254" s="444">
        <v>9</v>
      </c>
      <c r="M254" s="783" t="str">
        <f t="shared" si="24"/>
        <v>NO APLICA</v>
      </c>
      <c r="N254" s="784"/>
    </row>
    <row r="255" spans="2:14">
      <c r="B255" s="319"/>
      <c r="C255" s="319"/>
      <c r="D255" s="448"/>
      <c r="E255" s="320"/>
      <c r="F255" s="450" t="str">
        <f>IF(OR(D255="",E255=""),"",ROUND(D255/LOOKUP(E255,SMMLV!$A$2:$A$36,SMMLV!$D$2:$D$100),3))</f>
        <v/>
      </c>
      <c r="K255" s="782"/>
      <c r="L255" s="444">
        <v>10</v>
      </c>
      <c r="M255" s="781" t="str">
        <f t="shared" si="24"/>
        <v>NO APLICA</v>
      </c>
      <c r="N255" s="781"/>
    </row>
    <row r="256" spans="2:14">
      <c r="B256" s="319"/>
      <c r="C256" s="319"/>
      <c r="D256" s="448"/>
      <c r="E256" s="320"/>
      <c r="F256" s="450" t="str">
        <f>IF(OR(D256="",E256=""),"",ROUND(D256/LOOKUP(E256,SMMLV!$A$2:$A$36,SMMLV!$D$2:$D$100),3))</f>
        <v/>
      </c>
      <c r="K256" s="782">
        <v>26</v>
      </c>
      <c r="L256" s="444">
        <v>1</v>
      </c>
      <c r="M256" s="781" t="str">
        <f t="shared" ref="M256:M265" si="25">IF(SUMIFS($F$5:$F$1200,$B$5:$B$1200,$K$256,$C$5:$C$1200,$L256)=0,"NO APLICA",ROUND(SUMIFS($F$5:$F$1200,$B$5:$B$1200,$K$256,$C$5:$C$1200,$L256),3))</f>
        <v>NO APLICA</v>
      </c>
      <c r="N256" s="781"/>
    </row>
    <row r="257" spans="2:14">
      <c r="B257" s="319"/>
      <c r="C257" s="319"/>
      <c r="D257" s="448"/>
      <c r="E257" s="320"/>
      <c r="F257" s="450" t="str">
        <f>IF(OR(D257="",E257=""),"",ROUND(D257/LOOKUP(E257,SMMLV!$A$2:$A$36,SMMLV!$D$2:$D$100),3))</f>
        <v/>
      </c>
      <c r="K257" s="782"/>
      <c r="L257" s="444">
        <v>2</v>
      </c>
      <c r="M257" s="781" t="str">
        <f t="shared" si="25"/>
        <v>NO APLICA</v>
      </c>
      <c r="N257" s="781"/>
    </row>
    <row r="258" spans="2:14">
      <c r="B258" s="319"/>
      <c r="C258" s="319"/>
      <c r="D258" s="448"/>
      <c r="E258" s="320"/>
      <c r="F258" s="450" t="str">
        <f>IF(OR(D258="",E258=""),"",ROUND(D258/LOOKUP(E258,SMMLV!$A$2:$A$36,SMMLV!$D$2:$D$100),3))</f>
        <v/>
      </c>
      <c r="K258" s="782"/>
      <c r="L258" s="444">
        <v>3</v>
      </c>
      <c r="M258" s="781" t="str">
        <f t="shared" si="25"/>
        <v>NO APLICA</v>
      </c>
      <c r="N258" s="781"/>
    </row>
    <row r="259" spans="2:14">
      <c r="B259" s="319"/>
      <c r="C259" s="319"/>
      <c r="D259" s="448"/>
      <c r="E259" s="320"/>
      <c r="F259" s="450" t="str">
        <f>IF(OR(D259="",E259=""),"",ROUND(D259/LOOKUP(E259,SMMLV!$A$2:$A$36,SMMLV!$D$2:$D$100),3))</f>
        <v/>
      </c>
      <c r="K259" s="782"/>
      <c r="L259" s="444">
        <v>4</v>
      </c>
      <c r="M259" s="781" t="str">
        <f t="shared" si="25"/>
        <v>NO APLICA</v>
      </c>
      <c r="N259" s="781"/>
    </row>
    <row r="260" spans="2:14">
      <c r="B260" s="319"/>
      <c r="C260" s="319"/>
      <c r="D260" s="448"/>
      <c r="E260" s="320"/>
      <c r="F260" s="450" t="str">
        <f>IF(OR(D260="",E260=""),"",ROUND(D260/LOOKUP(E260,SMMLV!$A$2:$A$36,SMMLV!$D$2:$D$100),3))</f>
        <v/>
      </c>
      <c r="K260" s="782"/>
      <c r="L260" s="444">
        <v>5</v>
      </c>
      <c r="M260" s="781" t="str">
        <f t="shared" si="25"/>
        <v>NO APLICA</v>
      </c>
      <c r="N260" s="781"/>
    </row>
    <row r="261" spans="2:14">
      <c r="B261" s="319"/>
      <c r="C261" s="319"/>
      <c r="D261" s="448"/>
      <c r="E261" s="320"/>
      <c r="F261" s="450" t="str">
        <f>IF(OR(D261="",E261=""),"",ROUND(D261/LOOKUP(E261,SMMLV!$A$2:$A$36,SMMLV!$D$2:$D$100),3))</f>
        <v/>
      </c>
      <c r="K261" s="782"/>
      <c r="L261" s="444">
        <v>6</v>
      </c>
      <c r="M261" s="781" t="str">
        <f t="shared" si="25"/>
        <v>NO APLICA</v>
      </c>
      <c r="N261" s="781"/>
    </row>
    <row r="262" spans="2:14">
      <c r="B262" s="319"/>
      <c r="C262" s="319"/>
      <c r="D262" s="448"/>
      <c r="E262" s="320"/>
      <c r="F262" s="450" t="str">
        <f>IF(OR(D262="",E262=""),"",ROUND(D262/LOOKUP(E262,SMMLV!$A$2:$A$36,SMMLV!$D$2:$D$100),3))</f>
        <v/>
      </c>
      <c r="K262" s="782"/>
      <c r="L262" s="444">
        <v>7</v>
      </c>
      <c r="M262" s="781" t="str">
        <f t="shared" si="25"/>
        <v>NO APLICA</v>
      </c>
      <c r="N262" s="781"/>
    </row>
    <row r="263" spans="2:14">
      <c r="B263" s="319"/>
      <c r="C263" s="319"/>
      <c r="D263" s="448"/>
      <c r="E263" s="320"/>
      <c r="F263" s="450" t="str">
        <f>IF(OR(D263="",E263=""),"",ROUND(D263/LOOKUP(E263,SMMLV!$A$2:$A$36,SMMLV!$D$2:$D$100),3))</f>
        <v/>
      </c>
      <c r="K263" s="782"/>
      <c r="L263" s="444">
        <v>8</v>
      </c>
      <c r="M263" s="781" t="str">
        <f t="shared" si="25"/>
        <v>NO APLICA</v>
      </c>
      <c r="N263" s="781"/>
    </row>
    <row r="264" spans="2:14">
      <c r="B264" s="319"/>
      <c r="C264" s="319"/>
      <c r="D264" s="448"/>
      <c r="E264" s="320"/>
      <c r="F264" s="450" t="str">
        <f>IF(OR(D264="",E264=""),"",ROUND(D264/LOOKUP(E264,SMMLV!$A$2:$A$36,SMMLV!$D$2:$D$100),3))</f>
        <v/>
      </c>
      <c r="K264" s="782"/>
      <c r="L264" s="444">
        <v>9</v>
      </c>
      <c r="M264" s="781" t="str">
        <f t="shared" si="25"/>
        <v>NO APLICA</v>
      </c>
      <c r="N264" s="781"/>
    </row>
    <row r="265" spans="2:14">
      <c r="B265" s="319"/>
      <c r="C265" s="319"/>
      <c r="D265" s="448"/>
      <c r="E265" s="320"/>
      <c r="F265" s="450" t="str">
        <f>IF(OR(D265="",E265=""),"",ROUND(D265/LOOKUP(E265,SMMLV!$A$2:$A$36,SMMLV!$D$2:$D$100),3))</f>
        <v/>
      </c>
      <c r="K265" s="782"/>
      <c r="L265" s="444">
        <v>10</v>
      </c>
      <c r="M265" s="781" t="str">
        <f t="shared" si="25"/>
        <v>NO APLICA</v>
      </c>
      <c r="N265" s="781"/>
    </row>
    <row r="266" spans="2:14">
      <c r="B266" s="319"/>
      <c r="C266" s="319"/>
      <c r="D266" s="448"/>
      <c r="E266" s="320"/>
      <c r="F266" s="450" t="str">
        <f>IF(OR(D266="",E266=""),"",ROUND(D266/LOOKUP(E266,SMMLV!$A$2:$A$36,SMMLV!$D$2:$D$100),3))</f>
        <v/>
      </c>
      <c r="K266" s="782">
        <v>27</v>
      </c>
      <c r="L266" s="444">
        <v>1</v>
      </c>
      <c r="M266" s="781" t="str">
        <f t="shared" ref="M266:M275" si="26">IF(SUMIFS($F$5:$F$1200,$B$5:$B$1200,$K$266,$C$5:$C$1200,$L266)=0,"NO APLICA",ROUND(SUMIFS($F$5:$F$1200,$B$5:$B$1200,$K$266,$C$5:$C$1200,$L266),3))</f>
        <v>NO APLICA</v>
      </c>
      <c r="N266" s="781"/>
    </row>
    <row r="267" spans="2:14">
      <c r="B267" s="319"/>
      <c r="C267" s="319"/>
      <c r="D267" s="448"/>
      <c r="E267" s="320"/>
      <c r="F267" s="450" t="str">
        <f>IF(OR(D267="",E267=""),"",ROUND(D267/LOOKUP(E267,SMMLV!$A$2:$A$36,SMMLV!$D$2:$D$100),3))</f>
        <v/>
      </c>
      <c r="K267" s="782"/>
      <c r="L267" s="444">
        <v>2</v>
      </c>
      <c r="M267" s="781" t="str">
        <f t="shared" si="26"/>
        <v>NO APLICA</v>
      </c>
      <c r="N267" s="781"/>
    </row>
    <row r="268" spans="2:14">
      <c r="B268" s="319"/>
      <c r="C268" s="319"/>
      <c r="D268" s="448"/>
      <c r="E268" s="320"/>
      <c r="F268" s="450" t="str">
        <f>IF(OR(D268="",E268=""),"",ROUND(D268/LOOKUP(E268,SMMLV!$A$2:$A$36,SMMLV!$D$2:$D$100),3))</f>
        <v/>
      </c>
      <c r="K268" s="782"/>
      <c r="L268" s="444">
        <v>3</v>
      </c>
      <c r="M268" s="781" t="str">
        <f t="shared" si="26"/>
        <v>NO APLICA</v>
      </c>
      <c r="N268" s="781"/>
    </row>
    <row r="269" spans="2:14">
      <c r="B269" s="319"/>
      <c r="C269" s="319"/>
      <c r="D269" s="448"/>
      <c r="E269" s="320"/>
      <c r="F269" s="450" t="str">
        <f>IF(OR(D269="",E269=""),"",ROUND(D269/LOOKUP(E269,SMMLV!$A$2:$A$36,SMMLV!$D$2:$D$100),3))</f>
        <v/>
      </c>
      <c r="K269" s="782"/>
      <c r="L269" s="444">
        <v>4</v>
      </c>
      <c r="M269" s="781" t="str">
        <f t="shared" si="26"/>
        <v>NO APLICA</v>
      </c>
      <c r="N269" s="781"/>
    </row>
    <row r="270" spans="2:14">
      <c r="B270" s="319"/>
      <c r="C270" s="319"/>
      <c r="D270" s="448"/>
      <c r="E270" s="320"/>
      <c r="F270" s="450" t="str">
        <f>IF(OR(D270="",E270=""),"",ROUND(D270/LOOKUP(E270,SMMLV!$A$2:$A$36,SMMLV!$D$2:$D$100),3))</f>
        <v/>
      </c>
      <c r="K270" s="782"/>
      <c r="L270" s="444">
        <v>5</v>
      </c>
      <c r="M270" s="781" t="str">
        <f t="shared" si="26"/>
        <v>NO APLICA</v>
      </c>
      <c r="N270" s="781"/>
    </row>
    <row r="271" spans="2:14">
      <c r="B271" s="319"/>
      <c r="C271" s="319"/>
      <c r="D271" s="448"/>
      <c r="E271" s="320"/>
      <c r="F271" s="450" t="str">
        <f>IF(OR(D271="",E271=""),"",ROUND(D271/LOOKUP(E271,SMMLV!$A$2:$A$36,SMMLV!$D$2:$D$100),3))</f>
        <v/>
      </c>
      <c r="K271" s="782"/>
      <c r="L271" s="444">
        <v>6</v>
      </c>
      <c r="M271" s="781" t="str">
        <f t="shared" si="26"/>
        <v>NO APLICA</v>
      </c>
      <c r="N271" s="781"/>
    </row>
    <row r="272" spans="2:14">
      <c r="B272" s="319"/>
      <c r="C272" s="319"/>
      <c r="D272" s="448"/>
      <c r="E272" s="320"/>
      <c r="F272" s="450" t="str">
        <f>IF(OR(D272="",E272=""),"",ROUND(D272/LOOKUP(E272,SMMLV!$A$2:$A$36,SMMLV!$D$2:$D$100),3))</f>
        <v/>
      </c>
      <c r="K272" s="782"/>
      <c r="L272" s="444">
        <v>7</v>
      </c>
      <c r="M272" s="781" t="str">
        <f t="shared" si="26"/>
        <v>NO APLICA</v>
      </c>
      <c r="N272" s="781"/>
    </row>
    <row r="273" spans="2:14">
      <c r="B273" s="319"/>
      <c r="C273" s="319"/>
      <c r="D273" s="448"/>
      <c r="E273" s="320"/>
      <c r="F273" s="450" t="str">
        <f>IF(OR(D273="",E273=""),"",ROUND(D273/LOOKUP(E273,SMMLV!$A$2:$A$36,SMMLV!$D$2:$D$100),3))</f>
        <v/>
      </c>
      <c r="K273" s="782"/>
      <c r="L273" s="444">
        <v>8</v>
      </c>
      <c r="M273" s="781" t="str">
        <f t="shared" si="26"/>
        <v>NO APLICA</v>
      </c>
      <c r="N273" s="781"/>
    </row>
    <row r="274" spans="2:14">
      <c r="B274" s="319"/>
      <c r="C274" s="319"/>
      <c r="D274" s="448"/>
      <c r="E274" s="320"/>
      <c r="F274" s="450" t="str">
        <f>IF(OR(D274="",E274=""),"",ROUND(D274/LOOKUP(E274,SMMLV!$A$2:$A$36,SMMLV!$D$2:$D$100),3))</f>
        <v/>
      </c>
      <c r="K274" s="782"/>
      <c r="L274" s="444">
        <v>9</v>
      </c>
      <c r="M274" s="781" t="str">
        <f t="shared" si="26"/>
        <v>NO APLICA</v>
      </c>
      <c r="N274" s="781"/>
    </row>
    <row r="275" spans="2:14">
      <c r="B275" s="319"/>
      <c r="C275" s="319"/>
      <c r="D275" s="448"/>
      <c r="E275" s="320"/>
      <c r="F275" s="450" t="str">
        <f>IF(OR(D275="",E275=""),"",ROUND(D275/LOOKUP(E275,SMMLV!$A$2:$A$36,SMMLV!$D$2:$D$100),3))</f>
        <v/>
      </c>
      <c r="K275" s="782"/>
      <c r="L275" s="444">
        <v>10</v>
      </c>
      <c r="M275" s="781" t="str">
        <f t="shared" si="26"/>
        <v>NO APLICA</v>
      </c>
      <c r="N275" s="781"/>
    </row>
    <row r="276" spans="2:14">
      <c r="B276" s="319"/>
      <c r="C276" s="319"/>
      <c r="D276" s="448"/>
      <c r="E276" s="320"/>
      <c r="F276" s="450" t="str">
        <f>IF(OR(D276="",E276=""),"",ROUND(D276/LOOKUP(E276,SMMLV!$A$2:$A$36,SMMLV!$D$2:$D$100),3))</f>
        <v/>
      </c>
      <c r="K276" s="782">
        <v>28</v>
      </c>
      <c r="L276" s="444">
        <v>1</v>
      </c>
      <c r="M276" s="781" t="str">
        <f t="shared" ref="M276:M285" si="27">IF(SUMIFS($F$5:$F$1200,$B$5:$B$1200,$K$276,$C$5:$C$1200,$L276)=0,"NO APLICA",ROUND(SUMIFS($F$5:$F$1200,$B$5:$B$1200,$K$276,$C$5:$C$1200,$L276),3))</f>
        <v>NO APLICA</v>
      </c>
      <c r="N276" s="781"/>
    </row>
    <row r="277" spans="2:14">
      <c r="B277" s="319"/>
      <c r="C277" s="319"/>
      <c r="D277" s="448"/>
      <c r="E277" s="320"/>
      <c r="F277" s="450" t="str">
        <f>IF(OR(D277="",E277=""),"",ROUND(D277/LOOKUP(E277,SMMLV!$A$2:$A$36,SMMLV!$D$2:$D$100),3))</f>
        <v/>
      </c>
      <c r="K277" s="782"/>
      <c r="L277" s="444">
        <v>2</v>
      </c>
      <c r="M277" s="781" t="str">
        <f t="shared" si="27"/>
        <v>NO APLICA</v>
      </c>
      <c r="N277" s="781"/>
    </row>
    <row r="278" spans="2:14">
      <c r="B278" s="319"/>
      <c r="C278" s="319"/>
      <c r="D278" s="448"/>
      <c r="E278" s="320"/>
      <c r="F278" s="450" t="str">
        <f>IF(OR(D278="",E278=""),"",ROUND(D278/LOOKUP(E278,SMMLV!$A$2:$A$36,SMMLV!$D$2:$D$100),3))</f>
        <v/>
      </c>
      <c r="K278" s="782"/>
      <c r="L278" s="444">
        <v>3</v>
      </c>
      <c r="M278" s="781" t="str">
        <f t="shared" si="27"/>
        <v>NO APLICA</v>
      </c>
      <c r="N278" s="781"/>
    </row>
    <row r="279" spans="2:14">
      <c r="B279" s="319"/>
      <c r="C279" s="319"/>
      <c r="D279" s="448"/>
      <c r="E279" s="320"/>
      <c r="F279" s="450" t="str">
        <f>IF(OR(D279="",E279=""),"",ROUND(D279/LOOKUP(E279,SMMLV!$A$2:$A$36,SMMLV!$D$2:$D$100),3))</f>
        <v/>
      </c>
      <c r="K279" s="782"/>
      <c r="L279" s="444">
        <v>4</v>
      </c>
      <c r="M279" s="781" t="str">
        <f t="shared" si="27"/>
        <v>NO APLICA</v>
      </c>
      <c r="N279" s="781"/>
    </row>
    <row r="280" spans="2:14">
      <c r="B280" s="319"/>
      <c r="C280" s="319"/>
      <c r="D280" s="448"/>
      <c r="E280" s="320"/>
      <c r="F280" s="450" t="str">
        <f>IF(OR(D280="",E280=""),"",ROUND(D280/LOOKUP(E280,SMMLV!$A$2:$A$36,SMMLV!$D$2:$D$100),3))</f>
        <v/>
      </c>
      <c r="K280" s="782"/>
      <c r="L280" s="444">
        <v>5</v>
      </c>
      <c r="M280" s="781" t="str">
        <f t="shared" si="27"/>
        <v>NO APLICA</v>
      </c>
      <c r="N280" s="781"/>
    </row>
    <row r="281" spans="2:14">
      <c r="B281" s="319"/>
      <c r="C281" s="319"/>
      <c r="D281" s="448"/>
      <c r="E281" s="320"/>
      <c r="F281" s="450" t="str">
        <f>IF(OR(D281="",E281=""),"",ROUND(D281/LOOKUP(E281,SMMLV!$A$2:$A$36,SMMLV!$D$2:$D$100),3))</f>
        <v/>
      </c>
      <c r="K281" s="782"/>
      <c r="L281" s="444">
        <v>6</v>
      </c>
      <c r="M281" s="781" t="str">
        <f t="shared" si="27"/>
        <v>NO APLICA</v>
      </c>
      <c r="N281" s="781"/>
    </row>
    <row r="282" spans="2:14">
      <c r="B282" s="319"/>
      <c r="C282" s="319"/>
      <c r="D282" s="448"/>
      <c r="E282" s="320"/>
      <c r="F282" s="450" t="str">
        <f>IF(OR(D282="",E282=""),"",ROUND(D282/LOOKUP(E282,SMMLV!$A$2:$A$36,SMMLV!$D$2:$D$100),3))</f>
        <v/>
      </c>
      <c r="K282" s="782"/>
      <c r="L282" s="444">
        <v>7</v>
      </c>
      <c r="M282" s="781" t="str">
        <f t="shared" si="27"/>
        <v>NO APLICA</v>
      </c>
      <c r="N282" s="781"/>
    </row>
    <row r="283" spans="2:14">
      <c r="B283" s="319"/>
      <c r="C283" s="319"/>
      <c r="D283" s="448"/>
      <c r="E283" s="320"/>
      <c r="F283" s="450" t="str">
        <f>IF(OR(D283="",E283=""),"",ROUND(D283/LOOKUP(E283,SMMLV!$A$2:$A$36,SMMLV!$D$2:$D$100),3))</f>
        <v/>
      </c>
      <c r="K283" s="782"/>
      <c r="L283" s="444">
        <v>8</v>
      </c>
      <c r="M283" s="781" t="str">
        <f t="shared" si="27"/>
        <v>NO APLICA</v>
      </c>
      <c r="N283" s="781"/>
    </row>
    <row r="284" spans="2:14">
      <c r="B284" s="319"/>
      <c r="C284" s="319"/>
      <c r="D284" s="448"/>
      <c r="E284" s="320"/>
      <c r="F284" s="450" t="str">
        <f>IF(OR(D284="",E284=""),"",ROUND(D284/LOOKUP(E284,SMMLV!$A$2:$A$36,SMMLV!$D$2:$D$100),3))</f>
        <v/>
      </c>
      <c r="K284" s="782"/>
      <c r="L284" s="444">
        <v>9</v>
      </c>
      <c r="M284" s="781" t="str">
        <f t="shared" si="27"/>
        <v>NO APLICA</v>
      </c>
      <c r="N284" s="781"/>
    </row>
    <row r="285" spans="2:14">
      <c r="B285" s="319"/>
      <c r="C285" s="319"/>
      <c r="D285" s="448"/>
      <c r="E285" s="320"/>
      <c r="F285" s="450" t="str">
        <f>IF(OR(D285="",E285=""),"",ROUND(D285/LOOKUP(E285,SMMLV!$A$2:$A$36,SMMLV!$D$2:$D$100),3))</f>
        <v/>
      </c>
      <c r="K285" s="782"/>
      <c r="L285" s="444">
        <v>10</v>
      </c>
      <c r="M285" s="781" t="str">
        <f t="shared" si="27"/>
        <v>NO APLICA</v>
      </c>
      <c r="N285" s="781"/>
    </row>
    <row r="286" spans="2:14">
      <c r="B286" s="319"/>
      <c r="C286" s="319"/>
      <c r="D286" s="448"/>
      <c r="E286" s="320"/>
      <c r="F286" s="450" t="str">
        <f>IF(OR(D286="",E286=""),"",ROUND(D286/LOOKUP(E286,SMMLV!$A$2:$A$36,SMMLV!$D$2:$D$100),3))</f>
        <v/>
      </c>
      <c r="K286" s="782">
        <v>29</v>
      </c>
      <c r="L286" s="444">
        <v>1</v>
      </c>
      <c r="M286" s="781" t="str">
        <f t="shared" ref="M286:M295" si="28">IF(SUMIFS($F$5:$F$1200,$B$5:$B$1200,$K$286,$C$5:$C$1200,$L286)=0,"NO APLICA",ROUND(SUMIFS($F$5:$F$1200,$B$5:$B$1200,$K$286,$C$5:$C$1200,$L286),3))</f>
        <v>NO APLICA</v>
      </c>
      <c r="N286" s="781"/>
    </row>
    <row r="287" spans="2:14">
      <c r="B287" s="319"/>
      <c r="C287" s="319"/>
      <c r="D287" s="448"/>
      <c r="E287" s="320"/>
      <c r="F287" s="450" t="str">
        <f>IF(OR(D287="",E287=""),"",ROUND(D287/LOOKUP(E287,SMMLV!$A$2:$A$36,SMMLV!$D$2:$D$100),3))</f>
        <v/>
      </c>
      <c r="K287" s="782"/>
      <c r="L287" s="444">
        <v>2</v>
      </c>
      <c r="M287" s="781" t="str">
        <f t="shared" si="28"/>
        <v>NO APLICA</v>
      </c>
      <c r="N287" s="781"/>
    </row>
    <row r="288" spans="2:14">
      <c r="B288" s="319"/>
      <c r="C288" s="319"/>
      <c r="D288" s="448"/>
      <c r="E288" s="320"/>
      <c r="F288" s="450" t="str">
        <f>IF(OR(D288="",E288=""),"",ROUND(D288/LOOKUP(E288,SMMLV!$A$2:$A$36,SMMLV!$D$2:$D$100),3))</f>
        <v/>
      </c>
      <c r="K288" s="782"/>
      <c r="L288" s="444">
        <v>3</v>
      </c>
      <c r="M288" s="781" t="str">
        <f t="shared" si="28"/>
        <v>NO APLICA</v>
      </c>
      <c r="N288" s="781"/>
    </row>
    <row r="289" spans="2:14">
      <c r="B289" s="319"/>
      <c r="C289" s="319"/>
      <c r="D289" s="448"/>
      <c r="E289" s="320"/>
      <c r="F289" s="450" t="str">
        <f>IF(OR(D289="",E289=""),"",ROUND(D289/LOOKUP(E289,SMMLV!$A$2:$A$36,SMMLV!$D$2:$D$100),3))</f>
        <v/>
      </c>
      <c r="K289" s="782"/>
      <c r="L289" s="444">
        <v>4</v>
      </c>
      <c r="M289" s="781" t="str">
        <f t="shared" si="28"/>
        <v>NO APLICA</v>
      </c>
      <c r="N289" s="781"/>
    </row>
    <row r="290" spans="2:14">
      <c r="B290" s="319"/>
      <c r="C290" s="319"/>
      <c r="D290" s="448"/>
      <c r="E290" s="320"/>
      <c r="F290" s="450" t="str">
        <f>IF(OR(D290="",E290=""),"",ROUND(D290/LOOKUP(E290,SMMLV!$A$2:$A$36,SMMLV!$D$2:$D$100),3))</f>
        <v/>
      </c>
      <c r="K290" s="782"/>
      <c r="L290" s="444">
        <v>5</v>
      </c>
      <c r="M290" s="781" t="str">
        <f t="shared" si="28"/>
        <v>NO APLICA</v>
      </c>
      <c r="N290" s="781"/>
    </row>
    <row r="291" spans="2:14">
      <c r="B291" s="319"/>
      <c r="C291" s="319"/>
      <c r="D291" s="448"/>
      <c r="E291" s="320"/>
      <c r="F291" s="450" t="str">
        <f>IF(OR(D291="",E291=""),"",ROUND(D291/LOOKUP(E291,SMMLV!$A$2:$A$36,SMMLV!$D$2:$D$100),3))</f>
        <v/>
      </c>
      <c r="K291" s="782"/>
      <c r="L291" s="444">
        <v>6</v>
      </c>
      <c r="M291" s="781" t="str">
        <f t="shared" si="28"/>
        <v>NO APLICA</v>
      </c>
      <c r="N291" s="781"/>
    </row>
    <row r="292" spans="2:14">
      <c r="B292" s="319"/>
      <c r="C292" s="319"/>
      <c r="D292" s="448"/>
      <c r="E292" s="320"/>
      <c r="F292" s="450" t="str">
        <f>IF(OR(D292="",E292=""),"",ROUND(D292/LOOKUP(E292,SMMLV!$A$2:$A$36,SMMLV!$D$2:$D$100),3))</f>
        <v/>
      </c>
      <c r="K292" s="782"/>
      <c r="L292" s="444">
        <v>7</v>
      </c>
      <c r="M292" s="781" t="str">
        <f t="shared" si="28"/>
        <v>NO APLICA</v>
      </c>
      <c r="N292" s="781"/>
    </row>
    <row r="293" spans="2:14">
      <c r="B293" s="319"/>
      <c r="C293" s="319"/>
      <c r="D293" s="448"/>
      <c r="E293" s="320"/>
      <c r="F293" s="450" t="str">
        <f>IF(OR(D293="",E293=""),"",ROUND(D293/LOOKUP(E293,SMMLV!$A$2:$A$36,SMMLV!$D$2:$D$100),3))</f>
        <v/>
      </c>
      <c r="K293" s="782"/>
      <c r="L293" s="444">
        <v>8</v>
      </c>
      <c r="M293" s="781" t="str">
        <f t="shared" si="28"/>
        <v>NO APLICA</v>
      </c>
      <c r="N293" s="781"/>
    </row>
    <row r="294" spans="2:14">
      <c r="B294" s="319"/>
      <c r="C294" s="319"/>
      <c r="D294" s="448"/>
      <c r="E294" s="320"/>
      <c r="F294" s="450" t="str">
        <f>IF(OR(D294="",E294=""),"",ROUND(D294/LOOKUP(E294,SMMLV!$A$2:$A$36,SMMLV!$D$2:$D$100),3))</f>
        <v/>
      </c>
      <c r="K294" s="782"/>
      <c r="L294" s="444">
        <v>9</v>
      </c>
      <c r="M294" s="781" t="str">
        <f t="shared" si="28"/>
        <v>NO APLICA</v>
      </c>
      <c r="N294" s="781"/>
    </row>
    <row r="295" spans="2:14">
      <c r="B295" s="319"/>
      <c r="C295" s="319"/>
      <c r="D295" s="448"/>
      <c r="E295" s="320"/>
      <c r="F295" s="450" t="str">
        <f>IF(OR(D295="",E295=""),"",ROUND(D295/LOOKUP(E295,SMMLV!$A$2:$A$36,SMMLV!$D$2:$D$100),3))</f>
        <v/>
      </c>
      <c r="K295" s="782"/>
      <c r="L295" s="444">
        <v>10</v>
      </c>
      <c r="M295" s="781" t="str">
        <f t="shared" si="28"/>
        <v>NO APLICA</v>
      </c>
      <c r="N295" s="781"/>
    </row>
    <row r="296" spans="2:14">
      <c r="B296" s="319"/>
      <c r="C296" s="319"/>
      <c r="D296" s="448"/>
      <c r="E296" s="320"/>
      <c r="F296" s="450" t="str">
        <f>IF(OR(D296="",E296=""),"",ROUND(D296/LOOKUP(E296,SMMLV!$A$2:$A$36,SMMLV!$D$2:$D$100),3))</f>
        <v/>
      </c>
      <c r="K296" s="782">
        <v>30</v>
      </c>
      <c r="L296" s="444">
        <v>1</v>
      </c>
      <c r="M296" s="781" t="str">
        <f t="shared" ref="M296:M305" si="29">IF(SUMIFS($F$5:$F$1200,$B$5:$B$1200,$K$296,$C$5:$C$1200,$L296)=0,"NO APLICA",ROUND(SUMIFS($F$5:$F$1200,$B$5:$B$1200,$K$296,$C$5:$C$1200,$L296),3))</f>
        <v>NO APLICA</v>
      </c>
      <c r="N296" s="781"/>
    </row>
    <row r="297" spans="2:14">
      <c r="B297" s="319"/>
      <c r="C297" s="319"/>
      <c r="D297" s="448"/>
      <c r="E297" s="320"/>
      <c r="F297" s="450" t="str">
        <f>IF(OR(D297="",E297=""),"",ROUND(D297/LOOKUP(E297,SMMLV!$A$2:$A$36,SMMLV!$D$2:$D$100),3))</f>
        <v/>
      </c>
      <c r="K297" s="782"/>
      <c r="L297" s="444">
        <v>2</v>
      </c>
      <c r="M297" s="781" t="str">
        <f t="shared" si="29"/>
        <v>NO APLICA</v>
      </c>
      <c r="N297" s="781"/>
    </row>
    <row r="298" spans="2:14">
      <c r="B298" s="319"/>
      <c r="C298" s="319"/>
      <c r="D298" s="448"/>
      <c r="E298" s="320"/>
      <c r="F298" s="450" t="str">
        <f>IF(OR(D298="",E298=""),"",ROUND(D298/LOOKUP(E298,SMMLV!$A$2:$A$36,SMMLV!$D$2:$D$100),3))</f>
        <v/>
      </c>
      <c r="K298" s="782"/>
      <c r="L298" s="444">
        <v>3</v>
      </c>
      <c r="M298" s="781" t="str">
        <f t="shared" si="29"/>
        <v>NO APLICA</v>
      </c>
      <c r="N298" s="781"/>
    </row>
    <row r="299" spans="2:14">
      <c r="B299" s="319"/>
      <c r="C299" s="319"/>
      <c r="D299" s="448"/>
      <c r="E299" s="320"/>
      <c r="F299" s="450" t="str">
        <f>IF(OR(D299="",E299=""),"",ROUND(D299/LOOKUP(E299,SMMLV!$A$2:$A$36,SMMLV!$D$2:$D$100),3))</f>
        <v/>
      </c>
      <c r="K299" s="782"/>
      <c r="L299" s="444">
        <v>4</v>
      </c>
      <c r="M299" s="781" t="str">
        <f t="shared" si="29"/>
        <v>NO APLICA</v>
      </c>
      <c r="N299" s="781"/>
    </row>
    <row r="300" spans="2:14">
      <c r="B300" s="319"/>
      <c r="C300" s="319"/>
      <c r="D300" s="448"/>
      <c r="E300" s="320"/>
      <c r="F300" s="450" t="str">
        <f>IF(OR(D300="",E300=""),"",ROUND(D300/LOOKUP(E300,SMMLV!$A$2:$A$36,SMMLV!$D$2:$D$100),3))</f>
        <v/>
      </c>
      <c r="K300" s="782"/>
      <c r="L300" s="444">
        <v>5</v>
      </c>
      <c r="M300" s="781" t="str">
        <f t="shared" si="29"/>
        <v>NO APLICA</v>
      </c>
      <c r="N300" s="781"/>
    </row>
    <row r="301" spans="2:14">
      <c r="B301" s="319"/>
      <c r="C301" s="319"/>
      <c r="D301" s="448"/>
      <c r="E301" s="320"/>
      <c r="F301" s="450" t="str">
        <f>IF(OR(D301="",E301=""),"",ROUND(D301/LOOKUP(E301,SMMLV!$A$2:$A$36,SMMLV!$D$2:$D$100),3))</f>
        <v/>
      </c>
      <c r="K301" s="782"/>
      <c r="L301" s="444">
        <v>6</v>
      </c>
      <c r="M301" s="781" t="str">
        <f t="shared" si="29"/>
        <v>NO APLICA</v>
      </c>
      <c r="N301" s="781"/>
    </row>
    <row r="302" spans="2:14">
      <c r="B302" s="319"/>
      <c r="C302" s="319"/>
      <c r="D302" s="448"/>
      <c r="E302" s="320"/>
      <c r="F302" s="450" t="str">
        <f>IF(OR(D302="",E302=""),"",ROUND(D302/LOOKUP(E302,SMMLV!$A$2:$A$36,SMMLV!$D$2:$D$100),3))</f>
        <v/>
      </c>
      <c r="K302" s="782"/>
      <c r="L302" s="444">
        <v>7</v>
      </c>
      <c r="M302" s="781" t="str">
        <f t="shared" si="29"/>
        <v>NO APLICA</v>
      </c>
      <c r="N302" s="781"/>
    </row>
    <row r="303" spans="2:14">
      <c r="B303" s="319"/>
      <c r="C303" s="319"/>
      <c r="D303" s="448"/>
      <c r="E303" s="320"/>
      <c r="F303" s="450" t="str">
        <f>IF(OR(D303="",E303=""),"",ROUND(D303/LOOKUP(E303,SMMLV!$A$2:$A$36,SMMLV!$D$2:$D$100),3))</f>
        <v/>
      </c>
      <c r="K303" s="782"/>
      <c r="L303" s="444">
        <v>8</v>
      </c>
      <c r="M303" s="781" t="str">
        <f t="shared" si="29"/>
        <v>NO APLICA</v>
      </c>
      <c r="N303" s="781"/>
    </row>
    <row r="304" spans="2:14">
      <c r="B304" s="319"/>
      <c r="C304" s="319"/>
      <c r="D304" s="448"/>
      <c r="E304" s="320"/>
      <c r="F304" s="450" t="str">
        <f>IF(OR(D304="",E304=""),"",ROUND(D304/LOOKUP(E304,SMMLV!$A$2:$A$36,SMMLV!$D$2:$D$100),3))</f>
        <v/>
      </c>
      <c r="K304" s="782"/>
      <c r="L304" s="444">
        <v>9</v>
      </c>
      <c r="M304" s="781" t="str">
        <f t="shared" si="29"/>
        <v>NO APLICA</v>
      </c>
      <c r="N304" s="781"/>
    </row>
    <row r="305" spans="2:14">
      <c r="B305" s="319"/>
      <c r="C305" s="319"/>
      <c r="D305" s="448"/>
      <c r="E305" s="320"/>
      <c r="F305" s="450" t="str">
        <f>IF(OR(D305="",E305=""),"",ROUND(D305/LOOKUP(E305,SMMLV!$A$2:$A$36,SMMLV!$D$2:$D$100),3))</f>
        <v/>
      </c>
      <c r="K305" s="782"/>
      <c r="L305" s="444">
        <v>10</v>
      </c>
      <c r="M305" s="781" t="str">
        <f t="shared" si="29"/>
        <v>NO APLICA</v>
      </c>
      <c r="N305" s="781"/>
    </row>
    <row r="306" spans="2:14">
      <c r="B306" s="319"/>
      <c r="C306" s="319"/>
      <c r="D306" s="448"/>
      <c r="E306" s="320"/>
      <c r="F306" s="450" t="str">
        <f>IF(OR(D306="",E306=""),"",ROUND(D306/LOOKUP(E306,SMMLV!$A$2:$A$36,SMMLV!$D$2:$D$100),3))</f>
        <v/>
      </c>
      <c r="K306" s="782">
        <v>31</v>
      </c>
      <c r="L306" s="444">
        <v>1</v>
      </c>
      <c r="M306" s="781" t="str">
        <f t="shared" ref="M306:M315" si="30">IF(SUMIFS($F$5:$F$1200,$B$5:$B$1200,$K$306,$C$5:$C$1200,$L306)=0,"NO APLICA",ROUND(SUMIFS($F$5:$F$1200,$B$5:$B$1200,$K$306,$C$5:$C$1200,$L306),3))</f>
        <v>NO APLICA</v>
      </c>
      <c r="N306" s="781"/>
    </row>
    <row r="307" spans="2:14">
      <c r="B307" s="319"/>
      <c r="C307" s="319"/>
      <c r="D307" s="448"/>
      <c r="E307" s="320"/>
      <c r="F307" s="450" t="str">
        <f>IF(OR(D307="",E307=""),"",ROUND(D307/LOOKUP(E307,SMMLV!$A$2:$A$36,SMMLV!$D$2:$D$100),3))</f>
        <v/>
      </c>
      <c r="K307" s="782"/>
      <c r="L307" s="444">
        <v>2</v>
      </c>
      <c r="M307" s="781" t="str">
        <f t="shared" si="30"/>
        <v>NO APLICA</v>
      </c>
      <c r="N307" s="781"/>
    </row>
    <row r="308" spans="2:14">
      <c r="B308" s="319"/>
      <c r="C308" s="319"/>
      <c r="D308" s="448"/>
      <c r="E308" s="320"/>
      <c r="F308" s="450" t="str">
        <f>IF(OR(D308="",E308=""),"",ROUND(D308/LOOKUP(E308,SMMLV!$A$2:$A$36,SMMLV!$D$2:$D$100),3))</f>
        <v/>
      </c>
      <c r="K308" s="782"/>
      <c r="L308" s="444">
        <v>3</v>
      </c>
      <c r="M308" s="781" t="str">
        <f t="shared" si="30"/>
        <v>NO APLICA</v>
      </c>
      <c r="N308" s="781"/>
    </row>
    <row r="309" spans="2:14">
      <c r="B309" s="319"/>
      <c r="C309" s="319"/>
      <c r="D309" s="448"/>
      <c r="E309" s="320"/>
      <c r="F309" s="450" t="str">
        <f>IF(OR(D309="",E309=""),"",ROUND(D309/LOOKUP(E309,SMMLV!$A$2:$A$36,SMMLV!$D$2:$D$100),3))</f>
        <v/>
      </c>
      <c r="K309" s="782"/>
      <c r="L309" s="444">
        <v>4</v>
      </c>
      <c r="M309" s="781" t="str">
        <f t="shared" si="30"/>
        <v>NO APLICA</v>
      </c>
      <c r="N309" s="781"/>
    </row>
    <row r="310" spans="2:14">
      <c r="B310" s="319"/>
      <c r="C310" s="319"/>
      <c r="D310" s="448"/>
      <c r="E310" s="320"/>
      <c r="F310" s="450" t="str">
        <f>IF(OR(D310="",E310=""),"",ROUND(D310/LOOKUP(E310,SMMLV!$A$2:$A$36,SMMLV!$D$2:$D$100),3))</f>
        <v/>
      </c>
      <c r="K310" s="782"/>
      <c r="L310" s="444">
        <v>5</v>
      </c>
      <c r="M310" s="781" t="str">
        <f t="shared" si="30"/>
        <v>NO APLICA</v>
      </c>
      <c r="N310" s="781"/>
    </row>
    <row r="311" spans="2:14">
      <c r="B311" s="319"/>
      <c r="C311" s="319"/>
      <c r="D311" s="448"/>
      <c r="E311" s="320"/>
      <c r="F311" s="450" t="str">
        <f>IF(OR(D311="",E311=""),"",ROUND(D311/LOOKUP(E311,SMMLV!$A$2:$A$36,SMMLV!$D$2:$D$100),3))</f>
        <v/>
      </c>
      <c r="K311" s="782"/>
      <c r="L311" s="444">
        <v>6</v>
      </c>
      <c r="M311" s="781" t="str">
        <f t="shared" si="30"/>
        <v>NO APLICA</v>
      </c>
      <c r="N311" s="781"/>
    </row>
    <row r="312" spans="2:14">
      <c r="B312" s="319"/>
      <c r="C312" s="319"/>
      <c r="D312" s="448"/>
      <c r="E312" s="320"/>
      <c r="F312" s="450" t="str">
        <f>IF(OR(D312="",E312=""),"",ROUND(D312/LOOKUP(E312,SMMLV!$A$2:$A$36,SMMLV!$D$2:$D$100),3))</f>
        <v/>
      </c>
      <c r="K312" s="782"/>
      <c r="L312" s="444">
        <v>7</v>
      </c>
      <c r="M312" s="781" t="str">
        <f t="shared" si="30"/>
        <v>NO APLICA</v>
      </c>
      <c r="N312" s="781"/>
    </row>
    <row r="313" spans="2:14">
      <c r="B313" s="319"/>
      <c r="C313" s="319"/>
      <c r="D313" s="448"/>
      <c r="E313" s="320"/>
      <c r="F313" s="450" t="str">
        <f>IF(OR(D313="",E313=""),"",ROUND(D313/LOOKUP(E313,SMMLV!$A$2:$A$36,SMMLV!$D$2:$D$100),3))</f>
        <v/>
      </c>
      <c r="K313" s="782"/>
      <c r="L313" s="444">
        <v>8</v>
      </c>
      <c r="M313" s="781" t="str">
        <f t="shared" si="30"/>
        <v>NO APLICA</v>
      </c>
      <c r="N313" s="781"/>
    </row>
    <row r="314" spans="2:14">
      <c r="B314" s="319"/>
      <c r="C314" s="319"/>
      <c r="D314" s="448"/>
      <c r="E314" s="320"/>
      <c r="F314" s="450" t="str">
        <f>IF(OR(D314="",E314=""),"",ROUND(D314/LOOKUP(E314,SMMLV!$A$2:$A$36,SMMLV!$D$2:$D$100),3))</f>
        <v/>
      </c>
      <c r="K314" s="782"/>
      <c r="L314" s="444">
        <v>9</v>
      </c>
      <c r="M314" s="781" t="str">
        <f t="shared" si="30"/>
        <v>NO APLICA</v>
      </c>
      <c r="N314" s="781"/>
    </row>
    <row r="315" spans="2:14">
      <c r="B315" s="319"/>
      <c r="C315" s="319"/>
      <c r="D315" s="448"/>
      <c r="E315" s="320"/>
      <c r="F315" s="450" t="str">
        <f>IF(OR(D315="",E315=""),"",ROUND(D315/LOOKUP(E315,SMMLV!$A$2:$A$36,SMMLV!$D$2:$D$100),3))</f>
        <v/>
      </c>
      <c r="K315" s="782"/>
      <c r="L315" s="444">
        <v>10</v>
      </c>
      <c r="M315" s="781" t="str">
        <f t="shared" si="30"/>
        <v>NO APLICA</v>
      </c>
      <c r="N315" s="781"/>
    </row>
    <row r="316" spans="2:14">
      <c r="B316" s="319"/>
      <c r="C316" s="319"/>
      <c r="D316" s="448"/>
      <c r="E316" s="320"/>
      <c r="F316" s="450" t="str">
        <f>IF(OR(D316="",E316=""),"",ROUND(D316/LOOKUP(E316,SMMLV!$A$2:$A$36,SMMLV!$D$2:$D$100),3))</f>
        <v/>
      </c>
      <c r="K316" s="782">
        <v>32</v>
      </c>
      <c r="L316" s="444">
        <v>1</v>
      </c>
      <c r="M316" s="781" t="str">
        <f t="shared" ref="M316:M325" si="31">IF(SUMIFS($F$5:$F$1200,$B$5:$B$1200,$K$316,$C$5:$C$1200,$L316)=0,"NO APLICA",ROUND(SUMIFS($F$5:$F$1200,$B$5:$B$1200,$K$316,$C$5:$C$1200,$L316),3))</f>
        <v>NO APLICA</v>
      </c>
      <c r="N316" s="781"/>
    </row>
    <row r="317" spans="2:14">
      <c r="B317" s="319"/>
      <c r="C317" s="319"/>
      <c r="D317" s="448"/>
      <c r="E317" s="320"/>
      <c r="F317" s="450" t="str">
        <f>IF(OR(D317="",E317=""),"",ROUND(D317/LOOKUP(E317,SMMLV!$A$2:$A$36,SMMLV!$D$2:$D$100),3))</f>
        <v/>
      </c>
      <c r="K317" s="782"/>
      <c r="L317" s="444">
        <v>2</v>
      </c>
      <c r="M317" s="781" t="str">
        <f t="shared" si="31"/>
        <v>NO APLICA</v>
      </c>
      <c r="N317" s="781"/>
    </row>
    <row r="318" spans="2:14">
      <c r="B318" s="319"/>
      <c r="C318" s="319"/>
      <c r="D318" s="448"/>
      <c r="E318" s="320"/>
      <c r="F318" s="450" t="str">
        <f>IF(OR(D318="",E318=""),"",ROUND(D318/LOOKUP(E318,SMMLV!$A$2:$A$36,SMMLV!$D$2:$D$100),3))</f>
        <v/>
      </c>
      <c r="K318" s="782"/>
      <c r="L318" s="444">
        <v>3</v>
      </c>
      <c r="M318" s="781" t="str">
        <f t="shared" si="31"/>
        <v>NO APLICA</v>
      </c>
      <c r="N318" s="781"/>
    </row>
    <row r="319" spans="2:14">
      <c r="B319" s="319"/>
      <c r="C319" s="319"/>
      <c r="D319" s="448"/>
      <c r="E319" s="320"/>
      <c r="F319" s="450" t="str">
        <f>IF(OR(D319="",E319=""),"",ROUND(D319/LOOKUP(E319,SMMLV!$A$2:$A$36,SMMLV!$D$2:$D$100),3))</f>
        <v/>
      </c>
      <c r="K319" s="782"/>
      <c r="L319" s="444">
        <v>4</v>
      </c>
      <c r="M319" s="781" t="str">
        <f t="shared" si="31"/>
        <v>NO APLICA</v>
      </c>
      <c r="N319" s="781"/>
    </row>
    <row r="320" spans="2:14">
      <c r="B320" s="319"/>
      <c r="C320" s="319"/>
      <c r="D320" s="448"/>
      <c r="E320" s="320"/>
      <c r="F320" s="450" t="str">
        <f>IF(OR(D320="",E320=""),"",ROUND(D320/LOOKUP(E320,SMMLV!$A$2:$A$36,SMMLV!$D$2:$D$100),3))</f>
        <v/>
      </c>
      <c r="K320" s="782"/>
      <c r="L320" s="444">
        <v>5</v>
      </c>
      <c r="M320" s="781" t="str">
        <f t="shared" si="31"/>
        <v>NO APLICA</v>
      </c>
      <c r="N320" s="781"/>
    </row>
    <row r="321" spans="2:14">
      <c r="B321" s="319"/>
      <c r="C321" s="319"/>
      <c r="D321" s="448"/>
      <c r="E321" s="320"/>
      <c r="F321" s="450" t="str">
        <f>IF(OR(D321="",E321=""),"",ROUND(D321/LOOKUP(E321,SMMLV!$A$2:$A$36,SMMLV!$D$2:$D$100),3))</f>
        <v/>
      </c>
      <c r="K321" s="782"/>
      <c r="L321" s="444">
        <v>6</v>
      </c>
      <c r="M321" s="781" t="str">
        <f t="shared" si="31"/>
        <v>NO APLICA</v>
      </c>
      <c r="N321" s="781"/>
    </row>
    <row r="322" spans="2:14">
      <c r="B322" s="319"/>
      <c r="C322" s="319"/>
      <c r="D322" s="448"/>
      <c r="E322" s="320"/>
      <c r="F322" s="450" t="str">
        <f>IF(OR(D322="",E322=""),"",ROUND(D322/LOOKUP(E322,SMMLV!$A$2:$A$36,SMMLV!$D$2:$D$100),3))</f>
        <v/>
      </c>
      <c r="K322" s="782"/>
      <c r="L322" s="444">
        <v>7</v>
      </c>
      <c r="M322" s="781" t="str">
        <f t="shared" si="31"/>
        <v>NO APLICA</v>
      </c>
      <c r="N322" s="781"/>
    </row>
    <row r="323" spans="2:14">
      <c r="B323" s="319"/>
      <c r="C323" s="319"/>
      <c r="D323" s="448"/>
      <c r="E323" s="320"/>
      <c r="F323" s="450" t="str">
        <f>IF(OR(D323="",E323=""),"",ROUND(D323/LOOKUP(E323,SMMLV!$A$2:$A$36,SMMLV!$D$2:$D$100),3))</f>
        <v/>
      </c>
      <c r="K323" s="782"/>
      <c r="L323" s="444">
        <v>8</v>
      </c>
      <c r="M323" s="781" t="str">
        <f t="shared" si="31"/>
        <v>NO APLICA</v>
      </c>
      <c r="N323" s="781"/>
    </row>
    <row r="324" spans="2:14">
      <c r="B324" s="319"/>
      <c r="C324" s="319"/>
      <c r="D324" s="448"/>
      <c r="E324" s="320"/>
      <c r="F324" s="450" t="str">
        <f>IF(OR(D324="",E324=""),"",ROUND(D324/LOOKUP(E324,SMMLV!$A$2:$A$36,SMMLV!$D$2:$D$100),3))</f>
        <v/>
      </c>
      <c r="K324" s="782"/>
      <c r="L324" s="444">
        <v>9</v>
      </c>
      <c r="M324" s="781" t="str">
        <f t="shared" si="31"/>
        <v>NO APLICA</v>
      </c>
      <c r="N324" s="781"/>
    </row>
    <row r="325" spans="2:14">
      <c r="B325" s="319"/>
      <c r="C325" s="319"/>
      <c r="D325" s="448"/>
      <c r="E325" s="320"/>
      <c r="F325" s="450" t="str">
        <f>IF(OR(D325="",E325=""),"",ROUND(D325/LOOKUP(E325,SMMLV!$A$2:$A$36,SMMLV!$D$2:$D$100),3))</f>
        <v/>
      </c>
      <c r="K325" s="782"/>
      <c r="L325" s="444">
        <v>10</v>
      </c>
      <c r="M325" s="781" t="str">
        <f t="shared" si="31"/>
        <v>NO APLICA</v>
      </c>
      <c r="N325" s="781"/>
    </row>
    <row r="326" spans="2:14">
      <c r="B326" s="319"/>
      <c r="C326" s="319"/>
      <c r="D326" s="448"/>
      <c r="E326" s="320"/>
      <c r="F326" s="450" t="str">
        <f>IF(OR(D326="",E326=""),"",ROUND(D326/LOOKUP(E326,SMMLV!$A$2:$A$36,SMMLV!$D$2:$D$100),3))</f>
        <v/>
      </c>
      <c r="K326" s="782">
        <v>33</v>
      </c>
      <c r="L326" s="444">
        <v>1</v>
      </c>
      <c r="M326" s="781" t="str">
        <f t="shared" ref="M326:M335" si="32">IF(SUMIFS($F$5:$F$1200,$B$5:$B$1200,$K$326,$C$5:$C$1200,$L326)=0,"NO APLICA",ROUND(SUMIFS($F$5:$F$1200,$B$5:$B$1200,$K$326,$C$5:$C$1200,$L326),3))</f>
        <v>NO APLICA</v>
      </c>
      <c r="N326" s="781"/>
    </row>
    <row r="327" spans="2:14">
      <c r="B327" s="319"/>
      <c r="C327" s="319"/>
      <c r="D327" s="448"/>
      <c r="E327" s="320"/>
      <c r="F327" s="450" t="str">
        <f>IF(OR(D327="",E327=""),"",ROUND(D327/LOOKUP(E327,SMMLV!$A$2:$A$36,SMMLV!$D$2:$D$100),3))</f>
        <v/>
      </c>
      <c r="K327" s="782"/>
      <c r="L327" s="444">
        <v>2</v>
      </c>
      <c r="M327" s="781" t="str">
        <f t="shared" si="32"/>
        <v>NO APLICA</v>
      </c>
      <c r="N327" s="781"/>
    </row>
    <row r="328" spans="2:14">
      <c r="B328" s="319"/>
      <c r="C328" s="319"/>
      <c r="D328" s="448"/>
      <c r="E328" s="320"/>
      <c r="F328" s="450" t="str">
        <f>IF(OR(D328="",E328=""),"",ROUND(D328/LOOKUP(E328,SMMLV!$A$2:$A$36,SMMLV!$D$2:$D$100),3))</f>
        <v/>
      </c>
      <c r="K328" s="782"/>
      <c r="L328" s="444">
        <v>3</v>
      </c>
      <c r="M328" s="781" t="str">
        <f t="shared" si="32"/>
        <v>NO APLICA</v>
      </c>
      <c r="N328" s="781"/>
    </row>
    <row r="329" spans="2:14">
      <c r="B329" s="319"/>
      <c r="C329" s="319"/>
      <c r="D329" s="448"/>
      <c r="E329" s="320"/>
      <c r="F329" s="450" t="str">
        <f>IF(OR(D329="",E329=""),"",ROUND(D329/LOOKUP(E329,SMMLV!$A$2:$A$36,SMMLV!$D$2:$D$100),3))</f>
        <v/>
      </c>
      <c r="K329" s="782"/>
      <c r="L329" s="444">
        <v>4</v>
      </c>
      <c r="M329" s="781" t="str">
        <f t="shared" si="32"/>
        <v>NO APLICA</v>
      </c>
      <c r="N329" s="781"/>
    </row>
    <row r="330" spans="2:14">
      <c r="B330" s="319"/>
      <c r="C330" s="319"/>
      <c r="D330" s="448"/>
      <c r="E330" s="320"/>
      <c r="F330" s="450" t="str">
        <f>IF(OR(D330="",E330=""),"",ROUND(D330/LOOKUP(E330,SMMLV!$A$2:$A$36,SMMLV!$D$2:$D$100),3))</f>
        <v/>
      </c>
      <c r="K330" s="782"/>
      <c r="L330" s="444">
        <v>5</v>
      </c>
      <c r="M330" s="781" t="str">
        <f t="shared" si="32"/>
        <v>NO APLICA</v>
      </c>
      <c r="N330" s="781"/>
    </row>
    <row r="331" spans="2:14">
      <c r="B331" s="319"/>
      <c r="C331" s="319"/>
      <c r="D331" s="448"/>
      <c r="E331" s="320"/>
      <c r="F331" s="450" t="str">
        <f>IF(OR(D331="",E331=""),"",ROUND(D331/LOOKUP(E331,SMMLV!$A$2:$A$36,SMMLV!$D$2:$D$100),3))</f>
        <v/>
      </c>
      <c r="K331" s="782"/>
      <c r="L331" s="444">
        <v>6</v>
      </c>
      <c r="M331" s="781" t="str">
        <f t="shared" si="32"/>
        <v>NO APLICA</v>
      </c>
      <c r="N331" s="781"/>
    </row>
    <row r="332" spans="2:14">
      <c r="B332" s="319"/>
      <c r="C332" s="319"/>
      <c r="D332" s="448"/>
      <c r="E332" s="320"/>
      <c r="F332" s="450" t="str">
        <f>IF(OR(D332="",E332=""),"",ROUND(D332/LOOKUP(E332,SMMLV!$A$2:$A$36,SMMLV!$D$2:$D$100),3))</f>
        <v/>
      </c>
      <c r="K332" s="782"/>
      <c r="L332" s="444">
        <v>7</v>
      </c>
      <c r="M332" s="781" t="str">
        <f t="shared" si="32"/>
        <v>NO APLICA</v>
      </c>
      <c r="N332" s="781"/>
    </row>
    <row r="333" spans="2:14">
      <c r="B333" s="319"/>
      <c r="C333" s="319"/>
      <c r="D333" s="448"/>
      <c r="E333" s="320"/>
      <c r="F333" s="450" t="str">
        <f>IF(OR(D333="",E333=""),"",ROUND(D333/LOOKUP(E333,SMMLV!$A$2:$A$36,SMMLV!$D$2:$D$100),3))</f>
        <v/>
      </c>
      <c r="K333" s="782"/>
      <c r="L333" s="444">
        <v>8</v>
      </c>
      <c r="M333" s="781" t="str">
        <f t="shared" si="32"/>
        <v>NO APLICA</v>
      </c>
      <c r="N333" s="781"/>
    </row>
    <row r="334" spans="2:14">
      <c r="B334" s="319"/>
      <c r="C334" s="319"/>
      <c r="D334" s="448"/>
      <c r="E334" s="320"/>
      <c r="F334" s="450" t="str">
        <f>IF(OR(D334="",E334=""),"",ROUND(D334/LOOKUP(E334,SMMLV!$A$2:$A$36,SMMLV!$D$2:$D$100),3))</f>
        <v/>
      </c>
      <c r="K334" s="782"/>
      <c r="L334" s="444">
        <v>9</v>
      </c>
      <c r="M334" s="781" t="str">
        <f t="shared" si="32"/>
        <v>NO APLICA</v>
      </c>
      <c r="N334" s="781"/>
    </row>
    <row r="335" spans="2:14">
      <c r="B335" s="319"/>
      <c r="C335" s="319"/>
      <c r="D335" s="448"/>
      <c r="E335" s="320"/>
      <c r="F335" s="450" t="str">
        <f>IF(OR(D335="",E335=""),"",ROUND(D335/LOOKUP(E335,SMMLV!$A$2:$A$36,SMMLV!$D$2:$D$100),3))</f>
        <v/>
      </c>
      <c r="K335" s="782"/>
      <c r="L335" s="444">
        <v>10</v>
      </c>
      <c r="M335" s="781" t="str">
        <f t="shared" si="32"/>
        <v>NO APLICA</v>
      </c>
      <c r="N335" s="781"/>
    </row>
    <row r="336" spans="2:14">
      <c r="B336" s="319"/>
      <c r="C336" s="319"/>
      <c r="D336" s="448"/>
      <c r="E336" s="320"/>
      <c r="F336" s="450" t="str">
        <f>IF(OR(D336="",E336=""),"",ROUND(D336/LOOKUP(E336,SMMLV!$A$2:$A$36,SMMLV!$D$2:$D$100),3))</f>
        <v/>
      </c>
      <c r="K336" s="782">
        <v>34</v>
      </c>
      <c r="L336" s="444">
        <v>1</v>
      </c>
      <c r="M336" s="781" t="str">
        <f t="shared" ref="M336:M345" si="33">IF(SUMIFS($F$5:$F$1200,$B$5:$B$1200,$K$336,$C$5:$C$1200,$L336)=0,"NO APLICA",ROUND(SUMIFS($F$5:$F$1200,$B$5:$B$1200,$K$336,$C$5:$C$1200,$L336),3))</f>
        <v>NO APLICA</v>
      </c>
      <c r="N336" s="781"/>
    </row>
    <row r="337" spans="2:14">
      <c r="B337" s="319"/>
      <c r="C337" s="319"/>
      <c r="D337" s="448"/>
      <c r="E337" s="320"/>
      <c r="F337" s="450" t="str">
        <f>IF(OR(D337="",E337=""),"",ROUND(D337/LOOKUP(E337,SMMLV!$A$2:$A$36,SMMLV!$D$2:$D$100),3))</f>
        <v/>
      </c>
      <c r="K337" s="782"/>
      <c r="L337" s="444">
        <v>2</v>
      </c>
      <c r="M337" s="781" t="str">
        <f t="shared" si="33"/>
        <v>NO APLICA</v>
      </c>
      <c r="N337" s="781"/>
    </row>
    <row r="338" spans="2:14">
      <c r="B338" s="319"/>
      <c r="C338" s="319"/>
      <c r="D338" s="448"/>
      <c r="E338" s="320"/>
      <c r="F338" s="450" t="str">
        <f>IF(OR(D338="",E338=""),"",ROUND(D338/LOOKUP(E338,SMMLV!$A$2:$A$36,SMMLV!$D$2:$D$100),3))</f>
        <v/>
      </c>
      <c r="K338" s="782"/>
      <c r="L338" s="444">
        <v>3</v>
      </c>
      <c r="M338" s="781" t="str">
        <f t="shared" si="33"/>
        <v>NO APLICA</v>
      </c>
      <c r="N338" s="781"/>
    </row>
    <row r="339" spans="2:14">
      <c r="B339" s="319"/>
      <c r="C339" s="319"/>
      <c r="D339" s="448"/>
      <c r="E339" s="320"/>
      <c r="F339" s="450" t="str">
        <f>IF(OR(D339="",E339=""),"",ROUND(D339/LOOKUP(E339,SMMLV!$A$2:$A$36,SMMLV!$D$2:$D$100),3))</f>
        <v/>
      </c>
      <c r="K339" s="782"/>
      <c r="L339" s="444">
        <v>4</v>
      </c>
      <c r="M339" s="781" t="str">
        <f t="shared" si="33"/>
        <v>NO APLICA</v>
      </c>
      <c r="N339" s="781"/>
    </row>
    <row r="340" spans="2:14">
      <c r="B340" s="319"/>
      <c r="C340" s="319"/>
      <c r="D340" s="448"/>
      <c r="E340" s="320"/>
      <c r="F340" s="450" t="str">
        <f>IF(OR(D340="",E340=""),"",ROUND(D340/LOOKUP(E340,SMMLV!$A$2:$A$36,SMMLV!$D$2:$D$100),3))</f>
        <v/>
      </c>
      <c r="K340" s="782"/>
      <c r="L340" s="444">
        <v>5</v>
      </c>
      <c r="M340" s="781" t="str">
        <f t="shared" si="33"/>
        <v>NO APLICA</v>
      </c>
      <c r="N340" s="781"/>
    </row>
    <row r="341" spans="2:14">
      <c r="B341" s="319"/>
      <c r="C341" s="319"/>
      <c r="D341" s="448"/>
      <c r="E341" s="320"/>
      <c r="F341" s="450" t="str">
        <f>IF(OR(D341="",E341=""),"",ROUND(D341/LOOKUP(E341,SMMLV!$A$2:$A$36,SMMLV!$D$2:$D$100),3))</f>
        <v/>
      </c>
      <c r="K341" s="782"/>
      <c r="L341" s="444">
        <v>6</v>
      </c>
      <c r="M341" s="781" t="str">
        <f t="shared" si="33"/>
        <v>NO APLICA</v>
      </c>
      <c r="N341" s="781"/>
    </row>
    <row r="342" spans="2:14">
      <c r="B342" s="319"/>
      <c r="C342" s="319"/>
      <c r="D342" s="448"/>
      <c r="E342" s="320"/>
      <c r="F342" s="450" t="str">
        <f>IF(OR(D342="",E342=""),"",ROUND(D342/LOOKUP(E342,SMMLV!$A$2:$A$36,SMMLV!$D$2:$D$100),3))</f>
        <v/>
      </c>
      <c r="K342" s="782"/>
      <c r="L342" s="444">
        <v>7</v>
      </c>
      <c r="M342" s="781" t="str">
        <f t="shared" si="33"/>
        <v>NO APLICA</v>
      </c>
      <c r="N342" s="781"/>
    </row>
    <row r="343" spans="2:14">
      <c r="B343" s="319"/>
      <c r="C343" s="319"/>
      <c r="D343" s="448"/>
      <c r="E343" s="320"/>
      <c r="F343" s="450" t="str">
        <f>IF(OR(D343="",E343=""),"",ROUND(D343/LOOKUP(E343,SMMLV!$A$2:$A$36,SMMLV!$D$2:$D$100),3))</f>
        <v/>
      </c>
      <c r="K343" s="782"/>
      <c r="L343" s="444">
        <v>8</v>
      </c>
      <c r="M343" s="781" t="str">
        <f t="shared" si="33"/>
        <v>NO APLICA</v>
      </c>
      <c r="N343" s="781"/>
    </row>
    <row r="344" spans="2:14">
      <c r="B344" s="319"/>
      <c r="C344" s="319"/>
      <c r="D344" s="448"/>
      <c r="E344" s="320"/>
      <c r="F344" s="450" t="str">
        <f>IF(OR(D344="",E344=""),"",ROUND(D344/LOOKUP(E344,SMMLV!$A$2:$A$36,SMMLV!$D$2:$D$100),3))</f>
        <v/>
      </c>
      <c r="K344" s="782"/>
      <c r="L344" s="444">
        <v>9</v>
      </c>
      <c r="M344" s="781" t="str">
        <f t="shared" si="33"/>
        <v>NO APLICA</v>
      </c>
      <c r="N344" s="781"/>
    </row>
    <row r="345" spans="2:14">
      <c r="B345" s="319"/>
      <c r="C345" s="319"/>
      <c r="D345" s="448"/>
      <c r="E345" s="320"/>
      <c r="F345" s="450" t="str">
        <f>IF(OR(D345="",E345=""),"",ROUND(D345/LOOKUP(E345,SMMLV!$A$2:$A$36,SMMLV!$D$2:$D$100),3))</f>
        <v/>
      </c>
      <c r="K345" s="782"/>
      <c r="L345" s="444">
        <v>10</v>
      </c>
      <c r="M345" s="781" t="str">
        <f t="shared" si="33"/>
        <v>NO APLICA</v>
      </c>
      <c r="N345" s="781"/>
    </row>
    <row r="346" spans="2:14">
      <c r="B346" s="319"/>
      <c r="C346" s="319"/>
      <c r="D346" s="448"/>
      <c r="E346" s="320"/>
      <c r="F346" s="450" t="str">
        <f>IF(OR(D346="",E346=""),"",ROUND(D346/LOOKUP(E346,SMMLV!$A$2:$A$36,SMMLV!$D$2:$D$100),3))</f>
        <v/>
      </c>
      <c r="K346" s="782">
        <v>35</v>
      </c>
      <c r="L346" s="444">
        <v>1</v>
      </c>
      <c r="M346" s="781" t="str">
        <f t="shared" ref="M346:M355" si="34">IF(SUMIFS($F$5:$F$1200,$B$5:$B$1200,$K$346,$C$5:$C$1200,$L346)=0,"NO APLICA",ROUND(SUMIFS($F$5:$F$1200,$B$5:$B$1200,$K$346,$C$5:$C$1200,$L346),3))</f>
        <v>NO APLICA</v>
      </c>
      <c r="N346" s="781"/>
    </row>
    <row r="347" spans="2:14">
      <c r="B347" s="319"/>
      <c r="C347" s="319"/>
      <c r="D347" s="448"/>
      <c r="E347" s="320"/>
      <c r="F347" s="450" t="str">
        <f>IF(OR(D347="",E347=""),"",ROUND(D347/LOOKUP(E347,SMMLV!$A$2:$A$36,SMMLV!$D$2:$D$100),3))</f>
        <v/>
      </c>
      <c r="K347" s="782"/>
      <c r="L347" s="444">
        <v>2</v>
      </c>
      <c r="M347" s="781" t="str">
        <f t="shared" si="34"/>
        <v>NO APLICA</v>
      </c>
      <c r="N347" s="781"/>
    </row>
    <row r="348" spans="2:14">
      <c r="B348" s="319"/>
      <c r="C348" s="319"/>
      <c r="D348" s="448"/>
      <c r="E348" s="320"/>
      <c r="F348" s="450" t="str">
        <f>IF(OR(D348="",E348=""),"",ROUND(D348/LOOKUP(E348,SMMLV!$A$2:$A$36,SMMLV!$D$2:$D$100),3))</f>
        <v/>
      </c>
      <c r="K348" s="782"/>
      <c r="L348" s="444">
        <v>3</v>
      </c>
      <c r="M348" s="781" t="str">
        <f t="shared" si="34"/>
        <v>NO APLICA</v>
      </c>
      <c r="N348" s="781"/>
    </row>
    <row r="349" spans="2:14">
      <c r="B349" s="319"/>
      <c r="C349" s="319"/>
      <c r="D349" s="448"/>
      <c r="E349" s="320"/>
      <c r="F349" s="450" t="str">
        <f>IF(OR(D349="",E349=""),"",ROUND(D349/LOOKUP(E349,SMMLV!$A$2:$A$36,SMMLV!$D$2:$D$100),3))</f>
        <v/>
      </c>
      <c r="K349" s="782"/>
      <c r="L349" s="444">
        <v>4</v>
      </c>
      <c r="M349" s="781" t="str">
        <f t="shared" si="34"/>
        <v>NO APLICA</v>
      </c>
      <c r="N349" s="781"/>
    </row>
    <row r="350" spans="2:14">
      <c r="B350" s="319"/>
      <c r="C350" s="319"/>
      <c r="D350" s="448"/>
      <c r="E350" s="320"/>
      <c r="F350" s="450" t="str">
        <f>IF(OR(D350="",E350=""),"",ROUND(D350/LOOKUP(E350,SMMLV!$A$2:$A$36,SMMLV!$D$2:$D$100),3))</f>
        <v/>
      </c>
      <c r="K350" s="782"/>
      <c r="L350" s="444">
        <v>5</v>
      </c>
      <c r="M350" s="781" t="str">
        <f t="shared" si="34"/>
        <v>NO APLICA</v>
      </c>
      <c r="N350" s="781"/>
    </row>
    <row r="351" spans="2:14">
      <c r="B351" s="319"/>
      <c r="C351" s="319"/>
      <c r="D351" s="448"/>
      <c r="E351" s="320"/>
      <c r="F351" s="450" t="str">
        <f>IF(OR(D351="",E351=""),"",ROUND(D351/LOOKUP(E351,SMMLV!$A$2:$A$36,SMMLV!$D$2:$D$100),3))</f>
        <v/>
      </c>
      <c r="K351" s="782"/>
      <c r="L351" s="444">
        <v>6</v>
      </c>
      <c r="M351" s="781" t="str">
        <f t="shared" si="34"/>
        <v>NO APLICA</v>
      </c>
      <c r="N351" s="781"/>
    </row>
    <row r="352" spans="2:14">
      <c r="B352" s="319"/>
      <c r="C352" s="319"/>
      <c r="D352" s="448"/>
      <c r="E352" s="320"/>
      <c r="F352" s="450" t="str">
        <f>IF(OR(D352="",E352=""),"",ROUND(D352/LOOKUP(E352,SMMLV!$A$2:$A$36,SMMLV!$D$2:$D$100),3))</f>
        <v/>
      </c>
      <c r="K352" s="782"/>
      <c r="L352" s="444">
        <v>7</v>
      </c>
      <c r="M352" s="781" t="str">
        <f t="shared" si="34"/>
        <v>NO APLICA</v>
      </c>
      <c r="N352" s="781"/>
    </row>
    <row r="353" spans="2:14">
      <c r="B353" s="319"/>
      <c r="C353" s="319"/>
      <c r="D353" s="448"/>
      <c r="E353" s="320"/>
      <c r="F353" s="450" t="str">
        <f>IF(OR(D353="",E353=""),"",ROUND(D353/LOOKUP(E353,SMMLV!$A$2:$A$36,SMMLV!$D$2:$D$100),3))</f>
        <v/>
      </c>
      <c r="K353" s="782"/>
      <c r="L353" s="444">
        <v>8</v>
      </c>
      <c r="M353" s="781" t="str">
        <f t="shared" si="34"/>
        <v>NO APLICA</v>
      </c>
      <c r="N353" s="781"/>
    </row>
    <row r="354" spans="2:14">
      <c r="B354" s="319"/>
      <c r="C354" s="319"/>
      <c r="D354" s="448"/>
      <c r="E354" s="320"/>
      <c r="F354" s="450" t="str">
        <f>IF(OR(D354="",E354=""),"",ROUND(D354/LOOKUP(E354,SMMLV!$A$2:$A$36,SMMLV!$D$2:$D$100),3))</f>
        <v/>
      </c>
      <c r="K354" s="782"/>
      <c r="L354" s="444">
        <v>9</v>
      </c>
      <c r="M354" s="781" t="str">
        <f t="shared" si="34"/>
        <v>NO APLICA</v>
      </c>
      <c r="N354" s="781"/>
    </row>
    <row r="355" spans="2:14">
      <c r="B355" s="319"/>
      <c r="C355" s="319"/>
      <c r="D355" s="448"/>
      <c r="E355" s="320"/>
      <c r="F355" s="450" t="str">
        <f>IF(OR(D355="",E355=""),"",ROUND(D355/LOOKUP(E355,SMMLV!$A$2:$A$36,SMMLV!$D$2:$D$100),3))</f>
        <v/>
      </c>
      <c r="K355" s="782"/>
      <c r="L355" s="444">
        <v>10</v>
      </c>
      <c r="M355" s="781" t="str">
        <f t="shared" si="34"/>
        <v>NO APLICA</v>
      </c>
      <c r="N355" s="781"/>
    </row>
    <row r="356" spans="2:14">
      <c r="B356" s="319"/>
      <c r="C356" s="319"/>
      <c r="D356" s="448"/>
      <c r="E356" s="320"/>
      <c r="F356" s="450" t="str">
        <f>IF(OR(D356="",E356=""),"",ROUND(D356/LOOKUP(E356,SMMLV!$A$2:$A$36,SMMLV!$D$2:$D$100),3))</f>
        <v/>
      </c>
      <c r="K356" s="782">
        <v>36</v>
      </c>
      <c r="L356" s="444">
        <v>1</v>
      </c>
      <c r="M356" s="781" t="str">
        <f t="shared" ref="M356:M365" si="35">IF(SUMIFS($F$5:$F$1200,$B$5:$B$1200,$K$356,$C$5:$C$1200,$L356)=0,"NO APLICA",ROUND(SUMIFS($F$5:$F$1200,$B$5:$B$1200,$K$356,$C$5:$C$1200,$L356),3))</f>
        <v>NO APLICA</v>
      </c>
      <c r="N356" s="781"/>
    </row>
    <row r="357" spans="2:14">
      <c r="B357" s="319"/>
      <c r="C357" s="319"/>
      <c r="D357" s="448"/>
      <c r="E357" s="320"/>
      <c r="F357" s="450" t="str">
        <f>IF(OR(D357="",E357=""),"",ROUND(D357/LOOKUP(E357,SMMLV!$A$2:$A$36,SMMLV!$D$2:$D$100),3))</f>
        <v/>
      </c>
      <c r="K357" s="782"/>
      <c r="L357" s="444">
        <v>2</v>
      </c>
      <c r="M357" s="781" t="str">
        <f t="shared" si="35"/>
        <v>NO APLICA</v>
      </c>
      <c r="N357" s="781"/>
    </row>
    <row r="358" spans="2:14">
      <c r="B358" s="319"/>
      <c r="C358" s="319"/>
      <c r="D358" s="448"/>
      <c r="E358" s="320"/>
      <c r="F358" s="450" t="str">
        <f>IF(OR(D358="",E358=""),"",ROUND(D358/LOOKUP(E358,SMMLV!$A$2:$A$36,SMMLV!$D$2:$D$100),3))</f>
        <v/>
      </c>
      <c r="K358" s="782"/>
      <c r="L358" s="444">
        <v>3</v>
      </c>
      <c r="M358" s="781" t="str">
        <f t="shared" si="35"/>
        <v>NO APLICA</v>
      </c>
      <c r="N358" s="781"/>
    </row>
    <row r="359" spans="2:14">
      <c r="B359" s="319"/>
      <c r="C359" s="319"/>
      <c r="D359" s="448"/>
      <c r="E359" s="320"/>
      <c r="F359" s="450" t="str">
        <f>IF(OR(D359="",E359=""),"",ROUND(D359/LOOKUP(E359,SMMLV!$A$2:$A$36,SMMLV!$D$2:$D$100),3))</f>
        <v/>
      </c>
      <c r="K359" s="782"/>
      <c r="L359" s="444">
        <v>4</v>
      </c>
      <c r="M359" s="781" t="str">
        <f t="shared" si="35"/>
        <v>NO APLICA</v>
      </c>
      <c r="N359" s="781"/>
    </row>
    <row r="360" spans="2:14">
      <c r="B360" s="319"/>
      <c r="C360" s="319"/>
      <c r="D360" s="448"/>
      <c r="E360" s="320"/>
      <c r="F360" s="450" t="str">
        <f>IF(OR(D360="",E360=""),"",ROUND(D360/LOOKUP(E360,SMMLV!$A$2:$A$36,SMMLV!$D$2:$D$100),3))</f>
        <v/>
      </c>
      <c r="K360" s="782"/>
      <c r="L360" s="444">
        <v>5</v>
      </c>
      <c r="M360" s="781" t="str">
        <f t="shared" si="35"/>
        <v>NO APLICA</v>
      </c>
      <c r="N360" s="781"/>
    </row>
    <row r="361" spans="2:14">
      <c r="B361" s="319"/>
      <c r="C361" s="319"/>
      <c r="D361" s="448"/>
      <c r="E361" s="320"/>
      <c r="F361" s="450" t="str">
        <f>IF(OR(D361="",E361=""),"",ROUND(D361/LOOKUP(E361,SMMLV!$A$2:$A$36,SMMLV!$D$2:$D$100),3))</f>
        <v/>
      </c>
      <c r="K361" s="782"/>
      <c r="L361" s="444">
        <v>6</v>
      </c>
      <c r="M361" s="781" t="str">
        <f t="shared" si="35"/>
        <v>NO APLICA</v>
      </c>
      <c r="N361" s="781"/>
    </row>
    <row r="362" spans="2:14">
      <c r="B362" s="319"/>
      <c r="C362" s="319"/>
      <c r="D362" s="448"/>
      <c r="E362" s="320"/>
      <c r="F362" s="450" t="str">
        <f>IF(OR(D362="",E362=""),"",ROUND(D362/LOOKUP(E362,SMMLV!$A$2:$A$36,SMMLV!$D$2:$D$100),3))</f>
        <v/>
      </c>
      <c r="K362" s="782"/>
      <c r="L362" s="444">
        <v>7</v>
      </c>
      <c r="M362" s="781" t="str">
        <f t="shared" si="35"/>
        <v>NO APLICA</v>
      </c>
      <c r="N362" s="781"/>
    </row>
    <row r="363" spans="2:14">
      <c r="B363" s="319"/>
      <c r="C363" s="319"/>
      <c r="D363" s="448"/>
      <c r="E363" s="320"/>
      <c r="F363" s="450" t="str">
        <f>IF(OR(D363="",E363=""),"",ROUND(D363/LOOKUP(E363,SMMLV!$A$2:$A$36,SMMLV!$D$2:$D$100),3))</f>
        <v/>
      </c>
      <c r="K363" s="782"/>
      <c r="L363" s="444">
        <v>8</v>
      </c>
      <c r="M363" s="781" t="str">
        <f t="shared" si="35"/>
        <v>NO APLICA</v>
      </c>
      <c r="N363" s="781"/>
    </row>
    <row r="364" spans="2:14">
      <c r="B364" s="319"/>
      <c r="C364" s="319"/>
      <c r="D364" s="448"/>
      <c r="E364" s="320"/>
      <c r="F364" s="450" t="str">
        <f>IF(OR(D364="",E364=""),"",ROUND(D364/LOOKUP(E364,SMMLV!$A$2:$A$36,SMMLV!$D$2:$D$100),3))</f>
        <v/>
      </c>
      <c r="K364" s="782"/>
      <c r="L364" s="444">
        <v>9</v>
      </c>
      <c r="M364" s="781" t="str">
        <f t="shared" si="35"/>
        <v>NO APLICA</v>
      </c>
      <c r="N364" s="781"/>
    </row>
    <row r="365" spans="2:14">
      <c r="B365" s="319"/>
      <c r="C365" s="319"/>
      <c r="D365" s="448"/>
      <c r="E365" s="320"/>
      <c r="F365" s="450" t="str">
        <f>IF(OR(D365="",E365=""),"",ROUND(D365/LOOKUP(E365,SMMLV!$A$2:$A$36,SMMLV!$D$2:$D$100),3))</f>
        <v/>
      </c>
      <c r="K365" s="782"/>
      <c r="L365" s="444">
        <v>10</v>
      </c>
      <c r="M365" s="781" t="str">
        <f t="shared" si="35"/>
        <v>NO APLICA</v>
      </c>
      <c r="N365" s="781"/>
    </row>
    <row r="366" spans="2:14">
      <c r="B366" s="319"/>
      <c r="C366" s="319"/>
      <c r="D366" s="448"/>
      <c r="E366" s="320"/>
      <c r="F366" s="450" t="str">
        <f>IF(OR(D366="",E366=""),"",ROUND(D366/LOOKUP(E366,SMMLV!$A$2:$A$36,SMMLV!$D$2:$D$100),3))</f>
        <v/>
      </c>
      <c r="K366" s="782">
        <v>37</v>
      </c>
      <c r="L366" s="444">
        <v>1</v>
      </c>
      <c r="M366" s="781" t="str">
        <f t="shared" ref="M366:M375" si="36">IF(SUMIFS($F$5:$F$1200,$B$5:$B$1200,$K$366,$C$5:$C$1200,$L366)=0,"NO APLICA",ROUND(SUMIFS($F$5:$F$1200,$B$5:$B$1200,$K$366,$C$5:$C$1200,$L366),3))</f>
        <v>NO APLICA</v>
      </c>
      <c r="N366" s="781"/>
    </row>
    <row r="367" spans="2:14">
      <c r="B367" s="319"/>
      <c r="C367" s="319"/>
      <c r="D367" s="448"/>
      <c r="E367" s="320"/>
      <c r="F367" s="450" t="str">
        <f>IF(OR(D367="",E367=""),"",ROUND(D367/LOOKUP(E367,SMMLV!$A$2:$A$36,SMMLV!$D$2:$D$100),3))</f>
        <v/>
      </c>
      <c r="K367" s="782"/>
      <c r="L367" s="444">
        <v>2</v>
      </c>
      <c r="M367" s="781" t="str">
        <f t="shared" si="36"/>
        <v>NO APLICA</v>
      </c>
      <c r="N367" s="781"/>
    </row>
    <row r="368" spans="2:14">
      <c r="B368" s="319"/>
      <c r="C368" s="319"/>
      <c r="D368" s="448"/>
      <c r="E368" s="320"/>
      <c r="F368" s="450" t="str">
        <f>IF(OR(D368="",E368=""),"",ROUND(D368/LOOKUP(E368,SMMLV!$A$2:$A$36,SMMLV!$D$2:$D$100),3))</f>
        <v/>
      </c>
      <c r="K368" s="782"/>
      <c r="L368" s="444">
        <v>3</v>
      </c>
      <c r="M368" s="781" t="str">
        <f t="shared" si="36"/>
        <v>NO APLICA</v>
      </c>
      <c r="N368" s="781"/>
    </row>
    <row r="369" spans="2:14">
      <c r="B369" s="319"/>
      <c r="C369" s="319"/>
      <c r="D369" s="448"/>
      <c r="E369" s="320"/>
      <c r="F369" s="450" t="str">
        <f>IF(OR(D369="",E369=""),"",ROUND(D369/LOOKUP(E369,SMMLV!$A$2:$A$36,SMMLV!$D$2:$D$100),3))</f>
        <v/>
      </c>
      <c r="K369" s="782"/>
      <c r="L369" s="444">
        <v>4</v>
      </c>
      <c r="M369" s="781" t="str">
        <f t="shared" si="36"/>
        <v>NO APLICA</v>
      </c>
      <c r="N369" s="781"/>
    </row>
    <row r="370" spans="2:14">
      <c r="B370" s="319"/>
      <c r="C370" s="319"/>
      <c r="D370" s="448"/>
      <c r="E370" s="320"/>
      <c r="F370" s="450" t="str">
        <f>IF(OR(D370="",E370=""),"",ROUND(D370/LOOKUP(E370,SMMLV!$A$2:$A$36,SMMLV!$D$2:$D$100),3))</f>
        <v/>
      </c>
      <c r="K370" s="782"/>
      <c r="L370" s="444">
        <v>5</v>
      </c>
      <c r="M370" s="781" t="str">
        <f t="shared" si="36"/>
        <v>NO APLICA</v>
      </c>
      <c r="N370" s="781"/>
    </row>
    <row r="371" spans="2:14">
      <c r="B371" s="319"/>
      <c r="C371" s="319"/>
      <c r="D371" s="448"/>
      <c r="E371" s="320"/>
      <c r="F371" s="450" t="str">
        <f>IF(OR(D371="",E371=""),"",ROUND(D371/LOOKUP(E371,SMMLV!$A$2:$A$36,SMMLV!$D$2:$D$100),3))</f>
        <v/>
      </c>
      <c r="K371" s="782"/>
      <c r="L371" s="444">
        <v>6</v>
      </c>
      <c r="M371" s="781" t="str">
        <f t="shared" si="36"/>
        <v>NO APLICA</v>
      </c>
      <c r="N371" s="781"/>
    </row>
    <row r="372" spans="2:14">
      <c r="B372" s="319"/>
      <c r="C372" s="319"/>
      <c r="D372" s="448"/>
      <c r="E372" s="320"/>
      <c r="F372" s="450" t="str">
        <f>IF(OR(D372="",E372=""),"",ROUND(D372/LOOKUP(E372,SMMLV!$A$2:$A$36,SMMLV!$D$2:$D$100),3))</f>
        <v/>
      </c>
      <c r="K372" s="782"/>
      <c r="L372" s="444">
        <v>7</v>
      </c>
      <c r="M372" s="781" t="str">
        <f t="shared" si="36"/>
        <v>NO APLICA</v>
      </c>
      <c r="N372" s="781"/>
    </row>
    <row r="373" spans="2:14">
      <c r="B373" s="319"/>
      <c r="C373" s="319"/>
      <c r="D373" s="448"/>
      <c r="E373" s="320"/>
      <c r="F373" s="450" t="str">
        <f>IF(OR(D373="",E373=""),"",ROUND(D373/LOOKUP(E373,SMMLV!$A$2:$A$36,SMMLV!$D$2:$D$100),3))</f>
        <v/>
      </c>
      <c r="K373" s="782"/>
      <c r="L373" s="444">
        <v>8</v>
      </c>
      <c r="M373" s="781" t="str">
        <f t="shared" si="36"/>
        <v>NO APLICA</v>
      </c>
      <c r="N373" s="781"/>
    </row>
    <row r="374" spans="2:14">
      <c r="B374" s="319"/>
      <c r="C374" s="319"/>
      <c r="D374" s="448"/>
      <c r="E374" s="320"/>
      <c r="F374" s="450" t="str">
        <f>IF(OR(D374="",E374=""),"",ROUND(D374/LOOKUP(E374,SMMLV!$A$2:$A$36,SMMLV!$D$2:$D$100),3))</f>
        <v/>
      </c>
      <c r="K374" s="782"/>
      <c r="L374" s="444">
        <v>9</v>
      </c>
      <c r="M374" s="781" t="str">
        <f t="shared" si="36"/>
        <v>NO APLICA</v>
      </c>
      <c r="N374" s="781"/>
    </row>
    <row r="375" spans="2:14">
      <c r="B375" s="319"/>
      <c r="C375" s="319"/>
      <c r="D375" s="448"/>
      <c r="E375" s="320"/>
      <c r="F375" s="450" t="str">
        <f>IF(OR(D375="",E375=""),"",ROUND(D375/LOOKUP(E375,SMMLV!$A$2:$A$36,SMMLV!$D$2:$D$100),3))</f>
        <v/>
      </c>
      <c r="K375" s="782"/>
      <c r="L375" s="444">
        <v>10</v>
      </c>
      <c r="M375" s="781" t="str">
        <f t="shared" si="36"/>
        <v>NO APLICA</v>
      </c>
      <c r="N375" s="781"/>
    </row>
    <row r="376" spans="2:14">
      <c r="B376" s="319"/>
      <c r="C376" s="319"/>
      <c r="D376" s="448"/>
      <c r="E376" s="320"/>
      <c r="F376" s="450" t="str">
        <f>IF(OR(D376="",E376=""),"",ROUND(D376/LOOKUP(E376,SMMLV!$A$2:$A$36,SMMLV!$D$2:$D$100),3))</f>
        <v/>
      </c>
      <c r="K376" s="782">
        <v>38</v>
      </c>
      <c r="L376" s="444">
        <v>1</v>
      </c>
      <c r="M376" s="781" t="str">
        <f t="shared" ref="M376:M385" si="37">IF(SUMIFS($F$5:$F$1200,$B$5:$B$1200,$K$376,$C$5:$C$1200,$L376)=0,"NO APLICA",ROUND(SUMIFS($F$5:$F$1200,$B$5:$B$1200,$K$376,$C$5:$C$1200,$L376),3))</f>
        <v>NO APLICA</v>
      </c>
      <c r="N376" s="781"/>
    </row>
    <row r="377" spans="2:14">
      <c r="B377" s="319"/>
      <c r="C377" s="319"/>
      <c r="D377" s="448"/>
      <c r="E377" s="320"/>
      <c r="F377" s="450" t="str">
        <f>IF(OR(D377="",E377=""),"",ROUND(D377/LOOKUP(E377,SMMLV!$A$2:$A$36,SMMLV!$D$2:$D$100),3))</f>
        <v/>
      </c>
      <c r="K377" s="782"/>
      <c r="L377" s="444">
        <v>2</v>
      </c>
      <c r="M377" s="781" t="str">
        <f t="shared" si="37"/>
        <v>NO APLICA</v>
      </c>
      <c r="N377" s="781"/>
    </row>
    <row r="378" spans="2:14">
      <c r="B378" s="319"/>
      <c r="C378" s="319"/>
      <c r="D378" s="448"/>
      <c r="E378" s="320"/>
      <c r="F378" s="450" t="str">
        <f>IF(OR(D378="",E378=""),"",ROUND(D378/LOOKUP(E378,SMMLV!$A$2:$A$36,SMMLV!$D$2:$D$100),3))</f>
        <v/>
      </c>
      <c r="K378" s="782"/>
      <c r="L378" s="444">
        <v>3</v>
      </c>
      <c r="M378" s="781" t="str">
        <f t="shared" si="37"/>
        <v>NO APLICA</v>
      </c>
      <c r="N378" s="781"/>
    </row>
    <row r="379" spans="2:14">
      <c r="B379" s="319"/>
      <c r="C379" s="319"/>
      <c r="D379" s="448"/>
      <c r="E379" s="320"/>
      <c r="F379" s="450" t="str">
        <f>IF(OR(D379="",E379=""),"",ROUND(D379/LOOKUP(E379,SMMLV!$A$2:$A$36,SMMLV!$D$2:$D$100),3))</f>
        <v/>
      </c>
      <c r="K379" s="782"/>
      <c r="L379" s="444">
        <v>4</v>
      </c>
      <c r="M379" s="781" t="str">
        <f t="shared" si="37"/>
        <v>NO APLICA</v>
      </c>
      <c r="N379" s="781"/>
    </row>
    <row r="380" spans="2:14">
      <c r="B380" s="319"/>
      <c r="C380" s="319"/>
      <c r="D380" s="448"/>
      <c r="E380" s="320"/>
      <c r="F380" s="450" t="str">
        <f>IF(OR(D380="",E380=""),"",ROUND(D380/LOOKUP(E380,SMMLV!$A$2:$A$36,SMMLV!$D$2:$D$100),3))</f>
        <v/>
      </c>
      <c r="K380" s="782"/>
      <c r="L380" s="444">
        <v>5</v>
      </c>
      <c r="M380" s="781" t="str">
        <f t="shared" si="37"/>
        <v>NO APLICA</v>
      </c>
      <c r="N380" s="781"/>
    </row>
    <row r="381" spans="2:14">
      <c r="B381" s="319"/>
      <c r="C381" s="319"/>
      <c r="D381" s="448"/>
      <c r="E381" s="320"/>
      <c r="F381" s="450" t="str">
        <f>IF(OR(D381="",E381=""),"",ROUND(D381/LOOKUP(E381,SMMLV!$A$2:$A$36,SMMLV!$D$2:$D$100),3))</f>
        <v/>
      </c>
      <c r="K381" s="782"/>
      <c r="L381" s="444">
        <v>6</v>
      </c>
      <c r="M381" s="781" t="str">
        <f t="shared" si="37"/>
        <v>NO APLICA</v>
      </c>
      <c r="N381" s="781"/>
    </row>
    <row r="382" spans="2:14">
      <c r="B382" s="319"/>
      <c r="C382" s="319"/>
      <c r="D382" s="448"/>
      <c r="E382" s="320"/>
      <c r="F382" s="450" t="str">
        <f>IF(OR(D382="",E382=""),"",ROUND(D382/LOOKUP(E382,SMMLV!$A$2:$A$36,SMMLV!$D$2:$D$100),3))</f>
        <v/>
      </c>
      <c r="K382" s="782"/>
      <c r="L382" s="444">
        <v>7</v>
      </c>
      <c r="M382" s="781" t="str">
        <f t="shared" si="37"/>
        <v>NO APLICA</v>
      </c>
      <c r="N382" s="781"/>
    </row>
    <row r="383" spans="2:14">
      <c r="B383" s="319"/>
      <c r="C383" s="319"/>
      <c r="D383" s="448"/>
      <c r="E383" s="320"/>
      <c r="F383" s="450" t="str">
        <f>IF(OR(D383="",E383=""),"",ROUND(D383/LOOKUP(E383,SMMLV!$A$2:$A$36,SMMLV!$D$2:$D$100),3))</f>
        <v/>
      </c>
      <c r="K383" s="782"/>
      <c r="L383" s="444">
        <v>8</v>
      </c>
      <c r="M383" s="781" t="str">
        <f t="shared" si="37"/>
        <v>NO APLICA</v>
      </c>
      <c r="N383" s="781"/>
    </row>
    <row r="384" spans="2:14">
      <c r="B384" s="319"/>
      <c r="C384" s="319"/>
      <c r="D384" s="448"/>
      <c r="E384" s="320"/>
      <c r="F384" s="450" t="str">
        <f>IF(OR(D384="",E384=""),"",ROUND(D384/LOOKUP(E384,SMMLV!$A$2:$A$36,SMMLV!$D$2:$D$100),3))</f>
        <v/>
      </c>
      <c r="K384" s="782"/>
      <c r="L384" s="444">
        <v>9</v>
      </c>
      <c r="M384" s="781" t="str">
        <f t="shared" si="37"/>
        <v>NO APLICA</v>
      </c>
      <c r="N384" s="781"/>
    </row>
    <row r="385" spans="2:14">
      <c r="B385" s="319"/>
      <c r="C385" s="319"/>
      <c r="D385" s="448"/>
      <c r="E385" s="320"/>
      <c r="F385" s="450" t="str">
        <f>IF(OR(D385="",E385=""),"",ROUND(D385/LOOKUP(E385,SMMLV!$A$2:$A$36,SMMLV!$D$2:$D$100),3))</f>
        <v/>
      </c>
      <c r="K385" s="782"/>
      <c r="L385" s="444">
        <v>10</v>
      </c>
      <c r="M385" s="781" t="str">
        <f t="shared" si="37"/>
        <v>NO APLICA</v>
      </c>
      <c r="N385" s="781"/>
    </row>
    <row r="386" spans="2:14">
      <c r="B386" s="319"/>
      <c r="C386" s="319"/>
      <c r="D386" s="448"/>
      <c r="E386" s="320"/>
      <c r="F386" s="450" t="str">
        <f>IF(OR(D386="",E386=""),"",ROUND(D386/LOOKUP(E386,SMMLV!$A$2:$A$36,SMMLV!$D$2:$D$100),3))</f>
        <v/>
      </c>
      <c r="K386" s="782">
        <v>39</v>
      </c>
      <c r="L386" s="444">
        <v>1</v>
      </c>
      <c r="M386" s="781" t="str">
        <f>IF(SUMIFS($F$5:$F$1200,$B$5:$B$1200,$K$386,$C$5:$C$1200,$L386)=0,"NO APLICA",ROUND(SUMIFS($F$5:$F$1200,$B$5:$B$1200,$K$386,$C$5:$C$1200,$L386),3))</f>
        <v>NO APLICA</v>
      </c>
      <c r="N386" s="781"/>
    </row>
    <row r="387" spans="2:14">
      <c r="B387" s="319"/>
      <c r="C387" s="319"/>
      <c r="D387" s="448"/>
      <c r="E387" s="320"/>
      <c r="F387" s="450" t="str">
        <f>IF(OR(D387="",E387=""),"",ROUND(D387/LOOKUP(E387,SMMLV!$A$2:$A$36,SMMLV!$D$2:$D$100),3))</f>
        <v/>
      </c>
      <c r="K387" s="782"/>
      <c r="L387" s="444">
        <v>2</v>
      </c>
      <c r="M387" s="781" t="str">
        <f>IF(SUMIFS($F$5:$F$1200,$B$5:$B$1200,$K386,$C$5:$C$1200,$L387)=0,"NO APLICA",SUMIFS($F$5:$F$1200,$B$5:$B$1200,$K386,$C$5:$C$1200,$L387))</f>
        <v>NO APLICA</v>
      </c>
      <c r="N387" s="781"/>
    </row>
    <row r="388" spans="2:14">
      <c r="B388" s="319"/>
      <c r="C388" s="319"/>
      <c r="D388" s="448"/>
      <c r="E388" s="320"/>
      <c r="F388" s="450" t="str">
        <f>IF(OR(D388="",E388=""),"",ROUND(D388/LOOKUP(E388,SMMLV!$A$2:$A$36,SMMLV!$D$2:$D$100),3))</f>
        <v/>
      </c>
      <c r="K388" s="782"/>
      <c r="L388" s="444">
        <v>3</v>
      </c>
      <c r="M388" s="781" t="str">
        <f>IF(SUMIFS($F$5:$F$1200,$B$5:$B$1200,$K386,$C$5:$C$1200,$L388)=0,"NO APLICA",SUMIFS($F$5:$F$1200,$B$5:$B$1200,$K386,$C$5:$C$1200,$L388))</f>
        <v>NO APLICA</v>
      </c>
      <c r="N388" s="781"/>
    </row>
    <row r="389" spans="2:14">
      <c r="B389" s="319"/>
      <c r="C389" s="319"/>
      <c r="D389" s="448"/>
      <c r="E389" s="320"/>
      <c r="F389" s="450" t="str">
        <f>IF(OR(D389="",E389=""),"",ROUND(D389/LOOKUP(E389,SMMLV!$A$2:$A$36,SMMLV!$D$2:$D$100),3))</f>
        <v/>
      </c>
      <c r="K389" s="782"/>
      <c r="L389" s="444">
        <v>4</v>
      </c>
      <c r="M389" s="781" t="str">
        <f>IF(SUMIFS($F$5:$F$1200,$B$5:$B$1200,$K386,$C$5:$C$1200,$L389)=0,"NO APLICA",SUMIFS($F$5:$F$1200,$B$5:$B$1200,$K386,$C$5:$C$1200,$L389))</f>
        <v>NO APLICA</v>
      </c>
      <c r="N389" s="781"/>
    </row>
    <row r="390" spans="2:14">
      <c r="B390" s="319"/>
      <c r="C390" s="319"/>
      <c r="D390" s="448"/>
      <c r="E390" s="320"/>
      <c r="F390" s="450" t="str">
        <f>IF(OR(D390="",E390=""),"",ROUND(D390/LOOKUP(E390,SMMLV!$A$2:$A$36,SMMLV!$D$2:$D$100),3))</f>
        <v/>
      </c>
      <c r="K390" s="782"/>
      <c r="L390" s="444">
        <v>5</v>
      </c>
      <c r="M390" s="781" t="str">
        <f>IF(SUMIFS($F$5:$F$1200,$B$5:$B$1200,$K386,$C$5:$C$1200,$L390)=0,"NO APLICA",SUMIFS($F$5:$F$1200,$B$5:$B$1200,$K386,$C$5:$C$1200,$L390))</f>
        <v>NO APLICA</v>
      </c>
      <c r="N390" s="781"/>
    </row>
    <row r="391" spans="2:14">
      <c r="B391" s="319"/>
      <c r="C391" s="319"/>
      <c r="D391" s="448"/>
      <c r="E391" s="320"/>
      <c r="F391" s="450" t="str">
        <f>IF(OR(D391="",E391=""),"",ROUND(D391/LOOKUP(E391,SMMLV!$A$2:$A$36,SMMLV!$D$2:$D$100),3))</f>
        <v/>
      </c>
      <c r="K391" s="782"/>
      <c r="L391" s="444">
        <v>6</v>
      </c>
      <c r="M391" s="781" t="str">
        <f>IF(SUMIFS($F$5:$F$1200,$B$5:$B$1200,$K386,$C$5:$C$1200,$L391)=0,"NO APLICA",SUMIFS($F$5:$F$1200,$B$5:$B$1200,$K386,$C$5:$C$1200,$L391))</f>
        <v>NO APLICA</v>
      </c>
      <c r="N391" s="781"/>
    </row>
    <row r="392" spans="2:14">
      <c r="B392" s="319"/>
      <c r="C392" s="319"/>
      <c r="D392" s="448"/>
      <c r="E392" s="320"/>
      <c r="F392" s="450" t="str">
        <f>IF(OR(D392="",E392=""),"",ROUND(D392/LOOKUP(E392,SMMLV!$A$2:$A$36,SMMLV!$D$2:$D$100),3))</f>
        <v/>
      </c>
      <c r="K392" s="782"/>
      <c r="L392" s="444">
        <v>7</v>
      </c>
      <c r="M392" s="781" t="str">
        <f>IF(SUMIFS($F$5:$F$1200,$B$5:$B$1200,$K386,$C$5:$C$1200,$L392)=0,"NO APLICA",SUMIFS($F$5:$F$1200,$B$5:$B$1200,$K386,$C$5:$C$1200,$L392))</f>
        <v>NO APLICA</v>
      </c>
      <c r="N392" s="781"/>
    </row>
    <row r="393" spans="2:14">
      <c r="B393" s="319"/>
      <c r="C393" s="319"/>
      <c r="D393" s="448"/>
      <c r="E393" s="320"/>
      <c r="F393" s="450" t="str">
        <f>IF(OR(D393="",E393=""),"",ROUND(D393/LOOKUP(E393,SMMLV!$A$2:$A$36,SMMLV!$D$2:$D$100),3))</f>
        <v/>
      </c>
      <c r="K393" s="782"/>
      <c r="L393" s="444">
        <v>8</v>
      </c>
      <c r="M393" s="781" t="str">
        <f>IF(SUMIFS($F$5:$F$1200,$B$5:$B$1200,$K386,$C$5:$C$1200,$L393)=0,"NO APLICA",SUMIFS($F$5:$F$1200,$B$5:$B$1200,$K386,$C$5:$C$1200,$L393))</f>
        <v>NO APLICA</v>
      </c>
      <c r="N393" s="781"/>
    </row>
    <row r="394" spans="2:14">
      <c r="B394" s="319"/>
      <c r="C394" s="319"/>
      <c r="D394" s="448"/>
      <c r="E394" s="320"/>
      <c r="F394" s="450" t="str">
        <f>IF(OR(D394="",E394=""),"",ROUND(D394/LOOKUP(E394,SMMLV!$A$2:$A$36,SMMLV!$D$2:$D$100),3))</f>
        <v/>
      </c>
      <c r="K394" s="782"/>
      <c r="L394" s="444">
        <v>9</v>
      </c>
      <c r="M394" s="781" t="str">
        <f>IF(SUMIFS($F$5:$F$1200,$B$5:$B$1200,$K386,$C$5:$C$1200,$L394)=0,"NO APLICA",SUMIFS($F$5:$F$1200,$B$5:$B$1200,$K386,$C$5:$C$1200,$L394))</f>
        <v>NO APLICA</v>
      </c>
      <c r="N394" s="781"/>
    </row>
    <row r="395" spans="2:14">
      <c r="B395" s="319"/>
      <c r="C395" s="319"/>
      <c r="D395" s="448"/>
      <c r="E395" s="320"/>
      <c r="F395" s="450" t="str">
        <f>IF(OR(D395="",E395=""),"",ROUND(D395/LOOKUP(E395,SMMLV!$A$2:$A$36,SMMLV!$D$2:$D$100),3))</f>
        <v/>
      </c>
      <c r="K395" s="782"/>
      <c r="L395" s="444">
        <v>10</v>
      </c>
      <c r="M395" s="781" t="str">
        <f>IF(SUMIFS($F$5:$F$1200,$B$5:$B$1200,$K386,$C$5:$C$1200,$L395)=0,"NO APLICA",SUMIFS($F$5:$F$1200,$B$5:$B$1200,$K386,$C$5:$C$1200,$L395))</f>
        <v>NO APLICA</v>
      </c>
      <c r="N395" s="781"/>
    </row>
    <row r="396" spans="2:14">
      <c r="B396" s="319"/>
      <c r="C396" s="319"/>
      <c r="D396" s="448"/>
      <c r="E396" s="320"/>
      <c r="F396" s="450" t="str">
        <f>IF(OR(D396="",E396=""),"",ROUND(D396/LOOKUP(E396,SMMLV!$A$2:$A$36,SMMLV!$D$2:$D$100),3))</f>
        <v/>
      </c>
      <c r="K396" s="782">
        <v>40</v>
      </c>
      <c r="L396" s="444">
        <v>1</v>
      </c>
      <c r="M396" s="781" t="str">
        <f>IF(SUMIFS($F$5:$F$1200,$B$5:$B$1200,$K$396,$C$5:$C$1200,$L396)=0,"NO APLICA",ROUND(SUMIFS($F$5:$F$1200,$B$5:$B$1200,$K$396,$C$5:$C$1200,$L396),3))</f>
        <v>NO APLICA</v>
      </c>
      <c r="N396" s="781"/>
    </row>
    <row r="397" spans="2:14">
      <c r="B397" s="319"/>
      <c r="C397" s="319"/>
      <c r="D397" s="448"/>
      <c r="E397" s="320"/>
      <c r="F397" s="450" t="str">
        <f>IF(OR(D397="",E397=""),"",ROUND(D397/LOOKUP(E397,SMMLV!$A$2:$A$36,SMMLV!$D$2:$D$100),3))</f>
        <v/>
      </c>
      <c r="K397" s="782"/>
      <c r="L397" s="444">
        <v>2</v>
      </c>
      <c r="M397" s="781" t="str">
        <f>IF(SUMIFS($F$5:$F$1200,$B$5:$B$1200,$K396,$C$5:$C$1200,$L397)=0,"NO APLICA",SUMIFS($F$5:$F$1200,$B$5:$B$1200,$K396,$C$5:$C$1200,$L397))</f>
        <v>NO APLICA</v>
      </c>
      <c r="N397" s="781"/>
    </row>
    <row r="398" spans="2:14">
      <c r="B398" s="319"/>
      <c r="C398" s="319"/>
      <c r="D398" s="448"/>
      <c r="E398" s="320"/>
      <c r="F398" s="450" t="str">
        <f>IF(OR(D398="",E398=""),"",ROUND(D398/LOOKUP(E398,SMMLV!$A$2:$A$36,SMMLV!$D$2:$D$100),3))</f>
        <v/>
      </c>
      <c r="K398" s="782"/>
      <c r="L398" s="444">
        <v>3</v>
      </c>
      <c r="M398" s="781" t="str">
        <f>IF(SUMIFS($F$5:$F$1200,$B$5:$B$1200,$K396,$C$5:$C$1200,$L398)=0,"NO APLICA",SUMIFS($F$5:$F$1200,$B$5:$B$1200,$K396,$C$5:$C$1200,$L398))</f>
        <v>NO APLICA</v>
      </c>
      <c r="N398" s="781"/>
    </row>
    <row r="399" spans="2:14">
      <c r="B399" s="319"/>
      <c r="C399" s="319"/>
      <c r="D399" s="448"/>
      <c r="E399" s="320"/>
      <c r="F399" s="450" t="str">
        <f>IF(OR(D399="",E399=""),"",ROUND(D399/LOOKUP(E399,SMMLV!$A$2:$A$36,SMMLV!$D$2:$D$100),3))</f>
        <v/>
      </c>
      <c r="K399" s="782"/>
      <c r="L399" s="444">
        <v>4</v>
      </c>
      <c r="M399" s="781" t="str">
        <f>IF(SUMIFS($F$5:$F$1200,$B$5:$B$1200,$K396,$C$5:$C$1200,$L399)=0,"NO APLICA",SUMIFS($F$5:$F$1200,$B$5:$B$1200,$K396,$C$5:$C$1200,$L399))</f>
        <v>NO APLICA</v>
      </c>
      <c r="N399" s="781"/>
    </row>
    <row r="400" spans="2:14">
      <c r="B400" s="319"/>
      <c r="C400" s="319"/>
      <c r="D400" s="448"/>
      <c r="E400" s="320"/>
      <c r="F400" s="450" t="str">
        <f>IF(OR(D400="",E400=""),"",ROUND(D400/LOOKUP(E400,SMMLV!$A$2:$A$36,SMMLV!$D$2:$D$100),3))</f>
        <v/>
      </c>
      <c r="K400" s="782"/>
      <c r="L400" s="444">
        <v>5</v>
      </c>
      <c r="M400" s="781" t="str">
        <f>IF(SUMIFS($F$5:$F$1200,$B$5:$B$1200,$K396,$C$5:$C$1200,$L400)=0,"NO APLICA",SUMIFS($F$5:$F$1200,$B$5:$B$1200,$K396,$C$5:$C$1200,$L400))</f>
        <v>NO APLICA</v>
      </c>
      <c r="N400" s="781"/>
    </row>
    <row r="401" spans="2:14">
      <c r="B401" s="319"/>
      <c r="C401" s="319"/>
      <c r="D401" s="448"/>
      <c r="E401" s="320"/>
      <c r="F401" s="450" t="str">
        <f>IF(OR(D401="",E401=""),"",ROUND(D401/LOOKUP(E401,SMMLV!$A$2:$A$36,SMMLV!$D$2:$D$100),3))</f>
        <v/>
      </c>
      <c r="K401" s="782"/>
      <c r="L401" s="444">
        <v>6</v>
      </c>
      <c r="M401" s="781" t="str">
        <f>IF(SUMIFS($F$5:$F$1200,$B$5:$B$1200,$K396,$C$5:$C$1200,$L401)=0,"NO APLICA",SUMIFS($F$5:$F$1200,$B$5:$B$1200,$K396,$C$5:$C$1200,$L401))</f>
        <v>NO APLICA</v>
      </c>
      <c r="N401" s="781"/>
    </row>
    <row r="402" spans="2:14">
      <c r="B402" s="319"/>
      <c r="C402" s="319"/>
      <c r="D402" s="448"/>
      <c r="E402" s="320"/>
      <c r="F402" s="450" t="str">
        <f>IF(OR(D402="",E402=""),"",ROUND(D402/LOOKUP(E402,SMMLV!$A$2:$A$36,SMMLV!$D$2:$D$100),3))</f>
        <v/>
      </c>
      <c r="K402" s="782"/>
      <c r="L402" s="444">
        <v>7</v>
      </c>
      <c r="M402" s="781" t="str">
        <f>IF(SUMIFS($F$5:$F$1200,$B$5:$B$1200,$K396,$C$5:$C$1200,$L402)=0,"NO APLICA",SUMIFS($F$5:$F$1200,$B$5:$B$1200,$K396,$C$5:$C$1200,$L402))</f>
        <v>NO APLICA</v>
      </c>
      <c r="N402" s="781"/>
    </row>
    <row r="403" spans="2:14">
      <c r="B403" s="319"/>
      <c r="C403" s="319"/>
      <c r="D403" s="448"/>
      <c r="E403" s="320"/>
      <c r="F403" s="450" t="str">
        <f>IF(OR(D403="",E403=""),"",ROUND(D403/LOOKUP(E403,SMMLV!$A$2:$A$36,SMMLV!$D$2:$D$100),3))</f>
        <v/>
      </c>
      <c r="K403" s="782"/>
      <c r="L403" s="444">
        <v>8</v>
      </c>
      <c r="M403" s="781" t="str">
        <f>IF(SUMIFS($F$5:$F$1200,$B$5:$B$1200,$K396,$C$5:$C$1200,$L403)=0,"NO APLICA",SUMIFS($F$5:$F$1200,$B$5:$B$1200,$K396,$C$5:$C$1200,$L403))</f>
        <v>NO APLICA</v>
      </c>
      <c r="N403" s="781"/>
    </row>
    <row r="404" spans="2:14">
      <c r="B404" s="319"/>
      <c r="C404" s="319"/>
      <c r="D404" s="448"/>
      <c r="E404" s="320"/>
      <c r="F404" s="450" t="str">
        <f>IF(OR(D404="",E404=""),"",ROUND(D404/LOOKUP(E404,SMMLV!$A$2:$A$36,SMMLV!$D$2:$D$100),3))</f>
        <v/>
      </c>
      <c r="K404" s="782"/>
      <c r="L404" s="444">
        <v>9</v>
      </c>
      <c r="M404" s="781" t="str">
        <f>IF(SUMIFS($F$5:$F$1200,$B$5:$B$1200,$K396,$C$5:$C$1200,$L404)=0,"NO APLICA",SUMIFS($F$5:$F$1200,$B$5:$B$1200,$K396,$C$5:$C$1200,$L404))</f>
        <v>NO APLICA</v>
      </c>
      <c r="N404" s="781"/>
    </row>
    <row r="405" spans="2:14">
      <c r="B405" s="319"/>
      <c r="C405" s="319"/>
      <c r="D405" s="448"/>
      <c r="E405" s="320"/>
      <c r="F405" s="450" t="str">
        <f>IF(OR(D405="",E405=""),"",ROUND(D405/LOOKUP(E405,SMMLV!$A$2:$A$36,SMMLV!$D$2:$D$100),3))</f>
        <v/>
      </c>
      <c r="K405" s="782"/>
      <c r="L405" s="444">
        <v>10</v>
      </c>
      <c r="M405" s="781" t="str">
        <f>IF(SUMIFS($F$5:$F$1200,$B$5:$B$1200,$K396,$C$5:$C$1200,$L405)=0,"NO APLICA",SUMIFS($F$5:$F$1200,$B$5:$B$1200,$K396,$C$5:$C$1200,$L405))</f>
        <v>NO APLICA</v>
      </c>
      <c r="N405" s="781"/>
    </row>
    <row r="406" spans="2:14">
      <c r="B406" s="319"/>
      <c r="C406" s="319"/>
      <c r="D406" s="448"/>
      <c r="E406" s="320"/>
      <c r="F406" s="450" t="str">
        <f>IF(OR(D406="",E406=""),"",ROUND(D406/LOOKUP(E406,SMMLV!$A$2:$A$36,SMMLV!$D$2:$D$100),3))</f>
        <v/>
      </c>
      <c r="K406" s="782">
        <v>41</v>
      </c>
      <c r="L406" s="444">
        <v>1</v>
      </c>
      <c r="M406" s="781" t="str">
        <f t="shared" ref="M406:M415" si="38">IF(SUMIFS($F$5:$F$1200,$B$5:$B$1200,$K$406,$C$5:$C$1200,$L406)=0,"NO APLICA",ROUND(SUMIFS($F$5:$F$1200,$B$5:$B$1200,$K$406,$C$5:$C$1200,$L406),3))</f>
        <v>NO APLICA</v>
      </c>
      <c r="N406" s="781"/>
    </row>
    <row r="407" spans="2:14">
      <c r="B407" s="319"/>
      <c r="C407" s="319"/>
      <c r="D407" s="448"/>
      <c r="E407" s="320"/>
      <c r="F407" s="450" t="str">
        <f>IF(OR(D407="",E407=""),"",ROUND(D407/LOOKUP(E407,SMMLV!$A$2:$A$36,SMMLV!$D$2:$D$100),3))</f>
        <v/>
      </c>
      <c r="K407" s="782"/>
      <c r="L407" s="444">
        <v>2</v>
      </c>
      <c r="M407" s="781" t="str">
        <f t="shared" si="38"/>
        <v>NO APLICA</v>
      </c>
      <c r="N407" s="781"/>
    </row>
    <row r="408" spans="2:14">
      <c r="B408" s="319"/>
      <c r="C408" s="319"/>
      <c r="D408" s="448"/>
      <c r="E408" s="320"/>
      <c r="F408" s="450" t="str">
        <f>IF(OR(D408="",E408=""),"",ROUND(D408/LOOKUP(E408,SMMLV!$A$2:$A$36,SMMLV!$D$2:$D$100),3))</f>
        <v/>
      </c>
      <c r="K408" s="782"/>
      <c r="L408" s="444">
        <v>3</v>
      </c>
      <c r="M408" s="781" t="str">
        <f t="shared" si="38"/>
        <v>NO APLICA</v>
      </c>
      <c r="N408" s="781"/>
    </row>
    <row r="409" spans="2:14">
      <c r="B409" s="319"/>
      <c r="C409" s="319"/>
      <c r="D409" s="448"/>
      <c r="E409" s="320"/>
      <c r="F409" s="450" t="str">
        <f>IF(OR(D409="",E409=""),"",ROUND(D409/LOOKUP(E409,SMMLV!$A$2:$A$36,SMMLV!$D$2:$D$100),3))</f>
        <v/>
      </c>
      <c r="K409" s="782"/>
      <c r="L409" s="444">
        <v>4</v>
      </c>
      <c r="M409" s="781" t="str">
        <f t="shared" si="38"/>
        <v>NO APLICA</v>
      </c>
      <c r="N409" s="781"/>
    </row>
    <row r="410" spans="2:14">
      <c r="B410" s="319"/>
      <c r="C410" s="319"/>
      <c r="D410" s="448"/>
      <c r="E410" s="320"/>
      <c r="F410" s="450" t="str">
        <f>IF(OR(D410="",E410=""),"",ROUND(D410/LOOKUP(E410,SMMLV!$A$2:$A$36,SMMLV!$D$2:$D$100),3))</f>
        <v/>
      </c>
      <c r="K410" s="782"/>
      <c r="L410" s="444">
        <v>5</v>
      </c>
      <c r="M410" s="781" t="str">
        <f t="shared" si="38"/>
        <v>NO APLICA</v>
      </c>
      <c r="N410" s="781"/>
    </row>
    <row r="411" spans="2:14">
      <c r="B411" s="319"/>
      <c r="C411" s="319"/>
      <c r="D411" s="448"/>
      <c r="E411" s="320"/>
      <c r="F411" s="450" t="str">
        <f>IF(OR(D411="",E411=""),"",ROUND(D411/LOOKUP(E411,SMMLV!$A$2:$A$36,SMMLV!$D$2:$D$100),3))</f>
        <v/>
      </c>
      <c r="K411" s="782"/>
      <c r="L411" s="444">
        <v>6</v>
      </c>
      <c r="M411" s="781" t="str">
        <f t="shared" si="38"/>
        <v>NO APLICA</v>
      </c>
      <c r="N411" s="781"/>
    </row>
    <row r="412" spans="2:14">
      <c r="B412" s="319"/>
      <c r="C412" s="319"/>
      <c r="D412" s="448"/>
      <c r="E412" s="320"/>
      <c r="F412" s="450" t="str">
        <f>IF(OR(D412="",E412=""),"",ROUND(D412/LOOKUP(E412,SMMLV!$A$2:$A$36,SMMLV!$D$2:$D$100),3))</f>
        <v/>
      </c>
      <c r="K412" s="782"/>
      <c r="L412" s="444">
        <v>7</v>
      </c>
      <c r="M412" s="781" t="str">
        <f t="shared" si="38"/>
        <v>NO APLICA</v>
      </c>
      <c r="N412" s="781"/>
    </row>
    <row r="413" spans="2:14">
      <c r="B413" s="319"/>
      <c r="C413" s="319"/>
      <c r="D413" s="448"/>
      <c r="E413" s="320"/>
      <c r="F413" s="450" t="str">
        <f>IF(OR(D413="",E413=""),"",ROUND(D413/LOOKUP(E413,SMMLV!$A$2:$A$36,SMMLV!$D$2:$D$100),3))</f>
        <v/>
      </c>
      <c r="K413" s="782"/>
      <c r="L413" s="444">
        <v>8</v>
      </c>
      <c r="M413" s="781" t="str">
        <f t="shared" si="38"/>
        <v>NO APLICA</v>
      </c>
      <c r="N413" s="781"/>
    </row>
    <row r="414" spans="2:14">
      <c r="B414" s="319"/>
      <c r="C414" s="319"/>
      <c r="D414" s="448"/>
      <c r="E414" s="320"/>
      <c r="F414" s="450" t="str">
        <f>IF(OR(D414="",E414=""),"",ROUND(D414/LOOKUP(E414,SMMLV!$A$2:$A$36,SMMLV!$D$2:$D$100),3))</f>
        <v/>
      </c>
      <c r="K414" s="782"/>
      <c r="L414" s="444">
        <v>9</v>
      </c>
      <c r="M414" s="781" t="str">
        <f t="shared" si="38"/>
        <v>NO APLICA</v>
      </c>
      <c r="N414" s="781"/>
    </row>
    <row r="415" spans="2:14">
      <c r="B415" s="319"/>
      <c r="C415" s="319"/>
      <c r="D415" s="448"/>
      <c r="E415" s="320"/>
      <c r="F415" s="450" t="str">
        <f>IF(OR(D415="",E415=""),"",ROUND(D415/LOOKUP(E415,SMMLV!$A$2:$A$36,SMMLV!$D$2:$D$100),3))</f>
        <v/>
      </c>
      <c r="K415" s="782"/>
      <c r="L415" s="444">
        <v>10</v>
      </c>
      <c r="M415" s="781" t="str">
        <f t="shared" si="38"/>
        <v>NO APLICA</v>
      </c>
      <c r="N415" s="781"/>
    </row>
    <row r="416" spans="2:14">
      <c r="B416" s="319"/>
      <c r="C416" s="319"/>
      <c r="D416" s="448"/>
      <c r="E416" s="320"/>
      <c r="F416" s="450" t="str">
        <f>IF(OR(D416="",E416=""),"",ROUND(D416/LOOKUP(E416,SMMLV!$A$2:$A$36,SMMLV!$D$2:$D$100),3))</f>
        <v/>
      </c>
      <c r="K416" s="782">
        <v>42</v>
      </c>
      <c r="L416" s="444">
        <v>1</v>
      </c>
      <c r="M416" s="781" t="str">
        <f t="shared" ref="M416:M425" si="39">IF(SUMIFS($F$5:$F$1200,$B$5:$B$1200,$K$416,$C$5:$C$1200,$L416)=0,"NO APLICA",ROUND(SUMIFS($F$5:$F$1200,$B$5:$B$1200,$K$416,$C$5:$C$1200,$L416),3))</f>
        <v>NO APLICA</v>
      </c>
      <c r="N416" s="781"/>
    </row>
    <row r="417" spans="2:14">
      <c r="B417" s="319"/>
      <c r="C417" s="319"/>
      <c r="D417" s="448"/>
      <c r="E417" s="320"/>
      <c r="F417" s="450" t="str">
        <f>IF(OR(D417="",E417=""),"",ROUND(D417/LOOKUP(E417,SMMLV!$A$2:$A$36,SMMLV!$D$2:$D$100),3))</f>
        <v/>
      </c>
      <c r="K417" s="782"/>
      <c r="L417" s="444">
        <v>2</v>
      </c>
      <c r="M417" s="781" t="str">
        <f t="shared" si="39"/>
        <v>NO APLICA</v>
      </c>
      <c r="N417" s="781"/>
    </row>
    <row r="418" spans="2:14">
      <c r="B418" s="319"/>
      <c r="C418" s="319"/>
      <c r="D418" s="448"/>
      <c r="E418" s="320"/>
      <c r="F418" s="450" t="str">
        <f>IF(OR(D418="",E418=""),"",ROUND(D418/LOOKUP(E418,SMMLV!$A$2:$A$36,SMMLV!$D$2:$D$100),3))</f>
        <v/>
      </c>
      <c r="K418" s="782"/>
      <c r="L418" s="444">
        <v>3</v>
      </c>
      <c r="M418" s="781" t="str">
        <f t="shared" si="39"/>
        <v>NO APLICA</v>
      </c>
      <c r="N418" s="781"/>
    </row>
    <row r="419" spans="2:14">
      <c r="B419" s="319"/>
      <c r="C419" s="319"/>
      <c r="D419" s="448"/>
      <c r="E419" s="320"/>
      <c r="F419" s="450" t="str">
        <f>IF(OR(D419="",E419=""),"",ROUND(D419/LOOKUP(E419,SMMLV!$A$2:$A$36,SMMLV!$D$2:$D$100),3))</f>
        <v/>
      </c>
      <c r="K419" s="782"/>
      <c r="L419" s="444">
        <v>4</v>
      </c>
      <c r="M419" s="781" t="str">
        <f t="shared" si="39"/>
        <v>NO APLICA</v>
      </c>
      <c r="N419" s="781"/>
    </row>
    <row r="420" spans="2:14">
      <c r="B420" s="319"/>
      <c r="C420" s="319"/>
      <c r="D420" s="448"/>
      <c r="E420" s="320"/>
      <c r="F420" s="450" t="str">
        <f>IF(OR(D420="",E420=""),"",ROUND(D420/LOOKUP(E420,SMMLV!$A$2:$A$36,SMMLV!$D$2:$D$100),3))</f>
        <v/>
      </c>
      <c r="K420" s="782"/>
      <c r="L420" s="444">
        <v>5</v>
      </c>
      <c r="M420" s="781" t="str">
        <f t="shared" si="39"/>
        <v>NO APLICA</v>
      </c>
      <c r="N420" s="781"/>
    </row>
    <row r="421" spans="2:14">
      <c r="B421" s="319"/>
      <c r="C421" s="319"/>
      <c r="D421" s="448"/>
      <c r="E421" s="320"/>
      <c r="F421" s="450" t="str">
        <f>IF(OR(D421="",E421=""),"",ROUND(D421/LOOKUP(E421,SMMLV!$A$2:$A$36,SMMLV!$D$2:$D$100),3))</f>
        <v/>
      </c>
      <c r="K421" s="782"/>
      <c r="L421" s="444">
        <v>6</v>
      </c>
      <c r="M421" s="781" t="str">
        <f t="shared" si="39"/>
        <v>NO APLICA</v>
      </c>
      <c r="N421" s="781"/>
    </row>
    <row r="422" spans="2:14">
      <c r="B422" s="319"/>
      <c r="C422" s="319"/>
      <c r="D422" s="448"/>
      <c r="E422" s="320"/>
      <c r="F422" s="450" t="str">
        <f>IF(OR(D422="",E422=""),"",ROUND(D422/LOOKUP(E422,SMMLV!$A$2:$A$36,SMMLV!$D$2:$D$100),3))</f>
        <v/>
      </c>
      <c r="K422" s="782"/>
      <c r="L422" s="444">
        <v>7</v>
      </c>
      <c r="M422" s="781" t="str">
        <f t="shared" si="39"/>
        <v>NO APLICA</v>
      </c>
      <c r="N422" s="781"/>
    </row>
    <row r="423" spans="2:14">
      <c r="B423" s="319"/>
      <c r="C423" s="319"/>
      <c r="D423" s="448"/>
      <c r="E423" s="320"/>
      <c r="F423" s="450" t="str">
        <f>IF(OR(D423="",E423=""),"",ROUND(D423/LOOKUP(E423,SMMLV!$A$2:$A$36,SMMLV!$D$2:$D$100),3))</f>
        <v/>
      </c>
      <c r="K423" s="782"/>
      <c r="L423" s="444">
        <v>8</v>
      </c>
      <c r="M423" s="781" t="str">
        <f t="shared" si="39"/>
        <v>NO APLICA</v>
      </c>
      <c r="N423" s="781"/>
    </row>
    <row r="424" spans="2:14">
      <c r="B424" s="319"/>
      <c r="C424" s="319"/>
      <c r="D424" s="448"/>
      <c r="E424" s="320"/>
      <c r="F424" s="450" t="str">
        <f>IF(OR(D424="",E424=""),"",ROUND(D424/LOOKUP(E424,SMMLV!$A$2:$A$36,SMMLV!$D$2:$D$100),3))</f>
        <v/>
      </c>
      <c r="K424" s="782"/>
      <c r="L424" s="444">
        <v>9</v>
      </c>
      <c r="M424" s="781" t="str">
        <f t="shared" si="39"/>
        <v>NO APLICA</v>
      </c>
      <c r="N424" s="781"/>
    </row>
    <row r="425" spans="2:14">
      <c r="B425" s="319"/>
      <c r="C425" s="319"/>
      <c r="D425" s="448"/>
      <c r="E425" s="320"/>
      <c r="F425" s="450" t="str">
        <f>IF(OR(D425="",E425=""),"",ROUND(D425/LOOKUP(E425,SMMLV!$A$2:$A$36,SMMLV!$D$2:$D$100),3))</f>
        <v/>
      </c>
      <c r="K425" s="782"/>
      <c r="L425" s="444">
        <v>10</v>
      </c>
      <c r="M425" s="781" t="str">
        <f t="shared" si="39"/>
        <v>NO APLICA</v>
      </c>
      <c r="N425" s="781"/>
    </row>
    <row r="426" spans="2:14">
      <c r="B426" s="319"/>
      <c r="C426" s="319"/>
      <c r="D426" s="448"/>
      <c r="E426" s="320"/>
      <c r="F426" s="450" t="str">
        <f>IF(OR(D426="",E426=""),"",ROUND(D426/LOOKUP(E426,SMMLV!$A$2:$A$36,SMMLV!$D$2:$D$100),3))</f>
        <v/>
      </c>
      <c r="K426" s="782">
        <v>43</v>
      </c>
      <c r="L426" s="444">
        <v>1</v>
      </c>
      <c r="M426" s="781" t="str">
        <f t="shared" ref="M426:M435" si="40">IF(SUMIFS($F$5:$F$1200,$B$5:$B$1200,$K$426,$C$5:$C$1200,$L426)=0,"NO APLICA",ROUND(SUMIFS($F$5:$F$1200,$B$5:$B$1200,$K$426,$C$5:$C$1200,$L426),3))</f>
        <v>NO APLICA</v>
      </c>
      <c r="N426" s="781"/>
    </row>
    <row r="427" spans="2:14">
      <c r="B427" s="319"/>
      <c r="C427" s="319"/>
      <c r="D427" s="448"/>
      <c r="E427" s="320"/>
      <c r="F427" s="450" t="str">
        <f>IF(OR(D427="",E427=""),"",ROUND(D427/LOOKUP(E427,SMMLV!$A$2:$A$36,SMMLV!$D$2:$D$100),3))</f>
        <v/>
      </c>
      <c r="K427" s="782"/>
      <c r="L427" s="444">
        <v>2</v>
      </c>
      <c r="M427" s="781" t="str">
        <f t="shared" si="40"/>
        <v>NO APLICA</v>
      </c>
      <c r="N427" s="781"/>
    </row>
    <row r="428" spans="2:14">
      <c r="B428" s="319"/>
      <c r="C428" s="319"/>
      <c r="D428" s="448"/>
      <c r="E428" s="320"/>
      <c r="F428" s="450" t="str">
        <f>IF(OR(D428="",E428=""),"",ROUND(D428/LOOKUP(E428,SMMLV!$A$2:$A$36,SMMLV!$D$2:$D$100),3))</f>
        <v/>
      </c>
      <c r="K428" s="782"/>
      <c r="L428" s="444">
        <v>3</v>
      </c>
      <c r="M428" s="781" t="str">
        <f t="shared" si="40"/>
        <v>NO APLICA</v>
      </c>
      <c r="N428" s="781"/>
    </row>
    <row r="429" spans="2:14">
      <c r="B429" s="319"/>
      <c r="C429" s="319"/>
      <c r="D429" s="448"/>
      <c r="E429" s="320"/>
      <c r="F429" s="450" t="str">
        <f>IF(OR(D429="",E429=""),"",ROUND(D429/LOOKUP(E429,SMMLV!$A$2:$A$36,SMMLV!$D$2:$D$100),3))</f>
        <v/>
      </c>
      <c r="K429" s="782"/>
      <c r="L429" s="444">
        <v>4</v>
      </c>
      <c r="M429" s="781" t="str">
        <f t="shared" si="40"/>
        <v>NO APLICA</v>
      </c>
      <c r="N429" s="781"/>
    </row>
    <row r="430" spans="2:14">
      <c r="B430" s="319"/>
      <c r="C430" s="319"/>
      <c r="D430" s="448"/>
      <c r="E430" s="320"/>
      <c r="F430" s="450" t="str">
        <f>IF(OR(D430="",E430=""),"",ROUND(D430/LOOKUP(E430,SMMLV!$A$2:$A$36,SMMLV!$D$2:$D$100),3))</f>
        <v/>
      </c>
      <c r="K430" s="782"/>
      <c r="L430" s="444">
        <v>5</v>
      </c>
      <c r="M430" s="781" t="str">
        <f t="shared" si="40"/>
        <v>NO APLICA</v>
      </c>
      <c r="N430" s="781"/>
    </row>
    <row r="431" spans="2:14">
      <c r="B431" s="319"/>
      <c r="C431" s="319"/>
      <c r="D431" s="448"/>
      <c r="E431" s="320"/>
      <c r="F431" s="450" t="str">
        <f>IF(OR(D431="",E431=""),"",ROUND(D431/LOOKUP(E431,SMMLV!$A$2:$A$36,SMMLV!$D$2:$D$100),3))</f>
        <v/>
      </c>
      <c r="K431" s="782"/>
      <c r="L431" s="444">
        <v>6</v>
      </c>
      <c r="M431" s="781" t="str">
        <f t="shared" si="40"/>
        <v>NO APLICA</v>
      </c>
      <c r="N431" s="781"/>
    </row>
    <row r="432" spans="2:14">
      <c r="B432" s="319"/>
      <c r="C432" s="319"/>
      <c r="D432" s="448"/>
      <c r="E432" s="320"/>
      <c r="F432" s="450" t="str">
        <f>IF(OR(D432="",E432=""),"",ROUND(D432/LOOKUP(E432,SMMLV!$A$2:$A$36,SMMLV!$D$2:$D$100),3))</f>
        <v/>
      </c>
      <c r="K432" s="782"/>
      <c r="L432" s="444">
        <v>7</v>
      </c>
      <c r="M432" s="781" t="str">
        <f t="shared" si="40"/>
        <v>NO APLICA</v>
      </c>
      <c r="N432" s="781"/>
    </row>
    <row r="433" spans="2:14">
      <c r="B433" s="319"/>
      <c r="C433" s="319"/>
      <c r="D433" s="448"/>
      <c r="E433" s="320"/>
      <c r="F433" s="450" t="str">
        <f>IF(OR(D433="",E433=""),"",ROUND(D433/LOOKUP(E433,SMMLV!$A$2:$A$36,SMMLV!$D$2:$D$100),3))</f>
        <v/>
      </c>
      <c r="K433" s="782"/>
      <c r="L433" s="444">
        <v>8</v>
      </c>
      <c r="M433" s="781" t="str">
        <f t="shared" si="40"/>
        <v>NO APLICA</v>
      </c>
      <c r="N433" s="781"/>
    </row>
    <row r="434" spans="2:14">
      <c r="B434" s="319"/>
      <c r="C434" s="319"/>
      <c r="D434" s="448"/>
      <c r="E434" s="320"/>
      <c r="F434" s="450" t="str">
        <f>IF(OR(D434="",E434=""),"",ROUND(D434/LOOKUP(E434,SMMLV!$A$2:$A$36,SMMLV!$D$2:$D$100),3))</f>
        <v/>
      </c>
      <c r="K434" s="782"/>
      <c r="L434" s="444">
        <v>9</v>
      </c>
      <c r="M434" s="781" t="str">
        <f t="shared" si="40"/>
        <v>NO APLICA</v>
      </c>
      <c r="N434" s="781"/>
    </row>
    <row r="435" spans="2:14">
      <c r="B435" s="319"/>
      <c r="C435" s="319"/>
      <c r="D435" s="448"/>
      <c r="E435" s="320"/>
      <c r="F435" s="450" t="str">
        <f>IF(OR(D435="",E435=""),"",ROUND(D435/LOOKUP(E435,SMMLV!$A$2:$A$36,SMMLV!$D$2:$D$100),3))</f>
        <v/>
      </c>
      <c r="K435" s="782"/>
      <c r="L435" s="444">
        <v>10</v>
      </c>
      <c r="M435" s="781" t="str">
        <f t="shared" si="40"/>
        <v>NO APLICA</v>
      </c>
      <c r="N435" s="781"/>
    </row>
    <row r="436" spans="2:14">
      <c r="B436" s="319"/>
      <c r="C436" s="319"/>
      <c r="D436" s="448"/>
      <c r="E436" s="320"/>
      <c r="F436" s="450" t="str">
        <f>IF(OR(D436="",E436=""),"",ROUND(D436/LOOKUP(E436,SMMLV!$A$2:$A$36,SMMLV!$D$2:$D$100),3))</f>
        <v/>
      </c>
      <c r="K436" s="782">
        <v>44</v>
      </c>
      <c r="L436" s="444">
        <v>1</v>
      </c>
      <c r="M436" s="781" t="str">
        <f t="shared" ref="M436:M445" si="41">IF(SUMIFS($F$5:$F$1200,$B$5:$B$1200,$K$436,$C$5:$C$1200,$L436)=0,"NO APLICA",ROUND(SUMIFS($F$5:$F$1200,$B$5:$B$1200,$K$436,$C$5:$C$1200,$L436),3))</f>
        <v>NO APLICA</v>
      </c>
      <c r="N436" s="781"/>
    </row>
    <row r="437" spans="2:14">
      <c r="B437" s="319"/>
      <c r="C437" s="319"/>
      <c r="D437" s="448"/>
      <c r="E437" s="320"/>
      <c r="F437" s="450" t="str">
        <f>IF(OR(D437="",E437=""),"",ROUND(D437/LOOKUP(E437,SMMLV!$A$2:$A$36,SMMLV!$D$2:$D$100),3))</f>
        <v/>
      </c>
      <c r="K437" s="782"/>
      <c r="L437" s="444">
        <v>2</v>
      </c>
      <c r="M437" s="781" t="str">
        <f t="shared" si="41"/>
        <v>NO APLICA</v>
      </c>
      <c r="N437" s="781"/>
    </row>
    <row r="438" spans="2:14">
      <c r="B438" s="319"/>
      <c r="C438" s="319"/>
      <c r="D438" s="448"/>
      <c r="E438" s="320"/>
      <c r="F438" s="450" t="str">
        <f>IF(OR(D438="",E438=""),"",ROUND(D438/LOOKUP(E438,SMMLV!$A$2:$A$36,SMMLV!$D$2:$D$100),3))</f>
        <v/>
      </c>
      <c r="K438" s="782"/>
      <c r="L438" s="444">
        <v>3</v>
      </c>
      <c r="M438" s="781" t="str">
        <f t="shared" si="41"/>
        <v>NO APLICA</v>
      </c>
      <c r="N438" s="781"/>
    </row>
    <row r="439" spans="2:14">
      <c r="B439" s="319"/>
      <c r="C439" s="319"/>
      <c r="D439" s="448"/>
      <c r="E439" s="320"/>
      <c r="F439" s="450" t="str">
        <f>IF(OR(D439="",E439=""),"",ROUND(D439/LOOKUP(E439,SMMLV!$A$2:$A$36,SMMLV!$D$2:$D$100),3))</f>
        <v/>
      </c>
      <c r="K439" s="782"/>
      <c r="L439" s="444">
        <v>4</v>
      </c>
      <c r="M439" s="781" t="str">
        <f t="shared" si="41"/>
        <v>NO APLICA</v>
      </c>
      <c r="N439" s="781"/>
    </row>
    <row r="440" spans="2:14">
      <c r="B440" s="319"/>
      <c r="C440" s="319"/>
      <c r="D440" s="448"/>
      <c r="E440" s="320"/>
      <c r="F440" s="450" t="str">
        <f>IF(OR(D440="",E440=""),"",ROUND(D440/LOOKUP(E440,SMMLV!$A$2:$A$36,SMMLV!$D$2:$D$100),3))</f>
        <v/>
      </c>
      <c r="K440" s="782"/>
      <c r="L440" s="444">
        <v>5</v>
      </c>
      <c r="M440" s="781" t="str">
        <f t="shared" si="41"/>
        <v>NO APLICA</v>
      </c>
      <c r="N440" s="781"/>
    </row>
    <row r="441" spans="2:14">
      <c r="B441" s="319"/>
      <c r="C441" s="319"/>
      <c r="D441" s="448"/>
      <c r="E441" s="320"/>
      <c r="F441" s="450" t="str">
        <f>IF(OR(D441="",E441=""),"",ROUND(D441/LOOKUP(E441,SMMLV!$A$2:$A$36,SMMLV!$D$2:$D$100),3))</f>
        <v/>
      </c>
      <c r="K441" s="782"/>
      <c r="L441" s="444">
        <v>6</v>
      </c>
      <c r="M441" s="781" t="str">
        <f t="shared" si="41"/>
        <v>NO APLICA</v>
      </c>
      <c r="N441" s="781"/>
    </row>
    <row r="442" spans="2:14">
      <c r="B442" s="319"/>
      <c r="C442" s="319"/>
      <c r="D442" s="448"/>
      <c r="E442" s="320"/>
      <c r="F442" s="450" t="str">
        <f>IF(OR(D442="",E442=""),"",ROUND(D442/LOOKUP(E442,SMMLV!$A$2:$A$36,SMMLV!$D$2:$D$100),3))</f>
        <v/>
      </c>
      <c r="K442" s="782"/>
      <c r="L442" s="444">
        <v>7</v>
      </c>
      <c r="M442" s="781" t="str">
        <f t="shared" si="41"/>
        <v>NO APLICA</v>
      </c>
      <c r="N442" s="781"/>
    </row>
    <row r="443" spans="2:14">
      <c r="B443" s="319"/>
      <c r="C443" s="319"/>
      <c r="D443" s="448"/>
      <c r="E443" s="320"/>
      <c r="F443" s="450" t="str">
        <f>IF(OR(D443="",E443=""),"",ROUND(D443/LOOKUP(E443,SMMLV!$A$2:$A$36,SMMLV!$D$2:$D$100),3))</f>
        <v/>
      </c>
      <c r="K443" s="782"/>
      <c r="L443" s="444">
        <v>8</v>
      </c>
      <c r="M443" s="781" t="str">
        <f t="shared" si="41"/>
        <v>NO APLICA</v>
      </c>
      <c r="N443" s="781"/>
    </row>
    <row r="444" spans="2:14">
      <c r="B444" s="319"/>
      <c r="C444" s="319"/>
      <c r="D444" s="448"/>
      <c r="E444" s="320"/>
      <c r="F444" s="450" t="str">
        <f>IF(OR(D444="",E444=""),"",ROUND(D444/LOOKUP(E444,SMMLV!$A$2:$A$36,SMMLV!$D$2:$D$100),3))</f>
        <v/>
      </c>
      <c r="K444" s="782"/>
      <c r="L444" s="444">
        <v>9</v>
      </c>
      <c r="M444" s="781" t="str">
        <f t="shared" si="41"/>
        <v>NO APLICA</v>
      </c>
      <c r="N444" s="781"/>
    </row>
    <row r="445" spans="2:14">
      <c r="B445" s="319"/>
      <c r="C445" s="319"/>
      <c r="D445" s="448"/>
      <c r="E445" s="320"/>
      <c r="F445" s="450" t="str">
        <f>IF(OR(D445="",E445=""),"",ROUND(D445/LOOKUP(E445,SMMLV!$A$2:$A$36,SMMLV!$D$2:$D$100),3))</f>
        <v/>
      </c>
      <c r="K445" s="782"/>
      <c r="L445" s="444">
        <v>10</v>
      </c>
      <c r="M445" s="781" t="str">
        <f t="shared" si="41"/>
        <v>NO APLICA</v>
      </c>
      <c r="N445" s="781"/>
    </row>
    <row r="446" spans="2:14">
      <c r="B446" s="319"/>
      <c r="C446" s="319"/>
      <c r="D446" s="448"/>
      <c r="E446" s="320"/>
      <c r="F446" s="450" t="str">
        <f>IF(OR(D446="",E446=""),"",ROUND(D446/LOOKUP(E446,SMMLV!$A$2:$A$36,SMMLV!$D$2:$D$100),3))</f>
        <v/>
      </c>
      <c r="K446" s="782">
        <v>45</v>
      </c>
      <c r="L446" s="444">
        <v>1</v>
      </c>
      <c r="M446" s="781" t="str">
        <f t="shared" ref="M446:M455" si="42">IF(SUMIFS($F$5:$F$1200,$B$5:$B$1200,$K$446,$C$5:$C$1200,$L446)=0,"NO APLICA",ROUND(SUMIFS($F$5:$F$1200,$B$5:$B$1200,$K$446,$C$5:$C$1200,$L446),3))</f>
        <v>NO APLICA</v>
      </c>
      <c r="N446" s="781"/>
    </row>
    <row r="447" spans="2:14">
      <c r="B447" s="319"/>
      <c r="C447" s="319"/>
      <c r="D447" s="448"/>
      <c r="E447" s="320"/>
      <c r="F447" s="450" t="str">
        <f>IF(OR(D447="",E447=""),"",ROUND(D447/LOOKUP(E447,SMMLV!$A$2:$A$36,SMMLV!$D$2:$D$100),3))</f>
        <v/>
      </c>
      <c r="K447" s="782"/>
      <c r="L447" s="444">
        <v>2</v>
      </c>
      <c r="M447" s="781" t="str">
        <f t="shared" si="42"/>
        <v>NO APLICA</v>
      </c>
      <c r="N447" s="781"/>
    </row>
    <row r="448" spans="2:14">
      <c r="B448" s="319"/>
      <c r="C448" s="319"/>
      <c r="D448" s="448"/>
      <c r="E448" s="320"/>
      <c r="F448" s="450" t="str">
        <f>IF(OR(D448="",E448=""),"",ROUND(D448/LOOKUP(E448,SMMLV!$A$2:$A$36,SMMLV!$D$2:$D$100),3))</f>
        <v/>
      </c>
      <c r="K448" s="782"/>
      <c r="L448" s="444">
        <v>3</v>
      </c>
      <c r="M448" s="781" t="str">
        <f t="shared" si="42"/>
        <v>NO APLICA</v>
      </c>
      <c r="N448" s="781"/>
    </row>
    <row r="449" spans="2:14">
      <c r="B449" s="319"/>
      <c r="C449" s="319"/>
      <c r="D449" s="448"/>
      <c r="E449" s="320"/>
      <c r="F449" s="450" t="str">
        <f>IF(OR(D449="",E449=""),"",ROUND(D449/LOOKUP(E449,SMMLV!$A$2:$A$36,SMMLV!$D$2:$D$100),3))</f>
        <v/>
      </c>
      <c r="K449" s="782"/>
      <c r="L449" s="444">
        <v>4</v>
      </c>
      <c r="M449" s="781" t="str">
        <f t="shared" si="42"/>
        <v>NO APLICA</v>
      </c>
      <c r="N449" s="781"/>
    </row>
    <row r="450" spans="2:14">
      <c r="B450" s="319"/>
      <c r="C450" s="319"/>
      <c r="D450" s="448"/>
      <c r="E450" s="320"/>
      <c r="F450" s="450" t="str">
        <f>IF(OR(D450="",E450=""),"",ROUND(D450/LOOKUP(E450,SMMLV!$A$2:$A$36,SMMLV!$D$2:$D$100),3))</f>
        <v/>
      </c>
      <c r="K450" s="782"/>
      <c r="L450" s="444">
        <v>5</v>
      </c>
      <c r="M450" s="781" t="str">
        <f t="shared" si="42"/>
        <v>NO APLICA</v>
      </c>
      <c r="N450" s="781"/>
    </row>
    <row r="451" spans="2:14">
      <c r="B451" s="319"/>
      <c r="C451" s="319"/>
      <c r="D451" s="448"/>
      <c r="E451" s="320"/>
      <c r="F451" s="450" t="str">
        <f>IF(OR(D451="",E451=""),"",ROUND(D451/LOOKUP(E451,SMMLV!$A$2:$A$36,SMMLV!$D$2:$D$100),3))</f>
        <v/>
      </c>
      <c r="K451" s="782"/>
      <c r="L451" s="444">
        <v>6</v>
      </c>
      <c r="M451" s="781" t="str">
        <f t="shared" si="42"/>
        <v>NO APLICA</v>
      </c>
      <c r="N451" s="781"/>
    </row>
    <row r="452" spans="2:14">
      <c r="B452" s="319"/>
      <c r="C452" s="319"/>
      <c r="D452" s="448"/>
      <c r="E452" s="320"/>
      <c r="F452" s="450" t="str">
        <f>IF(OR(D452="",E452=""),"",ROUND(D452/LOOKUP(E452,SMMLV!$A$2:$A$36,SMMLV!$D$2:$D$100),3))</f>
        <v/>
      </c>
      <c r="K452" s="782"/>
      <c r="L452" s="444">
        <v>7</v>
      </c>
      <c r="M452" s="781" t="str">
        <f t="shared" si="42"/>
        <v>NO APLICA</v>
      </c>
      <c r="N452" s="781"/>
    </row>
    <row r="453" spans="2:14">
      <c r="B453" s="319"/>
      <c r="C453" s="319"/>
      <c r="D453" s="448"/>
      <c r="E453" s="320"/>
      <c r="F453" s="450" t="str">
        <f>IF(OR(D453="",E453=""),"",ROUND(D453/LOOKUP(E453,SMMLV!$A$2:$A$36,SMMLV!$D$2:$D$100),3))</f>
        <v/>
      </c>
      <c r="K453" s="782"/>
      <c r="L453" s="444">
        <v>8</v>
      </c>
      <c r="M453" s="781" t="str">
        <f t="shared" si="42"/>
        <v>NO APLICA</v>
      </c>
      <c r="N453" s="781"/>
    </row>
    <row r="454" spans="2:14">
      <c r="B454" s="319"/>
      <c r="C454" s="319"/>
      <c r="D454" s="448"/>
      <c r="E454" s="320"/>
      <c r="F454" s="450" t="str">
        <f>IF(OR(D454="",E454=""),"",ROUND(D454/LOOKUP(E454,SMMLV!$A$2:$A$36,SMMLV!$D$2:$D$100),3))</f>
        <v/>
      </c>
      <c r="K454" s="782"/>
      <c r="L454" s="444">
        <v>9</v>
      </c>
      <c r="M454" s="781" t="str">
        <f t="shared" si="42"/>
        <v>NO APLICA</v>
      </c>
      <c r="N454" s="781"/>
    </row>
    <row r="455" spans="2:14">
      <c r="B455" s="319"/>
      <c r="C455" s="319"/>
      <c r="D455" s="448"/>
      <c r="E455" s="320"/>
      <c r="F455" s="450" t="str">
        <f>IF(OR(D455="",E455=""),"",ROUND(D455/LOOKUP(E455,SMMLV!$A$2:$A$36,SMMLV!$D$2:$D$100),3))</f>
        <v/>
      </c>
      <c r="K455" s="782"/>
      <c r="L455" s="444">
        <v>10</v>
      </c>
      <c r="M455" s="781" t="str">
        <f t="shared" si="42"/>
        <v>NO APLICA</v>
      </c>
      <c r="N455" s="781"/>
    </row>
    <row r="456" spans="2:14">
      <c r="B456" s="319"/>
      <c r="C456" s="319"/>
      <c r="D456" s="448"/>
      <c r="E456" s="320"/>
      <c r="F456" s="450" t="str">
        <f>IF(OR(D456="",E456=""),"",ROUND(D456/LOOKUP(E456,SMMLV!$A$2:$A$36,SMMLV!$D$2:$D$100),3))</f>
        <v/>
      </c>
      <c r="K456" s="782">
        <v>46</v>
      </c>
      <c r="L456" s="444">
        <v>1</v>
      </c>
      <c r="M456" s="783" t="str">
        <f t="shared" ref="M456:M465" si="43">IF(SUMIFS($F$5:$F$1200,$B$5:$B$1200,$K$456,$C$5:$C$1200,$L456)=0,"NO APLICA",ROUND(SUMIFS($F$5:$F$1200,$B$5:$B$1200,$K$456,$C$5:$C$1200,$L456),3))</f>
        <v>NO APLICA</v>
      </c>
      <c r="N456" s="784"/>
    </row>
    <row r="457" spans="2:14">
      <c r="B457" s="319"/>
      <c r="C457" s="319"/>
      <c r="D457" s="448"/>
      <c r="E457" s="320"/>
      <c r="F457" s="450" t="str">
        <f>IF(OR(D457="",E457=""),"",ROUND(D457/LOOKUP(E457,SMMLV!$A$2:$A$36,SMMLV!$D$2:$D$100),3))</f>
        <v/>
      </c>
      <c r="K457" s="782"/>
      <c r="L457" s="444">
        <v>2</v>
      </c>
      <c r="M457" s="783" t="str">
        <f t="shared" si="43"/>
        <v>NO APLICA</v>
      </c>
      <c r="N457" s="784"/>
    </row>
    <row r="458" spans="2:14">
      <c r="B458" s="319"/>
      <c r="C458" s="319"/>
      <c r="D458" s="448"/>
      <c r="E458" s="320"/>
      <c r="F458" s="450" t="str">
        <f>IF(OR(D458="",E458=""),"",ROUND(D458/LOOKUP(E458,SMMLV!$A$2:$A$36,SMMLV!$D$2:$D$100),3))</f>
        <v/>
      </c>
      <c r="K458" s="782"/>
      <c r="L458" s="444">
        <v>3</v>
      </c>
      <c r="M458" s="783" t="str">
        <f t="shared" si="43"/>
        <v>NO APLICA</v>
      </c>
      <c r="N458" s="784"/>
    </row>
    <row r="459" spans="2:14">
      <c r="B459" s="319"/>
      <c r="C459" s="319"/>
      <c r="D459" s="448"/>
      <c r="E459" s="320"/>
      <c r="F459" s="450" t="str">
        <f>IF(OR(D459="",E459=""),"",ROUND(D459/LOOKUP(E459,SMMLV!$A$2:$A$36,SMMLV!$D$2:$D$100),3))</f>
        <v/>
      </c>
      <c r="K459" s="782"/>
      <c r="L459" s="444">
        <v>4</v>
      </c>
      <c r="M459" s="783" t="str">
        <f t="shared" si="43"/>
        <v>NO APLICA</v>
      </c>
      <c r="N459" s="784"/>
    </row>
    <row r="460" spans="2:14">
      <c r="B460" s="319"/>
      <c r="C460" s="319"/>
      <c r="D460" s="448"/>
      <c r="E460" s="320"/>
      <c r="F460" s="450" t="str">
        <f>IF(OR(D460="",E460=""),"",ROUND(D460/LOOKUP(E460,SMMLV!$A$2:$A$36,SMMLV!$D$2:$D$100),3))</f>
        <v/>
      </c>
      <c r="K460" s="782"/>
      <c r="L460" s="444">
        <v>5</v>
      </c>
      <c r="M460" s="783" t="str">
        <f t="shared" si="43"/>
        <v>NO APLICA</v>
      </c>
      <c r="N460" s="784"/>
    </row>
    <row r="461" spans="2:14">
      <c r="B461" s="319"/>
      <c r="C461" s="319"/>
      <c r="D461" s="448"/>
      <c r="E461" s="320"/>
      <c r="F461" s="450" t="str">
        <f>IF(OR(D461="",E461=""),"",ROUND(D461/LOOKUP(E461,SMMLV!$A$2:$A$36,SMMLV!$D$2:$D$100),3))</f>
        <v/>
      </c>
      <c r="K461" s="782"/>
      <c r="L461" s="444">
        <v>6</v>
      </c>
      <c r="M461" s="783" t="str">
        <f t="shared" si="43"/>
        <v>NO APLICA</v>
      </c>
      <c r="N461" s="784"/>
    </row>
    <row r="462" spans="2:14">
      <c r="B462" s="319"/>
      <c r="C462" s="319"/>
      <c r="D462" s="448"/>
      <c r="E462" s="320"/>
      <c r="F462" s="450" t="str">
        <f>IF(OR(D462="",E462=""),"",ROUND(D462/LOOKUP(E462,SMMLV!$A$2:$A$36,SMMLV!$D$2:$D$100),3))</f>
        <v/>
      </c>
      <c r="K462" s="782"/>
      <c r="L462" s="444">
        <v>7</v>
      </c>
      <c r="M462" s="783" t="str">
        <f t="shared" si="43"/>
        <v>NO APLICA</v>
      </c>
      <c r="N462" s="784"/>
    </row>
    <row r="463" spans="2:14">
      <c r="B463" s="319"/>
      <c r="C463" s="319"/>
      <c r="D463" s="448"/>
      <c r="E463" s="320"/>
      <c r="F463" s="450" t="str">
        <f>IF(OR(D463="",E463=""),"",ROUND(D463/LOOKUP(E463,SMMLV!$A$2:$A$36,SMMLV!$D$2:$D$100),3))</f>
        <v/>
      </c>
      <c r="K463" s="782"/>
      <c r="L463" s="444">
        <v>8</v>
      </c>
      <c r="M463" s="783" t="str">
        <f t="shared" si="43"/>
        <v>NO APLICA</v>
      </c>
      <c r="N463" s="784"/>
    </row>
    <row r="464" spans="2:14">
      <c r="B464" s="319"/>
      <c r="C464" s="319"/>
      <c r="D464" s="448"/>
      <c r="E464" s="320"/>
      <c r="F464" s="450" t="str">
        <f>IF(OR(D464="",E464=""),"",ROUND(D464/LOOKUP(E464,SMMLV!$A$2:$A$36,SMMLV!$D$2:$D$100),3))</f>
        <v/>
      </c>
      <c r="K464" s="782"/>
      <c r="L464" s="444">
        <v>9</v>
      </c>
      <c r="M464" s="783" t="str">
        <f t="shared" si="43"/>
        <v>NO APLICA</v>
      </c>
      <c r="N464" s="784"/>
    </row>
    <row r="465" spans="2:14">
      <c r="B465" s="319"/>
      <c r="C465" s="319"/>
      <c r="D465" s="448"/>
      <c r="E465" s="320"/>
      <c r="F465" s="450" t="str">
        <f>IF(OR(D465="",E465=""),"",ROUND(D465/LOOKUP(E465,SMMLV!$A$2:$A$36,SMMLV!$D$2:$D$100),3))</f>
        <v/>
      </c>
      <c r="K465" s="782"/>
      <c r="L465" s="444">
        <v>10</v>
      </c>
      <c r="M465" s="781" t="str">
        <f t="shared" si="43"/>
        <v>NO APLICA</v>
      </c>
      <c r="N465" s="781"/>
    </row>
    <row r="466" spans="2:14">
      <c r="B466" s="319"/>
      <c r="C466" s="319"/>
      <c r="D466" s="448"/>
      <c r="E466" s="320"/>
      <c r="F466" s="450" t="str">
        <f>IF(OR(D466="",E466=""),"",ROUND(D466/LOOKUP(E466,SMMLV!$A$2:$A$36,SMMLV!$D$2:$D$100),3))</f>
        <v/>
      </c>
      <c r="K466" s="782">
        <v>47</v>
      </c>
      <c r="L466" s="444">
        <v>1</v>
      </c>
      <c r="M466" s="781" t="str">
        <f t="shared" ref="M466:M475" si="44">IF(SUMIFS($F$5:$F$1200,$B$5:$B$1200,$K$466,$C$5:$C$1200,$L466)=0,"NO APLICA",ROUND(SUMIFS($F$5:$F$1200,$B$5:$B$1200,$K$466,$C$5:$C$1200,$L466),3))</f>
        <v>NO APLICA</v>
      </c>
      <c r="N466" s="781"/>
    </row>
    <row r="467" spans="2:14">
      <c r="B467" s="319"/>
      <c r="C467" s="319"/>
      <c r="D467" s="448"/>
      <c r="E467" s="320"/>
      <c r="F467" s="450" t="str">
        <f>IF(OR(D467="",E467=""),"",ROUND(D467/LOOKUP(E467,SMMLV!$A$2:$A$36,SMMLV!$D$2:$D$100),3))</f>
        <v/>
      </c>
      <c r="K467" s="782"/>
      <c r="L467" s="444">
        <v>2</v>
      </c>
      <c r="M467" s="781" t="str">
        <f t="shared" si="44"/>
        <v>NO APLICA</v>
      </c>
      <c r="N467" s="781"/>
    </row>
    <row r="468" spans="2:14">
      <c r="B468" s="319"/>
      <c r="C468" s="319"/>
      <c r="D468" s="448"/>
      <c r="E468" s="320"/>
      <c r="F468" s="450" t="str">
        <f>IF(OR(D468="",E468=""),"",ROUND(D468/LOOKUP(E468,SMMLV!$A$2:$A$36,SMMLV!$D$2:$D$100),3))</f>
        <v/>
      </c>
      <c r="K468" s="782"/>
      <c r="L468" s="444">
        <v>3</v>
      </c>
      <c r="M468" s="781" t="str">
        <f t="shared" si="44"/>
        <v>NO APLICA</v>
      </c>
      <c r="N468" s="781"/>
    </row>
    <row r="469" spans="2:14">
      <c r="B469" s="319"/>
      <c r="C469" s="319"/>
      <c r="D469" s="448"/>
      <c r="E469" s="320"/>
      <c r="F469" s="450" t="str">
        <f>IF(OR(D469="",E469=""),"",ROUND(D469/LOOKUP(E469,SMMLV!$A$2:$A$36,SMMLV!$D$2:$D$100),3))</f>
        <v/>
      </c>
      <c r="K469" s="782"/>
      <c r="L469" s="444">
        <v>4</v>
      </c>
      <c r="M469" s="781" t="str">
        <f t="shared" si="44"/>
        <v>NO APLICA</v>
      </c>
      <c r="N469" s="781"/>
    </row>
    <row r="470" spans="2:14">
      <c r="B470" s="319"/>
      <c r="C470" s="319"/>
      <c r="D470" s="448"/>
      <c r="E470" s="320"/>
      <c r="F470" s="450" t="str">
        <f>IF(OR(D470="",E470=""),"",ROUND(D470/LOOKUP(E470,SMMLV!$A$2:$A$36,SMMLV!$D$2:$D$100),3))</f>
        <v/>
      </c>
      <c r="K470" s="782"/>
      <c r="L470" s="444">
        <v>5</v>
      </c>
      <c r="M470" s="781" t="str">
        <f t="shared" si="44"/>
        <v>NO APLICA</v>
      </c>
      <c r="N470" s="781"/>
    </row>
    <row r="471" spans="2:14">
      <c r="B471" s="319"/>
      <c r="C471" s="319"/>
      <c r="D471" s="448"/>
      <c r="E471" s="320"/>
      <c r="F471" s="450" t="str">
        <f>IF(OR(D471="",E471=""),"",ROUND(D471/LOOKUP(E471,SMMLV!$A$2:$A$36,SMMLV!$D$2:$D$100),3))</f>
        <v/>
      </c>
      <c r="K471" s="782"/>
      <c r="L471" s="444">
        <v>6</v>
      </c>
      <c r="M471" s="781" t="str">
        <f t="shared" si="44"/>
        <v>NO APLICA</v>
      </c>
      <c r="N471" s="781"/>
    </row>
    <row r="472" spans="2:14">
      <c r="B472" s="319"/>
      <c r="C472" s="319"/>
      <c r="D472" s="448"/>
      <c r="E472" s="320"/>
      <c r="F472" s="450" t="str">
        <f>IF(OR(D472="",E472=""),"",ROUND(D472/LOOKUP(E472,SMMLV!$A$2:$A$36,SMMLV!$D$2:$D$100),3))</f>
        <v/>
      </c>
      <c r="K472" s="782"/>
      <c r="L472" s="444">
        <v>7</v>
      </c>
      <c r="M472" s="781" t="str">
        <f t="shared" si="44"/>
        <v>NO APLICA</v>
      </c>
      <c r="N472" s="781"/>
    </row>
    <row r="473" spans="2:14">
      <c r="B473" s="319"/>
      <c r="C473" s="319"/>
      <c r="D473" s="448"/>
      <c r="E473" s="320"/>
      <c r="F473" s="450" t="str">
        <f>IF(OR(D473="",E473=""),"",ROUND(D473/LOOKUP(E473,SMMLV!$A$2:$A$36,SMMLV!$D$2:$D$100),3))</f>
        <v/>
      </c>
      <c r="K473" s="782"/>
      <c r="L473" s="444">
        <v>8</v>
      </c>
      <c r="M473" s="781" t="str">
        <f t="shared" si="44"/>
        <v>NO APLICA</v>
      </c>
      <c r="N473" s="781"/>
    </row>
    <row r="474" spans="2:14">
      <c r="B474" s="319"/>
      <c r="C474" s="319"/>
      <c r="D474" s="448"/>
      <c r="E474" s="320"/>
      <c r="F474" s="450" t="str">
        <f>IF(OR(D474="",E474=""),"",ROUND(D474/LOOKUP(E474,SMMLV!$A$2:$A$36,SMMLV!$D$2:$D$100),3))</f>
        <v/>
      </c>
      <c r="K474" s="782"/>
      <c r="L474" s="444">
        <v>9</v>
      </c>
      <c r="M474" s="781" t="str">
        <f t="shared" si="44"/>
        <v>NO APLICA</v>
      </c>
      <c r="N474" s="781"/>
    </row>
    <row r="475" spans="2:14">
      <c r="B475" s="319"/>
      <c r="C475" s="319"/>
      <c r="D475" s="448"/>
      <c r="E475" s="320"/>
      <c r="F475" s="450" t="str">
        <f>IF(OR(D475="",E475=""),"",ROUND(D475/LOOKUP(E475,SMMLV!$A$2:$A$36,SMMLV!$D$2:$D$100),3))</f>
        <v/>
      </c>
      <c r="K475" s="782"/>
      <c r="L475" s="444">
        <v>10</v>
      </c>
      <c r="M475" s="781" t="str">
        <f t="shared" si="44"/>
        <v>NO APLICA</v>
      </c>
      <c r="N475" s="781"/>
    </row>
    <row r="476" spans="2:14">
      <c r="B476" s="319"/>
      <c r="C476" s="319"/>
      <c r="D476" s="448"/>
      <c r="E476" s="320"/>
      <c r="F476" s="450" t="str">
        <f>IF(OR(D476="",E476=""),"",ROUND(D476/LOOKUP(E476,SMMLV!$A$2:$A$36,SMMLV!$D$2:$D$100),3))</f>
        <v/>
      </c>
      <c r="K476" s="782">
        <v>48</v>
      </c>
      <c r="L476" s="444">
        <v>1</v>
      </c>
      <c r="M476" s="781" t="str">
        <f t="shared" ref="M476:M485" si="45">IF(SUMIFS($F$5:$F$1200,$B$5:$B$1200,$K$476,$C$5:$C$1200,$L476)=0,"NO APLICA",ROUND(SUMIFS($F$5:$F$1200,$B$5:$B$1200,$K$476,$C$5:$C$1200,$L476),3))</f>
        <v>NO APLICA</v>
      </c>
      <c r="N476" s="781"/>
    </row>
    <row r="477" spans="2:14">
      <c r="B477" s="319"/>
      <c r="C477" s="319"/>
      <c r="D477" s="448"/>
      <c r="E477" s="320"/>
      <c r="F477" s="450" t="str">
        <f>IF(OR(D477="",E477=""),"",ROUND(D477/LOOKUP(E477,SMMLV!$A$2:$A$36,SMMLV!$D$2:$D$100),3))</f>
        <v/>
      </c>
      <c r="K477" s="782"/>
      <c r="L477" s="444">
        <v>2</v>
      </c>
      <c r="M477" s="781" t="str">
        <f t="shared" si="45"/>
        <v>NO APLICA</v>
      </c>
      <c r="N477" s="781"/>
    </row>
    <row r="478" spans="2:14">
      <c r="B478" s="319"/>
      <c r="C478" s="319"/>
      <c r="D478" s="448"/>
      <c r="E478" s="320"/>
      <c r="F478" s="450" t="str">
        <f>IF(OR(D478="",E478=""),"",ROUND(D478/LOOKUP(E478,SMMLV!$A$2:$A$36,SMMLV!$D$2:$D$100),3))</f>
        <v/>
      </c>
      <c r="K478" s="782"/>
      <c r="L478" s="444">
        <v>3</v>
      </c>
      <c r="M478" s="781" t="str">
        <f t="shared" si="45"/>
        <v>NO APLICA</v>
      </c>
      <c r="N478" s="781"/>
    </row>
    <row r="479" spans="2:14">
      <c r="B479" s="319"/>
      <c r="C479" s="319"/>
      <c r="D479" s="448"/>
      <c r="E479" s="320"/>
      <c r="F479" s="450" t="str">
        <f>IF(OR(D479="",E479=""),"",ROUND(D479/LOOKUP(E479,SMMLV!$A$2:$A$36,SMMLV!$D$2:$D$100),3))</f>
        <v/>
      </c>
      <c r="K479" s="782"/>
      <c r="L479" s="444">
        <v>4</v>
      </c>
      <c r="M479" s="781" t="str">
        <f t="shared" si="45"/>
        <v>NO APLICA</v>
      </c>
      <c r="N479" s="781"/>
    </row>
    <row r="480" spans="2:14">
      <c r="B480" s="319"/>
      <c r="C480" s="319"/>
      <c r="D480" s="448"/>
      <c r="E480" s="320"/>
      <c r="F480" s="450" t="str">
        <f>IF(OR(D480="",E480=""),"",ROUND(D480/LOOKUP(E480,SMMLV!$A$2:$A$36,SMMLV!$D$2:$D$100),3))</f>
        <v/>
      </c>
      <c r="K480" s="782"/>
      <c r="L480" s="444">
        <v>5</v>
      </c>
      <c r="M480" s="781" t="str">
        <f t="shared" si="45"/>
        <v>NO APLICA</v>
      </c>
      <c r="N480" s="781"/>
    </row>
    <row r="481" spans="2:14">
      <c r="B481" s="319"/>
      <c r="C481" s="319"/>
      <c r="D481" s="448"/>
      <c r="E481" s="320"/>
      <c r="F481" s="450" t="str">
        <f>IF(OR(D481="",E481=""),"",ROUND(D481/LOOKUP(E481,SMMLV!$A$2:$A$36,SMMLV!$D$2:$D$100),3))</f>
        <v/>
      </c>
      <c r="K481" s="782"/>
      <c r="L481" s="444">
        <v>6</v>
      </c>
      <c r="M481" s="781" t="str">
        <f t="shared" si="45"/>
        <v>NO APLICA</v>
      </c>
      <c r="N481" s="781"/>
    </row>
    <row r="482" spans="2:14">
      <c r="B482" s="319"/>
      <c r="C482" s="319"/>
      <c r="D482" s="448"/>
      <c r="E482" s="320"/>
      <c r="F482" s="450" t="str">
        <f>IF(OR(D482="",E482=""),"",ROUND(D482/LOOKUP(E482,SMMLV!$A$2:$A$36,SMMLV!$D$2:$D$100),3))</f>
        <v/>
      </c>
      <c r="K482" s="782"/>
      <c r="L482" s="444">
        <v>7</v>
      </c>
      <c r="M482" s="781" t="str">
        <f t="shared" si="45"/>
        <v>NO APLICA</v>
      </c>
      <c r="N482" s="781"/>
    </row>
    <row r="483" spans="2:14">
      <c r="B483" s="319"/>
      <c r="C483" s="319"/>
      <c r="D483" s="448"/>
      <c r="E483" s="320"/>
      <c r="F483" s="450" t="str">
        <f>IF(OR(D483="",E483=""),"",ROUND(D483/LOOKUP(E483,SMMLV!$A$2:$A$36,SMMLV!$D$2:$D$100),3))</f>
        <v/>
      </c>
      <c r="K483" s="782"/>
      <c r="L483" s="444">
        <v>8</v>
      </c>
      <c r="M483" s="781" t="str">
        <f t="shared" si="45"/>
        <v>NO APLICA</v>
      </c>
      <c r="N483" s="781"/>
    </row>
    <row r="484" spans="2:14">
      <c r="B484" s="319"/>
      <c r="C484" s="319"/>
      <c r="D484" s="448"/>
      <c r="E484" s="320"/>
      <c r="F484" s="450" t="str">
        <f>IF(OR(D484="",E484=""),"",ROUND(D484/LOOKUP(E484,SMMLV!$A$2:$A$36,SMMLV!$D$2:$D$100),3))</f>
        <v/>
      </c>
      <c r="K484" s="782"/>
      <c r="L484" s="444">
        <v>9</v>
      </c>
      <c r="M484" s="781" t="str">
        <f t="shared" si="45"/>
        <v>NO APLICA</v>
      </c>
      <c r="N484" s="781"/>
    </row>
    <row r="485" spans="2:14">
      <c r="B485" s="319"/>
      <c r="C485" s="319"/>
      <c r="D485" s="448"/>
      <c r="E485" s="320"/>
      <c r="F485" s="450" t="str">
        <f>IF(OR(D485="",E485=""),"",ROUND(D485/LOOKUP(E485,SMMLV!$A$2:$A$36,SMMLV!$D$2:$D$100),3))</f>
        <v/>
      </c>
      <c r="K485" s="782"/>
      <c r="L485" s="444">
        <v>10</v>
      </c>
      <c r="M485" s="781" t="str">
        <f t="shared" si="45"/>
        <v>NO APLICA</v>
      </c>
      <c r="N485" s="781"/>
    </row>
    <row r="486" spans="2:14">
      <c r="B486" s="319"/>
      <c r="C486" s="319"/>
      <c r="D486" s="448"/>
      <c r="E486" s="320"/>
      <c r="F486" s="450" t="str">
        <f>IF(OR(D486="",E486=""),"",ROUND(D486/LOOKUP(E486,SMMLV!$A$2:$A$36,SMMLV!$D$2:$D$100),3))</f>
        <v/>
      </c>
      <c r="K486" s="782">
        <v>49</v>
      </c>
      <c r="L486" s="444">
        <v>1</v>
      </c>
      <c r="M486" s="781" t="str">
        <f t="shared" ref="M486:M495" si="46">IF(SUMIFS($F$5:$F$1200,$B$5:$B$1200,$K$486,$C$5:$C$1200,$L486)=0,"NO APLICA",ROUND(SUMIFS($F$5:$F$1200,$B$5:$B$1200,$K$486,$C$5:$C$1200,$L486),3))</f>
        <v>NO APLICA</v>
      </c>
      <c r="N486" s="781"/>
    </row>
    <row r="487" spans="2:14">
      <c r="B487" s="319"/>
      <c r="C487" s="319"/>
      <c r="D487" s="448"/>
      <c r="E487" s="320"/>
      <c r="F487" s="450" t="str">
        <f>IF(OR(D487="",E487=""),"",ROUND(D487/LOOKUP(E487,SMMLV!$A$2:$A$36,SMMLV!$D$2:$D$100),3))</f>
        <v/>
      </c>
      <c r="K487" s="782"/>
      <c r="L487" s="444">
        <v>2</v>
      </c>
      <c r="M487" s="781" t="str">
        <f t="shared" si="46"/>
        <v>NO APLICA</v>
      </c>
      <c r="N487" s="781"/>
    </row>
    <row r="488" spans="2:14">
      <c r="B488" s="319"/>
      <c r="C488" s="319"/>
      <c r="D488" s="448"/>
      <c r="E488" s="320"/>
      <c r="F488" s="450" t="str">
        <f>IF(OR(D488="",E488=""),"",ROUND(D488/LOOKUP(E488,SMMLV!$A$2:$A$36,SMMLV!$D$2:$D$100),3))</f>
        <v/>
      </c>
      <c r="K488" s="782"/>
      <c r="L488" s="444">
        <v>3</v>
      </c>
      <c r="M488" s="781" t="str">
        <f t="shared" si="46"/>
        <v>NO APLICA</v>
      </c>
      <c r="N488" s="781"/>
    </row>
    <row r="489" spans="2:14">
      <c r="B489" s="319"/>
      <c r="C489" s="319"/>
      <c r="D489" s="448"/>
      <c r="E489" s="320"/>
      <c r="F489" s="450" t="str">
        <f>IF(OR(D489="",E489=""),"",ROUND(D489/LOOKUP(E489,SMMLV!$A$2:$A$36,SMMLV!$D$2:$D$100),3))</f>
        <v/>
      </c>
      <c r="K489" s="782"/>
      <c r="L489" s="444">
        <v>4</v>
      </c>
      <c r="M489" s="781" t="str">
        <f t="shared" si="46"/>
        <v>NO APLICA</v>
      </c>
      <c r="N489" s="781"/>
    </row>
    <row r="490" spans="2:14">
      <c r="B490" s="319"/>
      <c r="C490" s="319"/>
      <c r="D490" s="448"/>
      <c r="E490" s="320"/>
      <c r="F490" s="450" t="str">
        <f>IF(OR(D490="",E490=""),"",ROUND(D490/LOOKUP(E490,SMMLV!$A$2:$A$36,SMMLV!$D$2:$D$100),3))</f>
        <v/>
      </c>
      <c r="K490" s="782"/>
      <c r="L490" s="444">
        <v>5</v>
      </c>
      <c r="M490" s="781" t="str">
        <f t="shared" si="46"/>
        <v>NO APLICA</v>
      </c>
      <c r="N490" s="781"/>
    </row>
    <row r="491" spans="2:14">
      <c r="B491" s="319"/>
      <c r="C491" s="319"/>
      <c r="D491" s="448"/>
      <c r="E491" s="320"/>
      <c r="F491" s="450" t="str">
        <f>IF(OR(D491="",E491=""),"",ROUND(D491/LOOKUP(E491,SMMLV!$A$2:$A$36,SMMLV!$D$2:$D$100),3))</f>
        <v/>
      </c>
      <c r="K491" s="782"/>
      <c r="L491" s="444">
        <v>6</v>
      </c>
      <c r="M491" s="781" t="str">
        <f t="shared" si="46"/>
        <v>NO APLICA</v>
      </c>
      <c r="N491" s="781"/>
    </row>
    <row r="492" spans="2:14">
      <c r="B492" s="319"/>
      <c r="C492" s="319"/>
      <c r="D492" s="448"/>
      <c r="E492" s="320"/>
      <c r="F492" s="450" t="str">
        <f>IF(OR(D492="",E492=""),"",ROUND(D492/LOOKUP(E492,SMMLV!$A$2:$A$36,SMMLV!$D$2:$D$100),3))</f>
        <v/>
      </c>
      <c r="K492" s="782"/>
      <c r="L492" s="444">
        <v>7</v>
      </c>
      <c r="M492" s="781" t="str">
        <f t="shared" si="46"/>
        <v>NO APLICA</v>
      </c>
      <c r="N492" s="781"/>
    </row>
    <row r="493" spans="2:14">
      <c r="B493" s="319"/>
      <c r="C493" s="319"/>
      <c r="D493" s="448"/>
      <c r="E493" s="320"/>
      <c r="F493" s="450" t="str">
        <f>IF(OR(D493="",E493=""),"",ROUND(D493/LOOKUP(E493,SMMLV!$A$2:$A$36,SMMLV!$D$2:$D$100),3))</f>
        <v/>
      </c>
      <c r="K493" s="782"/>
      <c r="L493" s="444">
        <v>8</v>
      </c>
      <c r="M493" s="781" t="str">
        <f t="shared" si="46"/>
        <v>NO APLICA</v>
      </c>
      <c r="N493" s="781"/>
    </row>
    <row r="494" spans="2:14">
      <c r="B494" s="319"/>
      <c r="C494" s="319"/>
      <c r="D494" s="448"/>
      <c r="E494" s="320"/>
      <c r="F494" s="450" t="str">
        <f>IF(OR(D494="",E494=""),"",ROUND(D494/LOOKUP(E494,SMMLV!$A$2:$A$36,SMMLV!$D$2:$D$100),3))</f>
        <v/>
      </c>
      <c r="K494" s="782"/>
      <c r="L494" s="444">
        <v>9</v>
      </c>
      <c r="M494" s="781" t="str">
        <f t="shared" si="46"/>
        <v>NO APLICA</v>
      </c>
      <c r="N494" s="781"/>
    </row>
    <row r="495" spans="2:14">
      <c r="B495" s="319"/>
      <c r="C495" s="319"/>
      <c r="D495" s="448"/>
      <c r="E495" s="320"/>
      <c r="F495" s="450" t="str">
        <f>IF(OR(D495="",E495=""),"",ROUND(D495/LOOKUP(E495,SMMLV!$A$2:$A$36,SMMLV!$D$2:$D$100),3))</f>
        <v/>
      </c>
      <c r="K495" s="782"/>
      <c r="L495" s="444">
        <v>10</v>
      </c>
      <c r="M495" s="781" t="str">
        <f t="shared" si="46"/>
        <v>NO APLICA</v>
      </c>
      <c r="N495" s="781"/>
    </row>
    <row r="496" spans="2:14">
      <c r="B496" s="319"/>
      <c r="C496" s="319"/>
      <c r="D496" s="448"/>
      <c r="E496" s="320"/>
      <c r="F496" s="450" t="str">
        <f>IF(OR(D496="",E496=""),"",ROUND(D496/LOOKUP(E496,SMMLV!$A$2:$A$36,SMMLV!$D$2:$D$100),3))</f>
        <v/>
      </c>
      <c r="K496" s="782">
        <v>50</v>
      </c>
      <c r="L496" s="444">
        <v>1</v>
      </c>
      <c r="M496" s="781" t="str">
        <f t="shared" ref="M496:M505" si="47">IF(SUMIFS($F$5:$F$1200,$B$5:$B$1200,$K$496,$C$5:$C$1200,$L496)=0,"NO APLICA",ROUND(SUMIFS($F$5:$F$1200,$B$5:$B$1200,$K$496,$C$5:$C$1200,$L496),3))</f>
        <v>NO APLICA</v>
      </c>
      <c r="N496" s="781"/>
    </row>
    <row r="497" spans="2:14">
      <c r="B497" s="319"/>
      <c r="C497" s="319"/>
      <c r="D497" s="448"/>
      <c r="E497" s="320"/>
      <c r="F497" s="450" t="str">
        <f>IF(OR(D497="",E497=""),"",ROUND(D497/LOOKUP(E497,SMMLV!$A$2:$A$36,SMMLV!$D$2:$D$100),3))</f>
        <v/>
      </c>
      <c r="K497" s="782"/>
      <c r="L497" s="444">
        <v>2</v>
      </c>
      <c r="M497" s="781" t="str">
        <f t="shared" si="47"/>
        <v>NO APLICA</v>
      </c>
      <c r="N497" s="781"/>
    </row>
    <row r="498" spans="2:14">
      <c r="B498" s="319"/>
      <c r="C498" s="319"/>
      <c r="D498" s="448"/>
      <c r="E498" s="320"/>
      <c r="F498" s="450" t="str">
        <f>IF(OR(D498="",E498=""),"",ROUND(D498/LOOKUP(E498,SMMLV!$A$2:$A$36,SMMLV!$D$2:$D$100),3))</f>
        <v/>
      </c>
      <c r="K498" s="782"/>
      <c r="L498" s="444">
        <v>3</v>
      </c>
      <c r="M498" s="781" t="str">
        <f t="shared" si="47"/>
        <v>NO APLICA</v>
      </c>
      <c r="N498" s="781"/>
    </row>
    <row r="499" spans="2:14">
      <c r="B499" s="319"/>
      <c r="C499" s="319"/>
      <c r="D499" s="448"/>
      <c r="E499" s="320"/>
      <c r="F499" s="450" t="str">
        <f>IF(OR(D499="",E499=""),"",ROUND(D499/LOOKUP(E499,SMMLV!$A$2:$A$36,SMMLV!$D$2:$D$100),3))</f>
        <v/>
      </c>
      <c r="K499" s="782"/>
      <c r="L499" s="444">
        <v>4</v>
      </c>
      <c r="M499" s="781" t="str">
        <f t="shared" si="47"/>
        <v>NO APLICA</v>
      </c>
      <c r="N499" s="781"/>
    </row>
    <row r="500" spans="2:14">
      <c r="B500" s="319"/>
      <c r="C500" s="319"/>
      <c r="D500" s="448"/>
      <c r="E500" s="320"/>
      <c r="F500" s="450" t="str">
        <f>IF(OR(D500="",E500=""),"",ROUND(D500/LOOKUP(E500,SMMLV!$A$2:$A$36,SMMLV!$D$2:$D$100),3))</f>
        <v/>
      </c>
      <c r="K500" s="782"/>
      <c r="L500" s="444">
        <v>5</v>
      </c>
      <c r="M500" s="781" t="str">
        <f t="shared" si="47"/>
        <v>NO APLICA</v>
      </c>
      <c r="N500" s="781"/>
    </row>
    <row r="501" spans="2:14">
      <c r="B501" s="319"/>
      <c r="C501" s="319"/>
      <c r="D501" s="448"/>
      <c r="E501" s="320"/>
      <c r="F501" s="450" t="str">
        <f>IF(OR(D501="",E501=""),"",ROUND(D501/LOOKUP(E501,SMMLV!$A$2:$A$36,SMMLV!$D$2:$D$100),3))</f>
        <v/>
      </c>
      <c r="K501" s="782"/>
      <c r="L501" s="444">
        <v>6</v>
      </c>
      <c r="M501" s="781" t="str">
        <f t="shared" si="47"/>
        <v>NO APLICA</v>
      </c>
      <c r="N501" s="781"/>
    </row>
    <row r="502" spans="2:14">
      <c r="B502" s="319"/>
      <c r="C502" s="319"/>
      <c r="D502" s="448"/>
      <c r="E502" s="320"/>
      <c r="F502" s="450" t="str">
        <f>IF(OR(D502="",E502=""),"",ROUND(D502/LOOKUP(E502,SMMLV!$A$2:$A$36,SMMLV!$D$2:$D$100),3))</f>
        <v/>
      </c>
      <c r="K502" s="782"/>
      <c r="L502" s="444">
        <v>7</v>
      </c>
      <c r="M502" s="781" t="str">
        <f t="shared" si="47"/>
        <v>NO APLICA</v>
      </c>
      <c r="N502" s="781"/>
    </row>
    <row r="503" spans="2:14">
      <c r="B503" s="319"/>
      <c r="C503" s="319"/>
      <c r="D503" s="448"/>
      <c r="E503" s="320"/>
      <c r="F503" s="450" t="str">
        <f>IF(OR(D503="",E503=""),"",ROUND(D503/LOOKUP(E503,SMMLV!$A$2:$A$36,SMMLV!$D$2:$D$100),3))</f>
        <v/>
      </c>
      <c r="K503" s="782"/>
      <c r="L503" s="444">
        <v>8</v>
      </c>
      <c r="M503" s="781" t="str">
        <f t="shared" si="47"/>
        <v>NO APLICA</v>
      </c>
      <c r="N503" s="781"/>
    </row>
    <row r="504" spans="2:14">
      <c r="B504" s="319"/>
      <c r="C504" s="319"/>
      <c r="D504" s="448"/>
      <c r="E504" s="320"/>
      <c r="F504" s="450" t="str">
        <f>IF(OR(D504="",E504=""),"",ROUND(D504/LOOKUP(E504,SMMLV!$A$2:$A$36,SMMLV!$D$2:$D$100),3))</f>
        <v/>
      </c>
      <c r="K504" s="782"/>
      <c r="L504" s="444">
        <v>9</v>
      </c>
      <c r="M504" s="781" t="str">
        <f t="shared" si="47"/>
        <v>NO APLICA</v>
      </c>
      <c r="N504" s="781"/>
    </row>
    <row r="505" spans="2:14">
      <c r="B505" s="319"/>
      <c r="C505" s="319"/>
      <c r="D505" s="448"/>
      <c r="E505" s="320"/>
      <c r="F505" s="450" t="str">
        <f>IF(OR(D505="",E505=""),"",ROUND(D505/LOOKUP(E505,SMMLV!$A$2:$A$36,SMMLV!$D$2:$D$100),3))</f>
        <v/>
      </c>
      <c r="K505" s="782"/>
      <c r="L505" s="444">
        <v>10</v>
      </c>
      <c r="M505" s="781" t="str">
        <f t="shared" si="47"/>
        <v>NO APLICA</v>
      </c>
      <c r="N505" s="781"/>
    </row>
    <row r="506" spans="2:14">
      <c r="B506" s="319"/>
      <c r="C506" s="319"/>
      <c r="D506" s="448"/>
      <c r="E506" s="320"/>
      <c r="F506" s="450" t="str">
        <f>IF(OR(D506="",E506=""),"",ROUND(D506/LOOKUP(E506,SMMLV!$A$2:$A$36,SMMLV!$D$2:$D$100),3))</f>
        <v/>
      </c>
      <c r="K506" s="782">
        <v>51</v>
      </c>
      <c r="L506" s="444">
        <v>1</v>
      </c>
      <c r="M506" s="781" t="str">
        <f t="shared" ref="M506:M515" si="48">IF(SUMIFS($F$5:$F$1200,$B$5:$B$1200,$K$506,$C$5:$C$1200,$L506)=0,"NO APLICA",ROUND(SUMIFS($F$5:$F$1200,$B$5:$B$1200,$K$506,$C$5:$C$1200,$L506),3))</f>
        <v>NO APLICA</v>
      </c>
      <c r="N506" s="781"/>
    </row>
    <row r="507" spans="2:14">
      <c r="B507" s="319"/>
      <c r="C507" s="319"/>
      <c r="D507" s="448"/>
      <c r="E507" s="320"/>
      <c r="F507" s="450" t="str">
        <f>IF(OR(D507="",E507=""),"",ROUND(D507/LOOKUP(E507,SMMLV!$A$2:$A$36,SMMLV!$D$2:$D$100),3))</f>
        <v/>
      </c>
      <c r="K507" s="782"/>
      <c r="L507" s="444">
        <v>2</v>
      </c>
      <c r="M507" s="781" t="str">
        <f t="shared" si="48"/>
        <v>NO APLICA</v>
      </c>
      <c r="N507" s="781"/>
    </row>
    <row r="508" spans="2:14">
      <c r="B508" s="319"/>
      <c r="C508" s="319"/>
      <c r="D508" s="448"/>
      <c r="E508" s="320"/>
      <c r="F508" s="450" t="str">
        <f>IF(OR(D508="",E508=""),"",ROUND(D508/LOOKUP(E508,SMMLV!$A$2:$A$36,SMMLV!$D$2:$D$100),3))</f>
        <v/>
      </c>
      <c r="K508" s="782"/>
      <c r="L508" s="444">
        <v>3</v>
      </c>
      <c r="M508" s="781" t="str">
        <f t="shared" si="48"/>
        <v>NO APLICA</v>
      </c>
      <c r="N508" s="781"/>
    </row>
    <row r="509" spans="2:14">
      <c r="B509" s="319"/>
      <c r="C509" s="319"/>
      <c r="D509" s="448"/>
      <c r="E509" s="320"/>
      <c r="F509" s="450" t="str">
        <f>IF(OR(D509="",E509=""),"",ROUND(D509/LOOKUP(E509,SMMLV!$A$2:$A$36,SMMLV!$D$2:$D$100),3))</f>
        <v/>
      </c>
      <c r="K509" s="782"/>
      <c r="L509" s="444">
        <v>4</v>
      </c>
      <c r="M509" s="781" t="str">
        <f t="shared" si="48"/>
        <v>NO APLICA</v>
      </c>
      <c r="N509" s="781"/>
    </row>
    <row r="510" spans="2:14">
      <c r="B510" s="319"/>
      <c r="C510" s="319"/>
      <c r="D510" s="448"/>
      <c r="E510" s="320"/>
      <c r="F510" s="450" t="str">
        <f>IF(OR(D510="",E510=""),"",ROUND(D510/LOOKUP(E510,SMMLV!$A$2:$A$36,SMMLV!$D$2:$D$100),3))</f>
        <v/>
      </c>
      <c r="K510" s="782"/>
      <c r="L510" s="444">
        <v>5</v>
      </c>
      <c r="M510" s="781" t="str">
        <f t="shared" si="48"/>
        <v>NO APLICA</v>
      </c>
      <c r="N510" s="781"/>
    </row>
    <row r="511" spans="2:14">
      <c r="B511" s="319"/>
      <c r="C511" s="319"/>
      <c r="D511" s="448"/>
      <c r="E511" s="320"/>
      <c r="F511" s="450" t="str">
        <f>IF(OR(D511="",E511=""),"",ROUND(D511/LOOKUP(E511,SMMLV!$A$2:$A$36,SMMLV!$D$2:$D$100),3))</f>
        <v/>
      </c>
      <c r="K511" s="782"/>
      <c r="L511" s="444">
        <v>6</v>
      </c>
      <c r="M511" s="781" t="str">
        <f t="shared" si="48"/>
        <v>NO APLICA</v>
      </c>
      <c r="N511" s="781"/>
    </row>
    <row r="512" spans="2:14">
      <c r="B512" s="319"/>
      <c r="C512" s="319"/>
      <c r="D512" s="448"/>
      <c r="E512" s="320"/>
      <c r="F512" s="450" t="str">
        <f>IF(OR(D512="",E512=""),"",ROUND(D512/LOOKUP(E512,SMMLV!$A$2:$A$36,SMMLV!$D$2:$D$100),3))</f>
        <v/>
      </c>
      <c r="K512" s="782"/>
      <c r="L512" s="444">
        <v>7</v>
      </c>
      <c r="M512" s="781" t="str">
        <f t="shared" si="48"/>
        <v>NO APLICA</v>
      </c>
      <c r="N512" s="781"/>
    </row>
    <row r="513" spans="2:14">
      <c r="B513" s="319"/>
      <c r="C513" s="319"/>
      <c r="D513" s="448"/>
      <c r="E513" s="320"/>
      <c r="F513" s="450" t="str">
        <f>IF(OR(D513="",E513=""),"",ROUND(D513/LOOKUP(E513,SMMLV!$A$2:$A$36,SMMLV!$D$2:$D$100),3))</f>
        <v/>
      </c>
      <c r="K513" s="782"/>
      <c r="L513" s="444">
        <v>8</v>
      </c>
      <c r="M513" s="781" t="str">
        <f t="shared" si="48"/>
        <v>NO APLICA</v>
      </c>
      <c r="N513" s="781"/>
    </row>
    <row r="514" spans="2:14">
      <c r="B514" s="319"/>
      <c r="C514" s="319"/>
      <c r="D514" s="448"/>
      <c r="E514" s="320"/>
      <c r="F514" s="450" t="str">
        <f>IF(OR(D514="",E514=""),"",ROUND(D514/LOOKUP(E514,SMMLV!$A$2:$A$36,SMMLV!$D$2:$D$100),3))</f>
        <v/>
      </c>
      <c r="K514" s="782"/>
      <c r="L514" s="444">
        <v>9</v>
      </c>
      <c r="M514" s="781" t="str">
        <f t="shared" si="48"/>
        <v>NO APLICA</v>
      </c>
      <c r="N514" s="781"/>
    </row>
    <row r="515" spans="2:14">
      <c r="B515" s="319"/>
      <c r="C515" s="319"/>
      <c r="D515" s="448"/>
      <c r="E515" s="320"/>
      <c r="F515" s="450" t="str">
        <f>IF(OR(D515="",E515=""),"",ROUND(D515/LOOKUP(E515,SMMLV!$A$2:$A$36,SMMLV!$D$2:$D$100),3))</f>
        <v/>
      </c>
      <c r="K515" s="782"/>
      <c r="L515" s="444">
        <v>10</v>
      </c>
      <c r="M515" s="781" t="str">
        <f t="shared" si="48"/>
        <v>NO APLICA</v>
      </c>
      <c r="N515" s="781"/>
    </row>
    <row r="516" spans="2:14">
      <c r="B516" s="319"/>
      <c r="C516" s="319"/>
      <c r="D516" s="448"/>
      <c r="E516" s="320"/>
      <c r="F516" s="450" t="str">
        <f>IF(OR(D516="",E516=""),"",ROUND(D516/LOOKUP(E516,SMMLV!$A$2:$A$36,SMMLV!$D$2:$D$100),3))</f>
        <v/>
      </c>
      <c r="K516" s="782">
        <v>52</v>
      </c>
      <c r="L516" s="444">
        <v>1</v>
      </c>
      <c r="M516" s="781" t="str">
        <f t="shared" ref="M516:M525" si="49">IF(SUMIFS($F$5:$F$1200,$B$5:$B$1200,$K$516,$C$5:$C$1200,$L516)=0,"NO APLICA",ROUND(SUMIFS($F$5:$F$1200,$B$5:$B$1200,$K$516,$C$5:$C$1200,$L516),3))</f>
        <v>NO APLICA</v>
      </c>
      <c r="N516" s="781"/>
    </row>
    <row r="517" spans="2:14">
      <c r="B517" s="319"/>
      <c r="C517" s="319"/>
      <c r="D517" s="448"/>
      <c r="E517" s="320"/>
      <c r="F517" s="450" t="str">
        <f>IF(OR(D517="",E517=""),"",ROUND(D517/LOOKUP(E517,SMMLV!$A$2:$A$36,SMMLV!$D$2:$D$100),3))</f>
        <v/>
      </c>
      <c r="K517" s="782"/>
      <c r="L517" s="444">
        <v>2</v>
      </c>
      <c r="M517" s="781" t="str">
        <f t="shared" si="49"/>
        <v>NO APLICA</v>
      </c>
      <c r="N517" s="781"/>
    </row>
    <row r="518" spans="2:14">
      <c r="B518" s="319"/>
      <c r="C518" s="319"/>
      <c r="D518" s="448"/>
      <c r="E518" s="320"/>
      <c r="F518" s="450" t="str">
        <f>IF(OR(D518="",E518=""),"",ROUND(D518/LOOKUP(E518,SMMLV!$A$2:$A$36,SMMLV!$D$2:$D$100),3))</f>
        <v/>
      </c>
      <c r="K518" s="782"/>
      <c r="L518" s="444">
        <v>3</v>
      </c>
      <c r="M518" s="781" t="str">
        <f t="shared" si="49"/>
        <v>NO APLICA</v>
      </c>
      <c r="N518" s="781"/>
    </row>
    <row r="519" spans="2:14">
      <c r="B519" s="319"/>
      <c r="C519" s="319"/>
      <c r="D519" s="448"/>
      <c r="E519" s="320"/>
      <c r="F519" s="450" t="str">
        <f>IF(OR(D519="",E519=""),"",ROUND(D519/LOOKUP(E519,SMMLV!$A$2:$A$36,SMMLV!$D$2:$D$100),3))</f>
        <v/>
      </c>
      <c r="K519" s="782"/>
      <c r="L519" s="444">
        <v>4</v>
      </c>
      <c r="M519" s="781" t="str">
        <f t="shared" si="49"/>
        <v>NO APLICA</v>
      </c>
      <c r="N519" s="781"/>
    </row>
    <row r="520" spans="2:14">
      <c r="B520" s="319"/>
      <c r="C520" s="319"/>
      <c r="D520" s="448"/>
      <c r="E520" s="320"/>
      <c r="F520" s="450" t="str">
        <f>IF(OR(D520="",E520=""),"",ROUND(D520/LOOKUP(E520,SMMLV!$A$2:$A$36,SMMLV!$D$2:$D$100),3))</f>
        <v/>
      </c>
      <c r="K520" s="782"/>
      <c r="L520" s="444">
        <v>5</v>
      </c>
      <c r="M520" s="781" t="str">
        <f t="shared" si="49"/>
        <v>NO APLICA</v>
      </c>
      <c r="N520" s="781"/>
    </row>
    <row r="521" spans="2:14">
      <c r="B521" s="319"/>
      <c r="C521" s="319"/>
      <c r="D521" s="448"/>
      <c r="E521" s="320"/>
      <c r="F521" s="450" t="str">
        <f>IF(OR(D521="",E521=""),"",ROUND(D521/LOOKUP(E521,SMMLV!$A$2:$A$36,SMMLV!$D$2:$D$100),3))</f>
        <v/>
      </c>
      <c r="K521" s="782"/>
      <c r="L521" s="444">
        <v>6</v>
      </c>
      <c r="M521" s="781" t="str">
        <f t="shared" si="49"/>
        <v>NO APLICA</v>
      </c>
      <c r="N521" s="781"/>
    </row>
    <row r="522" spans="2:14">
      <c r="B522" s="319"/>
      <c r="C522" s="319"/>
      <c r="D522" s="448"/>
      <c r="E522" s="320"/>
      <c r="F522" s="450" t="str">
        <f>IF(OR(D522="",E522=""),"",ROUND(D522/LOOKUP(E522,SMMLV!$A$2:$A$36,SMMLV!$D$2:$D$100),3))</f>
        <v/>
      </c>
      <c r="K522" s="782"/>
      <c r="L522" s="444">
        <v>7</v>
      </c>
      <c r="M522" s="781" t="str">
        <f t="shared" si="49"/>
        <v>NO APLICA</v>
      </c>
      <c r="N522" s="781"/>
    </row>
    <row r="523" spans="2:14">
      <c r="B523" s="319"/>
      <c r="C523" s="319"/>
      <c r="D523" s="448"/>
      <c r="E523" s="320"/>
      <c r="F523" s="450" t="str">
        <f>IF(OR(D523="",E523=""),"",ROUND(D523/LOOKUP(E523,SMMLV!$A$2:$A$36,SMMLV!$D$2:$D$100),3))</f>
        <v/>
      </c>
      <c r="K523" s="782"/>
      <c r="L523" s="444">
        <v>8</v>
      </c>
      <c r="M523" s="781" t="str">
        <f t="shared" si="49"/>
        <v>NO APLICA</v>
      </c>
      <c r="N523" s="781"/>
    </row>
    <row r="524" spans="2:14">
      <c r="B524" s="319"/>
      <c r="C524" s="319"/>
      <c r="D524" s="448"/>
      <c r="E524" s="320"/>
      <c r="F524" s="450" t="str">
        <f>IF(OR(D524="",E524=""),"",ROUND(D524/LOOKUP(E524,SMMLV!$A$2:$A$36,SMMLV!$D$2:$D$100),3))</f>
        <v/>
      </c>
      <c r="K524" s="782"/>
      <c r="L524" s="444">
        <v>9</v>
      </c>
      <c r="M524" s="781" t="str">
        <f t="shared" si="49"/>
        <v>NO APLICA</v>
      </c>
      <c r="N524" s="781"/>
    </row>
    <row r="525" spans="2:14">
      <c r="B525" s="319"/>
      <c r="C525" s="319"/>
      <c r="D525" s="448"/>
      <c r="E525" s="320"/>
      <c r="F525" s="450" t="str">
        <f>IF(OR(D525="",E525=""),"",ROUND(D525/LOOKUP(E525,SMMLV!$A$2:$A$36,SMMLV!$D$2:$D$100),3))</f>
        <v/>
      </c>
      <c r="K525" s="782"/>
      <c r="L525" s="444">
        <v>10</v>
      </c>
      <c r="M525" s="781" t="str">
        <f t="shared" si="49"/>
        <v>NO APLICA</v>
      </c>
      <c r="N525" s="781"/>
    </row>
    <row r="526" spans="2:14">
      <c r="B526" s="319"/>
      <c r="C526" s="319"/>
      <c r="D526" s="448"/>
      <c r="E526" s="320"/>
      <c r="F526" s="450" t="str">
        <f>IF(OR(D526="",E526=""),"",ROUND(D526/LOOKUP(E526,SMMLV!$A$2:$A$36,SMMLV!$D$2:$D$100),3))</f>
        <v/>
      </c>
      <c r="K526" s="782">
        <v>53</v>
      </c>
      <c r="L526" s="444">
        <v>1</v>
      </c>
      <c r="M526" s="781" t="str">
        <f t="shared" ref="M526:M535" si="50">IF(SUMIFS($F$5:$F$1200,$B$5:$B$1200,$K$526,$C$5:$C$1200,$L526)=0,"NO APLICA",ROUND(SUMIFS($F$5:$F$1200,$B$5:$B$1200,$K$526,$C$5:$C$1200,$L526),3))</f>
        <v>NO APLICA</v>
      </c>
      <c r="N526" s="781"/>
    </row>
    <row r="527" spans="2:14">
      <c r="B527" s="319"/>
      <c r="C527" s="319"/>
      <c r="D527" s="448"/>
      <c r="E527" s="320"/>
      <c r="F527" s="450" t="str">
        <f>IF(OR(D527="",E527=""),"",ROUND(D527/LOOKUP(E527,SMMLV!$A$2:$A$36,SMMLV!$D$2:$D$100),3))</f>
        <v/>
      </c>
      <c r="K527" s="782"/>
      <c r="L527" s="444">
        <v>2</v>
      </c>
      <c r="M527" s="781" t="str">
        <f t="shared" si="50"/>
        <v>NO APLICA</v>
      </c>
      <c r="N527" s="781"/>
    </row>
    <row r="528" spans="2:14">
      <c r="B528" s="319"/>
      <c r="C528" s="319"/>
      <c r="D528" s="448"/>
      <c r="E528" s="320"/>
      <c r="F528" s="450" t="str">
        <f>IF(OR(D528="",E528=""),"",ROUND(D528/LOOKUP(E528,SMMLV!$A$2:$A$36,SMMLV!$D$2:$D$100),3))</f>
        <v/>
      </c>
      <c r="K528" s="782"/>
      <c r="L528" s="444">
        <v>3</v>
      </c>
      <c r="M528" s="781" t="str">
        <f t="shared" si="50"/>
        <v>NO APLICA</v>
      </c>
      <c r="N528" s="781"/>
    </row>
    <row r="529" spans="2:14">
      <c r="B529" s="319"/>
      <c r="C529" s="319"/>
      <c r="D529" s="448"/>
      <c r="E529" s="320"/>
      <c r="F529" s="450" t="str">
        <f>IF(OR(D529="",E529=""),"",ROUND(D529/LOOKUP(E529,SMMLV!$A$2:$A$36,SMMLV!$D$2:$D$100),3))</f>
        <v/>
      </c>
      <c r="K529" s="782"/>
      <c r="L529" s="444">
        <v>4</v>
      </c>
      <c r="M529" s="781" t="str">
        <f t="shared" si="50"/>
        <v>NO APLICA</v>
      </c>
      <c r="N529" s="781"/>
    </row>
    <row r="530" spans="2:14">
      <c r="B530" s="319"/>
      <c r="C530" s="319"/>
      <c r="D530" s="448"/>
      <c r="E530" s="320"/>
      <c r="F530" s="450" t="str">
        <f>IF(OR(D530="",E530=""),"",ROUND(D530/LOOKUP(E530,SMMLV!$A$2:$A$36,SMMLV!$D$2:$D$100),3))</f>
        <v/>
      </c>
      <c r="K530" s="782"/>
      <c r="L530" s="444">
        <v>5</v>
      </c>
      <c r="M530" s="781" t="str">
        <f t="shared" si="50"/>
        <v>NO APLICA</v>
      </c>
      <c r="N530" s="781"/>
    </row>
    <row r="531" spans="2:14">
      <c r="B531" s="319"/>
      <c r="C531" s="319"/>
      <c r="D531" s="448"/>
      <c r="E531" s="320"/>
      <c r="F531" s="450" t="str">
        <f>IF(OR(D531="",E531=""),"",ROUND(D531/LOOKUP(E531,SMMLV!$A$2:$A$36,SMMLV!$D$2:$D$100),3))</f>
        <v/>
      </c>
      <c r="K531" s="782"/>
      <c r="L531" s="444">
        <v>6</v>
      </c>
      <c r="M531" s="781" t="str">
        <f t="shared" si="50"/>
        <v>NO APLICA</v>
      </c>
      <c r="N531" s="781"/>
    </row>
    <row r="532" spans="2:14">
      <c r="B532" s="319"/>
      <c r="C532" s="319"/>
      <c r="D532" s="448"/>
      <c r="E532" s="320"/>
      <c r="F532" s="450" t="str">
        <f>IF(OR(D532="",E532=""),"",ROUND(D532/LOOKUP(E532,SMMLV!$A$2:$A$36,SMMLV!$D$2:$D$100),3))</f>
        <v/>
      </c>
      <c r="K532" s="782"/>
      <c r="L532" s="444">
        <v>7</v>
      </c>
      <c r="M532" s="781" t="str">
        <f t="shared" si="50"/>
        <v>NO APLICA</v>
      </c>
      <c r="N532" s="781"/>
    </row>
    <row r="533" spans="2:14">
      <c r="B533" s="319"/>
      <c r="C533" s="319"/>
      <c r="D533" s="448"/>
      <c r="E533" s="320"/>
      <c r="F533" s="450" t="str">
        <f>IF(OR(D533="",E533=""),"",ROUND(D533/LOOKUP(E533,SMMLV!$A$2:$A$36,SMMLV!$D$2:$D$100),3))</f>
        <v/>
      </c>
      <c r="K533" s="782"/>
      <c r="L533" s="444">
        <v>8</v>
      </c>
      <c r="M533" s="781" t="str">
        <f t="shared" si="50"/>
        <v>NO APLICA</v>
      </c>
      <c r="N533" s="781"/>
    </row>
    <row r="534" spans="2:14">
      <c r="B534" s="319"/>
      <c r="C534" s="319"/>
      <c r="D534" s="448"/>
      <c r="E534" s="320"/>
      <c r="F534" s="450" t="str">
        <f>IF(OR(D534="",E534=""),"",ROUND(D534/LOOKUP(E534,SMMLV!$A$2:$A$36,SMMLV!$D$2:$D$100),3))</f>
        <v/>
      </c>
      <c r="K534" s="782"/>
      <c r="L534" s="444">
        <v>9</v>
      </c>
      <c r="M534" s="781" t="str">
        <f t="shared" si="50"/>
        <v>NO APLICA</v>
      </c>
      <c r="N534" s="781"/>
    </row>
    <row r="535" spans="2:14">
      <c r="B535" s="319"/>
      <c r="C535" s="319"/>
      <c r="D535" s="448"/>
      <c r="E535" s="320"/>
      <c r="F535" s="450" t="str">
        <f>IF(OR(D535="",E535=""),"",ROUND(D535/LOOKUP(E535,SMMLV!$A$2:$A$36,SMMLV!$D$2:$D$100),3))</f>
        <v/>
      </c>
      <c r="K535" s="782"/>
      <c r="L535" s="444">
        <v>10</v>
      </c>
      <c r="M535" s="781" t="str">
        <f t="shared" si="50"/>
        <v>NO APLICA</v>
      </c>
      <c r="N535" s="781"/>
    </row>
    <row r="536" spans="2:14">
      <c r="B536" s="319"/>
      <c r="C536" s="319"/>
      <c r="D536" s="448"/>
      <c r="E536" s="320"/>
      <c r="F536" s="450" t="str">
        <f>IF(OR(D536="",E536=""),"",ROUND(D536/LOOKUP(E536,SMMLV!$A$2:$A$36,SMMLV!$D$2:$D$100),3))</f>
        <v/>
      </c>
      <c r="K536" s="782">
        <v>54</v>
      </c>
      <c r="L536" s="444">
        <v>1</v>
      </c>
      <c r="M536" s="781" t="str">
        <f t="shared" ref="M536:M545" si="51">IF(SUMIFS($F$5:$F$1200,$B$5:$B$1200,$K$536,$C$5:$C$1200,$L536)=0,"NO APLICA",ROUND(SUMIFS($F$5:$F$1200,$B$5:$B$1200,$K$536,$C$5:$C$1200,$L536),3))</f>
        <v>NO APLICA</v>
      </c>
      <c r="N536" s="781"/>
    </row>
    <row r="537" spans="2:14">
      <c r="B537" s="319"/>
      <c r="C537" s="319"/>
      <c r="D537" s="448"/>
      <c r="E537" s="320"/>
      <c r="F537" s="450" t="str">
        <f>IF(OR(D537="",E537=""),"",ROUND(D537/LOOKUP(E537,SMMLV!$A$2:$A$36,SMMLV!$D$2:$D$100),3))</f>
        <v/>
      </c>
      <c r="K537" s="782"/>
      <c r="L537" s="444">
        <v>2</v>
      </c>
      <c r="M537" s="781" t="str">
        <f t="shared" si="51"/>
        <v>NO APLICA</v>
      </c>
      <c r="N537" s="781"/>
    </row>
    <row r="538" spans="2:14">
      <c r="B538" s="319"/>
      <c r="C538" s="319"/>
      <c r="D538" s="448"/>
      <c r="E538" s="320"/>
      <c r="F538" s="450" t="str">
        <f>IF(OR(D538="",E538=""),"",ROUND(D538/LOOKUP(E538,SMMLV!$A$2:$A$36,SMMLV!$D$2:$D$100),3))</f>
        <v/>
      </c>
      <c r="K538" s="782"/>
      <c r="L538" s="444">
        <v>3</v>
      </c>
      <c r="M538" s="781" t="str">
        <f t="shared" si="51"/>
        <v>NO APLICA</v>
      </c>
      <c r="N538" s="781"/>
    </row>
    <row r="539" spans="2:14">
      <c r="B539" s="319"/>
      <c r="C539" s="319"/>
      <c r="D539" s="448"/>
      <c r="E539" s="320"/>
      <c r="F539" s="450" t="str">
        <f>IF(OR(D539="",E539=""),"",ROUND(D539/LOOKUP(E539,SMMLV!$A$2:$A$36,SMMLV!$D$2:$D$100),3))</f>
        <v/>
      </c>
      <c r="K539" s="782"/>
      <c r="L539" s="444">
        <v>4</v>
      </c>
      <c r="M539" s="781" t="str">
        <f t="shared" si="51"/>
        <v>NO APLICA</v>
      </c>
      <c r="N539" s="781"/>
    </row>
    <row r="540" spans="2:14">
      <c r="B540" s="319"/>
      <c r="C540" s="319"/>
      <c r="D540" s="448"/>
      <c r="E540" s="320"/>
      <c r="F540" s="450" t="str">
        <f>IF(OR(D540="",E540=""),"",ROUND(D540/LOOKUP(E540,SMMLV!$A$2:$A$36,SMMLV!$D$2:$D$100),3))</f>
        <v/>
      </c>
      <c r="K540" s="782"/>
      <c r="L540" s="444">
        <v>5</v>
      </c>
      <c r="M540" s="781" t="str">
        <f t="shared" si="51"/>
        <v>NO APLICA</v>
      </c>
      <c r="N540" s="781"/>
    </row>
    <row r="541" spans="2:14">
      <c r="B541" s="319"/>
      <c r="C541" s="319"/>
      <c r="D541" s="448"/>
      <c r="E541" s="320"/>
      <c r="F541" s="450" t="str">
        <f>IF(OR(D541="",E541=""),"",ROUND(D541/LOOKUP(E541,SMMLV!$A$2:$A$36,SMMLV!$D$2:$D$100),3))</f>
        <v/>
      </c>
      <c r="K541" s="782"/>
      <c r="L541" s="444">
        <v>6</v>
      </c>
      <c r="M541" s="781" t="str">
        <f t="shared" si="51"/>
        <v>NO APLICA</v>
      </c>
      <c r="N541" s="781"/>
    </row>
    <row r="542" spans="2:14">
      <c r="B542" s="319"/>
      <c r="C542" s="319"/>
      <c r="D542" s="448"/>
      <c r="E542" s="320"/>
      <c r="F542" s="450" t="str">
        <f>IF(OR(D542="",E542=""),"",ROUND(D542/LOOKUP(E542,SMMLV!$A$2:$A$36,SMMLV!$D$2:$D$100),3))</f>
        <v/>
      </c>
      <c r="K542" s="782"/>
      <c r="L542" s="444">
        <v>7</v>
      </c>
      <c r="M542" s="781" t="str">
        <f t="shared" si="51"/>
        <v>NO APLICA</v>
      </c>
      <c r="N542" s="781"/>
    </row>
    <row r="543" spans="2:14">
      <c r="B543" s="319"/>
      <c r="C543" s="319"/>
      <c r="D543" s="448"/>
      <c r="E543" s="320"/>
      <c r="F543" s="450" t="str">
        <f>IF(OR(D543="",E543=""),"",ROUND(D543/LOOKUP(E543,SMMLV!$A$2:$A$36,SMMLV!$D$2:$D$100),3))</f>
        <v/>
      </c>
      <c r="K543" s="782"/>
      <c r="L543" s="444">
        <v>8</v>
      </c>
      <c r="M543" s="781" t="str">
        <f t="shared" si="51"/>
        <v>NO APLICA</v>
      </c>
      <c r="N543" s="781"/>
    </row>
    <row r="544" spans="2:14">
      <c r="B544" s="319"/>
      <c r="C544" s="319"/>
      <c r="D544" s="448"/>
      <c r="E544" s="320"/>
      <c r="F544" s="450" t="str">
        <f>IF(OR(D544="",E544=""),"",ROUND(D544/LOOKUP(E544,SMMLV!$A$2:$A$36,SMMLV!$D$2:$D$100),3))</f>
        <v/>
      </c>
      <c r="K544" s="782"/>
      <c r="L544" s="444">
        <v>9</v>
      </c>
      <c r="M544" s="781" t="str">
        <f t="shared" si="51"/>
        <v>NO APLICA</v>
      </c>
      <c r="N544" s="781"/>
    </row>
    <row r="545" spans="2:14">
      <c r="B545" s="319"/>
      <c r="C545" s="319"/>
      <c r="D545" s="448"/>
      <c r="E545" s="320"/>
      <c r="F545" s="450" t="str">
        <f>IF(OR(D545="",E545=""),"",ROUND(D545/LOOKUP(E545,SMMLV!$A$2:$A$36,SMMLV!$D$2:$D$100),3))</f>
        <v/>
      </c>
      <c r="K545" s="782"/>
      <c r="L545" s="444">
        <v>10</v>
      </c>
      <c r="M545" s="781" t="str">
        <f t="shared" si="51"/>
        <v>NO APLICA</v>
      </c>
      <c r="N545" s="781"/>
    </row>
    <row r="546" spans="2:14">
      <c r="B546" s="319"/>
      <c r="C546" s="319"/>
      <c r="D546" s="448"/>
      <c r="E546" s="320"/>
      <c r="F546" s="450" t="str">
        <f>IF(OR(D546="",E546=""),"",ROUND(D546/LOOKUP(E546,SMMLV!$A$2:$A$36,SMMLV!$D$2:$D$100),3))</f>
        <v/>
      </c>
      <c r="K546" s="782">
        <v>55</v>
      </c>
      <c r="L546" s="444">
        <v>1</v>
      </c>
      <c r="M546" s="781" t="str">
        <f t="shared" ref="M546:M555" si="52">IF(SUMIFS($F$5:$F$1200,$B$5:$B$1200,$K$546,$C$5:$C$1200,$L546)=0,"NO APLICA",ROUND(SUMIFS($F$5:$F$1200,$B$5:$B$1200,$K$546,$C$5:$C$1200,$L546),3))</f>
        <v>NO APLICA</v>
      </c>
      <c r="N546" s="781"/>
    </row>
    <row r="547" spans="2:14">
      <c r="B547" s="319"/>
      <c r="C547" s="319"/>
      <c r="D547" s="448"/>
      <c r="E547" s="320"/>
      <c r="F547" s="450" t="str">
        <f>IF(OR(D547="",E547=""),"",ROUND(D547/LOOKUP(E547,SMMLV!$A$2:$A$36,SMMLV!$D$2:$D$100),3))</f>
        <v/>
      </c>
      <c r="K547" s="782"/>
      <c r="L547" s="444">
        <v>2</v>
      </c>
      <c r="M547" s="781" t="str">
        <f t="shared" si="52"/>
        <v>NO APLICA</v>
      </c>
      <c r="N547" s="781"/>
    </row>
    <row r="548" spans="2:14">
      <c r="B548" s="319"/>
      <c r="C548" s="319"/>
      <c r="D548" s="448"/>
      <c r="E548" s="320"/>
      <c r="F548" s="450" t="str">
        <f>IF(OR(D548="",E548=""),"",ROUND(D548/LOOKUP(E548,SMMLV!$A$2:$A$36,SMMLV!$D$2:$D$100),3))</f>
        <v/>
      </c>
      <c r="K548" s="782"/>
      <c r="L548" s="444">
        <v>3</v>
      </c>
      <c r="M548" s="781" t="str">
        <f t="shared" si="52"/>
        <v>NO APLICA</v>
      </c>
      <c r="N548" s="781"/>
    </row>
    <row r="549" spans="2:14">
      <c r="B549" s="319"/>
      <c r="C549" s="319"/>
      <c r="D549" s="448"/>
      <c r="E549" s="320"/>
      <c r="F549" s="450" t="str">
        <f>IF(OR(D549="",E549=""),"",ROUND(D549/LOOKUP(E549,SMMLV!$A$2:$A$36,SMMLV!$D$2:$D$100),3))</f>
        <v/>
      </c>
      <c r="K549" s="782"/>
      <c r="L549" s="444">
        <v>4</v>
      </c>
      <c r="M549" s="781" t="str">
        <f t="shared" si="52"/>
        <v>NO APLICA</v>
      </c>
      <c r="N549" s="781"/>
    </row>
    <row r="550" spans="2:14">
      <c r="B550" s="319"/>
      <c r="C550" s="319"/>
      <c r="D550" s="448"/>
      <c r="E550" s="320"/>
      <c r="F550" s="450" t="str">
        <f>IF(OR(D550="",E550=""),"",ROUND(D550/LOOKUP(E550,SMMLV!$A$2:$A$36,SMMLV!$D$2:$D$100),3))</f>
        <v/>
      </c>
      <c r="K550" s="782"/>
      <c r="L550" s="444">
        <v>5</v>
      </c>
      <c r="M550" s="781" t="str">
        <f t="shared" si="52"/>
        <v>NO APLICA</v>
      </c>
      <c r="N550" s="781"/>
    </row>
    <row r="551" spans="2:14">
      <c r="B551" s="319"/>
      <c r="C551" s="319"/>
      <c r="D551" s="448"/>
      <c r="E551" s="320"/>
      <c r="F551" s="450" t="str">
        <f>IF(OR(D551="",E551=""),"",ROUND(D551/LOOKUP(E551,SMMLV!$A$2:$A$36,SMMLV!$D$2:$D$100),3))</f>
        <v/>
      </c>
      <c r="K551" s="782"/>
      <c r="L551" s="444">
        <v>6</v>
      </c>
      <c r="M551" s="781" t="str">
        <f t="shared" si="52"/>
        <v>NO APLICA</v>
      </c>
      <c r="N551" s="781"/>
    </row>
    <row r="552" spans="2:14">
      <c r="B552" s="319"/>
      <c r="C552" s="319"/>
      <c r="D552" s="448"/>
      <c r="E552" s="320"/>
      <c r="F552" s="450" t="str">
        <f>IF(OR(D552="",E552=""),"",ROUND(D552/LOOKUP(E552,SMMLV!$A$2:$A$36,SMMLV!$D$2:$D$100),3))</f>
        <v/>
      </c>
      <c r="K552" s="782"/>
      <c r="L552" s="444">
        <v>7</v>
      </c>
      <c r="M552" s="781" t="str">
        <f t="shared" si="52"/>
        <v>NO APLICA</v>
      </c>
      <c r="N552" s="781"/>
    </row>
    <row r="553" spans="2:14">
      <c r="B553" s="319"/>
      <c r="C553" s="319"/>
      <c r="D553" s="448"/>
      <c r="E553" s="320"/>
      <c r="F553" s="450" t="str">
        <f>IF(OR(D553="",E553=""),"",ROUND(D553/LOOKUP(E553,SMMLV!$A$2:$A$36,SMMLV!$D$2:$D$100),3))</f>
        <v/>
      </c>
      <c r="K553" s="782"/>
      <c r="L553" s="444">
        <v>8</v>
      </c>
      <c r="M553" s="781" t="str">
        <f t="shared" si="52"/>
        <v>NO APLICA</v>
      </c>
      <c r="N553" s="781"/>
    </row>
    <row r="554" spans="2:14">
      <c r="B554" s="319"/>
      <c r="C554" s="319"/>
      <c r="D554" s="448"/>
      <c r="E554" s="320"/>
      <c r="F554" s="450" t="str">
        <f>IF(OR(D554="",E554=""),"",ROUND(D554/LOOKUP(E554,SMMLV!$A$2:$A$36,SMMLV!$D$2:$D$100),3))</f>
        <v/>
      </c>
      <c r="K554" s="782"/>
      <c r="L554" s="444">
        <v>9</v>
      </c>
      <c r="M554" s="781" t="str">
        <f t="shared" si="52"/>
        <v>NO APLICA</v>
      </c>
      <c r="N554" s="781"/>
    </row>
    <row r="555" spans="2:14">
      <c r="B555" s="319"/>
      <c r="C555" s="319"/>
      <c r="D555" s="448"/>
      <c r="E555" s="320"/>
      <c r="F555" s="450" t="str">
        <f>IF(OR(D555="",E555=""),"",ROUND(D555/LOOKUP(E555,SMMLV!$A$2:$A$36,SMMLV!$D$2:$D$100),3))</f>
        <v/>
      </c>
      <c r="K555" s="782"/>
      <c r="L555" s="444">
        <v>10</v>
      </c>
      <c r="M555" s="781" t="str">
        <f t="shared" si="52"/>
        <v>NO APLICA</v>
      </c>
      <c r="N555" s="781"/>
    </row>
    <row r="556" spans="2:14">
      <c r="B556" s="319"/>
      <c r="C556" s="319"/>
      <c r="D556" s="448"/>
      <c r="E556" s="320"/>
      <c r="F556" s="450" t="str">
        <f>IF(OR(D556="",E556=""),"",ROUND(D556/LOOKUP(E556,SMMLV!$A$2:$A$36,SMMLV!$D$2:$D$100),3))</f>
        <v/>
      </c>
      <c r="K556" s="782">
        <v>56</v>
      </c>
      <c r="L556" s="444">
        <v>1</v>
      </c>
      <c r="M556" s="781" t="str">
        <f t="shared" ref="M556:M565" si="53">IF(SUMIFS($F$5:$F$1200,$B$5:$B$1200,$K$556,$C$5:$C$1200,$L556)=0,"NO APLICA",ROUND(SUMIFS($F$5:$F$1200,$B$5:$B$1200,$K$556,$C$5:$C$1200,$L556),3))</f>
        <v>NO APLICA</v>
      </c>
      <c r="N556" s="781"/>
    </row>
    <row r="557" spans="2:14">
      <c r="B557" s="319"/>
      <c r="C557" s="319"/>
      <c r="D557" s="448"/>
      <c r="E557" s="320"/>
      <c r="F557" s="450" t="str">
        <f>IF(OR(D557="",E557=""),"",ROUND(D557/LOOKUP(E557,SMMLV!$A$2:$A$36,SMMLV!$D$2:$D$100),3))</f>
        <v/>
      </c>
      <c r="K557" s="782"/>
      <c r="L557" s="444">
        <v>2</v>
      </c>
      <c r="M557" s="781" t="str">
        <f t="shared" si="53"/>
        <v>NO APLICA</v>
      </c>
      <c r="N557" s="781"/>
    </row>
    <row r="558" spans="2:14">
      <c r="B558" s="319"/>
      <c r="C558" s="319"/>
      <c r="D558" s="448"/>
      <c r="E558" s="320"/>
      <c r="F558" s="450" t="str">
        <f>IF(OR(D558="",E558=""),"",ROUND(D558/LOOKUP(E558,SMMLV!$A$2:$A$36,SMMLV!$D$2:$D$100),3))</f>
        <v/>
      </c>
      <c r="K558" s="782"/>
      <c r="L558" s="444">
        <v>3</v>
      </c>
      <c r="M558" s="781" t="str">
        <f t="shared" si="53"/>
        <v>NO APLICA</v>
      </c>
      <c r="N558" s="781"/>
    </row>
    <row r="559" spans="2:14">
      <c r="B559" s="319"/>
      <c r="C559" s="319"/>
      <c r="D559" s="448"/>
      <c r="E559" s="320"/>
      <c r="F559" s="450" t="str">
        <f>IF(OR(D559="",E559=""),"",ROUND(D559/LOOKUP(E559,SMMLV!$A$2:$A$36,SMMLV!$D$2:$D$100),3))</f>
        <v/>
      </c>
      <c r="K559" s="782"/>
      <c r="L559" s="444">
        <v>4</v>
      </c>
      <c r="M559" s="781" t="str">
        <f t="shared" si="53"/>
        <v>NO APLICA</v>
      </c>
      <c r="N559" s="781"/>
    </row>
    <row r="560" spans="2:14">
      <c r="B560" s="319"/>
      <c r="C560" s="319"/>
      <c r="D560" s="448"/>
      <c r="E560" s="320"/>
      <c r="F560" s="450" t="str">
        <f>IF(OR(D560="",E560=""),"",ROUND(D560/LOOKUP(E560,SMMLV!$A$2:$A$36,SMMLV!$D$2:$D$100),3))</f>
        <v/>
      </c>
      <c r="K560" s="782"/>
      <c r="L560" s="444">
        <v>5</v>
      </c>
      <c r="M560" s="781" t="str">
        <f t="shared" si="53"/>
        <v>NO APLICA</v>
      </c>
      <c r="N560" s="781"/>
    </row>
    <row r="561" spans="2:14">
      <c r="B561" s="319"/>
      <c r="C561" s="319"/>
      <c r="D561" s="448"/>
      <c r="E561" s="320"/>
      <c r="F561" s="450" t="str">
        <f>IF(OR(D561="",E561=""),"",ROUND(D561/LOOKUP(E561,SMMLV!$A$2:$A$36,SMMLV!$D$2:$D$100),3))</f>
        <v/>
      </c>
      <c r="K561" s="782"/>
      <c r="L561" s="444">
        <v>6</v>
      </c>
      <c r="M561" s="781" t="str">
        <f t="shared" si="53"/>
        <v>NO APLICA</v>
      </c>
      <c r="N561" s="781"/>
    </row>
    <row r="562" spans="2:14">
      <c r="B562" s="319"/>
      <c r="C562" s="319"/>
      <c r="D562" s="448"/>
      <c r="E562" s="320"/>
      <c r="F562" s="450" t="str">
        <f>IF(OR(D562="",E562=""),"",ROUND(D562/LOOKUP(E562,SMMLV!$A$2:$A$36,SMMLV!$D$2:$D$100),3))</f>
        <v/>
      </c>
      <c r="K562" s="782"/>
      <c r="L562" s="444">
        <v>7</v>
      </c>
      <c r="M562" s="781" t="str">
        <f t="shared" si="53"/>
        <v>NO APLICA</v>
      </c>
      <c r="N562" s="781"/>
    </row>
    <row r="563" spans="2:14">
      <c r="B563" s="319"/>
      <c r="C563" s="319"/>
      <c r="D563" s="448"/>
      <c r="E563" s="320"/>
      <c r="F563" s="450" t="str">
        <f>IF(OR(D563="",E563=""),"",ROUND(D563/LOOKUP(E563,SMMLV!$A$2:$A$36,SMMLV!$D$2:$D$100),3))</f>
        <v/>
      </c>
      <c r="K563" s="782"/>
      <c r="L563" s="444">
        <v>8</v>
      </c>
      <c r="M563" s="781" t="str">
        <f t="shared" si="53"/>
        <v>NO APLICA</v>
      </c>
      <c r="N563" s="781"/>
    </row>
    <row r="564" spans="2:14">
      <c r="B564" s="319"/>
      <c r="C564" s="319"/>
      <c r="D564" s="448"/>
      <c r="E564" s="320"/>
      <c r="F564" s="450" t="str">
        <f>IF(OR(D564="",E564=""),"",ROUND(D564/LOOKUP(E564,SMMLV!$A$2:$A$36,SMMLV!$D$2:$D$100),3))</f>
        <v/>
      </c>
      <c r="K564" s="782"/>
      <c r="L564" s="444">
        <v>9</v>
      </c>
      <c r="M564" s="781" t="str">
        <f t="shared" si="53"/>
        <v>NO APLICA</v>
      </c>
      <c r="N564" s="781"/>
    </row>
    <row r="565" spans="2:14">
      <c r="B565" s="319"/>
      <c r="C565" s="319"/>
      <c r="D565" s="448"/>
      <c r="E565" s="320"/>
      <c r="F565" s="450" t="str">
        <f>IF(OR(D565="",E565=""),"",ROUND(D565/LOOKUP(E565,SMMLV!$A$2:$A$36,SMMLV!$D$2:$D$100),3))</f>
        <v/>
      </c>
      <c r="K565" s="782"/>
      <c r="L565" s="444">
        <v>10</v>
      </c>
      <c r="M565" s="781" t="str">
        <f t="shared" si="53"/>
        <v>NO APLICA</v>
      </c>
      <c r="N565" s="781"/>
    </row>
    <row r="566" spans="2:14">
      <c r="B566" s="319"/>
      <c r="C566" s="319"/>
      <c r="D566" s="448"/>
      <c r="E566" s="320"/>
      <c r="F566" s="450" t="str">
        <f>IF(OR(D566="",E566=""),"",ROUND(D566/LOOKUP(E566,SMMLV!$A$2:$A$36,SMMLV!$D$2:$D$100),3))</f>
        <v/>
      </c>
      <c r="K566" s="782">
        <v>57</v>
      </c>
      <c r="L566" s="444">
        <v>1</v>
      </c>
      <c r="M566" s="781" t="str">
        <f t="shared" ref="M566:M575" si="54">IF(SUMIFS($F$5:$F$1200,$B$5:$B$1200,$K$566,$C$5:$C$1200,$L566)=0,"NO APLICA",ROUND(SUMIFS($F$5:$F$1200,$B$5:$B$1200,$K$566,$C$5:$C$1200,$L566),3))</f>
        <v>NO APLICA</v>
      </c>
      <c r="N566" s="781"/>
    </row>
    <row r="567" spans="2:14">
      <c r="B567" s="319"/>
      <c r="C567" s="319"/>
      <c r="D567" s="448"/>
      <c r="E567" s="320"/>
      <c r="F567" s="450" t="str">
        <f>IF(OR(D567="",E567=""),"",ROUND(D567/LOOKUP(E567,SMMLV!$A$2:$A$36,SMMLV!$D$2:$D$100),3))</f>
        <v/>
      </c>
      <c r="K567" s="782"/>
      <c r="L567" s="444">
        <v>2</v>
      </c>
      <c r="M567" s="781" t="str">
        <f t="shared" si="54"/>
        <v>NO APLICA</v>
      </c>
      <c r="N567" s="781"/>
    </row>
    <row r="568" spans="2:14">
      <c r="B568" s="319"/>
      <c r="C568" s="319"/>
      <c r="D568" s="448"/>
      <c r="E568" s="320"/>
      <c r="F568" s="450" t="str">
        <f>IF(OR(D568="",E568=""),"",ROUND(D568/LOOKUP(E568,SMMLV!$A$2:$A$36,SMMLV!$D$2:$D$100),3))</f>
        <v/>
      </c>
      <c r="K568" s="782"/>
      <c r="L568" s="444">
        <v>3</v>
      </c>
      <c r="M568" s="781" t="str">
        <f t="shared" si="54"/>
        <v>NO APLICA</v>
      </c>
      <c r="N568" s="781"/>
    </row>
    <row r="569" spans="2:14">
      <c r="B569" s="319"/>
      <c r="C569" s="319"/>
      <c r="D569" s="448"/>
      <c r="E569" s="320"/>
      <c r="F569" s="450" t="str">
        <f>IF(OR(D569="",E569=""),"",ROUND(D569/LOOKUP(E569,SMMLV!$A$2:$A$36,SMMLV!$D$2:$D$100),3))</f>
        <v/>
      </c>
      <c r="K569" s="782"/>
      <c r="L569" s="444">
        <v>4</v>
      </c>
      <c r="M569" s="781" t="str">
        <f t="shared" si="54"/>
        <v>NO APLICA</v>
      </c>
      <c r="N569" s="781"/>
    </row>
    <row r="570" spans="2:14">
      <c r="B570" s="319"/>
      <c r="C570" s="319"/>
      <c r="D570" s="448"/>
      <c r="E570" s="320"/>
      <c r="F570" s="450" t="str">
        <f>IF(OR(D570="",E570=""),"",ROUND(D570/LOOKUP(E570,SMMLV!$A$2:$A$36,SMMLV!$D$2:$D$100),3))</f>
        <v/>
      </c>
      <c r="K570" s="782"/>
      <c r="L570" s="444">
        <v>5</v>
      </c>
      <c r="M570" s="781" t="str">
        <f t="shared" si="54"/>
        <v>NO APLICA</v>
      </c>
      <c r="N570" s="781"/>
    </row>
    <row r="571" spans="2:14">
      <c r="B571" s="319"/>
      <c r="C571" s="319"/>
      <c r="D571" s="448"/>
      <c r="E571" s="320"/>
      <c r="F571" s="450" t="str">
        <f>IF(OR(D571="",E571=""),"",ROUND(D571/LOOKUP(E571,SMMLV!$A$2:$A$36,SMMLV!$D$2:$D$100),3))</f>
        <v/>
      </c>
      <c r="K571" s="782"/>
      <c r="L571" s="444">
        <v>6</v>
      </c>
      <c r="M571" s="781" t="str">
        <f t="shared" si="54"/>
        <v>NO APLICA</v>
      </c>
      <c r="N571" s="781"/>
    </row>
    <row r="572" spans="2:14">
      <c r="B572" s="319"/>
      <c r="C572" s="319"/>
      <c r="D572" s="448"/>
      <c r="E572" s="320"/>
      <c r="F572" s="450" t="str">
        <f>IF(OR(D572="",E572=""),"",ROUND(D572/LOOKUP(E572,SMMLV!$A$2:$A$36,SMMLV!$D$2:$D$100),3))</f>
        <v/>
      </c>
      <c r="K572" s="782"/>
      <c r="L572" s="444">
        <v>7</v>
      </c>
      <c r="M572" s="781" t="str">
        <f t="shared" si="54"/>
        <v>NO APLICA</v>
      </c>
      <c r="N572" s="781"/>
    </row>
    <row r="573" spans="2:14">
      <c r="B573" s="319"/>
      <c r="C573" s="319"/>
      <c r="D573" s="448"/>
      <c r="E573" s="320"/>
      <c r="F573" s="450" t="str">
        <f>IF(OR(D573="",E573=""),"",ROUND(D573/LOOKUP(E573,SMMLV!$A$2:$A$36,SMMLV!$D$2:$D$100),3))</f>
        <v/>
      </c>
      <c r="K573" s="782"/>
      <c r="L573" s="444">
        <v>8</v>
      </c>
      <c r="M573" s="781" t="str">
        <f t="shared" si="54"/>
        <v>NO APLICA</v>
      </c>
      <c r="N573" s="781"/>
    </row>
    <row r="574" spans="2:14">
      <c r="B574" s="319"/>
      <c r="C574" s="319"/>
      <c r="D574" s="448"/>
      <c r="E574" s="320"/>
      <c r="F574" s="450" t="str">
        <f>IF(OR(D574="",E574=""),"",ROUND(D574/LOOKUP(E574,SMMLV!$A$2:$A$36,SMMLV!$D$2:$D$100),3))</f>
        <v/>
      </c>
      <c r="K574" s="782"/>
      <c r="L574" s="444">
        <v>9</v>
      </c>
      <c r="M574" s="781" t="str">
        <f t="shared" si="54"/>
        <v>NO APLICA</v>
      </c>
      <c r="N574" s="781"/>
    </row>
    <row r="575" spans="2:14">
      <c r="B575" s="319"/>
      <c r="C575" s="319"/>
      <c r="D575" s="448"/>
      <c r="E575" s="320"/>
      <c r="F575" s="450" t="str">
        <f>IF(OR(D575="",E575=""),"",ROUND(D575/LOOKUP(E575,SMMLV!$A$2:$A$36,SMMLV!$D$2:$D$100),3))</f>
        <v/>
      </c>
      <c r="K575" s="782"/>
      <c r="L575" s="444">
        <v>10</v>
      </c>
      <c r="M575" s="781" t="str">
        <f t="shared" si="54"/>
        <v>NO APLICA</v>
      </c>
      <c r="N575" s="781"/>
    </row>
    <row r="576" spans="2:14">
      <c r="B576" s="319"/>
      <c r="C576" s="319"/>
      <c r="D576" s="448"/>
      <c r="E576" s="320"/>
      <c r="F576" s="450" t="str">
        <f>IF(OR(D576="",E576=""),"",ROUND(D576/LOOKUP(E576,SMMLV!$A$2:$A$36,SMMLV!$D$2:$D$100),3))</f>
        <v/>
      </c>
      <c r="K576" s="782">
        <v>58</v>
      </c>
      <c r="L576" s="444">
        <v>1</v>
      </c>
      <c r="M576" s="781" t="str">
        <f t="shared" ref="M576:M585" si="55">IF(SUMIFS($F$5:$F$1200,$B$5:$B$1200,$K$576,$C$5:$C$1200,$L576)=0,"NO APLICA",ROUND(SUMIFS($F$5:$F$1200,$B$5:$B$1200,$K$576,$C$5:$C$1200,$L576),3))</f>
        <v>NO APLICA</v>
      </c>
      <c r="N576" s="781"/>
    </row>
    <row r="577" spans="2:14">
      <c r="B577" s="319"/>
      <c r="C577" s="319"/>
      <c r="D577" s="448"/>
      <c r="E577" s="320"/>
      <c r="F577" s="450" t="str">
        <f>IF(OR(D577="",E577=""),"",ROUND(D577/LOOKUP(E577,SMMLV!$A$2:$A$36,SMMLV!$D$2:$D$100),3))</f>
        <v/>
      </c>
      <c r="K577" s="782"/>
      <c r="L577" s="444">
        <v>2</v>
      </c>
      <c r="M577" s="781" t="str">
        <f t="shared" si="55"/>
        <v>NO APLICA</v>
      </c>
      <c r="N577" s="781"/>
    </row>
    <row r="578" spans="2:14">
      <c r="B578" s="319"/>
      <c r="C578" s="319"/>
      <c r="D578" s="448"/>
      <c r="E578" s="320"/>
      <c r="F578" s="450" t="str">
        <f>IF(OR(D578="",E578=""),"",ROUND(D578/LOOKUP(E578,SMMLV!$A$2:$A$36,SMMLV!$D$2:$D$100),3))</f>
        <v/>
      </c>
      <c r="K578" s="782"/>
      <c r="L578" s="444">
        <v>3</v>
      </c>
      <c r="M578" s="781" t="str">
        <f t="shared" si="55"/>
        <v>NO APLICA</v>
      </c>
      <c r="N578" s="781"/>
    </row>
    <row r="579" spans="2:14">
      <c r="B579" s="319"/>
      <c r="C579" s="319"/>
      <c r="D579" s="448"/>
      <c r="E579" s="320"/>
      <c r="F579" s="450" t="str">
        <f>IF(OR(D579="",E579=""),"",ROUND(D579/LOOKUP(E579,SMMLV!$A$2:$A$36,SMMLV!$D$2:$D$100),3))</f>
        <v/>
      </c>
      <c r="K579" s="782"/>
      <c r="L579" s="444">
        <v>4</v>
      </c>
      <c r="M579" s="781" t="str">
        <f t="shared" si="55"/>
        <v>NO APLICA</v>
      </c>
      <c r="N579" s="781"/>
    </row>
    <row r="580" spans="2:14">
      <c r="B580" s="319"/>
      <c r="C580" s="319"/>
      <c r="D580" s="448"/>
      <c r="E580" s="320"/>
      <c r="F580" s="450" t="str">
        <f>IF(OR(D580="",E580=""),"",ROUND(D580/LOOKUP(E580,SMMLV!$A$2:$A$36,SMMLV!$D$2:$D$100),3))</f>
        <v/>
      </c>
      <c r="K580" s="782"/>
      <c r="L580" s="444">
        <v>5</v>
      </c>
      <c r="M580" s="781" t="str">
        <f t="shared" si="55"/>
        <v>NO APLICA</v>
      </c>
      <c r="N580" s="781"/>
    </row>
    <row r="581" spans="2:14">
      <c r="B581" s="319"/>
      <c r="C581" s="319"/>
      <c r="D581" s="448"/>
      <c r="E581" s="320"/>
      <c r="F581" s="450" t="str">
        <f>IF(OR(D581="",E581=""),"",ROUND(D581/LOOKUP(E581,SMMLV!$A$2:$A$36,SMMLV!$D$2:$D$100),3))</f>
        <v/>
      </c>
      <c r="K581" s="782"/>
      <c r="L581" s="444">
        <v>6</v>
      </c>
      <c r="M581" s="781" t="str">
        <f t="shared" si="55"/>
        <v>NO APLICA</v>
      </c>
      <c r="N581" s="781"/>
    </row>
    <row r="582" spans="2:14">
      <c r="B582" s="319"/>
      <c r="C582" s="319"/>
      <c r="D582" s="448"/>
      <c r="E582" s="320"/>
      <c r="F582" s="450" t="str">
        <f>IF(OR(D582="",E582=""),"",ROUND(D582/LOOKUP(E582,SMMLV!$A$2:$A$36,SMMLV!$D$2:$D$100),3))</f>
        <v/>
      </c>
      <c r="K582" s="782"/>
      <c r="L582" s="444">
        <v>7</v>
      </c>
      <c r="M582" s="781" t="str">
        <f t="shared" si="55"/>
        <v>NO APLICA</v>
      </c>
      <c r="N582" s="781"/>
    </row>
    <row r="583" spans="2:14">
      <c r="B583" s="319"/>
      <c r="C583" s="319"/>
      <c r="D583" s="448"/>
      <c r="E583" s="320"/>
      <c r="F583" s="450" t="str">
        <f>IF(OR(D583="",E583=""),"",ROUND(D583/LOOKUP(E583,SMMLV!$A$2:$A$36,SMMLV!$D$2:$D$100),3))</f>
        <v/>
      </c>
      <c r="K583" s="782"/>
      <c r="L583" s="444">
        <v>8</v>
      </c>
      <c r="M583" s="781" t="str">
        <f t="shared" si="55"/>
        <v>NO APLICA</v>
      </c>
      <c r="N583" s="781"/>
    </row>
    <row r="584" spans="2:14">
      <c r="B584" s="319"/>
      <c r="C584" s="319"/>
      <c r="D584" s="448"/>
      <c r="E584" s="320"/>
      <c r="F584" s="450" t="str">
        <f>IF(OR(D584="",E584=""),"",ROUND(D584/LOOKUP(E584,SMMLV!$A$2:$A$36,SMMLV!$D$2:$D$100),3))</f>
        <v/>
      </c>
      <c r="K584" s="782"/>
      <c r="L584" s="444">
        <v>9</v>
      </c>
      <c r="M584" s="781" t="str">
        <f t="shared" si="55"/>
        <v>NO APLICA</v>
      </c>
      <c r="N584" s="781"/>
    </row>
    <row r="585" spans="2:14">
      <c r="B585" s="319"/>
      <c r="C585" s="319"/>
      <c r="D585" s="448"/>
      <c r="E585" s="320"/>
      <c r="F585" s="450" t="str">
        <f>IF(OR(D585="",E585=""),"",ROUND(D585/LOOKUP(E585,SMMLV!$A$2:$A$36,SMMLV!$D$2:$D$100),3))</f>
        <v/>
      </c>
      <c r="K585" s="782"/>
      <c r="L585" s="444">
        <v>10</v>
      </c>
      <c r="M585" s="781" t="str">
        <f t="shared" si="55"/>
        <v>NO APLICA</v>
      </c>
      <c r="N585" s="781"/>
    </row>
    <row r="586" spans="2:14">
      <c r="B586" s="319"/>
      <c r="C586" s="319"/>
      <c r="D586" s="448"/>
      <c r="E586" s="320"/>
      <c r="F586" s="450" t="str">
        <f>IF(OR(D586="",E586=""),"",ROUND(D586/LOOKUP(E586,SMMLV!$A$2:$A$36,SMMLV!$D$2:$D$100),3))</f>
        <v/>
      </c>
      <c r="K586" s="782">
        <v>59</v>
      </c>
      <c r="L586" s="444">
        <v>1</v>
      </c>
      <c r="M586" s="781" t="str">
        <f t="shared" ref="M586:M595" si="56">IF(SUMIFS($F$5:$F$1200,$B$5:$B$1200,$K$586,$C$5:$C$1200,$L586)=0,"NO APLICA",ROUND(SUMIFS($F$5:$F$1200,$B$5:$B$1200,$K$586,$C$5:$C$1200,$L586),3))</f>
        <v>NO APLICA</v>
      </c>
      <c r="N586" s="781"/>
    </row>
    <row r="587" spans="2:14">
      <c r="B587" s="319"/>
      <c r="C587" s="319"/>
      <c r="D587" s="448"/>
      <c r="E587" s="320"/>
      <c r="F587" s="450" t="str">
        <f>IF(OR(D587="",E587=""),"",ROUND(D587/LOOKUP(E587,SMMLV!$A$2:$A$36,SMMLV!$D$2:$D$100),3))</f>
        <v/>
      </c>
      <c r="K587" s="782"/>
      <c r="L587" s="444">
        <v>2</v>
      </c>
      <c r="M587" s="781" t="str">
        <f t="shared" si="56"/>
        <v>NO APLICA</v>
      </c>
      <c r="N587" s="781"/>
    </row>
    <row r="588" spans="2:14">
      <c r="B588" s="319"/>
      <c r="C588" s="319"/>
      <c r="D588" s="448"/>
      <c r="E588" s="320"/>
      <c r="F588" s="450" t="str">
        <f>IF(OR(D588="",E588=""),"",ROUND(D588/LOOKUP(E588,SMMLV!$A$2:$A$36,SMMLV!$D$2:$D$100),3))</f>
        <v/>
      </c>
      <c r="K588" s="782"/>
      <c r="L588" s="444">
        <v>3</v>
      </c>
      <c r="M588" s="781" t="str">
        <f t="shared" si="56"/>
        <v>NO APLICA</v>
      </c>
      <c r="N588" s="781"/>
    </row>
    <row r="589" spans="2:14">
      <c r="B589" s="319"/>
      <c r="C589" s="319"/>
      <c r="D589" s="448"/>
      <c r="E589" s="320"/>
      <c r="F589" s="450" t="str">
        <f>IF(OR(D589="",E589=""),"",ROUND(D589/LOOKUP(E589,SMMLV!$A$2:$A$36,SMMLV!$D$2:$D$100),3))</f>
        <v/>
      </c>
      <c r="K589" s="782"/>
      <c r="L589" s="444">
        <v>4</v>
      </c>
      <c r="M589" s="781" t="str">
        <f t="shared" si="56"/>
        <v>NO APLICA</v>
      </c>
      <c r="N589" s="781"/>
    </row>
    <row r="590" spans="2:14">
      <c r="B590" s="319"/>
      <c r="C590" s="319"/>
      <c r="D590" s="448"/>
      <c r="E590" s="320"/>
      <c r="F590" s="450" t="str">
        <f>IF(OR(D590="",E590=""),"",ROUND(D590/LOOKUP(E590,SMMLV!$A$2:$A$36,SMMLV!$D$2:$D$100),3))</f>
        <v/>
      </c>
      <c r="K590" s="782"/>
      <c r="L590" s="444">
        <v>5</v>
      </c>
      <c r="M590" s="781" t="str">
        <f t="shared" si="56"/>
        <v>NO APLICA</v>
      </c>
      <c r="N590" s="781"/>
    </row>
    <row r="591" spans="2:14">
      <c r="B591" s="319"/>
      <c r="C591" s="319"/>
      <c r="D591" s="448"/>
      <c r="E591" s="320"/>
      <c r="F591" s="450" t="str">
        <f>IF(OR(D591="",E591=""),"",ROUND(D591/LOOKUP(E591,SMMLV!$A$2:$A$36,SMMLV!$D$2:$D$100),3))</f>
        <v/>
      </c>
      <c r="K591" s="782"/>
      <c r="L591" s="444">
        <v>6</v>
      </c>
      <c r="M591" s="781" t="str">
        <f t="shared" si="56"/>
        <v>NO APLICA</v>
      </c>
      <c r="N591" s="781"/>
    </row>
    <row r="592" spans="2:14">
      <c r="B592" s="319"/>
      <c r="C592" s="319"/>
      <c r="D592" s="448"/>
      <c r="E592" s="320"/>
      <c r="F592" s="450" t="str">
        <f>IF(OR(D592="",E592=""),"",ROUND(D592/LOOKUP(E592,SMMLV!$A$2:$A$36,SMMLV!$D$2:$D$100),3))</f>
        <v/>
      </c>
      <c r="K592" s="782"/>
      <c r="L592" s="444">
        <v>7</v>
      </c>
      <c r="M592" s="781" t="str">
        <f t="shared" si="56"/>
        <v>NO APLICA</v>
      </c>
      <c r="N592" s="781"/>
    </row>
    <row r="593" spans="2:14">
      <c r="B593" s="319"/>
      <c r="C593" s="319"/>
      <c r="D593" s="448"/>
      <c r="E593" s="320"/>
      <c r="F593" s="450" t="str">
        <f>IF(OR(D593="",E593=""),"",ROUND(D593/LOOKUP(E593,SMMLV!$A$2:$A$36,SMMLV!$D$2:$D$100),3))</f>
        <v/>
      </c>
      <c r="K593" s="782"/>
      <c r="L593" s="444">
        <v>8</v>
      </c>
      <c r="M593" s="781" t="str">
        <f t="shared" si="56"/>
        <v>NO APLICA</v>
      </c>
      <c r="N593" s="781"/>
    </row>
    <row r="594" spans="2:14">
      <c r="B594" s="319"/>
      <c r="C594" s="319"/>
      <c r="D594" s="448"/>
      <c r="E594" s="320"/>
      <c r="F594" s="450" t="str">
        <f>IF(OR(D594="",E594=""),"",ROUND(D594/LOOKUP(E594,SMMLV!$A$2:$A$36,SMMLV!$D$2:$D$100),3))</f>
        <v/>
      </c>
      <c r="K594" s="782"/>
      <c r="L594" s="444">
        <v>9</v>
      </c>
      <c r="M594" s="781" t="str">
        <f t="shared" si="56"/>
        <v>NO APLICA</v>
      </c>
      <c r="N594" s="781"/>
    </row>
    <row r="595" spans="2:14">
      <c r="B595" s="319"/>
      <c r="C595" s="319"/>
      <c r="D595" s="448"/>
      <c r="E595" s="320"/>
      <c r="F595" s="450" t="str">
        <f>IF(OR(D595="",E595=""),"",ROUND(D595/LOOKUP(E595,SMMLV!$A$2:$A$36,SMMLV!$D$2:$D$100),3))</f>
        <v/>
      </c>
      <c r="K595" s="782"/>
      <c r="L595" s="444">
        <v>10</v>
      </c>
      <c r="M595" s="781" t="str">
        <f t="shared" si="56"/>
        <v>NO APLICA</v>
      </c>
      <c r="N595" s="781"/>
    </row>
    <row r="596" spans="2:14">
      <c r="B596" s="319"/>
      <c r="C596" s="319"/>
      <c r="D596" s="448"/>
      <c r="E596" s="320"/>
      <c r="F596" s="450" t="str">
        <f>IF(OR(D596="",E596=""),"",ROUND(D596/LOOKUP(E596,SMMLV!$A$2:$A$36,SMMLV!$D$2:$D$100),3))</f>
        <v/>
      </c>
      <c r="K596" s="782">
        <v>60</v>
      </c>
      <c r="L596" s="444">
        <v>1</v>
      </c>
      <c r="M596" s="781" t="str">
        <f t="shared" ref="M596:M605" si="57">IF(SUMIFS($F$5:$F$1200,$B$5:$B$1200,$K$596,$C$5:$C$1200,$L596)=0,"NO APLICA",ROUND(SUMIFS($F$5:$F$1200,$B$5:$B$1200,$K$596,$C$5:$C$1200,$L596),3))</f>
        <v>NO APLICA</v>
      </c>
      <c r="N596" s="781"/>
    </row>
    <row r="597" spans="2:14">
      <c r="B597" s="319"/>
      <c r="C597" s="319"/>
      <c r="D597" s="448"/>
      <c r="E597" s="320"/>
      <c r="F597" s="450" t="str">
        <f>IF(OR(D597="",E597=""),"",ROUND(D597/LOOKUP(E597,SMMLV!$A$2:$A$36,SMMLV!$D$2:$D$100),3))</f>
        <v/>
      </c>
      <c r="K597" s="782"/>
      <c r="L597" s="444">
        <v>2</v>
      </c>
      <c r="M597" s="781" t="str">
        <f t="shared" si="57"/>
        <v>NO APLICA</v>
      </c>
      <c r="N597" s="781"/>
    </row>
    <row r="598" spans="2:14">
      <c r="B598" s="319"/>
      <c r="C598" s="319"/>
      <c r="D598" s="448"/>
      <c r="E598" s="320"/>
      <c r="F598" s="450" t="str">
        <f>IF(OR(D598="",E598=""),"",ROUND(D598/LOOKUP(E598,SMMLV!$A$2:$A$36,SMMLV!$D$2:$D$100),3))</f>
        <v/>
      </c>
      <c r="K598" s="782"/>
      <c r="L598" s="444">
        <v>3</v>
      </c>
      <c r="M598" s="781" t="str">
        <f t="shared" si="57"/>
        <v>NO APLICA</v>
      </c>
      <c r="N598" s="781"/>
    </row>
    <row r="599" spans="2:14">
      <c r="B599" s="319"/>
      <c r="C599" s="319"/>
      <c r="D599" s="448"/>
      <c r="E599" s="320"/>
      <c r="F599" s="450" t="str">
        <f>IF(OR(D599="",E599=""),"",ROUND(D599/LOOKUP(E599,SMMLV!$A$2:$A$36,SMMLV!$D$2:$D$100),3))</f>
        <v/>
      </c>
      <c r="K599" s="782"/>
      <c r="L599" s="444">
        <v>4</v>
      </c>
      <c r="M599" s="781" t="str">
        <f t="shared" si="57"/>
        <v>NO APLICA</v>
      </c>
      <c r="N599" s="781"/>
    </row>
    <row r="600" spans="2:14">
      <c r="B600" s="319"/>
      <c r="C600" s="319"/>
      <c r="D600" s="448"/>
      <c r="E600" s="320"/>
      <c r="F600" s="450" t="str">
        <f>IF(OR(D600="",E600=""),"",ROUND(D600/LOOKUP(E600,SMMLV!$A$2:$A$36,SMMLV!$D$2:$D$100),3))</f>
        <v/>
      </c>
      <c r="K600" s="782"/>
      <c r="L600" s="444">
        <v>5</v>
      </c>
      <c r="M600" s="781" t="str">
        <f t="shared" si="57"/>
        <v>NO APLICA</v>
      </c>
      <c r="N600" s="781"/>
    </row>
    <row r="601" spans="2:14">
      <c r="B601" s="319"/>
      <c r="C601" s="319"/>
      <c r="D601" s="448"/>
      <c r="E601" s="320"/>
      <c r="F601" s="450" t="str">
        <f>IF(OR(D601="",E601=""),"",ROUND(D601/LOOKUP(E601,SMMLV!$A$2:$A$36,SMMLV!$D$2:$D$100),3))</f>
        <v/>
      </c>
      <c r="K601" s="782"/>
      <c r="L601" s="444">
        <v>6</v>
      </c>
      <c r="M601" s="781" t="str">
        <f t="shared" si="57"/>
        <v>NO APLICA</v>
      </c>
      <c r="N601" s="781"/>
    </row>
    <row r="602" spans="2:14">
      <c r="B602" s="319"/>
      <c r="C602" s="319"/>
      <c r="D602" s="448"/>
      <c r="E602" s="320"/>
      <c r="F602" s="450" t="str">
        <f>IF(OR(D602="",E602=""),"",ROUND(D602/LOOKUP(E602,SMMLV!$A$2:$A$36,SMMLV!$D$2:$D$100),3))</f>
        <v/>
      </c>
      <c r="K602" s="782"/>
      <c r="L602" s="444">
        <v>7</v>
      </c>
      <c r="M602" s="781" t="str">
        <f t="shared" si="57"/>
        <v>NO APLICA</v>
      </c>
      <c r="N602" s="781"/>
    </row>
    <row r="603" spans="2:14">
      <c r="B603" s="319"/>
      <c r="C603" s="319"/>
      <c r="D603" s="448"/>
      <c r="E603" s="320"/>
      <c r="F603" s="450" t="str">
        <f>IF(OR(D603="",E603=""),"",ROUND(D603/LOOKUP(E603,SMMLV!$A$2:$A$36,SMMLV!$D$2:$D$100),3))</f>
        <v/>
      </c>
      <c r="K603" s="782"/>
      <c r="L603" s="444">
        <v>8</v>
      </c>
      <c r="M603" s="781" t="str">
        <f t="shared" si="57"/>
        <v>NO APLICA</v>
      </c>
      <c r="N603" s="781"/>
    </row>
    <row r="604" spans="2:14">
      <c r="B604" s="319"/>
      <c r="C604" s="319"/>
      <c r="D604" s="448"/>
      <c r="E604" s="320"/>
      <c r="F604" s="450" t="str">
        <f>IF(OR(D604="",E604=""),"",ROUND(D604/LOOKUP(E604,SMMLV!$A$2:$A$36,SMMLV!$D$2:$D$100),3))</f>
        <v/>
      </c>
      <c r="K604" s="782"/>
      <c r="L604" s="444">
        <v>9</v>
      </c>
      <c r="M604" s="781" t="str">
        <f t="shared" si="57"/>
        <v>NO APLICA</v>
      </c>
      <c r="N604" s="781"/>
    </row>
    <row r="605" spans="2:14">
      <c r="B605" s="319"/>
      <c r="C605" s="319"/>
      <c r="D605" s="448"/>
      <c r="E605" s="320"/>
      <c r="F605" s="450" t="str">
        <f>IF(OR(D605="",E605=""),"",ROUND(D605/LOOKUP(E605,SMMLV!$A$2:$A$36,SMMLV!$D$2:$D$100),3))</f>
        <v/>
      </c>
      <c r="K605" s="782"/>
      <c r="L605" s="444">
        <v>10</v>
      </c>
      <c r="M605" s="781" t="str">
        <f t="shared" si="57"/>
        <v>NO APLICA</v>
      </c>
      <c r="N605" s="781"/>
    </row>
    <row r="606" spans="2:14">
      <c r="B606" s="319"/>
      <c r="C606" s="319"/>
      <c r="D606" s="448"/>
      <c r="E606" s="320"/>
      <c r="F606" s="450" t="str">
        <f>IF(OR(D606="",E606=""),"",ROUND(D606/LOOKUP(E606,SMMLV!$A$2:$A$36,SMMLV!$D$2:$D$100),3))</f>
        <v/>
      </c>
      <c r="K606" s="782">
        <v>61</v>
      </c>
      <c r="L606" s="444">
        <v>1</v>
      </c>
      <c r="M606" s="781" t="str">
        <f t="shared" ref="M606:M615" si="58">IF(SUMIFS($F$5:$F$1200,$B$5:$B$1200,$K$606,$C$5:$C$1200,$L606)=0,"NO APLICA",ROUND(SUMIFS($F$5:$F$1200,$B$5:$B$1200,$K$606,$C$5:$C$1200,$L606),3))</f>
        <v>NO APLICA</v>
      </c>
      <c r="N606" s="781"/>
    </row>
    <row r="607" spans="2:14">
      <c r="B607" s="319"/>
      <c r="C607" s="319"/>
      <c r="D607" s="448"/>
      <c r="E607" s="320"/>
      <c r="F607" s="450" t="str">
        <f>IF(OR(D607="",E607=""),"",ROUND(D607/LOOKUP(E607,SMMLV!$A$2:$A$36,SMMLV!$D$2:$D$100),3))</f>
        <v/>
      </c>
      <c r="K607" s="782"/>
      <c r="L607" s="444">
        <v>2</v>
      </c>
      <c r="M607" s="781" t="str">
        <f t="shared" si="58"/>
        <v>NO APLICA</v>
      </c>
      <c r="N607" s="781"/>
    </row>
    <row r="608" spans="2:14">
      <c r="B608" s="319"/>
      <c r="C608" s="319"/>
      <c r="D608" s="448"/>
      <c r="E608" s="320"/>
      <c r="F608" s="450" t="str">
        <f>IF(OR(D608="",E608=""),"",ROUND(D608/LOOKUP(E608,SMMLV!$A$2:$A$36,SMMLV!$D$2:$D$100),3))</f>
        <v/>
      </c>
      <c r="K608" s="782"/>
      <c r="L608" s="444">
        <v>3</v>
      </c>
      <c r="M608" s="781" t="str">
        <f t="shared" si="58"/>
        <v>NO APLICA</v>
      </c>
      <c r="N608" s="781"/>
    </row>
    <row r="609" spans="2:14">
      <c r="B609" s="319"/>
      <c r="C609" s="319"/>
      <c r="D609" s="448"/>
      <c r="E609" s="320"/>
      <c r="F609" s="450" t="str">
        <f>IF(OR(D609="",E609=""),"",ROUND(D609/LOOKUP(E609,SMMLV!$A$2:$A$36,SMMLV!$D$2:$D$100),3))</f>
        <v/>
      </c>
      <c r="K609" s="782"/>
      <c r="L609" s="444">
        <v>4</v>
      </c>
      <c r="M609" s="781" t="str">
        <f t="shared" si="58"/>
        <v>NO APLICA</v>
      </c>
      <c r="N609" s="781"/>
    </row>
    <row r="610" spans="2:14">
      <c r="B610" s="319"/>
      <c r="C610" s="319"/>
      <c r="D610" s="448"/>
      <c r="E610" s="320"/>
      <c r="F610" s="450" t="str">
        <f>IF(OR(D610="",E610=""),"",ROUND(D610/LOOKUP(E610,SMMLV!$A$2:$A$36,SMMLV!$D$2:$D$100),3))</f>
        <v/>
      </c>
      <c r="K610" s="782"/>
      <c r="L610" s="444">
        <v>5</v>
      </c>
      <c r="M610" s="781" t="str">
        <f t="shared" si="58"/>
        <v>NO APLICA</v>
      </c>
      <c r="N610" s="781"/>
    </row>
    <row r="611" spans="2:14">
      <c r="B611" s="319"/>
      <c r="C611" s="319"/>
      <c r="D611" s="448"/>
      <c r="E611" s="320"/>
      <c r="F611" s="450" t="str">
        <f>IF(OR(D611="",E611=""),"",ROUND(D611/LOOKUP(E611,SMMLV!$A$2:$A$36,SMMLV!$D$2:$D$100),3))</f>
        <v/>
      </c>
      <c r="K611" s="782"/>
      <c r="L611" s="444">
        <v>6</v>
      </c>
      <c r="M611" s="781" t="str">
        <f t="shared" si="58"/>
        <v>NO APLICA</v>
      </c>
      <c r="N611" s="781"/>
    </row>
    <row r="612" spans="2:14">
      <c r="B612" s="319"/>
      <c r="C612" s="319"/>
      <c r="D612" s="448"/>
      <c r="E612" s="320"/>
      <c r="F612" s="450" t="str">
        <f>IF(OR(D612="",E612=""),"",ROUND(D612/LOOKUP(E612,SMMLV!$A$2:$A$36,SMMLV!$D$2:$D$100),3))</f>
        <v/>
      </c>
      <c r="K612" s="782"/>
      <c r="L612" s="444">
        <v>7</v>
      </c>
      <c r="M612" s="781" t="str">
        <f t="shared" si="58"/>
        <v>NO APLICA</v>
      </c>
      <c r="N612" s="781"/>
    </row>
    <row r="613" spans="2:14">
      <c r="B613" s="319"/>
      <c r="C613" s="319"/>
      <c r="D613" s="448"/>
      <c r="E613" s="320"/>
      <c r="F613" s="450" t="str">
        <f>IF(OR(D613="",E613=""),"",ROUND(D613/LOOKUP(E613,SMMLV!$A$2:$A$36,SMMLV!$D$2:$D$100),3))</f>
        <v/>
      </c>
      <c r="K613" s="782"/>
      <c r="L613" s="444">
        <v>8</v>
      </c>
      <c r="M613" s="781" t="str">
        <f t="shared" si="58"/>
        <v>NO APLICA</v>
      </c>
      <c r="N613" s="781"/>
    </row>
    <row r="614" spans="2:14">
      <c r="B614" s="319"/>
      <c r="C614" s="319"/>
      <c r="D614" s="448"/>
      <c r="E614" s="320"/>
      <c r="F614" s="450" t="str">
        <f>IF(OR(D614="",E614=""),"",ROUND(D614/LOOKUP(E614,SMMLV!$A$2:$A$36,SMMLV!$D$2:$D$100),3))</f>
        <v/>
      </c>
      <c r="K614" s="782"/>
      <c r="L614" s="444">
        <v>9</v>
      </c>
      <c r="M614" s="781" t="str">
        <f t="shared" si="58"/>
        <v>NO APLICA</v>
      </c>
      <c r="N614" s="781"/>
    </row>
    <row r="615" spans="2:14">
      <c r="B615" s="319"/>
      <c r="C615" s="319"/>
      <c r="D615" s="448"/>
      <c r="E615" s="320"/>
      <c r="F615" s="450" t="str">
        <f>IF(OR(D615="",E615=""),"",ROUND(D615/LOOKUP(E615,SMMLV!$A$2:$A$36,SMMLV!$D$2:$D$100),3))</f>
        <v/>
      </c>
      <c r="K615" s="782"/>
      <c r="L615" s="444">
        <v>10</v>
      </c>
      <c r="M615" s="781" t="str">
        <f t="shared" si="58"/>
        <v>NO APLICA</v>
      </c>
      <c r="N615" s="781"/>
    </row>
    <row r="616" spans="2:14">
      <c r="B616" s="319"/>
      <c r="C616" s="319"/>
      <c r="D616" s="448"/>
      <c r="E616" s="320"/>
      <c r="F616" s="450" t="str">
        <f>IF(OR(D616="",E616=""),"",ROUND(D616/LOOKUP(E616,SMMLV!$A$2:$A$36,SMMLV!$D$2:$D$100),3))</f>
        <v/>
      </c>
      <c r="K616" s="782">
        <v>62</v>
      </c>
      <c r="L616" s="444">
        <v>1</v>
      </c>
      <c r="M616" s="781" t="str">
        <f t="shared" ref="M616:M625" si="59">IF(SUMIFS($F$5:$F$1200,$B$5:$B$1200,$K$616,$C$5:$C$1200,$L616)=0,"NO APLICA",ROUND(SUMIFS($F$5:$F$1200,$B$5:$B$1200,$K$616,$C$5:$C$1200,$L616),3))</f>
        <v>NO APLICA</v>
      </c>
      <c r="N616" s="781"/>
    </row>
    <row r="617" spans="2:14">
      <c r="B617" s="319"/>
      <c r="C617" s="319"/>
      <c r="D617" s="448"/>
      <c r="E617" s="320"/>
      <c r="F617" s="450" t="str">
        <f>IF(OR(D617="",E617=""),"",ROUND(D617/LOOKUP(E617,SMMLV!$A$2:$A$36,SMMLV!$D$2:$D$100),3))</f>
        <v/>
      </c>
      <c r="K617" s="782"/>
      <c r="L617" s="444">
        <v>2</v>
      </c>
      <c r="M617" s="781" t="str">
        <f t="shared" si="59"/>
        <v>NO APLICA</v>
      </c>
      <c r="N617" s="781"/>
    </row>
    <row r="618" spans="2:14">
      <c r="B618" s="319"/>
      <c r="C618" s="319"/>
      <c r="D618" s="448"/>
      <c r="E618" s="320"/>
      <c r="F618" s="450" t="str">
        <f>IF(OR(D618="",E618=""),"",ROUND(D618/LOOKUP(E618,SMMLV!$A$2:$A$36,SMMLV!$D$2:$D$100),3))</f>
        <v/>
      </c>
      <c r="K618" s="782"/>
      <c r="L618" s="444">
        <v>3</v>
      </c>
      <c r="M618" s="781" t="str">
        <f t="shared" si="59"/>
        <v>NO APLICA</v>
      </c>
      <c r="N618" s="781"/>
    </row>
    <row r="619" spans="2:14">
      <c r="B619" s="319"/>
      <c r="C619" s="319"/>
      <c r="D619" s="448"/>
      <c r="E619" s="320"/>
      <c r="F619" s="450" t="str">
        <f>IF(OR(D619="",E619=""),"",ROUND(D619/LOOKUP(E619,SMMLV!$A$2:$A$36,SMMLV!$D$2:$D$100),3))</f>
        <v/>
      </c>
      <c r="K619" s="782"/>
      <c r="L619" s="444">
        <v>4</v>
      </c>
      <c r="M619" s="781" t="str">
        <f t="shared" si="59"/>
        <v>NO APLICA</v>
      </c>
      <c r="N619" s="781"/>
    </row>
    <row r="620" spans="2:14">
      <c r="B620" s="319"/>
      <c r="C620" s="319"/>
      <c r="D620" s="448"/>
      <c r="E620" s="320"/>
      <c r="F620" s="450" t="str">
        <f>IF(OR(D620="",E620=""),"",ROUND(D620/LOOKUP(E620,SMMLV!$A$2:$A$36,SMMLV!$D$2:$D$100),3))</f>
        <v/>
      </c>
      <c r="K620" s="782"/>
      <c r="L620" s="444">
        <v>5</v>
      </c>
      <c r="M620" s="781" t="str">
        <f t="shared" si="59"/>
        <v>NO APLICA</v>
      </c>
      <c r="N620" s="781"/>
    </row>
    <row r="621" spans="2:14">
      <c r="B621" s="319"/>
      <c r="C621" s="319"/>
      <c r="D621" s="448"/>
      <c r="E621" s="320"/>
      <c r="F621" s="450" t="str">
        <f>IF(OR(D621="",E621=""),"",ROUND(D621/LOOKUP(E621,SMMLV!$A$2:$A$36,SMMLV!$D$2:$D$100),3))</f>
        <v/>
      </c>
      <c r="K621" s="782"/>
      <c r="L621" s="444">
        <v>6</v>
      </c>
      <c r="M621" s="781" t="str">
        <f t="shared" si="59"/>
        <v>NO APLICA</v>
      </c>
      <c r="N621" s="781"/>
    </row>
    <row r="622" spans="2:14">
      <c r="B622" s="319"/>
      <c r="C622" s="319"/>
      <c r="D622" s="448"/>
      <c r="E622" s="320"/>
      <c r="F622" s="450" t="str">
        <f>IF(OR(D622="",E622=""),"",ROUND(D622/LOOKUP(E622,SMMLV!$A$2:$A$36,SMMLV!$D$2:$D$100),3))</f>
        <v/>
      </c>
      <c r="K622" s="782"/>
      <c r="L622" s="444">
        <v>7</v>
      </c>
      <c r="M622" s="781" t="str">
        <f t="shared" si="59"/>
        <v>NO APLICA</v>
      </c>
      <c r="N622" s="781"/>
    </row>
    <row r="623" spans="2:14">
      <c r="B623" s="319"/>
      <c r="C623" s="319"/>
      <c r="D623" s="448"/>
      <c r="E623" s="320"/>
      <c r="F623" s="450" t="str">
        <f>IF(OR(D623="",E623=""),"",ROUND(D623/LOOKUP(E623,SMMLV!$A$2:$A$36,SMMLV!$D$2:$D$100),3))</f>
        <v/>
      </c>
      <c r="K623" s="782"/>
      <c r="L623" s="444">
        <v>8</v>
      </c>
      <c r="M623" s="781" t="str">
        <f t="shared" si="59"/>
        <v>NO APLICA</v>
      </c>
      <c r="N623" s="781"/>
    </row>
    <row r="624" spans="2:14">
      <c r="B624" s="319"/>
      <c r="C624" s="319"/>
      <c r="D624" s="448"/>
      <c r="E624" s="320"/>
      <c r="F624" s="450" t="str">
        <f>IF(OR(D624="",E624=""),"",ROUND(D624/LOOKUP(E624,SMMLV!$A$2:$A$36,SMMLV!$D$2:$D$100),3))</f>
        <v/>
      </c>
      <c r="K624" s="782"/>
      <c r="L624" s="444">
        <v>9</v>
      </c>
      <c r="M624" s="781" t="str">
        <f t="shared" si="59"/>
        <v>NO APLICA</v>
      </c>
      <c r="N624" s="781"/>
    </row>
    <row r="625" spans="2:14">
      <c r="B625" s="319"/>
      <c r="C625" s="319"/>
      <c r="D625" s="448"/>
      <c r="E625" s="320"/>
      <c r="F625" s="450" t="str">
        <f>IF(OR(D625="",E625=""),"",ROUND(D625/LOOKUP(E625,SMMLV!$A$2:$A$36,SMMLV!$D$2:$D$100),3))</f>
        <v/>
      </c>
      <c r="K625" s="782"/>
      <c r="L625" s="444">
        <v>10</v>
      </c>
      <c r="M625" s="781" t="str">
        <f t="shared" si="59"/>
        <v>NO APLICA</v>
      </c>
      <c r="N625" s="781"/>
    </row>
    <row r="626" spans="2:14">
      <c r="B626" s="319"/>
      <c r="C626" s="319"/>
      <c r="D626" s="448"/>
      <c r="E626" s="320"/>
      <c r="F626" s="450" t="str">
        <f>IF(OR(D626="",E626=""),"",ROUND(D626/LOOKUP(E626,SMMLV!$A$2:$A$36,SMMLV!$D$2:$D$100),3))</f>
        <v/>
      </c>
      <c r="K626" s="782">
        <v>63</v>
      </c>
      <c r="L626" s="444">
        <v>1</v>
      </c>
      <c r="M626" s="781" t="str">
        <f t="shared" ref="M626:M635" si="60">IF(SUMIFS($F$5:$F$1200,$B$5:$B$1200,$K$626,$C$5:$C$1200,$L626)=0,"NO APLICA",ROUND(SUMIFS($F$5:$F$1200,$B$5:$B$1200,$K$626,$C$5:$C$1200,$L626),3))</f>
        <v>NO APLICA</v>
      </c>
      <c r="N626" s="781"/>
    </row>
    <row r="627" spans="2:14">
      <c r="B627" s="319"/>
      <c r="C627" s="319"/>
      <c r="D627" s="448"/>
      <c r="E627" s="320"/>
      <c r="F627" s="450" t="str">
        <f>IF(OR(D627="",E627=""),"",ROUND(D627/LOOKUP(E627,SMMLV!$A$2:$A$36,SMMLV!$D$2:$D$100),3))</f>
        <v/>
      </c>
      <c r="K627" s="782"/>
      <c r="L627" s="444">
        <v>2</v>
      </c>
      <c r="M627" s="781" t="str">
        <f t="shared" si="60"/>
        <v>NO APLICA</v>
      </c>
      <c r="N627" s="781"/>
    </row>
    <row r="628" spans="2:14">
      <c r="B628" s="319"/>
      <c r="C628" s="319"/>
      <c r="D628" s="448"/>
      <c r="E628" s="320"/>
      <c r="F628" s="450" t="str">
        <f>IF(OR(D628="",E628=""),"",ROUND(D628/LOOKUP(E628,SMMLV!$A$2:$A$36,SMMLV!$D$2:$D$100),3))</f>
        <v/>
      </c>
      <c r="K628" s="782"/>
      <c r="L628" s="444">
        <v>3</v>
      </c>
      <c r="M628" s="781" t="str">
        <f t="shared" si="60"/>
        <v>NO APLICA</v>
      </c>
      <c r="N628" s="781"/>
    </row>
    <row r="629" spans="2:14">
      <c r="B629" s="319"/>
      <c r="C629" s="319"/>
      <c r="D629" s="448"/>
      <c r="E629" s="320"/>
      <c r="F629" s="450" t="str">
        <f>IF(OR(D629="",E629=""),"",ROUND(D629/LOOKUP(E629,SMMLV!$A$2:$A$36,SMMLV!$D$2:$D$100),3))</f>
        <v/>
      </c>
      <c r="K629" s="782"/>
      <c r="L629" s="444">
        <v>4</v>
      </c>
      <c r="M629" s="781" t="str">
        <f t="shared" si="60"/>
        <v>NO APLICA</v>
      </c>
      <c r="N629" s="781"/>
    </row>
    <row r="630" spans="2:14">
      <c r="B630" s="319"/>
      <c r="C630" s="319"/>
      <c r="D630" s="448"/>
      <c r="E630" s="320"/>
      <c r="F630" s="450" t="str">
        <f>IF(OR(D630="",E630=""),"",ROUND(D630/LOOKUP(E630,SMMLV!$A$2:$A$36,SMMLV!$D$2:$D$100),3))</f>
        <v/>
      </c>
      <c r="K630" s="782"/>
      <c r="L630" s="444">
        <v>5</v>
      </c>
      <c r="M630" s="781" t="str">
        <f t="shared" si="60"/>
        <v>NO APLICA</v>
      </c>
      <c r="N630" s="781"/>
    </row>
    <row r="631" spans="2:14">
      <c r="B631" s="319"/>
      <c r="C631" s="319"/>
      <c r="D631" s="448"/>
      <c r="E631" s="320"/>
      <c r="F631" s="450" t="str">
        <f>IF(OR(D631="",E631=""),"",ROUND(D631/LOOKUP(E631,SMMLV!$A$2:$A$36,SMMLV!$D$2:$D$100),3))</f>
        <v/>
      </c>
      <c r="K631" s="782"/>
      <c r="L631" s="444">
        <v>6</v>
      </c>
      <c r="M631" s="781" t="str">
        <f t="shared" si="60"/>
        <v>NO APLICA</v>
      </c>
      <c r="N631" s="781"/>
    </row>
    <row r="632" spans="2:14">
      <c r="B632" s="319"/>
      <c r="C632" s="319"/>
      <c r="D632" s="448"/>
      <c r="E632" s="320"/>
      <c r="F632" s="450" t="str">
        <f>IF(OR(D632="",E632=""),"",ROUND(D632/LOOKUP(E632,SMMLV!$A$2:$A$36,SMMLV!$D$2:$D$100),3))</f>
        <v/>
      </c>
      <c r="K632" s="782"/>
      <c r="L632" s="444">
        <v>7</v>
      </c>
      <c r="M632" s="781" t="str">
        <f t="shared" si="60"/>
        <v>NO APLICA</v>
      </c>
      <c r="N632" s="781"/>
    </row>
    <row r="633" spans="2:14">
      <c r="B633" s="319"/>
      <c r="C633" s="319"/>
      <c r="D633" s="448"/>
      <c r="E633" s="320"/>
      <c r="F633" s="450" t="str">
        <f>IF(OR(D633="",E633=""),"",ROUND(D633/LOOKUP(E633,SMMLV!$A$2:$A$36,SMMLV!$D$2:$D$100),3))</f>
        <v/>
      </c>
      <c r="K633" s="782"/>
      <c r="L633" s="444">
        <v>8</v>
      </c>
      <c r="M633" s="781" t="str">
        <f t="shared" si="60"/>
        <v>NO APLICA</v>
      </c>
      <c r="N633" s="781"/>
    </row>
    <row r="634" spans="2:14">
      <c r="B634" s="319"/>
      <c r="C634" s="319"/>
      <c r="D634" s="448"/>
      <c r="E634" s="320"/>
      <c r="F634" s="450" t="str">
        <f>IF(OR(D634="",E634=""),"",ROUND(D634/LOOKUP(E634,SMMLV!$A$2:$A$36,SMMLV!$D$2:$D$100),3))</f>
        <v/>
      </c>
      <c r="K634" s="782"/>
      <c r="L634" s="444">
        <v>9</v>
      </c>
      <c r="M634" s="781" t="str">
        <f t="shared" si="60"/>
        <v>NO APLICA</v>
      </c>
      <c r="N634" s="781"/>
    </row>
    <row r="635" spans="2:14">
      <c r="B635" s="319"/>
      <c r="C635" s="319"/>
      <c r="D635" s="448"/>
      <c r="E635" s="320"/>
      <c r="F635" s="450" t="str">
        <f>IF(OR(D635="",E635=""),"",ROUND(D635/LOOKUP(E635,SMMLV!$A$2:$A$36,SMMLV!$D$2:$D$100),3))</f>
        <v/>
      </c>
      <c r="K635" s="782"/>
      <c r="L635" s="444">
        <v>10</v>
      </c>
      <c r="M635" s="781" t="str">
        <f t="shared" si="60"/>
        <v>NO APLICA</v>
      </c>
      <c r="N635" s="781"/>
    </row>
    <row r="636" spans="2:14">
      <c r="B636" s="319"/>
      <c r="C636" s="319"/>
      <c r="D636" s="448"/>
      <c r="E636" s="320"/>
      <c r="F636" s="450" t="str">
        <f>IF(OR(D636="",E636=""),"",ROUND(D636/LOOKUP(E636,SMMLV!$A$2:$A$36,SMMLV!$D$2:$D$100),3))</f>
        <v/>
      </c>
      <c r="K636" s="782">
        <v>64</v>
      </c>
      <c r="L636" s="444">
        <v>1</v>
      </c>
      <c r="M636" s="781" t="str">
        <f t="shared" ref="M636:M645" si="61">IF(SUMIFS($F$5:$F$1200,$B$5:$B$1200,$K$636,$C$5:$C$1200,$L636)=0,"NO APLICA",ROUND(SUMIFS($F$5:$F$1200,$B$5:$B$1200,$K$636,$C$5:$C$1200,$L636),3))</f>
        <v>NO APLICA</v>
      </c>
      <c r="N636" s="781"/>
    </row>
    <row r="637" spans="2:14">
      <c r="B637" s="319"/>
      <c r="C637" s="319"/>
      <c r="D637" s="448"/>
      <c r="E637" s="320"/>
      <c r="F637" s="450" t="str">
        <f>IF(OR(D637="",E637=""),"",ROUND(D637/LOOKUP(E637,SMMLV!$A$2:$A$36,SMMLV!$D$2:$D$100),3))</f>
        <v/>
      </c>
      <c r="K637" s="782"/>
      <c r="L637" s="444">
        <v>2</v>
      </c>
      <c r="M637" s="781" t="str">
        <f t="shared" si="61"/>
        <v>NO APLICA</v>
      </c>
      <c r="N637" s="781"/>
    </row>
    <row r="638" spans="2:14">
      <c r="B638" s="319"/>
      <c r="C638" s="319"/>
      <c r="D638" s="448"/>
      <c r="E638" s="320"/>
      <c r="F638" s="450" t="str">
        <f>IF(OR(D638="",E638=""),"",ROUND(D638/LOOKUP(E638,SMMLV!$A$2:$A$36,SMMLV!$D$2:$D$100),3))</f>
        <v/>
      </c>
      <c r="K638" s="782"/>
      <c r="L638" s="444">
        <v>3</v>
      </c>
      <c r="M638" s="781" t="str">
        <f t="shared" si="61"/>
        <v>NO APLICA</v>
      </c>
      <c r="N638" s="781"/>
    </row>
    <row r="639" spans="2:14">
      <c r="B639" s="319"/>
      <c r="C639" s="319"/>
      <c r="D639" s="448"/>
      <c r="E639" s="320"/>
      <c r="F639" s="450" t="str">
        <f>IF(OR(D639="",E639=""),"",ROUND(D639/LOOKUP(E639,SMMLV!$A$2:$A$36,SMMLV!$D$2:$D$100),3))</f>
        <v/>
      </c>
      <c r="K639" s="782"/>
      <c r="L639" s="444">
        <v>4</v>
      </c>
      <c r="M639" s="781" t="str">
        <f t="shared" si="61"/>
        <v>NO APLICA</v>
      </c>
      <c r="N639" s="781"/>
    </row>
    <row r="640" spans="2:14">
      <c r="B640" s="319"/>
      <c r="C640" s="319"/>
      <c r="D640" s="448"/>
      <c r="E640" s="320"/>
      <c r="F640" s="450" t="str">
        <f>IF(OR(D640="",E640=""),"",ROUND(D640/LOOKUP(E640,SMMLV!$A$2:$A$36,SMMLV!$D$2:$D$100),3))</f>
        <v/>
      </c>
      <c r="K640" s="782"/>
      <c r="L640" s="444">
        <v>5</v>
      </c>
      <c r="M640" s="781" t="str">
        <f t="shared" si="61"/>
        <v>NO APLICA</v>
      </c>
      <c r="N640" s="781"/>
    </row>
    <row r="641" spans="2:14">
      <c r="B641" s="319"/>
      <c r="C641" s="319"/>
      <c r="D641" s="448"/>
      <c r="E641" s="320"/>
      <c r="F641" s="450" t="str">
        <f>IF(OR(D641="",E641=""),"",ROUND(D641/LOOKUP(E641,SMMLV!$A$2:$A$36,SMMLV!$D$2:$D$100),3))</f>
        <v/>
      </c>
      <c r="K641" s="782"/>
      <c r="L641" s="444">
        <v>6</v>
      </c>
      <c r="M641" s="781" t="str">
        <f t="shared" si="61"/>
        <v>NO APLICA</v>
      </c>
      <c r="N641" s="781"/>
    </row>
    <row r="642" spans="2:14">
      <c r="B642" s="319"/>
      <c r="C642" s="319"/>
      <c r="D642" s="448"/>
      <c r="E642" s="320"/>
      <c r="F642" s="450" t="str">
        <f>IF(OR(D642="",E642=""),"",ROUND(D642/LOOKUP(E642,SMMLV!$A$2:$A$36,SMMLV!$D$2:$D$100),3))</f>
        <v/>
      </c>
      <c r="K642" s="782"/>
      <c r="L642" s="444">
        <v>7</v>
      </c>
      <c r="M642" s="781" t="str">
        <f t="shared" si="61"/>
        <v>NO APLICA</v>
      </c>
      <c r="N642" s="781"/>
    </row>
    <row r="643" spans="2:14">
      <c r="B643" s="319"/>
      <c r="C643" s="319"/>
      <c r="D643" s="448"/>
      <c r="E643" s="320"/>
      <c r="F643" s="450" t="str">
        <f>IF(OR(D643="",E643=""),"",ROUND(D643/LOOKUP(E643,SMMLV!$A$2:$A$36,SMMLV!$D$2:$D$100),3))</f>
        <v/>
      </c>
      <c r="K643" s="782"/>
      <c r="L643" s="444">
        <v>8</v>
      </c>
      <c r="M643" s="781" t="str">
        <f t="shared" si="61"/>
        <v>NO APLICA</v>
      </c>
      <c r="N643" s="781"/>
    </row>
    <row r="644" spans="2:14">
      <c r="B644" s="319"/>
      <c r="C644" s="319"/>
      <c r="D644" s="448"/>
      <c r="E644" s="320"/>
      <c r="F644" s="450" t="str">
        <f>IF(OR(D644="",E644=""),"",ROUND(D644/LOOKUP(E644,SMMLV!$A$2:$A$36,SMMLV!$D$2:$D$100),3))</f>
        <v/>
      </c>
      <c r="K644" s="782"/>
      <c r="L644" s="444">
        <v>9</v>
      </c>
      <c r="M644" s="781" t="str">
        <f t="shared" si="61"/>
        <v>NO APLICA</v>
      </c>
      <c r="N644" s="781"/>
    </row>
    <row r="645" spans="2:14">
      <c r="B645" s="319"/>
      <c r="C645" s="319"/>
      <c r="D645" s="448"/>
      <c r="E645" s="320"/>
      <c r="F645" s="450" t="str">
        <f>IF(OR(D645="",E645=""),"",ROUND(D645/LOOKUP(E645,SMMLV!$A$2:$A$36,SMMLV!$D$2:$D$100),3))</f>
        <v/>
      </c>
      <c r="K645" s="782"/>
      <c r="L645" s="444">
        <v>10</v>
      </c>
      <c r="M645" s="781" t="str">
        <f t="shared" si="61"/>
        <v>NO APLICA</v>
      </c>
      <c r="N645" s="781"/>
    </row>
    <row r="646" spans="2:14">
      <c r="B646" s="319"/>
      <c r="C646" s="319"/>
      <c r="D646" s="448"/>
      <c r="E646" s="320"/>
      <c r="F646" s="450" t="str">
        <f>IF(OR(D646="",E646=""),"",ROUND(D646/LOOKUP(E646,SMMLV!$A$2:$A$36,SMMLV!$D$2:$D$100),3))</f>
        <v/>
      </c>
      <c r="K646" s="782">
        <v>65</v>
      </c>
      <c r="L646" s="444">
        <v>1</v>
      </c>
      <c r="M646" s="781" t="str">
        <f t="shared" ref="M646:M655" si="62">IF(SUMIFS($F$5:$F$1200,$B$5:$B$1200,$K$646,$C$5:$C$1200,$L646)=0,"NO APLICA",ROUND(SUMIFS($F$5:$F$1200,$B$5:$B$1200,$K$646,$C$5:$C$1200,$L646),3))</f>
        <v>NO APLICA</v>
      </c>
      <c r="N646" s="781"/>
    </row>
    <row r="647" spans="2:14">
      <c r="B647" s="319"/>
      <c r="C647" s="319"/>
      <c r="D647" s="448"/>
      <c r="E647" s="320"/>
      <c r="F647" s="450" t="str">
        <f>IF(OR(D647="",E647=""),"",ROUND(D647/LOOKUP(E647,SMMLV!$A$2:$A$36,SMMLV!$D$2:$D$100),3))</f>
        <v/>
      </c>
      <c r="K647" s="782"/>
      <c r="L647" s="444">
        <v>2</v>
      </c>
      <c r="M647" s="781" t="str">
        <f t="shared" si="62"/>
        <v>NO APLICA</v>
      </c>
      <c r="N647" s="781"/>
    </row>
    <row r="648" spans="2:14">
      <c r="B648" s="319"/>
      <c r="C648" s="319"/>
      <c r="D648" s="448"/>
      <c r="E648" s="320"/>
      <c r="F648" s="450" t="str">
        <f>IF(OR(D648="",E648=""),"",ROUND(D648/LOOKUP(E648,SMMLV!$A$2:$A$36,SMMLV!$D$2:$D$100),3))</f>
        <v/>
      </c>
      <c r="K648" s="782"/>
      <c r="L648" s="444">
        <v>3</v>
      </c>
      <c r="M648" s="781" t="str">
        <f t="shared" si="62"/>
        <v>NO APLICA</v>
      </c>
      <c r="N648" s="781"/>
    </row>
    <row r="649" spans="2:14">
      <c r="B649" s="319"/>
      <c r="C649" s="319"/>
      <c r="D649" s="448"/>
      <c r="E649" s="320"/>
      <c r="F649" s="450" t="str">
        <f>IF(OR(D649="",E649=""),"",ROUND(D649/LOOKUP(E649,SMMLV!$A$2:$A$36,SMMLV!$D$2:$D$100),3))</f>
        <v/>
      </c>
      <c r="K649" s="782"/>
      <c r="L649" s="444">
        <v>4</v>
      </c>
      <c r="M649" s="781" t="str">
        <f t="shared" si="62"/>
        <v>NO APLICA</v>
      </c>
      <c r="N649" s="781"/>
    </row>
    <row r="650" spans="2:14">
      <c r="B650" s="319"/>
      <c r="C650" s="319"/>
      <c r="D650" s="448"/>
      <c r="E650" s="320"/>
      <c r="F650" s="450" t="str">
        <f>IF(OR(D650="",E650=""),"",ROUND(D650/LOOKUP(E650,SMMLV!$A$2:$A$36,SMMLV!$D$2:$D$100),3))</f>
        <v/>
      </c>
      <c r="K650" s="782"/>
      <c r="L650" s="444">
        <v>5</v>
      </c>
      <c r="M650" s="781" t="str">
        <f t="shared" si="62"/>
        <v>NO APLICA</v>
      </c>
      <c r="N650" s="781"/>
    </row>
    <row r="651" spans="2:14">
      <c r="B651" s="319"/>
      <c r="C651" s="319"/>
      <c r="D651" s="448"/>
      <c r="E651" s="320"/>
      <c r="F651" s="450" t="str">
        <f>IF(OR(D651="",E651=""),"",ROUND(D651/LOOKUP(E651,SMMLV!$A$2:$A$36,SMMLV!$D$2:$D$100),3))</f>
        <v/>
      </c>
      <c r="K651" s="782"/>
      <c r="L651" s="444">
        <v>6</v>
      </c>
      <c r="M651" s="781" t="str">
        <f t="shared" si="62"/>
        <v>NO APLICA</v>
      </c>
      <c r="N651" s="781"/>
    </row>
    <row r="652" spans="2:14">
      <c r="B652" s="319"/>
      <c r="C652" s="319"/>
      <c r="D652" s="448"/>
      <c r="E652" s="320"/>
      <c r="F652" s="450" t="str">
        <f>IF(OR(D652="",E652=""),"",ROUND(D652/LOOKUP(E652,SMMLV!$A$2:$A$36,SMMLV!$D$2:$D$100),3))</f>
        <v/>
      </c>
      <c r="K652" s="782"/>
      <c r="L652" s="444">
        <v>7</v>
      </c>
      <c r="M652" s="781" t="str">
        <f t="shared" si="62"/>
        <v>NO APLICA</v>
      </c>
      <c r="N652" s="781"/>
    </row>
    <row r="653" spans="2:14">
      <c r="B653" s="319"/>
      <c r="C653" s="319"/>
      <c r="D653" s="448"/>
      <c r="E653" s="320"/>
      <c r="F653" s="450" t="str">
        <f>IF(OR(D653="",E653=""),"",ROUND(D653/LOOKUP(E653,SMMLV!$A$2:$A$36,SMMLV!$D$2:$D$100),3))</f>
        <v/>
      </c>
      <c r="K653" s="782"/>
      <c r="L653" s="444">
        <v>8</v>
      </c>
      <c r="M653" s="781" t="str">
        <f t="shared" si="62"/>
        <v>NO APLICA</v>
      </c>
      <c r="N653" s="781"/>
    </row>
    <row r="654" spans="2:14">
      <c r="B654" s="319"/>
      <c r="C654" s="319"/>
      <c r="D654" s="448"/>
      <c r="E654" s="320"/>
      <c r="F654" s="450" t="str">
        <f>IF(OR(D654="",E654=""),"",ROUND(D654/LOOKUP(E654,SMMLV!$A$2:$A$36,SMMLV!$D$2:$D$100),3))</f>
        <v/>
      </c>
      <c r="K654" s="782"/>
      <c r="L654" s="444">
        <v>9</v>
      </c>
      <c r="M654" s="781" t="str">
        <f t="shared" si="62"/>
        <v>NO APLICA</v>
      </c>
      <c r="N654" s="781"/>
    </row>
    <row r="655" spans="2:14">
      <c r="B655" s="319"/>
      <c r="C655" s="319"/>
      <c r="D655" s="448"/>
      <c r="E655" s="320"/>
      <c r="F655" s="450" t="str">
        <f>IF(OR(D655="",E655=""),"",ROUND(D655/LOOKUP(E655,SMMLV!$A$2:$A$36,SMMLV!$D$2:$D$100),3))</f>
        <v/>
      </c>
      <c r="K655" s="782"/>
      <c r="L655" s="444">
        <v>10</v>
      </c>
      <c r="M655" s="781" t="str">
        <f t="shared" si="62"/>
        <v>NO APLICA</v>
      </c>
      <c r="N655" s="781"/>
    </row>
    <row r="656" spans="2:14">
      <c r="B656" s="319"/>
      <c r="C656" s="319"/>
      <c r="D656" s="448"/>
      <c r="E656" s="320"/>
      <c r="F656" s="450" t="str">
        <f>IF(OR(D656="",E656=""),"",ROUND(D656/LOOKUP(E656,SMMLV!$A$2:$A$36,SMMLV!$D$2:$D$100),3))</f>
        <v/>
      </c>
      <c r="K656" s="782">
        <v>66</v>
      </c>
      <c r="L656" s="444">
        <v>1</v>
      </c>
      <c r="M656" s="781" t="str">
        <f t="shared" ref="M656:M665" si="63">IF(SUMIFS($F$5:$F$1200,$B$5:$B$1200,$K$656,$C$5:$C$1200,$L656)=0,"NO APLICA",ROUND(SUMIFS($F$5:$F$1200,$B$5:$B$1200,$K$656,$C$5:$C$1200,$L656),3))</f>
        <v>NO APLICA</v>
      </c>
      <c r="N656" s="781"/>
    </row>
    <row r="657" spans="2:14">
      <c r="B657" s="319"/>
      <c r="C657" s="319"/>
      <c r="D657" s="448"/>
      <c r="E657" s="320"/>
      <c r="F657" s="450" t="str">
        <f>IF(OR(D657="",E657=""),"",ROUND(D657/LOOKUP(E657,SMMLV!$A$2:$A$36,SMMLV!$D$2:$D$100),3))</f>
        <v/>
      </c>
      <c r="K657" s="782"/>
      <c r="L657" s="444">
        <v>2</v>
      </c>
      <c r="M657" s="781" t="str">
        <f t="shared" si="63"/>
        <v>NO APLICA</v>
      </c>
      <c r="N657" s="781"/>
    </row>
    <row r="658" spans="2:14">
      <c r="B658" s="319"/>
      <c r="C658" s="319"/>
      <c r="D658" s="448"/>
      <c r="E658" s="320"/>
      <c r="F658" s="450" t="str">
        <f>IF(OR(D658="",E658=""),"",ROUND(D658/LOOKUP(E658,SMMLV!$A$2:$A$36,SMMLV!$D$2:$D$100),3))</f>
        <v/>
      </c>
      <c r="K658" s="782"/>
      <c r="L658" s="444">
        <v>3</v>
      </c>
      <c r="M658" s="781" t="str">
        <f t="shared" si="63"/>
        <v>NO APLICA</v>
      </c>
      <c r="N658" s="781"/>
    </row>
    <row r="659" spans="2:14">
      <c r="B659" s="319"/>
      <c r="C659" s="319"/>
      <c r="D659" s="448"/>
      <c r="E659" s="320"/>
      <c r="F659" s="450" t="str">
        <f>IF(OR(D659="",E659=""),"",ROUND(D659/LOOKUP(E659,SMMLV!$A$2:$A$36,SMMLV!$D$2:$D$100),3))</f>
        <v/>
      </c>
      <c r="K659" s="782"/>
      <c r="L659" s="444">
        <v>4</v>
      </c>
      <c r="M659" s="781" t="str">
        <f t="shared" si="63"/>
        <v>NO APLICA</v>
      </c>
      <c r="N659" s="781"/>
    </row>
    <row r="660" spans="2:14">
      <c r="B660" s="319"/>
      <c r="C660" s="319"/>
      <c r="D660" s="448"/>
      <c r="E660" s="320"/>
      <c r="F660" s="450" t="str">
        <f>IF(OR(D660="",E660=""),"",ROUND(D660/LOOKUP(E660,SMMLV!$A$2:$A$36,SMMLV!$D$2:$D$100),3))</f>
        <v/>
      </c>
      <c r="K660" s="782"/>
      <c r="L660" s="444">
        <v>5</v>
      </c>
      <c r="M660" s="781" t="str">
        <f t="shared" si="63"/>
        <v>NO APLICA</v>
      </c>
      <c r="N660" s="781"/>
    </row>
    <row r="661" spans="2:14">
      <c r="B661" s="319"/>
      <c r="C661" s="319"/>
      <c r="D661" s="448"/>
      <c r="E661" s="320"/>
      <c r="F661" s="450" t="str">
        <f>IF(OR(D661="",E661=""),"",ROUND(D661/LOOKUP(E661,SMMLV!$A$2:$A$36,SMMLV!$D$2:$D$100),3))</f>
        <v/>
      </c>
      <c r="K661" s="782"/>
      <c r="L661" s="444">
        <v>6</v>
      </c>
      <c r="M661" s="781" t="str">
        <f t="shared" si="63"/>
        <v>NO APLICA</v>
      </c>
      <c r="N661" s="781"/>
    </row>
    <row r="662" spans="2:14">
      <c r="B662" s="319"/>
      <c r="C662" s="319"/>
      <c r="D662" s="448"/>
      <c r="E662" s="320"/>
      <c r="F662" s="450" t="str">
        <f>IF(OR(D662="",E662=""),"",ROUND(D662/LOOKUP(E662,SMMLV!$A$2:$A$36,SMMLV!$D$2:$D$100),3))</f>
        <v/>
      </c>
      <c r="K662" s="782"/>
      <c r="L662" s="444">
        <v>7</v>
      </c>
      <c r="M662" s="781" t="str">
        <f t="shared" si="63"/>
        <v>NO APLICA</v>
      </c>
      <c r="N662" s="781"/>
    </row>
    <row r="663" spans="2:14">
      <c r="B663" s="319"/>
      <c r="C663" s="319"/>
      <c r="D663" s="448"/>
      <c r="E663" s="320"/>
      <c r="F663" s="450" t="str">
        <f>IF(OR(D663="",E663=""),"",ROUND(D663/LOOKUP(E663,SMMLV!$A$2:$A$36,SMMLV!$D$2:$D$100),3))</f>
        <v/>
      </c>
      <c r="K663" s="782"/>
      <c r="L663" s="444">
        <v>8</v>
      </c>
      <c r="M663" s="781" t="str">
        <f t="shared" si="63"/>
        <v>NO APLICA</v>
      </c>
      <c r="N663" s="781"/>
    </row>
    <row r="664" spans="2:14">
      <c r="B664" s="319"/>
      <c r="C664" s="319"/>
      <c r="D664" s="448"/>
      <c r="E664" s="320"/>
      <c r="F664" s="450" t="str">
        <f>IF(OR(D664="",E664=""),"",ROUND(D664/LOOKUP(E664,SMMLV!$A$2:$A$36,SMMLV!$D$2:$D$100),3))</f>
        <v/>
      </c>
      <c r="K664" s="782"/>
      <c r="L664" s="444">
        <v>9</v>
      </c>
      <c r="M664" s="781" t="str">
        <f t="shared" si="63"/>
        <v>NO APLICA</v>
      </c>
      <c r="N664" s="781"/>
    </row>
    <row r="665" spans="2:14">
      <c r="B665" s="319"/>
      <c r="C665" s="319"/>
      <c r="D665" s="448"/>
      <c r="E665" s="320"/>
      <c r="F665" s="450" t="str">
        <f>IF(OR(D665="",E665=""),"",ROUND(D665/LOOKUP(E665,SMMLV!$A$2:$A$36,SMMLV!$D$2:$D$100),3))</f>
        <v/>
      </c>
      <c r="K665" s="782"/>
      <c r="L665" s="444">
        <v>10</v>
      </c>
      <c r="M665" s="781" t="str">
        <f t="shared" si="63"/>
        <v>NO APLICA</v>
      </c>
      <c r="N665" s="781"/>
    </row>
    <row r="666" spans="2:14">
      <c r="B666" s="319"/>
      <c r="C666" s="319"/>
      <c r="D666" s="448"/>
      <c r="E666" s="320"/>
      <c r="F666" s="450" t="str">
        <f>IF(OR(D666="",E666=""),"",ROUND(D666/LOOKUP(E666,SMMLV!$A$2:$A$36,SMMLV!$D$2:$D$100),3))</f>
        <v/>
      </c>
      <c r="K666" s="782">
        <v>67</v>
      </c>
      <c r="L666" s="444">
        <v>1</v>
      </c>
      <c r="M666" s="781" t="str">
        <f t="shared" ref="M666:M675" si="64">IF(SUMIFS($F$5:$F$1200,$B$5:$B$1200,$K$666,$C$5:$C$1200,$L666)=0,"NO APLICA",ROUND(SUMIFS($F$5:$F$1200,$B$5:$B$1200,$K$666,$C$5:$C$1200,$L666),3))</f>
        <v>NO APLICA</v>
      </c>
      <c r="N666" s="781"/>
    </row>
    <row r="667" spans="2:14">
      <c r="B667" s="319"/>
      <c r="C667" s="319"/>
      <c r="D667" s="448"/>
      <c r="E667" s="320"/>
      <c r="F667" s="450" t="str">
        <f>IF(OR(D667="",E667=""),"",ROUND(D667/LOOKUP(E667,SMMLV!$A$2:$A$36,SMMLV!$D$2:$D$100),3))</f>
        <v/>
      </c>
      <c r="K667" s="782"/>
      <c r="L667" s="444">
        <v>2</v>
      </c>
      <c r="M667" s="781" t="str">
        <f t="shared" si="64"/>
        <v>NO APLICA</v>
      </c>
      <c r="N667" s="781"/>
    </row>
    <row r="668" spans="2:14">
      <c r="B668" s="319"/>
      <c r="C668" s="319"/>
      <c r="D668" s="448"/>
      <c r="E668" s="320"/>
      <c r="F668" s="450" t="str">
        <f>IF(OR(D668="",E668=""),"",ROUND(D668/LOOKUP(E668,SMMLV!$A$2:$A$36,SMMLV!$D$2:$D$100),3))</f>
        <v/>
      </c>
      <c r="K668" s="782"/>
      <c r="L668" s="444">
        <v>3</v>
      </c>
      <c r="M668" s="781" t="str">
        <f t="shared" si="64"/>
        <v>NO APLICA</v>
      </c>
      <c r="N668" s="781"/>
    </row>
    <row r="669" spans="2:14">
      <c r="B669" s="319"/>
      <c r="C669" s="319"/>
      <c r="D669" s="448"/>
      <c r="E669" s="320"/>
      <c r="F669" s="450" t="str">
        <f>IF(OR(D669="",E669=""),"",ROUND(D669/LOOKUP(E669,SMMLV!$A$2:$A$36,SMMLV!$D$2:$D$100),3))</f>
        <v/>
      </c>
      <c r="K669" s="782"/>
      <c r="L669" s="444">
        <v>4</v>
      </c>
      <c r="M669" s="781" t="str">
        <f t="shared" si="64"/>
        <v>NO APLICA</v>
      </c>
      <c r="N669" s="781"/>
    </row>
    <row r="670" spans="2:14">
      <c r="B670" s="319"/>
      <c r="C670" s="319"/>
      <c r="D670" s="448"/>
      <c r="E670" s="320"/>
      <c r="F670" s="450" t="str">
        <f>IF(OR(D670="",E670=""),"",ROUND(D670/LOOKUP(E670,SMMLV!$A$2:$A$36,SMMLV!$D$2:$D$100),3))</f>
        <v/>
      </c>
      <c r="K670" s="782"/>
      <c r="L670" s="444">
        <v>5</v>
      </c>
      <c r="M670" s="781" t="str">
        <f t="shared" si="64"/>
        <v>NO APLICA</v>
      </c>
      <c r="N670" s="781"/>
    </row>
    <row r="671" spans="2:14">
      <c r="B671" s="319"/>
      <c r="C671" s="319"/>
      <c r="D671" s="448"/>
      <c r="E671" s="320"/>
      <c r="F671" s="450" t="str">
        <f>IF(OR(D671="",E671=""),"",ROUND(D671/LOOKUP(E671,SMMLV!$A$2:$A$36,SMMLV!$D$2:$D$100),3))</f>
        <v/>
      </c>
      <c r="K671" s="782"/>
      <c r="L671" s="444">
        <v>6</v>
      </c>
      <c r="M671" s="781" t="str">
        <f t="shared" si="64"/>
        <v>NO APLICA</v>
      </c>
      <c r="N671" s="781"/>
    </row>
    <row r="672" spans="2:14">
      <c r="B672" s="319"/>
      <c r="C672" s="319"/>
      <c r="D672" s="448"/>
      <c r="E672" s="320"/>
      <c r="F672" s="450" t="str">
        <f>IF(OR(D672="",E672=""),"",ROUND(D672/LOOKUP(E672,SMMLV!$A$2:$A$36,SMMLV!$D$2:$D$100),3))</f>
        <v/>
      </c>
      <c r="K672" s="782"/>
      <c r="L672" s="444">
        <v>7</v>
      </c>
      <c r="M672" s="781" t="str">
        <f t="shared" si="64"/>
        <v>NO APLICA</v>
      </c>
      <c r="N672" s="781"/>
    </row>
    <row r="673" spans="2:14">
      <c r="B673" s="319"/>
      <c r="C673" s="319"/>
      <c r="D673" s="448"/>
      <c r="E673" s="320"/>
      <c r="F673" s="450" t="str">
        <f>IF(OR(D673="",E673=""),"",ROUND(D673/LOOKUP(E673,SMMLV!$A$2:$A$36,SMMLV!$D$2:$D$100),3))</f>
        <v/>
      </c>
      <c r="K673" s="782"/>
      <c r="L673" s="444">
        <v>8</v>
      </c>
      <c r="M673" s="781" t="str">
        <f t="shared" si="64"/>
        <v>NO APLICA</v>
      </c>
      <c r="N673" s="781"/>
    </row>
    <row r="674" spans="2:14">
      <c r="B674" s="319"/>
      <c r="C674" s="319"/>
      <c r="D674" s="448"/>
      <c r="E674" s="320"/>
      <c r="F674" s="450" t="str">
        <f>IF(OR(D674="",E674=""),"",ROUND(D674/LOOKUP(E674,SMMLV!$A$2:$A$36,SMMLV!$D$2:$D$100),3))</f>
        <v/>
      </c>
      <c r="K674" s="782"/>
      <c r="L674" s="444">
        <v>9</v>
      </c>
      <c r="M674" s="781" t="str">
        <f t="shared" si="64"/>
        <v>NO APLICA</v>
      </c>
      <c r="N674" s="781"/>
    </row>
    <row r="675" spans="2:14">
      <c r="B675" s="319"/>
      <c r="C675" s="319"/>
      <c r="D675" s="448"/>
      <c r="E675" s="320"/>
      <c r="F675" s="450" t="str">
        <f>IF(OR(D675="",E675=""),"",ROUND(D675/LOOKUP(E675,SMMLV!$A$2:$A$36,SMMLV!$D$2:$D$100),3))</f>
        <v/>
      </c>
      <c r="K675" s="782"/>
      <c r="L675" s="444">
        <v>10</v>
      </c>
      <c r="M675" s="781" t="str">
        <f t="shared" si="64"/>
        <v>NO APLICA</v>
      </c>
      <c r="N675" s="781"/>
    </row>
    <row r="676" spans="2:14">
      <c r="B676" s="319"/>
      <c r="C676" s="319"/>
      <c r="D676" s="448"/>
      <c r="E676" s="320"/>
      <c r="F676" s="450" t="str">
        <f>IF(OR(D676="",E676=""),"",ROUND(D676/LOOKUP(E676,SMMLV!$A$2:$A$36,SMMLV!$D$2:$D$100),3))</f>
        <v/>
      </c>
      <c r="K676" s="782">
        <v>68</v>
      </c>
      <c r="L676" s="444">
        <v>1</v>
      </c>
      <c r="M676" s="781" t="str">
        <f t="shared" ref="M676:M685" si="65">IF(SUMIFS($F$5:$F$1200,$B$5:$B$1200,$K$676,$C$5:$C$1200,$L676)=0,"NO APLICA",ROUND(SUMIFS($F$5:$F$1200,$B$5:$B$1200,$K$676,$C$5:$C$1200,$L676),3))</f>
        <v>NO APLICA</v>
      </c>
      <c r="N676" s="781"/>
    </row>
    <row r="677" spans="2:14">
      <c r="B677" s="319"/>
      <c r="C677" s="319"/>
      <c r="D677" s="448"/>
      <c r="E677" s="320"/>
      <c r="F677" s="450" t="str">
        <f>IF(OR(D677="",E677=""),"",ROUND(D677/LOOKUP(E677,SMMLV!$A$2:$A$36,SMMLV!$D$2:$D$100),3))</f>
        <v/>
      </c>
      <c r="K677" s="782"/>
      <c r="L677" s="444">
        <v>2</v>
      </c>
      <c r="M677" s="781" t="str">
        <f t="shared" si="65"/>
        <v>NO APLICA</v>
      </c>
      <c r="N677" s="781"/>
    </row>
    <row r="678" spans="2:14">
      <c r="B678" s="319"/>
      <c r="C678" s="319"/>
      <c r="D678" s="448"/>
      <c r="E678" s="320"/>
      <c r="F678" s="450" t="str">
        <f>IF(OR(D678="",E678=""),"",ROUND(D678/LOOKUP(E678,SMMLV!$A$2:$A$36,SMMLV!$D$2:$D$100),3))</f>
        <v/>
      </c>
      <c r="K678" s="782"/>
      <c r="L678" s="444">
        <v>3</v>
      </c>
      <c r="M678" s="781" t="str">
        <f t="shared" si="65"/>
        <v>NO APLICA</v>
      </c>
      <c r="N678" s="781"/>
    </row>
    <row r="679" spans="2:14">
      <c r="B679" s="319"/>
      <c r="C679" s="319"/>
      <c r="D679" s="448"/>
      <c r="E679" s="320"/>
      <c r="F679" s="450" t="str">
        <f>IF(OR(D679="",E679=""),"",ROUND(D679/LOOKUP(E679,SMMLV!$A$2:$A$36,SMMLV!$D$2:$D$100),3))</f>
        <v/>
      </c>
      <c r="K679" s="782"/>
      <c r="L679" s="444">
        <v>4</v>
      </c>
      <c r="M679" s="781" t="str">
        <f t="shared" si="65"/>
        <v>NO APLICA</v>
      </c>
      <c r="N679" s="781"/>
    </row>
    <row r="680" spans="2:14">
      <c r="B680" s="319"/>
      <c r="C680" s="319"/>
      <c r="D680" s="448"/>
      <c r="E680" s="320"/>
      <c r="F680" s="450" t="str">
        <f>IF(OR(D680="",E680=""),"",ROUND(D680/LOOKUP(E680,SMMLV!$A$2:$A$36,SMMLV!$D$2:$D$100),3))</f>
        <v/>
      </c>
      <c r="K680" s="782"/>
      <c r="L680" s="444">
        <v>5</v>
      </c>
      <c r="M680" s="781" t="str">
        <f t="shared" si="65"/>
        <v>NO APLICA</v>
      </c>
      <c r="N680" s="781"/>
    </row>
    <row r="681" spans="2:14">
      <c r="B681" s="319"/>
      <c r="C681" s="319"/>
      <c r="D681" s="448"/>
      <c r="E681" s="320"/>
      <c r="F681" s="450" t="str">
        <f>IF(OR(D681="",E681=""),"",ROUND(D681/LOOKUP(E681,SMMLV!$A$2:$A$36,SMMLV!$D$2:$D$100),3))</f>
        <v/>
      </c>
      <c r="K681" s="782"/>
      <c r="L681" s="444">
        <v>6</v>
      </c>
      <c r="M681" s="781" t="str">
        <f t="shared" si="65"/>
        <v>NO APLICA</v>
      </c>
      <c r="N681" s="781"/>
    </row>
    <row r="682" spans="2:14">
      <c r="B682" s="319"/>
      <c r="C682" s="319"/>
      <c r="D682" s="448"/>
      <c r="E682" s="320"/>
      <c r="F682" s="450" t="str">
        <f>IF(OR(D682="",E682=""),"",ROUND(D682/LOOKUP(E682,SMMLV!$A$2:$A$36,SMMLV!$D$2:$D$100),3))</f>
        <v/>
      </c>
      <c r="K682" s="782"/>
      <c r="L682" s="444">
        <v>7</v>
      </c>
      <c r="M682" s="781" t="str">
        <f t="shared" si="65"/>
        <v>NO APLICA</v>
      </c>
      <c r="N682" s="781"/>
    </row>
    <row r="683" spans="2:14">
      <c r="B683" s="319"/>
      <c r="C683" s="319"/>
      <c r="D683" s="448"/>
      <c r="E683" s="320"/>
      <c r="F683" s="450" t="str">
        <f>IF(OR(D683="",E683=""),"",ROUND(D683/LOOKUP(E683,SMMLV!$A$2:$A$36,SMMLV!$D$2:$D$100),3))</f>
        <v/>
      </c>
      <c r="K683" s="782"/>
      <c r="L683" s="444">
        <v>8</v>
      </c>
      <c r="M683" s="781" t="str">
        <f t="shared" si="65"/>
        <v>NO APLICA</v>
      </c>
      <c r="N683" s="781"/>
    </row>
    <row r="684" spans="2:14">
      <c r="B684" s="319"/>
      <c r="C684" s="319"/>
      <c r="D684" s="448"/>
      <c r="E684" s="320"/>
      <c r="F684" s="450" t="str">
        <f>IF(OR(D684="",E684=""),"",ROUND(D684/LOOKUP(E684,SMMLV!$A$2:$A$36,SMMLV!$D$2:$D$100),3))</f>
        <v/>
      </c>
      <c r="K684" s="782"/>
      <c r="L684" s="444">
        <v>9</v>
      </c>
      <c r="M684" s="781" t="str">
        <f t="shared" si="65"/>
        <v>NO APLICA</v>
      </c>
      <c r="N684" s="781"/>
    </row>
    <row r="685" spans="2:14">
      <c r="B685" s="319"/>
      <c r="C685" s="319"/>
      <c r="D685" s="448"/>
      <c r="E685" s="320"/>
      <c r="F685" s="450" t="str">
        <f>IF(OR(D685="",E685=""),"",ROUND(D685/LOOKUP(E685,SMMLV!$A$2:$A$36,SMMLV!$D$2:$D$100),3))</f>
        <v/>
      </c>
      <c r="K685" s="782"/>
      <c r="L685" s="444">
        <v>10</v>
      </c>
      <c r="M685" s="781" t="str">
        <f t="shared" si="65"/>
        <v>NO APLICA</v>
      </c>
      <c r="N685" s="781"/>
    </row>
    <row r="686" spans="2:14">
      <c r="B686" s="319"/>
      <c r="C686" s="319"/>
      <c r="D686" s="448"/>
      <c r="E686" s="320"/>
      <c r="F686" s="450" t="str">
        <f>IF(OR(D686="",E686=""),"",ROUND(D686/LOOKUP(E686,SMMLV!$A$2:$A$36,SMMLV!$D$2:$D$100),3))</f>
        <v/>
      </c>
      <c r="K686" s="782">
        <v>69</v>
      </c>
      <c r="L686" s="444">
        <v>1</v>
      </c>
      <c r="M686" s="781" t="str">
        <f t="shared" ref="M686:M695" si="66">IF(SUMIFS($F$5:$F$1200,$B$5:$B$1200,$K$686,$C$5:$C$1200,$L686)=0,"NO APLICA",ROUND(SUMIFS($F$5:$F$1200,$B$5:$B$1200,$K$686,$C$5:$C$1200,$L686),3))</f>
        <v>NO APLICA</v>
      </c>
      <c r="N686" s="781"/>
    </row>
    <row r="687" spans="2:14">
      <c r="B687" s="319"/>
      <c r="C687" s="319"/>
      <c r="D687" s="448"/>
      <c r="E687" s="320"/>
      <c r="F687" s="450" t="str">
        <f>IF(OR(D687="",E687=""),"",ROUND(D687/LOOKUP(E687,SMMLV!$A$2:$A$36,SMMLV!$D$2:$D$100),3))</f>
        <v/>
      </c>
      <c r="K687" s="782"/>
      <c r="L687" s="444">
        <v>2</v>
      </c>
      <c r="M687" s="781" t="str">
        <f t="shared" si="66"/>
        <v>NO APLICA</v>
      </c>
      <c r="N687" s="781"/>
    </row>
    <row r="688" spans="2:14">
      <c r="B688" s="319"/>
      <c r="C688" s="319"/>
      <c r="D688" s="448"/>
      <c r="E688" s="320"/>
      <c r="F688" s="450" t="str">
        <f>IF(OR(D688="",E688=""),"",ROUND(D688/LOOKUP(E688,SMMLV!$A$2:$A$36,SMMLV!$D$2:$D$100),3))</f>
        <v/>
      </c>
      <c r="K688" s="782"/>
      <c r="L688" s="444">
        <v>3</v>
      </c>
      <c r="M688" s="781" t="str">
        <f t="shared" si="66"/>
        <v>NO APLICA</v>
      </c>
      <c r="N688" s="781"/>
    </row>
    <row r="689" spans="2:14">
      <c r="B689" s="319"/>
      <c r="C689" s="319"/>
      <c r="D689" s="448"/>
      <c r="E689" s="320"/>
      <c r="F689" s="450" t="str">
        <f>IF(OR(D689="",E689=""),"",ROUND(D689/LOOKUP(E689,SMMLV!$A$2:$A$36,SMMLV!$D$2:$D$100),3))</f>
        <v/>
      </c>
      <c r="K689" s="782"/>
      <c r="L689" s="444">
        <v>4</v>
      </c>
      <c r="M689" s="781" t="str">
        <f t="shared" si="66"/>
        <v>NO APLICA</v>
      </c>
      <c r="N689" s="781"/>
    </row>
    <row r="690" spans="2:14">
      <c r="B690" s="319"/>
      <c r="C690" s="319"/>
      <c r="D690" s="448"/>
      <c r="E690" s="320"/>
      <c r="F690" s="450" t="str">
        <f>IF(OR(D690="",E690=""),"",ROUND(D690/LOOKUP(E690,SMMLV!$A$2:$A$36,SMMLV!$D$2:$D$100),3))</f>
        <v/>
      </c>
      <c r="K690" s="782"/>
      <c r="L690" s="444">
        <v>5</v>
      </c>
      <c r="M690" s="781" t="str">
        <f t="shared" si="66"/>
        <v>NO APLICA</v>
      </c>
      <c r="N690" s="781"/>
    </row>
    <row r="691" spans="2:14">
      <c r="B691" s="319"/>
      <c r="C691" s="319"/>
      <c r="D691" s="448"/>
      <c r="E691" s="320"/>
      <c r="F691" s="450" t="str">
        <f>IF(OR(D691="",E691=""),"",ROUND(D691/LOOKUP(E691,SMMLV!$A$2:$A$36,SMMLV!$D$2:$D$100),3))</f>
        <v/>
      </c>
      <c r="K691" s="782"/>
      <c r="L691" s="444">
        <v>6</v>
      </c>
      <c r="M691" s="781" t="str">
        <f t="shared" si="66"/>
        <v>NO APLICA</v>
      </c>
      <c r="N691" s="781"/>
    </row>
    <row r="692" spans="2:14">
      <c r="B692" s="319"/>
      <c r="C692" s="319"/>
      <c r="D692" s="448"/>
      <c r="E692" s="320"/>
      <c r="F692" s="450" t="str">
        <f>IF(OR(D692="",E692=""),"",ROUND(D692/LOOKUP(E692,SMMLV!$A$2:$A$36,SMMLV!$D$2:$D$100),3))</f>
        <v/>
      </c>
      <c r="K692" s="782"/>
      <c r="L692" s="444">
        <v>7</v>
      </c>
      <c r="M692" s="781" t="str">
        <f t="shared" si="66"/>
        <v>NO APLICA</v>
      </c>
      <c r="N692" s="781"/>
    </row>
    <row r="693" spans="2:14">
      <c r="B693" s="319"/>
      <c r="C693" s="319"/>
      <c r="D693" s="448"/>
      <c r="E693" s="320"/>
      <c r="F693" s="450" t="str">
        <f>IF(OR(D693="",E693=""),"",ROUND(D693/LOOKUP(E693,SMMLV!$A$2:$A$36,SMMLV!$D$2:$D$100),3))</f>
        <v/>
      </c>
      <c r="K693" s="782"/>
      <c r="L693" s="444">
        <v>8</v>
      </c>
      <c r="M693" s="781" t="str">
        <f t="shared" si="66"/>
        <v>NO APLICA</v>
      </c>
      <c r="N693" s="781"/>
    </row>
    <row r="694" spans="2:14">
      <c r="B694" s="319"/>
      <c r="C694" s="319"/>
      <c r="D694" s="448"/>
      <c r="E694" s="320"/>
      <c r="F694" s="450" t="str">
        <f>IF(OR(D694="",E694=""),"",ROUND(D694/LOOKUP(E694,SMMLV!$A$2:$A$36,SMMLV!$D$2:$D$100),3))</f>
        <v/>
      </c>
      <c r="K694" s="782"/>
      <c r="L694" s="444">
        <v>9</v>
      </c>
      <c r="M694" s="781" t="str">
        <f t="shared" si="66"/>
        <v>NO APLICA</v>
      </c>
      <c r="N694" s="781"/>
    </row>
    <row r="695" spans="2:14">
      <c r="B695" s="319"/>
      <c r="C695" s="319"/>
      <c r="D695" s="448"/>
      <c r="E695" s="320"/>
      <c r="F695" s="450" t="str">
        <f>IF(OR(D695="",E695=""),"",ROUND(D695/LOOKUP(E695,SMMLV!$A$2:$A$36,SMMLV!$D$2:$D$100),3))</f>
        <v/>
      </c>
      <c r="K695" s="782"/>
      <c r="L695" s="444">
        <v>10</v>
      </c>
      <c r="M695" s="781" t="str">
        <f t="shared" si="66"/>
        <v>NO APLICA</v>
      </c>
      <c r="N695" s="781"/>
    </row>
    <row r="696" spans="2:14">
      <c r="B696" s="319"/>
      <c r="C696" s="319"/>
      <c r="D696" s="448"/>
      <c r="E696" s="320"/>
      <c r="F696" s="450" t="str">
        <f>IF(OR(D696="",E696=""),"",ROUND(D696/LOOKUP(E696,SMMLV!$A$2:$A$36,SMMLV!$D$2:$D$100),3))</f>
        <v/>
      </c>
      <c r="K696" s="782">
        <v>70</v>
      </c>
      <c r="L696" s="444">
        <v>1</v>
      </c>
      <c r="M696" s="781" t="str">
        <f t="shared" ref="M696:M705" si="67">IF(SUMIFS($F$5:$F$1200,$B$5:$B$1200,$K$696,$C$5:$C$1200,$L696)=0,"NO APLICA",ROUND(SUMIFS($F$5:$F$1200,$B$5:$B$1200,$K$696,$C$5:$C$1200,$L696),3))</f>
        <v>NO APLICA</v>
      </c>
      <c r="N696" s="781"/>
    </row>
    <row r="697" spans="2:14">
      <c r="B697" s="319"/>
      <c r="C697" s="319"/>
      <c r="D697" s="448"/>
      <c r="E697" s="320"/>
      <c r="F697" s="450" t="str">
        <f>IF(OR(D697="",E697=""),"",ROUND(D697/LOOKUP(E697,SMMLV!$A$2:$A$36,SMMLV!$D$2:$D$100),3))</f>
        <v/>
      </c>
      <c r="K697" s="782"/>
      <c r="L697" s="444">
        <v>2</v>
      </c>
      <c r="M697" s="781" t="str">
        <f t="shared" si="67"/>
        <v>NO APLICA</v>
      </c>
      <c r="N697" s="781"/>
    </row>
    <row r="698" spans="2:14">
      <c r="B698" s="319"/>
      <c r="C698" s="319"/>
      <c r="D698" s="448"/>
      <c r="E698" s="320"/>
      <c r="F698" s="450" t="str">
        <f>IF(OR(D698="",E698=""),"",ROUND(D698/LOOKUP(E698,SMMLV!$A$2:$A$36,SMMLV!$D$2:$D$100),3))</f>
        <v/>
      </c>
      <c r="K698" s="782"/>
      <c r="L698" s="444">
        <v>3</v>
      </c>
      <c r="M698" s="781" t="str">
        <f t="shared" si="67"/>
        <v>NO APLICA</v>
      </c>
      <c r="N698" s="781"/>
    </row>
    <row r="699" spans="2:14">
      <c r="B699" s="319"/>
      <c r="C699" s="319"/>
      <c r="D699" s="448"/>
      <c r="E699" s="320"/>
      <c r="F699" s="450" t="str">
        <f>IF(OR(D699="",E699=""),"",ROUND(D699/LOOKUP(E699,SMMLV!$A$2:$A$36,SMMLV!$D$2:$D$100),3))</f>
        <v/>
      </c>
      <c r="K699" s="782"/>
      <c r="L699" s="444">
        <v>4</v>
      </c>
      <c r="M699" s="781" t="str">
        <f t="shared" si="67"/>
        <v>NO APLICA</v>
      </c>
      <c r="N699" s="781"/>
    </row>
    <row r="700" spans="2:14">
      <c r="B700" s="319"/>
      <c r="C700" s="319"/>
      <c r="D700" s="448"/>
      <c r="E700" s="320"/>
      <c r="F700" s="450" t="str">
        <f>IF(OR(D700="",E700=""),"",ROUND(D700/LOOKUP(E700,SMMLV!$A$2:$A$36,SMMLV!$D$2:$D$100),3))</f>
        <v/>
      </c>
      <c r="K700" s="782"/>
      <c r="L700" s="444">
        <v>5</v>
      </c>
      <c r="M700" s="781" t="str">
        <f t="shared" si="67"/>
        <v>NO APLICA</v>
      </c>
      <c r="N700" s="781"/>
    </row>
    <row r="701" spans="2:14">
      <c r="B701" s="319"/>
      <c r="C701" s="319"/>
      <c r="D701" s="448"/>
      <c r="E701" s="320"/>
      <c r="F701" s="450" t="str">
        <f>IF(OR(D701="",E701=""),"",ROUND(D701/LOOKUP(E701,SMMLV!$A$2:$A$36,SMMLV!$D$2:$D$100),3))</f>
        <v/>
      </c>
      <c r="K701" s="782"/>
      <c r="L701" s="444">
        <v>6</v>
      </c>
      <c r="M701" s="781" t="str">
        <f t="shared" si="67"/>
        <v>NO APLICA</v>
      </c>
      <c r="N701" s="781"/>
    </row>
    <row r="702" spans="2:14">
      <c r="B702" s="319"/>
      <c r="C702" s="319"/>
      <c r="D702" s="448"/>
      <c r="E702" s="320"/>
      <c r="F702" s="450" t="str">
        <f>IF(OR(D702="",E702=""),"",ROUND(D702/LOOKUP(E702,SMMLV!$A$2:$A$36,SMMLV!$D$2:$D$100),3))</f>
        <v/>
      </c>
      <c r="K702" s="782"/>
      <c r="L702" s="444">
        <v>7</v>
      </c>
      <c r="M702" s="781" t="str">
        <f t="shared" si="67"/>
        <v>NO APLICA</v>
      </c>
      <c r="N702" s="781"/>
    </row>
    <row r="703" spans="2:14">
      <c r="B703" s="319"/>
      <c r="C703" s="319"/>
      <c r="D703" s="448"/>
      <c r="E703" s="320"/>
      <c r="F703" s="450" t="str">
        <f>IF(OR(D703="",E703=""),"",ROUND(D703/LOOKUP(E703,SMMLV!$A$2:$A$36,SMMLV!$D$2:$D$100),3))</f>
        <v/>
      </c>
      <c r="K703" s="782"/>
      <c r="L703" s="444">
        <v>8</v>
      </c>
      <c r="M703" s="781" t="str">
        <f t="shared" si="67"/>
        <v>NO APLICA</v>
      </c>
      <c r="N703" s="781"/>
    </row>
    <row r="704" spans="2:14">
      <c r="B704" s="319"/>
      <c r="C704" s="319"/>
      <c r="D704" s="448"/>
      <c r="E704" s="320"/>
      <c r="F704" s="450" t="str">
        <f>IF(OR(D704="",E704=""),"",ROUND(D704/LOOKUP(E704,SMMLV!$A$2:$A$36,SMMLV!$D$2:$D$100),3))</f>
        <v/>
      </c>
      <c r="K704" s="782"/>
      <c r="L704" s="444">
        <v>9</v>
      </c>
      <c r="M704" s="781" t="str">
        <f t="shared" si="67"/>
        <v>NO APLICA</v>
      </c>
      <c r="N704" s="781"/>
    </row>
    <row r="705" spans="2:14">
      <c r="B705" s="319"/>
      <c r="C705" s="319"/>
      <c r="D705" s="448"/>
      <c r="E705" s="320"/>
      <c r="F705" s="450" t="str">
        <f>IF(OR(D705="",E705=""),"",ROUND(D705/LOOKUP(E705,SMMLV!$A$2:$A$36,SMMLV!$D$2:$D$100),3))</f>
        <v/>
      </c>
      <c r="K705" s="782"/>
      <c r="L705" s="444">
        <v>10</v>
      </c>
      <c r="M705" s="781" t="str">
        <f t="shared" si="67"/>
        <v>NO APLICA</v>
      </c>
      <c r="N705" s="781"/>
    </row>
    <row r="706" spans="2:14">
      <c r="B706" s="319"/>
      <c r="C706" s="319"/>
      <c r="D706" s="448"/>
      <c r="E706" s="320"/>
      <c r="F706" s="450" t="str">
        <f>IF(OR(D706="",E706=""),"",ROUND(D706/LOOKUP(E706,SMMLV!$A$2:$A$36,SMMLV!$D$2:$D$100),3))</f>
        <v/>
      </c>
      <c r="K706" s="782">
        <v>71</v>
      </c>
      <c r="L706" s="444">
        <v>1</v>
      </c>
      <c r="M706" s="781" t="str">
        <f t="shared" ref="M706:M715" si="68">IF(SUMIFS($F$5:$F$1200,$B$5:$B$1200,$K$706,$C$5:$C$1200,$L706)=0,"NO APLICA",ROUND(SUMIFS($F$5:$F$1200,$B$5:$B$1200,$K$706,$C$5:$C$1200,$L706),3))</f>
        <v>NO APLICA</v>
      </c>
      <c r="N706" s="781"/>
    </row>
    <row r="707" spans="2:14">
      <c r="B707" s="319"/>
      <c r="C707" s="319"/>
      <c r="D707" s="448"/>
      <c r="E707" s="320"/>
      <c r="F707" s="450" t="str">
        <f>IF(OR(D707="",E707=""),"",ROUND(D707/LOOKUP(E707,SMMLV!$A$2:$A$36,SMMLV!$D$2:$D$100),3))</f>
        <v/>
      </c>
      <c r="K707" s="782"/>
      <c r="L707" s="444">
        <v>2</v>
      </c>
      <c r="M707" s="781" t="str">
        <f t="shared" si="68"/>
        <v>NO APLICA</v>
      </c>
      <c r="N707" s="781"/>
    </row>
    <row r="708" spans="2:14">
      <c r="B708" s="319"/>
      <c r="C708" s="319"/>
      <c r="D708" s="448"/>
      <c r="E708" s="320"/>
      <c r="F708" s="450" t="str">
        <f>IF(OR(D708="",E708=""),"",ROUND(D708/LOOKUP(E708,SMMLV!$A$2:$A$36,SMMLV!$D$2:$D$100),3))</f>
        <v/>
      </c>
      <c r="K708" s="782"/>
      <c r="L708" s="444">
        <v>3</v>
      </c>
      <c r="M708" s="781" t="str">
        <f t="shared" si="68"/>
        <v>NO APLICA</v>
      </c>
      <c r="N708" s="781"/>
    </row>
    <row r="709" spans="2:14">
      <c r="B709" s="319"/>
      <c r="C709" s="319"/>
      <c r="D709" s="448"/>
      <c r="E709" s="320"/>
      <c r="F709" s="450" t="str">
        <f>IF(OR(D709="",E709=""),"",ROUND(D709/LOOKUP(E709,SMMLV!$A$2:$A$36,SMMLV!$D$2:$D$100),3))</f>
        <v/>
      </c>
      <c r="K709" s="782"/>
      <c r="L709" s="444">
        <v>4</v>
      </c>
      <c r="M709" s="781" t="str">
        <f t="shared" si="68"/>
        <v>NO APLICA</v>
      </c>
      <c r="N709" s="781"/>
    </row>
    <row r="710" spans="2:14">
      <c r="B710" s="319"/>
      <c r="C710" s="319"/>
      <c r="D710" s="448"/>
      <c r="E710" s="320"/>
      <c r="F710" s="450" t="str">
        <f>IF(OR(D710="",E710=""),"",ROUND(D710/LOOKUP(E710,SMMLV!$A$2:$A$36,SMMLV!$D$2:$D$100),3))</f>
        <v/>
      </c>
      <c r="K710" s="782"/>
      <c r="L710" s="444">
        <v>5</v>
      </c>
      <c r="M710" s="781" t="str">
        <f t="shared" si="68"/>
        <v>NO APLICA</v>
      </c>
      <c r="N710" s="781"/>
    </row>
    <row r="711" spans="2:14">
      <c r="B711" s="319"/>
      <c r="C711" s="319"/>
      <c r="D711" s="448"/>
      <c r="E711" s="320"/>
      <c r="F711" s="450" t="str">
        <f>IF(OR(D711="",E711=""),"",ROUND(D711/LOOKUP(E711,SMMLV!$A$2:$A$36,SMMLV!$D$2:$D$100),3))</f>
        <v/>
      </c>
      <c r="K711" s="782"/>
      <c r="L711" s="444">
        <v>6</v>
      </c>
      <c r="M711" s="781" t="str">
        <f t="shared" si="68"/>
        <v>NO APLICA</v>
      </c>
      <c r="N711" s="781"/>
    </row>
    <row r="712" spans="2:14">
      <c r="B712" s="319"/>
      <c r="C712" s="319"/>
      <c r="D712" s="448"/>
      <c r="E712" s="320"/>
      <c r="F712" s="450" t="str">
        <f>IF(OR(D712="",E712=""),"",ROUND(D712/LOOKUP(E712,SMMLV!$A$2:$A$36,SMMLV!$D$2:$D$100),3))</f>
        <v/>
      </c>
      <c r="K712" s="782"/>
      <c r="L712" s="444">
        <v>7</v>
      </c>
      <c r="M712" s="781" t="str">
        <f t="shared" si="68"/>
        <v>NO APLICA</v>
      </c>
      <c r="N712" s="781"/>
    </row>
    <row r="713" spans="2:14">
      <c r="B713" s="319"/>
      <c r="C713" s="319"/>
      <c r="D713" s="448"/>
      <c r="E713" s="320"/>
      <c r="F713" s="450" t="str">
        <f>IF(OR(D713="",E713=""),"",ROUND(D713/LOOKUP(E713,SMMLV!$A$2:$A$36,SMMLV!$D$2:$D$100),3))</f>
        <v/>
      </c>
      <c r="K713" s="782"/>
      <c r="L713" s="444">
        <v>8</v>
      </c>
      <c r="M713" s="781" t="str">
        <f t="shared" si="68"/>
        <v>NO APLICA</v>
      </c>
      <c r="N713" s="781"/>
    </row>
    <row r="714" spans="2:14">
      <c r="B714" s="319"/>
      <c r="C714" s="319"/>
      <c r="D714" s="448"/>
      <c r="E714" s="320"/>
      <c r="F714" s="450" t="str">
        <f>IF(OR(D714="",E714=""),"",ROUND(D714/LOOKUP(E714,SMMLV!$A$2:$A$36,SMMLV!$D$2:$D$100),3))</f>
        <v/>
      </c>
      <c r="K714" s="782"/>
      <c r="L714" s="444">
        <v>9</v>
      </c>
      <c r="M714" s="781" t="str">
        <f t="shared" si="68"/>
        <v>NO APLICA</v>
      </c>
      <c r="N714" s="781"/>
    </row>
    <row r="715" spans="2:14">
      <c r="B715" s="319"/>
      <c r="C715" s="319"/>
      <c r="D715" s="448"/>
      <c r="E715" s="320"/>
      <c r="F715" s="450" t="str">
        <f>IF(OR(D715="",E715=""),"",ROUND(D715/LOOKUP(E715,SMMLV!$A$2:$A$36,SMMLV!$D$2:$D$100),3))</f>
        <v/>
      </c>
      <c r="K715" s="782"/>
      <c r="L715" s="444">
        <v>10</v>
      </c>
      <c r="M715" s="781" t="str">
        <f t="shared" si="68"/>
        <v>NO APLICA</v>
      </c>
      <c r="N715" s="781"/>
    </row>
    <row r="716" spans="2:14">
      <c r="B716" s="319"/>
      <c r="C716" s="319"/>
      <c r="D716" s="448"/>
      <c r="E716" s="320"/>
      <c r="F716" s="450" t="str">
        <f>IF(OR(D716="",E716=""),"",ROUND(D716/LOOKUP(E716,SMMLV!$A$2:$A$36,SMMLV!$D$2:$D$100),3))</f>
        <v/>
      </c>
      <c r="K716" s="782">
        <v>72</v>
      </c>
      <c r="L716" s="444">
        <v>1</v>
      </c>
      <c r="M716" s="781" t="str">
        <f t="shared" ref="M716:M725" si="69">IF(SUMIFS($F$5:$F$1200,$B$5:$B$1200,$K$716,$C$5:$C$1200,$L716)=0,"NO APLICA",ROUND(SUMIFS($F$5:$F$1200,$B$5:$B$1200,$K$716,$C$5:$C$1200,$L716),3))</f>
        <v>NO APLICA</v>
      </c>
      <c r="N716" s="781"/>
    </row>
    <row r="717" spans="2:14">
      <c r="B717" s="319"/>
      <c r="C717" s="319"/>
      <c r="D717" s="448"/>
      <c r="E717" s="320"/>
      <c r="F717" s="450" t="str">
        <f>IF(OR(D717="",E717=""),"",ROUND(D717/LOOKUP(E717,SMMLV!$A$2:$A$36,SMMLV!$D$2:$D$100),3))</f>
        <v/>
      </c>
      <c r="K717" s="782"/>
      <c r="L717" s="444">
        <v>2</v>
      </c>
      <c r="M717" s="781" t="str">
        <f t="shared" si="69"/>
        <v>NO APLICA</v>
      </c>
      <c r="N717" s="781"/>
    </row>
    <row r="718" spans="2:14">
      <c r="B718" s="319"/>
      <c r="C718" s="319"/>
      <c r="D718" s="448"/>
      <c r="E718" s="320"/>
      <c r="F718" s="450" t="str">
        <f>IF(OR(D718="",E718=""),"",ROUND(D718/LOOKUP(E718,SMMLV!$A$2:$A$36,SMMLV!$D$2:$D$100),3))</f>
        <v/>
      </c>
      <c r="K718" s="782"/>
      <c r="L718" s="444">
        <v>3</v>
      </c>
      <c r="M718" s="781" t="str">
        <f t="shared" si="69"/>
        <v>NO APLICA</v>
      </c>
      <c r="N718" s="781"/>
    </row>
    <row r="719" spans="2:14">
      <c r="B719" s="319"/>
      <c r="C719" s="319"/>
      <c r="D719" s="448"/>
      <c r="E719" s="320"/>
      <c r="F719" s="450" t="str">
        <f>IF(OR(D719="",E719=""),"",ROUND(D719/LOOKUP(E719,SMMLV!$A$2:$A$36,SMMLV!$D$2:$D$100),3))</f>
        <v/>
      </c>
      <c r="K719" s="782"/>
      <c r="L719" s="444">
        <v>4</v>
      </c>
      <c r="M719" s="781" t="str">
        <f t="shared" si="69"/>
        <v>NO APLICA</v>
      </c>
      <c r="N719" s="781"/>
    </row>
    <row r="720" spans="2:14">
      <c r="B720" s="319"/>
      <c r="C720" s="319"/>
      <c r="D720" s="448"/>
      <c r="E720" s="320"/>
      <c r="F720" s="450" t="str">
        <f>IF(OR(D720="",E720=""),"",ROUND(D720/LOOKUP(E720,SMMLV!$A$2:$A$36,SMMLV!$D$2:$D$100),3))</f>
        <v/>
      </c>
      <c r="K720" s="782"/>
      <c r="L720" s="444">
        <v>5</v>
      </c>
      <c r="M720" s="781" t="str">
        <f t="shared" si="69"/>
        <v>NO APLICA</v>
      </c>
      <c r="N720" s="781"/>
    </row>
    <row r="721" spans="2:14">
      <c r="B721" s="319"/>
      <c r="C721" s="319"/>
      <c r="D721" s="448"/>
      <c r="E721" s="320"/>
      <c r="F721" s="450" t="str">
        <f>IF(OR(D721="",E721=""),"",ROUND(D721/LOOKUP(E721,SMMLV!$A$2:$A$36,SMMLV!$D$2:$D$100),3))</f>
        <v/>
      </c>
      <c r="K721" s="782"/>
      <c r="L721" s="444">
        <v>6</v>
      </c>
      <c r="M721" s="781" t="str">
        <f t="shared" si="69"/>
        <v>NO APLICA</v>
      </c>
      <c r="N721" s="781"/>
    </row>
    <row r="722" spans="2:14">
      <c r="B722" s="319"/>
      <c r="C722" s="319"/>
      <c r="D722" s="448"/>
      <c r="E722" s="320"/>
      <c r="F722" s="450" t="str">
        <f>IF(OR(D722="",E722=""),"",ROUND(D722/LOOKUP(E722,SMMLV!$A$2:$A$36,SMMLV!$D$2:$D$100),3))</f>
        <v/>
      </c>
      <c r="K722" s="782"/>
      <c r="L722" s="444">
        <v>7</v>
      </c>
      <c r="M722" s="781" t="str">
        <f t="shared" si="69"/>
        <v>NO APLICA</v>
      </c>
      <c r="N722" s="781"/>
    </row>
    <row r="723" spans="2:14">
      <c r="B723" s="319"/>
      <c r="C723" s="319"/>
      <c r="D723" s="448"/>
      <c r="E723" s="320"/>
      <c r="F723" s="450" t="str">
        <f>IF(OR(D723="",E723=""),"",ROUND(D723/LOOKUP(E723,SMMLV!$A$2:$A$36,SMMLV!$D$2:$D$100),3))</f>
        <v/>
      </c>
      <c r="K723" s="782"/>
      <c r="L723" s="444">
        <v>8</v>
      </c>
      <c r="M723" s="781" t="str">
        <f t="shared" si="69"/>
        <v>NO APLICA</v>
      </c>
      <c r="N723" s="781"/>
    </row>
    <row r="724" spans="2:14">
      <c r="B724" s="319"/>
      <c r="C724" s="319"/>
      <c r="D724" s="448"/>
      <c r="E724" s="320"/>
      <c r="F724" s="450" t="str">
        <f>IF(OR(D724="",E724=""),"",ROUND(D724/LOOKUP(E724,SMMLV!$A$2:$A$36,SMMLV!$D$2:$D$100),3))</f>
        <v/>
      </c>
      <c r="K724" s="782"/>
      <c r="L724" s="444">
        <v>9</v>
      </c>
      <c r="M724" s="781" t="str">
        <f t="shared" si="69"/>
        <v>NO APLICA</v>
      </c>
      <c r="N724" s="781"/>
    </row>
    <row r="725" spans="2:14">
      <c r="B725" s="319"/>
      <c r="C725" s="319"/>
      <c r="D725" s="448"/>
      <c r="E725" s="320"/>
      <c r="F725" s="450" t="str">
        <f>IF(OR(D725="",E725=""),"",ROUND(D725/LOOKUP(E725,SMMLV!$A$2:$A$36,SMMLV!$D$2:$D$100),3))</f>
        <v/>
      </c>
      <c r="K725" s="782"/>
      <c r="L725" s="444">
        <v>10</v>
      </c>
      <c r="M725" s="781" t="str">
        <f t="shared" si="69"/>
        <v>NO APLICA</v>
      </c>
      <c r="N725" s="781"/>
    </row>
    <row r="726" spans="2:14">
      <c r="B726" s="319"/>
      <c r="C726" s="319"/>
      <c r="D726" s="448"/>
      <c r="E726" s="320"/>
      <c r="F726" s="450" t="str">
        <f>IF(OR(D726="",E726=""),"",ROUND(D726/LOOKUP(E726,SMMLV!$A$2:$A$36,SMMLV!$D$2:$D$100),3))</f>
        <v/>
      </c>
      <c r="K726" s="782">
        <v>73</v>
      </c>
      <c r="L726" s="444">
        <v>1</v>
      </c>
      <c r="M726" s="781" t="str">
        <f t="shared" ref="M726:M735" si="70">IF(SUMIFS($F$5:$F$1200,$B$5:$B$1200,$K$726,$C$5:$C$1200,$L726)=0,"NO APLICA",ROUND(SUMIFS($F$5:$F$1200,$B$5:$B$1200,$K$726,$C$5:$C$1200,$L726),3))</f>
        <v>NO APLICA</v>
      </c>
      <c r="N726" s="781"/>
    </row>
    <row r="727" spans="2:14">
      <c r="B727" s="319"/>
      <c r="C727" s="319"/>
      <c r="D727" s="448"/>
      <c r="E727" s="320"/>
      <c r="F727" s="450" t="str">
        <f>IF(OR(D727="",E727=""),"",ROUND(D727/LOOKUP(E727,SMMLV!$A$2:$A$36,SMMLV!$D$2:$D$100),3))</f>
        <v/>
      </c>
      <c r="K727" s="782"/>
      <c r="L727" s="444">
        <v>2</v>
      </c>
      <c r="M727" s="781" t="str">
        <f t="shared" si="70"/>
        <v>NO APLICA</v>
      </c>
      <c r="N727" s="781"/>
    </row>
    <row r="728" spans="2:14">
      <c r="B728" s="319"/>
      <c r="C728" s="319"/>
      <c r="D728" s="448"/>
      <c r="E728" s="320"/>
      <c r="F728" s="450" t="str">
        <f>IF(OR(D728="",E728=""),"",ROUND(D728/LOOKUP(E728,SMMLV!$A$2:$A$36,SMMLV!$D$2:$D$100),3))</f>
        <v/>
      </c>
      <c r="K728" s="782"/>
      <c r="L728" s="444">
        <v>3</v>
      </c>
      <c r="M728" s="781" t="str">
        <f t="shared" si="70"/>
        <v>NO APLICA</v>
      </c>
      <c r="N728" s="781"/>
    </row>
    <row r="729" spans="2:14">
      <c r="B729" s="319"/>
      <c r="C729" s="319"/>
      <c r="D729" s="448"/>
      <c r="E729" s="320"/>
      <c r="F729" s="450" t="str">
        <f>IF(OR(D729="",E729=""),"",ROUND(D729/LOOKUP(E729,SMMLV!$A$2:$A$36,SMMLV!$D$2:$D$100),3))</f>
        <v/>
      </c>
      <c r="K729" s="782"/>
      <c r="L729" s="444">
        <v>4</v>
      </c>
      <c r="M729" s="781" t="str">
        <f t="shared" si="70"/>
        <v>NO APLICA</v>
      </c>
      <c r="N729" s="781"/>
    </row>
    <row r="730" spans="2:14">
      <c r="B730" s="319"/>
      <c r="C730" s="319"/>
      <c r="D730" s="448"/>
      <c r="E730" s="320"/>
      <c r="F730" s="450" t="str">
        <f>IF(OR(D730="",E730=""),"",ROUND(D730/LOOKUP(E730,SMMLV!$A$2:$A$36,SMMLV!$D$2:$D$100),3))</f>
        <v/>
      </c>
      <c r="K730" s="782"/>
      <c r="L730" s="444">
        <v>5</v>
      </c>
      <c r="M730" s="781" t="str">
        <f t="shared" si="70"/>
        <v>NO APLICA</v>
      </c>
      <c r="N730" s="781"/>
    </row>
    <row r="731" spans="2:14">
      <c r="B731" s="319"/>
      <c r="C731" s="319"/>
      <c r="D731" s="448"/>
      <c r="E731" s="320"/>
      <c r="F731" s="450" t="str">
        <f>IF(OR(D731="",E731=""),"",ROUND(D731/LOOKUP(E731,SMMLV!$A$2:$A$36,SMMLV!$D$2:$D$100),3))</f>
        <v/>
      </c>
      <c r="K731" s="782"/>
      <c r="L731" s="444">
        <v>6</v>
      </c>
      <c r="M731" s="781" t="str">
        <f t="shared" si="70"/>
        <v>NO APLICA</v>
      </c>
      <c r="N731" s="781"/>
    </row>
    <row r="732" spans="2:14">
      <c r="B732" s="319"/>
      <c r="C732" s="319"/>
      <c r="D732" s="448"/>
      <c r="E732" s="320"/>
      <c r="F732" s="450" t="str">
        <f>IF(OR(D732="",E732=""),"",ROUND(D732/LOOKUP(E732,SMMLV!$A$2:$A$36,SMMLV!$D$2:$D$100),3))</f>
        <v/>
      </c>
      <c r="K732" s="782"/>
      <c r="L732" s="444">
        <v>7</v>
      </c>
      <c r="M732" s="781" t="str">
        <f t="shared" si="70"/>
        <v>NO APLICA</v>
      </c>
      <c r="N732" s="781"/>
    </row>
    <row r="733" spans="2:14">
      <c r="B733" s="319"/>
      <c r="C733" s="319"/>
      <c r="D733" s="448"/>
      <c r="E733" s="320"/>
      <c r="F733" s="450" t="str">
        <f>IF(OR(D733="",E733=""),"",ROUND(D733/LOOKUP(E733,SMMLV!$A$2:$A$36,SMMLV!$D$2:$D$100),3))</f>
        <v/>
      </c>
      <c r="K733" s="782"/>
      <c r="L733" s="444">
        <v>8</v>
      </c>
      <c r="M733" s="781" t="str">
        <f t="shared" si="70"/>
        <v>NO APLICA</v>
      </c>
      <c r="N733" s="781"/>
    </row>
    <row r="734" spans="2:14">
      <c r="B734" s="319"/>
      <c r="C734" s="319"/>
      <c r="D734" s="448"/>
      <c r="E734" s="320"/>
      <c r="F734" s="450" t="str">
        <f>IF(OR(D734="",E734=""),"",ROUND(D734/LOOKUP(E734,SMMLV!$A$2:$A$36,SMMLV!$D$2:$D$100),3))</f>
        <v/>
      </c>
      <c r="K734" s="782"/>
      <c r="L734" s="444">
        <v>9</v>
      </c>
      <c r="M734" s="781" t="str">
        <f t="shared" si="70"/>
        <v>NO APLICA</v>
      </c>
      <c r="N734" s="781"/>
    </row>
    <row r="735" spans="2:14">
      <c r="B735" s="319"/>
      <c r="C735" s="319"/>
      <c r="D735" s="448"/>
      <c r="E735" s="320"/>
      <c r="F735" s="450" t="str">
        <f>IF(OR(D735="",E735=""),"",ROUND(D735/LOOKUP(E735,SMMLV!$A$2:$A$36,SMMLV!$D$2:$D$100),3))</f>
        <v/>
      </c>
      <c r="K735" s="782"/>
      <c r="L735" s="444">
        <v>10</v>
      </c>
      <c r="M735" s="781" t="str">
        <f t="shared" si="70"/>
        <v>NO APLICA</v>
      </c>
      <c r="N735" s="781"/>
    </row>
    <row r="736" spans="2:14">
      <c r="B736" s="319"/>
      <c r="C736" s="319"/>
      <c r="D736" s="448"/>
      <c r="E736" s="320"/>
      <c r="F736" s="450" t="str">
        <f>IF(OR(D736="",E736=""),"",ROUND(D736/LOOKUP(E736,SMMLV!$A$2:$A$36,SMMLV!$D$2:$D$100),3))</f>
        <v/>
      </c>
      <c r="K736" s="782">
        <v>74</v>
      </c>
      <c r="L736" s="444">
        <v>1</v>
      </c>
      <c r="M736" s="781" t="str">
        <f t="shared" ref="M736:M745" si="71">IF(SUMIFS($F$5:$F$1200,$B$5:$B$1200,$K$736,$C$5:$C$1200,$L736)=0,"NO APLICA",ROUND(SUMIFS($F$5:$F$1200,$B$5:$B$1200,$K$736,$C$5:$C$1200,$L736),3))</f>
        <v>NO APLICA</v>
      </c>
      <c r="N736" s="781"/>
    </row>
    <row r="737" spans="2:14">
      <c r="B737" s="319"/>
      <c r="C737" s="319"/>
      <c r="D737" s="448"/>
      <c r="E737" s="320"/>
      <c r="F737" s="450" t="str">
        <f>IF(OR(D737="",E737=""),"",ROUND(D737/LOOKUP(E737,SMMLV!$A$2:$A$36,SMMLV!$D$2:$D$100),3))</f>
        <v/>
      </c>
      <c r="K737" s="782"/>
      <c r="L737" s="444">
        <v>2</v>
      </c>
      <c r="M737" s="781" t="str">
        <f t="shared" si="71"/>
        <v>NO APLICA</v>
      </c>
      <c r="N737" s="781"/>
    </row>
    <row r="738" spans="2:14">
      <c r="B738" s="319"/>
      <c r="C738" s="319"/>
      <c r="D738" s="448"/>
      <c r="E738" s="320"/>
      <c r="F738" s="450" t="str">
        <f>IF(OR(D738="",E738=""),"",ROUND(D738/LOOKUP(E738,SMMLV!$A$2:$A$36,SMMLV!$D$2:$D$100),3))</f>
        <v/>
      </c>
      <c r="K738" s="782"/>
      <c r="L738" s="444">
        <v>3</v>
      </c>
      <c r="M738" s="781" t="str">
        <f t="shared" si="71"/>
        <v>NO APLICA</v>
      </c>
      <c r="N738" s="781"/>
    </row>
    <row r="739" spans="2:14">
      <c r="B739" s="319"/>
      <c r="C739" s="319"/>
      <c r="D739" s="448"/>
      <c r="E739" s="320"/>
      <c r="F739" s="450" t="str">
        <f>IF(OR(D739="",E739=""),"",ROUND(D739/LOOKUP(E739,SMMLV!$A$2:$A$36,SMMLV!$D$2:$D$100),3))</f>
        <v/>
      </c>
      <c r="K739" s="782"/>
      <c r="L739" s="444">
        <v>4</v>
      </c>
      <c r="M739" s="781" t="str">
        <f t="shared" si="71"/>
        <v>NO APLICA</v>
      </c>
      <c r="N739" s="781"/>
    </row>
    <row r="740" spans="2:14">
      <c r="B740" s="319"/>
      <c r="C740" s="319"/>
      <c r="D740" s="448"/>
      <c r="E740" s="320"/>
      <c r="F740" s="450" t="str">
        <f>IF(OR(D740="",E740=""),"",ROUND(D740/LOOKUP(E740,SMMLV!$A$2:$A$36,SMMLV!$D$2:$D$100),3))</f>
        <v/>
      </c>
      <c r="K740" s="782"/>
      <c r="L740" s="444">
        <v>5</v>
      </c>
      <c r="M740" s="781" t="str">
        <f t="shared" si="71"/>
        <v>NO APLICA</v>
      </c>
      <c r="N740" s="781"/>
    </row>
    <row r="741" spans="2:14">
      <c r="B741" s="319"/>
      <c r="C741" s="319"/>
      <c r="D741" s="448"/>
      <c r="E741" s="320"/>
      <c r="F741" s="450" t="str">
        <f>IF(OR(D741="",E741=""),"",ROUND(D741/LOOKUP(E741,SMMLV!$A$2:$A$36,SMMLV!$D$2:$D$100),3))</f>
        <v/>
      </c>
      <c r="K741" s="782"/>
      <c r="L741" s="444">
        <v>6</v>
      </c>
      <c r="M741" s="781" t="str">
        <f t="shared" si="71"/>
        <v>NO APLICA</v>
      </c>
      <c r="N741" s="781"/>
    </row>
    <row r="742" spans="2:14">
      <c r="B742" s="319"/>
      <c r="C742" s="319"/>
      <c r="D742" s="448"/>
      <c r="E742" s="320"/>
      <c r="F742" s="450" t="str">
        <f>IF(OR(D742="",E742=""),"",ROUND(D742/LOOKUP(E742,SMMLV!$A$2:$A$36,SMMLV!$D$2:$D$100),3))</f>
        <v/>
      </c>
      <c r="K742" s="782"/>
      <c r="L742" s="444">
        <v>7</v>
      </c>
      <c r="M742" s="781" t="str">
        <f t="shared" si="71"/>
        <v>NO APLICA</v>
      </c>
      <c r="N742" s="781"/>
    </row>
    <row r="743" spans="2:14">
      <c r="B743" s="319"/>
      <c r="C743" s="319"/>
      <c r="D743" s="448"/>
      <c r="E743" s="320"/>
      <c r="F743" s="450" t="str">
        <f>IF(OR(D743="",E743=""),"",ROUND(D743/LOOKUP(E743,SMMLV!$A$2:$A$36,SMMLV!$D$2:$D$100),3))</f>
        <v/>
      </c>
      <c r="K743" s="782"/>
      <c r="L743" s="444">
        <v>8</v>
      </c>
      <c r="M743" s="781" t="str">
        <f t="shared" si="71"/>
        <v>NO APLICA</v>
      </c>
      <c r="N743" s="781"/>
    </row>
    <row r="744" spans="2:14">
      <c r="B744" s="319"/>
      <c r="C744" s="319"/>
      <c r="D744" s="448"/>
      <c r="E744" s="320"/>
      <c r="F744" s="450" t="str">
        <f>IF(OR(D744="",E744=""),"",ROUND(D744/LOOKUP(E744,SMMLV!$A$2:$A$36,SMMLV!$D$2:$D$100),3))</f>
        <v/>
      </c>
      <c r="K744" s="782"/>
      <c r="L744" s="444">
        <v>9</v>
      </c>
      <c r="M744" s="781" t="str">
        <f t="shared" si="71"/>
        <v>NO APLICA</v>
      </c>
      <c r="N744" s="781"/>
    </row>
    <row r="745" spans="2:14">
      <c r="B745" s="319"/>
      <c r="C745" s="319"/>
      <c r="D745" s="448"/>
      <c r="E745" s="320"/>
      <c r="F745" s="450" t="str">
        <f>IF(OR(D745="",E745=""),"",ROUND(D745/LOOKUP(E745,SMMLV!$A$2:$A$36,SMMLV!$D$2:$D$100),3))</f>
        <v/>
      </c>
      <c r="K745" s="782"/>
      <c r="L745" s="444">
        <v>10</v>
      </c>
      <c r="M745" s="781" t="str">
        <f t="shared" si="71"/>
        <v>NO APLICA</v>
      </c>
      <c r="N745" s="781"/>
    </row>
    <row r="746" spans="2:14">
      <c r="B746" s="319"/>
      <c r="C746" s="319"/>
      <c r="D746" s="448"/>
      <c r="E746" s="320"/>
      <c r="F746" s="450" t="str">
        <f>IF(OR(D746="",E746=""),"",ROUND(D746/LOOKUP(E746,SMMLV!$A$2:$A$36,SMMLV!$D$2:$D$100),3))</f>
        <v/>
      </c>
      <c r="K746" s="782">
        <v>75</v>
      </c>
      <c r="L746" s="444">
        <v>1</v>
      </c>
      <c r="M746" s="781" t="str">
        <f t="shared" ref="M746:M755" si="72">IF(SUMIFS($F$5:$F$1200,$B$5:$B$1200,$K$746,$C$5:$C$1200,$L746)=0,"NO APLICA",ROUND(SUMIFS($F$5:$F$1200,$B$5:$B$1200,$K$746,$C$5:$C$1200,$L746),3))</f>
        <v>NO APLICA</v>
      </c>
      <c r="N746" s="781"/>
    </row>
    <row r="747" spans="2:14">
      <c r="B747" s="319"/>
      <c r="C747" s="319"/>
      <c r="D747" s="448"/>
      <c r="E747" s="320"/>
      <c r="F747" s="450" t="str">
        <f>IF(OR(D747="",E747=""),"",ROUND(D747/LOOKUP(E747,SMMLV!$A$2:$A$36,SMMLV!$D$2:$D$100),3))</f>
        <v/>
      </c>
      <c r="K747" s="782"/>
      <c r="L747" s="444">
        <v>2</v>
      </c>
      <c r="M747" s="781" t="str">
        <f t="shared" si="72"/>
        <v>NO APLICA</v>
      </c>
      <c r="N747" s="781"/>
    </row>
    <row r="748" spans="2:14">
      <c r="B748" s="319"/>
      <c r="C748" s="319"/>
      <c r="D748" s="448"/>
      <c r="E748" s="320"/>
      <c r="F748" s="450" t="str">
        <f>IF(OR(D748="",E748=""),"",ROUND(D748/LOOKUP(E748,SMMLV!$A$2:$A$36,SMMLV!$D$2:$D$100),3))</f>
        <v/>
      </c>
      <c r="K748" s="782"/>
      <c r="L748" s="444">
        <v>3</v>
      </c>
      <c r="M748" s="781" t="str">
        <f t="shared" si="72"/>
        <v>NO APLICA</v>
      </c>
      <c r="N748" s="781"/>
    </row>
    <row r="749" spans="2:14">
      <c r="B749" s="319"/>
      <c r="C749" s="319"/>
      <c r="D749" s="448"/>
      <c r="E749" s="320"/>
      <c r="F749" s="450" t="str">
        <f>IF(OR(D749="",E749=""),"",ROUND(D749/LOOKUP(E749,SMMLV!$A$2:$A$36,SMMLV!$D$2:$D$100),3))</f>
        <v/>
      </c>
      <c r="K749" s="782"/>
      <c r="L749" s="444">
        <v>4</v>
      </c>
      <c r="M749" s="781" t="str">
        <f t="shared" si="72"/>
        <v>NO APLICA</v>
      </c>
      <c r="N749" s="781"/>
    </row>
    <row r="750" spans="2:14">
      <c r="B750" s="319"/>
      <c r="C750" s="319"/>
      <c r="D750" s="448"/>
      <c r="E750" s="320"/>
      <c r="F750" s="450" t="str">
        <f>IF(OR(D750="",E750=""),"",ROUND(D750/LOOKUP(E750,SMMLV!$A$2:$A$36,SMMLV!$D$2:$D$100),3))</f>
        <v/>
      </c>
      <c r="K750" s="782"/>
      <c r="L750" s="444">
        <v>5</v>
      </c>
      <c r="M750" s="781" t="str">
        <f t="shared" si="72"/>
        <v>NO APLICA</v>
      </c>
      <c r="N750" s="781"/>
    </row>
    <row r="751" spans="2:14">
      <c r="B751" s="319"/>
      <c r="C751" s="319"/>
      <c r="D751" s="448"/>
      <c r="E751" s="320"/>
      <c r="F751" s="450" t="str">
        <f>IF(OR(D751="",E751=""),"",ROUND(D751/LOOKUP(E751,SMMLV!$A$2:$A$36,SMMLV!$D$2:$D$100),3))</f>
        <v/>
      </c>
      <c r="K751" s="782"/>
      <c r="L751" s="444">
        <v>6</v>
      </c>
      <c r="M751" s="781" t="str">
        <f t="shared" si="72"/>
        <v>NO APLICA</v>
      </c>
      <c r="N751" s="781"/>
    </row>
    <row r="752" spans="2:14">
      <c r="B752" s="319"/>
      <c r="C752" s="319"/>
      <c r="D752" s="448"/>
      <c r="E752" s="320"/>
      <c r="F752" s="450" t="str">
        <f>IF(OR(D752="",E752=""),"",ROUND(D752/LOOKUP(E752,SMMLV!$A$2:$A$36,SMMLV!$D$2:$D$100),3))</f>
        <v/>
      </c>
      <c r="K752" s="782"/>
      <c r="L752" s="444">
        <v>7</v>
      </c>
      <c r="M752" s="781" t="str">
        <f t="shared" si="72"/>
        <v>NO APLICA</v>
      </c>
      <c r="N752" s="781"/>
    </row>
    <row r="753" spans="2:14">
      <c r="B753" s="319"/>
      <c r="C753" s="319"/>
      <c r="D753" s="448"/>
      <c r="E753" s="320"/>
      <c r="F753" s="450" t="str">
        <f>IF(OR(D753="",E753=""),"",ROUND(D753/LOOKUP(E753,SMMLV!$A$2:$A$36,SMMLV!$D$2:$D$100),3))</f>
        <v/>
      </c>
      <c r="K753" s="782"/>
      <c r="L753" s="444">
        <v>8</v>
      </c>
      <c r="M753" s="781" t="str">
        <f t="shared" si="72"/>
        <v>NO APLICA</v>
      </c>
      <c r="N753" s="781"/>
    </row>
    <row r="754" spans="2:14">
      <c r="B754" s="319"/>
      <c r="C754" s="319"/>
      <c r="D754" s="448"/>
      <c r="E754" s="320"/>
      <c r="F754" s="450" t="str">
        <f>IF(OR(D754="",E754=""),"",ROUND(D754/LOOKUP(E754,SMMLV!$A$2:$A$36,SMMLV!$D$2:$D$100),3))</f>
        <v/>
      </c>
      <c r="K754" s="782"/>
      <c r="L754" s="444">
        <v>9</v>
      </c>
      <c r="M754" s="781" t="str">
        <f t="shared" si="72"/>
        <v>NO APLICA</v>
      </c>
      <c r="N754" s="781"/>
    </row>
    <row r="755" spans="2:14">
      <c r="B755" s="319"/>
      <c r="C755" s="319"/>
      <c r="D755" s="448"/>
      <c r="E755" s="320"/>
      <c r="F755" s="450" t="str">
        <f>IF(OR(D755="",E755=""),"",ROUND(D755/LOOKUP(E755,SMMLV!$A$2:$A$36,SMMLV!$D$2:$D$100),3))</f>
        <v/>
      </c>
      <c r="K755" s="782"/>
      <c r="L755" s="444">
        <v>10</v>
      </c>
      <c r="M755" s="781" t="str">
        <f t="shared" si="72"/>
        <v>NO APLICA</v>
      </c>
      <c r="N755" s="781"/>
    </row>
    <row r="756" spans="2:14">
      <c r="B756" s="319"/>
      <c r="C756" s="319"/>
      <c r="D756" s="448"/>
      <c r="E756" s="320"/>
      <c r="F756" s="450" t="str">
        <f>IF(OR(D756="",E756=""),"",ROUND(D756/LOOKUP(E756,SMMLV!$A$2:$A$36,SMMLV!$D$2:$D$100),3))</f>
        <v/>
      </c>
      <c r="K756" s="782">
        <v>76</v>
      </c>
      <c r="L756" s="444">
        <v>1</v>
      </c>
      <c r="M756" s="781" t="str">
        <f t="shared" ref="M756:M765" si="73">IF(SUMIFS($F$5:$F$1200,$B$5:$B$1200,$K$756,$C$5:$C$1200,$L756)=0,"NO APLICA",ROUND(SUMIFS($F$5:$F$1200,$B$5:$B$1200,$K$756,$C$5:$C$1200,$L756),3))</f>
        <v>NO APLICA</v>
      </c>
      <c r="N756" s="781"/>
    </row>
    <row r="757" spans="2:14">
      <c r="B757" s="319"/>
      <c r="C757" s="319"/>
      <c r="D757" s="448"/>
      <c r="E757" s="320"/>
      <c r="F757" s="450" t="str">
        <f>IF(OR(D757="",E757=""),"",ROUND(D757/LOOKUP(E757,SMMLV!$A$2:$A$36,SMMLV!$D$2:$D$100),3))</f>
        <v/>
      </c>
      <c r="K757" s="782"/>
      <c r="L757" s="444">
        <v>2</v>
      </c>
      <c r="M757" s="781" t="str">
        <f t="shared" si="73"/>
        <v>NO APLICA</v>
      </c>
      <c r="N757" s="781"/>
    </row>
    <row r="758" spans="2:14">
      <c r="B758" s="319"/>
      <c r="C758" s="319"/>
      <c r="D758" s="448"/>
      <c r="E758" s="320"/>
      <c r="F758" s="450" t="str">
        <f>IF(OR(D758="",E758=""),"",ROUND(D758/LOOKUP(E758,SMMLV!$A$2:$A$36,SMMLV!$D$2:$D$100),3))</f>
        <v/>
      </c>
      <c r="K758" s="782"/>
      <c r="L758" s="444">
        <v>3</v>
      </c>
      <c r="M758" s="781" t="str">
        <f t="shared" si="73"/>
        <v>NO APLICA</v>
      </c>
      <c r="N758" s="781"/>
    </row>
    <row r="759" spans="2:14">
      <c r="B759" s="319"/>
      <c r="C759" s="319"/>
      <c r="D759" s="448"/>
      <c r="E759" s="320"/>
      <c r="F759" s="450" t="str">
        <f>IF(OR(D759="",E759=""),"",ROUND(D759/LOOKUP(E759,SMMLV!$A$2:$A$36,SMMLV!$D$2:$D$100),3))</f>
        <v/>
      </c>
      <c r="K759" s="782"/>
      <c r="L759" s="444">
        <v>4</v>
      </c>
      <c r="M759" s="781" t="str">
        <f t="shared" si="73"/>
        <v>NO APLICA</v>
      </c>
      <c r="N759" s="781"/>
    </row>
    <row r="760" spans="2:14">
      <c r="B760" s="319"/>
      <c r="C760" s="319"/>
      <c r="D760" s="448"/>
      <c r="E760" s="320"/>
      <c r="F760" s="450" t="str">
        <f>IF(OR(D760="",E760=""),"",ROUND(D760/LOOKUP(E760,SMMLV!$A$2:$A$36,SMMLV!$D$2:$D$100),3))</f>
        <v/>
      </c>
      <c r="K760" s="782"/>
      <c r="L760" s="444">
        <v>5</v>
      </c>
      <c r="M760" s="781" t="str">
        <f t="shared" si="73"/>
        <v>NO APLICA</v>
      </c>
      <c r="N760" s="781"/>
    </row>
    <row r="761" spans="2:14">
      <c r="B761" s="319"/>
      <c r="C761" s="319"/>
      <c r="D761" s="448"/>
      <c r="E761" s="320"/>
      <c r="F761" s="450" t="str">
        <f>IF(OR(D761="",E761=""),"",ROUND(D761/LOOKUP(E761,SMMLV!$A$2:$A$36,SMMLV!$D$2:$D$100),3))</f>
        <v/>
      </c>
      <c r="K761" s="782"/>
      <c r="L761" s="444">
        <v>6</v>
      </c>
      <c r="M761" s="781" t="str">
        <f t="shared" si="73"/>
        <v>NO APLICA</v>
      </c>
      <c r="N761" s="781"/>
    </row>
    <row r="762" spans="2:14">
      <c r="B762" s="319"/>
      <c r="C762" s="319"/>
      <c r="D762" s="448"/>
      <c r="E762" s="320"/>
      <c r="F762" s="450" t="str">
        <f>IF(OR(D762="",E762=""),"",ROUND(D762/LOOKUP(E762,SMMLV!$A$2:$A$36,SMMLV!$D$2:$D$100),3))</f>
        <v/>
      </c>
      <c r="K762" s="782"/>
      <c r="L762" s="444">
        <v>7</v>
      </c>
      <c r="M762" s="781" t="str">
        <f t="shared" si="73"/>
        <v>NO APLICA</v>
      </c>
      <c r="N762" s="781"/>
    </row>
    <row r="763" spans="2:14">
      <c r="B763" s="319"/>
      <c r="C763" s="319"/>
      <c r="D763" s="448"/>
      <c r="E763" s="320"/>
      <c r="F763" s="450" t="str">
        <f>IF(OR(D763="",E763=""),"",ROUND(D763/LOOKUP(E763,SMMLV!$A$2:$A$36,SMMLV!$D$2:$D$100),3))</f>
        <v/>
      </c>
      <c r="K763" s="782"/>
      <c r="L763" s="444">
        <v>8</v>
      </c>
      <c r="M763" s="781" t="str">
        <f t="shared" si="73"/>
        <v>NO APLICA</v>
      </c>
      <c r="N763" s="781"/>
    </row>
    <row r="764" spans="2:14">
      <c r="B764" s="319"/>
      <c r="C764" s="319"/>
      <c r="D764" s="448"/>
      <c r="E764" s="320"/>
      <c r="F764" s="450" t="str">
        <f>IF(OR(D764="",E764=""),"",ROUND(D764/LOOKUP(E764,SMMLV!$A$2:$A$36,SMMLV!$D$2:$D$100),3))</f>
        <v/>
      </c>
      <c r="K764" s="782"/>
      <c r="L764" s="444">
        <v>9</v>
      </c>
      <c r="M764" s="781" t="str">
        <f t="shared" si="73"/>
        <v>NO APLICA</v>
      </c>
      <c r="N764" s="781"/>
    </row>
    <row r="765" spans="2:14">
      <c r="B765" s="319"/>
      <c r="C765" s="319"/>
      <c r="D765" s="448"/>
      <c r="E765" s="320"/>
      <c r="F765" s="450" t="str">
        <f>IF(OR(D765="",E765=""),"",ROUND(D765/LOOKUP(E765,SMMLV!$A$2:$A$36,SMMLV!$D$2:$D$100),3))</f>
        <v/>
      </c>
      <c r="K765" s="782"/>
      <c r="L765" s="444">
        <v>10</v>
      </c>
      <c r="M765" s="781" t="str">
        <f t="shared" si="73"/>
        <v>NO APLICA</v>
      </c>
      <c r="N765" s="781"/>
    </row>
    <row r="766" spans="2:14">
      <c r="B766" s="319"/>
      <c r="C766" s="319"/>
      <c r="D766" s="448"/>
      <c r="E766" s="320"/>
      <c r="F766" s="450" t="str">
        <f>IF(OR(D766="",E766=""),"",ROUND(D766/LOOKUP(E766,SMMLV!$A$2:$A$36,SMMLV!$D$2:$D$100),3))</f>
        <v/>
      </c>
      <c r="K766" s="782">
        <v>77</v>
      </c>
      <c r="L766" s="444">
        <v>1</v>
      </c>
      <c r="M766" s="781" t="str">
        <f t="shared" ref="M766:M775" si="74">IF(SUMIFS($F$5:$F$1200,$B$5:$B$1200,$K$766,$C$5:$C$1200,$L766)=0,"NO APLICA",ROUND(SUMIFS($F$5:$F$1200,$B$5:$B$1200,$K$766,$C$5:$C$1200,$L766),3))</f>
        <v>NO APLICA</v>
      </c>
      <c r="N766" s="781"/>
    </row>
    <row r="767" spans="2:14">
      <c r="B767" s="319"/>
      <c r="C767" s="319"/>
      <c r="D767" s="448"/>
      <c r="E767" s="320"/>
      <c r="F767" s="450" t="str">
        <f>IF(OR(D767="",E767=""),"",ROUND(D767/LOOKUP(E767,SMMLV!$A$2:$A$36,SMMLV!$D$2:$D$100),3))</f>
        <v/>
      </c>
      <c r="K767" s="782"/>
      <c r="L767" s="444">
        <v>2</v>
      </c>
      <c r="M767" s="781" t="str">
        <f t="shared" si="74"/>
        <v>NO APLICA</v>
      </c>
      <c r="N767" s="781"/>
    </row>
    <row r="768" spans="2:14">
      <c r="B768" s="319"/>
      <c r="C768" s="319"/>
      <c r="D768" s="448"/>
      <c r="E768" s="320"/>
      <c r="F768" s="450" t="str">
        <f>IF(OR(D768="",E768=""),"",ROUND(D768/LOOKUP(E768,SMMLV!$A$2:$A$36,SMMLV!$D$2:$D$100),3))</f>
        <v/>
      </c>
      <c r="K768" s="782"/>
      <c r="L768" s="444">
        <v>3</v>
      </c>
      <c r="M768" s="781" t="str">
        <f t="shared" si="74"/>
        <v>NO APLICA</v>
      </c>
      <c r="N768" s="781"/>
    </row>
    <row r="769" spans="2:14">
      <c r="B769" s="319"/>
      <c r="C769" s="319"/>
      <c r="D769" s="448"/>
      <c r="E769" s="320"/>
      <c r="F769" s="450" t="str">
        <f>IF(OR(D769="",E769=""),"",ROUND(D769/LOOKUP(E769,SMMLV!$A$2:$A$36,SMMLV!$D$2:$D$100),3))</f>
        <v/>
      </c>
      <c r="K769" s="782"/>
      <c r="L769" s="444">
        <v>4</v>
      </c>
      <c r="M769" s="781" t="str">
        <f t="shared" si="74"/>
        <v>NO APLICA</v>
      </c>
      <c r="N769" s="781"/>
    </row>
    <row r="770" spans="2:14">
      <c r="B770" s="319"/>
      <c r="C770" s="319"/>
      <c r="D770" s="448"/>
      <c r="E770" s="320"/>
      <c r="F770" s="450" t="str">
        <f>IF(OR(D770="",E770=""),"",ROUND(D770/LOOKUP(E770,SMMLV!$A$2:$A$36,SMMLV!$D$2:$D$100),3))</f>
        <v/>
      </c>
      <c r="K770" s="782"/>
      <c r="L770" s="444">
        <v>5</v>
      </c>
      <c r="M770" s="781" t="str">
        <f t="shared" si="74"/>
        <v>NO APLICA</v>
      </c>
      <c r="N770" s="781"/>
    </row>
    <row r="771" spans="2:14">
      <c r="B771" s="319"/>
      <c r="C771" s="319"/>
      <c r="D771" s="448"/>
      <c r="E771" s="320"/>
      <c r="F771" s="450" t="str">
        <f>IF(OR(D771="",E771=""),"",ROUND(D771/LOOKUP(E771,SMMLV!$A$2:$A$36,SMMLV!$D$2:$D$100),3))</f>
        <v/>
      </c>
      <c r="K771" s="782"/>
      <c r="L771" s="444">
        <v>6</v>
      </c>
      <c r="M771" s="781" t="str">
        <f t="shared" si="74"/>
        <v>NO APLICA</v>
      </c>
      <c r="N771" s="781"/>
    </row>
    <row r="772" spans="2:14">
      <c r="B772" s="319"/>
      <c r="C772" s="319"/>
      <c r="D772" s="448"/>
      <c r="E772" s="320"/>
      <c r="F772" s="450" t="str">
        <f>IF(OR(D772="",E772=""),"",ROUND(D772/LOOKUP(E772,SMMLV!$A$2:$A$36,SMMLV!$D$2:$D$100),3))</f>
        <v/>
      </c>
      <c r="K772" s="782"/>
      <c r="L772" s="444">
        <v>7</v>
      </c>
      <c r="M772" s="781" t="str">
        <f t="shared" si="74"/>
        <v>NO APLICA</v>
      </c>
      <c r="N772" s="781"/>
    </row>
    <row r="773" spans="2:14">
      <c r="B773" s="319"/>
      <c r="C773" s="319"/>
      <c r="D773" s="448"/>
      <c r="E773" s="320"/>
      <c r="F773" s="450" t="str">
        <f>IF(OR(D773="",E773=""),"",ROUND(D773/LOOKUP(E773,SMMLV!$A$2:$A$36,SMMLV!$D$2:$D$100),3))</f>
        <v/>
      </c>
      <c r="K773" s="782"/>
      <c r="L773" s="444">
        <v>8</v>
      </c>
      <c r="M773" s="781" t="str">
        <f t="shared" si="74"/>
        <v>NO APLICA</v>
      </c>
      <c r="N773" s="781"/>
    </row>
    <row r="774" spans="2:14">
      <c r="B774" s="319"/>
      <c r="C774" s="319"/>
      <c r="D774" s="448"/>
      <c r="E774" s="320"/>
      <c r="F774" s="450" t="str">
        <f>IF(OR(D774="",E774=""),"",ROUND(D774/LOOKUP(E774,SMMLV!$A$2:$A$36,SMMLV!$D$2:$D$100),3))</f>
        <v/>
      </c>
      <c r="K774" s="782"/>
      <c r="L774" s="444">
        <v>9</v>
      </c>
      <c r="M774" s="781" t="str">
        <f t="shared" si="74"/>
        <v>NO APLICA</v>
      </c>
      <c r="N774" s="781"/>
    </row>
    <row r="775" spans="2:14">
      <c r="B775" s="319"/>
      <c r="C775" s="319"/>
      <c r="D775" s="448"/>
      <c r="E775" s="320"/>
      <c r="F775" s="450" t="str">
        <f>IF(OR(D775="",E775=""),"",ROUND(D775/LOOKUP(E775,SMMLV!$A$2:$A$36,SMMLV!$D$2:$D$100),3))</f>
        <v/>
      </c>
      <c r="K775" s="782"/>
      <c r="L775" s="444">
        <v>10</v>
      </c>
      <c r="M775" s="781" t="str">
        <f t="shared" si="74"/>
        <v>NO APLICA</v>
      </c>
      <c r="N775" s="781"/>
    </row>
    <row r="776" spans="2:14">
      <c r="B776" s="319"/>
      <c r="C776" s="319"/>
      <c r="D776" s="448"/>
      <c r="E776" s="320"/>
      <c r="F776" s="450" t="str">
        <f>IF(OR(D776="",E776=""),"",ROUND(D776/LOOKUP(E776,SMMLV!$A$2:$A$36,SMMLV!$D$2:$D$100),3))</f>
        <v/>
      </c>
      <c r="K776" s="782">
        <v>78</v>
      </c>
      <c r="L776" s="444">
        <v>1</v>
      </c>
      <c r="M776" s="781" t="str">
        <f t="shared" ref="M776:M785" si="75">IF(SUMIFS($F$5:$F$1200,$B$5:$B$1200,$K$776,$C$5:$C$1200,$L776)=0,"NO APLICA",ROUND(SUMIFS($F$5:$F$1200,$B$5:$B$1200,$K$776,$C$5:$C$1200,$L776),3))</f>
        <v>NO APLICA</v>
      </c>
      <c r="N776" s="781"/>
    </row>
    <row r="777" spans="2:14">
      <c r="B777" s="319"/>
      <c r="C777" s="319"/>
      <c r="D777" s="448"/>
      <c r="E777" s="320"/>
      <c r="F777" s="450" t="str">
        <f>IF(OR(D777="",E777=""),"",ROUND(D777/LOOKUP(E777,SMMLV!$A$2:$A$36,SMMLV!$D$2:$D$100),3))</f>
        <v/>
      </c>
      <c r="K777" s="782"/>
      <c r="L777" s="444">
        <v>2</v>
      </c>
      <c r="M777" s="781" t="str">
        <f t="shared" si="75"/>
        <v>NO APLICA</v>
      </c>
      <c r="N777" s="781"/>
    </row>
    <row r="778" spans="2:14">
      <c r="B778" s="319"/>
      <c r="C778" s="319"/>
      <c r="D778" s="448"/>
      <c r="E778" s="320"/>
      <c r="F778" s="450" t="str">
        <f>IF(OR(D778="",E778=""),"",ROUND(D778/LOOKUP(E778,SMMLV!$A$2:$A$36,SMMLV!$D$2:$D$100),3))</f>
        <v/>
      </c>
      <c r="K778" s="782"/>
      <c r="L778" s="444">
        <v>3</v>
      </c>
      <c r="M778" s="781" t="str">
        <f t="shared" si="75"/>
        <v>NO APLICA</v>
      </c>
      <c r="N778" s="781"/>
    </row>
    <row r="779" spans="2:14">
      <c r="B779" s="319"/>
      <c r="C779" s="319"/>
      <c r="D779" s="448"/>
      <c r="E779" s="320"/>
      <c r="F779" s="450" t="str">
        <f>IF(OR(D779="",E779=""),"",ROUND(D779/LOOKUP(E779,SMMLV!$A$2:$A$36,SMMLV!$D$2:$D$100),3))</f>
        <v/>
      </c>
      <c r="K779" s="782"/>
      <c r="L779" s="444">
        <v>4</v>
      </c>
      <c r="M779" s="781" t="str">
        <f t="shared" si="75"/>
        <v>NO APLICA</v>
      </c>
      <c r="N779" s="781"/>
    </row>
    <row r="780" spans="2:14">
      <c r="B780" s="319"/>
      <c r="C780" s="319"/>
      <c r="D780" s="448"/>
      <c r="E780" s="320"/>
      <c r="F780" s="450" t="str">
        <f>IF(OR(D780="",E780=""),"",ROUND(D780/LOOKUP(E780,SMMLV!$A$2:$A$36,SMMLV!$D$2:$D$100),3))</f>
        <v/>
      </c>
      <c r="K780" s="782"/>
      <c r="L780" s="444">
        <v>5</v>
      </c>
      <c r="M780" s="781" t="str">
        <f t="shared" si="75"/>
        <v>NO APLICA</v>
      </c>
      <c r="N780" s="781"/>
    </row>
    <row r="781" spans="2:14">
      <c r="B781" s="319"/>
      <c r="C781" s="319"/>
      <c r="D781" s="448"/>
      <c r="E781" s="320"/>
      <c r="F781" s="450" t="str">
        <f>IF(OR(D781="",E781=""),"",ROUND(D781/LOOKUP(E781,SMMLV!$A$2:$A$36,SMMLV!$D$2:$D$100),3))</f>
        <v/>
      </c>
      <c r="K781" s="782"/>
      <c r="L781" s="444">
        <v>6</v>
      </c>
      <c r="M781" s="781" t="str">
        <f t="shared" si="75"/>
        <v>NO APLICA</v>
      </c>
      <c r="N781" s="781"/>
    </row>
    <row r="782" spans="2:14">
      <c r="B782" s="319"/>
      <c r="C782" s="319"/>
      <c r="D782" s="448"/>
      <c r="E782" s="320"/>
      <c r="F782" s="450" t="str">
        <f>IF(OR(D782="",E782=""),"",ROUND(D782/LOOKUP(E782,SMMLV!$A$2:$A$36,SMMLV!$D$2:$D$100),3))</f>
        <v/>
      </c>
      <c r="K782" s="782"/>
      <c r="L782" s="444">
        <v>7</v>
      </c>
      <c r="M782" s="781" t="str">
        <f t="shared" si="75"/>
        <v>NO APLICA</v>
      </c>
      <c r="N782" s="781"/>
    </row>
    <row r="783" spans="2:14">
      <c r="B783" s="319"/>
      <c r="C783" s="319"/>
      <c r="D783" s="448"/>
      <c r="E783" s="320"/>
      <c r="F783" s="450" t="str">
        <f>IF(OR(D783="",E783=""),"",ROUND(D783/LOOKUP(E783,SMMLV!$A$2:$A$36,SMMLV!$D$2:$D$100),3))</f>
        <v/>
      </c>
      <c r="K783" s="782"/>
      <c r="L783" s="444">
        <v>8</v>
      </c>
      <c r="M783" s="781" t="str">
        <f t="shared" si="75"/>
        <v>NO APLICA</v>
      </c>
      <c r="N783" s="781"/>
    </row>
    <row r="784" spans="2:14">
      <c r="B784" s="319"/>
      <c r="C784" s="319"/>
      <c r="D784" s="448"/>
      <c r="E784" s="320"/>
      <c r="F784" s="450" t="str">
        <f>IF(OR(D784="",E784=""),"",ROUND(D784/LOOKUP(E784,SMMLV!$A$2:$A$36,SMMLV!$D$2:$D$100),3))</f>
        <v/>
      </c>
      <c r="K784" s="782"/>
      <c r="L784" s="444">
        <v>9</v>
      </c>
      <c r="M784" s="781" t="str">
        <f t="shared" si="75"/>
        <v>NO APLICA</v>
      </c>
      <c r="N784" s="781"/>
    </row>
    <row r="785" spans="2:14">
      <c r="B785" s="319"/>
      <c r="C785" s="319"/>
      <c r="D785" s="448"/>
      <c r="E785" s="320"/>
      <c r="F785" s="450" t="str">
        <f>IF(OR(D785="",E785=""),"",ROUND(D785/LOOKUP(E785,SMMLV!$A$2:$A$36,SMMLV!$D$2:$D$100),3))</f>
        <v/>
      </c>
      <c r="K785" s="782"/>
      <c r="L785" s="444">
        <v>10</v>
      </c>
      <c r="M785" s="781" t="str">
        <f t="shared" si="75"/>
        <v>NO APLICA</v>
      </c>
      <c r="N785" s="781"/>
    </row>
    <row r="786" spans="2:14">
      <c r="B786" s="319"/>
      <c r="C786" s="319"/>
      <c r="D786" s="448"/>
      <c r="E786" s="320"/>
      <c r="F786" s="450" t="str">
        <f>IF(OR(D786="",E786=""),"",ROUND(D786/LOOKUP(E786,SMMLV!$A$2:$A$36,SMMLV!$D$2:$D$100),3))</f>
        <v/>
      </c>
      <c r="K786" s="782">
        <v>79</v>
      </c>
      <c r="L786" s="444">
        <v>1</v>
      </c>
      <c r="M786" s="781" t="str">
        <f t="shared" ref="M786:M795" si="76">IF(SUMIFS($F$5:$F$1200,$B$5:$B$1200,$K$786,$C$5:$C$1200,$L786)=0,"NO APLICA",ROUND(SUMIFS($F$5:$F$1200,$B$5:$B$1200,$K$786,$C$5:$C$1200,$L786),3))</f>
        <v>NO APLICA</v>
      </c>
      <c r="N786" s="781"/>
    </row>
    <row r="787" spans="2:14">
      <c r="B787" s="319"/>
      <c r="C787" s="319"/>
      <c r="D787" s="448"/>
      <c r="E787" s="320"/>
      <c r="F787" s="450" t="str">
        <f>IF(OR(D787="",E787=""),"",ROUND(D787/LOOKUP(E787,SMMLV!$A$2:$A$36,SMMLV!$D$2:$D$100),3))</f>
        <v/>
      </c>
      <c r="K787" s="782"/>
      <c r="L787" s="444">
        <v>2</v>
      </c>
      <c r="M787" s="781" t="str">
        <f t="shared" si="76"/>
        <v>NO APLICA</v>
      </c>
      <c r="N787" s="781"/>
    </row>
    <row r="788" spans="2:14">
      <c r="B788" s="319"/>
      <c r="C788" s="319"/>
      <c r="D788" s="448"/>
      <c r="E788" s="320"/>
      <c r="F788" s="450" t="str">
        <f>IF(OR(D788="",E788=""),"",ROUND(D788/LOOKUP(E788,SMMLV!$A$2:$A$36,SMMLV!$D$2:$D$100),3))</f>
        <v/>
      </c>
      <c r="K788" s="782"/>
      <c r="L788" s="444">
        <v>3</v>
      </c>
      <c r="M788" s="781" t="str">
        <f t="shared" si="76"/>
        <v>NO APLICA</v>
      </c>
      <c r="N788" s="781"/>
    </row>
    <row r="789" spans="2:14">
      <c r="B789" s="319"/>
      <c r="C789" s="319"/>
      <c r="D789" s="448"/>
      <c r="E789" s="320"/>
      <c r="F789" s="450" t="str">
        <f>IF(OR(D789="",E789=""),"",ROUND(D789/LOOKUP(E789,SMMLV!$A$2:$A$36,SMMLV!$D$2:$D$100),3))</f>
        <v/>
      </c>
      <c r="K789" s="782"/>
      <c r="L789" s="444">
        <v>4</v>
      </c>
      <c r="M789" s="781" t="str">
        <f t="shared" si="76"/>
        <v>NO APLICA</v>
      </c>
      <c r="N789" s="781"/>
    </row>
    <row r="790" spans="2:14">
      <c r="B790" s="319"/>
      <c r="C790" s="319"/>
      <c r="D790" s="448"/>
      <c r="E790" s="320"/>
      <c r="F790" s="450" t="str">
        <f>IF(OR(D790="",E790=""),"",ROUND(D790/LOOKUP(E790,SMMLV!$A$2:$A$36,SMMLV!$D$2:$D$100),3))</f>
        <v/>
      </c>
      <c r="K790" s="782"/>
      <c r="L790" s="444">
        <v>5</v>
      </c>
      <c r="M790" s="781" t="str">
        <f t="shared" si="76"/>
        <v>NO APLICA</v>
      </c>
      <c r="N790" s="781"/>
    </row>
    <row r="791" spans="2:14">
      <c r="B791" s="319"/>
      <c r="C791" s="319"/>
      <c r="D791" s="448"/>
      <c r="E791" s="320"/>
      <c r="F791" s="450" t="str">
        <f>IF(OR(D791="",E791=""),"",ROUND(D791/LOOKUP(E791,SMMLV!$A$2:$A$36,SMMLV!$D$2:$D$100),3))</f>
        <v/>
      </c>
      <c r="K791" s="782"/>
      <c r="L791" s="444">
        <v>6</v>
      </c>
      <c r="M791" s="781" t="str">
        <f t="shared" si="76"/>
        <v>NO APLICA</v>
      </c>
      <c r="N791" s="781"/>
    </row>
    <row r="792" spans="2:14">
      <c r="B792" s="319"/>
      <c r="C792" s="319"/>
      <c r="D792" s="448"/>
      <c r="E792" s="320"/>
      <c r="F792" s="450" t="str">
        <f>IF(OR(D792="",E792=""),"",ROUND(D792/LOOKUP(E792,SMMLV!$A$2:$A$36,SMMLV!$D$2:$D$100),3))</f>
        <v/>
      </c>
      <c r="K792" s="782"/>
      <c r="L792" s="444">
        <v>7</v>
      </c>
      <c r="M792" s="781" t="str">
        <f t="shared" si="76"/>
        <v>NO APLICA</v>
      </c>
      <c r="N792" s="781"/>
    </row>
    <row r="793" spans="2:14">
      <c r="B793" s="319"/>
      <c r="C793" s="319"/>
      <c r="D793" s="448"/>
      <c r="E793" s="320"/>
      <c r="F793" s="450" t="str">
        <f>IF(OR(D793="",E793=""),"",ROUND(D793/LOOKUP(E793,SMMLV!$A$2:$A$36,SMMLV!$D$2:$D$100),3))</f>
        <v/>
      </c>
      <c r="K793" s="782"/>
      <c r="L793" s="444">
        <v>8</v>
      </c>
      <c r="M793" s="781" t="str">
        <f t="shared" si="76"/>
        <v>NO APLICA</v>
      </c>
      <c r="N793" s="781"/>
    </row>
    <row r="794" spans="2:14">
      <c r="B794" s="319"/>
      <c r="C794" s="319"/>
      <c r="D794" s="448"/>
      <c r="E794" s="320"/>
      <c r="F794" s="450" t="str">
        <f>IF(OR(D794="",E794=""),"",ROUND(D794/LOOKUP(E794,SMMLV!$A$2:$A$36,SMMLV!$D$2:$D$100),3))</f>
        <v/>
      </c>
      <c r="K794" s="782"/>
      <c r="L794" s="444">
        <v>9</v>
      </c>
      <c r="M794" s="781" t="str">
        <f t="shared" si="76"/>
        <v>NO APLICA</v>
      </c>
      <c r="N794" s="781"/>
    </row>
    <row r="795" spans="2:14">
      <c r="B795" s="319"/>
      <c r="C795" s="319"/>
      <c r="D795" s="448"/>
      <c r="E795" s="320"/>
      <c r="F795" s="450" t="str">
        <f>IF(OR(D795="",E795=""),"",ROUND(D795/LOOKUP(E795,SMMLV!$A$2:$A$36,SMMLV!$D$2:$D$100),3))</f>
        <v/>
      </c>
      <c r="K795" s="782"/>
      <c r="L795" s="444">
        <v>10</v>
      </c>
      <c r="M795" s="781" t="str">
        <f t="shared" si="76"/>
        <v>NO APLICA</v>
      </c>
      <c r="N795" s="781"/>
    </row>
    <row r="796" spans="2:14">
      <c r="B796" s="319"/>
      <c r="C796" s="319"/>
      <c r="D796" s="448"/>
      <c r="E796" s="320"/>
      <c r="F796" s="450" t="str">
        <f>IF(OR(D796="",E796=""),"",ROUND(D796/LOOKUP(E796,SMMLV!$A$2:$A$36,SMMLV!$D$2:$D$100),3))</f>
        <v/>
      </c>
      <c r="K796" s="782">
        <v>80</v>
      </c>
      <c r="L796" s="444">
        <v>1</v>
      </c>
      <c r="M796" s="781" t="str">
        <f t="shared" ref="M796:M805" si="77">IF(SUMIFS($F$5:$F$1200,$B$5:$B$1200,$K$796,$C$5:$C$1200,$L796)=0,"NO APLICA",ROUND(SUMIFS($F$5:$F$1200,$B$5:$B$1200,$K$796,$C$5:$C$1200,$L796),3))</f>
        <v>NO APLICA</v>
      </c>
      <c r="N796" s="781"/>
    </row>
    <row r="797" spans="2:14">
      <c r="B797" s="319"/>
      <c r="C797" s="319"/>
      <c r="D797" s="448"/>
      <c r="E797" s="320"/>
      <c r="F797" s="450" t="str">
        <f>IF(OR(D797="",E797=""),"",ROUND(D797/LOOKUP(E797,SMMLV!$A$2:$A$36,SMMLV!$D$2:$D$100),3))</f>
        <v/>
      </c>
      <c r="K797" s="782"/>
      <c r="L797" s="444">
        <v>2</v>
      </c>
      <c r="M797" s="781" t="str">
        <f t="shared" si="77"/>
        <v>NO APLICA</v>
      </c>
      <c r="N797" s="781"/>
    </row>
    <row r="798" spans="2:14">
      <c r="B798" s="319"/>
      <c r="C798" s="319"/>
      <c r="D798" s="448"/>
      <c r="E798" s="320"/>
      <c r="F798" s="450" t="str">
        <f>IF(OR(D798="",E798=""),"",ROUND(D798/LOOKUP(E798,SMMLV!$A$2:$A$36,SMMLV!$D$2:$D$100),3))</f>
        <v/>
      </c>
      <c r="K798" s="782"/>
      <c r="L798" s="444">
        <v>3</v>
      </c>
      <c r="M798" s="781" t="str">
        <f t="shared" si="77"/>
        <v>NO APLICA</v>
      </c>
      <c r="N798" s="781"/>
    </row>
    <row r="799" spans="2:14">
      <c r="B799" s="319"/>
      <c r="C799" s="319"/>
      <c r="D799" s="448"/>
      <c r="E799" s="320"/>
      <c r="F799" s="450" t="str">
        <f>IF(OR(D799="",E799=""),"",ROUND(D799/LOOKUP(E799,SMMLV!$A$2:$A$36,SMMLV!$D$2:$D$100),3))</f>
        <v/>
      </c>
      <c r="K799" s="782"/>
      <c r="L799" s="444">
        <v>4</v>
      </c>
      <c r="M799" s="781" t="str">
        <f t="shared" si="77"/>
        <v>NO APLICA</v>
      </c>
      <c r="N799" s="781"/>
    </row>
    <row r="800" spans="2:14">
      <c r="B800" s="319"/>
      <c r="C800" s="319"/>
      <c r="D800" s="448"/>
      <c r="E800" s="320"/>
      <c r="F800" s="450" t="str">
        <f>IF(OR(D800="",E800=""),"",ROUND(D800/LOOKUP(E800,SMMLV!$A$2:$A$36,SMMLV!$D$2:$D$100),3))</f>
        <v/>
      </c>
      <c r="K800" s="782"/>
      <c r="L800" s="444">
        <v>5</v>
      </c>
      <c r="M800" s="781" t="str">
        <f t="shared" si="77"/>
        <v>NO APLICA</v>
      </c>
      <c r="N800" s="781"/>
    </row>
    <row r="801" spans="2:14">
      <c r="B801" s="319"/>
      <c r="C801" s="319"/>
      <c r="D801" s="448"/>
      <c r="E801" s="320"/>
      <c r="F801" s="450" t="str">
        <f>IF(OR(D801="",E801=""),"",ROUND(D801/LOOKUP(E801,SMMLV!$A$2:$A$36,SMMLV!$D$2:$D$100),3))</f>
        <v/>
      </c>
      <c r="K801" s="782"/>
      <c r="L801" s="444">
        <v>6</v>
      </c>
      <c r="M801" s="781" t="str">
        <f t="shared" si="77"/>
        <v>NO APLICA</v>
      </c>
      <c r="N801" s="781"/>
    </row>
    <row r="802" spans="2:14">
      <c r="B802" s="319"/>
      <c r="C802" s="319"/>
      <c r="D802" s="448"/>
      <c r="E802" s="320"/>
      <c r="F802" s="450" t="str">
        <f>IF(OR(D802="",E802=""),"",ROUND(D802/LOOKUP(E802,SMMLV!$A$2:$A$36,SMMLV!$D$2:$D$100),3))</f>
        <v/>
      </c>
      <c r="K802" s="782"/>
      <c r="L802" s="444">
        <v>7</v>
      </c>
      <c r="M802" s="781" t="str">
        <f t="shared" si="77"/>
        <v>NO APLICA</v>
      </c>
      <c r="N802" s="781"/>
    </row>
    <row r="803" spans="2:14">
      <c r="B803" s="319"/>
      <c r="C803" s="319"/>
      <c r="D803" s="448"/>
      <c r="E803" s="320"/>
      <c r="F803" s="450" t="str">
        <f>IF(OR(D803="",E803=""),"",ROUND(D803/LOOKUP(E803,SMMLV!$A$2:$A$36,SMMLV!$D$2:$D$100),3))</f>
        <v/>
      </c>
      <c r="K803" s="782"/>
      <c r="L803" s="444">
        <v>8</v>
      </c>
      <c r="M803" s="781" t="str">
        <f t="shared" si="77"/>
        <v>NO APLICA</v>
      </c>
      <c r="N803" s="781"/>
    </row>
    <row r="804" spans="2:14">
      <c r="B804" s="319"/>
      <c r="C804" s="319"/>
      <c r="D804" s="448"/>
      <c r="E804" s="320"/>
      <c r="F804" s="450" t="str">
        <f>IF(OR(D804="",E804=""),"",ROUND(D804/LOOKUP(E804,SMMLV!$A$2:$A$36,SMMLV!$D$2:$D$100),3))</f>
        <v/>
      </c>
      <c r="K804" s="782"/>
      <c r="L804" s="444">
        <v>9</v>
      </c>
      <c r="M804" s="781" t="str">
        <f t="shared" si="77"/>
        <v>NO APLICA</v>
      </c>
      <c r="N804" s="781"/>
    </row>
    <row r="805" spans="2:14">
      <c r="B805" s="319"/>
      <c r="C805" s="319"/>
      <c r="D805" s="448"/>
      <c r="E805" s="320"/>
      <c r="F805" s="450" t="str">
        <f>IF(OR(D805="",E805=""),"",ROUND(D805/LOOKUP(E805,SMMLV!$A$2:$A$36,SMMLV!$D$2:$D$100),3))</f>
        <v/>
      </c>
      <c r="K805" s="782"/>
      <c r="L805" s="444">
        <v>10</v>
      </c>
      <c r="M805" s="781" t="str">
        <f t="shared" si="77"/>
        <v>NO APLICA</v>
      </c>
      <c r="N805" s="781"/>
    </row>
    <row r="806" spans="2:14">
      <c r="B806" s="319"/>
      <c r="C806" s="319"/>
      <c r="D806" s="448"/>
      <c r="E806" s="320"/>
      <c r="F806" s="450" t="str">
        <f>IF(OR(D806="",E806=""),"",ROUND(D806/LOOKUP(E806,SMMLV!$A$2:$A$36,SMMLV!$D$2:$D$100),3))</f>
        <v/>
      </c>
      <c r="K806" s="782">
        <v>81</v>
      </c>
      <c r="L806" s="444">
        <v>1</v>
      </c>
      <c r="M806" s="781" t="str">
        <f t="shared" ref="M806:M815" si="78">IF(SUMIFS($F$5:$F$1200,$B$5:$B$1200,$K$806,$C$5:$C$1200,$L806)=0,"NO APLICA",ROUND(SUMIFS($F$5:$F$1200,$B$5:$B$1200,$K$806,$C$5:$C$1200,$L806),3))</f>
        <v>NO APLICA</v>
      </c>
      <c r="N806" s="781"/>
    </row>
    <row r="807" spans="2:14">
      <c r="B807" s="319"/>
      <c r="C807" s="319"/>
      <c r="D807" s="448"/>
      <c r="E807" s="320"/>
      <c r="F807" s="450" t="str">
        <f>IF(OR(D807="",E807=""),"",ROUND(D807/LOOKUP(E807,SMMLV!$A$2:$A$36,SMMLV!$D$2:$D$100),3))</f>
        <v/>
      </c>
      <c r="K807" s="782"/>
      <c r="L807" s="444">
        <v>2</v>
      </c>
      <c r="M807" s="781" t="str">
        <f t="shared" si="78"/>
        <v>NO APLICA</v>
      </c>
      <c r="N807" s="781"/>
    </row>
    <row r="808" spans="2:14">
      <c r="B808" s="319"/>
      <c r="C808" s="319"/>
      <c r="D808" s="448"/>
      <c r="E808" s="320"/>
      <c r="F808" s="450" t="str">
        <f>IF(OR(D808="",E808=""),"",ROUND(D808/LOOKUP(E808,SMMLV!$A$2:$A$36,SMMLV!$D$2:$D$100),3))</f>
        <v/>
      </c>
      <c r="K808" s="782"/>
      <c r="L808" s="444">
        <v>3</v>
      </c>
      <c r="M808" s="781" t="str">
        <f t="shared" si="78"/>
        <v>NO APLICA</v>
      </c>
      <c r="N808" s="781"/>
    </row>
    <row r="809" spans="2:14">
      <c r="B809" s="319"/>
      <c r="C809" s="319"/>
      <c r="D809" s="448"/>
      <c r="E809" s="320"/>
      <c r="F809" s="450" t="str">
        <f>IF(OR(D809="",E809=""),"",ROUND(D809/LOOKUP(E809,SMMLV!$A$2:$A$36,SMMLV!$D$2:$D$100),3))</f>
        <v/>
      </c>
      <c r="K809" s="782"/>
      <c r="L809" s="444">
        <v>4</v>
      </c>
      <c r="M809" s="781" t="str">
        <f t="shared" si="78"/>
        <v>NO APLICA</v>
      </c>
      <c r="N809" s="781"/>
    </row>
    <row r="810" spans="2:14">
      <c r="B810" s="319"/>
      <c r="C810" s="319"/>
      <c r="D810" s="448"/>
      <c r="E810" s="320"/>
      <c r="F810" s="450" t="str">
        <f>IF(OR(D810="",E810=""),"",ROUND(D810/LOOKUP(E810,SMMLV!$A$2:$A$36,SMMLV!$D$2:$D$100),3))</f>
        <v/>
      </c>
      <c r="K810" s="782"/>
      <c r="L810" s="444">
        <v>5</v>
      </c>
      <c r="M810" s="781" t="str">
        <f t="shared" si="78"/>
        <v>NO APLICA</v>
      </c>
      <c r="N810" s="781"/>
    </row>
    <row r="811" spans="2:14">
      <c r="B811" s="319"/>
      <c r="C811" s="319"/>
      <c r="D811" s="448"/>
      <c r="E811" s="320"/>
      <c r="F811" s="450" t="str">
        <f>IF(OR(D811="",E811=""),"",ROUND(D811/LOOKUP(E811,SMMLV!$A$2:$A$36,SMMLV!$D$2:$D$100),3))</f>
        <v/>
      </c>
      <c r="K811" s="782"/>
      <c r="L811" s="444">
        <v>6</v>
      </c>
      <c r="M811" s="781" t="str">
        <f t="shared" si="78"/>
        <v>NO APLICA</v>
      </c>
      <c r="N811" s="781"/>
    </row>
    <row r="812" spans="2:14">
      <c r="B812" s="319"/>
      <c r="C812" s="319"/>
      <c r="D812" s="448"/>
      <c r="E812" s="320"/>
      <c r="F812" s="450" t="str">
        <f>IF(OR(D812="",E812=""),"",ROUND(D812/LOOKUP(E812,SMMLV!$A$2:$A$36,SMMLV!$D$2:$D$100),3))</f>
        <v/>
      </c>
      <c r="K812" s="782"/>
      <c r="L812" s="444">
        <v>7</v>
      </c>
      <c r="M812" s="781" t="str">
        <f t="shared" si="78"/>
        <v>NO APLICA</v>
      </c>
      <c r="N812" s="781"/>
    </row>
    <row r="813" spans="2:14">
      <c r="B813" s="319"/>
      <c r="C813" s="319"/>
      <c r="D813" s="448"/>
      <c r="E813" s="320"/>
      <c r="F813" s="450" t="str">
        <f>IF(OR(D813="",E813=""),"",ROUND(D813/LOOKUP(E813,SMMLV!$A$2:$A$36,SMMLV!$D$2:$D$100),3))</f>
        <v/>
      </c>
      <c r="K813" s="782"/>
      <c r="L813" s="444">
        <v>8</v>
      </c>
      <c r="M813" s="781" t="str">
        <f t="shared" si="78"/>
        <v>NO APLICA</v>
      </c>
      <c r="N813" s="781"/>
    </row>
    <row r="814" spans="2:14">
      <c r="B814" s="319"/>
      <c r="C814" s="319"/>
      <c r="D814" s="448"/>
      <c r="E814" s="320"/>
      <c r="F814" s="450" t="str">
        <f>IF(OR(D814="",E814=""),"",ROUND(D814/LOOKUP(E814,SMMLV!$A$2:$A$36,SMMLV!$D$2:$D$100),3))</f>
        <v/>
      </c>
      <c r="K814" s="782"/>
      <c r="L814" s="444">
        <v>9</v>
      </c>
      <c r="M814" s="781" t="str">
        <f t="shared" si="78"/>
        <v>NO APLICA</v>
      </c>
      <c r="N814" s="781"/>
    </row>
    <row r="815" spans="2:14">
      <c r="B815" s="319"/>
      <c r="C815" s="319"/>
      <c r="D815" s="448"/>
      <c r="E815" s="320"/>
      <c r="F815" s="450" t="str">
        <f>IF(OR(D815="",E815=""),"",ROUND(D815/LOOKUP(E815,SMMLV!$A$2:$A$36,SMMLV!$D$2:$D$100),3))</f>
        <v/>
      </c>
      <c r="K815" s="782"/>
      <c r="L815" s="444">
        <v>10</v>
      </c>
      <c r="M815" s="781" t="str">
        <f t="shared" si="78"/>
        <v>NO APLICA</v>
      </c>
      <c r="N815" s="781"/>
    </row>
    <row r="816" spans="2:14">
      <c r="B816" s="319"/>
      <c r="C816" s="319"/>
      <c r="D816" s="448"/>
      <c r="E816" s="320"/>
      <c r="F816" s="450" t="str">
        <f>IF(OR(D816="",E816=""),"",ROUND(D816/LOOKUP(E816,SMMLV!$A$2:$A$36,SMMLV!$D$2:$D$100),3))</f>
        <v/>
      </c>
      <c r="K816" s="782">
        <v>82</v>
      </c>
      <c r="L816" s="444">
        <v>1</v>
      </c>
      <c r="M816" s="781" t="str">
        <f t="shared" ref="M816:M825" si="79">IF(SUMIFS($F$5:$F$1200,$B$5:$B$1200,$K$816,$C$5:$C$1200,$L816)=0,"NO APLICA",ROUND(SUMIFS($F$5:$F$1200,$B$5:$B$1200,$K$816,$C$5:$C$1200,$L816),3))</f>
        <v>NO APLICA</v>
      </c>
      <c r="N816" s="781"/>
    </row>
    <row r="817" spans="2:14">
      <c r="B817" s="319"/>
      <c r="C817" s="319"/>
      <c r="D817" s="448"/>
      <c r="E817" s="320"/>
      <c r="F817" s="450" t="str">
        <f>IF(OR(D817="",E817=""),"",ROUND(D817/LOOKUP(E817,SMMLV!$A$2:$A$36,SMMLV!$D$2:$D$100),3))</f>
        <v/>
      </c>
      <c r="K817" s="782"/>
      <c r="L817" s="444">
        <v>2</v>
      </c>
      <c r="M817" s="781" t="str">
        <f t="shared" si="79"/>
        <v>NO APLICA</v>
      </c>
      <c r="N817" s="781"/>
    </row>
    <row r="818" spans="2:14">
      <c r="B818" s="319"/>
      <c r="C818" s="319"/>
      <c r="D818" s="448"/>
      <c r="E818" s="320"/>
      <c r="F818" s="450" t="str">
        <f>IF(OR(D818="",E818=""),"",ROUND(D818/LOOKUP(E818,SMMLV!$A$2:$A$36,SMMLV!$D$2:$D$100),3))</f>
        <v/>
      </c>
      <c r="K818" s="782"/>
      <c r="L818" s="444">
        <v>3</v>
      </c>
      <c r="M818" s="781" t="str">
        <f t="shared" si="79"/>
        <v>NO APLICA</v>
      </c>
      <c r="N818" s="781"/>
    </row>
    <row r="819" spans="2:14">
      <c r="B819" s="319"/>
      <c r="C819" s="319"/>
      <c r="D819" s="448"/>
      <c r="E819" s="320"/>
      <c r="F819" s="450" t="str">
        <f>IF(OR(D819="",E819=""),"",ROUND(D819/LOOKUP(E819,SMMLV!$A$2:$A$36,SMMLV!$D$2:$D$100),3))</f>
        <v/>
      </c>
      <c r="K819" s="782"/>
      <c r="L819" s="444">
        <v>4</v>
      </c>
      <c r="M819" s="781" t="str">
        <f t="shared" si="79"/>
        <v>NO APLICA</v>
      </c>
      <c r="N819" s="781"/>
    </row>
    <row r="820" spans="2:14">
      <c r="B820" s="319"/>
      <c r="C820" s="319"/>
      <c r="D820" s="448"/>
      <c r="E820" s="320"/>
      <c r="F820" s="450" t="str">
        <f>IF(OR(D820="",E820=""),"",ROUND(D820/LOOKUP(E820,SMMLV!$A$2:$A$36,SMMLV!$D$2:$D$100),3))</f>
        <v/>
      </c>
      <c r="K820" s="782"/>
      <c r="L820" s="444">
        <v>5</v>
      </c>
      <c r="M820" s="781" t="str">
        <f t="shared" si="79"/>
        <v>NO APLICA</v>
      </c>
      <c r="N820" s="781"/>
    </row>
    <row r="821" spans="2:14">
      <c r="B821" s="319"/>
      <c r="C821" s="319"/>
      <c r="D821" s="448"/>
      <c r="E821" s="320"/>
      <c r="F821" s="450" t="str">
        <f>IF(OR(D821="",E821=""),"",ROUND(D821/LOOKUP(E821,SMMLV!$A$2:$A$36,SMMLV!$D$2:$D$100),3))</f>
        <v/>
      </c>
      <c r="K821" s="782"/>
      <c r="L821" s="444">
        <v>6</v>
      </c>
      <c r="M821" s="781" t="str">
        <f t="shared" si="79"/>
        <v>NO APLICA</v>
      </c>
      <c r="N821" s="781"/>
    </row>
    <row r="822" spans="2:14">
      <c r="B822" s="319"/>
      <c r="C822" s="319"/>
      <c r="D822" s="448"/>
      <c r="E822" s="320"/>
      <c r="F822" s="450" t="str">
        <f>IF(OR(D822="",E822=""),"",ROUND(D822/LOOKUP(E822,SMMLV!$A$2:$A$36,SMMLV!$D$2:$D$100),3))</f>
        <v/>
      </c>
      <c r="K822" s="782"/>
      <c r="L822" s="444">
        <v>7</v>
      </c>
      <c r="M822" s="781" t="str">
        <f t="shared" si="79"/>
        <v>NO APLICA</v>
      </c>
      <c r="N822" s="781"/>
    </row>
    <row r="823" spans="2:14">
      <c r="B823" s="319"/>
      <c r="C823" s="319"/>
      <c r="D823" s="448"/>
      <c r="E823" s="320"/>
      <c r="F823" s="450" t="str">
        <f>IF(OR(D823="",E823=""),"",ROUND(D823/LOOKUP(E823,SMMLV!$A$2:$A$36,SMMLV!$D$2:$D$100),3))</f>
        <v/>
      </c>
      <c r="K823" s="782"/>
      <c r="L823" s="444">
        <v>8</v>
      </c>
      <c r="M823" s="781" t="str">
        <f t="shared" si="79"/>
        <v>NO APLICA</v>
      </c>
      <c r="N823" s="781"/>
    </row>
    <row r="824" spans="2:14">
      <c r="B824" s="319"/>
      <c r="C824" s="319"/>
      <c r="D824" s="448"/>
      <c r="E824" s="320"/>
      <c r="F824" s="450" t="str">
        <f>IF(OR(D824="",E824=""),"",ROUND(D824/LOOKUP(E824,SMMLV!$A$2:$A$36,SMMLV!$D$2:$D$100),3))</f>
        <v/>
      </c>
      <c r="K824" s="782"/>
      <c r="L824" s="444">
        <v>9</v>
      </c>
      <c r="M824" s="781" t="str">
        <f t="shared" si="79"/>
        <v>NO APLICA</v>
      </c>
      <c r="N824" s="781"/>
    </row>
    <row r="825" spans="2:14">
      <c r="B825" s="319"/>
      <c r="C825" s="319"/>
      <c r="D825" s="448"/>
      <c r="E825" s="320"/>
      <c r="F825" s="450" t="str">
        <f>IF(OR(D825="",E825=""),"",ROUND(D825/LOOKUP(E825,SMMLV!$A$2:$A$36,SMMLV!$D$2:$D$100),3))</f>
        <v/>
      </c>
      <c r="K825" s="782"/>
      <c r="L825" s="444">
        <v>10</v>
      </c>
      <c r="M825" s="781" t="str">
        <f t="shared" si="79"/>
        <v>NO APLICA</v>
      </c>
      <c r="N825" s="781"/>
    </row>
    <row r="826" spans="2:14">
      <c r="B826" s="319"/>
      <c r="C826" s="319"/>
      <c r="D826" s="448"/>
      <c r="E826" s="320"/>
      <c r="F826" s="450" t="str">
        <f>IF(OR(D826="",E826=""),"",ROUND(D826/LOOKUP(E826,SMMLV!$A$2:$A$36,SMMLV!$D$2:$D$100),3))</f>
        <v/>
      </c>
      <c r="K826" s="782">
        <v>83</v>
      </c>
      <c r="L826" s="444">
        <v>1</v>
      </c>
      <c r="M826" s="781" t="str">
        <f t="shared" ref="M826:M835" si="80">IF(SUMIFS($F$5:$F$1200,$B$5:$B$1200,$K$826,$C$5:$C$1200,$L826)=0,"NO APLICA",ROUND(SUMIFS($F$5:$F$1200,$B$5:$B$1200,$K$826,$C$5:$C$1200,$L826),3))</f>
        <v>NO APLICA</v>
      </c>
      <c r="N826" s="781"/>
    </row>
    <row r="827" spans="2:14">
      <c r="B827" s="319"/>
      <c r="C827" s="319"/>
      <c r="D827" s="448"/>
      <c r="E827" s="320"/>
      <c r="F827" s="450" t="str">
        <f>IF(OR(D827="",E827=""),"",ROUND(D827/LOOKUP(E827,SMMLV!$A$2:$A$36,SMMLV!$D$2:$D$100),3))</f>
        <v/>
      </c>
      <c r="K827" s="782"/>
      <c r="L827" s="444">
        <v>2</v>
      </c>
      <c r="M827" s="781" t="str">
        <f t="shared" si="80"/>
        <v>NO APLICA</v>
      </c>
      <c r="N827" s="781"/>
    </row>
    <row r="828" spans="2:14">
      <c r="B828" s="319"/>
      <c r="C828" s="319"/>
      <c r="D828" s="448"/>
      <c r="E828" s="320"/>
      <c r="F828" s="450" t="str">
        <f>IF(OR(D828="",E828=""),"",ROUND(D828/LOOKUP(E828,SMMLV!$A$2:$A$36,SMMLV!$D$2:$D$100),3))</f>
        <v/>
      </c>
      <c r="K828" s="782"/>
      <c r="L828" s="444">
        <v>3</v>
      </c>
      <c r="M828" s="781" t="str">
        <f t="shared" si="80"/>
        <v>NO APLICA</v>
      </c>
      <c r="N828" s="781"/>
    </row>
    <row r="829" spans="2:14">
      <c r="B829" s="319"/>
      <c r="C829" s="319"/>
      <c r="D829" s="448"/>
      <c r="E829" s="320"/>
      <c r="F829" s="450" t="str">
        <f>IF(OR(D829="",E829=""),"",ROUND(D829/LOOKUP(E829,SMMLV!$A$2:$A$36,SMMLV!$D$2:$D$100),3))</f>
        <v/>
      </c>
      <c r="K829" s="782"/>
      <c r="L829" s="444">
        <v>4</v>
      </c>
      <c r="M829" s="781" t="str">
        <f t="shared" si="80"/>
        <v>NO APLICA</v>
      </c>
      <c r="N829" s="781"/>
    </row>
    <row r="830" spans="2:14">
      <c r="B830" s="319"/>
      <c r="C830" s="319"/>
      <c r="D830" s="448"/>
      <c r="E830" s="320"/>
      <c r="F830" s="450" t="str">
        <f>IF(OR(D830="",E830=""),"",ROUND(D830/LOOKUP(E830,SMMLV!$A$2:$A$36,SMMLV!$D$2:$D$100),3))</f>
        <v/>
      </c>
      <c r="K830" s="782"/>
      <c r="L830" s="444">
        <v>5</v>
      </c>
      <c r="M830" s="781" t="str">
        <f t="shared" si="80"/>
        <v>NO APLICA</v>
      </c>
      <c r="N830" s="781"/>
    </row>
    <row r="831" spans="2:14">
      <c r="B831" s="319"/>
      <c r="C831" s="319"/>
      <c r="D831" s="448"/>
      <c r="E831" s="320"/>
      <c r="F831" s="450" t="str">
        <f>IF(OR(D831="",E831=""),"",ROUND(D831/LOOKUP(E831,SMMLV!$A$2:$A$36,SMMLV!$D$2:$D$100),3))</f>
        <v/>
      </c>
      <c r="K831" s="782"/>
      <c r="L831" s="444">
        <v>6</v>
      </c>
      <c r="M831" s="781" t="str">
        <f t="shared" si="80"/>
        <v>NO APLICA</v>
      </c>
      <c r="N831" s="781"/>
    </row>
    <row r="832" spans="2:14">
      <c r="B832" s="319"/>
      <c r="C832" s="319"/>
      <c r="D832" s="448"/>
      <c r="E832" s="320"/>
      <c r="F832" s="450" t="str">
        <f>IF(OR(D832="",E832=""),"",ROUND(D832/LOOKUP(E832,SMMLV!$A$2:$A$36,SMMLV!$D$2:$D$100),3))</f>
        <v/>
      </c>
      <c r="K832" s="782"/>
      <c r="L832" s="444">
        <v>7</v>
      </c>
      <c r="M832" s="781" t="str">
        <f t="shared" si="80"/>
        <v>NO APLICA</v>
      </c>
      <c r="N832" s="781"/>
    </row>
    <row r="833" spans="2:14">
      <c r="B833" s="319"/>
      <c r="C833" s="319"/>
      <c r="D833" s="448"/>
      <c r="E833" s="320"/>
      <c r="F833" s="450" t="str">
        <f>IF(OR(D833="",E833=""),"",ROUND(D833/LOOKUP(E833,SMMLV!$A$2:$A$36,SMMLV!$D$2:$D$100),3))</f>
        <v/>
      </c>
      <c r="K833" s="782"/>
      <c r="L833" s="444">
        <v>8</v>
      </c>
      <c r="M833" s="781" t="str">
        <f t="shared" si="80"/>
        <v>NO APLICA</v>
      </c>
      <c r="N833" s="781"/>
    </row>
    <row r="834" spans="2:14">
      <c r="B834" s="319"/>
      <c r="C834" s="319"/>
      <c r="D834" s="448"/>
      <c r="E834" s="320"/>
      <c r="F834" s="450" t="str">
        <f>IF(OR(D834="",E834=""),"",ROUND(D834/LOOKUP(E834,SMMLV!$A$2:$A$36,SMMLV!$D$2:$D$100),3))</f>
        <v/>
      </c>
      <c r="K834" s="782"/>
      <c r="L834" s="444">
        <v>9</v>
      </c>
      <c r="M834" s="781" t="str">
        <f t="shared" si="80"/>
        <v>NO APLICA</v>
      </c>
      <c r="N834" s="781"/>
    </row>
    <row r="835" spans="2:14">
      <c r="B835" s="319"/>
      <c r="C835" s="319"/>
      <c r="D835" s="448"/>
      <c r="E835" s="320"/>
      <c r="F835" s="450" t="str">
        <f>IF(OR(D835="",E835=""),"",ROUND(D835/LOOKUP(E835,SMMLV!$A$2:$A$36,SMMLV!$D$2:$D$100),3))</f>
        <v/>
      </c>
      <c r="K835" s="782"/>
      <c r="L835" s="444">
        <v>10</v>
      </c>
      <c r="M835" s="781" t="str">
        <f t="shared" si="80"/>
        <v>NO APLICA</v>
      </c>
      <c r="N835" s="781"/>
    </row>
    <row r="836" spans="2:14">
      <c r="B836" s="319"/>
      <c r="C836" s="319"/>
      <c r="D836" s="448"/>
      <c r="E836" s="320"/>
      <c r="F836" s="450" t="str">
        <f>IF(OR(D836="",E836=""),"",ROUND(D836/LOOKUP(E836,SMMLV!$A$2:$A$36,SMMLV!$D$2:$D$100),3))</f>
        <v/>
      </c>
      <c r="K836" s="782">
        <v>84</v>
      </c>
      <c r="L836" s="444">
        <v>1</v>
      </c>
      <c r="M836" s="781" t="str">
        <f t="shared" ref="M836:M845" si="81">IF(SUMIFS($F$5:$F$1200,$B$5:$B$1200,$K$836,$C$5:$C$1200,$L836)=0,"NO APLICA",ROUND(SUMIFS($F$5:$F$1200,$B$5:$B$1200,$K$836,$C$5:$C$1200,$L836),3))</f>
        <v>NO APLICA</v>
      </c>
      <c r="N836" s="781"/>
    </row>
    <row r="837" spans="2:14">
      <c r="B837" s="319"/>
      <c r="C837" s="319"/>
      <c r="D837" s="448"/>
      <c r="E837" s="320"/>
      <c r="F837" s="450" t="str">
        <f>IF(OR(D837="",E837=""),"",ROUND(D837/LOOKUP(E837,SMMLV!$A$2:$A$36,SMMLV!$D$2:$D$100),3))</f>
        <v/>
      </c>
      <c r="K837" s="782"/>
      <c r="L837" s="444">
        <v>2</v>
      </c>
      <c r="M837" s="781" t="str">
        <f t="shared" si="81"/>
        <v>NO APLICA</v>
      </c>
      <c r="N837" s="781"/>
    </row>
    <row r="838" spans="2:14">
      <c r="B838" s="319"/>
      <c r="C838" s="319"/>
      <c r="D838" s="448"/>
      <c r="E838" s="320"/>
      <c r="F838" s="450" t="str">
        <f>IF(OR(D838="",E838=""),"",ROUND(D838/LOOKUP(E838,SMMLV!$A$2:$A$36,SMMLV!$D$2:$D$100),3))</f>
        <v/>
      </c>
      <c r="K838" s="782"/>
      <c r="L838" s="444">
        <v>3</v>
      </c>
      <c r="M838" s="781" t="str">
        <f t="shared" si="81"/>
        <v>NO APLICA</v>
      </c>
      <c r="N838" s="781"/>
    </row>
    <row r="839" spans="2:14">
      <c r="B839" s="319"/>
      <c r="C839" s="319"/>
      <c r="D839" s="448"/>
      <c r="E839" s="320"/>
      <c r="F839" s="450" t="str">
        <f>IF(OR(D839="",E839=""),"",ROUND(D839/LOOKUP(E839,SMMLV!$A$2:$A$36,SMMLV!$D$2:$D$100),3))</f>
        <v/>
      </c>
      <c r="K839" s="782"/>
      <c r="L839" s="444">
        <v>4</v>
      </c>
      <c r="M839" s="781" t="str">
        <f t="shared" si="81"/>
        <v>NO APLICA</v>
      </c>
      <c r="N839" s="781"/>
    </row>
    <row r="840" spans="2:14">
      <c r="B840" s="319"/>
      <c r="C840" s="319"/>
      <c r="D840" s="448"/>
      <c r="E840" s="320"/>
      <c r="F840" s="450" t="str">
        <f>IF(OR(D840="",E840=""),"",ROUND(D840/LOOKUP(E840,SMMLV!$A$2:$A$36,SMMLV!$D$2:$D$100),3))</f>
        <v/>
      </c>
      <c r="K840" s="782"/>
      <c r="L840" s="444">
        <v>5</v>
      </c>
      <c r="M840" s="781" t="str">
        <f t="shared" si="81"/>
        <v>NO APLICA</v>
      </c>
      <c r="N840" s="781"/>
    </row>
    <row r="841" spans="2:14">
      <c r="B841" s="319"/>
      <c r="C841" s="319"/>
      <c r="D841" s="448"/>
      <c r="E841" s="320"/>
      <c r="F841" s="450" t="str">
        <f>IF(OR(D841="",E841=""),"",ROUND(D841/LOOKUP(E841,SMMLV!$A$2:$A$36,SMMLV!$D$2:$D$100),3))</f>
        <v/>
      </c>
      <c r="K841" s="782"/>
      <c r="L841" s="444">
        <v>6</v>
      </c>
      <c r="M841" s="781" t="str">
        <f t="shared" si="81"/>
        <v>NO APLICA</v>
      </c>
      <c r="N841" s="781"/>
    </row>
    <row r="842" spans="2:14">
      <c r="B842" s="319"/>
      <c r="C842" s="319"/>
      <c r="D842" s="448"/>
      <c r="E842" s="320"/>
      <c r="F842" s="450" t="str">
        <f>IF(OR(D842="",E842=""),"",ROUND(D842/LOOKUP(E842,SMMLV!$A$2:$A$36,SMMLV!$D$2:$D$100),3))</f>
        <v/>
      </c>
      <c r="K842" s="782"/>
      <c r="L842" s="444">
        <v>7</v>
      </c>
      <c r="M842" s="781" t="str">
        <f t="shared" si="81"/>
        <v>NO APLICA</v>
      </c>
      <c r="N842" s="781"/>
    </row>
    <row r="843" spans="2:14">
      <c r="B843" s="319"/>
      <c r="C843" s="319"/>
      <c r="D843" s="448"/>
      <c r="E843" s="320"/>
      <c r="F843" s="450" t="str">
        <f>IF(OR(D843="",E843=""),"",ROUND(D843/LOOKUP(E843,SMMLV!$A$2:$A$36,SMMLV!$D$2:$D$100),3))</f>
        <v/>
      </c>
      <c r="K843" s="782"/>
      <c r="L843" s="444">
        <v>8</v>
      </c>
      <c r="M843" s="781" t="str">
        <f t="shared" si="81"/>
        <v>NO APLICA</v>
      </c>
      <c r="N843" s="781"/>
    </row>
    <row r="844" spans="2:14">
      <c r="B844" s="319"/>
      <c r="C844" s="319"/>
      <c r="D844" s="448"/>
      <c r="E844" s="320"/>
      <c r="F844" s="450" t="str">
        <f>IF(OR(D844="",E844=""),"",ROUND(D844/LOOKUP(E844,SMMLV!$A$2:$A$36,SMMLV!$D$2:$D$100),3))</f>
        <v/>
      </c>
      <c r="K844" s="782"/>
      <c r="L844" s="444">
        <v>9</v>
      </c>
      <c r="M844" s="781" t="str">
        <f t="shared" si="81"/>
        <v>NO APLICA</v>
      </c>
      <c r="N844" s="781"/>
    </row>
    <row r="845" spans="2:14">
      <c r="B845" s="319"/>
      <c r="C845" s="319"/>
      <c r="D845" s="448"/>
      <c r="E845" s="320"/>
      <c r="F845" s="450" t="str">
        <f>IF(OR(D845="",E845=""),"",ROUND(D845/LOOKUP(E845,SMMLV!$A$2:$A$36,SMMLV!$D$2:$D$100),3))</f>
        <v/>
      </c>
      <c r="K845" s="782"/>
      <c r="L845" s="444">
        <v>10</v>
      </c>
      <c r="M845" s="781" t="str">
        <f t="shared" si="81"/>
        <v>NO APLICA</v>
      </c>
      <c r="N845" s="781"/>
    </row>
    <row r="846" spans="2:14">
      <c r="B846" s="319"/>
      <c r="C846" s="319"/>
      <c r="D846" s="448"/>
      <c r="E846" s="320"/>
      <c r="F846" s="450" t="str">
        <f>IF(OR(D846="",E846=""),"",ROUND(D846/LOOKUP(E846,SMMLV!$A$2:$A$36,SMMLV!$D$2:$D$100),3))</f>
        <v/>
      </c>
      <c r="K846" s="782">
        <v>85</v>
      </c>
      <c r="L846" s="444">
        <v>1</v>
      </c>
      <c r="M846" s="781" t="str">
        <f t="shared" ref="M846:M855" si="82">IF(SUMIFS($F$5:$F$1200,$B$5:$B$1200,$K$846,$C$5:$C$1200,$L846)=0,"NO APLICA",ROUND(SUMIFS($F$5:$F$1200,$B$5:$B$1200,$K$846,$C$5:$C$1200,$L846),3))</f>
        <v>NO APLICA</v>
      </c>
      <c r="N846" s="781"/>
    </row>
    <row r="847" spans="2:14">
      <c r="B847" s="319"/>
      <c r="C847" s="319"/>
      <c r="D847" s="448"/>
      <c r="E847" s="320"/>
      <c r="F847" s="450" t="str">
        <f>IF(OR(D847="",E847=""),"",ROUND(D847/LOOKUP(E847,SMMLV!$A$2:$A$36,SMMLV!$D$2:$D$100),3))</f>
        <v/>
      </c>
      <c r="K847" s="782"/>
      <c r="L847" s="444">
        <v>2</v>
      </c>
      <c r="M847" s="781" t="str">
        <f t="shared" si="82"/>
        <v>NO APLICA</v>
      </c>
      <c r="N847" s="781"/>
    </row>
    <row r="848" spans="2:14">
      <c r="B848" s="319"/>
      <c r="C848" s="319"/>
      <c r="D848" s="448"/>
      <c r="E848" s="320"/>
      <c r="F848" s="450" t="str">
        <f>IF(OR(D848="",E848=""),"",ROUND(D848/LOOKUP(E848,SMMLV!$A$2:$A$36,SMMLV!$D$2:$D$100),3))</f>
        <v/>
      </c>
      <c r="K848" s="782"/>
      <c r="L848" s="444">
        <v>3</v>
      </c>
      <c r="M848" s="781" t="str">
        <f t="shared" si="82"/>
        <v>NO APLICA</v>
      </c>
      <c r="N848" s="781"/>
    </row>
    <row r="849" spans="2:14">
      <c r="B849" s="319"/>
      <c r="C849" s="319"/>
      <c r="D849" s="448"/>
      <c r="E849" s="320"/>
      <c r="F849" s="450" t="str">
        <f>IF(OR(D849="",E849=""),"",ROUND(D849/LOOKUP(E849,SMMLV!$A$2:$A$36,SMMLV!$D$2:$D$100),3))</f>
        <v/>
      </c>
      <c r="K849" s="782"/>
      <c r="L849" s="444">
        <v>4</v>
      </c>
      <c r="M849" s="781" t="str">
        <f t="shared" si="82"/>
        <v>NO APLICA</v>
      </c>
      <c r="N849" s="781"/>
    </row>
    <row r="850" spans="2:14">
      <c r="B850" s="319"/>
      <c r="C850" s="319"/>
      <c r="D850" s="448"/>
      <c r="E850" s="320"/>
      <c r="F850" s="450" t="str">
        <f>IF(OR(D850="",E850=""),"",ROUND(D850/LOOKUP(E850,SMMLV!$A$2:$A$36,SMMLV!$D$2:$D$100),3))</f>
        <v/>
      </c>
      <c r="K850" s="782"/>
      <c r="L850" s="444">
        <v>5</v>
      </c>
      <c r="M850" s="781" t="str">
        <f t="shared" si="82"/>
        <v>NO APLICA</v>
      </c>
      <c r="N850" s="781"/>
    </row>
    <row r="851" spans="2:14">
      <c r="B851" s="319"/>
      <c r="C851" s="319"/>
      <c r="D851" s="448"/>
      <c r="E851" s="320"/>
      <c r="F851" s="450" t="str">
        <f>IF(OR(D851="",E851=""),"",ROUND(D851/LOOKUP(E851,SMMLV!$A$2:$A$36,SMMLV!$D$2:$D$100),3))</f>
        <v/>
      </c>
      <c r="K851" s="782"/>
      <c r="L851" s="444">
        <v>6</v>
      </c>
      <c r="M851" s="781" t="str">
        <f t="shared" si="82"/>
        <v>NO APLICA</v>
      </c>
      <c r="N851" s="781"/>
    </row>
    <row r="852" spans="2:14">
      <c r="B852" s="319"/>
      <c r="C852" s="319"/>
      <c r="D852" s="448"/>
      <c r="E852" s="320"/>
      <c r="F852" s="450" t="str">
        <f>IF(OR(D852="",E852=""),"",ROUND(D852/LOOKUP(E852,SMMLV!$A$2:$A$36,SMMLV!$D$2:$D$100),3))</f>
        <v/>
      </c>
      <c r="K852" s="782"/>
      <c r="L852" s="444">
        <v>7</v>
      </c>
      <c r="M852" s="781" t="str">
        <f t="shared" si="82"/>
        <v>NO APLICA</v>
      </c>
      <c r="N852" s="781"/>
    </row>
    <row r="853" spans="2:14">
      <c r="B853" s="319"/>
      <c r="C853" s="319"/>
      <c r="D853" s="448"/>
      <c r="E853" s="320"/>
      <c r="F853" s="450" t="str">
        <f>IF(OR(D853="",E853=""),"",ROUND(D853/LOOKUP(E853,SMMLV!$A$2:$A$36,SMMLV!$D$2:$D$100),3))</f>
        <v/>
      </c>
      <c r="K853" s="782"/>
      <c r="L853" s="444">
        <v>8</v>
      </c>
      <c r="M853" s="781" t="str">
        <f t="shared" si="82"/>
        <v>NO APLICA</v>
      </c>
      <c r="N853" s="781"/>
    </row>
    <row r="854" spans="2:14">
      <c r="B854" s="319"/>
      <c r="C854" s="319"/>
      <c r="D854" s="448"/>
      <c r="E854" s="320"/>
      <c r="F854" s="450" t="str">
        <f>IF(OR(D854="",E854=""),"",ROUND(D854/LOOKUP(E854,SMMLV!$A$2:$A$36,SMMLV!$D$2:$D$100),3))</f>
        <v/>
      </c>
      <c r="K854" s="782"/>
      <c r="L854" s="444">
        <v>9</v>
      </c>
      <c r="M854" s="781" t="str">
        <f t="shared" si="82"/>
        <v>NO APLICA</v>
      </c>
      <c r="N854" s="781"/>
    </row>
    <row r="855" spans="2:14">
      <c r="B855" s="319"/>
      <c r="C855" s="319"/>
      <c r="D855" s="448"/>
      <c r="E855" s="320"/>
      <c r="F855" s="450" t="str">
        <f>IF(OR(D855="",E855=""),"",ROUND(D855/LOOKUP(E855,SMMLV!$A$2:$A$36,SMMLV!$D$2:$D$100),3))</f>
        <v/>
      </c>
      <c r="K855" s="782"/>
      <c r="L855" s="444">
        <v>10</v>
      </c>
      <c r="M855" s="781" t="str">
        <f t="shared" si="82"/>
        <v>NO APLICA</v>
      </c>
      <c r="N855" s="781"/>
    </row>
    <row r="856" spans="2:14">
      <c r="B856" s="319"/>
      <c r="C856" s="319"/>
      <c r="D856" s="448"/>
      <c r="E856" s="320"/>
      <c r="F856" s="450" t="str">
        <f>IF(OR(D856="",E856=""),"",ROUND(D856/LOOKUP(E856,SMMLV!$A$2:$A$36,SMMLV!$D$2:$D$100),3))</f>
        <v/>
      </c>
      <c r="K856" s="782">
        <v>86</v>
      </c>
      <c r="L856" s="444">
        <v>1</v>
      </c>
      <c r="M856" s="781" t="str">
        <f t="shared" ref="M856:M865" si="83">IF(SUMIFS($F$5:$F$1200,$B$5:$B$1200,$K$856,$C$5:$C$1200,$L856)=0,"NO APLICA",ROUND(SUMIFS($F$5:$F$1200,$B$5:$B$1200,$K$856,$C$5:$C$1200,$L856),3))</f>
        <v>NO APLICA</v>
      </c>
      <c r="N856" s="781"/>
    </row>
    <row r="857" spans="2:14">
      <c r="B857" s="319"/>
      <c r="C857" s="319"/>
      <c r="D857" s="448"/>
      <c r="E857" s="320"/>
      <c r="F857" s="450" t="str">
        <f>IF(OR(D857="",E857=""),"",ROUND(D857/LOOKUP(E857,SMMLV!$A$2:$A$36,SMMLV!$D$2:$D$100),3))</f>
        <v/>
      </c>
      <c r="K857" s="782"/>
      <c r="L857" s="444">
        <v>2</v>
      </c>
      <c r="M857" s="781" t="str">
        <f t="shared" si="83"/>
        <v>NO APLICA</v>
      </c>
      <c r="N857" s="781"/>
    </row>
    <row r="858" spans="2:14">
      <c r="B858" s="319"/>
      <c r="C858" s="319"/>
      <c r="D858" s="448"/>
      <c r="E858" s="320"/>
      <c r="F858" s="450" t="str">
        <f>IF(OR(D858="",E858=""),"",ROUND(D858/LOOKUP(E858,SMMLV!$A$2:$A$36,SMMLV!$D$2:$D$100),3))</f>
        <v/>
      </c>
      <c r="K858" s="782"/>
      <c r="L858" s="444">
        <v>3</v>
      </c>
      <c r="M858" s="781" t="str">
        <f t="shared" si="83"/>
        <v>NO APLICA</v>
      </c>
      <c r="N858" s="781"/>
    </row>
    <row r="859" spans="2:14">
      <c r="B859" s="319"/>
      <c r="C859" s="319"/>
      <c r="D859" s="448"/>
      <c r="E859" s="320"/>
      <c r="F859" s="450" t="str">
        <f>IF(OR(D859="",E859=""),"",ROUND(D859/LOOKUP(E859,SMMLV!$A$2:$A$36,SMMLV!$D$2:$D$100),3))</f>
        <v/>
      </c>
      <c r="K859" s="782"/>
      <c r="L859" s="444">
        <v>4</v>
      </c>
      <c r="M859" s="781" t="str">
        <f t="shared" si="83"/>
        <v>NO APLICA</v>
      </c>
      <c r="N859" s="781"/>
    </row>
    <row r="860" spans="2:14">
      <c r="B860" s="319"/>
      <c r="C860" s="319"/>
      <c r="D860" s="448"/>
      <c r="E860" s="320"/>
      <c r="F860" s="450" t="str">
        <f>IF(OR(D860="",E860=""),"",ROUND(D860/LOOKUP(E860,SMMLV!$A$2:$A$36,SMMLV!$D$2:$D$100),3))</f>
        <v/>
      </c>
      <c r="K860" s="782"/>
      <c r="L860" s="444">
        <v>5</v>
      </c>
      <c r="M860" s="781" t="str">
        <f t="shared" si="83"/>
        <v>NO APLICA</v>
      </c>
      <c r="N860" s="781"/>
    </row>
    <row r="861" spans="2:14">
      <c r="B861" s="319"/>
      <c r="C861" s="319"/>
      <c r="D861" s="448"/>
      <c r="E861" s="320"/>
      <c r="F861" s="450" t="str">
        <f>IF(OR(D861="",E861=""),"",ROUND(D861/LOOKUP(E861,SMMLV!$A$2:$A$36,SMMLV!$D$2:$D$100),3))</f>
        <v/>
      </c>
      <c r="K861" s="782"/>
      <c r="L861" s="444">
        <v>6</v>
      </c>
      <c r="M861" s="781" t="str">
        <f t="shared" si="83"/>
        <v>NO APLICA</v>
      </c>
      <c r="N861" s="781"/>
    </row>
    <row r="862" spans="2:14">
      <c r="B862" s="319"/>
      <c r="C862" s="319"/>
      <c r="D862" s="448"/>
      <c r="E862" s="320"/>
      <c r="F862" s="450" t="str">
        <f>IF(OR(D862="",E862=""),"",ROUND(D862/LOOKUP(E862,SMMLV!$A$2:$A$36,SMMLV!$D$2:$D$100),3))</f>
        <v/>
      </c>
      <c r="K862" s="782"/>
      <c r="L862" s="444">
        <v>7</v>
      </c>
      <c r="M862" s="781" t="str">
        <f t="shared" si="83"/>
        <v>NO APLICA</v>
      </c>
      <c r="N862" s="781"/>
    </row>
    <row r="863" spans="2:14">
      <c r="B863" s="319"/>
      <c r="C863" s="319"/>
      <c r="D863" s="448"/>
      <c r="E863" s="320"/>
      <c r="F863" s="450" t="str">
        <f>IF(OR(D863="",E863=""),"",ROUND(D863/LOOKUP(E863,SMMLV!$A$2:$A$36,SMMLV!$D$2:$D$100),3))</f>
        <v/>
      </c>
      <c r="K863" s="782"/>
      <c r="L863" s="444">
        <v>8</v>
      </c>
      <c r="M863" s="781" t="str">
        <f t="shared" si="83"/>
        <v>NO APLICA</v>
      </c>
      <c r="N863" s="781"/>
    </row>
    <row r="864" spans="2:14">
      <c r="B864" s="319"/>
      <c r="C864" s="319"/>
      <c r="D864" s="448"/>
      <c r="E864" s="320"/>
      <c r="F864" s="450" t="str">
        <f>IF(OR(D864="",E864=""),"",ROUND(D864/LOOKUP(E864,SMMLV!$A$2:$A$36,SMMLV!$D$2:$D$100),3))</f>
        <v/>
      </c>
      <c r="K864" s="782"/>
      <c r="L864" s="444">
        <v>9</v>
      </c>
      <c r="M864" s="781" t="str">
        <f t="shared" si="83"/>
        <v>NO APLICA</v>
      </c>
      <c r="N864" s="781"/>
    </row>
    <row r="865" spans="2:14">
      <c r="B865" s="319"/>
      <c r="C865" s="319"/>
      <c r="D865" s="448"/>
      <c r="E865" s="320"/>
      <c r="F865" s="450" t="str">
        <f>IF(OR(D865="",E865=""),"",ROUND(D865/LOOKUP(E865,SMMLV!$A$2:$A$36,SMMLV!$D$2:$D$100),3))</f>
        <v/>
      </c>
      <c r="K865" s="782"/>
      <c r="L865" s="444">
        <v>10</v>
      </c>
      <c r="M865" s="781" t="str">
        <f t="shared" si="83"/>
        <v>NO APLICA</v>
      </c>
      <c r="N865" s="781"/>
    </row>
    <row r="866" spans="2:14">
      <c r="B866" s="319"/>
      <c r="C866" s="319"/>
      <c r="D866" s="448"/>
      <c r="E866" s="320"/>
      <c r="F866" s="450" t="str">
        <f>IF(OR(D866="",E866=""),"",ROUND(D866/LOOKUP(E866,SMMLV!$A$2:$A$36,SMMLV!$D$2:$D$100),3))</f>
        <v/>
      </c>
      <c r="K866" s="782">
        <v>87</v>
      </c>
      <c r="L866" s="444">
        <v>1</v>
      </c>
      <c r="M866" s="781" t="str">
        <f t="shared" ref="M866:M875" si="84">IF(SUMIFS($F$5:$F$1200,$B$5:$B$1200,$K$866,$C$5:$C$1200,$L866)=0,"NO APLICA",ROUND(SUMIFS($F$5:$F$1200,$B$5:$B$1200,$K$866,$C$5:$C$1200,$L866),3))</f>
        <v>NO APLICA</v>
      </c>
      <c r="N866" s="781"/>
    </row>
    <row r="867" spans="2:14">
      <c r="B867" s="319"/>
      <c r="C867" s="319"/>
      <c r="D867" s="448"/>
      <c r="E867" s="320"/>
      <c r="F867" s="450" t="str">
        <f>IF(OR(D867="",E867=""),"",ROUND(D867/LOOKUP(E867,SMMLV!$A$2:$A$36,SMMLV!$D$2:$D$100),3))</f>
        <v/>
      </c>
      <c r="K867" s="782"/>
      <c r="L867" s="444">
        <v>2</v>
      </c>
      <c r="M867" s="781" t="str">
        <f t="shared" si="84"/>
        <v>NO APLICA</v>
      </c>
      <c r="N867" s="781"/>
    </row>
    <row r="868" spans="2:14">
      <c r="B868" s="319"/>
      <c r="C868" s="319"/>
      <c r="D868" s="448"/>
      <c r="E868" s="320"/>
      <c r="F868" s="450" t="str">
        <f>IF(OR(D868="",E868=""),"",ROUND(D868/LOOKUP(E868,SMMLV!$A$2:$A$36,SMMLV!$D$2:$D$100),3))</f>
        <v/>
      </c>
      <c r="K868" s="782"/>
      <c r="L868" s="444">
        <v>3</v>
      </c>
      <c r="M868" s="781" t="str">
        <f t="shared" si="84"/>
        <v>NO APLICA</v>
      </c>
      <c r="N868" s="781"/>
    </row>
    <row r="869" spans="2:14">
      <c r="B869" s="319"/>
      <c r="C869" s="319"/>
      <c r="D869" s="448"/>
      <c r="E869" s="320"/>
      <c r="F869" s="450" t="str">
        <f>IF(OR(D869="",E869=""),"",ROUND(D869/LOOKUP(E869,SMMLV!$A$2:$A$36,SMMLV!$D$2:$D$100),3))</f>
        <v/>
      </c>
      <c r="K869" s="782"/>
      <c r="L869" s="444">
        <v>4</v>
      </c>
      <c r="M869" s="781" t="str">
        <f t="shared" si="84"/>
        <v>NO APLICA</v>
      </c>
      <c r="N869" s="781"/>
    </row>
    <row r="870" spans="2:14">
      <c r="B870" s="319"/>
      <c r="C870" s="319"/>
      <c r="D870" s="448"/>
      <c r="E870" s="320"/>
      <c r="F870" s="450" t="str">
        <f>IF(OR(D870="",E870=""),"",ROUND(D870/LOOKUP(E870,SMMLV!$A$2:$A$36,SMMLV!$D$2:$D$100),3))</f>
        <v/>
      </c>
      <c r="K870" s="782"/>
      <c r="L870" s="444">
        <v>5</v>
      </c>
      <c r="M870" s="781" t="str">
        <f t="shared" si="84"/>
        <v>NO APLICA</v>
      </c>
      <c r="N870" s="781"/>
    </row>
    <row r="871" spans="2:14">
      <c r="B871" s="319"/>
      <c r="C871" s="319"/>
      <c r="D871" s="448"/>
      <c r="E871" s="320"/>
      <c r="F871" s="450" t="str">
        <f>IF(OR(D871="",E871=""),"",ROUND(D871/LOOKUP(E871,SMMLV!$A$2:$A$36,SMMLV!$D$2:$D$100),3))</f>
        <v/>
      </c>
      <c r="K871" s="782"/>
      <c r="L871" s="444">
        <v>6</v>
      </c>
      <c r="M871" s="781" t="str">
        <f t="shared" si="84"/>
        <v>NO APLICA</v>
      </c>
      <c r="N871" s="781"/>
    </row>
    <row r="872" spans="2:14">
      <c r="B872" s="319"/>
      <c r="C872" s="319"/>
      <c r="D872" s="448"/>
      <c r="E872" s="320"/>
      <c r="F872" s="450" t="str">
        <f>IF(OR(D872="",E872=""),"",ROUND(D872/LOOKUP(E872,SMMLV!$A$2:$A$36,SMMLV!$D$2:$D$100),3))</f>
        <v/>
      </c>
      <c r="K872" s="782"/>
      <c r="L872" s="444">
        <v>7</v>
      </c>
      <c r="M872" s="781" t="str">
        <f t="shared" si="84"/>
        <v>NO APLICA</v>
      </c>
      <c r="N872" s="781"/>
    </row>
    <row r="873" spans="2:14">
      <c r="B873" s="319"/>
      <c r="C873" s="319"/>
      <c r="D873" s="448"/>
      <c r="E873" s="320"/>
      <c r="F873" s="450" t="str">
        <f>IF(OR(D873="",E873=""),"",ROUND(D873/LOOKUP(E873,SMMLV!$A$2:$A$36,SMMLV!$D$2:$D$100),3))</f>
        <v/>
      </c>
      <c r="K873" s="782"/>
      <c r="L873" s="444">
        <v>8</v>
      </c>
      <c r="M873" s="781" t="str">
        <f t="shared" si="84"/>
        <v>NO APLICA</v>
      </c>
      <c r="N873" s="781"/>
    </row>
    <row r="874" spans="2:14">
      <c r="B874" s="319"/>
      <c r="C874" s="319"/>
      <c r="D874" s="448"/>
      <c r="E874" s="320"/>
      <c r="F874" s="450" t="str">
        <f>IF(OR(D874="",E874=""),"",ROUND(D874/LOOKUP(E874,SMMLV!$A$2:$A$36,SMMLV!$D$2:$D$100),3))</f>
        <v/>
      </c>
      <c r="K874" s="782"/>
      <c r="L874" s="444">
        <v>9</v>
      </c>
      <c r="M874" s="781" t="str">
        <f t="shared" si="84"/>
        <v>NO APLICA</v>
      </c>
      <c r="N874" s="781"/>
    </row>
    <row r="875" spans="2:14">
      <c r="B875" s="319"/>
      <c r="C875" s="319"/>
      <c r="D875" s="448"/>
      <c r="E875" s="320"/>
      <c r="F875" s="450" t="str">
        <f>IF(OR(D875="",E875=""),"",ROUND(D875/LOOKUP(E875,SMMLV!$A$2:$A$36,SMMLV!$D$2:$D$100),3))</f>
        <v/>
      </c>
      <c r="K875" s="782"/>
      <c r="L875" s="444">
        <v>10</v>
      </c>
      <c r="M875" s="781" t="str">
        <f t="shared" si="84"/>
        <v>NO APLICA</v>
      </c>
      <c r="N875" s="781"/>
    </row>
    <row r="876" spans="2:14">
      <c r="B876" s="319"/>
      <c r="C876" s="319"/>
      <c r="D876" s="448"/>
      <c r="E876" s="320"/>
      <c r="F876" s="450" t="str">
        <f>IF(OR(D876="",E876=""),"",ROUND(D876/LOOKUP(E876,SMMLV!$A$2:$A$36,SMMLV!$D$2:$D$100),3))</f>
        <v/>
      </c>
      <c r="K876" s="782">
        <v>88</v>
      </c>
      <c r="L876" s="444">
        <v>1</v>
      </c>
      <c r="M876" s="781" t="str">
        <f t="shared" ref="M876:M885" si="85">IF(SUMIFS($F$5:$F$1200,$B$5:$B$1200,$K$876,$C$5:$C$1200,$L876)=0,"NO APLICA",ROUND(SUMIFS($F$5:$F$1200,$B$5:$B$1200,$K$876,$C$5:$C$1200,$L876),3))</f>
        <v>NO APLICA</v>
      </c>
      <c r="N876" s="781"/>
    </row>
    <row r="877" spans="2:14">
      <c r="B877" s="319"/>
      <c r="C877" s="319"/>
      <c r="D877" s="448"/>
      <c r="E877" s="320"/>
      <c r="F877" s="450" t="str">
        <f>IF(OR(D877="",E877=""),"",ROUND(D877/LOOKUP(E877,SMMLV!$A$2:$A$36,SMMLV!$D$2:$D$100),3))</f>
        <v/>
      </c>
      <c r="K877" s="782"/>
      <c r="L877" s="444">
        <v>2</v>
      </c>
      <c r="M877" s="781" t="str">
        <f t="shared" si="85"/>
        <v>NO APLICA</v>
      </c>
      <c r="N877" s="781"/>
    </row>
    <row r="878" spans="2:14">
      <c r="B878" s="319"/>
      <c r="C878" s="319"/>
      <c r="D878" s="448"/>
      <c r="E878" s="320"/>
      <c r="F878" s="450" t="str">
        <f>IF(OR(D878="",E878=""),"",ROUND(D878/LOOKUP(E878,SMMLV!$A$2:$A$36,SMMLV!$D$2:$D$100),3))</f>
        <v/>
      </c>
      <c r="K878" s="782"/>
      <c r="L878" s="444">
        <v>3</v>
      </c>
      <c r="M878" s="781" t="str">
        <f t="shared" si="85"/>
        <v>NO APLICA</v>
      </c>
      <c r="N878" s="781"/>
    </row>
    <row r="879" spans="2:14">
      <c r="B879" s="319"/>
      <c r="C879" s="319"/>
      <c r="D879" s="448"/>
      <c r="E879" s="320"/>
      <c r="F879" s="450" t="str">
        <f>IF(OR(D879="",E879=""),"",ROUND(D879/LOOKUP(E879,SMMLV!$A$2:$A$36,SMMLV!$D$2:$D$100),3))</f>
        <v/>
      </c>
      <c r="K879" s="782"/>
      <c r="L879" s="444">
        <v>4</v>
      </c>
      <c r="M879" s="781" t="str">
        <f t="shared" si="85"/>
        <v>NO APLICA</v>
      </c>
      <c r="N879" s="781"/>
    </row>
    <row r="880" spans="2:14">
      <c r="B880" s="319"/>
      <c r="C880" s="319"/>
      <c r="D880" s="448"/>
      <c r="E880" s="320"/>
      <c r="F880" s="450" t="str">
        <f>IF(OR(D880="",E880=""),"",ROUND(D880/LOOKUP(E880,SMMLV!$A$2:$A$36,SMMLV!$D$2:$D$100),3))</f>
        <v/>
      </c>
      <c r="K880" s="782"/>
      <c r="L880" s="444">
        <v>5</v>
      </c>
      <c r="M880" s="781" t="str">
        <f t="shared" si="85"/>
        <v>NO APLICA</v>
      </c>
      <c r="N880" s="781"/>
    </row>
    <row r="881" spans="2:14">
      <c r="B881" s="319"/>
      <c r="C881" s="319"/>
      <c r="D881" s="448"/>
      <c r="E881" s="320"/>
      <c r="F881" s="450" t="str">
        <f>IF(OR(D881="",E881=""),"",ROUND(D881/LOOKUP(E881,SMMLV!$A$2:$A$36,SMMLV!$D$2:$D$100),3))</f>
        <v/>
      </c>
      <c r="K881" s="782"/>
      <c r="L881" s="444">
        <v>6</v>
      </c>
      <c r="M881" s="781" t="str">
        <f t="shared" si="85"/>
        <v>NO APLICA</v>
      </c>
      <c r="N881" s="781"/>
    </row>
    <row r="882" spans="2:14">
      <c r="B882" s="319"/>
      <c r="C882" s="319"/>
      <c r="D882" s="448"/>
      <c r="E882" s="320"/>
      <c r="F882" s="450" t="str">
        <f>IF(OR(D882="",E882=""),"",ROUND(D882/LOOKUP(E882,SMMLV!$A$2:$A$36,SMMLV!$D$2:$D$100),3))</f>
        <v/>
      </c>
      <c r="K882" s="782"/>
      <c r="L882" s="444">
        <v>7</v>
      </c>
      <c r="M882" s="781" t="str">
        <f t="shared" si="85"/>
        <v>NO APLICA</v>
      </c>
      <c r="N882" s="781"/>
    </row>
    <row r="883" spans="2:14">
      <c r="B883" s="319"/>
      <c r="C883" s="319"/>
      <c r="D883" s="448"/>
      <c r="E883" s="320"/>
      <c r="F883" s="450" t="str">
        <f>IF(OR(D883="",E883=""),"",ROUND(D883/LOOKUP(E883,SMMLV!$A$2:$A$36,SMMLV!$D$2:$D$100),3))</f>
        <v/>
      </c>
      <c r="K883" s="782"/>
      <c r="L883" s="444">
        <v>8</v>
      </c>
      <c r="M883" s="781" t="str">
        <f t="shared" si="85"/>
        <v>NO APLICA</v>
      </c>
      <c r="N883" s="781"/>
    </row>
    <row r="884" spans="2:14">
      <c r="B884" s="319"/>
      <c r="C884" s="319"/>
      <c r="D884" s="448"/>
      <c r="E884" s="320"/>
      <c r="F884" s="450" t="str">
        <f>IF(OR(D884="",E884=""),"",ROUND(D884/LOOKUP(E884,SMMLV!$A$2:$A$36,SMMLV!$D$2:$D$100),3))</f>
        <v/>
      </c>
      <c r="K884" s="782"/>
      <c r="L884" s="444">
        <v>9</v>
      </c>
      <c r="M884" s="781" t="str">
        <f t="shared" si="85"/>
        <v>NO APLICA</v>
      </c>
      <c r="N884" s="781"/>
    </row>
    <row r="885" spans="2:14">
      <c r="B885" s="319"/>
      <c r="C885" s="319"/>
      <c r="D885" s="448"/>
      <c r="E885" s="320"/>
      <c r="F885" s="450" t="str">
        <f>IF(OR(D885="",E885=""),"",ROUND(D885/LOOKUP(E885,SMMLV!$A$2:$A$36,SMMLV!$D$2:$D$100),3))</f>
        <v/>
      </c>
      <c r="K885" s="782"/>
      <c r="L885" s="444">
        <v>10</v>
      </c>
      <c r="M885" s="781" t="str">
        <f t="shared" si="85"/>
        <v>NO APLICA</v>
      </c>
      <c r="N885" s="781"/>
    </row>
    <row r="886" spans="2:14">
      <c r="B886" s="319"/>
      <c r="C886" s="319"/>
      <c r="D886" s="448"/>
      <c r="E886" s="320"/>
      <c r="F886" s="450" t="str">
        <f>IF(OR(D886="",E886=""),"",ROUND(D886/LOOKUP(E886,SMMLV!$A$2:$A$36,SMMLV!$D$2:$D$100),3))</f>
        <v/>
      </c>
      <c r="K886" s="782">
        <v>89</v>
      </c>
      <c r="L886" s="444">
        <v>1</v>
      </c>
      <c r="M886" s="781" t="str">
        <f t="shared" ref="M886:M895" si="86">IF(SUMIFS($F$5:$F$1200,$B$5:$B$1200,$K$886,$C$5:$C$1200,$L886)=0,"NO APLICA",ROUND(SUMIFS($F$5:$F$1200,$B$5:$B$1200,$K$886,$C$5:$C$1200,$L886),3))</f>
        <v>NO APLICA</v>
      </c>
      <c r="N886" s="781"/>
    </row>
    <row r="887" spans="2:14">
      <c r="B887" s="319"/>
      <c r="C887" s="319"/>
      <c r="D887" s="448"/>
      <c r="E887" s="320"/>
      <c r="F887" s="450" t="str">
        <f>IF(OR(D887="",E887=""),"",ROUND(D887/LOOKUP(E887,SMMLV!$A$2:$A$36,SMMLV!$D$2:$D$100),3))</f>
        <v/>
      </c>
      <c r="K887" s="782"/>
      <c r="L887" s="444">
        <v>2</v>
      </c>
      <c r="M887" s="781" t="str">
        <f t="shared" si="86"/>
        <v>NO APLICA</v>
      </c>
      <c r="N887" s="781"/>
    </row>
    <row r="888" spans="2:14">
      <c r="B888" s="319"/>
      <c r="C888" s="319"/>
      <c r="D888" s="448"/>
      <c r="E888" s="320"/>
      <c r="F888" s="450" t="str">
        <f>IF(OR(D888="",E888=""),"",ROUND(D888/LOOKUP(E888,SMMLV!$A$2:$A$36,SMMLV!$D$2:$D$100),3))</f>
        <v/>
      </c>
      <c r="K888" s="782"/>
      <c r="L888" s="444">
        <v>3</v>
      </c>
      <c r="M888" s="781" t="str">
        <f t="shared" si="86"/>
        <v>NO APLICA</v>
      </c>
      <c r="N888" s="781"/>
    </row>
    <row r="889" spans="2:14">
      <c r="B889" s="319"/>
      <c r="C889" s="319"/>
      <c r="D889" s="448"/>
      <c r="E889" s="320"/>
      <c r="F889" s="450" t="str">
        <f>IF(OR(D889="",E889=""),"",ROUND(D889/LOOKUP(E889,SMMLV!$A$2:$A$36,SMMLV!$D$2:$D$100),3))</f>
        <v/>
      </c>
      <c r="K889" s="782"/>
      <c r="L889" s="444">
        <v>4</v>
      </c>
      <c r="M889" s="781" t="str">
        <f t="shared" si="86"/>
        <v>NO APLICA</v>
      </c>
      <c r="N889" s="781"/>
    </row>
    <row r="890" spans="2:14">
      <c r="B890" s="319"/>
      <c r="C890" s="319"/>
      <c r="D890" s="448"/>
      <c r="E890" s="320"/>
      <c r="F890" s="450" t="str">
        <f>IF(OR(D890="",E890=""),"",ROUND(D890/LOOKUP(E890,SMMLV!$A$2:$A$36,SMMLV!$D$2:$D$100),3))</f>
        <v/>
      </c>
      <c r="K890" s="782"/>
      <c r="L890" s="444">
        <v>5</v>
      </c>
      <c r="M890" s="781" t="str">
        <f t="shared" si="86"/>
        <v>NO APLICA</v>
      </c>
      <c r="N890" s="781"/>
    </row>
    <row r="891" spans="2:14">
      <c r="B891" s="319"/>
      <c r="C891" s="319"/>
      <c r="D891" s="448"/>
      <c r="E891" s="320"/>
      <c r="F891" s="450" t="str">
        <f>IF(OR(D891="",E891=""),"",ROUND(D891/LOOKUP(E891,SMMLV!$A$2:$A$36,SMMLV!$D$2:$D$100),3))</f>
        <v/>
      </c>
      <c r="K891" s="782"/>
      <c r="L891" s="444">
        <v>6</v>
      </c>
      <c r="M891" s="781" t="str">
        <f t="shared" si="86"/>
        <v>NO APLICA</v>
      </c>
      <c r="N891" s="781"/>
    </row>
    <row r="892" spans="2:14">
      <c r="B892" s="319"/>
      <c r="C892" s="319"/>
      <c r="D892" s="448"/>
      <c r="E892" s="320"/>
      <c r="F892" s="450" t="str">
        <f>IF(OR(D892="",E892=""),"",ROUND(D892/LOOKUP(E892,SMMLV!$A$2:$A$36,SMMLV!$D$2:$D$100),3))</f>
        <v/>
      </c>
      <c r="K892" s="782"/>
      <c r="L892" s="444">
        <v>7</v>
      </c>
      <c r="M892" s="781" t="str">
        <f t="shared" si="86"/>
        <v>NO APLICA</v>
      </c>
      <c r="N892" s="781"/>
    </row>
    <row r="893" spans="2:14">
      <c r="B893" s="319"/>
      <c r="C893" s="319"/>
      <c r="D893" s="448"/>
      <c r="E893" s="320"/>
      <c r="F893" s="450" t="str">
        <f>IF(OR(D893="",E893=""),"",ROUND(D893/LOOKUP(E893,SMMLV!$A$2:$A$36,SMMLV!$D$2:$D$100),3))</f>
        <v/>
      </c>
      <c r="K893" s="782"/>
      <c r="L893" s="444">
        <v>8</v>
      </c>
      <c r="M893" s="781" t="str">
        <f t="shared" si="86"/>
        <v>NO APLICA</v>
      </c>
      <c r="N893" s="781"/>
    </row>
    <row r="894" spans="2:14">
      <c r="B894" s="319"/>
      <c r="C894" s="319"/>
      <c r="D894" s="448"/>
      <c r="E894" s="320"/>
      <c r="F894" s="450" t="str">
        <f>IF(OR(D894="",E894=""),"",ROUND(D894/LOOKUP(E894,SMMLV!$A$2:$A$36,SMMLV!$D$2:$D$100),3))</f>
        <v/>
      </c>
      <c r="K894" s="782"/>
      <c r="L894" s="444">
        <v>9</v>
      </c>
      <c r="M894" s="781" t="str">
        <f t="shared" si="86"/>
        <v>NO APLICA</v>
      </c>
      <c r="N894" s="781"/>
    </row>
    <row r="895" spans="2:14">
      <c r="B895" s="319"/>
      <c r="C895" s="319"/>
      <c r="D895" s="448"/>
      <c r="E895" s="320"/>
      <c r="F895" s="450" t="str">
        <f>IF(OR(D895="",E895=""),"",ROUND(D895/LOOKUP(E895,SMMLV!$A$2:$A$36,SMMLV!$D$2:$D$100),3))</f>
        <v/>
      </c>
      <c r="K895" s="782"/>
      <c r="L895" s="444">
        <v>10</v>
      </c>
      <c r="M895" s="781" t="str">
        <f t="shared" si="86"/>
        <v>NO APLICA</v>
      </c>
      <c r="N895" s="781"/>
    </row>
    <row r="896" spans="2:14">
      <c r="B896" s="319"/>
      <c r="C896" s="319"/>
      <c r="D896" s="448"/>
      <c r="E896" s="320"/>
      <c r="F896" s="450" t="str">
        <f>IF(OR(D896="",E896=""),"",ROUND(D896/LOOKUP(E896,SMMLV!$A$2:$A$36,SMMLV!$D$2:$D$100),3))</f>
        <v/>
      </c>
      <c r="K896" s="782">
        <v>90</v>
      </c>
      <c r="L896" s="444">
        <v>1</v>
      </c>
      <c r="M896" s="781" t="str">
        <f t="shared" ref="M896:M905" si="87">IF(SUMIFS($F$5:$F$1200,$B$5:$B$1200,$K$896,$C$5:$C$1200,$L896)=0,"NO APLICA",ROUND(SUMIFS($F$5:$F$1200,$B$5:$B$1200,$K$896,$C$5:$C$1200,$L896),3))</f>
        <v>NO APLICA</v>
      </c>
      <c r="N896" s="781"/>
    </row>
    <row r="897" spans="2:14">
      <c r="B897" s="319"/>
      <c r="C897" s="319"/>
      <c r="D897" s="448"/>
      <c r="E897" s="320"/>
      <c r="F897" s="450" t="str">
        <f>IF(OR(D897="",E897=""),"",ROUND(D897/LOOKUP(E897,SMMLV!$A$2:$A$36,SMMLV!$D$2:$D$100),3))</f>
        <v/>
      </c>
      <c r="K897" s="782"/>
      <c r="L897" s="444">
        <v>2</v>
      </c>
      <c r="M897" s="781" t="str">
        <f t="shared" si="87"/>
        <v>NO APLICA</v>
      </c>
      <c r="N897" s="781"/>
    </row>
    <row r="898" spans="2:14">
      <c r="B898" s="319"/>
      <c r="C898" s="319"/>
      <c r="D898" s="448"/>
      <c r="E898" s="320"/>
      <c r="F898" s="450" t="str">
        <f>IF(OR(D898="",E898=""),"",ROUND(D898/LOOKUP(E898,SMMLV!$A$2:$A$36,SMMLV!$D$2:$D$100),3))</f>
        <v/>
      </c>
      <c r="K898" s="782"/>
      <c r="L898" s="444">
        <v>3</v>
      </c>
      <c r="M898" s="781" t="str">
        <f t="shared" si="87"/>
        <v>NO APLICA</v>
      </c>
      <c r="N898" s="781"/>
    </row>
    <row r="899" spans="2:14">
      <c r="B899" s="319"/>
      <c r="C899" s="319"/>
      <c r="D899" s="448"/>
      <c r="E899" s="320"/>
      <c r="F899" s="450" t="str">
        <f>IF(OR(D899="",E899=""),"",ROUND(D899/LOOKUP(E899,SMMLV!$A$2:$A$36,SMMLV!$D$2:$D$100),3))</f>
        <v/>
      </c>
      <c r="K899" s="782"/>
      <c r="L899" s="444">
        <v>4</v>
      </c>
      <c r="M899" s="781" t="str">
        <f t="shared" si="87"/>
        <v>NO APLICA</v>
      </c>
      <c r="N899" s="781"/>
    </row>
    <row r="900" spans="2:14">
      <c r="B900" s="319"/>
      <c r="C900" s="319"/>
      <c r="D900" s="448"/>
      <c r="E900" s="320"/>
      <c r="F900" s="450" t="str">
        <f>IF(OR(D900="",E900=""),"",ROUND(D900/LOOKUP(E900,SMMLV!$A$2:$A$36,SMMLV!$D$2:$D$100),3))</f>
        <v/>
      </c>
      <c r="K900" s="782"/>
      <c r="L900" s="444">
        <v>5</v>
      </c>
      <c r="M900" s="781" t="str">
        <f t="shared" si="87"/>
        <v>NO APLICA</v>
      </c>
      <c r="N900" s="781"/>
    </row>
    <row r="901" spans="2:14">
      <c r="B901" s="319"/>
      <c r="C901" s="319"/>
      <c r="D901" s="448"/>
      <c r="E901" s="320"/>
      <c r="F901" s="450" t="str">
        <f>IF(OR(D901="",E901=""),"",ROUND(D901/LOOKUP(E901,SMMLV!$A$2:$A$36,SMMLV!$D$2:$D$100),3))</f>
        <v/>
      </c>
      <c r="K901" s="782"/>
      <c r="L901" s="444">
        <v>6</v>
      </c>
      <c r="M901" s="781" t="str">
        <f t="shared" si="87"/>
        <v>NO APLICA</v>
      </c>
      <c r="N901" s="781"/>
    </row>
    <row r="902" spans="2:14">
      <c r="B902" s="319"/>
      <c r="C902" s="319"/>
      <c r="D902" s="448"/>
      <c r="E902" s="320"/>
      <c r="F902" s="450" t="str">
        <f>IF(OR(D902="",E902=""),"",ROUND(D902/LOOKUP(E902,SMMLV!$A$2:$A$36,SMMLV!$D$2:$D$100),3))</f>
        <v/>
      </c>
      <c r="K902" s="782"/>
      <c r="L902" s="444">
        <v>7</v>
      </c>
      <c r="M902" s="781" t="str">
        <f t="shared" si="87"/>
        <v>NO APLICA</v>
      </c>
      <c r="N902" s="781"/>
    </row>
    <row r="903" spans="2:14">
      <c r="B903" s="319"/>
      <c r="C903" s="319"/>
      <c r="D903" s="448"/>
      <c r="E903" s="320"/>
      <c r="F903" s="450" t="str">
        <f>IF(OR(D903="",E903=""),"",ROUND(D903/LOOKUP(E903,SMMLV!$A$2:$A$36,SMMLV!$D$2:$D$100),3))</f>
        <v/>
      </c>
      <c r="K903" s="782"/>
      <c r="L903" s="444">
        <v>8</v>
      </c>
      <c r="M903" s="781" t="str">
        <f t="shared" si="87"/>
        <v>NO APLICA</v>
      </c>
      <c r="N903" s="781"/>
    </row>
    <row r="904" spans="2:14">
      <c r="B904" s="319"/>
      <c r="C904" s="319"/>
      <c r="D904" s="448"/>
      <c r="E904" s="320"/>
      <c r="F904" s="450" t="str">
        <f>IF(OR(D904="",E904=""),"",ROUND(D904/LOOKUP(E904,SMMLV!$A$2:$A$36,SMMLV!$D$2:$D$100),3))</f>
        <v/>
      </c>
      <c r="K904" s="782"/>
      <c r="L904" s="444">
        <v>9</v>
      </c>
      <c r="M904" s="781" t="str">
        <f t="shared" si="87"/>
        <v>NO APLICA</v>
      </c>
      <c r="N904" s="781"/>
    </row>
    <row r="905" spans="2:14">
      <c r="B905" s="319"/>
      <c r="C905" s="319"/>
      <c r="D905" s="448"/>
      <c r="E905" s="320"/>
      <c r="F905" s="450" t="str">
        <f>IF(OR(D905="",E905=""),"",ROUND(D905/LOOKUP(E905,SMMLV!$A$2:$A$36,SMMLV!$D$2:$D$100),3))</f>
        <v/>
      </c>
      <c r="K905" s="782"/>
      <c r="L905" s="444">
        <v>10</v>
      </c>
      <c r="M905" s="781" t="str">
        <f t="shared" si="87"/>
        <v>NO APLICA</v>
      </c>
      <c r="N905" s="781"/>
    </row>
    <row r="906" spans="2:14">
      <c r="B906" s="319"/>
      <c r="C906" s="319"/>
      <c r="D906" s="448"/>
      <c r="E906" s="320"/>
      <c r="F906" s="450" t="str">
        <f>IF(OR(D906="",E906=""),"",ROUND(D906/LOOKUP(E906,SMMLV!$A$2:$A$36,SMMLV!$D$2:$D$100),3))</f>
        <v/>
      </c>
      <c r="K906" s="782">
        <v>91</v>
      </c>
      <c r="L906" s="444">
        <v>1</v>
      </c>
      <c r="M906" s="781" t="str">
        <f t="shared" ref="M906:M915" si="88">IF(SUMIFS($F$5:$F$1200,$B$5:$B$1200,$K$906,$C$5:$C$1200,$L906)=0,"NO APLICA",ROUND(SUMIFS($F$5:$F$1200,$B$5:$B$1200,$K$906,$C$5:$C$1200,$L906),3))</f>
        <v>NO APLICA</v>
      </c>
      <c r="N906" s="781"/>
    </row>
    <row r="907" spans="2:14">
      <c r="B907" s="319"/>
      <c r="C907" s="319"/>
      <c r="D907" s="448"/>
      <c r="E907" s="320"/>
      <c r="F907" s="450" t="str">
        <f>IF(OR(D907="",E907=""),"",ROUND(D907/LOOKUP(E907,SMMLV!$A$2:$A$36,SMMLV!$D$2:$D$100),3))</f>
        <v/>
      </c>
      <c r="K907" s="782"/>
      <c r="L907" s="444">
        <v>2</v>
      </c>
      <c r="M907" s="781" t="str">
        <f t="shared" si="88"/>
        <v>NO APLICA</v>
      </c>
      <c r="N907" s="781"/>
    </row>
    <row r="908" spans="2:14">
      <c r="B908" s="319"/>
      <c r="C908" s="319"/>
      <c r="D908" s="448"/>
      <c r="E908" s="320"/>
      <c r="F908" s="450" t="str">
        <f>IF(OR(D908="",E908=""),"",ROUND(D908/LOOKUP(E908,SMMLV!$A$2:$A$36,SMMLV!$D$2:$D$100),3))</f>
        <v/>
      </c>
      <c r="K908" s="782"/>
      <c r="L908" s="444">
        <v>3</v>
      </c>
      <c r="M908" s="781" t="str">
        <f t="shared" si="88"/>
        <v>NO APLICA</v>
      </c>
      <c r="N908" s="781"/>
    </row>
    <row r="909" spans="2:14">
      <c r="B909" s="319"/>
      <c r="C909" s="319"/>
      <c r="D909" s="448"/>
      <c r="E909" s="320"/>
      <c r="F909" s="450" t="str">
        <f>IF(OR(D909="",E909=""),"",ROUND(D909/LOOKUP(E909,SMMLV!$A$2:$A$36,SMMLV!$D$2:$D$100),3))</f>
        <v/>
      </c>
      <c r="K909" s="782"/>
      <c r="L909" s="444">
        <v>4</v>
      </c>
      <c r="M909" s="781" t="str">
        <f t="shared" si="88"/>
        <v>NO APLICA</v>
      </c>
      <c r="N909" s="781"/>
    </row>
    <row r="910" spans="2:14">
      <c r="B910" s="319"/>
      <c r="C910" s="319"/>
      <c r="D910" s="448"/>
      <c r="E910" s="320"/>
      <c r="F910" s="450" t="str">
        <f>IF(OR(D910="",E910=""),"",ROUND(D910/LOOKUP(E910,SMMLV!$A$2:$A$36,SMMLV!$D$2:$D$100),3))</f>
        <v/>
      </c>
      <c r="K910" s="782"/>
      <c r="L910" s="444">
        <v>5</v>
      </c>
      <c r="M910" s="781" t="str">
        <f t="shared" si="88"/>
        <v>NO APLICA</v>
      </c>
      <c r="N910" s="781"/>
    </row>
    <row r="911" spans="2:14">
      <c r="B911" s="319"/>
      <c r="C911" s="319"/>
      <c r="D911" s="448"/>
      <c r="E911" s="320"/>
      <c r="F911" s="450" t="str">
        <f>IF(OR(D911="",E911=""),"",ROUND(D911/LOOKUP(E911,SMMLV!$A$2:$A$36,SMMLV!$D$2:$D$100),3))</f>
        <v/>
      </c>
      <c r="K911" s="782"/>
      <c r="L911" s="444">
        <v>6</v>
      </c>
      <c r="M911" s="781" t="str">
        <f t="shared" si="88"/>
        <v>NO APLICA</v>
      </c>
      <c r="N911" s="781"/>
    </row>
    <row r="912" spans="2:14">
      <c r="B912" s="319"/>
      <c r="C912" s="319"/>
      <c r="D912" s="448"/>
      <c r="E912" s="320"/>
      <c r="F912" s="450" t="str">
        <f>IF(OR(D912="",E912=""),"",ROUND(D912/LOOKUP(E912,SMMLV!$A$2:$A$36,SMMLV!$D$2:$D$100),3))</f>
        <v/>
      </c>
      <c r="K912" s="782"/>
      <c r="L912" s="444">
        <v>7</v>
      </c>
      <c r="M912" s="781" t="str">
        <f t="shared" si="88"/>
        <v>NO APLICA</v>
      </c>
      <c r="N912" s="781"/>
    </row>
    <row r="913" spans="2:14">
      <c r="B913" s="319"/>
      <c r="C913" s="319"/>
      <c r="D913" s="448"/>
      <c r="E913" s="320"/>
      <c r="F913" s="450" t="str">
        <f>IF(OR(D913="",E913=""),"",ROUND(D913/LOOKUP(E913,SMMLV!$A$2:$A$36,SMMLV!$D$2:$D$100),3))</f>
        <v/>
      </c>
      <c r="K913" s="782"/>
      <c r="L913" s="444">
        <v>8</v>
      </c>
      <c r="M913" s="781" t="str">
        <f t="shared" si="88"/>
        <v>NO APLICA</v>
      </c>
      <c r="N913" s="781"/>
    </row>
    <row r="914" spans="2:14">
      <c r="B914" s="319"/>
      <c r="C914" s="319"/>
      <c r="D914" s="448"/>
      <c r="E914" s="320"/>
      <c r="F914" s="450" t="str">
        <f>IF(OR(D914="",E914=""),"",ROUND(D914/LOOKUP(E914,SMMLV!$A$2:$A$36,SMMLV!$D$2:$D$100),3))</f>
        <v/>
      </c>
      <c r="K914" s="782"/>
      <c r="L914" s="444">
        <v>9</v>
      </c>
      <c r="M914" s="781" t="str">
        <f t="shared" si="88"/>
        <v>NO APLICA</v>
      </c>
      <c r="N914" s="781"/>
    </row>
    <row r="915" spans="2:14">
      <c r="B915" s="319"/>
      <c r="C915" s="319"/>
      <c r="D915" s="448"/>
      <c r="E915" s="320"/>
      <c r="F915" s="450" t="str">
        <f>IF(OR(D915="",E915=""),"",ROUND(D915/LOOKUP(E915,SMMLV!$A$2:$A$36,SMMLV!$D$2:$D$100),3))</f>
        <v/>
      </c>
      <c r="K915" s="782"/>
      <c r="L915" s="444">
        <v>10</v>
      </c>
      <c r="M915" s="781" t="str">
        <f t="shared" si="88"/>
        <v>NO APLICA</v>
      </c>
      <c r="N915" s="781"/>
    </row>
    <row r="916" spans="2:14">
      <c r="B916" s="319"/>
      <c r="C916" s="319"/>
      <c r="D916" s="448"/>
      <c r="E916" s="320"/>
      <c r="F916" s="450" t="str">
        <f>IF(OR(D916="",E916=""),"",ROUND(D916/LOOKUP(E916,SMMLV!$A$2:$A$36,SMMLV!$D$2:$D$100),3))</f>
        <v/>
      </c>
      <c r="K916" s="782">
        <v>92</v>
      </c>
      <c r="L916" s="444">
        <v>1</v>
      </c>
      <c r="M916" s="781" t="str">
        <f t="shared" ref="M916:M925" si="89">IF(SUMIFS($F$5:$F$1200,$B$5:$B$1200,$K$916,$C$5:$C$1200,$L916)=0,"NO APLICA",ROUND(SUMIFS($F$5:$F$1200,$B$5:$B$1200,$K$916,$C$5:$C$1200,$L916),3))</f>
        <v>NO APLICA</v>
      </c>
      <c r="N916" s="781"/>
    </row>
    <row r="917" spans="2:14">
      <c r="B917" s="319"/>
      <c r="C917" s="319"/>
      <c r="D917" s="448"/>
      <c r="E917" s="320"/>
      <c r="F917" s="450" t="str">
        <f>IF(OR(D917="",E917=""),"",ROUND(D917/LOOKUP(E917,SMMLV!$A$2:$A$36,SMMLV!$D$2:$D$100),3))</f>
        <v/>
      </c>
      <c r="K917" s="782"/>
      <c r="L917" s="444">
        <v>2</v>
      </c>
      <c r="M917" s="781" t="str">
        <f t="shared" si="89"/>
        <v>NO APLICA</v>
      </c>
      <c r="N917" s="781"/>
    </row>
    <row r="918" spans="2:14">
      <c r="B918" s="319"/>
      <c r="C918" s="319"/>
      <c r="D918" s="448"/>
      <c r="E918" s="320"/>
      <c r="F918" s="450" t="str">
        <f>IF(OR(D918="",E918=""),"",ROUND(D918/LOOKUP(E918,SMMLV!$A$2:$A$36,SMMLV!$D$2:$D$100),3))</f>
        <v/>
      </c>
      <c r="K918" s="782"/>
      <c r="L918" s="444">
        <v>3</v>
      </c>
      <c r="M918" s="781" t="str">
        <f t="shared" si="89"/>
        <v>NO APLICA</v>
      </c>
      <c r="N918" s="781"/>
    </row>
    <row r="919" spans="2:14">
      <c r="B919" s="319"/>
      <c r="C919" s="319"/>
      <c r="D919" s="448"/>
      <c r="E919" s="320"/>
      <c r="F919" s="450" t="str">
        <f>IF(OR(D919="",E919=""),"",ROUND(D919/LOOKUP(E919,SMMLV!$A$2:$A$36,SMMLV!$D$2:$D$100),3))</f>
        <v/>
      </c>
      <c r="K919" s="782"/>
      <c r="L919" s="444">
        <v>4</v>
      </c>
      <c r="M919" s="781" t="str">
        <f t="shared" si="89"/>
        <v>NO APLICA</v>
      </c>
      <c r="N919" s="781"/>
    </row>
    <row r="920" spans="2:14">
      <c r="B920" s="319"/>
      <c r="C920" s="319"/>
      <c r="D920" s="448"/>
      <c r="E920" s="320"/>
      <c r="F920" s="450" t="str">
        <f>IF(OR(D920="",E920=""),"",ROUND(D920/LOOKUP(E920,SMMLV!$A$2:$A$36,SMMLV!$D$2:$D$100),3))</f>
        <v/>
      </c>
      <c r="K920" s="782"/>
      <c r="L920" s="444">
        <v>5</v>
      </c>
      <c r="M920" s="781" t="str">
        <f t="shared" si="89"/>
        <v>NO APLICA</v>
      </c>
      <c r="N920" s="781"/>
    </row>
    <row r="921" spans="2:14">
      <c r="B921" s="319"/>
      <c r="C921" s="319"/>
      <c r="D921" s="448"/>
      <c r="E921" s="320"/>
      <c r="F921" s="450" t="str">
        <f>IF(OR(D921="",E921=""),"",ROUND(D921/LOOKUP(E921,SMMLV!$A$2:$A$36,SMMLV!$D$2:$D$100),3))</f>
        <v/>
      </c>
      <c r="K921" s="782"/>
      <c r="L921" s="444">
        <v>6</v>
      </c>
      <c r="M921" s="781" t="str">
        <f t="shared" si="89"/>
        <v>NO APLICA</v>
      </c>
      <c r="N921" s="781"/>
    </row>
    <row r="922" spans="2:14">
      <c r="B922" s="319"/>
      <c r="C922" s="319"/>
      <c r="D922" s="448"/>
      <c r="E922" s="320"/>
      <c r="F922" s="450" t="str">
        <f>IF(OR(D922="",E922=""),"",ROUND(D922/LOOKUP(E922,SMMLV!$A$2:$A$36,SMMLV!$D$2:$D$100),3))</f>
        <v/>
      </c>
      <c r="K922" s="782"/>
      <c r="L922" s="444">
        <v>7</v>
      </c>
      <c r="M922" s="781" t="str">
        <f t="shared" si="89"/>
        <v>NO APLICA</v>
      </c>
      <c r="N922" s="781"/>
    </row>
    <row r="923" spans="2:14">
      <c r="B923" s="319"/>
      <c r="C923" s="319"/>
      <c r="D923" s="448"/>
      <c r="E923" s="320"/>
      <c r="F923" s="450" t="str">
        <f>IF(OR(D923="",E923=""),"",ROUND(D923/LOOKUP(E923,SMMLV!$A$2:$A$36,SMMLV!$D$2:$D$100),3))</f>
        <v/>
      </c>
      <c r="K923" s="782"/>
      <c r="L923" s="444">
        <v>8</v>
      </c>
      <c r="M923" s="781" t="str">
        <f t="shared" si="89"/>
        <v>NO APLICA</v>
      </c>
      <c r="N923" s="781"/>
    </row>
    <row r="924" spans="2:14">
      <c r="B924" s="319"/>
      <c r="C924" s="319"/>
      <c r="D924" s="448"/>
      <c r="E924" s="320"/>
      <c r="F924" s="450" t="str">
        <f>IF(OR(D924="",E924=""),"",ROUND(D924/LOOKUP(E924,SMMLV!$A$2:$A$36,SMMLV!$D$2:$D$100),3))</f>
        <v/>
      </c>
      <c r="K924" s="782"/>
      <c r="L924" s="444">
        <v>9</v>
      </c>
      <c r="M924" s="781" t="str">
        <f t="shared" si="89"/>
        <v>NO APLICA</v>
      </c>
      <c r="N924" s="781"/>
    </row>
    <row r="925" spans="2:14">
      <c r="B925" s="319"/>
      <c r="C925" s="319"/>
      <c r="D925" s="448"/>
      <c r="E925" s="320"/>
      <c r="F925" s="450" t="str">
        <f>IF(OR(D925="",E925=""),"",ROUND(D925/LOOKUP(E925,SMMLV!$A$2:$A$36,SMMLV!$D$2:$D$100),3))</f>
        <v/>
      </c>
      <c r="K925" s="782"/>
      <c r="L925" s="444">
        <v>10</v>
      </c>
      <c r="M925" s="781" t="str">
        <f t="shared" si="89"/>
        <v>NO APLICA</v>
      </c>
      <c r="N925" s="781"/>
    </row>
    <row r="926" spans="2:14">
      <c r="B926" s="319"/>
      <c r="C926" s="319"/>
      <c r="D926" s="448"/>
      <c r="E926" s="320"/>
      <c r="F926" s="450" t="str">
        <f>IF(OR(D926="",E926=""),"",ROUND(D926/LOOKUP(E926,SMMLV!$A$2:$A$36,SMMLV!$D$2:$D$100),3))</f>
        <v/>
      </c>
      <c r="K926" s="782">
        <v>93</v>
      </c>
      <c r="L926" s="444">
        <v>1</v>
      </c>
      <c r="M926" s="781" t="str">
        <f t="shared" ref="M926:M935" si="90">IF(SUMIFS($F$5:$F$1200,$B$5:$B$1200,$K$926,$C$5:$C$1200,$L926)=0,"NO APLICA",ROUND(SUMIFS($F$5:$F$1200,$B$5:$B$1200,$K$926,$C$5:$C$1200,$L926),3))</f>
        <v>NO APLICA</v>
      </c>
      <c r="N926" s="781"/>
    </row>
    <row r="927" spans="2:14">
      <c r="B927" s="319"/>
      <c r="C927" s="319"/>
      <c r="D927" s="448"/>
      <c r="E927" s="320"/>
      <c r="F927" s="450" t="str">
        <f>IF(OR(D927="",E927=""),"",ROUND(D927/LOOKUP(E927,SMMLV!$A$2:$A$36,SMMLV!$D$2:$D$100),3))</f>
        <v/>
      </c>
      <c r="K927" s="782"/>
      <c r="L927" s="444">
        <v>2</v>
      </c>
      <c r="M927" s="781" t="str">
        <f t="shared" si="90"/>
        <v>NO APLICA</v>
      </c>
      <c r="N927" s="781"/>
    </row>
    <row r="928" spans="2:14">
      <c r="B928" s="319"/>
      <c r="C928" s="319"/>
      <c r="D928" s="448"/>
      <c r="E928" s="320"/>
      <c r="F928" s="450" t="str">
        <f>IF(OR(D928="",E928=""),"",ROUND(D928/LOOKUP(E928,SMMLV!$A$2:$A$36,SMMLV!$D$2:$D$100),3))</f>
        <v/>
      </c>
      <c r="K928" s="782"/>
      <c r="L928" s="444">
        <v>3</v>
      </c>
      <c r="M928" s="781" t="str">
        <f t="shared" si="90"/>
        <v>NO APLICA</v>
      </c>
      <c r="N928" s="781"/>
    </row>
    <row r="929" spans="2:14">
      <c r="B929" s="319"/>
      <c r="C929" s="319"/>
      <c r="D929" s="448"/>
      <c r="E929" s="320"/>
      <c r="F929" s="450" t="str">
        <f>IF(OR(D929="",E929=""),"",ROUND(D929/LOOKUP(E929,SMMLV!$A$2:$A$36,SMMLV!$D$2:$D$100),3))</f>
        <v/>
      </c>
      <c r="K929" s="782"/>
      <c r="L929" s="444">
        <v>4</v>
      </c>
      <c r="M929" s="781" t="str">
        <f t="shared" si="90"/>
        <v>NO APLICA</v>
      </c>
      <c r="N929" s="781"/>
    </row>
    <row r="930" spans="2:14">
      <c r="B930" s="319"/>
      <c r="C930" s="319"/>
      <c r="D930" s="448"/>
      <c r="E930" s="320"/>
      <c r="F930" s="450" t="str">
        <f>IF(OR(D930="",E930=""),"",ROUND(D930/LOOKUP(E930,SMMLV!$A$2:$A$36,SMMLV!$D$2:$D$100),3))</f>
        <v/>
      </c>
      <c r="K930" s="782"/>
      <c r="L930" s="444">
        <v>5</v>
      </c>
      <c r="M930" s="781" t="str">
        <f t="shared" si="90"/>
        <v>NO APLICA</v>
      </c>
      <c r="N930" s="781"/>
    </row>
    <row r="931" spans="2:14">
      <c r="B931" s="319"/>
      <c r="C931" s="319"/>
      <c r="D931" s="448"/>
      <c r="E931" s="320"/>
      <c r="F931" s="450" t="str">
        <f>IF(OR(D931="",E931=""),"",ROUND(D931/LOOKUP(E931,SMMLV!$A$2:$A$36,SMMLV!$D$2:$D$100),3))</f>
        <v/>
      </c>
      <c r="K931" s="782"/>
      <c r="L931" s="444">
        <v>6</v>
      </c>
      <c r="M931" s="781" t="str">
        <f t="shared" si="90"/>
        <v>NO APLICA</v>
      </c>
      <c r="N931" s="781"/>
    </row>
    <row r="932" spans="2:14">
      <c r="B932" s="319"/>
      <c r="C932" s="319"/>
      <c r="D932" s="448"/>
      <c r="E932" s="320"/>
      <c r="F932" s="450" t="str">
        <f>IF(OR(D932="",E932=""),"",ROUND(D932/LOOKUP(E932,SMMLV!$A$2:$A$36,SMMLV!$D$2:$D$100),3))</f>
        <v/>
      </c>
      <c r="K932" s="782"/>
      <c r="L932" s="444">
        <v>7</v>
      </c>
      <c r="M932" s="781" t="str">
        <f t="shared" si="90"/>
        <v>NO APLICA</v>
      </c>
      <c r="N932" s="781"/>
    </row>
    <row r="933" spans="2:14">
      <c r="B933" s="319"/>
      <c r="C933" s="319"/>
      <c r="D933" s="448"/>
      <c r="E933" s="320"/>
      <c r="F933" s="450" t="str">
        <f>IF(OR(D933="",E933=""),"",ROUND(D933/LOOKUP(E933,SMMLV!$A$2:$A$36,SMMLV!$D$2:$D$100),3))</f>
        <v/>
      </c>
      <c r="K933" s="782"/>
      <c r="L933" s="444">
        <v>8</v>
      </c>
      <c r="M933" s="781" t="str">
        <f t="shared" si="90"/>
        <v>NO APLICA</v>
      </c>
      <c r="N933" s="781"/>
    </row>
    <row r="934" spans="2:14">
      <c r="B934" s="319"/>
      <c r="C934" s="319"/>
      <c r="D934" s="448"/>
      <c r="E934" s="320"/>
      <c r="F934" s="450" t="str">
        <f>IF(OR(D934="",E934=""),"",ROUND(D934/LOOKUP(E934,SMMLV!$A$2:$A$36,SMMLV!$D$2:$D$100),3))</f>
        <v/>
      </c>
      <c r="K934" s="782"/>
      <c r="L934" s="444">
        <v>9</v>
      </c>
      <c r="M934" s="781" t="str">
        <f t="shared" si="90"/>
        <v>NO APLICA</v>
      </c>
      <c r="N934" s="781"/>
    </row>
    <row r="935" spans="2:14">
      <c r="B935" s="319"/>
      <c r="C935" s="319"/>
      <c r="D935" s="448"/>
      <c r="E935" s="320"/>
      <c r="F935" s="450" t="str">
        <f>IF(OR(D935="",E935=""),"",ROUND(D935/LOOKUP(E935,SMMLV!$A$2:$A$36,SMMLV!$D$2:$D$100),3))</f>
        <v/>
      </c>
      <c r="K935" s="782"/>
      <c r="L935" s="444">
        <v>10</v>
      </c>
      <c r="M935" s="781" t="str">
        <f t="shared" si="90"/>
        <v>NO APLICA</v>
      </c>
      <c r="N935" s="781"/>
    </row>
    <row r="936" spans="2:14">
      <c r="B936" s="319"/>
      <c r="C936" s="319"/>
      <c r="D936" s="448"/>
      <c r="E936" s="320"/>
      <c r="F936" s="450" t="str">
        <f>IF(OR(D936="",E936=""),"",ROUND(D936/LOOKUP(E936,SMMLV!$A$2:$A$36,SMMLV!$D$2:$D$100),3))</f>
        <v/>
      </c>
      <c r="K936" s="782">
        <v>94</v>
      </c>
      <c r="L936" s="444">
        <v>1</v>
      </c>
      <c r="M936" s="781" t="str">
        <f t="shared" ref="M936:M945" si="91">IF(SUMIFS($F$5:$F$1200,$B$5:$B$1200,$K$936,$C$5:$C$1200,$L936)=0,"NO APLICA",ROUND(SUMIFS($F$5:$F$1200,$B$5:$B$1200,$K$936,$C$5:$C$1200,$L936),3))</f>
        <v>NO APLICA</v>
      </c>
      <c r="N936" s="781"/>
    </row>
    <row r="937" spans="2:14">
      <c r="B937" s="319"/>
      <c r="C937" s="319"/>
      <c r="D937" s="448"/>
      <c r="E937" s="320"/>
      <c r="F937" s="450" t="str">
        <f>IF(OR(D937="",E937=""),"",ROUND(D937/LOOKUP(E937,SMMLV!$A$2:$A$36,SMMLV!$D$2:$D$100),3))</f>
        <v/>
      </c>
      <c r="K937" s="782"/>
      <c r="L937" s="444">
        <v>2</v>
      </c>
      <c r="M937" s="781" t="str">
        <f t="shared" si="91"/>
        <v>NO APLICA</v>
      </c>
      <c r="N937" s="781"/>
    </row>
    <row r="938" spans="2:14">
      <c r="B938" s="319"/>
      <c r="C938" s="319"/>
      <c r="D938" s="448"/>
      <c r="E938" s="320"/>
      <c r="F938" s="450" t="str">
        <f>IF(OR(D938="",E938=""),"",ROUND(D938/LOOKUP(E938,SMMLV!$A$2:$A$36,SMMLV!$D$2:$D$100),3))</f>
        <v/>
      </c>
      <c r="K938" s="782"/>
      <c r="L938" s="444">
        <v>3</v>
      </c>
      <c r="M938" s="781" t="str">
        <f t="shared" si="91"/>
        <v>NO APLICA</v>
      </c>
      <c r="N938" s="781"/>
    </row>
    <row r="939" spans="2:14">
      <c r="B939" s="319"/>
      <c r="C939" s="319"/>
      <c r="D939" s="448"/>
      <c r="E939" s="320"/>
      <c r="F939" s="450" t="str">
        <f>IF(OR(D939="",E939=""),"",ROUND(D939/LOOKUP(E939,SMMLV!$A$2:$A$36,SMMLV!$D$2:$D$100),3))</f>
        <v/>
      </c>
      <c r="K939" s="782"/>
      <c r="L939" s="444">
        <v>4</v>
      </c>
      <c r="M939" s="781" t="str">
        <f t="shared" si="91"/>
        <v>NO APLICA</v>
      </c>
      <c r="N939" s="781"/>
    </row>
    <row r="940" spans="2:14">
      <c r="B940" s="319"/>
      <c r="C940" s="319"/>
      <c r="D940" s="448"/>
      <c r="E940" s="320"/>
      <c r="F940" s="450" t="str">
        <f>IF(OR(D940="",E940=""),"",ROUND(D940/LOOKUP(E940,SMMLV!$A$2:$A$36,SMMLV!$D$2:$D$100),3))</f>
        <v/>
      </c>
      <c r="K940" s="782"/>
      <c r="L940" s="444">
        <v>5</v>
      </c>
      <c r="M940" s="781" t="str">
        <f t="shared" si="91"/>
        <v>NO APLICA</v>
      </c>
      <c r="N940" s="781"/>
    </row>
    <row r="941" spans="2:14">
      <c r="B941" s="319"/>
      <c r="C941" s="319"/>
      <c r="D941" s="448"/>
      <c r="E941" s="320"/>
      <c r="F941" s="450" t="str">
        <f>IF(OR(D941="",E941=""),"",ROUND(D941/LOOKUP(E941,SMMLV!$A$2:$A$36,SMMLV!$D$2:$D$100),3))</f>
        <v/>
      </c>
      <c r="K941" s="782"/>
      <c r="L941" s="444">
        <v>6</v>
      </c>
      <c r="M941" s="781" t="str">
        <f t="shared" si="91"/>
        <v>NO APLICA</v>
      </c>
      <c r="N941" s="781"/>
    </row>
    <row r="942" spans="2:14">
      <c r="B942" s="319"/>
      <c r="C942" s="319"/>
      <c r="D942" s="448"/>
      <c r="E942" s="320"/>
      <c r="F942" s="450" t="str">
        <f>IF(OR(D942="",E942=""),"",ROUND(D942/LOOKUP(E942,SMMLV!$A$2:$A$36,SMMLV!$D$2:$D$100),3))</f>
        <v/>
      </c>
      <c r="K942" s="782"/>
      <c r="L942" s="444">
        <v>7</v>
      </c>
      <c r="M942" s="781" t="str">
        <f t="shared" si="91"/>
        <v>NO APLICA</v>
      </c>
      <c r="N942" s="781"/>
    </row>
    <row r="943" spans="2:14">
      <c r="B943" s="319"/>
      <c r="C943" s="319"/>
      <c r="D943" s="448"/>
      <c r="E943" s="320"/>
      <c r="F943" s="450" t="str">
        <f>IF(OR(D943="",E943=""),"",ROUND(D943/LOOKUP(E943,SMMLV!$A$2:$A$36,SMMLV!$D$2:$D$100),3))</f>
        <v/>
      </c>
      <c r="K943" s="782"/>
      <c r="L943" s="444">
        <v>8</v>
      </c>
      <c r="M943" s="781" t="str">
        <f t="shared" si="91"/>
        <v>NO APLICA</v>
      </c>
      <c r="N943" s="781"/>
    </row>
    <row r="944" spans="2:14">
      <c r="B944" s="319"/>
      <c r="C944" s="319"/>
      <c r="D944" s="448"/>
      <c r="E944" s="320"/>
      <c r="F944" s="450" t="str">
        <f>IF(OR(D944="",E944=""),"",ROUND(D944/LOOKUP(E944,SMMLV!$A$2:$A$36,SMMLV!$D$2:$D$100),3))</f>
        <v/>
      </c>
      <c r="K944" s="782"/>
      <c r="L944" s="444">
        <v>9</v>
      </c>
      <c r="M944" s="781" t="str">
        <f t="shared" si="91"/>
        <v>NO APLICA</v>
      </c>
      <c r="N944" s="781"/>
    </row>
    <row r="945" spans="2:14">
      <c r="B945" s="319"/>
      <c r="C945" s="319"/>
      <c r="D945" s="448"/>
      <c r="E945" s="320"/>
      <c r="F945" s="450" t="str">
        <f>IF(OR(D945="",E945=""),"",ROUND(D945/LOOKUP(E945,SMMLV!$A$2:$A$36,SMMLV!$D$2:$D$100),3))</f>
        <v/>
      </c>
      <c r="K945" s="782"/>
      <c r="L945" s="444">
        <v>10</v>
      </c>
      <c r="M945" s="781" t="str">
        <f t="shared" si="91"/>
        <v>NO APLICA</v>
      </c>
      <c r="N945" s="781"/>
    </row>
    <row r="946" spans="2:14">
      <c r="B946" s="319"/>
      <c r="C946" s="319"/>
      <c r="D946" s="448"/>
      <c r="E946" s="320"/>
      <c r="F946" s="450" t="str">
        <f>IF(OR(D946="",E946=""),"",ROUND(D946/LOOKUP(E946,SMMLV!$A$2:$A$36,SMMLV!$D$2:$D$100),3))</f>
        <v/>
      </c>
      <c r="K946" s="782">
        <v>95</v>
      </c>
      <c r="L946" s="444">
        <v>1</v>
      </c>
      <c r="M946" s="781" t="str">
        <f t="shared" ref="M946:M955" si="92">IF(SUMIFS($F$5:$F$1200,$B$5:$B$1200,$K$946,$C$5:$C$1200,$L946)=0,"NO APLICA",ROUND(SUMIFS($F$5:$F$1200,$B$5:$B$1200,$K$946,$C$5:$C$1200,$L946),3))</f>
        <v>NO APLICA</v>
      </c>
      <c r="N946" s="781"/>
    </row>
    <row r="947" spans="2:14">
      <c r="B947" s="319"/>
      <c r="C947" s="319"/>
      <c r="D947" s="448"/>
      <c r="E947" s="320"/>
      <c r="F947" s="450" t="str">
        <f>IF(OR(D947="",E947=""),"",ROUND(D947/LOOKUP(E947,SMMLV!$A$2:$A$36,SMMLV!$D$2:$D$100),3))</f>
        <v/>
      </c>
      <c r="K947" s="782"/>
      <c r="L947" s="444">
        <v>2</v>
      </c>
      <c r="M947" s="781" t="str">
        <f t="shared" si="92"/>
        <v>NO APLICA</v>
      </c>
      <c r="N947" s="781"/>
    </row>
    <row r="948" spans="2:14">
      <c r="B948" s="319"/>
      <c r="C948" s="319"/>
      <c r="D948" s="448"/>
      <c r="E948" s="320"/>
      <c r="F948" s="450" t="str">
        <f>IF(OR(D948="",E948=""),"",ROUND(D948/LOOKUP(E948,SMMLV!$A$2:$A$36,SMMLV!$D$2:$D$100),3))</f>
        <v/>
      </c>
      <c r="K948" s="782"/>
      <c r="L948" s="444">
        <v>3</v>
      </c>
      <c r="M948" s="781" t="str">
        <f t="shared" si="92"/>
        <v>NO APLICA</v>
      </c>
      <c r="N948" s="781"/>
    </row>
    <row r="949" spans="2:14">
      <c r="B949" s="319"/>
      <c r="C949" s="319"/>
      <c r="D949" s="448"/>
      <c r="E949" s="320"/>
      <c r="F949" s="450" t="str">
        <f>IF(OR(D949="",E949=""),"",ROUND(D949/LOOKUP(E949,SMMLV!$A$2:$A$36,SMMLV!$D$2:$D$100),3))</f>
        <v/>
      </c>
      <c r="K949" s="782"/>
      <c r="L949" s="444">
        <v>4</v>
      </c>
      <c r="M949" s="781" t="str">
        <f t="shared" si="92"/>
        <v>NO APLICA</v>
      </c>
      <c r="N949" s="781"/>
    </row>
    <row r="950" spans="2:14">
      <c r="B950" s="319"/>
      <c r="C950" s="319"/>
      <c r="D950" s="448"/>
      <c r="E950" s="320"/>
      <c r="F950" s="450" t="str">
        <f>IF(OR(D950="",E950=""),"",ROUND(D950/LOOKUP(E950,SMMLV!$A$2:$A$36,SMMLV!$D$2:$D$100),3))</f>
        <v/>
      </c>
      <c r="K950" s="782"/>
      <c r="L950" s="444">
        <v>5</v>
      </c>
      <c r="M950" s="781" t="str">
        <f t="shared" si="92"/>
        <v>NO APLICA</v>
      </c>
      <c r="N950" s="781"/>
    </row>
    <row r="951" spans="2:14">
      <c r="B951" s="319"/>
      <c r="C951" s="319"/>
      <c r="D951" s="448"/>
      <c r="E951" s="320"/>
      <c r="F951" s="450" t="str">
        <f>IF(OR(D951="",E951=""),"",ROUND(D951/LOOKUP(E951,SMMLV!$A$2:$A$36,SMMLV!$D$2:$D$100),3))</f>
        <v/>
      </c>
      <c r="K951" s="782"/>
      <c r="L951" s="444">
        <v>6</v>
      </c>
      <c r="M951" s="781" t="str">
        <f t="shared" si="92"/>
        <v>NO APLICA</v>
      </c>
      <c r="N951" s="781"/>
    </row>
    <row r="952" spans="2:14">
      <c r="B952" s="319"/>
      <c r="C952" s="319"/>
      <c r="D952" s="448"/>
      <c r="E952" s="320"/>
      <c r="F952" s="450" t="str">
        <f>IF(OR(D952="",E952=""),"",ROUND(D952/LOOKUP(E952,SMMLV!$A$2:$A$36,SMMLV!$D$2:$D$100),3))</f>
        <v/>
      </c>
      <c r="K952" s="782"/>
      <c r="L952" s="444">
        <v>7</v>
      </c>
      <c r="M952" s="781" t="str">
        <f t="shared" si="92"/>
        <v>NO APLICA</v>
      </c>
      <c r="N952" s="781"/>
    </row>
    <row r="953" spans="2:14">
      <c r="B953" s="319"/>
      <c r="C953" s="319"/>
      <c r="D953" s="448"/>
      <c r="E953" s="320"/>
      <c r="F953" s="450" t="str">
        <f>IF(OR(D953="",E953=""),"",ROUND(D953/LOOKUP(E953,SMMLV!$A$2:$A$36,SMMLV!$D$2:$D$100),3))</f>
        <v/>
      </c>
      <c r="K953" s="782"/>
      <c r="L953" s="444">
        <v>8</v>
      </c>
      <c r="M953" s="781" t="str">
        <f t="shared" si="92"/>
        <v>NO APLICA</v>
      </c>
      <c r="N953" s="781"/>
    </row>
    <row r="954" spans="2:14">
      <c r="B954" s="319"/>
      <c r="C954" s="319"/>
      <c r="D954" s="448"/>
      <c r="E954" s="320"/>
      <c r="F954" s="450" t="str">
        <f>IF(OR(D954="",E954=""),"",ROUND(D954/LOOKUP(E954,SMMLV!$A$2:$A$36,SMMLV!$D$2:$D$100),3))</f>
        <v/>
      </c>
      <c r="K954" s="782"/>
      <c r="L954" s="444">
        <v>9</v>
      </c>
      <c r="M954" s="781" t="str">
        <f t="shared" si="92"/>
        <v>NO APLICA</v>
      </c>
      <c r="N954" s="781"/>
    </row>
    <row r="955" spans="2:14">
      <c r="B955" s="319"/>
      <c r="C955" s="319"/>
      <c r="D955" s="448"/>
      <c r="E955" s="320"/>
      <c r="F955" s="450" t="str">
        <f>IF(OR(D955="",E955=""),"",ROUND(D955/LOOKUP(E955,SMMLV!$A$2:$A$36,SMMLV!$D$2:$D$100),3))</f>
        <v/>
      </c>
      <c r="K955" s="782"/>
      <c r="L955" s="444">
        <v>10</v>
      </c>
      <c r="M955" s="781" t="str">
        <f t="shared" si="92"/>
        <v>NO APLICA</v>
      </c>
      <c r="N955" s="781"/>
    </row>
    <row r="956" spans="2:14">
      <c r="B956" s="319"/>
      <c r="C956" s="319"/>
      <c r="D956" s="448"/>
      <c r="E956" s="320"/>
      <c r="F956" s="450" t="str">
        <f>IF(OR(D956="",E956=""),"",ROUND(D956/LOOKUP(E956,SMMLV!$A$2:$A$36,SMMLV!$D$2:$D$100),3))</f>
        <v/>
      </c>
      <c r="K956" s="782">
        <v>96</v>
      </c>
      <c r="L956" s="444">
        <v>1</v>
      </c>
      <c r="M956" s="781" t="str">
        <f t="shared" ref="M956:M965" si="93">IF(SUMIFS($F$5:$F$1200,$B$5:$B$1200,$K$956,$C$5:$C$1200,$L956)=0,"NO APLICA",ROUND(SUMIFS($F$5:$F$1200,$B$5:$B$1200,$K$956,$C$5:$C$1200,$L956),3))</f>
        <v>NO APLICA</v>
      </c>
      <c r="N956" s="781"/>
    </row>
    <row r="957" spans="2:14">
      <c r="B957" s="319"/>
      <c r="C957" s="319"/>
      <c r="D957" s="448"/>
      <c r="E957" s="320"/>
      <c r="F957" s="450" t="str">
        <f>IF(OR(D957="",E957=""),"",ROUND(D957/LOOKUP(E957,SMMLV!$A$2:$A$36,SMMLV!$D$2:$D$100),3))</f>
        <v/>
      </c>
      <c r="K957" s="782"/>
      <c r="L957" s="444">
        <v>2</v>
      </c>
      <c r="M957" s="781" t="str">
        <f t="shared" si="93"/>
        <v>NO APLICA</v>
      </c>
      <c r="N957" s="781"/>
    </row>
    <row r="958" spans="2:14">
      <c r="B958" s="319"/>
      <c r="C958" s="319"/>
      <c r="D958" s="448"/>
      <c r="E958" s="320"/>
      <c r="F958" s="450" t="str">
        <f>IF(OR(D958="",E958=""),"",ROUND(D958/LOOKUP(E958,SMMLV!$A$2:$A$36,SMMLV!$D$2:$D$100),3))</f>
        <v/>
      </c>
      <c r="K958" s="782"/>
      <c r="L958" s="444">
        <v>3</v>
      </c>
      <c r="M958" s="781" t="str">
        <f t="shared" si="93"/>
        <v>NO APLICA</v>
      </c>
      <c r="N958" s="781"/>
    </row>
    <row r="959" spans="2:14">
      <c r="B959" s="319"/>
      <c r="C959" s="319"/>
      <c r="D959" s="448"/>
      <c r="E959" s="320"/>
      <c r="F959" s="450" t="str">
        <f>IF(OR(D959="",E959=""),"",ROUND(D959/LOOKUP(E959,SMMLV!$A$2:$A$36,SMMLV!$D$2:$D$100),3))</f>
        <v/>
      </c>
      <c r="K959" s="782"/>
      <c r="L959" s="444">
        <v>4</v>
      </c>
      <c r="M959" s="781" t="str">
        <f t="shared" si="93"/>
        <v>NO APLICA</v>
      </c>
      <c r="N959" s="781"/>
    </row>
    <row r="960" spans="2:14">
      <c r="B960" s="319"/>
      <c r="C960" s="319"/>
      <c r="D960" s="448"/>
      <c r="E960" s="320"/>
      <c r="F960" s="450" t="str">
        <f>IF(OR(D960="",E960=""),"",ROUND(D960/LOOKUP(E960,SMMLV!$A$2:$A$36,SMMLV!$D$2:$D$100),3))</f>
        <v/>
      </c>
      <c r="K960" s="782"/>
      <c r="L960" s="444">
        <v>5</v>
      </c>
      <c r="M960" s="781" t="str">
        <f t="shared" si="93"/>
        <v>NO APLICA</v>
      </c>
      <c r="N960" s="781"/>
    </row>
    <row r="961" spans="2:14">
      <c r="B961" s="319"/>
      <c r="C961" s="319"/>
      <c r="D961" s="448"/>
      <c r="E961" s="320"/>
      <c r="F961" s="450" t="str">
        <f>IF(OR(D961="",E961=""),"",ROUND(D961/LOOKUP(E961,SMMLV!$A$2:$A$36,SMMLV!$D$2:$D$100),3))</f>
        <v/>
      </c>
      <c r="K961" s="782"/>
      <c r="L961" s="444">
        <v>6</v>
      </c>
      <c r="M961" s="781" t="str">
        <f t="shared" si="93"/>
        <v>NO APLICA</v>
      </c>
      <c r="N961" s="781"/>
    </row>
    <row r="962" spans="2:14">
      <c r="B962" s="319"/>
      <c r="C962" s="319"/>
      <c r="D962" s="448"/>
      <c r="E962" s="320"/>
      <c r="F962" s="450" t="str">
        <f>IF(OR(D962="",E962=""),"",ROUND(D962/LOOKUP(E962,SMMLV!$A$2:$A$36,SMMLV!$D$2:$D$100),3))</f>
        <v/>
      </c>
      <c r="K962" s="782"/>
      <c r="L962" s="444">
        <v>7</v>
      </c>
      <c r="M962" s="781" t="str">
        <f t="shared" si="93"/>
        <v>NO APLICA</v>
      </c>
      <c r="N962" s="781"/>
    </row>
    <row r="963" spans="2:14">
      <c r="B963" s="319"/>
      <c r="C963" s="319"/>
      <c r="D963" s="448"/>
      <c r="E963" s="320"/>
      <c r="F963" s="450" t="str">
        <f>IF(OR(D963="",E963=""),"",ROUND(D963/LOOKUP(E963,SMMLV!$A$2:$A$36,SMMLV!$D$2:$D$100),3))</f>
        <v/>
      </c>
      <c r="K963" s="782"/>
      <c r="L963" s="444">
        <v>8</v>
      </c>
      <c r="M963" s="781" t="str">
        <f t="shared" si="93"/>
        <v>NO APLICA</v>
      </c>
      <c r="N963" s="781"/>
    </row>
    <row r="964" spans="2:14">
      <c r="B964" s="319"/>
      <c r="C964" s="319"/>
      <c r="D964" s="448"/>
      <c r="E964" s="320"/>
      <c r="F964" s="450" t="str">
        <f>IF(OR(D964="",E964=""),"",ROUND(D964/LOOKUP(E964,SMMLV!$A$2:$A$36,SMMLV!$D$2:$D$100),3))</f>
        <v/>
      </c>
      <c r="K964" s="782"/>
      <c r="L964" s="444">
        <v>9</v>
      </c>
      <c r="M964" s="781" t="str">
        <f t="shared" si="93"/>
        <v>NO APLICA</v>
      </c>
      <c r="N964" s="781"/>
    </row>
    <row r="965" spans="2:14">
      <c r="B965" s="319"/>
      <c r="C965" s="319"/>
      <c r="D965" s="448"/>
      <c r="E965" s="320"/>
      <c r="F965" s="450" t="str">
        <f>IF(OR(D965="",E965=""),"",ROUND(D965/LOOKUP(E965,SMMLV!$A$2:$A$36,SMMLV!$D$2:$D$100),3))</f>
        <v/>
      </c>
      <c r="K965" s="782"/>
      <c r="L965" s="444">
        <v>10</v>
      </c>
      <c r="M965" s="781" t="str">
        <f t="shared" si="93"/>
        <v>NO APLICA</v>
      </c>
      <c r="N965" s="781"/>
    </row>
    <row r="966" spans="2:14">
      <c r="B966" s="319"/>
      <c r="C966" s="319"/>
      <c r="D966" s="448"/>
      <c r="E966" s="320"/>
      <c r="F966" s="450" t="str">
        <f>IF(OR(D966="",E966=""),"",ROUND(D966/LOOKUP(E966,SMMLV!$A$2:$A$36,SMMLV!$D$2:$D$100),3))</f>
        <v/>
      </c>
      <c r="K966" s="782">
        <v>97</v>
      </c>
      <c r="L966" s="444">
        <v>1</v>
      </c>
      <c r="M966" s="781" t="str">
        <f t="shared" ref="M966:M975" si="94">IF(SUMIFS($F$5:$F$1200,$B$5:$B$1200,$K$966,$C$5:$C$1200,$L966)=0,"NO APLICA",ROUND(SUMIFS($F$5:$F$1200,$B$5:$B$1200,$K$966,$C$5:$C$1200,$L966),3))</f>
        <v>NO APLICA</v>
      </c>
      <c r="N966" s="781"/>
    </row>
    <row r="967" spans="2:14">
      <c r="B967" s="319"/>
      <c r="C967" s="319"/>
      <c r="D967" s="448"/>
      <c r="E967" s="320"/>
      <c r="F967" s="450" t="str">
        <f>IF(OR(D967="",E967=""),"",ROUND(D967/LOOKUP(E967,SMMLV!$A$2:$A$36,SMMLV!$D$2:$D$100),3))</f>
        <v/>
      </c>
      <c r="K967" s="782"/>
      <c r="L967" s="444">
        <v>2</v>
      </c>
      <c r="M967" s="781" t="str">
        <f t="shared" si="94"/>
        <v>NO APLICA</v>
      </c>
      <c r="N967" s="781"/>
    </row>
    <row r="968" spans="2:14">
      <c r="B968" s="319"/>
      <c r="C968" s="319"/>
      <c r="D968" s="448"/>
      <c r="E968" s="320"/>
      <c r="F968" s="450" t="str">
        <f>IF(OR(D968="",E968=""),"",ROUND(D968/LOOKUP(E968,SMMLV!$A$2:$A$36,SMMLV!$D$2:$D$100),3))</f>
        <v/>
      </c>
      <c r="K968" s="782"/>
      <c r="L968" s="444">
        <v>3</v>
      </c>
      <c r="M968" s="781" t="str">
        <f t="shared" si="94"/>
        <v>NO APLICA</v>
      </c>
      <c r="N968" s="781"/>
    </row>
    <row r="969" spans="2:14">
      <c r="B969" s="319"/>
      <c r="C969" s="319"/>
      <c r="D969" s="448"/>
      <c r="E969" s="320"/>
      <c r="F969" s="450" t="str">
        <f>IF(OR(D969="",E969=""),"",ROUND(D969/LOOKUP(E969,SMMLV!$A$2:$A$36,SMMLV!$D$2:$D$100),3))</f>
        <v/>
      </c>
      <c r="K969" s="782"/>
      <c r="L969" s="444">
        <v>4</v>
      </c>
      <c r="M969" s="781" t="str">
        <f t="shared" si="94"/>
        <v>NO APLICA</v>
      </c>
      <c r="N969" s="781"/>
    </row>
    <row r="970" spans="2:14">
      <c r="B970" s="319"/>
      <c r="C970" s="319"/>
      <c r="D970" s="448"/>
      <c r="E970" s="320"/>
      <c r="F970" s="450" t="str">
        <f>IF(OR(D970="",E970=""),"",ROUND(D970/LOOKUP(E970,SMMLV!$A$2:$A$36,SMMLV!$D$2:$D$100),3))</f>
        <v/>
      </c>
      <c r="K970" s="782"/>
      <c r="L970" s="444">
        <v>5</v>
      </c>
      <c r="M970" s="781" t="str">
        <f t="shared" si="94"/>
        <v>NO APLICA</v>
      </c>
      <c r="N970" s="781"/>
    </row>
    <row r="971" spans="2:14">
      <c r="B971" s="319"/>
      <c r="C971" s="319"/>
      <c r="D971" s="448"/>
      <c r="E971" s="320"/>
      <c r="F971" s="450" t="str">
        <f>IF(OR(D971="",E971=""),"",ROUND(D971/LOOKUP(E971,SMMLV!$A$2:$A$36,SMMLV!$D$2:$D$100),3))</f>
        <v/>
      </c>
      <c r="K971" s="782"/>
      <c r="L971" s="444">
        <v>6</v>
      </c>
      <c r="M971" s="781" t="str">
        <f t="shared" si="94"/>
        <v>NO APLICA</v>
      </c>
      <c r="N971" s="781"/>
    </row>
    <row r="972" spans="2:14">
      <c r="B972" s="319"/>
      <c r="C972" s="319"/>
      <c r="D972" s="448"/>
      <c r="E972" s="320"/>
      <c r="F972" s="450" t="str">
        <f>IF(OR(D972="",E972=""),"",ROUND(D972/LOOKUP(E972,SMMLV!$A$2:$A$36,SMMLV!$D$2:$D$100),3))</f>
        <v/>
      </c>
      <c r="K972" s="782"/>
      <c r="L972" s="444">
        <v>7</v>
      </c>
      <c r="M972" s="781" t="str">
        <f t="shared" si="94"/>
        <v>NO APLICA</v>
      </c>
      <c r="N972" s="781"/>
    </row>
    <row r="973" spans="2:14">
      <c r="B973" s="319"/>
      <c r="C973" s="319"/>
      <c r="D973" s="448"/>
      <c r="E973" s="320"/>
      <c r="F973" s="450" t="str">
        <f>IF(OR(D973="",E973=""),"",ROUND(D973/LOOKUP(E973,SMMLV!$A$2:$A$36,SMMLV!$D$2:$D$100),3))</f>
        <v/>
      </c>
      <c r="K973" s="782"/>
      <c r="L973" s="444">
        <v>8</v>
      </c>
      <c r="M973" s="781" t="str">
        <f t="shared" si="94"/>
        <v>NO APLICA</v>
      </c>
      <c r="N973" s="781"/>
    </row>
    <row r="974" spans="2:14">
      <c r="B974" s="319"/>
      <c r="C974" s="319"/>
      <c r="D974" s="448"/>
      <c r="E974" s="320"/>
      <c r="F974" s="450" t="str">
        <f>IF(OR(D974="",E974=""),"",ROUND(D974/LOOKUP(E974,SMMLV!$A$2:$A$36,SMMLV!$D$2:$D$100),3))</f>
        <v/>
      </c>
      <c r="K974" s="782"/>
      <c r="L974" s="444">
        <v>9</v>
      </c>
      <c r="M974" s="781" t="str">
        <f t="shared" si="94"/>
        <v>NO APLICA</v>
      </c>
      <c r="N974" s="781"/>
    </row>
    <row r="975" spans="2:14">
      <c r="B975" s="319"/>
      <c r="C975" s="319"/>
      <c r="D975" s="448"/>
      <c r="E975" s="320"/>
      <c r="F975" s="450" t="str">
        <f>IF(OR(D975="",E975=""),"",ROUND(D975/LOOKUP(E975,SMMLV!$A$2:$A$36,SMMLV!$D$2:$D$100),3))</f>
        <v/>
      </c>
      <c r="K975" s="782"/>
      <c r="L975" s="444">
        <v>10</v>
      </c>
      <c r="M975" s="781" t="str">
        <f t="shared" si="94"/>
        <v>NO APLICA</v>
      </c>
      <c r="N975" s="781"/>
    </row>
    <row r="976" spans="2:14">
      <c r="B976" s="319"/>
      <c r="C976" s="319"/>
      <c r="D976" s="448"/>
      <c r="E976" s="320"/>
      <c r="F976" s="450" t="str">
        <f>IF(OR(D976="",E976=""),"",ROUND(D976/LOOKUP(E976,SMMLV!$A$2:$A$36,SMMLV!$D$2:$D$100),3))</f>
        <v/>
      </c>
      <c r="K976" s="782">
        <v>98</v>
      </c>
      <c r="L976" s="444">
        <v>1</v>
      </c>
      <c r="M976" s="781" t="str">
        <f t="shared" ref="M976:M985" si="95">IF(SUMIFS($F$5:$F$1200,$B$5:$B$1200,$K$976,$C$5:$C$1200,$L976)=0,"NO APLICA",ROUND(SUMIFS($F$5:$F$1200,$B$5:$B$1200,$K$976,$C$5:$C$1200,$L976),3))</f>
        <v>NO APLICA</v>
      </c>
      <c r="N976" s="781"/>
    </row>
    <row r="977" spans="2:14">
      <c r="B977" s="319"/>
      <c r="C977" s="319"/>
      <c r="D977" s="448"/>
      <c r="E977" s="320"/>
      <c r="F977" s="450" t="str">
        <f>IF(OR(D977="",E977=""),"",ROUND(D977/LOOKUP(E977,SMMLV!$A$2:$A$36,SMMLV!$D$2:$D$100),3))</f>
        <v/>
      </c>
      <c r="K977" s="782"/>
      <c r="L977" s="444">
        <v>2</v>
      </c>
      <c r="M977" s="781" t="str">
        <f t="shared" si="95"/>
        <v>NO APLICA</v>
      </c>
      <c r="N977" s="781"/>
    </row>
    <row r="978" spans="2:14">
      <c r="B978" s="319"/>
      <c r="C978" s="319"/>
      <c r="D978" s="448"/>
      <c r="E978" s="320"/>
      <c r="F978" s="450" t="str">
        <f>IF(OR(D978="",E978=""),"",ROUND(D978/LOOKUP(E978,SMMLV!$A$2:$A$36,SMMLV!$D$2:$D$100),3))</f>
        <v/>
      </c>
      <c r="K978" s="782"/>
      <c r="L978" s="444">
        <v>3</v>
      </c>
      <c r="M978" s="781" t="str">
        <f t="shared" si="95"/>
        <v>NO APLICA</v>
      </c>
      <c r="N978" s="781"/>
    </row>
    <row r="979" spans="2:14">
      <c r="B979" s="319"/>
      <c r="C979" s="319"/>
      <c r="D979" s="448"/>
      <c r="E979" s="320"/>
      <c r="F979" s="450" t="str">
        <f>IF(OR(D979="",E979=""),"",ROUND(D979/LOOKUP(E979,SMMLV!$A$2:$A$36,SMMLV!$D$2:$D$100),3))</f>
        <v/>
      </c>
      <c r="K979" s="782"/>
      <c r="L979" s="444">
        <v>4</v>
      </c>
      <c r="M979" s="781" t="str">
        <f t="shared" si="95"/>
        <v>NO APLICA</v>
      </c>
      <c r="N979" s="781"/>
    </row>
    <row r="980" spans="2:14">
      <c r="B980" s="319"/>
      <c r="C980" s="319"/>
      <c r="D980" s="448"/>
      <c r="E980" s="320"/>
      <c r="F980" s="450" t="str">
        <f>IF(OR(D980="",E980=""),"",ROUND(D980/LOOKUP(E980,SMMLV!$A$2:$A$36,SMMLV!$D$2:$D$100),3))</f>
        <v/>
      </c>
      <c r="K980" s="782"/>
      <c r="L980" s="444">
        <v>5</v>
      </c>
      <c r="M980" s="781" t="str">
        <f t="shared" si="95"/>
        <v>NO APLICA</v>
      </c>
      <c r="N980" s="781"/>
    </row>
    <row r="981" spans="2:14">
      <c r="B981" s="319"/>
      <c r="C981" s="319"/>
      <c r="D981" s="448"/>
      <c r="E981" s="320"/>
      <c r="F981" s="450" t="str">
        <f>IF(OR(D981="",E981=""),"",ROUND(D981/LOOKUP(E981,SMMLV!$A$2:$A$36,SMMLV!$D$2:$D$100),3))</f>
        <v/>
      </c>
      <c r="K981" s="782"/>
      <c r="L981" s="444">
        <v>6</v>
      </c>
      <c r="M981" s="781" t="str">
        <f t="shared" si="95"/>
        <v>NO APLICA</v>
      </c>
      <c r="N981" s="781"/>
    </row>
    <row r="982" spans="2:14">
      <c r="B982" s="319"/>
      <c r="C982" s="319"/>
      <c r="D982" s="448"/>
      <c r="E982" s="320"/>
      <c r="F982" s="450" t="str">
        <f>IF(OR(D982="",E982=""),"",ROUND(D982/LOOKUP(E982,SMMLV!$A$2:$A$36,SMMLV!$D$2:$D$100),3))</f>
        <v/>
      </c>
      <c r="K982" s="782"/>
      <c r="L982" s="444">
        <v>7</v>
      </c>
      <c r="M982" s="781" t="str">
        <f t="shared" si="95"/>
        <v>NO APLICA</v>
      </c>
      <c r="N982" s="781"/>
    </row>
    <row r="983" spans="2:14">
      <c r="B983" s="319"/>
      <c r="C983" s="319"/>
      <c r="D983" s="448"/>
      <c r="E983" s="320"/>
      <c r="F983" s="450" t="str">
        <f>IF(OR(D983="",E983=""),"",ROUND(D983/LOOKUP(E983,SMMLV!$A$2:$A$36,SMMLV!$D$2:$D$100),3))</f>
        <v/>
      </c>
      <c r="K983" s="782"/>
      <c r="L983" s="444">
        <v>8</v>
      </c>
      <c r="M983" s="781" t="str">
        <f t="shared" si="95"/>
        <v>NO APLICA</v>
      </c>
      <c r="N983" s="781"/>
    </row>
    <row r="984" spans="2:14">
      <c r="B984" s="319"/>
      <c r="C984" s="319"/>
      <c r="D984" s="448"/>
      <c r="E984" s="320"/>
      <c r="F984" s="450" t="str">
        <f>IF(OR(D984="",E984=""),"",ROUND(D984/LOOKUP(E984,SMMLV!$A$2:$A$36,SMMLV!$D$2:$D$100),3))</f>
        <v/>
      </c>
      <c r="K984" s="782"/>
      <c r="L984" s="444">
        <v>9</v>
      </c>
      <c r="M984" s="781" t="str">
        <f t="shared" si="95"/>
        <v>NO APLICA</v>
      </c>
      <c r="N984" s="781"/>
    </row>
    <row r="985" spans="2:14">
      <c r="B985" s="319"/>
      <c r="C985" s="319"/>
      <c r="D985" s="448"/>
      <c r="E985" s="320"/>
      <c r="F985" s="450" t="str">
        <f>IF(OR(D985="",E985=""),"",ROUND(D985/LOOKUP(E985,SMMLV!$A$2:$A$36,SMMLV!$D$2:$D$100),3))</f>
        <v/>
      </c>
      <c r="K985" s="782"/>
      <c r="L985" s="444">
        <v>10</v>
      </c>
      <c r="M985" s="781" t="str">
        <f t="shared" si="95"/>
        <v>NO APLICA</v>
      </c>
      <c r="N985" s="781"/>
    </row>
    <row r="986" spans="2:14">
      <c r="B986" s="319"/>
      <c r="C986" s="319"/>
      <c r="D986" s="448"/>
      <c r="E986" s="320"/>
      <c r="F986" s="450" t="str">
        <f>IF(OR(D986="",E986=""),"",ROUND(D986/LOOKUP(E986,SMMLV!$A$2:$A$36,SMMLV!$D$2:$D$100),3))</f>
        <v/>
      </c>
      <c r="K986" s="782">
        <v>99</v>
      </c>
      <c r="L986" s="444">
        <v>1</v>
      </c>
      <c r="M986" s="781" t="str">
        <f t="shared" ref="M986:M995" si="96">IF(SUMIFS($F$5:$F$1200,$B$5:$B$1200,$K$986,$C$5:$C$1200,$L986)=0,"NO APLICA",ROUND(SUMIFS($F$5:$F$1200,$B$5:$B$1200,$K$986,$C$5:$C$1200,$L986),3))</f>
        <v>NO APLICA</v>
      </c>
      <c r="N986" s="781"/>
    </row>
    <row r="987" spans="2:14">
      <c r="B987" s="319"/>
      <c r="C987" s="319"/>
      <c r="D987" s="448"/>
      <c r="E987" s="320"/>
      <c r="F987" s="450" t="str">
        <f>IF(OR(D987="",E987=""),"",ROUND(D987/LOOKUP(E987,SMMLV!$A$2:$A$36,SMMLV!$D$2:$D$100),3))</f>
        <v/>
      </c>
      <c r="K987" s="782"/>
      <c r="L987" s="444">
        <v>2</v>
      </c>
      <c r="M987" s="781" t="str">
        <f t="shared" si="96"/>
        <v>NO APLICA</v>
      </c>
      <c r="N987" s="781"/>
    </row>
    <row r="988" spans="2:14">
      <c r="B988" s="319"/>
      <c r="C988" s="319"/>
      <c r="D988" s="448"/>
      <c r="E988" s="320"/>
      <c r="F988" s="450" t="str">
        <f>IF(OR(D988="",E988=""),"",ROUND(D988/LOOKUP(E988,SMMLV!$A$2:$A$36,SMMLV!$D$2:$D$100),3))</f>
        <v/>
      </c>
      <c r="K988" s="782"/>
      <c r="L988" s="444">
        <v>3</v>
      </c>
      <c r="M988" s="781" t="str">
        <f t="shared" si="96"/>
        <v>NO APLICA</v>
      </c>
      <c r="N988" s="781"/>
    </row>
    <row r="989" spans="2:14">
      <c r="B989" s="319"/>
      <c r="C989" s="319"/>
      <c r="D989" s="448"/>
      <c r="E989" s="320"/>
      <c r="F989" s="450" t="str">
        <f>IF(OR(D989="",E989=""),"",ROUND(D989/LOOKUP(E989,SMMLV!$A$2:$A$36,SMMLV!$D$2:$D$100),3))</f>
        <v/>
      </c>
      <c r="K989" s="782"/>
      <c r="L989" s="444">
        <v>4</v>
      </c>
      <c r="M989" s="781" t="str">
        <f t="shared" si="96"/>
        <v>NO APLICA</v>
      </c>
      <c r="N989" s="781"/>
    </row>
    <row r="990" spans="2:14">
      <c r="B990" s="319"/>
      <c r="C990" s="319"/>
      <c r="D990" s="448"/>
      <c r="E990" s="320"/>
      <c r="F990" s="450" t="str">
        <f>IF(OR(D990="",E990=""),"",ROUND(D990/LOOKUP(E990,SMMLV!$A$2:$A$36,SMMLV!$D$2:$D$100),3))</f>
        <v/>
      </c>
      <c r="K990" s="782"/>
      <c r="L990" s="444">
        <v>5</v>
      </c>
      <c r="M990" s="781" t="str">
        <f t="shared" si="96"/>
        <v>NO APLICA</v>
      </c>
      <c r="N990" s="781"/>
    </row>
    <row r="991" spans="2:14">
      <c r="B991" s="319"/>
      <c r="C991" s="319"/>
      <c r="D991" s="448"/>
      <c r="E991" s="320"/>
      <c r="F991" s="450" t="str">
        <f>IF(OR(D991="",E991=""),"",ROUND(D991/LOOKUP(E991,SMMLV!$A$2:$A$36,SMMLV!$D$2:$D$100),3))</f>
        <v/>
      </c>
      <c r="K991" s="782"/>
      <c r="L991" s="444">
        <v>6</v>
      </c>
      <c r="M991" s="781" t="str">
        <f t="shared" si="96"/>
        <v>NO APLICA</v>
      </c>
      <c r="N991" s="781"/>
    </row>
    <row r="992" spans="2:14">
      <c r="B992" s="319"/>
      <c r="C992" s="319"/>
      <c r="D992" s="448"/>
      <c r="E992" s="320"/>
      <c r="F992" s="450" t="str">
        <f>IF(OR(D992="",E992=""),"",ROUND(D992/LOOKUP(E992,SMMLV!$A$2:$A$36,SMMLV!$D$2:$D$100),3))</f>
        <v/>
      </c>
      <c r="K992" s="782"/>
      <c r="L992" s="444">
        <v>7</v>
      </c>
      <c r="M992" s="781" t="str">
        <f t="shared" si="96"/>
        <v>NO APLICA</v>
      </c>
      <c r="N992" s="781"/>
    </row>
    <row r="993" spans="2:14">
      <c r="B993" s="319"/>
      <c r="C993" s="319"/>
      <c r="D993" s="448"/>
      <c r="E993" s="320"/>
      <c r="F993" s="450" t="str">
        <f>IF(OR(D993="",E993=""),"",ROUND(D993/LOOKUP(E993,SMMLV!$A$2:$A$36,SMMLV!$D$2:$D$100),3))</f>
        <v/>
      </c>
      <c r="K993" s="782"/>
      <c r="L993" s="444">
        <v>8</v>
      </c>
      <c r="M993" s="781" t="str">
        <f t="shared" si="96"/>
        <v>NO APLICA</v>
      </c>
      <c r="N993" s="781"/>
    </row>
    <row r="994" spans="2:14">
      <c r="B994" s="319"/>
      <c r="C994" s="319"/>
      <c r="D994" s="448"/>
      <c r="E994" s="320"/>
      <c r="F994" s="450" t="str">
        <f>IF(OR(D994="",E994=""),"",ROUND(D994/LOOKUP(E994,SMMLV!$A$2:$A$36,SMMLV!$D$2:$D$100),3))</f>
        <v/>
      </c>
      <c r="K994" s="782"/>
      <c r="L994" s="444">
        <v>9</v>
      </c>
      <c r="M994" s="781" t="str">
        <f t="shared" si="96"/>
        <v>NO APLICA</v>
      </c>
      <c r="N994" s="781"/>
    </row>
    <row r="995" spans="2:14">
      <c r="B995" s="319"/>
      <c r="C995" s="319"/>
      <c r="D995" s="448"/>
      <c r="E995" s="320"/>
      <c r="F995" s="450" t="str">
        <f>IF(OR(D995="",E995=""),"",ROUND(D995/LOOKUP(E995,SMMLV!$A$2:$A$36,SMMLV!$D$2:$D$100),3))</f>
        <v/>
      </c>
      <c r="K995" s="782"/>
      <c r="L995" s="444">
        <v>10</v>
      </c>
      <c r="M995" s="781" t="str">
        <f t="shared" si="96"/>
        <v>NO APLICA</v>
      </c>
      <c r="N995" s="781"/>
    </row>
    <row r="996" spans="2:14">
      <c r="B996" s="319"/>
      <c r="C996" s="319"/>
      <c r="D996" s="448"/>
      <c r="E996" s="320"/>
      <c r="F996" s="450" t="str">
        <f>IF(OR(D996="",E996=""),"",ROUND(D996/LOOKUP(E996,SMMLV!$A$2:$A$36,SMMLV!$D$2:$D$100),3))</f>
        <v/>
      </c>
      <c r="K996" s="782">
        <v>100</v>
      </c>
      <c r="L996" s="444">
        <v>1</v>
      </c>
      <c r="M996" s="781" t="str">
        <f t="shared" ref="M996:M1005" si="97">IF(SUMIFS($F$5:$F$1200,$B$5:$B$1200,$K$996,$C$5:$C$1200,$L996)=0,"NO APLICA",ROUND(SUMIFS($F$5:$F$1200,$B$5:$B$1200,$K$996,$C$5:$C$1200,$L996),3))</f>
        <v>NO APLICA</v>
      </c>
      <c r="N996" s="781"/>
    </row>
    <row r="997" spans="2:14">
      <c r="B997" s="319"/>
      <c r="C997" s="319"/>
      <c r="D997" s="448"/>
      <c r="E997" s="320"/>
      <c r="F997" s="450" t="str">
        <f>IF(OR(D997="",E997=""),"",ROUND(D997/LOOKUP(E997,SMMLV!$A$2:$A$36,SMMLV!$D$2:$D$100),3))</f>
        <v/>
      </c>
      <c r="K997" s="782"/>
      <c r="L997" s="444">
        <v>2</v>
      </c>
      <c r="M997" s="781" t="str">
        <f t="shared" si="97"/>
        <v>NO APLICA</v>
      </c>
      <c r="N997" s="781"/>
    </row>
    <row r="998" spans="2:14">
      <c r="B998" s="319"/>
      <c r="C998" s="319"/>
      <c r="D998" s="448"/>
      <c r="E998" s="320"/>
      <c r="F998" s="450" t="str">
        <f>IF(OR(D998="",E998=""),"",ROUND(D998/LOOKUP(E998,SMMLV!$A$2:$A$36,SMMLV!$D$2:$D$100),3))</f>
        <v/>
      </c>
      <c r="K998" s="782"/>
      <c r="L998" s="444">
        <v>3</v>
      </c>
      <c r="M998" s="781" t="str">
        <f t="shared" si="97"/>
        <v>NO APLICA</v>
      </c>
      <c r="N998" s="781"/>
    </row>
    <row r="999" spans="2:14">
      <c r="B999" s="319"/>
      <c r="C999" s="319"/>
      <c r="D999" s="448"/>
      <c r="E999" s="320"/>
      <c r="F999" s="450" t="str">
        <f>IF(OR(D999="",E999=""),"",ROUND(D999/LOOKUP(E999,SMMLV!$A$2:$A$36,SMMLV!$D$2:$D$100),3))</f>
        <v/>
      </c>
      <c r="K999" s="782"/>
      <c r="L999" s="444">
        <v>4</v>
      </c>
      <c r="M999" s="781" t="str">
        <f t="shared" si="97"/>
        <v>NO APLICA</v>
      </c>
      <c r="N999" s="781"/>
    </row>
    <row r="1000" spans="2:14">
      <c r="B1000" s="319"/>
      <c r="C1000" s="319"/>
      <c r="D1000" s="448"/>
      <c r="E1000" s="320"/>
      <c r="F1000" s="450" t="str">
        <f>IF(OR(D1000="",E1000=""),"",ROUND(D1000/LOOKUP(E1000,SMMLV!$A$2:$A$36,SMMLV!$D$2:$D$100),3))</f>
        <v/>
      </c>
      <c r="K1000" s="782"/>
      <c r="L1000" s="444">
        <v>5</v>
      </c>
      <c r="M1000" s="781" t="str">
        <f t="shared" si="97"/>
        <v>NO APLICA</v>
      </c>
      <c r="N1000" s="781"/>
    </row>
    <row r="1001" spans="2:14">
      <c r="B1001" s="319"/>
      <c r="C1001" s="319"/>
      <c r="D1001" s="448"/>
      <c r="E1001" s="320"/>
      <c r="F1001" s="450" t="str">
        <f>IF(OR(D1001="",E1001=""),"",ROUND(D1001/LOOKUP(E1001,SMMLV!$A$2:$A$36,SMMLV!$D$2:$D$100),3))</f>
        <v/>
      </c>
      <c r="K1001" s="782"/>
      <c r="L1001" s="444">
        <v>6</v>
      </c>
      <c r="M1001" s="781" t="str">
        <f t="shared" si="97"/>
        <v>NO APLICA</v>
      </c>
      <c r="N1001" s="781"/>
    </row>
    <row r="1002" spans="2:14">
      <c r="B1002" s="319"/>
      <c r="C1002" s="319"/>
      <c r="D1002" s="448"/>
      <c r="E1002" s="320"/>
      <c r="F1002" s="450" t="str">
        <f>IF(OR(D1002="",E1002=""),"",ROUND(D1002/LOOKUP(E1002,SMMLV!$A$2:$A$36,SMMLV!$D$2:$D$100),3))</f>
        <v/>
      </c>
      <c r="K1002" s="782"/>
      <c r="L1002" s="444">
        <v>7</v>
      </c>
      <c r="M1002" s="781" t="str">
        <f t="shared" si="97"/>
        <v>NO APLICA</v>
      </c>
      <c r="N1002" s="781"/>
    </row>
    <row r="1003" spans="2:14">
      <c r="B1003" s="319"/>
      <c r="C1003" s="319"/>
      <c r="D1003" s="448"/>
      <c r="E1003" s="320"/>
      <c r="F1003" s="450" t="str">
        <f>IF(OR(D1003="",E1003=""),"",ROUND(D1003/LOOKUP(E1003,SMMLV!$A$2:$A$36,SMMLV!$D$2:$D$100),3))</f>
        <v/>
      </c>
      <c r="K1003" s="782"/>
      <c r="L1003" s="444">
        <v>8</v>
      </c>
      <c r="M1003" s="781" t="str">
        <f t="shared" si="97"/>
        <v>NO APLICA</v>
      </c>
      <c r="N1003" s="781"/>
    </row>
    <row r="1004" spans="2:14">
      <c r="B1004" s="319"/>
      <c r="C1004" s="319"/>
      <c r="D1004" s="448"/>
      <c r="E1004" s="320"/>
      <c r="F1004" s="450" t="str">
        <f>IF(OR(D1004="",E1004=""),"",ROUND(D1004/LOOKUP(E1004,SMMLV!$A$2:$A$36,SMMLV!$D$2:$D$100),3))</f>
        <v/>
      </c>
      <c r="K1004" s="782"/>
      <c r="L1004" s="444">
        <v>9</v>
      </c>
      <c r="M1004" s="781" t="str">
        <f t="shared" si="97"/>
        <v>NO APLICA</v>
      </c>
      <c r="N1004" s="781"/>
    </row>
    <row r="1005" spans="2:14">
      <c r="B1005" s="319"/>
      <c r="C1005" s="319"/>
      <c r="D1005" s="448"/>
      <c r="E1005" s="320"/>
      <c r="F1005" s="450" t="str">
        <f>IF(OR(D1005="",E1005=""),"",ROUND(D1005/LOOKUP(E1005,SMMLV!$A$2:$A$36,SMMLV!$D$2:$D$100),3))</f>
        <v/>
      </c>
      <c r="K1005" s="782"/>
      <c r="L1005" s="444">
        <v>10</v>
      </c>
      <c r="M1005" s="781" t="str">
        <f t="shared" si="97"/>
        <v>NO APLICA</v>
      </c>
      <c r="N1005" s="781"/>
    </row>
    <row r="1006" spans="2:14">
      <c r="B1006" s="319"/>
      <c r="C1006" s="319"/>
      <c r="D1006" s="448"/>
      <c r="E1006" s="320"/>
      <c r="F1006" s="450" t="str">
        <f>IF(OR(D1006="",E1006=""),"",ROUND(D1006/LOOKUP(E1006,SMMLV!$A$2:$A$36,SMMLV!$D$2:$D$100),3))</f>
        <v/>
      </c>
    </row>
    <row r="1007" spans="2:14">
      <c r="B1007" s="319"/>
      <c r="C1007" s="319"/>
      <c r="D1007" s="448"/>
      <c r="E1007" s="320"/>
      <c r="F1007" s="450" t="str">
        <f>IF(OR(D1007="",E1007=""),"",ROUND(D1007/LOOKUP(E1007,SMMLV!$A$2:$A$36,SMMLV!$D$2:$D$100),3))</f>
        <v/>
      </c>
    </row>
    <row r="1008" spans="2:14">
      <c r="B1008" s="319"/>
      <c r="C1008" s="319"/>
      <c r="D1008" s="448"/>
      <c r="E1008" s="320"/>
      <c r="F1008" s="450" t="str">
        <f>IF(OR(D1008="",E1008=""),"",ROUND(D1008/LOOKUP(E1008,SMMLV!$A$2:$A$36,SMMLV!$D$2:$D$100),3))</f>
        <v/>
      </c>
    </row>
    <row r="1009" spans="2:6">
      <c r="B1009" s="319"/>
      <c r="C1009" s="319"/>
      <c r="D1009" s="448"/>
      <c r="E1009" s="320"/>
      <c r="F1009" s="450" t="str">
        <f>IF(OR(D1009="",E1009=""),"",ROUND(D1009/LOOKUP(E1009,SMMLV!$A$2:$A$36,SMMLV!$D$2:$D$100),3))</f>
        <v/>
      </c>
    </row>
    <row r="1010" spans="2:6">
      <c r="B1010" s="319"/>
      <c r="C1010" s="319"/>
      <c r="D1010" s="448"/>
      <c r="E1010" s="320"/>
      <c r="F1010" s="450" t="str">
        <f>IF(OR(D1010="",E1010=""),"",ROUND(D1010/LOOKUP(E1010,SMMLV!$A$2:$A$36,SMMLV!$D$2:$D$100),3))</f>
        <v/>
      </c>
    </row>
    <row r="1011" spans="2:6">
      <c r="B1011" s="319"/>
      <c r="C1011" s="319"/>
      <c r="D1011" s="448"/>
      <c r="E1011" s="320"/>
      <c r="F1011" s="450" t="str">
        <f>IF(OR(D1011="",E1011=""),"",ROUND(D1011/LOOKUP(E1011,SMMLV!$A$2:$A$36,SMMLV!$D$2:$D$100),3))</f>
        <v/>
      </c>
    </row>
    <row r="1012" spans="2:6">
      <c r="B1012" s="319"/>
      <c r="C1012" s="319"/>
      <c r="D1012" s="448"/>
      <c r="E1012" s="320"/>
      <c r="F1012" s="450" t="str">
        <f>IF(OR(D1012="",E1012=""),"",ROUND(D1012/LOOKUP(E1012,SMMLV!$A$2:$A$36,SMMLV!$D$2:$D$100),3))</f>
        <v/>
      </c>
    </row>
    <row r="1013" spans="2:6">
      <c r="B1013" s="319"/>
      <c r="C1013" s="319"/>
      <c r="D1013" s="448"/>
      <c r="E1013" s="320"/>
      <c r="F1013" s="450" t="str">
        <f>IF(OR(D1013="",E1013=""),"",ROUND(D1013/LOOKUP(E1013,SMMLV!$A$2:$A$36,SMMLV!$D$2:$D$100),3))</f>
        <v/>
      </c>
    </row>
    <row r="1014" spans="2:6">
      <c r="B1014" s="319"/>
      <c r="C1014" s="319"/>
      <c r="D1014" s="448"/>
      <c r="E1014" s="320"/>
      <c r="F1014" s="450" t="str">
        <f>IF(OR(D1014="",E1014=""),"",ROUND(D1014/LOOKUP(E1014,SMMLV!$A$2:$A$36,SMMLV!$D$2:$D$100),3))</f>
        <v/>
      </c>
    </row>
    <row r="1015" spans="2:6">
      <c r="B1015" s="319"/>
      <c r="C1015" s="319"/>
      <c r="D1015" s="448"/>
      <c r="E1015" s="320"/>
      <c r="F1015" s="450" t="str">
        <f>IF(OR(D1015="",E1015=""),"",ROUND(D1015/LOOKUP(E1015,SMMLV!$A$2:$A$36,SMMLV!$D$2:$D$100),3))</f>
        <v/>
      </c>
    </row>
    <row r="1016" spans="2:6">
      <c r="B1016" s="319"/>
      <c r="C1016" s="319"/>
      <c r="D1016" s="448"/>
      <c r="E1016" s="320"/>
      <c r="F1016" s="450" t="str">
        <f>IF(OR(D1016="",E1016=""),"",ROUND(D1016/LOOKUP(E1016,SMMLV!$A$2:$A$36,SMMLV!$D$2:$D$100),3))</f>
        <v/>
      </c>
    </row>
    <row r="1017" spans="2:6">
      <c r="B1017" s="319"/>
      <c r="C1017" s="319"/>
      <c r="D1017" s="448"/>
      <c r="E1017" s="320"/>
      <c r="F1017" s="450" t="str">
        <f>IF(OR(D1017="",E1017=""),"",ROUND(D1017/LOOKUP(E1017,SMMLV!$A$2:$A$36,SMMLV!$D$2:$D$100),3))</f>
        <v/>
      </c>
    </row>
    <row r="1018" spans="2:6">
      <c r="B1018" s="319"/>
      <c r="C1018" s="319"/>
      <c r="D1018" s="448"/>
      <c r="E1018" s="320"/>
      <c r="F1018" s="450" t="str">
        <f>IF(OR(D1018="",E1018=""),"",ROUND(D1018/LOOKUP(E1018,SMMLV!$A$2:$A$36,SMMLV!$D$2:$D$100),3))</f>
        <v/>
      </c>
    </row>
    <row r="1019" spans="2:6">
      <c r="B1019" s="319"/>
      <c r="C1019" s="319"/>
      <c r="D1019" s="448"/>
      <c r="E1019" s="320"/>
      <c r="F1019" s="450" t="str">
        <f>IF(OR(D1019="",E1019=""),"",ROUND(D1019/LOOKUP(E1019,SMMLV!$A$2:$A$36,SMMLV!$D$2:$D$100),3))</f>
        <v/>
      </c>
    </row>
    <row r="1020" spans="2:6">
      <c r="B1020" s="319"/>
      <c r="C1020" s="319"/>
      <c r="D1020" s="448"/>
      <c r="E1020" s="320"/>
      <c r="F1020" s="450" t="str">
        <f>IF(OR(D1020="",E1020=""),"",ROUND(D1020/LOOKUP(E1020,SMMLV!$A$2:$A$36,SMMLV!$D$2:$D$100),3))</f>
        <v/>
      </c>
    </row>
    <row r="1021" spans="2:6">
      <c r="B1021" s="319"/>
      <c r="C1021" s="319"/>
      <c r="D1021" s="448"/>
      <c r="E1021" s="320"/>
      <c r="F1021" s="450" t="str">
        <f>IF(OR(D1021="",E1021=""),"",ROUND(D1021/LOOKUP(E1021,SMMLV!$A$2:$A$36,SMMLV!$D$2:$D$100),3))</f>
        <v/>
      </c>
    </row>
    <row r="1022" spans="2:6">
      <c r="B1022" s="319"/>
      <c r="C1022" s="319"/>
      <c r="D1022" s="448"/>
      <c r="E1022" s="320"/>
      <c r="F1022" s="450" t="str">
        <f>IF(OR(D1022="",E1022=""),"",ROUND(D1022/LOOKUP(E1022,SMMLV!$A$2:$A$36,SMMLV!$D$2:$D$100),3))</f>
        <v/>
      </c>
    </row>
    <row r="1023" spans="2:6">
      <c r="B1023" s="319"/>
      <c r="C1023" s="319"/>
      <c r="D1023" s="448"/>
      <c r="E1023" s="320"/>
      <c r="F1023" s="450" t="str">
        <f>IF(OR(D1023="",E1023=""),"",ROUND(D1023/LOOKUP(E1023,SMMLV!$A$2:$A$36,SMMLV!$D$2:$D$100),3))</f>
        <v/>
      </c>
    </row>
    <row r="1024" spans="2:6">
      <c r="B1024" s="319"/>
      <c r="C1024" s="319"/>
      <c r="D1024" s="448"/>
      <c r="E1024" s="320"/>
      <c r="F1024" s="450" t="str">
        <f>IF(OR(D1024="",E1024=""),"",ROUND(D1024/LOOKUP(E1024,SMMLV!$A$2:$A$36,SMMLV!$D$2:$D$100),3))</f>
        <v/>
      </c>
    </row>
    <row r="1025" spans="2:6">
      <c r="B1025" s="319"/>
      <c r="C1025" s="319"/>
      <c r="D1025" s="448"/>
      <c r="E1025" s="320"/>
      <c r="F1025" s="450" t="str">
        <f>IF(OR(D1025="",E1025=""),"",ROUND(D1025/LOOKUP(E1025,SMMLV!$A$2:$A$36,SMMLV!$D$2:$D$100),3))</f>
        <v/>
      </c>
    </row>
    <row r="1026" spans="2:6">
      <c r="B1026" s="319"/>
      <c r="C1026" s="319"/>
      <c r="D1026" s="448"/>
      <c r="E1026" s="320"/>
      <c r="F1026" s="450" t="str">
        <f>IF(OR(D1026="",E1026=""),"",ROUND(D1026/LOOKUP(E1026,SMMLV!$A$2:$A$36,SMMLV!$D$2:$D$100),3))</f>
        <v/>
      </c>
    </row>
    <row r="1027" spans="2:6">
      <c r="B1027" s="319"/>
      <c r="C1027" s="319"/>
      <c r="D1027" s="448"/>
      <c r="E1027" s="320"/>
      <c r="F1027" s="450" t="str">
        <f>IF(OR(D1027="",E1027=""),"",ROUND(D1027/LOOKUP(E1027,SMMLV!$A$2:$A$36,SMMLV!$D$2:$D$100),3))</f>
        <v/>
      </c>
    </row>
    <row r="1028" spans="2:6">
      <c r="B1028" s="319"/>
      <c r="C1028" s="319"/>
      <c r="D1028" s="448"/>
      <c r="E1028" s="320"/>
      <c r="F1028" s="450" t="str">
        <f>IF(OR(D1028="",E1028=""),"",ROUND(D1028/LOOKUP(E1028,SMMLV!$A$2:$A$36,SMMLV!$D$2:$D$100),3))</f>
        <v/>
      </c>
    </row>
    <row r="1029" spans="2:6">
      <c r="B1029" s="319"/>
      <c r="C1029" s="319"/>
      <c r="D1029" s="448"/>
      <c r="E1029" s="320"/>
      <c r="F1029" s="450" t="str">
        <f>IF(OR(D1029="",E1029=""),"",ROUND(D1029/LOOKUP(E1029,SMMLV!$A$2:$A$36,SMMLV!$D$2:$D$100),3))</f>
        <v/>
      </c>
    </row>
    <row r="1030" spans="2:6">
      <c r="B1030" s="319"/>
      <c r="C1030" s="319"/>
      <c r="D1030" s="448"/>
      <c r="E1030" s="320"/>
      <c r="F1030" s="450" t="str">
        <f>IF(OR(D1030="",E1030=""),"",ROUND(D1030/LOOKUP(E1030,SMMLV!$A$2:$A$36,SMMLV!$D$2:$D$100),3))</f>
        <v/>
      </c>
    </row>
    <row r="1031" spans="2:6">
      <c r="B1031" s="319"/>
      <c r="C1031" s="319"/>
      <c r="D1031" s="448"/>
      <c r="E1031" s="320"/>
      <c r="F1031" s="450" t="str">
        <f>IF(OR(D1031="",E1031=""),"",ROUND(D1031/LOOKUP(E1031,SMMLV!$A$2:$A$36,SMMLV!$D$2:$D$100),3))</f>
        <v/>
      </c>
    </row>
    <row r="1032" spans="2:6">
      <c r="B1032" s="319"/>
      <c r="C1032" s="319"/>
      <c r="D1032" s="448"/>
      <c r="E1032" s="320"/>
      <c r="F1032" s="450" t="str">
        <f>IF(OR(D1032="",E1032=""),"",ROUND(D1032/LOOKUP(E1032,SMMLV!$A$2:$A$36,SMMLV!$D$2:$D$100),3))</f>
        <v/>
      </c>
    </row>
    <row r="1033" spans="2:6">
      <c r="B1033" s="319"/>
      <c r="C1033" s="319"/>
      <c r="D1033" s="448"/>
      <c r="E1033" s="320"/>
      <c r="F1033" s="450" t="str">
        <f>IF(OR(D1033="",E1033=""),"",ROUND(D1033/LOOKUP(E1033,SMMLV!$A$2:$A$36,SMMLV!$D$2:$D$100),3))</f>
        <v/>
      </c>
    </row>
    <row r="1034" spans="2:6">
      <c r="B1034" s="319"/>
      <c r="C1034" s="319"/>
      <c r="D1034" s="448"/>
      <c r="E1034" s="320"/>
      <c r="F1034" s="450" t="str">
        <f>IF(OR(D1034="",E1034=""),"",ROUND(D1034/LOOKUP(E1034,SMMLV!$A$2:$A$36,SMMLV!$D$2:$D$100),3))</f>
        <v/>
      </c>
    </row>
    <row r="1035" spans="2:6">
      <c r="B1035" s="319"/>
      <c r="C1035" s="319"/>
      <c r="D1035" s="448"/>
      <c r="E1035" s="320"/>
      <c r="F1035" s="450" t="str">
        <f>IF(OR(D1035="",E1035=""),"",ROUND(D1035/LOOKUP(E1035,SMMLV!$A$2:$A$36,SMMLV!$D$2:$D$100),3))</f>
        <v/>
      </c>
    </row>
    <row r="1036" spans="2:6">
      <c r="B1036" s="319"/>
      <c r="C1036" s="319"/>
      <c r="D1036" s="448"/>
      <c r="E1036" s="320"/>
      <c r="F1036" s="450" t="str">
        <f>IF(OR(D1036="",E1036=""),"",ROUND(D1036/LOOKUP(E1036,SMMLV!$A$2:$A$36,SMMLV!$D$2:$D$100),3))</f>
        <v/>
      </c>
    </row>
    <row r="1037" spans="2:6">
      <c r="B1037" s="319"/>
      <c r="C1037" s="319"/>
      <c r="D1037" s="448"/>
      <c r="E1037" s="320"/>
      <c r="F1037" s="450" t="str">
        <f>IF(OR(D1037="",E1037=""),"",ROUND(D1037/LOOKUP(E1037,SMMLV!$A$2:$A$36,SMMLV!$D$2:$D$100),3))</f>
        <v/>
      </c>
    </row>
    <row r="1038" spans="2:6">
      <c r="B1038" s="319"/>
      <c r="C1038" s="319"/>
      <c r="D1038" s="448"/>
      <c r="E1038" s="320"/>
      <c r="F1038" s="450" t="str">
        <f>IF(OR(D1038="",E1038=""),"",ROUND(D1038/LOOKUP(E1038,SMMLV!$A$2:$A$36,SMMLV!$D$2:$D$100),3))</f>
        <v/>
      </c>
    </row>
    <row r="1039" spans="2:6">
      <c r="B1039" s="319"/>
      <c r="C1039" s="319"/>
      <c r="D1039" s="448"/>
      <c r="E1039" s="320"/>
      <c r="F1039" s="450" t="str">
        <f>IF(OR(D1039="",E1039=""),"",ROUND(D1039/LOOKUP(E1039,SMMLV!$A$2:$A$36,SMMLV!$D$2:$D$100),3))</f>
        <v/>
      </c>
    </row>
    <row r="1040" spans="2:6">
      <c r="B1040" s="319"/>
      <c r="C1040" s="319"/>
      <c r="D1040" s="448"/>
      <c r="E1040" s="320"/>
      <c r="F1040" s="450" t="str">
        <f>IF(OR(D1040="",E1040=""),"",ROUND(D1040/LOOKUP(E1040,SMMLV!$A$2:$A$36,SMMLV!$D$2:$D$100),3))</f>
        <v/>
      </c>
    </row>
    <row r="1041" spans="2:6">
      <c r="B1041" s="319"/>
      <c r="C1041" s="319"/>
      <c r="D1041" s="448"/>
      <c r="E1041" s="320"/>
      <c r="F1041" s="450" t="str">
        <f>IF(OR(D1041="",E1041=""),"",ROUND(D1041/LOOKUP(E1041,SMMLV!$A$2:$A$36,SMMLV!$D$2:$D$100),3))</f>
        <v/>
      </c>
    </row>
    <row r="1042" spans="2:6">
      <c r="B1042" s="319"/>
      <c r="C1042" s="319"/>
      <c r="D1042" s="448"/>
      <c r="E1042" s="320"/>
      <c r="F1042" s="450" t="str">
        <f>IF(OR(D1042="",E1042=""),"",ROUND(D1042/LOOKUP(E1042,SMMLV!$A$2:$A$36,SMMLV!$D$2:$D$100),3))</f>
        <v/>
      </c>
    </row>
    <row r="1043" spans="2:6">
      <c r="B1043" s="319"/>
      <c r="C1043" s="319"/>
      <c r="D1043" s="448"/>
      <c r="E1043" s="320"/>
      <c r="F1043" s="450" t="str">
        <f>IF(OR(D1043="",E1043=""),"",ROUND(D1043/LOOKUP(E1043,SMMLV!$A$2:$A$36,SMMLV!$D$2:$D$100),3))</f>
        <v/>
      </c>
    </row>
    <row r="1044" spans="2:6">
      <c r="B1044" s="319"/>
      <c r="C1044" s="319"/>
      <c r="D1044" s="448"/>
      <c r="E1044" s="320"/>
      <c r="F1044" s="450" t="str">
        <f>IF(OR(D1044="",E1044=""),"",ROUND(D1044/LOOKUP(E1044,SMMLV!$A$2:$A$36,SMMLV!$D$2:$D$100),3))</f>
        <v/>
      </c>
    </row>
    <row r="1045" spans="2:6">
      <c r="B1045" s="319"/>
      <c r="C1045" s="319"/>
      <c r="D1045" s="448"/>
      <c r="E1045" s="320"/>
      <c r="F1045" s="450" t="str">
        <f>IF(OR(D1045="",E1045=""),"",ROUND(D1045/LOOKUP(E1045,SMMLV!$A$2:$A$36,SMMLV!$D$2:$D$100),3))</f>
        <v/>
      </c>
    </row>
    <row r="1046" spans="2:6">
      <c r="B1046" s="319"/>
      <c r="C1046" s="319"/>
      <c r="D1046" s="448"/>
      <c r="E1046" s="320"/>
      <c r="F1046" s="450" t="str">
        <f>IF(OR(D1046="",E1046=""),"",ROUND(D1046/LOOKUP(E1046,SMMLV!$A$2:$A$36,SMMLV!$D$2:$D$100),3))</f>
        <v/>
      </c>
    </row>
    <row r="1047" spans="2:6">
      <c r="B1047" s="319"/>
      <c r="C1047" s="319"/>
      <c r="D1047" s="448"/>
      <c r="E1047" s="320"/>
      <c r="F1047" s="450" t="str">
        <f>IF(OR(D1047="",E1047=""),"",ROUND(D1047/LOOKUP(E1047,SMMLV!$A$2:$A$36,SMMLV!$D$2:$D$100),3))</f>
        <v/>
      </c>
    </row>
    <row r="1048" spans="2:6">
      <c r="B1048" s="319"/>
      <c r="C1048" s="319"/>
      <c r="D1048" s="448"/>
      <c r="E1048" s="320"/>
      <c r="F1048" s="450" t="str">
        <f>IF(OR(D1048="",E1048=""),"",ROUND(D1048/LOOKUP(E1048,SMMLV!$A$2:$A$36,SMMLV!$D$2:$D$100),3))</f>
        <v/>
      </c>
    </row>
    <row r="1049" spans="2:6">
      <c r="B1049" s="319"/>
      <c r="C1049" s="319"/>
      <c r="D1049" s="448"/>
      <c r="E1049" s="320"/>
      <c r="F1049" s="450" t="str">
        <f>IF(OR(D1049="",E1049=""),"",ROUND(D1049/LOOKUP(E1049,SMMLV!$A$2:$A$36,SMMLV!$D$2:$D$100),3))</f>
        <v/>
      </c>
    </row>
    <row r="1050" spans="2:6">
      <c r="B1050" s="319"/>
      <c r="C1050" s="319"/>
      <c r="D1050" s="448"/>
      <c r="E1050" s="320"/>
      <c r="F1050" s="450" t="str">
        <f>IF(OR(D1050="",E1050=""),"",ROUND(D1050/LOOKUP(E1050,SMMLV!$A$2:$A$36,SMMLV!$D$2:$D$100),3))</f>
        <v/>
      </c>
    </row>
    <row r="1051" spans="2:6">
      <c r="B1051" s="319"/>
      <c r="C1051" s="319"/>
      <c r="D1051" s="448"/>
      <c r="E1051" s="320"/>
      <c r="F1051" s="450" t="str">
        <f>IF(OR(D1051="",E1051=""),"",ROUND(D1051/LOOKUP(E1051,SMMLV!$A$2:$A$36,SMMLV!$D$2:$D$100),3))</f>
        <v/>
      </c>
    </row>
    <row r="1052" spans="2:6">
      <c r="B1052" s="319"/>
      <c r="C1052" s="319"/>
      <c r="D1052" s="448"/>
      <c r="E1052" s="320"/>
      <c r="F1052" s="450" t="str">
        <f>IF(OR(D1052="",E1052=""),"",ROUND(D1052/LOOKUP(E1052,SMMLV!$A$2:$A$36,SMMLV!$D$2:$D$100),3))</f>
        <v/>
      </c>
    </row>
    <row r="1053" spans="2:6">
      <c r="B1053" s="319"/>
      <c r="C1053" s="319"/>
      <c r="D1053" s="448"/>
      <c r="E1053" s="320"/>
      <c r="F1053" s="450" t="str">
        <f>IF(OR(D1053="",E1053=""),"",ROUND(D1053/LOOKUP(E1053,SMMLV!$A$2:$A$36,SMMLV!$D$2:$D$100),3))</f>
        <v/>
      </c>
    </row>
    <row r="1054" spans="2:6">
      <c r="B1054" s="319"/>
      <c r="C1054" s="319"/>
      <c r="D1054" s="448"/>
      <c r="E1054" s="320"/>
      <c r="F1054" s="450" t="str">
        <f>IF(OR(D1054="",E1054=""),"",ROUND(D1054/LOOKUP(E1054,SMMLV!$A$2:$A$36,SMMLV!$D$2:$D$100),3))</f>
        <v/>
      </c>
    </row>
    <row r="1055" spans="2:6">
      <c r="B1055" s="319"/>
      <c r="C1055" s="319"/>
      <c r="D1055" s="448"/>
      <c r="E1055" s="320"/>
      <c r="F1055" s="450" t="str">
        <f>IF(OR(D1055="",E1055=""),"",ROUND(D1055/LOOKUP(E1055,SMMLV!$A$2:$A$36,SMMLV!$D$2:$D$100),3))</f>
        <v/>
      </c>
    </row>
    <row r="1056" spans="2:6">
      <c r="B1056" s="319"/>
      <c r="C1056" s="319"/>
      <c r="D1056" s="448"/>
      <c r="E1056" s="320"/>
      <c r="F1056" s="450" t="str">
        <f>IF(OR(D1056="",E1056=""),"",ROUND(D1056/LOOKUP(E1056,SMMLV!$A$2:$A$36,SMMLV!$D$2:$D$100),3))</f>
        <v/>
      </c>
    </row>
    <row r="1057" spans="2:6">
      <c r="B1057" s="319"/>
      <c r="C1057" s="319"/>
      <c r="D1057" s="448"/>
      <c r="E1057" s="320"/>
      <c r="F1057" s="450" t="str">
        <f>IF(OR(D1057="",E1057=""),"",ROUND(D1057/LOOKUP(E1057,SMMLV!$A$2:$A$36,SMMLV!$D$2:$D$100),3))</f>
        <v/>
      </c>
    </row>
    <row r="1058" spans="2:6">
      <c r="B1058" s="319"/>
      <c r="C1058" s="319"/>
      <c r="D1058" s="448"/>
      <c r="E1058" s="320"/>
      <c r="F1058" s="450" t="str">
        <f>IF(OR(D1058="",E1058=""),"",ROUND(D1058/LOOKUP(E1058,SMMLV!$A$2:$A$36,SMMLV!$D$2:$D$100),3))</f>
        <v/>
      </c>
    </row>
    <row r="1059" spans="2:6">
      <c r="B1059" s="319"/>
      <c r="C1059" s="319"/>
      <c r="D1059" s="448"/>
      <c r="E1059" s="320"/>
      <c r="F1059" s="450" t="str">
        <f>IF(OR(D1059="",E1059=""),"",ROUND(D1059/LOOKUP(E1059,SMMLV!$A$2:$A$36,SMMLV!$D$2:$D$100),3))</f>
        <v/>
      </c>
    </row>
    <row r="1060" spans="2:6">
      <c r="B1060" s="319"/>
      <c r="C1060" s="319"/>
      <c r="D1060" s="448"/>
      <c r="E1060" s="320"/>
      <c r="F1060" s="450" t="str">
        <f>IF(OR(D1060="",E1060=""),"",ROUND(D1060/LOOKUP(E1060,SMMLV!$A$2:$A$36,SMMLV!$D$2:$D$100),3))</f>
        <v/>
      </c>
    </row>
    <row r="1061" spans="2:6">
      <c r="B1061" s="319"/>
      <c r="C1061" s="319"/>
      <c r="D1061" s="448"/>
      <c r="E1061" s="320"/>
      <c r="F1061" s="450" t="str">
        <f>IF(OR(D1061="",E1061=""),"",ROUND(D1061/LOOKUP(E1061,SMMLV!$A$2:$A$36,SMMLV!$D$2:$D$100),3))</f>
        <v/>
      </c>
    </row>
    <row r="1062" spans="2:6">
      <c r="B1062" s="319"/>
      <c r="C1062" s="319"/>
      <c r="D1062" s="448"/>
      <c r="E1062" s="320"/>
      <c r="F1062" s="450" t="str">
        <f>IF(OR(D1062="",E1062=""),"",ROUND(D1062/LOOKUP(E1062,SMMLV!$A$2:$A$36,SMMLV!$D$2:$D$100),3))</f>
        <v/>
      </c>
    </row>
    <row r="1063" spans="2:6">
      <c r="B1063" s="319"/>
      <c r="C1063" s="319"/>
      <c r="D1063" s="448"/>
      <c r="E1063" s="320"/>
      <c r="F1063" s="450" t="str">
        <f>IF(OR(D1063="",E1063=""),"",ROUND(D1063/LOOKUP(E1063,SMMLV!$A$2:$A$36,SMMLV!$D$2:$D$100),3))</f>
        <v/>
      </c>
    </row>
    <row r="1064" spans="2:6">
      <c r="B1064" s="319"/>
      <c r="C1064" s="319"/>
      <c r="D1064" s="448"/>
      <c r="E1064" s="320"/>
      <c r="F1064" s="450" t="str">
        <f>IF(OR(D1064="",E1064=""),"",ROUND(D1064/LOOKUP(E1064,SMMLV!$A$2:$A$36,SMMLV!$D$2:$D$100),3))</f>
        <v/>
      </c>
    </row>
    <row r="1065" spans="2:6">
      <c r="B1065" s="319"/>
      <c r="C1065" s="319"/>
      <c r="D1065" s="448"/>
      <c r="E1065" s="320"/>
      <c r="F1065" s="450" t="str">
        <f>IF(OR(D1065="",E1065=""),"",ROUND(D1065/LOOKUP(E1065,SMMLV!$A$2:$A$36,SMMLV!$D$2:$D$100),3))</f>
        <v/>
      </c>
    </row>
    <row r="1066" spans="2:6">
      <c r="B1066" s="319"/>
      <c r="C1066" s="319"/>
      <c r="D1066" s="448"/>
      <c r="E1066" s="320"/>
      <c r="F1066" s="450" t="str">
        <f>IF(OR(D1066="",E1066=""),"",ROUND(D1066/LOOKUP(E1066,SMMLV!$A$2:$A$36,SMMLV!$D$2:$D$100),3))</f>
        <v/>
      </c>
    </row>
    <row r="1067" spans="2:6">
      <c r="B1067" s="319"/>
      <c r="C1067" s="319"/>
      <c r="D1067" s="448"/>
      <c r="E1067" s="320"/>
      <c r="F1067" s="450" t="str">
        <f>IF(OR(D1067="",E1067=""),"",ROUND(D1067/LOOKUP(E1067,SMMLV!$A$2:$A$36,SMMLV!$D$2:$D$100),3))</f>
        <v/>
      </c>
    </row>
    <row r="1068" spans="2:6">
      <c r="B1068" s="319"/>
      <c r="C1068" s="319"/>
      <c r="D1068" s="448"/>
      <c r="E1068" s="320"/>
      <c r="F1068" s="450" t="str">
        <f>IF(OR(D1068="",E1068=""),"",ROUND(D1068/LOOKUP(E1068,SMMLV!$A$2:$A$36,SMMLV!$D$2:$D$100),3))</f>
        <v/>
      </c>
    </row>
    <row r="1069" spans="2:6">
      <c r="B1069" s="319"/>
      <c r="C1069" s="319"/>
      <c r="D1069" s="448"/>
      <c r="E1069" s="320"/>
      <c r="F1069" s="450" t="str">
        <f>IF(OR(D1069="",E1069=""),"",ROUND(D1069/LOOKUP(E1069,SMMLV!$A$2:$A$36,SMMLV!$D$2:$D$100),3))</f>
        <v/>
      </c>
    </row>
    <row r="1070" spans="2:6">
      <c r="B1070" s="319"/>
      <c r="C1070" s="319"/>
      <c r="D1070" s="448"/>
      <c r="E1070" s="320"/>
      <c r="F1070" s="450" t="str">
        <f>IF(OR(D1070="",E1070=""),"",ROUND(D1070/LOOKUP(E1070,SMMLV!$A$2:$A$36,SMMLV!$D$2:$D$100),3))</f>
        <v/>
      </c>
    </row>
    <row r="1071" spans="2:6">
      <c r="B1071" s="319"/>
      <c r="C1071" s="319"/>
      <c r="D1071" s="448"/>
      <c r="E1071" s="320"/>
      <c r="F1071" s="450" t="str">
        <f>IF(OR(D1071="",E1071=""),"",ROUND(D1071/LOOKUP(E1071,SMMLV!$A$2:$A$36,SMMLV!$D$2:$D$100),3))</f>
        <v/>
      </c>
    </row>
    <row r="1072" spans="2:6">
      <c r="B1072" s="319"/>
      <c r="C1072" s="319"/>
      <c r="D1072" s="448"/>
      <c r="E1072" s="320"/>
      <c r="F1072" s="450" t="str">
        <f>IF(OR(D1072="",E1072=""),"",ROUND(D1072/LOOKUP(E1072,SMMLV!$A$2:$A$36,SMMLV!$D$2:$D$100),3))</f>
        <v/>
      </c>
    </row>
    <row r="1073" spans="2:6">
      <c r="B1073" s="319"/>
      <c r="C1073" s="319"/>
      <c r="D1073" s="448"/>
      <c r="E1073" s="320"/>
      <c r="F1073" s="450" t="str">
        <f>IF(OR(D1073="",E1073=""),"",ROUND(D1073/LOOKUP(E1073,SMMLV!$A$2:$A$36,SMMLV!$D$2:$D$100),3))</f>
        <v/>
      </c>
    </row>
    <row r="1074" spans="2:6">
      <c r="B1074" s="319"/>
      <c r="C1074" s="319"/>
      <c r="D1074" s="448"/>
      <c r="E1074" s="320"/>
      <c r="F1074" s="450" t="str">
        <f>IF(OR(D1074="",E1074=""),"",ROUND(D1074/LOOKUP(E1074,SMMLV!$A$2:$A$36,SMMLV!$D$2:$D$100),3))</f>
        <v/>
      </c>
    </row>
    <row r="1075" spans="2:6">
      <c r="B1075" s="319"/>
      <c r="C1075" s="319"/>
      <c r="D1075" s="448"/>
      <c r="E1075" s="320"/>
      <c r="F1075" s="450" t="str">
        <f>IF(OR(D1075="",E1075=""),"",ROUND(D1075/LOOKUP(E1075,SMMLV!$A$2:$A$36,SMMLV!$D$2:$D$100),3))</f>
        <v/>
      </c>
    </row>
    <row r="1076" spans="2:6">
      <c r="B1076" s="319"/>
      <c r="C1076" s="319"/>
      <c r="D1076" s="448"/>
      <c r="E1076" s="320"/>
      <c r="F1076" s="450" t="str">
        <f>IF(OR(D1076="",E1076=""),"",ROUND(D1076/LOOKUP(E1076,SMMLV!$A$2:$A$36,SMMLV!$D$2:$D$100),3))</f>
        <v/>
      </c>
    </row>
    <row r="1077" spans="2:6">
      <c r="B1077" s="319"/>
      <c r="C1077" s="319"/>
      <c r="D1077" s="448"/>
      <c r="E1077" s="320"/>
      <c r="F1077" s="450" t="str">
        <f>IF(OR(D1077="",E1077=""),"",ROUND(D1077/LOOKUP(E1077,SMMLV!$A$2:$A$36,SMMLV!$D$2:$D$100),3))</f>
        <v/>
      </c>
    </row>
    <row r="1078" spans="2:6">
      <c r="B1078" s="319"/>
      <c r="C1078" s="319"/>
      <c r="D1078" s="448"/>
      <c r="E1078" s="320"/>
      <c r="F1078" s="450" t="str">
        <f>IF(OR(D1078="",E1078=""),"",ROUND(D1078/LOOKUP(E1078,SMMLV!$A$2:$A$36,SMMLV!$D$2:$D$100),3))</f>
        <v/>
      </c>
    </row>
    <row r="1079" spans="2:6">
      <c r="B1079" s="319"/>
      <c r="C1079" s="319"/>
      <c r="D1079" s="448"/>
      <c r="E1079" s="320"/>
      <c r="F1079" s="450" t="str">
        <f>IF(OR(D1079="",E1079=""),"",ROUND(D1079/LOOKUP(E1079,SMMLV!$A$2:$A$36,SMMLV!$D$2:$D$100),3))</f>
        <v/>
      </c>
    </row>
    <row r="1080" spans="2:6">
      <c r="B1080" s="319"/>
      <c r="C1080" s="319"/>
      <c r="D1080" s="448"/>
      <c r="E1080" s="320"/>
      <c r="F1080" s="450" t="str">
        <f>IF(OR(D1080="",E1080=""),"",ROUND(D1080/LOOKUP(E1080,SMMLV!$A$2:$A$36,SMMLV!$D$2:$D$100),3))</f>
        <v/>
      </c>
    </row>
    <row r="1081" spans="2:6">
      <c r="B1081" s="319"/>
      <c r="C1081" s="319"/>
      <c r="D1081" s="448"/>
      <c r="E1081" s="320"/>
      <c r="F1081" s="450" t="str">
        <f>IF(OR(D1081="",E1081=""),"",ROUND(D1081/LOOKUP(E1081,SMMLV!$A$2:$A$36,SMMLV!$D$2:$D$100),3))</f>
        <v/>
      </c>
    </row>
    <row r="1082" spans="2:6">
      <c r="B1082" s="319"/>
      <c r="C1082" s="319"/>
      <c r="D1082" s="448"/>
      <c r="E1082" s="320"/>
      <c r="F1082" s="450" t="str">
        <f>IF(OR(D1082="",E1082=""),"",ROUND(D1082/LOOKUP(E1082,SMMLV!$A$2:$A$36,SMMLV!$D$2:$D$100),3))</f>
        <v/>
      </c>
    </row>
    <row r="1083" spans="2:6">
      <c r="B1083" s="319"/>
      <c r="C1083" s="319"/>
      <c r="D1083" s="448"/>
      <c r="E1083" s="320"/>
      <c r="F1083" s="450" t="str">
        <f>IF(OR(D1083="",E1083=""),"",ROUND(D1083/LOOKUP(E1083,SMMLV!$A$2:$A$36,SMMLV!$D$2:$D$100),3))</f>
        <v/>
      </c>
    </row>
    <row r="1084" spans="2:6">
      <c r="B1084" s="319"/>
      <c r="C1084" s="319"/>
      <c r="D1084" s="448"/>
      <c r="E1084" s="320"/>
      <c r="F1084" s="450" t="str">
        <f>IF(OR(D1084="",E1084=""),"",ROUND(D1084/LOOKUP(E1084,SMMLV!$A$2:$A$36,SMMLV!$D$2:$D$100),3))</f>
        <v/>
      </c>
    </row>
    <row r="1085" spans="2:6">
      <c r="B1085" s="319"/>
      <c r="C1085" s="319"/>
      <c r="D1085" s="448"/>
      <c r="E1085" s="320"/>
      <c r="F1085" s="450" t="str">
        <f>IF(OR(D1085="",E1085=""),"",ROUND(D1085/LOOKUP(E1085,SMMLV!$A$2:$A$36,SMMLV!$D$2:$D$100),3))</f>
        <v/>
      </c>
    </row>
    <row r="1086" spans="2:6">
      <c r="B1086" s="319"/>
      <c r="C1086" s="319"/>
      <c r="D1086" s="448"/>
      <c r="E1086" s="320"/>
      <c r="F1086" s="450" t="str">
        <f>IF(OR(D1086="",E1086=""),"",ROUND(D1086/LOOKUP(E1086,SMMLV!$A$2:$A$36,SMMLV!$D$2:$D$100),3))</f>
        <v/>
      </c>
    </row>
    <row r="1087" spans="2:6">
      <c r="B1087" s="319"/>
      <c r="C1087" s="319"/>
      <c r="D1087" s="448"/>
      <c r="E1087" s="320"/>
      <c r="F1087" s="450" t="str">
        <f>IF(OR(D1087="",E1087=""),"",ROUND(D1087/LOOKUP(E1087,SMMLV!$A$2:$A$36,SMMLV!$D$2:$D$100),3))</f>
        <v/>
      </c>
    </row>
    <row r="1088" spans="2:6">
      <c r="B1088" s="319"/>
      <c r="C1088" s="319"/>
      <c r="D1088" s="448"/>
      <c r="E1088" s="320"/>
      <c r="F1088" s="450" t="str">
        <f>IF(OR(D1088="",E1088=""),"",ROUND(D1088/LOOKUP(E1088,SMMLV!$A$2:$A$36,SMMLV!$D$2:$D$100),3))</f>
        <v/>
      </c>
    </row>
    <row r="1089" spans="2:6">
      <c r="B1089" s="319"/>
      <c r="C1089" s="319"/>
      <c r="D1089" s="448"/>
      <c r="E1089" s="320"/>
      <c r="F1089" s="450" t="str">
        <f>IF(OR(D1089="",E1089=""),"",ROUND(D1089/LOOKUP(E1089,SMMLV!$A$2:$A$36,SMMLV!$D$2:$D$100),3))</f>
        <v/>
      </c>
    </row>
    <row r="1090" spans="2:6">
      <c r="B1090" s="319"/>
      <c r="C1090" s="319"/>
      <c r="D1090" s="448"/>
      <c r="E1090" s="320"/>
      <c r="F1090" s="450" t="str">
        <f>IF(OR(D1090="",E1090=""),"",ROUND(D1090/LOOKUP(E1090,SMMLV!$A$2:$A$36,SMMLV!$D$2:$D$100),3))</f>
        <v/>
      </c>
    </row>
    <row r="1091" spans="2:6">
      <c r="B1091" s="319"/>
      <c r="C1091" s="319"/>
      <c r="D1091" s="448"/>
      <c r="E1091" s="320"/>
      <c r="F1091" s="450" t="str">
        <f>IF(OR(D1091="",E1091=""),"",ROUND(D1091/LOOKUP(E1091,SMMLV!$A$2:$A$36,SMMLV!$D$2:$D$100),3))</f>
        <v/>
      </c>
    </row>
    <row r="1092" spans="2:6">
      <c r="B1092" s="319"/>
      <c r="C1092" s="319"/>
      <c r="D1092" s="448"/>
      <c r="E1092" s="320"/>
      <c r="F1092" s="450" t="str">
        <f>IF(OR(D1092="",E1092=""),"",ROUND(D1092/LOOKUP(E1092,SMMLV!$A$2:$A$36,SMMLV!$D$2:$D$100),3))</f>
        <v/>
      </c>
    </row>
    <row r="1093" spans="2:6">
      <c r="B1093" s="319"/>
      <c r="C1093" s="319"/>
      <c r="D1093" s="448"/>
      <c r="E1093" s="320"/>
      <c r="F1093" s="450" t="str">
        <f>IF(OR(D1093="",E1093=""),"",ROUND(D1093/LOOKUP(E1093,SMMLV!$A$2:$A$36,SMMLV!$D$2:$D$100),3))</f>
        <v/>
      </c>
    </row>
    <row r="1094" spans="2:6">
      <c r="B1094" s="319"/>
      <c r="C1094" s="319"/>
      <c r="D1094" s="448"/>
      <c r="E1094" s="320"/>
      <c r="F1094" s="450" t="str">
        <f>IF(OR(D1094="",E1094=""),"",ROUND(D1094/LOOKUP(E1094,SMMLV!$A$2:$A$36,SMMLV!$D$2:$D$100),3))</f>
        <v/>
      </c>
    </row>
    <row r="1095" spans="2:6">
      <c r="B1095" s="319"/>
      <c r="C1095" s="319"/>
      <c r="D1095" s="448"/>
      <c r="E1095" s="320"/>
      <c r="F1095" s="450" t="str">
        <f>IF(OR(D1095="",E1095=""),"",ROUND(D1095/LOOKUP(E1095,SMMLV!$A$2:$A$36,SMMLV!$D$2:$D$100),3))</f>
        <v/>
      </c>
    </row>
    <row r="1096" spans="2:6">
      <c r="B1096" s="319"/>
      <c r="C1096" s="319"/>
      <c r="D1096" s="448"/>
      <c r="E1096" s="320"/>
      <c r="F1096" s="450" t="str">
        <f>IF(OR(D1096="",E1096=""),"",ROUND(D1096/LOOKUP(E1096,SMMLV!$A$2:$A$36,SMMLV!$D$2:$D$100),3))</f>
        <v/>
      </c>
    </row>
    <row r="1097" spans="2:6">
      <c r="B1097" s="319"/>
      <c r="C1097" s="319"/>
      <c r="D1097" s="448"/>
      <c r="E1097" s="320"/>
      <c r="F1097" s="450" t="str">
        <f>IF(OR(D1097="",E1097=""),"",ROUND(D1097/LOOKUP(E1097,SMMLV!$A$2:$A$36,SMMLV!$D$2:$D$100),3))</f>
        <v/>
      </c>
    </row>
    <row r="1098" spans="2:6">
      <c r="B1098" s="319"/>
      <c r="C1098" s="319"/>
      <c r="D1098" s="448"/>
      <c r="E1098" s="320"/>
      <c r="F1098" s="450" t="str">
        <f>IF(OR(D1098="",E1098=""),"",ROUND(D1098/LOOKUP(E1098,SMMLV!$A$2:$A$36,SMMLV!$D$2:$D$100),3))</f>
        <v/>
      </c>
    </row>
    <row r="1099" spans="2:6">
      <c r="B1099" s="319"/>
      <c r="C1099" s="319"/>
      <c r="D1099" s="448"/>
      <c r="E1099" s="320"/>
      <c r="F1099" s="450" t="str">
        <f>IF(OR(D1099="",E1099=""),"",ROUND(D1099/LOOKUP(E1099,SMMLV!$A$2:$A$36,SMMLV!$D$2:$D$100),3))</f>
        <v/>
      </c>
    </row>
    <row r="1100" spans="2:6">
      <c r="B1100" s="319"/>
      <c r="C1100" s="319"/>
      <c r="D1100" s="448"/>
      <c r="E1100" s="320"/>
      <c r="F1100" s="450" t="str">
        <f>IF(OR(D1100="",E1100=""),"",ROUND(D1100/LOOKUP(E1100,SMMLV!$A$2:$A$36,SMMLV!$D$2:$D$100),3))</f>
        <v/>
      </c>
    </row>
    <row r="1101" spans="2:6">
      <c r="B1101" s="319"/>
      <c r="C1101" s="319"/>
      <c r="D1101" s="448"/>
      <c r="E1101" s="320"/>
      <c r="F1101" s="450" t="str">
        <f>IF(OR(D1101="",E1101=""),"",ROUND(D1101/LOOKUP(E1101,SMMLV!$A$2:$A$36,SMMLV!$D$2:$D$100),3))</f>
        <v/>
      </c>
    </row>
    <row r="1102" spans="2:6">
      <c r="B1102" s="319"/>
      <c r="C1102" s="319"/>
      <c r="D1102" s="448"/>
      <c r="E1102" s="320"/>
      <c r="F1102" s="450" t="str">
        <f>IF(OR(D1102="",E1102=""),"",ROUND(D1102/LOOKUP(E1102,SMMLV!$A$2:$A$36,SMMLV!$D$2:$D$100),3))</f>
        <v/>
      </c>
    </row>
    <row r="1103" spans="2:6">
      <c r="B1103" s="319"/>
      <c r="C1103" s="319"/>
      <c r="D1103" s="448"/>
      <c r="E1103" s="320"/>
      <c r="F1103" s="450" t="str">
        <f>IF(OR(D1103="",E1103=""),"",ROUND(D1103/LOOKUP(E1103,SMMLV!$A$2:$A$36,SMMLV!$D$2:$D$100),3))</f>
        <v/>
      </c>
    </row>
    <row r="1104" spans="2:6">
      <c r="B1104" s="319"/>
      <c r="C1104" s="319"/>
      <c r="D1104" s="448"/>
      <c r="E1104" s="320"/>
      <c r="F1104" s="450" t="str">
        <f>IF(OR(D1104="",E1104=""),"",ROUND(D1104/LOOKUP(E1104,SMMLV!$A$2:$A$36,SMMLV!$D$2:$D$100),3))</f>
        <v/>
      </c>
    </row>
    <row r="1105" spans="2:6">
      <c r="B1105" s="319"/>
      <c r="C1105" s="319"/>
      <c r="D1105" s="448"/>
      <c r="E1105" s="320"/>
      <c r="F1105" s="450" t="str">
        <f>IF(OR(D1105="",E1105=""),"",ROUND(D1105/LOOKUP(E1105,SMMLV!$A$2:$A$36,SMMLV!$D$2:$D$100),3))</f>
        <v/>
      </c>
    </row>
    <row r="1106" spans="2:6">
      <c r="B1106" s="319"/>
      <c r="C1106" s="319"/>
      <c r="D1106" s="448"/>
      <c r="E1106" s="320"/>
      <c r="F1106" s="450" t="str">
        <f>IF(OR(D1106="",E1106=""),"",ROUND(D1106/LOOKUP(E1106,SMMLV!$A$2:$A$36,SMMLV!$D$2:$D$100),3))</f>
        <v/>
      </c>
    </row>
    <row r="1107" spans="2:6">
      <c r="B1107" s="319"/>
      <c r="C1107" s="319"/>
      <c r="D1107" s="448"/>
      <c r="E1107" s="320"/>
      <c r="F1107" s="450" t="str">
        <f>IF(OR(D1107="",E1107=""),"",ROUND(D1107/LOOKUP(E1107,SMMLV!$A$2:$A$36,SMMLV!$D$2:$D$100),3))</f>
        <v/>
      </c>
    </row>
    <row r="1108" spans="2:6">
      <c r="B1108" s="319"/>
      <c r="C1108" s="319"/>
      <c r="D1108" s="448"/>
      <c r="E1108" s="320"/>
      <c r="F1108" s="450" t="str">
        <f>IF(OR(D1108="",E1108=""),"",ROUND(D1108/LOOKUP(E1108,SMMLV!$A$2:$A$36,SMMLV!$D$2:$D$100),3))</f>
        <v/>
      </c>
    </row>
    <row r="1109" spans="2:6">
      <c r="B1109" s="319"/>
      <c r="C1109" s="319"/>
      <c r="D1109" s="448"/>
      <c r="E1109" s="320"/>
      <c r="F1109" s="450" t="str">
        <f>IF(OR(D1109="",E1109=""),"",ROUND(D1109/LOOKUP(E1109,SMMLV!$A$2:$A$36,SMMLV!$D$2:$D$100),3))</f>
        <v/>
      </c>
    </row>
    <row r="1110" spans="2:6">
      <c r="B1110" s="319"/>
      <c r="C1110" s="319"/>
      <c r="D1110" s="448"/>
      <c r="E1110" s="320"/>
      <c r="F1110" s="450" t="str">
        <f>IF(OR(D1110="",E1110=""),"",ROUND(D1110/LOOKUP(E1110,SMMLV!$A$2:$A$36,SMMLV!$D$2:$D$100),3))</f>
        <v/>
      </c>
    </row>
    <row r="1111" spans="2:6">
      <c r="B1111" s="319"/>
      <c r="C1111" s="319"/>
      <c r="D1111" s="448"/>
      <c r="E1111" s="320"/>
      <c r="F1111" s="450" t="str">
        <f>IF(OR(D1111="",E1111=""),"",ROUND(D1111/LOOKUP(E1111,SMMLV!$A$2:$A$36,SMMLV!$D$2:$D$100),3))</f>
        <v/>
      </c>
    </row>
    <row r="1112" spans="2:6">
      <c r="B1112" s="319"/>
      <c r="C1112" s="319"/>
      <c r="D1112" s="448"/>
      <c r="E1112" s="320"/>
      <c r="F1112" s="450" t="str">
        <f>IF(OR(D1112="",E1112=""),"",ROUND(D1112/LOOKUP(E1112,SMMLV!$A$2:$A$36,SMMLV!$D$2:$D$100),3))</f>
        <v/>
      </c>
    </row>
    <row r="1113" spans="2:6">
      <c r="B1113" s="319"/>
      <c r="C1113" s="319"/>
      <c r="D1113" s="448"/>
      <c r="E1113" s="320"/>
      <c r="F1113" s="450" t="str">
        <f>IF(OR(D1113="",E1113=""),"",ROUND(D1113/LOOKUP(E1113,SMMLV!$A$2:$A$36,SMMLV!$D$2:$D$100),3))</f>
        <v/>
      </c>
    </row>
    <row r="1114" spans="2:6">
      <c r="B1114" s="319"/>
      <c r="C1114" s="319"/>
      <c r="D1114" s="448"/>
      <c r="E1114" s="320"/>
      <c r="F1114" s="450" t="str">
        <f>IF(OR(D1114="",E1114=""),"",ROUND(D1114/LOOKUP(E1114,SMMLV!$A$2:$A$36,SMMLV!$D$2:$D$100),3))</f>
        <v/>
      </c>
    </row>
    <row r="1115" spans="2:6">
      <c r="B1115" s="319"/>
      <c r="C1115" s="319"/>
      <c r="D1115" s="448"/>
      <c r="E1115" s="320"/>
      <c r="F1115" s="450" t="str">
        <f>IF(OR(D1115="",E1115=""),"",ROUND(D1115/LOOKUP(E1115,SMMLV!$A$2:$A$36,SMMLV!$D$2:$D$100),3))</f>
        <v/>
      </c>
    </row>
    <row r="1116" spans="2:6">
      <c r="B1116" s="319"/>
      <c r="C1116" s="319"/>
      <c r="D1116" s="448"/>
      <c r="E1116" s="320"/>
      <c r="F1116" s="450" t="str">
        <f>IF(OR(D1116="",E1116=""),"",ROUND(D1116/LOOKUP(E1116,SMMLV!$A$2:$A$36,SMMLV!$D$2:$D$100),3))</f>
        <v/>
      </c>
    </row>
    <row r="1117" spans="2:6">
      <c r="B1117" s="319"/>
      <c r="C1117" s="319"/>
      <c r="D1117" s="448"/>
      <c r="E1117" s="320"/>
      <c r="F1117" s="450" t="str">
        <f>IF(OR(D1117="",E1117=""),"",ROUND(D1117/LOOKUP(E1117,SMMLV!$A$2:$A$36,SMMLV!$D$2:$D$100),3))</f>
        <v/>
      </c>
    </row>
    <row r="1118" spans="2:6">
      <c r="B1118" s="319"/>
      <c r="C1118" s="319"/>
      <c r="D1118" s="448"/>
      <c r="E1118" s="320"/>
      <c r="F1118" s="450" t="str">
        <f>IF(OR(D1118="",E1118=""),"",ROUND(D1118/LOOKUP(E1118,SMMLV!$A$2:$A$36,SMMLV!$D$2:$D$100),3))</f>
        <v/>
      </c>
    </row>
    <row r="1119" spans="2:6">
      <c r="B1119" s="319"/>
      <c r="C1119" s="319"/>
      <c r="D1119" s="448"/>
      <c r="E1119" s="320"/>
      <c r="F1119" s="450" t="str">
        <f>IF(OR(D1119="",E1119=""),"",ROUND(D1119/LOOKUP(E1119,SMMLV!$A$2:$A$36,SMMLV!$D$2:$D$100),3))</f>
        <v/>
      </c>
    </row>
    <row r="1120" spans="2:6">
      <c r="B1120" s="319"/>
      <c r="C1120" s="319"/>
      <c r="D1120" s="448"/>
      <c r="E1120" s="320"/>
      <c r="F1120" s="450" t="str">
        <f>IF(OR(D1120="",E1120=""),"",ROUND(D1120/LOOKUP(E1120,SMMLV!$A$2:$A$36,SMMLV!$D$2:$D$100),3))</f>
        <v/>
      </c>
    </row>
    <row r="1121" spans="2:6">
      <c r="B1121" s="319"/>
      <c r="C1121" s="319"/>
      <c r="D1121" s="448"/>
      <c r="E1121" s="320"/>
      <c r="F1121" s="450" t="str">
        <f>IF(OR(D1121="",E1121=""),"",ROUND(D1121/LOOKUP(E1121,SMMLV!$A$2:$A$36,SMMLV!$D$2:$D$100),3))</f>
        <v/>
      </c>
    </row>
    <row r="1122" spans="2:6">
      <c r="B1122" s="319"/>
      <c r="C1122" s="319"/>
      <c r="D1122" s="448"/>
      <c r="E1122" s="320"/>
      <c r="F1122" s="450" t="str">
        <f>IF(OR(D1122="",E1122=""),"",ROUND(D1122/LOOKUP(E1122,SMMLV!$A$2:$A$36,SMMLV!$D$2:$D$100),3))</f>
        <v/>
      </c>
    </row>
    <row r="1123" spans="2:6">
      <c r="B1123" s="319"/>
      <c r="C1123" s="319"/>
      <c r="D1123" s="448"/>
      <c r="E1123" s="320"/>
      <c r="F1123" s="450" t="str">
        <f>IF(OR(D1123="",E1123=""),"",ROUND(D1123/LOOKUP(E1123,SMMLV!$A$2:$A$36,SMMLV!$D$2:$D$100),3))</f>
        <v/>
      </c>
    </row>
    <row r="1124" spans="2:6">
      <c r="B1124" s="319"/>
      <c r="C1124" s="319"/>
      <c r="D1124" s="448"/>
      <c r="E1124" s="320"/>
      <c r="F1124" s="450" t="str">
        <f>IF(OR(D1124="",E1124=""),"",ROUND(D1124/LOOKUP(E1124,SMMLV!$A$2:$A$36,SMMLV!$D$2:$D$100),3))</f>
        <v/>
      </c>
    </row>
    <row r="1125" spans="2:6">
      <c r="B1125" s="319"/>
      <c r="C1125" s="319"/>
      <c r="D1125" s="448"/>
      <c r="E1125" s="320"/>
      <c r="F1125" s="450" t="str">
        <f>IF(OR(D1125="",E1125=""),"",ROUND(D1125/LOOKUP(E1125,SMMLV!$A$2:$A$36,SMMLV!$D$2:$D$100),3))</f>
        <v/>
      </c>
    </row>
    <row r="1126" spans="2:6">
      <c r="B1126" s="319"/>
      <c r="C1126" s="319"/>
      <c r="D1126" s="448"/>
      <c r="E1126" s="320"/>
      <c r="F1126" s="450" t="str">
        <f>IF(OR(D1126="",E1126=""),"",ROUND(D1126/LOOKUP(E1126,SMMLV!$A$2:$A$36,SMMLV!$D$2:$D$100),3))</f>
        <v/>
      </c>
    </row>
    <row r="1127" spans="2:6">
      <c r="B1127" s="319"/>
      <c r="C1127" s="319"/>
      <c r="D1127" s="448"/>
      <c r="E1127" s="320"/>
      <c r="F1127" s="450" t="str">
        <f>IF(OR(D1127="",E1127=""),"",ROUND(D1127/LOOKUP(E1127,SMMLV!$A$2:$A$36,SMMLV!$D$2:$D$100),3))</f>
        <v/>
      </c>
    </row>
    <row r="1128" spans="2:6">
      <c r="B1128" s="319"/>
      <c r="C1128" s="319"/>
      <c r="D1128" s="448"/>
      <c r="E1128" s="320"/>
      <c r="F1128" s="450" t="str">
        <f>IF(OR(D1128="",E1128=""),"",ROUND(D1128/LOOKUP(E1128,SMMLV!$A$2:$A$36,SMMLV!$D$2:$D$100),3))</f>
        <v/>
      </c>
    </row>
    <row r="1129" spans="2:6">
      <c r="B1129" s="319"/>
      <c r="C1129" s="319"/>
      <c r="D1129" s="448"/>
      <c r="E1129" s="320"/>
      <c r="F1129" s="450" t="str">
        <f>IF(OR(D1129="",E1129=""),"",ROUND(D1129/LOOKUP(E1129,SMMLV!$A$2:$A$36,SMMLV!$D$2:$D$100),3))</f>
        <v/>
      </c>
    </row>
    <row r="1130" spans="2:6">
      <c r="B1130" s="319"/>
      <c r="C1130" s="319"/>
      <c r="D1130" s="448"/>
      <c r="E1130" s="320"/>
      <c r="F1130" s="450" t="str">
        <f>IF(OR(D1130="",E1130=""),"",ROUND(D1130/LOOKUP(E1130,SMMLV!$A$2:$A$36,SMMLV!$D$2:$D$100),3))</f>
        <v/>
      </c>
    </row>
    <row r="1131" spans="2:6">
      <c r="B1131" s="319"/>
      <c r="C1131" s="319"/>
      <c r="D1131" s="448"/>
      <c r="E1131" s="320"/>
      <c r="F1131" s="450" t="str">
        <f>IF(OR(D1131="",E1131=""),"",ROUND(D1131/LOOKUP(E1131,SMMLV!$A$2:$A$36,SMMLV!$D$2:$D$100),3))</f>
        <v/>
      </c>
    </row>
    <row r="1132" spans="2:6">
      <c r="B1132" s="319"/>
      <c r="C1132" s="319"/>
      <c r="D1132" s="448"/>
      <c r="E1132" s="320"/>
      <c r="F1132" s="450" t="str">
        <f>IF(OR(D1132="",E1132=""),"",ROUND(D1132/LOOKUP(E1132,SMMLV!$A$2:$A$36,SMMLV!$D$2:$D$100),3))</f>
        <v/>
      </c>
    </row>
    <row r="1133" spans="2:6">
      <c r="B1133" s="319"/>
      <c r="C1133" s="319"/>
      <c r="D1133" s="448"/>
      <c r="E1133" s="320"/>
      <c r="F1133" s="450" t="str">
        <f>IF(OR(D1133="",E1133=""),"",ROUND(D1133/LOOKUP(E1133,SMMLV!$A$2:$A$36,SMMLV!$D$2:$D$100),3))</f>
        <v/>
      </c>
    </row>
    <row r="1134" spans="2:6">
      <c r="B1134" s="319"/>
      <c r="C1134" s="319"/>
      <c r="D1134" s="448"/>
      <c r="E1134" s="320"/>
      <c r="F1134" s="450" t="str">
        <f>IF(OR(D1134="",E1134=""),"",ROUND(D1134/LOOKUP(E1134,SMMLV!$A$2:$A$36,SMMLV!$D$2:$D$100),3))</f>
        <v/>
      </c>
    </row>
    <row r="1135" spans="2:6">
      <c r="B1135" s="319"/>
      <c r="C1135" s="319"/>
      <c r="D1135" s="448"/>
      <c r="E1135" s="320"/>
      <c r="F1135" s="450" t="str">
        <f>IF(OR(D1135="",E1135=""),"",ROUND(D1135/LOOKUP(E1135,SMMLV!$A$2:$A$36,SMMLV!$D$2:$D$100),3))</f>
        <v/>
      </c>
    </row>
    <row r="1136" spans="2:6">
      <c r="B1136" s="319"/>
      <c r="C1136" s="319"/>
      <c r="D1136" s="448"/>
      <c r="E1136" s="320"/>
      <c r="F1136" s="450" t="str">
        <f>IF(OR(D1136="",E1136=""),"",ROUND(D1136/LOOKUP(E1136,SMMLV!$A$2:$A$36,SMMLV!$D$2:$D$100),3))</f>
        <v/>
      </c>
    </row>
    <row r="1137" spans="2:6">
      <c r="B1137" s="319"/>
      <c r="C1137" s="319"/>
      <c r="D1137" s="448"/>
      <c r="E1137" s="320"/>
      <c r="F1137" s="450" t="str">
        <f>IF(OR(D1137="",E1137=""),"",ROUND(D1137/LOOKUP(E1137,SMMLV!$A$2:$A$36,SMMLV!$D$2:$D$100),3))</f>
        <v/>
      </c>
    </row>
    <row r="1138" spans="2:6">
      <c r="B1138" s="319"/>
      <c r="C1138" s="319"/>
      <c r="D1138" s="448"/>
      <c r="E1138" s="320"/>
      <c r="F1138" s="450" t="str">
        <f>IF(OR(D1138="",E1138=""),"",ROUND(D1138/LOOKUP(E1138,SMMLV!$A$2:$A$36,SMMLV!$D$2:$D$100),3))</f>
        <v/>
      </c>
    </row>
    <row r="1139" spans="2:6">
      <c r="B1139" s="319"/>
      <c r="C1139" s="319"/>
      <c r="D1139" s="448"/>
      <c r="E1139" s="320"/>
      <c r="F1139" s="450" t="str">
        <f>IF(OR(D1139="",E1139=""),"",ROUND(D1139/LOOKUP(E1139,SMMLV!$A$2:$A$36,SMMLV!$D$2:$D$100),3))</f>
        <v/>
      </c>
    </row>
    <row r="1140" spans="2:6">
      <c r="B1140" s="319"/>
      <c r="C1140" s="319"/>
      <c r="D1140" s="448"/>
      <c r="E1140" s="320"/>
      <c r="F1140" s="450" t="str">
        <f>IF(OR(D1140="",E1140=""),"",ROUND(D1140/LOOKUP(E1140,SMMLV!$A$2:$A$36,SMMLV!$D$2:$D$100),3))</f>
        <v/>
      </c>
    </row>
    <row r="1141" spans="2:6">
      <c r="B1141" s="319"/>
      <c r="C1141" s="319"/>
      <c r="D1141" s="448"/>
      <c r="E1141" s="320"/>
      <c r="F1141" s="450" t="str">
        <f>IF(OR(D1141="",E1141=""),"",ROUND(D1141/LOOKUP(E1141,SMMLV!$A$2:$A$36,SMMLV!$D$2:$D$100),3))</f>
        <v/>
      </c>
    </row>
    <row r="1142" spans="2:6">
      <c r="B1142" s="319"/>
      <c r="C1142" s="319"/>
      <c r="D1142" s="448"/>
      <c r="E1142" s="320"/>
      <c r="F1142" s="450" t="str">
        <f>IF(OR(D1142="",E1142=""),"",ROUND(D1142/LOOKUP(E1142,SMMLV!$A$2:$A$36,SMMLV!$D$2:$D$100),3))</f>
        <v/>
      </c>
    </row>
    <row r="1143" spans="2:6">
      <c r="B1143" s="319"/>
      <c r="C1143" s="319"/>
      <c r="D1143" s="448"/>
      <c r="E1143" s="320"/>
      <c r="F1143" s="450" t="str">
        <f>IF(OR(D1143="",E1143=""),"",ROUND(D1143/LOOKUP(E1143,SMMLV!$A$2:$A$36,SMMLV!$D$2:$D$100),3))</f>
        <v/>
      </c>
    </row>
    <row r="1144" spans="2:6">
      <c r="B1144" s="319"/>
      <c r="C1144" s="319"/>
      <c r="D1144" s="448"/>
      <c r="E1144" s="320"/>
      <c r="F1144" s="450" t="str">
        <f>IF(OR(D1144="",E1144=""),"",ROUND(D1144/LOOKUP(E1144,SMMLV!$A$2:$A$36,SMMLV!$D$2:$D$100),3))</f>
        <v/>
      </c>
    </row>
    <row r="1145" spans="2:6">
      <c r="B1145" s="319"/>
      <c r="C1145" s="319"/>
      <c r="D1145" s="448"/>
      <c r="E1145" s="320"/>
      <c r="F1145" s="450" t="str">
        <f>IF(OR(D1145="",E1145=""),"",ROUND(D1145/LOOKUP(E1145,SMMLV!$A$2:$A$36,SMMLV!$D$2:$D$100),3))</f>
        <v/>
      </c>
    </row>
    <row r="1146" spans="2:6">
      <c r="B1146" s="319"/>
      <c r="C1146" s="319"/>
      <c r="D1146" s="448"/>
      <c r="E1146" s="320"/>
      <c r="F1146" s="450" t="str">
        <f>IF(OR(D1146="",E1146=""),"",ROUND(D1146/LOOKUP(E1146,SMMLV!$A$2:$A$36,SMMLV!$D$2:$D$100),3))</f>
        <v/>
      </c>
    </row>
    <row r="1147" spans="2:6">
      <c r="B1147" s="319"/>
      <c r="C1147" s="319"/>
      <c r="D1147" s="448"/>
      <c r="E1147" s="320"/>
      <c r="F1147" s="450" t="str">
        <f>IF(OR(D1147="",E1147=""),"",ROUND(D1147/LOOKUP(E1147,SMMLV!$A$2:$A$36,SMMLV!$D$2:$D$100),3))</f>
        <v/>
      </c>
    </row>
    <row r="1148" spans="2:6">
      <c r="B1148" s="319"/>
      <c r="C1148" s="319"/>
      <c r="D1148" s="448"/>
      <c r="E1148" s="320"/>
      <c r="F1148" s="450" t="str">
        <f>IF(OR(D1148="",E1148=""),"",ROUND(D1148/LOOKUP(E1148,SMMLV!$A$2:$A$36,SMMLV!$D$2:$D$100),3))</f>
        <v/>
      </c>
    </row>
    <row r="1149" spans="2:6">
      <c r="B1149" s="319"/>
      <c r="C1149" s="319"/>
      <c r="D1149" s="448"/>
      <c r="E1149" s="320"/>
      <c r="F1149" s="450" t="str">
        <f>IF(OR(D1149="",E1149=""),"",ROUND(D1149/LOOKUP(E1149,SMMLV!$A$2:$A$36,SMMLV!$D$2:$D$100),3))</f>
        <v/>
      </c>
    </row>
    <row r="1150" spans="2:6">
      <c r="B1150" s="319"/>
      <c r="C1150" s="319"/>
      <c r="D1150" s="448"/>
      <c r="E1150" s="320"/>
      <c r="F1150" s="450" t="str">
        <f>IF(OR(D1150="",E1150=""),"",ROUND(D1150/LOOKUP(E1150,SMMLV!$A$2:$A$36,SMMLV!$D$2:$D$100),3))</f>
        <v/>
      </c>
    </row>
    <row r="1151" spans="2:6">
      <c r="B1151" s="319"/>
      <c r="C1151" s="319"/>
      <c r="D1151" s="448"/>
      <c r="E1151" s="320"/>
      <c r="F1151" s="450" t="str">
        <f>IF(OR(D1151="",E1151=""),"",ROUND(D1151/LOOKUP(E1151,SMMLV!$A$2:$A$36,SMMLV!$D$2:$D$100),3))</f>
        <v/>
      </c>
    </row>
    <row r="1152" spans="2:6">
      <c r="B1152" s="319"/>
      <c r="C1152" s="319"/>
      <c r="D1152" s="448"/>
      <c r="E1152" s="320"/>
      <c r="F1152" s="450" t="str">
        <f>IF(OR(D1152="",E1152=""),"",ROUND(D1152/LOOKUP(E1152,SMMLV!$A$2:$A$36,SMMLV!$D$2:$D$100),3))</f>
        <v/>
      </c>
    </row>
    <row r="1153" spans="2:6">
      <c r="B1153" s="319"/>
      <c r="C1153" s="319"/>
      <c r="D1153" s="448"/>
      <c r="E1153" s="320"/>
      <c r="F1153" s="450" t="str">
        <f>IF(OR(D1153="",E1153=""),"",ROUND(D1153/LOOKUP(E1153,SMMLV!$A$2:$A$36,SMMLV!$D$2:$D$100),3))</f>
        <v/>
      </c>
    </row>
    <row r="1154" spans="2:6">
      <c r="B1154" s="319"/>
      <c r="C1154" s="319"/>
      <c r="D1154" s="448"/>
      <c r="E1154" s="320"/>
      <c r="F1154" s="450" t="str">
        <f>IF(OR(D1154="",E1154=""),"",ROUND(D1154/LOOKUP(E1154,SMMLV!$A$2:$A$36,SMMLV!$D$2:$D$100),3))</f>
        <v/>
      </c>
    </row>
    <row r="1155" spans="2:6">
      <c r="B1155" s="319"/>
      <c r="C1155" s="319"/>
      <c r="D1155" s="448"/>
      <c r="E1155" s="320"/>
      <c r="F1155" s="450" t="str">
        <f>IF(OR(D1155="",E1155=""),"",ROUND(D1155/LOOKUP(E1155,SMMLV!$A$2:$A$36,SMMLV!$D$2:$D$100),3))</f>
        <v/>
      </c>
    </row>
    <row r="1156" spans="2:6">
      <c r="B1156" s="319"/>
      <c r="C1156" s="319"/>
      <c r="D1156" s="448"/>
      <c r="E1156" s="320"/>
      <c r="F1156" s="450" t="str">
        <f>IF(OR(D1156="",E1156=""),"",ROUND(D1156/LOOKUP(E1156,SMMLV!$A$2:$A$36,SMMLV!$D$2:$D$100),3))</f>
        <v/>
      </c>
    </row>
    <row r="1157" spans="2:6">
      <c r="B1157" s="319"/>
      <c r="C1157" s="319"/>
      <c r="D1157" s="448"/>
      <c r="E1157" s="320"/>
      <c r="F1157" s="450" t="str">
        <f>IF(OR(D1157="",E1157=""),"",ROUND(D1157/LOOKUP(E1157,SMMLV!$A$2:$A$36,SMMLV!$D$2:$D$100),3))</f>
        <v/>
      </c>
    </row>
    <row r="1158" spans="2:6">
      <c r="B1158" s="319"/>
      <c r="C1158" s="319"/>
      <c r="D1158" s="448"/>
      <c r="E1158" s="320"/>
      <c r="F1158" s="450" t="str">
        <f>IF(OR(D1158="",E1158=""),"",ROUND(D1158/LOOKUP(E1158,SMMLV!$A$2:$A$36,SMMLV!$D$2:$D$100),3))</f>
        <v/>
      </c>
    </row>
    <row r="1159" spans="2:6">
      <c r="B1159" s="319"/>
      <c r="C1159" s="319"/>
      <c r="D1159" s="448"/>
      <c r="E1159" s="320"/>
      <c r="F1159" s="450" t="str">
        <f>IF(OR(D1159="",E1159=""),"",ROUND(D1159/LOOKUP(E1159,SMMLV!$A$2:$A$36,SMMLV!$D$2:$D$100),3))</f>
        <v/>
      </c>
    </row>
    <row r="1160" spans="2:6">
      <c r="B1160" s="319"/>
      <c r="C1160" s="319"/>
      <c r="D1160" s="448"/>
      <c r="E1160" s="320"/>
      <c r="F1160" s="450" t="str">
        <f>IF(OR(D1160="",E1160=""),"",ROUND(D1160/LOOKUP(E1160,SMMLV!$A$2:$A$36,SMMLV!$D$2:$D$100),3))</f>
        <v/>
      </c>
    </row>
    <row r="1161" spans="2:6">
      <c r="B1161" s="319"/>
      <c r="C1161" s="319"/>
      <c r="D1161" s="448"/>
      <c r="E1161" s="320"/>
      <c r="F1161" s="450" t="str">
        <f>IF(OR(D1161="",E1161=""),"",ROUND(D1161/LOOKUP(E1161,SMMLV!$A$2:$A$36,SMMLV!$D$2:$D$100),3))</f>
        <v/>
      </c>
    </row>
    <row r="1162" spans="2:6">
      <c r="B1162" s="319"/>
      <c r="C1162" s="319"/>
      <c r="D1162" s="448"/>
      <c r="E1162" s="320"/>
      <c r="F1162" s="450" t="str">
        <f>IF(OR(D1162="",E1162=""),"",ROUND(D1162/LOOKUP(E1162,SMMLV!$A$2:$A$36,SMMLV!$D$2:$D$100),3))</f>
        <v/>
      </c>
    </row>
    <row r="1163" spans="2:6">
      <c r="B1163" s="319"/>
      <c r="C1163" s="319"/>
      <c r="D1163" s="448"/>
      <c r="E1163" s="320"/>
      <c r="F1163" s="450" t="str">
        <f>IF(OR(D1163="",E1163=""),"",ROUND(D1163/LOOKUP(E1163,SMMLV!$A$2:$A$36,SMMLV!$D$2:$D$100),3))</f>
        <v/>
      </c>
    </row>
    <row r="1164" spans="2:6">
      <c r="B1164" s="319"/>
      <c r="C1164" s="319"/>
      <c r="D1164" s="448"/>
      <c r="E1164" s="320"/>
      <c r="F1164" s="450" t="str">
        <f>IF(OR(D1164="",E1164=""),"",ROUND(D1164/LOOKUP(E1164,SMMLV!$A$2:$A$36,SMMLV!$D$2:$D$100),3))</f>
        <v/>
      </c>
    </row>
    <row r="1165" spans="2:6">
      <c r="B1165" s="319"/>
      <c r="C1165" s="319"/>
      <c r="D1165" s="448"/>
      <c r="E1165" s="320"/>
      <c r="F1165" s="450" t="str">
        <f>IF(OR(D1165="",E1165=""),"",ROUND(D1165/LOOKUP(E1165,SMMLV!$A$2:$A$36,SMMLV!$D$2:$D$100),3))</f>
        <v/>
      </c>
    </row>
    <row r="1166" spans="2:6">
      <c r="B1166" s="319"/>
      <c r="C1166" s="319"/>
      <c r="D1166" s="448"/>
      <c r="E1166" s="320"/>
      <c r="F1166" s="450" t="str">
        <f>IF(OR(D1166="",E1166=""),"",ROUND(D1166/LOOKUP(E1166,SMMLV!$A$2:$A$36,SMMLV!$D$2:$D$100),3))</f>
        <v/>
      </c>
    </row>
    <row r="1167" spans="2:6">
      <c r="B1167" s="319"/>
      <c r="C1167" s="319"/>
      <c r="D1167" s="448"/>
      <c r="E1167" s="320"/>
      <c r="F1167" s="450" t="str">
        <f>IF(OR(D1167="",E1167=""),"",ROUND(D1167/LOOKUP(E1167,SMMLV!$A$2:$A$36,SMMLV!$D$2:$D$100),3))</f>
        <v/>
      </c>
    </row>
    <row r="1168" spans="2:6">
      <c r="B1168" s="319"/>
      <c r="C1168" s="319"/>
      <c r="D1168" s="448"/>
      <c r="E1168" s="320"/>
      <c r="F1168" s="450" t="str">
        <f>IF(OR(D1168="",E1168=""),"",ROUND(D1168/LOOKUP(E1168,SMMLV!$A$2:$A$36,SMMLV!$D$2:$D$100),3))</f>
        <v/>
      </c>
    </row>
    <row r="1169" spans="2:6">
      <c r="B1169" s="319"/>
      <c r="C1169" s="319"/>
      <c r="D1169" s="448"/>
      <c r="E1169" s="320"/>
      <c r="F1169" s="450" t="str">
        <f>IF(OR(D1169="",E1169=""),"",ROUND(D1169/LOOKUP(E1169,SMMLV!$A$2:$A$36,SMMLV!$D$2:$D$100),3))</f>
        <v/>
      </c>
    </row>
    <row r="1170" spans="2:6">
      <c r="B1170" s="319"/>
      <c r="C1170" s="319"/>
      <c r="D1170" s="448"/>
      <c r="E1170" s="320"/>
      <c r="F1170" s="450" t="str">
        <f>IF(OR(D1170="",E1170=""),"",ROUND(D1170/LOOKUP(E1170,SMMLV!$A$2:$A$36,SMMLV!$D$2:$D$100),3))</f>
        <v/>
      </c>
    </row>
    <row r="1171" spans="2:6">
      <c r="B1171" s="319"/>
      <c r="C1171" s="319"/>
      <c r="D1171" s="448"/>
      <c r="E1171" s="320"/>
      <c r="F1171" s="450" t="str">
        <f>IF(OR(D1171="",E1171=""),"",ROUND(D1171/LOOKUP(E1171,SMMLV!$A$2:$A$36,SMMLV!$D$2:$D$100),3))</f>
        <v/>
      </c>
    </row>
    <row r="1172" spans="2:6">
      <c r="B1172" s="319"/>
      <c r="C1172" s="319"/>
      <c r="D1172" s="448"/>
      <c r="E1172" s="320"/>
      <c r="F1172" s="450" t="str">
        <f>IF(OR(D1172="",E1172=""),"",ROUND(D1172/LOOKUP(E1172,SMMLV!$A$2:$A$36,SMMLV!$D$2:$D$100),3))</f>
        <v/>
      </c>
    </row>
    <row r="1173" spans="2:6">
      <c r="B1173" s="319"/>
      <c r="C1173" s="319"/>
      <c r="D1173" s="448"/>
      <c r="E1173" s="320"/>
      <c r="F1173" s="450" t="str">
        <f>IF(OR(D1173="",E1173=""),"",ROUND(D1173/LOOKUP(E1173,SMMLV!$A$2:$A$36,SMMLV!$D$2:$D$100),3))</f>
        <v/>
      </c>
    </row>
    <row r="1174" spans="2:6">
      <c r="B1174" s="319"/>
      <c r="C1174" s="319"/>
      <c r="D1174" s="448"/>
      <c r="E1174" s="320"/>
      <c r="F1174" s="450" t="str">
        <f>IF(OR(D1174="",E1174=""),"",ROUND(D1174/LOOKUP(E1174,SMMLV!$A$2:$A$36,SMMLV!$D$2:$D$100),3))</f>
        <v/>
      </c>
    </row>
    <row r="1175" spans="2:6">
      <c r="B1175" s="319"/>
      <c r="C1175" s="319"/>
      <c r="D1175" s="448"/>
      <c r="E1175" s="320"/>
      <c r="F1175" s="450" t="str">
        <f>IF(OR(D1175="",E1175=""),"",ROUND(D1175/LOOKUP(E1175,SMMLV!$A$2:$A$36,SMMLV!$D$2:$D$100),3))</f>
        <v/>
      </c>
    </row>
    <row r="1176" spans="2:6">
      <c r="B1176" s="319"/>
      <c r="C1176" s="319"/>
      <c r="D1176" s="448"/>
      <c r="E1176" s="320"/>
      <c r="F1176" s="450" t="str">
        <f>IF(OR(D1176="",E1176=""),"",ROUND(D1176/LOOKUP(E1176,SMMLV!$A$2:$A$36,SMMLV!$D$2:$D$100),3))</f>
        <v/>
      </c>
    </row>
    <row r="1177" spans="2:6">
      <c r="B1177" s="319"/>
      <c r="C1177" s="319"/>
      <c r="D1177" s="448"/>
      <c r="E1177" s="320"/>
      <c r="F1177" s="450" t="str">
        <f>IF(OR(D1177="",E1177=""),"",ROUND(D1177/LOOKUP(E1177,SMMLV!$A$2:$A$36,SMMLV!$D$2:$D$100),3))</f>
        <v/>
      </c>
    </row>
    <row r="1178" spans="2:6">
      <c r="B1178" s="319"/>
      <c r="C1178" s="319"/>
      <c r="D1178" s="448"/>
      <c r="E1178" s="320"/>
      <c r="F1178" s="450" t="str">
        <f>IF(OR(D1178="",E1178=""),"",ROUND(D1178/LOOKUP(E1178,SMMLV!$A$2:$A$36,SMMLV!$D$2:$D$100),3))</f>
        <v/>
      </c>
    </row>
    <row r="1179" spans="2:6">
      <c r="B1179" s="319"/>
      <c r="C1179" s="319"/>
      <c r="D1179" s="448"/>
      <c r="E1179" s="320"/>
      <c r="F1179" s="450" t="str">
        <f>IF(OR(D1179="",E1179=""),"",ROUND(D1179/LOOKUP(E1179,SMMLV!$A$2:$A$36,SMMLV!$D$2:$D$100),3))</f>
        <v/>
      </c>
    </row>
    <row r="1180" spans="2:6">
      <c r="B1180" s="319"/>
      <c r="C1180" s="319"/>
      <c r="D1180" s="448"/>
      <c r="E1180" s="320"/>
      <c r="F1180" s="450" t="str">
        <f>IF(OR(D1180="",E1180=""),"",ROUND(D1180/LOOKUP(E1180,SMMLV!$A$2:$A$36,SMMLV!$D$2:$D$100),3))</f>
        <v/>
      </c>
    </row>
    <row r="1181" spans="2:6">
      <c r="B1181" s="319"/>
      <c r="C1181" s="319"/>
      <c r="D1181" s="448"/>
      <c r="E1181" s="320"/>
      <c r="F1181" s="450" t="str">
        <f>IF(OR(D1181="",E1181=""),"",ROUND(D1181/LOOKUP(E1181,SMMLV!$A$2:$A$36,SMMLV!$D$2:$D$100),3))</f>
        <v/>
      </c>
    </row>
    <row r="1182" spans="2:6">
      <c r="B1182" s="319"/>
      <c r="C1182" s="319"/>
      <c r="D1182" s="448"/>
      <c r="E1182" s="320"/>
      <c r="F1182" s="450" t="str">
        <f>IF(OR(D1182="",E1182=""),"",ROUND(D1182/LOOKUP(E1182,SMMLV!$A$2:$A$36,SMMLV!$D$2:$D$100),3))</f>
        <v/>
      </c>
    </row>
    <row r="1183" spans="2:6">
      <c r="B1183" s="319"/>
      <c r="C1183" s="319"/>
      <c r="D1183" s="448"/>
      <c r="E1183" s="320"/>
      <c r="F1183" s="450" t="str">
        <f>IF(OR(D1183="",E1183=""),"",ROUND(D1183/LOOKUP(E1183,SMMLV!$A$2:$A$36,SMMLV!$D$2:$D$100),3))</f>
        <v/>
      </c>
    </row>
    <row r="1184" spans="2:6">
      <c r="B1184" s="319"/>
      <c r="C1184" s="319"/>
      <c r="D1184" s="448"/>
      <c r="E1184" s="320"/>
      <c r="F1184" s="450" t="str">
        <f>IF(OR(D1184="",E1184=""),"",ROUND(D1184/LOOKUP(E1184,SMMLV!$A$2:$A$36,SMMLV!$D$2:$D$100),3))</f>
        <v/>
      </c>
    </row>
    <row r="1185" spans="2:6">
      <c r="B1185" s="319"/>
      <c r="C1185" s="319"/>
      <c r="D1185" s="448"/>
      <c r="E1185" s="320"/>
      <c r="F1185" s="450" t="str">
        <f>IF(OR(D1185="",E1185=""),"",ROUND(D1185/LOOKUP(E1185,SMMLV!$A$2:$A$36,SMMLV!$D$2:$D$100),3))</f>
        <v/>
      </c>
    </row>
    <row r="1186" spans="2:6">
      <c r="B1186" s="319"/>
      <c r="C1186" s="319"/>
      <c r="D1186" s="448"/>
      <c r="E1186" s="320"/>
      <c r="F1186" s="450" t="str">
        <f>IF(OR(D1186="",E1186=""),"",ROUND(D1186/LOOKUP(E1186,SMMLV!$A$2:$A$36,SMMLV!$D$2:$D$100),3))</f>
        <v/>
      </c>
    </row>
    <row r="1187" spans="2:6">
      <c r="B1187" s="319"/>
      <c r="C1187" s="319"/>
      <c r="D1187" s="448"/>
      <c r="E1187" s="320"/>
      <c r="F1187" s="450" t="str">
        <f>IF(OR(D1187="",E1187=""),"",ROUND(D1187/LOOKUP(E1187,SMMLV!$A$2:$A$36,SMMLV!$D$2:$D$100),3))</f>
        <v/>
      </c>
    </row>
    <row r="1188" spans="2:6">
      <c r="B1188" s="319"/>
      <c r="C1188" s="319"/>
      <c r="D1188" s="448"/>
      <c r="E1188" s="320"/>
      <c r="F1188" s="450" t="str">
        <f>IF(OR(D1188="",E1188=""),"",ROUND(D1188/LOOKUP(E1188,SMMLV!$A$2:$A$36,SMMLV!$D$2:$D$100),3))</f>
        <v/>
      </c>
    </row>
    <row r="1189" spans="2:6">
      <c r="B1189" s="319"/>
      <c r="C1189" s="319"/>
      <c r="D1189" s="448"/>
      <c r="E1189" s="320"/>
      <c r="F1189" s="450" t="str">
        <f>IF(OR(D1189="",E1189=""),"",ROUND(D1189/LOOKUP(E1189,SMMLV!$A$2:$A$36,SMMLV!$D$2:$D$100),3))</f>
        <v/>
      </c>
    </row>
    <row r="1190" spans="2:6">
      <c r="B1190" s="319"/>
      <c r="C1190" s="319"/>
      <c r="D1190" s="448"/>
      <c r="E1190" s="320"/>
      <c r="F1190" s="450" t="str">
        <f>IF(OR(D1190="",E1190=""),"",ROUND(D1190/LOOKUP(E1190,SMMLV!$A$2:$A$36,SMMLV!$D$2:$D$100),3))</f>
        <v/>
      </c>
    </row>
    <row r="1191" spans="2:6">
      <c r="B1191" s="319"/>
      <c r="C1191" s="319"/>
      <c r="D1191" s="448"/>
      <c r="E1191" s="320"/>
      <c r="F1191" s="450" t="str">
        <f>IF(OR(D1191="",E1191=""),"",ROUND(D1191/LOOKUP(E1191,SMMLV!$A$2:$A$36,SMMLV!$D$2:$D$100),3))</f>
        <v/>
      </c>
    </row>
    <row r="1192" spans="2:6">
      <c r="B1192" s="319"/>
      <c r="C1192" s="319"/>
      <c r="D1192" s="448"/>
      <c r="E1192" s="320"/>
      <c r="F1192" s="450" t="str">
        <f>IF(OR(D1192="",E1192=""),"",ROUND(D1192/LOOKUP(E1192,SMMLV!$A$2:$A$36,SMMLV!$D$2:$D$100),3))</f>
        <v/>
      </c>
    </row>
    <row r="1193" spans="2:6">
      <c r="B1193" s="319"/>
      <c r="C1193" s="319"/>
      <c r="D1193" s="448"/>
      <c r="E1193" s="320"/>
      <c r="F1193" s="450" t="str">
        <f>IF(OR(D1193="",E1193=""),"",ROUND(D1193/LOOKUP(E1193,SMMLV!$A$2:$A$36,SMMLV!$D$2:$D$100),3))</f>
        <v/>
      </c>
    </row>
    <row r="1194" spans="2:6">
      <c r="B1194" s="319"/>
      <c r="C1194" s="319"/>
      <c r="D1194" s="448"/>
      <c r="E1194" s="320"/>
      <c r="F1194" s="450" t="str">
        <f>IF(OR(D1194="",E1194=""),"",ROUND(D1194/LOOKUP(E1194,SMMLV!$A$2:$A$36,SMMLV!$D$2:$D$100),3))</f>
        <v/>
      </c>
    </row>
    <row r="1195" spans="2:6">
      <c r="B1195" s="319"/>
      <c r="C1195" s="319"/>
      <c r="D1195" s="448"/>
      <c r="E1195" s="320"/>
      <c r="F1195" s="450" t="str">
        <f>IF(OR(D1195="",E1195=""),"",ROUND(D1195/LOOKUP(E1195,SMMLV!$A$2:$A$36,SMMLV!$D$2:$D$100),3))</f>
        <v/>
      </c>
    </row>
    <row r="1196" spans="2:6">
      <c r="B1196" s="319"/>
      <c r="C1196" s="319"/>
      <c r="D1196" s="448"/>
      <c r="E1196" s="320"/>
      <c r="F1196" s="450" t="str">
        <f>IF(OR(D1196="",E1196=""),"",ROUND(D1196/LOOKUP(E1196,SMMLV!$A$2:$A$36,SMMLV!$D$2:$D$100),3))</f>
        <v/>
      </c>
    </row>
    <row r="1197" spans="2:6">
      <c r="B1197" s="319"/>
      <c r="C1197" s="319"/>
      <c r="E1197" s="321"/>
      <c r="F1197" s="450" t="str">
        <f>IF(OR(D1197="",E1197=""),"",ROUND(D1197/LOOKUP(E1197,SMMLV!$A$2:$A$36,SMMLV!$D$2:$D$100),3))</f>
        <v/>
      </c>
    </row>
    <row r="1198" spans="2:6">
      <c r="B1198" s="319"/>
      <c r="C1198" s="319"/>
      <c r="E1198" s="321"/>
      <c r="F1198" s="450" t="str">
        <f>IF(OR(D1198="",E1198=""),"",ROUND(D1198/LOOKUP(E1198,SMMLV!$A$2:$A$36,SMMLV!$D$2:$D$100),3))</f>
        <v/>
      </c>
    </row>
    <row r="1199" spans="2:6">
      <c r="B1199" s="319"/>
      <c r="C1199" s="319"/>
      <c r="E1199" s="321"/>
      <c r="F1199" s="450" t="str">
        <f>IF(OR(D1199="",E1199=""),"",ROUND(D1199/LOOKUP(E1199,SMMLV!$A$2:$A$36,SMMLV!$D$2:$D$100),3))</f>
        <v/>
      </c>
    </row>
    <row r="1200" spans="2:6">
      <c r="B1200" s="319"/>
      <c r="C1200" s="319"/>
      <c r="E1200" s="321"/>
      <c r="F1200" s="450" t="str">
        <f>IF(OR(D1200="",E1200=""),"",ROUND(D1200/LOOKUP(E1200,SMMLV!$A$2:$A$36,SMMLV!$D$2:$D$100),3))</f>
        <v/>
      </c>
    </row>
    <row r="1201" spans="2:6">
      <c r="B1201" s="319"/>
      <c r="C1201" s="319"/>
      <c r="E1201" s="321"/>
      <c r="F1201" s="450" t="str">
        <f>IF(OR(D1201="",E1201=""),"",ROUND(D1201/LOOKUP(E1201,SMMLV!$A$2:$A$36,SMMLV!$D$2:$D$100),3))</f>
        <v/>
      </c>
    </row>
    <row r="1202" spans="2:6">
      <c r="B1202" s="319"/>
      <c r="C1202" s="319"/>
      <c r="E1202" s="321"/>
      <c r="F1202" s="450" t="str">
        <f>IF(OR(D1202="",E1202=""),"",ROUND(D1202/LOOKUP(E1202,SMMLV!$A$2:$A$36,SMMLV!$D$2:$D$100),3))</f>
        <v/>
      </c>
    </row>
    <row r="1203" spans="2:6">
      <c r="B1203" s="319"/>
      <c r="C1203" s="319"/>
      <c r="E1203" s="321"/>
      <c r="F1203" s="450" t="str">
        <f>IF(OR(D1203="",E1203=""),"",ROUND(D1203/LOOKUP(E1203,SMMLV!$A$2:$A$36,SMMLV!$D$2:$D$100),3))</f>
        <v/>
      </c>
    </row>
    <row r="1204" spans="2:6">
      <c r="B1204" s="319"/>
      <c r="C1204" s="319"/>
      <c r="E1204" s="321"/>
      <c r="F1204" s="450" t="str">
        <f>IF(OR(D1204="",E1204=""),"",ROUND(D1204/LOOKUP(E1204,SMMLV!$A$2:$A$36,SMMLV!$D$2:$D$100),3))</f>
        <v/>
      </c>
    </row>
    <row r="1205" spans="2:6">
      <c r="B1205" s="319"/>
      <c r="C1205" s="319"/>
      <c r="E1205" s="321"/>
      <c r="F1205" s="450" t="str">
        <f>IF(OR(D1205="",E1205=""),"",ROUND(D1205/LOOKUP(E1205,SMMLV!$A$2:$A$36,SMMLV!$D$2:$D$100),3))</f>
        <v/>
      </c>
    </row>
    <row r="1206" spans="2:6">
      <c r="B1206" s="319"/>
      <c r="C1206" s="319"/>
      <c r="E1206" s="321"/>
      <c r="F1206" s="450" t="str">
        <f>IF(OR(D1206="",E1206=""),"",ROUND(D1206/LOOKUP(E1206,SMMLV!$A$2:$A$36,SMMLV!$D$2:$D$100),3))</f>
        <v/>
      </c>
    </row>
    <row r="1207" spans="2:6">
      <c r="B1207" s="319"/>
      <c r="C1207" s="319"/>
      <c r="E1207" s="321"/>
      <c r="F1207" s="450" t="str">
        <f>IF(OR(D1207="",E1207=""),"",ROUND(D1207/LOOKUP(E1207,SMMLV!$A$2:$A$36,SMMLV!$D$2:$D$100),3))</f>
        <v/>
      </c>
    </row>
    <row r="1208" spans="2:6">
      <c r="B1208" s="319"/>
      <c r="C1208" s="319"/>
      <c r="E1208" s="321"/>
      <c r="F1208" s="450" t="str">
        <f>IF(OR(D1208="",E1208=""),"",ROUND(D1208/LOOKUP(E1208,SMMLV!$A$2:$A$36,SMMLV!$D$2:$D$100),3))</f>
        <v/>
      </c>
    </row>
    <row r="1209" spans="2:6">
      <c r="B1209" s="319"/>
      <c r="C1209" s="319"/>
      <c r="E1209" s="321"/>
      <c r="F1209" s="450" t="str">
        <f>IF(OR(D1209="",E1209=""),"",ROUND(D1209/LOOKUP(E1209,SMMLV!$A$2:$A$36,SMMLV!$D$2:$D$100),3))</f>
        <v/>
      </c>
    </row>
    <row r="1210" spans="2:6">
      <c r="B1210" s="319"/>
      <c r="C1210" s="319"/>
      <c r="E1210" s="321"/>
      <c r="F1210" s="450" t="str">
        <f>IF(OR(D1210="",E1210=""),"",ROUND(D1210/LOOKUP(E1210,SMMLV!$A$2:$A$36,SMMLV!$D$2:$D$100),3))</f>
        <v/>
      </c>
    </row>
    <row r="1211" spans="2:6">
      <c r="B1211" s="319"/>
      <c r="C1211" s="319"/>
      <c r="E1211" s="321"/>
      <c r="F1211" s="450" t="str">
        <f>IF(OR(D1211="",E1211=""),"",ROUND(D1211/LOOKUP(E1211,SMMLV!$A$2:$A$36,SMMLV!$D$2:$D$100),3))</f>
        <v/>
      </c>
    </row>
    <row r="1212" spans="2:6">
      <c r="B1212" s="319"/>
      <c r="C1212" s="319"/>
      <c r="E1212" s="321"/>
      <c r="F1212" s="450" t="str">
        <f>IF(OR(D1212="",E1212=""),"",ROUND(D1212/LOOKUP(E1212,SMMLV!$A$2:$A$36,SMMLV!$D$2:$D$100),3))</f>
        <v/>
      </c>
    </row>
    <row r="1213" spans="2:6">
      <c r="B1213" s="319"/>
      <c r="C1213" s="319"/>
      <c r="E1213" s="321"/>
      <c r="F1213" s="450" t="str">
        <f>IF(OR(D1213="",E1213=""),"",ROUND(D1213/LOOKUP(E1213,SMMLV!$A$2:$A$36,SMMLV!$D$2:$D$100),3))</f>
        <v/>
      </c>
    </row>
    <row r="1214" spans="2:6">
      <c r="B1214" s="319"/>
      <c r="C1214" s="319"/>
      <c r="E1214" s="321"/>
      <c r="F1214" s="450" t="str">
        <f>IF(OR(D1214="",E1214=""),"",ROUND(D1214/LOOKUP(E1214,SMMLV!$A$2:$A$36,SMMLV!$D$2:$D$100),3))</f>
        <v/>
      </c>
    </row>
    <row r="1215" spans="2:6">
      <c r="B1215" s="319"/>
      <c r="C1215" s="319"/>
      <c r="E1215" s="321"/>
      <c r="F1215" s="450" t="str">
        <f>IF(OR(D1215="",E1215=""),"",ROUND(D1215/LOOKUP(E1215,SMMLV!$A$2:$A$36,SMMLV!$D$2:$D$100),3))</f>
        <v/>
      </c>
    </row>
    <row r="1216" spans="2:6">
      <c r="B1216" s="319"/>
      <c r="C1216" s="319"/>
      <c r="E1216" s="321"/>
      <c r="F1216" s="450" t="str">
        <f>IF(OR(D1216="",E1216=""),"",ROUND(D1216/LOOKUP(E1216,SMMLV!$A$2:$A$36,SMMLV!$D$2:$D$100),3))</f>
        <v/>
      </c>
    </row>
    <row r="1217" spans="2:6">
      <c r="B1217" s="319"/>
      <c r="C1217" s="319"/>
      <c r="E1217" s="321"/>
      <c r="F1217" s="450" t="str">
        <f>IF(OR(D1217="",E1217=""),"",ROUND(D1217/LOOKUP(E1217,SMMLV!$A$2:$A$36,SMMLV!$D$2:$D$100),3))</f>
        <v/>
      </c>
    </row>
    <row r="1218" spans="2:6">
      <c r="B1218" s="319"/>
      <c r="C1218" s="319"/>
      <c r="E1218" s="321"/>
      <c r="F1218" s="450" t="str">
        <f>IF(OR(D1218="",E1218=""),"",ROUND(D1218/LOOKUP(E1218,SMMLV!$A$2:$A$36,SMMLV!$D$2:$D$100),3))</f>
        <v/>
      </c>
    </row>
    <row r="1219" spans="2:6">
      <c r="B1219" s="319"/>
      <c r="C1219" s="319"/>
      <c r="E1219" s="321"/>
      <c r="F1219" s="450" t="str">
        <f>IF(OR(D1219="",E1219=""),"",ROUND(D1219/LOOKUP(E1219,SMMLV!$A$2:$A$36,SMMLV!$D$2:$D$100),3))</f>
        <v/>
      </c>
    </row>
    <row r="1220" spans="2:6">
      <c r="B1220" s="319"/>
      <c r="C1220" s="319"/>
      <c r="E1220" s="321"/>
      <c r="F1220" s="450" t="str">
        <f>IF(OR(D1220="",E1220=""),"",ROUND(D1220/LOOKUP(E1220,SMMLV!$A$2:$A$36,SMMLV!$D$2:$D$100),3))</f>
        <v/>
      </c>
    </row>
    <row r="1221" spans="2:6">
      <c r="B1221" s="319"/>
      <c r="C1221" s="319"/>
      <c r="E1221" s="321"/>
      <c r="F1221" s="450" t="str">
        <f>IF(OR(D1221="",E1221=""),"",ROUND(D1221/LOOKUP(E1221,SMMLV!$A$2:$A$36,SMMLV!$D$2:$D$100),3))</f>
        <v/>
      </c>
    </row>
    <row r="1222" spans="2:6">
      <c r="B1222" s="319"/>
      <c r="C1222" s="319"/>
      <c r="E1222" s="321"/>
      <c r="F1222" s="450" t="str">
        <f>IF(OR(D1222="",E1222=""),"",ROUND(D1222/LOOKUP(E1222,SMMLV!$A$2:$A$36,SMMLV!$D$2:$D$100),3))</f>
        <v/>
      </c>
    </row>
    <row r="1223" spans="2:6">
      <c r="B1223" s="319"/>
      <c r="C1223" s="319"/>
      <c r="E1223" s="321"/>
      <c r="F1223" s="450" t="str">
        <f>IF(OR(D1223="",E1223=""),"",ROUND(D1223/LOOKUP(E1223,SMMLV!$A$2:$A$36,SMMLV!$D$2:$D$100),3))</f>
        <v/>
      </c>
    </row>
    <row r="1224" spans="2:6">
      <c r="B1224" s="319"/>
      <c r="C1224" s="319"/>
      <c r="E1224" s="321"/>
      <c r="F1224" s="450" t="str">
        <f>IF(OR(D1224="",E1224=""),"",ROUND(D1224/LOOKUP(E1224,SMMLV!$A$2:$A$36,SMMLV!$D$2:$D$100),3))</f>
        <v/>
      </c>
    </row>
    <row r="1225" spans="2:6">
      <c r="B1225" s="319"/>
      <c r="C1225" s="319"/>
      <c r="E1225" s="321"/>
      <c r="F1225" s="450" t="str">
        <f>IF(OR(D1225="",E1225=""),"",ROUND(D1225/LOOKUP(E1225,SMMLV!$A$2:$A$36,SMMLV!$D$2:$D$100),3))</f>
        <v/>
      </c>
    </row>
    <row r="1226" spans="2:6">
      <c r="B1226" s="319"/>
      <c r="C1226" s="319"/>
      <c r="E1226" s="321"/>
      <c r="F1226" s="450" t="str">
        <f>IF(OR(D1226="",E1226=""),"",ROUND(D1226/LOOKUP(E1226,SMMLV!$A$2:$A$36,SMMLV!$D$2:$D$100),3))</f>
        <v/>
      </c>
    </row>
    <row r="1227" spans="2:6">
      <c r="B1227" s="319"/>
      <c r="C1227" s="319"/>
      <c r="E1227" s="321"/>
      <c r="F1227" s="450" t="str">
        <f>IF(OR(D1227="",E1227=""),"",ROUND(D1227/LOOKUP(E1227,SMMLV!$A$2:$A$36,SMMLV!$D$2:$D$100),3))</f>
        <v/>
      </c>
    </row>
    <row r="1228" spans="2:6">
      <c r="B1228" s="319"/>
      <c r="C1228" s="319"/>
      <c r="E1228" s="321"/>
      <c r="F1228" s="450" t="str">
        <f>IF(OR(D1228="",E1228=""),"",ROUND(D1228/LOOKUP(E1228,SMMLV!$A$2:$A$36,SMMLV!$D$2:$D$100),3))</f>
        <v/>
      </c>
    </row>
    <row r="1229" spans="2:6">
      <c r="B1229" s="319"/>
      <c r="C1229" s="319"/>
      <c r="E1229" s="321"/>
      <c r="F1229" s="450" t="str">
        <f>IF(OR(D1229="",E1229=""),"",ROUND(D1229/LOOKUP(E1229,SMMLV!$A$2:$A$36,SMMLV!$D$2:$D$100),3))</f>
        <v/>
      </c>
    </row>
    <row r="1230" spans="2:6">
      <c r="B1230" s="319"/>
      <c r="C1230" s="319"/>
      <c r="E1230" s="321"/>
      <c r="F1230" s="450" t="str">
        <f>IF(OR(D1230="",E1230=""),"",ROUND(D1230/LOOKUP(E1230,SMMLV!$A$2:$A$36,SMMLV!$D$2:$D$100),3))</f>
        <v/>
      </c>
    </row>
    <row r="1231" spans="2:6">
      <c r="B1231" s="319"/>
      <c r="C1231" s="319"/>
      <c r="E1231" s="321"/>
      <c r="F1231" s="450" t="str">
        <f>IF(OR(D1231="",E1231=""),"",ROUND(D1231/LOOKUP(E1231,SMMLV!$A$2:$A$36,SMMLV!$D$2:$D$100),3))</f>
        <v/>
      </c>
    </row>
    <row r="1232" spans="2:6">
      <c r="B1232" s="319"/>
      <c r="C1232" s="319"/>
      <c r="E1232" s="321"/>
      <c r="F1232" s="450" t="str">
        <f>IF(OR(D1232="",E1232=""),"",ROUND(D1232/LOOKUP(E1232,SMMLV!$A$2:$A$36,SMMLV!$D$2:$D$100),3))</f>
        <v/>
      </c>
    </row>
    <row r="1233" spans="2:6">
      <c r="B1233" s="319"/>
      <c r="C1233" s="319"/>
      <c r="E1233" s="321"/>
      <c r="F1233" s="450" t="str">
        <f>IF(OR(D1233="",E1233=""),"",ROUND(D1233/LOOKUP(E1233,SMMLV!$A$2:$A$36,SMMLV!$D$2:$D$100),3))</f>
        <v/>
      </c>
    </row>
    <row r="1234" spans="2:6">
      <c r="B1234" s="319"/>
      <c r="C1234" s="319"/>
      <c r="E1234" s="321"/>
      <c r="F1234" s="450" t="str">
        <f>IF(OR(D1234="",E1234=""),"",ROUND(D1234/LOOKUP(E1234,SMMLV!$A$2:$A$36,SMMLV!$D$2:$D$100),3))</f>
        <v/>
      </c>
    </row>
    <row r="1235" spans="2:6">
      <c r="B1235" s="319"/>
      <c r="C1235" s="319"/>
      <c r="E1235" s="321"/>
      <c r="F1235" s="450" t="str">
        <f>IF(OR(D1235="",E1235=""),"",ROUND(D1235/LOOKUP(E1235,SMMLV!$A$2:$A$36,SMMLV!$D$2:$D$100),3))</f>
        <v/>
      </c>
    </row>
    <row r="1236" spans="2:6">
      <c r="B1236" s="319"/>
      <c r="C1236" s="319"/>
      <c r="E1236" s="321"/>
      <c r="F1236" s="450" t="str">
        <f>IF(OR(D1236="",E1236=""),"",ROUND(D1236/LOOKUP(E1236,SMMLV!$A$2:$A$36,SMMLV!$D$2:$D$100),3))</f>
        <v/>
      </c>
    </row>
    <row r="1237" spans="2:6">
      <c r="B1237" s="319"/>
      <c r="C1237" s="319"/>
      <c r="E1237" s="321"/>
      <c r="F1237" s="450" t="str">
        <f>IF(OR(D1237="",E1237=""),"",ROUND(D1237/LOOKUP(E1237,SMMLV!$A$2:$A$36,SMMLV!$D$2:$D$100),3))</f>
        <v/>
      </c>
    </row>
    <row r="1238" spans="2:6">
      <c r="B1238" s="319"/>
      <c r="C1238" s="319"/>
      <c r="E1238" s="321"/>
      <c r="F1238" s="450" t="str">
        <f>IF(OR(D1238="",E1238=""),"",ROUND(D1238/LOOKUP(E1238,SMMLV!$A$2:$A$36,SMMLV!$D$2:$D$100),3))</f>
        <v/>
      </c>
    </row>
    <row r="1239" spans="2:6">
      <c r="B1239" s="319"/>
      <c r="C1239" s="319"/>
      <c r="E1239" s="321"/>
      <c r="F1239" s="450" t="str">
        <f>IF(OR(D1239="",E1239=""),"",ROUND(D1239/LOOKUP(E1239,SMMLV!$A$2:$A$36,SMMLV!$D$2:$D$100),3))</f>
        <v/>
      </c>
    </row>
    <row r="1240" spans="2:6">
      <c r="B1240" s="319"/>
      <c r="C1240" s="319"/>
      <c r="E1240" s="321"/>
      <c r="F1240" s="450" t="str">
        <f>IF(OR(D1240="",E1240=""),"",ROUND(D1240/LOOKUP(E1240,SMMLV!$A$2:$A$36,SMMLV!$D$2:$D$100),3))</f>
        <v/>
      </c>
    </row>
    <row r="1241" spans="2:6">
      <c r="B1241" s="319"/>
      <c r="C1241" s="319"/>
      <c r="E1241" s="321"/>
      <c r="F1241" s="450" t="str">
        <f>IF(OR(D1241="",E1241=""),"",ROUND(D1241/LOOKUP(E1241,SMMLV!$A$2:$A$36,SMMLV!$D$2:$D$100),3))</f>
        <v/>
      </c>
    </row>
    <row r="1242" spans="2:6">
      <c r="B1242" s="319"/>
      <c r="C1242" s="319"/>
      <c r="E1242" s="321"/>
      <c r="F1242" s="450" t="str">
        <f>IF(OR(D1242="",E1242=""),"",ROUND(D1242/LOOKUP(E1242,SMMLV!$A$2:$A$36,SMMLV!$D$2:$D$100),3))</f>
        <v/>
      </c>
    </row>
    <row r="1243" spans="2:6">
      <c r="B1243" s="319"/>
      <c r="C1243" s="319"/>
      <c r="E1243" s="321"/>
      <c r="F1243" s="450" t="str">
        <f>IF(OR(D1243="",E1243=""),"",ROUND(D1243/LOOKUP(E1243,SMMLV!$A$2:$A$36,SMMLV!$D$2:$D$100),3))</f>
        <v/>
      </c>
    </row>
    <row r="1244" spans="2:6">
      <c r="B1244" s="319"/>
      <c r="C1244" s="319"/>
      <c r="E1244" s="321"/>
      <c r="F1244" s="450" t="str">
        <f>IF(OR(D1244="",E1244=""),"",ROUND(D1244/LOOKUP(E1244,SMMLV!$A$2:$A$36,SMMLV!$D$2:$D$100),3))</f>
        <v/>
      </c>
    </row>
    <row r="1245" spans="2:6">
      <c r="B1245" s="319"/>
      <c r="C1245" s="319"/>
      <c r="E1245" s="321"/>
      <c r="F1245" s="450" t="str">
        <f>IF(OR(D1245="",E1245=""),"",ROUND(D1245/LOOKUP(E1245,SMMLV!$A$2:$A$36,SMMLV!$D$2:$D$100),3))</f>
        <v/>
      </c>
    </row>
    <row r="1246" spans="2:6">
      <c r="B1246" s="319"/>
      <c r="C1246" s="319"/>
      <c r="E1246" s="321"/>
      <c r="F1246" s="450" t="str">
        <f>IF(OR(D1246="",E1246=""),"",ROUND(D1246/LOOKUP(E1246,SMMLV!$A$2:$A$36,SMMLV!$D$2:$D$100),3))</f>
        <v/>
      </c>
    </row>
    <row r="1247" spans="2:6">
      <c r="B1247" s="319"/>
      <c r="C1247" s="319"/>
      <c r="E1247" s="321"/>
      <c r="F1247" s="450" t="str">
        <f>IF(OR(D1247="",E1247=""),"",ROUND(D1247/LOOKUP(E1247,SMMLV!$A$2:$A$36,SMMLV!$D$2:$D$100),3))</f>
        <v/>
      </c>
    </row>
    <row r="1248" spans="2:6">
      <c r="B1248" s="319"/>
      <c r="C1248" s="319"/>
      <c r="E1248" s="321"/>
      <c r="F1248" s="450" t="str">
        <f>IF(OR(D1248="",E1248=""),"",ROUND(D1248/LOOKUP(E1248,SMMLV!$A$2:$A$36,SMMLV!$D$2:$D$100),3))</f>
        <v/>
      </c>
    </row>
    <row r="1249" spans="2:6">
      <c r="B1249" s="319"/>
      <c r="C1249" s="319"/>
      <c r="E1249" s="321"/>
      <c r="F1249" s="450" t="str">
        <f>IF(OR(D1249="",E1249=""),"",ROUND(D1249/LOOKUP(E1249,SMMLV!$A$2:$A$36,SMMLV!$D$2:$D$100),3))</f>
        <v/>
      </c>
    </row>
    <row r="1250" spans="2:6">
      <c r="B1250" s="319"/>
      <c r="C1250" s="319"/>
      <c r="E1250" s="321"/>
      <c r="F1250" s="450" t="str">
        <f>IF(OR(D1250="",E1250=""),"",ROUND(D1250/LOOKUP(E1250,SMMLV!$A$2:$A$36,SMMLV!$D$2:$D$100),3))</f>
        <v/>
      </c>
    </row>
    <row r="1251" spans="2:6">
      <c r="B1251" s="319"/>
      <c r="C1251" s="319"/>
      <c r="E1251" s="321"/>
      <c r="F1251" s="450" t="str">
        <f>IF(OR(D1251="",E1251=""),"",ROUND(D1251/LOOKUP(E1251,SMMLV!$A$2:$A$36,SMMLV!$D$2:$D$100),3))</f>
        <v/>
      </c>
    </row>
    <row r="1252" spans="2:6">
      <c r="B1252" s="319"/>
      <c r="C1252" s="319"/>
      <c r="E1252" s="321"/>
      <c r="F1252" s="450" t="str">
        <f>IF(OR(D1252="",E1252=""),"",ROUND(D1252/LOOKUP(E1252,SMMLV!$A$2:$A$36,SMMLV!$D$2:$D$100),3))</f>
        <v/>
      </c>
    </row>
    <row r="1253" spans="2:6">
      <c r="B1253" s="319"/>
      <c r="C1253" s="319"/>
      <c r="E1253" s="321"/>
      <c r="F1253" s="450" t="str">
        <f>IF(OR(D1253="",E1253=""),"",ROUND(D1253/LOOKUP(E1253,SMMLV!$A$2:$A$36,SMMLV!$D$2:$D$100),3))</f>
        <v/>
      </c>
    </row>
    <row r="1254" spans="2:6">
      <c r="B1254" s="319"/>
      <c r="C1254" s="319"/>
      <c r="E1254" s="321"/>
      <c r="F1254" s="450" t="str">
        <f>IF(OR(D1254="",E1254=""),"",ROUND(D1254/LOOKUP(E1254,SMMLV!$A$2:$A$36,SMMLV!$D$2:$D$100),3))</f>
        <v/>
      </c>
    </row>
    <row r="1255" spans="2:6">
      <c r="B1255" s="319"/>
      <c r="C1255" s="319"/>
      <c r="E1255" s="321"/>
      <c r="F1255" s="450" t="str">
        <f>IF(OR(D1255="",E1255=""),"",ROUND(D1255/LOOKUP(E1255,SMMLV!$A$2:$A$36,SMMLV!$D$2:$D$100),3))</f>
        <v/>
      </c>
    </row>
    <row r="1256" spans="2:6">
      <c r="B1256" s="319"/>
      <c r="C1256" s="319"/>
      <c r="E1256" s="321"/>
      <c r="F1256" s="450" t="str">
        <f>IF(OR(D1256="",E1256=""),"",ROUND(D1256/LOOKUP(E1256,SMMLV!$A$2:$A$36,SMMLV!$D$2:$D$100),3))</f>
        <v/>
      </c>
    </row>
    <row r="1257" spans="2:6">
      <c r="B1257" s="319"/>
      <c r="C1257" s="319"/>
      <c r="E1257" s="321"/>
      <c r="F1257" s="450" t="str">
        <f>IF(OR(D1257="",E1257=""),"",ROUND(D1257/LOOKUP(E1257,SMMLV!$A$2:$A$36,SMMLV!$D$2:$D$100),3))</f>
        <v/>
      </c>
    </row>
    <row r="1258" spans="2:6">
      <c r="B1258" s="319"/>
      <c r="C1258" s="319"/>
      <c r="E1258" s="321"/>
      <c r="F1258" s="450" t="str">
        <f>IF(OR(D1258="",E1258=""),"",ROUND(D1258/LOOKUP(E1258,SMMLV!$A$2:$A$36,SMMLV!$D$2:$D$100),3))</f>
        <v/>
      </c>
    </row>
    <row r="1259" spans="2:6">
      <c r="B1259" s="319"/>
      <c r="C1259" s="319"/>
      <c r="E1259" s="321"/>
      <c r="F1259" s="450" t="str">
        <f>IF(OR(D1259="",E1259=""),"",ROUND(D1259/LOOKUP(E1259,SMMLV!$A$2:$A$36,SMMLV!$D$2:$D$100),3))</f>
        <v/>
      </c>
    </row>
    <row r="1260" spans="2:6">
      <c r="E1260" s="321"/>
      <c r="F1260" s="450" t="str">
        <f>IF(OR(D1260="",E1260=""),"",ROUND(D1260/LOOKUP(E1260,SMMLV!$A$2:$A$36,SMMLV!$D$2:$D$100),3))</f>
        <v/>
      </c>
    </row>
    <row r="1261" spans="2:6">
      <c r="E1261" s="321"/>
      <c r="F1261" s="450" t="str">
        <f>IF(OR(D1261="",E1261=""),"",ROUND(D1261/LOOKUP(E1261,SMMLV!$A$2:$A$36,SMMLV!$D$2:$D$100),3))</f>
        <v/>
      </c>
    </row>
    <row r="1262" spans="2:6">
      <c r="E1262" s="321"/>
      <c r="F1262" s="450" t="str">
        <f>IF(OR(D1262="",E1262=""),"",ROUND(D1262/LOOKUP(E1262,SMMLV!$A$2:$A$36,SMMLV!$D$2:$D$100),3))</f>
        <v/>
      </c>
    </row>
    <row r="1263" spans="2:6">
      <c r="E1263" s="321"/>
      <c r="F1263" s="450" t="str">
        <f>IF(OR(D1263="",E1263=""),"",ROUND(D1263/LOOKUP(E1263,SMMLV!$A$2:$A$36,SMMLV!$D$2:$D$100),3))</f>
        <v/>
      </c>
    </row>
    <row r="1264" spans="2:6">
      <c r="E1264" s="321"/>
      <c r="F1264" s="450" t="str">
        <f>IF(OR(D1264="",E1264=""),"",ROUND(D1264/LOOKUP(E1264,SMMLV!$A$2:$A$36,SMMLV!$D$2:$D$100),3))</f>
        <v/>
      </c>
    </row>
    <row r="1265" spans="5:6">
      <c r="E1265" s="321"/>
      <c r="F1265" s="450" t="str">
        <f>IF(OR(D1265="",E1265=""),"",ROUND(D1265/LOOKUP(E1265,SMMLV!$A$2:$A$36,SMMLV!$D$2:$D$100),3))</f>
        <v/>
      </c>
    </row>
    <row r="1266" spans="5:6">
      <c r="E1266" s="321"/>
      <c r="F1266" s="450" t="str">
        <f>IF(OR(D1266="",E1266=""),"",ROUND(D1266/LOOKUP(E1266,SMMLV!$A$2:$A$36,SMMLV!$D$2:$D$100),3))</f>
        <v/>
      </c>
    </row>
    <row r="1267" spans="5:6">
      <c r="E1267" s="321"/>
      <c r="F1267" s="450" t="str">
        <f>IF(OR(D1267="",E1267=""),"",ROUND(D1267/LOOKUP(E1267,SMMLV!$A$2:$A$36,SMMLV!$D$2:$D$100),3))</f>
        <v/>
      </c>
    </row>
    <row r="1268" spans="5:6">
      <c r="E1268" s="321"/>
      <c r="F1268" s="450" t="str">
        <f>IF(OR(D1268="",E1268=""),"",ROUND(D1268/LOOKUP(E1268,SMMLV!$A$2:$A$36,SMMLV!$D$2:$D$100),3))</f>
        <v/>
      </c>
    </row>
    <row r="1269" spans="5:6">
      <c r="E1269" s="321"/>
      <c r="F1269" s="450" t="str">
        <f>IF(OR(D1269="",E1269=""),"",ROUND(D1269/LOOKUP(E1269,SMMLV!$A$2:$A$36,SMMLV!$D$2:$D$100),3))</f>
        <v/>
      </c>
    </row>
    <row r="1270" spans="5:6">
      <c r="E1270" s="321"/>
      <c r="F1270" s="450" t="str">
        <f>IF(OR(D1270="",E1270=""),"",ROUND(D1270/LOOKUP(E1270,SMMLV!$A$2:$A$36,SMMLV!$D$2:$D$100),3))</f>
        <v/>
      </c>
    </row>
    <row r="1271" spans="5:6">
      <c r="E1271" s="321"/>
      <c r="F1271" s="450" t="str">
        <f>IF(OR(D1271="",E1271=""),"",ROUND(D1271/LOOKUP(E1271,SMMLV!$A$2:$A$36,SMMLV!$D$2:$D$100),3))</f>
        <v/>
      </c>
    </row>
    <row r="1272" spans="5:6">
      <c r="E1272" s="321"/>
      <c r="F1272" s="450" t="str">
        <f>IF(OR(D1272="",E1272=""),"",ROUND(D1272/LOOKUP(E1272,SMMLV!$A$2:$A$36,SMMLV!$D$2:$D$100),3))</f>
        <v/>
      </c>
    </row>
    <row r="1273" spans="5:6">
      <c r="E1273" s="321"/>
      <c r="F1273" s="450" t="str">
        <f>IF(OR(D1273="",E1273=""),"",ROUND(D1273/LOOKUP(E1273,SMMLV!$A$2:$A$36,SMMLV!$D$2:$D$100),3))</f>
        <v/>
      </c>
    </row>
    <row r="1274" spans="5:6">
      <c r="E1274" s="321"/>
      <c r="F1274" s="450" t="str">
        <f>IF(OR(D1274="",E1274=""),"",ROUND(D1274/LOOKUP(E1274,SMMLV!$A$2:$A$36,SMMLV!$D$2:$D$100),3))</f>
        <v/>
      </c>
    </row>
    <row r="1275" spans="5:6">
      <c r="E1275" s="321"/>
      <c r="F1275" s="450" t="str">
        <f>IF(OR(D1275="",E1275=""),"",ROUND(D1275/LOOKUP(E1275,SMMLV!$A$2:$A$36,SMMLV!$D$2:$D$100),3))</f>
        <v/>
      </c>
    </row>
    <row r="1276" spans="5:6">
      <c r="E1276" s="321"/>
      <c r="F1276" s="450" t="str">
        <f>IF(OR(D1276="",E1276=""),"",ROUND(D1276/LOOKUP(E1276,SMMLV!$A$2:$A$36,SMMLV!$D$2:$D$100),3))</f>
        <v/>
      </c>
    </row>
    <row r="1277" spans="5:6">
      <c r="E1277" s="321"/>
      <c r="F1277" s="450" t="str">
        <f>IF(OR(D1277="",E1277=""),"",ROUND(D1277/LOOKUP(E1277,SMMLV!$A$2:$A$36,SMMLV!$D$2:$D$100),3))</f>
        <v/>
      </c>
    </row>
    <row r="1278" spans="5:6">
      <c r="E1278" s="321"/>
      <c r="F1278" s="450" t="str">
        <f>IF(OR(D1278="",E1278=""),"",ROUND(D1278/LOOKUP(E1278,SMMLV!$A$2:$A$36,SMMLV!$D$2:$D$100),3))</f>
        <v/>
      </c>
    </row>
    <row r="1279" spans="5:6">
      <c r="E1279" s="321"/>
      <c r="F1279" s="450" t="str">
        <f>IF(OR(D1279="",E1279=""),"",ROUND(D1279/LOOKUP(E1279,SMMLV!$A$2:$A$36,SMMLV!$D$2:$D$100),3))</f>
        <v/>
      </c>
    </row>
    <row r="1280" spans="5:6">
      <c r="E1280" s="321"/>
      <c r="F1280" s="450" t="str">
        <f>IF(OR(D1280="",E1280=""),"",ROUND(D1280/LOOKUP(E1280,SMMLV!$A$2:$A$36,SMMLV!$D$2:$D$100),3))</f>
        <v/>
      </c>
    </row>
    <row r="1281" spans="5:6">
      <c r="E1281" s="321"/>
      <c r="F1281" s="450" t="str">
        <f>IF(OR(D1281="",E1281=""),"",ROUND(D1281/LOOKUP(E1281,SMMLV!$A$2:$A$36,SMMLV!$D$2:$D$100),3))</f>
        <v/>
      </c>
    </row>
    <row r="1282" spans="5:6">
      <c r="E1282" s="321"/>
      <c r="F1282" s="450" t="str">
        <f>IF(OR(D1282="",E1282=""),"",ROUND(D1282/LOOKUP(E1282,SMMLV!$A$2:$A$36,SMMLV!$D$2:$D$100),3))</f>
        <v/>
      </c>
    </row>
    <row r="1283" spans="5:6">
      <c r="E1283" s="321"/>
      <c r="F1283" s="450" t="str">
        <f>IF(OR(D1283="",E1283=""),"",ROUND(D1283/LOOKUP(E1283,SMMLV!$A$2:$A$36,SMMLV!$D$2:$D$100),3))</f>
        <v/>
      </c>
    </row>
    <row r="1284" spans="5:6">
      <c r="E1284" s="321"/>
      <c r="F1284" s="450" t="str">
        <f>IF(OR(D1284="",E1284=""),"",ROUND(D1284/LOOKUP(E1284,SMMLV!$A$2:$A$36,SMMLV!$D$2:$D$100),3))</f>
        <v/>
      </c>
    </row>
    <row r="1285" spans="5:6">
      <c r="E1285" s="321"/>
      <c r="F1285" s="450" t="str">
        <f>IF(OR(D1285="",E1285=""),"",ROUND(D1285/LOOKUP(E1285,SMMLV!$A$2:$A$36,SMMLV!$D$2:$D$100),3))</f>
        <v/>
      </c>
    </row>
    <row r="1286" spans="5:6">
      <c r="E1286" s="321"/>
      <c r="F1286" s="450" t="str">
        <f>IF(OR(D1286="",E1286=""),"",ROUND(D1286/LOOKUP(E1286,SMMLV!$A$2:$A$36,SMMLV!$D$2:$D$100),3))</f>
        <v/>
      </c>
    </row>
    <row r="1287" spans="5:6">
      <c r="E1287" s="321"/>
      <c r="F1287" s="450" t="str">
        <f>IF(OR(D1287="",E1287=""),"",ROUND(D1287/LOOKUP(E1287,SMMLV!$A$2:$A$36,SMMLV!$D$2:$D$100),3))</f>
        <v/>
      </c>
    </row>
    <row r="1288" spans="5:6">
      <c r="E1288" s="321"/>
      <c r="F1288" s="450" t="str">
        <f>IF(OR(D1288="",E1288=""),"",ROUND(D1288/LOOKUP(E1288,SMMLV!$A$2:$A$36,SMMLV!$D$2:$D$100),3))</f>
        <v/>
      </c>
    </row>
    <row r="1289" spans="5:6">
      <c r="E1289" s="321"/>
      <c r="F1289" s="450" t="str">
        <f>IF(OR(D1289="",E1289=""),"",ROUND(D1289/LOOKUP(E1289,SMMLV!$A$2:$A$36,SMMLV!$D$2:$D$100),3))</f>
        <v/>
      </c>
    </row>
    <row r="1290" spans="5:6">
      <c r="E1290" s="321"/>
      <c r="F1290" s="450" t="str">
        <f>IF(OR(D1290="",E1290=""),"",ROUND(D1290/LOOKUP(E1290,SMMLV!$A$2:$A$36,SMMLV!$D$2:$D$100),3))</f>
        <v/>
      </c>
    </row>
    <row r="1291" spans="5:6">
      <c r="E1291" s="321"/>
      <c r="F1291" s="450" t="str">
        <f>IF(OR(D1291="",E1291=""),"",ROUND(D1291/LOOKUP(E1291,SMMLV!$A$2:$A$36,SMMLV!$D$2:$D$100),3))</f>
        <v/>
      </c>
    </row>
    <row r="1292" spans="5:6">
      <c r="E1292" s="321"/>
      <c r="F1292" s="450" t="str">
        <f>IF(OR(D1292="",E1292=""),"",ROUND(D1292/LOOKUP(E1292,SMMLV!$A$2:$A$36,SMMLV!$D$2:$D$100),3))</f>
        <v/>
      </c>
    </row>
    <row r="1293" spans="5:6">
      <c r="E1293" s="321"/>
      <c r="F1293" s="450" t="str">
        <f>IF(OR(D1293="",E1293=""),"",ROUND(D1293/LOOKUP(E1293,SMMLV!$A$2:$A$36,SMMLV!$D$2:$D$100),3))</f>
        <v/>
      </c>
    </row>
    <row r="1294" spans="5:6">
      <c r="E1294" s="321"/>
      <c r="F1294" s="450" t="str">
        <f>IF(OR(D1294="",E1294=""),"",ROUND(D1294/LOOKUP(E1294,SMMLV!$A$2:$A$36,SMMLV!$D$2:$D$100),3))</f>
        <v/>
      </c>
    </row>
    <row r="1295" spans="5:6">
      <c r="E1295" s="321"/>
      <c r="F1295" s="450" t="str">
        <f>IF(OR(D1295="",E1295=""),"",ROUND(D1295/LOOKUP(E1295,SMMLV!$A$2:$A$36,SMMLV!$D$2:$D$100),3))</f>
        <v/>
      </c>
    </row>
    <row r="1296" spans="5:6">
      <c r="E1296" s="321"/>
      <c r="F1296" s="450" t="str">
        <f>IF(OR(D1296="",E1296=""),"",ROUND(D1296/LOOKUP(E1296,SMMLV!$A$2:$A$36,SMMLV!$D$2:$D$100),3))</f>
        <v/>
      </c>
    </row>
    <row r="1297" spans="5:6">
      <c r="E1297" s="321"/>
      <c r="F1297" s="450" t="str">
        <f>IF(OR(D1297="",E1297=""),"",ROUND(D1297/LOOKUP(E1297,SMMLV!$A$2:$A$36,SMMLV!$D$2:$D$100),3))</f>
        <v/>
      </c>
    </row>
    <row r="1298" spans="5:6">
      <c r="E1298" s="321"/>
      <c r="F1298" s="450" t="str">
        <f>IF(OR(D1298="",E1298=""),"",ROUND(D1298/LOOKUP(E1298,SMMLV!$A$2:$A$36,SMMLV!$D$2:$D$100),3))</f>
        <v/>
      </c>
    </row>
    <row r="1299" spans="5:6">
      <c r="E1299" s="321"/>
      <c r="F1299" s="450" t="str">
        <f>IF(OR(D1299="",E1299=""),"",ROUND(D1299/LOOKUP(E1299,SMMLV!$A$2:$A$36,SMMLV!$D$2:$D$100),3))</f>
        <v/>
      </c>
    </row>
    <row r="1300" spans="5:6">
      <c r="E1300" s="321"/>
      <c r="F1300" s="450" t="str">
        <f>IF(OR(D1300="",E1300=""),"",ROUND(D1300/LOOKUP(E1300,SMMLV!$A$2:$A$36,SMMLV!$D$2:$D$100),3))</f>
        <v/>
      </c>
    </row>
    <row r="1301" spans="5:6">
      <c r="E1301" s="321"/>
      <c r="F1301" s="450" t="str">
        <f>IF(OR(D1301="",E1301=""),"",ROUND(D1301/LOOKUP(E1301,SMMLV!$A$2:$A$36,SMMLV!$D$2:$D$100),3))</f>
        <v/>
      </c>
    </row>
    <row r="1302" spans="5:6">
      <c r="E1302" s="321"/>
      <c r="F1302" s="450" t="str">
        <f>IF(OR(D1302="",E1302=""),"",ROUND(D1302/LOOKUP(E1302,SMMLV!$A$2:$A$36,SMMLV!$D$2:$D$100),3))</f>
        <v/>
      </c>
    </row>
    <row r="1303" spans="5:6">
      <c r="E1303" s="321"/>
      <c r="F1303" s="450" t="str">
        <f>IF(OR(D1303="",E1303=""),"",ROUND(D1303/LOOKUP(E1303,SMMLV!$A$2:$A$36,SMMLV!$D$2:$D$100),3))</f>
        <v/>
      </c>
    </row>
    <row r="1304" spans="5:6">
      <c r="E1304" s="321"/>
      <c r="F1304" s="450" t="str">
        <f>IF(OR(D1304="",E1304=""),"",ROUND(D1304/LOOKUP(E1304,SMMLV!$A$2:$A$36,SMMLV!$D$2:$D$100),3))</f>
        <v/>
      </c>
    </row>
    <row r="1305" spans="5:6">
      <c r="E1305" s="321"/>
      <c r="F1305" s="450" t="str">
        <f>IF(OR(D1305="",E1305=""),"",ROUND(D1305/LOOKUP(E1305,SMMLV!$A$2:$A$36,SMMLV!$D$2:$D$100),3))</f>
        <v/>
      </c>
    </row>
    <row r="1306" spans="5:6">
      <c r="E1306" s="321"/>
      <c r="F1306" s="450" t="str">
        <f>IF(OR(D1306="",E1306=""),"",ROUND(D1306/LOOKUP(E1306,SMMLV!$A$2:$A$36,SMMLV!$D$2:$D$100),3))</f>
        <v/>
      </c>
    </row>
    <row r="1307" spans="5:6">
      <c r="E1307" s="321"/>
      <c r="F1307" s="450" t="str">
        <f>IF(OR(D1307="",E1307=""),"",ROUND(D1307/LOOKUP(E1307,SMMLV!$A$2:$A$36,SMMLV!$D$2:$D$100),3))</f>
        <v/>
      </c>
    </row>
    <row r="1308" spans="5:6">
      <c r="E1308" s="321"/>
      <c r="F1308" s="450" t="str">
        <f>IF(OR(D1308="",E1308=""),"",ROUND(D1308/LOOKUP(E1308,SMMLV!$A$2:$A$36,SMMLV!$D$2:$D$100),3))</f>
        <v/>
      </c>
    </row>
    <row r="1309" spans="5:6">
      <c r="E1309" s="321"/>
      <c r="F1309" s="450" t="str">
        <f>IF(OR(D1309="",E1309=""),"",ROUND(D1309/LOOKUP(E1309,SMMLV!$A$2:$A$36,SMMLV!$D$2:$D$100),3))</f>
        <v/>
      </c>
    </row>
    <row r="1310" spans="5:6">
      <c r="E1310" s="321"/>
      <c r="F1310" s="450" t="str">
        <f>IF(OR(D1310="",E1310=""),"",ROUND(D1310/LOOKUP(E1310,SMMLV!$A$2:$A$36,SMMLV!$D$2:$D$100),3))</f>
        <v/>
      </c>
    </row>
    <row r="1311" spans="5:6">
      <c r="E1311" s="321"/>
      <c r="F1311" s="450" t="str">
        <f>IF(OR(D1311="",E1311=""),"",ROUND(D1311/LOOKUP(E1311,SMMLV!$A$2:$A$36,SMMLV!$D$2:$D$100),3))</f>
        <v/>
      </c>
    </row>
    <row r="1312" spans="5:6">
      <c r="E1312" s="321"/>
      <c r="F1312" s="450" t="str">
        <f>IF(OR(D1312="",E1312=""),"",ROUND(D1312/LOOKUP(E1312,SMMLV!$A$2:$A$36,SMMLV!$D$2:$D$100),3))</f>
        <v/>
      </c>
    </row>
    <row r="1313" spans="5:6">
      <c r="E1313" s="321"/>
      <c r="F1313" s="450" t="str">
        <f>IF(OR(D1313="",E1313=""),"",ROUND(D1313/LOOKUP(E1313,SMMLV!$A$2:$A$36,SMMLV!$D$2:$D$100),3))</f>
        <v/>
      </c>
    </row>
    <row r="1314" spans="5:6">
      <c r="E1314" s="321"/>
      <c r="F1314" s="450" t="str">
        <f>IF(OR(D1314="",E1314=""),"",ROUND(D1314/LOOKUP(E1314,SMMLV!$A$2:$A$36,SMMLV!$D$2:$D$100),3))</f>
        <v/>
      </c>
    </row>
    <row r="1315" spans="5:6">
      <c r="E1315" s="321"/>
      <c r="F1315" s="450" t="str">
        <f>IF(OR(D1315="",E1315=""),"",ROUND(D1315/LOOKUP(E1315,SMMLV!$A$2:$A$36,SMMLV!$D$2:$D$100),3))</f>
        <v/>
      </c>
    </row>
    <row r="1316" spans="5:6">
      <c r="E1316" s="321"/>
      <c r="F1316" s="450" t="str">
        <f>IF(OR(D1316="",E1316=""),"",ROUND(D1316/LOOKUP(E1316,SMMLV!$A$2:$A$36,SMMLV!$D$2:$D$100),3))</f>
        <v/>
      </c>
    </row>
    <row r="1317" spans="5:6">
      <c r="E1317" s="321"/>
      <c r="F1317" s="450" t="str">
        <f>IF(OR(D1317="",E1317=""),"",ROUND(D1317/LOOKUP(E1317,SMMLV!$A$2:$A$36,SMMLV!$D$2:$D$100),3))</f>
        <v/>
      </c>
    </row>
    <row r="1318" spans="5:6">
      <c r="E1318" s="321"/>
      <c r="F1318" s="450" t="str">
        <f>IF(OR(D1318="",E1318=""),"",ROUND(D1318/LOOKUP(E1318,SMMLV!$A$2:$A$36,SMMLV!$D$2:$D$100),3))</f>
        <v/>
      </c>
    </row>
    <row r="1319" spans="5:6">
      <c r="E1319" s="321"/>
      <c r="F1319" s="450" t="str">
        <f>IF(OR(D1319="",E1319=""),"",ROUND(D1319/LOOKUP(E1319,SMMLV!$A$2:$A$36,SMMLV!$D$2:$D$100),3))</f>
        <v/>
      </c>
    </row>
    <row r="1320" spans="5:6">
      <c r="E1320" s="321"/>
      <c r="F1320" s="450" t="str">
        <f>IF(OR(D1320="",E1320=""),"",ROUND(D1320/LOOKUP(E1320,SMMLV!$A$2:$A$36,SMMLV!$D$2:$D$100),3))</f>
        <v/>
      </c>
    </row>
    <row r="1321" spans="5:6">
      <c r="E1321" s="321"/>
      <c r="F1321" s="450" t="str">
        <f>IF(OR(D1321="",E1321=""),"",ROUND(D1321/LOOKUP(E1321,SMMLV!$A$2:$A$36,SMMLV!$D$2:$D$100),3))</f>
        <v/>
      </c>
    </row>
    <row r="1322" spans="5:6">
      <c r="E1322" s="321"/>
      <c r="F1322" s="450" t="str">
        <f>IF(OR(D1322="",E1322=""),"",ROUND(D1322/LOOKUP(E1322,SMMLV!$A$2:$A$36,SMMLV!$D$2:$D$100),3))</f>
        <v/>
      </c>
    </row>
    <row r="1323" spans="5:6">
      <c r="E1323" s="321"/>
      <c r="F1323" s="450" t="str">
        <f>IF(OR(D1323="",E1323=""),"",ROUND(D1323/LOOKUP(E1323,SMMLV!$A$2:$A$36,SMMLV!$D$2:$D$100),3))</f>
        <v/>
      </c>
    </row>
    <row r="1324" spans="5:6">
      <c r="E1324" s="321"/>
      <c r="F1324" s="450" t="str">
        <f>IF(OR(D1324="",E1324=""),"",ROUND(D1324/LOOKUP(E1324,SMMLV!$A$2:$A$36,SMMLV!$D$2:$D$100),3))</f>
        <v/>
      </c>
    </row>
    <row r="1325" spans="5:6">
      <c r="E1325" s="321"/>
      <c r="F1325" s="450" t="str">
        <f>IF(OR(D1325="",E1325=""),"",ROUND(D1325/LOOKUP(E1325,SMMLV!$A$2:$A$36,SMMLV!$D$2:$D$100),3))</f>
        <v/>
      </c>
    </row>
    <row r="1326" spans="5:6">
      <c r="E1326" s="321"/>
      <c r="F1326" s="450" t="str">
        <f>IF(OR(D1326="",E1326=""),"",ROUND(D1326/LOOKUP(E1326,SMMLV!$A$2:$A$36,SMMLV!$D$2:$D$100),3))</f>
        <v/>
      </c>
    </row>
    <row r="1327" spans="5:6">
      <c r="E1327" s="321"/>
      <c r="F1327" s="450" t="str">
        <f>IF(OR(D1327="",E1327=""),"",ROUND(D1327/LOOKUP(E1327,SMMLV!$A$2:$A$36,SMMLV!$D$2:$D$100),3))</f>
        <v/>
      </c>
    </row>
    <row r="1328" spans="5:6">
      <c r="E1328" s="321"/>
      <c r="F1328" s="450" t="str">
        <f>IF(OR(D1328="",E1328=""),"",ROUND(D1328/LOOKUP(E1328,SMMLV!$A$2:$A$36,SMMLV!$D$2:$D$100),3))</f>
        <v/>
      </c>
    </row>
    <row r="1329" spans="5:6">
      <c r="E1329" s="321"/>
      <c r="F1329" s="450" t="str">
        <f>IF(OR(D1329="",E1329=""),"",ROUND(D1329/LOOKUP(E1329,SMMLV!$A$2:$A$36,SMMLV!$D$2:$D$100),3))</f>
        <v/>
      </c>
    </row>
    <row r="1330" spans="5:6">
      <c r="E1330" s="321"/>
      <c r="F1330" s="450" t="str">
        <f>IF(OR(D1330="",E1330=""),"",ROUND(D1330/LOOKUP(E1330,SMMLV!$A$2:$A$36,SMMLV!$D$2:$D$100),3))</f>
        <v/>
      </c>
    </row>
    <row r="1331" spans="5:6">
      <c r="E1331" s="321"/>
      <c r="F1331" s="450" t="str">
        <f>IF(OR(D1331="",E1331=""),"",ROUND(D1331/LOOKUP(E1331,SMMLV!$A$2:$A$36,SMMLV!$D$2:$D$100),3))</f>
        <v/>
      </c>
    </row>
    <row r="1332" spans="5:6">
      <c r="E1332" s="321"/>
      <c r="F1332" s="450" t="str">
        <f>IF(OR(D1332="",E1332=""),"",ROUND(D1332/LOOKUP(E1332,SMMLV!$A$2:$A$36,SMMLV!$D$2:$D$100),3))</f>
        <v/>
      </c>
    </row>
    <row r="1333" spans="5:6">
      <c r="E1333" s="321"/>
      <c r="F1333" s="450" t="str">
        <f>IF(OR(D1333="",E1333=""),"",ROUND(D1333/LOOKUP(E1333,SMMLV!$A$2:$A$36,SMMLV!$D$2:$D$100),3))</f>
        <v/>
      </c>
    </row>
    <row r="1334" spans="5:6">
      <c r="E1334" s="321"/>
      <c r="F1334" s="450" t="str">
        <f>IF(OR(D1334="",E1334=""),"",ROUND(D1334/LOOKUP(E1334,SMMLV!$A$2:$A$36,SMMLV!$D$2:$D$100),3))</f>
        <v/>
      </c>
    </row>
    <row r="1335" spans="5:6">
      <c r="E1335" s="321"/>
      <c r="F1335" s="450" t="str">
        <f>IF(OR(D1335="",E1335=""),"",ROUND(D1335/LOOKUP(E1335,SMMLV!$A$2:$A$36,SMMLV!$D$2:$D$100),3))</f>
        <v/>
      </c>
    </row>
    <row r="1336" spans="5:6">
      <c r="E1336" s="321"/>
      <c r="F1336" s="450" t="str">
        <f>IF(OR(D1336="",E1336=""),"",ROUND(D1336/LOOKUP(E1336,SMMLV!$A$2:$A$36,SMMLV!$D$2:$D$100),3))</f>
        <v/>
      </c>
    </row>
    <row r="1337" spans="5:6">
      <c r="E1337" s="321"/>
      <c r="F1337" s="450" t="str">
        <f>IF(OR(D1337="",E1337=""),"",ROUND(D1337/LOOKUP(E1337,SMMLV!$A$2:$A$36,SMMLV!$D$2:$D$100),3))</f>
        <v/>
      </c>
    </row>
    <row r="1338" spans="5:6">
      <c r="E1338" s="321"/>
      <c r="F1338" s="450" t="str">
        <f>IF(OR(D1338="",E1338=""),"",ROUND(D1338/LOOKUP(E1338,SMMLV!$A$2:$A$36,SMMLV!$D$2:$D$100),3))</f>
        <v/>
      </c>
    </row>
    <row r="1339" spans="5:6">
      <c r="E1339" s="321"/>
      <c r="F1339" s="450" t="str">
        <f>IF(OR(D1339="",E1339=""),"",ROUND(D1339/LOOKUP(E1339,SMMLV!$A$2:$A$36,SMMLV!$D$2:$D$100),3))</f>
        <v/>
      </c>
    </row>
    <row r="1340" spans="5:6">
      <c r="E1340" s="321"/>
      <c r="F1340" s="450" t="str">
        <f>IF(OR(D1340="",E1340=""),"",ROUND(D1340/LOOKUP(E1340,SMMLV!$A$2:$A$36,SMMLV!$D$2:$D$100),3))</f>
        <v/>
      </c>
    </row>
    <row r="1341" spans="5:6">
      <c r="E1341" s="321"/>
      <c r="F1341" s="450" t="str">
        <f>IF(OR(D1341="",E1341=""),"",ROUND(D1341/LOOKUP(E1341,SMMLV!$A$2:$A$36,SMMLV!$D$2:$D$100),3))</f>
        <v/>
      </c>
    </row>
    <row r="1342" spans="5:6">
      <c r="E1342" s="321"/>
      <c r="F1342" s="450" t="str">
        <f>IF(OR(D1342="",E1342=""),"",ROUND(D1342/LOOKUP(E1342,SMMLV!$A$2:$A$36,SMMLV!$D$2:$D$100),3))</f>
        <v/>
      </c>
    </row>
    <row r="1343" spans="5:6">
      <c r="E1343" s="321"/>
      <c r="F1343" s="450" t="str">
        <f>IF(OR(D1343="",E1343=""),"",ROUND(D1343/LOOKUP(E1343,SMMLV!$A$2:$A$36,SMMLV!$D$2:$D$100),3))</f>
        <v/>
      </c>
    </row>
    <row r="1344" spans="5:6">
      <c r="E1344" s="321"/>
      <c r="F1344" s="450" t="str">
        <f>IF(OR(D1344="",E1344=""),"",ROUND(D1344/LOOKUP(E1344,SMMLV!$A$2:$A$36,SMMLV!$D$2:$D$100),3))</f>
        <v/>
      </c>
    </row>
    <row r="1345" spans="5:6">
      <c r="E1345" s="321"/>
      <c r="F1345" s="450" t="str">
        <f>IF(OR(D1345="",E1345=""),"",ROUND(D1345/LOOKUP(E1345,SMMLV!$A$2:$A$36,SMMLV!$D$2:$D$100),3))</f>
        <v/>
      </c>
    </row>
    <row r="1346" spans="5:6">
      <c r="E1346" s="321"/>
      <c r="F1346" s="450" t="str">
        <f>IF(OR(D1346="",E1346=""),"",ROUND(D1346/LOOKUP(E1346,SMMLV!$A$2:$A$36,SMMLV!$D$2:$D$100),3))</f>
        <v/>
      </c>
    </row>
    <row r="1347" spans="5:6">
      <c r="E1347" s="321"/>
      <c r="F1347" s="450" t="str">
        <f>IF(OR(D1347="",E1347=""),"",ROUND(D1347/LOOKUP(E1347,SMMLV!$A$2:$A$36,SMMLV!$D$2:$D$100),3))</f>
        <v/>
      </c>
    </row>
    <row r="1348" spans="5:6">
      <c r="E1348" s="321"/>
      <c r="F1348" s="450" t="str">
        <f>IF(OR(D1348="",E1348=""),"",ROUND(D1348/LOOKUP(E1348,SMMLV!$A$2:$A$36,SMMLV!$D$2:$D$100),3))</f>
        <v/>
      </c>
    </row>
    <row r="1349" spans="5:6">
      <c r="E1349" s="321"/>
      <c r="F1349" s="450" t="str">
        <f>IF(OR(D1349="",E1349=""),"",ROUND(D1349/LOOKUP(E1349,SMMLV!$A$2:$A$36,SMMLV!$D$2:$D$100),3))</f>
        <v/>
      </c>
    </row>
    <row r="1350" spans="5:6">
      <c r="E1350" s="321"/>
      <c r="F1350" s="450" t="str">
        <f>IF(OR(D1350="",E1350=""),"",ROUND(D1350/LOOKUP(E1350,SMMLV!$A$2:$A$36,SMMLV!$D$2:$D$100),3))</f>
        <v/>
      </c>
    </row>
    <row r="1351" spans="5:6">
      <c r="E1351" s="321"/>
      <c r="F1351" s="450" t="str">
        <f>IF(OR(D1351="",E1351=""),"",ROUND(D1351/LOOKUP(E1351,SMMLV!$A$2:$A$36,SMMLV!$D$2:$D$100),3))</f>
        <v/>
      </c>
    </row>
    <row r="1352" spans="5:6">
      <c r="E1352" s="321"/>
      <c r="F1352" s="450" t="str">
        <f>IF(OR(D1352="",E1352=""),"",ROUND(D1352/LOOKUP(E1352,SMMLV!$A$2:$A$36,SMMLV!$D$2:$D$100),3))</f>
        <v/>
      </c>
    </row>
    <row r="1353" spans="5:6">
      <c r="E1353" s="321"/>
      <c r="F1353" s="450" t="str">
        <f>IF(OR(D1353="",E1353=""),"",ROUND(D1353/LOOKUP(E1353,SMMLV!$A$2:$A$36,SMMLV!$D$2:$D$100),3))</f>
        <v/>
      </c>
    </row>
    <row r="1354" spans="5:6">
      <c r="E1354" s="321"/>
      <c r="F1354" s="450" t="str">
        <f>IF(OR(D1354="",E1354=""),"",ROUND(D1354/LOOKUP(E1354,SMMLV!$A$2:$A$36,SMMLV!$D$2:$D$100),3))</f>
        <v/>
      </c>
    </row>
    <row r="1355" spans="5:6">
      <c r="E1355" s="321"/>
      <c r="F1355" s="450" t="str">
        <f>IF(OR(D1355="",E1355=""),"",ROUND(D1355/LOOKUP(E1355,SMMLV!$A$2:$A$36,SMMLV!$D$2:$D$100),3))</f>
        <v/>
      </c>
    </row>
    <row r="1356" spans="5:6">
      <c r="E1356" s="321"/>
      <c r="F1356" s="450" t="str">
        <f>IF(OR(D1356="",E1356=""),"",ROUND(D1356/LOOKUP(E1356,SMMLV!$A$2:$A$36,SMMLV!$D$2:$D$100),3))</f>
        <v/>
      </c>
    </row>
    <row r="1357" spans="5:6">
      <c r="E1357" s="321"/>
      <c r="F1357" s="450" t="str">
        <f>IF(OR(D1357="",E1357=""),"",ROUND(D1357/LOOKUP(E1357,SMMLV!$A$2:$A$36,SMMLV!$D$2:$D$100),3))</f>
        <v/>
      </c>
    </row>
    <row r="1358" spans="5:6">
      <c r="E1358" s="321"/>
      <c r="F1358" s="450" t="str">
        <f>IF(OR(D1358="",E1358=""),"",ROUND(D1358/LOOKUP(E1358,SMMLV!$A$2:$A$36,SMMLV!$D$2:$D$100),3))</f>
        <v/>
      </c>
    </row>
    <row r="1359" spans="5:6">
      <c r="E1359" s="321"/>
      <c r="F1359" s="450" t="str">
        <f>IF(OR(D1359="",E1359=""),"",ROUND(D1359/LOOKUP(E1359,SMMLV!$A$2:$A$36,SMMLV!$D$2:$D$100),3))</f>
        <v/>
      </c>
    </row>
    <row r="1360" spans="5:6">
      <c r="E1360" s="321"/>
      <c r="F1360" s="450" t="str">
        <f>IF(OR(D1360="",E1360=""),"",ROUND(D1360/LOOKUP(E1360,SMMLV!$A$2:$A$36,SMMLV!$D$2:$D$100),3))</f>
        <v/>
      </c>
    </row>
    <row r="1361" spans="5:6">
      <c r="E1361" s="321"/>
      <c r="F1361" s="450" t="str">
        <f>IF(OR(D1361="",E1361=""),"",ROUND(D1361/LOOKUP(E1361,SMMLV!$A$2:$A$36,SMMLV!$D$2:$D$100),3))</f>
        <v/>
      </c>
    </row>
    <row r="1362" spans="5:6">
      <c r="E1362" s="321"/>
      <c r="F1362" s="450" t="str">
        <f>IF(OR(D1362="",E1362=""),"",ROUND(D1362/LOOKUP(E1362,SMMLV!$A$2:$A$36,SMMLV!$D$2:$D$100),3))</f>
        <v/>
      </c>
    </row>
    <row r="1363" spans="5:6">
      <c r="E1363" s="321"/>
      <c r="F1363" s="450" t="str">
        <f>IF(OR(D1363="",E1363=""),"",ROUND(D1363/LOOKUP(E1363,SMMLV!$A$2:$A$36,SMMLV!$D$2:$D$100),3))</f>
        <v/>
      </c>
    </row>
    <row r="1364" spans="5:6">
      <c r="E1364" s="321"/>
      <c r="F1364" s="450" t="str">
        <f>IF(OR(D1364="",E1364=""),"",ROUND(D1364/LOOKUP(E1364,SMMLV!$A$2:$A$36,SMMLV!$D$2:$D$100),3))</f>
        <v/>
      </c>
    </row>
    <row r="1365" spans="5:6">
      <c r="E1365" s="321"/>
      <c r="F1365" s="450" t="str">
        <f>IF(OR(D1365="",E1365=""),"",ROUND(D1365/LOOKUP(E1365,SMMLV!$A$2:$A$36,SMMLV!$D$2:$D$100),3))</f>
        <v/>
      </c>
    </row>
    <row r="1366" spans="5:6">
      <c r="E1366" s="321"/>
      <c r="F1366" s="450" t="str">
        <f>IF(OR(D1366="",E1366=""),"",ROUND(D1366/LOOKUP(E1366,SMMLV!$A$2:$A$36,SMMLV!$D$2:$D$100),3))</f>
        <v/>
      </c>
    </row>
    <row r="1367" spans="5:6">
      <c r="E1367" s="321"/>
      <c r="F1367" s="450" t="str">
        <f>IF(OR(D1367="",E1367=""),"",ROUND(D1367/LOOKUP(E1367,SMMLV!$A$2:$A$36,SMMLV!$D$2:$D$100),3))</f>
        <v/>
      </c>
    </row>
    <row r="1368" spans="5:6">
      <c r="E1368" s="321"/>
      <c r="F1368" s="450" t="str">
        <f>IF(OR(D1368="",E1368=""),"",ROUND(D1368/LOOKUP(E1368,SMMLV!$A$2:$A$36,SMMLV!$D$2:$D$100),3))</f>
        <v/>
      </c>
    </row>
    <row r="1369" spans="5:6">
      <c r="E1369" s="321"/>
      <c r="F1369" s="450" t="str">
        <f>IF(OR(D1369="",E1369=""),"",ROUND(D1369/LOOKUP(E1369,SMMLV!$A$2:$A$36,SMMLV!$D$2:$D$100),3))</f>
        <v/>
      </c>
    </row>
    <row r="1370" spans="5:6">
      <c r="E1370" s="321"/>
      <c r="F1370" s="450" t="str">
        <f>IF(OR(D1370="",E1370=""),"",ROUND(D1370/LOOKUP(E1370,SMMLV!$A$2:$A$36,SMMLV!$D$2:$D$100),3))</f>
        <v/>
      </c>
    </row>
    <row r="1371" spans="5:6">
      <c r="E1371" s="321"/>
      <c r="F1371" s="450" t="str">
        <f>IF(OR(D1371="",E1371=""),"",ROUND(D1371/LOOKUP(E1371,SMMLV!$A$2:$A$36,SMMLV!$D$2:$D$100),3))</f>
        <v/>
      </c>
    </row>
    <row r="1372" spans="5:6">
      <c r="E1372" s="321"/>
      <c r="F1372" s="450" t="str">
        <f>IF(OR(D1372="",E1372=""),"",ROUND(D1372/LOOKUP(E1372,SMMLV!$A$2:$A$36,SMMLV!$D$2:$D$100),3))</f>
        <v/>
      </c>
    </row>
    <row r="1373" spans="5:6">
      <c r="E1373" s="321"/>
      <c r="F1373" s="450" t="str">
        <f>IF(OR(D1373="",E1373=""),"",ROUND(D1373/LOOKUP(E1373,SMMLV!$A$2:$A$36,SMMLV!$D$2:$D$100),3))</f>
        <v/>
      </c>
    </row>
    <row r="1374" spans="5:6">
      <c r="E1374" s="321"/>
      <c r="F1374" s="450" t="str">
        <f>IF(OR(D1374="",E1374=""),"",ROUND(D1374/LOOKUP(E1374,SMMLV!$A$2:$A$36,SMMLV!$D$2:$D$100),3))</f>
        <v/>
      </c>
    </row>
    <row r="1375" spans="5:6">
      <c r="E1375" s="321"/>
      <c r="F1375" s="450" t="str">
        <f>IF(OR(D1375="",E1375=""),"",ROUND(D1375/LOOKUP(E1375,SMMLV!$A$2:$A$36,SMMLV!$D$2:$D$100),3))</f>
        <v/>
      </c>
    </row>
    <row r="1376" spans="5:6">
      <c r="E1376" s="321"/>
      <c r="F1376" s="450" t="str">
        <f>IF(OR(D1376="",E1376=""),"",ROUND(D1376/LOOKUP(E1376,SMMLV!$A$2:$A$36,SMMLV!$D$2:$D$100),3))</f>
        <v/>
      </c>
    </row>
    <row r="1377" spans="5:6">
      <c r="E1377" s="321"/>
      <c r="F1377" s="450" t="str">
        <f>IF(OR(D1377="",E1377=""),"",ROUND(D1377/LOOKUP(E1377,SMMLV!$A$2:$A$36,SMMLV!$D$2:$D$100),3))</f>
        <v/>
      </c>
    </row>
    <row r="1378" spans="5:6">
      <c r="E1378" s="321"/>
      <c r="F1378" s="450" t="str">
        <f>IF(OR(D1378="",E1378=""),"",ROUND(D1378/LOOKUP(E1378,SMMLV!$A$2:$A$36,SMMLV!$D$2:$D$100),3))</f>
        <v/>
      </c>
    </row>
    <row r="1379" spans="5:6">
      <c r="E1379" s="321"/>
      <c r="F1379" s="450" t="str">
        <f>IF(OR(D1379="",E1379=""),"",ROUND(D1379/LOOKUP(E1379,SMMLV!$A$2:$A$36,SMMLV!$D$2:$D$100),3))</f>
        <v/>
      </c>
    </row>
    <row r="1380" spans="5:6">
      <c r="E1380" s="321"/>
      <c r="F1380" s="450" t="str">
        <f>IF(OR(D1380="",E1380=""),"",ROUND(D1380/LOOKUP(E1380,SMMLV!$A$2:$A$36,SMMLV!$D$2:$D$100),3))</f>
        <v/>
      </c>
    </row>
    <row r="1381" spans="5:6">
      <c r="E1381" s="321"/>
      <c r="F1381" s="450" t="str">
        <f>IF(OR(D1381="",E1381=""),"",ROUND(D1381/LOOKUP(E1381,SMMLV!$A$2:$A$36,SMMLV!$D$2:$D$100),3))</f>
        <v/>
      </c>
    </row>
    <row r="1382" spans="5:6">
      <c r="E1382" s="321"/>
      <c r="F1382" s="450" t="str">
        <f>IF(OR(D1382="",E1382=""),"",ROUND(D1382/LOOKUP(E1382,SMMLV!$A$2:$A$36,SMMLV!$D$2:$D$100),3))</f>
        <v/>
      </c>
    </row>
    <row r="1383" spans="5:6">
      <c r="E1383" s="321"/>
      <c r="F1383" s="450" t="str">
        <f>IF(OR(D1383="",E1383=""),"",ROUND(D1383/LOOKUP(E1383,SMMLV!$A$2:$A$36,SMMLV!$D$2:$D$100),3))</f>
        <v/>
      </c>
    </row>
    <row r="1384" spans="5:6">
      <c r="E1384" s="321"/>
      <c r="F1384" s="450" t="str">
        <f>IF(OR(D1384="",E1384=""),"",ROUND(D1384/LOOKUP(E1384,SMMLV!$A$2:$A$36,SMMLV!$D$2:$D$100),3))</f>
        <v/>
      </c>
    </row>
    <row r="1385" spans="5:6">
      <c r="E1385" s="321"/>
      <c r="F1385" s="450" t="str">
        <f>IF(OR(D1385="",E1385=""),"",ROUND(D1385/LOOKUP(E1385,SMMLV!$A$2:$A$36,SMMLV!$D$2:$D$100),3))</f>
        <v/>
      </c>
    </row>
    <row r="1386" spans="5:6">
      <c r="E1386" s="321"/>
      <c r="F1386" s="450" t="str">
        <f>IF(OR(D1386="",E1386=""),"",ROUND(D1386/LOOKUP(E1386,SMMLV!$A$2:$A$36,SMMLV!$D$2:$D$100),3))</f>
        <v/>
      </c>
    </row>
    <row r="1387" spans="5:6">
      <c r="E1387" s="321"/>
      <c r="F1387" s="450" t="str">
        <f>IF(OR(D1387="",E1387=""),"",ROUND(D1387/LOOKUP(E1387,SMMLV!$A$2:$A$36,SMMLV!$D$2:$D$100),3))</f>
        <v/>
      </c>
    </row>
    <row r="1388" spans="5:6">
      <c r="E1388" s="321"/>
      <c r="F1388" s="450" t="str">
        <f>IF(OR(D1388="",E1388=""),"",ROUND(D1388/LOOKUP(E1388,SMMLV!$A$2:$A$36,SMMLV!$D$2:$D$100),3))</f>
        <v/>
      </c>
    </row>
    <row r="1389" spans="5:6">
      <c r="E1389" s="321"/>
      <c r="F1389" s="450" t="str">
        <f>IF(OR(D1389="",E1389=""),"",ROUND(D1389/LOOKUP(E1389,SMMLV!$A$2:$A$36,SMMLV!$D$2:$D$100),3))</f>
        <v/>
      </c>
    </row>
    <row r="1390" spans="5:6">
      <c r="E1390" s="321"/>
      <c r="F1390" s="450" t="str">
        <f>IF(OR(D1390="",E1390=""),"",ROUND(D1390/LOOKUP(E1390,SMMLV!$A$2:$A$36,SMMLV!$D$2:$D$100),3))</f>
        <v/>
      </c>
    </row>
    <row r="1391" spans="5:6">
      <c r="E1391" s="321"/>
      <c r="F1391" s="450" t="str">
        <f>IF(OR(D1391="",E1391=""),"",ROUND(D1391/LOOKUP(E1391,SMMLV!$A$2:$A$36,SMMLV!$D$2:$D$100),3))</f>
        <v/>
      </c>
    </row>
    <row r="1392" spans="5:6">
      <c r="E1392" s="321"/>
      <c r="F1392" s="450" t="str">
        <f>IF(OR(D1392="",E1392=""),"",ROUND(D1392/LOOKUP(E1392,SMMLV!$A$2:$A$36,SMMLV!$D$2:$D$100),3))</f>
        <v/>
      </c>
    </row>
    <row r="1393" spans="5:6">
      <c r="E1393" s="321"/>
      <c r="F1393" s="450" t="str">
        <f>IF(OR(D1393="",E1393=""),"",ROUND(D1393/LOOKUP(E1393,SMMLV!$A$2:$A$36,SMMLV!$D$2:$D$100),3))</f>
        <v/>
      </c>
    </row>
    <row r="1394" spans="5:6">
      <c r="E1394" s="321"/>
      <c r="F1394" s="450" t="str">
        <f>IF(OR(D1394="",E1394=""),"",ROUND(D1394/LOOKUP(E1394,SMMLV!$A$2:$A$36,SMMLV!$D$2:$D$100),3))</f>
        <v/>
      </c>
    </row>
    <row r="1395" spans="5:6">
      <c r="E1395" s="321"/>
      <c r="F1395" s="450" t="str">
        <f>IF(OR(D1395="",E1395=""),"",ROUND(D1395/LOOKUP(E1395,SMMLV!$A$2:$A$36,SMMLV!$D$2:$D$100),3))</f>
        <v/>
      </c>
    </row>
    <row r="1396" spans="5:6">
      <c r="E1396" s="321"/>
      <c r="F1396" s="450" t="str">
        <f>IF(OR(D1396="",E1396=""),"",ROUND(D1396/LOOKUP(E1396,SMMLV!$A$2:$A$36,SMMLV!$D$2:$D$100),3))</f>
        <v/>
      </c>
    </row>
    <row r="1397" spans="5:6">
      <c r="E1397" s="321"/>
      <c r="F1397" s="450" t="str">
        <f>IF(OR(D1397="",E1397=""),"",ROUND(D1397/LOOKUP(E1397,SMMLV!$A$2:$A$36,SMMLV!$D$2:$D$100),3))</f>
        <v/>
      </c>
    </row>
    <row r="1398" spans="5:6">
      <c r="E1398" s="321"/>
      <c r="F1398" s="450" t="str">
        <f>IF(OR(D1398="",E1398=""),"",ROUND(D1398/LOOKUP(E1398,SMMLV!$A$2:$A$36,SMMLV!$D$2:$D$100),3))</f>
        <v/>
      </c>
    </row>
    <row r="1399" spans="5:6">
      <c r="E1399" s="321"/>
      <c r="F1399" s="450" t="str">
        <f>IF(OR(D1399="",E1399=""),"",ROUND(D1399/LOOKUP(E1399,SMMLV!$A$2:$A$36,SMMLV!$D$2:$D$100),3))</f>
        <v/>
      </c>
    </row>
    <row r="1400" spans="5:6">
      <c r="E1400" s="321"/>
      <c r="F1400" s="450" t="str">
        <f>IF(OR(D1400="",E1400=""),"",ROUND(D1400/LOOKUP(E1400,SMMLV!$A$2:$A$36,SMMLV!$D$2:$D$100),3))</f>
        <v/>
      </c>
    </row>
    <row r="1401" spans="5:6">
      <c r="E1401" s="321"/>
      <c r="F1401" s="450" t="str">
        <f>IF(OR(D1401="",E1401=""),"",ROUND(D1401/LOOKUP(E1401,SMMLV!$A$2:$A$36,SMMLV!$D$2:$D$100),3))</f>
        <v/>
      </c>
    </row>
    <row r="1402" spans="5:6">
      <c r="E1402" s="321"/>
      <c r="F1402" s="450" t="str">
        <f>IF(OR(D1402="",E1402=""),"",ROUND(D1402/LOOKUP(E1402,SMMLV!$A$2:$A$36,SMMLV!$D$2:$D$100),3))</f>
        <v/>
      </c>
    </row>
    <row r="1403" spans="5:6">
      <c r="E1403" s="321"/>
      <c r="F1403" s="450" t="str">
        <f>IF(OR(D1403="",E1403=""),"",ROUND(D1403/LOOKUP(E1403,SMMLV!$A$2:$A$36,SMMLV!$D$2:$D$100),3))</f>
        <v/>
      </c>
    </row>
    <row r="1404" spans="5:6">
      <c r="E1404" s="321"/>
      <c r="F1404" s="450" t="str">
        <f>IF(OR(D1404="",E1404=""),"",ROUND(D1404/LOOKUP(E1404,SMMLV!$A$2:$A$36,SMMLV!$D$2:$D$100),3))</f>
        <v/>
      </c>
    </row>
    <row r="1405" spans="5:6">
      <c r="E1405" s="321"/>
      <c r="F1405" s="450" t="str">
        <f>IF(OR(D1405="",E1405=""),"",ROUND(D1405/LOOKUP(E1405,SMMLV!$A$2:$A$36,SMMLV!$D$2:$D$100),3))</f>
        <v/>
      </c>
    </row>
    <row r="1406" spans="5:6">
      <c r="E1406" s="321"/>
      <c r="F1406" s="450" t="str">
        <f>IF(OR(D1406="",E1406=""),"",ROUND(D1406/LOOKUP(E1406,SMMLV!$A$2:$A$36,SMMLV!$D$2:$D$100),3))</f>
        <v/>
      </c>
    </row>
    <row r="1407" spans="5:6">
      <c r="E1407" s="321"/>
      <c r="F1407" s="450" t="str">
        <f>IF(OR(D1407="",E1407=""),"",ROUND(D1407/LOOKUP(E1407,SMMLV!$A$2:$A$36,SMMLV!$D$2:$D$100),3))</f>
        <v/>
      </c>
    </row>
    <row r="1408" spans="5:6">
      <c r="E1408" s="321"/>
      <c r="F1408" s="450" t="str">
        <f>IF(OR(D1408="",E1408=""),"",ROUND(D1408/LOOKUP(E1408,SMMLV!$A$2:$A$36,SMMLV!$D$2:$D$100),3))</f>
        <v/>
      </c>
    </row>
    <row r="1409" spans="5:6">
      <c r="E1409" s="321"/>
      <c r="F1409" s="450" t="str">
        <f>IF(OR(D1409="",E1409=""),"",ROUND(D1409/LOOKUP(E1409,SMMLV!$A$2:$A$36,SMMLV!$D$2:$D$100),3))</f>
        <v/>
      </c>
    </row>
    <row r="1410" spans="5:6">
      <c r="E1410" s="321"/>
      <c r="F1410" s="450" t="str">
        <f>IF(OR(D1410="",E1410=""),"",ROUND(D1410/LOOKUP(E1410,SMMLV!$A$2:$A$36,SMMLV!$D$2:$D$100),3))</f>
        <v/>
      </c>
    </row>
    <row r="1411" spans="5:6">
      <c r="E1411" s="321"/>
      <c r="F1411" s="450" t="str">
        <f>IF(OR(D1411="",E1411=""),"",ROUND(D1411/LOOKUP(E1411,SMMLV!$A$2:$A$36,SMMLV!$D$2:$D$100),3))</f>
        <v/>
      </c>
    </row>
    <row r="1412" spans="5:6">
      <c r="E1412" s="321"/>
      <c r="F1412" s="450" t="str">
        <f>IF(OR(D1412="",E1412=""),"",ROUND(D1412/LOOKUP(E1412,SMMLV!$A$2:$A$36,SMMLV!$D$2:$D$100),3))</f>
        <v/>
      </c>
    </row>
    <row r="1413" spans="5:6">
      <c r="E1413" s="321"/>
      <c r="F1413" s="450" t="str">
        <f>IF(OR(D1413="",E1413=""),"",ROUND(D1413/LOOKUP(E1413,SMMLV!$A$2:$A$36,SMMLV!$D$2:$D$100),3))</f>
        <v/>
      </c>
    </row>
    <row r="1414" spans="5:6">
      <c r="E1414" s="321"/>
      <c r="F1414" s="450" t="str">
        <f>IF(OR(D1414="",E1414=""),"",ROUND(D1414/LOOKUP(E1414,SMMLV!$A$2:$A$36,SMMLV!$D$2:$D$100),3))</f>
        <v/>
      </c>
    </row>
    <row r="1415" spans="5:6">
      <c r="E1415" s="321"/>
      <c r="F1415" s="450" t="str">
        <f>IF(OR(D1415="",E1415=""),"",ROUND(D1415/LOOKUP(E1415,SMMLV!$A$2:$A$36,SMMLV!$D$2:$D$100),3))</f>
        <v/>
      </c>
    </row>
    <row r="1416" spans="5:6">
      <c r="E1416" s="321"/>
      <c r="F1416" s="450" t="str">
        <f>IF(OR(D1416="",E1416=""),"",ROUND(D1416/LOOKUP(E1416,SMMLV!$A$2:$A$36,SMMLV!$D$2:$D$100),3))</f>
        <v/>
      </c>
    </row>
    <row r="1417" spans="5:6">
      <c r="E1417" s="321"/>
      <c r="F1417" s="450" t="str">
        <f>IF(OR(D1417="",E1417=""),"",ROUND(D1417/LOOKUP(E1417,SMMLV!$A$2:$A$36,SMMLV!$D$2:$D$100),3))</f>
        <v/>
      </c>
    </row>
    <row r="1418" spans="5:6">
      <c r="E1418" s="321"/>
      <c r="F1418" s="450" t="str">
        <f>IF(OR(D1418="",E1418=""),"",ROUND(D1418/LOOKUP(E1418,SMMLV!$A$2:$A$36,SMMLV!$D$2:$D$100),3))</f>
        <v/>
      </c>
    </row>
    <row r="1419" spans="5:6">
      <c r="E1419" s="321"/>
      <c r="F1419" s="450" t="str">
        <f>IF(OR(D1419="",E1419=""),"",ROUND(D1419/LOOKUP(E1419,SMMLV!$A$2:$A$36,SMMLV!$D$2:$D$100),3))</f>
        <v/>
      </c>
    </row>
    <row r="1420" spans="5:6">
      <c r="E1420" s="321"/>
      <c r="F1420" s="450" t="str">
        <f>IF(OR(D1420="",E1420=""),"",ROUND(D1420/LOOKUP(E1420,SMMLV!$A$2:$A$36,SMMLV!$D$2:$D$100),3))</f>
        <v/>
      </c>
    </row>
    <row r="1421" spans="5:6">
      <c r="E1421" s="321"/>
      <c r="F1421" s="450" t="str">
        <f>IF(OR(D1421="",E1421=""),"",ROUND(D1421/LOOKUP(E1421,SMMLV!$A$2:$A$36,SMMLV!$D$2:$D$100),3))</f>
        <v/>
      </c>
    </row>
    <row r="1422" spans="5:6">
      <c r="E1422" s="321"/>
      <c r="F1422" s="450" t="str">
        <f>IF(OR(D1422="",E1422=""),"",ROUND(D1422/LOOKUP(E1422,SMMLV!$A$2:$A$36,SMMLV!$D$2:$D$100),3))</f>
        <v/>
      </c>
    </row>
    <row r="1423" spans="5:6">
      <c r="E1423" s="321"/>
      <c r="F1423" s="450" t="str">
        <f>IF(OR(D1423="",E1423=""),"",ROUND(D1423/LOOKUP(E1423,SMMLV!$A$2:$A$36,SMMLV!$D$2:$D$100),3))</f>
        <v/>
      </c>
    </row>
    <row r="1424" spans="5:6">
      <c r="E1424" s="321"/>
      <c r="F1424" s="450" t="str">
        <f>IF(OR(D1424="",E1424=""),"",ROUND(D1424/LOOKUP(E1424,SMMLV!$A$2:$A$36,SMMLV!$D$2:$D$100),3))</f>
        <v/>
      </c>
    </row>
    <row r="1425" spans="5:6">
      <c r="E1425" s="321"/>
      <c r="F1425" s="450" t="str">
        <f>IF(OR(D1425="",E1425=""),"",ROUND(D1425/LOOKUP(E1425,SMMLV!$A$2:$A$36,SMMLV!$D$2:$D$100),3))</f>
        <v/>
      </c>
    </row>
    <row r="1426" spans="5:6">
      <c r="E1426" s="321"/>
      <c r="F1426" s="450" t="str">
        <f>IF(OR(D1426="",E1426=""),"",ROUND(D1426/LOOKUP(E1426,SMMLV!$A$2:$A$36,SMMLV!$D$2:$D$100),3))</f>
        <v/>
      </c>
    </row>
    <row r="1427" spans="5:6">
      <c r="E1427" s="321"/>
      <c r="F1427" s="450" t="str">
        <f>IF(OR(D1427="",E1427=""),"",ROUND(D1427/LOOKUP(E1427,SMMLV!$A$2:$A$36,SMMLV!$D$2:$D$100),3))</f>
        <v/>
      </c>
    </row>
    <row r="1428" spans="5:6">
      <c r="E1428" s="321"/>
      <c r="F1428" s="450" t="str">
        <f>IF(OR(D1428="",E1428=""),"",ROUND(D1428/LOOKUP(E1428,SMMLV!$A$2:$A$36,SMMLV!$D$2:$D$100),3))</f>
        <v/>
      </c>
    </row>
    <row r="1429" spans="5:6">
      <c r="E1429" s="321"/>
      <c r="F1429" s="450" t="str">
        <f>IF(OR(D1429="",E1429=""),"",ROUND(D1429/LOOKUP(E1429,SMMLV!$A$2:$A$36,SMMLV!$D$2:$D$100),3))</f>
        <v/>
      </c>
    </row>
    <row r="1430" spans="5:6">
      <c r="E1430" s="321"/>
      <c r="F1430" s="450" t="str">
        <f>IF(OR(D1430="",E1430=""),"",ROUND(D1430/LOOKUP(E1430,SMMLV!$A$2:$A$36,SMMLV!$D$2:$D$100),3))</f>
        <v/>
      </c>
    </row>
    <row r="1431" spans="5:6">
      <c r="E1431" s="321"/>
      <c r="F1431" s="450" t="str">
        <f>IF(OR(D1431="",E1431=""),"",ROUND(D1431/LOOKUP(E1431,SMMLV!$A$2:$A$36,SMMLV!$D$2:$D$100),3))</f>
        <v/>
      </c>
    </row>
    <row r="1432" spans="5:6">
      <c r="E1432" s="321"/>
      <c r="F1432" s="450" t="str">
        <f>IF(OR(D1432="",E1432=""),"",ROUND(D1432/LOOKUP(E1432,SMMLV!$A$2:$A$36,SMMLV!$D$2:$D$100),3))</f>
        <v/>
      </c>
    </row>
    <row r="1433" spans="5:6">
      <c r="E1433" s="321"/>
      <c r="F1433" s="450" t="str">
        <f>IF(OR(D1433="",E1433=""),"",ROUND(D1433/LOOKUP(E1433,SMMLV!$A$2:$A$36,SMMLV!$D$2:$D$100),3))</f>
        <v/>
      </c>
    </row>
    <row r="1434" spans="5:6">
      <c r="E1434" s="321"/>
      <c r="F1434" s="450" t="str">
        <f>IF(OR(D1434="",E1434=""),"",ROUND(D1434/LOOKUP(E1434,SMMLV!$A$2:$A$36,SMMLV!$D$2:$D$100),3))</f>
        <v/>
      </c>
    </row>
    <row r="1435" spans="5:6">
      <c r="E1435" s="321"/>
      <c r="F1435" s="450" t="str">
        <f>IF(OR(D1435="",E1435=""),"",ROUND(D1435/LOOKUP(E1435,SMMLV!$A$2:$A$36,SMMLV!$D$2:$D$100),3))</f>
        <v/>
      </c>
    </row>
    <row r="1436" spans="5:6">
      <c r="E1436" s="321"/>
      <c r="F1436" s="450" t="str">
        <f>IF(OR(D1436="",E1436=""),"",ROUND(D1436/LOOKUP(E1436,SMMLV!$A$2:$A$36,SMMLV!$D$2:$D$100),3))</f>
        <v/>
      </c>
    </row>
    <row r="1437" spans="5:6">
      <c r="E1437" s="321"/>
      <c r="F1437" s="450" t="str">
        <f>IF(OR(D1437="",E1437=""),"",ROUND(D1437/LOOKUP(E1437,SMMLV!$A$2:$A$36,SMMLV!$D$2:$D$100),3))</f>
        <v/>
      </c>
    </row>
    <row r="1438" spans="5:6">
      <c r="E1438" s="321"/>
      <c r="F1438" s="450" t="str">
        <f>IF(OR(D1438="",E1438=""),"",ROUND(D1438/LOOKUP(E1438,SMMLV!$A$2:$A$36,SMMLV!$D$2:$D$100),3))</f>
        <v/>
      </c>
    </row>
    <row r="1439" spans="5:6">
      <c r="E1439" s="321"/>
      <c r="F1439" s="450" t="str">
        <f>IF(OR(D1439="",E1439=""),"",ROUND(D1439/LOOKUP(E1439,SMMLV!$A$2:$A$36,SMMLV!$D$2:$D$100),3))</f>
        <v/>
      </c>
    </row>
    <row r="1440" spans="5:6">
      <c r="E1440" s="321"/>
      <c r="F1440" s="450" t="str">
        <f>IF(OR(D1440="",E1440=""),"",ROUND(D1440/LOOKUP(E1440,SMMLV!$A$2:$A$36,SMMLV!$D$2:$D$100),3))</f>
        <v/>
      </c>
    </row>
    <row r="1441" spans="5:6">
      <c r="E1441" s="321"/>
      <c r="F1441" s="450" t="str">
        <f>IF(OR(D1441="",E1441=""),"",ROUND(D1441/LOOKUP(E1441,SMMLV!$A$2:$A$36,SMMLV!$D$2:$D$100),3))</f>
        <v/>
      </c>
    </row>
    <row r="1442" spans="5:6">
      <c r="E1442" s="321"/>
      <c r="F1442" s="450" t="str">
        <f>IF(OR(D1442="",E1442=""),"",ROUND(D1442/LOOKUP(E1442,SMMLV!$A$2:$A$36,SMMLV!$D$2:$D$100),3))</f>
        <v/>
      </c>
    </row>
    <row r="1443" spans="5:6">
      <c r="E1443" s="321"/>
      <c r="F1443" s="450" t="str">
        <f>IF(OR(D1443="",E1443=""),"",ROUND(D1443/LOOKUP(E1443,SMMLV!$A$2:$A$36,SMMLV!$D$2:$D$100),3))</f>
        <v/>
      </c>
    </row>
    <row r="1444" spans="5:6">
      <c r="E1444" s="321"/>
      <c r="F1444" s="450" t="str">
        <f>IF(OR(D1444="",E1444=""),"",ROUND(D1444/LOOKUP(E1444,SMMLV!$A$2:$A$36,SMMLV!$D$2:$D$100),3))</f>
        <v/>
      </c>
    </row>
    <row r="1445" spans="5:6">
      <c r="E1445" s="321"/>
      <c r="F1445" s="450" t="str">
        <f>IF(OR(D1445="",E1445=""),"",ROUND(D1445/LOOKUP(E1445,SMMLV!$A$2:$A$36,SMMLV!$D$2:$D$100),3))</f>
        <v/>
      </c>
    </row>
    <row r="1446" spans="5:6">
      <c r="E1446" s="321"/>
      <c r="F1446" s="450" t="str">
        <f>IF(OR(D1446="",E1446=""),"",ROUND(D1446/LOOKUP(E1446,SMMLV!$A$2:$A$36,SMMLV!$D$2:$D$100),3))</f>
        <v/>
      </c>
    </row>
    <row r="1447" spans="5:6">
      <c r="E1447" s="321"/>
      <c r="F1447" s="450" t="str">
        <f>IF(OR(D1447="",E1447=""),"",ROUND(D1447/LOOKUP(E1447,SMMLV!$A$2:$A$36,SMMLV!$D$2:$D$100),3))</f>
        <v/>
      </c>
    </row>
    <row r="1448" spans="5:6">
      <c r="E1448" s="321"/>
      <c r="F1448" s="450" t="str">
        <f>IF(OR(D1448="",E1448=""),"",ROUND(D1448/LOOKUP(E1448,SMMLV!$A$2:$A$36,SMMLV!$D$2:$D$100),3))</f>
        <v/>
      </c>
    </row>
    <row r="1449" spans="5:6">
      <c r="E1449" s="321"/>
      <c r="F1449" s="450" t="str">
        <f>IF(OR(D1449="",E1449=""),"",ROUND(D1449/LOOKUP(E1449,SMMLV!$A$2:$A$36,SMMLV!$D$2:$D$100),3))</f>
        <v/>
      </c>
    </row>
    <row r="1450" spans="5:6">
      <c r="E1450" s="321"/>
      <c r="F1450" s="450" t="str">
        <f>IF(OR(D1450="",E1450=""),"",ROUND(D1450/LOOKUP(E1450,SMMLV!$A$2:$A$36,SMMLV!$D$2:$D$100),3))</f>
        <v/>
      </c>
    </row>
    <row r="1451" spans="5:6">
      <c r="E1451" s="321"/>
      <c r="F1451" s="450" t="str">
        <f>IF(OR(D1451="",E1451=""),"",ROUND(D1451/LOOKUP(E1451,SMMLV!$A$2:$A$36,SMMLV!$D$2:$D$100),3))</f>
        <v/>
      </c>
    </row>
    <row r="1452" spans="5:6">
      <c r="E1452" s="321"/>
      <c r="F1452" s="450" t="str">
        <f>IF(OR(D1452="",E1452=""),"",ROUND(D1452/LOOKUP(E1452,SMMLV!$A$2:$A$36,SMMLV!$D$2:$D$100),3))</f>
        <v/>
      </c>
    </row>
    <row r="1453" spans="5:6">
      <c r="E1453" s="321"/>
      <c r="F1453" s="450" t="str">
        <f>IF(OR(D1453="",E1453=""),"",ROUND(D1453/LOOKUP(E1453,SMMLV!$A$2:$A$36,SMMLV!$D$2:$D$100),3))</f>
        <v/>
      </c>
    </row>
    <row r="1454" spans="5:6">
      <c r="E1454" s="321"/>
      <c r="F1454" s="450" t="str">
        <f>IF(OR(D1454="",E1454=""),"",ROUND(D1454/LOOKUP(E1454,SMMLV!$A$2:$A$36,SMMLV!$D$2:$D$100),3))</f>
        <v/>
      </c>
    </row>
    <row r="1455" spans="5:6">
      <c r="E1455" s="321"/>
      <c r="F1455" s="450" t="str">
        <f>IF(OR(D1455="",E1455=""),"",ROUND(D1455/LOOKUP(E1455,SMMLV!$A$2:$A$36,SMMLV!$D$2:$D$100),3))</f>
        <v/>
      </c>
    </row>
    <row r="1456" spans="5:6">
      <c r="E1456" s="321"/>
      <c r="F1456" s="450" t="str">
        <f>IF(OR(D1456="",E1456=""),"",ROUND(D1456/LOOKUP(E1456,SMMLV!$A$2:$A$36,SMMLV!$D$2:$D$100),3))</f>
        <v/>
      </c>
    </row>
    <row r="1457" spans="5:6">
      <c r="E1457" s="321"/>
      <c r="F1457" s="450" t="str">
        <f>IF(OR(D1457="",E1457=""),"",ROUND(D1457/LOOKUP(E1457,SMMLV!$A$2:$A$36,SMMLV!$D$2:$D$100),3))</f>
        <v/>
      </c>
    </row>
    <row r="1458" spans="5:6">
      <c r="E1458" s="321"/>
      <c r="F1458" s="450" t="str">
        <f>IF(OR(D1458="",E1458=""),"",ROUND(D1458/LOOKUP(E1458,SMMLV!$A$2:$A$36,SMMLV!$D$2:$D$100),3))</f>
        <v/>
      </c>
    </row>
    <row r="1459" spans="5:6">
      <c r="E1459" s="321"/>
      <c r="F1459" s="450" t="str">
        <f>IF(OR(D1459="",E1459=""),"",ROUND(D1459/LOOKUP(E1459,SMMLV!$A$2:$A$36,SMMLV!$D$2:$D$100),3))</f>
        <v/>
      </c>
    </row>
    <row r="1460" spans="5:6">
      <c r="E1460" s="321"/>
      <c r="F1460" s="450" t="str">
        <f>IF(OR(D1460="",E1460=""),"",ROUND(D1460/LOOKUP(E1460,SMMLV!$A$2:$A$36,SMMLV!$D$2:$D$100),3))</f>
        <v/>
      </c>
    </row>
    <row r="1461" spans="5:6">
      <c r="E1461" s="321"/>
      <c r="F1461" s="450" t="str">
        <f>IF(OR(D1461="",E1461=""),"",ROUND(D1461/LOOKUP(E1461,SMMLV!$A$2:$A$36,SMMLV!$D$2:$D$100),3))</f>
        <v/>
      </c>
    </row>
    <row r="1462" spans="5:6">
      <c r="E1462" s="321"/>
      <c r="F1462" s="450" t="str">
        <f>IF(OR(D1462="",E1462=""),"",ROUND(D1462/LOOKUP(E1462,SMMLV!$A$2:$A$36,SMMLV!$D$2:$D$100),3))</f>
        <v/>
      </c>
    </row>
    <row r="1463" spans="5:6">
      <c r="E1463" s="321"/>
      <c r="F1463" s="450" t="str">
        <f>IF(OR(D1463="",E1463=""),"",ROUND(D1463/LOOKUP(E1463,SMMLV!$A$2:$A$36,SMMLV!$D$2:$D$100),3))</f>
        <v/>
      </c>
    </row>
    <row r="1464" spans="5:6">
      <c r="E1464" s="321"/>
      <c r="F1464" s="450" t="str">
        <f>IF(OR(D1464="",E1464=""),"",ROUND(D1464/LOOKUP(E1464,SMMLV!$A$2:$A$36,SMMLV!$D$2:$D$100),3))</f>
        <v/>
      </c>
    </row>
    <row r="1465" spans="5:6">
      <c r="E1465" s="321"/>
      <c r="F1465" s="450" t="str">
        <f>IF(OR(D1465="",E1465=""),"",ROUND(D1465/LOOKUP(E1465,SMMLV!$A$2:$A$36,SMMLV!$D$2:$D$100),3))</f>
        <v/>
      </c>
    </row>
    <row r="1466" spans="5:6">
      <c r="E1466" s="321"/>
      <c r="F1466" s="450" t="str">
        <f>IF(OR(D1466="",E1466=""),"",ROUND(D1466/LOOKUP(E1466,SMMLV!$A$2:$A$36,SMMLV!$D$2:$D$100),3))</f>
        <v/>
      </c>
    </row>
    <row r="1467" spans="5:6">
      <c r="E1467" s="321"/>
      <c r="F1467" s="450" t="str">
        <f>IF(OR(D1467="",E1467=""),"",ROUND(D1467/LOOKUP(E1467,SMMLV!$A$2:$A$36,SMMLV!$D$2:$D$100),3))</f>
        <v/>
      </c>
    </row>
    <row r="1468" spans="5:6">
      <c r="E1468" s="321"/>
      <c r="F1468" s="450" t="str">
        <f>IF(OR(D1468="",E1468=""),"",ROUND(D1468/LOOKUP(E1468,SMMLV!$A$2:$A$36,SMMLV!$D$2:$D$100),3))</f>
        <v/>
      </c>
    </row>
    <row r="1469" spans="5:6">
      <c r="E1469" s="321"/>
      <c r="F1469" s="450" t="str">
        <f>IF(OR(D1469="",E1469=""),"",ROUND(D1469/LOOKUP(E1469,SMMLV!$A$2:$A$36,SMMLV!$D$2:$D$100),3))</f>
        <v/>
      </c>
    </row>
    <row r="1470" spans="5:6">
      <c r="E1470" s="321"/>
      <c r="F1470" s="450" t="str">
        <f>IF(OR(D1470="",E1470=""),"",ROUND(D1470/LOOKUP(E1470,SMMLV!$A$2:$A$36,SMMLV!$D$2:$D$100),3))</f>
        <v/>
      </c>
    </row>
    <row r="1471" spans="5:6">
      <c r="E1471" s="321"/>
      <c r="F1471" s="450" t="str">
        <f>IF(OR(D1471="",E1471=""),"",ROUND(D1471/LOOKUP(E1471,SMMLV!$A$2:$A$36,SMMLV!$D$2:$D$100),3))</f>
        <v/>
      </c>
    </row>
    <row r="1472" spans="5:6">
      <c r="E1472" s="321"/>
      <c r="F1472" s="450" t="str">
        <f>IF(OR(D1472="",E1472=""),"",ROUND(D1472/LOOKUP(E1472,SMMLV!$A$2:$A$36,SMMLV!$D$2:$D$100),3))</f>
        <v/>
      </c>
    </row>
    <row r="1473" spans="5:6">
      <c r="E1473" s="321"/>
      <c r="F1473" s="450" t="str">
        <f>IF(OR(D1473="",E1473=""),"",ROUND(D1473/LOOKUP(E1473,SMMLV!$A$2:$A$36,SMMLV!$D$2:$D$100),3))</f>
        <v/>
      </c>
    </row>
    <row r="1474" spans="5:6">
      <c r="E1474" s="321"/>
      <c r="F1474" s="450" t="str">
        <f>IF(OR(D1474="",E1474=""),"",ROUND(D1474/LOOKUP(E1474,SMMLV!$A$2:$A$36,SMMLV!$D$2:$D$100),3))</f>
        <v/>
      </c>
    </row>
    <row r="1475" spans="5:6">
      <c r="E1475" s="321"/>
      <c r="F1475" s="450" t="str">
        <f>IF(OR(D1475="",E1475=""),"",ROUND(D1475/LOOKUP(E1475,SMMLV!$A$2:$A$36,SMMLV!$D$2:$D$100),3))</f>
        <v/>
      </c>
    </row>
    <row r="1476" spans="5:6">
      <c r="E1476" s="321"/>
      <c r="F1476" s="450" t="str">
        <f>IF(OR(D1476="",E1476=""),"",ROUND(D1476/LOOKUP(E1476,SMMLV!$A$2:$A$36,SMMLV!$D$2:$D$100),3))</f>
        <v/>
      </c>
    </row>
    <row r="1477" spans="5:6">
      <c r="E1477" s="321"/>
      <c r="F1477" s="450" t="str">
        <f>IF(OR(D1477="",E1477=""),"",ROUND(D1477/LOOKUP(E1477,SMMLV!$A$2:$A$36,SMMLV!$D$2:$D$100),3))</f>
        <v/>
      </c>
    </row>
    <row r="1478" spans="5:6">
      <c r="E1478" s="321"/>
      <c r="F1478" s="450" t="str">
        <f>IF(OR(D1478="",E1478=""),"",ROUND(D1478/LOOKUP(E1478,SMMLV!$A$2:$A$36,SMMLV!$D$2:$D$100),3))</f>
        <v/>
      </c>
    </row>
    <row r="1479" spans="5:6">
      <c r="E1479" s="321"/>
      <c r="F1479" s="450" t="str">
        <f>IF(OR(D1479="",E1479=""),"",ROUND(D1479/LOOKUP(E1479,SMMLV!$A$2:$A$36,SMMLV!$D$2:$D$100),3))</f>
        <v/>
      </c>
    </row>
    <row r="1480" spans="5:6">
      <c r="E1480" s="321"/>
      <c r="F1480" s="450" t="str">
        <f>IF(OR(D1480="",E1480=""),"",ROUND(D1480/LOOKUP(E1480,SMMLV!$A$2:$A$36,SMMLV!$D$2:$D$100),3))</f>
        <v/>
      </c>
    </row>
    <row r="1481" spans="5:6">
      <c r="E1481" s="321"/>
      <c r="F1481" s="450" t="str">
        <f>IF(OR(D1481="",E1481=""),"",ROUND(D1481/LOOKUP(E1481,SMMLV!$A$2:$A$36,SMMLV!$D$2:$D$100),3))</f>
        <v/>
      </c>
    </row>
    <row r="1482" spans="5:6">
      <c r="E1482" s="321"/>
      <c r="F1482" s="450" t="str">
        <f>IF(OR(D1482="",E1482=""),"",ROUND(D1482/LOOKUP(E1482,SMMLV!$A$2:$A$36,SMMLV!$D$2:$D$100),3))</f>
        <v/>
      </c>
    </row>
    <row r="1483" spans="5:6">
      <c r="E1483" s="321"/>
      <c r="F1483" s="450" t="str">
        <f>IF(OR(D1483="",E1483=""),"",ROUND(D1483/LOOKUP(E1483,SMMLV!$A$2:$A$36,SMMLV!$D$2:$D$100),3))</f>
        <v/>
      </c>
    </row>
    <row r="1484" spans="5:6">
      <c r="E1484" s="321"/>
      <c r="F1484" s="450" t="str">
        <f>IF(OR(D1484="",E1484=""),"",ROUND(D1484/LOOKUP(E1484,SMMLV!$A$2:$A$36,SMMLV!$D$2:$D$100),3))</f>
        <v/>
      </c>
    </row>
    <row r="1485" spans="5:6">
      <c r="E1485" s="321"/>
      <c r="F1485" s="450" t="str">
        <f>IF(OR(D1485="",E1485=""),"",ROUND(D1485/LOOKUP(E1485,SMMLV!$A$2:$A$36,SMMLV!$D$2:$D$100),3))</f>
        <v/>
      </c>
    </row>
    <row r="1486" spans="5:6">
      <c r="E1486" s="321"/>
      <c r="F1486" s="450" t="str">
        <f>IF(OR(D1486="",E1486=""),"",ROUND(D1486/LOOKUP(E1486,SMMLV!$A$2:$A$36,SMMLV!$D$2:$D$100),3))</f>
        <v/>
      </c>
    </row>
    <row r="1487" spans="5:6">
      <c r="E1487" s="321"/>
      <c r="F1487" s="450" t="str">
        <f>IF(OR(D1487="",E1487=""),"",ROUND(D1487/LOOKUP(E1487,SMMLV!$A$2:$A$36,SMMLV!$D$2:$D$100),3))</f>
        <v/>
      </c>
    </row>
    <row r="1488" spans="5:6">
      <c r="E1488" s="321"/>
      <c r="F1488" s="450" t="str">
        <f>IF(OR(D1488="",E1488=""),"",ROUND(D1488/LOOKUP(E1488,SMMLV!$A$2:$A$36,SMMLV!$D$2:$D$100),3))</f>
        <v/>
      </c>
    </row>
    <row r="1489" spans="5:6">
      <c r="E1489" s="321"/>
      <c r="F1489" s="450" t="str">
        <f>IF(OR(D1489="",E1489=""),"",ROUND(D1489/LOOKUP(E1489,SMMLV!$A$2:$A$36,SMMLV!$D$2:$D$100),3))</f>
        <v/>
      </c>
    </row>
    <row r="1490" spans="5:6">
      <c r="E1490" s="321"/>
      <c r="F1490" s="450" t="str">
        <f>IF(OR(D1490="",E1490=""),"",ROUND(D1490/LOOKUP(E1490,SMMLV!$A$2:$A$36,SMMLV!$D$2:$D$100),3))</f>
        <v/>
      </c>
    </row>
    <row r="1491" spans="5:6">
      <c r="E1491" s="321"/>
      <c r="F1491" s="450" t="str">
        <f>IF(OR(D1491="",E1491=""),"",ROUND(D1491/LOOKUP(E1491,SMMLV!$A$2:$A$36,SMMLV!$D$2:$D$100),3))</f>
        <v/>
      </c>
    </row>
    <row r="1492" spans="5:6">
      <c r="E1492" s="321"/>
      <c r="F1492" s="450" t="str">
        <f>IF(OR(D1492="",E1492=""),"",ROUND(D1492/LOOKUP(E1492,SMMLV!$A$2:$A$36,SMMLV!$D$2:$D$100),3))</f>
        <v/>
      </c>
    </row>
    <row r="1493" spans="5:6">
      <c r="E1493" s="321"/>
      <c r="F1493" s="450" t="str">
        <f>IF(OR(D1493="",E1493=""),"",ROUND(D1493/LOOKUP(E1493,SMMLV!$A$2:$A$36,SMMLV!$D$2:$D$100),3))</f>
        <v/>
      </c>
    </row>
    <row r="1494" spans="5:6">
      <c r="E1494" s="321"/>
      <c r="F1494" s="450" t="str">
        <f>IF(OR(D1494="",E1494=""),"",ROUND(D1494/LOOKUP(E1494,SMMLV!$A$2:$A$36,SMMLV!$D$2:$D$100),3))</f>
        <v/>
      </c>
    </row>
    <row r="1495" spans="5:6">
      <c r="E1495" s="321"/>
      <c r="F1495" s="450" t="str">
        <f>IF(OR(D1495="",E1495=""),"",ROUND(D1495/LOOKUP(E1495,SMMLV!$A$2:$A$36,SMMLV!$D$2:$D$100),3))</f>
        <v/>
      </c>
    </row>
    <row r="1496" spans="5:6">
      <c r="E1496" s="321"/>
      <c r="F1496" s="450" t="str">
        <f>IF(OR(D1496="",E1496=""),"",ROUND(D1496/LOOKUP(E1496,SMMLV!$A$2:$A$36,SMMLV!$D$2:$D$100),3))</f>
        <v/>
      </c>
    </row>
    <row r="1497" spans="5:6">
      <c r="E1497" s="321"/>
      <c r="F1497" s="450" t="str">
        <f>IF(OR(D1497="",E1497=""),"",ROUND(D1497/LOOKUP(E1497,SMMLV!$A$2:$A$36,SMMLV!$D$2:$D$100),3))</f>
        <v/>
      </c>
    </row>
    <row r="1498" spans="5:6">
      <c r="E1498" s="321"/>
      <c r="F1498" s="450" t="str">
        <f>IF(OR(D1498="",E1498=""),"",ROUND(D1498/LOOKUP(E1498,SMMLV!$A$2:$A$36,SMMLV!$D$2:$D$100),3))</f>
        <v/>
      </c>
    </row>
    <row r="1499" spans="5:6">
      <c r="E1499" s="321"/>
      <c r="F1499" s="450" t="str">
        <f>IF(OR(D1499="",E1499=""),"",ROUND(D1499/LOOKUP(E1499,SMMLV!$A$2:$A$36,SMMLV!$D$2:$D$100),3))</f>
        <v/>
      </c>
    </row>
    <row r="1500" spans="5:6">
      <c r="E1500" s="321"/>
      <c r="F1500" s="450" t="str">
        <f>IF(OR(D1500="",E1500=""),"",ROUND(D1500/LOOKUP(E1500,SMMLV!$A$2:$A$36,SMMLV!$D$2:$D$100),3))</f>
        <v/>
      </c>
    </row>
    <row r="1501" spans="5:6">
      <c r="E1501" s="321"/>
      <c r="F1501" s="450" t="str">
        <f>IF(OR(D1501="",E1501=""),"",ROUND(D1501/LOOKUP(E1501,SMMLV!$A$2:$A$36,SMMLV!$D$2:$D$100),3))</f>
        <v/>
      </c>
    </row>
    <row r="1502" spans="5:6">
      <c r="E1502" s="321"/>
      <c r="F1502" s="450" t="str">
        <f>IF(OR(D1502="",E1502=""),"",ROUND(D1502/LOOKUP(E1502,SMMLV!$A$2:$A$36,SMMLV!$D$2:$D$100),3))</f>
        <v/>
      </c>
    </row>
    <row r="1503" spans="5:6">
      <c r="E1503" s="321"/>
      <c r="F1503" s="450" t="str">
        <f>IF(OR(D1503="",E1503=""),"",ROUND(D1503/LOOKUP(E1503,SMMLV!$A$2:$A$36,SMMLV!$D$2:$D$100),3))</f>
        <v/>
      </c>
    </row>
    <row r="1504" spans="5:6">
      <c r="E1504" s="321"/>
      <c r="F1504" s="450" t="str">
        <f>IF(OR(D1504="",E1504=""),"",ROUND(D1504/LOOKUP(E1504,SMMLV!$A$2:$A$36,SMMLV!$D$2:$D$100),3))</f>
        <v/>
      </c>
    </row>
    <row r="1505" spans="5:6">
      <c r="E1505" s="321"/>
      <c r="F1505" s="450" t="str">
        <f>IF(OR(D1505="",E1505=""),"",ROUND(D1505/LOOKUP(E1505,SMMLV!$A$2:$A$36,SMMLV!$D$2:$D$100),3))</f>
        <v/>
      </c>
    </row>
    <row r="1506" spans="5:6">
      <c r="E1506" s="321"/>
      <c r="F1506" s="450" t="str">
        <f>IF(OR(D1506="",E1506=""),"",ROUND(D1506/LOOKUP(E1506,SMMLV!$A$2:$A$36,SMMLV!$D$2:$D$100),3))</f>
        <v/>
      </c>
    </row>
    <row r="1507" spans="5:6">
      <c r="E1507" s="321"/>
      <c r="F1507" s="450" t="str">
        <f>IF(OR(D1507="",E1507=""),"",ROUND(D1507/LOOKUP(E1507,SMMLV!$A$2:$A$36,SMMLV!$D$2:$D$100),3))</f>
        <v/>
      </c>
    </row>
    <row r="1508" spans="5:6">
      <c r="E1508" s="321"/>
      <c r="F1508" s="450" t="str">
        <f>IF(OR(D1508="",E1508=""),"",ROUND(D1508/LOOKUP(E1508,SMMLV!$A$2:$A$36,SMMLV!$D$2:$D$100),3))</f>
        <v/>
      </c>
    </row>
    <row r="1509" spans="5:6">
      <c r="E1509" s="321"/>
      <c r="F1509" s="450" t="str">
        <f>IF(OR(D1509="",E1509=""),"",ROUND(D1509/LOOKUP(E1509,SMMLV!$A$2:$A$36,SMMLV!$D$2:$D$100),3))</f>
        <v/>
      </c>
    </row>
    <row r="1510" spans="5:6">
      <c r="E1510" s="321"/>
      <c r="F1510" s="450" t="str">
        <f>IF(OR(D1510="",E1510=""),"",ROUND(D1510/LOOKUP(E1510,SMMLV!$A$2:$A$36,SMMLV!$D$2:$D$100),3))</f>
        <v/>
      </c>
    </row>
    <row r="1511" spans="5:6">
      <c r="E1511" s="321"/>
      <c r="F1511" s="450" t="str">
        <f>IF(OR(D1511="",E1511=""),"",ROUND(D1511/LOOKUP(E1511,SMMLV!$A$2:$A$36,SMMLV!$D$2:$D$100),3))</f>
        <v/>
      </c>
    </row>
    <row r="1512" spans="5:6">
      <c r="E1512" s="321"/>
      <c r="F1512" s="450" t="str">
        <f>IF(OR(D1512="",E1512=""),"",ROUND(D1512/LOOKUP(E1512,SMMLV!$A$2:$A$36,SMMLV!$D$2:$D$100),3))</f>
        <v/>
      </c>
    </row>
    <row r="1513" spans="5:6">
      <c r="E1513" s="321"/>
      <c r="F1513" s="450" t="str">
        <f>IF(OR(D1513="",E1513=""),"",ROUND(D1513/LOOKUP(E1513,SMMLV!$A$2:$A$36,SMMLV!$D$2:$D$100),3))</f>
        <v/>
      </c>
    </row>
    <row r="1514" spans="5:6">
      <c r="E1514" s="321"/>
      <c r="F1514" s="450" t="str">
        <f>IF(OR(D1514="",E1514=""),"",ROUND(D1514/LOOKUP(E1514,SMMLV!$A$2:$A$36,SMMLV!$D$2:$D$100),3))</f>
        <v/>
      </c>
    </row>
    <row r="1515" spans="5:6">
      <c r="E1515" s="321"/>
      <c r="F1515" s="450" t="str">
        <f>IF(OR(D1515="",E1515=""),"",ROUND(D1515/LOOKUP(E1515,SMMLV!$A$2:$A$36,SMMLV!$D$2:$D$100),3))</f>
        <v/>
      </c>
    </row>
    <row r="1516" spans="5:6">
      <c r="E1516" s="321"/>
      <c r="F1516" s="450" t="str">
        <f>IF(OR(D1516="",E1516=""),"",ROUND(D1516/LOOKUP(E1516,SMMLV!$A$2:$A$36,SMMLV!$D$2:$D$100),3))</f>
        <v/>
      </c>
    </row>
    <row r="1517" spans="5:6">
      <c r="E1517" s="321"/>
      <c r="F1517" s="450" t="str">
        <f>IF(OR(D1517="",E1517=""),"",ROUND(D1517/LOOKUP(E1517,SMMLV!$A$2:$A$36,SMMLV!$D$2:$D$100),3))</f>
        <v/>
      </c>
    </row>
    <row r="1518" spans="5:6">
      <c r="E1518" s="321"/>
      <c r="F1518" s="450" t="str">
        <f>IF(OR(D1518="",E1518=""),"",ROUND(D1518/LOOKUP(E1518,SMMLV!$A$2:$A$36,SMMLV!$D$2:$D$100),3))</f>
        <v/>
      </c>
    </row>
    <row r="1519" spans="5:6">
      <c r="E1519" s="321"/>
      <c r="F1519" s="450" t="str">
        <f>IF(OR(D1519="",E1519=""),"",ROUND(D1519/LOOKUP(E1519,SMMLV!$A$2:$A$36,SMMLV!$D$2:$D$100),3))</f>
        <v/>
      </c>
    </row>
    <row r="1520" spans="5:6">
      <c r="E1520" s="321"/>
      <c r="F1520" s="450" t="str">
        <f>IF(OR(D1520="",E1520=""),"",ROUND(D1520/LOOKUP(E1520,SMMLV!$A$2:$A$36,SMMLV!$D$2:$D$100),3))</f>
        <v/>
      </c>
    </row>
    <row r="1521" spans="5:6">
      <c r="E1521" s="321"/>
      <c r="F1521" s="450" t="str">
        <f>IF(OR(D1521="",E1521=""),"",ROUND(D1521/LOOKUP(E1521,SMMLV!$A$2:$A$36,SMMLV!$D$2:$D$100),3))</f>
        <v/>
      </c>
    </row>
    <row r="1522" spans="5:6">
      <c r="E1522" s="321"/>
      <c r="F1522" s="450" t="str">
        <f>IF(OR(D1522="",E1522=""),"",ROUND(D1522/LOOKUP(E1522,SMMLV!$A$2:$A$36,SMMLV!$D$2:$D$100),3))</f>
        <v/>
      </c>
    </row>
    <row r="1523" spans="5:6">
      <c r="E1523" s="321"/>
      <c r="F1523" s="450" t="str">
        <f>IF(OR(D1523="",E1523=""),"",ROUND(D1523/LOOKUP(E1523,SMMLV!$A$2:$A$36,SMMLV!$D$2:$D$100),3))</f>
        <v/>
      </c>
    </row>
    <row r="1524" spans="5:6">
      <c r="E1524" s="321"/>
      <c r="F1524" s="450" t="str">
        <f>IF(OR(D1524="",E1524=""),"",ROUND(D1524/LOOKUP(E1524,SMMLV!$A$2:$A$36,SMMLV!$D$2:$D$100),3))</f>
        <v/>
      </c>
    </row>
    <row r="1525" spans="5:6">
      <c r="E1525" s="321"/>
      <c r="F1525" s="450" t="str">
        <f>IF(OR(D1525="",E1525=""),"",ROUND(D1525/LOOKUP(E1525,SMMLV!$A$2:$A$36,SMMLV!$D$2:$D$100),3))</f>
        <v/>
      </c>
    </row>
    <row r="1526" spans="5:6">
      <c r="E1526" s="321"/>
      <c r="F1526" s="450" t="str">
        <f>IF(OR(D1526="",E1526=""),"",ROUND(D1526/LOOKUP(E1526,SMMLV!$A$2:$A$36,SMMLV!$D$2:$D$100),3))</f>
        <v/>
      </c>
    </row>
    <row r="1527" spans="5:6">
      <c r="E1527" s="321"/>
      <c r="F1527" s="450" t="str">
        <f>IF(OR(D1527="",E1527=""),"",ROUND(D1527/LOOKUP(E1527,SMMLV!$A$2:$A$36,SMMLV!$D$2:$D$100),3))</f>
        <v/>
      </c>
    </row>
    <row r="1528" spans="5:6">
      <c r="E1528" s="321"/>
      <c r="F1528" s="450" t="str">
        <f>IF(OR(D1528="",E1528=""),"",ROUND(D1528/LOOKUP(E1528,SMMLV!$A$2:$A$36,SMMLV!$D$2:$D$100),3))</f>
        <v/>
      </c>
    </row>
    <row r="1529" spans="5:6">
      <c r="E1529" s="321"/>
      <c r="F1529" s="450" t="str">
        <f>IF(OR(D1529="",E1529=""),"",ROUND(D1529/LOOKUP(E1529,SMMLV!$A$2:$A$36,SMMLV!$D$2:$D$100),3))</f>
        <v/>
      </c>
    </row>
    <row r="1530" spans="5:6">
      <c r="E1530" s="321"/>
      <c r="F1530" s="450" t="str">
        <f>IF(OR(D1530="",E1530=""),"",ROUND(D1530/LOOKUP(E1530,SMMLV!$A$2:$A$36,SMMLV!$D$2:$D$100),3))</f>
        <v/>
      </c>
    </row>
    <row r="1531" spans="5:6">
      <c r="E1531" s="321"/>
      <c r="F1531" s="450" t="str">
        <f>IF(OR(D1531="",E1531=""),"",ROUND(D1531/LOOKUP(E1531,SMMLV!$A$2:$A$36,SMMLV!$D$2:$D$100),3))</f>
        <v/>
      </c>
    </row>
    <row r="1532" spans="5:6">
      <c r="E1532" s="321"/>
      <c r="F1532" s="450" t="str">
        <f>IF(OR(D1532="",E1532=""),"",ROUND(D1532/LOOKUP(E1532,SMMLV!$A$2:$A$36,SMMLV!$D$2:$D$100),3))</f>
        <v/>
      </c>
    </row>
    <row r="1533" spans="5:6">
      <c r="E1533" s="321"/>
      <c r="F1533" s="450" t="str">
        <f>IF(OR(D1533="",E1533=""),"",ROUND(D1533/LOOKUP(E1533,SMMLV!$A$2:$A$36,SMMLV!$D$2:$D$100),3))</f>
        <v/>
      </c>
    </row>
    <row r="1534" spans="5:6">
      <c r="E1534" s="321"/>
      <c r="F1534" s="450" t="str">
        <f>IF(OR(D1534="",E1534=""),"",ROUND(D1534/LOOKUP(E1534,SMMLV!$A$2:$A$36,SMMLV!$D$2:$D$100),3))</f>
        <v/>
      </c>
    </row>
    <row r="1535" spans="5:6">
      <c r="E1535" s="321"/>
      <c r="F1535" s="450" t="str">
        <f>IF(OR(D1535="",E1535=""),"",ROUND(D1535/LOOKUP(E1535,SMMLV!$A$2:$A$36,SMMLV!$D$2:$D$100),3))</f>
        <v/>
      </c>
    </row>
    <row r="1536" spans="5:6">
      <c r="E1536" s="321"/>
      <c r="F1536" s="450" t="str">
        <f>IF(OR(D1536="",E1536=""),"",ROUND(D1536/LOOKUP(E1536,SMMLV!$A$2:$A$36,SMMLV!$D$2:$D$100),3))</f>
        <v/>
      </c>
    </row>
    <row r="1537" spans="5:6">
      <c r="E1537" s="321"/>
      <c r="F1537" s="450" t="str">
        <f>IF(OR(D1537="",E1537=""),"",ROUND(D1537/LOOKUP(E1537,SMMLV!$A$2:$A$36,SMMLV!$D$2:$D$100),3))</f>
        <v/>
      </c>
    </row>
    <row r="1538" spans="5:6">
      <c r="E1538" s="321"/>
      <c r="F1538" s="450" t="str">
        <f>IF(OR(D1538="",E1538=""),"",ROUND(D1538/LOOKUP(E1538,SMMLV!$A$2:$A$36,SMMLV!$D$2:$D$100),3))</f>
        <v/>
      </c>
    </row>
    <row r="1539" spans="5:6">
      <c r="E1539" s="321"/>
      <c r="F1539" s="450" t="str">
        <f>IF(OR(D1539="",E1539=""),"",ROUND(D1539/LOOKUP(E1539,SMMLV!$A$2:$A$36,SMMLV!$D$2:$D$100),3))</f>
        <v/>
      </c>
    </row>
    <row r="1540" spans="5:6">
      <c r="E1540" s="321"/>
      <c r="F1540" s="450" t="str">
        <f>IF(OR(D1540="",E1540=""),"",ROUND(D1540/LOOKUP(E1540,SMMLV!$A$2:$A$36,SMMLV!$D$2:$D$100),3))</f>
        <v/>
      </c>
    </row>
    <row r="1541" spans="5:6">
      <c r="E1541" s="321"/>
      <c r="F1541" s="450" t="str">
        <f>IF(OR(D1541="",E1541=""),"",ROUND(D1541/LOOKUP(E1541,SMMLV!$A$2:$A$36,SMMLV!$D$2:$D$100),3))</f>
        <v/>
      </c>
    </row>
    <row r="1542" spans="5:6">
      <c r="E1542" s="321"/>
      <c r="F1542" s="450" t="str">
        <f>IF(OR(D1542="",E1542=""),"",ROUND(D1542/LOOKUP(E1542,SMMLV!$A$2:$A$36,SMMLV!$D$2:$D$100),3))</f>
        <v/>
      </c>
    </row>
    <row r="1543" spans="5:6">
      <c r="E1543" s="321"/>
      <c r="F1543" s="450" t="str">
        <f>IF(OR(D1543="",E1543=""),"",ROUND(D1543/LOOKUP(E1543,SMMLV!$A$2:$A$36,SMMLV!$D$2:$D$100),3))</f>
        <v/>
      </c>
    </row>
    <row r="1544" spans="5:6">
      <c r="E1544" s="321"/>
      <c r="F1544" s="450" t="str">
        <f>IF(OR(D1544="",E1544=""),"",ROUND(D1544/LOOKUP(E1544,SMMLV!$A$2:$A$36,SMMLV!$D$2:$D$100),3))</f>
        <v/>
      </c>
    </row>
    <row r="1545" spans="5:6">
      <c r="E1545" s="321"/>
      <c r="F1545" s="450" t="str">
        <f>IF(OR(D1545="",E1545=""),"",ROUND(D1545/LOOKUP(E1545,SMMLV!$A$2:$A$36,SMMLV!$D$2:$D$100),3))</f>
        <v/>
      </c>
    </row>
    <row r="1546" spans="5:6">
      <c r="E1546" s="321"/>
      <c r="F1546" s="450" t="str">
        <f>IF(OR(D1546="",E1546=""),"",ROUND(D1546/LOOKUP(E1546,SMMLV!$A$2:$A$36,SMMLV!$D$2:$D$100),3))</f>
        <v/>
      </c>
    </row>
    <row r="1547" spans="5:6">
      <c r="E1547" s="321"/>
      <c r="F1547" s="450" t="str">
        <f>IF(OR(D1547="",E1547=""),"",ROUND(D1547/LOOKUP(E1547,SMMLV!$A$2:$A$36,SMMLV!$D$2:$D$100),3))</f>
        <v/>
      </c>
    </row>
    <row r="1548" spans="5:6">
      <c r="E1548" s="321"/>
      <c r="F1548" s="450" t="str">
        <f>IF(OR(D1548="",E1548=""),"",ROUND(D1548/LOOKUP(E1548,SMMLV!$A$2:$A$36,SMMLV!$D$2:$D$100),3))</f>
        <v/>
      </c>
    </row>
    <row r="1549" spans="5:6">
      <c r="E1549" s="321"/>
      <c r="F1549" s="450" t="str">
        <f>IF(OR(D1549="",E1549=""),"",ROUND(D1549/LOOKUP(E1549,SMMLV!$A$2:$A$36,SMMLV!$D$2:$D$100),3))</f>
        <v/>
      </c>
    </row>
    <row r="1550" spans="5:6">
      <c r="E1550" s="321"/>
      <c r="F1550" s="450" t="str">
        <f>IF(OR(D1550="",E1550=""),"",ROUND(D1550/LOOKUP(E1550,SMMLV!$A$2:$A$36,SMMLV!$D$2:$D$100),3))</f>
        <v/>
      </c>
    </row>
    <row r="1551" spans="5:6">
      <c r="E1551" s="321"/>
      <c r="F1551" s="450" t="str">
        <f>IF(OR(D1551="",E1551=""),"",ROUND(D1551/LOOKUP(E1551,SMMLV!$A$2:$A$36,SMMLV!$D$2:$D$100),3))</f>
        <v/>
      </c>
    </row>
    <row r="1552" spans="5:6">
      <c r="E1552" s="321"/>
      <c r="F1552" s="450" t="str">
        <f>IF(OR(D1552="",E1552=""),"",ROUND(D1552/LOOKUP(E1552,SMMLV!$A$2:$A$36,SMMLV!$D$2:$D$100),3))</f>
        <v/>
      </c>
    </row>
    <row r="1553" spans="5:6">
      <c r="E1553" s="321"/>
      <c r="F1553" s="450" t="str">
        <f>IF(OR(D1553="",E1553=""),"",ROUND(D1553/LOOKUP(E1553,SMMLV!$A$2:$A$36,SMMLV!$D$2:$D$100),3))</f>
        <v/>
      </c>
    </row>
    <row r="1554" spans="5:6">
      <c r="E1554" s="321"/>
      <c r="F1554" s="450" t="str">
        <f>IF(OR(D1554="",E1554=""),"",ROUND(D1554/LOOKUP(E1554,SMMLV!$A$2:$A$36,SMMLV!$D$2:$D$100),3))</f>
        <v/>
      </c>
    </row>
    <row r="1555" spans="5:6">
      <c r="E1555" s="321"/>
      <c r="F1555" s="450" t="str">
        <f>IF(OR(D1555="",E1555=""),"",ROUND(D1555/LOOKUP(E1555,SMMLV!$A$2:$A$36,SMMLV!$D$2:$D$100),3))</f>
        <v/>
      </c>
    </row>
    <row r="1556" spans="5:6">
      <c r="E1556" s="321"/>
      <c r="F1556" s="450" t="str">
        <f>IF(OR(D1556="",E1556=""),"",ROUND(D1556/LOOKUP(E1556,SMMLV!$A$2:$A$36,SMMLV!$D$2:$D$100),3))</f>
        <v/>
      </c>
    </row>
    <row r="1557" spans="5:6">
      <c r="E1557" s="321"/>
      <c r="F1557" s="450" t="str">
        <f>IF(OR(D1557="",E1557=""),"",ROUND(D1557/LOOKUP(E1557,SMMLV!$A$2:$A$36,SMMLV!$D$2:$D$100),3))</f>
        <v/>
      </c>
    </row>
    <row r="1558" spans="5:6">
      <c r="E1558" s="321"/>
      <c r="F1558" s="450" t="str">
        <f>IF(OR(D1558="",E1558=""),"",ROUND(D1558/LOOKUP(E1558,SMMLV!$A$2:$A$36,SMMLV!$D$2:$D$100),3))</f>
        <v/>
      </c>
    </row>
    <row r="1559" spans="5:6">
      <c r="E1559" s="321"/>
      <c r="F1559" s="450" t="str">
        <f>IF(OR(D1559="",E1559=""),"",ROUND(D1559/LOOKUP(E1559,SMMLV!$A$2:$A$36,SMMLV!$D$2:$D$100),3))</f>
        <v/>
      </c>
    </row>
    <row r="1560" spans="5:6">
      <c r="E1560" s="321"/>
      <c r="F1560" s="450" t="str">
        <f>IF(OR(D1560="",E1560=""),"",ROUND(D1560/LOOKUP(E1560,SMMLV!$A$2:$A$36,SMMLV!$D$2:$D$100),3))</f>
        <v/>
      </c>
    </row>
    <row r="1561" spans="5:6">
      <c r="E1561" s="321"/>
      <c r="F1561" s="450" t="str">
        <f>IF(OR(D1561="",E1561=""),"",ROUND(D1561/LOOKUP(E1561,SMMLV!$A$2:$A$36,SMMLV!$D$2:$D$100),3))</f>
        <v/>
      </c>
    </row>
    <row r="1562" spans="5:6">
      <c r="E1562" s="321"/>
      <c r="F1562" s="450" t="str">
        <f>IF(OR(D1562="",E1562=""),"",ROUND(D1562/LOOKUP(E1562,SMMLV!$A$2:$A$36,SMMLV!$D$2:$D$100),3))</f>
        <v/>
      </c>
    </row>
    <row r="1563" spans="5:6">
      <c r="E1563" s="321"/>
      <c r="F1563" s="450" t="str">
        <f>IF(OR(D1563="",E1563=""),"",ROUND(D1563/LOOKUP(E1563,SMMLV!$A$2:$A$36,SMMLV!$D$2:$D$100),3))</f>
        <v/>
      </c>
    </row>
    <row r="1564" spans="5:6">
      <c r="E1564" s="321"/>
      <c r="F1564" s="450" t="str">
        <f>IF(OR(D1564="",E1564=""),"",ROUND(D1564/LOOKUP(E1564,SMMLV!$A$2:$A$36,SMMLV!$D$2:$D$100),3))</f>
        <v/>
      </c>
    </row>
    <row r="1565" spans="5:6">
      <c r="E1565" s="321"/>
      <c r="F1565" s="450" t="str">
        <f>IF(OR(D1565="",E1565=""),"",ROUND(D1565/LOOKUP(E1565,SMMLV!$A$2:$A$36,SMMLV!$D$2:$D$100),3))</f>
        <v/>
      </c>
    </row>
    <row r="1566" spans="5:6">
      <c r="E1566" s="321"/>
      <c r="F1566" s="450" t="str">
        <f>IF(OR(D1566="",E1566=""),"",ROUND(D1566/LOOKUP(E1566,SMMLV!$A$2:$A$36,SMMLV!$D$2:$D$100),3))</f>
        <v/>
      </c>
    </row>
    <row r="1567" spans="5:6">
      <c r="E1567" s="321"/>
      <c r="F1567" s="450" t="str">
        <f>IF(OR(D1567="",E1567=""),"",ROUND(D1567/LOOKUP(E1567,SMMLV!$A$2:$A$36,SMMLV!$D$2:$D$100),3))</f>
        <v/>
      </c>
    </row>
    <row r="1568" spans="5:6">
      <c r="E1568" s="321"/>
      <c r="F1568" s="450" t="str">
        <f>IF(OR(D1568="",E1568=""),"",ROUND(D1568/LOOKUP(E1568,SMMLV!$A$2:$A$36,SMMLV!$D$2:$D$100),3))</f>
        <v/>
      </c>
    </row>
    <row r="1569" spans="5:6">
      <c r="E1569" s="321"/>
      <c r="F1569" s="450" t="str">
        <f>IF(OR(D1569="",E1569=""),"",ROUND(D1569/LOOKUP(E1569,SMMLV!$A$2:$A$36,SMMLV!$D$2:$D$100),3))</f>
        <v/>
      </c>
    </row>
    <row r="1570" spans="5:6">
      <c r="E1570" s="321"/>
      <c r="F1570" s="450" t="str">
        <f>IF(OR(D1570="",E1570=""),"",ROUND(D1570/LOOKUP(E1570,SMMLV!$A$2:$A$36,SMMLV!$D$2:$D$100),3))</f>
        <v/>
      </c>
    </row>
    <row r="1571" spans="5:6">
      <c r="E1571" s="321"/>
      <c r="F1571" s="450" t="str">
        <f>IF(OR(D1571="",E1571=""),"",ROUND(D1571/LOOKUP(E1571,SMMLV!$A$2:$A$36,SMMLV!$D$2:$D$100),3))</f>
        <v/>
      </c>
    </row>
    <row r="1572" spans="5:6">
      <c r="E1572" s="321"/>
      <c r="F1572" s="450" t="str">
        <f>IF(OR(D1572="",E1572=""),"",ROUND(D1572/LOOKUP(E1572,SMMLV!$A$2:$A$36,SMMLV!$D$2:$D$100),3))</f>
        <v/>
      </c>
    </row>
    <row r="1573" spans="5:6">
      <c r="E1573" s="321"/>
      <c r="F1573" s="450" t="str">
        <f>IF(OR(D1573="",E1573=""),"",ROUND(D1573/LOOKUP(E1573,SMMLV!$A$2:$A$36,SMMLV!$D$2:$D$100),3))</f>
        <v/>
      </c>
    </row>
    <row r="1574" spans="5:6">
      <c r="E1574" s="321"/>
      <c r="F1574" s="450" t="str">
        <f>IF(OR(D1574="",E1574=""),"",ROUND(D1574/LOOKUP(E1574,SMMLV!$A$2:$A$36,SMMLV!$D$2:$D$100),3))</f>
        <v/>
      </c>
    </row>
    <row r="1575" spans="5:6">
      <c r="E1575" s="321"/>
      <c r="F1575" s="450" t="str">
        <f>IF(OR(D1575="",E1575=""),"",ROUND(D1575/LOOKUP(E1575,SMMLV!$A$2:$A$36,SMMLV!$D$2:$D$100),3))</f>
        <v/>
      </c>
    </row>
    <row r="1576" spans="5:6">
      <c r="E1576" s="321"/>
      <c r="F1576" s="450" t="str">
        <f>IF(OR(D1576="",E1576=""),"",ROUND(D1576/LOOKUP(E1576,SMMLV!$A$2:$A$36,SMMLV!$D$2:$D$100),3))</f>
        <v/>
      </c>
    </row>
    <row r="1577" spans="5:6">
      <c r="E1577" s="321"/>
      <c r="F1577" s="450" t="str">
        <f>IF(OR(D1577="",E1577=""),"",ROUND(D1577/LOOKUP(E1577,SMMLV!$A$2:$A$36,SMMLV!$D$2:$D$100),3))</f>
        <v/>
      </c>
    </row>
    <row r="1578" spans="5:6">
      <c r="E1578" s="321"/>
      <c r="F1578" s="450" t="str">
        <f>IF(OR(D1578="",E1578=""),"",ROUND(D1578/LOOKUP(E1578,SMMLV!$A$2:$A$36,SMMLV!$D$2:$D$100),3))</f>
        <v/>
      </c>
    </row>
    <row r="1579" spans="5:6">
      <c r="E1579" s="321"/>
      <c r="F1579" s="450" t="str">
        <f>IF(OR(D1579="",E1579=""),"",ROUND(D1579/LOOKUP(E1579,SMMLV!$A$2:$A$36,SMMLV!$D$2:$D$100),3))</f>
        <v/>
      </c>
    </row>
    <row r="1580" spans="5:6">
      <c r="E1580" s="321"/>
      <c r="F1580" s="450" t="str">
        <f>IF(OR(D1580="",E1580=""),"",ROUND(D1580/LOOKUP(E1580,SMMLV!$A$2:$A$36,SMMLV!$D$2:$D$100),3))</f>
        <v/>
      </c>
    </row>
    <row r="1581" spans="5:6">
      <c r="E1581" s="321"/>
      <c r="F1581" s="450" t="str">
        <f>IF(OR(D1581="",E1581=""),"",ROUND(D1581/LOOKUP(E1581,SMMLV!$A$2:$A$36,SMMLV!$D$2:$D$100),3))</f>
        <v/>
      </c>
    </row>
    <row r="1582" spans="5:6">
      <c r="E1582" s="321"/>
      <c r="F1582" s="450" t="str">
        <f>IF(OR(D1582="",E1582=""),"",ROUND(D1582/LOOKUP(E1582,SMMLV!$A$2:$A$36,SMMLV!$D$2:$D$100),3))</f>
        <v/>
      </c>
    </row>
    <row r="1583" spans="5:6">
      <c r="E1583" s="321"/>
      <c r="F1583" s="450" t="str">
        <f>IF(OR(D1583="",E1583=""),"",ROUND(D1583/LOOKUP(E1583,SMMLV!$A$2:$A$36,SMMLV!$D$2:$D$100),3))</f>
        <v/>
      </c>
    </row>
    <row r="1584" spans="5:6">
      <c r="E1584" s="321"/>
      <c r="F1584" s="450" t="str">
        <f>IF(OR(D1584="",E1584=""),"",ROUND(D1584/LOOKUP(E1584,SMMLV!$A$2:$A$36,SMMLV!$D$2:$D$100),3))</f>
        <v/>
      </c>
    </row>
    <row r="1585" spans="5:6">
      <c r="E1585" s="321"/>
      <c r="F1585" s="450" t="str">
        <f>IF(OR(D1585="",E1585=""),"",ROUND(D1585/LOOKUP(E1585,SMMLV!$A$2:$A$36,SMMLV!$D$2:$D$100),3))</f>
        <v/>
      </c>
    </row>
    <row r="1586" spans="5:6">
      <c r="E1586" s="321"/>
      <c r="F1586" s="450" t="str">
        <f>IF(OR(D1586="",E1586=""),"",ROUND(D1586/LOOKUP(E1586,SMMLV!$A$2:$A$36,SMMLV!$D$2:$D$100),3))</f>
        <v/>
      </c>
    </row>
    <row r="1587" spans="5:6">
      <c r="E1587" s="321"/>
      <c r="F1587" s="450" t="str">
        <f>IF(OR(D1587="",E1587=""),"",ROUND(D1587/LOOKUP(E1587,SMMLV!$A$2:$A$36,SMMLV!$D$2:$D$100),3))</f>
        <v/>
      </c>
    </row>
    <row r="1588" spans="5:6">
      <c r="E1588" s="321"/>
      <c r="F1588" s="450" t="str">
        <f>IF(OR(D1588="",E1588=""),"",ROUND(D1588/LOOKUP(E1588,SMMLV!$A$2:$A$36,SMMLV!$D$2:$D$100),3))</f>
        <v/>
      </c>
    </row>
    <row r="1589" spans="5:6">
      <c r="E1589" s="321"/>
      <c r="F1589" s="450" t="str">
        <f>IF(OR(D1589="",E1589=""),"",ROUND(D1589/LOOKUP(E1589,SMMLV!$A$2:$A$36,SMMLV!$D$2:$D$100),3))</f>
        <v/>
      </c>
    </row>
    <row r="1590" spans="5:6">
      <c r="E1590" s="321"/>
      <c r="F1590" s="450" t="str">
        <f>IF(OR(D1590="",E1590=""),"",ROUND(D1590/LOOKUP(E1590,SMMLV!$A$2:$A$36,SMMLV!$D$2:$D$100),3))</f>
        <v/>
      </c>
    </row>
    <row r="1591" spans="5:6">
      <c r="E1591" s="321"/>
      <c r="F1591" s="450" t="str">
        <f>IF(OR(D1591="",E1591=""),"",ROUND(D1591/LOOKUP(E1591,SMMLV!$A$2:$A$36,SMMLV!$D$2:$D$100),3))</f>
        <v/>
      </c>
    </row>
    <row r="1592" spans="5:6">
      <c r="E1592" s="321"/>
      <c r="F1592" s="450" t="str">
        <f>IF(OR(D1592="",E1592=""),"",ROUND(D1592/LOOKUP(E1592,SMMLV!$A$2:$A$36,SMMLV!$D$2:$D$100),3))</f>
        <v/>
      </c>
    </row>
    <row r="1593" spans="5:6">
      <c r="E1593" s="321"/>
      <c r="F1593" s="450" t="str">
        <f>IF(OR(D1593="",E1593=""),"",ROUND(D1593/LOOKUP(E1593,SMMLV!$A$2:$A$36,SMMLV!$D$2:$D$100),3))</f>
        <v/>
      </c>
    </row>
    <row r="1594" spans="5:6">
      <c r="E1594" s="321"/>
      <c r="F1594" s="450" t="str">
        <f>IF(OR(D1594="",E1594=""),"",ROUND(D1594/LOOKUP(E1594,SMMLV!$A$2:$A$36,SMMLV!$D$2:$D$100),3))</f>
        <v/>
      </c>
    </row>
    <row r="1595" spans="5:6">
      <c r="E1595" s="321"/>
      <c r="F1595" s="450" t="str">
        <f>IF(OR(D1595="",E1595=""),"",ROUND(D1595/LOOKUP(E1595,SMMLV!$A$2:$A$36,SMMLV!$D$2:$D$100),3))</f>
        <v/>
      </c>
    </row>
    <row r="1596" spans="5:6">
      <c r="E1596" s="321"/>
      <c r="F1596" s="450" t="str">
        <f>IF(OR(D1596="",E1596=""),"",ROUND(D1596/LOOKUP(E1596,SMMLV!$A$2:$A$36,SMMLV!$D$2:$D$100),3))</f>
        <v/>
      </c>
    </row>
    <row r="1597" spans="5:6">
      <c r="E1597" s="321"/>
      <c r="F1597" s="450" t="str">
        <f>IF(OR(D1597="",E1597=""),"",ROUND(D1597/LOOKUP(E1597,SMMLV!$A$2:$A$36,SMMLV!$D$2:$D$100),3))</f>
        <v/>
      </c>
    </row>
    <row r="1598" spans="5:6">
      <c r="E1598" s="321"/>
      <c r="F1598" s="450" t="str">
        <f>IF(OR(D1598="",E1598=""),"",ROUND(D1598/LOOKUP(E1598,SMMLV!$A$2:$A$36,SMMLV!$D$2:$D$100),3))</f>
        <v/>
      </c>
    </row>
    <row r="1599" spans="5:6">
      <c r="E1599" s="321"/>
      <c r="F1599" s="450" t="str">
        <f>IF(OR(D1599="",E1599=""),"",ROUND(D1599/LOOKUP(E1599,SMMLV!$A$2:$A$36,SMMLV!$D$2:$D$100),3))</f>
        <v/>
      </c>
    </row>
    <row r="1600" spans="5:6">
      <c r="E1600" s="321"/>
      <c r="F1600" s="450" t="str">
        <f>IF(OR(D1600="",E1600=""),"",ROUND(D1600/LOOKUP(E1600,SMMLV!$A$2:$A$36,SMMLV!$D$2:$D$100),3))</f>
        <v/>
      </c>
    </row>
    <row r="1601" spans="5:6">
      <c r="E1601" s="321"/>
      <c r="F1601" s="450" t="str">
        <f>IF(OR(D1601="",E1601=""),"",ROUND(D1601/LOOKUP(E1601,SMMLV!$A$2:$A$36,SMMLV!$D$2:$D$100),3))</f>
        <v/>
      </c>
    </row>
    <row r="1602" spans="5:6">
      <c r="E1602" s="321"/>
      <c r="F1602" s="450" t="str">
        <f>IF(OR(D1602="",E1602=""),"",ROUND(D1602/LOOKUP(E1602,SMMLV!$A$2:$A$36,SMMLV!$D$2:$D$100),3))</f>
        <v/>
      </c>
    </row>
    <row r="1603" spans="5:6">
      <c r="E1603" s="321"/>
      <c r="F1603" s="450" t="str">
        <f>IF(OR(D1603="",E1603=""),"",ROUND(D1603/LOOKUP(E1603,SMMLV!$A$2:$A$36,SMMLV!$D$2:$D$100),3))</f>
        <v/>
      </c>
    </row>
    <row r="1604" spans="5:6">
      <c r="E1604" s="321"/>
      <c r="F1604" s="450" t="str">
        <f>IF(OR(D1604="",E1604=""),"",ROUND(D1604/LOOKUP(E1604,SMMLV!$A$2:$A$36,SMMLV!$D$2:$D$100),3))</f>
        <v/>
      </c>
    </row>
    <row r="1605" spans="5:6">
      <c r="E1605" s="321"/>
      <c r="F1605" s="450" t="str">
        <f>IF(OR(D1605="",E1605=""),"",ROUND(D1605/LOOKUP(E1605,SMMLV!$A$2:$A$36,SMMLV!$D$2:$D$100),3))</f>
        <v/>
      </c>
    </row>
    <row r="1606" spans="5:6">
      <c r="E1606" s="321"/>
      <c r="F1606" s="450" t="str">
        <f>IF(OR(D1606="",E1606=""),"",ROUND(D1606/LOOKUP(E1606,SMMLV!$A$2:$A$36,SMMLV!$D$2:$D$100),3))</f>
        <v/>
      </c>
    </row>
    <row r="1607" spans="5:6">
      <c r="E1607" s="321"/>
      <c r="F1607" s="450" t="str">
        <f>IF(OR(D1607="",E1607=""),"",ROUND(D1607/LOOKUP(E1607,SMMLV!$A$2:$A$36,SMMLV!$D$2:$D$100),3))</f>
        <v/>
      </c>
    </row>
    <row r="1608" spans="5:6">
      <c r="E1608" s="321"/>
      <c r="F1608" s="450" t="str">
        <f>IF(OR(D1608="",E1608=""),"",ROUND(D1608/LOOKUP(E1608,SMMLV!$A$2:$A$36,SMMLV!$D$2:$D$100),3))</f>
        <v/>
      </c>
    </row>
    <row r="1609" spans="5:6">
      <c r="E1609" s="321"/>
      <c r="F1609" s="450" t="str">
        <f>IF(OR(D1609="",E1609=""),"",ROUND(D1609/LOOKUP(E1609,SMMLV!$A$2:$A$36,SMMLV!$D$2:$D$100),3))</f>
        <v/>
      </c>
    </row>
    <row r="1610" spans="5:6">
      <c r="E1610" s="321"/>
      <c r="F1610" s="450" t="str">
        <f>IF(OR(D1610="",E1610=""),"",ROUND(D1610/LOOKUP(E1610,SMMLV!$A$2:$A$36,SMMLV!$D$2:$D$100),3))</f>
        <v/>
      </c>
    </row>
    <row r="1611" spans="5:6">
      <c r="E1611" s="321"/>
      <c r="F1611" s="450" t="str">
        <f>IF(OR(D1611="",E1611=""),"",ROUND(D1611/LOOKUP(E1611,SMMLV!$A$2:$A$36,SMMLV!$D$2:$D$100),3))</f>
        <v/>
      </c>
    </row>
    <row r="1612" spans="5:6">
      <c r="E1612" s="321"/>
      <c r="F1612" s="450" t="str">
        <f>IF(OR(D1612="",E1612=""),"",ROUND(D1612/LOOKUP(E1612,SMMLV!$A$2:$A$36,SMMLV!$D$2:$D$100),3))</f>
        <v/>
      </c>
    </row>
    <row r="1613" spans="5:6">
      <c r="E1613" s="321"/>
      <c r="F1613" s="450" t="str">
        <f>IF(OR(D1613="",E1613=""),"",ROUND(D1613/LOOKUP(E1613,SMMLV!$A$2:$A$36,SMMLV!$D$2:$D$100),3))</f>
        <v/>
      </c>
    </row>
    <row r="1614" spans="5:6">
      <c r="E1614" s="321"/>
      <c r="F1614" s="450" t="str">
        <f>IF(OR(D1614="",E1614=""),"",ROUND(D1614/LOOKUP(E1614,SMMLV!$A$2:$A$36,SMMLV!$D$2:$D$100),3))</f>
        <v/>
      </c>
    </row>
    <row r="1615" spans="5:6">
      <c r="E1615" s="321"/>
      <c r="F1615" s="450" t="str">
        <f>IF(OR(D1615="",E1615=""),"",ROUND(D1615/LOOKUP(E1615,SMMLV!$A$2:$A$36,SMMLV!$D$2:$D$100),3))</f>
        <v/>
      </c>
    </row>
    <row r="1616" spans="5:6">
      <c r="E1616" s="321"/>
      <c r="F1616" s="450" t="str">
        <f>IF(OR(D1616="",E1616=""),"",ROUND(D1616/LOOKUP(E1616,SMMLV!$A$2:$A$36,SMMLV!$D$2:$D$100),3))</f>
        <v/>
      </c>
    </row>
    <row r="1617" spans="5:6">
      <c r="E1617" s="321"/>
      <c r="F1617" s="450" t="str">
        <f>IF(OR(D1617="",E1617=""),"",ROUND(D1617/LOOKUP(E1617,SMMLV!$A$2:$A$36,SMMLV!$D$2:$D$100),3))</f>
        <v/>
      </c>
    </row>
    <row r="1618" spans="5:6">
      <c r="E1618" s="321"/>
      <c r="F1618" s="450" t="str">
        <f>IF(OR(D1618="",E1618=""),"",ROUND(D1618/LOOKUP(E1618,SMMLV!$A$2:$A$36,SMMLV!$D$2:$D$100),3))</f>
        <v/>
      </c>
    </row>
    <row r="1619" spans="5:6">
      <c r="E1619" s="321"/>
      <c r="F1619" s="450" t="str">
        <f>IF(OR(D1619="",E1619=""),"",ROUND(D1619/LOOKUP(E1619,SMMLV!$A$2:$A$36,SMMLV!$D$2:$D$100),3))</f>
        <v/>
      </c>
    </row>
    <row r="1620" spans="5:6">
      <c r="E1620" s="321"/>
      <c r="F1620" s="450" t="str">
        <f>IF(OR(D1620="",E1620=""),"",ROUND(D1620/LOOKUP(E1620,SMMLV!$A$2:$A$36,SMMLV!$D$2:$D$100),3))</f>
        <v/>
      </c>
    </row>
    <row r="1621" spans="5:6">
      <c r="E1621" s="321"/>
      <c r="F1621" s="450" t="str">
        <f>IF(OR(D1621="",E1621=""),"",ROUND(D1621/LOOKUP(E1621,SMMLV!$A$2:$A$36,SMMLV!$D$2:$D$100),3))</f>
        <v/>
      </c>
    </row>
    <row r="1622" spans="5:6">
      <c r="E1622" s="321"/>
      <c r="F1622" s="450" t="str">
        <f>IF(OR(D1622="",E1622=""),"",ROUND(D1622/LOOKUP(E1622,SMMLV!$A$2:$A$36,SMMLV!$D$2:$D$100),3))</f>
        <v/>
      </c>
    </row>
    <row r="1623" spans="5:6">
      <c r="E1623" s="321"/>
      <c r="F1623" s="450" t="str">
        <f>IF(OR(D1623="",E1623=""),"",ROUND(D1623/LOOKUP(E1623,SMMLV!$A$2:$A$36,SMMLV!$D$2:$D$100),3))</f>
        <v/>
      </c>
    </row>
    <row r="1624" spans="5:6">
      <c r="E1624" s="321"/>
      <c r="F1624" s="450" t="str">
        <f>IF(OR(D1624="",E1624=""),"",ROUND(D1624/LOOKUP(E1624,SMMLV!$A$2:$A$36,SMMLV!$D$2:$D$100),3))</f>
        <v/>
      </c>
    </row>
    <row r="1625" spans="5:6">
      <c r="E1625" s="321"/>
      <c r="F1625" s="450" t="str">
        <f>IF(OR(D1625="",E1625=""),"",ROUND(D1625/LOOKUP(E1625,SMMLV!$A$2:$A$36,SMMLV!$D$2:$D$100),3))</f>
        <v/>
      </c>
    </row>
    <row r="1626" spans="5:6">
      <c r="E1626" s="321"/>
      <c r="F1626" s="450" t="str">
        <f>IF(OR(D1626="",E1626=""),"",ROUND(D1626/LOOKUP(E1626,SMMLV!$A$2:$A$36,SMMLV!$D$2:$D$100),3))</f>
        <v/>
      </c>
    </row>
    <row r="1627" spans="5:6">
      <c r="E1627" s="321"/>
      <c r="F1627" s="450" t="str">
        <f>IF(OR(D1627="",E1627=""),"",ROUND(D1627/LOOKUP(E1627,SMMLV!$A$2:$A$36,SMMLV!$D$2:$D$100),3))</f>
        <v/>
      </c>
    </row>
    <row r="1628" spans="5:6">
      <c r="E1628" s="321"/>
      <c r="F1628" s="450" t="str">
        <f>IF(OR(D1628="",E1628=""),"",ROUND(D1628/LOOKUP(E1628,SMMLV!$A$2:$A$36,SMMLV!$D$2:$D$100),3))</f>
        <v/>
      </c>
    </row>
    <row r="1629" spans="5:6">
      <c r="E1629" s="321"/>
      <c r="F1629" s="450" t="str">
        <f>IF(OR(D1629="",E1629=""),"",ROUND(D1629/LOOKUP(E1629,SMMLV!$A$2:$A$36,SMMLV!$D$2:$D$100),3))</f>
        <v/>
      </c>
    </row>
    <row r="1630" spans="5:6">
      <c r="E1630" s="321"/>
      <c r="F1630" s="450" t="str">
        <f>IF(OR(D1630="",E1630=""),"",ROUND(D1630/LOOKUP(E1630,SMMLV!$A$2:$A$36,SMMLV!$D$2:$D$100),3))</f>
        <v/>
      </c>
    </row>
    <row r="1631" spans="5:6">
      <c r="E1631" s="321"/>
      <c r="F1631" s="450" t="str">
        <f>IF(OR(D1631="",E1631=""),"",ROUND(D1631/LOOKUP(E1631,SMMLV!$A$2:$A$36,SMMLV!$D$2:$D$100),3))</f>
        <v/>
      </c>
    </row>
    <row r="1632" spans="5:6">
      <c r="E1632" s="321"/>
      <c r="F1632" s="450" t="str">
        <f>IF(OR(D1632="",E1632=""),"",ROUND(D1632/LOOKUP(E1632,SMMLV!$A$2:$A$36,SMMLV!$D$2:$D$100),3))</f>
        <v/>
      </c>
    </row>
    <row r="1633" spans="5:6">
      <c r="E1633" s="321"/>
      <c r="F1633" s="450" t="str">
        <f>IF(OR(D1633="",E1633=""),"",ROUND(D1633/LOOKUP(E1633,SMMLV!$A$2:$A$36,SMMLV!$D$2:$D$100),3))</f>
        <v/>
      </c>
    </row>
    <row r="1634" spans="5:6">
      <c r="E1634" s="321"/>
      <c r="F1634" s="450" t="str">
        <f>IF(OR(D1634="",E1634=""),"",ROUND(D1634/LOOKUP(E1634,SMMLV!$A$2:$A$36,SMMLV!$D$2:$D$100),3))</f>
        <v/>
      </c>
    </row>
    <row r="1635" spans="5:6">
      <c r="E1635" s="321"/>
      <c r="F1635" s="450" t="str">
        <f>IF(OR(D1635="",E1635=""),"",ROUND(D1635/LOOKUP(E1635,SMMLV!$A$2:$A$36,SMMLV!$D$2:$D$100),3))</f>
        <v/>
      </c>
    </row>
    <row r="1636" spans="5:6">
      <c r="E1636" s="321"/>
      <c r="F1636" s="450" t="str">
        <f>IF(OR(D1636="",E1636=""),"",ROUND(D1636/LOOKUP(E1636,SMMLV!$A$2:$A$36,SMMLV!$D$2:$D$100),3))</f>
        <v/>
      </c>
    </row>
    <row r="1637" spans="5:6">
      <c r="E1637" s="321"/>
      <c r="F1637" s="450" t="str">
        <f>IF(OR(D1637="",E1637=""),"",ROUND(D1637/LOOKUP(E1637,SMMLV!$A$2:$A$36,SMMLV!$D$2:$D$100),3))</f>
        <v/>
      </c>
    </row>
    <row r="1638" spans="5:6">
      <c r="E1638" s="321"/>
      <c r="F1638" s="450" t="str">
        <f>IF(OR(D1638="",E1638=""),"",ROUND(D1638/LOOKUP(E1638,SMMLV!$A$2:$A$36,SMMLV!$D$2:$D$100),3))</f>
        <v/>
      </c>
    </row>
    <row r="1639" spans="5:6">
      <c r="E1639" s="321"/>
      <c r="F1639" s="450" t="str">
        <f>IF(OR(D1639="",E1639=""),"",ROUND(D1639/LOOKUP(E1639,SMMLV!$A$2:$A$36,SMMLV!$D$2:$D$100),3))</f>
        <v/>
      </c>
    </row>
    <row r="1640" spans="5:6">
      <c r="E1640" s="321"/>
      <c r="F1640" s="450" t="str">
        <f>IF(OR(D1640="",E1640=""),"",ROUND(D1640/LOOKUP(E1640,SMMLV!$A$2:$A$36,SMMLV!$D$2:$D$100),3))</f>
        <v/>
      </c>
    </row>
    <row r="1641" spans="5:6">
      <c r="E1641" s="321"/>
      <c r="F1641" s="450" t="str">
        <f>IF(OR(D1641="",E1641=""),"",ROUND(D1641/LOOKUP(E1641,SMMLV!$A$2:$A$36,SMMLV!$D$2:$D$100),3))</f>
        <v/>
      </c>
    </row>
    <row r="1642" spans="5:6">
      <c r="E1642" s="321"/>
      <c r="F1642" s="450" t="str">
        <f>IF(OR(D1642="",E1642=""),"",ROUND(D1642/LOOKUP(E1642,SMMLV!$A$2:$A$36,SMMLV!$D$2:$D$100),3))</f>
        <v/>
      </c>
    </row>
    <row r="1643" spans="5:6">
      <c r="E1643" s="321"/>
      <c r="F1643" s="450" t="str">
        <f>IF(OR(D1643="",E1643=""),"",ROUND(D1643/LOOKUP(E1643,SMMLV!$A$2:$A$36,SMMLV!$D$2:$D$100),3))</f>
        <v/>
      </c>
    </row>
    <row r="1644" spans="5:6">
      <c r="E1644" s="321"/>
      <c r="F1644" s="450" t="str">
        <f>IF(OR(D1644="",E1644=""),"",ROUND(D1644/LOOKUP(E1644,SMMLV!$A$2:$A$36,SMMLV!$D$2:$D$100),3))</f>
        <v/>
      </c>
    </row>
    <row r="1645" spans="5:6">
      <c r="E1645" s="321"/>
      <c r="F1645" s="450" t="str">
        <f>IF(OR(D1645="",E1645=""),"",ROUND(D1645/LOOKUP(E1645,SMMLV!$A$2:$A$36,SMMLV!$D$2:$D$100),3))</f>
        <v/>
      </c>
    </row>
    <row r="1646" spans="5:6">
      <c r="E1646" s="321"/>
      <c r="F1646" s="450" t="str">
        <f>IF(OR(D1646="",E1646=""),"",ROUND(D1646/LOOKUP(E1646,SMMLV!$A$2:$A$36,SMMLV!$D$2:$D$100),3))</f>
        <v/>
      </c>
    </row>
    <row r="1647" spans="5:6">
      <c r="E1647" s="321"/>
      <c r="F1647" s="450" t="str">
        <f>IF(OR(D1647="",E1647=""),"",ROUND(D1647/LOOKUP(E1647,SMMLV!$A$2:$A$36,SMMLV!$D$2:$D$100),3))</f>
        <v/>
      </c>
    </row>
    <row r="1648" spans="5:6">
      <c r="E1648" s="321"/>
      <c r="F1648" s="450" t="str">
        <f>IF(OR(D1648="",E1648=""),"",ROUND(D1648/LOOKUP(E1648,SMMLV!$A$2:$A$36,SMMLV!$D$2:$D$100),3))</f>
        <v/>
      </c>
    </row>
    <row r="1649" spans="5:6">
      <c r="E1649" s="321"/>
      <c r="F1649" s="450" t="str">
        <f>IF(OR(D1649="",E1649=""),"",ROUND(D1649/LOOKUP(E1649,SMMLV!$A$2:$A$36,SMMLV!$D$2:$D$100),3))</f>
        <v/>
      </c>
    </row>
    <row r="1650" spans="5:6">
      <c r="E1650" s="321"/>
      <c r="F1650" s="450" t="str">
        <f>IF(OR(D1650="",E1650=""),"",ROUND(D1650/LOOKUP(E1650,SMMLV!$A$2:$A$36,SMMLV!$D$2:$D$100),3))</f>
        <v/>
      </c>
    </row>
    <row r="1651" spans="5:6">
      <c r="E1651" s="321"/>
      <c r="F1651" s="450" t="str">
        <f>IF(OR(D1651="",E1651=""),"",ROUND(D1651/LOOKUP(E1651,SMMLV!$A$2:$A$36,SMMLV!$D$2:$D$100),3))</f>
        <v/>
      </c>
    </row>
    <row r="1652" spans="5:6">
      <c r="E1652" s="321"/>
      <c r="F1652" s="450" t="str">
        <f>IF(OR(D1652="",E1652=""),"",ROUND(D1652/LOOKUP(E1652,SMMLV!$A$2:$A$36,SMMLV!$D$2:$D$100),3))</f>
        <v/>
      </c>
    </row>
    <row r="1653" spans="5:6">
      <c r="E1653" s="321"/>
      <c r="F1653" s="450" t="str">
        <f>IF(OR(D1653="",E1653=""),"",ROUND(D1653/LOOKUP(E1653,SMMLV!$A$2:$A$36,SMMLV!$D$2:$D$100),3))</f>
        <v/>
      </c>
    </row>
    <row r="1654" spans="5:6">
      <c r="E1654" s="321"/>
      <c r="F1654" s="450" t="str">
        <f>IF(OR(D1654="",E1654=""),"",ROUND(D1654/LOOKUP(E1654,SMMLV!$A$2:$A$36,SMMLV!$D$2:$D$100),3))</f>
        <v/>
      </c>
    </row>
    <row r="1655" spans="5:6">
      <c r="E1655" s="321"/>
      <c r="F1655" s="450" t="str">
        <f>IF(OR(D1655="",E1655=""),"",ROUND(D1655/LOOKUP(E1655,SMMLV!$A$2:$A$36,SMMLV!$D$2:$D$100),3))</f>
        <v/>
      </c>
    </row>
    <row r="1656" spans="5:6">
      <c r="E1656" s="321"/>
      <c r="F1656" s="450" t="str">
        <f>IF(OR(D1656="",E1656=""),"",ROUND(D1656/LOOKUP(E1656,SMMLV!$A$2:$A$36,SMMLV!$D$2:$D$100),3))</f>
        <v/>
      </c>
    </row>
    <row r="1657" spans="5:6">
      <c r="E1657" s="321"/>
      <c r="F1657" s="450" t="str">
        <f>IF(OR(D1657="",E1657=""),"",ROUND(D1657/LOOKUP(E1657,SMMLV!$A$2:$A$36,SMMLV!$D$2:$D$100),3))</f>
        <v/>
      </c>
    </row>
    <row r="1658" spans="5:6">
      <c r="E1658" s="321"/>
      <c r="F1658" s="450" t="str">
        <f>IF(OR(D1658="",E1658=""),"",ROUND(D1658/LOOKUP(E1658,SMMLV!$A$2:$A$36,SMMLV!$D$2:$D$100),3))</f>
        <v/>
      </c>
    </row>
    <row r="1659" spans="5:6">
      <c r="E1659" s="321"/>
      <c r="F1659" s="450" t="str">
        <f>IF(OR(D1659="",E1659=""),"",ROUND(D1659/LOOKUP(E1659,SMMLV!$A$2:$A$36,SMMLV!$D$2:$D$100),3))</f>
        <v/>
      </c>
    </row>
    <row r="1660" spans="5:6">
      <c r="E1660" s="321"/>
      <c r="F1660" s="450" t="str">
        <f>IF(OR(D1660="",E1660=""),"",ROUND(D1660/LOOKUP(E1660,SMMLV!$A$2:$A$36,SMMLV!$D$2:$D$100),3))</f>
        <v/>
      </c>
    </row>
    <row r="1661" spans="5:6">
      <c r="E1661" s="321"/>
      <c r="F1661" s="450" t="str">
        <f>IF(OR(D1661="",E1661=""),"",ROUND(D1661/LOOKUP(E1661,SMMLV!$A$2:$A$36,SMMLV!$D$2:$D$100),3))</f>
        <v/>
      </c>
    </row>
    <row r="1662" spans="5:6">
      <c r="E1662" s="321"/>
      <c r="F1662" s="450" t="str">
        <f>IF(OR(D1662="",E1662=""),"",ROUND(D1662/LOOKUP(E1662,SMMLV!$A$2:$A$36,SMMLV!$D$2:$D$100),3))</f>
        <v/>
      </c>
    </row>
    <row r="1663" spans="5:6">
      <c r="E1663" s="321"/>
      <c r="F1663" s="450" t="str">
        <f>IF(OR(D1663="",E1663=""),"",ROUND(D1663/LOOKUP(E1663,SMMLV!$A$2:$A$36,SMMLV!$D$2:$D$100),3))</f>
        <v/>
      </c>
    </row>
    <row r="1664" spans="5:6">
      <c r="E1664" s="321"/>
      <c r="F1664" s="450" t="str">
        <f>IF(OR(D1664="",E1664=""),"",ROUND(D1664/LOOKUP(E1664,SMMLV!$A$2:$A$36,SMMLV!$D$2:$D$100),3))</f>
        <v/>
      </c>
    </row>
    <row r="1665" spans="5:6">
      <c r="E1665" s="321"/>
      <c r="F1665" s="450" t="str">
        <f>IF(OR(D1665="",E1665=""),"",ROUND(D1665/LOOKUP(E1665,SMMLV!$A$2:$A$36,SMMLV!$D$2:$D$100),3))</f>
        <v/>
      </c>
    </row>
    <row r="1666" spans="5:6">
      <c r="E1666" s="321"/>
      <c r="F1666" s="450" t="str">
        <f>IF(OR(D1666="",E1666=""),"",ROUND(D1666/LOOKUP(E1666,SMMLV!$A$2:$A$36,SMMLV!$D$2:$D$100),3))</f>
        <v/>
      </c>
    </row>
    <row r="1667" spans="5:6">
      <c r="E1667" s="321"/>
      <c r="F1667" s="450" t="str">
        <f>IF(OR(D1667="",E1667=""),"",ROUND(D1667/LOOKUP(E1667,SMMLV!$A$2:$A$36,SMMLV!$D$2:$D$100),3))</f>
        <v/>
      </c>
    </row>
    <row r="1668" spans="5:6">
      <c r="E1668" s="321"/>
      <c r="F1668" s="450" t="str">
        <f>IF(OR(D1668="",E1668=""),"",ROUND(D1668/LOOKUP(E1668,SMMLV!$A$2:$A$36,SMMLV!$D$2:$D$100),3))</f>
        <v/>
      </c>
    </row>
    <row r="1669" spans="5:6">
      <c r="E1669" s="321"/>
      <c r="F1669" s="450" t="str">
        <f>IF(OR(D1669="",E1669=""),"",ROUND(D1669/LOOKUP(E1669,SMMLV!$A$2:$A$36,SMMLV!$D$2:$D$100),3))</f>
        <v/>
      </c>
    </row>
    <row r="1670" spans="5:6">
      <c r="E1670" s="321"/>
      <c r="F1670" s="450" t="str">
        <f>IF(OR(D1670="",E1670=""),"",ROUND(D1670/LOOKUP(E1670,SMMLV!$A$2:$A$36,SMMLV!$D$2:$D$100),3))</f>
        <v/>
      </c>
    </row>
    <row r="1671" spans="5:6">
      <c r="E1671" s="321"/>
      <c r="F1671" s="450" t="str">
        <f>IF(OR(D1671="",E1671=""),"",ROUND(D1671/LOOKUP(E1671,SMMLV!$A$2:$A$36,SMMLV!$D$2:$D$100),3))</f>
        <v/>
      </c>
    </row>
    <row r="1672" spans="5:6">
      <c r="E1672" s="321"/>
      <c r="F1672" s="450" t="str">
        <f>IF(OR(D1672="",E1672=""),"",ROUND(D1672/LOOKUP(E1672,SMMLV!$A$2:$A$36,SMMLV!$D$2:$D$100),3))</f>
        <v/>
      </c>
    </row>
    <row r="1673" spans="5:6">
      <c r="E1673" s="321"/>
      <c r="F1673" s="450" t="str">
        <f>IF(OR(D1673="",E1673=""),"",ROUND(D1673/LOOKUP(E1673,SMMLV!$A$2:$A$36,SMMLV!$D$2:$D$100),3))</f>
        <v/>
      </c>
    </row>
    <row r="1674" spans="5:6">
      <c r="E1674" s="321"/>
      <c r="F1674" s="450" t="str">
        <f>IF(OR(D1674="",E1674=""),"",ROUND(D1674/LOOKUP(E1674,SMMLV!$A$2:$A$36,SMMLV!$D$2:$D$100),3))</f>
        <v/>
      </c>
    </row>
    <row r="1675" spans="5:6">
      <c r="E1675" s="321"/>
      <c r="F1675" s="450" t="str">
        <f>IF(OR(D1675="",E1675=""),"",ROUND(D1675/LOOKUP(E1675,SMMLV!$A$2:$A$36,SMMLV!$D$2:$D$100),3))</f>
        <v/>
      </c>
    </row>
    <row r="1676" spans="5:6">
      <c r="E1676" s="321"/>
      <c r="F1676" s="450" t="str">
        <f>IF(OR(D1676="",E1676=""),"",ROUND(D1676/LOOKUP(E1676,SMMLV!$A$2:$A$36,SMMLV!$D$2:$D$100),3))</f>
        <v/>
      </c>
    </row>
    <row r="1677" spans="5:6">
      <c r="E1677" s="321"/>
      <c r="F1677" s="450" t="str">
        <f>IF(OR(D1677="",E1677=""),"",ROUND(D1677/LOOKUP(E1677,SMMLV!$A$2:$A$36,SMMLV!$D$2:$D$100),3))</f>
        <v/>
      </c>
    </row>
    <row r="1678" spans="5:6">
      <c r="E1678" s="321"/>
      <c r="F1678" s="450" t="str">
        <f>IF(OR(D1678="",E1678=""),"",ROUND(D1678/LOOKUP(E1678,SMMLV!$A$2:$A$36,SMMLV!$D$2:$D$100),3))</f>
        <v/>
      </c>
    </row>
    <row r="1679" spans="5:6">
      <c r="E1679" s="321"/>
      <c r="F1679" s="450" t="str">
        <f>IF(OR(D1679="",E1679=""),"",ROUND(D1679/LOOKUP(E1679,SMMLV!$A$2:$A$36,SMMLV!$D$2:$D$100),3))</f>
        <v/>
      </c>
    </row>
    <row r="1680" spans="5:6">
      <c r="E1680" s="321"/>
      <c r="F1680" s="450" t="str">
        <f>IF(OR(D1680="",E1680=""),"",ROUND(D1680/LOOKUP(E1680,SMMLV!$A$2:$A$36,SMMLV!$D$2:$D$100),3))</f>
        <v/>
      </c>
    </row>
    <row r="1681" spans="5:6">
      <c r="E1681" s="321"/>
      <c r="F1681" s="450" t="str">
        <f>IF(OR(D1681="",E1681=""),"",ROUND(D1681/LOOKUP(E1681,SMMLV!$A$2:$A$36,SMMLV!$D$2:$D$100),3))</f>
        <v/>
      </c>
    </row>
    <row r="1682" spans="5:6">
      <c r="E1682" s="321"/>
      <c r="F1682" s="450" t="str">
        <f>IF(OR(D1682="",E1682=""),"",ROUND(D1682/LOOKUP(E1682,SMMLV!$A$2:$A$36,SMMLV!$D$2:$D$100),3))</f>
        <v/>
      </c>
    </row>
    <row r="1683" spans="5:6">
      <c r="E1683" s="321"/>
      <c r="F1683" s="450" t="str">
        <f>IF(OR(D1683="",E1683=""),"",ROUND(D1683/LOOKUP(E1683,SMMLV!$A$2:$A$36,SMMLV!$D$2:$D$100),3))</f>
        <v/>
      </c>
    </row>
    <row r="1684" spans="5:6">
      <c r="E1684" s="321"/>
      <c r="F1684" s="450" t="str">
        <f>IF(OR(D1684="",E1684=""),"",ROUND(D1684/LOOKUP(E1684,SMMLV!$A$2:$A$36,SMMLV!$D$2:$D$100),3))</f>
        <v/>
      </c>
    </row>
    <row r="1685" spans="5:6">
      <c r="E1685" s="321"/>
      <c r="F1685" s="450" t="str">
        <f>IF(OR(D1685="",E1685=""),"",ROUND(D1685/LOOKUP(E1685,SMMLV!$A$2:$A$36,SMMLV!$D$2:$D$100),3))</f>
        <v/>
      </c>
    </row>
    <row r="1686" spans="5:6">
      <c r="E1686" s="321"/>
      <c r="F1686" s="450" t="str">
        <f>IF(OR(D1686="",E1686=""),"",ROUND(D1686/LOOKUP(E1686,SMMLV!$A$2:$A$36,SMMLV!$D$2:$D$100),3))</f>
        <v/>
      </c>
    </row>
    <row r="1687" spans="5:6">
      <c r="E1687" s="321"/>
      <c r="F1687" s="450" t="str">
        <f>IF(OR(D1687="",E1687=""),"",ROUND(D1687/LOOKUP(E1687,SMMLV!$A$2:$A$36,SMMLV!$D$2:$D$100),3))</f>
        <v/>
      </c>
    </row>
    <row r="1688" spans="5:6">
      <c r="E1688" s="321"/>
      <c r="F1688" s="450" t="str">
        <f>IF(OR(D1688="",E1688=""),"",ROUND(D1688/LOOKUP(E1688,SMMLV!$A$2:$A$36,SMMLV!$D$2:$D$100),3))</f>
        <v/>
      </c>
    </row>
    <row r="1689" spans="5:6">
      <c r="E1689" s="321"/>
      <c r="F1689" s="450" t="str">
        <f>IF(OR(D1689="",E1689=""),"",ROUND(D1689/LOOKUP(E1689,SMMLV!$A$2:$A$36,SMMLV!$D$2:$D$100),3))</f>
        <v/>
      </c>
    </row>
    <row r="1690" spans="5:6">
      <c r="E1690" s="321"/>
      <c r="F1690" s="450" t="str">
        <f>IF(OR(D1690="",E1690=""),"",ROUND(D1690/LOOKUP(E1690,SMMLV!$A$2:$A$36,SMMLV!$D$2:$D$100),3))</f>
        <v/>
      </c>
    </row>
    <row r="1691" spans="5:6">
      <c r="E1691" s="321"/>
      <c r="F1691" s="450" t="str">
        <f>IF(OR(D1691="",E1691=""),"",ROUND(D1691/LOOKUP(E1691,SMMLV!$A$2:$A$36,SMMLV!$D$2:$D$100),3))</f>
        <v/>
      </c>
    </row>
    <row r="1692" spans="5:6">
      <c r="E1692" s="321"/>
      <c r="F1692" s="450" t="str">
        <f>IF(OR(D1692="",E1692=""),"",ROUND(D1692/LOOKUP(E1692,SMMLV!$A$2:$A$36,SMMLV!$D$2:$D$100),3))</f>
        <v/>
      </c>
    </row>
    <row r="1693" spans="5:6">
      <c r="E1693" s="321"/>
      <c r="F1693" s="450" t="str">
        <f>IF(OR(D1693="",E1693=""),"",ROUND(D1693/LOOKUP(E1693,SMMLV!$A$2:$A$36,SMMLV!$D$2:$D$100),3))</f>
        <v/>
      </c>
    </row>
    <row r="1694" spans="5:6">
      <c r="E1694" s="321"/>
      <c r="F1694" s="450" t="str">
        <f>IF(OR(D1694="",E1694=""),"",ROUND(D1694/LOOKUP(E1694,SMMLV!$A$2:$A$36,SMMLV!$D$2:$D$100),3))</f>
        <v/>
      </c>
    </row>
    <row r="1695" spans="5:6">
      <c r="E1695" s="321"/>
      <c r="F1695" s="450" t="str">
        <f>IF(OR(D1695="",E1695=""),"",ROUND(D1695/LOOKUP(E1695,SMMLV!$A$2:$A$36,SMMLV!$D$2:$D$100),3))</f>
        <v/>
      </c>
    </row>
    <row r="1696" spans="5:6">
      <c r="E1696" s="321"/>
      <c r="F1696" s="450" t="str">
        <f>IF(OR(D1696="",E1696=""),"",ROUND(D1696/LOOKUP(E1696,SMMLV!$A$2:$A$36,SMMLV!$D$2:$D$100),3))</f>
        <v/>
      </c>
    </row>
    <row r="1697" spans="5:6">
      <c r="E1697" s="321"/>
      <c r="F1697" s="450" t="str">
        <f>IF(OR(D1697="",E1697=""),"",ROUND(D1697/LOOKUP(E1697,SMMLV!$A$2:$A$36,SMMLV!$D$2:$D$100),3))</f>
        <v/>
      </c>
    </row>
    <row r="1698" spans="5:6">
      <c r="E1698" s="321"/>
      <c r="F1698" s="450" t="str">
        <f>IF(OR(D1698="",E1698=""),"",ROUND(D1698/LOOKUP(E1698,SMMLV!$A$2:$A$36,SMMLV!$D$2:$D$100),3))</f>
        <v/>
      </c>
    </row>
    <row r="1699" spans="5:6">
      <c r="E1699" s="321"/>
      <c r="F1699" s="450" t="str">
        <f>IF(OR(D1699="",E1699=""),"",ROUND(D1699/LOOKUP(E1699,SMMLV!$A$2:$A$36,SMMLV!$D$2:$D$100),3))</f>
        <v/>
      </c>
    </row>
    <row r="1700" spans="5:6">
      <c r="E1700" s="321"/>
      <c r="F1700" s="450" t="str">
        <f>IF(OR(D1700="",E1700=""),"",ROUND(D1700/LOOKUP(E1700,SMMLV!$A$2:$A$36,SMMLV!$D$2:$D$100),3))</f>
        <v/>
      </c>
    </row>
    <row r="1701" spans="5:6">
      <c r="E1701" s="321"/>
      <c r="F1701" s="450" t="str">
        <f>IF(OR(D1701="",E1701=""),"",ROUND(D1701/LOOKUP(E1701,SMMLV!$A$2:$A$36,SMMLV!$D$2:$D$100),3))</f>
        <v/>
      </c>
    </row>
    <row r="1702" spans="5:6">
      <c r="E1702" s="321"/>
      <c r="F1702" s="450" t="str">
        <f>IF(OR(D1702="",E1702=""),"",ROUND(D1702/LOOKUP(E1702,SMMLV!$A$2:$A$36,SMMLV!$D$2:$D$100),3))</f>
        <v/>
      </c>
    </row>
    <row r="1703" spans="5:6">
      <c r="E1703" s="321"/>
      <c r="F1703" s="450" t="str">
        <f>IF(OR(D1703="",E1703=""),"",ROUND(D1703/LOOKUP(E1703,SMMLV!$A$2:$A$36,SMMLV!$D$2:$D$100),3))</f>
        <v/>
      </c>
    </row>
    <row r="1704" spans="5:6">
      <c r="E1704" s="321"/>
      <c r="F1704" s="450" t="str">
        <f>IF(OR(D1704="",E1704=""),"",ROUND(D1704/LOOKUP(E1704,SMMLV!$A$2:$A$36,SMMLV!$D$2:$D$100),3))</f>
        <v/>
      </c>
    </row>
    <row r="1705" spans="5:6">
      <c r="E1705" s="321"/>
      <c r="F1705" s="450" t="str">
        <f>IF(OR(D1705="",E1705=""),"",ROUND(D1705/LOOKUP(E1705,SMMLV!$A$2:$A$36,SMMLV!$D$2:$D$100),3))</f>
        <v/>
      </c>
    </row>
    <row r="1706" spans="5:6">
      <c r="E1706" s="321"/>
      <c r="F1706" s="450" t="str">
        <f>IF(OR(D1706="",E1706=""),"",ROUND(D1706/LOOKUP(E1706,SMMLV!$A$2:$A$36,SMMLV!$D$2:$D$100),3))</f>
        <v/>
      </c>
    </row>
    <row r="1707" spans="5:6">
      <c r="E1707" s="321"/>
      <c r="F1707" s="450" t="str">
        <f>IF(OR(D1707="",E1707=""),"",ROUND(D1707/LOOKUP(E1707,SMMLV!$A$2:$A$36,SMMLV!$D$2:$D$100),3))</f>
        <v/>
      </c>
    </row>
    <row r="1708" spans="5:6">
      <c r="E1708" s="321"/>
      <c r="F1708" s="450" t="str">
        <f>IF(OR(D1708="",E1708=""),"",ROUND(D1708/LOOKUP(E1708,SMMLV!$A$2:$A$36,SMMLV!$D$2:$D$100),3))</f>
        <v/>
      </c>
    </row>
    <row r="1709" spans="5:6">
      <c r="E1709" s="321"/>
      <c r="F1709" s="450" t="str">
        <f>IF(OR(D1709="",E1709=""),"",ROUND(D1709/LOOKUP(E1709,SMMLV!$A$2:$A$36,SMMLV!$D$2:$D$100),3))</f>
        <v/>
      </c>
    </row>
    <row r="1710" spans="5:6">
      <c r="E1710" s="321"/>
      <c r="F1710" s="450" t="str">
        <f>IF(OR(D1710="",E1710=""),"",ROUND(D1710/LOOKUP(E1710,SMMLV!$A$2:$A$36,SMMLV!$D$2:$D$100),3))</f>
        <v/>
      </c>
    </row>
    <row r="1711" spans="5:6">
      <c r="E1711" s="321"/>
      <c r="F1711" s="450" t="str">
        <f>IF(OR(D1711="",E1711=""),"",ROUND(D1711/LOOKUP(E1711,SMMLV!$A$2:$A$36,SMMLV!$D$2:$D$100),3))</f>
        <v/>
      </c>
    </row>
    <row r="1712" spans="5:6">
      <c r="E1712" s="321"/>
      <c r="F1712" s="450" t="str">
        <f>IF(OR(D1712="",E1712=""),"",ROUND(D1712/LOOKUP(E1712,SMMLV!$A$2:$A$36,SMMLV!$D$2:$D$100),3))</f>
        <v/>
      </c>
    </row>
    <row r="1713" spans="5:6">
      <c r="E1713" s="321"/>
      <c r="F1713" s="450" t="str">
        <f>IF(OR(D1713="",E1713=""),"",ROUND(D1713/LOOKUP(E1713,SMMLV!$A$2:$A$36,SMMLV!$D$2:$D$100),3))</f>
        <v/>
      </c>
    </row>
    <row r="1714" spans="5:6">
      <c r="E1714" s="321"/>
      <c r="F1714" s="450" t="str">
        <f>IF(OR(D1714="",E1714=""),"",ROUND(D1714/LOOKUP(E1714,SMMLV!$A$2:$A$36,SMMLV!$D$2:$D$100),3))</f>
        <v/>
      </c>
    </row>
    <row r="1715" spans="5:6">
      <c r="E1715" s="321"/>
      <c r="F1715" s="450" t="str">
        <f>IF(OR(D1715="",E1715=""),"",ROUND(D1715/LOOKUP(E1715,SMMLV!$A$2:$A$36,SMMLV!$D$2:$D$100),3))</f>
        <v/>
      </c>
    </row>
    <row r="1716" spans="5:6">
      <c r="E1716" s="321"/>
      <c r="F1716" s="450" t="str">
        <f>IF(OR(D1716="",E1716=""),"",ROUND(D1716/LOOKUP(E1716,SMMLV!$A$2:$A$36,SMMLV!$D$2:$D$100),3))</f>
        <v/>
      </c>
    </row>
    <row r="1717" spans="5:6">
      <c r="E1717" s="321"/>
      <c r="F1717" s="450" t="str">
        <f>IF(OR(D1717="",E1717=""),"",ROUND(D1717/LOOKUP(E1717,SMMLV!$A$2:$A$36,SMMLV!$D$2:$D$100),3))</f>
        <v/>
      </c>
    </row>
    <row r="1718" spans="5:6">
      <c r="E1718" s="321"/>
      <c r="F1718" s="450" t="str">
        <f>IF(OR(D1718="",E1718=""),"",ROUND(D1718/LOOKUP(E1718,SMMLV!$A$2:$A$36,SMMLV!$D$2:$D$100),3))</f>
        <v/>
      </c>
    </row>
    <row r="1719" spans="5:6">
      <c r="E1719" s="321"/>
      <c r="F1719" s="450" t="str">
        <f>IF(OR(D1719="",E1719=""),"",ROUND(D1719/LOOKUP(E1719,SMMLV!$A$2:$A$36,SMMLV!$D$2:$D$100),3))</f>
        <v/>
      </c>
    </row>
    <row r="1720" spans="5:6">
      <c r="E1720" s="321"/>
      <c r="F1720" s="450" t="str">
        <f>IF(OR(D1720="",E1720=""),"",ROUND(D1720/LOOKUP(E1720,SMMLV!$A$2:$A$36,SMMLV!$D$2:$D$100),3))</f>
        <v/>
      </c>
    </row>
    <row r="1721" spans="5:6">
      <c r="E1721" s="321"/>
      <c r="F1721" s="450" t="str">
        <f>IF(OR(D1721="",E1721=""),"",ROUND(D1721/LOOKUP(E1721,SMMLV!$A$2:$A$36,SMMLV!$D$2:$D$100),3))</f>
        <v/>
      </c>
    </row>
    <row r="1722" spans="5:6">
      <c r="E1722" s="321"/>
      <c r="F1722" s="450" t="str">
        <f>IF(OR(D1722="",E1722=""),"",ROUND(D1722/LOOKUP(E1722,SMMLV!$A$2:$A$36,SMMLV!$D$2:$D$100),3))</f>
        <v/>
      </c>
    </row>
    <row r="1723" spans="5:6">
      <c r="E1723" s="321"/>
      <c r="F1723" s="450" t="str">
        <f>IF(OR(D1723="",E1723=""),"",ROUND(D1723/LOOKUP(E1723,SMMLV!$A$2:$A$36,SMMLV!$D$2:$D$100),3))</f>
        <v/>
      </c>
    </row>
    <row r="1724" spans="5:6">
      <c r="E1724" s="321"/>
      <c r="F1724" s="450" t="str">
        <f>IF(OR(D1724="",E1724=""),"",ROUND(D1724/LOOKUP(E1724,SMMLV!$A$2:$A$36,SMMLV!$D$2:$D$100),3))</f>
        <v/>
      </c>
    </row>
    <row r="1725" spans="5:6">
      <c r="E1725" s="321"/>
      <c r="F1725" s="450" t="str">
        <f>IF(OR(D1725="",E1725=""),"",ROUND(D1725/LOOKUP(E1725,SMMLV!$A$2:$A$36,SMMLV!$D$2:$D$100),3))</f>
        <v/>
      </c>
    </row>
    <row r="1726" spans="5:6">
      <c r="E1726" s="321"/>
      <c r="F1726" s="450" t="str">
        <f>IF(OR(D1726="",E1726=""),"",ROUND(D1726/LOOKUP(E1726,SMMLV!$A$2:$A$36,SMMLV!$D$2:$D$100),3))</f>
        <v/>
      </c>
    </row>
    <row r="1727" spans="5:6">
      <c r="E1727" s="321"/>
      <c r="F1727" s="450" t="str">
        <f>IF(OR(D1727="",E1727=""),"",ROUND(D1727/LOOKUP(E1727,SMMLV!$A$2:$A$36,SMMLV!$D$2:$D$100),3))</f>
        <v/>
      </c>
    </row>
    <row r="1728" spans="5:6">
      <c r="E1728" s="321"/>
      <c r="F1728" s="450" t="str">
        <f>IF(OR(D1728="",E1728=""),"",ROUND(D1728/LOOKUP(E1728,SMMLV!$A$2:$A$36,SMMLV!$D$2:$D$100),3))</f>
        <v/>
      </c>
    </row>
    <row r="1729" spans="5:6">
      <c r="E1729" s="321"/>
      <c r="F1729" s="450" t="str">
        <f>IF(OR(D1729="",E1729=""),"",ROUND(D1729/LOOKUP(E1729,SMMLV!$A$2:$A$36,SMMLV!$D$2:$D$100),3))</f>
        <v/>
      </c>
    </row>
    <row r="1730" spans="5:6">
      <c r="E1730" s="321"/>
      <c r="F1730" s="450" t="str">
        <f>IF(OR(D1730="",E1730=""),"",ROUND(D1730/LOOKUP(E1730,SMMLV!$A$2:$A$36,SMMLV!$D$2:$D$100),3))</f>
        <v/>
      </c>
    </row>
    <row r="1731" spans="5:6">
      <c r="E1731" s="321"/>
      <c r="F1731" s="450" t="str">
        <f>IF(OR(D1731="",E1731=""),"",ROUND(D1731/LOOKUP(E1731,SMMLV!$A$2:$A$36,SMMLV!$D$2:$D$100),3))</f>
        <v/>
      </c>
    </row>
    <row r="1732" spans="5:6">
      <c r="E1732" s="321"/>
      <c r="F1732" s="450" t="str">
        <f>IF(OR(D1732="",E1732=""),"",ROUND(D1732/LOOKUP(E1732,SMMLV!$A$2:$A$36,SMMLV!$D$2:$D$100),3))</f>
        <v/>
      </c>
    </row>
    <row r="1733" spans="5:6">
      <c r="E1733" s="321"/>
      <c r="F1733" s="450" t="str">
        <f>IF(OR(D1733="",E1733=""),"",ROUND(D1733/LOOKUP(E1733,SMMLV!$A$2:$A$36,SMMLV!$D$2:$D$100),3))</f>
        <v/>
      </c>
    </row>
    <row r="1734" spans="5:6">
      <c r="E1734" s="321"/>
      <c r="F1734" s="450" t="str">
        <f>IF(OR(D1734="",E1734=""),"",ROUND(D1734/LOOKUP(E1734,SMMLV!$A$2:$A$36,SMMLV!$D$2:$D$100),3))</f>
        <v/>
      </c>
    </row>
    <row r="1735" spans="5:6">
      <c r="E1735" s="321"/>
      <c r="F1735" s="450" t="str">
        <f>IF(OR(D1735="",E1735=""),"",ROUND(D1735/LOOKUP(E1735,SMMLV!$A$2:$A$36,SMMLV!$D$2:$D$100),3))</f>
        <v/>
      </c>
    </row>
    <row r="1736" spans="5:6">
      <c r="E1736" s="321"/>
      <c r="F1736" s="450" t="str">
        <f>IF(OR(D1736="",E1736=""),"",ROUND(D1736/LOOKUP(E1736,SMMLV!$A$2:$A$36,SMMLV!$D$2:$D$100),3))</f>
        <v/>
      </c>
    </row>
    <row r="1737" spans="5:6">
      <c r="E1737" s="321"/>
      <c r="F1737" s="450" t="str">
        <f>IF(OR(D1737="",E1737=""),"",ROUND(D1737/LOOKUP(E1737,SMMLV!$A$2:$A$36,SMMLV!$D$2:$D$100),3))</f>
        <v/>
      </c>
    </row>
    <row r="1738" spans="5:6">
      <c r="E1738" s="321"/>
      <c r="F1738" s="450" t="str">
        <f>IF(OR(D1738="",E1738=""),"",ROUND(D1738/LOOKUP(E1738,SMMLV!$A$2:$A$36,SMMLV!$D$2:$D$100),3))</f>
        <v/>
      </c>
    </row>
    <row r="1739" spans="5:6">
      <c r="E1739" s="321"/>
      <c r="F1739" s="450" t="str">
        <f>IF(OR(D1739="",E1739=""),"",ROUND(D1739/LOOKUP(E1739,SMMLV!$A$2:$A$36,SMMLV!$D$2:$D$100),3))</f>
        <v/>
      </c>
    </row>
    <row r="1740" spans="5:6">
      <c r="E1740" s="321"/>
      <c r="F1740" s="450" t="str">
        <f>IF(OR(D1740="",E1740=""),"",ROUND(D1740/LOOKUP(E1740,SMMLV!$A$2:$A$36,SMMLV!$D$2:$D$100),3))</f>
        <v/>
      </c>
    </row>
    <row r="1741" spans="5:6">
      <c r="E1741" s="321"/>
      <c r="F1741" s="450" t="str">
        <f>IF(OR(D1741="",E1741=""),"",ROUND(D1741/LOOKUP(E1741,SMMLV!$A$2:$A$36,SMMLV!$D$2:$D$100),3))</f>
        <v/>
      </c>
    </row>
    <row r="1742" spans="5:6">
      <c r="E1742" s="321"/>
      <c r="F1742" s="450" t="str">
        <f>IF(OR(D1742="",E1742=""),"",ROUND(D1742/LOOKUP(E1742,SMMLV!$A$2:$A$36,SMMLV!$D$2:$D$100),3))</f>
        <v/>
      </c>
    </row>
    <row r="1743" spans="5:6">
      <c r="E1743" s="321"/>
      <c r="F1743" s="450" t="str">
        <f>IF(OR(D1743="",E1743=""),"",ROUND(D1743/LOOKUP(E1743,SMMLV!$A$2:$A$36,SMMLV!$D$2:$D$100),3))</f>
        <v/>
      </c>
    </row>
    <row r="1744" spans="5:6">
      <c r="E1744" s="321"/>
      <c r="F1744" s="450" t="str">
        <f>IF(OR(D1744="",E1744=""),"",ROUND(D1744/LOOKUP(E1744,SMMLV!$A$2:$A$36,SMMLV!$D$2:$D$100),3))</f>
        <v/>
      </c>
    </row>
    <row r="1745" spans="5:6">
      <c r="E1745" s="321"/>
      <c r="F1745" s="450" t="str">
        <f>IF(OR(D1745="",E1745=""),"",ROUND(D1745/LOOKUP(E1745,SMMLV!$A$2:$A$36,SMMLV!$D$2:$D$100),3))</f>
        <v/>
      </c>
    </row>
    <row r="1746" spans="5:6">
      <c r="E1746" s="321"/>
      <c r="F1746" s="450" t="str">
        <f>IF(OR(D1746="",E1746=""),"",ROUND(D1746/LOOKUP(E1746,SMMLV!$A$2:$A$36,SMMLV!$D$2:$D$100),3))</f>
        <v/>
      </c>
    </row>
    <row r="1747" spans="5:6">
      <c r="E1747" s="321"/>
      <c r="F1747" s="450" t="str">
        <f>IF(OR(D1747="",E1747=""),"",ROUND(D1747/LOOKUP(E1747,SMMLV!$A$2:$A$36,SMMLV!$D$2:$D$100),3))</f>
        <v/>
      </c>
    </row>
    <row r="1748" spans="5:6">
      <c r="E1748" s="321"/>
      <c r="F1748" s="450" t="str">
        <f>IF(OR(D1748="",E1748=""),"",ROUND(D1748/LOOKUP(E1748,SMMLV!$A$2:$A$36,SMMLV!$D$2:$D$100),3))</f>
        <v/>
      </c>
    </row>
    <row r="1749" spans="5:6">
      <c r="E1749" s="321"/>
      <c r="F1749" s="450" t="str">
        <f>IF(OR(D1749="",E1749=""),"",ROUND(D1749/LOOKUP(E1749,SMMLV!$A$2:$A$36,SMMLV!$D$2:$D$100),3))</f>
        <v/>
      </c>
    </row>
    <row r="1750" spans="5:6">
      <c r="E1750" s="321"/>
      <c r="F1750" s="450" t="str">
        <f>IF(OR(D1750="",E1750=""),"",ROUND(D1750/LOOKUP(E1750,SMMLV!$A$2:$A$36,SMMLV!$D$2:$D$100),3))</f>
        <v/>
      </c>
    </row>
    <row r="1751" spans="5:6">
      <c r="E1751" s="321"/>
      <c r="F1751" s="450" t="str">
        <f>IF(OR(D1751="",E1751=""),"",ROUND(D1751/LOOKUP(E1751,SMMLV!$A$2:$A$36,SMMLV!$D$2:$D$100),3))</f>
        <v/>
      </c>
    </row>
    <row r="1752" spans="5:6">
      <c r="E1752" s="321"/>
      <c r="F1752" s="450" t="str">
        <f>IF(OR(D1752="",E1752=""),"",ROUND(D1752/LOOKUP(E1752,SMMLV!$A$2:$A$36,SMMLV!$D$2:$D$100),3))</f>
        <v/>
      </c>
    </row>
    <row r="1753" spans="5:6">
      <c r="E1753" s="321"/>
      <c r="F1753" s="450" t="str">
        <f>IF(OR(D1753="",E1753=""),"",ROUND(D1753/LOOKUP(E1753,SMMLV!$A$2:$A$36,SMMLV!$D$2:$D$100),3))</f>
        <v/>
      </c>
    </row>
    <row r="1754" spans="5:6">
      <c r="E1754" s="321"/>
      <c r="F1754" s="450" t="str">
        <f>IF(OR(D1754="",E1754=""),"",ROUND(D1754/LOOKUP(E1754,SMMLV!$A$2:$A$36,SMMLV!$D$2:$D$100),3))</f>
        <v/>
      </c>
    </row>
    <row r="1755" spans="5:6">
      <c r="E1755" s="321"/>
      <c r="F1755" s="450" t="str">
        <f>IF(OR(D1755="",E1755=""),"",ROUND(D1755/LOOKUP(E1755,SMMLV!$A$2:$A$36,SMMLV!$D$2:$D$100),3))</f>
        <v/>
      </c>
    </row>
    <row r="1756" spans="5:6">
      <c r="E1756" s="321"/>
      <c r="F1756" s="450" t="str">
        <f>IF(OR(D1756="",E1756=""),"",ROUND(D1756/LOOKUP(E1756,SMMLV!$A$2:$A$36,SMMLV!$D$2:$D$100),3))</f>
        <v/>
      </c>
    </row>
    <row r="1757" spans="5:6">
      <c r="E1757" s="321"/>
      <c r="F1757" s="450" t="str">
        <f>IF(OR(D1757="",E1757=""),"",ROUND(D1757/LOOKUP(E1757,SMMLV!$A$2:$A$36,SMMLV!$D$2:$D$100),3))</f>
        <v/>
      </c>
    </row>
    <row r="1758" spans="5:6">
      <c r="E1758" s="321"/>
      <c r="F1758" s="450" t="str">
        <f>IF(OR(D1758="",E1758=""),"",ROUND(D1758/LOOKUP(E1758,SMMLV!$A$2:$A$36,SMMLV!$D$2:$D$100),3))</f>
        <v/>
      </c>
    </row>
    <row r="1759" spans="5:6">
      <c r="E1759" s="321"/>
      <c r="F1759" s="450" t="str">
        <f>IF(OR(D1759="",E1759=""),"",ROUND(D1759/LOOKUP(E1759,SMMLV!$A$2:$A$36,SMMLV!$D$2:$D$100),3))</f>
        <v/>
      </c>
    </row>
    <row r="1760" spans="5:6">
      <c r="E1760" s="321"/>
      <c r="F1760" s="450" t="str">
        <f>IF(OR(D1760="",E1760=""),"",ROUND(D1760/LOOKUP(E1760,SMMLV!$A$2:$A$36,SMMLV!$D$2:$D$100),3))</f>
        <v/>
      </c>
    </row>
    <row r="1761" spans="5:6">
      <c r="E1761" s="321"/>
      <c r="F1761" s="450" t="str">
        <f>IF(OR(D1761="",E1761=""),"",ROUND(D1761/LOOKUP(E1761,SMMLV!$A$2:$A$36,SMMLV!$D$2:$D$100),3))</f>
        <v/>
      </c>
    </row>
    <row r="1762" spans="5:6">
      <c r="E1762" s="321"/>
      <c r="F1762" s="450" t="str">
        <f>IF(OR(D1762="",E1762=""),"",ROUND(D1762/LOOKUP(E1762,SMMLV!$A$2:$A$36,SMMLV!$D$2:$D$100),3))</f>
        <v/>
      </c>
    </row>
    <row r="1763" spans="5:6">
      <c r="E1763" s="321"/>
      <c r="F1763" s="450" t="str">
        <f>IF(OR(D1763="",E1763=""),"",ROUND(D1763/LOOKUP(E1763,SMMLV!$A$2:$A$36,SMMLV!$D$2:$D$100),3))</f>
        <v/>
      </c>
    </row>
    <row r="1764" spans="5:6">
      <c r="E1764" s="321"/>
      <c r="F1764" s="450" t="str">
        <f>IF(OR(D1764="",E1764=""),"",ROUND(D1764/LOOKUP(E1764,SMMLV!$A$2:$A$36,SMMLV!$D$2:$D$100),3))</f>
        <v/>
      </c>
    </row>
    <row r="1765" spans="5:6">
      <c r="E1765" s="321"/>
      <c r="F1765" s="450" t="str">
        <f>IF(OR(D1765="",E1765=""),"",ROUND(D1765/LOOKUP(E1765,SMMLV!$A$2:$A$36,SMMLV!$D$2:$D$100),3))</f>
        <v/>
      </c>
    </row>
    <row r="1766" spans="5:6">
      <c r="E1766" s="321"/>
      <c r="F1766" s="450" t="str">
        <f>IF(OR(D1766="",E1766=""),"",ROUND(D1766/LOOKUP(E1766,SMMLV!$A$2:$A$36,SMMLV!$D$2:$D$100),3))</f>
        <v/>
      </c>
    </row>
    <row r="1767" spans="5:6">
      <c r="E1767" s="321"/>
      <c r="F1767" s="450" t="str">
        <f>IF(OR(D1767="",E1767=""),"",ROUND(D1767/LOOKUP(E1767,SMMLV!$A$2:$A$36,SMMLV!$D$2:$D$100),3))</f>
        <v/>
      </c>
    </row>
    <row r="1768" spans="5:6">
      <c r="E1768" s="321"/>
      <c r="F1768" s="450" t="str">
        <f>IF(OR(D1768="",E1768=""),"",ROUND(D1768/LOOKUP(E1768,SMMLV!$A$2:$A$36,SMMLV!$D$2:$D$100),3))</f>
        <v/>
      </c>
    </row>
    <row r="1769" spans="5:6">
      <c r="E1769" s="321"/>
      <c r="F1769" s="450" t="str">
        <f>IF(OR(D1769="",E1769=""),"",ROUND(D1769/LOOKUP(E1769,SMMLV!$A$2:$A$36,SMMLV!$D$2:$D$100),3))</f>
        <v/>
      </c>
    </row>
    <row r="1770" spans="5:6">
      <c r="E1770" s="321"/>
      <c r="F1770" s="450" t="str">
        <f>IF(OR(D1770="",E1770=""),"",ROUND(D1770/LOOKUP(E1770,SMMLV!$A$2:$A$36,SMMLV!$D$2:$D$100),3))</f>
        <v/>
      </c>
    </row>
    <row r="1771" spans="5:6">
      <c r="E1771" s="321"/>
      <c r="F1771" s="450" t="str">
        <f>IF(OR(D1771="",E1771=""),"",ROUND(D1771/LOOKUP(E1771,SMMLV!$A$2:$A$36,SMMLV!$D$2:$D$100),3))</f>
        <v/>
      </c>
    </row>
    <row r="1772" spans="5:6">
      <c r="E1772" s="321"/>
      <c r="F1772" s="450" t="str">
        <f>IF(OR(D1772="",E1772=""),"",ROUND(D1772/LOOKUP(E1772,SMMLV!$A$2:$A$36,SMMLV!$D$2:$D$100),3))</f>
        <v/>
      </c>
    </row>
    <row r="1773" spans="5:6">
      <c r="E1773" s="321"/>
      <c r="F1773" s="450" t="str">
        <f>IF(OR(D1773="",E1773=""),"",ROUND(D1773/LOOKUP(E1773,SMMLV!$A$2:$A$36,SMMLV!$D$2:$D$100),3))</f>
        <v/>
      </c>
    </row>
    <row r="1774" spans="5:6">
      <c r="E1774" s="321"/>
      <c r="F1774" s="450" t="str">
        <f>IF(OR(D1774="",E1774=""),"",ROUND(D1774/LOOKUP(E1774,SMMLV!$A$2:$A$36,SMMLV!$D$2:$D$100),3))</f>
        <v/>
      </c>
    </row>
    <row r="1775" spans="5:6">
      <c r="E1775" s="321"/>
      <c r="F1775" s="450" t="str">
        <f>IF(OR(D1775="",E1775=""),"",ROUND(D1775/LOOKUP(E1775,SMMLV!$A$2:$A$36,SMMLV!$D$2:$D$100),3))</f>
        <v/>
      </c>
    </row>
    <row r="1776" spans="5:6">
      <c r="E1776" s="321"/>
      <c r="F1776" s="450" t="str">
        <f>IF(OR(D1776="",E1776=""),"",ROUND(D1776/LOOKUP(E1776,SMMLV!$A$2:$A$36,SMMLV!$D$2:$D$100),3))</f>
        <v/>
      </c>
    </row>
    <row r="1777" spans="5:6">
      <c r="E1777" s="321"/>
      <c r="F1777" s="450" t="str">
        <f>IF(OR(D1777="",E1777=""),"",ROUND(D1777/LOOKUP(E1777,SMMLV!$A$2:$A$36,SMMLV!$D$2:$D$100),3))</f>
        <v/>
      </c>
    </row>
    <row r="1778" spans="5:6">
      <c r="E1778" s="321"/>
      <c r="F1778" s="450" t="str">
        <f>IF(OR(D1778="",E1778=""),"",ROUND(D1778/LOOKUP(E1778,SMMLV!$A$2:$A$36,SMMLV!$D$2:$D$100),3))</f>
        <v/>
      </c>
    </row>
    <row r="1779" spans="5:6">
      <c r="E1779" s="321"/>
      <c r="F1779" s="450" t="str">
        <f>IF(OR(D1779="",E1779=""),"",ROUND(D1779/LOOKUP(E1779,SMMLV!$A$2:$A$36,SMMLV!$D$2:$D$100),3))</f>
        <v/>
      </c>
    </row>
    <row r="1780" spans="5:6">
      <c r="E1780" s="321"/>
      <c r="F1780" s="450" t="str">
        <f>IF(OR(D1780="",E1780=""),"",ROUND(D1780/LOOKUP(E1780,SMMLV!$A$2:$A$36,SMMLV!$D$2:$D$100),3))</f>
        <v/>
      </c>
    </row>
    <row r="1781" spans="5:6">
      <c r="E1781" s="321"/>
      <c r="F1781" s="450" t="str">
        <f>IF(OR(D1781="",E1781=""),"",ROUND(D1781/LOOKUP(E1781,SMMLV!$A$2:$A$36,SMMLV!$D$2:$D$100),3))</f>
        <v/>
      </c>
    </row>
    <row r="1782" spans="5:6">
      <c r="E1782" s="321"/>
      <c r="F1782" s="450" t="str">
        <f>IF(OR(D1782="",E1782=""),"",ROUND(D1782/LOOKUP(E1782,SMMLV!$A$2:$A$36,SMMLV!$D$2:$D$100),3))</f>
        <v/>
      </c>
    </row>
    <row r="1783" spans="5:6">
      <c r="E1783" s="321"/>
      <c r="F1783" s="450" t="str">
        <f>IF(OR(D1783="",E1783=""),"",ROUND(D1783/LOOKUP(E1783,SMMLV!$A$2:$A$36,SMMLV!$D$2:$D$100),3))</f>
        <v/>
      </c>
    </row>
    <row r="1784" spans="5:6">
      <c r="E1784" s="321"/>
      <c r="F1784" s="450" t="str">
        <f>IF(OR(D1784="",E1784=""),"",ROUND(D1784/LOOKUP(E1784,SMMLV!$A$2:$A$36,SMMLV!$D$2:$D$100),3))</f>
        <v/>
      </c>
    </row>
    <row r="1785" spans="5:6">
      <c r="E1785" s="321"/>
      <c r="F1785" s="450" t="str">
        <f>IF(OR(D1785="",E1785=""),"",ROUND(D1785/LOOKUP(E1785,SMMLV!$A$2:$A$36,SMMLV!$D$2:$D$100),3))</f>
        <v/>
      </c>
    </row>
    <row r="1786" spans="5:6">
      <c r="E1786" s="321"/>
      <c r="F1786" s="450" t="str">
        <f>IF(OR(D1786="",E1786=""),"",ROUND(D1786/LOOKUP(E1786,SMMLV!$A$2:$A$36,SMMLV!$D$2:$D$100),3))</f>
        <v/>
      </c>
    </row>
    <row r="1787" spans="5:6">
      <c r="E1787" s="321"/>
      <c r="F1787" s="450" t="str">
        <f>IF(OR(D1787="",E1787=""),"",ROUND(D1787/LOOKUP(E1787,SMMLV!$A$2:$A$36,SMMLV!$D$2:$D$100),3))</f>
        <v/>
      </c>
    </row>
    <row r="1788" spans="5:6">
      <c r="E1788" s="321"/>
      <c r="F1788" s="450" t="str">
        <f>IF(OR(D1788="",E1788=""),"",ROUND(D1788/LOOKUP(E1788,SMMLV!$A$2:$A$36,SMMLV!$D$2:$D$100),3))</f>
        <v/>
      </c>
    </row>
    <row r="1789" spans="5:6">
      <c r="E1789" s="321"/>
      <c r="F1789" s="450" t="str">
        <f>IF(OR(D1789="",E1789=""),"",ROUND(D1789/LOOKUP(E1789,SMMLV!$A$2:$A$36,SMMLV!$D$2:$D$100),3))</f>
        <v/>
      </c>
    </row>
    <row r="1790" spans="5:6">
      <c r="E1790" s="321"/>
      <c r="F1790" s="450" t="str">
        <f>IF(OR(D1790="",E1790=""),"",ROUND(D1790/LOOKUP(E1790,SMMLV!$A$2:$A$36,SMMLV!$D$2:$D$100),3))</f>
        <v/>
      </c>
    </row>
    <row r="1791" spans="5:6">
      <c r="E1791" s="321"/>
      <c r="F1791" s="450" t="str">
        <f>IF(OR(D1791="",E1791=""),"",ROUND(D1791/LOOKUP(E1791,SMMLV!$A$2:$A$36,SMMLV!$D$2:$D$100),3))</f>
        <v/>
      </c>
    </row>
    <row r="1792" spans="5:6">
      <c r="E1792" s="321"/>
      <c r="F1792" s="450" t="str">
        <f>IF(OR(D1792="",E1792=""),"",ROUND(D1792/LOOKUP(E1792,SMMLV!$A$2:$A$36,SMMLV!$D$2:$D$100),3))</f>
        <v/>
      </c>
    </row>
    <row r="1793" spans="5:6">
      <c r="E1793" s="321"/>
      <c r="F1793" s="450" t="str">
        <f>IF(OR(D1793="",E1793=""),"",ROUND(D1793/LOOKUP(E1793,SMMLV!$A$2:$A$36,SMMLV!$D$2:$D$100),3))</f>
        <v/>
      </c>
    </row>
    <row r="1794" spans="5:6">
      <c r="E1794" s="321"/>
      <c r="F1794" s="450" t="str">
        <f>IF(OR(D1794="",E1794=""),"",ROUND(D1794/LOOKUP(E1794,SMMLV!$A$2:$A$36,SMMLV!$D$2:$D$100),3))</f>
        <v/>
      </c>
    </row>
    <row r="1795" spans="5:6">
      <c r="E1795" s="321"/>
      <c r="F1795" s="450" t="str">
        <f>IF(OR(D1795="",E1795=""),"",ROUND(D1795/LOOKUP(E1795,SMMLV!$A$2:$A$36,SMMLV!$D$2:$D$100),3))</f>
        <v/>
      </c>
    </row>
    <row r="1796" spans="5:6">
      <c r="E1796" s="321"/>
      <c r="F1796" s="450" t="str">
        <f>IF(OR(D1796="",E1796=""),"",ROUND(D1796/LOOKUP(E1796,SMMLV!$A$2:$A$36,SMMLV!$D$2:$D$100),3))</f>
        <v/>
      </c>
    </row>
    <row r="1797" spans="5:6">
      <c r="E1797" s="321"/>
      <c r="F1797" s="450" t="str">
        <f>IF(OR(D1797="",E1797=""),"",ROUND(D1797/LOOKUP(E1797,SMMLV!$A$2:$A$36,SMMLV!$D$2:$D$100),3))</f>
        <v/>
      </c>
    </row>
    <row r="1798" spans="5:6">
      <c r="E1798" s="321"/>
      <c r="F1798" s="450" t="str">
        <f>IF(OR(D1798="",E1798=""),"",ROUND(D1798/LOOKUP(E1798,SMMLV!$A$2:$A$36,SMMLV!$D$2:$D$100),3))</f>
        <v/>
      </c>
    </row>
    <row r="1799" spans="5:6">
      <c r="E1799" s="321"/>
      <c r="F1799" s="450" t="str">
        <f>IF(OR(D1799="",E1799=""),"",ROUND(D1799/LOOKUP(E1799,SMMLV!$A$2:$A$36,SMMLV!$D$2:$D$100),3))</f>
        <v/>
      </c>
    </row>
    <row r="1800" spans="5:6">
      <c r="E1800" s="321"/>
      <c r="F1800" s="450" t="str">
        <f>IF(OR(D1800="",E1800=""),"",ROUND(D1800/LOOKUP(E1800,SMMLV!$A$2:$A$36,SMMLV!$D$2:$D$100),3))</f>
        <v/>
      </c>
    </row>
    <row r="1801" spans="5:6">
      <c r="E1801" s="321"/>
      <c r="F1801" s="450" t="str">
        <f>IF(OR(D1801="",E1801=""),"",ROUND(D1801/LOOKUP(E1801,SMMLV!$A$2:$A$36,SMMLV!$D$2:$D$100),3))</f>
        <v/>
      </c>
    </row>
    <row r="1802" spans="5:6">
      <c r="E1802" s="321"/>
      <c r="F1802" s="450" t="str">
        <f>IF(OR(D1802="",E1802=""),"",ROUND(D1802/LOOKUP(E1802,SMMLV!$A$2:$A$36,SMMLV!$D$2:$D$100),3))</f>
        <v/>
      </c>
    </row>
    <row r="1803" spans="5:6">
      <c r="E1803" s="321"/>
      <c r="F1803" s="450" t="str">
        <f>IF(OR(D1803="",E1803=""),"",ROUND(D1803/LOOKUP(E1803,SMMLV!$A$2:$A$36,SMMLV!$D$2:$D$100),3))</f>
        <v/>
      </c>
    </row>
    <row r="1804" spans="5:6">
      <c r="E1804" s="321"/>
      <c r="F1804" s="450" t="str">
        <f>IF(OR(D1804="",E1804=""),"",ROUND(D1804/LOOKUP(E1804,SMMLV!$A$2:$A$36,SMMLV!$D$2:$D$100),3))</f>
        <v/>
      </c>
    </row>
    <row r="1805" spans="5:6">
      <c r="E1805" s="321"/>
      <c r="F1805" s="450" t="str">
        <f>IF(OR(D1805="",E1805=""),"",ROUND(D1805/LOOKUP(E1805,SMMLV!$A$2:$A$36,SMMLV!$D$2:$D$100),3))</f>
        <v/>
      </c>
    </row>
    <row r="1806" spans="5:6">
      <c r="E1806" s="321"/>
      <c r="F1806" s="450" t="str">
        <f>IF(OR(D1806="",E1806=""),"",ROUND(D1806/LOOKUP(E1806,SMMLV!$A$2:$A$36,SMMLV!$D$2:$D$100),3))</f>
        <v/>
      </c>
    </row>
    <row r="1807" spans="5:6">
      <c r="E1807" s="321"/>
      <c r="F1807" s="450" t="str">
        <f>IF(OR(D1807="",E1807=""),"",ROUND(D1807/LOOKUP(E1807,SMMLV!$A$2:$A$36,SMMLV!$D$2:$D$100),3))</f>
        <v/>
      </c>
    </row>
    <row r="1808" spans="5:6">
      <c r="E1808" s="321"/>
      <c r="F1808" s="450" t="str">
        <f>IF(OR(D1808="",E1808=""),"",ROUND(D1808/LOOKUP(E1808,SMMLV!$A$2:$A$36,SMMLV!$D$2:$D$100),3))</f>
        <v/>
      </c>
    </row>
    <row r="1809" spans="5:6">
      <c r="E1809" s="321"/>
      <c r="F1809" s="450" t="str">
        <f>IF(OR(D1809="",E1809=""),"",ROUND(D1809/LOOKUP(E1809,SMMLV!$A$2:$A$36,SMMLV!$D$2:$D$100),3))</f>
        <v/>
      </c>
    </row>
    <row r="1810" spans="5:6">
      <c r="E1810" s="321"/>
      <c r="F1810" s="450" t="str">
        <f>IF(OR(D1810="",E1810=""),"",ROUND(D1810/LOOKUP(E1810,SMMLV!$A$2:$A$36,SMMLV!$D$2:$D$100),3))</f>
        <v/>
      </c>
    </row>
    <row r="1811" spans="5:6">
      <c r="E1811" s="321"/>
      <c r="F1811" s="450" t="str">
        <f>IF(OR(D1811="",E1811=""),"",ROUND(D1811/LOOKUP(E1811,SMMLV!$A$2:$A$36,SMMLV!$D$2:$D$100),3))</f>
        <v/>
      </c>
    </row>
    <row r="1812" spans="5:6">
      <c r="E1812" s="321"/>
      <c r="F1812" s="450" t="str">
        <f>IF(OR(D1812="",E1812=""),"",ROUND(D1812/LOOKUP(E1812,SMMLV!$A$2:$A$36,SMMLV!$D$2:$D$100),3))</f>
        <v/>
      </c>
    </row>
    <row r="1813" spans="5:6">
      <c r="E1813" s="321"/>
      <c r="F1813" s="450" t="str">
        <f>IF(OR(D1813="",E1813=""),"",ROUND(D1813/LOOKUP(E1813,SMMLV!$A$2:$A$36,SMMLV!$D$2:$D$100),3))</f>
        <v/>
      </c>
    </row>
    <row r="1814" spans="5:6">
      <c r="E1814" s="321"/>
      <c r="F1814" s="450" t="str">
        <f>IF(OR(D1814="",E1814=""),"",ROUND(D1814/LOOKUP(E1814,SMMLV!$A$2:$A$36,SMMLV!$D$2:$D$100),3))</f>
        <v/>
      </c>
    </row>
    <row r="1815" spans="5:6">
      <c r="E1815" s="321"/>
      <c r="F1815" s="450" t="str">
        <f>IF(OR(D1815="",E1815=""),"",ROUND(D1815/LOOKUP(E1815,SMMLV!$A$2:$A$36,SMMLV!$D$2:$D$100),3))</f>
        <v/>
      </c>
    </row>
    <row r="1816" spans="5:6">
      <c r="E1816" s="321"/>
      <c r="F1816" s="450" t="str">
        <f>IF(OR(D1816="",E1816=""),"",ROUND(D1816/LOOKUP(E1816,SMMLV!$A$2:$A$36,SMMLV!$D$2:$D$100),3))</f>
        <v/>
      </c>
    </row>
    <row r="1817" spans="5:6">
      <c r="E1817" s="321"/>
      <c r="F1817" s="450" t="str">
        <f>IF(OR(D1817="",E1817=""),"",ROUND(D1817/LOOKUP(E1817,SMMLV!$A$2:$A$36,SMMLV!$D$2:$D$100),3))</f>
        <v/>
      </c>
    </row>
    <row r="1818" spans="5:6">
      <c r="E1818" s="321"/>
      <c r="F1818" s="450" t="str">
        <f>IF(OR(D1818="",E1818=""),"",ROUND(D1818/LOOKUP(E1818,SMMLV!$A$2:$A$36,SMMLV!$D$2:$D$100),3))</f>
        <v/>
      </c>
    </row>
    <row r="1819" spans="5:6">
      <c r="E1819" s="321"/>
      <c r="F1819" s="450" t="str">
        <f>IF(OR(D1819="",E1819=""),"",ROUND(D1819/LOOKUP(E1819,SMMLV!$A$2:$A$36,SMMLV!$D$2:$D$100),3))</f>
        <v/>
      </c>
    </row>
    <row r="1820" spans="5:6">
      <c r="E1820" s="321"/>
      <c r="F1820" s="450" t="str">
        <f>IF(OR(D1820="",E1820=""),"",ROUND(D1820/LOOKUP(E1820,SMMLV!$A$2:$A$36,SMMLV!$D$2:$D$100),3))</f>
        <v/>
      </c>
    </row>
    <row r="1821" spans="5:6">
      <c r="E1821" s="321"/>
      <c r="F1821" s="450" t="str">
        <f>IF(OR(D1821="",E1821=""),"",ROUND(D1821/LOOKUP(E1821,SMMLV!$A$2:$A$36,SMMLV!$D$2:$D$100),3))</f>
        <v/>
      </c>
    </row>
    <row r="1822" spans="5:6">
      <c r="E1822" s="321"/>
      <c r="F1822" s="450" t="str">
        <f>IF(OR(D1822="",E1822=""),"",ROUND(D1822/LOOKUP(E1822,SMMLV!$A$2:$A$36,SMMLV!$D$2:$D$100),3))</f>
        <v/>
      </c>
    </row>
    <row r="1823" spans="5:6">
      <c r="E1823" s="321"/>
      <c r="F1823" s="450" t="str">
        <f>IF(OR(D1823="",E1823=""),"",ROUND(D1823/LOOKUP(E1823,SMMLV!$A$2:$A$36,SMMLV!$D$2:$D$100),3))</f>
        <v/>
      </c>
    </row>
    <row r="1824" spans="5:6">
      <c r="E1824" s="321"/>
      <c r="F1824" s="450" t="str">
        <f>IF(OR(D1824="",E1824=""),"",ROUND(D1824/LOOKUP(E1824,SMMLV!$A$2:$A$36,SMMLV!$D$2:$D$100),3))</f>
        <v/>
      </c>
    </row>
    <row r="1825" spans="5:6">
      <c r="E1825" s="321"/>
      <c r="F1825" s="450" t="str">
        <f>IF(OR(D1825="",E1825=""),"",ROUND(D1825/LOOKUP(E1825,SMMLV!$A$2:$A$36,SMMLV!$D$2:$D$100),3))</f>
        <v/>
      </c>
    </row>
    <row r="1826" spans="5:6">
      <c r="E1826" s="321"/>
      <c r="F1826" s="450" t="str">
        <f>IF(OR(D1826="",E1826=""),"",ROUND(D1826/LOOKUP(E1826,SMMLV!$A$2:$A$36,SMMLV!$D$2:$D$100),3))</f>
        <v/>
      </c>
    </row>
    <row r="1827" spans="5:6">
      <c r="E1827" s="321"/>
      <c r="F1827" s="450" t="str">
        <f>IF(OR(D1827="",E1827=""),"",ROUND(D1827/LOOKUP(E1827,SMMLV!$A$2:$A$36,SMMLV!$D$2:$D$100),3))</f>
        <v/>
      </c>
    </row>
    <row r="1828" spans="5:6">
      <c r="E1828" s="321"/>
      <c r="F1828" s="450" t="str">
        <f>IF(OR(D1828="",E1828=""),"",ROUND(D1828/LOOKUP(E1828,SMMLV!$A$2:$A$36,SMMLV!$D$2:$D$100),3))</f>
        <v/>
      </c>
    </row>
    <row r="1829" spans="5:6">
      <c r="E1829" s="321"/>
      <c r="F1829" s="450" t="str">
        <f>IF(OR(D1829="",E1829=""),"",ROUND(D1829/LOOKUP(E1829,SMMLV!$A$2:$A$36,SMMLV!$D$2:$D$100),3))</f>
        <v/>
      </c>
    </row>
    <row r="1830" spans="5:6">
      <c r="E1830" s="321"/>
      <c r="F1830" s="450" t="str">
        <f>IF(OR(D1830="",E1830=""),"",ROUND(D1830/LOOKUP(E1830,SMMLV!$A$2:$A$36,SMMLV!$D$2:$D$100),3))</f>
        <v/>
      </c>
    </row>
    <row r="1831" spans="5:6">
      <c r="E1831" s="321"/>
      <c r="F1831" s="450" t="str">
        <f>IF(OR(D1831="",E1831=""),"",ROUND(D1831/LOOKUP(E1831,SMMLV!$A$2:$A$36,SMMLV!$D$2:$D$100),3))</f>
        <v/>
      </c>
    </row>
    <row r="1832" spans="5:6">
      <c r="E1832" s="321"/>
      <c r="F1832" s="450" t="str">
        <f>IF(OR(D1832="",E1832=""),"",ROUND(D1832/LOOKUP(E1832,SMMLV!$A$2:$A$36,SMMLV!$D$2:$D$100),3))</f>
        <v/>
      </c>
    </row>
    <row r="1833" spans="5:6">
      <c r="E1833" s="321"/>
      <c r="F1833" s="450" t="str">
        <f>IF(OR(D1833="",E1833=""),"",ROUND(D1833/LOOKUP(E1833,SMMLV!$A$2:$A$36,SMMLV!$D$2:$D$100),3))</f>
        <v/>
      </c>
    </row>
    <row r="1834" spans="5:6">
      <c r="E1834" s="321"/>
      <c r="F1834" s="450" t="str">
        <f>IF(OR(D1834="",E1834=""),"",ROUND(D1834/LOOKUP(E1834,SMMLV!$A$2:$A$36,SMMLV!$D$2:$D$100),3))</f>
        <v/>
      </c>
    </row>
    <row r="1835" spans="5:6">
      <c r="E1835" s="321"/>
      <c r="F1835" s="450" t="str">
        <f>IF(OR(D1835="",E1835=""),"",ROUND(D1835/LOOKUP(E1835,SMMLV!$A$2:$A$36,SMMLV!$D$2:$D$100),3))</f>
        <v/>
      </c>
    </row>
    <row r="1836" spans="5:6">
      <c r="E1836" s="321"/>
      <c r="F1836" s="450" t="str">
        <f>IF(OR(D1836="",E1836=""),"",ROUND(D1836/LOOKUP(E1836,SMMLV!$A$2:$A$36,SMMLV!$D$2:$D$100),3))</f>
        <v/>
      </c>
    </row>
    <row r="1837" spans="5:6">
      <c r="E1837" s="321"/>
      <c r="F1837" s="450" t="str">
        <f>IF(OR(D1837="",E1837=""),"",ROUND(D1837/LOOKUP(E1837,SMMLV!$A$2:$A$36,SMMLV!$D$2:$D$100),3))</f>
        <v/>
      </c>
    </row>
    <row r="1838" spans="5:6">
      <c r="E1838" s="321"/>
      <c r="F1838" s="450" t="str">
        <f>IF(OR(D1838="",E1838=""),"",ROUND(D1838/LOOKUP(E1838,SMMLV!$A$2:$A$36,SMMLV!$D$2:$D$100),3))</f>
        <v/>
      </c>
    </row>
    <row r="1839" spans="5:6">
      <c r="E1839" s="321"/>
      <c r="F1839" s="450" t="str">
        <f>IF(OR(D1839="",E1839=""),"",ROUND(D1839/LOOKUP(E1839,SMMLV!$A$2:$A$36,SMMLV!$D$2:$D$100),3))</f>
        <v/>
      </c>
    </row>
    <row r="1840" spans="5:6">
      <c r="E1840" s="321"/>
      <c r="F1840" s="450" t="str">
        <f>IF(OR(D1840="",E1840=""),"",ROUND(D1840/LOOKUP(E1840,SMMLV!$A$2:$A$36,SMMLV!$D$2:$D$100),3))</f>
        <v/>
      </c>
    </row>
    <row r="1841" spans="5:6">
      <c r="E1841" s="321"/>
      <c r="F1841" s="450" t="str">
        <f>IF(OR(D1841="",E1841=""),"",ROUND(D1841/LOOKUP(E1841,SMMLV!$A$2:$A$36,SMMLV!$D$2:$D$100),3))</f>
        <v/>
      </c>
    </row>
    <row r="1842" spans="5:6">
      <c r="E1842" s="321"/>
      <c r="F1842" s="450" t="str">
        <f>IF(OR(D1842="",E1842=""),"",ROUND(D1842/LOOKUP(E1842,SMMLV!$A$2:$A$36,SMMLV!$D$2:$D$100),3))</f>
        <v/>
      </c>
    </row>
    <row r="1843" spans="5:6">
      <c r="E1843" s="321"/>
      <c r="F1843" s="450" t="str">
        <f>IF(OR(D1843="",E1843=""),"",ROUND(D1843/LOOKUP(E1843,SMMLV!$A$2:$A$36,SMMLV!$D$2:$D$100),3))</f>
        <v/>
      </c>
    </row>
    <row r="1844" spans="5:6">
      <c r="E1844" s="321"/>
      <c r="F1844" s="450" t="str">
        <f>IF(OR(D1844="",E1844=""),"",ROUND(D1844/LOOKUP(E1844,SMMLV!$A$2:$A$36,SMMLV!$D$2:$D$100),3))</f>
        <v/>
      </c>
    </row>
    <row r="1845" spans="5:6">
      <c r="E1845" s="321"/>
      <c r="F1845" s="450" t="str">
        <f>IF(OR(D1845="",E1845=""),"",ROUND(D1845/LOOKUP(E1845,SMMLV!$A$2:$A$36,SMMLV!$D$2:$D$100),3))</f>
        <v/>
      </c>
    </row>
    <row r="1846" spans="5:6">
      <c r="E1846" s="321"/>
      <c r="F1846" s="450" t="str">
        <f>IF(OR(D1846="",E1846=""),"",ROUND(D1846/LOOKUP(E1846,SMMLV!$A$2:$A$36,SMMLV!$D$2:$D$100),3))</f>
        <v/>
      </c>
    </row>
    <row r="1847" spans="5:6">
      <c r="E1847" s="321"/>
      <c r="F1847" s="450" t="str">
        <f>IF(OR(D1847="",E1847=""),"",ROUND(D1847/LOOKUP(E1847,SMMLV!$A$2:$A$36,SMMLV!$D$2:$D$100),3))</f>
        <v/>
      </c>
    </row>
    <row r="1848" spans="5:6">
      <c r="E1848" s="321"/>
      <c r="F1848" s="450" t="str">
        <f>IF(OR(D1848="",E1848=""),"",ROUND(D1848/LOOKUP(E1848,SMMLV!$A$2:$A$36,SMMLV!$D$2:$D$100),3))</f>
        <v/>
      </c>
    </row>
    <row r="1849" spans="5:6">
      <c r="E1849" s="321"/>
      <c r="F1849" s="450" t="str">
        <f>IF(OR(D1849="",E1849=""),"",ROUND(D1849/LOOKUP(E1849,SMMLV!$A$2:$A$36,SMMLV!$D$2:$D$100),3))</f>
        <v/>
      </c>
    </row>
    <row r="1850" spans="5:6">
      <c r="E1850" s="321"/>
      <c r="F1850" s="450" t="str">
        <f>IF(OR(D1850="",E1850=""),"",ROUND(D1850/LOOKUP(E1850,SMMLV!$A$2:$A$36,SMMLV!$D$2:$D$100),3))</f>
        <v/>
      </c>
    </row>
    <row r="1851" spans="5:6">
      <c r="E1851" s="321"/>
      <c r="F1851" s="450" t="str">
        <f>IF(OR(D1851="",E1851=""),"",ROUND(D1851/LOOKUP(E1851,SMMLV!$A$2:$A$36,SMMLV!$D$2:$D$100),3))</f>
        <v/>
      </c>
    </row>
    <row r="1852" spans="5:6">
      <c r="E1852" s="321"/>
      <c r="F1852" s="450" t="str">
        <f>IF(OR(D1852="",E1852=""),"",ROUND(D1852/LOOKUP(E1852,SMMLV!$A$2:$A$36,SMMLV!$D$2:$D$100),3))</f>
        <v/>
      </c>
    </row>
    <row r="1853" spans="5:6">
      <c r="E1853" s="321"/>
      <c r="F1853" s="450" t="str">
        <f>IF(OR(D1853="",E1853=""),"",ROUND(D1853/LOOKUP(E1853,SMMLV!$A$2:$A$36,SMMLV!$D$2:$D$100),3))</f>
        <v/>
      </c>
    </row>
    <row r="1854" spans="5:6">
      <c r="E1854" s="321"/>
      <c r="F1854" s="450" t="str">
        <f>IF(OR(D1854="",E1854=""),"",ROUND(D1854/LOOKUP(E1854,SMMLV!$A$2:$A$36,SMMLV!$D$2:$D$100),3))</f>
        <v/>
      </c>
    </row>
    <row r="1855" spans="5:6">
      <c r="E1855" s="321"/>
      <c r="F1855" s="450" t="str">
        <f>IF(OR(D1855="",E1855=""),"",ROUND(D1855/LOOKUP(E1855,SMMLV!$A$2:$A$36,SMMLV!$D$2:$D$100),3))</f>
        <v/>
      </c>
    </row>
    <row r="1856" spans="5:6">
      <c r="E1856" s="321"/>
      <c r="F1856" s="450" t="str">
        <f>IF(OR(D1856="",E1856=""),"",ROUND(D1856/LOOKUP(E1856,SMMLV!$A$2:$A$36,SMMLV!$D$2:$D$100),3))</f>
        <v/>
      </c>
    </row>
    <row r="1857" spans="5:6">
      <c r="E1857" s="321"/>
      <c r="F1857" s="450" t="str">
        <f>IF(OR(D1857="",E1857=""),"",ROUND(D1857/LOOKUP(E1857,SMMLV!$A$2:$A$36,SMMLV!$D$2:$D$100),3))</f>
        <v/>
      </c>
    </row>
    <row r="1858" spans="5:6">
      <c r="E1858" s="321"/>
      <c r="F1858" s="450" t="str">
        <f>IF(OR(D1858="",E1858=""),"",ROUND(D1858/LOOKUP(E1858,SMMLV!$A$2:$A$36,SMMLV!$D$2:$D$100),3))</f>
        <v/>
      </c>
    </row>
    <row r="1859" spans="5:6">
      <c r="E1859" s="321"/>
      <c r="F1859" s="450" t="str">
        <f>IF(OR(D1859="",E1859=""),"",ROUND(D1859/LOOKUP(E1859,SMMLV!$A$2:$A$36,SMMLV!$D$2:$D$100),3))</f>
        <v/>
      </c>
    </row>
    <row r="1860" spans="5:6">
      <c r="E1860" s="321"/>
      <c r="F1860" s="450" t="str">
        <f>IF(OR(D1860="",E1860=""),"",ROUND(D1860/LOOKUP(E1860,SMMLV!$A$2:$A$36,SMMLV!$D$2:$D$100),3))</f>
        <v/>
      </c>
    </row>
    <row r="1861" spans="5:6">
      <c r="E1861" s="321"/>
      <c r="F1861" s="450" t="str">
        <f>IF(OR(D1861="",E1861=""),"",ROUND(D1861/LOOKUP(E1861,SMMLV!$A$2:$A$36,SMMLV!$D$2:$D$100),3))</f>
        <v/>
      </c>
    </row>
    <row r="1862" spans="5:6">
      <c r="E1862" s="321"/>
      <c r="F1862" s="450" t="str">
        <f>IF(OR(D1862="",E1862=""),"",ROUND(D1862/LOOKUP(E1862,SMMLV!$A$2:$A$36,SMMLV!$D$2:$D$100),3))</f>
        <v/>
      </c>
    </row>
    <row r="1863" spans="5:6">
      <c r="E1863" s="321"/>
      <c r="F1863" s="450" t="str">
        <f>IF(OR(D1863="",E1863=""),"",ROUND(D1863/LOOKUP(E1863,SMMLV!$A$2:$A$36,SMMLV!$D$2:$D$100),3))</f>
        <v/>
      </c>
    </row>
    <row r="1864" spans="5:6">
      <c r="E1864" s="321"/>
      <c r="F1864" s="450" t="str">
        <f>IF(OR(D1864="",E1864=""),"",ROUND(D1864/LOOKUP(E1864,SMMLV!$A$2:$A$36,SMMLV!$D$2:$D$100),3))</f>
        <v/>
      </c>
    </row>
    <row r="1865" spans="5:6">
      <c r="E1865" s="321"/>
      <c r="F1865" s="450" t="str">
        <f>IF(OR(D1865="",E1865=""),"",ROUND(D1865/LOOKUP(E1865,SMMLV!$A$2:$A$36,SMMLV!$D$2:$D$100),3))</f>
        <v/>
      </c>
    </row>
    <row r="1866" spans="5:6">
      <c r="E1866" s="321"/>
      <c r="F1866" s="450" t="str">
        <f>IF(OR(D1866="",E1866=""),"",ROUND(D1866/LOOKUP(E1866,SMMLV!$A$2:$A$36,SMMLV!$D$2:$D$100),3))</f>
        <v/>
      </c>
    </row>
    <row r="1867" spans="5:6">
      <c r="E1867" s="321"/>
      <c r="F1867" s="450" t="str">
        <f>IF(OR(D1867="",E1867=""),"",ROUND(D1867/LOOKUP(E1867,SMMLV!$A$2:$A$36,SMMLV!$D$2:$D$100),3))</f>
        <v/>
      </c>
    </row>
    <row r="1868" spans="5:6">
      <c r="E1868" s="321"/>
      <c r="F1868" s="450" t="str">
        <f>IF(OR(D1868="",E1868=""),"",ROUND(D1868/LOOKUP(E1868,SMMLV!$A$2:$A$36,SMMLV!$D$2:$D$100),3))</f>
        <v/>
      </c>
    </row>
    <row r="1869" spans="5:6">
      <c r="E1869" s="321"/>
      <c r="F1869" s="450" t="str">
        <f>IF(OR(D1869="",E1869=""),"",ROUND(D1869/LOOKUP(E1869,SMMLV!$A$2:$A$36,SMMLV!$D$2:$D$100),3))</f>
        <v/>
      </c>
    </row>
    <row r="1870" spans="5:6">
      <c r="E1870" s="321"/>
      <c r="F1870" s="450" t="str">
        <f>IF(OR(D1870="",E1870=""),"",ROUND(D1870/LOOKUP(E1870,SMMLV!$A$2:$A$36,SMMLV!$D$2:$D$100),3))</f>
        <v/>
      </c>
    </row>
    <row r="1871" spans="5:6">
      <c r="E1871" s="321"/>
      <c r="F1871" s="450" t="str">
        <f>IF(OR(D1871="",E1871=""),"",ROUND(D1871/LOOKUP(E1871,SMMLV!$A$2:$A$36,SMMLV!$D$2:$D$100),3))</f>
        <v/>
      </c>
    </row>
    <row r="1872" spans="5:6">
      <c r="E1872" s="321"/>
      <c r="F1872" s="450" t="str">
        <f>IF(OR(D1872="",E1872=""),"",ROUND(D1872/LOOKUP(E1872,SMMLV!$A$2:$A$36,SMMLV!$D$2:$D$100),3))</f>
        <v/>
      </c>
    </row>
    <row r="1873" spans="5:6">
      <c r="E1873" s="321"/>
      <c r="F1873" s="450" t="str">
        <f>IF(OR(D1873="",E1873=""),"",ROUND(D1873/LOOKUP(E1873,SMMLV!$A$2:$A$36,SMMLV!$D$2:$D$100),3))</f>
        <v/>
      </c>
    </row>
    <row r="1874" spans="5:6">
      <c r="E1874" s="321"/>
      <c r="F1874" s="450" t="str">
        <f>IF(OR(D1874="",E1874=""),"",ROUND(D1874/LOOKUP(E1874,SMMLV!$A$2:$A$36,SMMLV!$D$2:$D$100),3))</f>
        <v/>
      </c>
    </row>
    <row r="1875" spans="5:6">
      <c r="E1875" s="321"/>
      <c r="F1875" s="450" t="str">
        <f>IF(OR(D1875="",E1875=""),"",ROUND(D1875/LOOKUP(E1875,SMMLV!$A$2:$A$36,SMMLV!$D$2:$D$100),3))</f>
        <v/>
      </c>
    </row>
    <row r="1876" spans="5:6">
      <c r="E1876" s="321"/>
      <c r="F1876" s="450" t="str">
        <f>IF(OR(D1876="",E1876=""),"",ROUND(D1876/LOOKUP(E1876,SMMLV!$A$2:$A$36,SMMLV!$D$2:$D$100),3))</f>
        <v/>
      </c>
    </row>
    <row r="1877" spans="5:6">
      <c r="E1877" s="321"/>
      <c r="F1877" s="450" t="str">
        <f>IF(OR(D1877="",E1877=""),"",ROUND(D1877/LOOKUP(E1877,SMMLV!$A$2:$A$36,SMMLV!$D$2:$D$100),3))</f>
        <v/>
      </c>
    </row>
    <row r="1878" spans="5:6">
      <c r="E1878" s="321"/>
      <c r="F1878" s="450" t="str">
        <f>IF(OR(D1878="",E1878=""),"",ROUND(D1878/LOOKUP(E1878,SMMLV!$A$2:$A$36,SMMLV!$D$2:$D$100),3))</f>
        <v/>
      </c>
    </row>
    <row r="1879" spans="5:6">
      <c r="E1879" s="321"/>
      <c r="F1879" s="450" t="str">
        <f>IF(OR(D1879="",E1879=""),"",ROUND(D1879/LOOKUP(E1879,SMMLV!$A$2:$A$36,SMMLV!$D$2:$D$100),3))</f>
        <v/>
      </c>
    </row>
    <row r="1880" spans="5:6">
      <c r="E1880" s="321"/>
      <c r="F1880" s="450" t="str">
        <f>IF(OR(D1880="",E1880=""),"",ROUND(D1880/LOOKUP(E1880,SMMLV!$A$2:$A$36,SMMLV!$D$2:$D$100),3))</f>
        <v/>
      </c>
    </row>
    <row r="1881" spans="5:6">
      <c r="E1881" s="321"/>
      <c r="F1881" s="450" t="str">
        <f>IF(OR(D1881="",E1881=""),"",ROUND(D1881/LOOKUP(E1881,SMMLV!$A$2:$A$36,SMMLV!$D$2:$D$100),3))</f>
        <v/>
      </c>
    </row>
    <row r="1882" spans="5:6">
      <c r="E1882" s="321"/>
      <c r="F1882" s="450" t="str">
        <f>IF(OR(D1882="",E1882=""),"",ROUND(D1882/LOOKUP(E1882,SMMLV!$A$2:$A$36,SMMLV!$D$2:$D$100),3))</f>
        <v/>
      </c>
    </row>
    <row r="1883" spans="5:6">
      <c r="E1883" s="321"/>
      <c r="F1883" s="450" t="str">
        <f>IF(OR(D1883="",E1883=""),"",ROUND(D1883/LOOKUP(E1883,SMMLV!$A$2:$A$36,SMMLV!$D$2:$D$100),3))</f>
        <v/>
      </c>
    </row>
    <row r="1884" spans="5:6">
      <c r="E1884" s="321"/>
      <c r="F1884" s="450" t="str">
        <f>IF(OR(D1884="",E1884=""),"",ROUND(D1884/LOOKUP(E1884,SMMLV!$A$2:$A$36,SMMLV!$D$2:$D$100),3))</f>
        <v/>
      </c>
    </row>
    <row r="1885" spans="5:6">
      <c r="E1885" s="321"/>
      <c r="F1885" s="450" t="str">
        <f>IF(OR(D1885="",E1885=""),"",ROUND(D1885/LOOKUP(E1885,SMMLV!$A$2:$A$36,SMMLV!$D$2:$D$100),3))</f>
        <v/>
      </c>
    </row>
    <row r="1886" spans="5:6">
      <c r="F1886" s="450" t="str">
        <f>IF(OR(D1886="",E1886=""),"",ROUND(D1886/LOOKUP(E1886,SMMLV!$A$2:$A$36,SMMLV!$D$2:$D$100),3))</f>
        <v/>
      </c>
    </row>
    <row r="1887" spans="5:6">
      <c r="F1887" s="450" t="str">
        <f>IF(OR(D1887="",E1887=""),"",ROUND(D1887/LOOKUP(E1887,SMMLV!$A$2:$A$36,SMMLV!$D$2:$D$100),3))</f>
        <v/>
      </c>
    </row>
    <row r="1888" spans="5:6">
      <c r="F1888" s="450" t="str">
        <f>IF(OR(D1888="",E1888=""),"",ROUND(D1888/LOOKUP(E1888,SMMLV!$A$2:$A$36,SMMLV!$D$2:$D$100),3))</f>
        <v/>
      </c>
    </row>
    <row r="1889" spans="6:6">
      <c r="F1889" s="450" t="str">
        <f>IF(OR(D1889="",E1889=""),"",ROUND(D1889/LOOKUP(E1889,SMMLV!$A$2:$A$36,SMMLV!$D$2:$D$100),3))</f>
        <v/>
      </c>
    </row>
    <row r="1890" spans="6:6">
      <c r="F1890" s="450" t="str">
        <f>IF(OR(D1890="",E1890=""),"",ROUND(D1890/LOOKUP(E1890,SMMLV!$A$2:$A$36,SMMLV!$D$2:$D$100),3))</f>
        <v/>
      </c>
    </row>
    <row r="1891" spans="6:6">
      <c r="F1891" s="450" t="str">
        <f>IF(OR(D1891="",E1891=""),"",ROUND(D1891/LOOKUP(E1891,SMMLV!$A$2:$A$36,SMMLV!$D$2:$D$100),3))</f>
        <v/>
      </c>
    </row>
    <row r="1892" spans="6:6">
      <c r="F1892" s="450" t="str">
        <f>IF(OR(D1892="",E1892=""),"",ROUND(D1892/LOOKUP(E1892,SMMLV!$A$2:$A$36,SMMLV!$D$2:$D$100),3))</f>
        <v/>
      </c>
    </row>
    <row r="1893" spans="6:6">
      <c r="F1893" s="450" t="str">
        <f>IF(OR(D1893="",E1893=""),"",ROUND(D1893/LOOKUP(E1893,SMMLV!$A$2:$A$36,SMMLV!$D$2:$D$100),3))</f>
        <v/>
      </c>
    </row>
    <row r="1894" spans="6:6">
      <c r="F1894" s="450" t="str">
        <f>IF(OR(D1894="",E1894=""),"",ROUND(D1894/LOOKUP(E1894,SMMLV!$A$2:$A$36,SMMLV!$D$2:$D$100),3))</f>
        <v/>
      </c>
    </row>
    <row r="1895" spans="6:6">
      <c r="F1895" s="450" t="str">
        <f>IF(OR(D1895="",E1895=""),"",ROUND(D1895/LOOKUP(E1895,SMMLV!$A$2:$A$36,SMMLV!$D$2:$D$100),3))</f>
        <v/>
      </c>
    </row>
    <row r="1896" spans="6:6">
      <c r="F1896" s="450" t="str">
        <f>IF(OR(D1896="",E1896=""),"",ROUND(D1896/LOOKUP(E1896,SMMLV!$A$2:$A$36,SMMLV!$D$2:$D$100),3))</f>
        <v/>
      </c>
    </row>
    <row r="1897" spans="6:6">
      <c r="F1897" s="450" t="str">
        <f>IF(OR(D1897="",E1897=""),"",ROUND(D1897/LOOKUP(E1897,SMMLV!$A$2:$A$36,SMMLV!$D$2:$D$100),3))</f>
        <v/>
      </c>
    </row>
    <row r="1898" spans="6:6">
      <c r="F1898" s="450" t="str">
        <f>IF(OR(D1898="",E1898=""),"",ROUND(D1898/LOOKUP(E1898,SMMLV!$A$2:$A$36,SMMLV!$D$2:$D$100),3))</f>
        <v/>
      </c>
    </row>
    <row r="1899" spans="6:6">
      <c r="F1899" s="450" t="str">
        <f>IF(OR(D1899="",E1899=""),"",ROUND(D1899/LOOKUP(E1899,SMMLV!$A$2:$A$36,SMMLV!$D$2:$D$100),3))</f>
        <v/>
      </c>
    </row>
    <row r="1900" spans="6:6">
      <c r="F1900" s="450" t="str">
        <f>IF(OR(D1900="",E1900=""),"",ROUND(D1900/LOOKUP(E1900,SMMLV!$A$2:$A$36,SMMLV!$D$2:$D$100),3))</f>
        <v/>
      </c>
    </row>
    <row r="1901" spans="6:6">
      <c r="F1901" s="450" t="str">
        <f>IF(OR(D1901="",E1901=""),"",ROUND(D1901/LOOKUP(E1901,SMMLV!$A$2:$A$36,SMMLV!$D$2:$D$100),3))</f>
        <v/>
      </c>
    </row>
    <row r="1902" spans="6:6">
      <c r="F1902" s="450" t="str">
        <f>IF(OR(D1902="",E1902=""),"",ROUND(D1902/LOOKUP(E1902,SMMLV!$A$2:$A$36,SMMLV!$D$2:$D$100),3))</f>
        <v/>
      </c>
    </row>
    <row r="1903" spans="6:6">
      <c r="F1903" s="450" t="str">
        <f>IF(OR(D1903="",E1903=""),"",ROUND(D1903/LOOKUP(E1903,SMMLV!$A$2:$A$36,SMMLV!$D$2:$D$100),3))</f>
        <v/>
      </c>
    </row>
    <row r="1904" spans="6:6">
      <c r="F1904" s="450" t="str">
        <f>IF(OR(D1904="",E1904=""),"",ROUND(D1904/LOOKUP(E1904,SMMLV!$A$2:$A$36,SMMLV!$D$2:$D$100),3))</f>
        <v/>
      </c>
    </row>
    <row r="1905" spans="6:6">
      <c r="F1905" s="450" t="str">
        <f>IF(OR(D1905="",E1905=""),"",ROUND(D1905/LOOKUP(E1905,SMMLV!$A$2:$A$36,SMMLV!$D$2:$D$100),3))</f>
        <v/>
      </c>
    </row>
    <row r="1906" spans="6:6">
      <c r="F1906" s="450" t="str">
        <f>IF(OR(D1906="",E1906=""),"",ROUND(D1906/LOOKUP(E1906,SMMLV!$A$2:$A$36,SMMLV!$D$2:$D$100),3))</f>
        <v/>
      </c>
    </row>
    <row r="1907" spans="6:6">
      <c r="F1907" s="450" t="str">
        <f>IF(OR(D1907="",E1907=""),"",ROUND(D1907/LOOKUP(E1907,SMMLV!$A$2:$A$36,SMMLV!$D$2:$D$100),3))</f>
        <v/>
      </c>
    </row>
    <row r="1908" spans="6:6">
      <c r="F1908" s="450" t="str">
        <f>IF(OR(D1908="",E1908=""),"",ROUND(D1908/LOOKUP(E1908,SMMLV!$A$2:$A$36,SMMLV!$D$2:$D$100),3))</f>
        <v/>
      </c>
    </row>
    <row r="1909" spans="6:6">
      <c r="F1909" s="450" t="str">
        <f>IF(OR(D1909="",E1909=""),"",ROUND(D1909/LOOKUP(E1909,SMMLV!$A$2:$A$36,SMMLV!$D$2:$D$100),3))</f>
        <v/>
      </c>
    </row>
    <row r="1910" spans="6:6">
      <c r="F1910" s="450" t="str">
        <f>IF(OR(D1910="",E1910=""),"",ROUND(D1910/LOOKUP(E1910,SMMLV!$A$2:$A$36,SMMLV!$D$2:$D$100),3))</f>
        <v/>
      </c>
    </row>
    <row r="1911" spans="6:6">
      <c r="F1911" s="450" t="str">
        <f>IF(OR(D1911="",E1911=""),"",ROUND(D1911/LOOKUP(E1911,SMMLV!$A$2:$A$36,SMMLV!$D$2:$D$100),3))</f>
        <v/>
      </c>
    </row>
    <row r="1912" spans="6:6">
      <c r="F1912" s="450" t="str">
        <f>IF(OR(D1912="",E1912=""),"",ROUND(D1912/LOOKUP(E1912,SMMLV!$A$2:$A$36,SMMLV!$D$2:$D$100),3))</f>
        <v/>
      </c>
    </row>
    <row r="1913" spans="6:6">
      <c r="F1913" s="450" t="str">
        <f>IF(OR(D1913="",E1913=""),"",ROUND(D1913/LOOKUP(E1913,SMMLV!$A$2:$A$36,SMMLV!$D$2:$D$100),3))</f>
        <v/>
      </c>
    </row>
    <row r="1914" spans="6:6">
      <c r="F1914" s="450" t="str">
        <f>IF(OR(D1914="",E1914=""),"",ROUND(D1914/LOOKUP(E1914,SMMLV!$A$2:$A$36,SMMLV!$D$2:$D$100),3))</f>
        <v/>
      </c>
    </row>
    <row r="1915" spans="6:6">
      <c r="F1915" s="450" t="str">
        <f>IF(OR(D1915="",E1915=""),"",ROUND(D1915/LOOKUP(E1915,SMMLV!$A$2:$A$36,SMMLV!$D$2:$D$100),3))</f>
        <v/>
      </c>
    </row>
    <row r="1916" spans="6:6">
      <c r="F1916" s="450" t="str">
        <f>IF(OR(D1916="",E1916=""),"",ROUND(D1916/LOOKUP(E1916,SMMLV!$A$2:$A$36,SMMLV!$D$2:$D$100),3))</f>
        <v/>
      </c>
    </row>
    <row r="1917" spans="6:6">
      <c r="F1917" s="450" t="str">
        <f>IF(OR(D1917="",E1917=""),"",ROUND(D1917/LOOKUP(E1917,SMMLV!$A$2:$A$36,SMMLV!$D$2:$D$100),3))</f>
        <v/>
      </c>
    </row>
    <row r="1918" spans="6:6">
      <c r="F1918" s="450" t="str">
        <f>IF(OR(D1918="",E1918=""),"",ROUND(D1918/LOOKUP(E1918,SMMLV!$A$2:$A$36,SMMLV!$D$2:$D$100),3))</f>
        <v/>
      </c>
    </row>
    <row r="1919" spans="6:6">
      <c r="F1919" s="450" t="str">
        <f>IF(OR(D1919="",E1919=""),"",ROUND(D1919/LOOKUP(E1919,SMMLV!$A$2:$A$36,SMMLV!$D$2:$D$100),3))</f>
        <v/>
      </c>
    </row>
    <row r="1920" spans="6:6">
      <c r="F1920" s="450" t="str">
        <f>IF(OR(D1920="",E1920=""),"",ROUND(D1920/LOOKUP(E1920,SMMLV!$A$2:$A$36,SMMLV!$D$2:$D$100),3))</f>
        <v/>
      </c>
    </row>
    <row r="1921" spans="6:6">
      <c r="F1921" s="450" t="str">
        <f>IF(OR(D1921="",E1921=""),"",ROUND(D1921/LOOKUP(E1921,SMMLV!$A$2:$A$36,SMMLV!$D$2:$D$100),3))</f>
        <v/>
      </c>
    </row>
    <row r="1922" spans="6:6">
      <c r="F1922" s="450" t="str">
        <f>IF(OR(D1922="",E1922=""),"",ROUND(D1922/LOOKUP(E1922,SMMLV!$A$2:$A$36,SMMLV!$D$2:$D$100),3))</f>
        <v/>
      </c>
    </row>
    <row r="1923" spans="6:6">
      <c r="F1923" s="450" t="str">
        <f>IF(OR(D1923="",E1923=""),"",ROUND(D1923/LOOKUP(E1923,SMMLV!$A$2:$A$36,SMMLV!$D$2:$D$100),3))</f>
        <v/>
      </c>
    </row>
    <row r="1924" spans="6:6">
      <c r="F1924" s="450" t="str">
        <f>IF(OR(D1924="",E1924=""),"",ROUND(D1924/LOOKUP(E1924,SMMLV!$A$2:$A$36,SMMLV!$D$2:$D$100),3))</f>
        <v/>
      </c>
    </row>
    <row r="1925" spans="6:6">
      <c r="F1925" s="450" t="str">
        <f>IF(OR(D1925="",E1925=""),"",ROUND(D1925/LOOKUP(E1925,SMMLV!$A$2:$A$36,SMMLV!$D$2:$D$100),3))</f>
        <v/>
      </c>
    </row>
    <row r="1926" spans="6:6">
      <c r="F1926" s="450" t="str">
        <f>IF(OR(D1926="",E1926=""),"",ROUND(D1926/LOOKUP(E1926,SMMLV!$A$2:$A$36,SMMLV!$D$2:$D$100),3))</f>
        <v/>
      </c>
    </row>
    <row r="1927" spans="6:6">
      <c r="F1927" s="450" t="str">
        <f>IF(OR(D1927="",E1927=""),"",ROUND(D1927/LOOKUP(E1927,SMMLV!$A$2:$A$36,SMMLV!$D$2:$D$100),3))</f>
        <v/>
      </c>
    </row>
    <row r="1928" spans="6:6">
      <c r="F1928" s="450" t="str">
        <f>IF(OR(D1928="",E1928=""),"",ROUND(D1928/LOOKUP(E1928,SMMLV!$A$2:$A$36,SMMLV!$D$2:$D$100),3))</f>
        <v/>
      </c>
    </row>
    <row r="1929" spans="6:6">
      <c r="F1929" s="450" t="str">
        <f>IF(OR(D1929="",E1929=""),"",ROUND(D1929/LOOKUP(E1929,SMMLV!$A$2:$A$36,SMMLV!$D$2:$D$100),3))</f>
        <v/>
      </c>
    </row>
    <row r="1930" spans="6:6">
      <c r="F1930" s="450" t="str">
        <f>IF(OR(D1930="",E1930=""),"",ROUND(D1930/LOOKUP(E1930,SMMLV!$A$2:$A$36,SMMLV!$D$2:$D$100),3))</f>
        <v/>
      </c>
    </row>
    <row r="1931" spans="6:6">
      <c r="F1931" s="450" t="str">
        <f>IF(OR(D1931="",E1931=""),"",ROUND(D1931/LOOKUP(E1931,SMMLV!$A$2:$A$36,SMMLV!$D$2:$D$100),3))</f>
        <v/>
      </c>
    </row>
    <row r="1932" spans="6:6">
      <c r="F1932" s="450" t="str">
        <f>IF(OR(D1932="",E1932=""),"",ROUND(D1932/LOOKUP(E1932,SMMLV!$A$2:$A$36,SMMLV!$D$2:$D$100),3))</f>
        <v/>
      </c>
    </row>
    <row r="1933" spans="6:6">
      <c r="F1933" s="450" t="str">
        <f>IF(OR(D1933="",E1933=""),"",ROUND(D1933/LOOKUP(E1933,SMMLV!$A$2:$A$36,SMMLV!$D$2:$D$100),3))</f>
        <v/>
      </c>
    </row>
    <row r="1934" spans="6:6">
      <c r="F1934" s="450" t="str">
        <f>IF(OR(D1934="",E1934=""),"",ROUND(D1934/LOOKUP(E1934,SMMLV!$A$2:$A$36,SMMLV!$D$2:$D$100),3))</f>
        <v/>
      </c>
    </row>
    <row r="1935" spans="6:6">
      <c r="F1935" s="450" t="str">
        <f>IF(OR(D1935="",E1935=""),"",ROUND(D1935/LOOKUP(E1935,SMMLV!$A$2:$A$36,SMMLV!$D$2:$D$100),3))</f>
        <v/>
      </c>
    </row>
    <row r="1936" spans="6:6">
      <c r="F1936" s="450" t="str">
        <f>IF(OR(D1936="",E1936=""),"",ROUND(D1936/LOOKUP(E1936,SMMLV!$A$2:$A$36,SMMLV!$D$2:$D$100),3))</f>
        <v/>
      </c>
    </row>
    <row r="1937" spans="6:6">
      <c r="F1937" s="450" t="str">
        <f>IF(OR(D1937="",E1937=""),"",ROUND(D1937/LOOKUP(E1937,SMMLV!$A$2:$A$36,SMMLV!$D$2:$D$100),3))</f>
        <v/>
      </c>
    </row>
    <row r="1938" spans="6:6">
      <c r="F1938" s="450" t="str">
        <f>IF(OR(D1938="",E1938=""),"",ROUND(D1938/LOOKUP(E1938,SMMLV!$A$2:$A$36,SMMLV!$D$2:$D$100),3))</f>
        <v/>
      </c>
    </row>
    <row r="1939" spans="6:6">
      <c r="F1939" s="450" t="str">
        <f>IF(OR(D1939="",E1939=""),"",ROUND(D1939/LOOKUP(E1939,SMMLV!$A$2:$A$36,SMMLV!$D$2:$D$100),3))</f>
        <v/>
      </c>
    </row>
    <row r="1940" spans="6:6">
      <c r="F1940" s="450" t="str">
        <f>IF(OR(D1940="",E1940=""),"",ROUND(D1940/LOOKUP(E1940,SMMLV!$A$2:$A$36,SMMLV!$D$2:$D$100),3))</f>
        <v/>
      </c>
    </row>
    <row r="1941" spans="6:6">
      <c r="F1941" s="450" t="str">
        <f>IF(OR(D1941="",E1941=""),"",ROUND(D1941/LOOKUP(E1941,SMMLV!$A$2:$A$36,SMMLV!$D$2:$D$100),3))</f>
        <v/>
      </c>
    </row>
    <row r="1942" spans="6:6">
      <c r="F1942" s="450" t="str">
        <f>IF(OR(D1942="",E1942=""),"",ROUND(D1942/LOOKUP(E1942,SMMLV!$A$2:$A$36,SMMLV!$D$2:$D$100),3))</f>
        <v/>
      </c>
    </row>
    <row r="1943" spans="6:6">
      <c r="F1943" s="450" t="str">
        <f>IF(OR(D1943="",E1943=""),"",ROUND(D1943/LOOKUP(E1943,SMMLV!$A$2:$A$36,SMMLV!$D$2:$D$100),3))</f>
        <v/>
      </c>
    </row>
    <row r="1944" spans="6:6">
      <c r="F1944" s="450" t="str">
        <f>IF(OR(D1944="",E1944=""),"",ROUND(D1944/LOOKUP(E1944,SMMLV!$A$2:$A$36,SMMLV!$D$2:$D$100),3))</f>
        <v/>
      </c>
    </row>
    <row r="1945" spans="6:6">
      <c r="F1945" s="450" t="str">
        <f>IF(OR(D1945="",E1945=""),"",ROUND(D1945/LOOKUP(E1945,SMMLV!$A$2:$A$36,SMMLV!$D$2:$D$100),3))</f>
        <v/>
      </c>
    </row>
    <row r="1946" spans="6:6">
      <c r="F1946" s="450" t="str">
        <f>IF(OR(D1946="",E1946=""),"",ROUND(D1946/LOOKUP(E1946,SMMLV!$A$2:$A$36,SMMLV!$D$2:$D$100),3))</f>
        <v/>
      </c>
    </row>
    <row r="1947" spans="6:6">
      <c r="F1947" s="450" t="str">
        <f>IF(OR(D1947="",E1947=""),"",ROUND(D1947/LOOKUP(E1947,SMMLV!$A$2:$A$36,SMMLV!$D$2:$D$100),3))</f>
        <v/>
      </c>
    </row>
    <row r="1948" spans="6:6">
      <c r="F1948" s="450" t="str">
        <f>IF(OR(D1948="",E1948=""),"",ROUND(D1948/LOOKUP(E1948,SMMLV!$A$2:$A$36,SMMLV!$D$2:$D$100),3))</f>
        <v/>
      </c>
    </row>
    <row r="1949" spans="6:6">
      <c r="F1949" s="450" t="str">
        <f>IF(OR(D1949="",E1949=""),"",ROUND(D1949/LOOKUP(E1949,SMMLV!$A$2:$A$36,SMMLV!$D$2:$D$100),3))</f>
        <v/>
      </c>
    </row>
    <row r="1950" spans="6:6">
      <c r="F1950" s="450" t="str">
        <f>IF(OR(D1950="",E1950=""),"",ROUND(D1950/LOOKUP(E1950,SMMLV!$A$2:$A$36,SMMLV!$D$2:$D$100),3))</f>
        <v/>
      </c>
    </row>
    <row r="1951" spans="6:6">
      <c r="F1951" s="450" t="str">
        <f>IF(OR(D1951="",E1951=""),"",ROUND(D1951/LOOKUP(E1951,SMMLV!$A$2:$A$36,SMMLV!$D$2:$D$100),3))</f>
        <v/>
      </c>
    </row>
    <row r="1952" spans="6:6">
      <c r="F1952" s="450" t="str">
        <f>IF(OR(D1952="",E1952=""),"",ROUND(D1952/LOOKUP(E1952,SMMLV!$A$2:$A$36,SMMLV!$D$2:$D$100),3))</f>
        <v/>
      </c>
    </row>
    <row r="1953" spans="6:6">
      <c r="F1953" s="450" t="str">
        <f>IF(OR(D1953="",E1953=""),"",ROUND(D1953/LOOKUP(E1953,SMMLV!$A$2:$A$36,SMMLV!$D$2:$D$100),3))</f>
        <v/>
      </c>
    </row>
    <row r="1954" spans="6:6">
      <c r="F1954" s="450" t="str">
        <f>IF(OR(D1954="",E1954=""),"",ROUND(D1954/LOOKUP(E1954,SMMLV!$A$2:$A$36,SMMLV!$D$2:$D$100),3))</f>
        <v/>
      </c>
    </row>
    <row r="1955" spans="6:6">
      <c r="F1955" s="450" t="str">
        <f>IF(OR(D1955="",E1955=""),"",ROUND(D1955/LOOKUP(E1955,SMMLV!$A$2:$A$36,SMMLV!$D$2:$D$100),3))</f>
        <v/>
      </c>
    </row>
    <row r="1956" spans="6:6">
      <c r="F1956" s="450" t="str">
        <f>IF(OR(D1956="",E1956=""),"",ROUND(D1956/LOOKUP(E1956,SMMLV!$A$2:$A$36,SMMLV!$D$2:$D$100),3))</f>
        <v/>
      </c>
    </row>
    <row r="1957" spans="6:6">
      <c r="F1957" s="450" t="str">
        <f>IF(OR(D1957="",E1957=""),"",ROUND(D1957/LOOKUP(E1957,SMMLV!$A$2:$A$36,SMMLV!$D$2:$D$100),3))</f>
        <v/>
      </c>
    </row>
    <row r="1958" spans="6:6">
      <c r="F1958" s="450" t="str">
        <f>IF(OR(D1958="",E1958=""),"",ROUND(D1958/LOOKUP(E1958,SMMLV!$A$2:$A$36,SMMLV!$D$2:$D$100),3))</f>
        <v/>
      </c>
    </row>
    <row r="1959" spans="6:6">
      <c r="F1959" s="450" t="str">
        <f>IF(OR(D1959="",E1959=""),"",ROUND(D1959/LOOKUP(E1959,SMMLV!$A$2:$A$36,SMMLV!$D$2:$D$100),3))</f>
        <v/>
      </c>
    </row>
    <row r="1960" spans="6:6">
      <c r="F1960" s="450" t="str">
        <f>IF(OR(D1960="",E1960=""),"",ROUND(D1960/LOOKUP(E1960,SMMLV!$A$2:$A$36,SMMLV!$D$2:$D$100),3))</f>
        <v/>
      </c>
    </row>
    <row r="1961" spans="6:6">
      <c r="F1961" s="450" t="str">
        <f>IF(OR(D1961="",E1961=""),"",ROUND(D1961/LOOKUP(E1961,SMMLV!$A$2:$A$36,SMMLV!$D$2:$D$100),3))</f>
        <v/>
      </c>
    </row>
    <row r="1962" spans="6:6">
      <c r="F1962" s="450" t="str">
        <f>IF(OR(D1962="",E1962=""),"",ROUND(D1962/LOOKUP(E1962,SMMLV!$A$2:$A$36,SMMLV!$D$2:$D$100),3))</f>
        <v/>
      </c>
    </row>
    <row r="1963" spans="6:6">
      <c r="F1963" s="450" t="str">
        <f>IF(OR(D1963="",E1963=""),"",ROUND(D1963/LOOKUP(E1963,SMMLV!$A$2:$A$36,SMMLV!$D$2:$D$100),3))</f>
        <v/>
      </c>
    </row>
    <row r="1964" spans="6:6">
      <c r="F1964" s="450" t="str">
        <f>IF(OR(D1964="",E1964=""),"",ROUND(D1964/LOOKUP(E1964,SMMLV!$A$2:$A$36,SMMLV!$D$2:$D$100),3))</f>
        <v/>
      </c>
    </row>
    <row r="1965" spans="6:6">
      <c r="F1965" s="450" t="str">
        <f>IF(OR(D1965="",E1965=""),"",ROUND(D1965/LOOKUP(E1965,SMMLV!$A$2:$A$36,SMMLV!$D$2:$D$100),3))</f>
        <v/>
      </c>
    </row>
    <row r="1966" spans="6:6">
      <c r="F1966" s="450" t="str">
        <f>IF(OR(D1966="",E1966=""),"",ROUND(D1966/LOOKUP(E1966,SMMLV!$A$2:$A$36,SMMLV!$D$2:$D$100),3))</f>
        <v/>
      </c>
    </row>
    <row r="1967" spans="6:6">
      <c r="F1967" s="450" t="str">
        <f>IF(OR(D1967="",E1967=""),"",ROUND(D1967/LOOKUP(E1967,SMMLV!$A$2:$A$36,SMMLV!$D$2:$D$100),3))</f>
        <v/>
      </c>
    </row>
    <row r="1968" spans="6:6">
      <c r="F1968" s="450" t="str">
        <f>IF(OR(D1968="",E1968=""),"",ROUND(D1968/LOOKUP(E1968,SMMLV!$A$2:$A$36,SMMLV!$D$2:$D$100),3))</f>
        <v/>
      </c>
    </row>
    <row r="1969" spans="6:6">
      <c r="F1969" s="450" t="str">
        <f>IF(OR(D1969="",E1969=""),"",ROUND(D1969/LOOKUP(E1969,SMMLV!$A$2:$A$36,SMMLV!$D$2:$D$100),3))</f>
        <v/>
      </c>
    </row>
    <row r="1970" spans="6:6">
      <c r="F1970" s="450" t="str">
        <f>IF(OR(D1970="",E1970=""),"",ROUND(D1970/LOOKUP(E1970,SMMLV!$A$2:$A$36,SMMLV!$D$2:$D$100),3))</f>
        <v/>
      </c>
    </row>
    <row r="1971" spans="6:6">
      <c r="F1971" s="450" t="str">
        <f>IF(OR(D1971="",E1971=""),"",ROUND(D1971/LOOKUP(E1971,SMMLV!$A$2:$A$36,SMMLV!$D$2:$D$100),3))</f>
        <v/>
      </c>
    </row>
    <row r="1972" spans="6:6">
      <c r="F1972" s="450" t="str">
        <f>IF(OR(D1972="",E1972=""),"",ROUND(D1972/LOOKUP(E1972,SMMLV!$A$2:$A$36,SMMLV!$D$2:$D$100),3))</f>
        <v/>
      </c>
    </row>
    <row r="1973" spans="6:6">
      <c r="F1973" s="450" t="str">
        <f>IF(OR(D1973="",E1973=""),"",ROUND(D1973/LOOKUP(E1973,SMMLV!$A$2:$A$36,SMMLV!$D$2:$D$100),3))</f>
        <v/>
      </c>
    </row>
    <row r="1974" spans="6:6">
      <c r="F1974" s="450" t="str">
        <f>IF(OR(D1974="",E1974=""),"",ROUND(D1974/LOOKUP(E1974,SMMLV!$A$2:$A$36,SMMLV!$D$2:$D$100),3))</f>
        <v/>
      </c>
    </row>
    <row r="1975" spans="6:6">
      <c r="F1975" s="450" t="str">
        <f>IF(OR(D1975="",E1975=""),"",ROUND(D1975/LOOKUP(E1975,SMMLV!$A$2:$A$36,SMMLV!$D$2:$D$100),3))</f>
        <v/>
      </c>
    </row>
    <row r="1976" spans="6:6">
      <c r="F1976" s="450" t="str">
        <f>IF(OR(D1976="",E1976=""),"",ROUND(D1976/LOOKUP(E1976,SMMLV!$A$2:$A$36,SMMLV!$D$2:$D$100),3))</f>
        <v/>
      </c>
    </row>
    <row r="1977" spans="6:6">
      <c r="F1977" s="450" t="str">
        <f>IF(OR(D1977="",E1977=""),"",ROUND(D1977/LOOKUP(E1977,SMMLV!$A$2:$A$36,SMMLV!$D$2:$D$100),3))</f>
        <v/>
      </c>
    </row>
    <row r="1978" spans="6:6">
      <c r="F1978" s="450" t="str">
        <f>IF(OR(D1978="",E1978=""),"",ROUND(D1978/LOOKUP(E1978,SMMLV!$A$2:$A$36,SMMLV!$D$2:$D$100),3))</f>
        <v/>
      </c>
    </row>
    <row r="1979" spans="6:6">
      <c r="F1979" s="450" t="str">
        <f>IF(OR(D1979="",E1979=""),"",ROUND(D1979/LOOKUP(E1979,SMMLV!$A$2:$A$36,SMMLV!$D$2:$D$100),3))</f>
        <v/>
      </c>
    </row>
    <row r="1980" spans="6:6">
      <c r="F1980" s="450" t="str">
        <f>IF(OR(D1980="",E1980=""),"",ROUND(D1980/LOOKUP(E1980,SMMLV!$A$2:$A$36,SMMLV!$D$2:$D$100),3))</f>
        <v/>
      </c>
    </row>
    <row r="1981" spans="6:6">
      <c r="F1981" s="450" t="str">
        <f>IF(OR(D1981="",E1981=""),"",ROUND(D1981/LOOKUP(E1981,SMMLV!$A$2:$A$36,SMMLV!$D$2:$D$100),3))</f>
        <v/>
      </c>
    </row>
    <row r="1982" spans="6:6">
      <c r="F1982" s="450" t="str">
        <f>IF(OR(D1982="",E1982=""),"",ROUND(D1982/LOOKUP(E1982,SMMLV!$A$2:$A$36,SMMLV!$D$2:$D$100),3))</f>
        <v/>
      </c>
    </row>
    <row r="1983" spans="6:6">
      <c r="F1983" s="450" t="str">
        <f>IF(OR(D1983="",E1983=""),"",ROUND(D1983/LOOKUP(E1983,SMMLV!$A$2:$A$36,SMMLV!$D$2:$D$100),3))</f>
        <v/>
      </c>
    </row>
    <row r="1984" spans="6:6">
      <c r="F1984" s="450" t="str">
        <f>IF(OR(D1984="",E1984=""),"",ROUND(D1984/LOOKUP(E1984,SMMLV!$A$2:$A$36,SMMLV!$D$2:$D$100),3))</f>
        <v/>
      </c>
    </row>
    <row r="1985" spans="6:6">
      <c r="F1985" s="450" t="str">
        <f>IF(OR(D1985="",E1985=""),"",ROUND(D1985/LOOKUP(E1985,SMMLV!$A$2:$A$36,SMMLV!$D$2:$D$100),3))</f>
        <v/>
      </c>
    </row>
    <row r="1986" spans="6:6">
      <c r="F1986" s="450" t="str">
        <f>IF(OR(D1986="",E1986=""),"",ROUND(D1986/LOOKUP(E1986,SMMLV!$A$2:$A$36,SMMLV!$D$2:$D$100),3))</f>
        <v/>
      </c>
    </row>
    <row r="1987" spans="6:6">
      <c r="F1987" s="450" t="str">
        <f>IF(OR(D1987="",E1987=""),"",ROUND(D1987/LOOKUP(E1987,SMMLV!$A$2:$A$36,SMMLV!$D$2:$D$100),3))</f>
        <v/>
      </c>
    </row>
    <row r="1988" spans="6:6">
      <c r="F1988" s="450" t="str">
        <f>IF(OR(D1988="",E1988=""),"",ROUND(D1988/LOOKUP(E1988,SMMLV!$A$2:$A$36,SMMLV!$D$2:$D$100),3))</f>
        <v/>
      </c>
    </row>
    <row r="1989" spans="6:6">
      <c r="F1989" s="450" t="str">
        <f>IF(OR(D1989="",E1989=""),"",ROUND(D1989/LOOKUP(E1989,SMMLV!$A$2:$A$36,SMMLV!$D$2:$D$100),3))</f>
        <v/>
      </c>
    </row>
    <row r="1990" spans="6:6">
      <c r="F1990" s="450" t="str">
        <f>IF(OR(D1990="",E1990=""),"",ROUND(D1990/LOOKUP(E1990,SMMLV!$A$2:$A$36,SMMLV!$D$2:$D$100),3))</f>
        <v/>
      </c>
    </row>
    <row r="1991" spans="6:6">
      <c r="F1991" s="450" t="str">
        <f>IF(OR(D1991="",E1991=""),"",ROUND(D1991/LOOKUP(E1991,SMMLV!$A$2:$A$36,SMMLV!$D$2:$D$100),3))</f>
        <v/>
      </c>
    </row>
    <row r="1992" spans="6:6">
      <c r="F1992" s="450" t="str">
        <f>IF(OR(D1992="",E1992=""),"",ROUND(D1992/LOOKUP(E1992,SMMLV!$A$2:$A$36,SMMLV!$D$2:$D$100),3))</f>
        <v/>
      </c>
    </row>
    <row r="1993" spans="6:6">
      <c r="F1993" s="450" t="str">
        <f>IF(OR(D1993="",E1993=""),"",ROUND(D1993/LOOKUP(E1993,SMMLV!$A$2:$A$36,SMMLV!$D$2:$D$100),3))</f>
        <v/>
      </c>
    </row>
    <row r="1994" spans="6:6">
      <c r="F1994" s="450" t="str">
        <f>IF(OR(D1994="",E1994=""),"",ROUND(D1994/LOOKUP(E1994,SMMLV!$A$2:$A$36,SMMLV!$D$2:$D$100),3))</f>
        <v/>
      </c>
    </row>
    <row r="1995" spans="6:6">
      <c r="F1995" s="450" t="str">
        <f>IF(OR(D1995="",E1995=""),"",ROUND(D1995/LOOKUP(E1995,SMMLV!$A$2:$A$36,SMMLV!$D$2:$D$100),3))</f>
        <v/>
      </c>
    </row>
    <row r="1996" spans="6:6">
      <c r="F1996" s="450" t="str">
        <f>IF(OR(D1996="",E1996=""),"",ROUND(D1996/LOOKUP(E1996,SMMLV!$A$2:$A$36,SMMLV!$D$2:$D$100),3))</f>
        <v/>
      </c>
    </row>
    <row r="1997" spans="6:6">
      <c r="F1997" s="450" t="str">
        <f>IF(OR(D1997="",E1997=""),"",ROUND(D1997/LOOKUP(E1997,SMMLV!$A$2:$A$36,SMMLV!$D$2:$D$100),3))</f>
        <v/>
      </c>
    </row>
    <row r="1998" spans="6:6">
      <c r="F1998" s="450" t="str">
        <f>IF(OR(D1998="",E1998=""),"",ROUND(D1998/LOOKUP(E1998,SMMLV!$A$2:$A$36,SMMLV!$D$2:$D$100),3))</f>
        <v/>
      </c>
    </row>
    <row r="1999" spans="6:6">
      <c r="F1999" s="450" t="str">
        <f>IF(OR(D1999="",E1999=""),"",ROUND(D1999/LOOKUP(E1999,SMMLV!$A$2:$A$36,SMMLV!$D$2:$D$100),3))</f>
        <v/>
      </c>
    </row>
    <row r="2000" spans="6:6">
      <c r="F2000" s="450" t="str">
        <f>IF(OR(D2000="",E2000=""),"",ROUND(D2000/LOOKUP(E2000,SMMLV!$A$2:$A$36,SMMLV!$D$2:$D$100),3))</f>
        <v/>
      </c>
    </row>
    <row r="2001" spans="6:6">
      <c r="F2001" s="450" t="str">
        <f>IF(OR(D2001="",E2001=""),"",ROUND(D2001/LOOKUP(E2001,SMMLV!$A$2:$A$36,SMMLV!$D$2:$D$100),3))</f>
        <v/>
      </c>
    </row>
    <row r="2002" spans="6:6">
      <c r="F2002" s="450" t="str">
        <f>IF(OR(D2002="",E2002=""),"",ROUND(D2002/LOOKUP(E2002,SMMLV!$A$2:$A$36,SMMLV!$D$2:$D$100),3))</f>
        <v/>
      </c>
    </row>
    <row r="2003" spans="6:6">
      <c r="F2003" s="450" t="str">
        <f>IF(OR(D2003="",E2003=""),"",ROUND(D2003/LOOKUP(E2003,SMMLV!$A$2:$A$36,SMMLV!$D$2:$D$100),3))</f>
        <v/>
      </c>
    </row>
    <row r="2004" spans="6:6">
      <c r="F2004" s="450" t="str">
        <f>IF(OR(D2004="",E2004=""),"",ROUND(D2004/LOOKUP(E2004,SMMLV!$A$2:$A$36,SMMLV!$D$2:$D$100),3))</f>
        <v/>
      </c>
    </row>
    <row r="2005" spans="6:6">
      <c r="F2005" s="450" t="str">
        <f>IF(OR(D2005="",E2005=""),"",ROUND(D2005/LOOKUP(E2005,SMMLV!$A$2:$A$36,SMMLV!$D$2:$D$100),3))</f>
        <v/>
      </c>
    </row>
    <row r="2006" spans="6:6">
      <c r="F2006" s="450" t="str">
        <f>IF(OR(D2006="",E2006=""),"",ROUND(D2006/LOOKUP(E2006,SMMLV!$A$2:$A$36,SMMLV!$D$2:$D$100),3))</f>
        <v/>
      </c>
    </row>
    <row r="2007" spans="6:6">
      <c r="F2007" s="450" t="str">
        <f>IF(OR(D2007="",E2007=""),"",ROUND(D2007/LOOKUP(E2007,SMMLV!$A$2:$A$36,SMMLV!$D$2:$D$100),3))</f>
        <v/>
      </c>
    </row>
    <row r="2008" spans="6:6">
      <c r="F2008" s="450" t="str">
        <f>IF(OR(D2008="",E2008=""),"",ROUND(D2008/LOOKUP(E2008,SMMLV!$A$2:$A$36,SMMLV!$D$2:$D$100),3))</f>
        <v/>
      </c>
    </row>
    <row r="2009" spans="6:6">
      <c r="F2009" s="450" t="str">
        <f>IF(OR(D2009="",E2009=""),"",ROUND(D2009/LOOKUP(E2009,SMMLV!$A$2:$A$36,SMMLV!$D$2:$D$100),3))</f>
        <v/>
      </c>
    </row>
    <row r="2010" spans="6:6">
      <c r="F2010" s="450" t="str">
        <f>IF(OR(D2010="",E2010=""),"",ROUND(D2010/LOOKUP(E2010,SMMLV!$A$2:$A$36,SMMLV!$D$2:$D$100),3))</f>
        <v/>
      </c>
    </row>
    <row r="2011" spans="6:6">
      <c r="F2011" s="450" t="str">
        <f>IF(OR(D2011="",E2011=""),"",ROUND(D2011/LOOKUP(E2011,SMMLV!$A$2:$A$36,SMMLV!$D$2:$D$100),3))</f>
        <v/>
      </c>
    </row>
    <row r="2012" spans="6:6">
      <c r="F2012" s="450" t="str">
        <f>IF(OR(D2012="",E2012=""),"",ROUND(D2012/LOOKUP(E2012,SMMLV!$A$2:$A$36,SMMLV!$D$2:$D$100),3))</f>
        <v/>
      </c>
    </row>
    <row r="2013" spans="6:6">
      <c r="F2013" s="450" t="str">
        <f>IF(OR(D2013="",E2013=""),"",ROUND(D2013/LOOKUP(E2013,SMMLV!$A$2:$A$36,SMMLV!$D$2:$D$100),3))</f>
        <v/>
      </c>
    </row>
    <row r="2014" spans="6:6">
      <c r="F2014" s="450" t="str">
        <f>IF(OR(D2014="",E2014=""),"",ROUND(D2014/LOOKUP(E2014,SMMLV!$A$2:$A$36,SMMLV!$D$2:$D$100),3))</f>
        <v/>
      </c>
    </row>
    <row r="2015" spans="6:6">
      <c r="F2015" s="450" t="str">
        <f>IF(OR(D2015="",E2015=""),"",ROUND(D2015/LOOKUP(E2015,SMMLV!$A$2:$A$36,SMMLV!$D$2:$D$100),3))</f>
        <v/>
      </c>
    </row>
    <row r="2016" spans="6:6">
      <c r="F2016" s="450" t="str">
        <f>IF(OR(D2016="",E2016=""),"",ROUND(D2016/LOOKUP(E2016,SMMLV!$A$2:$A$36,SMMLV!$D$2:$D$100),3))</f>
        <v/>
      </c>
    </row>
    <row r="2017" spans="6:6">
      <c r="F2017" s="450" t="str">
        <f>IF(OR(D2017="",E2017=""),"",ROUND(D2017/LOOKUP(E2017,SMMLV!$A$2:$A$36,SMMLV!$D$2:$D$100),3))</f>
        <v/>
      </c>
    </row>
    <row r="2018" spans="6:6">
      <c r="F2018" s="450" t="str">
        <f>IF(OR(D2018="",E2018=""),"",ROUND(D2018/LOOKUP(E2018,SMMLV!$A$2:$A$36,SMMLV!$D$2:$D$100),3))</f>
        <v/>
      </c>
    </row>
    <row r="2019" spans="6:6">
      <c r="F2019" s="450" t="str">
        <f>IF(OR(D2019="",E2019=""),"",ROUND(D2019/LOOKUP(E2019,SMMLV!$A$2:$A$36,SMMLV!$D$2:$D$100),3))</f>
        <v/>
      </c>
    </row>
    <row r="2020" spans="6:6">
      <c r="F2020" s="450" t="str">
        <f>IF(OR(D2020="",E2020=""),"",ROUND(D2020/LOOKUP(E2020,SMMLV!$A$2:$A$36,SMMLV!$D$2:$D$100),3))</f>
        <v/>
      </c>
    </row>
    <row r="2021" spans="6:6">
      <c r="F2021" s="450" t="str">
        <f>IF(OR(D2021="",E2021=""),"",ROUND(D2021/LOOKUP(E2021,SMMLV!$A$2:$A$36,SMMLV!$D$2:$D$100),3))</f>
        <v/>
      </c>
    </row>
    <row r="2022" spans="6:6">
      <c r="F2022" s="450" t="str">
        <f>IF(OR(D2022="",E2022=""),"",ROUND(D2022/LOOKUP(E2022,SMMLV!$A$2:$A$36,SMMLV!$D$2:$D$100),3))</f>
        <v/>
      </c>
    </row>
    <row r="2023" spans="6:6">
      <c r="F2023" s="450" t="str">
        <f>IF(OR(D2023="",E2023=""),"",ROUND(D2023/LOOKUP(E2023,SMMLV!$A$2:$A$36,SMMLV!$D$2:$D$100),3))</f>
        <v/>
      </c>
    </row>
    <row r="2024" spans="6:6">
      <c r="F2024" s="450" t="str">
        <f>IF(OR(D2024="",E2024=""),"",ROUND(D2024/LOOKUP(E2024,SMMLV!$A$2:$A$36,SMMLV!$D$2:$D$100),3))</f>
        <v/>
      </c>
    </row>
    <row r="2025" spans="6:6">
      <c r="F2025" s="450" t="str">
        <f>IF(OR(D2025="",E2025=""),"",ROUND(D2025/LOOKUP(E2025,SMMLV!$A$2:$A$36,SMMLV!$D$2:$D$100),3))</f>
        <v/>
      </c>
    </row>
    <row r="2026" spans="6:6">
      <c r="F2026" s="450" t="str">
        <f>IF(OR(D2026="",E2026=""),"",ROUND(D2026/LOOKUP(E2026,SMMLV!$A$2:$A$36,SMMLV!$D$2:$D$100),3))</f>
        <v/>
      </c>
    </row>
    <row r="2027" spans="6:6">
      <c r="F2027" s="450" t="str">
        <f>IF(OR(D2027="",E2027=""),"",ROUND(D2027/LOOKUP(E2027,SMMLV!$A$2:$A$36,SMMLV!$D$2:$D$100),3))</f>
        <v/>
      </c>
    </row>
    <row r="2028" spans="6:6">
      <c r="F2028" s="450" t="str">
        <f>IF(OR(D2028="",E2028=""),"",ROUND(D2028/LOOKUP(E2028,SMMLV!$A$2:$A$36,SMMLV!$D$2:$D$100),3))</f>
        <v/>
      </c>
    </row>
    <row r="2029" spans="6:6">
      <c r="F2029" s="450" t="str">
        <f>IF(OR(D2029="",E2029=""),"",ROUND(D2029/LOOKUP(E2029,SMMLV!$A$2:$A$36,SMMLV!$D$2:$D$100),3))</f>
        <v/>
      </c>
    </row>
    <row r="2030" spans="6:6">
      <c r="F2030" s="450" t="str">
        <f>IF(OR(D2030="",E2030=""),"",ROUND(D2030/LOOKUP(E2030,SMMLV!$A$2:$A$36,SMMLV!$D$2:$D$100),3))</f>
        <v/>
      </c>
    </row>
    <row r="2031" spans="6:6">
      <c r="F2031" s="450" t="str">
        <f>IF(OR(D2031="",E2031=""),"",ROUND(D2031/LOOKUP(E2031,SMMLV!$A$2:$A$36,SMMLV!$D$2:$D$100),3))</f>
        <v/>
      </c>
    </row>
    <row r="2032" spans="6:6">
      <c r="F2032" s="450" t="str">
        <f>IF(OR(D2032="",E2032=""),"",ROUND(D2032/LOOKUP(E2032,SMMLV!$A$2:$A$36,SMMLV!$D$2:$D$100),3))</f>
        <v/>
      </c>
    </row>
    <row r="2033" spans="6:6">
      <c r="F2033" s="450" t="str">
        <f>IF(OR(D2033="",E2033=""),"",ROUND(D2033/LOOKUP(E2033,SMMLV!$A$2:$A$36,SMMLV!$D$2:$D$100),3))</f>
        <v/>
      </c>
    </row>
    <row r="2034" spans="6:6">
      <c r="F2034" s="450" t="str">
        <f>IF(OR(D2034="",E2034=""),"",ROUND(D2034/LOOKUP(E2034,SMMLV!$A$2:$A$36,SMMLV!$D$2:$D$100),3))</f>
        <v/>
      </c>
    </row>
    <row r="2035" spans="6:6">
      <c r="F2035" s="450" t="str">
        <f>IF(OR(D2035="",E2035=""),"",ROUND(D2035/LOOKUP(E2035,SMMLV!$A$2:$A$36,SMMLV!$D$2:$D$100),3))</f>
        <v/>
      </c>
    </row>
    <row r="2036" spans="6:6">
      <c r="F2036" s="450" t="str">
        <f>IF(OR(D2036="",E2036=""),"",ROUND(D2036/LOOKUP(E2036,SMMLV!$A$2:$A$36,SMMLV!$D$2:$D$100),3))</f>
        <v/>
      </c>
    </row>
    <row r="2037" spans="6:6">
      <c r="F2037" s="450" t="str">
        <f>IF(OR(D2037="",E2037=""),"",ROUND(D2037/LOOKUP(E2037,SMMLV!$A$2:$A$36,SMMLV!$D$2:$D$100),3))</f>
        <v/>
      </c>
    </row>
    <row r="2038" spans="6:6">
      <c r="F2038" s="450" t="str">
        <f>IF(OR(D2038="",E2038=""),"",ROUND(D2038/LOOKUP(E2038,SMMLV!$A$2:$A$36,SMMLV!$D$2:$D$100),3))</f>
        <v/>
      </c>
    </row>
    <row r="2039" spans="6:6">
      <c r="F2039" s="450" t="str">
        <f>IF(OR(D2039="",E2039=""),"",ROUND(D2039/LOOKUP(E2039,SMMLV!$A$2:$A$36,SMMLV!$D$2:$D$100),3))</f>
        <v/>
      </c>
    </row>
    <row r="2040" spans="6:6">
      <c r="F2040" s="450" t="str">
        <f>IF(OR(D2040="",E2040=""),"",ROUND(D2040/LOOKUP(E2040,SMMLV!$A$2:$A$36,SMMLV!$D$2:$D$100),3))</f>
        <v/>
      </c>
    </row>
    <row r="2041" spans="6:6">
      <c r="F2041" s="450" t="str">
        <f>IF(OR(D2041="",E2041=""),"",ROUND(D2041/LOOKUP(E2041,SMMLV!$A$2:$A$36,SMMLV!$D$2:$D$100),3))</f>
        <v/>
      </c>
    </row>
    <row r="2042" spans="6:6">
      <c r="F2042" s="450" t="str">
        <f>IF(OR(D2042="",E2042=""),"",ROUND(D2042/LOOKUP(E2042,SMMLV!$A$2:$A$36,SMMLV!$D$2:$D$100),3))</f>
        <v/>
      </c>
    </row>
    <row r="2043" spans="6:6">
      <c r="F2043" s="450" t="str">
        <f>IF(OR(D2043="",E2043=""),"",ROUND(D2043/LOOKUP(E2043,SMMLV!$A$2:$A$36,SMMLV!$D$2:$D$100),3))</f>
        <v/>
      </c>
    </row>
    <row r="2044" spans="6:6">
      <c r="F2044" s="450" t="str">
        <f>IF(OR(D2044="",E2044=""),"",ROUND(D2044/LOOKUP(E2044,SMMLV!$A$2:$A$36,SMMLV!$D$2:$D$100),3))</f>
        <v/>
      </c>
    </row>
    <row r="2045" spans="6:6">
      <c r="F2045" s="450" t="str">
        <f>IF(OR(D2045="",E2045=""),"",ROUND(D2045/LOOKUP(E2045,SMMLV!$A$2:$A$36,SMMLV!$D$2:$D$100),3))</f>
        <v/>
      </c>
    </row>
    <row r="2046" spans="6:6">
      <c r="F2046" s="450" t="str">
        <f>IF(OR(D2046="",E2046=""),"",ROUND(D2046/LOOKUP(E2046,SMMLV!$A$2:$A$36,SMMLV!$D$2:$D$100),3))</f>
        <v/>
      </c>
    </row>
    <row r="2047" spans="6:6">
      <c r="F2047" s="450" t="str">
        <f>IF(OR(D2047="",E2047=""),"",ROUND(D2047/LOOKUP(E2047,SMMLV!$A$2:$A$36,SMMLV!$D$2:$D$100),3))</f>
        <v/>
      </c>
    </row>
    <row r="2048" spans="6:6">
      <c r="F2048" s="450" t="str">
        <f>IF(OR(D2048="",E2048=""),"",ROUND(D2048/LOOKUP(E2048,SMMLV!$A$2:$A$36,SMMLV!$D$2:$D$100),3))</f>
        <v/>
      </c>
    </row>
    <row r="2049" spans="6:6">
      <c r="F2049" s="450" t="str">
        <f>IF(OR(D2049="",E2049=""),"",ROUND(D2049/LOOKUP(E2049,SMMLV!$A$2:$A$36,SMMLV!$D$2:$D$100),3))</f>
        <v/>
      </c>
    </row>
    <row r="2050" spans="6:6">
      <c r="F2050" s="450" t="str">
        <f>IF(OR(D2050="",E2050=""),"",ROUND(D2050/LOOKUP(E2050,SMMLV!$A$2:$A$36,SMMLV!$D$2:$D$100),3))</f>
        <v/>
      </c>
    </row>
    <row r="2051" spans="6:6">
      <c r="F2051" s="450" t="str">
        <f>IF(OR(D2051="",E2051=""),"",ROUND(D2051/LOOKUP(E2051,SMMLV!$A$2:$A$36,SMMLV!$D$2:$D$100),3))</f>
        <v/>
      </c>
    </row>
    <row r="2052" spans="6:6">
      <c r="F2052" s="450" t="str">
        <f>IF(OR(D2052="",E2052=""),"",ROUND(D2052/LOOKUP(E2052,SMMLV!$A$2:$A$36,SMMLV!$D$2:$D$100),3))</f>
        <v/>
      </c>
    </row>
    <row r="2053" spans="6:6">
      <c r="F2053" s="450" t="str">
        <f>IF(OR(D2053="",E2053=""),"",ROUND(D2053/LOOKUP(E2053,SMMLV!$A$2:$A$36,SMMLV!$D$2:$D$100),3))</f>
        <v/>
      </c>
    </row>
    <row r="2054" spans="6:6">
      <c r="F2054" s="450" t="str">
        <f>IF(OR(D2054="",E2054=""),"",ROUND(D2054/LOOKUP(E2054,SMMLV!$A$2:$A$36,SMMLV!$D$2:$D$100),3))</f>
        <v/>
      </c>
    </row>
    <row r="2055" spans="6:6">
      <c r="F2055" s="450" t="str">
        <f>IF(OR(D2055="",E2055=""),"",ROUND(D2055/LOOKUP(E2055,SMMLV!$A$2:$A$36,SMMLV!$D$2:$D$100),3))</f>
        <v/>
      </c>
    </row>
    <row r="2056" spans="6:6">
      <c r="F2056" s="450" t="str">
        <f>IF(OR(D2056="",E2056=""),"",ROUND(D2056/LOOKUP(E2056,SMMLV!$A$2:$A$36,SMMLV!$D$2:$D$100),3))</f>
        <v/>
      </c>
    </row>
    <row r="2057" spans="6:6">
      <c r="F2057" s="450" t="str">
        <f>IF(OR(D2057="",E2057=""),"",ROUND(D2057/LOOKUP(E2057,SMMLV!$A$2:$A$36,SMMLV!$D$2:$D$100),3))</f>
        <v/>
      </c>
    </row>
    <row r="2058" spans="6:6">
      <c r="F2058" s="450" t="str">
        <f>IF(OR(D2058="",E2058=""),"",ROUND(D2058/LOOKUP(E2058,SMMLV!$A$2:$A$36,SMMLV!$D$2:$D$100),3))</f>
        <v/>
      </c>
    </row>
    <row r="2059" spans="6:6">
      <c r="F2059" s="450" t="str">
        <f>IF(OR(D2059="",E2059=""),"",ROUND(D2059/LOOKUP(E2059,SMMLV!$A$2:$A$36,SMMLV!$D$2:$D$100),3))</f>
        <v/>
      </c>
    </row>
    <row r="2060" spans="6:6">
      <c r="F2060" s="450" t="str">
        <f>IF(OR(D2060="",E2060=""),"",ROUND(D2060/LOOKUP(E2060,SMMLV!$A$2:$A$36,SMMLV!$D$2:$D$100),3))</f>
        <v/>
      </c>
    </row>
    <row r="2061" spans="6:6">
      <c r="F2061" s="450" t="str">
        <f>IF(OR(D2061="",E2061=""),"",ROUND(D2061/LOOKUP(E2061,SMMLV!$A$2:$A$36,SMMLV!$D$2:$D$100),3))</f>
        <v/>
      </c>
    </row>
    <row r="2062" spans="6:6">
      <c r="F2062" s="450" t="str">
        <f>IF(OR(D2062="",E2062=""),"",ROUND(D2062/LOOKUP(E2062,SMMLV!$A$2:$A$36,SMMLV!$D$2:$D$100),3))</f>
        <v/>
      </c>
    </row>
    <row r="2063" spans="6:6">
      <c r="F2063" s="450" t="str">
        <f>IF(OR(D2063="",E2063=""),"",ROUND(D2063/LOOKUP(E2063,SMMLV!$A$2:$A$36,SMMLV!$D$2:$D$100),3))</f>
        <v/>
      </c>
    </row>
    <row r="2064" spans="6:6">
      <c r="F2064" s="450" t="str">
        <f>IF(OR(D2064="",E2064=""),"",ROUND(D2064/LOOKUP(E2064,SMMLV!$A$2:$A$36,SMMLV!$D$2:$D$100),3))</f>
        <v/>
      </c>
    </row>
    <row r="2065" spans="6:6">
      <c r="F2065" s="450" t="str">
        <f>IF(OR(D2065="",E2065=""),"",ROUND(D2065/LOOKUP(E2065,SMMLV!$A$2:$A$36,SMMLV!$D$2:$D$100),3))</f>
        <v/>
      </c>
    </row>
    <row r="2066" spans="6:6">
      <c r="F2066" s="450" t="str">
        <f>IF(OR(D2066="",E2066=""),"",ROUND(D2066/LOOKUP(E2066,SMMLV!$A$2:$A$36,SMMLV!$D$2:$D$100),3))</f>
        <v/>
      </c>
    </row>
    <row r="2067" spans="6:6">
      <c r="F2067" s="450" t="str">
        <f>IF(OR(D2067="",E2067=""),"",ROUND(D2067/LOOKUP(E2067,SMMLV!$A$2:$A$36,SMMLV!$D$2:$D$100),3))</f>
        <v/>
      </c>
    </row>
    <row r="2068" spans="6:6">
      <c r="F2068" s="450" t="str">
        <f>IF(OR(D2068="",E2068=""),"",ROUND(D2068/LOOKUP(E2068,SMMLV!$A$2:$A$36,SMMLV!$D$2:$D$100),3))</f>
        <v/>
      </c>
    </row>
    <row r="2069" spans="6:6">
      <c r="F2069" s="450" t="str">
        <f>IF(OR(D2069="",E2069=""),"",ROUND(D2069/LOOKUP(E2069,SMMLV!$A$2:$A$36,SMMLV!$D$2:$D$100),3))</f>
        <v/>
      </c>
    </row>
    <row r="2070" spans="6:6">
      <c r="F2070" s="450" t="str">
        <f>IF(OR(D2070="",E2070=""),"",ROUND(D2070/LOOKUP(E2070,SMMLV!$A$2:$A$36,SMMLV!$D$2:$D$100),3))</f>
        <v/>
      </c>
    </row>
    <row r="2071" spans="6:6">
      <c r="F2071" s="450" t="str">
        <f>IF(OR(D2071="",E2071=""),"",ROUND(D2071/LOOKUP(E2071,SMMLV!$A$2:$A$36,SMMLV!$D$2:$D$100),3))</f>
        <v/>
      </c>
    </row>
    <row r="2072" spans="6:6">
      <c r="F2072" s="450" t="str">
        <f>IF(OR(D2072="",E2072=""),"",ROUND(D2072/LOOKUP(E2072,SMMLV!$A$2:$A$36,SMMLV!$D$2:$D$100),3))</f>
        <v/>
      </c>
    </row>
    <row r="2073" spans="6:6">
      <c r="F2073" s="450" t="str">
        <f>IF(OR(D2073="",E2073=""),"",ROUND(D2073/LOOKUP(E2073,SMMLV!$A$2:$A$36,SMMLV!$D$2:$D$100),3))</f>
        <v/>
      </c>
    </row>
    <row r="2074" spans="6:6">
      <c r="F2074" s="450" t="str">
        <f>IF(OR(D2074="",E2074=""),"",ROUND(D2074/LOOKUP(E2074,SMMLV!$A$2:$A$36,SMMLV!$D$2:$D$100),3))</f>
        <v/>
      </c>
    </row>
    <row r="2075" spans="6:6">
      <c r="F2075" s="450" t="str">
        <f>IF(OR(D2075="",E2075=""),"",ROUND(D2075/LOOKUP(E2075,SMMLV!$A$2:$A$36,SMMLV!$D$2:$D$100),3))</f>
        <v/>
      </c>
    </row>
    <row r="2076" spans="6:6">
      <c r="F2076" s="450" t="str">
        <f>IF(OR(D2076="",E2076=""),"",ROUND(D2076/LOOKUP(E2076,SMMLV!$A$2:$A$36,SMMLV!$D$2:$D$100),3))</f>
        <v/>
      </c>
    </row>
    <row r="2077" spans="6:6">
      <c r="F2077" s="450" t="str">
        <f>IF(OR(D2077="",E2077=""),"",ROUND(D2077/LOOKUP(E2077,SMMLV!$A$2:$A$36,SMMLV!$D$2:$D$100),3))</f>
        <v/>
      </c>
    </row>
    <row r="2078" spans="6:6">
      <c r="F2078" s="450" t="str">
        <f>IF(OR(D2078="",E2078=""),"",ROUND(D2078/LOOKUP(E2078,SMMLV!$A$2:$A$36,SMMLV!$D$2:$D$100),3))</f>
        <v/>
      </c>
    </row>
    <row r="2079" spans="6:6">
      <c r="F2079" s="450" t="str">
        <f>IF(OR(D2079="",E2079=""),"",ROUND(D2079/LOOKUP(E2079,SMMLV!$A$2:$A$36,SMMLV!$D$2:$D$100),3))</f>
        <v/>
      </c>
    </row>
    <row r="2080" spans="6:6">
      <c r="F2080" s="450" t="str">
        <f>IF(OR(D2080="",E2080=""),"",ROUND(D2080/LOOKUP(E2080,SMMLV!$A$2:$A$36,SMMLV!$D$2:$D$100),3))</f>
        <v/>
      </c>
    </row>
    <row r="2081" spans="6:6">
      <c r="F2081" s="450" t="str">
        <f>IF(OR(D2081="",E2081=""),"",ROUND(D2081/LOOKUP(E2081,SMMLV!$A$2:$A$36,SMMLV!$D$2:$D$100),3))</f>
        <v/>
      </c>
    </row>
    <row r="2082" spans="6:6">
      <c r="F2082" s="450" t="str">
        <f>IF(OR(D2082="",E2082=""),"",ROUND(D2082/LOOKUP(E2082,SMMLV!$A$2:$A$36,SMMLV!$D$2:$D$100),3))</f>
        <v/>
      </c>
    </row>
    <row r="2083" spans="6:6">
      <c r="F2083" s="450" t="str">
        <f>IF(OR(D2083="",E2083=""),"",ROUND(D2083/LOOKUP(E2083,SMMLV!$A$2:$A$36,SMMLV!$D$2:$D$100),3))</f>
        <v/>
      </c>
    </row>
    <row r="2084" spans="6:6">
      <c r="F2084" s="450" t="str">
        <f>IF(OR(D2084="",E2084=""),"",ROUND(D2084/LOOKUP(E2084,SMMLV!$A$2:$A$36,SMMLV!$D$2:$D$100),3))</f>
        <v/>
      </c>
    </row>
    <row r="2085" spans="6:6">
      <c r="F2085" s="450" t="str">
        <f>IF(OR(D2085="",E2085=""),"",ROUND(D2085/LOOKUP(E2085,SMMLV!$A$2:$A$36,SMMLV!$D$2:$D$100),3))</f>
        <v/>
      </c>
    </row>
    <row r="2086" spans="6:6">
      <c r="F2086" s="450" t="str">
        <f>IF(OR(D2086="",E2086=""),"",ROUND(D2086/LOOKUP(E2086,SMMLV!$A$2:$A$36,SMMLV!$D$2:$D$100),3))</f>
        <v/>
      </c>
    </row>
    <row r="2087" spans="6:6">
      <c r="F2087" s="450" t="str">
        <f>IF(OR(D2087="",E2087=""),"",ROUND(D2087/LOOKUP(E2087,SMMLV!$A$2:$A$36,SMMLV!$D$2:$D$100),3))</f>
        <v/>
      </c>
    </row>
    <row r="2088" spans="6:6">
      <c r="F2088" s="450" t="str">
        <f>IF(OR(D2088="",E2088=""),"",ROUND(D2088/LOOKUP(E2088,SMMLV!$A$2:$A$36,SMMLV!$D$2:$D$100),3))</f>
        <v/>
      </c>
    </row>
    <row r="2089" spans="6:6">
      <c r="F2089" s="450" t="str">
        <f>IF(OR(D2089="",E2089=""),"",ROUND(D2089/LOOKUP(E2089,SMMLV!$A$2:$A$36,SMMLV!$D$2:$D$100),3))</f>
        <v/>
      </c>
    </row>
    <row r="2090" spans="6:6">
      <c r="F2090" s="450" t="str">
        <f>IF(OR(D2090="",E2090=""),"",ROUND(D2090/LOOKUP(E2090,SMMLV!$A$2:$A$36,SMMLV!$D$2:$D$100),3))</f>
        <v/>
      </c>
    </row>
    <row r="2091" spans="6:6">
      <c r="F2091" s="450" t="str">
        <f>IF(OR(D2091="",E2091=""),"",ROUND(D2091/LOOKUP(E2091,SMMLV!$A$2:$A$36,SMMLV!$D$2:$D$100),3))</f>
        <v/>
      </c>
    </row>
    <row r="2092" spans="6:6">
      <c r="F2092" s="450" t="str">
        <f>IF(OR(D2092="",E2092=""),"",ROUND(D2092/LOOKUP(E2092,SMMLV!$A$2:$A$36,SMMLV!$D$2:$D$100),3))</f>
        <v/>
      </c>
    </row>
    <row r="2093" spans="6:6">
      <c r="F2093" s="450" t="str">
        <f>IF(OR(D2093="",E2093=""),"",ROUND(D2093/LOOKUP(E2093,SMMLV!$A$2:$A$36,SMMLV!$D$2:$D$100),3))</f>
        <v/>
      </c>
    </row>
    <row r="2094" spans="6:6">
      <c r="F2094" s="450" t="str">
        <f>IF(OR(D2094="",E2094=""),"",ROUND(D2094/LOOKUP(E2094,SMMLV!$A$2:$A$36,SMMLV!$D$2:$D$100),3))</f>
        <v/>
      </c>
    </row>
    <row r="2095" spans="6:6">
      <c r="F2095" s="450" t="str">
        <f>IF(OR(D2095="",E2095=""),"",ROUND(D2095/LOOKUP(E2095,SMMLV!$A$2:$A$36,SMMLV!$D$2:$D$100),3))</f>
        <v/>
      </c>
    </row>
    <row r="2096" spans="6:6">
      <c r="F2096" s="450" t="str">
        <f>IF(OR(D2096="",E2096=""),"",ROUND(D2096/LOOKUP(E2096,SMMLV!$A$2:$A$36,SMMLV!$D$2:$D$100),3))</f>
        <v/>
      </c>
    </row>
    <row r="2097" spans="6:6">
      <c r="F2097" s="450" t="str">
        <f>IF(OR(D2097="",E2097=""),"",ROUND(D2097/LOOKUP(E2097,SMMLV!$A$2:$A$36,SMMLV!$D$2:$D$100),3))</f>
        <v/>
      </c>
    </row>
    <row r="2098" spans="6:6">
      <c r="F2098" s="450" t="str">
        <f>IF(OR(D2098="",E2098=""),"",ROUND(D2098/LOOKUP(E2098,SMMLV!$A$2:$A$36,SMMLV!$D$2:$D$100),3))</f>
        <v/>
      </c>
    </row>
    <row r="2099" spans="6:6">
      <c r="F2099" s="450" t="str">
        <f>IF(OR(D2099="",E2099=""),"",ROUND(D2099/LOOKUP(E2099,SMMLV!$A$2:$A$36,SMMLV!$D$2:$D$100),3))</f>
        <v/>
      </c>
    </row>
    <row r="2100" spans="6:6">
      <c r="F2100" s="450" t="str">
        <f>IF(OR(D2100="",E2100=""),"",ROUND(D2100/LOOKUP(E2100,SMMLV!$A$2:$A$36,SMMLV!$D$2:$D$100),3))</f>
        <v/>
      </c>
    </row>
    <row r="2101" spans="6:6">
      <c r="F2101" s="450" t="str">
        <f>IF(OR(D2101="",E2101=""),"",ROUND(D2101/LOOKUP(E2101,SMMLV!$A$2:$A$36,SMMLV!$D$2:$D$100),3))</f>
        <v/>
      </c>
    </row>
    <row r="2102" spans="6:6">
      <c r="F2102" s="450" t="str">
        <f>IF(OR(D2102="",E2102=""),"",ROUND(D2102/LOOKUP(E2102,SMMLV!$A$2:$A$36,SMMLV!$D$2:$D$100),3))</f>
        <v/>
      </c>
    </row>
    <row r="2103" spans="6:6">
      <c r="F2103" s="450" t="str">
        <f>IF(OR(D2103="",E2103=""),"",ROUND(D2103/LOOKUP(E2103,SMMLV!$A$2:$A$36,SMMLV!$D$2:$D$100),3))</f>
        <v/>
      </c>
    </row>
    <row r="2104" spans="6:6">
      <c r="F2104" s="450" t="str">
        <f>IF(OR(D2104="",E2104=""),"",ROUND(D2104/LOOKUP(E2104,SMMLV!$A$2:$A$36,SMMLV!$D$2:$D$100),3))</f>
        <v/>
      </c>
    </row>
  </sheetData>
  <mergeCells count="1105">
    <mergeCell ref="B2:N2"/>
    <mergeCell ref="H4:I4"/>
    <mergeCell ref="K4:N4"/>
    <mergeCell ref="M5:N5"/>
    <mergeCell ref="K6:K15"/>
    <mergeCell ref="M6:N6"/>
    <mergeCell ref="M7:N7"/>
    <mergeCell ref="M8:N8"/>
    <mergeCell ref="M9:N9"/>
    <mergeCell ref="M10:N10"/>
    <mergeCell ref="M25:N25"/>
    <mergeCell ref="K26:K35"/>
    <mergeCell ref="M26:N26"/>
    <mergeCell ref="M27:N27"/>
    <mergeCell ref="M28:N28"/>
    <mergeCell ref="M29:N29"/>
    <mergeCell ref="M30:N30"/>
    <mergeCell ref="M31:N31"/>
    <mergeCell ref="M32:N32"/>
    <mergeCell ref="M33:N33"/>
    <mergeCell ref="H20:I21"/>
    <mergeCell ref="M20:N20"/>
    <mergeCell ref="M21:N21"/>
    <mergeCell ref="M22:N22"/>
    <mergeCell ref="M23:N23"/>
    <mergeCell ref="M24:N24"/>
    <mergeCell ref="M11:N11"/>
    <mergeCell ref="M12:N12"/>
    <mergeCell ref="M13:N13"/>
    <mergeCell ref="M14:N14"/>
    <mergeCell ref="M15:N15"/>
    <mergeCell ref="K16:K25"/>
    <mergeCell ref="M16:N16"/>
    <mergeCell ref="M17:N17"/>
    <mergeCell ref="M18:N18"/>
    <mergeCell ref="M19:N19"/>
    <mergeCell ref="M43:N43"/>
    <mergeCell ref="M44:N44"/>
    <mergeCell ref="M45:N45"/>
    <mergeCell ref="K46:K55"/>
    <mergeCell ref="M46:N46"/>
    <mergeCell ref="M47:N47"/>
    <mergeCell ref="M48:N48"/>
    <mergeCell ref="M49:N49"/>
    <mergeCell ref="M50:N50"/>
    <mergeCell ref="M51:N51"/>
    <mergeCell ref="M34:N34"/>
    <mergeCell ref="M35:N35"/>
    <mergeCell ref="K36:K45"/>
    <mergeCell ref="M36:N36"/>
    <mergeCell ref="M37:N37"/>
    <mergeCell ref="M38:N38"/>
    <mergeCell ref="M39:N39"/>
    <mergeCell ref="M40:N40"/>
    <mergeCell ref="M41:N41"/>
    <mergeCell ref="M42:N42"/>
    <mergeCell ref="M70:N70"/>
    <mergeCell ref="M71:N71"/>
    <mergeCell ref="M72:N72"/>
    <mergeCell ref="M73:N73"/>
    <mergeCell ref="M74:N74"/>
    <mergeCell ref="M75:N75"/>
    <mergeCell ref="M61:N61"/>
    <mergeCell ref="M62:N62"/>
    <mergeCell ref="M63:N63"/>
    <mergeCell ref="M64:N64"/>
    <mergeCell ref="M65:N65"/>
    <mergeCell ref="K66:K75"/>
    <mergeCell ref="M66:N66"/>
    <mergeCell ref="M67:N67"/>
    <mergeCell ref="M68:N68"/>
    <mergeCell ref="M69:N69"/>
    <mergeCell ref="M52:N52"/>
    <mergeCell ref="M53:N53"/>
    <mergeCell ref="M54:N54"/>
    <mergeCell ref="M55:N55"/>
    <mergeCell ref="K56:K65"/>
    <mergeCell ref="M56:N56"/>
    <mergeCell ref="M57:N57"/>
    <mergeCell ref="M58:N58"/>
    <mergeCell ref="M59:N59"/>
    <mergeCell ref="M60:N60"/>
    <mergeCell ref="M85:N85"/>
    <mergeCell ref="K86:K95"/>
    <mergeCell ref="M86:N86"/>
    <mergeCell ref="M87:N87"/>
    <mergeCell ref="M88:N88"/>
    <mergeCell ref="M89:N89"/>
    <mergeCell ref="M90:N90"/>
    <mergeCell ref="M91:N91"/>
    <mergeCell ref="M92:N92"/>
    <mergeCell ref="M93:N93"/>
    <mergeCell ref="K76:K85"/>
    <mergeCell ref="M76:N76"/>
    <mergeCell ref="M77:N77"/>
    <mergeCell ref="M78:N78"/>
    <mergeCell ref="M79:N79"/>
    <mergeCell ref="M80:N80"/>
    <mergeCell ref="M81:N81"/>
    <mergeCell ref="M82:N82"/>
    <mergeCell ref="M83:N83"/>
    <mergeCell ref="M84:N84"/>
    <mergeCell ref="M103:N103"/>
    <mergeCell ref="M104:N104"/>
    <mergeCell ref="M105:N105"/>
    <mergeCell ref="K106:K115"/>
    <mergeCell ref="M106:N106"/>
    <mergeCell ref="M107:N107"/>
    <mergeCell ref="M108:N108"/>
    <mergeCell ref="M109:N109"/>
    <mergeCell ref="M110:N110"/>
    <mergeCell ref="M111:N111"/>
    <mergeCell ref="M94:N94"/>
    <mergeCell ref="M95:N95"/>
    <mergeCell ref="K96:K105"/>
    <mergeCell ref="M96:N96"/>
    <mergeCell ref="M97:N97"/>
    <mergeCell ref="M98:N98"/>
    <mergeCell ref="M99:N99"/>
    <mergeCell ref="M100:N100"/>
    <mergeCell ref="M101:N101"/>
    <mergeCell ref="M102:N102"/>
    <mergeCell ref="M130:N130"/>
    <mergeCell ref="M131:N131"/>
    <mergeCell ref="M132:N132"/>
    <mergeCell ref="M133:N133"/>
    <mergeCell ref="M134:N134"/>
    <mergeCell ref="M135:N135"/>
    <mergeCell ref="M121:N121"/>
    <mergeCell ref="M122:N122"/>
    <mergeCell ref="M123:N123"/>
    <mergeCell ref="M124:N124"/>
    <mergeCell ref="M125:N125"/>
    <mergeCell ref="K126:K135"/>
    <mergeCell ref="M126:N126"/>
    <mergeCell ref="M127:N127"/>
    <mergeCell ref="M128:N128"/>
    <mergeCell ref="M129:N129"/>
    <mergeCell ref="M112:N112"/>
    <mergeCell ref="M113:N113"/>
    <mergeCell ref="M114:N114"/>
    <mergeCell ref="M115:N115"/>
    <mergeCell ref="K116:K125"/>
    <mergeCell ref="M116:N116"/>
    <mergeCell ref="M117:N117"/>
    <mergeCell ref="M118:N118"/>
    <mergeCell ref="M119:N119"/>
    <mergeCell ref="M120:N120"/>
    <mergeCell ref="M145:N145"/>
    <mergeCell ref="K146:K155"/>
    <mergeCell ref="M146:N146"/>
    <mergeCell ref="M147:N147"/>
    <mergeCell ref="M148:N148"/>
    <mergeCell ref="M149:N149"/>
    <mergeCell ref="M150:N150"/>
    <mergeCell ref="M151:N151"/>
    <mergeCell ref="M152:N152"/>
    <mergeCell ref="M153:N153"/>
    <mergeCell ref="K136:K145"/>
    <mergeCell ref="M136:N136"/>
    <mergeCell ref="M137:N137"/>
    <mergeCell ref="M138:N138"/>
    <mergeCell ref="M139:N139"/>
    <mergeCell ref="M140:N140"/>
    <mergeCell ref="M141:N141"/>
    <mergeCell ref="M142:N142"/>
    <mergeCell ref="M143:N143"/>
    <mergeCell ref="M144:N144"/>
    <mergeCell ref="M163:N163"/>
    <mergeCell ref="M164:N164"/>
    <mergeCell ref="M165:N165"/>
    <mergeCell ref="K166:K175"/>
    <mergeCell ref="M166:N166"/>
    <mergeCell ref="M167:N167"/>
    <mergeCell ref="M168:N168"/>
    <mergeCell ref="M169:N169"/>
    <mergeCell ref="M170:N170"/>
    <mergeCell ref="M171:N171"/>
    <mergeCell ref="M154:N154"/>
    <mergeCell ref="M155:N155"/>
    <mergeCell ref="K156:K165"/>
    <mergeCell ref="M156:N156"/>
    <mergeCell ref="M157:N157"/>
    <mergeCell ref="M158:N158"/>
    <mergeCell ref="M159:N159"/>
    <mergeCell ref="M160:N160"/>
    <mergeCell ref="M161:N161"/>
    <mergeCell ref="M162:N162"/>
    <mergeCell ref="M190:N190"/>
    <mergeCell ref="M191:N191"/>
    <mergeCell ref="M192:N192"/>
    <mergeCell ref="M193:N193"/>
    <mergeCell ref="M194:N194"/>
    <mergeCell ref="M195:N195"/>
    <mergeCell ref="M181:N181"/>
    <mergeCell ref="M182:N182"/>
    <mergeCell ref="M183:N183"/>
    <mergeCell ref="M184:N184"/>
    <mergeCell ref="M185:N185"/>
    <mergeCell ref="K186:K195"/>
    <mergeCell ref="M186:N186"/>
    <mergeCell ref="M187:N187"/>
    <mergeCell ref="M188:N188"/>
    <mergeCell ref="M189:N189"/>
    <mergeCell ref="M172:N172"/>
    <mergeCell ref="M173:N173"/>
    <mergeCell ref="M174:N174"/>
    <mergeCell ref="M175:N175"/>
    <mergeCell ref="K176:K185"/>
    <mergeCell ref="M176:N176"/>
    <mergeCell ref="M177:N177"/>
    <mergeCell ref="M178:N178"/>
    <mergeCell ref="M179:N179"/>
    <mergeCell ref="M180:N180"/>
    <mergeCell ref="M205:N205"/>
    <mergeCell ref="K206:K215"/>
    <mergeCell ref="M206:N206"/>
    <mergeCell ref="M207:N207"/>
    <mergeCell ref="M208:N208"/>
    <mergeCell ref="M209:N209"/>
    <mergeCell ref="M210:N210"/>
    <mergeCell ref="M211:N211"/>
    <mergeCell ref="M212:N212"/>
    <mergeCell ref="M213:N213"/>
    <mergeCell ref="K196:K205"/>
    <mergeCell ref="M196:N196"/>
    <mergeCell ref="M197:N197"/>
    <mergeCell ref="M198:N198"/>
    <mergeCell ref="M199:N199"/>
    <mergeCell ref="M200:N200"/>
    <mergeCell ref="M201:N201"/>
    <mergeCell ref="M202:N202"/>
    <mergeCell ref="M203:N203"/>
    <mergeCell ref="M204:N204"/>
    <mergeCell ref="M223:N223"/>
    <mergeCell ref="M224:N224"/>
    <mergeCell ref="M225:N225"/>
    <mergeCell ref="K226:K235"/>
    <mergeCell ref="M226:N226"/>
    <mergeCell ref="M227:N227"/>
    <mergeCell ref="M228:N228"/>
    <mergeCell ref="M229:N229"/>
    <mergeCell ref="M230:N230"/>
    <mergeCell ref="M231:N231"/>
    <mergeCell ref="M214:N214"/>
    <mergeCell ref="M215:N215"/>
    <mergeCell ref="K216:K225"/>
    <mergeCell ref="M216:N216"/>
    <mergeCell ref="M217:N217"/>
    <mergeCell ref="M218:N218"/>
    <mergeCell ref="M219:N219"/>
    <mergeCell ref="M220:N220"/>
    <mergeCell ref="M221:N221"/>
    <mergeCell ref="M222:N222"/>
    <mergeCell ref="M250:N250"/>
    <mergeCell ref="M251:N251"/>
    <mergeCell ref="M252:N252"/>
    <mergeCell ref="M253:N253"/>
    <mergeCell ref="M254:N254"/>
    <mergeCell ref="M255:N255"/>
    <mergeCell ref="M241:N241"/>
    <mergeCell ref="M242:N242"/>
    <mergeCell ref="M243:N243"/>
    <mergeCell ref="M244:N244"/>
    <mergeCell ref="M245:N245"/>
    <mergeCell ref="K246:K255"/>
    <mergeCell ref="M246:N246"/>
    <mergeCell ref="M247:N247"/>
    <mergeCell ref="M248:N248"/>
    <mergeCell ref="M249:N249"/>
    <mergeCell ref="M232:N232"/>
    <mergeCell ref="M233:N233"/>
    <mergeCell ref="M234:N234"/>
    <mergeCell ref="M235:N235"/>
    <mergeCell ref="K236:K245"/>
    <mergeCell ref="M236:N236"/>
    <mergeCell ref="M237:N237"/>
    <mergeCell ref="M238:N238"/>
    <mergeCell ref="M239:N239"/>
    <mergeCell ref="M240:N240"/>
    <mergeCell ref="M265:N265"/>
    <mergeCell ref="K266:K275"/>
    <mergeCell ref="M266:N266"/>
    <mergeCell ref="M267:N267"/>
    <mergeCell ref="M268:N268"/>
    <mergeCell ref="M269:N269"/>
    <mergeCell ref="M270:N270"/>
    <mergeCell ref="M271:N271"/>
    <mergeCell ref="M272:N272"/>
    <mergeCell ref="M273:N273"/>
    <mergeCell ref="K256:K265"/>
    <mergeCell ref="M256:N256"/>
    <mergeCell ref="M257:N257"/>
    <mergeCell ref="M258:N258"/>
    <mergeCell ref="M259:N259"/>
    <mergeCell ref="M260:N260"/>
    <mergeCell ref="M261:N261"/>
    <mergeCell ref="M262:N262"/>
    <mergeCell ref="M263:N263"/>
    <mergeCell ref="M264:N264"/>
    <mergeCell ref="M283:N283"/>
    <mergeCell ref="M284:N284"/>
    <mergeCell ref="M285:N285"/>
    <mergeCell ref="K286:K295"/>
    <mergeCell ref="M286:N286"/>
    <mergeCell ref="M287:N287"/>
    <mergeCell ref="M288:N288"/>
    <mergeCell ref="M289:N289"/>
    <mergeCell ref="M290:N290"/>
    <mergeCell ref="M291:N291"/>
    <mergeCell ref="M274:N274"/>
    <mergeCell ref="M275:N275"/>
    <mergeCell ref="K276:K285"/>
    <mergeCell ref="M276:N276"/>
    <mergeCell ref="M277:N277"/>
    <mergeCell ref="M278:N278"/>
    <mergeCell ref="M279:N279"/>
    <mergeCell ref="M280:N280"/>
    <mergeCell ref="M281:N281"/>
    <mergeCell ref="M282:N282"/>
    <mergeCell ref="M310:N310"/>
    <mergeCell ref="M311:N311"/>
    <mergeCell ref="M312:N312"/>
    <mergeCell ref="M313:N313"/>
    <mergeCell ref="M314:N314"/>
    <mergeCell ref="M315:N315"/>
    <mergeCell ref="M301:N301"/>
    <mergeCell ref="M302:N302"/>
    <mergeCell ref="M303:N303"/>
    <mergeCell ref="M304:N304"/>
    <mergeCell ref="M305:N305"/>
    <mergeCell ref="K306:K315"/>
    <mergeCell ref="M306:N306"/>
    <mergeCell ref="M307:N307"/>
    <mergeCell ref="M308:N308"/>
    <mergeCell ref="M309:N309"/>
    <mergeCell ref="M292:N292"/>
    <mergeCell ref="M293:N293"/>
    <mergeCell ref="M294:N294"/>
    <mergeCell ref="M295:N295"/>
    <mergeCell ref="K296:K305"/>
    <mergeCell ref="M296:N296"/>
    <mergeCell ref="M297:N297"/>
    <mergeCell ref="M298:N298"/>
    <mergeCell ref="M299:N299"/>
    <mergeCell ref="M300:N300"/>
    <mergeCell ref="M325:N325"/>
    <mergeCell ref="K326:K335"/>
    <mergeCell ref="M326:N326"/>
    <mergeCell ref="M327:N327"/>
    <mergeCell ref="M328:N328"/>
    <mergeCell ref="M329:N329"/>
    <mergeCell ref="M330:N330"/>
    <mergeCell ref="M331:N331"/>
    <mergeCell ref="M332:N332"/>
    <mergeCell ref="M333:N333"/>
    <mergeCell ref="K316:K325"/>
    <mergeCell ref="M316:N316"/>
    <mergeCell ref="M317:N317"/>
    <mergeCell ref="M318:N318"/>
    <mergeCell ref="M319:N319"/>
    <mergeCell ref="M320:N320"/>
    <mergeCell ref="M321:N321"/>
    <mergeCell ref="M322:N322"/>
    <mergeCell ref="M323:N323"/>
    <mergeCell ref="M324:N324"/>
    <mergeCell ref="M343:N343"/>
    <mergeCell ref="M344:N344"/>
    <mergeCell ref="M345:N345"/>
    <mergeCell ref="K346:K355"/>
    <mergeCell ref="M346:N346"/>
    <mergeCell ref="M347:N347"/>
    <mergeCell ref="M348:N348"/>
    <mergeCell ref="M349:N349"/>
    <mergeCell ref="M350:N350"/>
    <mergeCell ref="M351:N351"/>
    <mergeCell ref="M334:N334"/>
    <mergeCell ref="M335:N335"/>
    <mergeCell ref="K336:K345"/>
    <mergeCell ref="M336:N336"/>
    <mergeCell ref="M337:N337"/>
    <mergeCell ref="M338:N338"/>
    <mergeCell ref="M339:N339"/>
    <mergeCell ref="M340:N340"/>
    <mergeCell ref="M341:N341"/>
    <mergeCell ref="M342:N342"/>
    <mergeCell ref="M370:N370"/>
    <mergeCell ref="M371:N371"/>
    <mergeCell ref="M372:N372"/>
    <mergeCell ref="M373:N373"/>
    <mergeCell ref="M374:N374"/>
    <mergeCell ref="M375:N375"/>
    <mergeCell ref="M361:N361"/>
    <mergeCell ref="M362:N362"/>
    <mergeCell ref="M363:N363"/>
    <mergeCell ref="M364:N364"/>
    <mergeCell ref="M365:N365"/>
    <mergeCell ref="K366:K375"/>
    <mergeCell ref="M366:N366"/>
    <mergeCell ref="M367:N367"/>
    <mergeCell ref="M368:N368"/>
    <mergeCell ref="M369:N369"/>
    <mergeCell ref="M352:N352"/>
    <mergeCell ref="M353:N353"/>
    <mergeCell ref="M354:N354"/>
    <mergeCell ref="M355:N355"/>
    <mergeCell ref="K356:K365"/>
    <mergeCell ref="M356:N356"/>
    <mergeCell ref="M357:N357"/>
    <mergeCell ref="M358:N358"/>
    <mergeCell ref="M359:N359"/>
    <mergeCell ref="M360:N360"/>
    <mergeCell ref="M385:N385"/>
    <mergeCell ref="K386:K395"/>
    <mergeCell ref="M386:N386"/>
    <mergeCell ref="M387:N387"/>
    <mergeCell ref="M388:N388"/>
    <mergeCell ref="M389:N389"/>
    <mergeCell ref="M390:N390"/>
    <mergeCell ref="M391:N391"/>
    <mergeCell ref="M392:N392"/>
    <mergeCell ref="M393:N393"/>
    <mergeCell ref="K376:K385"/>
    <mergeCell ref="M376:N376"/>
    <mergeCell ref="M377:N377"/>
    <mergeCell ref="M378:N378"/>
    <mergeCell ref="M379:N379"/>
    <mergeCell ref="M380:N380"/>
    <mergeCell ref="M381:N381"/>
    <mergeCell ref="M382:N382"/>
    <mergeCell ref="M383:N383"/>
    <mergeCell ref="M384:N384"/>
    <mergeCell ref="M403:N403"/>
    <mergeCell ref="M404:N404"/>
    <mergeCell ref="M405:N405"/>
    <mergeCell ref="K406:K415"/>
    <mergeCell ref="M406:N406"/>
    <mergeCell ref="M407:N407"/>
    <mergeCell ref="M408:N408"/>
    <mergeCell ref="M409:N409"/>
    <mergeCell ref="M410:N410"/>
    <mergeCell ref="M411:N411"/>
    <mergeCell ref="M394:N394"/>
    <mergeCell ref="M395:N395"/>
    <mergeCell ref="K396:K405"/>
    <mergeCell ref="M396:N396"/>
    <mergeCell ref="M397:N397"/>
    <mergeCell ref="M398:N398"/>
    <mergeCell ref="M399:N399"/>
    <mergeCell ref="M400:N400"/>
    <mergeCell ref="M401:N401"/>
    <mergeCell ref="M402:N402"/>
    <mergeCell ref="M430:N430"/>
    <mergeCell ref="M431:N431"/>
    <mergeCell ref="M432:N432"/>
    <mergeCell ref="M433:N433"/>
    <mergeCell ref="M434:N434"/>
    <mergeCell ref="M435:N435"/>
    <mergeCell ref="M421:N421"/>
    <mergeCell ref="M422:N422"/>
    <mergeCell ref="M423:N423"/>
    <mergeCell ref="M424:N424"/>
    <mergeCell ref="M425:N425"/>
    <mergeCell ref="K426:K435"/>
    <mergeCell ref="M426:N426"/>
    <mergeCell ref="M427:N427"/>
    <mergeCell ref="M428:N428"/>
    <mergeCell ref="M429:N429"/>
    <mergeCell ref="M412:N412"/>
    <mergeCell ref="M413:N413"/>
    <mergeCell ref="M414:N414"/>
    <mergeCell ref="M415:N415"/>
    <mergeCell ref="K416:K425"/>
    <mergeCell ref="M416:N416"/>
    <mergeCell ref="M417:N417"/>
    <mergeCell ref="M418:N418"/>
    <mergeCell ref="M419:N419"/>
    <mergeCell ref="M420:N420"/>
    <mergeCell ref="M445:N445"/>
    <mergeCell ref="K446:K455"/>
    <mergeCell ref="M446:N446"/>
    <mergeCell ref="M447:N447"/>
    <mergeCell ref="M448:N448"/>
    <mergeCell ref="M449:N449"/>
    <mergeCell ref="M450:N450"/>
    <mergeCell ref="M451:N451"/>
    <mergeCell ref="M452:N452"/>
    <mergeCell ref="M453:N453"/>
    <mergeCell ref="K436:K445"/>
    <mergeCell ref="M436:N436"/>
    <mergeCell ref="M437:N437"/>
    <mergeCell ref="M438:N438"/>
    <mergeCell ref="M439:N439"/>
    <mergeCell ref="M440:N440"/>
    <mergeCell ref="M441:N441"/>
    <mergeCell ref="M442:N442"/>
    <mergeCell ref="M443:N443"/>
    <mergeCell ref="M444:N444"/>
    <mergeCell ref="M463:N463"/>
    <mergeCell ref="M464:N464"/>
    <mergeCell ref="M465:N465"/>
    <mergeCell ref="K466:K475"/>
    <mergeCell ref="M466:N466"/>
    <mergeCell ref="M467:N467"/>
    <mergeCell ref="M468:N468"/>
    <mergeCell ref="M469:N469"/>
    <mergeCell ref="M470:N470"/>
    <mergeCell ref="M471:N471"/>
    <mergeCell ref="M454:N454"/>
    <mergeCell ref="M455:N455"/>
    <mergeCell ref="K456:K465"/>
    <mergeCell ref="M456:N456"/>
    <mergeCell ref="M457:N457"/>
    <mergeCell ref="M458:N458"/>
    <mergeCell ref="M459:N459"/>
    <mergeCell ref="M460:N460"/>
    <mergeCell ref="M461:N461"/>
    <mergeCell ref="M462:N462"/>
    <mergeCell ref="M490:N490"/>
    <mergeCell ref="M491:N491"/>
    <mergeCell ref="M492:N492"/>
    <mergeCell ref="M493:N493"/>
    <mergeCell ref="M494:N494"/>
    <mergeCell ref="M495:N495"/>
    <mergeCell ref="M481:N481"/>
    <mergeCell ref="M482:N482"/>
    <mergeCell ref="M483:N483"/>
    <mergeCell ref="M484:N484"/>
    <mergeCell ref="M485:N485"/>
    <mergeCell ref="K486:K495"/>
    <mergeCell ref="M486:N486"/>
    <mergeCell ref="M487:N487"/>
    <mergeCell ref="M488:N488"/>
    <mergeCell ref="M489:N489"/>
    <mergeCell ref="M472:N472"/>
    <mergeCell ref="M473:N473"/>
    <mergeCell ref="M474:N474"/>
    <mergeCell ref="M475:N475"/>
    <mergeCell ref="K476:K485"/>
    <mergeCell ref="M476:N476"/>
    <mergeCell ref="M477:N477"/>
    <mergeCell ref="M478:N478"/>
    <mergeCell ref="M479:N479"/>
    <mergeCell ref="M480:N480"/>
    <mergeCell ref="M505:N505"/>
    <mergeCell ref="K506:K515"/>
    <mergeCell ref="M506:N506"/>
    <mergeCell ref="M507:N507"/>
    <mergeCell ref="M508:N508"/>
    <mergeCell ref="M509:N509"/>
    <mergeCell ref="M510:N510"/>
    <mergeCell ref="M511:N511"/>
    <mergeCell ref="M512:N512"/>
    <mergeCell ref="M513:N513"/>
    <mergeCell ref="K496:K505"/>
    <mergeCell ref="M496:N496"/>
    <mergeCell ref="M497:N497"/>
    <mergeCell ref="M498:N498"/>
    <mergeCell ref="M499:N499"/>
    <mergeCell ref="M500:N500"/>
    <mergeCell ref="M501:N501"/>
    <mergeCell ref="M502:N502"/>
    <mergeCell ref="M503:N503"/>
    <mergeCell ref="M504:N504"/>
    <mergeCell ref="M523:N523"/>
    <mergeCell ref="M524:N524"/>
    <mergeCell ref="M525:N525"/>
    <mergeCell ref="K526:K535"/>
    <mergeCell ref="M526:N526"/>
    <mergeCell ref="M527:N527"/>
    <mergeCell ref="M528:N528"/>
    <mergeCell ref="M529:N529"/>
    <mergeCell ref="M530:N530"/>
    <mergeCell ref="M531:N531"/>
    <mergeCell ref="M514:N514"/>
    <mergeCell ref="M515:N515"/>
    <mergeCell ref="K516:K525"/>
    <mergeCell ref="M516:N516"/>
    <mergeCell ref="M517:N517"/>
    <mergeCell ref="M518:N518"/>
    <mergeCell ref="M519:N519"/>
    <mergeCell ref="M520:N520"/>
    <mergeCell ref="M521:N521"/>
    <mergeCell ref="M522:N522"/>
    <mergeCell ref="M550:N550"/>
    <mergeCell ref="M551:N551"/>
    <mergeCell ref="M552:N552"/>
    <mergeCell ref="M553:N553"/>
    <mergeCell ref="M554:N554"/>
    <mergeCell ref="M555:N555"/>
    <mergeCell ref="M541:N541"/>
    <mergeCell ref="M542:N542"/>
    <mergeCell ref="M543:N543"/>
    <mergeCell ref="M544:N544"/>
    <mergeCell ref="M545:N545"/>
    <mergeCell ref="K546:K555"/>
    <mergeCell ref="M546:N546"/>
    <mergeCell ref="M547:N547"/>
    <mergeCell ref="M548:N548"/>
    <mergeCell ref="M549:N549"/>
    <mergeCell ref="M532:N532"/>
    <mergeCell ref="M533:N533"/>
    <mergeCell ref="M534:N534"/>
    <mergeCell ref="M535:N535"/>
    <mergeCell ref="K536:K545"/>
    <mergeCell ref="M536:N536"/>
    <mergeCell ref="M537:N537"/>
    <mergeCell ref="M538:N538"/>
    <mergeCell ref="M539:N539"/>
    <mergeCell ref="M540:N540"/>
    <mergeCell ref="M565:N565"/>
    <mergeCell ref="K566:K575"/>
    <mergeCell ref="M566:N566"/>
    <mergeCell ref="M567:N567"/>
    <mergeCell ref="M568:N568"/>
    <mergeCell ref="M569:N569"/>
    <mergeCell ref="M570:N570"/>
    <mergeCell ref="M571:N571"/>
    <mergeCell ref="M572:N572"/>
    <mergeCell ref="M573:N573"/>
    <mergeCell ref="K556:K565"/>
    <mergeCell ref="M556:N556"/>
    <mergeCell ref="M557:N557"/>
    <mergeCell ref="M558:N558"/>
    <mergeCell ref="M559:N559"/>
    <mergeCell ref="M560:N560"/>
    <mergeCell ref="M561:N561"/>
    <mergeCell ref="M562:N562"/>
    <mergeCell ref="M563:N563"/>
    <mergeCell ref="M564:N564"/>
    <mergeCell ref="M583:N583"/>
    <mergeCell ref="M584:N584"/>
    <mergeCell ref="M585:N585"/>
    <mergeCell ref="K586:K595"/>
    <mergeCell ref="M586:N586"/>
    <mergeCell ref="M587:N587"/>
    <mergeCell ref="M588:N588"/>
    <mergeCell ref="M589:N589"/>
    <mergeCell ref="M590:N590"/>
    <mergeCell ref="M591:N591"/>
    <mergeCell ref="M574:N574"/>
    <mergeCell ref="M575:N575"/>
    <mergeCell ref="K576:K585"/>
    <mergeCell ref="M576:N576"/>
    <mergeCell ref="M577:N577"/>
    <mergeCell ref="M578:N578"/>
    <mergeCell ref="M579:N579"/>
    <mergeCell ref="M580:N580"/>
    <mergeCell ref="M581:N581"/>
    <mergeCell ref="M582:N582"/>
    <mergeCell ref="M610:N610"/>
    <mergeCell ref="M611:N611"/>
    <mergeCell ref="M612:N612"/>
    <mergeCell ref="M613:N613"/>
    <mergeCell ref="M614:N614"/>
    <mergeCell ref="M615:N615"/>
    <mergeCell ref="M601:N601"/>
    <mergeCell ref="M602:N602"/>
    <mergeCell ref="M603:N603"/>
    <mergeCell ref="M604:N604"/>
    <mergeCell ref="M605:N605"/>
    <mergeCell ref="K606:K615"/>
    <mergeCell ref="M606:N606"/>
    <mergeCell ref="M607:N607"/>
    <mergeCell ref="M608:N608"/>
    <mergeCell ref="M609:N609"/>
    <mergeCell ref="M592:N592"/>
    <mergeCell ref="M593:N593"/>
    <mergeCell ref="M594:N594"/>
    <mergeCell ref="M595:N595"/>
    <mergeCell ref="K596:K605"/>
    <mergeCell ref="M596:N596"/>
    <mergeCell ref="M597:N597"/>
    <mergeCell ref="M598:N598"/>
    <mergeCell ref="M599:N599"/>
    <mergeCell ref="M600:N600"/>
    <mergeCell ref="M625:N625"/>
    <mergeCell ref="K626:K635"/>
    <mergeCell ref="M626:N626"/>
    <mergeCell ref="M627:N627"/>
    <mergeCell ref="M628:N628"/>
    <mergeCell ref="M629:N629"/>
    <mergeCell ref="M630:N630"/>
    <mergeCell ref="M631:N631"/>
    <mergeCell ref="M632:N632"/>
    <mergeCell ref="M633:N633"/>
    <mergeCell ref="K616:K625"/>
    <mergeCell ref="M616:N616"/>
    <mergeCell ref="M617:N617"/>
    <mergeCell ref="M618:N618"/>
    <mergeCell ref="M619:N619"/>
    <mergeCell ref="M620:N620"/>
    <mergeCell ref="M621:N621"/>
    <mergeCell ref="M622:N622"/>
    <mergeCell ref="M623:N623"/>
    <mergeCell ref="M624:N624"/>
    <mergeCell ref="M643:N643"/>
    <mergeCell ref="M644:N644"/>
    <mergeCell ref="M645:N645"/>
    <mergeCell ref="K646:K655"/>
    <mergeCell ref="M646:N646"/>
    <mergeCell ref="M647:N647"/>
    <mergeCell ref="M648:N648"/>
    <mergeCell ref="M649:N649"/>
    <mergeCell ref="M650:N650"/>
    <mergeCell ref="M651:N651"/>
    <mergeCell ref="M634:N634"/>
    <mergeCell ref="M635:N635"/>
    <mergeCell ref="K636:K645"/>
    <mergeCell ref="M636:N636"/>
    <mergeCell ref="M637:N637"/>
    <mergeCell ref="M638:N638"/>
    <mergeCell ref="M639:N639"/>
    <mergeCell ref="M640:N640"/>
    <mergeCell ref="M641:N641"/>
    <mergeCell ref="M642:N642"/>
    <mergeCell ref="M670:N670"/>
    <mergeCell ref="M671:N671"/>
    <mergeCell ref="M672:N672"/>
    <mergeCell ref="M673:N673"/>
    <mergeCell ref="M674:N674"/>
    <mergeCell ref="M675:N675"/>
    <mergeCell ref="M661:N661"/>
    <mergeCell ref="M662:N662"/>
    <mergeCell ref="M663:N663"/>
    <mergeCell ref="M664:N664"/>
    <mergeCell ref="M665:N665"/>
    <mergeCell ref="K666:K675"/>
    <mergeCell ref="M666:N666"/>
    <mergeCell ref="M667:N667"/>
    <mergeCell ref="M668:N668"/>
    <mergeCell ref="M669:N669"/>
    <mergeCell ref="M652:N652"/>
    <mergeCell ref="M653:N653"/>
    <mergeCell ref="M654:N654"/>
    <mergeCell ref="M655:N655"/>
    <mergeCell ref="K656:K665"/>
    <mergeCell ref="M656:N656"/>
    <mergeCell ref="M657:N657"/>
    <mergeCell ref="M658:N658"/>
    <mergeCell ref="M659:N659"/>
    <mergeCell ref="M660:N660"/>
    <mergeCell ref="M685:N685"/>
    <mergeCell ref="K686:K695"/>
    <mergeCell ref="M686:N686"/>
    <mergeCell ref="M687:N687"/>
    <mergeCell ref="M688:N688"/>
    <mergeCell ref="M689:N689"/>
    <mergeCell ref="M690:N690"/>
    <mergeCell ref="M691:N691"/>
    <mergeCell ref="M692:N692"/>
    <mergeCell ref="M693:N693"/>
    <mergeCell ref="K676:K685"/>
    <mergeCell ref="M676:N676"/>
    <mergeCell ref="M677:N677"/>
    <mergeCell ref="M678:N678"/>
    <mergeCell ref="M679:N679"/>
    <mergeCell ref="M680:N680"/>
    <mergeCell ref="M681:N681"/>
    <mergeCell ref="M682:N682"/>
    <mergeCell ref="M683:N683"/>
    <mergeCell ref="M684:N684"/>
    <mergeCell ref="M703:N703"/>
    <mergeCell ref="M704:N704"/>
    <mergeCell ref="M705:N705"/>
    <mergeCell ref="K706:K715"/>
    <mergeCell ref="M706:N706"/>
    <mergeCell ref="M707:N707"/>
    <mergeCell ref="M708:N708"/>
    <mergeCell ref="M709:N709"/>
    <mergeCell ref="M710:N710"/>
    <mergeCell ref="M711:N711"/>
    <mergeCell ref="M694:N694"/>
    <mergeCell ref="M695:N695"/>
    <mergeCell ref="K696:K705"/>
    <mergeCell ref="M696:N696"/>
    <mergeCell ref="M697:N697"/>
    <mergeCell ref="M698:N698"/>
    <mergeCell ref="M699:N699"/>
    <mergeCell ref="M700:N700"/>
    <mergeCell ref="M701:N701"/>
    <mergeCell ref="M702:N702"/>
    <mergeCell ref="M730:N730"/>
    <mergeCell ref="M731:N731"/>
    <mergeCell ref="M732:N732"/>
    <mergeCell ref="M733:N733"/>
    <mergeCell ref="M734:N734"/>
    <mergeCell ref="M735:N735"/>
    <mergeCell ref="M721:N721"/>
    <mergeCell ref="M722:N722"/>
    <mergeCell ref="M723:N723"/>
    <mergeCell ref="M724:N724"/>
    <mergeCell ref="M725:N725"/>
    <mergeCell ref="K726:K735"/>
    <mergeCell ref="M726:N726"/>
    <mergeCell ref="M727:N727"/>
    <mergeCell ref="M728:N728"/>
    <mergeCell ref="M729:N729"/>
    <mergeCell ref="M712:N712"/>
    <mergeCell ref="M713:N713"/>
    <mergeCell ref="M714:N714"/>
    <mergeCell ref="M715:N715"/>
    <mergeCell ref="K716:K725"/>
    <mergeCell ref="M716:N716"/>
    <mergeCell ref="M717:N717"/>
    <mergeCell ref="M718:N718"/>
    <mergeCell ref="M719:N719"/>
    <mergeCell ref="M720:N720"/>
    <mergeCell ref="M745:N745"/>
    <mergeCell ref="K746:K755"/>
    <mergeCell ref="M746:N746"/>
    <mergeCell ref="M747:N747"/>
    <mergeCell ref="M748:N748"/>
    <mergeCell ref="M749:N749"/>
    <mergeCell ref="M750:N750"/>
    <mergeCell ref="M751:N751"/>
    <mergeCell ref="M752:N752"/>
    <mergeCell ref="M753:N753"/>
    <mergeCell ref="K736:K745"/>
    <mergeCell ref="M736:N736"/>
    <mergeCell ref="M737:N737"/>
    <mergeCell ref="M738:N738"/>
    <mergeCell ref="M739:N739"/>
    <mergeCell ref="M740:N740"/>
    <mergeCell ref="M741:N741"/>
    <mergeCell ref="M742:N742"/>
    <mergeCell ref="M743:N743"/>
    <mergeCell ref="M744:N744"/>
    <mergeCell ref="M763:N763"/>
    <mergeCell ref="M764:N764"/>
    <mergeCell ref="M765:N765"/>
    <mergeCell ref="K766:K775"/>
    <mergeCell ref="M766:N766"/>
    <mergeCell ref="M767:N767"/>
    <mergeCell ref="M768:N768"/>
    <mergeCell ref="M769:N769"/>
    <mergeCell ref="M770:N770"/>
    <mergeCell ref="M771:N771"/>
    <mergeCell ref="M754:N754"/>
    <mergeCell ref="M755:N755"/>
    <mergeCell ref="K756:K765"/>
    <mergeCell ref="M756:N756"/>
    <mergeCell ref="M757:N757"/>
    <mergeCell ref="M758:N758"/>
    <mergeCell ref="M759:N759"/>
    <mergeCell ref="M760:N760"/>
    <mergeCell ref="M761:N761"/>
    <mergeCell ref="M762:N762"/>
    <mergeCell ref="M790:N790"/>
    <mergeCell ref="M791:N791"/>
    <mergeCell ref="M792:N792"/>
    <mergeCell ref="M793:N793"/>
    <mergeCell ref="M794:N794"/>
    <mergeCell ref="M795:N795"/>
    <mergeCell ref="M781:N781"/>
    <mergeCell ref="M782:N782"/>
    <mergeCell ref="M783:N783"/>
    <mergeCell ref="M784:N784"/>
    <mergeCell ref="M785:N785"/>
    <mergeCell ref="K786:K795"/>
    <mergeCell ref="M786:N786"/>
    <mergeCell ref="M787:N787"/>
    <mergeCell ref="M788:N788"/>
    <mergeCell ref="M789:N789"/>
    <mergeCell ref="M772:N772"/>
    <mergeCell ref="M773:N773"/>
    <mergeCell ref="M774:N774"/>
    <mergeCell ref="M775:N775"/>
    <mergeCell ref="K776:K785"/>
    <mergeCell ref="M776:N776"/>
    <mergeCell ref="M777:N777"/>
    <mergeCell ref="M778:N778"/>
    <mergeCell ref="M779:N779"/>
    <mergeCell ref="M780:N780"/>
    <mergeCell ref="M805:N805"/>
    <mergeCell ref="K806:K815"/>
    <mergeCell ref="M806:N806"/>
    <mergeCell ref="M807:N807"/>
    <mergeCell ref="M808:N808"/>
    <mergeCell ref="M809:N809"/>
    <mergeCell ref="M810:N810"/>
    <mergeCell ref="M811:N811"/>
    <mergeCell ref="M812:N812"/>
    <mergeCell ref="M813:N813"/>
    <mergeCell ref="K796:K805"/>
    <mergeCell ref="M796:N796"/>
    <mergeCell ref="M797:N797"/>
    <mergeCell ref="M798:N798"/>
    <mergeCell ref="M799:N799"/>
    <mergeCell ref="M800:N800"/>
    <mergeCell ref="M801:N801"/>
    <mergeCell ref="M802:N802"/>
    <mergeCell ref="M803:N803"/>
    <mergeCell ref="M804:N804"/>
    <mergeCell ref="M823:N823"/>
    <mergeCell ref="M824:N824"/>
    <mergeCell ref="M825:N825"/>
    <mergeCell ref="K826:K835"/>
    <mergeCell ref="M826:N826"/>
    <mergeCell ref="M827:N827"/>
    <mergeCell ref="M828:N828"/>
    <mergeCell ref="M829:N829"/>
    <mergeCell ref="M830:N830"/>
    <mergeCell ref="M831:N831"/>
    <mergeCell ref="M814:N814"/>
    <mergeCell ref="M815:N815"/>
    <mergeCell ref="K816:K825"/>
    <mergeCell ref="M816:N816"/>
    <mergeCell ref="M817:N817"/>
    <mergeCell ref="M818:N818"/>
    <mergeCell ref="M819:N819"/>
    <mergeCell ref="M820:N820"/>
    <mergeCell ref="M821:N821"/>
    <mergeCell ref="M822:N822"/>
    <mergeCell ref="M850:N850"/>
    <mergeCell ref="M851:N851"/>
    <mergeCell ref="M852:N852"/>
    <mergeCell ref="M853:N853"/>
    <mergeCell ref="M854:N854"/>
    <mergeCell ref="M855:N855"/>
    <mergeCell ref="M841:N841"/>
    <mergeCell ref="M842:N842"/>
    <mergeCell ref="M843:N843"/>
    <mergeCell ref="M844:N844"/>
    <mergeCell ref="M845:N845"/>
    <mergeCell ref="K846:K855"/>
    <mergeCell ref="M846:N846"/>
    <mergeCell ref="M847:N847"/>
    <mergeCell ref="M848:N848"/>
    <mergeCell ref="M849:N849"/>
    <mergeCell ref="M832:N832"/>
    <mergeCell ref="M833:N833"/>
    <mergeCell ref="M834:N834"/>
    <mergeCell ref="M835:N835"/>
    <mergeCell ref="K836:K845"/>
    <mergeCell ref="M836:N836"/>
    <mergeCell ref="M837:N837"/>
    <mergeCell ref="M838:N838"/>
    <mergeCell ref="M839:N839"/>
    <mergeCell ref="M840:N840"/>
    <mergeCell ref="M865:N865"/>
    <mergeCell ref="K866:K875"/>
    <mergeCell ref="M866:N866"/>
    <mergeCell ref="M867:N867"/>
    <mergeCell ref="M868:N868"/>
    <mergeCell ref="M869:N869"/>
    <mergeCell ref="M870:N870"/>
    <mergeCell ref="M871:N871"/>
    <mergeCell ref="M872:N872"/>
    <mergeCell ref="M873:N873"/>
    <mergeCell ref="K856:K865"/>
    <mergeCell ref="M856:N856"/>
    <mergeCell ref="M857:N857"/>
    <mergeCell ref="M858:N858"/>
    <mergeCell ref="M859:N859"/>
    <mergeCell ref="M860:N860"/>
    <mergeCell ref="M861:N861"/>
    <mergeCell ref="M862:N862"/>
    <mergeCell ref="M863:N863"/>
    <mergeCell ref="M864:N864"/>
    <mergeCell ref="M883:N883"/>
    <mergeCell ref="M884:N884"/>
    <mergeCell ref="M885:N885"/>
    <mergeCell ref="K886:K895"/>
    <mergeCell ref="M886:N886"/>
    <mergeCell ref="M887:N887"/>
    <mergeCell ref="M888:N888"/>
    <mergeCell ref="M889:N889"/>
    <mergeCell ref="M890:N890"/>
    <mergeCell ref="M891:N891"/>
    <mergeCell ref="M874:N874"/>
    <mergeCell ref="M875:N875"/>
    <mergeCell ref="K876:K885"/>
    <mergeCell ref="M876:N876"/>
    <mergeCell ref="M877:N877"/>
    <mergeCell ref="M878:N878"/>
    <mergeCell ref="M879:N879"/>
    <mergeCell ref="M880:N880"/>
    <mergeCell ref="M881:N881"/>
    <mergeCell ref="M882:N882"/>
    <mergeCell ref="M910:N910"/>
    <mergeCell ref="M911:N911"/>
    <mergeCell ref="M912:N912"/>
    <mergeCell ref="M913:N913"/>
    <mergeCell ref="M914:N914"/>
    <mergeCell ref="M915:N915"/>
    <mergeCell ref="M901:N901"/>
    <mergeCell ref="M902:N902"/>
    <mergeCell ref="M903:N903"/>
    <mergeCell ref="M904:N904"/>
    <mergeCell ref="M905:N905"/>
    <mergeCell ref="K906:K915"/>
    <mergeCell ref="M906:N906"/>
    <mergeCell ref="M907:N907"/>
    <mergeCell ref="M908:N908"/>
    <mergeCell ref="M909:N909"/>
    <mergeCell ref="M892:N892"/>
    <mergeCell ref="M893:N893"/>
    <mergeCell ref="M894:N894"/>
    <mergeCell ref="M895:N895"/>
    <mergeCell ref="K896:K905"/>
    <mergeCell ref="M896:N896"/>
    <mergeCell ref="M897:N897"/>
    <mergeCell ref="M898:N898"/>
    <mergeCell ref="M899:N899"/>
    <mergeCell ref="M900:N900"/>
    <mergeCell ref="M934:N934"/>
    <mergeCell ref="M935:N935"/>
    <mergeCell ref="K936:K945"/>
    <mergeCell ref="M936:N936"/>
    <mergeCell ref="M937:N937"/>
    <mergeCell ref="M938:N938"/>
    <mergeCell ref="M939:N939"/>
    <mergeCell ref="M940:N940"/>
    <mergeCell ref="M941:N941"/>
    <mergeCell ref="M942:N942"/>
    <mergeCell ref="M925:N925"/>
    <mergeCell ref="K926:K935"/>
    <mergeCell ref="M926:N926"/>
    <mergeCell ref="M927:N927"/>
    <mergeCell ref="M928:N928"/>
    <mergeCell ref="M929:N929"/>
    <mergeCell ref="M930:N930"/>
    <mergeCell ref="M931:N931"/>
    <mergeCell ref="M932:N932"/>
    <mergeCell ref="M933:N933"/>
    <mergeCell ref="K916:K925"/>
    <mergeCell ref="M916:N916"/>
    <mergeCell ref="M917:N917"/>
    <mergeCell ref="M918:N918"/>
    <mergeCell ref="M919:N919"/>
    <mergeCell ref="M920:N920"/>
    <mergeCell ref="M921:N921"/>
    <mergeCell ref="M922:N922"/>
    <mergeCell ref="M923:N923"/>
    <mergeCell ref="M924:N924"/>
    <mergeCell ref="M952:N952"/>
    <mergeCell ref="M953:N953"/>
    <mergeCell ref="M954:N954"/>
    <mergeCell ref="M955:N955"/>
    <mergeCell ref="K956:K965"/>
    <mergeCell ref="M956:N956"/>
    <mergeCell ref="M957:N957"/>
    <mergeCell ref="M958:N958"/>
    <mergeCell ref="M959:N959"/>
    <mergeCell ref="M960:N960"/>
    <mergeCell ref="M943:N943"/>
    <mergeCell ref="M944:N944"/>
    <mergeCell ref="M945:N945"/>
    <mergeCell ref="K946:K955"/>
    <mergeCell ref="M946:N946"/>
    <mergeCell ref="M947:N947"/>
    <mergeCell ref="M948:N948"/>
    <mergeCell ref="M949:N949"/>
    <mergeCell ref="M950:N950"/>
    <mergeCell ref="M951:N951"/>
    <mergeCell ref="M984:N984"/>
    <mergeCell ref="M970:N970"/>
    <mergeCell ref="M971:N971"/>
    <mergeCell ref="M972:N972"/>
    <mergeCell ref="M973:N973"/>
    <mergeCell ref="M974:N974"/>
    <mergeCell ref="M975:N975"/>
    <mergeCell ref="M961:N961"/>
    <mergeCell ref="M962:N962"/>
    <mergeCell ref="M963:N963"/>
    <mergeCell ref="M964:N964"/>
    <mergeCell ref="M965:N965"/>
    <mergeCell ref="K966:K975"/>
    <mergeCell ref="M966:N966"/>
    <mergeCell ref="M967:N967"/>
    <mergeCell ref="M968:N968"/>
    <mergeCell ref="M969:N969"/>
    <mergeCell ref="M1005:N1005"/>
    <mergeCell ref="M993:N993"/>
    <mergeCell ref="M994:N994"/>
    <mergeCell ref="M995:N995"/>
    <mergeCell ref="K996:K1005"/>
    <mergeCell ref="M996:N996"/>
    <mergeCell ref="M997:N997"/>
    <mergeCell ref="M998:N998"/>
    <mergeCell ref="M999:N999"/>
    <mergeCell ref="M1000:N1000"/>
    <mergeCell ref="M1001:N1001"/>
    <mergeCell ref="M1002:N1002"/>
    <mergeCell ref="M1003:N1003"/>
    <mergeCell ref="M1004:N1004"/>
    <mergeCell ref="M985:N985"/>
    <mergeCell ref="K986:K995"/>
    <mergeCell ref="M986:N986"/>
    <mergeCell ref="M987:N987"/>
    <mergeCell ref="M988:N988"/>
    <mergeCell ref="M989:N989"/>
    <mergeCell ref="M990:N990"/>
    <mergeCell ref="M991:N991"/>
    <mergeCell ref="M992:N992"/>
    <mergeCell ref="K976:K985"/>
    <mergeCell ref="M976:N976"/>
    <mergeCell ref="M977:N977"/>
    <mergeCell ref="M978:N978"/>
    <mergeCell ref="M979:N979"/>
    <mergeCell ref="M980:N980"/>
    <mergeCell ref="M981:N981"/>
    <mergeCell ref="M982:N982"/>
    <mergeCell ref="M983:N983"/>
  </mergeCells>
  <pageMargins left="0.7" right="0.7" top="0.75" bottom="0.75" header="0.3" footer="0.3"/>
  <pageSetup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>
    <tabColor rgb="FF00B0F0"/>
  </sheetPr>
  <dimension ref="A1:O2104"/>
  <sheetViews>
    <sheetView workbookViewId="0">
      <selection activeCell="I22" sqref="I22"/>
    </sheetView>
  </sheetViews>
  <sheetFormatPr baseColWidth="10" defaultRowHeight="15"/>
  <cols>
    <col min="1" max="1" width="4.42578125" style="316" customWidth="1"/>
    <col min="2" max="2" width="18.5703125" style="316" bestFit="1" customWidth="1"/>
    <col min="3" max="3" width="18.5703125" style="316" customWidth="1"/>
    <col min="4" max="4" width="19.140625" style="317" customWidth="1"/>
    <col min="5" max="5" width="20.42578125" style="317" bestFit="1" customWidth="1"/>
    <col min="6" max="6" width="20.42578125" style="317" customWidth="1"/>
    <col min="7" max="7" width="20.42578125" style="316" bestFit="1" customWidth="1"/>
    <col min="8" max="8" width="3.5703125" style="316" customWidth="1"/>
    <col min="9" max="10" width="18.5703125" style="316" customWidth="1"/>
    <col min="11" max="11" width="3.5703125" style="316" customWidth="1"/>
    <col min="12" max="12" width="15.140625" style="316" bestFit="1" customWidth="1"/>
    <col min="13" max="13" width="12.28515625" style="317" bestFit="1" customWidth="1"/>
    <col min="14" max="15" width="16.42578125" style="316" customWidth="1"/>
    <col min="16" max="16384" width="11.42578125" style="316"/>
  </cols>
  <sheetData>
    <row r="1" spans="1:15" ht="15.75" thickBot="1"/>
    <row r="2" spans="1:15" ht="15.75" thickBot="1">
      <c r="B2" s="785" t="s">
        <v>167</v>
      </c>
      <c r="C2" s="786"/>
      <c r="D2" s="786"/>
      <c r="E2" s="786"/>
      <c r="F2" s="786"/>
      <c r="G2" s="786"/>
      <c r="H2" s="786"/>
      <c r="I2" s="786"/>
      <c r="J2" s="786"/>
      <c r="K2" s="786"/>
      <c r="L2" s="786"/>
      <c r="M2" s="786"/>
      <c r="N2" s="786"/>
      <c r="O2" s="787"/>
    </row>
    <row r="3" spans="1:15" ht="15.75" thickBot="1">
      <c r="E3" s="318"/>
      <c r="F3" s="386"/>
    </row>
    <row r="4" spans="1:15" s="396" customFormat="1" ht="30.75" thickBot="1">
      <c r="A4" s="392"/>
      <c r="B4" s="360" t="s">
        <v>171</v>
      </c>
      <c r="C4" s="360" t="s">
        <v>172</v>
      </c>
      <c r="D4" s="360" t="s">
        <v>177</v>
      </c>
      <c r="E4" s="393" t="s">
        <v>242</v>
      </c>
      <c r="F4" s="360" t="s">
        <v>239</v>
      </c>
      <c r="G4" s="360" t="s">
        <v>168</v>
      </c>
      <c r="H4" s="394"/>
      <c r="I4" s="788" t="s">
        <v>245</v>
      </c>
      <c r="J4" s="789"/>
      <c r="K4" s="395"/>
      <c r="L4" s="790" t="s">
        <v>173</v>
      </c>
      <c r="M4" s="790"/>
      <c r="N4" s="790"/>
      <c r="O4" s="790"/>
    </row>
    <row r="5" spans="1:15">
      <c r="B5" s="319">
        <v>1</v>
      </c>
      <c r="C5" s="319">
        <v>5</v>
      </c>
      <c r="D5" s="324">
        <v>40182</v>
      </c>
      <c r="E5" s="324"/>
      <c r="F5" s="324">
        <v>40227</v>
      </c>
      <c r="G5" s="465">
        <f t="shared" ref="G5:G69" si="0">IF(OR(AND(D5="",E5=""),AND(D5="",F5="")),"",IF(AND(D5&lt;&gt;"",E5&lt;&gt;"",F5&lt;&gt;""),"REVISAR CÁLCULO",IF(AND(D5&lt;&gt;"",F5&lt;&gt;""),ROUND(((F5-D5)/30),3),IF(AND(D5&lt;&gt;"",E5&lt;&gt;""),ROUND(((E5-D5+1)/30),3),""))))</f>
        <v>1.5</v>
      </c>
      <c r="I5" s="402" t="s">
        <v>174</v>
      </c>
      <c r="J5" s="398">
        <v>4</v>
      </c>
      <c r="L5" s="381" t="s">
        <v>174</v>
      </c>
      <c r="M5" s="381" t="s">
        <v>175</v>
      </c>
      <c r="N5" s="791" t="s">
        <v>176</v>
      </c>
      <c r="O5" s="791"/>
    </row>
    <row r="6" spans="1:15">
      <c r="B6" s="319">
        <v>1</v>
      </c>
      <c r="C6" s="319">
        <v>5</v>
      </c>
      <c r="D6" s="320">
        <v>40227</v>
      </c>
      <c r="E6" s="320"/>
      <c r="F6" s="320">
        <v>40237</v>
      </c>
      <c r="G6" s="465">
        <f t="shared" si="0"/>
        <v>0.33300000000000002</v>
      </c>
      <c r="H6" s="326"/>
      <c r="I6" s="399" t="s">
        <v>175</v>
      </c>
      <c r="J6" s="400">
        <v>5</v>
      </c>
      <c r="K6" s="326"/>
      <c r="L6" s="792">
        <v>1</v>
      </c>
      <c r="M6" s="380">
        <v>1</v>
      </c>
      <c r="N6" s="781" t="str">
        <f>IF(SUMIFS($G$5:$G$1200,$B$5:$B$1200,$L$6,$C$5:$C$1200,$M6)=0,"CONTRATO SIN SUSPENSIÓN",ROUND(SUMIFS($G$5:$G$1200,$B$5:$B$1200,$L$6,$C$5:$C$1200,$M6),3))</f>
        <v>CONTRATO SIN SUSPENSIÓN</v>
      </c>
      <c r="O6" s="781"/>
    </row>
    <row r="7" spans="1:15" ht="15.75" thickBot="1">
      <c r="B7" s="319">
        <v>1</v>
      </c>
      <c r="C7" s="319">
        <v>5</v>
      </c>
      <c r="D7" s="320">
        <v>40273</v>
      </c>
      <c r="E7" s="320"/>
      <c r="F7" s="320">
        <v>40302</v>
      </c>
      <c r="G7" s="465">
        <f t="shared" si="0"/>
        <v>0.96699999999999997</v>
      </c>
      <c r="I7" s="389" t="s">
        <v>235</v>
      </c>
      <c r="J7" s="401">
        <f>IF(OR(J5="",J6=""),"-",IF(SUMIFS($G$5:$G$1200,$B$5:$B$1200,$J$5,$C$5:$C$1200,$J$6)=0,"CONTRATO SIN SUSPENSIÓN",ROUND(SUMIFS($G$5:$G$1200,$B$5:$B$1200,$J$5,$C$5:$C$1200,$J$6),3)))</f>
        <v>3.234</v>
      </c>
      <c r="L7" s="782"/>
      <c r="M7" s="380">
        <v>2</v>
      </c>
      <c r="N7" s="781" t="str">
        <f>IF(SUMIFS($G$5:$G$1200,$B$5:$B$1200,$L$6,$C$5:$C$1200,$M7)=0,"CONTRATO SIN SUSPENSIÓN",ROUND(SUMIFS($G$5:$G$1200,$B$5:$B$1200,$L$6,$C$5:$C$1200,$M7),3))</f>
        <v>CONTRATO SIN SUSPENSIÓN</v>
      </c>
      <c r="O7" s="781"/>
    </row>
    <row r="8" spans="1:15" ht="15.75" thickBot="1">
      <c r="B8" s="319">
        <v>1</v>
      </c>
      <c r="C8" s="319">
        <v>5</v>
      </c>
      <c r="D8" s="320">
        <v>40303</v>
      </c>
      <c r="E8" s="320"/>
      <c r="F8" s="320">
        <v>40317</v>
      </c>
      <c r="G8" s="465">
        <f t="shared" si="0"/>
        <v>0.46700000000000003</v>
      </c>
      <c r="L8" s="782"/>
      <c r="M8" s="380">
        <v>3</v>
      </c>
      <c r="N8" s="781" t="str">
        <f>IF(SUMIFS($G$5:$G$1200,$B$5:$B$1200,$L$6,$C$5:$C$1200,$M8)=0,"CONTRATO SIN SUSPENSIÓN",ROUND(SUMIFS($G$5:$G$1200,$B$5:$B$1200,$L$6,$C$5:$C$1200,$M8),3))</f>
        <v>CONTRATO SIN SUSPENSIÓN</v>
      </c>
      <c r="O8" s="781"/>
    </row>
    <row r="9" spans="1:15" ht="15.75" thickBot="1">
      <c r="B9" s="325">
        <v>2</v>
      </c>
      <c r="C9" s="325">
        <v>4</v>
      </c>
      <c r="D9" s="320">
        <v>42000</v>
      </c>
      <c r="E9" s="320"/>
      <c r="F9" s="320">
        <v>42017</v>
      </c>
      <c r="G9" s="465">
        <f t="shared" si="0"/>
        <v>0.56699999999999995</v>
      </c>
      <c r="I9" s="794" t="s">
        <v>241</v>
      </c>
      <c r="J9" s="795"/>
      <c r="L9" s="782"/>
      <c r="M9" s="380">
        <v>4</v>
      </c>
      <c r="N9" s="781" t="str">
        <f>IF(SUMIFS($G$5:$G$1200,$B$5:$B$1200,$L$6,$C$5:$C$1200,$M9)=0,"CONTRATO SIN SUSPENSIÓN",ROUND(SUMIFS($G$5:$G$1200,$B$5:$B$1200,$L$6,$C$5:$C$1200,$M9),3))</f>
        <v>CONTRATO SIN SUSPENSIÓN</v>
      </c>
      <c r="O9" s="781"/>
    </row>
    <row r="10" spans="1:15">
      <c r="B10" s="319">
        <v>3</v>
      </c>
      <c r="C10" s="319">
        <v>1</v>
      </c>
      <c r="D10" s="320">
        <v>38709</v>
      </c>
      <c r="E10" s="320"/>
      <c r="F10" s="320">
        <v>38719</v>
      </c>
      <c r="G10" s="465">
        <f t="shared" si="0"/>
        <v>0.33300000000000002</v>
      </c>
      <c r="I10" s="390" t="s">
        <v>236</v>
      </c>
      <c r="J10" s="391">
        <v>40032</v>
      </c>
      <c r="L10" s="782"/>
      <c r="M10" s="380">
        <v>5</v>
      </c>
      <c r="N10" s="781">
        <f>IF(SUMIFS($G$5:$G$1200,$B$5:$B$1200,$L$6,$C$5:$C$1200,$M10)=0,"CONTRATO SIN SUSPENSIÓN",ROUND(SUMIFS($G$5:$G$1200,$B$5:$B$1200,$L$6,$C$5:$C$1200,$M10),3))</f>
        <v>3.2669999999999999</v>
      </c>
      <c r="O10" s="781"/>
    </row>
    <row r="11" spans="1:15">
      <c r="B11" s="319">
        <v>3</v>
      </c>
      <c r="C11" s="319">
        <v>4</v>
      </c>
      <c r="D11" s="320">
        <v>42177</v>
      </c>
      <c r="E11" s="320"/>
      <c r="F11" s="320">
        <v>42184</v>
      </c>
      <c r="G11" s="465">
        <f t="shared" si="0"/>
        <v>0.23300000000000001</v>
      </c>
      <c r="I11" s="387" t="s">
        <v>237</v>
      </c>
      <c r="J11" s="388">
        <v>41223</v>
      </c>
      <c r="L11" s="782"/>
      <c r="M11" s="380">
        <v>6</v>
      </c>
      <c r="N11" s="781"/>
      <c r="O11" s="781"/>
    </row>
    <row r="12" spans="1:15">
      <c r="A12" s="323"/>
      <c r="B12" s="319">
        <v>3</v>
      </c>
      <c r="C12" s="319">
        <v>4</v>
      </c>
      <c r="D12" s="320">
        <v>42231</v>
      </c>
      <c r="E12" s="320"/>
      <c r="F12" s="320">
        <v>42246</v>
      </c>
      <c r="G12" s="465">
        <f t="shared" si="0"/>
        <v>0.5</v>
      </c>
      <c r="I12" s="387" t="s">
        <v>244</v>
      </c>
      <c r="J12" s="388">
        <v>41224</v>
      </c>
      <c r="L12" s="782"/>
      <c r="M12" s="380">
        <v>7</v>
      </c>
      <c r="N12" s="781"/>
      <c r="O12" s="781"/>
    </row>
    <row r="13" spans="1:15" ht="15.75" thickBot="1">
      <c r="A13" s="322"/>
      <c r="B13" s="319">
        <v>3</v>
      </c>
      <c r="C13" s="319">
        <v>5</v>
      </c>
      <c r="D13" s="320">
        <v>42898</v>
      </c>
      <c r="E13" s="320"/>
      <c r="F13" s="320">
        <v>42927</v>
      </c>
      <c r="G13" s="465">
        <f t="shared" si="0"/>
        <v>0.96699999999999997</v>
      </c>
      <c r="I13" s="389" t="s">
        <v>238</v>
      </c>
      <c r="J13" s="397">
        <f>IF(OR(J10="",J11=""),"-",IF(OR(J11=J12,J11&gt;J12,J12=""),"REVISAR FECHAS",((J11-J10)+1)/30))</f>
        <v>39.733333333333334</v>
      </c>
      <c r="L13" s="782"/>
      <c r="M13" s="380">
        <v>8</v>
      </c>
      <c r="N13" s="781"/>
      <c r="O13" s="781"/>
    </row>
    <row r="14" spans="1:15" ht="15.75" thickBot="1">
      <c r="B14" s="319">
        <v>3</v>
      </c>
      <c r="C14" s="319">
        <v>6</v>
      </c>
      <c r="D14" s="320">
        <v>43461</v>
      </c>
      <c r="E14" s="320"/>
      <c r="F14" s="320">
        <v>43472</v>
      </c>
      <c r="G14" s="465">
        <f t="shared" si="0"/>
        <v>0.36699999999999999</v>
      </c>
      <c r="L14" s="782"/>
      <c r="M14" s="380">
        <v>9</v>
      </c>
      <c r="N14" s="781"/>
      <c r="O14" s="781"/>
    </row>
    <row r="15" spans="1:15" ht="15.75" thickBot="1">
      <c r="B15" s="319">
        <v>3</v>
      </c>
      <c r="C15" s="319">
        <v>6</v>
      </c>
      <c r="D15" s="320">
        <v>43473</v>
      </c>
      <c r="E15" s="320"/>
      <c r="F15" s="320">
        <v>43485</v>
      </c>
      <c r="G15" s="465">
        <f t="shared" si="0"/>
        <v>0.4</v>
      </c>
      <c r="I15" s="794" t="s">
        <v>243</v>
      </c>
      <c r="J15" s="795"/>
      <c r="L15" s="782"/>
      <c r="M15" s="380">
        <v>10</v>
      </c>
      <c r="N15" s="781"/>
      <c r="O15" s="781"/>
    </row>
    <row r="16" spans="1:15">
      <c r="B16" s="319">
        <v>4</v>
      </c>
      <c r="C16" s="319">
        <v>2</v>
      </c>
      <c r="D16" s="320">
        <v>42471</v>
      </c>
      <c r="E16" s="320"/>
      <c r="F16" s="320">
        <v>42501</v>
      </c>
      <c r="G16" s="465">
        <f t="shared" si="0"/>
        <v>1</v>
      </c>
      <c r="I16" s="387" t="s">
        <v>236</v>
      </c>
      <c r="J16" s="388">
        <f>J10</f>
        <v>40032</v>
      </c>
      <c r="L16" s="782">
        <v>2</v>
      </c>
      <c r="M16" s="380">
        <v>1</v>
      </c>
      <c r="N16" s="781" t="str">
        <f t="shared" ref="N16:N25" si="1">IF(SUMIFS($G$5:$G$1200,$B$5:$B$1200,$L$16,$C$5:$C$1200,$M16)=0,"CONTRATO SIN SUSPENSIÓN",ROUND(SUMIFS($G$5:$G$1200,$B$5:$B$1200,$L$16,$C$5:$C$1200,$M16),3))</f>
        <v>CONTRATO SIN SUSPENSIÓN</v>
      </c>
      <c r="O16" s="781"/>
    </row>
    <row r="17" spans="2:15">
      <c r="B17" s="319">
        <v>4</v>
      </c>
      <c r="C17" s="319">
        <v>4</v>
      </c>
      <c r="D17" s="320">
        <v>42501</v>
      </c>
      <c r="E17" s="320"/>
      <c r="F17" s="320">
        <v>42528</v>
      </c>
      <c r="G17" s="465">
        <f t="shared" si="0"/>
        <v>0.9</v>
      </c>
      <c r="I17" s="387" t="s">
        <v>237</v>
      </c>
      <c r="J17" s="388">
        <f>J11</f>
        <v>41223</v>
      </c>
      <c r="L17" s="782"/>
      <c r="M17" s="380">
        <v>2</v>
      </c>
      <c r="N17" s="781" t="str">
        <f t="shared" si="1"/>
        <v>CONTRATO SIN SUSPENSIÓN</v>
      </c>
      <c r="O17" s="781"/>
    </row>
    <row r="18" spans="2:15">
      <c r="B18" s="319">
        <v>4</v>
      </c>
      <c r="C18" s="319">
        <v>5</v>
      </c>
      <c r="D18" s="320">
        <v>40028</v>
      </c>
      <c r="E18" s="320"/>
      <c r="F18" s="320">
        <v>40076</v>
      </c>
      <c r="G18" s="465">
        <f t="shared" si="0"/>
        <v>1.6</v>
      </c>
      <c r="I18" s="387" t="s">
        <v>244</v>
      </c>
      <c r="J18" s="388">
        <v>41223</v>
      </c>
      <c r="L18" s="782"/>
      <c r="M18" s="380">
        <v>3</v>
      </c>
      <c r="N18" s="781" t="str">
        <f t="shared" si="1"/>
        <v>CONTRATO SIN SUSPENSIÓN</v>
      </c>
      <c r="O18" s="781"/>
    </row>
    <row r="19" spans="2:15" ht="15.75" thickBot="1">
      <c r="B19" s="319">
        <v>4</v>
      </c>
      <c r="C19" s="319">
        <v>5</v>
      </c>
      <c r="D19" s="320">
        <v>40106</v>
      </c>
      <c r="E19" s="320"/>
      <c r="F19" s="320">
        <v>40126</v>
      </c>
      <c r="G19" s="465">
        <f t="shared" ref="G19:G20" si="2">IF(OR(AND(D19="",E19=""),AND(D19="",F19="")),"",IF(AND(D19&lt;&gt;"",E19&lt;&gt;"",F19&lt;&gt;""),"REVISAR CÁLCULO",IF(AND(D19&lt;&gt;"",F19&lt;&gt;""),ROUND(((F19-D19)/30),3),IF(AND(D19&lt;&gt;"",E19&lt;&gt;""),ROUND(((E19-D19+1)/30),3),""))))</f>
        <v>0.66700000000000004</v>
      </c>
      <c r="I19" s="389" t="s">
        <v>240</v>
      </c>
      <c r="J19" s="397">
        <f>IF(OR(J16="",J17=""),"-",IF(OR(J17&lt;&gt;J18,J18="",J18&lt;J17),"REVISAR FECHAS",((J17-J16))/30))</f>
        <v>39.700000000000003</v>
      </c>
      <c r="L19" s="782"/>
      <c r="M19" s="380">
        <v>4</v>
      </c>
      <c r="N19" s="781">
        <f t="shared" si="1"/>
        <v>0.56699999999999995</v>
      </c>
      <c r="O19" s="781"/>
    </row>
    <row r="20" spans="2:15">
      <c r="B20" s="319">
        <v>4</v>
      </c>
      <c r="C20" s="319">
        <v>5</v>
      </c>
      <c r="D20" s="320">
        <v>40148</v>
      </c>
      <c r="E20" s="320"/>
      <c r="F20" s="320">
        <v>40177</v>
      </c>
      <c r="G20" s="465">
        <f t="shared" si="2"/>
        <v>0.96699999999999997</v>
      </c>
      <c r="I20" s="793"/>
      <c r="J20" s="793"/>
      <c r="L20" s="782"/>
      <c r="M20" s="380">
        <v>5</v>
      </c>
      <c r="N20" s="781" t="str">
        <f t="shared" si="1"/>
        <v>CONTRATO SIN SUSPENSIÓN</v>
      </c>
      <c r="O20" s="781"/>
    </row>
    <row r="21" spans="2:15">
      <c r="B21" s="319"/>
      <c r="C21" s="319"/>
      <c r="D21" s="320"/>
      <c r="E21" s="320"/>
      <c r="F21" s="320"/>
      <c r="G21" s="465"/>
      <c r="I21" s="793"/>
      <c r="J21" s="793"/>
      <c r="L21" s="782"/>
      <c r="M21" s="380">
        <v>6</v>
      </c>
      <c r="N21" s="781" t="str">
        <f t="shared" si="1"/>
        <v>CONTRATO SIN SUSPENSIÓN</v>
      </c>
      <c r="O21" s="781"/>
    </row>
    <row r="22" spans="2:15">
      <c r="B22" s="319"/>
      <c r="C22" s="319"/>
      <c r="D22" s="320"/>
      <c r="E22" s="320"/>
      <c r="F22" s="320"/>
      <c r="G22" s="465"/>
      <c r="I22" s="622"/>
      <c r="L22" s="782"/>
      <c r="M22" s="380">
        <v>7</v>
      </c>
      <c r="N22" s="781" t="str">
        <f t="shared" si="1"/>
        <v>CONTRATO SIN SUSPENSIÓN</v>
      </c>
      <c r="O22" s="781"/>
    </row>
    <row r="23" spans="2:15">
      <c r="B23" s="319"/>
      <c r="C23" s="319"/>
      <c r="D23" s="320"/>
      <c r="E23" s="320"/>
      <c r="F23" s="320"/>
      <c r="G23" s="465"/>
      <c r="L23" s="782"/>
      <c r="M23" s="380">
        <v>8</v>
      </c>
      <c r="N23" s="781" t="str">
        <f t="shared" si="1"/>
        <v>CONTRATO SIN SUSPENSIÓN</v>
      </c>
      <c r="O23" s="781"/>
    </row>
    <row r="24" spans="2:15">
      <c r="B24" s="319"/>
      <c r="C24" s="319"/>
      <c r="D24" s="320"/>
      <c r="E24" s="320"/>
      <c r="F24" s="320"/>
      <c r="G24" s="465"/>
      <c r="L24" s="782"/>
      <c r="M24" s="380">
        <v>9</v>
      </c>
      <c r="N24" s="781" t="str">
        <f t="shared" si="1"/>
        <v>CONTRATO SIN SUSPENSIÓN</v>
      </c>
      <c r="O24" s="781"/>
    </row>
    <row r="25" spans="2:15">
      <c r="B25" s="319"/>
      <c r="C25" s="319"/>
      <c r="D25" s="320"/>
      <c r="E25" s="320"/>
      <c r="F25" s="320"/>
      <c r="G25" s="465"/>
      <c r="L25" s="782"/>
      <c r="M25" s="380">
        <v>10</v>
      </c>
      <c r="N25" s="781" t="str">
        <f t="shared" si="1"/>
        <v>CONTRATO SIN SUSPENSIÓN</v>
      </c>
      <c r="O25" s="781"/>
    </row>
    <row r="26" spans="2:15">
      <c r="B26" s="319"/>
      <c r="C26" s="319"/>
      <c r="D26" s="320"/>
      <c r="E26" s="320"/>
      <c r="F26" s="320"/>
      <c r="G26" s="465"/>
      <c r="L26" s="782">
        <v>3</v>
      </c>
      <c r="M26" s="380">
        <v>1</v>
      </c>
      <c r="N26" s="781">
        <f t="shared" ref="N26:N35" si="3">IF(SUMIFS($G$5:$G$1200,$B$5:$B$1200,$L$26,$C$5:$C$1200,$M26)=0,"CONTRATO SIN SUSPENSIÓN",ROUND(SUMIFS($G$5:$G$1200,$B$5:$B$1200,$L$26,$C$5:$C$1200,$M26),3))</f>
        <v>0.33300000000000002</v>
      </c>
      <c r="O26" s="781"/>
    </row>
    <row r="27" spans="2:15">
      <c r="B27" s="319"/>
      <c r="C27" s="319"/>
      <c r="D27" s="320"/>
      <c r="E27" s="320"/>
      <c r="F27" s="320"/>
      <c r="G27" s="465"/>
      <c r="L27" s="782"/>
      <c r="M27" s="380">
        <v>2</v>
      </c>
      <c r="N27" s="781" t="str">
        <f t="shared" si="3"/>
        <v>CONTRATO SIN SUSPENSIÓN</v>
      </c>
      <c r="O27" s="781"/>
    </row>
    <row r="28" spans="2:15">
      <c r="B28" s="319"/>
      <c r="C28" s="319"/>
      <c r="D28" s="320"/>
      <c r="E28" s="320"/>
      <c r="F28" s="320"/>
      <c r="G28" s="465"/>
      <c r="L28" s="782"/>
      <c r="M28" s="380">
        <v>3</v>
      </c>
      <c r="N28" s="781" t="str">
        <f t="shared" si="3"/>
        <v>CONTRATO SIN SUSPENSIÓN</v>
      </c>
      <c r="O28" s="781"/>
    </row>
    <row r="29" spans="2:15">
      <c r="B29" s="319"/>
      <c r="C29" s="319"/>
      <c r="D29" s="320"/>
      <c r="E29" s="320"/>
      <c r="F29" s="320"/>
      <c r="G29" s="465"/>
      <c r="L29" s="782"/>
      <c r="M29" s="380">
        <v>4</v>
      </c>
      <c r="N29" s="781">
        <f t="shared" si="3"/>
        <v>0.73299999999999998</v>
      </c>
      <c r="O29" s="781"/>
    </row>
    <row r="30" spans="2:15">
      <c r="B30" s="319"/>
      <c r="C30" s="319"/>
      <c r="D30" s="320"/>
      <c r="E30" s="320"/>
      <c r="F30" s="320"/>
      <c r="G30" s="465"/>
      <c r="L30" s="782"/>
      <c r="M30" s="380">
        <v>5</v>
      </c>
      <c r="N30" s="781">
        <f t="shared" si="3"/>
        <v>0.96699999999999997</v>
      </c>
      <c r="O30" s="781"/>
    </row>
    <row r="31" spans="2:15">
      <c r="B31" s="319"/>
      <c r="C31" s="319"/>
      <c r="D31" s="320"/>
      <c r="E31" s="320"/>
      <c r="F31" s="320"/>
      <c r="G31" s="465" t="str">
        <f t="shared" si="0"/>
        <v/>
      </c>
      <c r="L31" s="782"/>
      <c r="M31" s="380">
        <v>6</v>
      </c>
      <c r="N31" s="781">
        <f t="shared" si="3"/>
        <v>0.76700000000000002</v>
      </c>
      <c r="O31" s="781"/>
    </row>
    <row r="32" spans="2:15">
      <c r="B32" s="319"/>
      <c r="C32" s="319"/>
      <c r="D32" s="320"/>
      <c r="E32" s="320"/>
      <c r="F32" s="320"/>
      <c r="G32" s="465" t="str">
        <f t="shared" si="0"/>
        <v/>
      </c>
      <c r="L32" s="782"/>
      <c r="M32" s="380">
        <v>7</v>
      </c>
      <c r="N32" s="781" t="str">
        <f t="shared" si="3"/>
        <v>CONTRATO SIN SUSPENSIÓN</v>
      </c>
      <c r="O32" s="781"/>
    </row>
    <row r="33" spans="2:15">
      <c r="B33" s="319"/>
      <c r="C33" s="319"/>
      <c r="D33" s="320"/>
      <c r="E33" s="320"/>
      <c r="F33" s="320"/>
      <c r="G33" s="465" t="str">
        <f t="shared" si="0"/>
        <v/>
      </c>
      <c r="L33" s="782"/>
      <c r="M33" s="380">
        <v>8</v>
      </c>
      <c r="N33" s="781" t="str">
        <f t="shared" si="3"/>
        <v>CONTRATO SIN SUSPENSIÓN</v>
      </c>
      <c r="O33" s="781"/>
    </row>
    <row r="34" spans="2:15">
      <c r="B34" s="319"/>
      <c r="C34" s="319"/>
      <c r="D34" s="320"/>
      <c r="E34" s="320"/>
      <c r="F34" s="320"/>
      <c r="G34" s="465" t="str">
        <f t="shared" si="0"/>
        <v/>
      </c>
      <c r="L34" s="782"/>
      <c r="M34" s="380">
        <v>9</v>
      </c>
      <c r="N34" s="781" t="str">
        <f t="shared" si="3"/>
        <v>CONTRATO SIN SUSPENSIÓN</v>
      </c>
      <c r="O34" s="781"/>
    </row>
    <row r="35" spans="2:15">
      <c r="B35" s="319"/>
      <c r="C35" s="319"/>
      <c r="D35" s="320"/>
      <c r="E35" s="320"/>
      <c r="F35" s="320"/>
      <c r="G35" s="465" t="str">
        <f t="shared" si="0"/>
        <v/>
      </c>
      <c r="L35" s="782"/>
      <c r="M35" s="380">
        <v>10</v>
      </c>
      <c r="N35" s="781" t="str">
        <f t="shared" si="3"/>
        <v>CONTRATO SIN SUSPENSIÓN</v>
      </c>
      <c r="O35" s="781"/>
    </row>
    <row r="36" spans="2:15">
      <c r="B36" s="319"/>
      <c r="C36" s="319"/>
      <c r="D36" s="320"/>
      <c r="E36" s="320"/>
      <c r="F36" s="320"/>
      <c r="G36" s="465" t="str">
        <f t="shared" si="0"/>
        <v/>
      </c>
      <c r="L36" s="782">
        <v>4</v>
      </c>
      <c r="M36" s="380">
        <v>1</v>
      </c>
      <c r="N36" s="781" t="str">
        <f t="shared" ref="N36:N45" si="4">IF(SUMIFS($G$5:$G$1200,$B$5:$B$1200,$L$36,$C$5:$C$1200,$M36)=0,"CONTRATO SIN SUSPENSIÓN",ROUND(SUMIFS($G$5:$G$1200,$B$5:$B$1200,$L$36,$C$5:$C$1200,$M36),3))</f>
        <v>CONTRATO SIN SUSPENSIÓN</v>
      </c>
      <c r="O36" s="781"/>
    </row>
    <row r="37" spans="2:15">
      <c r="B37" s="319"/>
      <c r="C37" s="319"/>
      <c r="D37" s="320"/>
      <c r="E37" s="320"/>
      <c r="F37" s="320"/>
      <c r="G37" s="465" t="str">
        <f t="shared" si="0"/>
        <v/>
      </c>
      <c r="L37" s="782"/>
      <c r="M37" s="380">
        <v>2</v>
      </c>
      <c r="N37" s="781">
        <f t="shared" si="4"/>
        <v>1</v>
      </c>
      <c r="O37" s="781"/>
    </row>
    <row r="38" spans="2:15">
      <c r="B38" s="319"/>
      <c r="C38" s="319"/>
      <c r="D38" s="320"/>
      <c r="E38" s="320"/>
      <c r="F38" s="320"/>
      <c r="G38" s="465" t="str">
        <f t="shared" si="0"/>
        <v/>
      </c>
      <c r="L38" s="782"/>
      <c r="M38" s="380">
        <v>3</v>
      </c>
      <c r="N38" s="781" t="str">
        <f t="shared" si="4"/>
        <v>CONTRATO SIN SUSPENSIÓN</v>
      </c>
      <c r="O38" s="781"/>
    </row>
    <row r="39" spans="2:15">
      <c r="B39" s="319"/>
      <c r="C39" s="319"/>
      <c r="D39" s="320"/>
      <c r="E39" s="320"/>
      <c r="F39" s="320"/>
      <c r="G39" s="465" t="str">
        <f t="shared" si="0"/>
        <v/>
      </c>
      <c r="L39" s="782"/>
      <c r="M39" s="380">
        <v>4</v>
      </c>
      <c r="N39" s="781">
        <f t="shared" si="4"/>
        <v>0.9</v>
      </c>
      <c r="O39" s="781"/>
    </row>
    <row r="40" spans="2:15">
      <c r="B40" s="319"/>
      <c r="C40" s="319"/>
      <c r="D40" s="320"/>
      <c r="E40" s="320"/>
      <c r="F40" s="320"/>
      <c r="G40" s="465" t="str">
        <f t="shared" si="0"/>
        <v/>
      </c>
      <c r="L40" s="782"/>
      <c r="M40" s="380">
        <v>5</v>
      </c>
      <c r="N40" s="781">
        <f t="shared" si="4"/>
        <v>3.234</v>
      </c>
      <c r="O40" s="781"/>
    </row>
    <row r="41" spans="2:15">
      <c r="B41" s="319"/>
      <c r="C41" s="319"/>
      <c r="D41" s="320"/>
      <c r="E41" s="320"/>
      <c r="F41" s="320"/>
      <c r="G41" s="465" t="str">
        <f t="shared" si="0"/>
        <v/>
      </c>
      <c r="L41" s="782"/>
      <c r="M41" s="380">
        <v>6</v>
      </c>
      <c r="N41" s="781" t="str">
        <f t="shared" si="4"/>
        <v>CONTRATO SIN SUSPENSIÓN</v>
      </c>
      <c r="O41" s="781"/>
    </row>
    <row r="42" spans="2:15">
      <c r="B42" s="319"/>
      <c r="C42" s="319"/>
      <c r="D42" s="320"/>
      <c r="E42" s="320"/>
      <c r="F42" s="320"/>
      <c r="G42" s="465" t="str">
        <f t="shared" si="0"/>
        <v/>
      </c>
      <c r="L42" s="782"/>
      <c r="M42" s="380">
        <v>7</v>
      </c>
      <c r="N42" s="781" t="str">
        <f t="shared" si="4"/>
        <v>CONTRATO SIN SUSPENSIÓN</v>
      </c>
      <c r="O42" s="781"/>
    </row>
    <row r="43" spans="2:15">
      <c r="B43" s="319"/>
      <c r="C43" s="319"/>
      <c r="D43" s="320"/>
      <c r="E43" s="320"/>
      <c r="F43" s="320"/>
      <c r="G43" s="465" t="str">
        <f t="shared" si="0"/>
        <v/>
      </c>
      <c r="L43" s="782"/>
      <c r="M43" s="380">
        <v>8</v>
      </c>
      <c r="N43" s="781" t="str">
        <f t="shared" si="4"/>
        <v>CONTRATO SIN SUSPENSIÓN</v>
      </c>
      <c r="O43" s="781"/>
    </row>
    <row r="44" spans="2:15">
      <c r="B44" s="319"/>
      <c r="C44" s="319"/>
      <c r="D44" s="320"/>
      <c r="E44" s="320"/>
      <c r="F44" s="320"/>
      <c r="G44" s="465" t="str">
        <f t="shared" si="0"/>
        <v/>
      </c>
      <c r="L44" s="782"/>
      <c r="M44" s="380">
        <v>9</v>
      </c>
      <c r="N44" s="781" t="str">
        <f t="shared" si="4"/>
        <v>CONTRATO SIN SUSPENSIÓN</v>
      </c>
      <c r="O44" s="781"/>
    </row>
    <row r="45" spans="2:15">
      <c r="B45" s="319"/>
      <c r="C45" s="319"/>
      <c r="D45" s="320"/>
      <c r="E45" s="320"/>
      <c r="F45" s="320"/>
      <c r="G45" s="465" t="str">
        <f t="shared" si="0"/>
        <v/>
      </c>
      <c r="L45" s="782"/>
      <c r="M45" s="380">
        <v>10</v>
      </c>
      <c r="N45" s="781" t="str">
        <f t="shared" si="4"/>
        <v>CONTRATO SIN SUSPENSIÓN</v>
      </c>
      <c r="O45" s="781"/>
    </row>
    <row r="46" spans="2:15">
      <c r="B46" s="319"/>
      <c r="C46" s="319"/>
      <c r="D46" s="320"/>
      <c r="E46" s="320"/>
      <c r="F46" s="320"/>
      <c r="G46" s="465" t="str">
        <f t="shared" si="0"/>
        <v/>
      </c>
      <c r="L46" s="782">
        <v>5</v>
      </c>
      <c r="M46" s="380">
        <v>1</v>
      </c>
      <c r="N46" s="781" t="str">
        <f t="shared" ref="N46:N55" si="5">IF(SUMIFS($G$5:$G$1200,$B$5:$B$1200,$L$46,$C$5:$C$1200,$M46)=0,"CONTRATO SIN SUSPENSIÓN",ROUND(SUMIFS($G$5:$G$1200,$B$5:$B$1200,$L$46,$C$5:$C$1200,$M46),3))</f>
        <v>CONTRATO SIN SUSPENSIÓN</v>
      </c>
      <c r="O46" s="781"/>
    </row>
    <row r="47" spans="2:15">
      <c r="B47" s="319"/>
      <c r="C47" s="319"/>
      <c r="D47" s="320"/>
      <c r="E47" s="320"/>
      <c r="F47" s="320"/>
      <c r="G47" s="465" t="str">
        <f t="shared" si="0"/>
        <v/>
      </c>
      <c r="L47" s="782"/>
      <c r="M47" s="380">
        <v>2</v>
      </c>
      <c r="N47" s="781" t="str">
        <f t="shared" si="5"/>
        <v>CONTRATO SIN SUSPENSIÓN</v>
      </c>
      <c r="O47" s="781"/>
    </row>
    <row r="48" spans="2:15">
      <c r="B48" s="319"/>
      <c r="C48" s="319"/>
      <c r="D48" s="320"/>
      <c r="E48" s="320"/>
      <c r="F48" s="320"/>
      <c r="G48" s="465" t="str">
        <f t="shared" si="0"/>
        <v/>
      </c>
      <c r="L48" s="782"/>
      <c r="M48" s="380">
        <v>3</v>
      </c>
      <c r="N48" s="781" t="str">
        <f t="shared" si="5"/>
        <v>CONTRATO SIN SUSPENSIÓN</v>
      </c>
      <c r="O48" s="781"/>
    </row>
    <row r="49" spans="2:15">
      <c r="B49" s="319"/>
      <c r="C49" s="319"/>
      <c r="D49" s="320"/>
      <c r="E49" s="320"/>
      <c r="F49" s="320"/>
      <c r="G49" s="465" t="str">
        <f t="shared" si="0"/>
        <v/>
      </c>
      <c r="L49" s="782"/>
      <c r="M49" s="380">
        <v>4</v>
      </c>
      <c r="N49" s="781" t="str">
        <f t="shared" si="5"/>
        <v>CONTRATO SIN SUSPENSIÓN</v>
      </c>
      <c r="O49" s="781"/>
    </row>
    <row r="50" spans="2:15">
      <c r="B50" s="319"/>
      <c r="C50" s="319"/>
      <c r="D50" s="320"/>
      <c r="E50" s="320"/>
      <c r="F50" s="320"/>
      <c r="G50" s="465" t="str">
        <f t="shared" si="0"/>
        <v/>
      </c>
      <c r="L50" s="782"/>
      <c r="M50" s="380">
        <v>5</v>
      </c>
      <c r="N50" s="781" t="str">
        <f t="shared" si="5"/>
        <v>CONTRATO SIN SUSPENSIÓN</v>
      </c>
      <c r="O50" s="781"/>
    </row>
    <row r="51" spans="2:15">
      <c r="B51" s="319"/>
      <c r="C51" s="319"/>
      <c r="D51" s="320"/>
      <c r="E51" s="320"/>
      <c r="F51" s="320"/>
      <c r="G51" s="465" t="str">
        <f t="shared" si="0"/>
        <v/>
      </c>
      <c r="L51" s="782"/>
      <c r="M51" s="380">
        <v>6</v>
      </c>
      <c r="N51" s="781" t="str">
        <f t="shared" si="5"/>
        <v>CONTRATO SIN SUSPENSIÓN</v>
      </c>
      <c r="O51" s="781"/>
    </row>
    <row r="52" spans="2:15">
      <c r="B52" s="319"/>
      <c r="C52" s="319"/>
      <c r="D52" s="320"/>
      <c r="E52" s="320"/>
      <c r="F52" s="320"/>
      <c r="G52" s="465" t="str">
        <f t="shared" si="0"/>
        <v/>
      </c>
      <c r="L52" s="782"/>
      <c r="M52" s="380">
        <v>7</v>
      </c>
      <c r="N52" s="781" t="str">
        <f t="shared" si="5"/>
        <v>CONTRATO SIN SUSPENSIÓN</v>
      </c>
      <c r="O52" s="781"/>
    </row>
    <row r="53" spans="2:15">
      <c r="B53" s="319"/>
      <c r="C53" s="319"/>
      <c r="D53" s="320"/>
      <c r="E53" s="320"/>
      <c r="F53" s="320"/>
      <c r="G53" s="465" t="str">
        <f t="shared" si="0"/>
        <v/>
      </c>
      <c r="L53" s="782"/>
      <c r="M53" s="380">
        <v>8</v>
      </c>
      <c r="N53" s="781" t="str">
        <f t="shared" si="5"/>
        <v>CONTRATO SIN SUSPENSIÓN</v>
      </c>
      <c r="O53" s="781"/>
    </row>
    <row r="54" spans="2:15">
      <c r="B54" s="319"/>
      <c r="C54" s="319"/>
      <c r="D54" s="320"/>
      <c r="E54" s="320"/>
      <c r="F54" s="320"/>
      <c r="G54" s="465" t="str">
        <f t="shared" si="0"/>
        <v/>
      </c>
      <c r="L54" s="782"/>
      <c r="M54" s="380">
        <v>9</v>
      </c>
      <c r="N54" s="781" t="str">
        <f t="shared" si="5"/>
        <v>CONTRATO SIN SUSPENSIÓN</v>
      </c>
      <c r="O54" s="781"/>
    </row>
    <row r="55" spans="2:15">
      <c r="B55" s="319"/>
      <c r="C55" s="319"/>
      <c r="D55" s="320"/>
      <c r="E55" s="320"/>
      <c r="F55" s="320"/>
      <c r="G55" s="465" t="str">
        <f t="shared" si="0"/>
        <v/>
      </c>
      <c r="L55" s="782"/>
      <c r="M55" s="380">
        <v>10</v>
      </c>
      <c r="N55" s="781" t="str">
        <f t="shared" si="5"/>
        <v>CONTRATO SIN SUSPENSIÓN</v>
      </c>
      <c r="O55" s="781"/>
    </row>
    <row r="56" spans="2:15">
      <c r="B56" s="319"/>
      <c r="C56" s="319"/>
      <c r="D56" s="320"/>
      <c r="E56" s="320"/>
      <c r="F56" s="320"/>
      <c r="G56" s="465" t="str">
        <f t="shared" si="0"/>
        <v/>
      </c>
      <c r="L56" s="782">
        <v>6</v>
      </c>
      <c r="M56" s="380">
        <v>1</v>
      </c>
      <c r="N56" s="781" t="str">
        <f t="shared" ref="N56:N65" si="6">IF(SUMIFS($G$5:$G$1200,$B$5:$B$1200,$L$56,$C$5:$C$1200,$M56)=0,"CONTRATO SIN SUSPENSIÓN",ROUND(SUMIFS($G$5:$G$1200,$B$5:$B$1200,$L$56,$C$5:$C$1200,$M56),3))</f>
        <v>CONTRATO SIN SUSPENSIÓN</v>
      </c>
      <c r="O56" s="781"/>
    </row>
    <row r="57" spans="2:15">
      <c r="B57" s="319"/>
      <c r="C57" s="319"/>
      <c r="D57" s="320"/>
      <c r="E57" s="320"/>
      <c r="F57" s="320"/>
      <c r="G57" s="465" t="str">
        <f t="shared" si="0"/>
        <v/>
      </c>
      <c r="L57" s="782"/>
      <c r="M57" s="380">
        <v>2</v>
      </c>
      <c r="N57" s="781" t="str">
        <f t="shared" si="6"/>
        <v>CONTRATO SIN SUSPENSIÓN</v>
      </c>
      <c r="O57" s="781"/>
    </row>
    <row r="58" spans="2:15">
      <c r="B58" s="319"/>
      <c r="C58" s="319"/>
      <c r="D58" s="320"/>
      <c r="E58" s="320"/>
      <c r="F58" s="320"/>
      <c r="G58" s="465" t="str">
        <f t="shared" si="0"/>
        <v/>
      </c>
      <c r="L58" s="782"/>
      <c r="M58" s="380">
        <v>3</v>
      </c>
      <c r="N58" s="781" t="str">
        <f t="shared" si="6"/>
        <v>CONTRATO SIN SUSPENSIÓN</v>
      </c>
      <c r="O58" s="781"/>
    </row>
    <row r="59" spans="2:15">
      <c r="B59" s="319"/>
      <c r="C59" s="319"/>
      <c r="D59" s="320"/>
      <c r="E59" s="320"/>
      <c r="F59" s="320"/>
      <c r="G59" s="465" t="str">
        <f t="shared" si="0"/>
        <v/>
      </c>
      <c r="L59" s="782"/>
      <c r="M59" s="380">
        <v>4</v>
      </c>
      <c r="N59" s="781" t="str">
        <f t="shared" si="6"/>
        <v>CONTRATO SIN SUSPENSIÓN</v>
      </c>
      <c r="O59" s="781"/>
    </row>
    <row r="60" spans="2:15">
      <c r="B60" s="319"/>
      <c r="C60" s="319"/>
      <c r="D60" s="320"/>
      <c r="E60" s="320"/>
      <c r="F60" s="320"/>
      <c r="G60" s="465" t="str">
        <f t="shared" si="0"/>
        <v/>
      </c>
      <c r="L60" s="782"/>
      <c r="M60" s="380">
        <v>5</v>
      </c>
      <c r="N60" s="781" t="str">
        <f t="shared" si="6"/>
        <v>CONTRATO SIN SUSPENSIÓN</v>
      </c>
      <c r="O60" s="781"/>
    </row>
    <row r="61" spans="2:15">
      <c r="B61" s="319"/>
      <c r="C61" s="319"/>
      <c r="D61" s="320"/>
      <c r="E61" s="320"/>
      <c r="F61" s="320"/>
      <c r="G61" s="465" t="str">
        <f t="shared" si="0"/>
        <v/>
      </c>
      <c r="L61" s="782"/>
      <c r="M61" s="380">
        <v>6</v>
      </c>
      <c r="N61" s="781" t="str">
        <f t="shared" si="6"/>
        <v>CONTRATO SIN SUSPENSIÓN</v>
      </c>
      <c r="O61" s="781"/>
    </row>
    <row r="62" spans="2:15">
      <c r="B62" s="319"/>
      <c r="C62" s="319"/>
      <c r="D62" s="320"/>
      <c r="E62" s="320"/>
      <c r="F62" s="320"/>
      <c r="G62" s="465" t="str">
        <f t="shared" si="0"/>
        <v/>
      </c>
      <c r="L62" s="782"/>
      <c r="M62" s="380">
        <v>7</v>
      </c>
      <c r="N62" s="781" t="str">
        <f t="shared" si="6"/>
        <v>CONTRATO SIN SUSPENSIÓN</v>
      </c>
      <c r="O62" s="781"/>
    </row>
    <row r="63" spans="2:15">
      <c r="B63" s="319"/>
      <c r="C63" s="319"/>
      <c r="D63" s="320"/>
      <c r="E63" s="320"/>
      <c r="F63" s="320"/>
      <c r="G63" s="465" t="str">
        <f t="shared" si="0"/>
        <v/>
      </c>
      <c r="L63" s="782"/>
      <c r="M63" s="380">
        <v>8</v>
      </c>
      <c r="N63" s="781" t="str">
        <f t="shared" si="6"/>
        <v>CONTRATO SIN SUSPENSIÓN</v>
      </c>
      <c r="O63" s="781"/>
    </row>
    <row r="64" spans="2:15">
      <c r="B64" s="319"/>
      <c r="C64" s="319"/>
      <c r="D64" s="320"/>
      <c r="E64" s="320"/>
      <c r="F64" s="320"/>
      <c r="G64" s="465" t="str">
        <f t="shared" si="0"/>
        <v/>
      </c>
      <c r="L64" s="782"/>
      <c r="M64" s="380">
        <v>9</v>
      </c>
      <c r="N64" s="781" t="str">
        <f t="shared" si="6"/>
        <v>CONTRATO SIN SUSPENSIÓN</v>
      </c>
      <c r="O64" s="781"/>
    </row>
    <row r="65" spans="2:15">
      <c r="B65" s="319"/>
      <c r="C65" s="319"/>
      <c r="D65" s="320"/>
      <c r="E65" s="320"/>
      <c r="F65" s="320"/>
      <c r="G65" s="465" t="str">
        <f t="shared" si="0"/>
        <v/>
      </c>
      <c r="L65" s="782"/>
      <c r="M65" s="380">
        <v>10</v>
      </c>
      <c r="N65" s="781" t="str">
        <f t="shared" si="6"/>
        <v>CONTRATO SIN SUSPENSIÓN</v>
      </c>
      <c r="O65" s="781"/>
    </row>
    <row r="66" spans="2:15">
      <c r="B66" s="319"/>
      <c r="C66" s="319"/>
      <c r="D66" s="320"/>
      <c r="E66" s="320"/>
      <c r="F66" s="320"/>
      <c r="G66" s="465" t="str">
        <f t="shared" si="0"/>
        <v/>
      </c>
      <c r="L66" s="782">
        <v>7</v>
      </c>
      <c r="M66" s="380">
        <v>1</v>
      </c>
      <c r="N66" s="781" t="str">
        <f t="shared" ref="N66:N75" si="7">IF(SUMIFS($G$5:$G$1200,$B$5:$B$1200,$L$66,$C$5:$C$1200,$M66)=0,"CONTRATO SIN SUSPENSIÓN",ROUND(SUMIFS($G$5:$G$1200,$B$5:$B$1200,$L$66,$C$5:$C$1200,$M66),3))</f>
        <v>CONTRATO SIN SUSPENSIÓN</v>
      </c>
      <c r="O66" s="781"/>
    </row>
    <row r="67" spans="2:15">
      <c r="B67" s="319"/>
      <c r="C67" s="319"/>
      <c r="D67" s="320"/>
      <c r="E67" s="320"/>
      <c r="F67" s="320"/>
      <c r="G67" s="465" t="str">
        <f t="shared" si="0"/>
        <v/>
      </c>
      <c r="L67" s="782"/>
      <c r="M67" s="380">
        <v>2</v>
      </c>
      <c r="N67" s="781" t="str">
        <f t="shared" si="7"/>
        <v>CONTRATO SIN SUSPENSIÓN</v>
      </c>
      <c r="O67" s="781"/>
    </row>
    <row r="68" spans="2:15">
      <c r="B68" s="319"/>
      <c r="C68" s="319"/>
      <c r="D68" s="320"/>
      <c r="E68" s="320"/>
      <c r="F68" s="320"/>
      <c r="G68" s="465" t="str">
        <f t="shared" si="0"/>
        <v/>
      </c>
      <c r="L68" s="782"/>
      <c r="M68" s="380">
        <v>3</v>
      </c>
      <c r="N68" s="781" t="str">
        <f t="shared" si="7"/>
        <v>CONTRATO SIN SUSPENSIÓN</v>
      </c>
      <c r="O68" s="781"/>
    </row>
    <row r="69" spans="2:15">
      <c r="B69" s="319"/>
      <c r="C69" s="319"/>
      <c r="D69" s="320"/>
      <c r="E69" s="320"/>
      <c r="F69" s="320"/>
      <c r="G69" s="465" t="str">
        <f t="shared" si="0"/>
        <v/>
      </c>
      <c r="L69" s="782"/>
      <c r="M69" s="380">
        <v>4</v>
      </c>
      <c r="N69" s="781" t="str">
        <f t="shared" si="7"/>
        <v>CONTRATO SIN SUSPENSIÓN</v>
      </c>
      <c r="O69" s="781"/>
    </row>
    <row r="70" spans="2:15">
      <c r="B70" s="319"/>
      <c r="C70" s="319"/>
      <c r="D70" s="320"/>
      <c r="E70" s="320"/>
      <c r="F70" s="320"/>
      <c r="G70" s="465" t="str">
        <f t="shared" ref="G70:G133" si="8">IF(OR(AND(D70="",E70=""),AND(D70="",F70="")),"",IF(AND(D70&lt;&gt;"",E70&lt;&gt;"",F70&lt;&gt;""),"REVISAR CÁLCULO",IF(AND(D70&lt;&gt;"",F70&lt;&gt;""),ROUND(((F70-D70)/30),3),IF(AND(D70&lt;&gt;"",E70&lt;&gt;""),ROUND(((E70-D70+1)/30),3),""))))</f>
        <v/>
      </c>
      <c r="L70" s="782"/>
      <c r="M70" s="380">
        <v>5</v>
      </c>
      <c r="N70" s="781" t="str">
        <f t="shared" si="7"/>
        <v>CONTRATO SIN SUSPENSIÓN</v>
      </c>
      <c r="O70" s="781"/>
    </row>
    <row r="71" spans="2:15">
      <c r="B71" s="319"/>
      <c r="C71" s="319"/>
      <c r="D71" s="320"/>
      <c r="E71" s="320"/>
      <c r="F71" s="320"/>
      <c r="G71" s="465" t="str">
        <f t="shared" si="8"/>
        <v/>
      </c>
      <c r="L71" s="782"/>
      <c r="M71" s="380">
        <v>6</v>
      </c>
      <c r="N71" s="781" t="str">
        <f t="shared" si="7"/>
        <v>CONTRATO SIN SUSPENSIÓN</v>
      </c>
      <c r="O71" s="781"/>
    </row>
    <row r="72" spans="2:15">
      <c r="B72" s="319"/>
      <c r="C72" s="319"/>
      <c r="D72" s="320"/>
      <c r="E72" s="320"/>
      <c r="F72" s="320"/>
      <c r="G72" s="465" t="str">
        <f t="shared" si="8"/>
        <v/>
      </c>
      <c r="L72" s="782"/>
      <c r="M72" s="380">
        <v>7</v>
      </c>
      <c r="N72" s="781" t="str">
        <f t="shared" si="7"/>
        <v>CONTRATO SIN SUSPENSIÓN</v>
      </c>
      <c r="O72" s="781"/>
    </row>
    <row r="73" spans="2:15">
      <c r="B73" s="319"/>
      <c r="C73" s="319"/>
      <c r="D73" s="320"/>
      <c r="E73" s="320"/>
      <c r="F73" s="320"/>
      <c r="G73" s="465" t="str">
        <f t="shared" si="8"/>
        <v/>
      </c>
      <c r="L73" s="782"/>
      <c r="M73" s="380">
        <v>8</v>
      </c>
      <c r="N73" s="781" t="str">
        <f t="shared" si="7"/>
        <v>CONTRATO SIN SUSPENSIÓN</v>
      </c>
      <c r="O73" s="781"/>
    </row>
    <row r="74" spans="2:15">
      <c r="B74" s="319"/>
      <c r="C74" s="319"/>
      <c r="D74" s="320"/>
      <c r="E74" s="320"/>
      <c r="F74" s="320"/>
      <c r="G74" s="465" t="str">
        <f t="shared" si="8"/>
        <v/>
      </c>
      <c r="L74" s="782"/>
      <c r="M74" s="380">
        <v>9</v>
      </c>
      <c r="N74" s="781" t="str">
        <f t="shared" si="7"/>
        <v>CONTRATO SIN SUSPENSIÓN</v>
      </c>
      <c r="O74" s="781"/>
    </row>
    <row r="75" spans="2:15">
      <c r="B75" s="319"/>
      <c r="C75" s="319"/>
      <c r="D75" s="320"/>
      <c r="E75" s="320"/>
      <c r="F75" s="320"/>
      <c r="G75" s="465" t="str">
        <f t="shared" si="8"/>
        <v/>
      </c>
      <c r="L75" s="782"/>
      <c r="M75" s="380">
        <v>10</v>
      </c>
      <c r="N75" s="781" t="str">
        <f t="shared" si="7"/>
        <v>CONTRATO SIN SUSPENSIÓN</v>
      </c>
      <c r="O75" s="781"/>
    </row>
    <row r="76" spans="2:15">
      <c r="B76" s="319"/>
      <c r="C76" s="319"/>
      <c r="D76" s="320"/>
      <c r="E76" s="320"/>
      <c r="F76" s="320"/>
      <c r="G76" s="465" t="str">
        <f t="shared" si="8"/>
        <v/>
      </c>
      <c r="L76" s="782">
        <v>8</v>
      </c>
      <c r="M76" s="380">
        <v>1</v>
      </c>
      <c r="N76" s="781" t="str">
        <f t="shared" ref="N76:N85" si="9">IF(SUMIFS($G$5:$G$1200,$B$5:$B$1200,$L$76,$C$5:$C$1200,$M76)=0,"CONTRATO SIN SUSPENSIÓN",ROUND(SUMIFS($G$5:$G$1200,$B$5:$B$1200,$L$76,$C$5:$C$1200,$M76),3))</f>
        <v>CONTRATO SIN SUSPENSIÓN</v>
      </c>
      <c r="O76" s="781"/>
    </row>
    <row r="77" spans="2:15">
      <c r="B77" s="319"/>
      <c r="C77" s="319"/>
      <c r="D77" s="320"/>
      <c r="E77" s="320"/>
      <c r="F77" s="320"/>
      <c r="G77" s="465" t="str">
        <f t="shared" si="8"/>
        <v/>
      </c>
      <c r="L77" s="782"/>
      <c r="M77" s="380">
        <v>2</v>
      </c>
      <c r="N77" s="781" t="str">
        <f t="shared" si="9"/>
        <v>CONTRATO SIN SUSPENSIÓN</v>
      </c>
      <c r="O77" s="781"/>
    </row>
    <row r="78" spans="2:15">
      <c r="B78" s="319"/>
      <c r="C78" s="319"/>
      <c r="D78" s="320"/>
      <c r="E78" s="320"/>
      <c r="F78" s="320"/>
      <c r="G78" s="465" t="str">
        <f t="shared" si="8"/>
        <v/>
      </c>
      <c r="L78" s="782"/>
      <c r="M78" s="380">
        <v>3</v>
      </c>
      <c r="N78" s="781" t="str">
        <f t="shared" si="9"/>
        <v>CONTRATO SIN SUSPENSIÓN</v>
      </c>
      <c r="O78" s="781"/>
    </row>
    <row r="79" spans="2:15">
      <c r="B79" s="319"/>
      <c r="C79" s="319"/>
      <c r="D79" s="320"/>
      <c r="E79" s="320"/>
      <c r="F79" s="320"/>
      <c r="G79" s="465" t="str">
        <f t="shared" si="8"/>
        <v/>
      </c>
      <c r="L79" s="782"/>
      <c r="M79" s="380">
        <v>4</v>
      </c>
      <c r="N79" s="781" t="str">
        <f t="shared" si="9"/>
        <v>CONTRATO SIN SUSPENSIÓN</v>
      </c>
      <c r="O79" s="781"/>
    </row>
    <row r="80" spans="2:15">
      <c r="B80" s="319"/>
      <c r="C80" s="319"/>
      <c r="D80" s="320"/>
      <c r="E80" s="320"/>
      <c r="F80" s="320"/>
      <c r="G80" s="465" t="str">
        <f t="shared" si="8"/>
        <v/>
      </c>
      <c r="L80" s="782"/>
      <c r="M80" s="380">
        <v>5</v>
      </c>
      <c r="N80" s="781" t="str">
        <f t="shared" si="9"/>
        <v>CONTRATO SIN SUSPENSIÓN</v>
      </c>
      <c r="O80" s="781"/>
    </row>
    <row r="81" spans="2:15">
      <c r="B81" s="319"/>
      <c r="C81" s="319"/>
      <c r="D81" s="320"/>
      <c r="E81" s="320"/>
      <c r="F81" s="320"/>
      <c r="G81" s="465" t="str">
        <f t="shared" si="8"/>
        <v/>
      </c>
      <c r="L81" s="782"/>
      <c r="M81" s="380">
        <v>6</v>
      </c>
      <c r="N81" s="781" t="str">
        <f t="shared" si="9"/>
        <v>CONTRATO SIN SUSPENSIÓN</v>
      </c>
      <c r="O81" s="781"/>
    </row>
    <row r="82" spans="2:15">
      <c r="B82" s="319"/>
      <c r="C82" s="319"/>
      <c r="D82" s="320"/>
      <c r="E82" s="320"/>
      <c r="F82" s="320"/>
      <c r="G82" s="465" t="str">
        <f t="shared" si="8"/>
        <v/>
      </c>
      <c r="L82" s="782"/>
      <c r="M82" s="380">
        <v>7</v>
      </c>
      <c r="N82" s="781" t="str">
        <f t="shared" si="9"/>
        <v>CONTRATO SIN SUSPENSIÓN</v>
      </c>
      <c r="O82" s="781"/>
    </row>
    <row r="83" spans="2:15">
      <c r="B83" s="319"/>
      <c r="C83" s="319"/>
      <c r="D83" s="320"/>
      <c r="E83" s="320"/>
      <c r="F83" s="320"/>
      <c r="G83" s="465" t="str">
        <f t="shared" si="8"/>
        <v/>
      </c>
      <c r="L83" s="782"/>
      <c r="M83" s="380">
        <v>8</v>
      </c>
      <c r="N83" s="781" t="str">
        <f t="shared" si="9"/>
        <v>CONTRATO SIN SUSPENSIÓN</v>
      </c>
      <c r="O83" s="781"/>
    </row>
    <row r="84" spans="2:15">
      <c r="B84" s="319"/>
      <c r="C84" s="319"/>
      <c r="D84" s="320"/>
      <c r="E84" s="320"/>
      <c r="F84" s="320"/>
      <c r="G84" s="465" t="str">
        <f t="shared" si="8"/>
        <v/>
      </c>
      <c r="L84" s="782"/>
      <c r="M84" s="380">
        <v>9</v>
      </c>
      <c r="N84" s="781" t="str">
        <f t="shared" si="9"/>
        <v>CONTRATO SIN SUSPENSIÓN</v>
      </c>
      <c r="O84" s="781"/>
    </row>
    <row r="85" spans="2:15">
      <c r="B85" s="319"/>
      <c r="C85" s="319"/>
      <c r="D85" s="320"/>
      <c r="E85" s="320"/>
      <c r="F85" s="320"/>
      <c r="G85" s="465" t="str">
        <f t="shared" si="8"/>
        <v/>
      </c>
      <c r="L85" s="782"/>
      <c r="M85" s="380">
        <v>10</v>
      </c>
      <c r="N85" s="781" t="str">
        <f t="shared" si="9"/>
        <v>CONTRATO SIN SUSPENSIÓN</v>
      </c>
      <c r="O85" s="781"/>
    </row>
    <row r="86" spans="2:15">
      <c r="B86" s="319"/>
      <c r="C86" s="319"/>
      <c r="D86" s="320"/>
      <c r="E86" s="320"/>
      <c r="F86" s="320"/>
      <c r="G86" s="465" t="str">
        <f t="shared" si="8"/>
        <v/>
      </c>
      <c r="L86" s="782">
        <v>9</v>
      </c>
      <c r="M86" s="380">
        <v>1</v>
      </c>
      <c r="N86" s="781" t="str">
        <f t="shared" ref="N86:N95" si="10">IF(SUMIFS($G$5:$G$1200,$B$5:$B$1200,$L$86,$C$5:$C$1200,$M86)=0,"CONTRATO SIN SUSPENSIÓN",ROUND(SUMIFS($G$5:$G$1200,$B$5:$B$1200,$L$86,$C$5:$C$1200,$M86),3))</f>
        <v>CONTRATO SIN SUSPENSIÓN</v>
      </c>
      <c r="O86" s="781"/>
    </row>
    <row r="87" spans="2:15">
      <c r="B87" s="319"/>
      <c r="C87" s="319"/>
      <c r="D87" s="320"/>
      <c r="E87" s="320"/>
      <c r="F87" s="320"/>
      <c r="G87" s="465" t="str">
        <f t="shared" si="8"/>
        <v/>
      </c>
      <c r="L87" s="782"/>
      <c r="M87" s="380">
        <v>2</v>
      </c>
      <c r="N87" s="781" t="str">
        <f t="shared" si="10"/>
        <v>CONTRATO SIN SUSPENSIÓN</v>
      </c>
      <c r="O87" s="781"/>
    </row>
    <row r="88" spans="2:15">
      <c r="B88" s="319"/>
      <c r="C88" s="319"/>
      <c r="D88" s="320"/>
      <c r="E88" s="320"/>
      <c r="F88" s="320"/>
      <c r="G88" s="465" t="str">
        <f t="shared" si="8"/>
        <v/>
      </c>
      <c r="L88" s="782"/>
      <c r="M88" s="380">
        <v>3</v>
      </c>
      <c r="N88" s="781" t="str">
        <f t="shared" si="10"/>
        <v>CONTRATO SIN SUSPENSIÓN</v>
      </c>
      <c r="O88" s="781"/>
    </row>
    <row r="89" spans="2:15">
      <c r="B89" s="319"/>
      <c r="C89" s="319"/>
      <c r="D89" s="320"/>
      <c r="E89" s="320"/>
      <c r="F89" s="320"/>
      <c r="G89" s="465" t="str">
        <f t="shared" si="8"/>
        <v/>
      </c>
      <c r="L89" s="782"/>
      <c r="M89" s="380">
        <v>4</v>
      </c>
      <c r="N89" s="781" t="str">
        <f t="shared" si="10"/>
        <v>CONTRATO SIN SUSPENSIÓN</v>
      </c>
      <c r="O89" s="781"/>
    </row>
    <row r="90" spans="2:15">
      <c r="B90" s="319"/>
      <c r="C90" s="319"/>
      <c r="D90" s="320"/>
      <c r="E90" s="320"/>
      <c r="F90" s="320"/>
      <c r="G90" s="465" t="str">
        <f t="shared" si="8"/>
        <v/>
      </c>
      <c r="L90" s="782"/>
      <c r="M90" s="380">
        <v>5</v>
      </c>
      <c r="N90" s="781" t="str">
        <f t="shared" si="10"/>
        <v>CONTRATO SIN SUSPENSIÓN</v>
      </c>
      <c r="O90" s="781"/>
    </row>
    <row r="91" spans="2:15">
      <c r="B91" s="319"/>
      <c r="C91" s="319"/>
      <c r="D91" s="320"/>
      <c r="E91" s="320"/>
      <c r="F91" s="320"/>
      <c r="G91" s="465" t="str">
        <f t="shared" si="8"/>
        <v/>
      </c>
      <c r="L91" s="782"/>
      <c r="M91" s="380">
        <v>6</v>
      </c>
      <c r="N91" s="781" t="str">
        <f t="shared" si="10"/>
        <v>CONTRATO SIN SUSPENSIÓN</v>
      </c>
      <c r="O91" s="781"/>
    </row>
    <row r="92" spans="2:15">
      <c r="B92" s="319"/>
      <c r="C92" s="319"/>
      <c r="D92" s="320"/>
      <c r="E92" s="320"/>
      <c r="F92" s="320"/>
      <c r="G92" s="465" t="str">
        <f t="shared" si="8"/>
        <v/>
      </c>
      <c r="L92" s="782"/>
      <c r="M92" s="380">
        <v>7</v>
      </c>
      <c r="N92" s="781" t="str">
        <f t="shared" si="10"/>
        <v>CONTRATO SIN SUSPENSIÓN</v>
      </c>
      <c r="O92" s="781"/>
    </row>
    <row r="93" spans="2:15">
      <c r="B93" s="319"/>
      <c r="C93" s="319"/>
      <c r="D93" s="320"/>
      <c r="E93" s="320"/>
      <c r="F93" s="320"/>
      <c r="G93" s="465" t="str">
        <f t="shared" si="8"/>
        <v/>
      </c>
      <c r="L93" s="782"/>
      <c r="M93" s="380">
        <v>8</v>
      </c>
      <c r="N93" s="781" t="str">
        <f t="shared" si="10"/>
        <v>CONTRATO SIN SUSPENSIÓN</v>
      </c>
      <c r="O93" s="781"/>
    </row>
    <row r="94" spans="2:15">
      <c r="B94" s="319"/>
      <c r="C94" s="319"/>
      <c r="D94" s="320"/>
      <c r="E94" s="320"/>
      <c r="F94" s="320"/>
      <c r="G94" s="465" t="str">
        <f t="shared" si="8"/>
        <v/>
      </c>
      <c r="L94" s="782"/>
      <c r="M94" s="380">
        <v>9</v>
      </c>
      <c r="N94" s="781" t="str">
        <f t="shared" si="10"/>
        <v>CONTRATO SIN SUSPENSIÓN</v>
      </c>
      <c r="O94" s="781"/>
    </row>
    <row r="95" spans="2:15">
      <c r="B95" s="319"/>
      <c r="C95" s="319"/>
      <c r="D95" s="320"/>
      <c r="E95" s="320"/>
      <c r="F95" s="320"/>
      <c r="G95" s="465" t="str">
        <f t="shared" si="8"/>
        <v/>
      </c>
      <c r="L95" s="782"/>
      <c r="M95" s="380">
        <v>10</v>
      </c>
      <c r="N95" s="781" t="str">
        <f t="shared" si="10"/>
        <v>CONTRATO SIN SUSPENSIÓN</v>
      </c>
      <c r="O95" s="781"/>
    </row>
    <row r="96" spans="2:15">
      <c r="B96" s="319"/>
      <c r="C96" s="319"/>
      <c r="D96" s="320"/>
      <c r="E96" s="320"/>
      <c r="F96" s="320"/>
      <c r="G96" s="465" t="str">
        <f t="shared" si="8"/>
        <v/>
      </c>
      <c r="L96" s="782">
        <v>10</v>
      </c>
      <c r="M96" s="380">
        <v>1</v>
      </c>
      <c r="N96" s="781" t="str">
        <f t="shared" ref="N96:N105" si="11">IF(SUMIFS($G$5:$G$1200,$B$5:$B$1200,$L$96,$C$5:$C$1200,$M96)=0,"CONTRATO SIN SUSPENSIÓN",ROUND(SUMIFS($G$5:$G$1200,$B$5:$B$1200,$L$96,$C$5:$C$1200,$M96),3))</f>
        <v>CONTRATO SIN SUSPENSIÓN</v>
      </c>
      <c r="O96" s="781"/>
    </row>
    <row r="97" spans="2:15">
      <c r="B97" s="319"/>
      <c r="C97" s="319"/>
      <c r="D97" s="320"/>
      <c r="E97" s="320"/>
      <c r="F97" s="320"/>
      <c r="G97" s="465" t="str">
        <f t="shared" si="8"/>
        <v/>
      </c>
      <c r="L97" s="782"/>
      <c r="M97" s="380">
        <v>2</v>
      </c>
      <c r="N97" s="781" t="str">
        <f t="shared" si="11"/>
        <v>CONTRATO SIN SUSPENSIÓN</v>
      </c>
      <c r="O97" s="781"/>
    </row>
    <row r="98" spans="2:15">
      <c r="B98" s="319"/>
      <c r="C98" s="319"/>
      <c r="D98" s="320"/>
      <c r="E98" s="320"/>
      <c r="F98" s="320"/>
      <c r="G98" s="465" t="str">
        <f t="shared" si="8"/>
        <v/>
      </c>
      <c r="L98" s="782"/>
      <c r="M98" s="380">
        <v>3</v>
      </c>
      <c r="N98" s="781" t="str">
        <f t="shared" si="11"/>
        <v>CONTRATO SIN SUSPENSIÓN</v>
      </c>
      <c r="O98" s="781"/>
    </row>
    <row r="99" spans="2:15">
      <c r="B99" s="319"/>
      <c r="C99" s="319"/>
      <c r="D99" s="320"/>
      <c r="E99" s="320"/>
      <c r="F99" s="320"/>
      <c r="G99" s="465" t="str">
        <f t="shared" si="8"/>
        <v/>
      </c>
      <c r="L99" s="782"/>
      <c r="M99" s="380">
        <v>4</v>
      </c>
      <c r="N99" s="781" t="str">
        <f t="shared" si="11"/>
        <v>CONTRATO SIN SUSPENSIÓN</v>
      </c>
      <c r="O99" s="781"/>
    </row>
    <row r="100" spans="2:15">
      <c r="B100" s="319"/>
      <c r="C100" s="319"/>
      <c r="D100" s="320"/>
      <c r="E100" s="320"/>
      <c r="F100" s="320"/>
      <c r="G100" s="465" t="str">
        <f t="shared" si="8"/>
        <v/>
      </c>
      <c r="L100" s="782"/>
      <c r="M100" s="380">
        <v>5</v>
      </c>
      <c r="N100" s="781" t="str">
        <f t="shared" si="11"/>
        <v>CONTRATO SIN SUSPENSIÓN</v>
      </c>
      <c r="O100" s="781"/>
    </row>
    <row r="101" spans="2:15">
      <c r="B101" s="319"/>
      <c r="C101" s="319"/>
      <c r="D101" s="320"/>
      <c r="E101" s="320"/>
      <c r="F101" s="320"/>
      <c r="G101" s="465" t="str">
        <f t="shared" si="8"/>
        <v/>
      </c>
      <c r="L101" s="782"/>
      <c r="M101" s="380">
        <v>6</v>
      </c>
      <c r="N101" s="781" t="str">
        <f t="shared" si="11"/>
        <v>CONTRATO SIN SUSPENSIÓN</v>
      </c>
      <c r="O101" s="781"/>
    </row>
    <row r="102" spans="2:15">
      <c r="B102" s="319"/>
      <c r="C102" s="319"/>
      <c r="D102" s="320"/>
      <c r="E102" s="320"/>
      <c r="F102" s="320"/>
      <c r="G102" s="465" t="str">
        <f t="shared" si="8"/>
        <v/>
      </c>
      <c r="L102" s="782"/>
      <c r="M102" s="380">
        <v>7</v>
      </c>
      <c r="N102" s="781" t="str">
        <f t="shared" si="11"/>
        <v>CONTRATO SIN SUSPENSIÓN</v>
      </c>
      <c r="O102" s="781"/>
    </row>
    <row r="103" spans="2:15">
      <c r="B103" s="319"/>
      <c r="C103" s="319"/>
      <c r="D103" s="320"/>
      <c r="E103" s="320"/>
      <c r="F103" s="320"/>
      <c r="G103" s="465" t="str">
        <f t="shared" si="8"/>
        <v/>
      </c>
      <c r="L103" s="782"/>
      <c r="M103" s="380">
        <v>8</v>
      </c>
      <c r="N103" s="781" t="str">
        <f t="shared" si="11"/>
        <v>CONTRATO SIN SUSPENSIÓN</v>
      </c>
      <c r="O103" s="781"/>
    </row>
    <row r="104" spans="2:15">
      <c r="B104" s="319"/>
      <c r="C104" s="319"/>
      <c r="D104" s="320"/>
      <c r="E104" s="320"/>
      <c r="F104" s="320"/>
      <c r="G104" s="465" t="str">
        <f t="shared" si="8"/>
        <v/>
      </c>
      <c r="L104" s="782"/>
      <c r="M104" s="380">
        <v>9</v>
      </c>
      <c r="N104" s="781" t="str">
        <f t="shared" si="11"/>
        <v>CONTRATO SIN SUSPENSIÓN</v>
      </c>
      <c r="O104" s="781"/>
    </row>
    <row r="105" spans="2:15">
      <c r="B105" s="319"/>
      <c r="C105" s="319"/>
      <c r="D105" s="320"/>
      <c r="E105" s="320"/>
      <c r="F105" s="320"/>
      <c r="G105" s="465" t="str">
        <f t="shared" si="8"/>
        <v/>
      </c>
      <c r="L105" s="782"/>
      <c r="M105" s="380">
        <v>10</v>
      </c>
      <c r="N105" s="781" t="str">
        <f t="shared" si="11"/>
        <v>CONTRATO SIN SUSPENSIÓN</v>
      </c>
      <c r="O105" s="781"/>
    </row>
    <row r="106" spans="2:15">
      <c r="B106" s="319"/>
      <c r="C106" s="319"/>
      <c r="D106" s="320"/>
      <c r="E106" s="320"/>
      <c r="F106" s="320"/>
      <c r="G106" s="465" t="str">
        <f t="shared" si="8"/>
        <v/>
      </c>
      <c r="L106" s="782">
        <v>11</v>
      </c>
      <c r="M106" s="380">
        <v>1</v>
      </c>
      <c r="N106" s="781" t="str">
        <f t="shared" ref="N106:N115" si="12">IF(SUMIFS($G$5:$G$1200,$B$5:$B$1200,$L$106,$C$5:$C$1200,$M106)=0,"CONTRATO SIN SUSPENSIÓN",ROUND(SUMIFS($G$5:$G$1200,$B$5:$B$1200,$L$106,$C$5:$C$1200,$M106),3))</f>
        <v>CONTRATO SIN SUSPENSIÓN</v>
      </c>
      <c r="O106" s="781"/>
    </row>
    <row r="107" spans="2:15">
      <c r="B107" s="319"/>
      <c r="C107" s="319"/>
      <c r="D107" s="320"/>
      <c r="E107" s="320"/>
      <c r="F107" s="320"/>
      <c r="G107" s="465" t="str">
        <f t="shared" si="8"/>
        <v/>
      </c>
      <c r="L107" s="782"/>
      <c r="M107" s="380">
        <v>2</v>
      </c>
      <c r="N107" s="781" t="str">
        <f t="shared" si="12"/>
        <v>CONTRATO SIN SUSPENSIÓN</v>
      </c>
      <c r="O107" s="781"/>
    </row>
    <row r="108" spans="2:15">
      <c r="B108" s="319"/>
      <c r="C108" s="319"/>
      <c r="D108" s="320"/>
      <c r="E108" s="320"/>
      <c r="F108" s="320"/>
      <c r="G108" s="465" t="str">
        <f t="shared" si="8"/>
        <v/>
      </c>
      <c r="L108" s="782"/>
      <c r="M108" s="380">
        <v>3</v>
      </c>
      <c r="N108" s="781" t="str">
        <f t="shared" si="12"/>
        <v>CONTRATO SIN SUSPENSIÓN</v>
      </c>
      <c r="O108" s="781"/>
    </row>
    <row r="109" spans="2:15">
      <c r="B109" s="319"/>
      <c r="C109" s="319"/>
      <c r="D109" s="320"/>
      <c r="E109" s="320"/>
      <c r="F109" s="320"/>
      <c r="G109" s="465" t="str">
        <f t="shared" si="8"/>
        <v/>
      </c>
      <c r="L109" s="782"/>
      <c r="M109" s="380">
        <v>4</v>
      </c>
      <c r="N109" s="781" t="str">
        <f t="shared" si="12"/>
        <v>CONTRATO SIN SUSPENSIÓN</v>
      </c>
      <c r="O109" s="781"/>
    </row>
    <row r="110" spans="2:15">
      <c r="B110" s="319"/>
      <c r="C110" s="319"/>
      <c r="D110" s="320"/>
      <c r="E110" s="320"/>
      <c r="F110" s="320"/>
      <c r="G110" s="465" t="str">
        <f t="shared" si="8"/>
        <v/>
      </c>
      <c r="L110" s="782"/>
      <c r="M110" s="380">
        <v>5</v>
      </c>
      <c r="N110" s="781" t="str">
        <f t="shared" si="12"/>
        <v>CONTRATO SIN SUSPENSIÓN</v>
      </c>
      <c r="O110" s="781"/>
    </row>
    <row r="111" spans="2:15">
      <c r="B111" s="319"/>
      <c r="C111" s="319"/>
      <c r="D111" s="320"/>
      <c r="E111" s="320"/>
      <c r="F111" s="320"/>
      <c r="G111" s="465" t="str">
        <f t="shared" si="8"/>
        <v/>
      </c>
      <c r="L111" s="782"/>
      <c r="M111" s="380">
        <v>6</v>
      </c>
      <c r="N111" s="781" t="str">
        <f t="shared" si="12"/>
        <v>CONTRATO SIN SUSPENSIÓN</v>
      </c>
      <c r="O111" s="781"/>
    </row>
    <row r="112" spans="2:15">
      <c r="B112" s="319"/>
      <c r="C112" s="319"/>
      <c r="D112" s="320"/>
      <c r="E112" s="320"/>
      <c r="F112" s="320"/>
      <c r="G112" s="465" t="str">
        <f t="shared" si="8"/>
        <v/>
      </c>
      <c r="L112" s="782"/>
      <c r="M112" s="380">
        <v>7</v>
      </c>
      <c r="N112" s="781" t="str">
        <f t="shared" si="12"/>
        <v>CONTRATO SIN SUSPENSIÓN</v>
      </c>
      <c r="O112" s="781"/>
    </row>
    <row r="113" spans="2:15">
      <c r="B113" s="319"/>
      <c r="C113" s="319"/>
      <c r="D113" s="320"/>
      <c r="E113" s="320"/>
      <c r="F113" s="320"/>
      <c r="G113" s="465" t="str">
        <f t="shared" si="8"/>
        <v/>
      </c>
      <c r="L113" s="782"/>
      <c r="M113" s="380">
        <v>8</v>
      </c>
      <c r="N113" s="781" t="str">
        <f t="shared" si="12"/>
        <v>CONTRATO SIN SUSPENSIÓN</v>
      </c>
      <c r="O113" s="781"/>
    </row>
    <row r="114" spans="2:15">
      <c r="B114" s="319"/>
      <c r="C114" s="319"/>
      <c r="D114" s="320"/>
      <c r="E114" s="320"/>
      <c r="F114" s="320"/>
      <c r="G114" s="465" t="str">
        <f t="shared" si="8"/>
        <v/>
      </c>
      <c r="L114" s="782"/>
      <c r="M114" s="380">
        <v>9</v>
      </c>
      <c r="N114" s="781" t="str">
        <f t="shared" si="12"/>
        <v>CONTRATO SIN SUSPENSIÓN</v>
      </c>
      <c r="O114" s="781"/>
    </row>
    <row r="115" spans="2:15">
      <c r="B115" s="319"/>
      <c r="C115" s="319"/>
      <c r="D115" s="320"/>
      <c r="E115" s="320"/>
      <c r="F115" s="320"/>
      <c r="G115" s="465" t="str">
        <f t="shared" si="8"/>
        <v/>
      </c>
      <c r="L115" s="782"/>
      <c r="M115" s="380">
        <v>10</v>
      </c>
      <c r="N115" s="781" t="str">
        <f t="shared" si="12"/>
        <v>CONTRATO SIN SUSPENSIÓN</v>
      </c>
      <c r="O115" s="781"/>
    </row>
    <row r="116" spans="2:15">
      <c r="B116" s="319"/>
      <c r="C116" s="319"/>
      <c r="D116" s="320"/>
      <c r="E116" s="320"/>
      <c r="F116" s="320"/>
      <c r="G116" s="465" t="str">
        <f t="shared" si="8"/>
        <v/>
      </c>
      <c r="L116" s="782">
        <v>12</v>
      </c>
      <c r="M116" s="380">
        <v>1</v>
      </c>
      <c r="N116" s="781" t="str">
        <f t="shared" ref="N116:N125" si="13">IF(SUMIFS($G$5:$G$1200,$B$5:$B$1200,$L$116,$C$5:$C$1200,$M116)=0,"CONTRATO SIN SUSPENSIÓN",ROUND(SUMIFS($G$5:$G$1200,$B$5:$B$1200,$L$116,$C$5:$C$1200,$M116),3))</f>
        <v>CONTRATO SIN SUSPENSIÓN</v>
      </c>
      <c r="O116" s="781"/>
    </row>
    <row r="117" spans="2:15">
      <c r="B117" s="319"/>
      <c r="C117" s="319"/>
      <c r="D117" s="320"/>
      <c r="E117" s="320"/>
      <c r="F117" s="320"/>
      <c r="G117" s="465" t="str">
        <f t="shared" si="8"/>
        <v/>
      </c>
      <c r="L117" s="782"/>
      <c r="M117" s="380">
        <v>2</v>
      </c>
      <c r="N117" s="781" t="str">
        <f t="shared" si="13"/>
        <v>CONTRATO SIN SUSPENSIÓN</v>
      </c>
      <c r="O117" s="781"/>
    </row>
    <row r="118" spans="2:15">
      <c r="B118" s="319"/>
      <c r="C118" s="319"/>
      <c r="D118" s="320"/>
      <c r="E118" s="320"/>
      <c r="F118" s="320"/>
      <c r="G118" s="465" t="str">
        <f t="shared" si="8"/>
        <v/>
      </c>
      <c r="L118" s="782"/>
      <c r="M118" s="380">
        <v>3</v>
      </c>
      <c r="N118" s="781" t="str">
        <f t="shared" si="13"/>
        <v>CONTRATO SIN SUSPENSIÓN</v>
      </c>
      <c r="O118" s="781"/>
    </row>
    <row r="119" spans="2:15">
      <c r="B119" s="319"/>
      <c r="C119" s="319"/>
      <c r="D119" s="320"/>
      <c r="E119" s="320"/>
      <c r="F119" s="320"/>
      <c r="G119" s="465" t="str">
        <f t="shared" si="8"/>
        <v/>
      </c>
      <c r="L119" s="782"/>
      <c r="M119" s="380">
        <v>4</v>
      </c>
      <c r="N119" s="781" t="str">
        <f t="shared" si="13"/>
        <v>CONTRATO SIN SUSPENSIÓN</v>
      </c>
      <c r="O119" s="781"/>
    </row>
    <row r="120" spans="2:15">
      <c r="B120" s="319"/>
      <c r="C120" s="319"/>
      <c r="D120" s="320"/>
      <c r="E120" s="320"/>
      <c r="F120" s="320"/>
      <c r="G120" s="465" t="str">
        <f t="shared" si="8"/>
        <v/>
      </c>
      <c r="L120" s="782"/>
      <c r="M120" s="380">
        <v>5</v>
      </c>
      <c r="N120" s="781" t="str">
        <f t="shared" si="13"/>
        <v>CONTRATO SIN SUSPENSIÓN</v>
      </c>
      <c r="O120" s="781"/>
    </row>
    <row r="121" spans="2:15">
      <c r="B121" s="319"/>
      <c r="C121" s="319"/>
      <c r="D121" s="320"/>
      <c r="E121" s="320"/>
      <c r="F121" s="320"/>
      <c r="G121" s="465" t="str">
        <f t="shared" si="8"/>
        <v/>
      </c>
      <c r="L121" s="782"/>
      <c r="M121" s="380">
        <v>6</v>
      </c>
      <c r="N121" s="781" t="str">
        <f t="shared" si="13"/>
        <v>CONTRATO SIN SUSPENSIÓN</v>
      </c>
      <c r="O121" s="781"/>
    </row>
    <row r="122" spans="2:15">
      <c r="B122" s="319"/>
      <c r="C122" s="319"/>
      <c r="D122" s="320"/>
      <c r="E122" s="320"/>
      <c r="F122" s="320"/>
      <c r="G122" s="465" t="str">
        <f t="shared" si="8"/>
        <v/>
      </c>
      <c r="L122" s="782"/>
      <c r="M122" s="380">
        <v>7</v>
      </c>
      <c r="N122" s="781" t="str">
        <f t="shared" si="13"/>
        <v>CONTRATO SIN SUSPENSIÓN</v>
      </c>
      <c r="O122" s="781"/>
    </row>
    <row r="123" spans="2:15">
      <c r="B123" s="319"/>
      <c r="C123" s="319"/>
      <c r="D123" s="320"/>
      <c r="E123" s="320"/>
      <c r="F123" s="320"/>
      <c r="G123" s="465" t="str">
        <f t="shared" si="8"/>
        <v/>
      </c>
      <c r="L123" s="782"/>
      <c r="M123" s="380">
        <v>8</v>
      </c>
      <c r="N123" s="781" t="str">
        <f t="shared" si="13"/>
        <v>CONTRATO SIN SUSPENSIÓN</v>
      </c>
      <c r="O123" s="781"/>
    </row>
    <row r="124" spans="2:15">
      <c r="B124" s="319"/>
      <c r="C124" s="319"/>
      <c r="D124" s="320"/>
      <c r="E124" s="320"/>
      <c r="F124" s="320"/>
      <c r="G124" s="465" t="str">
        <f t="shared" si="8"/>
        <v/>
      </c>
      <c r="L124" s="782"/>
      <c r="M124" s="380">
        <v>9</v>
      </c>
      <c r="N124" s="781" t="str">
        <f t="shared" si="13"/>
        <v>CONTRATO SIN SUSPENSIÓN</v>
      </c>
      <c r="O124" s="781"/>
    </row>
    <row r="125" spans="2:15">
      <c r="B125" s="319"/>
      <c r="C125" s="319"/>
      <c r="D125" s="320"/>
      <c r="E125" s="320"/>
      <c r="F125" s="320"/>
      <c r="G125" s="465" t="str">
        <f t="shared" si="8"/>
        <v/>
      </c>
      <c r="L125" s="782"/>
      <c r="M125" s="380">
        <v>10</v>
      </c>
      <c r="N125" s="781" t="str">
        <f t="shared" si="13"/>
        <v>CONTRATO SIN SUSPENSIÓN</v>
      </c>
      <c r="O125" s="781"/>
    </row>
    <row r="126" spans="2:15">
      <c r="B126" s="319"/>
      <c r="C126" s="319"/>
      <c r="D126" s="320"/>
      <c r="E126" s="320"/>
      <c r="F126" s="320"/>
      <c r="G126" s="465" t="str">
        <f t="shared" si="8"/>
        <v/>
      </c>
      <c r="L126" s="782">
        <v>13</v>
      </c>
      <c r="M126" s="380">
        <v>1</v>
      </c>
      <c r="N126" s="781" t="str">
        <f t="shared" ref="N126:N135" si="14">IF(SUMIFS($G$5:$G$1200,$B$5:$B$1200,$L$126,$C$5:$C$1200,$M126)=0,"CONTRATO SIN SUSPENSIÓN",ROUND(SUMIFS($G$5:$G$1200,$B$5:$B$1200,$L$126,$C$5:$C$1200,$M126),3))</f>
        <v>CONTRATO SIN SUSPENSIÓN</v>
      </c>
      <c r="O126" s="781"/>
    </row>
    <row r="127" spans="2:15">
      <c r="B127" s="319"/>
      <c r="C127" s="319"/>
      <c r="D127" s="320"/>
      <c r="E127" s="320"/>
      <c r="F127" s="320"/>
      <c r="G127" s="465" t="str">
        <f t="shared" si="8"/>
        <v/>
      </c>
      <c r="L127" s="782"/>
      <c r="M127" s="380">
        <v>2</v>
      </c>
      <c r="N127" s="781" t="str">
        <f t="shared" si="14"/>
        <v>CONTRATO SIN SUSPENSIÓN</v>
      </c>
      <c r="O127" s="781"/>
    </row>
    <row r="128" spans="2:15">
      <c r="B128" s="319"/>
      <c r="C128" s="319"/>
      <c r="D128" s="320"/>
      <c r="E128" s="320"/>
      <c r="F128" s="320"/>
      <c r="G128" s="465" t="str">
        <f t="shared" si="8"/>
        <v/>
      </c>
      <c r="L128" s="782"/>
      <c r="M128" s="380">
        <v>3</v>
      </c>
      <c r="N128" s="781" t="str">
        <f t="shared" si="14"/>
        <v>CONTRATO SIN SUSPENSIÓN</v>
      </c>
      <c r="O128" s="781"/>
    </row>
    <row r="129" spans="2:15">
      <c r="B129" s="319"/>
      <c r="C129" s="319"/>
      <c r="D129" s="320"/>
      <c r="E129" s="320"/>
      <c r="F129" s="320"/>
      <c r="G129" s="465" t="str">
        <f t="shared" si="8"/>
        <v/>
      </c>
      <c r="L129" s="782"/>
      <c r="M129" s="380">
        <v>4</v>
      </c>
      <c r="N129" s="781" t="str">
        <f t="shared" si="14"/>
        <v>CONTRATO SIN SUSPENSIÓN</v>
      </c>
      <c r="O129" s="781"/>
    </row>
    <row r="130" spans="2:15">
      <c r="B130" s="319"/>
      <c r="C130" s="319"/>
      <c r="D130" s="320"/>
      <c r="E130" s="320"/>
      <c r="F130" s="320"/>
      <c r="G130" s="465" t="str">
        <f t="shared" si="8"/>
        <v/>
      </c>
      <c r="L130" s="782"/>
      <c r="M130" s="380">
        <v>5</v>
      </c>
      <c r="N130" s="781" t="str">
        <f t="shared" si="14"/>
        <v>CONTRATO SIN SUSPENSIÓN</v>
      </c>
      <c r="O130" s="781"/>
    </row>
    <row r="131" spans="2:15">
      <c r="B131" s="319"/>
      <c r="C131" s="319"/>
      <c r="D131" s="320"/>
      <c r="E131" s="320"/>
      <c r="F131" s="320"/>
      <c r="G131" s="465" t="str">
        <f t="shared" si="8"/>
        <v/>
      </c>
      <c r="L131" s="782"/>
      <c r="M131" s="380">
        <v>6</v>
      </c>
      <c r="N131" s="781" t="str">
        <f t="shared" si="14"/>
        <v>CONTRATO SIN SUSPENSIÓN</v>
      </c>
      <c r="O131" s="781"/>
    </row>
    <row r="132" spans="2:15">
      <c r="B132" s="319"/>
      <c r="C132" s="319"/>
      <c r="D132" s="320"/>
      <c r="E132" s="320"/>
      <c r="F132" s="320"/>
      <c r="G132" s="465" t="str">
        <f t="shared" si="8"/>
        <v/>
      </c>
      <c r="L132" s="782"/>
      <c r="M132" s="380">
        <v>7</v>
      </c>
      <c r="N132" s="781" t="str">
        <f t="shared" si="14"/>
        <v>CONTRATO SIN SUSPENSIÓN</v>
      </c>
      <c r="O132" s="781"/>
    </row>
    <row r="133" spans="2:15">
      <c r="B133" s="319"/>
      <c r="C133" s="319"/>
      <c r="D133" s="320"/>
      <c r="E133" s="320"/>
      <c r="F133" s="320"/>
      <c r="G133" s="465" t="str">
        <f t="shared" si="8"/>
        <v/>
      </c>
      <c r="L133" s="782"/>
      <c r="M133" s="380">
        <v>8</v>
      </c>
      <c r="N133" s="781" t="str">
        <f t="shared" si="14"/>
        <v>CONTRATO SIN SUSPENSIÓN</v>
      </c>
      <c r="O133" s="781"/>
    </row>
    <row r="134" spans="2:15">
      <c r="B134" s="319"/>
      <c r="C134" s="319"/>
      <c r="D134" s="320"/>
      <c r="E134" s="320"/>
      <c r="F134" s="320"/>
      <c r="G134" s="465" t="str">
        <f t="shared" ref="G134:G197" si="15">IF(OR(AND(D134="",E134=""),AND(D134="",F134="")),"",IF(AND(D134&lt;&gt;"",E134&lt;&gt;"",F134&lt;&gt;""),"REVISAR CÁLCULO",IF(AND(D134&lt;&gt;"",F134&lt;&gt;""),ROUND(((F134-D134)/30),3),IF(AND(D134&lt;&gt;"",E134&lt;&gt;""),ROUND(((E134-D134+1)/30),3),""))))</f>
        <v/>
      </c>
      <c r="L134" s="782"/>
      <c r="M134" s="380">
        <v>9</v>
      </c>
      <c r="N134" s="781" t="str">
        <f t="shared" si="14"/>
        <v>CONTRATO SIN SUSPENSIÓN</v>
      </c>
      <c r="O134" s="781"/>
    </row>
    <row r="135" spans="2:15">
      <c r="B135" s="319"/>
      <c r="C135" s="319"/>
      <c r="D135" s="320"/>
      <c r="E135" s="320"/>
      <c r="F135" s="320"/>
      <c r="G135" s="465" t="str">
        <f t="shared" si="15"/>
        <v/>
      </c>
      <c r="L135" s="782"/>
      <c r="M135" s="380">
        <v>10</v>
      </c>
      <c r="N135" s="781" t="str">
        <f t="shared" si="14"/>
        <v>CONTRATO SIN SUSPENSIÓN</v>
      </c>
      <c r="O135" s="781"/>
    </row>
    <row r="136" spans="2:15">
      <c r="B136" s="319"/>
      <c r="C136" s="319"/>
      <c r="D136" s="320"/>
      <c r="E136" s="320"/>
      <c r="F136" s="320"/>
      <c r="G136" s="465" t="str">
        <f t="shared" si="15"/>
        <v/>
      </c>
      <c r="L136" s="782">
        <v>14</v>
      </c>
      <c r="M136" s="380">
        <v>1</v>
      </c>
      <c r="N136" s="781" t="str">
        <f t="shared" ref="N136:N145" si="16">IF(SUMIFS($G$5:$G$1200,$B$5:$B$1200,$L$136,$C$5:$C$1200,$M136)=0,"CONTRATO SIN SUSPENSIÓN",ROUND(SUMIFS($G$5:$G$1200,$B$5:$B$1200,$L$136,$C$5:$C$1200,$M136),3))</f>
        <v>CONTRATO SIN SUSPENSIÓN</v>
      </c>
      <c r="O136" s="781"/>
    </row>
    <row r="137" spans="2:15">
      <c r="B137" s="319"/>
      <c r="C137" s="319"/>
      <c r="D137" s="320"/>
      <c r="E137" s="320"/>
      <c r="F137" s="320"/>
      <c r="G137" s="465" t="str">
        <f t="shared" si="15"/>
        <v/>
      </c>
      <c r="L137" s="782"/>
      <c r="M137" s="380">
        <v>2</v>
      </c>
      <c r="N137" s="781" t="str">
        <f t="shared" si="16"/>
        <v>CONTRATO SIN SUSPENSIÓN</v>
      </c>
      <c r="O137" s="781"/>
    </row>
    <row r="138" spans="2:15">
      <c r="B138" s="319"/>
      <c r="C138" s="319"/>
      <c r="D138" s="320"/>
      <c r="E138" s="320"/>
      <c r="F138" s="320"/>
      <c r="G138" s="465" t="str">
        <f t="shared" si="15"/>
        <v/>
      </c>
      <c r="L138" s="782"/>
      <c r="M138" s="380">
        <v>3</v>
      </c>
      <c r="N138" s="781" t="str">
        <f t="shared" si="16"/>
        <v>CONTRATO SIN SUSPENSIÓN</v>
      </c>
      <c r="O138" s="781"/>
    </row>
    <row r="139" spans="2:15">
      <c r="B139" s="319"/>
      <c r="C139" s="319"/>
      <c r="D139" s="320"/>
      <c r="E139" s="320"/>
      <c r="F139" s="320"/>
      <c r="G139" s="465" t="str">
        <f t="shared" si="15"/>
        <v/>
      </c>
      <c r="L139" s="782"/>
      <c r="M139" s="380">
        <v>4</v>
      </c>
      <c r="N139" s="781" t="str">
        <f t="shared" si="16"/>
        <v>CONTRATO SIN SUSPENSIÓN</v>
      </c>
      <c r="O139" s="781"/>
    </row>
    <row r="140" spans="2:15">
      <c r="B140" s="319"/>
      <c r="C140" s="319"/>
      <c r="D140" s="320"/>
      <c r="E140" s="320"/>
      <c r="F140" s="320"/>
      <c r="G140" s="465" t="str">
        <f t="shared" si="15"/>
        <v/>
      </c>
      <c r="L140" s="782"/>
      <c r="M140" s="380">
        <v>5</v>
      </c>
      <c r="N140" s="781" t="str">
        <f t="shared" si="16"/>
        <v>CONTRATO SIN SUSPENSIÓN</v>
      </c>
      <c r="O140" s="781"/>
    </row>
    <row r="141" spans="2:15">
      <c r="B141" s="319"/>
      <c r="C141" s="319"/>
      <c r="D141" s="320"/>
      <c r="E141" s="320"/>
      <c r="F141" s="320"/>
      <c r="G141" s="465" t="str">
        <f t="shared" si="15"/>
        <v/>
      </c>
      <c r="L141" s="782"/>
      <c r="M141" s="380">
        <v>6</v>
      </c>
      <c r="N141" s="781" t="str">
        <f t="shared" si="16"/>
        <v>CONTRATO SIN SUSPENSIÓN</v>
      </c>
      <c r="O141" s="781"/>
    </row>
    <row r="142" spans="2:15">
      <c r="B142" s="319"/>
      <c r="C142" s="319"/>
      <c r="D142" s="320"/>
      <c r="E142" s="320"/>
      <c r="F142" s="320"/>
      <c r="G142" s="465" t="str">
        <f t="shared" si="15"/>
        <v/>
      </c>
      <c r="L142" s="782"/>
      <c r="M142" s="380">
        <v>7</v>
      </c>
      <c r="N142" s="781" t="str">
        <f t="shared" si="16"/>
        <v>CONTRATO SIN SUSPENSIÓN</v>
      </c>
      <c r="O142" s="781"/>
    </row>
    <row r="143" spans="2:15">
      <c r="B143" s="319"/>
      <c r="C143" s="319"/>
      <c r="D143" s="320"/>
      <c r="E143" s="320"/>
      <c r="F143" s="320"/>
      <c r="G143" s="465" t="str">
        <f t="shared" si="15"/>
        <v/>
      </c>
      <c r="L143" s="782"/>
      <c r="M143" s="380">
        <v>8</v>
      </c>
      <c r="N143" s="781" t="str">
        <f t="shared" si="16"/>
        <v>CONTRATO SIN SUSPENSIÓN</v>
      </c>
      <c r="O143" s="781"/>
    </row>
    <row r="144" spans="2:15">
      <c r="B144" s="319"/>
      <c r="C144" s="319"/>
      <c r="D144" s="320"/>
      <c r="E144" s="320"/>
      <c r="F144" s="320"/>
      <c r="G144" s="465" t="str">
        <f t="shared" si="15"/>
        <v/>
      </c>
      <c r="L144" s="782"/>
      <c r="M144" s="380">
        <v>9</v>
      </c>
      <c r="N144" s="781" t="str">
        <f t="shared" si="16"/>
        <v>CONTRATO SIN SUSPENSIÓN</v>
      </c>
      <c r="O144" s="781"/>
    </row>
    <row r="145" spans="2:15">
      <c r="B145" s="319"/>
      <c r="C145" s="319"/>
      <c r="D145" s="320"/>
      <c r="E145" s="320"/>
      <c r="F145" s="320"/>
      <c r="G145" s="465" t="str">
        <f t="shared" si="15"/>
        <v/>
      </c>
      <c r="L145" s="782"/>
      <c r="M145" s="380">
        <v>10</v>
      </c>
      <c r="N145" s="781" t="str">
        <f t="shared" si="16"/>
        <v>CONTRATO SIN SUSPENSIÓN</v>
      </c>
      <c r="O145" s="781"/>
    </row>
    <row r="146" spans="2:15">
      <c r="B146" s="319"/>
      <c r="C146" s="319"/>
      <c r="D146" s="320"/>
      <c r="E146" s="320"/>
      <c r="F146" s="320"/>
      <c r="G146" s="465" t="str">
        <f t="shared" si="15"/>
        <v/>
      </c>
      <c r="L146" s="782">
        <v>15</v>
      </c>
      <c r="M146" s="380">
        <v>1</v>
      </c>
      <c r="N146" s="781" t="str">
        <f t="shared" ref="N146:N155" si="17">IF(SUMIFS($G$5:$G$1200,$B$5:$B$1200,$L$146,$C$5:$C$1200,$M146)=0,"CONTRATO SIN SUSPENSIÓN",ROUND(SUMIFS($G$5:$G$1200,$B$5:$B$1200,$L$146,$C$5:$C$1200,$M146),3))</f>
        <v>CONTRATO SIN SUSPENSIÓN</v>
      </c>
      <c r="O146" s="781"/>
    </row>
    <row r="147" spans="2:15">
      <c r="B147" s="319"/>
      <c r="C147" s="319"/>
      <c r="D147" s="320"/>
      <c r="E147" s="320"/>
      <c r="F147" s="320"/>
      <c r="G147" s="465" t="str">
        <f t="shared" si="15"/>
        <v/>
      </c>
      <c r="L147" s="782"/>
      <c r="M147" s="380">
        <v>2</v>
      </c>
      <c r="N147" s="781" t="str">
        <f t="shared" si="17"/>
        <v>CONTRATO SIN SUSPENSIÓN</v>
      </c>
      <c r="O147" s="781"/>
    </row>
    <row r="148" spans="2:15">
      <c r="B148" s="319"/>
      <c r="C148" s="319"/>
      <c r="D148" s="320"/>
      <c r="E148" s="320"/>
      <c r="F148" s="320"/>
      <c r="G148" s="465" t="str">
        <f t="shared" si="15"/>
        <v/>
      </c>
      <c r="L148" s="782"/>
      <c r="M148" s="380">
        <v>3</v>
      </c>
      <c r="N148" s="781" t="str">
        <f t="shared" si="17"/>
        <v>CONTRATO SIN SUSPENSIÓN</v>
      </c>
      <c r="O148" s="781"/>
    </row>
    <row r="149" spans="2:15">
      <c r="B149" s="319"/>
      <c r="C149" s="319"/>
      <c r="D149" s="320"/>
      <c r="E149" s="320"/>
      <c r="F149" s="320"/>
      <c r="G149" s="465" t="str">
        <f t="shared" si="15"/>
        <v/>
      </c>
      <c r="L149" s="782"/>
      <c r="M149" s="380">
        <v>4</v>
      </c>
      <c r="N149" s="781" t="str">
        <f t="shared" si="17"/>
        <v>CONTRATO SIN SUSPENSIÓN</v>
      </c>
      <c r="O149" s="781"/>
    </row>
    <row r="150" spans="2:15">
      <c r="B150" s="319"/>
      <c r="C150" s="319"/>
      <c r="D150" s="320"/>
      <c r="E150" s="320"/>
      <c r="F150" s="320"/>
      <c r="G150" s="465" t="str">
        <f t="shared" si="15"/>
        <v/>
      </c>
      <c r="L150" s="782"/>
      <c r="M150" s="380">
        <v>5</v>
      </c>
      <c r="N150" s="781" t="str">
        <f t="shared" si="17"/>
        <v>CONTRATO SIN SUSPENSIÓN</v>
      </c>
      <c r="O150" s="781"/>
    </row>
    <row r="151" spans="2:15">
      <c r="B151" s="319"/>
      <c r="C151" s="319"/>
      <c r="D151" s="320"/>
      <c r="E151" s="320"/>
      <c r="F151" s="320"/>
      <c r="G151" s="465" t="str">
        <f t="shared" si="15"/>
        <v/>
      </c>
      <c r="L151" s="782"/>
      <c r="M151" s="380">
        <v>6</v>
      </c>
      <c r="N151" s="781" t="str">
        <f t="shared" si="17"/>
        <v>CONTRATO SIN SUSPENSIÓN</v>
      </c>
      <c r="O151" s="781"/>
    </row>
    <row r="152" spans="2:15">
      <c r="B152" s="319"/>
      <c r="C152" s="319"/>
      <c r="D152" s="320"/>
      <c r="E152" s="320"/>
      <c r="F152" s="320"/>
      <c r="G152" s="465" t="str">
        <f t="shared" si="15"/>
        <v/>
      </c>
      <c r="L152" s="782"/>
      <c r="M152" s="380">
        <v>7</v>
      </c>
      <c r="N152" s="781" t="str">
        <f t="shared" si="17"/>
        <v>CONTRATO SIN SUSPENSIÓN</v>
      </c>
      <c r="O152" s="781"/>
    </row>
    <row r="153" spans="2:15">
      <c r="B153" s="319"/>
      <c r="C153" s="319"/>
      <c r="D153" s="320"/>
      <c r="E153" s="320"/>
      <c r="F153" s="320"/>
      <c r="G153" s="465" t="str">
        <f t="shared" si="15"/>
        <v/>
      </c>
      <c r="L153" s="782"/>
      <c r="M153" s="380">
        <v>8</v>
      </c>
      <c r="N153" s="781" t="str">
        <f t="shared" si="17"/>
        <v>CONTRATO SIN SUSPENSIÓN</v>
      </c>
      <c r="O153" s="781"/>
    </row>
    <row r="154" spans="2:15">
      <c r="B154" s="319"/>
      <c r="C154" s="319"/>
      <c r="D154" s="320"/>
      <c r="E154" s="320"/>
      <c r="F154" s="320"/>
      <c r="G154" s="465" t="str">
        <f t="shared" si="15"/>
        <v/>
      </c>
      <c r="L154" s="782"/>
      <c r="M154" s="380">
        <v>9</v>
      </c>
      <c r="N154" s="781" t="str">
        <f t="shared" si="17"/>
        <v>CONTRATO SIN SUSPENSIÓN</v>
      </c>
      <c r="O154" s="781"/>
    </row>
    <row r="155" spans="2:15">
      <c r="B155" s="319"/>
      <c r="C155" s="319"/>
      <c r="D155" s="320"/>
      <c r="E155" s="320"/>
      <c r="F155" s="320"/>
      <c r="G155" s="465" t="str">
        <f t="shared" si="15"/>
        <v/>
      </c>
      <c r="L155" s="782"/>
      <c r="M155" s="380">
        <v>10</v>
      </c>
      <c r="N155" s="781" t="str">
        <f t="shared" si="17"/>
        <v>CONTRATO SIN SUSPENSIÓN</v>
      </c>
      <c r="O155" s="781"/>
    </row>
    <row r="156" spans="2:15">
      <c r="B156" s="319"/>
      <c r="C156" s="319"/>
      <c r="D156" s="320"/>
      <c r="E156" s="320"/>
      <c r="F156" s="320"/>
      <c r="G156" s="465" t="str">
        <f t="shared" si="15"/>
        <v/>
      </c>
      <c r="L156" s="782">
        <v>16</v>
      </c>
      <c r="M156" s="380">
        <v>1</v>
      </c>
      <c r="N156" s="781" t="str">
        <f t="shared" ref="N156:N165" si="18">IF(SUMIFS($G$5:$G$1200,$B$5:$B$1200,$L$156,$C$5:$C$1200,$M156)=0,"CONTRATO SIN SUSPENSIÓN",ROUND(SUMIFS($G$5:$G$1200,$B$5:$B$1200,$L$156,$C$5:$C$1200,$M156),3))</f>
        <v>CONTRATO SIN SUSPENSIÓN</v>
      </c>
      <c r="O156" s="781"/>
    </row>
    <row r="157" spans="2:15">
      <c r="B157" s="319"/>
      <c r="C157" s="319"/>
      <c r="D157" s="320"/>
      <c r="E157" s="320"/>
      <c r="F157" s="320"/>
      <c r="G157" s="465" t="str">
        <f t="shared" si="15"/>
        <v/>
      </c>
      <c r="L157" s="782"/>
      <c r="M157" s="380">
        <v>2</v>
      </c>
      <c r="N157" s="781" t="str">
        <f t="shared" si="18"/>
        <v>CONTRATO SIN SUSPENSIÓN</v>
      </c>
      <c r="O157" s="781"/>
    </row>
    <row r="158" spans="2:15">
      <c r="B158" s="319"/>
      <c r="C158" s="319"/>
      <c r="D158" s="320"/>
      <c r="E158" s="320"/>
      <c r="F158" s="320"/>
      <c r="G158" s="465" t="str">
        <f t="shared" si="15"/>
        <v/>
      </c>
      <c r="L158" s="782"/>
      <c r="M158" s="380">
        <v>3</v>
      </c>
      <c r="N158" s="781" t="str">
        <f t="shared" si="18"/>
        <v>CONTRATO SIN SUSPENSIÓN</v>
      </c>
      <c r="O158" s="781"/>
    </row>
    <row r="159" spans="2:15">
      <c r="B159" s="319"/>
      <c r="C159" s="319"/>
      <c r="D159" s="320"/>
      <c r="E159" s="320"/>
      <c r="F159" s="320"/>
      <c r="G159" s="465" t="str">
        <f t="shared" si="15"/>
        <v/>
      </c>
      <c r="L159" s="782"/>
      <c r="M159" s="380">
        <v>4</v>
      </c>
      <c r="N159" s="781" t="str">
        <f t="shared" si="18"/>
        <v>CONTRATO SIN SUSPENSIÓN</v>
      </c>
      <c r="O159" s="781"/>
    </row>
    <row r="160" spans="2:15">
      <c r="B160" s="319"/>
      <c r="C160" s="319"/>
      <c r="D160" s="320"/>
      <c r="E160" s="320"/>
      <c r="F160" s="320"/>
      <c r="G160" s="465" t="str">
        <f t="shared" si="15"/>
        <v/>
      </c>
      <c r="L160" s="782"/>
      <c r="M160" s="380">
        <v>5</v>
      </c>
      <c r="N160" s="781" t="str">
        <f t="shared" si="18"/>
        <v>CONTRATO SIN SUSPENSIÓN</v>
      </c>
      <c r="O160" s="781"/>
    </row>
    <row r="161" spans="2:15">
      <c r="B161" s="319"/>
      <c r="C161" s="319"/>
      <c r="D161" s="320"/>
      <c r="E161" s="320"/>
      <c r="F161" s="320"/>
      <c r="G161" s="465" t="str">
        <f t="shared" si="15"/>
        <v/>
      </c>
      <c r="L161" s="782"/>
      <c r="M161" s="380">
        <v>6</v>
      </c>
      <c r="N161" s="781" t="str">
        <f t="shared" si="18"/>
        <v>CONTRATO SIN SUSPENSIÓN</v>
      </c>
      <c r="O161" s="781"/>
    </row>
    <row r="162" spans="2:15">
      <c r="B162" s="319"/>
      <c r="C162" s="319"/>
      <c r="D162" s="320"/>
      <c r="E162" s="320"/>
      <c r="F162" s="320"/>
      <c r="G162" s="465" t="str">
        <f t="shared" si="15"/>
        <v/>
      </c>
      <c r="L162" s="782"/>
      <c r="M162" s="380">
        <v>7</v>
      </c>
      <c r="N162" s="781" t="str">
        <f t="shared" si="18"/>
        <v>CONTRATO SIN SUSPENSIÓN</v>
      </c>
      <c r="O162" s="781"/>
    </row>
    <row r="163" spans="2:15">
      <c r="B163" s="319"/>
      <c r="C163" s="319"/>
      <c r="D163" s="320"/>
      <c r="E163" s="320"/>
      <c r="F163" s="320"/>
      <c r="G163" s="465" t="str">
        <f t="shared" si="15"/>
        <v/>
      </c>
      <c r="L163" s="782"/>
      <c r="M163" s="380">
        <v>8</v>
      </c>
      <c r="N163" s="781" t="str">
        <f t="shared" si="18"/>
        <v>CONTRATO SIN SUSPENSIÓN</v>
      </c>
      <c r="O163" s="781"/>
    </row>
    <row r="164" spans="2:15">
      <c r="B164" s="319"/>
      <c r="C164" s="319"/>
      <c r="D164" s="320"/>
      <c r="E164" s="320"/>
      <c r="F164" s="320"/>
      <c r="G164" s="465" t="str">
        <f t="shared" si="15"/>
        <v/>
      </c>
      <c r="L164" s="782"/>
      <c r="M164" s="380">
        <v>9</v>
      </c>
      <c r="N164" s="781" t="str">
        <f t="shared" si="18"/>
        <v>CONTRATO SIN SUSPENSIÓN</v>
      </c>
      <c r="O164" s="781"/>
    </row>
    <row r="165" spans="2:15">
      <c r="B165" s="319"/>
      <c r="C165" s="319"/>
      <c r="D165" s="320"/>
      <c r="E165" s="320"/>
      <c r="F165" s="320"/>
      <c r="G165" s="465" t="str">
        <f t="shared" si="15"/>
        <v/>
      </c>
      <c r="L165" s="782"/>
      <c r="M165" s="380">
        <v>10</v>
      </c>
      <c r="N165" s="781" t="str">
        <f t="shared" si="18"/>
        <v>CONTRATO SIN SUSPENSIÓN</v>
      </c>
      <c r="O165" s="781"/>
    </row>
    <row r="166" spans="2:15">
      <c r="B166" s="319"/>
      <c r="C166" s="319"/>
      <c r="D166" s="320"/>
      <c r="E166" s="320"/>
      <c r="F166" s="320"/>
      <c r="G166" s="465" t="str">
        <f t="shared" si="15"/>
        <v/>
      </c>
      <c r="L166" s="782">
        <v>17</v>
      </c>
      <c r="M166" s="380">
        <v>1</v>
      </c>
      <c r="N166" s="781" t="str">
        <f t="shared" ref="N166:N175" si="19">IF(SUMIFS($G$5:$G$1200,$B$5:$B$1200,$L$166,$C$5:$C$1200,$M166)=0,"CONTRATO SIN SUSPENSIÓN",ROUND(SUMIFS($G$5:$G$1200,$B$5:$B$1200,$L$166,$C$5:$C$1200,$M166),3))</f>
        <v>CONTRATO SIN SUSPENSIÓN</v>
      </c>
      <c r="O166" s="781"/>
    </row>
    <row r="167" spans="2:15">
      <c r="B167" s="319"/>
      <c r="C167" s="319"/>
      <c r="D167" s="320"/>
      <c r="E167" s="320"/>
      <c r="F167" s="320"/>
      <c r="G167" s="465" t="str">
        <f t="shared" si="15"/>
        <v/>
      </c>
      <c r="L167" s="782"/>
      <c r="M167" s="380">
        <v>2</v>
      </c>
      <c r="N167" s="781" t="str">
        <f t="shared" si="19"/>
        <v>CONTRATO SIN SUSPENSIÓN</v>
      </c>
      <c r="O167" s="781"/>
    </row>
    <row r="168" spans="2:15">
      <c r="B168" s="319"/>
      <c r="C168" s="319"/>
      <c r="D168" s="320"/>
      <c r="E168" s="320"/>
      <c r="F168" s="320"/>
      <c r="G168" s="465" t="str">
        <f t="shared" si="15"/>
        <v/>
      </c>
      <c r="L168" s="782"/>
      <c r="M168" s="380">
        <v>3</v>
      </c>
      <c r="N168" s="781" t="str">
        <f t="shared" si="19"/>
        <v>CONTRATO SIN SUSPENSIÓN</v>
      </c>
      <c r="O168" s="781"/>
    </row>
    <row r="169" spans="2:15">
      <c r="B169" s="319"/>
      <c r="C169" s="319"/>
      <c r="D169" s="320"/>
      <c r="E169" s="320"/>
      <c r="F169" s="320"/>
      <c r="G169" s="465" t="str">
        <f t="shared" si="15"/>
        <v/>
      </c>
      <c r="L169" s="782"/>
      <c r="M169" s="380">
        <v>4</v>
      </c>
      <c r="N169" s="781" t="str">
        <f t="shared" si="19"/>
        <v>CONTRATO SIN SUSPENSIÓN</v>
      </c>
      <c r="O169" s="781"/>
    </row>
    <row r="170" spans="2:15">
      <c r="B170" s="319"/>
      <c r="C170" s="319"/>
      <c r="D170" s="320"/>
      <c r="E170" s="320"/>
      <c r="F170" s="320"/>
      <c r="G170" s="465" t="str">
        <f t="shared" si="15"/>
        <v/>
      </c>
      <c r="L170" s="782"/>
      <c r="M170" s="380">
        <v>5</v>
      </c>
      <c r="N170" s="781" t="str">
        <f t="shared" si="19"/>
        <v>CONTRATO SIN SUSPENSIÓN</v>
      </c>
      <c r="O170" s="781"/>
    </row>
    <row r="171" spans="2:15">
      <c r="B171" s="319"/>
      <c r="C171" s="319"/>
      <c r="D171" s="320"/>
      <c r="E171" s="320"/>
      <c r="F171" s="320"/>
      <c r="G171" s="465" t="str">
        <f t="shared" si="15"/>
        <v/>
      </c>
      <c r="L171" s="782"/>
      <c r="M171" s="380">
        <v>6</v>
      </c>
      <c r="N171" s="781" t="str">
        <f t="shared" si="19"/>
        <v>CONTRATO SIN SUSPENSIÓN</v>
      </c>
      <c r="O171" s="781"/>
    </row>
    <row r="172" spans="2:15">
      <c r="B172" s="319"/>
      <c r="C172" s="319"/>
      <c r="D172" s="320"/>
      <c r="E172" s="320"/>
      <c r="F172" s="320"/>
      <c r="G172" s="465" t="str">
        <f t="shared" si="15"/>
        <v/>
      </c>
      <c r="L172" s="782"/>
      <c r="M172" s="380">
        <v>7</v>
      </c>
      <c r="N172" s="781" t="str">
        <f t="shared" si="19"/>
        <v>CONTRATO SIN SUSPENSIÓN</v>
      </c>
      <c r="O172" s="781"/>
    </row>
    <row r="173" spans="2:15">
      <c r="B173" s="319"/>
      <c r="C173" s="319"/>
      <c r="D173" s="320"/>
      <c r="E173" s="320"/>
      <c r="F173" s="320"/>
      <c r="G173" s="465" t="str">
        <f t="shared" si="15"/>
        <v/>
      </c>
      <c r="L173" s="782"/>
      <c r="M173" s="380">
        <v>8</v>
      </c>
      <c r="N173" s="781" t="str">
        <f t="shared" si="19"/>
        <v>CONTRATO SIN SUSPENSIÓN</v>
      </c>
      <c r="O173" s="781"/>
    </row>
    <row r="174" spans="2:15">
      <c r="B174" s="319"/>
      <c r="C174" s="319"/>
      <c r="D174" s="320"/>
      <c r="E174" s="320"/>
      <c r="F174" s="320"/>
      <c r="G174" s="465" t="str">
        <f t="shared" si="15"/>
        <v/>
      </c>
      <c r="L174" s="782"/>
      <c r="M174" s="380">
        <v>9</v>
      </c>
      <c r="N174" s="781" t="str">
        <f t="shared" si="19"/>
        <v>CONTRATO SIN SUSPENSIÓN</v>
      </c>
      <c r="O174" s="781"/>
    </row>
    <row r="175" spans="2:15">
      <c r="B175" s="319"/>
      <c r="C175" s="319"/>
      <c r="D175" s="320"/>
      <c r="E175" s="320"/>
      <c r="F175" s="320"/>
      <c r="G175" s="465" t="str">
        <f t="shared" si="15"/>
        <v/>
      </c>
      <c r="L175" s="782"/>
      <c r="M175" s="380">
        <v>10</v>
      </c>
      <c r="N175" s="781" t="str">
        <f t="shared" si="19"/>
        <v>CONTRATO SIN SUSPENSIÓN</v>
      </c>
      <c r="O175" s="781"/>
    </row>
    <row r="176" spans="2:15">
      <c r="B176" s="319"/>
      <c r="C176" s="319"/>
      <c r="D176" s="320"/>
      <c r="E176" s="320"/>
      <c r="F176" s="320"/>
      <c r="G176" s="465" t="str">
        <f t="shared" si="15"/>
        <v/>
      </c>
      <c r="L176" s="782">
        <v>18</v>
      </c>
      <c r="M176" s="380">
        <v>1</v>
      </c>
      <c r="N176" s="781" t="str">
        <f t="shared" ref="N176:N185" si="20">IF(SUMIFS($G$5:$G$1200,$B$5:$B$1200,$L$176,$C$5:$C$1200,$M176)=0,"CONTRATO SIN SUSPENSIÓN",ROUND(SUMIFS($G$5:$G$1200,$B$5:$B$1200,$L$176,$C$5:$C$1200,$M176),3))</f>
        <v>CONTRATO SIN SUSPENSIÓN</v>
      </c>
      <c r="O176" s="781"/>
    </row>
    <row r="177" spans="2:15">
      <c r="B177" s="319"/>
      <c r="C177" s="319"/>
      <c r="D177" s="320"/>
      <c r="E177" s="320"/>
      <c r="F177" s="320"/>
      <c r="G177" s="465" t="str">
        <f t="shared" si="15"/>
        <v/>
      </c>
      <c r="L177" s="782"/>
      <c r="M177" s="380">
        <v>2</v>
      </c>
      <c r="N177" s="781" t="str">
        <f t="shared" si="20"/>
        <v>CONTRATO SIN SUSPENSIÓN</v>
      </c>
      <c r="O177" s="781"/>
    </row>
    <row r="178" spans="2:15">
      <c r="B178" s="319"/>
      <c r="C178" s="319"/>
      <c r="D178" s="320"/>
      <c r="E178" s="320"/>
      <c r="F178" s="320"/>
      <c r="G178" s="465" t="str">
        <f t="shared" si="15"/>
        <v/>
      </c>
      <c r="L178" s="782"/>
      <c r="M178" s="380">
        <v>3</v>
      </c>
      <c r="N178" s="781" t="str">
        <f t="shared" si="20"/>
        <v>CONTRATO SIN SUSPENSIÓN</v>
      </c>
      <c r="O178" s="781"/>
    </row>
    <row r="179" spans="2:15">
      <c r="B179" s="319"/>
      <c r="C179" s="319"/>
      <c r="D179" s="320"/>
      <c r="E179" s="320"/>
      <c r="F179" s="320"/>
      <c r="G179" s="465" t="str">
        <f t="shared" si="15"/>
        <v/>
      </c>
      <c r="L179" s="782"/>
      <c r="M179" s="380">
        <v>4</v>
      </c>
      <c r="N179" s="781" t="str">
        <f t="shared" si="20"/>
        <v>CONTRATO SIN SUSPENSIÓN</v>
      </c>
      <c r="O179" s="781"/>
    </row>
    <row r="180" spans="2:15">
      <c r="B180" s="319"/>
      <c r="C180" s="319"/>
      <c r="D180" s="320"/>
      <c r="E180" s="320"/>
      <c r="F180" s="320"/>
      <c r="G180" s="465" t="str">
        <f t="shared" si="15"/>
        <v/>
      </c>
      <c r="L180" s="782"/>
      <c r="M180" s="380">
        <v>5</v>
      </c>
      <c r="N180" s="781" t="str">
        <f t="shared" si="20"/>
        <v>CONTRATO SIN SUSPENSIÓN</v>
      </c>
      <c r="O180" s="781"/>
    </row>
    <row r="181" spans="2:15">
      <c r="B181" s="319"/>
      <c r="C181" s="319"/>
      <c r="D181" s="320"/>
      <c r="E181" s="320"/>
      <c r="F181" s="320"/>
      <c r="G181" s="465" t="str">
        <f t="shared" si="15"/>
        <v/>
      </c>
      <c r="L181" s="782"/>
      <c r="M181" s="380">
        <v>6</v>
      </c>
      <c r="N181" s="781" t="str">
        <f t="shared" si="20"/>
        <v>CONTRATO SIN SUSPENSIÓN</v>
      </c>
      <c r="O181" s="781"/>
    </row>
    <row r="182" spans="2:15">
      <c r="B182" s="319"/>
      <c r="C182" s="319"/>
      <c r="D182" s="320"/>
      <c r="E182" s="320"/>
      <c r="F182" s="320"/>
      <c r="G182" s="465" t="str">
        <f t="shared" si="15"/>
        <v/>
      </c>
      <c r="L182" s="782"/>
      <c r="M182" s="380">
        <v>7</v>
      </c>
      <c r="N182" s="781" t="str">
        <f t="shared" si="20"/>
        <v>CONTRATO SIN SUSPENSIÓN</v>
      </c>
      <c r="O182" s="781"/>
    </row>
    <row r="183" spans="2:15">
      <c r="B183" s="319"/>
      <c r="C183" s="319"/>
      <c r="D183" s="320"/>
      <c r="E183" s="320"/>
      <c r="F183" s="320"/>
      <c r="G183" s="465" t="str">
        <f t="shared" si="15"/>
        <v/>
      </c>
      <c r="L183" s="782"/>
      <c r="M183" s="380">
        <v>8</v>
      </c>
      <c r="N183" s="781" t="str">
        <f t="shared" si="20"/>
        <v>CONTRATO SIN SUSPENSIÓN</v>
      </c>
      <c r="O183" s="781"/>
    </row>
    <row r="184" spans="2:15">
      <c r="B184" s="319"/>
      <c r="C184" s="319"/>
      <c r="D184" s="320"/>
      <c r="E184" s="320"/>
      <c r="F184" s="320"/>
      <c r="G184" s="465" t="str">
        <f t="shared" si="15"/>
        <v/>
      </c>
      <c r="L184" s="782"/>
      <c r="M184" s="380">
        <v>9</v>
      </c>
      <c r="N184" s="781" t="str">
        <f t="shared" si="20"/>
        <v>CONTRATO SIN SUSPENSIÓN</v>
      </c>
      <c r="O184" s="781"/>
    </row>
    <row r="185" spans="2:15">
      <c r="B185" s="319"/>
      <c r="C185" s="319"/>
      <c r="D185" s="320"/>
      <c r="E185" s="320"/>
      <c r="F185" s="320"/>
      <c r="G185" s="465" t="str">
        <f t="shared" si="15"/>
        <v/>
      </c>
      <c r="L185" s="782"/>
      <c r="M185" s="380">
        <v>10</v>
      </c>
      <c r="N185" s="781" t="str">
        <f t="shared" si="20"/>
        <v>CONTRATO SIN SUSPENSIÓN</v>
      </c>
      <c r="O185" s="781"/>
    </row>
    <row r="186" spans="2:15">
      <c r="B186" s="319"/>
      <c r="C186" s="319"/>
      <c r="D186" s="320"/>
      <c r="E186" s="320"/>
      <c r="F186" s="320"/>
      <c r="G186" s="465" t="str">
        <f t="shared" si="15"/>
        <v/>
      </c>
      <c r="L186" s="782">
        <v>19</v>
      </c>
      <c r="M186" s="380">
        <v>1</v>
      </c>
      <c r="N186" s="781" t="str">
        <f t="shared" ref="N186:N195" si="21">IF(SUMIFS($G$5:$G$1200,$B$5:$B$1200,$L$186,$C$5:$C$1200,$M186)=0,"CONTRATO SIN SUSPENSIÓN",ROUND(SUMIFS($G$5:$G$1200,$B$5:$B$1200,$L$186,$C$5:$C$1200,$M186),3))</f>
        <v>CONTRATO SIN SUSPENSIÓN</v>
      </c>
      <c r="O186" s="781"/>
    </row>
    <row r="187" spans="2:15">
      <c r="B187" s="319"/>
      <c r="C187" s="319"/>
      <c r="D187" s="320"/>
      <c r="E187" s="320"/>
      <c r="F187" s="320"/>
      <c r="G187" s="465" t="str">
        <f t="shared" si="15"/>
        <v/>
      </c>
      <c r="L187" s="782"/>
      <c r="M187" s="380">
        <v>2</v>
      </c>
      <c r="N187" s="781" t="str">
        <f t="shared" si="21"/>
        <v>CONTRATO SIN SUSPENSIÓN</v>
      </c>
      <c r="O187" s="781"/>
    </row>
    <row r="188" spans="2:15">
      <c r="B188" s="319"/>
      <c r="C188" s="319"/>
      <c r="D188" s="320"/>
      <c r="E188" s="320"/>
      <c r="F188" s="320"/>
      <c r="G188" s="465" t="str">
        <f t="shared" si="15"/>
        <v/>
      </c>
      <c r="L188" s="782"/>
      <c r="M188" s="380">
        <v>3</v>
      </c>
      <c r="N188" s="781" t="str">
        <f t="shared" si="21"/>
        <v>CONTRATO SIN SUSPENSIÓN</v>
      </c>
      <c r="O188" s="781"/>
    </row>
    <row r="189" spans="2:15">
      <c r="B189" s="319"/>
      <c r="C189" s="319"/>
      <c r="D189" s="320"/>
      <c r="E189" s="320"/>
      <c r="F189" s="320"/>
      <c r="G189" s="465" t="str">
        <f t="shared" si="15"/>
        <v/>
      </c>
      <c r="L189" s="782"/>
      <c r="M189" s="380">
        <v>4</v>
      </c>
      <c r="N189" s="781" t="str">
        <f t="shared" si="21"/>
        <v>CONTRATO SIN SUSPENSIÓN</v>
      </c>
      <c r="O189" s="781"/>
    </row>
    <row r="190" spans="2:15">
      <c r="B190" s="319"/>
      <c r="C190" s="319"/>
      <c r="D190" s="320"/>
      <c r="E190" s="320"/>
      <c r="F190" s="320"/>
      <c r="G190" s="465" t="str">
        <f t="shared" si="15"/>
        <v/>
      </c>
      <c r="L190" s="782"/>
      <c r="M190" s="380">
        <v>5</v>
      </c>
      <c r="N190" s="781" t="str">
        <f t="shared" si="21"/>
        <v>CONTRATO SIN SUSPENSIÓN</v>
      </c>
      <c r="O190" s="781"/>
    </row>
    <row r="191" spans="2:15">
      <c r="B191" s="319"/>
      <c r="C191" s="319"/>
      <c r="D191" s="320"/>
      <c r="E191" s="320"/>
      <c r="F191" s="320"/>
      <c r="G191" s="465" t="str">
        <f t="shared" si="15"/>
        <v/>
      </c>
      <c r="L191" s="782"/>
      <c r="M191" s="380">
        <v>6</v>
      </c>
      <c r="N191" s="781" t="str">
        <f t="shared" si="21"/>
        <v>CONTRATO SIN SUSPENSIÓN</v>
      </c>
      <c r="O191" s="781"/>
    </row>
    <row r="192" spans="2:15">
      <c r="B192" s="319"/>
      <c r="C192" s="319"/>
      <c r="D192" s="320"/>
      <c r="E192" s="320"/>
      <c r="F192" s="320"/>
      <c r="G192" s="465" t="str">
        <f t="shared" si="15"/>
        <v/>
      </c>
      <c r="L192" s="782"/>
      <c r="M192" s="380">
        <v>7</v>
      </c>
      <c r="N192" s="781" t="str">
        <f t="shared" si="21"/>
        <v>CONTRATO SIN SUSPENSIÓN</v>
      </c>
      <c r="O192" s="781"/>
    </row>
    <row r="193" spans="2:15">
      <c r="B193" s="319"/>
      <c r="C193" s="319"/>
      <c r="D193" s="320"/>
      <c r="E193" s="320"/>
      <c r="F193" s="320"/>
      <c r="G193" s="465" t="str">
        <f t="shared" si="15"/>
        <v/>
      </c>
      <c r="L193" s="782"/>
      <c r="M193" s="380">
        <v>8</v>
      </c>
      <c r="N193" s="781" t="str">
        <f t="shared" si="21"/>
        <v>CONTRATO SIN SUSPENSIÓN</v>
      </c>
      <c r="O193" s="781"/>
    </row>
    <row r="194" spans="2:15">
      <c r="B194" s="319"/>
      <c r="C194" s="319"/>
      <c r="D194" s="320"/>
      <c r="E194" s="320"/>
      <c r="F194" s="320"/>
      <c r="G194" s="465" t="str">
        <f t="shared" si="15"/>
        <v/>
      </c>
      <c r="L194" s="782"/>
      <c r="M194" s="380">
        <v>9</v>
      </c>
      <c r="N194" s="781" t="str">
        <f t="shared" si="21"/>
        <v>CONTRATO SIN SUSPENSIÓN</v>
      </c>
      <c r="O194" s="781"/>
    </row>
    <row r="195" spans="2:15">
      <c r="B195" s="319"/>
      <c r="C195" s="319"/>
      <c r="D195" s="320"/>
      <c r="E195" s="320"/>
      <c r="F195" s="320"/>
      <c r="G195" s="465" t="str">
        <f t="shared" si="15"/>
        <v/>
      </c>
      <c r="L195" s="782"/>
      <c r="M195" s="380">
        <v>10</v>
      </c>
      <c r="N195" s="781" t="str">
        <f t="shared" si="21"/>
        <v>CONTRATO SIN SUSPENSIÓN</v>
      </c>
      <c r="O195" s="781"/>
    </row>
    <row r="196" spans="2:15">
      <c r="B196" s="319"/>
      <c r="C196" s="319"/>
      <c r="D196" s="320"/>
      <c r="E196" s="320"/>
      <c r="F196" s="320"/>
      <c r="G196" s="465" t="str">
        <f t="shared" si="15"/>
        <v/>
      </c>
      <c r="L196" s="782">
        <v>20</v>
      </c>
      <c r="M196" s="380">
        <v>1</v>
      </c>
      <c r="N196" s="781" t="str">
        <f t="shared" ref="N196:N205" si="22">IF(SUMIFS($G$5:$G$1200,$B$5:$B$1200,$L$196,$C$5:$C$1200,$M196)=0,"CONTRATO SIN SUSPENSIÓN",ROUND(SUMIFS($G$5:$G$1200,$B$5:$B$1200,$L$196,$C$5:$C$1200,$M196),3))</f>
        <v>CONTRATO SIN SUSPENSIÓN</v>
      </c>
      <c r="O196" s="781"/>
    </row>
    <row r="197" spans="2:15">
      <c r="B197" s="319"/>
      <c r="C197" s="319"/>
      <c r="D197" s="320"/>
      <c r="E197" s="320"/>
      <c r="F197" s="320"/>
      <c r="G197" s="465" t="str">
        <f t="shared" si="15"/>
        <v/>
      </c>
      <c r="L197" s="782"/>
      <c r="M197" s="380">
        <v>2</v>
      </c>
      <c r="N197" s="781" t="str">
        <f t="shared" si="22"/>
        <v>CONTRATO SIN SUSPENSIÓN</v>
      </c>
      <c r="O197" s="781"/>
    </row>
    <row r="198" spans="2:15">
      <c r="B198" s="319"/>
      <c r="C198" s="319"/>
      <c r="D198" s="320"/>
      <c r="E198" s="320"/>
      <c r="F198" s="320"/>
      <c r="G198" s="465" t="str">
        <f t="shared" ref="G198:G261" si="23">IF(OR(AND(D198="",E198=""),AND(D198="",F198="")),"",IF(AND(D198&lt;&gt;"",E198&lt;&gt;"",F198&lt;&gt;""),"REVISAR CÁLCULO",IF(AND(D198&lt;&gt;"",F198&lt;&gt;""),ROUND(((F198-D198)/30),3),IF(AND(D198&lt;&gt;"",E198&lt;&gt;""),ROUND(((E198-D198+1)/30),3),""))))</f>
        <v/>
      </c>
      <c r="L198" s="782"/>
      <c r="M198" s="380">
        <v>3</v>
      </c>
      <c r="N198" s="781" t="str">
        <f t="shared" si="22"/>
        <v>CONTRATO SIN SUSPENSIÓN</v>
      </c>
      <c r="O198" s="781"/>
    </row>
    <row r="199" spans="2:15">
      <c r="B199" s="319"/>
      <c r="C199" s="319"/>
      <c r="D199" s="320"/>
      <c r="E199" s="320"/>
      <c r="F199" s="320"/>
      <c r="G199" s="465" t="str">
        <f t="shared" si="23"/>
        <v/>
      </c>
      <c r="L199" s="782"/>
      <c r="M199" s="380">
        <v>4</v>
      </c>
      <c r="N199" s="781" t="str">
        <f t="shared" si="22"/>
        <v>CONTRATO SIN SUSPENSIÓN</v>
      </c>
      <c r="O199" s="781"/>
    </row>
    <row r="200" spans="2:15">
      <c r="B200" s="319"/>
      <c r="C200" s="319"/>
      <c r="D200" s="320"/>
      <c r="E200" s="320"/>
      <c r="F200" s="320"/>
      <c r="G200" s="465" t="str">
        <f t="shared" si="23"/>
        <v/>
      </c>
      <c r="L200" s="782"/>
      <c r="M200" s="380">
        <v>5</v>
      </c>
      <c r="N200" s="781" t="str">
        <f t="shared" si="22"/>
        <v>CONTRATO SIN SUSPENSIÓN</v>
      </c>
      <c r="O200" s="781"/>
    </row>
    <row r="201" spans="2:15">
      <c r="B201" s="319"/>
      <c r="C201" s="319"/>
      <c r="D201" s="320"/>
      <c r="E201" s="320"/>
      <c r="F201" s="320"/>
      <c r="G201" s="465" t="str">
        <f t="shared" si="23"/>
        <v/>
      </c>
      <c r="L201" s="782"/>
      <c r="M201" s="380">
        <v>6</v>
      </c>
      <c r="N201" s="781" t="str">
        <f t="shared" si="22"/>
        <v>CONTRATO SIN SUSPENSIÓN</v>
      </c>
      <c r="O201" s="781"/>
    </row>
    <row r="202" spans="2:15">
      <c r="B202" s="319"/>
      <c r="C202" s="319"/>
      <c r="D202" s="320"/>
      <c r="E202" s="320"/>
      <c r="F202" s="320"/>
      <c r="G202" s="465" t="str">
        <f t="shared" si="23"/>
        <v/>
      </c>
      <c r="L202" s="782"/>
      <c r="M202" s="380">
        <v>7</v>
      </c>
      <c r="N202" s="781" t="str">
        <f t="shared" si="22"/>
        <v>CONTRATO SIN SUSPENSIÓN</v>
      </c>
      <c r="O202" s="781"/>
    </row>
    <row r="203" spans="2:15">
      <c r="B203" s="319"/>
      <c r="C203" s="319"/>
      <c r="D203" s="320"/>
      <c r="E203" s="320"/>
      <c r="F203" s="320"/>
      <c r="G203" s="465" t="str">
        <f t="shared" si="23"/>
        <v/>
      </c>
      <c r="L203" s="782"/>
      <c r="M203" s="380">
        <v>8</v>
      </c>
      <c r="N203" s="781" t="str">
        <f t="shared" si="22"/>
        <v>CONTRATO SIN SUSPENSIÓN</v>
      </c>
      <c r="O203" s="781"/>
    </row>
    <row r="204" spans="2:15">
      <c r="B204" s="319"/>
      <c r="C204" s="319"/>
      <c r="D204" s="320"/>
      <c r="E204" s="320"/>
      <c r="F204" s="320"/>
      <c r="G204" s="465" t="str">
        <f t="shared" si="23"/>
        <v/>
      </c>
      <c r="L204" s="782"/>
      <c r="M204" s="380">
        <v>9</v>
      </c>
      <c r="N204" s="781" t="str">
        <f t="shared" si="22"/>
        <v>CONTRATO SIN SUSPENSIÓN</v>
      </c>
      <c r="O204" s="781"/>
    </row>
    <row r="205" spans="2:15">
      <c r="B205" s="319"/>
      <c r="C205" s="319"/>
      <c r="D205" s="320"/>
      <c r="E205" s="320"/>
      <c r="F205" s="320"/>
      <c r="G205" s="465" t="str">
        <f t="shared" si="23"/>
        <v/>
      </c>
      <c r="L205" s="782"/>
      <c r="M205" s="380">
        <v>10</v>
      </c>
      <c r="N205" s="781" t="str">
        <f t="shared" si="22"/>
        <v>CONTRATO SIN SUSPENSIÓN</v>
      </c>
      <c r="O205" s="781"/>
    </row>
    <row r="206" spans="2:15">
      <c r="B206" s="319"/>
      <c r="C206" s="319"/>
      <c r="D206" s="320"/>
      <c r="E206" s="320"/>
      <c r="F206" s="320"/>
      <c r="G206" s="465" t="str">
        <f t="shared" si="23"/>
        <v/>
      </c>
      <c r="L206" s="782">
        <v>21</v>
      </c>
      <c r="M206" s="380">
        <v>1</v>
      </c>
      <c r="N206" s="781" t="str">
        <f t="shared" ref="N206:N215" si="24">IF(SUMIFS($G$5:$G$1200,$B$5:$B$1200,$L$206,$C$5:$C$1200,$M206)=0,"CONTRATO SIN SUSPENSIÓN",ROUND(SUMIFS($G$5:$G$1200,$B$5:$B$1200,$L$206,$C$5:$C$1200,$M206),3))</f>
        <v>CONTRATO SIN SUSPENSIÓN</v>
      </c>
      <c r="O206" s="781"/>
    </row>
    <row r="207" spans="2:15">
      <c r="B207" s="319"/>
      <c r="C207" s="319"/>
      <c r="D207" s="320"/>
      <c r="E207" s="320"/>
      <c r="F207" s="320"/>
      <c r="G207" s="465" t="str">
        <f t="shared" si="23"/>
        <v/>
      </c>
      <c r="L207" s="782"/>
      <c r="M207" s="380">
        <v>2</v>
      </c>
      <c r="N207" s="781" t="str">
        <f t="shared" si="24"/>
        <v>CONTRATO SIN SUSPENSIÓN</v>
      </c>
      <c r="O207" s="781"/>
    </row>
    <row r="208" spans="2:15">
      <c r="B208" s="319"/>
      <c r="C208" s="319"/>
      <c r="D208" s="320"/>
      <c r="E208" s="320"/>
      <c r="F208" s="320"/>
      <c r="G208" s="465" t="str">
        <f t="shared" si="23"/>
        <v/>
      </c>
      <c r="L208" s="782"/>
      <c r="M208" s="380">
        <v>3</v>
      </c>
      <c r="N208" s="781" t="str">
        <f t="shared" si="24"/>
        <v>CONTRATO SIN SUSPENSIÓN</v>
      </c>
      <c r="O208" s="781"/>
    </row>
    <row r="209" spans="2:15">
      <c r="B209" s="319"/>
      <c r="C209" s="319"/>
      <c r="D209" s="320"/>
      <c r="E209" s="320"/>
      <c r="F209" s="320"/>
      <c r="G209" s="465" t="str">
        <f t="shared" si="23"/>
        <v/>
      </c>
      <c r="L209" s="782"/>
      <c r="M209" s="380">
        <v>4</v>
      </c>
      <c r="N209" s="781" t="str">
        <f t="shared" si="24"/>
        <v>CONTRATO SIN SUSPENSIÓN</v>
      </c>
      <c r="O209" s="781"/>
    </row>
    <row r="210" spans="2:15">
      <c r="B210" s="319"/>
      <c r="C210" s="319"/>
      <c r="D210" s="320"/>
      <c r="E210" s="320"/>
      <c r="F210" s="320"/>
      <c r="G210" s="465" t="str">
        <f t="shared" si="23"/>
        <v/>
      </c>
      <c r="L210" s="782"/>
      <c r="M210" s="380">
        <v>5</v>
      </c>
      <c r="N210" s="781" t="str">
        <f t="shared" si="24"/>
        <v>CONTRATO SIN SUSPENSIÓN</v>
      </c>
      <c r="O210" s="781"/>
    </row>
    <row r="211" spans="2:15">
      <c r="B211" s="319"/>
      <c r="C211" s="319"/>
      <c r="D211" s="320"/>
      <c r="E211" s="320"/>
      <c r="F211" s="320"/>
      <c r="G211" s="465" t="str">
        <f t="shared" si="23"/>
        <v/>
      </c>
      <c r="L211" s="782"/>
      <c r="M211" s="380">
        <v>6</v>
      </c>
      <c r="N211" s="781" t="str">
        <f t="shared" si="24"/>
        <v>CONTRATO SIN SUSPENSIÓN</v>
      </c>
      <c r="O211" s="781"/>
    </row>
    <row r="212" spans="2:15">
      <c r="B212" s="319"/>
      <c r="C212" s="319"/>
      <c r="D212" s="320"/>
      <c r="E212" s="320"/>
      <c r="F212" s="320"/>
      <c r="G212" s="465" t="str">
        <f t="shared" si="23"/>
        <v/>
      </c>
      <c r="L212" s="782"/>
      <c r="M212" s="380">
        <v>7</v>
      </c>
      <c r="N212" s="781" t="str">
        <f t="shared" si="24"/>
        <v>CONTRATO SIN SUSPENSIÓN</v>
      </c>
      <c r="O212" s="781"/>
    </row>
    <row r="213" spans="2:15">
      <c r="B213" s="319"/>
      <c r="C213" s="319"/>
      <c r="D213" s="320"/>
      <c r="E213" s="320"/>
      <c r="F213" s="320"/>
      <c r="G213" s="465" t="str">
        <f t="shared" si="23"/>
        <v/>
      </c>
      <c r="L213" s="782"/>
      <c r="M213" s="380">
        <v>8</v>
      </c>
      <c r="N213" s="781" t="str">
        <f t="shared" si="24"/>
        <v>CONTRATO SIN SUSPENSIÓN</v>
      </c>
      <c r="O213" s="781"/>
    </row>
    <row r="214" spans="2:15">
      <c r="B214" s="319"/>
      <c r="C214" s="319"/>
      <c r="D214" s="320"/>
      <c r="E214" s="320"/>
      <c r="F214" s="320"/>
      <c r="G214" s="465" t="str">
        <f t="shared" si="23"/>
        <v/>
      </c>
      <c r="L214" s="782"/>
      <c r="M214" s="380">
        <v>9</v>
      </c>
      <c r="N214" s="781" t="str">
        <f t="shared" si="24"/>
        <v>CONTRATO SIN SUSPENSIÓN</v>
      </c>
      <c r="O214" s="781"/>
    </row>
    <row r="215" spans="2:15">
      <c r="B215" s="319"/>
      <c r="C215" s="319"/>
      <c r="D215" s="320"/>
      <c r="E215" s="320"/>
      <c r="F215" s="320"/>
      <c r="G215" s="465" t="str">
        <f t="shared" si="23"/>
        <v/>
      </c>
      <c r="L215" s="782"/>
      <c r="M215" s="380">
        <v>10</v>
      </c>
      <c r="N215" s="781" t="str">
        <f t="shared" si="24"/>
        <v>CONTRATO SIN SUSPENSIÓN</v>
      </c>
      <c r="O215" s="781"/>
    </row>
    <row r="216" spans="2:15">
      <c r="B216" s="319"/>
      <c r="C216" s="319"/>
      <c r="D216" s="320"/>
      <c r="E216" s="320"/>
      <c r="F216" s="320"/>
      <c r="G216" s="465" t="str">
        <f t="shared" si="23"/>
        <v/>
      </c>
      <c r="L216" s="782">
        <v>22</v>
      </c>
      <c r="M216" s="380">
        <v>1</v>
      </c>
      <c r="N216" s="781" t="str">
        <f t="shared" ref="N216:N225" si="25">IF(SUMIFS($G$5:$G$1200,$B$5:$B$1200,$L$216,$C$5:$C$1200,$M216)=0,"CONTRATO SIN SUSPENSIÓN",ROUND(SUMIFS($G$5:$G$1200,$B$5:$B$1200,$L$216,$C$5:$C$1200,$M216),3))</f>
        <v>CONTRATO SIN SUSPENSIÓN</v>
      </c>
      <c r="O216" s="781"/>
    </row>
    <row r="217" spans="2:15">
      <c r="B217" s="319"/>
      <c r="C217" s="319"/>
      <c r="D217" s="320"/>
      <c r="E217" s="320"/>
      <c r="F217" s="320"/>
      <c r="G217" s="465" t="str">
        <f t="shared" si="23"/>
        <v/>
      </c>
      <c r="L217" s="782"/>
      <c r="M217" s="380">
        <v>2</v>
      </c>
      <c r="N217" s="781" t="str">
        <f t="shared" si="25"/>
        <v>CONTRATO SIN SUSPENSIÓN</v>
      </c>
      <c r="O217" s="781"/>
    </row>
    <row r="218" spans="2:15">
      <c r="B218" s="319"/>
      <c r="C218" s="319"/>
      <c r="D218" s="320"/>
      <c r="E218" s="320"/>
      <c r="F218" s="320"/>
      <c r="G218" s="465" t="str">
        <f t="shared" si="23"/>
        <v/>
      </c>
      <c r="L218" s="782"/>
      <c r="M218" s="380">
        <v>3</v>
      </c>
      <c r="N218" s="781" t="str">
        <f t="shared" si="25"/>
        <v>CONTRATO SIN SUSPENSIÓN</v>
      </c>
      <c r="O218" s="781"/>
    </row>
    <row r="219" spans="2:15">
      <c r="B219" s="319"/>
      <c r="C219" s="319"/>
      <c r="D219" s="320"/>
      <c r="E219" s="320"/>
      <c r="F219" s="320"/>
      <c r="G219" s="465" t="str">
        <f t="shared" si="23"/>
        <v/>
      </c>
      <c r="L219" s="782"/>
      <c r="M219" s="380">
        <v>4</v>
      </c>
      <c r="N219" s="781" t="str">
        <f t="shared" si="25"/>
        <v>CONTRATO SIN SUSPENSIÓN</v>
      </c>
      <c r="O219" s="781"/>
    </row>
    <row r="220" spans="2:15">
      <c r="B220" s="319"/>
      <c r="C220" s="319"/>
      <c r="D220" s="320"/>
      <c r="E220" s="320"/>
      <c r="F220" s="320"/>
      <c r="G220" s="465" t="str">
        <f t="shared" si="23"/>
        <v/>
      </c>
      <c r="L220" s="782"/>
      <c r="M220" s="380">
        <v>5</v>
      </c>
      <c r="N220" s="781" t="str">
        <f t="shared" si="25"/>
        <v>CONTRATO SIN SUSPENSIÓN</v>
      </c>
      <c r="O220" s="781"/>
    </row>
    <row r="221" spans="2:15">
      <c r="B221" s="319"/>
      <c r="C221" s="319"/>
      <c r="D221" s="320"/>
      <c r="E221" s="320"/>
      <c r="F221" s="320"/>
      <c r="G221" s="465" t="str">
        <f t="shared" si="23"/>
        <v/>
      </c>
      <c r="L221" s="782"/>
      <c r="M221" s="380">
        <v>6</v>
      </c>
      <c r="N221" s="781" t="str">
        <f t="shared" si="25"/>
        <v>CONTRATO SIN SUSPENSIÓN</v>
      </c>
      <c r="O221" s="781"/>
    </row>
    <row r="222" spans="2:15">
      <c r="B222" s="319"/>
      <c r="C222" s="319"/>
      <c r="D222" s="320"/>
      <c r="E222" s="320"/>
      <c r="F222" s="320"/>
      <c r="G222" s="465" t="str">
        <f t="shared" si="23"/>
        <v/>
      </c>
      <c r="L222" s="782"/>
      <c r="M222" s="380">
        <v>7</v>
      </c>
      <c r="N222" s="781" t="str">
        <f t="shared" si="25"/>
        <v>CONTRATO SIN SUSPENSIÓN</v>
      </c>
      <c r="O222" s="781"/>
    </row>
    <row r="223" spans="2:15">
      <c r="B223" s="319"/>
      <c r="C223" s="319"/>
      <c r="D223" s="320"/>
      <c r="E223" s="320"/>
      <c r="F223" s="320"/>
      <c r="G223" s="465" t="str">
        <f t="shared" si="23"/>
        <v/>
      </c>
      <c r="L223" s="782"/>
      <c r="M223" s="380">
        <v>8</v>
      </c>
      <c r="N223" s="781" t="str">
        <f t="shared" si="25"/>
        <v>CONTRATO SIN SUSPENSIÓN</v>
      </c>
      <c r="O223" s="781"/>
    </row>
    <row r="224" spans="2:15">
      <c r="B224" s="319"/>
      <c r="C224" s="319"/>
      <c r="D224" s="320"/>
      <c r="E224" s="320"/>
      <c r="F224" s="320"/>
      <c r="G224" s="465" t="str">
        <f t="shared" si="23"/>
        <v/>
      </c>
      <c r="L224" s="782"/>
      <c r="M224" s="380">
        <v>9</v>
      </c>
      <c r="N224" s="781" t="str">
        <f t="shared" si="25"/>
        <v>CONTRATO SIN SUSPENSIÓN</v>
      </c>
      <c r="O224" s="781"/>
    </row>
    <row r="225" spans="2:15">
      <c r="B225" s="319"/>
      <c r="C225" s="319"/>
      <c r="D225" s="320"/>
      <c r="E225" s="320"/>
      <c r="F225" s="320"/>
      <c r="G225" s="465" t="str">
        <f t="shared" si="23"/>
        <v/>
      </c>
      <c r="L225" s="782"/>
      <c r="M225" s="380">
        <v>10</v>
      </c>
      <c r="N225" s="781" t="str">
        <f t="shared" si="25"/>
        <v>CONTRATO SIN SUSPENSIÓN</v>
      </c>
      <c r="O225" s="781"/>
    </row>
    <row r="226" spans="2:15">
      <c r="B226" s="319"/>
      <c r="C226" s="319"/>
      <c r="D226" s="320"/>
      <c r="E226" s="320"/>
      <c r="F226" s="320"/>
      <c r="G226" s="465" t="str">
        <f t="shared" si="23"/>
        <v/>
      </c>
      <c r="L226" s="782">
        <v>23</v>
      </c>
      <c r="M226" s="380">
        <v>1</v>
      </c>
      <c r="N226" s="781" t="str">
        <f t="shared" ref="N226:N235" si="26">IF(SUMIFS($G$5:$G$1200,$B$5:$B$1200,$L$226,$C$5:$C$1200,$M226)=0,"CONTRATO SIN SUSPENSIÓN",ROUND(SUMIFS($G$5:$G$1200,$B$5:$B$1200,$L$226,$C$5:$C$1200,$M226),3))</f>
        <v>CONTRATO SIN SUSPENSIÓN</v>
      </c>
      <c r="O226" s="781"/>
    </row>
    <row r="227" spans="2:15">
      <c r="B227" s="319"/>
      <c r="C227" s="319"/>
      <c r="D227" s="320"/>
      <c r="E227" s="320"/>
      <c r="F227" s="320"/>
      <c r="G227" s="465" t="str">
        <f t="shared" si="23"/>
        <v/>
      </c>
      <c r="L227" s="782"/>
      <c r="M227" s="380">
        <v>2</v>
      </c>
      <c r="N227" s="781" t="str">
        <f t="shared" si="26"/>
        <v>CONTRATO SIN SUSPENSIÓN</v>
      </c>
      <c r="O227" s="781"/>
    </row>
    <row r="228" spans="2:15">
      <c r="B228" s="319"/>
      <c r="C228" s="319"/>
      <c r="D228" s="320"/>
      <c r="E228" s="320"/>
      <c r="F228" s="320"/>
      <c r="G228" s="465" t="str">
        <f t="shared" si="23"/>
        <v/>
      </c>
      <c r="L228" s="782"/>
      <c r="M228" s="380">
        <v>3</v>
      </c>
      <c r="N228" s="781" t="str">
        <f t="shared" si="26"/>
        <v>CONTRATO SIN SUSPENSIÓN</v>
      </c>
      <c r="O228" s="781"/>
    </row>
    <row r="229" spans="2:15">
      <c r="B229" s="319"/>
      <c r="C229" s="319"/>
      <c r="D229" s="320"/>
      <c r="E229" s="320"/>
      <c r="F229" s="320"/>
      <c r="G229" s="465" t="str">
        <f t="shared" si="23"/>
        <v/>
      </c>
      <c r="L229" s="782"/>
      <c r="M229" s="380">
        <v>4</v>
      </c>
      <c r="N229" s="781" t="str">
        <f t="shared" si="26"/>
        <v>CONTRATO SIN SUSPENSIÓN</v>
      </c>
      <c r="O229" s="781"/>
    </row>
    <row r="230" spans="2:15">
      <c r="B230" s="319"/>
      <c r="C230" s="319"/>
      <c r="D230" s="320"/>
      <c r="E230" s="320"/>
      <c r="F230" s="320"/>
      <c r="G230" s="465" t="str">
        <f t="shared" si="23"/>
        <v/>
      </c>
      <c r="L230" s="782"/>
      <c r="M230" s="380">
        <v>5</v>
      </c>
      <c r="N230" s="781" t="str">
        <f t="shared" si="26"/>
        <v>CONTRATO SIN SUSPENSIÓN</v>
      </c>
      <c r="O230" s="781"/>
    </row>
    <row r="231" spans="2:15">
      <c r="B231" s="319"/>
      <c r="C231" s="319"/>
      <c r="D231" s="320"/>
      <c r="E231" s="320"/>
      <c r="F231" s="320"/>
      <c r="G231" s="465" t="str">
        <f t="shared" si="23"/>
        <v/>
      </c>
      <c r="L231" s="782"/>
      <c r="M231" s="380">
        <v>6</v>
      </c>
      <c r="N231" s="781" t="str">
        <f t="shared" si="26"/>
        <v>CONTRATO SIN SUSPENSIÓN</v>
      </c>
      <c r="O231" s="781"/>
    </row>
    <row r="232" spans="2:15">
      <c r="B232" s="319"/>
      <c r="C232" s="319"/>
      <c r="D232" s="320"/>
      <c r="E232" s="320"/>
      <c r="F232" s="320"/>
      <c r="G232" s="465" t="str">
        <f t="shared" si="23"/>
        <v/>
      </c>
      <c r="L232" s="782"/>
      <c r="M232" s="380">
        <v>7</v>
      </c>
      <c r="N232" s="781" t="str">
        <f t="shared" si="26"/>
        <v>CONTRATO SIN SUSPENSIÓN</v>
      </c>
      <c r="O232" s="781"/>
    </row>
    <row r="233" spans="2:15">
      <c r="B233" s="319"/>
      <c r="C233" s="319"/>
      <c r="D233" s="320"/>
      <c r="E233" s="320"/>
      <c r="F233" s="320"/>
      <c r="G233" s="465" t="str">
        <f t="shared" si="23"/>
        <v/>
      </c>
      <c r="L233" s="782"/>
      <c r="M233" s="380">
        <v>8</v>
      </c>
      <c r="N233" s="781" t="str">
        <f t="shared" si="26"/>
        <v>CONTRATO SIN SUSPENSIÓN</v>
      </c>
      <c r="O233" s="781"/>
    </row>
    <row r="234" spans="2:15">
      <c r="B234" s="319"/>
      <c r="C234" s="319"/>
      <c r="D234" s="320"/>
      <c r="E234" s="320"/>
      <c r="F234" s="320"/>
      <c r="G234" s="465" t="str">
        <f t="shared" si="23"/>
        <v/>
      </c>
      <c r="L234" s="782"/>
      <c r="M234" s="380">
        <v>9</v>
      </c>
      <c r="N234" s="781" t="str">
        <f t="shared" si="26"/>
        <v>CONTRATO SIN SUSPENSIÓN</v>
      </c>
      <c r="O234" s="781"/>
    </row>
    <row r="235" spans="2:15">
      <c r="B235" s="319"/>
      <c r="C235" s="319"/>
      <c r="D235" s="320"/>
      <c r="E235" s="320"/>
      <c r="F235" s="320"/>
      <c r="G235" s="465" t="str">
        <f t="shared" si="23"/>
        <v/>
      </c>
      <c r="L235" s="782"/>
      <c r="M235" s="380">
        <v>10</v>
      </c>
      <c r="N235" s="781" t="str">
        <f t="shared" si="26"/>
        <v>CONTRATO SIN SUSPENSIÓN</v>
      </c>
      <c r="O235" s="781"/>
    </row>
    <row r="236" spans="2:15">
      <c r="B236" s="319"/>
      <c r="C236" s="319"/>
      <c r="D236" s="320"/>
      <c r="E236" s="320"/>
      <c r="F236" s="320"/>
      <c r="G236" s="465" t="str">
        <f t="shared" si="23"/>
        <v/>
      </c>
      <c r="L236" s="782">
        <v>24</v>
      </c>
      <c r="M236" s="380">
        <v>1</v>
      </c>
      <c r="N236" s="781" t="str">
        <f t="shared" ref="N236:N245" si="27">IF(SUMIFS($G$5:$G$1200,$B$5:$B$1200,$L$236,$C$5:$C$1200,$M236)=0,"CONTRATO SIN SUSPENSIÓN",ROUND(SUMIFS($G$5:$G$1200,$B$5:$B$1200,$L$236,$C$5:$C$1200,$M236),3))</f>
        <v>CONTRATO SIN SUSPENSIÓN</v>
      </c>
      <c r="O236" s="781"/>
    </row>
    <row r="237" spans="2:15">
      <c r="B237" s="319"/>
      <c r="C237" s="319"/>
      <c r="D237" s="320"/>
      <c r="E237" s="320"/>
      <c r="F237" s="320"/>
      <c r="G237" s="465" t="str">
        <f t="shared" si="23"/>
        <v/>
      </c>
      <c r="L237" s="782"/>
      <c r="M237" s="380">
        <v>2</v>
      </c>
      <c r="N237" s="781" t="str">
        <f t="shared" si="27"/>
        <v>CONTRATO SIN SUSPENSIÓN</v>
      </c>
      <c r="O237" s="781"/>
    </row>
    <row r="238" spans="2:15">
      <c r="B238" s="319"/>
      <c r="C238" s="319"/>
      <c r="D238" s="320"/>
      <c r="E238" s="320"/>
      <c r="F238" s="320"/>
      <c r="G238" s="465" t="str">
        <f t="shared" si="23"/>
        <v/>
      </c>
      <c r="L238" s="782"/>
      <c r="M238" s="380">
        <v>3</v>
      </c>
      <c r="N238" s="781" t="str">
        <f t="shared" si="27"/>
        <v>CONTRATO SIN SUSPENSIÓN</v>
      </c>
      <c r="O238" s="781"/>
    </row>
    <row r="239" spans="2:15">
      <c r="B239" s="319"/>
      <c r="C239" s="319"/>
      <c r="D239" s="320"/>
      <c r="E239" s="320"/>
      <c r="F239" s="320"/>
      <c r="G239" s="465" t="str">
        <f t="shared" si="23"/>
        <v/>
      </c>
      <c r="L239" s="782"/>
      <c r="M239" s="380">
        <v>4</v>
      </c>
      <c r="N239" s="781" t="str">
        <f t="shared" si="27"/>
        <v>CONTRATO SIN SUSPENSIÓN</v>
      </c>
      <c r="O239" s="781"/>
    </row>
    <row r="240" spans="2:15">
      <c r="B240" s="319"/>
      <c r="C240" s="319"/>
      <c r="D240" s="320"/>
      <c r="E240" s="320"/>
      <c r="F240" s="320"/>
      <c r="G240" s="465" t="str">
        <f t="shared" si="23"/>
        <v/>
      </c>
      <c r="L240" s="782"/>
      <c r="M240" s="380">
        <v>5</v>
      </c>
      <c r="N240" s="781" t="str">
        <f t="shared" si="27"/>
        <v>CONTRATO SIN SUSPENSIÓN</v>
      </c>
      <c r="O240" s="781"/>
    </row>
    <row r="241" spans="2:15">
      <c r="B241" s="319"/>
      <c r="C241" s="319"/>
      <c r="D241" s="320"/>
      <c r="E241" s="320"/>
      <c r="F241" s="320"/>
      <c r="G241" s="465" t="str">
        <f t="shared" si="23"/>
        <v/>
      </c>
      <c r="L241" s="782"/>
      <c r="M241" s="380">
        <v>6</v>
      </c>
      <c r="N241" s="781" t="str">
        <f t="shared" si="27"/>
        <v>CONTRATO SIN SUSPENSIÓN</v>
      </c>
      <c r="O241" s="781"/>
    </row>
    <row r="242" spans="2:15">
      <c r="B242" s="319"/>
      <c r="C242" s="319"/>
      <c r="D242" s="320"/>
      <c r="E242" s="320"/>
      <c r="F242" s="320"/>
      <c r="G242" s="465" t="str">
        <f t="shared" si="23"/>
        <v/>
      </c>
      <c r="L242" s="782"/>
      <c r="M242" s="380">
        <v>7</v>
      </c>
      <c r="N242" s="781" t="str">
        <f t="shared" si="27"/>
        <v>CONTRATO SIN SUSPENSIÓN</v>
      </c>
      <c r="O242" s="781"/>
    </row>
    <row r="243" spans="2:15">
      <c r="B243" s="319"/>
      <c r="C243" s="319"/>
      <c r="D243" s="320"/>
      <c r="E243" s="320"/>
      <c r="F243" s="320"/>
      <c r="G243" s="465" t="str">
        <f t="shared" si="23"/>
        <v/>
      </c>
      <c r="L243" s="782"/>
      <c r="M243" s="380">
        <v>8</v>
      </c>
      <c r="N243" s="781" t="str">
        <f t="shared" si="27"/>
        <v>CONTRATO SIN SUSPENSIÓN</v>
      </c>
      <c r="O243" s="781"/>
    </row>
    <row r="244" spans="2:15">
      <c r="B244" s="319"/>
      <c r="C244" s="319"/>
      <c r="D244" s="320"/>
      <c r="E244" s="320"/>
      <c r="F244" s="320"/>
      <c r="G244" s="465" t="str">
        <f t="shared" si="23"/>
        <v/>
      </c>
      <c r="L244" s="782"/>
      <c r="M244" s="380">
        <v>9</v>
      </c>
      <c r="N244" s="781" t="str">
        <f t="shared" si="27"/>
        <v>CONTRATO SIN SUSPENSIÓN</v>
      </c>
      <c r="O244" s="781"/>
    </row>
    <row r="245" spans="2:15">
      <c r="B245" s="319"/>
      <c r="C245" s="319"/>
      <c r="D245" s="320"/>
      <c r="E245" s="320"/>
      <c r="F245" s="320"/>
      <c r="G245" s="465" t="str">
        <f t="shared" si="23"/>
        <v/>
      </c>
      <c r="L245" s="782"/>
      <c r="M245" s="380">
        <v>10</v>
      </c>
      <c r="N245" s="781" t="str">
        <f t="shared" si="27"/>
        <v>CONTRATO SIN SUSPENSIÓN</v>
      </c>
      <c r="O245" s="781"/>
    </row>
    <row r="246" spans="2:15">
      <c r="B246" s="319"/>
      <c r="C246" s="319"/>
      <c r="D246" s="320"/>
      <c r="E246" s="320"/>
      <c r="F246" s="320"/>
      <c r="G246" s="465" t="str">
        <f t="shared" si="23"/>
        <v/>
      </c>
      <c r="L246" s="782">
        <v>25</v>
      </c>
      <c r="M246" s="380">
        <v>1</v>
      </c>
      <c r="N246" s="783" t="str">
        <f t="shared" ref="N246:N255" si="28">IF(SUMIFS($G$5:$G$1200,$B$5:$B$1200,$L$246,$C$5:$C$1200,$M246)=0,"CONTRATO SIN SUSPENSIÓN",ROUND(SUMIFS($G$5:$G$1200,$B$5:$B$1200,$L$246,$C$5:$C$1200,$M246),3))</f>
        <v>CONTRATO SIN SUSPENSIÓN</v>
      </c>
      <c r="O246" s="784"/>
    </row>
    <row r="247" spans="2:15">
      <c r="B247" s="319"/>
      <c r="C247" s="319"/>
      <c r="D247" s="320"/>
      <c r="E247" s="320"/>
      <c r="F247" s="320"/>
      <c r="G247" s="465" t="str">
        <f t="shared" si="23"/>
        <v/>
      </c>
      <c r="L247" s="782"/>
      <c r="M247" s="380">
        <v>2</v>
      </c>
      <c r="N247" s="783" t="str">
        <f t="shared" si="28"/>
        <v>CONTRATO SIN SUSPENSIÓN</v>
      </c>
      <c r="O247" s="784"/>
    </row>
    <row r="248" spans="2:15">
      <c r="B248" s="319"/>
      <c r="C248" s="319"/>
      <c r="D248" s="320"/>
      <c r="E248" s="320"/>
      <c r="F248" s="320"/>
      <c r="G248" s="465" t="str">
        <f t="shared" si="23"/>
        <v/>
      </c>
      <c r="L248" s="782"/>
      <c r="M248" s="380">
        <v>3</v>
      </c>
      <c r="N248" s="783" t="str">
        <f t="shared" si="28"/>
        <v>CONTRATO SIN SUSPENSIÓN</v>
      </c>
      <c r="O248" s="784"/>
    </row>
    <row r="249" spans="2:15">
      <c r="B249" s="319"/>
      <c r="C249" s="319"/>
      <c r="D249" s="320"/>
      <c r="E249" s="320"/>
      <c r="F249" s="320"/>
      <c r="G249" s="465" t="str">
        <f t="shared" si="23"/>
        <v/>
      </c>
      <c r="L249" s="782"/>
      <c r="M249" s="380">
        <v>4</v>
      </c>
      <c r="N249" s="783" t="str">
        <f t="shared" si="28"/>
        <v>CONTRATO SIN SUSPENSIÓN</v>
      </c>
      <c r="O249" s="784"/>
    </row>
    <row r="250" spans="2:15">
      <c r="B250" s="319"/>
      <c r="C250" s="319"/>
      <c r="D250" s="320"/>
      <c r="E250" s="320"/>
      <c r="F250" s="320"/>
      <c r="G250" s="465" t="str">
        <f t="shared" si="23"/>
        <v/>
      </c>
      <c r="L250" s="782"/>
      <c r="M250" s="380">
        <v>5</v>
      </c>
      <c r="N250" s="783" t="str">
        <f t="shared" si="28"/>
        <v>CONTRATO SIN SUSPENSIÓN</v>
      </c>
      <c r="O250" s="784"/>
    </row>
    <row r="251" spans="2:15">
      <c r="B251" s="319"/>
      <c r="C251" s="319"/>
      <c r="D251" s="320"/>
      <c r="E251" s="320"/>
      <c r="F251" s="320"/>
      <c r="G251" s="465" t="str">
        <f t="shared" si="23"/>
        <v/>
      </c>
      <c r="L251" s="782"/>
      <c r="M251" s="380">
        <v>6</v>
      </c>
      <c r="N251" s="783" t="str">
        <f t="shared" si="28"/>
        <v>CONTRATO SIN SUSPENSIÓN</v>
      </c>
      <c r="O251" s="784"/>
    </row>
    <row r="252" spans="2:15">
      <c r="B252" s="319"/>
      <c r="C252" s="319"/>
      <c r="D252" s="320"/>
      <c r="E252" s="320"/>
      <c r="F252" s="320"/>
      <c r="G252" s="465" t="str">
        <f t="shared" si="23"/>
        <v/>
      </c>
      <c r="L252" s="782"/>
      <c r="M252" s="380">
        <v>7</v>
      </c>
      <c r="N252" s="783" t="str">
        <f t="shared" si="28"/>
        <v>CONTRATO SIN SUSPENSIÓN</v>
      </c>
      <c r="O252" s="784"/>
    </row>
    <row r="253" spans="2:15">
      <c r="B253" s="319"/>
      <c r="C253" s="319"/>
      <c r="D253" s="320"/>
      <c r="E253" s="320"/>
      <c r="F253" s="320"/>
      <c r="G253" s="465" t="str">
        <f t="shared" si="23"/>
        <v/>
      </c>
      <c r="L253" s="782"/>
      <c r="M253" s="380">
        <v>8</v>
      </c>
      <c r="N253" s="783" t="str">
        <f t="shared" si="28"/>
        <v>CONTRATO SIN SUSPENSIÓN</v>
      </c>
      <c r="O253" s="784"/>
    </row>
    <row r="254" spans="2:15">
      <c r="B254" s="319"/>
      <c r="C254" s="319"/>
      <c r="D254" s="320"/>
      <c r="E254" s="320"/>
      <c r="F254" s="320"/>
      <c r="G254" s="465" t="str">
        <f t="shared" si="23"/>
        <v/>
      </c>
      <c r="L254" s="782"/>
      <c r="M254" s="380">
        <v>9</v>
      </c>
      <c r="N254" s="783" t="str">
        <f t="shared" si="28"/>
        <v>CONTRATO SIN SUSPENSIÓN</v>
      </c>
      <c r="O254" s="784"/>
    </row>
    <row r="255" spans="2:15">
      <c r="B255" s="319"/>
      <c r="C255" s="319"/>
      <c r="D255" s="320"/>
      <c r="E255" s="320"/>
      <c r="F255" s="320"/>
      <c r="G255" s="465" t="str">
        <f t="shared" si="23"/>
        <v/>
      </c>
      <c r="L255" s="782"/>
      <c r="M255" s="380">
        <v>10</v>
      </c>
      <c r="N255" s="781" t="str">
        <f t="shared" si="28"/>
        <v>CONTRATO SIN SUSPENSIÓN</v>
      </c>
      <c r="O255" s="781"/>
    </row>
    <row r="256" spans="2:15">
      <c r="B256" s="319"/>
      <c r="C256" s="319"/>
      <c r="D256" s="320"/>
      <c r="E256" s="320"/>
      <c r="F256" s="320"/>
      <c r="G256" s="465" t="str">
        <f t="shared" si="23"/>
        <v/>
      </c>
      <c r="L256" s="782">
        <v>26</v>
      </c>
      <c r="M256" s="380">
        <v>1</v>
      </c>
      <c r="N256" s="781" t="str">
        <f t="shared" ref="N256:N265" si="29">IF(SUMIFS($G$5:$G$1200,$B$5:$B$1200,$L$256,$C$5:$C$1200,$M256)=0,"CONTRATO SIN SUSPENSIÓN",ROUND(SUMIFS($G$5:$G$1200,$B$5:$B$1200,$L$256,$C$5:$C$1200,$M256),3))</f>
        <v>CONTRATO SIN SUSPENSIÓN</v>
      </c>
      <c r="O256" s="781"/>
    </row>
    <row r="257" spans="2:15">
      <c r="B257" s="319"/>
      <c r="C257" s="319"/>
      <c r="D257" s="320"/>
      <c r="E257" s="320"/>
      <c r="F257" s="320"/>
      <c r="G257" s="465" t="str">
        <f t="shared" si="23"/>
        <v/>
      </c>
      <c r="L257" s="782"/>
      <c r="M257" s="380">
        <v>2</v>
      </c>
      <c r="N257" s="781" t="str">
        <f t="shared" si="29"/>
        <v>CONTRATO SIN SUSPENSIÓN</v>
      </c>
      <c r="O257" s="781"/>
    </row>
    <row r="258" spans="2:15">
      <c r="B258" s="319"/>
      <c r="C258" s="319"/>
      <c r="D258" s="320"/>
      <c r="E258" s="320"/>
      <c r="F258" s="320"/>
      <c r="G258" s="465" t="str">
        <f t="shared" si="23"/>
        <v/>
      </c>
      <c r="L258" s="782"/>
      <c r="M258" s="380">
        <v>3</v>
      </c>
      <c r="N258" s="781" t="str">
        <f t="shared" si="29"/>
        <v>CONTRATO SIN SUSPENSIÓN</v>
      </c>
      <c r="O258" s="781"/>
    </row>
    <row r="259" spans="2:15">
      <c r="B259" s="319"/>
      <c r="C259" s="319"/>
      <c r="D259" s="320"/>
      <c r="E259" s="320"/>
      <c r="F259" s="320"/>
      <c r="G259" s="465" t="str">
        <f t="shared" si="23"/>
        <v/>
      </c>
      <c r="L259" s="782"/>
      <c r="M259" s="380">
        <v>4</v>
      </c>
      <c r="N259" s="781" t="str">
        <f t="shared" si="29"/>
        <v>CONTRATO SIN SUSPENSIÓN</v>
      </c>
      <c r="O259" s="781"/>
    </row>
    <row r="260" spans="2:15">
      <c r="B260" s="319"/>
      <c r="C260" s="319"/>
      <c r="D260" s="320"/>
      <c r="E260" s="320"/>
      <c r="F260" s="320"/>
      <c r="G260" s="465" t="str">
        <f t="shared" si="23"/>
        <v/>
      </c>
      <c r="L260" s="782"/>
      <c r="M260" s="380">
        <v>5</v>
      </c>
      <c r="N260" s="781" t="str">
        <f t="shared" si="29"/>
        <v>CONTRATO SIN SUSPENSIÓN</v>
      </c>
      <c r="O260" s="781"/>
    </row>
    <row r="261" spans="2:15">
      <c r="B261" s="319"/>
      <c r="C261" s="319"/>
      <c r="D261" s="320"/>
      <c r="E261" s="320"/>
      <c r="F261" s="320"/>
      <c r="G261" s="465" t="str">
        <f t="shared" si="23"/>
        <v/>
      </c>
      <c r="L261" s="782"/>
      <c r="M261" s="380">
        <v>6</v>
      </c>
      <c r="N261" s="781" t="str">
        <f t="shared" si="29"/>
        <v>CONTRATO SIN SUSPENSIÓN</v>
      </c>
      <c r="O261" s="781"/>
    </row>
    <row r="262" spans="2:15">
      <c r="B262" s="319"/>
      <c r="C262" s="319"/>
      <c r="D262" s="320"/>
      <c r="E262" s="320"/>
      <c r="F262" s="320"/>
      <c r="G262" s="465" t="str">
        <f t="shared" ref="G262:G325" si="30">IF(OR(AND(D262="",E262=""),AND(D262="",F262="")),"",IF(AND(D262&lt;&gt;"",E262&lt;&gt;"",F262&lt;&gt;""),"REVISAR CÁLCULO",IF(AND(D262&lt;&gt;"",F262&lt;&gt;""),ROUND(((F262-D262)/30),3),IF(AND(D262&lt;&gt;"",E262&lt;&gt;""),ROUND(((E262-D262+1)/30),3),""))))</f>
        <v/>
      </c>
      <c r="L262" s="782"/>
      <c r="M262" s="380">
        <v>7</v>
      </c>
      <c r="N262" s="781" t="str">
        <f t="shared" si="29"/>
        <v>CONTRATO SIN SUSPENSIÓN</v>
      </c>
      <c r="O262" s="781"/>
    </row>
    <row r="263" spans="2:15">
      <c r="B263" s="319"/>
      <c r="C263" s="319"/>
      <c r="D263" s="320"/>
      <c r="E263" s="320"/>
      <c r="F263" s="320"/>
      <c r="G263" s="465" t="str">
        <f t="shared" si="30"/>
        <v/>
      </c>
      <c r="L263" s="782"/>
      <c r="M263" s="380">
        <v>8</v>
      </c>
      <c r="N263" s="781" t="str">
        <f t="shared" si="29"/>
        <v>CONTRATO SIN SUSPENSIÓN</v>
      </c>
      <c r="O263" s="781"/>
    </row>
    <row r="264" spans="2:15">
      <c r="B264" s="319"/>
      <c r="C264" s="319"/>
      <c r="D264" s="320"/>
      <c r="E264" s="320"/>
      <c r="F264" s="320"/>
      <c r="G264" s="465" t="str">
        <f t="shared" si="30"/>
        <v/>
      </c>
      <c r="L264" s="782"/>
      <c r="M264" s="380">
        <v>9</v>
      </c>
      <c r="N264" s="781" t="str">
        <f t="shared" si="29"/>
        <v>CONTRATO SIN SUSPENSIÓN</v>
      </c>
      <c r="O264" s="781"/>
    </row>
    <row r="265" spans="2:15">
      <c r="B265" s="319"/>
      <c r="C265" s="319"/>
      <c r="D265" s="320"/>
      <c r="E265" s="320"/>
      <c r="F265" s="320"/>
      <c r="G265" s="465" t="str">
        <f t="shared" si="30"/>
        <v/>
      </c>
      <c r="L265" s="782"/>
      <c r="M265" s="380">
        <v>10</v>
      </c>
      <c r="N265" s="781" t="str">
        <f t="shared" si="29"/>
        <v>CONTRATO SIN SUSPENSIÓN</v>
      </c>
      <c r="O265" s="781"/>
    </row>
    <row r="266" spans="2:15">
      <c r="B266" s="319"/>
      <c r="C266" s="319"/>
      <c r="D266" s="320"/>
      <c r="E266" s="320"/>
      <c r="F266" s="320"/>
      <c r="G266" s="465" t="str">
        <f t="shared" si="30"/>
        <v/>
      </c>
      <c r="L266" s="782">
        <v>27</v>
      </c>
      <c r="M266" s="380">
        <v>1</v>
      </c>
      <c r="N266" s="781" t="str">
        <f t="shared" ref="N266:N275" si="31">IF(SUMIFS($G$5:$G$1200,$B$5:$B$1200,$L$266,$C$5:$C$1200,$M266)=0,"CONTRATO SIN SUSPENSIÓN",ROUND(SUMIFS($G$5:$G$1200,$B$5:$B$1200,$L$266,$C$5:$C$1200,$M266),3))</f>
        <v>CONTRATO SIN SUSPENSIÓN</v>
      </c>
      <c r="O266" s="781"/>
    </row>
    <row r="267" spans="2:15">
      <c r="B267" s="319"/>
      <c r="C267" s="319"/>
      <c r="D267" s="320"/>
      <c r="E267" s="320"/>
      <c r="F267" s="320"/>
      <c r="G267" s="465" t="str">
        <f t="shared" si="30"/>
        <v/>
      </c>
      <c r="L267" s="782"/>
      <c r="M267" s="380">
        <v>2</v>
      </c>
      <c r="N267" s="781" t="str">
        <f t="shared" si="31"/>
        <v>CONTRATO SIN SUSPENSIÓN</v>
      </c>
      <c r="O267" s="781"/>
    </row>
    <row r="268" spans="2:15">
      <c r="B268" s="319"/>
      <c r="C268" s="319"/>
      <c r="D268" s="320"/>
      <c r="E268" s="320"/>
      <c r="F268" s="320"/>
      <c r="G268" s="465" t="str">
        <f t="shared" si="30"/>
        <v/>
      </c>
      <c r="L268" s="782"/>
      <c r="M268" s="380">
        <v>3</v>
      </c>
      <c r="N268" s="781" t="str">
        <f t="shared" si="31"/>
        <v>CONTRATO SIN SUSPENSIÓN</v>
      </c>
      <c r="O268" s="781"/>
    </row>
    <row r="269" spans="2:15">
      <c r="B269" s="319"/>
      <c r="C269" s="319"/>
      <c r="D269" s="320"/>
      <c r="E269" s="320"/>
      <c r="F269" s="320"/>
      <c r="G269" s="465" t="str">
        <f t="shared" si="30"/>
        <v/>
      </c>
      <c r="L269" s="782"/>
      <c r="M269" s="380">
        <v>4</v>
      </c>
      <c r="N269" s="781" t="str">
        <f t="shared" si="31"/>
        <v>CONTRATO SIN SUSPENSIÓN</v>
      </c>
      <c r="O269" s="781"/>
    </row>
    <row r="270" spans="2:15">
      <c r="B270" s="319"/>
      <c r="C270" s="319"/>
      <c r="D270" s="320"/>
      <c r="E270" s="320"/>
      <c r="F270" s="320"/>
      <c r="G270" s="465" t="str">
        <f t="shared" si="30"/>
        <v/>
      </c>
      <c r="L270" s="782"/>
      <c r="M270" s="380">
        <v>5</v>
      </c>
      <c r="N270" s="781" t="str">
        <f t="shared" si="31"/>
        <v>CONTRATO SIN SUSPENSIÓN</v>
      </c>
      <c r="O270" s="781"/>
    </row>
    <row r="271" spans="2:15">
      <c r="B271" s="319"/>
      <c r="C271" s="319"/>
      <c r="D271" s="320"/>
      <c r="E271" s="320"/>
      <c r="F271" s="320"/>
      <c r="G271" s="465" t="str">
        <f t="shared" si="30"/>
        <v/>
      </c>
      <c r="L271" s="782"/>
      <c r="M271" s="380">
        <v>6</v>
      </c>
      <c r="N271" s="781" t="str">
        <f t="shared" si="31"/>
        <v>CONTRATO SIN SUSPENSIÓN</v>
      </c>
      <c r="O271" s="781"/>
    </row>
    <row r="272" spans="2:15">
      <c r="B272" s="319"/>
      <c r="C272" s="319"/>
      <c r="D272" s="320"/>
      <c r="E272" s="320"/>
      <c r="F272" s="320"/>
      <c r="G272" s="465" t="str">
        <f t="shared" si="30"/>
        <v/>
      </c>
      <c r="L272" s="782"/>
      <c r="M272" s="380">
        <v>7</v>
      </c>
      <c r="N272" s="781" t="str">
        <f t="shared" si="31"/>
        <v>CONTRATO SIN SUSPENSIÓN</v>
      </c>
      <c r="O272" s="781"/>
    </row>
    <row r="273" spans="2:15">
      <c r="B273" s="319"/>
      <c r="C273" s="319"/>
      <c r="D273" s="320"/>
      <c r="E273" s="320"/>
      <c r="F273" s="320"/>
      <c r="G273" s="465" t="str">
        <f t="shared" si="30"/>
        <v/>
      </c>
      <c r="L273" s="782"/>
      <c r="M273" s="380">
        <v>8</v>
      </c>
      <c r="N273" s="781" t="str">
        <f t="shared" si="31"/>
        <v>CONTRATO SIN SUSPENSIÓN</v>
      </c>
      <c r="O273" s="781"/>
    </row>
    <row r="274" spans="2:15">
      <c r="B274" s="319"/>
      <c r="C274" s="319"/>
      <c r="D274" s="320"/>
      <c r="E274" s="320"/>
      <c r="F274" s="320"/>
      <c r="G274" s="465" t="str">
        <f t="shared" si="30"/>
        <v/>
      </c>
      <c r="L274" s="782"/>
      <c r="M274" s="380">
        <v>9</v>
      </c>
      <c r="N274" s="781" t="str">
        <f t="shared" si="31"/>
        <v>CONTRATO SIN SUSPENSIÓN</v>
      </c>
      <c r="O274" s="781"/>
    </row>
    <row r="275" spans="2:15">
      <c r="B275" s="319"/>
      <c r="C275" s="319"/>
      <c r="D275" s="320"/>
      <c r="E275" s="320"/>
      <c r="F275" s="320"/>
      <c r="G275" s="465" t="str">
        <f t="shared" si="30"/>
        <v/>
      </c>
      <c r="L275" s="782"/>
      <c r="M275" s="380">
        <v>10</v>
      </c>
      <c r="N275" s="781" t="str">
        <f t="shared" si="31"/>
        <v>CONTRATO SIN SUSPENSIÓN</v>
      </c>
      <c r="O275" s="781"/>
    </row>
    <row r="276" spans="2:15">
      <c r="B276" s="319"/>
      <c r="C276" s="319"/>
      <c r="D276" s="320"/>
      <c r="E276" s="320"/>
      <c r="F276" s="320"/>
      <c r="G276" s="465" t="str">
        <f t="shared" si="30"/>
        <v/>
      </c>
      <c r="L276" s="782">
        <v>28</v>
      </c>
      <c r="M276" s="380">
        <v>1</v>
      </c>
      <c r="N276" s="781" t="str">
        <f t="shared" ref="N276:N285" si="32">IF(SUMIFS($G$5:$G$1200,$B$5:$B$1200,$L$276,$C$5:$C$1200,$M276)=0,"CONTRATO SIN SUSPENSIÓN",ROUND(SUMIFS($G$5:$G$1200,$B$5:$B$1200,$L$276,$C$5:$C$1200,$M276),3))</f>
        <v>CONTRATO SIN SUSPENSIÓN</v>
      </c>
      <c r="O276" s="781"/>
    </row>
    <row r="277" spans="2:15">
      <c r="B277" s="319"/>
      <c r="C277" s="319"/>
      <c r="D277" s="320"/>
      <c r="E277" s="320"/>
      <c r="F277" s="320"/>
      <c r="G277" s="465" t="str">
        <f t="shared" si="30"/>
        <v/>
      </c>
      <c r="L277" s="782"/>
      <c r="M277" s="380">
        <v>2</v>
      </c>
      <c r="N277" s="781" t="str">
        <f t="shared" si="32"/>
        <v>CONTRATO SIN SUSPENSIÓN</v>
      </c>
      <c r="O277" s="781"/>
    </row>
    <row r="278" spans="2:15">
      <c r="B278" s="319"/>
      <c r="C278" s="319"/>
      <c r="D278" s="320"/>
      <c r="E278" s="320"/>
      <c r="F278" s="320"/>
      <c r="G278" s="465" t="str">
        <f t="shared" si="30"/>
        <v/>
      </c>
      <c r="L278" s="782"/>
      <c r="M278" s="380">
        <v>3</v>
      </c>
      <c r="N278" s="781" t="str">
        <f t="shared" si="32"/>
        <v>CONTRATO SIN SUSPENSIÓN</v>
      </c>
      <c r="O278" s="781"/>
    </row>
    <row r="279" spans="2:15">
      <c r="B279" s="319"/>
      <c r="C279" s="319"/>
      <c r="D279" s="320"/>
      <c r="E279" s="320"/>
      <c r="F279" s="320"/>
      <c r="G279" s="465" t="str">
        <f t="shared" si="30"/>
        <v/>
      </c>
      <c r="L279" s="782"/>
      <c r="M279" s="380">
        <v>4</v>
      </c>
      <c r="N279" s="781" t="str">
        <f t="shared" si="32"/>
        <v>CONTRATO SIN SUSPENSIÓN</v>
      </c>
      <c r="O279" s="781"/>
    </row>
    <row r="280" spans="2:15">
      <c r="B280" s="319"/>
      <c r="C280" s="319"/>
      <c r="D280" s="320"/>
      <c r="E280" s="320"/>
      <c r="F280" s="320"/>
      <c r="G280" s="465" t="str">
        <f t="shared" si="30"/>
        <v/>
      </c>
      <c r="L280" s="782"/>
      <c r="M280" s="380">
        <v>5</v>
      </c>
      <c r="N280" s="781" t="str">
        <f t="shared" si="32"/>
        <v>CONTRATO SIN SUSPENSIÓN</v>
      </c>
      <c r="O280" s="781"/>
    </row>
    <row r="281" spans="2:15">
      <c r="B281" s="319"/>
      <c r="C281" s="319"/>
      <c r="D281" s="320"/>
      <c r="E281" s="320"/>
      <c r="F281" s="320"/>
      <c r="G281" s="465" t="str">
        <f t="shared" si="30"/>
        <v/>
      </c>
      <c r="L281" s="782"/>
      <c r="M281" s="380">
        <v>6</v>
      </c>
      <c r="N281" s="781" t="str">
        <f t="shared" si="32"/>
        <v>CONTRATO SIN SUSPENSIÓN</v>
      </c>
      <c r="O281" s="781"/>
    </row>
    <row r="282" spans="2:15">
      <c r="B282" s="319"/>
      <c r="C282" s="319"/>
      <c r="D282" s="320"/>
      <c r="E282" s="320"/>
      <c r="F282" s="320"/>
      <c r="G282" s="465" t="str">
        <f t="shared" si="30"/>
        <v/>
      </c>
      <c r="L282" s="782"/>
      <c r="M282" s="380">
        <v>7</v>
      </c>
      <c r="N282" s="781" t="str">
        <f t="shared" si="32"/>
        <v>CONTRATO SIN SUSPENSIÓN</v>
      </c>
      <c r="O282" s="781"/>
    </row>
    <row r="283" spans="2:15">
      <c r="B283" s="319"/>
      <c r="C283" s="319"/>
      <c r="D283" s="320"/>
      <c r="E283" s="320"/>
      <c r="F283" s="320"/>
      <c r="G283" s="465" t="str">
        <f t="shared" si="30"/>
        <v/>
      </c>
      <c r="L283" s="782"/>
      <c r="M283" s="380">
        <v>8</v>
      </c>
      <c r="N283" s="781" t="str">
        <f t="shared" si="32"/>
        <v>CONTRATO SIN SUSPENSIÓN</v>
      </c>
      <c r="O283" s="781"/>
    </row>
    <row r="284" spans="2:15">
      <c r="B284" s="319"/>
      <c r="C284" s="319"/>
      <c r="D284" s="320"/>
      <c r="E284" s="320"/>
      <c r="F284" s="320"/>
      <c r="G284" s="465" t="str">
        <f t="shared" si="30"/>
        <v/>
      </c>
      <c r="L284" s="782"/>
      <c r="M284" s="380">
        <v>9</v>
      </c>
      <c r="N284" s="781" t="str">
        <f t="shared" si="32"/>
        <v>CONTRATO SIN SUSPENSIÓN</v>
      </c>
      <c r="O284" s="781"/>
    </row>
    <row r="285" spans="2:15">
      <c r="B285" s="319"/>
      <c r="C285" s="319"/>
      <c r="D285" s="320"/>
      <c r="E285" s="320"/>
      <c r="F285" s="320"/>
      <c r="G285" s="465" t="str">
        <f t="shared" si="30"/>
        <v/>
      </c>
      <c r="L285" s="782"/>
      <c r="M285" s="380">
        <v>10</v>
      </c>
      <c r="N285" s="781" t="str">
        <f t="shared" si="32"/>
        <v>CONTRATO SIN SUSPENSIÓN</v>
      </c>
      <c r="O285" s="781"/>
    </row>
    <row r="286" spans="2:15">
      <c r="B286" s="319"/>
      <c r="C286" s="319"/>
      <c r="D286" s="320"/>
      <c r="E286" s="320"/>
      <c r="F286" s="320"/>
      <c r="G286" s="465" t="str">
        <f t="shared" si="30"/>
        <v/>
      </c>
      <c r="L286" s="782">
        <v>29</v>
      </c>
      <c r="M286" s="380">
        <v>1</v>
      </c>
      <c r="N286" s="781" t="str">
        <f t="shared" ref="N286:N295" si="33">IF(SUMIFS($G$5:$G$1200,$B$5:$B$1200,$L$286,$C$5:$C$1200,$M286)=0,"CONTRATO SIN SUSPENSIÓN",ROUND(SUMIFS($G$5:$G$1200,$B$5:$B$1200,$L$286,$C$5:$C$1200,$M286),3))</f>
        <v>CONTRATO SIN SUSPENSIÓN</v>
      </c>
      <c r="O286" s="781"/>
    </row>
    <row r="287" spans="2:15">
      <c r="B287" s="319"/>
      <c r="C287" s="319"/>
      <c r="D287" s="320"/>
      <c r="E287" s="320"/>
      <c r="F287" s="320"/>
      <c r="G287" s="465" t="str">
        <f t="shared" si="30"/>
        <v/>
      </c>
      <c r="L287" s="782"/>
      <c r="M287" s="380">
        <v>2</v>
      </c>
      <c r="N287" s="781" t="str">
        <f t="shared" si="33"/>
        <v>CONTRATO SIN SUSPENSIÓN</v>
      </c>
      <c r="O287" s="781"/>
    </row>
    <row r="288" spans="2:15">
      <c r="B288" s="319"/>
      <c r="C288" s="319"/>
      <c r="D288" s="320"/>
      <c r="E288" s="320"/>
      <c r="F288" s="320"/>
      <c r="G288" s="465" t="str">
        <f t="shared" si="30"/>
        <v/>
      </c>
      <c r="L288" s="782"/>
      <c r="M288" s="380">
        <v>3</v>
      </c>
      <c r="N288" s="781" t="str">
        <f t="shared" si="33"/>
        <v>CONTRATO SIN SUSPENSIÓN</v>
      </c>
      <c r="O288" s="781"/>
    </row>
    <row r="289" spans="2:15">
      <c r="B289" s="319"/>
      <c r="C289" s="319"/>
      <c r="D289" s="320"/>
      <c r="E289" s="320"/>
      <c r="F289" s="320"/>
      <c r="G289" s="465" t="str">
        <f t="shared" si="30"/>
        <v/>
      </c>
      <c r="L289" s="782"/>
      <c r="M289" s="380">
        <v>4</v>
      </c>
      <c r="N289" s="781" t="str">
        <f t="shared" si="33"/>
        <v>CONTRATO SIN SUSPENSIÓN</v>
      </c>
      <c r="O289" s="781"/>
    </row>
    <row r="290" spans="2:15">
      <c r="B290" s="319"/>
      <c r="C290" s="319"/>
      <c r="D290" s="320"/>
      <c r="E290" s="320"/>
      <c r="F290" s="320"/>
      <c r="G290" s="465" t="str">
        <f t="shared" si="30"/>
        <v/>
      </c>
      <c r="L290" s="782"/>
      <c r="M290" s="380">
        <v>5</v>
      </c>
      <c r="N290" s="781" t="str">
        <f t="shared" si="33"/>
        <v>CONTRATO SIN SUSPENSIÓN</v>
      </c>
      <c r="O290" s="781"/>
    </row>
    <row r="291" spans="2:15">
      <c r="B291" s="319"/>
      <c r="C291" s="319"/>
      <c r="D291" s="320"/>
      <c r="E291" s="320"/>
      <c r="F291" s="320"/>
      <c r="G291" s="465" t="str">
        <f t="shared" si="30"/>
        <v/>
      </c>
      <c r="L291" s="782"/>
      <c r="M291" s="380">
        <v>6</v>
      </c>
      <c r="N291" s="781" t="str">
        <f t="shared" si="33"/>
        <v>CONTRATO SIN SUSPENSIÓN</v>
      </c>
      <c r="O291" s="781"/>
    </row>
    <row r="292" spans="2:15">
      <c r="B292" s="319"/>
      <c r="C292" s="319"/>
      <c r="D292" s="320"/>
      <c r="E292" s="320"/>
      <c r="F292" s="320"/>
      <c r="G292" s="465" t="str">
        <f t="shared" si="30"/>
        <v/>
      </c>
      <c r="L292" s="782"/>
      <c r="M292" s="380">
        <v>7</v>
      </c>
      <c r="N292" s="781" t="str">
        <f t="shared" si="33"/>
        <v>CONTRATO SIN SUSPENSIÓN</v>
      </c>
      <c r="O292" s="781"/>
    </row>
    <row r="293" spans="2:15">
      <c r="B293" s="319"/>
      <c r="C293" s="319"/>
      <c r="D293" s="320"/>
      <c r="E293" s="320"/>
      <c r="F293" s="320"/>
      <c r="G293" s="465" t="str">
        <f t="shared" si="30"/>
        <v/>
      </c>
      <c r="L293" s="782"/>
      <c r="M293" s="380">
        <v>8</v>
      </c>
      <c r="N293" s="781" t="str">
        <f t="shared" si="33"/>
        <v>CONTRATO SIN SUSPENSIÓN</v>
      </c>
      <c r="O293" s="781"/>
    </row>
    <row r="294" spans="2:15">
      <c r="B294" s="319"/>
      <c r="C294" s="319"/>
      <c r="D294" s="320"/>
      <c r="E294" s="320"/>
      <c r="F294" s="320"/>
      <c r="G294" s="465" t="str">
        <f t="shared" si="30"/>
        <v/>
      </c>
      <c r="L294" s="782"/>
      <c r="M294" s="380">
        <v>9</v>
      </c>
      <c r="N294" s="781" t="str">
        <f t="shared" si="33"/>
        <v>CONTRATO SIN SUSPENSIÓN</v>
      </c>
      <c r="O294" s="781"/>
    </row>
    <row r="295" spans="2:15">
      <c r="B295" s="319"/>
      <c r="C295" s="319"/>
      <c r="D295" s="320"/>
      <c r="E295" s="320"/>
      <c r="F295" s="320"/>
      <c r="G295" s="465" t="str">
        <f t="shared" si="30"/>
        <v/>
      </c>
      <c r="L295" s="782"/>
      <c r="M295" s="380">
        <v>10</v>
      </c>
      <c r="N295" s="781" t="str">
        <f t="shared" si="33"/>
        <v>CONTRATO SIN SUSPENSIÓN</v>
      </c>
      <c r="O295" s="781"/>
    </row>
    <row r="296" spans="2:15">
      <c r="B296" s="319"/>
      <c r="C296" s="319"/>
      <c r="D296" s="320"/>
      <c r="E296" s="320"/>
      <c r="F296" s="320"/>
      <c r="G296" s="465" t="str">
        <f t="shared" si="30"/>
        <v/>
      </c>
      <c r="L296" s="782">
        <v>30</v>
      </c>
      <c r="M296" s="380">
        <v>1</v>
      </c>
      <c r="N296" s="781" t="str">
        <f t="shared" ref="N296:N305" si="34">IF(SUMIFS($G$5:$G$1200,$B$5:$B$1200,$L$296,$C$5:$C$1200,$M296)=0,"CONTRATO SIN SUSPENSIÓN",ROUND(SUMIFS($G$5:$G$1200,$B$5:$B$1200,$L$296,$C$5:$C$1200,$M296),3))</f>
        <v>CONTRATO SIN SUSPENSIÓN</v>
      </c>
      <c r="O296" s="781"/>
    </row>
    <row r="297" spans="2:15">
      <c r="B297" s="319"/>
      <c r="C297" s="319"/>
      <c r="D297" s="320"/>
      <c r="E297" s="320"/>
      <c r="F297" s="320"/>
      <c r="G297" s="465" t="str">
        <f t="shared" si="30"/>
        <v/>
      </c>
      <c r="L297" s="782"/>
      <c r="M297" s="380">
        <v>2</v>
      </c>
      <c r="N297" s="781" t="str">
        <f t="shared" si="34"/>
        <v>CONTRATO SIN SUSPENSIÓN</v>
      </c>
      <c r="O297" s="781"/>
    </row>
    <row r="298" spans="2:15">
      <c r="B298" s="319"/>
      <c r="C298" s="319"/>
      <c r="D298" s="320"/>
      <c r="E298" s="320"/>
      <c r="F298" s="320"/>
      <c r="G298" s="465" t="str">
        <f t="shared" si="30"/>
        <v/>
      </c>
      <c r="L298" s="782"/>
      <c r="M298" s="380">
        <v>3</v>
      </c>
      <c r="N298" s="781" t="str">
        <f t="shared" si="34"/>
        <v>CONTRATO SIN SUSPENSIÓN</v>
      </c>
      <c r="O298" s="781"/>
    </row>
    <row r="299" spans="2:15">
      <c r="B299" s="319"/>
      <c r="C299" s="319"/>
      <c r="D299" s="320"/>
      <c r="E299" s="320"/>
      <c r="F299" s="320"/>
      <c r="G299" s="465" t="str">
        <f t="shared" si="30"/>
        <v/>
      </c>
      <c r="L299" s="782"/>
      <c r="M299" s="380">
        <v>4</v>
      </c>
      <c r="N299" s="781" t="str">
        <f t="shared" si="34"/>
        <v>CONTRATO SIN SUSPENSIÓN</v>
      </c>
      <c r="O299" s="781"/>
    </row>
    <row r="300" spans="2:15">
      <c r="B300" s="319"/>
      <c r="C300" s="319"/>
      <c r="D300" s="320"/>
      <c r="E300" s="320"/>
      <c r="F300" s="320"/>
      <c r="G300" s="465" t="str">
        <f t="shared" si="30"/>
        <v/>
      </c>
      <c r="L300" s="782"/>
      <c r="M300" s="380">
        <v>5</v>
      </c>
      <c r="N300" s="781" t="str">
        <f t="shared" si="34"/>
        <v>CONTRATO SIN SUSPENSIÓN</v>
      </c>
      <c r="O300" s="781"/>
    </row>
    <row r="301" spans="2:15">
      <c r="B301" s="319"/>
      <c r="C301" s="319"/>
      <c r="D301" s="320"/>
      <c r="E301" s="320"/>
      <c r="F301" s="320"/>
      <c r="G301" s="465" t="str">
        <f t="shared" si="30"/>
        <v/>
      </c>
      <c r="L301" s="782"/>
      <c r="M301" s="380">
        <v>6</v>
      </c>
      <c r="N301" s="781" t="str">
        <f t="shared" si="34"/>
        <v>CONTRATO SIN SUSPENSIÓN</v>
      </c>
      <c r="O301" s="781"/>
    </row>
    <row r="302" spans="2:15">
      <c r="B302" s="319"/>
      <c r="C302" s="319"/>
      <c r="D302" s="320"/>
      <c r="E302" s="320"/>
      <c r="F302" s="320"/>
      <c r="G302" s="465" t="str">
        <f t="shared" si="30"/>
        <v/>
      </c>
      <c r="L302" s="782"/>
      <c r="M302" s="380">
        <v>7</v>
      </c>
      <c r="N302" s="781" t="str">
        <f t="shared" si="34"/>
        <v>CONTRATO SIN SUSPENSIÓN</v>
      </c>
      <c r="O302" s="781"/>
    </row>
    <row r="303" spans="2:15">
      <c r="B303" s="319"/>
      <c r="C303" s="319"/>
      <c r="D303" s="320"/>
      <c r="E303" s="320"/>
      <c r="F303" s="320"/>
      <c r="G303" s="465" t="str">
        <f t="shared" si="30"/>
        <v/>
      </c>
      <c r="L303" s="782"/>
      <c r="M303" s="380">
        <v>8</v>
      </c>
      <c r="N303" s="781" t="str">
        <f t="shared" si="34"/>
        <v>CONTRATO SIN SUSPENSIÓN</v>
      </c>
      <c r="O303" s="781"/>
    </row>
    <row r="304" spans="2:15">
      <c r="B304" s="319"/>
      <c r="C304" s="319"/>
      <c r="D304" s="320"/>
      <c r="E304" s="320"/>
      <c r="F304" s="320"/>
      <c r="G304" s="465" t="str">
        <f t="shared" si="30"/>
        <v/>
      </c>
      <c r="L304" s="782"/>
      <c r="M304" s="380">
        <v>9</v>
      </c>
      <c r="N304" s="781" t="str">
        <f t="shared" si="34"/>
        <v>CONTRATO SIN SUSPENSIÓN</v>
      </c>
      <c r="O304" s="781"/>
    </row>
    <row r="305" spans="2:15">
      <c r="B305" s="319"/>
      <c r="C305" s="319"/>
      <c r="D305" s="320"/>
      <c r="E305" s="320"/>
      <c r="F305" s="320"/>
      <c r="G305" s="465" t="str">
        <f t="shared" si="30"/>
        <v/>
      </c>
      <c r="L305" s="782"/>
      <c r="M305" s="380">
        <v>10</v>
      </c>
      <c r="N305" s="781" t="str">
        <f t="shared" si="34"/>
        <v>CONTRATO SIN SUSPENSIÓN</v>
      </c>
      <c r="O305" s="781"/>
    </row>
    <row r="306" spans="2:15">
      <c r="B306" s="319"/>
      <c r="C306" s="319"/>
      <c r="D306" s="320"/>
      <c r="E306" s="320"/>
      <c r="F306" s="320"/>
      <c r="G306" s="465" t="str">
        <f t="shared" si="30"/>
        <v/>
      </c>
      <c r="L306" s="782">
        <v>31</v>
      </c>
      <c r="M306" s="380">
        <v>1</v>
      </c>
      <c r="N306" s="781" t="str">
        <f t="shared" ref="N306:N315" si="35">IF(SUMIFS($G$5:$G$1200,$B$5:$B$1200,$L$306,$C$5:$C$1200,$M306)=0,"CONTRATO SIN SUSPENSIÓN",ROUND(SUMIFS($G$5:$G$1200,$B$5:$B$1200,$L$306,$C$5:$C$1200,$M306),3))</f>
        <v>CONTRATO SIN SUSPENSIÓN</v>
      </c>
      <c r="O306" s="781"/>
    </row>
    <row r="307" spans="2:15">
      <c r="B307" s="319"/>
      <c r="C307" s="319"/>
      <c r="D307" s="320"/>
      <c r="E307" s="320"/>
      <c r="F307" s="320"/>
      <c r="G307" s="465" t="str">
        <f t="shared" si="30"/>
        <v/>
      </c>
      <c r="L307" s="782"/>
      <c r="M307" s="380">
        <v>2</v>
      </c>
      <c r="N307" s="781" t="str">
        <f t="shared" si="35"/>
        <v>CONTRATO SIN SUSPENSIÓN</v>
      </c>
      <c r="O307" s="781"/>
    </row>
    <row r="308" spans="2:15">
      <c r="B308" s="319"/>
      <c r="C308" s="319"/>
      <c r="D308" s="320"/>
      <c r="E308" s="320"/>
      <c r="F308" s="320"/>
      <c r="G308" s="465" t="str">
        <f t="shared" si="30"/>
        <v/>
      </c>
      <c r="L308" s="782"/>
      <c r="M308" s="380">
        <v>3</v>
      </c>
      <c r="N308" s="781" t="str">
        <f t="shared" si="35"/>
        <v>CONTRATO SIN SUSPENSIÓN</v>
      </c>
      <c r="O308" s="781"/>
    </row>
    <row r="309" spans="2:15">
      <c r="B309" s="319"/>
      <c r="C309" s="319"/>
      <c r="D309" s="320"/>
      <c r="E309" s="320"/>
      <c r="F309" s="320"/>
      <c r="G309" s="465" t="str">
        <f t="shared" si="30"/>
        <v/>
      </c>
      <c r="L309" s="782"/>
      <c r="M309" s="380">
        <v>4</v>
      </c>
      <c r="N309" s="781" t="str">
        <f t="shared" si="35"/>
        <v>CONTRATO SIN SUSPENSIÓN</v>
      </c>
      <c r="O309" s="781"/>
    </row>
    <row r="310" spans="2:15">
      <c r="B310" s="319"/>
      <c r="C310" s="319"/>
      <c r="D310" s="320"/>
      <c r="E310" s="320"/>
      <c r="F310" s="320"/>
      <c r="G310" s="465" t="str">
        <f t="shared" si="30"/>
        <v/>
      </c>
      <c r="L310" s="782"/>
      <c r="M310" s="380">
        <v>5</v>
      </c>
      <c r="N310" s="781" t="str">
        <f t="shared" si="35"/>
        <v>CONTRATO SIN SUSPENSIÓN</v>
      </c>
      <c r="O310" s="781"/>
    </row>
    <row r="311" spans="2:15">
      <c r="B311" s="319"/>
      <c r="C311" s="319"/>
      <c r="D311" s="320"/>
      <c r="E311" s="320"/>
      <c r="F311" s="320"/>
      <c r="G311" s="465" t="str">
        <f t="shared" si="30"/>
        <v/>
      </c>
      <c r="L311" s="782"/>
      <c r="M311" s="380">
        <v>6</v>
      </c>
      <c r="N311" s="781" t="str">
        <f t="shared" si="35"/>
        <v>CONTRATO SIN SUSPENSIÓN</v>
      </c>
      <c r="O311" s="781"/>
    </row>
    <row r="312" spans="2:15">
      <c r="B312" s="319"/>
      <c r="C312" s="319"/>
      <c r="D312" s="320"/>
      <c r="E312" s="320"/>
      <c r="F312" s="320"/>
      <c r="G312" s="465" t="str">
        <f t="shared" si="30"/>
        <v/>
      </c>
      <c r="L312" s="782"/>
      <c r="M312" s="380">
        <v>7</v>
      </c>
      <c r="N312" s="781" t="str">
        <f t="shared" si="35"/>
        <v>CONTRATO SIN SUSPENSIÓN</v>
      </c>
      <c r="O312" s="781"/>
    </row>
    <row r="313" spans="2:15">
      <c r="B313" s="319"/>
      <c r="C313" s="319"/>
      <c r="D313" s="320"/>
      <c r="E313" s="320"/>
      <c r="F313" s="320"/>
      <c r="G313" s="465" t="str">
        <f t="shared" si="30"/>
        <v/>
      </c>
      <c r="L313" s="782"/>
      <c r="M313" s="380">
        <v>8</v>
      </c>
      <c r="N313" s="781" t="str">
        <f t="shared" si="35"/>
        <v>CONTRATO SIN SUSPENSIÓN</v>
      </c>
      <c r="O313" s="781"/>
    </row>
    <row r="314" spans="2:15">
      <c r="B314" s="319"/>
      <c r="C314" s="319"/>
      <c r="D314" s="320"/>
      <c r="E314" s="320"/>
      <c r="F314" s="320"/>
      <c r="G314" s="465" t="str">
        <f t="shared" si="30"/>
        <v/>
      </c>
      <c r="L314" s="782"/>
      <c r="M314" s="380">
        <v>9</v>
      </c>
      <c r="N314" s="781" t="str">
        <f t="shared" si="35"/>
        <v>CONTRATO SIN SUSPENSIÓN</v>
      </c>
      <c r="O314" s="781"/>
    </row>
    <row r="315" spans="2:15">
      <c r="B315" s="319"/>
      <c r="C315" s="319"/>
      <c r="D315" s="320"/>
      <c r="E315" s="320"/>
      <c r="F315" s="320"/>
      <c r="G315" s="465" t="str">
        <f t="shared" si="30"/>
        <v/>
      </c>
      <c r="L315" s="782"/>
      <c r="M315" s="380">
        <v>10</v>
      </c>
      <c r="N315" s="781" t="str">
        <f t="shared" si="35"/>
        <v>CONTRATO SIN SUSPENSIÓN</v>
      </c>
      <c r="O315" s="781"/>
    </row>
    <row r="316" spans="2:15">
      <c r="B316" s="319"/>
      <c r="C316" s="319"/>
      <c r="D316" s="320"/>
      <c r="E316" s="320"/>
      <c r="F316" s="320"/>
      <c r="G316" s="465" t="str">
        <f t="shared" si="30"/>
        <v/>
      </c>
      <c r="L316" s="782">
        <v>32</v>
      </c>
      <c r="M316" s="380">
        <v>1</v>
      </c>
      <c r="N316" s="781" t="str">
        <f t="shared" ref="N316:N325" si="36">IF(SUMIFS($G$5:$G$1200,$B$5:$B$1200,$L$316,$C$5:$C$1200,$M316)=0,"CONTRATO SIN SUSPENSIÓN",ROUND(SUMIFS($G$5:$G$1200,$B$5:$B$1200,$L$316,$C$5:$C$1200,$M316),3))</f>
        <v>CONTRATO SIN SUSPENSIÓN</v>
      </c>
      <c r="O316" s="781"/>
    </row>
    <row r="317" spans="2:15">
      <c r="B317" s="319"/>
      <c r="C317" s="319"/>
      <c r="D317" s="320"/>
      <c r="E317" s="320"/>
      <c r="F317" s="320"/>
      <c r="G317" s="465" t="str">
        <f t="shared" si="30"/>
        <v/>
      </c>
      <c r="L317" s="782"/>
      <c r="M317" s="380">
        <v>2</v>
      </c>
      <c r="N317" s="781" t="str">
        <f t="shared" si="36"/>
        <v>CONTRATO SIN SUSPENSIÓN</v>
      </c>
      <c r="O317" s="781"/>
    </row>
    <row r="318" spans="2:15">
      <c r="B318" s="319"/>
      <c r="C318" s="319"/>
      <c r="D318" s="320"/>
      <c r="E318" s="320"/>
      <c r="F318" s="320"/>
      <c r="G318" s="465" t="str">
        <f t="shared" si="30"/>
        <v/>
      </c>
      <c r="L318" s="782"/>
      <c r="M318" s="380">
        <v>3</v>
      </c>
      <c r="N318" s="781" t="str">
        <f t="shared" si="36"/>
        <v>CONTRATO SIN SUSPENSIÓN</v>
      </c>
      <c r="O318" s="781"/>
    </row>
    <row r="319" spans="2:15">
      <c r="B319" s="319"/>
      <c r="C319" s="319"/>
      <c r="D319" s="320"/>
      <c r="E319" s="320"/>
      <c r="F319" s="320"/>
      <c r="G319" s="465" t="str">
        <f t="shared" si="30"/>
        <v/>
      </c>
      <c r="L319" s="782"/>
      <c r="M319" s="380">
        <v>4</v>
      </c>
      <c r="N319" s="781" t="str">
        <f t="shared" si="36"/>
        <v>CONTRATO SIN SUSPENSIÓN</v>
      </c>
      <c r="O319" s="781"/>
    </row>
    <row r="320" spans="2:15">
      <c r="B320" s="319"/>
      <c r="C320" s="319"/>
      <c r="D320" s="320"/>
      <c r="E320" s="320"/>
      <c r="F320" s="320"/>
      <c r="G320" s="465" t="str">
        <f t="shared" si="30"/>
        <v/>
      </c>
      <c r="L320" s="782"/>
      <c r="M320" s="380">
        <v>5</v>
      </c>
      <c r="N320" s="781" t="str">
        <f t="shared" si="36"/>
        <v>CONTRATO SIN SUSPENSIÓN</v>
      </c>
      <c r="O320" s="781"/>
    </row>
    <row r="321" spans="2:15">
      <c r="B321" s="319"/>
      <c r="C321" s="319"/>
      <c r="D321" s="320"/>
      <c r="E321" s="320"/>
      <c r="F321" s="320"/>
      <c r="G321" s="465" t="str">
        <f t="shared" si="30"/>
        <v/>
      </c>
      <c r="L321" s="782"/>
      <c r="M321" s="380">
        <v>6</v>
      </c>
      <c r="N321" s="781" t="str">
        <f t="shared" si="36"/>
        <v>CONTRATO SIN SUSPENSIÓN</v>
      </c>
      <c r="O321" s="781"/>
    </row>
    <row r="322" spans="2:15">
      <c r="B322" s="319"/>
      <c r="C322" s="319"/>
      <c r="D322" s="320"/>
      <c r="E322" s="320"/>
      <c r="F322" s="320"/>
      <c r="G322" s="465" t="str">
        <f t="shared" si="30"/>
        <v/>
      </c>
      <c r="L322" s="782"/>
      <c r="M322" s="380">
        <v>7</v>
      </c>
      <c r="N322" s="781" t="str">
        <f t="shared" si="36"/>
        <v>CONTRATO SIN SUSPENSIÓN</v>
      </c>
      <c r="O322" s="781"/>
    </row>
    <row r="323" spans="2:15">
      <c r="B323" s="319"/>
      <c r="C323" s="319"/>
      <c r="D323" s="320"/>
      <c r="E323" s="320"/>
      <c r="F323" s="320"/>
      <c r="G323" s="465" t="str">
        <f t="shared" si="30"/>
        <v/>
      </c>
      <c r="L323" s="782"/>
      <c r="M323" s="380">
        <v>8</v>
      </c>
      <c r="N323" s="781" t="str">
        <f t="shared" si="36"/>
        <v>CONTRATO SIN SUSPENSIÓN</v>
      </c>
      <c r="O323" s="781"/>
    </row>
    <row r="324" spans="2:15">
      <c r="B324" s="319"/>
      <c r="C324" s="319"/>
      <c r="D324" s="320"/>
      <c r="E324" s="320"/>
      <c r="F324" s="320"/>
      <c r="G324" s="465" t="str">
        <f t="shared" si="30"/>
        <v/>
      </c>
      <c r="L324" s="782"/>
      <c r="M324" s="380">
        <v>9</v>
      </c>
      <c r="N324" s="781" t="str">
        <f t="shared" si="36"/>
        <v>CONTRATO SIN SUSPENSIÓN</v>
      </c>
      <c r="O324" s="781"/>
    </row>
    <row r="325" spans="2:15">
      <c r="B325" s="319"/>
      <c r="C325" s="319"/>
      <c r="D325" s="320"/>
      <c r="E325" s="320"/>
      <c r="F325" s="320"/>
      <c r="G325" s="465" t="str">
        <f t="shared" si="30"/>
        <v/>
      </c>
      <c r="L325" s="782"/>
      <c r="M325" s="380">
        <v>10</v>
      </c>
      <c r="N325" s="781" t="str">
        <f t="shared" si="36"/>
        <v>CONTRATO SIN SUSPENSIÓN</v>
      </c>
      <c r="O325" s="781"/>
    </row>
    <row r="326" spans="2:15">
      <c r="B326" s="319"/>
      <c r="C326" s="319"/>
      <c r="D326" s="320"/>
      <c r="E326" s="320"/>
      <c r="F326" s="320"/>
      <c r="G326" s="465" t="str">
        <f t="shared" ref="G326:G389" si="37">IF(OR(AND(D326="",E326=""),AND(D326="",F326="")),"",IF(AND(D326&lt;&gt;"",E326&lt;&gt;"",F326&lt;&gt;""),"REVISAR CÁLCULO",IF(AND(D326&lt;&gt;"",F326&lt;&gt;""),ROUND(((F326-D326)/30),3),IF(AND(D326&lt;&gt;"",E326&lt;&gt;""),ROUND(((E326-D326+1)/30),3),""))))</f>
        <v/>
      </c>
      <c r="L326" s="782">
        <v>33</v>
      </c>
      <c r="M326" s="380">
        <v>1</v>
      </c>
      <c r="N326" s="781" t="str">
        <f t="shared" ref="N326:N335" si="38">IF(SUMIFS($G$5:$G$1200,$B$5:$B$1200,$L$326,$C$5:$C$1200,$M326)=0,"CONTRATO SIN SUSPENSIÓN",ROUND(SUMIFS($G$5:$G$1200,$B$5:$B$1200,$L$326,$C$5:$C$1200,$M326),3))</f>
        <v>CONTRATO SIN SUSPENSIÓN</v>
      </c>
      <c r="O326" s="781"/>
    </row>
    <row r="327" spans="2:15">
      <c r="B327" s="319"/>
      <c r="C327" s="319"/>
      <c r="D327" s="320"/>
      <c r="E327" s="320"/>
      <c r="F327" s="320"/>
      <c r="G327" s="465" t="str">
        <f t="shared" si="37"/>
        <v/>
      </c>
      <c r="L327" s="782"/>
      <c r="M327" s="380">
        <v>2</v>
      </c>
      <c r="N327" s="781" t="str">
        <f t="shared" si="38"/>
        <v>CONTRATO SIN SUSPENSIÓN</v>
      </c>
      <c r="O327" s="781"/>
    </row>
    <row r="328" spans="2:15">
      <c r="B328" s="319"/>
      <c r="C328" s="319"/>
      <c r="D328" s="320"/>
      <c r="E328" s="320"/>
      <c r="F328" s="320"/>
      <c r="G328" s="465" t="str">
        <f t="shared" si="37"/>
        <v/>
      </c>
      <c r="L328" s="782"/>
      <c r="M328" s="380">
        <v>3</v>
      </c>
      <c r="N328" s="781" t="str">
        <f t="shared" si="38"/>
        <v>CONTRATO SIN SUSPENSIÓN</v>
      </c>
      <c r="O328" s="781"/>
    </row>
    <row r="329" spans="2:15">
      <c r="B329" s="319"/>
      <c r="C329" s="319"/>
      <c r="D329" s="320"/>
      <c r="E329" s="320"/>
      <c r="F329" s="320"/>
      <c r="G329" s="465" t="str">
        <f t="shared" si="37"/>
        <v/>
      </c>
      <c r="L329" s="782"/>
      <c r="M329" s="380">
        <v>4</v>
      </c>
      <c r="N329" s="781" t="str">
        <f t="shared" si="38"/>
        <v>CONTRATO SIN SUSPENSIÓN</v>
      </c>
      <c r="O329" s="781"/>
    </row>
    <row r="330" spans="2:15">
      <c r="B330" s="319"/>
      <c r="C330" s="319"/>
      <c r="D330" s="320"/>
      <c r="E330" s="320"/>
      <c r="F330" s="320"/>
      <c r="G330" s="465" t="str">
        <f t="shared" si="37"/>
        <v/>
      </c>
      <c r="L330" s="782"/>
      <c r="M330" s="380">
        <v>5</v>
      </c>
      <c r="N330" s="781" t="str">
        <f t="shared" si="38"/>
        <v>CONTRATO SIN SUSPENSIÓN</v>
      </c>
      <c r="O330" s="781"/>
    </row>
    <row r="331" spans="2:15">
      <c r="B331" s="319"/>
      <c r="C331" s="319"/>
      <c r="D331" s="320"/>
      <c r="E331" s="320"/>
      <c r="F331" s="320"/>
      <c r="G331" s="465" t="str">
        <f t="shared" si="37"/>
        <v/>
      </c>
      <c r="L331" s="782"/>
      <c r="M331" s="380">
        <v>6</v>
      </c>
      <c r="N331" s="781" t="str">
        <f t="shared" si="38"/>
        <v>CONTRATO SIN SUSPENSIÓN</v>
      </c>
      <c r="O331" s="781"/>
    </row>
    <row r="332" spans="2:15">
      <c r="B332" s="319"/>
      <c r="C332" s="319"/>
      <c r="D332" s="320"/>
      <c r="E332" s="320"/>
      <c r="F332" s="320"/>
      <c r="G332" s="465" t="str">
        <f t="shared" si="37"/>
        <v/>
      </c>
      <c r="L332" s="782"/>
      <c r="M332" s="380">
        <v>7</v>
      </c>
      <c r="N332" s="781" t="str">
        <f t="shared" si="38"/>
        <v>CONTRATO SIN SUSPENSIÓN</v>
      </c>
      <c r="O332" s="781"/>
    </row>
    <row r="333" spans="2:15">
      <c r="B333" s="319"/>
      <c r="C333" s="319"/>
      <c r="D333" s="320"/>
      <c r="E333" s="320"/>
      <c r="F333" s="320"/>
      <c r="G333" s="465" t="str">
        <f t="shared" si="37"/>
        <v/>
      </c>
      <c r="L333" s="782"/>
      <c r="M333" s="380">
        <v>8</v>
      </c>
      <c r="N333" s="781" t="str">
        <f t="shared" si="38"/>
        <v>CONTRATO SIN SUSPENSIÓN</v>
      </c>
      <c r="O333" s="781"/>
    </row>
    <row r="334" spans="2:15">
      <c r="B334" s="319"/>
      <c r="C334" s="319"/>
      <c r="D334" s="320"/>
      <c r="E334" s="320"/>
      <c r="F334" s="320"/>
      <c r="G334" s="465" t="str">
        <f t="shared" si="37"/>
        <v/>
      </c>
      <c r="L334" s="782"/>
      <c r="M334" s="380">
        <v>9</v>
      </c>
      <c r="N334" s="781" t="str">
        <f t="shared" si="38"/>
        <v>CONTRATO SIN SUSPENSIÓN</v>
      </c>
      <c r="O334" s="781"/>
    </row>
    <row r="335" spans="2:15">
      <c r="B335" s="319"/>
      <c r="C335" s="319"/>
      <c r="D335" s="320"/>
      <c r="E335" s="320"/>
      <c r="F335" s="320"/>
      <c r="G335" s="465" t="str">
        <f t="shared" si="37"/>
        <v/>
      </c>
      <c r="L335" s="782"/>
      <c r="M335" s="380">
        <v>10</v>
      </c>
      <c r="N335" s="781" t="str">
        <f t="shared" si="38"/>
        <v>CONTRATO SIN SUSPENSIÓN</v>
      </c>
      <c r="O335" s="781"/>
    </row>
    <row r="336" spans="2:15">
      <c r="B336" s="319"/>
      <c r="C336" s="319"/>
      <c r="D336" s="320"/>
      <c r="E336" s="320"/>
      <c r="F336" s="320"/>
      <c r="G336" s="465" t="str">
        <f t="shared" si="37"/>
        <v/>
      </c>
      <c r="L336" s="782">
        <v>34</v>
      </c>
      <c r="M336" s="380">
        <v>1</v>
      </c>
      <c r="N336" s="781" t="str">
        <f t="shared" ref="N336:N345" si="39">IF(SUMIFS($G$5:$G$1200,$B$5:$B$1200,$L$336,$C$5:$C$1200,$M336)=0,"CONTRATO SIN SUSPENSIÓN",ROUND(SUMIFS($G$5:$G$1200,$B$5:$B$1200,$L$336,$C$5:$C$1200,$M336),3))</f>
        <v>CONTRATO SIN SUSPENSIÓN</v>
      </c>
      <c r="O336" s="781"/>
    </row>
    <row r="337" spans="2:15">
      <c r="B337" s="319"/>
      <c r="C337" s="319"/>
      <c r="D337" s="320"/>
      <c r="E337" s="320"/>
      <c r="F337" s="320"/>
      <c r="G337" s="465" t="str">
        <f t="shared" si="37"/>
        <v/>
      </c>
      <c r="L337" s="782"/>
      <c r="M337" s="380">
        <v>2</v>
      </c>
      <c r="N337" s="781" t="str">
        <f t="shared" si="39"/>
        <v>CONTRATO SIN SUSPENSIÓN</v>
      </c>
      <c r="O337" s="781"/>
    </row>
    <row r="338" spans="2:15">
      <c r="B338" s="319"/>
      <c r="C338" s="319"/>
      <c r="D338" s="320"/>
      <c r="E338" s="320"/>
      <c r="F338" s="320"/>
      <c r="G338" s="465" t="str">
        <f t="shared" si="37"/>
        <v/>
      </c>
      <c r="L338" s="782"/>
      <c r="M338" s="380">
        <v>3</v>
      </c>
      <c r="N338" s="781" t="str">
        <f t="shared" si="39"/>
        <v>CONTRATO SIN SUSPENSIÓN</v>
      </c>
      <c r="O338" s="781"/>
    </row>
    <row r="339" spans="2:15">
      <c r="B339" s="319"/>
      <c r="C339" s="319"/>
      <c r="D339" s="320"/>
      <c r="E339" s="320"/>
      <c r="F339" s="320"/>
      <c r="G339" s="465" t="str">
        <f t="shared" si="37"/>
        <v/>
      </c>
      <c r="L339" s="782"/>
      <c r="M339" s="380">
        <v>4</v>
      </c>
      <c r="N339" s="781" t="str">
        <f t="shared" si="39"/>
        <v>CONTRATO SIN SUSPENSIÓN</v>
      </c>
      <c r="O339" s="781"/>
    </row>
    <row r="340" spans="2:15">
      <c r="B340" s="319"/>
      <c r="C340" s="319"/>
      <c r="D340" s="320"/>
      <c r="E340" s="320"/>
      <c r="F340" s="320"/>
      <c r="G340" s="465" t="str">
        <f t="shared" si="37"/>
        <v/>
      </c>
      <c r="L340" s="782"/>
      <c r="M340" s="380">
        <v>5</v>
      </c>
      <c r="N340" s="781" t="str">
        <f t="shared" si="39"/>
        <v>CONTRATO SIN SUSPENSIÓN</v>
      </c>
      <c r="O340" s="781"/>
    </row>
    <row r="341" spans="2:15">
      <c r="B341" s="319"/>
      <c r="C341" s="319"/>
      <c r="D341" s="320"/>
      <c r="E341" s="320"/>
      <c r="F341" s="320"/>
      <c r="G341" s="465" t="str">
        <f t="shared" si="37"/>
        <v/>
      </c>
      <c r="L341" s="782"/>
      <c r="M341" s="380">
        <v>6</v>
      </c>
      <c r="N341" s="781" t="str">
        <f t="shared" si="39"/>
        <v>CONTRATO SIN SUSPENSIÓN</v>
      </c>
      <c r="O341" s="781"/>
    </row>
    <row r="342" spans="2:15">
      <c r="B342" s="319"/>
      <c r="C342" s="319"/>
      <c r="D342" s="320"/>
      <c r="E342" s="320"/>
      <c r="F342" s="320"/>
      <c r="G342" s="465" t="str">
        <f t="shared" si="37"/>
        <v/>
      </c>
      <c r="L342" s="782"/>
      <c r="M342" s="380">
        <v>7</v>
      </c>
      <c r="N342" s="781" t="str">
        <f t="shared" si="39"/>
        <v>CONTRATO SIN SUSPENSIÓN</v>
      </c>
      <c r="O342" s="781"/>
    </row>
    <row r="343" spans="2:15">
      <c r="B343" s="319"/>
      <c r="C343" s="319"/>
      <c r="D343" s="320"/>
      <c r="E343" s="320"/>
      <c r="F343" s="320"/>
      <c r="G343" s="465" t="str">
        <f t="shared" si="37"/>
        <v/>
      </c>
      <c r="L343" s="782"/>
      <c r="M343" s="380">
        <v>8</v>
      </c>
      <c r="N343" s="781" t="str">
        <f t="shared" si="39"/>
        <v>CONTRATO SIN SUSPENSIÓN</v>
      </c>
      <c r="O343" s="781"/>
    </row>
    <row r="344" spans="2:15">
      <c r="B344" s="319"/>
      <c r="C344" s="319"/>
      <c r="D344" s="320"/>
      <c r="E344" s="320"/>
      <c r="F344" s="320"/>
      <c r="G344" s="465" t="str">
        <f t="shared" si="37"/>
        <v/>
      </c>
      <c r="L344" s="782"/>
      <c r="M344" s="380">
        <v>9</v>
      </c>
      <c r="N344" s="781" t="str">
        <f t="shared" si="39"/>
        <v>CONTRATO SIN SUSPENSIÓN</v>
      </c>
      <c r="O344" s="781"/>
    </row>
    <row r="345" spans="2:15">
      <c r="B345" s="319"/>
      <c r="C345" s="319"/>
      <c r="D345" s="320"/>
      <c r="E345" s="320"/>
      <c r="F345" s="320"/>
      <c r="G345" s="465" t="str">
        <f t="shared" si="37"/>
        <v/>
      </c>
      <c r="L345" s="782"/>
      <c r="M345" s="380">
        <v>10</v>
      </c>
      <c r="N345" s="781" t="str">
        <f t="shared" si="39"/>
        <v>CONTRATO SIN SUSPENSIÓN</v>
      </c>
      <c r="O345" s="781"/>
    </row>
    <row r="346" spans="2:15">
      <c r="B346" s="319"/>
      <c r="C346" s="319"/>
      <c r="D346" s="320"/>
      <c r="E346" s="320"/>
      <c r="F346" s="320"/>
      <c r="G346" s="465" t="str">
        <f t="shared" si="37"/>
        <v/>
      </c>
      <c r="L346" s="782">
        <v>35</v>
      </c>
      <c r="M346" s="380">
        <v>1</v>
      </c>
      <c r="N346" s="781" t="str">
        <f t="shared" ref="N346:N355" si="40">IF(SUMIFS($G$5:$G$1200,$B$5:$B$1200,$L$346,$C$5:$C$1200,$M346)=0,"CONTRATO SIN SUSPENSIÓN",ROUND(SUMIFS($G$5:$G$1200,$B$5:$B$1200,$L$346,$C$5:$C$1200,$M346),3))</f>
        <v>CONTRATO SIN SUSPENSIÓN</v>
      </c>
      <c r="O346" s="781"/>
    </row>
    <row r="347" spans="2:15">
      <c r="B347" s="319"/>
      <c r="C347" s="319"/>
      <c r="D347" s="320"/>
      <c r="E347" s="320"/>
      <c r="F347" s="320"/>
      <c r="G347" s="465" t="str">
        <f t="shared" si="37"/>
        <v/>
      </c>
      <c r="L347" s="782"/>
      <c r="M347" s="380">
        <v>2</v>
      </c>
      <c r="N347" s="781" t="str">
        <f t="shared" si="40"/>
        <v>CONTRATO SIN SUSPENSIÓN</v>
      </c>
      <c r="O347" s="781"/>
    </row>
    <row r="348" spans="2:15">
      <c r="B348" s="319"/>
      <c r="C348" s="319"/>
      <c r="D348" s="320"/>
      <c r="E348" s="320"/>
      <c r="F348" s="320"/>
      <c r="G348" s="465" t="str">
        <f t="shared" si="37"/>
        <v/>
      </c>
      <c r="L348" s="782"/>
      <c r="M348" s="380">
        <v>3</v>
      </c>
      <c r="N348" s="781" t="str">
        <f t="shared" si="40"/>
        <v>CONTRATO SIN SUSPENSIÓN</v>
      </c>
      <c r="O348" s="781"/>
    </row>
    <row r="349" spans="2:15">
      <c r="B349" s="319"/>
      <c r="C349" s="319"/>
      <c r="D349" s="320"/>
      <c r="E349" s="320"/>
      <c r="F349" s="320"/>
      <c r="G349" s="465" t="str">
        <f t="shared" si="37"/>
        <v/>
      </c>
      <c r="L349" s="782"/>
      <c r="M349" s="380">
        <v>4</v>
      </c>
      <c r="N349" s="781" t="str">
        <f t="shared" si="40"/>
        <v>CONTRATO SIN SUSPENSIÓN</v>
      </c>
      <c r="O349" s="781"/>
    </row>
    <row r="350" spans="2:15">
      <c r="B350" s="319"/>
      <c r="C350" s="319"/>
      <c r="D350" s="320"/>
      <c r="E350" s="320"/>
      <c r="F350" s="320"/>
      <c r="G350" s="465" t="str">
        <f t="shared" si="37"/>
        <v/>
      </c>
      <c r="L350" s="782"/>
      <c r="M350" s="380">
        <v>5</v>
      </c>
      <c r="N350" s="781" t="str">
        <f t="shared" si="40"/>
        <v>CONTRATO SIN SUSPENSIÓN</v>
      </c>
      <c r="O350" s="781"/>
    </row>
    <row r="351" spans="2:15">
      <c r="B351" s="319"/>
      <c r="C351" s="319"/>
      <c r="D351" s="320"/>
      <c r="E351" s="320"/>
      <c r="F351" s="320"/>
      <c r="G351" s="465" t="str">
        <f t="shared" si="37"/>
        <v/>
      </c>
      <c r="L351" s="782"/>
      <c r="M351" s="380">
        <v>6</v>
      </c>
      <c r="N351" s="781" t="str">
        <f t="shared" si="40"/>
        <v>CONTRATO SIN SUSPENSIÓN</v>
      </c>
      <c r="O351" s="781"/>
    </row>
    <row r="352" spans="2:15">
      <c r="B352" s="319"/>
      <c r="C352" s="319"/>
      <c r="D352" s="320"/>
      <c r="E352" s="320"/>
      <c r="F352" s="320"/>
      <c r="G352" s="465" t="str">
        <f t="shared" si="37"/>
        <v/>
      </c>
      <c r="L352" s="782"/>
      <c r="M352" s="380">
        <v>7</v>
      </c>
      <c r="N352" s="781" t="str">
        <f t="shared" si="40"/>
        <v>CONTRATO SIN SUSPENSIÓN</v>
      </c>
      <c r="O352" s="781"/>
    </row>
    <row r="353" spans="2:15">
      <c r="B353" s="319"/>
      <c r="C353" s="319"/>
      <c r="D353" s="320"/>
      <c r="E353" s="320"/>
      <c r="F353" s="320"/>
      <c r="G353" s="465" t="str">
        <f t="shared" si="37"/>
        <v/>
      </c>
      <c r="L353" s="782"/>
      <c r="M353" s="380">
        <v>8</v>
      </c>
      <c r="N353" s="781" t="str">
        <f t="shared" si="40"/>
        <v>CONTRATO SIN SUSPENSIÓN</v>
      </c>
      <c r="O353" s="781"/>
    </row>
    <row r="354" spans="2:15">
      <c r="B354" s="319"/>
      <c r="C354" s="319"/>
      <c r="D354" s="320"/>
      <c r="E354" s="320"/>
      <c r="F354" s="320"/>
      <c r="G354" s="465" t="str">
        <f t="shared" si="37"/>
        <v/>
      </c>
      <c r="L354" s="782"/>
      <c r="M354" s="380">
        <v>9</v>
      </c>
      <c r="N354" s="781" t="str">
        <f t="shared" si="40"/>
        <v>CONTRATO SIN SUSPENSIÓN</v>
      </c>
      <c r="O354" s="781"/>
    </row>
    <row r="355" spans="2:15">
      <c r="B355" s="319"/>
      <c r="C355" s="319"/>
      <c r="D355" s="320"/>
      <c r="E355" s="320"/>
      <c r="F355" s="320"/>
      <c r="G355" s="465" t="str">
        <f t="shared" si="37"/>
        <v/>
      </c>
      <c r="L355" s="782"/>
      <c r="M355" s="380">
        <v>10</v>
      </c>
      <c r="N355" s="781" t="str">
        <f t="shared" si="40"/>
        <v>CONTRATO SIN SUSPENSIÓN</v>
      </c>
      <c r="O355" s="781"/>
    </row>
    <row r="356" spans="2:15">
      <c r="B356" s="319"/>
      <c r="C356" s="319"/>
      <c r="D356" s="320"/>
      <c r="E356" s="320"/>
      <c r="F356" s="320"/>
      <c r="G356" s="465" t="str">
        <f t="shared" si="37"/>
        <v/>
      </c>
      <c r="L356" s="782">
        <v>36</v>
      </c>
      <c r="M356" s="380">
        <v>1</v>
      </c>
      <c r="N356" s="781" t="str">
        <f t="shared" ref="N356:N365" si="41">IF(SUMIFS($G$5:$G$1200,$B$5:$B$1200,$L$356,$C$5:$C$1200,$M356)=0,"CONTRATO SIN SUSPENSIÓN",ROUND(SUMIFS($G$5:$G$1200,$B$5:$B$1200,$L$356,$C$5:$C$1200,$M356),3))</f>
        <v>CONTRATO SIN SUSPENSIÓN</v>
      </c>
      <c r="O356" s="781"/>
    </row>
    <row r="357" spans="2:15">
      <c r="B357" s="319"/>
      <c r="C357" s="319"/>
      <c r="D357" s="320"/>
      <c r="E357" s="320"/>
      <c r="F357" s="320"/>
      <c r="G357" s="465" t="str">
        <f t="shared" si="37"/>
        <v/>
      </c>
      <c r="L357" s="782"/>
      <c r="M357" s="380">
        <v>2</v>
      </c>
      <c r="N357" s="781" t="str">
        <f t="shared" si="41"/>
        <v>CONTRATO SIN SUSPENSIÓN</v>
      </c>
      <c r="O357" s="781"/>
    </row>
    <row r="358" spans="2:15">
      <c r="B358" s="319"/>
      <c r="C358" s="319"/>
      <c r="D358" s="320"/>
      <c r="E358" s="320"/>
      <c r="F358" s="320"/>
      <c r="G358" s="465" t="str">
        <f t="shared" si="37"/>
        <v/>
      </c>
      <c r="L358" s="782"/>
      <c r="M358" s="380">
        <v>3</v>
      </c>
      <c r="N358" s="781" t="str">
        <f t="shared" si="41"/>
        <v>CONTRATO SIN SUSPENSIÓN</v>
      </c>
      <c r="O358" s="781"/>
    </row>
    <row r="359" spans="2:15">
      <c r="B359" s="319"/>
      <c r="C359" s="319"/>
      <c r="D359" s="320"/>
      <c r="E359" s="320"/>
      <c r="F359" s="320"/>
      <c r="G359" s="465" t="str">
        <f t="shared" si="37"/>
        <v/>
      </c>
      <c r="L359" s="782"/>
      <c r="M359" s="380">
        <v>4</v>
      </c>
      <c r="N359" s="781" t="str">
        <f t="shared" si="41"/>
        <v>CONTRATO SIN SUSPENSIÓN</v>
      </c>
      <c r="O359" s="781"/>
    </row>
    <row r="360" spans="2:15">
      <c r="B360" s="319"/>
      <c r="C360" s="319"/>
      <c r="D360" s="320"/>
      <c r="E360" s="320"/>
      <c r="F360" s="320"/>
      <c r="G360" s="465" t="str">
        <f t="shared" si="37"/>
        <v/>
      </c>
      <c r="L360" s="782"/>
      <c r="M360" s="380">
        <v>5</v>
      </c>
      <c r="N360" s="781" t="str">
        <f t="shared" si="41"/>
        <v>CONTRATO SIN SUSPENSIÓN</v>
      </c>
      <c r="O360" s="781"/>
    </row>
    <row r="361" spans="2:15">
      <c r="B361" s="319"/>
      <c r="C361" s="319"/>
      <c r="D361" s="320"/>
      <c r="E361" s="320"/>
      <c r="F361" s="320"/>
      <c r="G361" s="465" t="str">
        <f t="shared" si="37"/>
        <v/>
      </c>
      <c r="L361" s="782"/>
      <c r="M361" s="380">
        <v>6</v>
      </c>
      <c r="N361" s="781" t="str">
        <f t="shared" si="41"/>
        <v>CONTRATO SIN SUSPENSIÓN</v>
      </c>
      <c r="O361" s="781"/>
    </row>
    <row r="362" spans="2:15">
      <c r="B362" s="319"/>
      <c r="C362" s="319"/>
      <c r="D362" s="320"/>
      <c r="E362" s="320"/>
      <c r="F362" s="320"/>
      <c r="G362" s="465" t="str">
        <f t="shared" si="37"/>
        <v/>
      </c>
      <c r="L362" s="782"/>
      <c r="M362" s="380">
        <v>7</v>
      </c>
      <c r="N362" s="781" t="str">
        <f t="shared" si="41"/>
        <v>CONTRATO SIN SUSPENSIÓN</v>
      </c>
      <c r="O362" s="781"/>
    </row>
    <row r="363" spans="2:15">
      <c r="B363" s="319"/>
      <c r="C363" s="319"/>
      <c r="D363" s="320"/>
      <c r="E363" s="320"/>
      <c r="F363" s="320"/>
      <c r="G363" s="465" t="str">
        <f t="shared" si="37"/>
        <v/>
      </c>
      <c r="L363" s="782"/>
      <c r="M363" s="380">
        <v>8</v>
      </c>
      <c r="N363" s="781" t="str">
        <f t="shared" si="41"/>
        <v>CONTRATO SIN SUSPENSIÓN</v>
      </c>
      <c r="O363" s="781"/>
    </row>
    <row r="364" spans="2:15">
      <c r="B364" s="319"/>
      <c r="C364" s="319"/>
      <c r="D364" s="320"/>
      <c r="E364" s="320"/>
      <c r="F364" s="320"/>
      <c r="G364" s="465" t="str">
        <f t="shared" si="37"/>
        <v/>
      </c>
      <c r="L364" s="782"/>
      <c r="M364" s="380">
        <v>9</v>
      </c>
      <c r="N364" s="781" t="str">
        <f t="shared" si="41"/>
        <v>CONTRATO SIN SUSPENSIÓN</v>
      </c>
      <c r="O364" s="781"/>
    </row>
    <row r="365" spans="2:15">
      <c r="B365" s="319"/>
      <c r="C365" s="319"/>
      <c r="D365" s="320"/>
      <c r="E365" s="320"/>
      <c r="F365" s="320"/>
      <c r="G365" s="465" t="str">
        <f t="shared" si="37"/>
        <v/>
      </c>
      <c r="L365" s="782"/>
      <c r="M365" s="380">
        <v>10</v>
      </c>
      <c r="N365" s="781" t="str">
        <f t="shared" si="41"/>
        <v>CONTRATO SIN SUSPENSIÓN</v>
      </c>
      <c r="O365" s="781"/>
    </row>
    <row r="366" spans="2:15">
      <c r="B366" s="319"/>
      <c r="C366" s="319"/>
      <c r="D366" s="320"/>
      <c r="E366" s="320"/>
      <c r="F366" s="320"/>
      <c r="G366" s="465" t="str">
        <f t="shared" si="37"/>
        <v/>
      </c>
      <c r="L366" s="782">
        <v>37</v>
      </c>
      <c r="M366" s="380">
        <v>1</v>
      </c>
      <c r="N366" s="781" t="str">
        <f t="shared" ref="N366:N375" si="42">IF(SUMIFS($G$5:$G$1200,$B$5:$B$1200,$L$366,$C$5:$C$1200,$M366)=0,"CONTRATO SIN SUSPENSIÓN",ROUND(SUMIFS($G$5:$G$1200,$B$5:$B$1200,$L$366,$C$5:$C$1200,$M366),3))</f>
        <v>CONTRATO SIN SUSPENSIÓN</v>
      </c>
      <c r="O366" s="781"/>
    </row>
    <row r="367" spans="2:15">
      <c r="B367" s="319"/>
      <c r="C367" s="319"/>
      <c r="D367" s="320"/>
      <c r="E367" s="320"/>
      <c r="F367" s="320"/>
      <c r="G367" s="465" t="str">
        <f t="shared" si="37"/>
        <v/>
      </c>
      <c r="L367" s="782"/>
      <c r="M367" s="380">
        <v>2</v>
      </c>
      <c r="N367" s="781" t="str">
        <f t="shared" si="42"/>
        <v>CONTRATO SIN SUSPENSIÓN</v>
      </c>
      <c r="O367" s="781"/>
    </row>
    <row r="368" spans="2:15">
      <c r="B368" s="319"/>
      <c r="C368" s="319"/>
      <c r="D368" s="320"/>
      <c r="E368" s="320"/>
      <c r="F368" s="320"/>
      <c r="G368" s="465" t="str">
        <f t="shared" si="37"/>
        <v/>
      </c>
      <c r="L368" s="782"/>
      <c r="M368" s="380">
        <v>3</v>
      </c>
      <c r="N368" s="781" t="str">
        <f t="shared" si="42"/>
        <v>CONTRATO SIN SUSPENSIÓN</v>
      </c>
      <c r="O368" s="781"/>
    </row>
    <row r="369" spans="2:15">
      <c r="B369" s="319"/>
      <c r="C369" s="319"/>
      <c r="D369" s="320"/>
      <c r="E369" s="320"/>
      <c r="F369" s="320"/>
      <c r="G369" s="465" t="str">
        <f t="shared" si="37"/>
        <v/>
      </c>
      <c r="L369" s="782"/>
      <c r="M369" s="380">
        <v>4</v>
      </c>
      <c r="N369" s="781" t="str">
        <f t="shared" si="42"/>
        <v>CONTRATO SIN SUSPENSIÓN</v>
      </c>
      <c r="O369" s="781"/>
    </row>
    <row r="370" spans="2:15">
      <c r="B370" s="319"/>
      <c r="C370" s="319"/>
      <c r="D370" s="320"/>
      <c r="E370" s="320"/>
      <c r="F370" s="320"/>
      <c r="G370" s="465" t="str">
        <f t="shared" si="37"/>
        <v/>
      </c>
      <c r="L370" s="782"/>
      <c r="M370" s="380">
        <v>5</v>
      </c>
      <c r="N370" s="781" t="str">
        <f t="shared" si="42"/>
        <v>CONTRATO SIN SUSPENSIÓN</v>
      </c>
      <c r="O370" s="781"/>
    </row>
    <row r="371" spans="2:15">
      <c r="B371" s="319"/>
      <c r="C371" s="319"/>
      <c r="D371" s="320"/>
      <c r="E371" s="320"/>
      <c r="F371" s="320"/>
      <c r="G371" s="465" t="str">
        <f t="shared" si="37"/>
        <v/>
      </c>
      <c r="L371" s="782"/>
      <c r="M371" s="380">
        <v>6</v>
      </c>
      <c r="N371" s="781" t="str">
        <f t="shared" si="42"/>
        <v>CONTRATO SIN SUSPENSIÓN</v>
      </c>
      <c r="O371" s="781"/>
    </row>
    <row r="372" spans="2:15">
      <c r="B372" s="319"/>
      <c r="C372" s="319"/>
      <c r="D372" s="320"/>
      <c r="E372" s="320"/>
      <c r="F372" s="320"/>
      <c r="G372" s="465" t="str">
        <f t="shared" si="37"/>
        <v/>
      </c>
      <c r="L372" s="782"/>
      <c r="M372" s="380">
        <v>7</v>
      </c>
      <c r="N372" s="781" t="str">
        <f t="shared" si="42"/>
        <v>CONTRATO SIN SUSPENSIÓN</v>
      </c>
      <c r="O372" s="781"/>
    </row>
    <row r="373" spans="2:15">
      <c r="B373" s="319"/>
      <c r="C373" s="319"/>
      <c r="D373" s="320"/>
      <c r="E373" s="320"/>
      <c r="F373" s="320"/>
      <c r="G373" s="465" t="str">
        <f t="shared" si="37"/>
        <v/>
      </c>
      <c r="L373" s="782"/>
      <c r="M373" s="380">
        <v>8</v>
      </c>
      <c r="N373" s="781" t="str">
        <f t="shared" si="42"/>
        <v>CONTRATO SIN SUSPENSIÓN</v>
      </c>
      <c r="O373" s="781"/>
    </row>
    <row r="374" spans="2:15">
      <c r="B374" s="319"/>
      <c r="C374" s="319"/>
      <c r="D374" s="320"/>
      <c r="E374" s="320"/>
      <c r="F374" s="320"/>
      <c r="G374" s="465" t="str">
        <f t="shared" si="37"/>
        <v/>
      </c>
      <c r="L374" s="782"/>
      <c r="M374" s="380">
        <v>9</v>
      </c>
      <c r="N374" s="781" t="str">
        <f t="shared" si="42"/>
        <v>CONTRATO SIN SUSPENSIÓN</v>
      </c>
      <c r="O374" s="781"/>
    </row>
    <row r="375" spans="2:15">
      <c r="B375" s="319"/>
      <c r="C375" s="319"/>
      <c r="D375" s="320"/>
      <c r="E375" s="320"/>
      <c r="F375" s="320"/>
      <c r="G375" s="465" t="str">
        <f t="shared" si="37"/>
        <v/>
      </c>
      <c r="L375" s="782"/>
      <c r="M375" s="380">
        <v>10</v>
      </c>
      <c r="N375" s="781" t="str">
        <f t="shared" si="42"/>
        <v>CONTRATO SIN SUSPENSIÓN</v>
      </c>
      <c r="O375" s="781"/>
    </row>
    <row r="376" spans="2:15">
      <c r="B376" s="319"/>
      <c r="C376" s="319"/>
      <c r="D376" s="320"/>
      <c r="E376" s="320"/>
      <c r="F376" s="320"/>
      <c r="G376" s="465" t="str">
        <f t="shared" si="37"/>
        <v/>
      </c>
      <c r="L376" s="782">
        <v>38</v>
      </c>
      <c r="M376" s="380">
        <v>1</v>
      </c>
      <c r="N376" s="781" t="str">
        <f t="shared" ref="N376:N385" si="43">IF(SUMIFS($G$5:$G$1200,$B$5:$B$1200,$L$376,$C$5:$C$1200,$M376)=0,"CONTRATO SIN SUSPENSIÓN",ROUND(SUMIFS($G$5:$G$1200,$B$5:$B$1200,$L$376,$C$5:$C$1200,$M376),3))</f>
        <v>CONTRATO SIN SUSPENSIÓN</v>
      </c>
      <c r="O376" s="781"/>
    </row>
    <row r="377" spans="2:15">
      <c r="B377" s="319"/>
      <c r="C377" s="319"/>
      <c r="D377" s="320"/>
      <c r="E377" s="320"/>
      <c r="F377" s="320"/>
      <c r="G377" s="465" t="str">
        <f t="shared" si="37"/>
        <v/>
      </c>
      <c r="L377" s="782"/>
      <c r="M377" s="380">
        <v>2</v>
      </c>
      <c r="N377" s="781" t="str">
        <f t="shared" si="43"/>
        <v>CONTRATO SIN SUSPENSIÓN</v>
      </c>
      <c r="O377" s="781"/>
    </row>
    <row r="378" spans="2:15">
      <c r="B378" s="319"/>
      <c r="C378" s="319"/>
      <c r="D378" s="320"/>
      <c r="E378" s="320"/>
      <c r="F378" s="320"/>
      <c r="G378" s="465" t="str">
        <f t="shared" si="37"/>
        <v/>
      </c>
      <c r="L378" s="782"/>
      <c r="M378" s="380">
        <v>3</v>
      </c>
      <c r="N378" s="781" t="str">
        <f t="shared" si="43"/>
        <v>CONTRATO SIN SUSPENSIÓN</v>
      </c>
      <c r="O378" s="781"/>
    </row>
    <row r="379" spans="2:15">
      <c r="B379" s="319"/>
      <c r="C379" s="319"/>
      <c r="D379" s="320"/>
      <c r="E379" s="320"/>
      <c r="F379" s="320"/>
      <c r="G379" s="465" t="str">
        <f t="shared" si="37"/>
        <v/>
      </c>
      <c r="L379" s="782"/>
      <c r="M379" s="380">
        <v>4</v>
      </c>
      <c r="N379" s="781" t="str">
        <f t="shared" si="43"/>
        <v>CONTRATO SIN SUSPENSIÓN</v>
      </c>
      <c r="O379" s="781"/>
    </row>
    <row r="380" spans="2:15">
      <c r="B380" s="319"/>
      <c r="C380" s="319"/>
      <c r="D380" s="320"/>
      <c r="E380" s="320"/>
      <c r="F380" s="320"/>
      <c r="G380" s="465" t="str">
        <f t="shared" si="37"/>
        <v/>
      </c>
      <c r="L380" s="782"/>
      <c r="M380" s="380">
        <v>5</v>
      </c>
      <c r="N380" s="781" t="str">
        <f t="shared" si="43"/>
        <v>CONTRATO SIN SUSPENSIÓN</v>
      </c>
      <c r="O380" s="781"/>
    </row>
    <row r="381" spans="2:15">
      <c r="B381" s="319"/>
      <c r="C381" s="319"/>
      <c r="D381" s="320"/>
      <c r="E381" s="320"/>
      <c r="F381" s="320"/>
      <c r="G381" s="465" t="str">
        <f t="shared" si="37"/>
        <v/>
      </c>
      <c r="L381" s="782"/>
      <c r="M381" s="380">
        <v>6</v>
      </c>
      <c r="N381" s="781" t="str">
        <f t="shared" si="43"/>
        <v>CONTRATO SIN SUSPENSIÓN</v>
      </c>
      <c r="O381" s="781"/>
    </row>
    <row r="382" spans="2:15">
      <c r="B382" s="319"/>
      <c r="C382" s="319"/>
      <c r="D382" s="320"/>
      <c r="E382" s="320"/>
      <c r="F382" s="320"/>
      <c r="G382" s="465" t="str">
        <f t="shared" si="37"/>
        <v/>
      </c>
      <c r="L382" s="782"/>
      <c r="M382" s="380">
        <v>7</v>
      </c>
      <c r="N382" s="781" t="str">
        <f t="shared" si="43"/>
        <v>CONTRATO SIN SUSPENSIÓN</v>
      </c>
      <c r="O382" s="781"/>
    </row>
    <row r="383" spans="2:15">
      <c r="B383" s="319"/>
      <c r="C383" s="319"/>
      <c r="D383" s="320"/>
      <c r="E383" s="320"/>
      <c r="F383" s="320"/>
      <c r="G383" s="465" t="str">
        <f t="shared" si="37"/>
        <v/>
      </c>
      <c r="L383" s="782"/>
      <c r="M383" s="380">
        <v>8</v>
      </c>
      <c r="N383" s="781" t="str">
        <f t="shared" si="43"/>
        <v>CONTRATO SIN SUSPENSIÓN</v>
      </c>
      <c r="O383" s="781"/>
    </row>
    <row r="384" spans="2:15">
      <c r="B384" s="319"/>
      <c r="C384" s="319"/>
      <c r="D384" s="320"/>
      <c r="E384" s="320"/>
      <c r="F384" s="320"/>
      <c r="G384" s="465" t="str">
        <f t="shared" si="37"/>
        <v/>
      </c>
      <c r="L384" s="782"/>
      <c r="M384" s="380">
        <v>9</v>
      </c>
      <c r="N384" s="781" t="str">
        <f t="shared" si="43"/>
        <v>CONTRATO SIN SUSPENSIÓN</v>
      </c>
      <c r="O384" s="781"/>
    </row>
    <row r="385" spans="2:15">
      <c r="B385" s="319"/>
      <c r="C385" s="319"/>
      <c r="D385" s="320"/>
      <c r="E385" s="320"/>
      <c r="F385" s="320"/>
      <c r="G385" s="465" t="str">
        <f t="shared" si="37"/>
        <v/>
      </c>
      <c r="L385" s="782"/>
      <c r="M385" s="380">
        <v>10</v>
      </c>
      <c r="N385" s="781" t="str">
        <f t="shared" si="43"/>
        <v>CONTRATO SIN SUSPENSIÓN</v>
      </c>
      <c r="O385" s="781"/>
    </row>
    <row r="386" spans="2:15">
      <c r="B386" s="319"/>
      <c r="C386" s="319"/>
      <c r="D386" s="320"/>
      <c r="E386" s="320"/>
      <c r="F386" s="320"/>
      <c r="G386" s="465" t="str">
        <f t="shared" si="37"/>
        <v/>
      </c>
      <c r="L386" s="782">
        <v>39</v>
      </c>
      <c r="M386" s="380">
        <v>1</v>
      </c>
      <c r="N386" s="781" t="str">
        <f>IF(SUMIFS($G$5:$G$1200,$B$5:$B$1200,$L$386,$C$5:$C$1200,$M386)=0,"CONTRATO SIN SUSPENSIÓN",ROUND(SUMIFS($G$5:$G$1200,$B$5:$B$1200,$L$386,$C$5:$C$1200,$M386),3))</f>
        <v>CONTRATO SIN SUSPENSIÓN</v>
      </c>
      <c r="O386" s="781"/>
    </row>
    <row r="387" spans="2:15">
      <c r="B387" s="319"/>
      <c r="C387" s="319"/>
      <c r="D387" s="320"/>
      <c r="E387" s="320"/>
      <c r="F387" s="320"/>
      <c r="G387" s="465" t="str">
        <f t="shared" si="37"/>
        <v/>
      </c>
      <c r="L387" s="782"/>
      <c r="M387" s="380">
        <v>2</v>
      </c>
      <c r="N387" s="781" t="str">
        <f>IF(SUMIFS($G$5:$G$1200,$B$5:$B$1200,$L386,$C$5:$C$1200,$M387)=0,"CONTRATO SIN SUSPENSIÓN",SUMIFS($G$5:$G$1200,$B$5:$B$1200,$L386,$C$5:$C$1200,$M387))</f>
        <v>CONTRATO SIN SUSPENSIÓN</v>
      </c>
      <c r="O387" s="781"/>
    </row>
    <row r="388" spans="2:15">
      <c r="B388" s="319"/>
      <c r="C388" s="319"/>
      <c r="D388" s="320"/>
      <c r="E388" s="320"/>
      <c r="F388" s="320"/>
      <c r="G388" s="465" t="str">
        <f t="shared" si="37"/>
        <v/>
      </c>
      <c r="L388" s="782"/>
      <c r="M388" s="380">
        <v>3</v>
      </c>
      <c r="N388" s="781" t="str">
        <f>IF(SUMIFS($G$5:$G$1200,$B$5:$B$1200,$L386,$C$5:$C$1200,$M388)=0,"CONTRATO SIN SUSPENSIÓN",SUMIFS($G$5:$G$1200,$B$5:$B$1200,$L386,$C$5:$C$1200,$M388))</f>
        <v>CONTRATO SIN SUSPENSIÓN</v>
      </c>
      <c r="O388" s="781"/>
    </row>
    <row r="389" spans="2:15">
      <c r="B389" s="319"/>
      <c r="C389" s="319"/>
      <c r="D389" s="320"/>
      <c r="E389" s="320"/>
      <c r="F389" s="320"/>
      <c r="G389" s="465" t="str">
        <f t="shared" si="37"/>
        <v/>
      </c>
      <c r="L389" s="782"/>
      <c r="M389" s="380">
        <v>4</v>
      </c>
      <c r="N389" s="781" t="str">
        <f>IF(SUMIFS($G$5:$G$1200,$B$5:$B$1200,$L386,$C$5:$C$1200,$M389)=0,"CONTRATO SIN SUSPENSIÓN",SUMIFS($G$5:$G$1200,$B$5:$B$1200,$L386,$C$5:$C$1200,$M389))</f>
        <v>CONTRATO SIN SUSPENSIÓN</v>
      </c>
      <c r="O389" s="781"/>
    </row>
    <row r="390" spans="2:15">
      <c r="B390" s="319"/>
      <c r="C390" s="319"/>
      <c r="D390" s="320"/>
      <c r="E390" s="320"/>
      <c r="F390" s="320"/>
      <c r="G390" s="465" t="str">
        <f t="shared" ref="G390:G453" si="44">IF(OR(AND(D390="",E390=""),AND(D390="",F390="")),"",IF(AND(D390&lt;&gt;"",E390&lt;&gt;"",F390&lt;&gt;""),"REVISAR CÁLCULO",IF(AND(D390&lt;&gt;"",F390&lt;&gt;""),ROUND(((F390-D390)/30),3),IF(AND(D390&lt;&gt;"",E390&lt;&gt;""),ROUND(((E390-D390+1)/30),3),""))))</f>
        <v/>
      </c>
      <c r="L390" s="782"/>
      <c r="M390" s="380">
        <v>5</v>
      </c>
      <c r="N390" s="781" t="str">
        <f>IF(SUMIFS($G$5:$G$1200,$B$5:$B$1200,$L386,$C$5:$C$1200,$M390)=0,"CONTRATO SIN SUSPENSIÓN",SUMIFS($G$5:$G$1200,$B$5:$B$1200,$L386,$C$5:$C$1200,$M390))</f>
        <v>CONTRATO SIN SUSPENSIÓN</v>
      </c>
      <c r="O390" s="781"/>
    </row>
    <row r="391" spans="2:15">
      <c r="B391" s="319"/>
      <c r="C391" s="319"/>
      <c r="D391" s="320"/>
      <c r="E391" s="320"/>
      <c r="F391" s="320"/>
      <c r="G391" s="465" t="str">
        <f t="shared" si="44"/>
        <v/>
      </c>
      <c r="L391" s="782"/>
      <c r="M391" s="380">
        <v>6</v>
      </c>
      <c r="N391" s="781" t="str">
        <f>IF(SUMIFS($G$5:$G$1200,$B$5:$B$1200,$L386,$C$5:$C$1200,$M391)=0,"CONTRATO SIN SUSPENSIÓN",SUMIFS($G$5:$G$1200,$B$5:$B$1200,$L386,$C$5:$C$1200,$M391))</f>
        <v>CONTRATO SIN SUSPENSIÓN</v>
      </c>
      <c r="O391" s="781"/>
    </row>
    <row r="392" spans="2:15">
      <c r="B392" s="319"/>
      <c r="C392" s="319"/>
      <c r="D392" s="320"/>
      <c r="E392" s="320"/>
      <c r="F392" s="320"/>
      <c r="G392" s="465" t="str">
        <f t="shared" si="44"/>
        <v/>
      </c>
      <c r="L392" s="782"/>
      <c r="M392" s="380">
        <v>7</v>
      </c>
      <c r="N392" s="781" t="str">
        <f>IF(SUMIFS($G$5:$G$1200,$B$5:$B$1200,$L386,$C$5:$C$1200,$M392)=0,"CONTRATO SIN SUSPENSIÓN",SUMIFS($G$5:$G$1200,$B$5:$B$1200,$L386,$C$5:$C$1200,$M392))</f>
        <v>CONTRATO SIN SUSPENSIÓN</v>
      </c>
      <c r="O392" s="781"/>
    </row>
    <row r="393" spans="2:15">
      <c r="B393" s="319"/>
      <c r="C393" s="319"/>
      <c r="D393" s="320"/>
      <c r="E393" s="320"/>
      <c r="F393" s="320"/>
      <c r="G393" s="465" t="str">
        <f t="shared" si="44"/>
        <v/>
      </c>
      <c r="L393" s="782"/>
      <c r="M393" s="380">
        <v>8</v>
      </c>
      <c r="N393" s="781" t="str">
        <f>IF(SUMIFS($G$5:$G$1200,$B$5:$B$1200,$L386,$C$5:$C$1200,$M393)=0,"CONTRATO SIN SUSPENSIÓN",SUMIFS($G$5:$G$1200,$B$5:$B$1200,$L386,$C$5:$C$1200,$M393))</f>
        <v>CONTRATO SIN SUSPENSIÓN</v>
      </c>
      <c r="O393" s="781"/>
    </row>
    <row r="394" spans="2:15">
      <c r="B394" s="319"/>
      <c r="C394" s="319"/>
      <c r="D394" s="320"/>
      <c r="E394" s="320"/>
      <c r="F394" s="320"/>
      <c r="G394" s="465" t="str">
        <f t="shared" si="44"/>
        <v/>
      </c>
      <c r="L394" s="782"/>
      <c r="M394" s="380">
        <v>9</v>
      </c>
      <c r="N394" s="781" t="str">
        <f>IF(SUMIFS($G$5:$G$1200,$B$5:$B$1200,$L386,$C$5:$C$1200,$M394)=0,"CONTRATO SIN SUSPENSIÓN",SUMIFS($G$5:$G$1200,$B$5:$B$1200,$L386,$C$5:$C$1200,$M394))</f>
        <v>CONTRATO SIN SUSPENSIÓN</v>
      </c>
      <c r="O394" s="781"/>
    </row>
    <row r="395" spans="2:15">
      <c r="B395" s="319"/>
      <c r="C395" s="319"/>
      <c r="D395" s="320"/>
      <c r="E395" s="320"/>
      <c r="F395" s="320"/>
      <c r="G395" s="465" t="str">
        <f t="shared" si="44"/>
        <v/>
      </c>
      <c r="L395" s="782"/>
      <c r="M395" s="380">
        <v>10</v>
      </c>
      <c r="N395" s="781" t="str">
        <f>IF(SUMIFS($G$5:$G$1200,$B$5:$B$1200,$L386,$C$5:$C$1200,$M395)=0,"CONTRATO SIN SUSPENSIÓN",SUMIFS($G$5:$G$1200,$B$5:$B$1200,$L386,$C$5:$C$1200,$M395))</f>
        <v>CONTRATO SIN SUSPENSIÓN</v>
      </c>
      <c r="O395" s="781"/>
    </row>
    <row r="396" spans="2:15">
      <c r="B396" s="319"/>
      <c r="C396" s="319"/>
      <c r="D396" s="320"/>
      <c r="E396" s="320"/>
      <c r="F396" s="320"/>
      <c r="G396" s="465" t="str">
        <f t="shared" si="44"/>
        <v/>
      </c>
      <c r="L396" s="782">
        <v>40</v>
      </c>
      <c r="M396" s="380">
        <v>1</v>
      </c>
      <c r="N396" s="781" t="str">
        <f>IF(SUMIFS($G$5:$G$1200,$B$5:$B$1200,$L$396,$C$5:$C$1200,$M396)=0,"CONTRATO SIN SUSPENSIÓN",ROUND(SUMIFS($G$5:$G$1200,$B$5:$B$1200,$L$396,$C$5:$C$1200,$M396),3))</f>
        <v>CONTRATO SIN SUSPENSIÓN</v>
      </c>
      <c r="O396" s="781"/>
    </row>
    <row r="397" spans="2:15">
      <c r="B397" s="319"/>
      <c r="C397" s="319"/>
      <c r="D397" s="320"/>
      <c r="E397" s="320"/>
      <c r="F397" s="320"/>
      <c r="G397" s="465" t="str">
        <f t="shared" si="44"/>
        <v/>
      </c>
      <c r="L397" s="782"/>
      <c r="M397" s="380">
        <v>2</v>
      </c>
      <c r="N397" s="781" t="str">
        <f>IF(SUMIFS($G$5:$G$1200,$B$5:$B$1200,$L396,$C$5:$C$1200,$M397)=0,"CONTRATO SIN SUSPENSIÓN",SUMIFS($G$5:$G$1200,$B$5:$B$1200,$L396,$C$5:$C$1200,$M397))</f>
        <v>CONTRATO SIN SUSPENSIÓN</v>
      </c>
      <c r="O397" s="781"/>
    </row>
    <row r="398" spans="2:15">
      <c r="B398" s="319"/>
      <c r="C398" s="319"/>
      <c r="D398" s="320"/>
      <c r="E398" s="320"/>
      <c r="F398" s="320"/>
      <c r="G398" s="465" t="str">
        <f t="shared" si="44"/>
        <v/>
      </c>
      <c r="L398" s="782"/>
      <c r="M398" s="380">
        <v>3</v>
      </c>
      <c r="N398" s="781" t="str">
        <f>IF(SUMIFS($G$5:$G$1200,$B$5:$B$1200,$L396,$C$5:$C$1200,$M398)=0,"CONTRATO SIN SUSPENSIÓN",SUMIFS($G$5:$G$1200,$B$5:$B$1200,$L396,$C$5:$C$1200,$M398))</f>
        <v>CONTRATO SIN SUSPENSIÓN</v>
      </c>
      <c r="O398" s="781"/>
    </row>
    <row r="399" spans="2:15">
      <c r="B399" s="319"/>
      <c r="C399" s="319"/>
      <c r="D399" s="320"/>
      <c r="E399" s="320"/>
      <c r="F399" s="320"/>
      <c r="G399" s="465" t="str">
        <f t="shared" si="44"/>
        <v/>
      </c>
      <c r="L399" s="782"/>
      <c r="M399" s="380">
        <v>4</v>
      </c>
      <c r="N399" s="781" t="str">
        <f>IF(SUMIFS($G$5:$G$1200,$B$5:$B$1200,$L396,$C$5:$C$1200,$M399)=0,"CONTRATO SIN SUSPENSIÓN",SUMIFS($G$5:$G$1200,$B$5:$B$1200,$L396,$C$5:$C$1200,$M399))</f>
        <v>CONTRATO SIN SUSPENSIÓN</v>
      </c>
      <c r="O399" s="781"/>
    </row>
    <row r="400" spans="2:15">
      <c r="B400" s="319"/>
      <c r="C400" s="319"/>
      <c r="D400" s="320"/>
      <c r="E400" s="320"/>
      <c r="F400" s="320"/>
      <c r="G400" s="465" t="str">
        <f t="shared" si="44"/>
        <v/>
      </c>
      <c r="L400" s="782"/>
      <c r="M400" s="380">
        <v>5</v>
      </c>
      <c r="N400" s="781" t="str">
        <f>IF(SUMIFS($G$5:$G$1200,$B$5:$B$1200,$L396,$C$5:$C$1200,$M400)=0,"CONTRATO SIN SUSPENSIÓN",SUMIFS($G$5:$G$1200,$B$5:$B$1200,$L396,$C$5:$C$1200,$M400))</f>
        <v>CONTRATO SIN SUSPENSIÓN</v>
      </c>
      <c r="O400" s="781"/>
    </row>
    <row r="401" spans="2:15">
      <c r="B401" s="319"/>
      <c r="C401" s="319"/>
      <c r="D401" s="320"/>
      <c r="E401" s="320"/>
      <c r="F401" s="320"/>
      <c r="G401" s="465" t="str">
        <f t="shared" si="44"/>
        <v/>
      </c>
      <c r="L401" s="782"/>
      <c r="M401" s="380">
        <v>6</v>
      </c>
      <c r="N401" s="781" t="str">
        <f>IF(SUMIFS($G$5:$G$1200,$B$5:$B$1200,$L396,$C$5:$C$1200,$M401)=0,"CONTRATO SIN SUSPENSIÓN",SUMIFS($G$5:$G$1200,$B$5:$B$1200,$L396,$C$5:$C$1200,$M401))</f>
        <v>CONTRATO SIN SUSPENSIÓN</v>
      </c>
      <c r="O401" s="781"/>
    </row>
    <row r="402" spans="2:15">
      <c r="B402" s="319"/>
      <c r="C402" s="319"/>
      <c r="D402" s="320"/>
      <c r="E402" s="320"/>
      <c r="F402" s="320"/>
      <c r="G402" s="465" t="str">
        <f t="shared" si="44"/>
        <v/>
      </c>
      <c r="L402" s="782"/>
      <c r="M402" s="380">
        <v>7</v>
      </c>
      <c r="N402" s="781" t="str">
        <f>IF(SUMIFS($G$5:$G$1200,$B$5:$B$1200,$L396,$C$5:$C$1200,$M402)=0,"CONTRATO SIN SUSPENSIÓN",SUMIFS($G$5:$G$1200,$B$5:$B$1200,$L396,$C$5:$C$1200,$M402))</f>
        <v>CONTRATO SIN SUSPENSIÓN</v>
      </c>
      <c r="O402" s="781"/>
    </row>
    <row r="403" spans="2:15">
      <c r="B403" s="319"/>
      <c r="C403" s="319"/>
      <c r="D403" s="320"/>
      <c r="E403" s="320"/>
      <c r="F403" s="320"/>
      <c r="G403" s="465" t="str">
        <f t="shared" si="44"/>
        <v/>
      </c>
      <c r="L403" s="782"/>
      <c r="M403" s="380">
        <v>8</v>
      </c>
      <c r="N403" s="781" t="str">
        <f>IF(SUMIFS($G$5:$G$1200,$B$5:$B$1200,$L396,$C$5:$C$1200,$M403)=0,"CONTRATO SIN SUSPENSIÓN",SUMIFS($G$5:$G$1200,$B$5:$B$1200,$L396,$C$5:$C$1200,$M403))</f>
        <v>CONTRATO SIN SUSPENSIÓN</v>
      </c>
      <c r="O403" s="781"/>
    </row>
    <row r="404" spans="2:15">
      <c r="B404" s="319"/>
      <c r="C404" s="319"/>
      <c r="D404" s="320"/>
      <c r="E404" s="320"/>
      <c r="F404" s="320"/>
      <c r="G404" s="465" t="str">
        <f t="shared" si="44"/>
        <v/>
      </c>
      <c r="L404" s="782"/>
      <c r="M404" s="380">
        <v>9</v>
      </c>
      <c r="N404" s="781" t="str">
        <f>IF(SUMIFS($G$5:$G$1200,$B$5:$B$1200,$L396,$C$5:$C$1200,$M404)=0,"CONTRATO SIN SUSPENSIÓN",SUMIFS($G$5:$G$1200,$B$5:$B$1200,$L396,$C$5:$C$1200,$M404))</f>
        <v>CONTRATO SIN SUSPENSIÓN</v>
      </c>
      <c r="O404" s="781"/>
    </row>
    <row r="405" spans="2:15">
      <c r="B405" s="319"/>
      <c r="C405" s="319"/>
      <c r="D405" s="320"/>
      <c r="E405" s="320"/>
      <c r="F405" s="320"/>
      <c r="G405" s="465" t="str">
        <f t="shared" si="44"/>
        <v/>
      </c>
      <c r="L405" s="782"/>
      <c r="M405" s="380">
        <v>10</v>
      </c>
      <c r="N405" s="781" t="str">
        <f>IF(SUMIFS($G$5:$G$1200,$B$5:$B$1200,$L396,$C$5:$C$1200,$M405)=0,"CONTRATO SIN SUSPENSIÓN",SUMIFS($G$5:$G$1200,$B$5:$B$1200,$L396,$C$5:$C$1200,$M405))</f>
        <v>CONTRATO SIN SUSPENSIÓN</v>
      </c>
      <c r="O405" s="781"/>
    </row>
    <row r="406" spans="2:15">
      <c r="B406" s="319"/>
      <c r="C406" s="319"/>
      <c r="D406" s="320"/>
      <c r="E406" s="320"/>
      <c r="F406" s="320"/>
      <c r="G406" s="465" t="str">
        <f t="shared" si="44"/>
        <v/>
      </c>
      <c r="L406" s="782">
        <v>41</v>
      </c>
      <c r="M406" s="380">
        <v>1</v>
      </c>
      <c r="N406" s="781" t="str">
        <f t="shared" ref="N406:N415" si="45">IF(SUMIFS($G$5:$G$1200,$B$5:$B$1200,$L$406,$C$5:$C$1200,$M406)=0,"CONTRATO SIN SUSPENSIÓN",ROUND(SUMIFS($G$5:$G$1200,$B$5:$B$1200,$L$406,$C$5:$C$1200,$M406),3))</f>
        <v>CONTRATO SIN SUSPENSIÓN</v>
      </c>
      <c r="O406" s="781"/>
    </row>
    <row r="407" spans="2:15">
      <c r="B407" s="319"/>
      <c r="C407" s="319"/>
      <c r="D407" s="320"/>
      <c r="E407" s="320"/>
      <c r="F407" s="320"/>
      <c r="G407" s="465" t="str">
        <f t="shared" si="44"/>
        <v/>
      </c>
      <c r="L407" s="782"/>
      <c r="M407" s="380">
        <v>2</v>
      </c>
      <c r="N407" s="781" t="str">
        <f t="shared" si="45"/>
        <v>CONTRATO SIN SUSPENSIÓN</v>
      </c>
      <c r="O407" s="781"/>
    </row>
    <row r="408" spans="2:15">
      <c r="B408" s="319"/>
      <c r="C408" s="319"/>
      <c r="D408" s="320"/>
      <c r="E408" s="320"/>
      <c r="F408" s="320"/>
      <c r="G408" s="465" t="str">
        <f t="shared" si="44"/>
        <v/>
      </c>
      <c r="L408" s="782"/>
      <c r="M408" s="380">
        <v>3</v>
      </c>
      <c r="N408" s="781" t="str">
        <f t="shared" si="45"/>
        <v>CONTRATO SIN SUSPENSIÓN</v>
      </c>
      <c r="O408" s="781"/>
    </row>
    <row r="409" spans="2:15">
      <c r="B409" s="319"/>
      <c r="C409" s="319"/>
      <c r="D409" s="320"/>
      <c r="E409" s="320"/>
      <c r="F409" s="320"/>
      <c r="G409" s="465" t="str">
        <f t="shared" si="44"/>
        <v/>
      </c>
      <c r="L409" s="782"/>
      <c r="M409" s="380">
        <v>4</v>
      </c>
      <c r="N409" s="781" t="str">
        <f t="shared" si="45"/>
        <v>CONTRATO SIN SUSPENSIÓN</v>
      </c>
      <c r="O409" s="781"/>
    </row>
    <row r="410" spans="2:15">
      <c r="B410" s="319"/>
      <c r="C410" s="319"/>
      <c r="D410" s="320"/>
      <c r="E410" s="320"/>
      <c r="F410" s="320"/>
      <c r="G410" s="465" t="str">
        <f t="shared" si="44"/>
        <v/>
      </c>
      <c r="L410" s="782"/>
      <c r="M410" s="380">
        <v>5</v>
      </c>
      <c r="N410" s="781" t="str">
        <f t="shared" si="45"/>
        <v>CONTRATO SIN SUSPENSIÓN</v>
      </c>
      <c r="O410" s="781"/>
    </row>
    <row r="411" spans="2:15">
      <c r="B411" s="319"/>
      <c r="C411" s="319"/>
      <c r="D411" s="320"/>
      <c r="E411" s="320"/>
      <c r="F411" s="320"/>
      <c r="G411" s="465" t="str">
        <f t="shared" si="44"/>
        <v/>
      </c>
      <c r="L411" s="782"/>
      <c r="M411" s="380">
        <v>6</v>
      </c>
      <c r="N411" s="781" t="str">
        <f t="shared" si="45"/>
        <v>CONTRATO SIN SUSPENSIÓN</v>
      </c>
      <c r="O411" s="781"/>
    </row>
    <row r="412" spans="2:15">
      <c r="B412" s="319"/>
      <c r="C412" s="319"/>
      <c r="D412" s="320"/>
      <c r="E412" s="320"/>
      <c r="F412" s="320"/>
      <c r="G412" s="465" t="str">
        <f t="shared" si="44"/>
        <v/>
      </c>
      <c r="L412" s="782"/>
      <c r="M412" s="380">
        <v>7</v>
      </c>
      <c r="N412" s="781" t="str">
        <f t="shared" si="45"/>
        <v>CONTRATO SIN SUSPENSIÓN</v>
      </c>
      <c r="O412" s="781"/>
    </row>
    <row r="413" spans="2:15">
      <c r="B413" s="319"/>
      <c r="C413" s="319"/>
      <c r="D413" s="320"/>
      <c r="E413" s="320"/>
      <c r="F413" s="320"/>
      <c r="G413" s="465" t="str">
        <f t="shared" si="44"/>
        <v/>
      </c>
      <c r="L413" s="782"/>
      <c r="M413" s="380">
        <v>8</v>
      </c>
      <c r="N413" s="781" t="str">
        <f t="shared" si="45"/>
        <v>CONTRATO SIN SUSPENSIÓN</v>
      </c>
      <c r="O413" s="781"/>
    </row>
    <row r="414" spans="2:15">
      <c r="B414" s="319"/>
      <c r="C414" s="319"/>
      <c r="D414" s="320"/>
      <c r="E414" s="320"/>
      <c r="F414" s="320"/>
      <c r="G414" s="465" t="str">
        <f t="shared" si="44"/>
        <v/>
      </c>
      <c r="L414" s="782"/>
      <c r="M414" s="380">
        <v>9</v>
      </c>
      <c r="N414" s="781" t="str">
        <f t="shared" si="45"/>
        <v>CONTRATO SIN SUSPENSIÓN</v>
      </c>
      <c r="O414" s="781"/>
    </row>
    <row r="415" spans="2:15">
      <c r="B415" s="319"/>
      <c r="C415" s="319"/>
      <c r="D415" s="320"/>
      <c r="E415" s="320"/>
      <c r="F415" s="320"/>
      <c r="G415" s="465" t="str">
        <f t="shared" si="44"/>
        <v/>
      </c>
      <c r="L415" s="782"/>
      <c r="M415" s="380">
        <v>10</v>
      </c>
      <c r="N415" s="781" t="str">
        <f t="shared" si="45"/>
        <v>CONTRATO SIN SUSPENSIÓN</v>
      </c>
      <c r="O415" s="781"/>
    </row>
    <row r="416" spans="2:15">
      <c r="B416" s="319"/>
      <c r="C416" s="319"/>
      <c r="D416" s="320"/>
      <c r="E416" s="320"/>
      <c r="F416" s="320"/>
      <c r="G416" s="465" t="str">
        <f t="shared" si="44"/>
        <v/>
      </c>
      <c r="L416" s="782">
        <v>42</v>
      </c>
      <c r="M416" s="380">
        <v>1</v>
      </c>
      <c r="N416" s="781" t="str">
        <f t="shared" ref="N416:N425" si="46">IF(SUMIFS($G$5:$G$1200,$B$5:$B$1200,$L$416,$C$5:$C$1200,$M416)=0,"CONTRATO SIN SUSPENSIÓN",ROUND(SUMIFS($G$5:$G$1200,$B$5:$B$1200,$L$416,$C$5:$C$1200,$M416),3))</f>
        <v>CONTRATO SIN SUSPENSIÓN</v>
      </c>
      <c r="O416" s="781"/>
    </row>
    <row r="417" spans="2:15">
      <c r="B417" s="319"/>
      <c r="C417" s="319"/>
      <c r="D417" s="320"/>
      <c r="E417" s="320"/>
      <c r="F417" s="320"/>
      <c r="G417" s="465" t="str">
        <f t="shared" si="44"/>
        <v/>
      </c>
      <c r="L417" s="782"/>
      <c r="M417" s="380">
        <v>2</v>
      </c>
      <c r="N417" s="781" t="str">
        <f t="shared" si="46"/>
        <v>CONTRATO SIN SUSPENSIÓN</v>
      </c>
      <c r="O417" s="781"/>
    </row>
    <row r="418" spans="2:15">
      <c r="B418" s="319"/>
      <c r="C418" s="319"/>
      <c r="D418" s="320"/>
      <c r="E418" s="320"/>
      <c r="F418" s="320"/>
      <c r="G418" s="465" t="str">
        <f t="shared" si="44"/>
        <v/>
      </c>
      <c r="L418" s="782"/>
      <c r="M418" s="380">
        <v>3</v>
      </c>
      <c r="N418" s="781" t="str">
        <f t="shared" si="46"/>
        <v>CONTRATO SIN SUSPENSIÓN</v>
      </c>
      <c r="O418" s="781"/>
    </row>
    <row r="419" spans="2:15">
      <c r="B419" s="319"/>
      <c r="C419" s="319"/>
      <c r="D419" s="320"/>
      <c r="E419" s="320"/>
      <c r="F419" s="320"/>
      <c r="G419" s="465" t="str">
        <f t="shared" si="44"/>
        <v/>
      </c>
      <c r="L419" s="782"/>
      <c r="M419" s="380">
        <v>4</v>
      </c>
      <c r="N419" s="781" t="str">
        <f t="shared" si="46"/>
        <v>CONTRATO SIN SUSPENSIÓN</v>
      </c>
      <c r="O419" s="781"/>
    </row>
    <row r="420" spans="2:15">
      <c r="B420" s="319"/>
      <c r="C420" s="319"/>
      <c r="D420" s="320"/>
      <c r="E420" s="320"/>
      <c r="F420" s="320"/>
      <c r="G420" s="465" t="str">
        <f t="shared" si="44"/>
        <v/>
      </c>
      <c r="L420" s="782"/>
      <c r="M420" s="380">
        <v>5</v>
      </c>
      <c r="N420" s="781" t="str">
        <f t="shared" si="46"/>
        <v>CONTRATO SIN SUSPENSIÓN</v>
      </c>
      <c r="O420" s="781"/>
    </row>
    <row r="421" spans="2:15">
      <c r="B421" s="319"/>
      <c r="C421" s="319"/>
      <c r="D421" s="320"/>
      <c r="E421" s="320"/>
      <c r="F421" s="320"/>
      <c r="G421" s="465" t="str">
        <f t="shared" si="44"/>
        <v/>
      </c>
      <c r="L421" s="782"/>
      <c r="M421" s="380">
        <v>6</v>
      </c>
      <c r="N421" s="781" t="str">
        <f t="shared" si="46"/>
        <v>CONTRATO SIN SUSPENSIÓN</v>
      </c>
      <c r="O421" s="781"/>
    </row>
    <row r="422" spans="2:15">
      <c r="B422" s="319"/>
      <c r="C422" s="319"/>
      <c r="D422" s="320"/>
      <c r="E422" s="320"/>
      <c r="F422" s="320"/>
      <c r="G422" s="465" t="str">
        <f t="shared" si="44"/>
        <v/>
      </c>
      <c r="L422" s="782"/>
      <c r="M422" s="380">
        <v>7</v>
      </c>
      <c r="N422" s="781" t="str">
        <f t="shared" si="46"/>
        <v>CONTRATO SIN SUSPENSIÓN</v>
      </c>
      <c r="O422" s="781"/>
    </row>
    <row r="423" spans="2:15">
      <c r="B423" s="319"/>
      <c r="C423" s="319"/>
      <c r="D423" s="320"/>
      <c r="E423" s="320"/>
      <c r="F423" s="320"/>
      <c r="G423" s="465" t="str">
        <f t="shared" si="44"/>
        <v/>
      </c>
      <c r="L423" s="782"/>
      <c r="M423" s="380">
        <v>8</v>
      </c>
      <c r="N423" s="781" t="str">
        <f t="shared" si="46"/>
        <v>CONTRATO SIN SUSPENSIÓN</v>
      </c>
      <c r="O423" s="781"/>
    </row>
    <row r="424" spans="2:15">
      <c r="B424" s="319"/>
      <c r="C424" s="319"/>
      <c r="D424" s="320"/>
      <c r="E424" s="320"/>
      <c r="F424" s="320"/>
      <c r="G424" s="465" t="str">
        <f t="shared" si="44"/>
        <v/>
      </c>
      <c r="L424" s="782"/>
      <c r="M424" s="380">
        <v>9</v>
      </c>
      <c r="N424" s="781" t="str">
        <f t="shared" si="46"/>
        <v>CONTRATO SIN SUSPENSIÓN</v>
      </c>
      <c r="O424" s="781"/>
    </row>
    <row r="425" spans="2:15">
      <c r="B425" s="319"/>
      <c r="C425" s="319"/>
      <c r="D425" s="320"/>
      <c r="E425" s="320"/>
      <c r="F425" s="320"/>
      <c r="G425" s="465" t="str">
        <f t="shared" si="44"/>
        <v/>
      </c>
      <c r="L425" s="782"/>
      <c r="M425" s="380">
        <v>10</v>
      </c>
      <c r="N425" s="781" t="str">
        <f t="shared" si="46"/>
        <v>CONTRATO SIN SUSPENSIÓN</v>
      </c>
      <c r="O425" s="781"/>
    </row>
    <row r="426" spans="2:15">
      <c r="B426" s="319"/>
      <c r="C426" s="319"/>
      <c r="D426" s="320"/>
      <c r="E426" s="320"/>
      <c r="F426" s="320"/>
      <c r="G426" s="465" t="str">
        <f t="shared" si="44"/>
        <v/>
      </c>
      <c r="L426" s="782">
        <v>43</v>
      </c>
      <c r="M426" s="380">
        <v>1</v>
      </c>
      <c r="N426" s="781" t="str">
        <f t="shared" ref="N426:N435" si="47">IF(SUMIFS($G$5:$G$1200,$B$5:$B$1200,$L$426,$C$5:$C$1200,$M426)=0,"CONTRATO SIN SUSPENSIÓN",ROUND(SUMIFS($G$5:$G$1200,$B$5:$B$1200,$L$426,$C$5:$C$1200,$M426),3))</f>
        <v>CONTRATO SIN SUSPENSIÓN</v>
      </c>
      <c r="O426" s="781"/>
    </row>
    <row r="427" spans="2:15">
      <c r="B427" s="319"/>
      <c r="C427" s="319"/>
      <c r="D427" s="320"/>
      <c r="E427" s="320"/>
      <c r="F427" s="320"/>
      <c r="G427" s="465" t="str">
        <f t="shared" si="44"/>
        <v/>
      </c>
      <c r="L427" s="782"/>
      <c r="M427" s="380">
        <v>2</v>
      </c>
      <c r="N427" s="781" t="str">
        <f t="shared" si="47"/>
        <v>CONTRATO SIN SUSPENSIÓN</v>
      </c>
      <c r="O427" s="781"/>
    </row>
    <row r="428" spans="2:15">
      <c r="B428" s="319"/>
      <c r="C428" s="319"/>
      <c r="D428" s="320"/>
      <c r="E428" s="320"/>
      <c r="F428" s="320"/>
      <c r="G428" s="465" t="str">
        <f t="shared" si="44"/>
        <v/>
      </c>
      <c r="L428" s="782"/>
      <c r="M428" s="380">
        <v>3</v>
      </c>
      <c r="N428" s="781" t="str">
        <f t="shared" si="47"/>
        <v>CONTRATO SIN SUSPENSIÓN</v>
      </c>
      <c r="O428" s="781"/>
    </row>
    <row r="429" spans="2:15">
      <c r="B429" s="319"/>
      <c r="C429" s="319"/>
      <c r="D429" s="320"/>
      <c r="E429" s="320"/>
      <c r="F429" s="320"/>
      <c r="G429" s="465" t="str">
        <f t="shared" si="44"/>
        <v/>
      </c>
      <c r="L429" s="782"/>
      <c r="M429" s="380">
        <v>4</v>
      </c>
      <c r="N429" s="781" t="str">
        <f t="shared" si="47"/>
        <v>CONTRATO SIN SUSPENSIÓN</v>
      </c>
      <c r="O429" s="781"/>
    </row>
    <row r="430" spans="2:15">
      <c r="B430" s="319"/>
      <c r="C430" s="319"/>
      <c r="D430" s="320"/>
      <c r="E430" s="320"/>
      <c r="F430" s="320"/>
      <c r="G430" s="465" t="str">
        <f t="shared" si="44"/>
        <v/>
      </c>
      <c r="L430" s="782"/>
      <c r="M430" s="380">
        <v>5</v>
      </c>
      <c r="N430" s="781" t="str">
        <f t="shared" si="47"/>
        <v>CONTRATO SIN SUSPENSIÓN</v>
      </c>
      <c r="O430" s="781"/>
    </row>
    <row r="431" spans="2:15">
      <c r="B431" s="319"/>
      <c r="C431" s="319"/>
      <c r="D431" s="320"/>
      <c r="E431" s="320"/>
      <c r="F431" s="320"/>
      <c r="G431" s="465" t="str">
        <f t="shared" si="44"/>
        <v/>
      </c>
      <c r="L431" s="782"/>
      <c r="M431" s="380">
        <v>6</v>
      </c>
      <c r="N431" s="781" t="str">
        <f t="shared" si="47"/>
        <v>CONTRATO SIN SUSPENSIÓN</v>
      </c>
      <c r="O431" s="781"/>
    </row>
    <row r="432" spans="2:15">
      <c r="B432" s="319"/>
      <c r="C432" s="319"/>
      <c r="D432" s="320"/>
      <c r="E432" s="320"/>
      <c r="F432" s="320"/>
      <c r="G432" s="465" t="str">
        <f t="shared" si="44"/>
        <v/>
      </c>
      <c r="L432" s="782"/>
      <c r="M432" s="380">
        <v>7</v>
      </c>
      <c r="N432" s="781" t="str">
        <f t="shared" si="47"/>
        <v>CONTRATO SIN SUSPENSIÓN</v>
      </c>
      <c r="O432" s="781"/>
    </row>
    <row r="433" spans="2:15">
      <c r="B433" s="319"/>
      <c r="C433" s="319"/>
      <c r="D433" s="320"/>
      <c r="E433" s="320"/>
      <c r="F433" s="320"/>
      <c r="G433" s="465" t="str">
        <f t="shared" si="44"/>
        <v/>
      </c>
      <c r="L433" s="782"/>
      <c r="M433" s="380">
        <v>8</v>
      </c>
      <c r="N433" s="781" t="str">
        <f t="shared" si="47"/>
        <v>CONTRATO SIN SUSPENSIÓN</v>
      </c>
      <c r="O433" s="781"/>
    </row>
    <row r="434" spans="2:15">
      <c r="B434" s="319"/>
      <c r="C434" s="319"/>
      <c r="D434" s="320"/>
      <c r="E434" s="320"/>
      <c r="F434" s="320"/>
      <c r="G434" s="465" t="str">
        <f t="shared" si="44"/>
        <v/>
      </c>
      <c r="L434" s="782"/>
      <c r="M434" s="380">
        <v>9</v>
      </c>
      <c r="N434" s="781" t="str">
        <f t="shared" si="47"/>
        <v>CONTRATO SIN SUSPENSIÓN</v>
      </c>
      <c r="O434" s="781"/>
    </row>
    <row r="435" spans="2:15">
      <c r="B435" s="319"/>
      <c r="C435" s="319"/>
      <c r="D435" s="320"/>
      <c r="E435" s="320"/>
      <c r="F435" s="320"/>
      <c r="G435" s="465" t="str">
        <f t="shared" si="44"/>
        <v/>
      </c>
      <c r="L435" s="782"/>
      <c r="M435" s="380">
        <v>10</v>
      </c>
      <c r="N435" s="781" t="str">
        <f t="shared" si="47"/>
        <v>CONTRATO SIN SUSPENSIÓN</v>
      </c>
      <c r="O435" s="781"/>
    </row>
    <row r="436" spans="2:15">
      <c r="B436" s="319"/>
      <c r="C436" s="319"/>
      <c r="D436" s="320"/>
      <c r="E436" s="320"/>
      <c r="F436" s="320"/>
      <c r="G436" s="465" t="str">
        <f t="shared" si="44"/>
        <v/>
      </c>
      <c r="L436" s="782">
        <v>44</v>
      </c>
      <c r="M436" s="380">
        <v>1</v>
      </c>
      <c r="N436" s="781" t="str">
        <f t="shared" ref="N436:N445" si="48">IF(SUMIFS($G$5:$G$1200,$B$5:$B$1200,$L$436,$C$5:$C$1200,$M436)=0,"CONTRATO SIN SUSPENSIÓN",ROUND(SUMIFS($G$5:$G$1200,$B$5:$B$1200,$L$436,$C$5:$C$1200,$M436),3))</f>
        <v>CONTRATO SIN SUSPENSIÓN</v>
      </c>
      <c r="O436" s="781"/>
    </row>
    <row r="437" spans="2:15">
      <c r="B437" s="319"/>
      <c r="C437" s="319"/>
      <c r="D437" s="320"/>
      <c r="E437" s="320"/>
      <c r="F437" s="320"/>
      <c r="G437" s="465" t="str">
        <f t="shared" si="44"/>
        <v/>
      </c>
      <c r="L437" s="782"/>
      <c r="M437" s="380">
        <v>2</v>
      </c>
      <c r="N437" s="781" t="str">
        <f t="shared" si="48"/>
        <v>CONTRATO SIN SUSPENSIÓN</v>
      </c>
      <c r="O437" s="781"/>
    </row>
    <row r="438" spans="2:15">
      <c r="B438" s="319"/>
      <c r="C438" s="319"/>
      <c r="D438" s="320"/>
      <c r="E438" s="320"/>
      <c r="F438" s="320"/>
      <c r="G438" s="465" t="str">
        <f t="shared" si="44"/>
        <v/>
      </c>
      <c r="L438" s="782"/>
      <c r="M438" s="380">
        <v>3</v>
      </c>
      <c r="N438" s="781" t="str">
        <f t="shared" si="48"/>
        <v>CONTRATO SIN SUSPENSIÓN</v>
      </c>
      <c r="O438" s="781"/>
    </row>
    <row r="439" spans="2:15">
      <c r="B439" s="319"/>
      <c r="C439" s="319"/>
      <c r="D439" s="320"/>
      <c r="E439" s="320"/>
      <c r="F439" s="320"/>
      <c r="G439" s="465" t="str">
        <f t="shared" si="44"/>
        <v/>
      </c>
      <c r="L439" s="782"/>
      <c r="M439" s="380">
        <v>4</v>
      </c>
      <c r="N439" s="781" t="str">
        <f t="shared" si="48"/>
        <v>CONTRATO SIN SUSPENSIÓN</v>
      </c>
      <c r="O439" s="781"/>
    </row>
    <row r="440" spans="2:15">
      <c r="B440" s="319"/>
      <c r="C440" s="319"/>
      <c r="D440" s="320"/>
      <c r="E440" s="320"/>
      <c r="F440" s="320"/>
      <c r="G440" s="465" t="str">
        <f t="shared" si="44"/>
        <v/>
      </c>
      <c r="L440" s="782"/>
      <c r="M440" s="380">
        <v>5</v>
      </c>
      <c r="N440" s="781" t="str">
        <f t="shared" si="48"/>
        <v>CONTRATO SIN SUSPENSIÓN</v>
      </c>
      <c r="O440" s="781"/>
    </row>
    <row r="441" spans="2:15">
      <c r="B441" s="319"/>
      <c r="C441" s="319"/>
      <c r="D441" s="320"/>
      <c r="E441" s="320"/>
      <c r="F441" s="320"/>
      <c r="G441" s="465" t="str">
        <f t="shared" si="44"/>
        <v/>
      </c>
      <c r="L441" s="782"/>
      <c r="M441" s="380">
        <v>6</v>
      </c>
      <c r="N441" s="781" t="str">
        <f t="shared" si="48"/>
        <v>CONTRATO SIN SUSPENSIÓN</v>
      </c>
      <c r="O441" s="781"/>
    </row>
    <row r="442" spans="2:15">
      <c r="B442" s="319"/>
      <c r="C442" s="319"/>
      <c r="D442" s="320"/>
      <c r="E442" s="320"/>
      <c r="F442" s="320"/>
      <c r="G442" s="465" t="str">
        <f t="shared" si="44"/>
        <v/>
      </c>
      <c r="L442" s="782"/>
      <c r="M442" s="380">
        <v>7</v>
      </c>
      <c r="N442" s="781" t="str">
        <f t="shared" si="48"/>
        <v>CONTRATO SIN SUSPENSIÓN</v>
      </c>
      <c r="O442" s="781"/>
    </row>
    <row r="443" spans="2:15">
      <c r="B443" s="319"/>
      <c r="C443" s="319"/>
      <c r="D443" s="320"/>
      <c r="E443" s="320"/>
      <c r="F443" s="320"/>
      <c r="G443" s="465" t="str">
        <f t="shared" si="44"/>
        <v/>
      </c>
      <c r="L443" s="782"/>
      <c r="M443" s="380">
        <v>8</v>
      </c>
      <c r="N443" s="781" t="str">
        <f t="shared" si="48"/>
        <v>CONTRATO SIN SUSPENSIÓN</v>
      </c>
      <c r="O443" s="781"/>
    </row>
    <row r="444" spans="2:15">
      <c r="B444" s="319"/>
      <c r="C444" s="319"/>
      <c r="D444" s="320"/>
      <c r="E444" s="320"/>
      <c r="F444" s="320"/>
      <c r="G444" s="465" t="str">
        <f t="shared" si="44"/>
        <v/>
      </c>
      <c r="L444" s="782"/>
      <c r="M444" s="380">
        <v>9</v>
      </c>
      <c r="N444" s="781" t="str">
        <f t="shared" si="48"/>
        <v>CONTRATO SIN SUSPENSIÓN</v>
      </c>
      <c r="O444" s="781"/>
    </row>
    <row r="445" spans="2:15">
      <c r="B445" s="319"/>
      <c r="C445" s="319"/>
      <c r="D445" s="320"/>
      <c r="E445" s="320"/>
      <c r="F445" s="320"/>
      <c r="G445" s="465" t="str">
        <f t="shared" si="44"/>
        <v/>
      </c>
      <c r="L445" s="782"/>
      <c r="M445" s="380">
        <v>10</v>
      </c>
      <c r="N445" s="781" t="str">
        <f t="shared" si="48"/>
        <v>CONTRATO SIN SUSPENSIÓN</v>
      </c>
      <c r="O445" s="781"/>
    </row>
    <row r="446" spans="2:15">
      <c r="B446" s="319"/>
      <c r="C446" s="319"/>
      <c r="D446" s="320"/>
      <c r="E446" s="320"/>
      <c r="F446" s="320"/>
      <c r="G446" s="465" t="str">
        <f t="shared" si="44"/>
        <v/>
      </c>
      <c r="L446" s="782">
        <v>45</v>
      </c>
      <c r="M446" s="380">
        <v>1</v>
      </c>
      <c r="N446" s="781" t="str">
        <f t="shared" ref="N446:N455" si="49">IF(SUMIFS($G$5:$G$1200,$B$5:$B$1200,$L$446,$C$5:$C$1200,$M446)=0,"CONTRATO SIN SUSPENSIÓN",ROUND(SUMIFS($G$5:$G$1200,$B$5:$B$1200,$L$446,$C$5:$C$1200,$M446),3))</f>
        <v>CONTRATO SIN SUSPENSIÓN</v>
      </c>
      <c r="O446" s="781"/>
    </row>
    <row r="447" spans="2:15">
      <c r="B447" s="319"/>
      <c r="C447" s="319"/>
      <c r="D447" s="320"/>
      <c r="E447" s="320"/>
      <c r="F447" s="320"/>
      <c r="G447" s="465" t="str">
        <f t="shared" si="44"/>
        <v/>
      </c>
      <c r="L447" s="782"/>
      <c r="M447" s="380">
        <v>2</v>
      </c>
      <c r="N447" s="781" t="str">
        <f t="shared" si="49"/>
        <v>CONTRATO SIN SUSPENSIÓN</v>
      </c>
      <c r="O447" s="781"/>
    </row>
    <row r="448" spans="2:15">
      <c r="B448" s="319"/>
      <c r="C448" s="319"/>
      <c r="D448" s="320"/>
      <c r="E448" s="320"/>
      <c r="F448" s="320"/>
      <c r="G448" s="465" t="str">
        <f t="shared" si="44"/>
        <v/>
      </c>
      <c r="L448" s="782"/>
      <c r="M448" s="380">
        <v>3</v>
      </c>
      <c r="N448" s="781" t="str">
        <f t="shared" si="49"/>
        <v>CONTRATO SIN SUSPENSIÓN</v>
      </c>
      <c r="O448" s="781"/>
    </row>
    <row r="449" spans="2:15">
      <c r="B449" s="319"/>
      <c r="C449" s="319"/>
      <c r="D449" s="320"/>
      <c r="E449" s="320"/>
      <c r="F449" s="320"/>
      <c r="G449" s="465" t="str">
        <f t="shared" si="44"/>
        <v/>
      </c>
      <c r="L449" s="782"/>
      <c r="M449" s="380">
        <v>4</v>
      </c>
      <c r="N449" s="781" t="str">
        <f t="shared" si="49"/>
        <v>CONTRATO SIN SUSPENSIÓN</v>
      </c>
      <c r="O449" s="781"/>
    </row>
    <row r="450" spans="2:15">
      <c r="B450" s="319"/>
      <c r="C450" s="319"/>
      <c r="D450" s="320"/>
      <c r="E450" s="320"/>
      <c r="F450" s="320"/>
      <c r="G450" s="465" t="str">
        <f t="shared" si="44"/>
        <v/>
      </c>
      <c r="L450" s="782"/>
      <c r="M450" s="380">
        <v>5</v>
      </c>
      <c r="N450" s="781" t="str">
        <f t="shared" si="49"/>
        <v>CONTRATO SIN SUSPENSIÓN</v>
      </c>
      <c r="O450" s="781"/>
    </row>
    <row r="451" spans="2:15">
      <c r="B451" s="319"/>
      <c r="C451" s="319"/>
      <c r="D451" s="320"/>
      <c r="E451" s="320"/>
      <c r="F451" s="320"/>
      <c r="G451" s="465" t="str">
        <f t="shared" si="44"/>
        <v/>
      </c>
      <c r="L451" s="782"/>
      <c r="M451" s="380">
        <v>6</v>
      </c>
      <c r="N451" s="781" t="str">
        <f t="shared" si="49"/>
        <v>CONTRATO SIN SUSPENSIÓN</v>
      </c>
      <c r="O451" s="781"/>
    </row>
    <row r="452" spans="2:15">
      <c r="B452" s="319"/>
      <c r="C452" s="319"/>
      <c r="D452" s="320"/>
      <c r="E452" s="320"/>
      <c r="F452" s="320"/>
      <c r="G452" s="465" t="str">
        <f t="shared" si="44"/>
        <v/>
      </c>
      <c r="L452" s="782"/>
      <c r="M452" s="380">
        <v>7</v>
      </c>
      <c r="N452" s="781" t="str">
        <f t="shared" si="49"/>
        <v>CONTRATO SIN SUSPENSIÓN</v>
      </c>
      <c r="O452" s="781"/>
    </row>
    <row r="453" spans="2:15">
      <c r="B453" s="319"/>
      <c r="C453" s="319"/>
      <c r="D453" s="320"/>
      <c r="E453" s="320"/>
      <c r="F453" s="320"/>
      <c r="G453" s="465" t="str">
        <f t="shared" si="44"/>
        <v/>
      </c>
      <c r="L453" s="782"/>
      <c r="M453" s="380">
        <v>8</v>
      </c>
      <c r="N453" s="781" t="str">
        <f t="shared" si="49"/>
        <v>CONTRATO SIN SUSPENSIÓN</v>
      </c>
      <c r="O453" s="781"/>
    </row>
    <row r="454" spans="2:15">
      <c r="B454" s="319"/>
      <c r="C454" s="319"/>
      <c r="D454" s="320"/>
      <c r="E454" s="320"/>
      <c r="F454" s="320"/>
      <c r="G454" s="465" t="str">
        <f t="shared" ref="G454:G517" si="50">IF(OR(AND(D454="",E454=""),AND(D454="",F454="")),"",IF(AND(D454&lt;&gt;"",E454&lt;&gt;"",F454&lt;&gt;""),"REVISAR CÁLCULO",IF(AND(D454&lt;&gt;"",F454&lt;&gt;""),ROUND(((F454-D454)/30),3),IF(AND(D454&lt;&gt;"",E454&lt;&gt;""),ROUND(((E454-D454+1)/30),3),""))))</f>
        <v/>
      </c>
      <c r="L454" s="782"/>
      <c r="M454" s="380">
        <v>9</v>
      </c>
      <c r="N454" s="781" t="str">
        <f t="shared" si="49"/>
        <v>CONTRATO SIN SUSPENSIÓN</v>
      </c>
      <c r="O454" s="781"/>
    </row>
    <row r="455" spans="2:15">
      <c r="B455" s="319"/>
      <c r="C455" s="319"/>
      <c r="D455" s="320"/>
      <c r="E455" s="320"/>
      <c r="F455" s="320"/>
      <c r="G455" s="465" t="str">
        <f t="shared" si="50"/>
        <v/>
      </c>
      <c r="L455" s="782"/>
      <c r="M455" s="380">
        <v>10</v>
      </c>
      <c r="N455" s="781" t="str">
        <f t="shared" si="49"/>
        <v>CONTRATO SIN SUSPENSIÓN</v>
      </c>
      <c r="O455" s="781"/>
    </row>
    <row r="456" spans="2:15">
      <c r="B456" s="319"/>
      <c r="C456" s="319"/>
      <c r="D456" s="320"/>
      <c r="E456" s="320"/>
      <c r="F456" s="320"/>
      <c r="G456" s="465" t="str">
        <f t="shared" si="50"/>
        <v/>
      </c>
      <c r="L456" s="782">
        <v>46</v>
      </c>
      <c r="M456" s="380">
        <v>1</v>
      </c>
      <c r="N456" s="783" t="str">
        <f t="shared" ref="N456:N465" si="51">IF(SUMIFS($G$5:$G$1200,$B$5:$B$1200,$L$456,$C$5:$C$1200,$M456)=0,"CONTRATO SIN SUSPENSIÓN",ROUND(SUMIFS($G$5:$G$1200,$B$5:$B$1200,$L$456,$C$5:$C$1200,$M456),3))</f>
        <v>CONTRATO SIN SUSPENSIÓN</v>
      </c>
      <c r="O456" s="784"/>
    </row>
    <row r="457" spans="2:15">
      <c r="B457" s="319"/>
      <c r="C457" s="319"/>
      <c r="D457" s="320"/>
      <c r="E457" s="320"/>
      <c r="F457" s="320"/>
      <c r="G457" s="465" t="str">
        <f t="shared" si="50"/>
        <v/>
      </c>
      <c r="L457" s="782"/>
      <c r="M457" s="380">
        <v>2</v>
      </c>
      <c r="N457" s="783" t="str">
        <f t="shared" si="51"/>
        <v>CONTRATO SIN SUSPENSIÓN</v>
      </c>
      <c r="O457" s="784"/>
    </row>
    <row r="458" spans="2:15">
      <c r="B458" s="319"/>
      <c r="C458" s="319"/>
      <c r="D458" s="320"/>
      <c r="E458" s="320"/>
      <c r="F458" s="320"/>
      <c r="G458" s="465" t="str">
        <f t="shared" si="50"/>
        <v/>
      </c>
      <c r="L458" s="782"/>
      <c r="M458" s="380">
        <v>3</v>
      </c>
      <c r="N458" s="783" t="str">
        <f t="shared" si="51"/>
        <v>CONTRATO SIN SUSPENSIÓN</v>
      </c>
      <c r="O458" s="784"/>
    </row>
    <row r="459" spans="2:15">
      <c r="B459" s="319"/>
      <c r="C459" s="319"/>
      <c r="D459" s="320"/>
      <c r="E459" s="320"/>
      <c r="F459" s="320"/>
      <c r="G459" s="465" t="str">
        <f t="shared" si="50"/>
        <v/>
      </c>
      <c r="L459" s="782"/>
      <c r="M459" s="380">
        <v>4</v>
      </c>
      <c r="N459" s="783" t="str">
        <f t="shared" si="51"/>
        <v>CONTRATO SIN SUSPENSIÓN</v>
      </c>
      <c r="O459" s="784"/>
    </row>
    <row r="460" spans="2:15">
      <c r="B460" s="319"/>
      <c r="C460" s="319"/>
      <c r="D460" s="320"/>
      <c r="E460" s="320"/>
      <c r="F460" s="320"/>
      <c r="G460" s="465" t="str">
        <f t="shared" si="50"/>
        <v/>
      </c>
      <c r="L460" s="782"/>
      <c r="M460" s="380">
        <v>5</v>
      </c>
      <c r="N460" s="783" t="str">
        <f t="shared" si="51"/>
        <v>CONTRATO SIN SUSPENSIÓN</v>
      </c>
      <c r="O460" s="784"/>
    </row>
    <row r="461" spans="2:15">
      <c r="B461" s="319"/>
      <c r="C461" s="319"/>
      <c r="D461" s="320"/>
      <c r="E461" s="320"/>
      <c r="F461" s="320"/>
      <c r="G461" s="465" t="str">
        <f t="shared" si="50"/>
        <v/>
      </c>
      <c r="L461" s="782"/>
      <c r="M461" s="380">
        <v>6</v>
      </c>
      <c r="N461" s="783" t="str">
        <f t="shared" si="51"/>
        <v>CONTRATO SIN SUSPENSIÓN</v>
      </c>
      <c r="O461" s="784"/>
    </row>
    <row r="462" spans="2:15">
      <c r="B462" s="319"/>
      <c r="C462" s="319"/>
      <c r="D462" s="320"/>
      <c r="E462" s="320"/>
      <c r="F462" s="320"/>
      <c r="G462" s="465" t="str">
        <f t="shared" si="50"/>
        <v/>
      </c>
      <c r="L462" s="782"/>
      <c r="M462" s="380">
        <v>7</v>
      </c>
      <c r="N462" s="783" t="str">
        <f t="shared" si="51"/>
        <v>CONTRATO SIN SUSPENSIÓN</v>
      </c>
      <c r="O462" s="784"/>
    </row>
    <row r="463" spans="2:15">
      <c r="B463" s="319"/>
      <c r="C463" s="319"/>
      <c r="D463" s="320"/>
      <c r="E463" s="320"/>
      <c r="F463" s="320"/>
      <c r="G463" s="465" t="str">
        <f t="shared" si="50"/>
        <v/>
      </c>
      <c r="L463" s="782"/>
      <c r="M463" s="380">
        <v>8</v>
      </c>
      <c r="N463" s="783" t="str">
        <f t="shared" si="51"/>
        <v>CONTRATO SIN SUSPENSIÓN</v>
      </c>
      <c r="O463" s="784"/>
    </row>
    <row r="464" spans="2:15">
      <c r="B464" s="319"/>
      <c r="C464" s="319"/>
      <c r="D464" s="320"/>
      <c r="E464" s="320"/>
      <c r="F464" s="320"/>
      <c r="G464" s="465" t="str">
        <f t="shared" si="50"/>
        <v/>
      </c>
      <c r="L464" s="782"/>
      <c r="M464" s="380">
        <v>9</v>
      </c>
      <c r="N464" s="783" t="str">
        <f t="shared" si="51"/>
        <v>CONTRATO SIN SUSPENSIÓN</v>
      </c>
      <c r="O464" s="784"/>
    </row>
    <row r="465" spans="2:15">
      <c r="B465" s="319"/>
      <c r="C465" s="319"/>
      <c r="D465" s="320"/>
      <c r="E465" s="320"/>
      <c r="F465" s="320"/>
      <c r="G465" s="465" t="str">
        <f t="shared" si="50"/>
        <v/>
      </c>
      <c r="L465" s="782"/>
      <c r="M465" s="380">
        <v>10</v>
      </c>
      <c r="N465" s="781" t="str">
        <f t="shared" si="51"/>
        <v>CONTRATO SIN SUSPENSIÓN</v>
      </c>
      <c r="O465" s="781"/>
    </row>
    <row r="466" spans="2:15">
      <c r="B466" s="319"/>
      <c r="C466" s="319"/>
      <c r="D466" s="320"/>
      <c r="E466" s="320"/>
      <c r="F466" s="320"/>
      <c r="G466" s="465" t="str">
        <f t="shared" si="50"/>
        <v/>
      </c>
      <c r="L466" s="782">
        <v>47</v>
      </c>
      <c r="M466" s="380">
        <v>1</v>
      </c>
      <c r="N466" s="781" t="str">
        <f t="shared" ref="N466:N475" si="52">IF(SUMIFS($G$5:$G$1200,$B$5:$B$1200,$L$466,$C$5:$C$1200,$M466)=0,"CONTRATO SIN SUSPENSIÓN",ROUND(SUMIFS($G$5:$G$1200,$B$5:$B$1200,$L$466,$C$5:$C$1200,$M466),3))</f>
        <v>CONTRATO SIN SUSPENSIÓN</v>
      </c>
      <c r="O466" s="781"/>
    </row>
    <row r="467" spans="2:15">
      <c r="B467" s="319"/>
      <c r="C467" s="319"/>
      <c r="D467" s="320"/>
      <c r="E467" s="320"/>
      <c r="F467" s="320"/>
      <c r="G467" s="465" t="str">
        <f t="shared" si="50"/>
        <v/>
      </c>
      <c r="L467" s="782"/>
      <c r="M467" s="380">
        <v>2</v>
      </c>
      <c r="N467" s="781" t="str">
        <f t="shared" si="52"/>
        <v>CONTRATO SIN SUSPENSIÓN</v>
      </c>
      <c r="O467" s="781"/>
    </row>
    <row r="468" spans="2:15">
      <c r="B468" s="319"/>
      <c r="C468" s="319"/>
      <c r="D468" s="320"/>
      <c r="E468" s="320"/>
      <c r="F468" s="320"/>
      <c r="G468" s="465" t="str">
        <f t="shared" si="50"/>
        <v/>
      </c>
      <c r="L468" s="782"/>
      <c r="M468" s="380">
        <v>3</v>
      </c>
      <c r="N468" s="781" t="str">
        <f t="shared" si="52"/>
        <v>CONTRATO SIN SUSPENSIÓN</v>
      </c>
      <c r="O468" s="781"/>
    </row>
    <row r="469" spans="2:15">
      <c r="B469" s="319"/>
      <c r="C469" s="319"/>
      <c r="D469" s="320"/>
      <c r="E469" s="320"/>
      <c r="F469" s="320"/>
      <c r="G469" s="465" t="str">
        <f t="shared" si="50"/>
        <v/>
      </c>
      <c r="L469" s="782"/>
      <c r="M469" s="380">
        <v>4</v>
      </c>
      <c r="N469" s="781" t="str">
        <f t="shared" si="52"/>
        <v>CONTRATO SIN SUSPENSIÓN</v>
      </c>
      <c r="O469" s="781"/>
    </row>
    <row r="470" spans="2:15">
      <c r="B470" s="319"/>
      <c r="C470" s="319"/>
      <c r="D470" s="320"/>
      <c r="E470" s="320"/>
      <c r="F470" s="320"/>
      <c r="G470" s="465" t="str">
        <f t="shared" si="50"/>
        <v/>
      </c>
      <c r="L470" s="782"/>
      <c r="M470" s="380">
        <v>5</v>
      </c>
      <c r="N470" s="781" t="str">
        <f t="shared" si="52"/>
        <v>CONTRATO SIN SUSPENSIÓN</v>
      </c>
      <c r="O470" s="781"/>
    </row>
    <row r="471" spans="2:15">
      <c r="B471" s="319"/>
      <c r="C471" s="319"/>
      <c r="D471" s="320"/>
      <c r="E471" s="320"/>
      <c r="F471" s="320"/>
      <c r="G471" s="465" t="str">
        <f t="shared" si="50"/>
        <v/>
      </c>
      <c r="L471" s="782"/>
      <c r="M471" s="380">
        <v>6</v>
      </c>
      <c r="N471" s="781" t="str">
        <f t="shared" si="52"/>
        <v>CONTRATO SIN SUSPENSIÓN</v>
      </c>
      <c r="O471" s="781"/>
    </row>
    <row r="472" spans="2:15">
      <c r="B472" s="319"/>
      <c r="C472" s="319"/>
      <c r="D472" s="320"/>
      <c r="E472" s="320"/>
      <c r="F472" s="320"/>
      <c r="G472" s="465" t="str">
        <f t="shared" si="50"/>
        <v/>
      </c>
      <c r="L472" s="782"/>
      <c r="M472" s="380">
        <v>7</v>
      </c>
      <c r="N472" s="781" t="str">
        <f t="shared" si="52"/>
        <v>CONTRATO SIN SUSPENSIÓN</v>
      </c>
      <c r="O472" s="781"/>
    </row>
    <row r="473" spans="2:15">
      <c r="B473" s="319"/>
      <c r="C473" s="319"/>
      <c r="D473" s="320"/>
      <c r="E473" s="320"/>
      <c r="F473" s="320"/>
      <c r="G473" s="465" t="str">
        <f t="shared" si="50"/>
        <v/>
      </c>
      <c r="L473" s="782"/>
      <c r="M473" s="380">
        <v>8</v>
      </c>
      <c r="N473" s="781" t="str">
        <f t="shared" si="52"/>
        <v>CONTRATO SIN SUSPENSIÓN</v>
      </c>
      <c r="O473" s="781"/>
    </row>
    <row r="474" spans="2:15">
      <c r="B474" s="319"/>
      <c r="C474" s="319"/>
      <c r="D474" s="320"/>
      <c r="E474" s="320"/>
      <c r="F474" s="320"/>
      <c r="G474" s="465" t="str">
        <f t="shared" si="50"/>
        <v/>
      </c>
      <c r="L474" s="782"/>
      <c r="M474" s="380">
        <v>9</v>
      </c>
      <c r="N474" s="781" t="str">
        <f t="shared" si="52"/>
        <v>CONTRATO SIN SUSPENSIÓN</v>
      </c>
      <c r="O474" s="781"/>
    </row>
    <row r="475" spans="2:15">
      <c r="B475" s="319"/>
      <c r="C475" s="319"/>
      <c r="D475" s="320"/>
      <c r="E475" s="320"/>
      <c r="F475" s="320"/>
      <c r="G475" s="465" t="str">
        <f t="shared" si="50"/>
        <v/>
      </c>
      <c r="L475" s="782"/>
      <c r="M475" s="380">
        <v>10</v>
      </c>
      <c r="N475" s="781" t="str">
        <f t="shared" si="52"/>
        <v>CONTRATO SIN SUSPENSIÓN</v>
      </c>
      <c r="O475" s="781"/>
    </row>
    <row r="476" spans="2:15">
      <c r="B476" s="319"/>
      <c r="C476" s="319"/>
      <c r="D476" s="320"/>
      <c r="E476" s="320"/>
      <c r="F476" s="320"/>
      <c r="G476" s="465" t="str">
        <f t="shared" si="50"/>
        <v/>
      </c>
      <c r="L476" s="782">
        <v>48</v>
      </c>
      <c r="M476" s="380">
        <v>1</v>
      </c>
      <c r="N476" s="781" t="str">
        <f t="shared" ref="N476:N485" si="53">IF(SUMIFS($G$5:$G$1200,$B$5:$B$1200,$L$476,$C$5:$C$1200,$M476)=0,"CONTRATO SIN SUSPENSIÓN",ROUND(SUMIFS($G$5:$G$1200,$B$5:$B$1200,$L$476,$C$5:$C$1200,$M476),3))</f>
        <v>CONTRATO SIN SUSPENSIÓN</v>
      </c>
      <c r="O476" s="781"/>
    </row>
    <row r="477" spans="2:15">
      <c r="B477" s="319"/>
      <c r="C477" s="319"/>
      <c r="D477" s="320"/>
      <c r="E477" s="320"/>
      <c r="F477" s="320"/>
      <c r="G477" s="465" t="str">
        <f t="shared" si="50"/>
        <v/>
      </c>
      <c r="L477" s="782"/>
      <c r="M477" s="380">
        <v>2</v>
      </c>
      <c r="N477" s="781" t="str">
        <f t="shared" si="53"/>
        <v>CONTRATO SIN SUSPENSIÓN</v>
      </c>
      <c r="O477" s="781"/>
    </row>
    <row r="478" spans="2:15">
      <c r="B478" s="319"/>
      <c r="C478" s="319"/>
      <c r="D478" s="320"/>
      <c r="E478" s="320"/>
      <c r="F478" s="320"/>
      <c r="G478" s="465" t="str">
        <f t="shared" si="50"/>
        <v/>
      </c>
      <c r="L478" s="782"/>
      <c r="M478" s="380">
        <v>3</v>
      </c>
      <c r="N478" s="781" t="str">
        <f t="shared" si="53"/>
        <v>CONTRATO SIN SUSPENSIÓN</v>
      </c>
      <c r="O478" s="781"/>
    </row>
    <row r="479" spans="2:15">
      <c r="B479" s="319"/>
      <c r="C479" s="319"/>
      <c r="D479" s="320"/>
      <c r="E479" s="320"/>
      <c r="F479" s="320"/>
      <c r="G479" s="465" t="str">
        <f t="shared" si="50"/>
        <v/>
      </c>
      <c r="L479" s="782"/>
      <c r="M479" s="380">
        <v>4</v>
      </c>
      <c r="N479" s="781" t="str">
        <f t="shared" si="53"/>
        <v>CONTRATO SIN SUSPENSIÓN</v>
      </c>
      <c r="O479" s="781"/>
    </row>
    <row r="480" spans="2:15">
      <c r="B480" s="319"/>
      <c r="C480" s="319"/>
      <c r="D480" s="320"/>
      <c r="E480" s="320"/>
      <c r="F480" s="320"/>
      <c r="G480" s="465" t="str">
        <f t="shared" si="50"/>
        <v/>
      </c>
      <c r="L480" s="782"/>
      <c r="M480" s="380">
        <v>5</v>
      </c>
      <c r="N480" s="781" t="str">
        <f t="shared" si="53"/>
        <v>CONTRATO SIN SUSPENSIÓN</v>
      </c>
      <c r="O480" s="781"/>
    </row>
    <row r="481" spans="2:15">
      <c r="B481" s="319"/>
      <c r="C481" s="319"/>
      <c r="D481" s="320"/>
      <c r="E481" s="320"/>
      <c r="F481" s="320"/>
      <c r="G481" s="465" t="str">
        <f t="shared" si="50"/>
        <v/>
      </c>
      <c r="L481" s="782"/>
      <c r="M481" s="380">
        <v>6</v>
      </c>
      <c r="N481" s="781" t="str">
        <f t="shared" si="53"/>
        <v>CONTRATO SIN SUSPENSIÓN</v>
      </c>
      <c r="O481" s="781"/>
    </row>
    <row r="482" spans="2:15">
      <c r="B482" s="319"/>
      <c r="C482" s="319"/>
      <c r="D482" s="320"/>
      <c r="E482" s="320"/>
      <c r="F482" s="320"/>
      <c r="G482" s="465" t="str">
        <f t="shared" si="50"/>
        <v/>
      </c>
      <c r="L482" s="782"/>
      <c r="M482" s="380">
        <v>7</v>
      </c>
      <c r="N482" s="781" t="str">
        <f t="shared" si="53"/>
        <v>CONTRATO SIN SUSPENSIÓN</v>
      </c>
      <c r="O482" s="781"/>
    </row>
    <row r="483" spans="2:15">
      <c r="B483" s="319"/>
      <c r="C483" s="319"/>
      <c r="D483" s="320"/>
      <c r="E483" s="320"/>
      <c r="F483" s="320"/>
      <c r="G483" s="465" t="str">
        <f t="shared" si="50"/>
        <v/>
      </c>
      <c r="L483" s="782"/>
      <c r="M483" s="380">
        <v>8</v>
      </c>
      <c r="N483" s="781" t="str">
        <f t="shared" si="53"/>
        <v>CONTRATO SIN SUSPENSIÓN</v>
      </c>
      <c r="O483" s="781"/>
    </row>
    <row r="484" spans="2:15">
      <c r="B484" s="319"/>
      <c r="C484" s="319"/>
      <c r="D484" s="320"/>
      <c r="E484" s="320"/>
      <c r="F484" s="320"/>
      <c r="G484" s="465" t="str">
        <f t="shared" si="50"/>
        <v/>
      </c>
      <c r="L484" s="782"/>
      <c r="M484" s="380">
        <v>9</v>
      </c>
      <c r="N484" s="781" t="str">
        <f t="shared" si="53"/>
        <v>CONTRATO SIN SUSPENSIÓN</v>
      </c>
      <c r="O484" s="781"/>
    </row>
    <row r="485" spans="2:15">
      <c r="B485" s="319"/>
      <c r="C485" s="319"/>
      <c r="D485" s="320"/>
      <c r="E485" s="320"/>
      <c r="F485" s="320"/>
      <c r="G485" s="465" t="str">
        <f t="shared" si="50"/>
        <v/>
      </c>
      <c r="L485" s="782"/>
      <c r="M485" s="380">
        <v>10</v>
      </c>
      <c r="N485" s="781" t="str">
        <f t="shared" si="53"/>
        <v>CONTRATO SIN SUSPENSIÓN</v>
      </c>
      <c r="O485" s="781"/>
    </row>
    <row r="486" spans="2:15">
      <c r="B486" s="319"/>
      <c r="C486" s="319"/>
      <c r="D486" s="320"/>
      <c r="E486" s="320"/>
      <c r="F486" s="320"/>
      <c r="G486" s="465" t="str">
        <f t="shared" si="50"/>
        <v/>
      </c>
      <c r="L486" s="782">
        <v>49</v>
      </c>
      <c r="M486" s="380">
        <v>1</v>
      </c>
      <c r="N486" s="781" t="str">
        <f t="shared" ref="N486:N495" si="54">IF(SUMIFS($G$5:$G$1200,$B$5:$B$1200,$L$486,$C$5:$C$1200,$M486)=0,"CONTRATO SIN SUSPENSIÓN",ROUND(SUMIFS($G$5:$G$1200,$B$5:$B$1200,$L$486,$C$5:$C$1200,$M486),3))</f>
        <v>CONTRATO SIN SUSPENSIÓN</v>
      </c>
      <c r="O486" s="781"/>
    </row>
    <row r="487" spans="2:15">
      <c r="B487" s="319"/>
      <c r="C487" s="319"/>
      <c r="D487" s="320"/>
      <c r="E487" s="320"/>
      <c r="F487" s="320"/>
      <c r="G487" s="465" t="str">
        <f t="shared" si="50"/>
        <v/>
      </c>
      <c r="L487" s="782"/>
      <c r="M487" s="380">
        <v>2</v>
      </c>
      <c r="N487" s="781" t="str">
        <f t="shared" si="54"/>
        <v>CONTRATO SIN SUSPENSIÓN</v>
      </c>
      <c r="O487" s="781"/>
    </row>
    <row r="488" spans="2:15">
      <c r="B488" s="319"/>
      <c r="C488" s="319"/>
      <c r="D488" s="320"/>
      <c r="E488" s="320"/>
      <c r="F488" s="320"/>
      <c r="G488" s="465" t="str">
        <f t="shared" si="50"/>
        <v/>
      </c>
      <c r="L488" s="782"/>
      <c r="M488" s="380">
        <v>3</v>
      </c>
      <c r="N488" s="781" t="str">
        <f t="shared" si="54"/>
        <v>CONTRATO SIN SUSPENSIÓN</v>
      </c>
      <c r="O488" s="781"/>
    </row>
    <row r="489" spans="2:15">
      <c r="B489" s="319"/>
      <c r="C489" s="319"/>
      <c r="D489" s="320"/>
      <c r="E489" s="320"/>
      <c r="F489" s="320"/>
      <c r="G489" s="465" t="str">
        <f t="shared" si="50"/>
        <v/>
      </c>
      <c r="L489" s="782"/>
      <c r="M489" s="380">
        <v>4</v>
      </c>
      <c r="N489" s="781" t="str">
        <f t="shared" si="54"/>
        <v>CONTRATO SIN SUSPENSIÓN</v>
      </c>
      <c r="O489" s="781"/>
    </row>
    <row r="490" spans="2:15">
      <c r="B490" s="319"/>
      <c r="C490" s="319"/>
      <c r="D490" s="320"/>
      <c r="E490" s="320"/>
      <c r="F490" s="320"/>
      <c r="G490" s="465" t="str">
        <f t="shared" si="50"/>
        <v/>
      </c>
      <c r="L490" s="782"/>
      <c r="M490" s="380">
        <v>5</v>
      </c>
      <c r="N490" s="781" t="str">
        <f t="shared" si="54"/>
        <v>CONTRATO SIN SUSPENSIÓN</v>
      </c>
      <c r="O490" s="781"/>
    </row>
    <row r="491" spans="2:15">
      <c r="B491" s="319"/>
      <c r="C491" s="319"/>
      <c r="D491" s="320"/>
      <c r="E491" s="320"/>
      <c r="F491" s="320"/>
      <c r="G491" s="465" t="str">
        <f t="shared" si="50"/>
        <v/>
      </c>
      <c r="L491" s="782"/>
      <c r="M491" s="380">
        <v>6</v>
      </c>
      <c r="N491" s="781" t="str">
        <f t="shared" si="54"/>
        <v>CONTRATO SIN SUSPENSIÓN</v>
      </c>
      <c r="O491" s="781"/>
    </row>
    <row r="492" spans="2:15">
      <c r="B492" s="319"/>
      <c r="C492" s="319"/>
      <c r="D492" s="320"/>
      <c r="E492" s="320"/>
      <c r="F492" s="320"/>
      <c r="G492" s="465" t="str">
        <f t="shared" si="50"/>
        <v/>
      </c>
      <c r="L492" s="782"/>
      <c r="M492" s="380">
        <v>7</v>
      </c>
      <c r="N492" s="781" t="str">
        <f t="shared" si="54"/>
        <v>CONTRATO SIN SUSPENSIÓN</v>
      </c>
      <c r="O492" s="781"/>
    </row>
    <row r="493" spans="2:15">
      <c r="B493" s="319"/>
      <c r="C493" s="319"/>
      <c r="D493" s="320"/>
      <c r="E493" s="320"/>
      <c r="F493" s="320"/>
      <c r="G493" s="465" t="str">
        <f t="shared" si="50"/>
        <v/>
      </c>
      <c r="L493" s="782"/>
      <c r="M493" s="380">
        <v>8</v>
      </c>
      <c r="N493" s="781" t="str">
        <f t="shared" si="54"/>
        <v>CONTRATO SIN SUSPENSIÓN</v>
      </c>
      <c r="O493" s="781"/>
    </row>
    <row r="494" spans="2:15">
      <c r="B494" s="319"/>
      <c r="C494" s="319"/>
      <c r="D494" s="320"/>
      <c r="E494" s="320"/>
      <c r="F494" s="320"/>
      <c r="G494" s="465" t="str">
        <f t="shared" si="50"/>
        <v/>
      </c>
      <c r="L494" s="782"/>
      <c r="M494" s="380">
        <v>9</v>
      </c>
      <c r="N494" s="781" t="str">
        <f t="shared" si="54"/>
        <v>CONTRATO SIN SUSPENSIÓN</v>
      </c>
      <c r="O494" s="781"/>
    </row>
    <row r="495" spans="2:15">
      <c r="B495" s="319"/>
      <c r="C495" s="319"/>
      <c r="D495" s="320"/>
      <c r="E495" s="320"/>
      <c r="F495" s="320"/>
      <c r="G495" s="465" t="str">
        <f t="shared" si="50"/>
        <v/>
      </c>
      <c r="L495" s="782"/>
      <c r="M495" s="380">
        <v>10</v>
      </c>
      <c r="N495" s="781" t="str">
        <f t="shared" si="54"/>
        <v>CONTRATO SIN SUSPENSIÓN</v>
      </c>
      <c r="O495" s="781"/>
    </row>
    <row r="496" spans="2:15">
      <c r="B496" s="319"/>
      <c r="C496" s="319"/>
      <c r="D496" s="320"/>
      <c r="E496" s="320"/>
      <c r="F496" s="320"/>
      <c r="G496" s="465" t="str">
        <f t="shared" si="50"/>
        <v/>
      </c>
      <c r="L496" s="782">
        <v>50</v>
      </c>
      <c r="M496" s="380">
        <v>1</v>
      </c>
      <c r="N496" s="781" t="str">
        <f t="shared" ref="N496:N505" si="55">IF(SUMIFS($G$5:$G$1200,$B$5:$B$1200,$L$496,$C$5:$C$1200,$M496)=0,"CONTRATO SIN SUSPENSIÓN",ROUND(SUMIFS($G$5:$G$1200,$B$5:$B$1200,$L$496,$C$5:$C$1200,$M496),3))</f>
        <v>CONTRATO SIN SUSPENSIÓN</v>
      </c>
      <c r="O496" s="781"/>
    </row>
    <row r="497" spans="2:15">
      <c r="B497" s="319"/>
      <c r="C497" s="319"/>
      <c r="D497" s="320"/>
      <c r="E497" s="320"/>
      <c r="F497" s="320"/>
      <c r="G497" s="465" t="str">
        <f t="shared" si="50"/>
        <v/>
      </c>
      <c r="L497" s="782"/>
      <c r="M497" s="380">
        <v>2</v>
      </c>
      <c r="N497" s="781" t="str">
        <f t="shared" si="55"/>
        <v>CONTRATO SIN SUSPENSIÓN</v>
      </c>
      <c r="O497" s="781"/>
    </row>
    <row r="498" spans="2:15">
      <c r="B498" s="319"/>
      <c r="C498" s="319"/>
      <c r="D498" s="320"/>
      <c r="E498" s="320"/>
      <c r="F498" s="320"/>
      <c r="G498" s="465" t="str">
        <f t="shared" si="50"/>
        <v/>
      </c>
      <c r="L498" s="782"/>
      <c r="M498" s="380">
        <v>3</v>
      </c>
      <c r="N498" s="781" t="str">
        <f t="shared" si="55"/>
        <v>CONTRATO SIN SUSPENSIÓN</v>
      </c>
      <c r="O498" s="781"/>
    </row>
    <row r="499" spans="2:15">
      <c r="B499" s="319"/>
      <c r="C499" s="319"/>
      <c r="D499" s="320"/>
      <c r="E499" s="320"/>
      <c r="F499" s="320"/>
      <c r="G499" s="465" t="str">
        <f t="shared" si="50"/>
        <v/>
      </c>
      <c r="L499" s="782"/>
      <c r="M499" s="380">
        <v>4</v>
      </c>
      <c r="N499" s="781" t="str">
        <f t="shared" si="55"/>
        <v>CONTRATO SIN SUSPENSIÓN</v>
      </c>
      <c r="O499" s="781"/>
    </row>
    <row r="500" spans="2:15">
      <c r="B500" s="319"/>
      <c r="C500" s="319"/>
      <c r="D500" s="320"/>
      <c r="E500" s="320"/>
      <c r="F500" s="320"/>
      <c r="G500" s="465" t="str">
        <f t="shared" si="50"/>
        <v/>
      </c>
      <c r="L500" s="782"/>
      <c r="M500" s="380">
        <v>5</v>
      </c>
      <c r="N500" s="781" t="str">
        <f t="shared" si="55"/>
        <v>CONTRATO SIN SUSPENSIÓN</v>
      </c>
      <c r="O500" s="781"/>
    </row>
    <row r="501" spans="2:15">
      <c r="B501" s="319"/>
      <c r="C501" s="319"/>
      <c r="D501" s="320"/>
      <c r="E501" s="320"/>
      <c r="F501" s="320"/>
      <c r="G501" s="465" t="str">
        <f t="shared" si="50"/>
        <v/>
      </c>
      <c r="L501" s="782"/>
      <c r="M501" s="380">
        <v>6</v>
      </c>
      <c r="N501" s="781" t="str">
        <f t="shared" si="55"/>
        <v>CONTRATO SIN SUSPENSIÓN</v>
      </c>
      <c r="O501" s="781"/>
    </row>
    <row r="502" spans="2:15">
      <c r="B502" s="319"/>
      <c r="C502" s="319"/>
      <c r="D502" s="320"/>
      <c r="E502" s="320"/>
      <c r="F502" s="320"/>
      <c r="G502" s="465" t="str">
        <f t="shared" si="50"/>
        <v/>
      </c>
      <c r="L502" s="782"/>
      <c r="M502" s="380">
        <v>7</v>
      </c>
      <c r="N502" s="781" t="str">
        <f t="shared" si="55"/>
        <v>CONTRATO SIN SUSPENSIÓN</v>
      </c>
      <c r="O502" s="781"/>
    </row>
    <row r="503" spans="2:15">
      <c r="B503" s="319"/>
      <c r="C503" s="319"/>
      <c r="D503" s="320"/>
      <c r="E503" s="320"/>
      <c r="F503" s="320"/>
      <c r="G503" s="465" t="str">
        <f t="shared" si="50"/>
        <v/>
      </c>
      <c r="L503" s="782"/>
      <c r="M503" s="380">
        <v>8</v>
      </c>
      <c r="N503" s="781" t="str">
        <f t="shared" si="55"/>
        <v>CONTRATO SIN SUSPENSIÓN</v>
      </c>
      <c r="O503" s="781"/>
    </row>
    <row r="504" spans="2:15">
      <c r="B504" s="319"/>
      <c r="C504" s="319"/>
      <c r="D504" s="320"/>
      <c r="E504" s="320"/>
      <c r="F504" s="320"/>
      <c r="G504" s="465" t="str">
        <f t="shared" si="50"/>
        <v/>
      </c>
      <c r="L504" s="782"/>
      <c r="M504" s="380">
        <v>9</v>
      </c>
      <c r="N504" s="781" t="str">
        <f t="shared" si="55"/>
        <v>CONTRATO SIN SUSPENSIÓN</v>
      </c>
      <c r="O504" s="781"/>
    </row>
    <row r="505" spans="2:15">
      <c r="B505" s="319"/>
      <c r="C505" s="319"/>
      <c r="D505" s="320"/>
      <c r="E505" s="320"/>
      <c r="F505" s="320"/>
      <c r="G505" s="465" t="str">
        <f t="shared" si="50"/>
        <v/>
      </c>
      <c r="L505" s="782"/>
      <c r="M505" s="380">
        <v>10</v>
      </c>
      <c r="N505" s="781" t="str">
        <f t="shared" si="55"/>
        <v>CONTRATO SIN SUSPENSIÓN</v>
      </c>
      <c r="O505" s="781"/>
    </row>
    <row r="506" spans="2:15">
      <c r="B506" s="319"/>
      <c r="C506" s="319"/>
      <c r="D506" s="320"/>
      <c r="E506" s="320"/>
      <c r="F506" s="320"/>
      <c r="G506" s="465" t="str">
        <f t="shared" si="50"/>
        <v/>
      </c>
      <c r="L506" s="782">
        <v>51</v>
      </c>
      <c r="M506" s="380">
        <v>1</v>
      </c>
      <c r="N506" s="781" t="str">
        <f t="shared" ref="N506:N515" si="56">IF(SUMIFS($G$5:$G$1200,$B$5:$B$1200,$L$506,$C$5:$C$1200,$M506)=0,"CONTRATO SIN SUSPENSIÓN",ROUND(SUMIFS($G$5:$G$1200,$B$5:$B$1200,$L$506,$C$5:$C$1200,$M506),3))</f>
        <v>CONTRATO SIN SUSPENSIÓN</v>
      </c>
      <c r="O506" s="781"/>
    </row>
    <row r="507" spans="2:15">
      <c r="B507" s="319"/>
      <c r="C507" s="319"/>
      <c r="D507" s="320"/>
      <c r="E507" s="320"/>
      <c r="F507" s="320"/>
      <c r="G507" s="465" t="str">
        <f t="shared" si="50"/>
        <v/>
      </c>
      <c r="L507" s="782"/>
      <c r="M507" s="380">
        <v>2</v>
      </c>
      <c r="N507" s="781" t="str">
        <f t="shared" si="56"/>
        <v>CONTRATO SIN SUSPENSIÓN</v>
      </c>
      <c r="O507" s="781"/>
    </row>
    <row r="508" spans="2:15">
      <c r="B508" s="319"/>
      <c r="C508" s="319"/>
      <c r="D508" s="320"/>
      <c r="E508" s="320"/>
      <c r="F508" s="320"/>
      <c r="G508" s="465" t="str">
        <f t="shared" si="50"/>
        <v/>
      </c>
      <c r="L508" s="782"/>
      <c r="M508" s="380">
        <v>3</v>
      </c>
      <c r="N508" s="781" t="str">
        <f t="shared" si="56"/>
        <v>CONTRATO SIN SUSPENSIÓN</v>
      </c>
      <c r="O508" s="781"/>
    </row>
    <row r="509" spans="2:15">
      <c r="B509" s="319"/>
      <c r="C509" s="319"/>
      <c r="D509" s="320"/>
      <c r="E509" s="320"/>
      <c r="F509" s="320"/>
      <c r="G509" s="465" t="str">
        <f t="shared" si="50"/>
        <v/>
      </c>
      <c r="L509" s="782"/>
      <c r="M509" s="380">
        <v>4</v>
      </c>
      <c r="N509" s="781" t="str">
        <f t="shared" si="56"/>
        <v>CONTRATO SIN SUSPENSIÓN</v>
      </c>
      <c r="O509" s="781"/>
    </row>
    <row r="510" spans="2:15">
      <c r="B510" s="319"/>
      <c r="C510" s="319"/>
      <c r="D510" s="320"/>
      <c r="E510" s="320"/>
      <c r="F510" s="320"/>
      <c r="G510" s="465" t="str">
        <f t="shared" si="50"/>
        <v/>
      </c>
      <c r="L510" s="782"/>
      <c r="M510" s="380">
        <v>5</v>
      </c>
      <c r="N510" s="781" t="str">
        <f t="shared" si="56"/>
        <v>CONTRATO SIN SUSPENSIÓN</v>
      </c>
      <c r="O510" s="781"/>
    </row>
    <row r="511" spans="2:15">
      <c r="B511" s="319"/>
      <c r="C511" s="319"/>
      <c r="D511" s="320"/>
      <c r="E511" s="320"/>
      <c r="F511" s="320"/>
      <c r="G511" s="465" t="str">
        <f t="shared" si="50"/>
        <v/>
      </c>
      <c r="L511" s="782"/>
      <c r="M511" s="380">
        <v>6</v>
      </c>
      <c r="N511" s="781" t="str">
        <f t="shared" si="56"/>
        <v>CONTRATO SIN SUSPENSIÓN</v>
      </c>
      <c r="O511" s="781"/>
    </row>
    <row r="512" spans="2:15">
      <c r="B512" s="319"/>
      <c r="C512" s="319"/>
      <c r="D512" s="320"/>
      <c r="E512" s="320"/>
      <c r="F512" s="320"/>
      <c r="G512" s="465" t="str">
        <f t="shared" si="50"/>
        <v/>
      </c>
      <c r="L512" s="782"/>
      <c r="M512" s="380">
        <v>7</v>
      </c>
      <c r="N512" s="781" t="str">
        <f t="shared" si="56"/>
        <v>CONTRATO SIN SUSPENSIÓN</v>
      </c>
      <c r="O512" s="781"/>
    </row>
    <row r="513" spans="2:15">
      <c r="B513" s="319"/>
      <c r="C513" s="319"/>
      <c r="D513" s="320"/>
      <c r="E513" s="320"/>
      <c r="F513" s="320"/>
      <c r="G513" s="465" t="str">
        <f t="shared" si="50"/>
        <v/>
      </c>
      <c r="L513" s="782"/>
      <c r="M513" s="380">
        <v>8</v>
      </c>
      <c r="N513" s="781" t="str">
        <f t="shared" si="56"/>
        <v>CONTRATO SIN SUSPENSIÓN</v>
      </c>
      <c r="O513" s="781"/>
    </row>
    <row r="514" spans="2:15">
      <c r="B514" s="319"/>
      <c r="C514" s="319"/>
      <c r="D514" s="320"/>
      <c r="E514" s="320"/>
      <c r="F514" s="320"/>
      <c r="G514" s="465" t="str">
        <f t="shared" si="50"/>
        <v/>
      </c>
      <c r="L514" s="782"/>
      <c r="M514" s="380">
        <v>9</v>
      </c>
      <c r="N514" s="781" t="str">
        <f t="shared" si="56"/>
        <v>CONTRATO SIN SUSPENSIÓN</v>
      </c>
      <c r="O514" s="781"/>
    </row>
    <row r="515" spans="2:15">
      <c r="B515" s="319"/>
      <c r="C515" s="319"/>
      <c r="D515" s="320"/>
      <c r="E515" s="320"/>
      <c r="F515" s="320"/>
      <c r="G515" s="465" t="str">
        <f t="shared" si="50"/>
        <v/>
      </c>
      <c r="L515" s="782"/>
      <c r="M515" s="380">
        <v>10</v>
      </c>
      <c r="N515" s="781" t="str">
        <f t="shared" si="56"/>
        <v>CONTRATO SIN SUSPENSIÓN</v>
      </c>
      <c r="O515" s="781"/>
    </row>
    <row r="516" spans="2:15">
      <c r="B516" s="319"/>
      <c r="C516" s="319"/>
      <c r="D516" s="320"/>
      <c r="E516" s="320"/>
      <c r="F516" s="320"/>
      <c r="G516" s="465" t="str">
        <f t="shared" si="50"/>
        <v/>
      </c>
      <c r="L516" s="782">
        <v>52</v>
      </c>
      <c r="M516" s="380">
        <v>1</v>
      </c>
      <c r="N516" s="781" t="str">
        <f t="shared" ref="N516:N525" si="57">IF(SUMIFS($G$5:$G$1200,$B$5:$B$1200,$L$516,$C$5:$C$1200,$M516)=0,"CONTRATO SIN SUSPENSIÓN",ROUND(SUMIFS($G$5:$G$1200,$B$5:$B$1200,$L$516,$C$5:$C$1200,$M516),3))</f>
        <v>CONTRATO SIN SUSPENSIÓN</v>
      </c>
      <c r="O516" s="781"/>
    </row>
    <row r="517" spans="2:15">
      <c r="B517" s="319"/>
      <c r="C517" s="319"/>
      <c r="D517" s="320"/>
      <c r="E517" s="320"/>
      <c r="F517" s="320"/>
      <c r="G517" s="465" t="str">
        <f t="shared" si="50"/>
        <v/>
      </c>
      <c r="L517" s="782"/>
      <c r="M517" s="380">
        <v>2</v>
      </c>
      <c r="N517" s="781" t="str">
        <f t="shared" si="57"/>
        <v>CONTRATO SIN SUSPENSIÓN</v>
      </c>
      <c r="O517" s="781"/>
    </row>
    <row r="518" spans="2:15">
      <c r="B518" s="319"/>
      <c r="C518" s="319"/>
      <c r="D518" s="320"/>
      <c r="E518" s="320"/>
      <c r="F518" s="320"/>
      <c r="G518" s="465" t="str">
        <f t="shared" ref="G518:G581" si="58">IF(OR(AND(D518="",E518=""),AND(D518="",F518="")),"",IF(AND(D518&lt;&gt;"",E518&lt;&gt;"",F518&lt;&gt;""),"REVISAR CÁLCULO",IF(AND(D518&lt;&gt;"",F518&lt;&gt;""),ROUND(((F518-D518)/30),3),IF(AND(D518&lt;&gt;"",E518&lt;&gt;""),ROUND(((E518-D518+1)/30),3),""))))</f>
        <v/>
      </c>
      <c r="L518" s="782"/>
      <c r="M518" s="380">
        <v>3</v>
      </c>
      <c r="N518" s="781" t="str">
        <f t="shared" si="57"/>
        <v>CONTRATO SIN SUSPENSIÓN</v>
      </c>
      <c r="O518" s="781"/>
    </row>
    <row r="519" spans="2:15">
      <c r="B519" s="319"/>
      <c r="C519" s="319"/>
      <c r="D519" s="320"/>
      <c r="E519" s="320"/>
      <c r="F519" s="320"/>
      <c r="G519" s="465" t="str">
        <f t="shared" si="58"/>
        <v/>
      </c>
      <c r="L519" s="782"/>
      <c r="M519" s="380">
        <v>4</v>
      </c>
      <c r="N519" s="781" t="str">
        <f t="shared" si="57"/>
        <v>CONTRATO SIN SUSPENSIÓN</v>
      </c>
      <c r="O519" s="781"/>
    </row>
    <row r="520" spans="2:15">
      <c r="B520" s="319"/>
      <c r="C520" s="319"/>
      <c r="D520" s="320"/>
      <c r="E520" s="320"/>
      <c r="F520" s="320"/>
      <c r="G520" s="465" t="str">
        <f t="shared" si="58"/>
        <v/>
      </c>
      <c r="L520" s="782"/>
      <c r="M520" s="380">
        <v>5</v>
      </c>
      <c r="N520" s="781" t="str">
        <f t="shared" si="57"/>
        <v>CONTRATO SIN SUSPENSIÓN</v>
      </c>
      <c r="O520" s="781"/>
    </row>
    <row r="521" spans="2:15">
      <c r="B521" s="319"/>
      <c r="C521" s="319"/>
      <c r="D521" s="320"/>
      <c r="E521" s="320"/>
      <c r="F521" s="320"/>
      <c r="G521" s="465" t="str">
        <f t="shared" si="58"/>
        <v/>
      </c>
      <c r="L521" s="782"/>
      <c r="M521" s="380">
        <v>6</v>
      </c>
      <c r="N521" s="781" t="str">
        <f t="shared" si="57"/>
        <v>CONTRATO SIN SUSPENSIÓN</v>
      </c>
      <c r="O521" s="781"/>
    </row>
    <row r="522" spans="2:15">
      <c r="B522" s="319"/>
      <c r="C522" s="319"/>
      <c r="D522" s="320"/>
      <c r="E522" s="320"/>
      <c r="F522" s="320"/>
      <c r="G522" s="465" t="str">
        <f t="shared" si="58"/>
        <v/>
      </c>
      <c r="L522" s="782"/>
      <c r="M522" s="380">
        <v>7</v>
      </c>
      <c r="N522" s="781" t="str">
        <f t="shared" si="57"/>
        <v>CONTRATO SIN SUSPENSIÓN</v>
      </c>
      <c r="O522" s="781"/>
    </row>
    <row r="523" spans="2:15">
      <c r="B523" s="319"/>
      <c r="C523" s="319"/>
      <c r="D523" s="320"/>
      <c r="E523" s="320"/>
      <c r="F523" s="320"/>
      <c r="G523" s="465" t="str">
        <f t="shared" si="58"/>
        <v/>
      </c>
      <c r="L523" s="782"/>
      <c r="M523" s="380">
        <v>8</v>
      </c>
      <c r="N523" s="781" t="str">
        <f t="shared" si="57"/>
        <v>CONTRATO SIN SUSPENSIÓN</v>
      </c>
      <c r="O523" s="781"/>
    </row>
    <row r="524" spans="2:15">
      <c r="B524" s="319"/>
      <c r="C524" s="319"/>
      <c r="D524" s="320"/>
      <c r="E524" s="320"/>
      <c r="F524" s="320"/>
      <c r="G524" s="465" t="str">
        <f t="shared" si="58"/>
        <v/>
      </c>
      <c r="L524" s="782"/>
      <c r="M524" s="380">
        <v>9</v>
      </c>
      <c r="N524" s="781" t="str">
        <f t="shared" si="57"/>
        <v>CONTRATO SIN SUSPENSIÓN</v>
      </c>
      <c r="O524" s="781"/>
    </row>
    <row r="525" spans="2:15">
      <c r="B525" s="319"/>
      <c r="C525" s="319"/>
      <c r="D525" s="320"/>
      <c r="E525" s="320"/>
      <c r="F525" s="320"/>
      <c r="G525" s="465" t="str">
        <f t="shared" si="58"/>
        <v/>
      </c>
      <c r="L525" s="782"/>
      <c r="M525" s="380">
        <v>10</v>
      </c>
      <c r="N525" s="781" t="str">
        <f t="shared" si="57"/>
        <v>CONTRATO SIN SUSPENSIÓN</v>
      </c>
      <c r="O525" s="781"/>
    </row>
    <row r="526" spans="2:15">
      <c r="B526" s="319"/>
      <c r="C526" s="319"/>
      <c r="D526" s="320"/>
      <c r="E526" s="320"/>
      <c r="F526" s="320"/>
      <c r="G526" s="465" t="str">
        <f t="shared" si="58"/>
        <v/>
      </c>
      <c r="L526" s="782">
        <v>53</v>
      </c>
      <c r="M526" s="380">
        <v>1</v>
      </c>
      <c r="N526" s="781" t="str">
        <f t="shared" ref="N526:N535" si="59">IF(SUMIFS($G$5:$G$1200,$B$5:$B$1200,$L$526,$C$5:$C$1200,$M526)=0,"CONTRATO SIN SUSPENSIÓN",ROUND(SUMIFS($G$5:$G$1200,$B$5:$B$1200,$L$526,$C$5:$C$1200,$M526),3))</f>
        <v>CONTRATO SIN SUSPENSIÓN</v>
      </c>
      <c r="O526" s="781"/>
    </row>
    <row r="527" spans="2:15">
      <c r="B527" s="319"/>
      <c r="C527" s="319"/>
      <c r="D527" s="320"/>
      <c r="E527" s="320"/>
      <c r="F527" s="320"/>
      <c r="G527" s="465" t="str">
        <f t="shared" si="58"/>
        <v/>
      </c>
      <c r="L527" s="782"/>
      <c r="M527" s="380">
        <v>2</v>
      </c>
      <c r="N527" s="781" t="str">
        <f t="shared" si="59"/>
        <v>CONTRATO SIN SUSPENSIÓN</v>
      </c>
      <c r="O527" s="781"/>
    </row>
    <row r="528" spans="2:15">
      <c r="B528" s="319"/>
      <c r="C528" s="319"/>
      <c r="D528" s="320"/>
      <c r="E528" s="320"/>
      <c r="F528" s="320"/>
      <c r="G528" s="465" t="str">
        <f t="shared" si="58"/>
        <v/>
      </c>
      <c r="L528" s="782"/>
      <c r="M528" s="380">
        <v>3</v>
      </c>
      <c r="N528" s="781" t="str">
        <f t="shared" si="59"/>
        <v>CONTRATO SIN SUSPENSIÓN</v>
      </c>
      <c r="O528" s="781"/>
    </row>
    <row r="529" spans="2:15">
      <c r="B529" s="319"/>
      <c r="C529" s="319"/>
      <c r="D529" s="320"/>
      <c r="E529" s="320"/>
      <c r="F529" s="320"/>
      <c r="G529" s="465" t="str">
        <f t="shared" si="58"/>
        <v/>
      </c>
      <c r="L529" s="782"/>
      <c r="M529" s="380">
        <v>4</v>
      </c>
      <c r="N529" s="781" t="str">
        <f t="shared" si="59"/>
        <v>CONTRATO SIN SUSPENSIÓN</v>
      </c>
      <c r="O529" s="781"/>
    </row>
    <row r="530" spans="2:15">
      <c r="B530" s="319"/>
      <c r="C530" s="319"/>
      <c r="D530" s="320"/>
      <c r="E530" s="320"/>
      <c r="F530" s="320"/>
      <c r="G530" s="465" t="str">
        <f t="shared" si="58"/>
        <v/>
      </c>
      <c r="L530" s="782"/>
      <c r="M530" s="380">
        <v>5</v>
      </c>
      <c r="N530" s="781" t="str">
        <f t="shared" si="59"/>
        <v>CONTRATO SIN SUSPENSIÓN</v>
      </c>
      <c r="O530" s="781"/>
    </row>
    <row r="531" spans="2:15">
      <c r="B531" s="319"/>
      <c r="C531" s="319"/>
      <c r="D531" s="320"/>
      <c r="E531" s="320"/>
      <c r="F531" s="320"/>
      <c r="G531" s="465" t="str">
        <f t="shared" si="58"/>
        <v/>
      </c>
      <c r="L531" s="782"/>
      <c r="M531" s="380">
        <v>6</v>
      </c>
      <c r="N531" s="781" t="str">
        <f t="shared" si="59"/>
        <v>CONTRATO SIN SUSPENSIÓN</v>
      </c>
      <c r="O531" s="781"/>
    </row>
    <row r="532" spans="2:15">
      <c r="B532" s="319"/>
      <c r="C532" s="319"/>
      <c r="D532" s="320"/>
      <c r="E532" s="320"/>
      <c r="F532" s="320"/>
      <c r="G532" s="465" t="str">
        <f t="shared" si="58"/>
        <v/>
      </c>
      <c r="L532" s="782"/>
      <c r="M532" s="380">
        <v>7</v>
      </c>
      <c r="N532" s="781" t="str">
        <f t="shared" si="59"/>
        <v>CONTRATO SIN SUSPENSIÓN</v>
      </c>
      <c r="O532" s="781"/>
    </row>
    <row r="533" spans="2:15">
      <c r="B533" s="319"/>
      <c r="C533" s="319"/>
      <c r="D533" s="320"/>
      <c r="E533" s="320"/>
      <c r="F533" s="320"/>
      <c r="G533" s="465" t="str">
        <f t="shared" si="58"/>
        <v/>
      </c>
      <c r="L533" s="782"/>
      <c r="M533" s="380">
        <v>8</v>
      </c>
      <c r="N533" s="781" t="str">
        <f t="shared" si="59"/>
        <v>CONTRATO SIN SUSPENSIÓN</v>
      </c>
      <c r="O533" s="781"/>
    </row>
    <row r="534" spans="2:15">
      <c r="B534" s="319"/>
      <c r="C534" s="319"/>
      <c r="D534" s="320"/>
      <c r="E534" s="320"/>
      <c r="F534" s="320"/>
      <c r="G534" s="465" t="str">
        <f t="shared" si="58"/>
        <v/>
      </c>
      <c r="L534" s="782"/>
      <c r="M534" s="380">
        <v>9</v>
      </c>
      <c r="N534" s="781" t="str">
        <f t="shared" si="59"/>
        <v>CONTRATO SIN SUSPENSIÓN</v>
      </c>
      <c r="O534" s="781"/>
    </row>
    <row r="535" spans="2:15">
      <c r="B535" s="319"/>
      <c r="C535" s="319"/>
      <c r="D535" s="320"/>
      <c r="E535" s="320"/>
      <c r="F535" s="320"/>
      <c r="G535" s="465" t="str">
        <f t="shared" si="58"/>
        <v/>
      </c>
      <c r="L535" s="782"/>
      <c r="M535" s="380">
        <v>10</v>
      </c>
      <c r="N535" s="781" t="str">
        <f t="shared" si="59"/>
        <v>CONTRATO SIN SUSPENSIÓN</v>
      </c>
      <c r="O535" s="781"/>
    </row>
    <row r="536" spans="2:15">
      <c r="B536" s="319"/>
      <c r="C536" s="319"/>
      <c r="D536" s="320"/>
      <c r="E536" s="320"/>
      <c r="F536" s="320"/>
      <c r="G536" s="465" t="str">
        <f t="shared" si="58"/>
        <v/>
      </c>
      <c r="L536" s="782">
        <v>54</v>
      </c>
      <c r="M536" s="380">
        <v>1</v>
      </c>
      <c r="N536" s="781" t="str">
        <f t="shared" ref="N536:N545" si="60">IF(SUMIFS($G$5:$G$1200,$B$5:$B$1200,$L$536,$C$5:$C$1200,$M536)=0,"CONTRATO SIN SUSPENSIÓN",ROUND(SUMIFS($G$5:$G$1200,$B$5:$B$1200,$L$536,$C$5:$C$1200,$M536),3))</f>
        <v>CONTRATO SIN SUSPENSIÓN</v>
      </c>
      <c r="O536" s="781"/>
    </row>
    <row r="537" spans="2:15">
      <c r="B537" s="319"/>
      <c r="C537" s="319"/>
      <c r="D537" s="320"/>
      <c r="E537" s="320"/>
      <c r="F537" s="320"/>
      <c r="G537" s="465" t="str">
        <f t="shared" si="58"/>
        <v/>
      </c>
      <c r="L537" s="782"/>
      <c r="M537" s="380">
        <v>2</v>
      </c>
      <c r="N537" s="781" t="str">
        <f t="shared" si="60"/>
        <v>CONTRATO SIN SUSPENSIÓN</v>
      </c>
      <c r="O537" s="781"/>
    </row>
    <row r="538" spans="2:15">
      <c r="B538" s="319"/>
      <c r="C538" s="319"/>
      <c r="D538" s="320"/>
      <c r="E538" s="320"/>
      <c r="F538" s="320"/>
      <c r="G538" s="465" t="str">
        <f t="shared" si="58"/>
        <v/>
      </c>
      <c r="L538" s="782"/>
      <c r="M538" s="380">
        <v>3</v>
      </c>
      <c r="N538" s="781" t="str">
        <f t="shared" si="60"/>
        <v>CONTRATO SIN SUSPENSIÓN</v>
      </c>
      <c r="O538" s="781"/>
    </row>
    <row r="539" spans="2:15">
      <c r="B539" s="319"/>
      <c r="C539" s="319"/>
      <c r="D539" s="320"/>
      <c r="E539" s="320"/>
      <c r="F539" s="320"/>
      <c r="G539" s="465" t="str">
        <f t="shared" si="58"/>
        <v/>
      </c>
      <c r="L539" s="782"/>
      <c r="M539" s="380">
        <v>4</v>
      </c>
      <c r="N539" s="781" t="str">
        <f t="shared" si="60"/>
        <v>CONTRATO SIN SUSPENSIÓN</v>
      </c>
      <c r="O539" s="781"/>
    </row>
    <row r="540" spans="2:15">
      <c r="B540" s="319"/>
      <c r="C540" s="319"/>
      <c r="D540" s="320"/>
      <c r="E540" s="320"/>
      <c r="F540" s="320"/>
      <c r="G540" s="465" t="str">
        <f t="shared" si="58"/>
        <v/>
      </c>
      <c r="L540" s="782"/>
      <c r="M540" s="380">
        <v>5</v>
      </c>
      <c r="N540" s="781" t="str">
        <f t="shared" si="60"/>
        <v>CONTRATO SIN SUSPENSIÓN</v>
      </c>
      <c r="O540" s="781"/>
    </row>
    <row r="541" spans="2:15">
      <c r="B541" s="319"/>
      <c r="C541" s="319"/>
      <c r="D541" s="320"/>
      <c r="E541" s="320"/>
      <c r="F541" s="320"/>
      <c r="G541" s="465" t="str">
        <f t="shared" si="58"/>
        <v/>
      </c>
      <c r="L541" s="782"/>
      <c r="M541" s="380">
        <v>6</v>
      </c>
      <c r="N541" s="781" t="str">
        <f t="shared" si="60"/>
        <v>CONTRATO SIN SUSPENSIÓN</v>
      </c>
      <c r="O541" s="781"/>
    </row>
    <row r="542" spans="2:15">
      <c r="B542" s="319"/>
      <c r="C542" s="319"/>
      <c r="D542" s="320"/>
      <c r="E542" s="320"/>
      <c r="F542" s="320"/>
      <c r="G542" s="465" t="str">
        <f t="shared" si="58"/>
        <v/>
      </c>
      <c r="L542" s="782"/>
      <c r="M542" s="380">
        <v>7</v>
      </c>
      <c r="N542" s="781" t="str">
        <f t="shared" si="60"/>
        <v>CONTRATO SIN SUSPENSIÓN</v>
      </c>
      <c r="O542" s="781"/>
    </row>
    <row r="543" spans="2:15">
      <c r="B543" s="319"/>
      <c r="C543" s="319"/>
      <c r="D543" s="320"/>
      <c r="E543" s="320"/>
      <c r="F543" s="320"/>
      <c r="G543" s="465" t="str">
        <f t="shared" si="58"/>
        <v/>
      </c>
      <c r="L543" s="782"/>
      <c r="M543" s="380">
        <v>8</v>
      </c>
      <c r="N543" s="781" t="str">
        <f t="shared" si="60"/>
        <v>CONTRATO SIN SUSPENSIÓN</v>
      </c>
      <c r="O543" s="781"/>
    </row>
    <row r="544" spans="2:15">
      <c r="B544" s="319"/>
      <c r="C544" s="319"/>
      <c r="D544" s="320"/>
      <c r="E544" s="320"/>
      <c r="F544" s="320"/>
      <c r="G544" s="465" t="str">
        <f t="shared" si="58"/>
        <v/>
      </c>
      <c r="L544" s="782"/>
      <c r="M544" s="380">
        <v>9</v>
      </c>
      <c r="N544" s="781" t="str">
        <f t="shared" si="60"/>
        <v>CONTRATO SIN SUSPENSIÓN</v>
      </c>
      <c r="O544" s="781"/>
    </row>
    <row r="545" spans="2:15">
      <c r="B545" s="319"/>
      <c r="C545" s="319"/>
      <c r="D545" s="320"/>
      <c r="E545" s="320"/>
      <c r="F545" s="320"/>
      <c r="G545" s="465" t="str">
        <f t="shared" si="58"/>
        <v/>
      </c>
      <c r="L545" s="782"/>
      <c r="M545" s="380">
        <v>10</v>
      </c>
      <c r="N545" s="781" t="str">
        <f t="shared" si="60"/>
        <v>CONTRATO SIN SUSPENSIÓN</v>
      </c>
      <c r="O545" s="781"/>
    </row>
    <row r="546" spans="2:15">
      <c r="B546" s="319"/>
      <c r="C546" s="319"/>
      <c r="D546" s="320"/>
      <c r="E546" s="320"/>
      <c r="F546" s="320"/>
      <c r="G546" s="465" t="str">
        <f t="shared" si="58"/>
        <v/>
      </c>
      <c r="L546" s="782">
        <v>55</v>
      </c>
      <c r="M546" s="380">
        <v>1</v>
      </c>
      <c r="N546" s="781" t="str">
        <f t="shared" ref="N546:N555" si="61">IF(SUMIFS($G$5:$G$1200,$B$5:$B$1200,$L$546,$C$5:$C$1200,$M546)=0,"CONTRATO SIN SUSPENSIÓN",ROUND(SUMIFS($G$5:$G$1200,$B$5:$B$1200,$L$546,$C$5:$C$1200,$M546),3))</f>
        <v>CONTRATO SIN SUSPENSIÓN</v>
      </c>
      <c r="O546" s="781"/>
    </row>
    <row r="547" spans="2:15">
      <c r="B547" s="319"/>
      <c r="C547" s="319"/>
      <c r="D547" s="320"/>
      <c r="E547" s="320"/>
      <c r="F547" s="320"/>
      <c r="G547" s="465" t="str">
        <f t="shared" si="58"/>
        <v/>
      </c>
      <c r="L547" s="782"/>
      <c r="M547" s="380">
        <v>2</v>
      </c>
      <c r="N547" s="781" t="str">
        <f t="shared" si="61"/>
        <v>CONTRATO SIN SUSPENSIÓN</v>
      </c>
      <c r="O547" s="781"/>
    </row>
    <row r="548" spans="2:15">
      <c r="B548" s="319"/>
      <c r="C548" s="319"/>
      <c r="D548" s="320"/>
      <c r="E548" s="320"/>
      <c r="F548" s="320"/>
      <c r="G548" s="465" t="str">
        <f t="shared" si="58"/>
        <v/>
      </c>
      <c r="L548" s="782"/>
      <c r="M548" s="380">
        <v>3</v>
      </c>
      <c r="N548" s="781" t="str">
        <f t="shared" si="61"/>
        <v>CONTRATO SIN SUSPENSIÓN</v>
      </c>
      <c r="O548" s="781"/>
    </row>
    <row r="549" spans="2:15">
      <c r="B549" s="319"/>
      <c r="C549" s="319"/>
      <c r="D549" s="320"/>
      <c r="E549" s="320"/>
      <c r="F549" s="320"/>
      <c r="G549" s="465" t="str">
        <f t="shared" si="58"/>
        <v/>
      </c>
      <c r="L549" s="782"/>
      <c r="M549" s="380">
        <v>4</v>
      </c>
      <c r="N549" s="781" t="str">
        <f t="shared" si="61"/>
        <v>CONTRATO SIN SUSPENSIÓN</v>
      </c>
      <c r="O549" s="781"/>
    </row>
    <row r="550" spans="2:15">
      <c r="B550" s="319"/>
      <c r="C550" s="319"/>
      <c r="D550" s="320"/>
      <c r="E550" s="320"/>
      <c r="F550" s="320"/>
      <c r="G550" s="465" t="str">
        <f t="shared" si="58"/>
        <v/>
      </c>
      <c r="L550" s="782"/>
      <c r="M550" s="380">
        <v>5</v>
      </c>
      <c r="N550" s="781" t="str">
        <f t="shared" si="61"/>
        <v>CONTRATO SIN SUSPENSIÓN</v>
      </c>
      <c r="O550" s="781"/>
    </row>
    <row r="551" spans="2:15">
      <c r="B551" s="319"/>
      <c r="C551" s="319"/>
      <c r="D551" s="320"/>
      <c r="E551" s="320"/>
      <c r="F551" s="320"/>
      <c r="G551" s="465" t="str">
        <f t="shared" si="58"/>
        <v/>
      </c>
      <c r="L551" s="782"/>
      <c r="M551" s="380">
        <v>6</v>
      </c>
      <c r="N551" s="781" t="str">
        <f t="shared" si="61"/>
        <v>CONTRATO SIN SUSPENSIÓN</v>
      </c>
      <c r="O551" s="781"/>
    </row>
    <row r="552" spans="2:15">
      <c r="B552" s="319"/>
      <c r="C552" s="319"/>
      <c r="D552" s="320"/>
      <c r="E552" s="320"/>
      <c r="F552" s="320"/>
      <c r="G552" s="465" t="str">
        <f t="shared" si="58"/>
        <v/>
      </c>
      <c r="L552" s="782"/>
      <c r="M552" s="380">
        <v>7</v>
      </c>
      <c r="N552" s="781" t="str">
        <f t="shared" si="61"/>
        <v>CONTRATO SIN SUSPENSIÓN</v>
      </c>
      <c r="O552" s="781"/>
    </row>
    <row r="553" spans="2:15">
      <c r="B553" s="319"/>
      <c r="C553" s="319"/>
      <c r="D553" s="320"/>
      <c r="E553" s="320"/>
      <c r="F553" s="320"/>
      <c r="G553" s="465" t="str">
        <f t="shared" si="58"/>
        <v/>
      </c>
      <c r="L553" s="782"/>
      <c r="M553" s="380">
        <v>8</v>
      </c>
      <c r="N553" s="781" t="str">
        <f t="shared" si="61"/>
        <v>CONTRATO SIN SUSPENSIÓN</v>
      </c>
      <c r="O553" s="781"/>
    </row>
    <row r="554" spans="2:15">
      <c r="B554" s="319"/>
      <c r="C554" s="319"/>
      <c r="D554" s="320"/>
      <c r="E554" s="320"/>
      <c r="F554" s="320"/>
      <c r="G554" s="465" t="str">
        <f t="shared" si="58"/>
        <v/>
      </c>
      <c r="L554" s="782"/>
      <c r="M554" s="380">
        <v>9</v>
      </c>
      <c r="N554" s="781" t="str">
        <f t="shared" si="61"/>
        <v>CONTRATO SIN SUSPENSIÓN</v>
      </c>
      <c r="O554" s="781"/>
    </row>
    <row r="555" spans="2:15">
      <c r="B555" s="319"/>
      <c r="C555" s="319"/>
      <c r="D555" s="320"/>
      <c r="E555" s="320"/>
      <c r="F555" s="320"/>
      <c r="G555" s="465" t="str">
        <f t="shared" si="58"/>
        <v/>
      </c>
      <c r="L555" s="782"/>
      <c r="M555" s="380">
        <v>10</v>
      </c>
      <c r="N555" s="781" t="str">
        <f t="shared" si="61"/>
        <v>CONTRATO SIN SUSPENSIÓN</v>
      </c>
      <c r="O555" s="781"/>
    </row>
    <row r="556" spans="2:15">
      <c r="B556" s="319"/>
      <c r="C556" s="319"/>
      <c r="D556" s="320"/>
      <c r="E556" s="320"/>
      <c r="F556" s="320"/>
      <c r="G556" s="465" t="str">
        <f t="shared" si="58"/>
        <v/>
      </c>
      <c r="L556" s="782">
        <v>56</v>
      </c>
      <c r="M556" s="380">
        <v>1</v>
      </c>
      <c r="N556" s="781" t="str">
        <f t="shared" ref="N556:N565" si="62">IF(SUMIFS($G$5:$G$1200,$B$5:$B$1200,$L$556,$C$5:$C$1200,$M556)=0,"CONTRATO SIN SUSPENSIÓN",ROUND(SUMIFS($G$5:$G$1200,$B$5:$B$1200,$L$556,$C$5:$C$1200,$M556),3))</f>
        <v>CONTRATO SIN SUSPENSIÓN</v>
      </c>
      <c r="O556" s="781"/>
    </row>
    <row r="557" spans="2:15">
      <c r="B557" s="319"/>
      <c r="C557" s="319"/>
      <c r="D557" s="320"/>
      <c r="E557" s="320"/>
      <c r="F557" s="320"/>
      <c r="G557" s="465" t="str">
        <f t="shared" si="58"/>
        <v/>
      </c>
      <c r="L557" s="782"/>
      <c r="M557" s="380">
        <v>2</v>
      </c>
      <c r="N557" s="781" t="str">
        <f t="shared" si="62"/>
        <v>CONTRATO SIN SUSPENSIÓN</v>
      </c>
      <c r="O557" s="781"/>
    </row>
    <row r="558" spans="2:15">
      <c r="B558" s="319"/>
      <c r="C558" s="319"/>
      <c r="D558" s="320"/>
      <c r="E558" s="320"/>
      <c r="F558" s="320"/>
      <c r="G558" s="465" t="str">
        <f t="shared" si="58"/>
        <v/>
      </c>
      <c r="L558" s="782"/>
      <c r="M558" s="380">
        <v>3</v>
      </c>
      <c r="N558" s="781" t="str">
        <f t="shared" si="62"/>
        <v>CONTRATO SIN SUSPENSIÓN</v>
      </c>
      <c r="O558" s="781"/>
    </row>
    <row r="559" spans="2:15">
      <c r="B559" s="319"/>
      <c r="C559" s="319"/>
      <c r="D559" s="320"/>
      <c r="E559" s="320"/>
      <c r="F559" s="320"/>
      <c r="G559" s="465" t="str">
        <f t="shared" si="58"/>
        <v/>
      </c>
      <c r="L559" s="782"/>
      <c r="M559" s="380">
        <v>4</v>
      </c>
      <c r="N559" s="781" t="str">
        <f t="shared" si="62"/>
        <v>CONTRATO SIN SUSPENSIÓN</v>
      </c>
      <c r="O559" s="781"/>
    </row>
    <row r="560" spans="2:15">
      <c r="B560" s="319"/>
      <c r="C560" s="319"/>
      <c r="D560" s="320"/>
      <c r="E560" s="320"/>
      <c r="F560" s="320"/>
      <c r="G560" s="465" t="str">
        <f t="shared" si="58"/>
        <v/>
      </c>
      <c r="L560" s="782"/>
      <c r="M560" s="380">
        <v>5</v>
      </c>
      <c r="N560" s="781" t="str">
        <f t="shared" si="62"/>
        <v>CONTRATO SIN SUSPENSIÓN</v>
      </c>
      <c r="O560" s="781"/>
    </row>
    <row r="561" spans="2:15">
      <c r="B561" s="319"/>
      <c r="C561" s="319"/>
      <c r="D561" s="320"/>
      <c r="E561" s="320"/>
      <c r="F561" s="320"/>
      <c r="G561" s="465" t="str">
        <f t="shared" si="58"/>
        <v/>
      </c>
      <c r="L561" s="782"/>
      <c r="M561" s="380">
        <v>6</v>
      </c>
      <c r="N561" s="781" t="str">
        <f t="shared" si="62"/>
        <v>CONTRATO SIN SUSPENSIÓN</v>
      </c>
      <c r="O561" s="781"/>
    </row>
    <row r="562" spans="2:15">
      <c r="B562" s="319"/>
      <c r="C562" s="319"/>
      <c r="D562" s="320"/>
      <c r="E562" s="320"/>
      <c r="F562" s="320"/>
      <c r="G562" s="465" t="str">
        <f t="shared" si="58"/>
        <v/>
      </c>
      <c r="L562" s="782"/>
      <c r="M562" s="380">
        <v>7</v>
      </c>
      <c r="N562" s="781" t="str">
        <f t="shared" si="62"/>
        <v>CONTRATO SIN SUSPENSIÓN</v>
      </c>
      <c r="O562" s="781"/>
    </row>
    <row r="563" spans="2:15">
      <c r="B563" s="319"/>
      <c r="C563" s="319"/>
      <c r="D563" s="320"/>
      <c r="E563" s="320"/>
      <c r="F563" s="320"/>
      <c r="G563" s="465" t="str">
        <f t="shared" si="58"/>
        <v/>
      </c>
      <c r="L563" s="782"/>
      <c r="M563" s="380">
        <v>8</v>
      </c>
      <c r="N563" s="781" t="str">
        <f t="shared" si="62"/>
        <v>CONTRATO SIN SUSPENSIÓN</v>
      </c>
      <c r="O563" s="781"/>
    </row>
    <row r="564" spans="2:15">
      <c r="B564" s="319"/>
      <c r="C564" s="319"/>
      <c r="D564" s="320"/>
      <c r="E564" s="320"/>
      <c r="F564" s="320"/>
      <c r="G564" s="465" t="str">
        <f t="shared" si="58"/>
        <v/>
      </c>
      <c r="L564" s="782"/>
      <c r="M564" s="380">
        <v>9</v>
      </c>
      <c r="N564" s="781" t="str">
        <f t="shared" si="62"/>
        <v>CONTRATO SIN SUSPENSIÓN</v>
      </c>
      <c r="O564" s="781"/>
    </row>
    <row r="565" spans="2:15">
      <c r="B565" s="319"/>
      <c r="C565" s="319"/>
      <c r="D565" s="320"/>
      <c r="E565" s="320"/>
      <c r="F565" s="320"/>
      <c r="G565" s="465" t="str">
        <f t="shared" si="58"/>
        <v/>
      </c>
      <c r="L565" s="782"/>
      <c r="M565" s="380">
        <v>10</v>
      </c>
      <c r="N565" s="781" t="str">
        <f t="shared" si="62"/>
        <v>CONTRATO SIN SUSPENSIÓN</v>
      </c>
      <c r="O565" s="781"/>
    </row>
    <row r="566" spans="2:15">
      <c r="B566" s="319"/>
      <c r="C566" s="319"/>
      <c r="D566" s="320"/>
      <c r="E566" s="320"/>
      <c r="F566" s="320"/>
      <c r="G566" s="465" t="str">
        <f t="shared" si="58"/>
        <v/>
      </c>
      <c r="L566" s="782">
        <v>57</v>
      </c>
      <c r="M566" s="380">
        <v>1</v>
      </c>
      <c r="N566" s="781" t="str">
        <f t="shared" ref="N566:N575" si="63">IF(SUMIFS($G$5:$G$1200,$B$5:$B$1200,$L$566,$C$5:$C$1200,$M566)=0,"CONTRATO SIN SUSPENSIÓN",ROUND(SUMIFS($G$5:$G$1200,$B$5:$B$1200,$L$566,$C$5:$C$1200,$M566),3))</f>
        <v>CONTRATO SIN SUSPENSIÓN</v>
      </c>
      <c r="O566" s="781"/>
    </row>
    <row r="567" spans="2:15">
      <c r="B567" s="319"/>
      <c r="C567" s="319"/>
      <c r="D567" s="320"/>
      <c r="E567" s="320"/>
      <c r="F567" s="320"/>
      <c r="G567" s="465" t="str">
        <f t="shared" si="58"/>
        <v/>
      </c>
      <c r="L567" s="782"/>
      <c r="M567" s="380">
        <v>2</v>
      </c>
      <c r="N567" s="781" t="str">
        <f t="shared" si="63"/>
        <v>CONTRATO SIN SUSPENSIÓN</v>
      </c>
      <c r="O567" s="781"/>
    </row>
    <row r="568" spans="2:15">
      <c r="B568" s="319"/>
      <c r="C568" s="319"/>
      <c r="D568" s="320"/>
      <c r="E568" s="320"/>
      <c r="F568" s="320"/>
      <c r="G568" s="465" t="str">
        <f t="shared" si="58"/>
        <v/>
      </c>
      <c r="L568" s="782"/>
      <c r="M568" s="380">
        <v>3</v>
      </c>
      <c r="N568" s="781" t="str">
        <f t="shared" si="63"/>
        <v>CONTRATO SIN SUSPENSIÓN</v>
      </c>
      <c r="O568" s="781"/>
    </row>
    <row r="569" spans="2:15">
      <c r="B569" s="319"/>
      <c r="C569" s="319"/>
      <c r="D569" s="320"/>
      <c r="E569" s="320"/>
      <c r="F569" s="320"/>
      <c r="G569" s="465" t="str">
        <f t="shared" si="58"/>
        <v/>
      </c>
      <c r="L569" s="782"/>
      <c r="M569" s="380">
        <v>4</v>
      </c>
      <c r="N569" s="781" t="str">
        <f t="shared" si="63"/>
        <v>CONTRATO SIN SUSPENSIÓN</v>
      </c>
      <c r="O569" s="781"/>
    </row>
    <row r="570" spans="2:15">
      <c r="B570" s="319"/>
      <c r="C570" s="319"/>
      <c r="D570" s="320"/>
      <c r="E570" s="320"/>
      <c r="F570" s="320"/>
      <c r="G570" s="465" t="str">
        <f t="shared" si="58"/>
        <v/>
      </c>
      <c r="L570" s="782"/>
      <c r="M570" s="380">
        <v>5</v>
      </c>
      <c r="N570" s="781" t="str">
        <f t="shared" si="63"/>
        <v>CONTRATO SIN SUSPENSIÓN</v>
      </c>
      <c r="O570" s="781"/>
    </row>
    <row r="571" spans="2:15">
      <c r="B571" s="319"/>
      <c r="C571" s="319"/>
      <c r="D571" s="320"/>
      <c r="E571" s="320"/>
      <c r="F571" s="320"/>
      <c r="G571" s="465" t="str">
        <f t="shared" si="58"/>
        <v/>
      </c>
      <c r="L571" s="782"/>
      <c r="M571" s="380">
        <v>6</v>
      </c>
      <c r="N571" s="781" t="str">
        <f t="shared" si="63"/>
        <v>CONTRATO SIN SUSPENSIÓN</v>
      </c>
      <c r="O571" s="781"/>
    </row>
    <row r="572" spans="2:15">
      <c r="B572" s="319"/>
      <c r="C572" s="319"/>
      <c r="D572" s="320"/>
      <c r="E572" s="320"/>
      <c r="F572" s="320"/>
      <c r="G572" s="465" t="str">
        <f t="shared" si="58"/>
        <v/>
      </c>
      <c r="L572" s="782"/>
      <c r="M572" s="380">
        <v>7</v>
      </c>
      <c r="N572" s="781" t="str">
        <f t="shared" si="63"/>
        <v>CONTRATO SIN SUSPENSIÓN</v>
      </c>
      <c r="O572" s="781"/>
    </row>
    <row r="573" spans="2:15">
      <c r="B573" s="319"/>
      <c r="C573" s="319"/>
      <c r="D573" s="320"/>
      <c r="E573" s="320"/>
      <c r="F573" s="320"/>
      <c r="G573" s="465" t="str">
        <f t="shared" si="58"/>
        <v/>
      </c>
      <c r="L573" s="782"/>
      <c r="M573" s="380">
        <v>8</v>
      </c>
      <c r="N573" s="781" t="str">
        <f t="shared" si="63"/>
        <v>CONTRATO SIN SUSPENSIÓN</v>
      </c>
      <c r="O573" s="781"/>
    </row>
    <row r="574" spans="2:15">
      <c r="B574" s="319"/>
      <c r="C574" s="319"/>
      <c r="D574" s="320"/>
      <c r="E574" s="320"/>
      <c r="F574" s="320"/>
      <c r="G574" s="465" t="str">
        <f t="shared" si="58"/>
        <v/>
      </c>
      <c r="L574" s="782"/>
      <c r="M574" s="380">
        <v>9</v>
      </c>
      <c r="N574" s="781" t="str">
        <f t="shared" si="63"/>
        <v>CONTRATO SIN SUSPENSIÓN</v>
      </c>
      <c r="O574" s="781"/>
    </row>
    <row r="575" spans="2:15">
      <c r="B575" s="319"/>
      <c r="C575" s="319"/>
      <c r="D575" s="320"/>
      <c r="E575" s="320"/>
      <c r="F575" s="320"/>
      <c r="G575" s="465" t="str">
        <f t="shared" si="58"/>
        <v/>
      </c>
      <c r="L575" s="782"/>
      <c r="M575" s="380">
        <v>10</v>
      </c>
      <c r="N575" s="781" t="str">
        <f t="shared" si="63"/>
        <v>CONTRATO SIN SUSPENSIÓN</v>
      </c>
      <c r="O575" s="781"/>
    </row>
    <row r="576" spans="2:15">
      <c r="B576" s="319"/>
      <c r="C576" s="319"/>
      <c r="D576" s="320"/>
      <c r="E576" s="320"/>
      <c r="F576" s="320"/>
      <c r="G576" s="465" t="str">
        <f t="shared" si="58"/>
        <v/>
      </c>
      <c r="L576" s="782">
        <v>58</v>
      </c>
      <c r="M576" s="380">
        <v>1</v>
      </c>
      <c r="N576" s="781" t="str">
        <f t="shared" ref="N576:N585" si="64">IF(SUMIFS($G$5:$G$1200,$B$5:$B$1200,$L$576,$C$5:$C$1200,$M576)=0,"CONTRATO SIN SUSPENSIÓN",ROUND(SUMIFS($G$5:$G$1200,$B$5:$B$1200,$L$576,$C$5:$C$1200,$M576),3))</f>
        <v>CONTRATO SIN SUSPENSIÓN</v>
      </c>
      <c r="O576" s="781"/>
    </row>
    <row r="577" spans="2:15">
      <c r="B577" s="319"/>
      <c r="C577" s="319"/>
      <c r="D577" s="320"/>
      <c r="E577" s="320"/>
      <c r="F577" s="320"/>
      <c r="G577" s="465" t="str">
        <f t="shared" si="58"/>
        <v/>
      </c>
      <c r="L577" s="782"/>
      <c r="M577" s="380">
        <v>2</v>
      </c>
      <c r="N577" s="781" t="str">
        <f t="shared" si="64"/>
        <v>CONTRATO SIN SUSPENSIÓN</v>
      </c>
      <c r="O577" s="781"/>
    </row>
    <row r="578" spans="2:15">
      <c r="B578" s="319"/>
      <c r="C578" s="319"/>
      <c r="D578" s="320"/>
      <c r="E578" s="320"/>
      <c r="F578" s="320"/>
      <c r="G578" s="465" t="str">
        <f t="shared" si="58"/>
        <v/>
      </c>
      <c r="L578" s="782"/>
      <c r="M578" s="380">
        <v>3</v>
      </c>
      <c r="N578" s="781" t="str">
        <f t="shared" si="64"/>
        <v>CONTRATO SIN SUSPENSIÓN</v>
      </c>
      <c r="O578" s="781"/>
    </row>
    <row r="579" spans="2:15">
      <c r="B579" s="319"/>
      <c r="C579" s="319"/>
      <c r="D579" s="320"/>
      <c r="E579" s="320"/>
      <c r="F579" s="320"/>
      <c r="G579" s="465" t="str">
        <f t="shared" si="58"/>
        <v/>
      </c>
      <c r="L579" s="782"/>
      <c r="M579" s="380">
        <v>4</v>
      </c>
      <c r="N579" s="781" t="str">
        <f t="shared" si="64"/>
        <v>CONTRATO SIN SUSPENSIÓN</v>
      </c>
      <c r="O579" s="781"/>
    </row>
    <row r="580" spans="2:15">
      <c r="B580" s="319"/>
      <c r="C580" s="319"/>
      <c r="D580" s="320"/>
      <c r="E580" s="320"/>
      <c r="F580" s="320"/>
      <c r="G580" s="465" t="str">
        <f t="shared" si="58"/>
        <v/>
      </c>
      <c r="L580" s="782"/>
      <c r="M580" s="380">
        <v>5</v>
      </c>
      <c r="N580" s="781" t="str">
        <f t="shared" si="64"/>
        <v>CONTRATO SIN SUSPENSIÓN</v>
      </c>
      <c r="O580" s="781"/>
    </row>
    <row r="581" spans="2:15">
      <c r="B581" s="319"/>
      <c r="C581" s="319"/>
      <c r="D581" s="320"/>
      <c r="E581" s="320"/>
      <c r="F581" s="320"/>
      <c r="G581" s="465" t="str">
        <f t="shared" si="58"/>
        <v/>
      </c>
      <c r="L581" s="782"/>
      <c r="M581" s="380">
        <v>6</v>
      </c>
      <c r="N581" s="781" t="str">
        <f t="shared" si="64"/>
        <v>CONTRATO SIN SUSPENSIÓN</v>
      </c>
      <c r="O581" s="781"/>
    </row>
    <row r="582" spans="2:15">
      <c r="B582" s="319"/>
      <c r="C582" s="319"/>
      <c r="D582" s="320"/>
      <c r="E582" s="320"/>
      <c r="F582" s="320"/>
      <c r="G582" s="465" t="str">
        <f t="shared" ref="G582:G645" si="65">IF(OR(AND(D582="",E582=""),AND(D582="",F582="")),"",IF(AND(D582&lt;&gt;"",E582&lt;&gt;"",F582&lt;&gt;""),"REVISAR CÁLCULO",IF(AND(D582&lt;&gt;"",F582&lt;&gt;""),ROUND(((F582-D582)/30),3),IF(AND(D582&lt;&gt;"",E582&lt;&gt;""),ROUND(((E582-D582+1)/30),3),""))))</f>
        <v/>
      </c>
      <c r="L582" s="782"/>
      <c r="M582" s="380">
        <v>7</v>
      </c>
      <c r="N582" s="781" t="str">
        <f t="shared" si="64"/>
        <v>CONTRATO SIN SUSPENSIÓN</v>
      </c>
      <c r="O582" s="781"/>
    </row>
    <row r="583" spans="2:15">
      <c r="B583" s="319"/>
      <c r="C583" s="319"/>
      <c r="D583" s="320"/>
      <c r="E583" s="320"/>
      <c r="F583" s="320"/>
      <c r="G583" s="465" t="str">
        <f t="shared" si="65"/>
        <v/>
      </c>
      <c r="L583" s="782"/>
      <c r="M583" s="380">
        <v>8</v>
      </c>
      <c r="N583" s="781" t="str">
        <f t="shared" si="64"/>
        <v>CONTRATO SIN SUSPENSIÓN</v>
      </c>
      <c r="O583" s="781"/>
    </row>
    <row r="584" spans="2:15">
      <c r="B584" s="319"/>
      <c r="C584" s="319"/>
      <c r="D584" s="320"/>
      <c r="E584" s="320"/>
      <c r="F584" s="320"/>
      <c r="G584" s="465" t="str">
        <f t="shared" si="65"/>
        <v/>
      </c>
      <c r="L584" s="782"/>
      <c r="M584" s="380">
        <v>9</v>
      </c>
      <c r="N584" s="781" t="str">
        <f t="shared" si="64"/>
        <v>CONTRATO SIN SUSPENSIÓN</v>
      </c>
      <c r="O584" s="781"/>
    </row>
    <row r="585" spans="2:15">
      <c r="B585" s="319"/>
      <c r="C585" s="319"/>
      <c r="D585" s="320"/>
      <c r="E585" s="320"/>
      <c r="F585" s="320"/>
      <c r="G585" s="465" t="str">
        <f t="shared" si="65"/>
        <v/>
      </c>
      <c r="L585" s="782"/>
      <c r="M585" s="380">
        <v>10</v>
      </c>
      <c r="N585" s="781" t="str">
        <f t="shared" si="64"/>
        <v>CONTRATO SIN SUSPENSIÓN</v>
      </c>
      <c r="O585" s="781"/>
    </row>
    <row r="586" spans="2:15">
      <c r="B586" s="319"/>
      <c r="C586" s="319"/>
      <c r="D586" s="320"/>
      <c r="E586" s="320"/>
      <c r="F586" s="320"/>
      <c r="G586" s="465" t="str">
        <f t="shared" si="65"/>
        <v/>
      </c>
      <c r="L586" s="782">
        <v>59</v>
      </c>
      <c r="M586" s="380">
        <v>1</v>
      </c>
      <c r="N586" s="781" t="str">
        <f t="shared" ref="N586:N595" si="66">IF(SUMIFS($G$5:$G$1200,$B$5:$B$1200,$L$586,$C$5:$C$1200,$M586)=0,"CONTRATO SIN SUSPENSIÓN",ROUND(SUMIFS($G$5:$G$1200,$B$5:$B$1200,$L$586,$C$5:$C$1200,$M586),3))</f>
        <v>CONTRATO SIN SUSPENSIÓN</v>
      </c>
      <c r="O586" s="781"/>
    </row>
    <row r="587" spans="2:15">
      <c r="B587" s="319"/>
      <c r="C587" s="319"/>
      <c r="D587" s="320"/>
      <c r="E587" s="320"/>
      <c r="F587" s="320"/>
      <c r="G587" s="465" t="str">
        <f t="shared" si="65"/>
        <v/>
      </c>
      <c r="L587" s="782"/>
      <c r="M587" s="380">
        <v>2</v>
      </c>
      <c r="N587" s="781" t="str">
        <f t="shared" si="66"/>
        <v>CONTRATO SIN SUSPENSIÓN</v>
      </c>
      <c r="O587" s="781"/>
    </row>
    <row r="588" spans="2:15">
      <c r="B588" s="319"/>
      <c r="C588" s="319"/>
      <c r="D588" s="320"/>
      <c r="E588" s="320"/>
      <c r="F588" s="320"/>
      <c r="G588" s="465" t="str">
        <f t="shared" si="65"/>
        <v/>
      </c>
      <c r="L588" s="782"/>
      <c r="M588" s="380">
        <v>3</v>
      </c>
      <c r="N588" s="781" t="str">
        <f t="shared" si="66"/>
        <v>CONTRATO SIN SUSPENSIÓN</v>
      </c>
      <c r="O588" s="781"/>
    </row>
    <row r="589" spans="2:15">
      <c r="B589" s="319"/>
      <c r="C589" s="319"/>
      <c r="D589" s="320"/>
      <c r="E589" s="320"/>
      <c r="F589" s="320"/>
      <c r="G589" s="465" t="str">
        <f t="shared" si="65"/>
        <v/>
      </c>
      <c r="L589" s="782"/>
      <c r="M589" s="380">
        <v>4</v>
      </c>
      <c r="N589" s="781" t="str">
        <f t="shared" si="66"/>
        <v>CONTRATO SIN SUSPENSIÓN</v>
      </c>
      <c r="O589" s="781"/>
    </row>
    <row r="590" spans="2:15">
      <c r="B590" s="319"/>
      <c r="C590" s="319"/>
      <c r="D590" s="320"/>
      <c r="E590" s="320"/>
      <c r="F590" s="320"/>
      <c r="G590" s="465" t="str">
        <f t="shared" si="65"/>
        <v/>
      </c>
      <c r="L590" s="782"/>
      <c r="M590" s="380">
        <v>5</v>
      </c>
      <c r="N590" s="781" t="str">
        <f t="shared" si="66"/>
        <v>CONTRATO SIN SUSPENSIÓN</v>
      </c>
      <c r="O590" s="781"/>
    </row>
    <row r="591" spans="2:15">
      <c r="B591" s="319"/>
      <c r="C591" s="319"/>
      <c r="D591" s="320"/>
      <c r="E591" s="320"/>
      <c r="F591" s="320"/>
      <c r="G591" s="465" t="str">
        <f t="shared" si="65"/>
        <v/>
      </c>
      <c r="L591" s="782"/>
      <c r="M591" s="380">
        <v>6</v>
      </c>
      <c r="N591" s="781" t="str">
        <f t="shared" si="66"/>
        <v>CONTRATO SIN SUSPENSIÓN</v>
      </c>
      <c r="O591" s="781"/>
    </row>
    <row r="592" spans="2:15">
      <c r="B592" s="319"/>
      <c r="C592" s="319"/>
      <c r="D592" s="320"/>
      <c r="E592" s="320"/>
      <c r="F592" s="320"/>
      <c r="G592" s="465" t="str">
        <f t="shared" si="65"/>
        <v/>
      </c>
      <c r="L592" s="782"/>
      <c r="M592" s="380">
        <v>7</v>
      </c>
      <c r="N592" s="781" t="str">
        <f t="shared" si="66"/>
        <v>CONTRATO SIN SUSPENSIÓN</v>
      </c>
      <c r="O592" s="781"/>
    </row>
    <row r="593" spans="2:15">
      <c r="B593" s="319"/>
      <c r="C593" s="319"/>
      <c r="D593" s="320"/>
      <c r="E593" s="320"/>
      <c r="F593" s="320"/>
      <c r="G593" s="465" t="str">
        <f t="shared" si="65"/>
        <v/>
      </c>
      <c r="L593" s="782"/>
      <c r="M593" s="380">
        <v>8</v>
      </c>
      <c r="N593" s="781" t="str">
        <f t="shared" si="66"/>
        <v>CONTRATO SIN SUSPENSIÓN</v>
      </c>
      <c r="O593" s="781"/>
    </row>
    <row r="594" spans="2:15">
      <c r="B594" s="319"/>
      <c r="C594" s="319"/>
      <c r="D594" s="320"/>
      <c r="E594" s="320"/>
      <c r="F594" s="320"/>
      <c r="G594" s="465" t="str">
        <f t="shared" si="65"/>
        <v/>
      </c>
      <c r="L594" s="782"/>
      <c r="M594" s="380">
        <v>9</v>
      </c>
      <c r="N594" s="781" t="str">
        <f t="shared" si="66"/>
        <v>CONTRATO SIN SUSPENSIÓN</v>
      </c>
      <c r="O594" s="781"/>
    </row>
    <row r="595" spans="2:15">
      <c r="B595" s="319"/>
      <c r="C595" s="319"/>
      <c r="D595" s="320"/>
      <c r="E595" s="320"/>
      <c r="F595" s="320"/>
      <c r="G595" s="465" t="str">
        <f t="shared" si="65"/>
        <v/>
      </c>
      <c r="L595" s="782"/>
      <c r="M595" s="380">
        <v>10</v>
      </c>
      <c r="N595" s="781" t="str">
        <f t="shared" si="66"/>
        <v>CONTRATO SIN SUSPENSIÓN</v>
      </c>
      <c r="O595" s="781"/>
    </row>
    <row r="596" spans="2:15">
      <c r="B596" s="319"/>
      <c r="C596" s="319"/>
      <c r="D596" s="320"/>
      <c r="E596" s="320"/>
      <c r="F596" s="320"/>
      <c r="G596" s="465" t="str">
        <f t="shared" si="65"/>
        <v/>
      </c>
      <c r="L596" s="782">
        <v>60</v>
      </c>
      <c r="M596" s="380">
        <v>1</v>
      </c>
      <c r="N596" s="781" t="str">
        <f t="shared" ref="N596:N605" si="67">IF(SUMIFS($G$5:$G$1200,$B$5:$B$1200,$L$596,$C$5:$C$1200,$M596)=0,"CONTRATO SIN SUSPENSIÓN",ROUND(SUMIFS($G$5:$G$1200,$B$5:$B$1200,$L$596,$C$5:$C$1200,$M596),3))</f>
        <v>CONTRATO SIN SUSPENSIÓN</v>
      </c>
      <c r="O596" s="781"/>
    </row>
    <row r="597" spans="2:15">
      <c r="B597" s="319"/>
      <c r="C597" s="319"/>
      <c r="D597" s="320"/>
      <c r="E597" s="320"/>
      <c r="F597" s="320"/>
      <c r="G597" s="465" t="str">
        <f t="shared" si="65"/>
        <v/>
      </c>
      <c r="L597" s="782"/>
      <c r="M597" s="380">
        <v>2</v>
      </c>
      <c r="N597" s="781" t="str">
        <f t="shared" si="67"/>
        <v>CONTRATO SIN SUSPENSIÓN</v>
      </c>
      <c r="O597" s="781"/>
    </row>
    <row r="598" spans="2:15">
      <c r="B598" s="319"/>
      <c r="C598" s="319"/>
      <c r="D598" s="320"/>
      <c r="E598" s="320"/>
      <c r="F598" s="320"/>
      <c r="G598" s="465" t="str">
        <f t="shared" si="65"/>
        <v/>
      </c>
      <c r="L598" s="782"/>
      <c r="M598" s="380">
        <v>3</v>
      </c>
      <c r="N598" s="781" t="str">
        <f t="shared" si="67"/>
        <v>CONTRATO SIN SUSPENSIÓN</v>
      </c>
      <c r="O598" s="781"/>
    </row>
    <row r="599" spans="2:15">
      <c r="B599" s="319"/>
      <c r="C599" s="319"/>
      <c r="D599" s="320"/>
      <c r="E599" s="320"/>
      <c r="F599" s="320"/>
      <c r="G599" s="465" t="str">
        <f t="shared" si="65"/>
        <v/>
      </c>
      <c r="L599" s="782"/>
      <c r="M599" s="380">
        <v>4</v>
      </c>
      <c r="N599" s="781" t="str">
        <f t="shared" si="67"/>
        <v>CONTRATO SIN SUSPENSIÓN</v>
      </c>
      <c r="O599" s="781"/>
    </row>
    <row r="600" spans="2:15">
      <c r="B600" s="319"/>
      <c r="C600" s="319"/>
      <c r="D600" s="320"/>
      <c r="E600" s="320"/>
      <c r="F600" s="320"/>
      <c r="G600" s="465" t="str">
        <f t="shared" si="65"/>
        <v/>
      </c>
      <c r="L600" s="782"/>
      <c r="M600" s="380">
        <v>5</v>
      </c>
      <c r="N600" s="781" t="str">
        <f t="shared" si="67"/>
        <v>CONTRATO SIN SUSPENSIÓN</v>
      </c>
      <c r="O600" s="781"/>
    </row>
    <row r="601" spans="2:15">
      <c r="B601" s="319"/>
      <c r="C601" s="319"/>
      <c r="D601" s="320"/>
      <c r="E601" s="320"/>
      <c r="F601" s="320"/>
      <c r="G601" s="465" t="str">
        <f t="shared" si="65"/>
        <v/>
      </c>
      <c r="L601" s="782"/>
      <c r="M601" s="380">
        <v>6</v>
      </c>
      <c r="N601" s="781" t="str">
        <f t="shared" si="67"/>
        <v>CONTRATO SIN SUSPENSIÓN</v>
      </c>
      <c r="O601" s="781"/>
    </row>
    <row r="602" spans="2:15">
      <c r="B602" s="319"/>
      <c r="C602" s="319"/>
      <c r="D602" s="320"/>
      <c r="E602" s="320"/>
      <c r="F602" s="320"/>
      <c r="G602" s="465" t="str">
        <f t="shared" si="65"/>
        <v/>
      </c>
      <c r="L602" s="782"/>
      <c r="M602" s="380">
        <v>7</v>
      </c>
      <c r="N602" s="781" t="str">
        <f t="shared" si="67"/>
        <v>CONTRATO SIN SUSPENSIÓN</v>
      </c>
      <c r="O602" s="781"/>
    </row>
    <row r="603" spans="2:15">
      <c r="B603" s="319"/>
      <c r="C603" s="319"/>
      <c r="D603" s="320"/>
      <c r="E603" s="320"/>
      <c r="F603" s="320"/>
      <c r="G603" s="465" t="str">
        <f t="shared" si="65"/>
        <v/>
      </c>
      <c r="L603" s="782"/>
      <c r="M603" s="380">
        <v>8</v>
      </c>
      <c r="N603" s="781" t="str">
        <f t="shared" si="67"/>
        <v>CONTRATO SIN SUSPENSIÓN</v>
      </c>
      <c r="O603" s="781"/>
    </row>
    <row r="604" spans="2:15">
      <c r="B604" s="319"/>
      <c r="C604" s="319"/>
      <c r="D604" s="320"/>
      <c r="E604" s="320"/>
      <c r="F604" s="320"/>
      <c r="G604" s="465" t="str">
        <f t="shared" si="65"/>
        <v/>
      </c>
      <c r="L604" s="782"/>
      <c r="M604" s="380">
        <v>9</v>
      </c>
      <c r="N604" s="781" t="str">
        <f t="shared" si="67"/>
        <v>CONTRATO SIN SUSPENSIÓN</v>
      </c>
      <c r="O604" s="781"/>
    </row>
    <row r="605" spans="2:15">
      <c r="B605" s="319"/>
      <c r="C605" s="319"/>
      <c r="D605" s="320"/>
      <c r="E605" s="320"/>
      <c r="F605" s="320"/>
      <c r="G605" s="465" t="str">
        <f t="shared" si="65"/>
        <v/>
      </c>
      <c r="L605" s="782"/>
      <c r="M605" s="380">
        <v>10</v>
      </c>
      <c r="N605" s="781" t="str">
        <f t="shared" si="67"/>
        <v>CONTRATO SIN SUSPENSIÓN</v>
      </c>
      <c r="O605" s="781"/>
    </row>
    <row r="606" spans="2:15">
      <c r="B606" s="319"/>
      <c r="C606" s="319"/>
      <c r="D606" s="320"/>
      <c r="E606" s="320"/>
      <c r="F606" s="320"/>
      <c r="G606" s="465" t="str">
        <f t="shared" si="65"/>
        <v/>
      </c>
      <c r="L606" s="782">
        <v>61</v>
      </c>
      <c r="M606" s="380">
        <v>1</v>
      </c>
      <c r="N606" s="781" t="str">
        <f t="shared" ref="N606:N615" si="68">IF(SUMIFS($G$5:$G$1200,$B$5:$B$1200,$L$606,$C$5:$C$1200,$M606)=0,"CONTRATO SIN SUSPENSIÓN",ROUND(SUMIFS($G$5:$G$1200,$B$5:$B$1200,$L$606,$C$5:$C$1200,$M606),3))</f>
        <v>CONTRATO SIN SUSPENSIÓN</v>
      </c>
      <c r="O606" s="781"/>
    </row>
    <row r="607" spans="2:15">
      <c r="B607" s="319"/>
      <c r="C607" s="319"/>
      <c r="D607" s="320"/>
      <c r="E607" s="320"/>
      <c r="F607" s="320"/>
      <c r="G607" s="465" t="str">
        <f t="shared" si="65"/>
        <v/>
      </c>
      <c r="L607" s="782"/>
      <c r="M607" s="380">
        <v>2</v>
      </c>
      <c r="N607" s="781" t="str">
        <f t="shared" si="68"/>
        <v>CONTRATO SIN SUSPENSIÓN</v>
      </c>
      <c r="O607" s="781"/>
    </row>
    <row r="608" spans="2:15">
      <c r="B608" s="319"/>
      <c r="C608" s="319"/>
      <c r="D608" s="320"/>
      <c r="E608" s="320"/>
      <c r="F608" s="320"/>
      <c r="G608" s="465" t="str">
        <f t="shared" si="65"/>
        <v/>
      </c>
      <c r="L608" s="782"/>
      <c r="M608" s="380">
        <v>3</v>
      </c>
      <c r="N608" s="781" t="str">
        <f t="shared" si="68"/>
        <v>CONTRATO SIN SUSPENSIÓN</v>
      </c>
      <c r="O608" s="781"/>
    </row>
    <row r="609" spans="2:15">
      <c r="B609" s="319"/>
      <c r="C609" s="319"/>
      <c r="D609" s="320"/>
      <c r="E609" s="320"/>
      <c r="F609" s="320"/>
      <c r="G609" s="465" t="str">
        <f t="shared" si="65"/>
        <v/>
      </c>
      <c r="L609" s="782"/>
      <c r="M609" s="380">
        <v>4</v>
      </c>
      <c r="N609" s="781" t="str">
        <f t="shared" si="68"/>
        <v>CONTRATO SIN SUSPENSIÓN</v>
      </c>
      <c r="O609" s="781"/>
    </row>
    <row r="610" spans="2:15">
      <c r="B610" s="319"/>
      <c r="C610" s="319"/>
      <c r="D610" s="320"/>
      <c r="E610" s="320"/>
      <c r="F610" s="320"/>
      <c r="G610" s="465" t="str">
        <f t="shared" si="65"/>
        <v/>
      </c>
      <c r="L610" s="782"/>
      <c r="M610" s="380">
        <v>5</v>
      </c>
      <c r="N610" s="781" t="str">
        <f t="shared" si="68"/>
        <v>CONTRATO SIN SUSPENSIÓN</v>
      </c>
      <c r="O610" s="781"/>
    </row>
    <row r="611" spans="2:15">
      <c r="B611" s="319"/>
      <c r="C611" s="319"/>
      <c r="D611" s="320"/>
      <c r="E611" s="320"/>
      <c r="F611" s="320"/>
      <c r="G611" s="465" t="str">
        <f t="shared" si="65"/>
        <v/>
      </c>
      <c r="L611" s="782"/>
      <c r="M611" s="380">
        <v>6</v>
      </c>
      <c r="N611" s="781" t="str">
        <f t="shared" si="68"/>
        <v>CONTRATO SIN SUSPENSIÓN</v>
      </c>
      <c r="O611" s="781"/>
    </row>
    <row r="612" spans="2:15">
      <c r="B612" s="319"/>
      <c r="C612" s="319"/>
      <c r="D612" s="320"/>
      <c r="E612" s="320"/>
      <c r="F612" s="320"/>
      <c r="G612" s="465" t="str">
        <f t="shared" si="65"/>
        <v/>
      </c>
      <c r="L612" s="782"/>
      <c r="M612" s="380">
        <v>7</v>
      </c>
      <c r="N612" s="781" t="str">
        <f t="shared" si="68"/>
        <v>CONTRATO SIN SUSPENSIÓN</v>
      </c>
      <c r="O612" s="781"/>
    </row>
    <row r="613" spans="2:15">
      <c r="B613" s="319"/>
      <c r="C613" s="319"/>
      <c r="D613" s="320"/>
      <c r="E613" s="320"/>
      <c r="F613" s="320"/>
      <c r="G613" s="465" t="str">
        <f t="shared" si="65"/>
        <v/>
      </c>
      <c r="L613" s="782"/>
      <c r="M613" s="380">
        <v>8</v>
      </c>
      <c r="N613" s="781" t="str">
        <f t="shared" si="68"/>
        <v>CONTRATO SIN SUSPENSIÓN</v>
      </c>
      <c r="O613" s="781"/>
    </row>
    <row r="614" spans="2:15">
      <c r="B614" s="319"/>
      <c r="C614" s="319"/>
      <c r="D614" s="320"/>
      <c r="E614" s="320"/>
      <c r="F614" s="320"/>
      <c r="G614" s="465" t="str">
        <f t="shared" si="65"/>
        <v/>
      </c>
      <c r="L614" s="782"/>
      <c r="M614" s="380">
        <v>9</v>
      </c>
      <c r="N614" s="781" t="str">
        <f t="shared" si="68"/>
        <v>CONTRATO SIN SUSPENSIÓN</v>
      </c>
      <c r="O614" s="781"/>
    </row>
    <row r="615" spans="2:15">
      <c r="B615" s="319"/>
      <c r="C615" s="319"/>
      <c r="D615" s="320"/>
      <c r="E615" s="320"/>
      <c r="F615" s="320"/>
      <c r="G615" s="465" t="str">
        <f t="shared" si="65"/>
        <v/>
      </c>
      <c r="L615" s="782"/>
      <c r="M615" s="380">
        <v>10</v>
      </c>
      <c r="N615" s="781" t="str">
        <f t="shared" si="68"/>
        <v>CONTRATO SIN SUSPENSIÓN</v>
      </c>
      <c r="O615" s="781"/>
    </row>
    <row r="616" spans="2:15">
      <c r="B616" s="319"/>
      <c r="C616" s="319"/>
      <c r="D616" s="320"/>
      <c r="E616" s="320"/>
      <c r="F616" s="320"/>
      <c r="G616" s="465" t="str">
        <f t="shared" si="65"/>
        <v/>
      </c>
      <c r="L616" s="782">
        <v>62</v>
      </c>
      <c r="M616" s="380">
        <v>1</v>
      </c>
      <c r="N616" s="781" t="str">
        <f t="shared" ref="N616:N625" si="69">IF(SUMIFS($G$5:$G$1200,$B$5:$B$1200,$L$616,$C$5:$C$1200,$M616)=0,"CONTRATO SIN SUSPENSIÓN",ROUND(SUMIFS($G$5:$G$1200,$B$5:$B$1200,$L$616,$C$5:$C$1200,$M616),3))</f>
        <v>CONTRATO SIN SUSPENSIÓN</v>
      </c>
      <c r="O616" s="781"/>
    </row>
    <row r="617" spans="2:15">
      <c r="B617" s="319"/>
      <c r="C617" s="319"/>
      <c r="D617" s="320"/>
      <c r="E617" s="320"/>
      <c r="F617" s="320"/>
      <c r="G617" s="465" t="str">
        <f t="shared" si="65"/>
        <v/>
      </c>
      <c r="L617" s="782"/>
      <c r="M617" s="380">
        <v>2</v>
      </c>
      <c r="N617" s="781" t="str">
        <f t="shared" si="69"/>
        <v>CONTRATO SIN SUSPENSIÓN</v>
      </c>
      <c r="O617" s="781"/>
    </row>
    <row r="618" spans="2:15">
      <c r="B618" s="319"/>
      <c r="C618" s="319"/>
      <c r="D618" s="320"/>
      <c r="E618" s="320"/>
      <c r="F618" s="320"/>
      <c r="G618" s="465" t="str">
        <f t="shared" si="65"/>
        <v/>
      </c>
      <c r="L618" s="782"/>
      <c r="M618" s="380">
        <v>3</v>
      </c>
      <c r="N618" s="781" t="str">
        <f t="shared" si="69"/>
        <v>CONTRATO SIN SUSPENSIÓN</v>
      </c>
      <c r="O618" s="781"/>
    </row>
    <row r="619" spans="2:15">
      <c r="B619" s="319"/>
      <c r="C619" s="319"/>
      <c r="D619" s="320"/>
      <c r="E619" s="320"/>
      <c r="F619" s="320"/>
      <c r="G619" s="465" t="str">
        <f t="shared" si="65"/>
        <v/>
      </c>
      <c r="L619" s="782"/>
      <c r="M619" s="380">
        <v>4</v>
      </c>
      <c r="N619" s="781" t="str">
        <f t="shared" si="69"/>
        <v>CONTRATO SIN SUSPENSIÓN</v>
      </c>
      <c r="O619" s="781"/>
    </row>
    <row r="620" spans="2:15">
      <c r="B620" s="319"/>
      <c r="C620" s="319"/>
      <c r="D620" s="320"/>
      <c r="E620" s="320"/>
      <c r="F620" s="320"/>
      <c r="G620" s="465" t="str">
        <f t="shared" si="65"/>
        <v/>
      </c>
      <c r="L620" s="782"/>
      <c r="M620" s="380">
        <v>5</v>
      </c>
      <c r="N620" s="781" t="str">
        <f t="shared" si="69"/>
        <v>CONTRATO SIN SUSPENSIÓN</v>
      </c>
      <c r="O620" s="781"/>
    </row>
    <row r="621" spans="2:15">
      <c r="B621" s="319"/>
      <c r="C621" s="319"/>
      <c r="D621" s="320"/>
      <c r="E621" s="320"/>
      <c r="F621" s="320"/>
      <c r="G621" s="465" t="str">
        <f t="shared" si="65"/>
        <v/>
      </c>
      <c r="L621" s="782"/>
      <c r="M621" s="380">
        <v>6</v>
      </c>
      <c r="N621" s="781" t="str">
        <f t="shared" si="69"/>
        <v>CONTRATO SIN SUSPENSIÓN</v>
      </c>
      <c r="O621" s="781"/>
    </row>
    <row r="622" spans="2:15">
      <c r="B622" s="319"/>
      <c r="C622" s="319"/>
      <c r="D622" s="320"/>
      <c r="E622" s="320"/>
      <c r="F622" s="320"/>
      <c r="G622" s="465" t="str">
        <f t="shared" si="65"/>
        <v/>
      </c>
      <c r="L622" s="782"/>
      <c r="M622" s="380">
        <v>7</v>
      </c>
      <c r="N622" s="781" t="str">
        <f t="shared" si="69"/>
        <v>CONTRATO SIN SUSPENSIÓN</v>
      </c>
      <c r="O622" s="781"/>
    </row>
    <row r="623" spans="2:15">
      <c r="B623" s="319"/>
      <c r="C623" s="319"/>
      <c r="D623" s="320"/>
      <c r="E623" s="320"/>
      <c r="F623" s="320"/>
      <c r="G623" s="465" t="str">
        <f t="shared" si="65"/>
        <v/>
      </c>
      <c r="L623" s="782"/>
      <c r="M623" s="380">
        <v>8</v>
      </c>
      <c r="N623" s="781" t="str">
        <f t="shared" si="69"/>
        <v>CONTRATO SIN SUSPENSIÓN</v>
      </c>
      <c r="O623" s="781"/>
    </row>
    <row r="624" spans="2:15">
      <c r="B624" s="319"/>
      <c r="C624" s="319"/>
      <c r="D624" s="320"/>
      <c r="E624" s="320"/>
      <c r="F624" s="320"/>
      <c r="G624" s="465" t="str">
        <f t="shared" si="65"/>
        <v/>
      </c>
      <c r="L624" s="782"/>
      <c r="M624" s="380">
        <v>9</v>
      </c>
      <c r="N624" s="781" t="str">
        <f t="shared" si="69"/>
        <v>CONTRATO SIN SUSPENSIÓN</v>
      </c>
      <c r="O624" s="781"/>
    </row>
    <row r="625" spans="2:15">
      <c r="B625" s="319"/>
      <c r="C625" s="319"/>
      <c r="D625" s="320"/>
      <c r="E625" s="320"/>
      <c r="F625" s="320"/>
      <c r="G625" s="465" t="str">
        <f t="shared" si="65"/>
        <v/>
      </c>
      <c r="L625" s="782"/>
      <c r="M625" s="380">
        <v>10</v>
      </c>
      <c r="N625" s="781" t="str">
        <f t="shared" si="69"/>
        <v>CONTRATO SIN SUSPENSIÓN</v>
      </c>
      <c r="O625" s="781"/>
    </row>
    <row r="626" spans="2:15">
      <c r="B626" s="319"/>
      <c r="C626" s="319"/>
      <c r="D626" s="320"/>
      <c r="E626" s="320"/>
      <c r="F626" s="320"/>
      <c r="G626" s="465" t="str">
        <f t="shared" si="65"/>
        <v/>
      </c>
      <c r="L626" s="782">
        <v>63</v>
      </c>
      <c r="M626" s="380">
        <v>1</v>
      </c>
      <c r="N626" s="781" t="str">
        <f t="shared" ref="N626:N635" si="70">IF(SUMIFS($G$5:$G$1200,$B$5:$B$1200,$L$626,$C$5:$C$1200,$M626)=0,"CONTRATO SIN SUSPENSIÓN",ROUND(SUMIFS($G$5:$G$1200,$B$5:$B$1200,$L$626,$C$5:$C$1200,$M626),3))</f>
        <v>CONTRATO SIN SUSPENSIÓN</v>
      </c>
      <c r="O626" s="781"/>
    </row>
    <row r="627" spans="2:15">
      <c r="B627" s="319"/>
      <c r="C627" s="319"/>
      <c r="D627" s="320"/>
      <c r="E627" s="320"/>
      <c r="F627" s="320"/>
      <c r="G627" s="465" t="str">
        <f t="shared" si="65"/>
        <v/>
      </c>
      <c r="L627" s="782"/>
      <c r="M627" s="380">
        <v>2</v>
      </c>
      <c r="N627" s="781" t="str">
        <f t="shared" si="70"/>
        <v>CONTRATO SIN SUSPENSIÓN</v>
      </c>
      <c r="O627" s="781"/>
    </row>
    <row r="628" spans="2:15">
      <c r="B628" s="319"/>
      <c r="C628" s="319"/>
      <c r="D628" s="320"/>
      <c r="E628" s="320"/>
      <c r="F628" s="320"/>
      <c r="G628" s="465" t="str">
        <f t="shared" si="65"/>
        <v/>
      </c>
      <c r="L628" s="782"/>
      <c r="M628" s="380">
        <v>3</v>
      </c>
      <c r="N628" s="781" t="str">
        <f t="shared" si="70"/>
        <v>CONTRATO SIN SUSPENSIÓN</v>
      </c>
      <c r="O628" s="781"/>
    </row>
    <row r="629" spans="2:15">
      <c r="B629" s="319"/>
      <c r="C629" s="319"/>
      <c r="D629" s="320"/>
      <c r="E629" s="320"/>
      <c r="F629" s="320"/>
      <c r="G629" s="465" t="str">
        <f t="shared" si="65"/>
        <v/>
      </c>
      <c r="L629" s="782"/>
      <c r="M629" s="380">
        <v>4</v>
      </c>
      <c r="N629" s="781" t="str">
        <f t="shared" si="70"/>
        <v>CONTRATO SIN SUSPENSIÓN</v>
      </c>
      <c r="O629" s="781"/>
    </row>
    <row r="630" spans="2:15">
      <c r="B630" s="319"/>
      <c r="C630" s="319"/>
      <c r="D630" s="320"/>
      <c r="E630" s="320"/>
      <c r="F630" s="320"/>
      <c r="G630" s="465" t="str">
        <f t="shared" si="65"/>
        <v/>
      </c>
      <c r="L630" s="782"/>
      <c r="M630" s="380">
        <v>5</v>
      </c>
      <c r="N630" s="781" t="str">
        <f t="shared" si="70"/>
        <v>CONTRATO SIN SUSPENSIÓN</v>
      </c>
      <c r="O630" s="781"/>
    </row>
    <row r="631" spans="2:15">
      <c r="B631" s="319"/>
      <c r="C631" s="319"/>
      <c r="D631" s="320"/>
      <c r="E631" s="320"/>
      <c r="F631" s="320"/>
      <c r="G631" s="465" t="str">
        <f t="shared" si="65"/>
        <v/>
      </c>
      <c r="L631" s="782"/>
      <c r="M631" s="380">
        <v>6</v>
      </c>
      <c r="N631" s="781" t="str">
        <f t="shared" si="70"/>
        <v>CONTRATO SIN SUSPENSIÓN</v>
      </c>
      <c r="O631" s="781"/>
    </row>
    <row r="632" spans="2:15">
      <c r="B632" s="319"/>
      <c r="C632" s="319"/>
      <c r="D632" s="320"/>
      <c r="E632" s="320"/>
      <c r="F632" s="320"/>
      <c r="G632" s="465" t="str">
        <f t="shared" si="65"/>
        <v/>
      </c>
      <c r="L632" s="782"/>
      <c r="M632" s="380">
        <v>7</v>
      </c>
      <c r="N632" s="781" t="str">
        <f t="shared" si="70"/>
        <v>CONTRATO SIN SUSPENSIÓN</v>
      </c>
      <c r="O632" s="781"/>
    </row>
    <row r="633" spans="2:15">
      <c r="B633" s="319"/>
      <c r="C633" s="319"/>
      <c r="D633" s="320"/>
      <c r="E633" s="320"/>
      <c r="F633" s="320"/>
      <c r="G633" s="465" t="str">
        <f t="shared" si="65"/>
        <v/>
      </c>
      <c r="L633" s="782"/>
      <c r="M633" s="380">
        <v>8</v>
      </c>
      <c r="N633" s="781" t="str">
        <f t="shared" si="70"/>
        <v>CONTRATO SIN SUSPENSIÓN</v>
      </c>
      <c r="O633" s="781"/>
    </row>
    <row r="634" spans="2:15">
      <c r="B634" s="319"/>
      <c r="C634" s="319"/>
      <c r="D634" s="320"/>
      <c r="E634" s="320"/>
      <c r="F634" s="320"/>
      <c r="G634" s="465" t="str">
        <f t="shared" si="65"/>
        <v/>
      </c>
      <c r="L634" s="782"/>
      <c r="M634" s="380">
        <v>9</v>
      </c>
      <c r="N634" s="781" t="str">
        <f t="shared" si="70"/>
        <v>CONTRATO SIN SUSPENSIÓN</v>
      </c>
      <c r="O634" s="781"/>
    </row>
    <row r="635" spans="2:15">
      <c r="B635" s="319"/>
      <c r="C635" s="319"/>
      <c r="D635" s="320"/>
      <c r="E635" s="320"/>
      <c r="F635" s="320"/>
      <c r="G635" s="465" t="str">
        <f t="shared" si="65"/>
        <v/>
      </c>
      <c r="L635" s="782"/>
      <c r="M635" s="380">
        <v>10</v>
      </c>
      <c r="N635" s="781" t="str">
        <f t="shared" si="70"/>
        <v>CONTRATO SIN SUSPENSIÓN</v>
      </c>
      <c r="O635" s="781"/>
    </row>
    <row r="636" spans="2:15">
      <c r="B636" s="319"/>
      <c r="C636" s="319"/>
      <c r="D636" s="320"/>
      <c r="E636" s="320"/>
      <c r="F636" s="320"/>
      <c r="G636" s="465" t="str">
        <f t="shared" si="65"/>
        <v/>
      </c>
      <c r="L636" s="782">
        <v>64</v>
      </c>
      <c r="M636" s="380">
        <v>1</v>
      </c>
      <c r="N636" s="781" t="str">
        <f t="shared" ref="N636:N645" si="71">IF(SUMIFS($G$5:$G$1200,$B$5:$B$1200,$L$636,$C$5:$C$1200,$M636)=0,"CONTRATO SIN SUSPENSIÓN",ROUND(SUMIFS($G$5:$G$1200,$B$5:$B$1200,$L$636,$C$5:$C$1200,$M636),3))</f>
        <v>CONTRATO SIN SUSPENSIÓN</v>
      </c>
      <c r="O636" s="781"/>
    </row>
    <row r="637" spans="2:15">
      <c r="B637" s="319"/>
      <c r="C637" s="319"/>
      <c r="D637" s="320"/>
      <c r="E637" s="320"/>
      <c r="F637" s="320"/>
      <c r="G637" s="465" t="str">
        <f t="shared" si="65"/>
        <v/>
      </c>
      <c r="L637" s="782"/>
      <c r="M637" s="380">
        <v>2</v>
      </c>
      <c r="N637" s="781" t="str">
        <f t="shared" si="71"/>
        <v>CONTRATO SIN SUSPENSIÓN</v>
      </c>
      <c r="O637" s="781"/>
    </row>
    <row r="638" spans="2:15">
      <c r="B638" s="319"/>
      <c r="C638" s="319"/>
      <c r="D638" s="320"/>
      <c r="E638" s="320"/>
      <c r="F638" s="320"/>
      <c r="G638" s="465" t="str">
        <f t="shared" si="65"/>
        <v/>
      </c>
      <c r="L638" s="782"/>
      <c r="M638" s="380">
        <v>3</v>
      </c>
      <c r="N638" s="781" t="str">
        <f t="shared" si="71"/>
        <v>CONTRATO SIN SUSPENSIÓN</v>
      </c>
      <c r="O638" s="781"/>
    </row>
    <row r="639" spans="2:15">
      <c r="B639" s="319"/>
      <c r="C639" s="319"/>
      <c r="D639" s="320"/>
      <c r="E639" s="320"/>
      <c r="F639" s="320"/>
      <c r="G639" s="465" t="str">
        <f t="shared" si="65"/>
        <v/>
      </c>
      <c r="L639" s="782"/>
      <c r="M639" s="380">
        <v>4</v>
      </c>
      <c r="N639" s="781" t="str">
        <f t="shared" si="71"/>
        <v>CONTRATO SIN SUSPENSIÓN</v>
      </c>
      <c r="O639" s="781"/>
    </row>
    <row r="640" spans="2:15">
      <c r="B640" s="319"/>
      <c r="C640" s="319"/>
      <c r="D640" s="320"/>
      <c r="E640" s="320"/>
      <c r="F640" s="320"/>
      <c r="G640" s="465" t="str">
        <f t="shared" si="65"/>
        <v/>
      </c>
      <c r="L640" s="782"/>
      <c r="M640" s="380">
        <v>5</v>
      </c>
      <c r="N640" s="781" t="str">
        <f t="shared" si="71"/>
        <v>CONTRATO SIN SUSPENSIÓN</v>
      </c>
      <c r="O640" s="781"/>
    </row>
    <row r="641" spans="2:15">
      <c r="B641" s="319"/>
      <c r="C641" s="319"/>
      <c r="D641" s="320"/>
      <c r="E641" s="320"/>
      <c r="F641" s="320"/>
      <c r="G641" s="465" t="str">
        <f t="shared" si="65"/>
        <v/>
      </c>
      <c r="L641" s="782"/>
      <c r="M641" s="380">
        <v>6</v>
      </c>
      <c r="N641" s="781" t="str">
        <f t="shared" si="71"/>
        <v>CONTRATO SIN SUSPENSIÓN</v>
      </c>
      <c r="O641" s="781"/>
    </row>
    <row r="642" spans="2:15">
      <c r="B642" s="319"/>
      <c r="C642" s="319"/>
      <c r="D642" s="320"/>
      <c r="E642" s="320"/>
      <c r="F642" s="320"/>
      <c r="G642" s="465" t="str">
        <f t="shared" si="65"/>
        <v/>
      </c>
      <c r="L642" s="782"/>
      <c r="M642" s="380">
        <v>7</v>
      </c>
      <c r="N642" s="781" t="str">
        <f t="shared" si="71"/>
        <v>CONTRATO SIN SUSPENSIÓN</v>
      </c>
      <c r="O642" s="781"/>
    </row>
    <row r="643" spans="2:15">
      <c r="B643" s="319"/>
      <c r="C643" s="319"/>
      <c r="D643" s="320"/>
      <c r="E643" s="320"/>
      <c r="F643" s="320"/>
      <c r="G643" s="465" t="str">
        <f t="shared" si="65"/>
        <v/>
      </c>
      <c r="L643" s="782"/>
      <c r="M643" s="380">
        <v>8</v>
      </c>
      <c r="N643" s="781" t="str">
        <f t="shared" si="71"/>
        <v>CONTRATO SIN SUSPENSIÓN</v>
      </c>
      <c r="O643" s="781"/>
    </row>
    <row r="644" spans="2:15">
      <c r="B644" s="319"/>
      <c r="C644" s="319"/>
      <c r="D644" s="320"/>
      <c r="E644" s="320"/>
      <c r="F644" s="320"/>
      <c r="G644" s="465" t="str">
        <f t="shared" si="65"/>
        <v/>
      </c>
      <c r="L644" s="782"/>
      <c r="M644" s="380">
        <v>9</v>
      </c>
      <c r="N644" s="781" t="str">
        <f t="shared" si="71"/>
        <v>CONTRATO SIN SUSPENSIÓN</v>
      </c>
      <c r="O644" s="781"/>
    </row>
    <row r="645" spans="2:15">
      <c r="B645" s="319"/>
      <c r="C645" s="319"/>
      <c r="D645" s="320"/>
      <c r="E645" s="320"/>
      <c r="F645" s="320"/>
      <c r="G645" s="465" t="str">
        <f t="shared" si="65"/>
        <v/>
      </c>
      <c r="L645" s="782"/>
      <c r="M645" s="380">
        <v>10</v>
      </c>
      <c r="N645" s="781" t="str">
        <f t="shared" si="71"/>
        <v>CONTRATO SIN SUSPENSIÓN</v>
      </c>
      <c r="O645" s="781"/>
    </row>
    <row r="646" spans="2:15">
      <c r="B646" s="319"/>
      <c r="C646" s="319"/>
      <c r="D646" s="320"/>
      <c r="E646" s="320"/>
      <c r="F646" s="320"/>
      <c r="G646" s="465" t="str">
        <f t="shared" ref="G646:G709" si="72">IF(OR(AND(D646="",E646=""),AND(D646="",F646="")),"",IF(AND(D646&lt;&gt;"",E646&lt;&gt;"",F646&lt;&gt;""),"REVISAR CÁLCULO",IF(AND(D646&lt;&gt;"",F646&lt;&gt;""),ROUND(((F646-D646)/30),3),IF(AND(D646&lt;&gt;"",E646&lt;&gt;""),ROUND(((E646-D646+1)/30),3),""))))</f>
        <v/>
      </c>
      <c r="L646" s="782">
        <v>65</v>
      </c>
      <c r="M646" s="380">
        <v>1</v>
      </c>
      <c r="N646" s="781" t="str">
        <f t="shared" ref="N646:N655" si="73">IF(SUMIFS($G$5:$G$1200,$B$5:$B$1200,$L$646,$C$5:$C$1200,$M646)=0,"CONTRATO SIN SUSPENSIÓN",ROUND(SUMIFS($G$5:$G$1200,$B$5:$B$1200,$L$646,$C$5:$C$1200,$M646),3))</f>
        <v>CONTRATO SIN SUSPENSIÓN</v>
      </c>
      <c r="O646" s="781"/>
    </row>
    <row r="647" spans="2:15">
      <c r="B647" s="319"/>
      <c r="C647" s="319"/>
      <c r="D647" s="320"/>
      <c r="E647" s="320"/>
      <c r="F647" s="320"/>
      <c r="G647" s="465" t="str">
        <f t="shared" si="72"/>
        <v/>
      </c>
      <c r="L647" s="782"/>
      <c r="M647" s="380">
        <v>2</v>
      </c>
      <c r="N647" s="781" t="str">
        <f t="shared" si="73"/>
        <v>CONTRATO SIN SUSPENSIÓN</v>
      </c>
      <c r="O647" s="781"/>
    </row>
    <row r="648" spans="2:15">
      <c r="B648" s="319"/>
      <c r="C648" s="319"/>
      <c r="D648" s="320"/>
      <c r="E648" s="320"/>
      <c r="F648" s="320"/>
      <c r="G648" s="465" t="str">
        <f t="shared" si="72"/>
        <v/>
      </c>
      <c r="L648" s="782"/>
      <c r="M648" s="380">
        <v>3</v>
      </c>
      <c r="N648" s="781" t="str">
        <f t="shared" si="73"/>
        <v>CONTRATO SIN SUSPENSIÓN</v>
      </c>
      <c r="O648" s="781"/>
    </row>
    <row r="649" spans="2:15">
      <c r="B649" s="319"/>
      <c r="C649" s="319"/>
      <c r="D649" s="320"/>
      <c r="E649" s="320"/>
      <c r="F649" s="320"/>
      <c r="G649" s="465" t="str">
        <f t="shared" si="72"/>
        <v/>
      </c>
      <c r="L649" s="782"/>
      <c r="M649" s="380">
        <v>4</v>
      </c>
      <c r="N649" s="781" t="str">
        <f t="shared" si="73"/>
        <v>CONTRATO SIN SUSPENSIÓN</v>
      </c>
      <c r="O649" s="781"/>
    </row>
    <row r="650" spans="2:15">
      <c r="B650" s="319"/>
      <c r="C650" s="319"/>
      <c r="D650" s="320"/>
      <c r="E650" s="320"/>
      <c r="F650" s="320"/>
      <c r="G650" s="465" t="str">
        <f t="shared" si="72"/>
        <v/>
      </c>
      <c r="L650" s="782"/>
      <c r="M650" s="380">
        <v>5</v>
      </c>
      <c r="N650" s="781" t="str">
        <f t="shared" si="73"/>
        <v>CONTRATO SIN SUSPENSIÓN</v>
      </c>
      <c r="O650" s="781"/>
    </row>
    <row r="651" spans="2:15">
      <c r="B651" s="319"/>
      <c r="C651" s="319"/>
      <c r="D651" s="320"/>
      <c r="E651" s="320"/>
      <c r="F651" s="320"/>
      <c r="G651" s="465" t="str">
        <f t="shared" si="72"/>
        <v/>
      </c>
      <c r="L651" s="782"/>
      <c r="M651" s="380">
        <v>6</v>
      </c>
      <c r="N651" s="781" t="str">
        <f t="shared" si="73"/>
        <v>CONTRATO SIN SUSPENSIÓN</v>
      </c>
      <c r="O651" s="781"/>
    </row>
    <row r="652" spans="2:15">
      <c r="B652" s="319"/>
      <c r="C652" s="319"/>
      <c r="D652" s="320"/>
      <c r="E652" s="320"/>
      <c r="F652" s="320"/>
      <c r="G652" s="465" t="str">
        <f t="shared" si="72"/>
        <v/>
      </c>
      <c r="L652" s="782"/>
      <c r="M652" s="380">
        <v>7</v>
      </c>
      <c r="N652" s="781" t="str">
        <f t="shared" si="73"/>
        <v>CONTRATO SIN SUSPENSIÓN</v>
      </c>
      <c r="O652" s="781"/>
    </row>
    <row r="653" spans="2:15">
      <c r="B653" s="319"/>
      <c r="C653" s="319"/>
      <c r="D653" s="320"/>
      <c r="E653" s="320"/>
      <c r="F653" s="320"/>
      <c r="G653" s="465" t="str">
        <f t="shared" si="72"/>
        <v/>
      </c>
      <c r="L653" s="782"/>
      <c r="M653" s="380">
        <v>8</v>
      </c>
      <c r="N653" s="781" t="str">
        <f t="shared" si="73"/>
        <v>CONTRATO SIN SUSPENSIÓN</v>
      </c>
      <c r="O653" s="781"/>
    </row>
    <row r="654" spans="2:15">
      <c r="B654" s="319"/>
      <c r="C654" s="319"/>
      <c r="D654" s="320"/>
      <c r="E654" s="320"/>
      <c r="F654" s="320"/>
      <c r="G654" s="465" t="str">
        <f t="shared" si="72"/>
        <v/>
      </c>
      <c r="L654" s="782"/>
      <c r="M654" s="380">
        <v>9</v>
      </c>
      <c r="N654" s="781" t="str">
        <f t="shared" si="73"/>
        <v>CONTRATO SIN SUSPENSIÓN</v>
      </c>
      <c r="O654" s="781"/>
    </row>
    <row r="655" spans="2:15">
      <c r="B655" s="319"/>
      <c r="C655" s="319"/>
      <c r="D655" s="320"/>
      <c r="E655" s="320"/>
      <c r="F655" s="320"/>
      <c r="G655" s="465" t="str">
        <f t="shared" si="72"/>
        <v/>
      </c>
      <c r="L655" s="782"/>
      <c r="M655" s="380">
        <v>10</v>
      </c>
      <c r="N655" s="781" t="str">
        <f t="shared" si="73"/>
        <v>CONTRATO SIN SUSPENSIÓN</v>
      </c>
      <c r="O655" s="781"/>
    </row>
    <row r="656" spans="2:15">
      <c r="B656" s="319"/>
      <c r="C656" s="319"/>
      <c r="D656" s="320"/>
      <c r="E656" s="320"/>
      <c r="F656" s="320"/>
      <c r="G656" s="465" t="str">
        <f t="shared" si="72"/>
        <v/>
      </c>
      <c r="L656" s="782">
        <v>66</v>
      </c>
      <c r="M656" s="380">
        <v>1</v>
      </c>
      <c r="N656" s="781" t="str">
        <f t="shared" ref="N656:N665" si="74">IF(SUMIFS($G$5:$G$1200,$B$5:$B$1200,$L$656,$C$5:$C$1200,$M656)=0,"CONTRATO SIN SUSPENSIÓN",ROUND(SUMIFS($G$5:$G$1200,$B$5:$B$1200,$L$656,$C$5:$C$1200,$M656),3))</f>
        <v>CONTRATO SIN SUSPENSIÓN</v>
      </c>
      <c r="O656" s="781"/>
    </row>
    <row r="657" spans="2:15">
      <c r="B657" s="319"/>
      <c r="C657" s="319"/>
      <c r="D657" s="320"/>
      <c r="E657" s="320"/>
      <c r="F657" s="320"/>
      <c r="G657" s="465" t="str">
        <f t="shared" si="72"/>
        <v/>
      </c>
      <c r="L657" s="782"/>
      <c r="M657" s="380">
        <v>2</v>
      </c>
      <c r="N657" s="781" t="str">
        <f t="shared" si="74"/>
        <v>CONTRATO SIN SUSPENSIÓN</v>
      </c>
      <c r="O657" s="781"/>
    </row>
    <row r="658" spans="2:15">
      <c r="B658" s="319"/>
      <c r="C658" s="319"/>
      <c r="D658" s="320"/>
      <c r="E658" s="320"/>
      <c r="F658" s="320"/>
      <c r="G658" s="465" t="str">
        <f t="shared" si="72"/>
        <v/>
      </c>
      <c r="L658" s="782"/>
      <c r="M658" s="380">
        <v>3</v>
      </c>
      <c r="N658" s="781" t="str">
        <f t="shared" si="74"/>
        <v>CONTRATO SIN SUSPENSIÓN</v>
      </c>
      <c r="O658" s="781"/>
    </row>
    <row r="659" spans="2:15">
      <c r="B659" s="319"/>
      <c r="C659" s="319"/>
      <c r="D659" s="320"/>
      <c r="E659" s="320"/>
      <c r="F659" s="320"/>
      <c r="G659" s="465" t="str">
        <f t="shared" si="72"/>
        <v/>
      </c>
      <c r="L659" s="782"/>
      <c r="M659" s="380">
        <v>4</v>
      </c>
      <c r="N659" s="781" t="str">
        <f t="shared" si="74"/>
        <v>CONTRATO SIN SUSPENSIÓN</v>
      </c>
      <c r="O659" s="781"/>
    </row>
    <row r="660" spans="2:15">
      <c r="B660" s="319"/>
      <c r="C660" s="319"/>
      <c r="D660" s="320"/>
      <c r="E660" s="320"/>
      <c r="F660" s="320"/>
      <c r="G660" s="465" t="str">
        <f t="shared" si="72"/>
        <v/>
      </c>
      <c r="L660" s="782"/>
      <c r="M660" s="380">
        <v>5</v>
      </c>
      <c r="N660" s="781" t="str">
        <f t="shared" si="74"/>
        <v>CONTRATO SIN SUSPENSIÓN</v>
      </c>
      <c r="O660" s="781"/>
    </row>
    <row r="661" spans="2:15">
      <c r="B661" s="319"/>
      <c r="C661" s="319"/>
      <c r="D661" s="320"/>
      <c r="E661" s="320"/>
      <c r="F661" s="320"/>
      <c r="G661" s="465" t="str">
        <f t="shared" si="72"/>
        <v/>
      </c>
      <c r="L661" s="782"/>
      <c r="M661" s="380">
        <v>6</v>
      </c>
      <c r="N661" s="781" t="str">
        <f t="shared" si="74"/>
        <v>CONTRATO SIN SUSPENSIÓN</v>
      </c>
      <c r="O661" s="781"/>
    </row>
    <row r="662" spans="2:15">
      <c r="B662" s="319"/>
      <c r="C662" s="319"/>
      <c r="D662" s="320"/>
      <c r="E662" s="320"/>
      <c r="F662" s="320"/>
      <c r="G662" s="465" t="str">
        <f t="shared" si="72"/>
        <v/>
      </c>
      <c r="L662" s="782"/>
      <c r="M662" s="380">
        <v>7</v>
      </c>
      <c r="N662" s="781" t="str">
        <f t="shared" si="74"/>
        <v>CONTRATO SIN SUSPENSIÓN</v>
      </c>
      <c r="O662" s="781"/>
    </row>
    <row r="663" spans="2:15">
      <c r="B663" s="319"/>
      <c r="C663" s="319"/>
      <c r="D663" s="320"/>
      <c r="E663" s="320"/>
      <c r="F663" s="320"/>
      <c r="G663" s="465" t="str">
        <f t="shared" si="72"/>
        <v/>
      </c>
      <c r="L663" s="782"/>
      <c r="M663" s="380">
        <v>8</v>
      </c>
      <c r="N663" s="781" t="str">
        <f t="shared" si="74"/>
        <v>CONTRATO SIN SUSPENSIÓN</v>
      </c>
      <c r="O663" s="781"/>
    </row>
    <row r="664" spans="2:15">
      <c r="B664" s="319"/>
      <c r="C664" s="319"/>
      <c r="D664" s="320"/>
      <c r="E664" s="320"/>
      <c r="F664" s="320"/>
      <c r="G664" s="465" t="str">
        <f t="shared" si="72"/>
        <v/>
      </c>
      <c r="L664" s="782"/>
      <c r="M664" s="380">
        <v>9</v>
      </c>
      <c r="N664" s="781" t="str">
        <f t="shared" si="74"/>
        <v>CONTRATO SIN SUSPENSIÓN</v>
      </c>
      <c r="O664" s="781"/>
    </row>
    <row r="665" spans="2:15">
      <c r="B665" s="319"/>
      <c r="C665" s="319"/>
      <c r="D665" s="320"/>
      <c r="E665" s="320"/>
      <c r="F665" s="320"/>
      <c r="G665" s="465" t="str">
        <f t="shared" si="72"/>
        <v/>
      </c>
      <c r="L665" s="782"/>
      <c r="M665" s="380">
        <v>10</v>
      </c>
      <c r="N665" s="781" t="str">
        <f t="shared" si="74"/>
        <v>CONTRATO SIN SUSPENSIÓN</v>
      </c>
      <c r="O665" s="781"/>
    </row>
    <row r="666" spans="2:15">
      <c r="B666" s="319"/>
      <c r="C666" s="319"/>
      <c r="D666" s="320"/>
      <c r="E666" s="320"/>
      <c r="F666" s="320"/>
      <c r="G666" s="465" t="str">
        <f t="shared" si="72"/>
        <v/>
      </c>
      <c r="L666" s="782">
        <v>67</v>
      </c>
      <c r="M666" s="380">
        <v>1</v>
      </c>
      <c r="N666" s="781" t="str">
        <f t="shared" ref="N666:N675" si="75">IF(SUMIFS($G$5:$G$1200,$B$5:$B$1200,$L$666,$C$5:$C$1200,$M666)=0,"CONTRATO SIN SUSPENSIÓN",ROUND(SUMIFS($G$5:$G$1200,$B$5:$B$1200,$L$666,$C$5:$C$1200,$M666),3))</f>
        <v>CONTRATO SIN SUSPENSIÓN</v>
      </c>
      <c r="O666" s="781"/>
    </row>
    <row r="667" spans="2:15">
      <c r="B667" s="319"/>
      <c r="C667" s="319"/>
      <c r="D667" s="320"/>
      <c r="E667" s="320"/>
      <c r="F667" s="320"/>
      <c r="G667" s="465" t="str">
        <f t="shared" si="72"/>
        <v/>
      </c>
      <c r="L667" s="782"/>
      <c r="M667" s="380">
        <v>2</v>
      </c>
      <c r="N667" s="781" t="str">
        <f t="shared" si="75"/>
        <v>CONTRATO SIN SUSPENSIÓN</v>
      </c>
      <c r="O667" s="781"/>
    </row>
    <row r="668" spans="2:15">
      <c r="B668" s="319"/>
      <c r="C668" s="319"/>
      <c r="D668" s="320"/>
      <c r="E668" s="320"/>
      <c r="F668" s="320"/>
      <c r="G668" s="465" t="str">
        <f t="shared" si="72"/>
        <v/>
      </c>
      <c r="L668" s="782"/>
      <c r="M668" s="380">
        <v>3</v>
      </c>
      <c r="N668" s="781" t="str">
        <f t="shared" si="75"/>
        <v>CONTRATO SIN SUSPENSIÓN</v>
      </c>
      <c r="O668" s="781"/>
    </row>
    <row r="669" spans="2:15">
      <c r="B669" s="319"/>
      <c r="C669" s="319"/>
      <c r="D669" s="320"/>
      <c r="E669" s="320"/>
      <c r="F669" s="320"/>
      <c r="G669" s="465" t="str">
        <f t="shared" si="72"/>
        <v/>
      </c>
      <c r="L669" s="782"/>
      <c r="M669" s="380">
        <v>4</v>
      </c>
      <c r="N669" s="781" t="str">
        <f t="shared" si="75"/>
        <v>CONTRATO SIN SUSPENSIÓN</v>
      </c>
      <c r="O669" s="781"/>
    </row>
    <row r="670" spans="2:15">
      <c r="B670" s="319"/>
      <c r="C670" s="319"/>
      <c r="D670" s="320"/>
      <c r="E670" s="320"/>
      <c r="F670" s="320"/>
      <c r="G670" s="465" t="str">
        <f t="shared" si="72"/>
        <v/>
      </c>
      <c r="L670" s="782"/>
      <c r="M670" s="380">
        <v>5</v>
      </c>
      <c r="N670" s="781" t="str">
        <f t="shared" si="75"/>
        <v>CONTRATO SIN SUSPENSIÓN</v>
      </c>
      <c r="O670" s="781"/>
    </row>
    <row r="671" spans="2:15">
      <c r="B671" s="319"/>
      <c r="C671" s="319"/>
      <c r="D671" s="320"/>
      <c r="E671" s="320"/>
      <c r="F671" s="320"/>
      <c r="G671" s="465" t="str">
        <f t="shared" si="72"/>
        <v/>
      </c>
      <c r="L671" s="782"/>
      <c r="M671" s="380">
        <v>6</v>
      </c>
      <c r="N671" s="781" t="str">
        <f t="shared" si="75"/>
        <v>CONTRATO SIN SUSPENSIÓN</v>
      </c>
      <c r="O671" s="781"/>
    </row>
    <row r="672" spans="2:15">
      <c r="B672" s="319"/>
      <c r="C672" s="319"/>
      <c r="D672" s="320"/>
      <c r="E672" s="320"/>
      <c r="F672" s="320"/>
      <c r="G672" s="465" t="str">
        <f t="shared" si="72"/>
        <v/>
      </c>
      <c r="L672" s="782"/>
      <c r="M672" s="380">
        <v>7</v>
      </c>
      <c r="N672" s="781" t="str">
        <f t="shared" si="75"/>
        <v>CONTRATO SIN SUSPENSIÓN</v>
      </c>
      <c r="O672" s="781"/>
    </row>
    <row r="673" spans="2:15">
      <c r="B673" s="319"/>
      <c r="C673" s="319"/>
      <c r="D673" s="320"/>
      <c r="E673" s="320"/>
      <c r="F673" s="320"/>
      <c r="G673" s="465" t="str">
        <f t="shared" si="72"/>
        <v/>
      </c>
      <c r="L673" s="782"/>
      <c r="M673" s="380">
        <v>8</v>
      </c>
      <c r="N673" s="781" t="str">
        <f t="shared" si="75"/>
        <v>CONTRATO SIN SUSPENSIÓN</v>
      </c>
      <c r="O673" s="781"/>
    </row>
    <row r="674" spans="2:15">
      <c r="B674" s="319"/>
      <c r="C674" s="319"/>
      <c r="D674" s="320"/>
      <c r="E674" s="320"/>
      <c r="F674" s="320"/>
      <c r="G674" s="465" t="str">
        <f t="shared" si="72"/>
        <v/>
      </c>
      <c r="L674" s="782"/>
      <c r="M674" s="380">
        <v>9</v>
      </c>
      <c r="N674" s="781" t="str">
        <f t="shared" si="75"/>
        <v>CONTRATO SIN SUSPENSIÓN</v>
      </c>
      <c r="O674" s="781"/>
    </row>
    <row r="675" spans="2:15">
      <c r="B675" s="319"/>
      <c r="C675" s="319"/>
      <c r="D675" s="320"/>
      <c r="E675" s="320"/>
      <c r="F675" s="320"/>
      <c r="G675" s="465" t="str">
        <f t="shared" si="72"/>
        <v/>
      </c>
      <c r="L675" s="782"/>
      <c r="M675" s="380">
        <v>10</v>
      </c>
      <c r="N675" s="781" t="str">
        <f t="shared" si="75"/>
        <v>CONTRATO SIN SUSPENSIÓN</v>
      </c>
      <c r="O675" s="781"/>
    </row>
    <row r="676" spans="2:15">
      <c r="B676" s="319"/>
      <c r="C676" s="319"/>
      <c r="D676" s="320"/>
      <c r="E676" s="320"/>
      <c r="F676" s="320"/>
      <c r="G676" s="465" t="str">
        <f t="shared" si="72"/>
        <v/>
      </c>
      <c r="L676" s="782">
        <v>68</v>
      </c>
      <c r="M676" s="380">
        <v>1</v>
      </c>
      <c r="N676" s="781" t="str">
        <f t="shared" ref="N676:N685" si="76">IF(SUMIFS($G$5:$G$1200,$B$5:$B$1200,$L$676,$C$5:$C$1200,$M676)=0,"CONTRATO SIN SUSPENSIÓN",ROUND(SUMIFS($G$5:$G$1200,$B$5:$B$1200,$L$676,$C$5:$C$1200,$M676),3))</f>
        <v>CONTRATO SIN SUSPENSIÓN</v>
      </c>
      <c r="O676" s="781"/>
    </row>
    <row r="677" spans="2:15">
      <c r="B677" s="319"/>
      <c r="C677" s="319"/>
      <c r="D677" s="320"/>
      <c r="E677" s="320"/>
      <c r="F677" s="320"/>
      <c r="G677" s="465" t="str">
        <f t="shared" si="72"/>
        <v/>
      </c>
      <c r="L677" s="782"/>
      <c r="M677" s="380">
        <v>2</v>
      </c>
      <c r="N677" s="781" t="str">
        <f t="shared" si="76"/>
        <v>CONTRATO SIN SUSPENSIÓN</v>
      </c>
      <c r="O677" s="781"/>
    </row>
    <row r="678" spans="2:15">
      <c r="B678" s="319"/>
      <c r="C678" s="319"/>
      <c r="D678" s="320"/>
      <c r="E678" s="320"/>
      <c r="F678" s="320"/>
      <c r="G678" s="465" t="str">
        <f t="shared" si="72"/>
        <v/>
      </c>
      <c r="L678" s="782"/>
      <c r="M678" s="380">
        <v>3</v>
      </c>
      <c r="N678" s="781" t="str">
        <f t="shared" si="76"/>
        <v>CONTRATO SIN SUSPENSIÓN</v>
      </c>
      <c r="O678" s="781"/>
    </row>
    <row r="679" spans="2:15">
      <c r="B679" s="319"/>
      <c r="C679" s="319"/>
      <c r="D679" s="320"/>
      <c r="E679" s="320"/>
      <c r="F679" s="320"/>
      <c r="G679" s="465" t="str">
        <f t="shared" si="72"/>
        <v/>
      </c>
      <c r="L679" s="782"/>
      <c r="M679" s="380">
        <v>4</v>
      </c>
      <c r="N679" s="781" t="str">
        <f t="shared" si="76"/>
        <v>CONTRATO SIN SUSPENSIÓN</v>
      </c>
      <c r="O679" s="781"/>
    </row>
    <row r="680" spans="2:15">
      <c r="B680" s="319"/>
      <c r="C680" s="319"/>
      <c r="D680" s="320"/>
      <c r="E680" s="320"/>
      <c r="F680" s="320"/>
      <c r="G680" s="465" t="str">
        <f t="shared" si="72"/>
        <v/>
      </c>
      <c r="L680" s="782"/>
      <c r="M680" s="380">
        <v>5</v>
      </c>
      <c r="N680" s="781" t="str">
        <f t="shared" si="76"/>
        <v>CONTRATO SIN SUSPENSIÓN</v>
      </c>
      <c r="O680" s="781"/>
    </row>
    <row r="681" spans="2:15">
      <c r="B681" s="319"/>
      <c r="C681" s="319"/>
      <c r="D681" s="320"/>
      <c r="E681" s="320"/>
      <c r="F681" s="320"/>
      <c r="G681" s="465" t="str">
        <f t="shared" si="72"/>
        <v/>
      </c>
      <c r="L681" s="782"/>
      <c r="M681" s="380">
        <v>6</v>
      </c>
      <c r="N681" s="781" t="str">
        <f t="shared" si="76"/>
        <v>CONTRATO SIN SUSPENSIÓN</v>
      </c>
      <c r="O681" s="781"/>
    </row>
    <row r="682" spans="2:15">
      <c r="B682" s="319"/>
      <c r="C682" s="319"/>
      <c r="D682" s="320"/>
      <c r="E682" s="320"/>
      <c r="F682" s="320"/>
      <c r="G682" s="465" t="str">
        <f t="shared" si="72"/>
        <v/>
      </c>
      <c r="L682" s="782"/>
      <c r="M682" s="380">
        <v>7</v>
      </c>
      <c r="N682" s="781" t="str">
        <f t="shared" si="76"/>
        <v>CONTRATO SIN SUSPENSIÓN</v>
      </c>
      <c r="O682" s="781"/>
    </row>
    <row r="683" spans="2:15">
      <c r="B683" s="319"/>
      <c r="C683" s="319"/>
      <c r="D683" s="320"/>
      <c r="E683" s="320"/>
      <c r="F683" s="320"/>
      <c r="G683" s="465" t="str">
        <f t="shared" si="72"/>
        <v/>
      </c>
      <c r="L683" s="782"/>
      <c r="M683" s="380">
        <v>8</v>
      </c>
      <c r="N683" s="781" t="str">
        <f t="shared" si="76"/>
        <v>CONTRATO SIN SUSPENSIÓN</v>
      </c>
      <c r="O683" s="781"/>
    </row>
    <row r="684" spans="2:15">
      <c r="B684" s="319"/>
      <c r="C684" s="319"/>
      <c r="D684" s="320"/>
      <c r="E684" s="320"/>
      <c r="F684" s="320"/>
      <c r="G684" s="465" t="str">
        <f t="shared" si="72"/>
        <v/>
      </c>
      <c r="L684" s="782"/>
      <c r="M684" s="380">
        <v>9</v>
      </c>
      <c r="N684" s="781" t="str">
        <f t="shared" si="76"/>
        <v>CONTRATO SIN SUSPENSIÓN</v>
      </c>
      <c r="O684" s="781"/>
    </row>
    <row r="685" spans="2:15">
      <c r="B685" s="319"/>
      <c r="C685" s="319"/>
      <c r="D685" s="320"/>
      <c r="E685" s="320"/>
      <c r="F685" s="320"/>
      <c r="G685" s="465" t="str">
        <f t="shared" si="72"/>
        <v/>
      </c>
      <c r="L685" s="782"/>
      <c r="M685" s="380">
        <v>10</v>
      </c>
      <c r="N685" s="781" t="str">
        <f t="shared" si="76"/>
        <v>CONTRATO SIN SUSPENSIÓN</v>
      </c>
      <c r="O685" s="781"/>
    </row>
    <row r="686" spans="2:15">
      <c r="B686" s="319"/>
      <c r="C686" s="319"/>
      <c r="D686" s="320"/>
      <c r="E686" s="320"/>
      <c r="F686" s="320"/>
      <c r="G686" s="465" t="str">
        <f t="shared" si="72"/>
        <v/>
      </c>
      <c r="L686" s="782">
        <v>69</v>
      </c>
      <c r="M686" s="380">
        <v>1</v>
      </c>
      <c r="N686" s="781" t="str">
        <f t="shared" ref="N686:N695" si="77">IF(SUMIFS($G$5:$G$1200,$B$5:$B$1200,$L$686,$C$5:$C$1200,$M686)=0,"CONTRATO SIN SUSPENSIÓN",ROUND(SUMIFS($G$5:$G$1200,$B$5:$B$1200,$L$686,$C$5:$C$1200,$M686),3))</f>
        <v>CONTRATO SIN SUSPENSIÓN</v>
      </c>
      <c r="O686" s="781"/>
    </row>
    <row r="687" spans="2:15">
      <c r="B687" s="319"/>
      <c r="C687" s="319"/>
      <c r="D687" s="320"/>
      <c r="E687" s="320"/>
      <c r="F687" s="320"/>
      <c r="G687" s="465" t="str">
        <f t="shared" si="72"/>
        <v/>
      </c>
      <c r="L687" s="782"/>
      <c r="M687" s="380">
        <v>2</v>
      </c>
      <c r="N687" s="781" t="str">
        <f t="shared" si="77"/>
        <v>CONTRATO SIN SUSPENSIÓN</v>
      </c>
      <c r="O687" s="781"/>
    </row>
    <row r="688" spans="2:15">
      <c r="B688" s="319"/>
      <c r="C688" s="319"/>
      <c r="D688" s="320"/>
      <c r="E688" s="320"/>
      <c r="F688" s="320"/>
      <c r="G688" s="465" t="str">
        <f t="shared" si="72"/>
        <v/>
      </c>
      <c r="L688" s="782"/>
      <c r="M688" s="380">
        <v>3</v>
      </c>
      <c r="N688" s="781" t="str">
        <f t="shared" si="77"/>
        <v>CONTRATO SIN SUSPENSIÓN</v>
      </c>
      <c r="O688" s="781"/>
    </row>
    <row r="689" spans="2:15">
      <c r="B689" s="319"/>
      <c r="C689" s="319"/>
      <c r="D689" s="320"/>
      <c r="E689" s="320"/>
      <c r="F689" s="320"/>
      <c r="G689" s="465" t="str">
        <f t="shared" si="72"/>
        <v/>
      </c>
      <c r="L689" s="782"/>
      <c r="M689" s="380">
        <v>4</v>
      </c>
      <c r="N689" s="781" t="str">
        <f t="shared" si="77"/>
        <v>CONTRATO SIN SUSPENSIÓN</v>
      </c>
      <c r="O689" s="781"/>
    </row>
    <row r="690" spans="2:15">
      <c r="B690" s="319"/>
      <c r="C690" s="319"/>
      <c r="D690" s="320"/>
      <c r="E690" s="320"/>
      <c r="F690" s="320"/>
      <c r="G690" s="465" t="str">
        <f t="shared" si="72"/>
        <v/>
      </c>
      <c r="L690" s="782"/>
      <c r="M690" s="380">
        <v>5</v>
      </c>
      <c r="N690" s="781" t="str">
        <f t="shared" si="77"/>
        <v>CONTRATO SIN SUSPENSIÓN</v>
      </c>
      <c r="O690" s="781"/>
    </row>
    <row r="691" spans="2:15">
      <c r="B691" s="319"/>
      <c r="C691" s="319"/>
      <c r="D691" s="320"/>
      <c r="E691" s="320"/>
      <c r="F691" s="320"/>
      <c r="G691" s="465" t="str">
        <f t="shared" si="72"/>
        <v/>
      </c>
      <c r="L691" s="782"/>
      <c r="M691" s="380">
        <v>6</v>
      </c>
      <c r="N691" s="781" t="str">
        <f t="shared" si="77"/>
        <v>CONTRATO SIN SUSPENSIÓN</v>
      </c>
      <c r="O691" s="781"/>
    </row>
    <row r="692" spans="2:15">
      <c r="B692" s="319"/>
      <c r="C692" s="319"/>
      <c r="D692" s="320"/>
      <c r="E692" s="320"/>
      <c r="F692" s="320"/>
      <c r="G692" s="465" t="str">
        <f t="shared" si="72"/>
        <v/>
      </c>
      <c r="L692" s="782"/>
      <c r="M692" s="380">
        <v>7</v>
      </c>
      <c r="N692" s="781" t="str">
        <f t="shared" si="77"/>
        <v>CONTRATO SIN SUSPENSIÓN</v>
      </c>
      <c r="O692" s="781"/>
    </row>
    <row r="693" spans="2:15">
      <c r="B693" s="319"/>
      <c r="C693" s="319"/>
      <c r="D693" s="320"/>
      <c r="E693" s="320"/>
      <c r="F693" s="320"/>
      <c r="G693" s="465" t="str">
        <f t="shared" si="72"/>
        <v/>
      </c>
      <c r="L693" s="782"/>
      <c r="M693" s="380">
        <v>8</v>
      </c>
      <c r="N693" s="781" t="str">
        <f t="shared" si="77"/>
        <v>CONTRATO SIN SUSPENSIÓN</v>
      </c>
      <c r="O693" s="781"/>
    </row>
    <row r="694" spans="2:15">
      <c r="B694" s="319"/>
      <c r="C694" s="319"/>
      <c r="D694" s="320"/>
      <c r="E694" s="320"/>
      <c r="F694" s="320"/>
      <c r="G694" s="465" t="str">
        <f t="shared" si="72"/>
        <v/>
      </c>
      <c r="L694" s="782"/>
      <c r="M694" s="380">
        <v>9</v>
      </c>
      <c r="N694" s="781" t="str">
        <f t="shared" si="77"/>
        <v>CONTRATO SIN SUSPENSIÓN</v>
      </c>
      <c r="O694" s="781"/>
    </row>
    <row r="695" spans="2:15">
      <c r="B695" s="319"/>
      <c r="C695" s="319"/>
      <c r="D695" s="320"/>
      <c r="E695" s="320"/>
      <c r="F695" s="320"/>
      <c r="G695" s="465" t="str">
        <f t="shared" si="72"/>
        <v/>
      </c>
      <c r="L695" s="782"/>
      <c r="M695" s="380">
        <v>10</v>
      </c>
      <c r="N695" s="781" t="str">
        <f t="shared" si="77"/>
        <v>CONTRATO SIN SUSPENSIÓN</v>
      </c>
      <c r="O695" s="781"/>
    </row>
    <row r="696" spans="2:15">
      <c r="B696" s="319"/>
      <c r="C696" s="319"/>
      <c r="D696" s="320"/>
      <c r="E696" s="320"/>
      <c r="F696" s="320"/>
      <c r="G696" s="465" t="str">
        <f t="shared" si="72"/>
        <v/>
      </c>
      <c r="L696" s="782">
        <v>70</v>
      </c>
      <c r="M696" s="380">
        <v>1</v>
      </c>
      <c r="N696" s="781" t="str">
        <f t="shared" ref="N696:N705" si="78">IF(SUMIFS($G$5:$G$1200,$B$5:$B$1200,$L$696,$C$5:$C$1200,$M696)=0,"CONTRATO SIN SUSPENSIÓN",ROUND(SUMIFS($G$5:$G$1200,$B$5:$B$1200,$L$696,$C$5:$C$1200,$M696),3))</f>
        <v>CONTRATO SIN SUSPENSIÓN</v>
      </c>
      <c r="O696" s="781"/>
    </row>
    <row r="697" spans="2:15">
      <c r="B697" s="319"/>
      <c r="C697" s="319"/>
      <c r="D697" s="320"/>
      <c r="E697" s="320"/>
      <c r="F697" s="320"/>
      <c r="G697" s="465" t="str">
        <f t="shared" si="72"/>
        <v/>
      </c>
      <c r="L697" s="782"/>
      <c r="M697" s="380">
        <v>2</v>
      </c>
      <c r="N697" s="781" t="str">
        <f t="shared" si="78"/>
        <v>CONTRATO SIN SUSPENSIÓN</v>
      </c>
      <c r="O697" s="781"/>
    </row>
    <row r="698" spans="2:15">
      <c r="B698" s="319"/>
      <c r="C698" s="319"/>
      <c r="D698" s="320"/>
      <c r="E698" s="320"/>
      <c r="F698" s="320"/>
      <c r="G698" s="465" t="str">
        <f t="shared" si="72"/>
        <v/>
      </c>
      <c r="L698" s="782"/>
      <c r="M698" s="380">
        <v>3</v>
      </c>
      <c r="N698" s="781" t="str">
        <f t="shared" si="78"/>
        <v>CONTRATO SIN SUSPENSIÓN</v>
      </c>
      <c r="O698" s="781"/>
    </row>
    <row r="699" spans="2:15">
      <c r="B699" s="319"/>
      <c r="C699" s="319"/>
      <c r="D699" s="320"/>
      <c r="E699" s="320"/>
      <c r="F699" s="320"/>
      <c r="G699" s="465" t="str">
        <f t="shared" si="72"/>
        <v/>
      </c>
      <c r="L699" s="782"/>
      <c r="M699" s="380">
        <v>4</v>
      </c>
      <c r="N699" s="781" t="str">
        <f t="shared" si="78"/>
        <v>CONTRATO SIN SUSPENSIÓN</v>
      </c>
      <c r="O699" s="781"/>
    </row>
    <row r="700" spans="2:15">
      <c r="B700" s="319"/>
      <c r="C700" s="319"/>
      <c r="D700" s="320"/>
      <c r="E700" s="320"/>
      <c r="F700" s="320"/>
      <c r="G700" s="465" t="str">
        <f t="shared" si="72"/>
        <v/>
      </c>
      <c r="L700" s="782"/>
      <c r="M700" s="380">
        <v>5</v>
      </c>
      <c r="N700" s="781" t="str">
        <f t="shared" si="78"/>
        <v>CONTRATO SIN SUSPENSIÓN</v>
      </c>
      <c r="O700" s="781"/>
    </row>
    <row r="701" spans="2:15">
      <c r="B701" s="319"/>
      <c r="C701" s="319"/>
      <c r="D701" s="320"/>
      <c r="E701" s="320"/>
      <c r="F701" s="320"/>
      <c r="G701" s="465" t="str">
        <f t="shared" si="72"/>
        <v/>
      </c>
      <c r="L701" s="782"/>
      <c r="M701" s="380">
        <v>6</v>
      </c>
      <c r="N701" s="781" t="str">
        <f t="shared" si="78"/>
        <v>CONTRATO SIN SUSPENSIÓN</v>
      </c>
      <c r="O701" s="781"/>
    </row>
    <row r="702" spans="2:15">
      <c r="B702" s="319"/>
      <c r="C702" s="319"/>
      <c r="D702" s="320"/>
      <c r="E702" s="320"/>
      <c r="F702" s="320"/>
      <c r="G702" s="465" t="str">
        <f t="shared" si="72"/>
        <v/>
      </c>
      <c r="L702" s="782"/>
      <c r="M702" s="380">
        <v>7</v>
      </c>
      <c r="N702" s="781" t="str">
        <f t="shared" si="78"/>
        <v>CONTRATO SIN SUSPENSIÓN</v>
      </c>
      <c r="O702" s="781"/>
    </row>
    <row r="703" spans="2:15">
      <c r="B703" s="319"/>
      <c r="C703" s="319"/>
      <c r="D703" s="320"/>
      <c r="E703" s="320"/>
      <c r="F703" s="320"/>
      <c r="G703" s="465" t="str">
        <f t="shared" si="72"/>
        <v/>
      </c>
      <c r="L703" s="782"/>
      <c r="M703" s="380">
        <v>8</v>
      </c>
      <c r="N703" s="781" t="str">
        <f t="shared" si="78"/>
        <v>CONTRATO SIN SUSPENSIÓN</v>
      </c>
      <c r="O703" s="781"/>
    </row>
    <row r="704" spans="2:15">
      <c r="B704" s="319"/>
      <c r="C704" s="319"/>
      <c r="D704" s="320"/>
      <c r="E704" s="320"/>
      <c r="F704" s="320"/>
      <c r="G704" s="465" t="str">
        <f t="shared" si="72"/>
        <v/>
      </c>
      <c r="L704" s="782"/>
      <c r="M704" s="380">
        <v>9</v>
      </c>
      <c r="N704" s="781" t="str">
        <f t="shared" si="78"/>
        <v>CONTRATO SIN SUSPENSIÓN</v>
      </c>
      <c r="O704" s="781"/>
    </row>
    <row r="705" spans="2:15">
      <c r="B705" s="319"/>
      <c r="C705" s="319"/>
      <c r="D705" s="320"/>
      <c r="E705" s="320"/>
      <c r="F705" s="320"/>
      <c r="G705" s="465" t="str">
        <f t="shared" si="72"/>
        <v/>
      </c>
      <c r="L705" s="782"/>
      <c r="M705" s="380">
        <v>10</v>
      </c>
      <c r="N705" s="781" t="str">
        <f t="shared" si="78"/>
        <v>CONTRATO SIN SUSPENSIÓN</v>
      </c>
      <c r="O705" s="781"/>
    </row>
    <row r="706" spans="2:15">
      <c r="B706" s="319"/>
      <c r="C706" s="319"/>
      <c r="D706" s="320"/>
      <c r="E706" s="320"/>
      <c r="F706" s="320"/>
      <c r="G706" s="465" t="str">
        <f t="shared" si="72"/>
        <v/>
      </c>
      <c r="L706" s="782">
        <v>71</v>
      </c>
      <c r="M706" s="380">
        <v>1</v>
      </c>
      <c r="N706" s="781" t="str">
        <f t="shared" ref="N706:N715" si="79">IF(SUMIFS($G$5:$G$1200,$B$5:$B$1200,$L$706,$C$5:$C$1200,$M706)=0,"CONTRATO SIN SUSPENSIÓN",ROUND(SUMIFS($G$5:$G$1200,$B$5:$B$1200,$L$706,$C$5:$C$1200,$M706),3))</f>
        <v>CONTRATO SIN SUSPENSIÓN</v>
      </c>
      <c r="O706" s="781"/>
    </row>
    <row r="707" spans="2:15">
      <c r="B707" s="319"/>
      <c r="C707" s="319"/>
      <c r="D707" s="320"/>
      <c r="E707" s="320"/>
      <c r="F707" s="320"/>
      <c r="G707" s="465" t="str">
        <f t="shared" si="72"/>
        <v/>
      </c>
      <c r="L707" s="782"/>
      <c r="M707" s="380">
        <v>2</v>
      </c>
      <c r="N707" s="781" t="str">
        <f t="shared" si="79"/>
        <v>CONTRATO SIN SUSPENSIÓN</v>
      </c>
      <c r="O707" s="781"/>
    </row>
    <row r="708" spans="2:15">
      <c r="B708" s="319"/>
      <c r="C708" s="319"/>
      <c r="D708" s="320"/>
      <c r="E708" s="320"/>
      <c r="F708" s="320"/>
      <c r="G708" s="465" t="str">
        <f t="shared" si="72"/>
        <v/>
      </c>
      <c r="L708" s="782"/>
      <c r="M708" s="380">
        <v>3</v>
      </c>
      <c r="N708" s="781" t="str">
        <f t="shared" si="79"/>
        <v>CONTRATO SIN SUSPENSIÓN</v>
      </c>
      <c r="O708" s="781"/>
    </row>
    <row r="709" spans="2:15">
      <c r="B709" s="319"/>
      <c r="C709" s="319"/>
      <c r="D709" s="320"/>
      <c r="E709" s="320"/>
      <c r="F709" s="320"/>
      <c r="G709" s="465" t="str">
        <f t="shared" si="72"/>
        <v/>
      </c>
      <c r="L709" s="782"/>
      <c r="M709" s="380">
        <v>4</v>
      </c>
      <c r="N709" s="781" t="str">
        <f t="shared" si="79"/>
        <v>CONTRATO SIN SUSPENSIÓN</v>
      </c>
      <c r="O709" s="781"/>
    </row>
    <row r="710" spans="2:15">
      <c r="B710" s="319"/>
      <c r="C710" s="319"/>
      <c r="D710" s="320"/>
      <c r="E710" s="320"/>
      <c r="F710" s="320"/>
      <c r="G710" s="465" t="str">
        <f t="shared" ref="G710:G773" si="80">IF(OR(AND(D710="",E710=""),AND(D710="",F710="")),"",IF(AND(D710&lt;&gt;"",E710&lt;&gt;"",F710&lt;&gt;""),"REVISAR CÁLCULO",IF(AND(D710&lt;&gt;"",F710&lt;&gt;""),ROUND(((F710-D710)/30),3),IF(AND(D710&lt;&gt;"",E710&lt;&gt;""),ROUND(((E710-D710+1)/30),3),""))))</f>
        <v/>
      </c>
      <c r="L710" s="782"/>
      <c r="M710" s="380">
        <v>5</v>
      </c>
      <c r="N710" s="781" t="str">
        <f t="shared" si="79"/>
        <v>CONTRATO SIN SUSPENSIÓN</v>
      </c>
      <c r="O710" s="781"/>
    </row>
    <row r="711" spans="2:15">
      <c r="B711" s="319"/>
      <c r="C711" s="319"/>
      <c r="D711" s="320"/>
      <c r="E711" s="320"/>
      <c r="F711" s="320"/>
      <c r="G711" s="465" t="str">
        <f t="shared" si="80"/>
        <v/>
      </c>
      <c r="L711" s="782"/>
      <c r="M711" s="380">
        <v>6</v>
      </c>
      <c r="N711" s="781" t="str">
        <f t="shared" si="79"/>
        <v>CONTRATO SIN SUSPENSIÓN</v>
      </c>
      <c r="O711" s="781"/>
    </row>
    <row r="712" spans="2:15">
      <c r="B712" s="319"/>
      <c r="C712" s="319"/>
      <c r="D712" s="320"/>
      <c r="E712" s="320"/>
      <c r="F712" s="320"/>
      <c r="G712" s="465" t="str">
        <f t="shared" si="80"/>
        <v/>
      </c>
      <c r="L712" s="782"/>
      <c r="M712" s="380">
        <v>7</v>
      </c>
      <c r="N712" s="781" t="str">
        <f t="shared" si="79"/>
        <v>CONTRATO SIN SUSPENSIÓN</v>
      </c>
      <c r="O712" s="781"/>
    </row>
    <row r="713" spans="2:15">
      <c r="B713" s="319"/>
      <c r="C713" s="319"/>
      <c r="D713" s="320"/>
      <c r="E713" s="320"/>
      <c r="F713" s="320"/>
      <c r="G713" s="465" t="str">
        <f t="shared" si="80"/>
        <v/>
      </c>
      <c r="L713" s="782"/>
      <c r="M713" s="380">
        <v>8</v>
      </c>
      <c r="N713" s="781" t="str">
        <f t="shared" si="79"/>
        <v>CONTRATO SIN SUSPENSIÓN</v>
      </c>
      <c r="O713" s="781"/>
    </row>
    <row r="714" spans="2:15">
      <c r="B714" s="319"/>
      <c r="C714" s="319"/>
      <c r="D714" s="320"/>
      <c r="E714" s="320"/>
      <c r="F714" s="320"/>
      <c r="G714" s="465" t="str">
        <f t="shared" si="80"/>
        <v/>
      </c>
      <c r="L714" s="782"/>
      <c r="M714" s="380">
        <v>9</v>
      </c>
      <c r="N714" s="781" t="str">
        <f t="shared" si="79"/>
        <v>CONTRATO SIN SUSPENSIÓN</v>
      </c>
      <c r="O714" s="781"/>
    </row>
    <row r="715" spans="2:15">
      <c r="B715" s="319"/>
      <c r="C715" s="319"/>
      <c r="D715" s="320"/>
      <c r="E715" s="320"/>
      <c r="F715" s="320"/>
      <c r="G715" s="465" t="str">
        <f t="shared" si="80"/>
        <v/>
      </c>
      <c r="L715" s="782"/>
      <c r="M715" s="380">
        <v>10</v>
      </c>
      <c r="N715" s="781" t="str">
        <f t="shared" si="79"/>
        <v>CONTRATO SIN SUSPENSIÓN</v>
      </c>
      <c r="O715" s="781"/>
    </row>
    <row r="716" spans="2:15">
      <c r="B716" s="319"/>
      <c r="C716" s="319"/>
      <c r="D716" s="320"/>
      <c r="E716" s="320"/>
      <c r="F716" s="320"/>
      <c r="G716" s="465" t="str">
        <f t="shared" si="80"/>
        <v/>
      </c>
      <c r="L716" s="782">
        <v>72</v>
      </c>
      <c r="M716" s="380">
        <v>1</v>
      </c>
      <c r="N716" s="781" t="str">
        <f t="shared" ref="N716:N725" si="81">IF(SUMIFS($G$5:$G$1200,$B$5:$B$1200,$L$716,$C$5:$C$1200,$M716)=0,"CONTRATO SIN SUSPENSIÓN",ROUND(SUMIFS($G$5:$G$1200,$B$5:$B$1200,$L$716,$C$5:$C$1200,$M716),3))</f>
        <v>CONTRATO SIN SUSPENSIÓN</v>
      </c>
      <c r="O716" s="781"/>
    </row>
    <row r="717" spans="2:15">
      <c r="B717" s="319"/>
      <c r="C717" s="319"/>
      <c r="D717" s="320"/>
      <c r="E717" s="320"/>
      <c r="F717" s="320"/>
      <c r="G717" s="465" t="str">
        <f t="shared" si="80"/>
        <v/>
      </c>
      <c r="L717" s="782"/>
      <c r="M717" s="380">
        <v>2</v>
      </c>
      <c r="N717" s="781" t="str">
        <f t="shared" si="81"/>
        <v>CONTRATO SIN SUSPENSIÓN</v>
      </c>
      <c r="O717" s="781"/>
    </row>
    <row r="718" spans="2:15">
      <c r="B718" s="319"/>
      <c r="C718" s="319"/>
      <c r="D718" s="320"/>
      <c r="E718" s="320"/>
      <c r="F718" s="320"/>
      <c r="G718" s="465" t="str">
        <f t="shared" si="80"/>
        <v/>
      </c>
      <c r="L718" s="782"/>
      <c r="M718" s="380">
        <v>3</v>
      </c>
      <c r="N718" s="781" t="str">
        <f t="shared" si="81"/>
        <v>CONTRATO SIN SUSPENSIÓN</v>
      </c>
      <c r="O718" s="781"/>
    </row>
    <row r="719" spans="2:15">
      <c r="B719" s="319"/>
      <c r="C719" s="319"/>
      <c r="D719" s="320"/>
      <c r="E719" s="320"/>
      <c r="F719" s="320"/>
      <c r="G719" s="465" t="str">
        <f t="shared" si="80"/>
        <v/>
      </c>
      <c r="L719" s="782"/>
      <c r="M719" s="380">
        <v>4</v>
      </c>
      <c r="N719" s="781" t="str">
        <f t="shared" si="81"/>
        <v>CONTRATO SIN SUSPENSIÓN</v>
      </c>
      <c r="O719" s="781"/>
    </row>
    <row r="720" spans="2:15">
      <c r="B720" s="319"/>
      <c r="C720" s="319"/>
      <c r="D720" s="320"/>
      <c r="E720" s="320"/>
      <c r="F720" s="320"/>
      <c r="G720" s="465" t="str">
        <f t="shared" si="80"/>
        <v/>
      </c>
      <c r="L720" s="782"/>
      <c r="M720" s="380">
        <v>5</v>
      </c>
      <c r="N720" s="781" t="str">
        <f t="shared" si="81"/>
        <v>CONTRATO SIN SUSPENSIÓN</v>
      </c>
      <c r="O720" s="781"/>
    </row>
    <row r="721" spans="2:15">
      <c r="B721" s="319"/>
      <c r="C721" s="319"/>
      <c r="D721" s="320"/>
      <c r="E721" s="320"/>
      <c r="F721" s="320"/>
      <c r="G721" s="465" t="str">
        <f t="shared" si="80"/>
        <v/>
      </c>
      <c r="L721" s="782"/>
      <c r="M721" s="380">
        <v>6</v>
      </c>
      <c r="N721" s="781" t="str">
        <f t="shared" si="81"/>
        <v>CONTRATO SIN SUSPENSIÓN</v>
      </c>
      <c r="O721" s="781"/>
    </row>
    <row r="722" spans="2:15">
      <c r="B722" s="319"/>
      <c r="C722" s="319"/>
      <c r="D722" s="320"/>
      <c r="E722" s="320"/>
      <c r="F722" s="320"/>
      <c r="G722" s="465" t="str">
        <f t="shared" si="80"/>
        <v/>
      </c>
      <c r="L722" s="782"/>
      <c r="M722" s="380">
        <v>7</v>
      </c>
      <c r="N722" s="781" t="str">
        <f t="shared" si="81"/>
        <v>CONTRATO SIN SUSPENSIÓN</v>
      </c>
      <c r="O722" s="781"/>
    </row>
    <row r="723" spans="2:15">
      <c r="B723" s="319"/>
      <c r="C723" s="319"/>
      <c r="D723" s="320"/>
      <c r="E723" s="320"/>
      <c r="F723" s="320"/>
      <c r="G723" s="465" t="str">
        <f t="shared" si="80"/>
        <v/>
      </c>
      <c r="L723" s="782"/>
      <c r="M723" s="380">
        <v>8</v>
      </c>
      <c r="N723" s="781" t="str">
        <f t="shared" si="81"/>
        <v>CONTRATO SIN SUSPENSIÓN</v>
      </c>
      <c r="O723" s="781"/>
    </row>
    <row r="724" spans="2:15">
      <c r="B724" s="319"/>
      <c r="C724" s="319"/>
      <c r="D724" s="320"/>
      <c r="E724" s="320"/>
      <c r="F724" s="320"/>
      <c r="G724" s="465" t="str">
        <f t="shared" si="80"/>
        <v/>
      </c>
      <c r="L724" s="782"/>
      <c r="M724" s="380">
        <v>9</v>
      </c>
      <c r="N724" s="781" t="str">
        <f t="shared" si="81"/>
        <v>CONTRATO SIN SUSPENSIÓN</v>
      </c>
      <c r="O724" s="781"/>
    </row>
    <row r="725" spans="2:15">
      <c r="B725" s="319"/>
      <c r="C725" s="319"/>
      <c r="D725" s="320"/>
      <c r="E725" s="320"/>
      <c r="F725" s="320"/>
      <c r="G725" s="465" t="str">
        <f t="shared" si="80"/>
        <v/>
      </c>
      <c r="L725" s="782"/>
      <c r="M725" s="380">
        <v>10</v>
      </c>
      <c r="N725" s="781" t="str">
        <f t="shared" si="81"/>
        <v>CONTRATO SIN SUSPENSIÓN</v>
      </c>
      <c r="O725" s="781"/>
    </row>
    <row r="726" spans="2:15">
      <c r="B726" s="319"/>
      <c r="C726" s="319"/>
      <c r="D726" s="320"/>
      <c r="E726" s="320"/>
      <c r="F726" s="320"/>
      <c r="G726" s="465" t="str">
        <f t="shared" si="80"/>
        <v/>
      </c>
      <c r="L726" s="782">
        <v>73</v>
      </c>
      <c r="M726" s="380">
        <v>1</v>
      </c>
      <c r="N726" s="781" t="str">
        <f t="shared" ref="N726:N735" si="82">IF(SUMIFS($G$5:$G$1200,$B$5:$B$1200,$L$726,$C$5:$C$1200,$M726)=0,"CONTRATO SIN SUSPENSIÓN",ROUND(SUMIFS($G$5:$G$1200,$B$5:$B$1200,$L$726,$C$5:$C$1200,$M726),3))</f>
        <v>CONTRATO SIN SUSPENSIÓN</v>
      </c>
      <c r="O726" s="781"/>
    </row>
    <row r="727" spans="2:15">
      <c r="B727" s="319"/>
      <c r="C727" s="319"/>
      <c r="D727" s="320"/>
      <c r="E727" s="320"/>
      <c r="F727" s="320"/>
      <c r="G727" s="465" t="str">
        <f t="shared" si="80"/>
        <v/>
      </c>
      <c r="L727" s="782"/>
      <c r="M727" s="380">
        <v>2</v>
      </c>
      <c r="N727" s="781" t="str">
        <f t="shared" si="82"/>
        <v>CONTRATO SIN SUSPENSIÓN</v>
      </c>
      <c r="O727" s="781"/>
    </row>
    <row r="728" spans="2:15">
      <c r="B728" s="319"/>
      <c r="C728" s="319"/>
      <c r="D728" s="320"/>
      <c r="E728" s="320"/>
      <c r="F728" s="320"/>
      <c r="G728" s="465" t="str">
        <f t="shared" si="80"/>
        <v/>
      </c>
      <c r="L728" s="782"/>
      <c r="M728" s="380">
        <v>3</v>
      </c>
      <c r="N728" s="781" t="str">
        <f t="shared" si="82"/>
        <v>CONTRATO SIN SUSPENSIÓN</v>
      </c>
      <c r="O728" s="781"/>
    </row>
    <row r="729" spans="2:15">
      <c r="B729" s="319"/>
      <c r="C729" s="319"/>
      <c r="D729" s="320"/>
      <c r="E729" s="320"/>
      <c r="F729" s="320"/>
      <c r="G729" s="465" t="str">
        <f t="shared" si="80"/>
        <v/>
      </c>
      <c r="L729" s="782"/>
      <c r="M729" s="380">
        <v>4</v>
      </c>
      <c r="N729" s="781" t="str">
        <f t="shared" si="82"/>
        <v>CONTRATO SIN SUSPENSIÓN</v>
      </c>
      <c r="O729" s="781"/>
    </row>
    <row r="730" spans="2:15">
      <c r="B730" s="319"/>
      <c r="C730" s="319"/>
      <c r="D730" s="320"/>
      <c r="E730" s="320"/>
      <c r="F730" s="320"/>
      <c r="G730" s="465" t="str">
        <f t="shared" si="80"/>
        <v/>
      </c>
      <c r="L730" s="782"/>
      <c r="M730" s="380">
        <v>5</v>
      </c>
      <c r="N730" s="781" t="str">
        <f t="shared" si="82"/>
        <v>CONTRATO SIN SUSPENSIÓN</v>
      </c>
      <c r="O730" s="781"/>
    </row>
    <row r="731" spans="2:15">
      <c r="B731" s="319"/>
      <c r="C731" s="319"/>
      <c r="D731" s="320"/>
      <c r="E731" s="320"/>
      <c r="F731" s="320"/>
      <c r="G731" s="465" t="str">
        <f t="shared" si="80"/>
        <v/>
      </c>
      <c r="L731" s="782"/>
      <c r="M731" s="380">
        <v>6</v>
      </c>
      <c r="N731" s="781" t="str">
        <f t="shared" si="82"/>
        <v>CONTRATO SIN SUSPENSIÓN</v>
      </c>
      <c r="O731" s="781"/>
    </row>
    <row r="732" spans="2:15">
      <c r="B732" s="319"/>
      <c r="C732" s="319"/>
      <c r="D732" s="320"/>
      <c r="E732" s="320"/>
      <c r="F732" s="320"/>
      <c r="G732" s="465" t="str">
        <f t="shared" si="80"/>
        <v/>
      </c>
      <c r="L732" s="782"/>
      <c r="M732" s="380">
        <v>7</v>
      </c>
      <c r="N732" s="781" t="str">
        <f t="shared" si="82"/>
        <v>CONTRATO SIN SUSPENSIÓN</v>
      </c>
      <c r="O732" s="781"/>
    </row>
    <row r="733" spans="2:15">
      <c r="B733" s="319"/>
      <c r="C733" s="319"/>
      <c r="D733" s="320"/>
      <c r="E733" s="320"/>
      <c r="F733" s="320"/>
      <c r="G733" s="465" t="str">
        <f t="shared" si="80"/>
        <v/>
      </c>
      <c r="L733" s="782"/>
      <c r="M733" s="380">
        <v>8</v>
      </c>
      <c r="N733" s="781" t="str">
        <f t="shared" si="82"/>
        <v>CONTRATO SIN SUSPENSIÓN</v>
      </c>
      <c r="O733" s="781"/>
    </row>
    <row r="734" spans="2:15">
      <c r="B734" s="319"/>
      <c r="C734" s="319"/>
      <c r="D734" s="320"/>
      <c r="E734" s="320"/>
      <c r="F734" s="320"/>
      <c r="G734" s="465" t="str">
        <f t="shared" si="80"/>
        <v/>
      </c>
      <c r="L734" s="782"/>
      <c r="M734" s="380">
        <v>9</v>
      </c>
      <c r="N734" s="781" t="str">
        <f t="shared" si="82"/>
        <v>CONTRATO SIN SUSPENSIÓN</v>
      </c>
      <c r="O734" s="781"/>
    </row>
    <row r="735" spans="2:15">
      <c r="B735" s="319"/>
      <c r="C735" s="319"/>
      <c r="D735" s="320"/>
      <c r="E735" s="320"/>
      <c r="F735" s="320"/>
      <c r="G735" s="465" t="str">
        <f t="shared" si="80"/>
        <v/>
      </c>
      <c r="L735" s="782"/>
      <c r="M735" s="380">
        <v>10</v>
      </c>
      <c r="N735" s="781" t="str">
        <f t="shared" si="82"/>
        <v>CONTRATO SIN SUSPENSIÓN</v>
      </c>
      <c r="O735" s="781"/>
    </row>
    <row r="736" spans="2:15">
      <c r="B736" s="319"/>
      <c r="C736" s="319"/>
      <c r="D736" s="320"/>
      <c r="E736" s="320"/>
      <c r="F736" s="320"/>
      <c r="G736" s="465" t="str">
        <f t="shared" si="80"/>
        <v/>
      </c>
      <c r="L736" s="782">
        <v>74</v>
      </c>
      <c r="M736" s="380">
        <v>1</v>
      </c>
      <c r="N736" s="781" t="str">
        <f t="shared" ref="N736:N745" si="83">IF(SUMIFS($G$5:$G$1200,$B$5:$B$1200,$L$736,$C$5:$C$1200,$M736)=0,"CONTRATO SIN SUSPENSIÓN",ROUND(SUMIFS($G$5:$G$1200,$B$5:$B$1200,$L$736,$C$5:$C$1200,$M736),3))</f>
        <v>CONTRATO SIN SUSPENSIÓN</v>
      </c>
      <c r="O736" s="781"/>
    </row>
    <row r="737" spans="2:15">
      <c r="B737" s="319"/>
      <c r="C737" s="319"/>
      <c r="D737" s="320"/>
      <c r="E737" s="320"/>
      <c r="F737" s="320"/>
      <c r="G737" s="465" t="str">
        <f t="shared" si="80"/>
        <v/>
      </c>
      <c r="L737" s="782"/>
      <c r="M737" s="380">
        <v>2</v>
      </c>
      <c r="N737" s="781" t="str">
        <f t="shared" si="83"/>
        <v>CONTRATO SIN SUSPENSIÓN</v>
      </c>
      <c r="O737" s="781"/>
    </row>
    <row r="738" spans="2:15">
      <c r="B738" s="319"/>
      <c r="C738" s="319"/>
      <c r="D738" s="320"/>
      <c r="E738" s="320"/>
      <c r="F738" s="320"/>
      <c r="G738" s="465" t="str">
        <f t="shared" si="80"/>
        <v/>
      </c>
      <c r="L738" s="782"/>
      <c r="M738" s="380">
        <v>3</v>
      </c>
      <c r="N738" s="781" t="str">
        <f t="shared" si="83"/>
        <v>CONTRATO SIN SUSPENSIÓN</v>
      </c>
      <c r="O738" s="781"/>
    </row>
    <row r="739" spans="2:15">
      <c r="B739" s="319"/>
      <c r="C739" s="319"/>
      <c r="D739" s="320"/>
      <c r="E739" s="320"/>
      <c r="F739" s="320"/>
      <c r="G739" s="465" t="str">
        <f t="shared" si="80"/>
        <v/>
      </c>
      <c r="L739" s="782"/>
      <c r="M739" s="380">
        <v>4</v>
      </c>
      <c r="N739" s="781" t="str">
        <f t="shared" si="83"/>
        <v>CONTRATO SIN SUSPENSIÓN</v>
      </c>
      <c r="O739" s="781"/>
    </row>
    <row r="740" spans="2:15">
      <c r="B740" s="319"/>
      <c r="C740" s="319"/>
      <c r="D740" s="320"/>
      <c r="E740" s="320"/>
      <c r="F740" s="320"/>
      <c r="G740" s="465" t="str">
        <f t="shared" si="80"/>
        <v/>
      </c>
      <c r="L740" s="782"/>
      <c r="M740" s="380">
        <v>5</v>
      </c>
      <c r="N740" s="781" t="str">
        <f t="shared" si="83"/>
        <v>CONTRATO SIN SUSPENSIÓN</v>
      </c>
      <c r="O740" s="781"/>
    </row>
    <row r="741" spans="2:15">
      <c r="B741" s="319"/>
      <c r="C741" s="319"/>
      <c r="D741" s="320"/>
      <c r="E741" s="320"/>
      <c r="F741" s="320"/>
      <c r="G741" s="465" t="str">
        <f t="shared" si="80"/>
        <v/>
      </c>
      <c r="L741" s="782"/>
      <c r="M741" s="380">
        <v>6</v>
      </c>
      <c r="N741" s="781" t="str">
        <f t="shared" si="83"/>
        <v>CONTRATO SIN SUSPENSIÓN</v>
      </c>
      <c r="O741" s="781"/>
    </row>
    <row r="742" spans="2:15">
      <c r="B742" s="319"/>
      <c r="C742" s="319"/>
      <c r="D742" s="320"/>
      <c r="E742" s="320"/>
      <c r="F742" s="320"/>
      <c r="G742" s="465" t="str">
        <f t="shared" si="80"/>
        <v/>
      </c>
      <c r="L742" s="782"/>
      <c r="M742" s="380">
        <v>7</v>
      </c>
      <c r="N742" s="781" t="str">
        <f t="shared" si="83"/>
        <v>CONTRATO SIN SUSPENSIÓN</v>
      </c>
      <c r="O742" s="781"/>
    </row>
    <row r="743" spans="2:15">
      <c r="B743" s="319"/>
      <c r="C743" s="319"/>
      <c r="D743" s="320"/>
      <c r="E743" s="320"/>
      <c r="F743" s="320"/>
      <c r="G743" s="465" t="str">
        <f t="shared" si="80"/>
        <v/>
      </c>
      <c r="L743" s="782"/>
      <c r="M743" s="380">
        <v>8</v>
      </c>
      <c r="N743" s="781" t="str">
        <f t="shared" si="83"/>
        <v>CONTRATO SIN SUSPENSIÓN</v>
      </c>
      <c r="O743" s="781"/>
    </row>
    <row r="744" spans="2:15">
      <c r="B744" s="319"/>
      <c r="C744" s="319"/>
      <c r="D744" s="320"/>
      <c r="E744" s="320"/>
      <c r="F744" s="320"/>
      <c r="G744" s="465" t="str">
        <f t="shared" si="80"/>
        <v/>
      </c>
      <c r="L744" s="782"/>
      <c r="M744" s="380">
        <v>9</v>
      </c>
      <c r="N744" s="781" t="str">
        <f t="shared" si="83"/>
        <v>CONTRATO SIN SUSPENSIÓN</v>
      </c>
      <c r="O744" s="781"/>
    </row>
    <row r="745" spans="2:15">
      <c r="B745" s="319"/>
      <c r="C745" s="319"/>
      <c r="D745" s="320"/>
      <c r="E745" s="320"/>
      <c r="F745" s="320"/>
      <c r="G745" s="465" t="str">
        <f t="shared" si="80"/>
        <v/>
      </c>
      <c r="L745" s="782"/>
      <c r="M745" s="380">
        <v>10</v>
      </c>
      <c r="N745" s="781" t="str">
        <f t="shared" si="83"/>
        <v>CONTRATO SIN SUSPENSIÓN</v>
      </c>
      <c r="O745" s="781"/>
    </row>
    <row r="746" spans="2:15">
      <c r="B746" s="319"/>
      <c r="C746" s="319"/>
      <c r="D746" s="320"/>
      <c r="E746" s="320"/>
      <c r="F746" s="320"/>
      <c r="G746" s="465" t="str">
        <f t="shared" si="80"/>
        <v/>
      </c>
      <c r="L746" s="782">
        <v>75</v>
      </c>
      <c r="M746" s="380">
        <v>1</v>
      </c>
      <c r="N746" s="781" t="str">
        <f t="shared" ref="N746:N755" si="84">IF(SUMIFS($G$5:$G$1200,$B$5:$B$1200,$L$746,$C$5:$C$1200,$M746)=0,"CONTRATO SIN SUSPENSIÓN",ROUND(SUMIFS($G$5:$G$1200,$B$5:$B$1200,$L$746,$C$5:$C$1200,$M746),3))</f>
        <v>CONTRATO SIN SUSPENSIÓN</v>
      </c>
      <c r="O746" s="781"/>
    </row>
    <row r="747" spans="2:15">
      <c r="B747" s="319"/>
      <c r="C747" s="319"/>
      <c r="D747" s="320"/>
      <c r="E747" s="320"/>
      <c r="F747" s="320"/>
      <c r="G747" s="465" t="str">
        <f t="shared" si="80"/>
        <v/>
      </c>
      <c r="L747" s="782"/>
      <c r="M747" s="380">
        <v>2</v>
      </c>
      <c r="N747" s="781" t="str">
        <f t="shared" si="84"/>
        <v>CONTRATO SIN SUSPENSIÓN</v>
      </c>
      <c r="O747" s="781"/>
    </row>
    <row r="748" spans="2:15">
      <c r="B748" s="319"/>
      <c r="C748" s="319"/>
      <c r="D748" s="320"/>
      <c r="E748" s="320"/>
      <c r="F748" s="320"/>
      <c r="G748" s="465" t="str">
        <f t="shared" si="80"/>
        <v/>
      </c>
      <c r="L748" s="782"/>
      <c r="M748" s="380">
        <v>3</v>
      </c>
      <c r="N748" s="781" t="str">
        <f t="shared" si="84"/>
        <v>CONTRATO SIN SUSPENSIÓN</v>
      </c>
      <c r="O748" s="781"/>
    </row>
    <row r="749" spans="2:15">
      <c r="B749" s="319"/>
      <c r="C749" s="319"/>
      <c r="D749" s="320"/>
      <c r="E749" s="320"/>
      <c r="F749" s="320"/>
      <c r="G749" s="465" t="str">
        <f t="shared" si="80"/>
        <v/>
      </c>
      <c r="L749" s="782"/>
      <c r="M749" s="380">
        <v>4</v>
      </c>
      <c r="N749" s="781" t="str">
        <f t="shared" si="84"/>
        <v>CONTRATO SIN SUSPENSIÓN</v>
      </c>
      <c r="O749" s="781"/>
    </row>
    <row r="750" spans="2:15">
      <c r="B750" s="319"/>
      <c r="C750" s="319"/>
      <c r="D750" s="320"/>
      <c r="E750" s="320"/>
      <c r="F750" s="320"/>
      <c r="G750" s="465" t="str">
        <f t="shared" si="80"/>
        <v/>
      </c>
      <c r="L750" s="782"/>
      <c r="M750" s="380">
        <v>5</v>
      </c>
      <c r="N750" s="781" t="str">
        <f t="shared" si="84"/>
        <v>CONTRATO SIN SUSPENSIÓN</v>
      </c>
      <c r="O750" s="781"/>
    </row>
    <row r="751" spans="2:15">
      <c r="B751" s="319"/>
      <c r="C751" s="319"/>
      <c r="D751" s="320"/>
      <c r="E751" s="320"/>
      <c r="F751" s="320"/>
      <c r="G751" s="465" t="str">
        <f t="shared" si="80"/>
        <v/>
      </c>
      <c r="L751" s="782"/>
      <c r="M751" s="380">
        <v>6</v>
      </c>
      <c r="N751" s="781" t="str">
        <f t="shared" si="84"/>
        <v>CONTRATO SIN SUSPENSIÓN</v>
      </c>
      <c r="O751" s="781"/>
    </row>
    <row r="752" spans="2:15">
      <c r="B752" s="319"/>
      <c r="C752" s="319"/>
      <c r="D752" s="320"/>
      <c r="E752" s="320"/>
      <c r="F752" s="320"/>
      <c r="G752" s="465" t="str">
        <f t="shared" si="80"/>
        <v/>
      </c>
      <c r="L752" s="782"/>
      <c r="M752" s="380">
        <v>7</v>
      </c>
      <c r="N752" s="781" t="str">
        <f t="shared" si="84"/>
        <v>CONTRATO SIN SUSPENSIÓN</v>
      </c>
      <c r="O752" s="781"/>
    </row>
    <row r="753" spans="2:15">
      <c r="B753" s="319"/>
      <c r="C753" s="319"/>
      <c r="D753" s="320"/>
      <c r="E753" s="320"/>
      <c r="F753" s="320"/>
      <c r="G753" s="465" t="str">
        <f t="shared" si="80"/>
        <v/>
      </c>
      <c r="L753" s="782"/>
      <c r="M753" s="380">
        <v>8</v>
      </c>
      <c r="N753" s="781" t="str">
        <f t="shared" si="84"/>
        <v>CONTRATO SIN SUSPENSIÓN</v>
      </c>
      <c r="O753" s="781"/>
    </row>
    <row r="754" spans="2:15">
      <c r="B754" s="319"/>
      <c r="C754" s="319"/>
      <c r="D754" s="320"/>
      <c r="E754" s="320"/>
      <c r="F754" s="320"/>
      <c r="G754" s="465" t="str">
        <f t="shared" si="80"/>
        <v/>
      </c>
      <c r="L754" s="782"/>
      <c r="M754" s="380">
        <v>9</v>
      </c>
      <c r="N754" s="781" t="str">
        <f t="shared" si="84"/>
        <v>CONTRATO SIN SUSPENSIÓN</v>
      </c>
      <c r="O754" s="781"/>
    </row>
    <row r="755" spans="2:15">
      <c r="B755" s="319"/>
      <c r="C755" s="319"/>
      <c r="D755" s="320"/>
      <c r="E755" s="320"/>
      <c r="F755" s="320"/>
      <c r="G755" s="465" t="str">
        <f t="shared" si="80"/>
        <v/>
      </c>
      <c r="L755" s="782"/>
      <c r="M755" s="380">
        <v>10</v>
      </c>
      <c r="N755" s="781" t="str">
        <f t="shared" si="84"/>
        <v>CONTRATO SIN SUSPENSIÓN</v>
      </c>
      <c r="O755" s="781"/>
    </row>
    <row r="756" spans="2:15">
      <c r="B756" s="319"/>
      <c r="C756" s="319"/>
      <c r="D756" s="320"/>
      <c r="E756" s="320"/>
      <c r="F756" s="320"/>
      <c r="G756" s="465" t="str">
        <f t="shared" si="80"/>
        <v/>
      </c>
      <c r="L756" s="782">
        <v>76</v>
      </c>
      <c r="M756" s="380">
        <v>1</v>
      </c>
      <c r="N756" s="781" t="str">
        <f t="shared" ref="N756:N765" si="85">IF(SUMIFS($G$5:$G$1200,$B$5:$B$1200,$L$756,$C$5:$C$1200,$M756)=0,"CONTRATO SIN SUSPENSIÓN",ROUND(SUMIFS($G$5:$G$1200,$B$5:$B$1200,$L$756,$C$5:$C$1200,$M756),3))</f>
        <v>CONTRATO SIN SUSPENSIÓN</v>
      </c>
      <c r="O756" s="781"/>
    </row>
    <row r="757" spans="2:15">
      <c r="B757" s="319"/>
      <c r="C757" s="319"/>
      <c r="D757" s="320"/>
      <c r="E757" s="320"/>
      <c r="F757" s="320"/>
      <c r="G757" s="465" t="str">
        <f t="shared" si="80"/>
        <v/>
      </c>
      <c r="L757" s="782"/>
      <c r="M757" s="380">
        <v>2</v>
      </c>
      <c r="N757" s="781" t="str">
        <f t="shared" si="85"/>
        <v>CONTRATO SIN SUSPENSIÓN</v>
      </c>
      <c r="O757" s="781"/>
    </row>
    <row r="758" spans="2:15">
      <c r="B758" s="319"/>
      <c r="C758" s="319"/>
      <c r="D758" s="320"/>
      <c r="E758" s="320"/>
      <c r="F758" s="320"/>
      <c r="G758" s="465" t="str">
        <f t="shared" si="80"/>
        <v/>
      </c>
      <c r="L758" s="782"/>
      <c r="M758" s="380">
        <v>3</v>
      </c>
      <c r="N758" s="781" t="str">
        <f t="shared" si="85"/>
        <v>CONTRATO SIN SUSPENSIÓN</v>
      </c>
      <c r="O758" s="781"/>
    </row>
    <row r="759" spans="2:15">
      <c r="B759" s="319"/>
      <c r="C759" s="319"/>
      <c r="D759" s="320"/>
      <c r="E759" s="320"/>
      <c r="F759" s="320"/>
      <c r="G759" s="465" t="str">
        <f t="shared" si="80"/>
        <v/>
      </c>
      <c r="L759" s="782"/>
      <c r="M759" s="380">
        <v>4</v>
      </c>
      <c r="N759" s="781" t="str">
        <f t="shared" si="85"/>
        <v>CONTRATO SIN SUSPENSIÓN</v>
      </c>
      <c r="O759" s="781"/>
    </row>
    <row r="760" spans="2:15">
      <c r="B760" s="319"/>
      <c r="C760" s="319"/>
      <c r="D760" s="320"/>
      <c r="E760" s="320"/>
      <c r="F760" s="320"/>
      <c r="G760" s="465" t="str">
        <f t="shared" si="80"/>
        <v/>
      </c>
      <c r="L760" s="782"/>
      <c r="M760" s="380">
        <v>5</v>
      </c>
      <c r="N760" s="781" t="str">
        <f t="shared" si="85"/>
        <v>CONTRATO SIN SUSPENSIÓN</v>
      </c>
      <c r="O760" s="781"/>
    </row>
    <row r="761" spans="2:15">
      <c r="B761" s="319"/>
      <c r="C761" s="319"/>
      <c r="D761" s="320"/>
      <c r="E761" s="320"/>
      <c r="F761" s="320"/>
      <c r="G761" s="465" t="str">
        <f t="shared" si="80"/>
        <v/>
      </c>
      <c r="L761" s="782"/>
      <c r="M761" s="380">
        <v>6</v>
      </c>
      <c r="N761" s="781" t="str">
        <f t="shared" si="85"/>
        <v>CONTRATO SIN SUSPENSIÓN</v>
      </c>
      <c r="O761" s="781"/>
    </row>
    <row r="762" spans="2:15">
      <c r="B762" s="319"/>
      <c r="C762" s="319"/>
      <c r="D762" s="320"/>
      <c r="E762" s="320"/>
      <c r="F762" s="320"/>
      <c r="G762" s="465" t="str">
        <f t="shared" si="80"/>
        <v/>
      </c>
      <c r="L762" s="782"/>
      <c r="M762" s="380">
        <v>7</v>
      </c>
      <c r="N762" s="781" t="str">
        <f t="shared" si="85"/>
        <v>CONTRATO SIN SUSPENSIÓN</v>
      </c>
      <c r="O762" s="781"/>
    </row>
    <row r="763" spans="2:15">
      <c r="B763" s="319"/>
      <c r="C763" s="319"/>
      <c r="D763" s="320"/>
      <c r="E763" s="320"/>
      <c r="F763" s="320"/>
      <c r="G763" s="465" t="str">
        <f t="shared" si="80"/>
        <v/>
      </c>
      <c r="L763" s="782"/>
      <c r="M763" s="380">
        <v>8</v>
      </c>
      <c r="N763" s="781" t="str">
        <f t="shared" si="85"/>
        <v>CONTRATO SIN SUSPENSIÓN</v>
      </c>
      <c r="O763" s="781"/>
    </row>
    <row r="764" spans="2:15">
      <c r="B764" s="319"/>
      <c r="C764" s="319"/>
      <c r="D764" s="320"/>
      <c r="E764" s="320"/>
      <c r="F764" s="320"/>
      <c r="G764" s="465" t="str">
        <f t="shared" si="80"/>
        <v/>
      </c>
      <c r="L764" s="782"/>
      <c r="M764" s="380">
        <v>9</v>
      </c>
      <c r="N764" s="781" t="str">
        <f t="shared" si="85"/>
        <v>CONTRATO SIN SUSPENSIÓN</v>
      </c>
      <c r="O764" s="781"/>
    </row>
    <row r="765" spans="2:15">
      <c r="B765" s="319"/>
      <c r="C765" s="319"/>
      <c r="D765" s="320"/>
      <c r="E765" s="320"/>
      <c r="F765" s="320"/>
      <c r="G765" s="465" t="str">
        <f t="shared" si="80"/>
        <v/>
      </c>
      <c r="L765" s="782"/>
      <c r="M765" s="380">
        <v>10</v>
      </c>
      <c r="N765" s="781" t="str">
        <f t="shared" si="85"/>
        <v>CONTRATO SIN SUSPENSIÓN</v>
      </c>
      <c r="O765" s="781"/>
    </row>
    <row r="766" spans="2:15">
      <c r="B766" s="319"/>
      <c r="C766" s="319"/>
      <c r="D766" s="320"/>
      <c r="E766" s="320"/>
      <c r="F766" s="320"/>
      <c r="G766" s="465" t="str">
        <f t="shared" si="80"/>
        <v/>
      </c>
      <c r="L766" s="782">
        <v>77</v>
      </c>
      <c r="M766" s="380">
        <v>1</v>
      </c>
      <c r="N766" s="781" t="str">
        <f t="shared" ref="N766:N775" si="86">IF(SUMIFS($G$5:$G$1200,$B$5:$B$1200,$L$766,$C$5:$C$1200,$M766)=0,"CONTRATO SIN SUSPENSIÓN",ROUND(SUMIFS($G$5:$G$1200,$B$5:$B$1200,$L$766,$C$5:$C$1200,$M766),3))</f>
        <v>CONTRATO SIN SUSPENSIÓN</v>
      </c>
      <c r="O766" s="781"/>
    </row>
    <row r="767" spans="2:15">
      <c r="B767" s="319"/>
      <c r="C767" s="319"/>
      <c r="D767" s="320"/>
      <c r="E767" s="320"/>
      <c r="F767" s="320"/>
      <c r="G767" s="465" t="str">
        <f t="shared" si="80"/>
        <v/>
      </c>
      <c r="L767" s="782"/>
      <c r="M767" s="380">
        <v>2</v>
      </c>
      <c r="N767" s="781" t="str">
        <f t="shared" si="86"/>
        <v>CONTRATO SIN SUSPENSIÓN</v>
      </c>
      <c r="O767" s="781"/>
    </row>
    <row r="768" spans="2:15">
      <c r="B768" s="319"/>
      <c r="C768" s="319"/>
      <c r="D768" s="320"/>
      <c r="E768" s="320"/>
      <c r="F768" s="320"/>
      <c r="G768" s="465" t="str">
        <f t="shared" si="80"/>
        <v/>
      </c>
      <c r="L768" s="782"/>
      <c r="M768" s="380">
        <v>3</v>
      </c>
      <c r="N768" s="781" t="str">
        <f t="shared" si="86"/>
        <v>CONTRATO SIN SUSPENSIÓN</v>
      </c>
      <c r="O768" s="781"/>
    </row>
    <row r="769" spans="2:15">
      <c r="B769" s="319"/>
      <c r="C769" s="319"/>
      <c r="D769" s="320"/>
      <c r="E769" s="320"/>
      <c r="F769" s="320"/>
      <c r="G769" s="465" t="str">
        <f t="shared" si="80"/>
        <v/>
      </c>
      <c r="L769" s="782"/>
      <c r="M769" s="380">
        <v>4</v>
      </c>
      <c r="N769" s="781" t="str">
        <f t="shared" si="86"/>
        <v>CONTRATO SIN SUSPENSIÓN</v>
      </c>
      <c r="O769" s="781"/>
    </row>
    <row r="770" spans="2:15">
      <c r="B770" s="319"/>
      <c r="C770" s="319"/>
      <c r="D770" s="320"/>
      <c r="E770" s="320"/>
      <c r="F770" s="320"/>
      <c r="G770" s="465" t="str">
        <f t="shared" si="80"/>
        <v/>
      </c>
      <c r="L770" s="782"/>
      <c r="M770" s="380">
        <v>5</v>
      </c>
      <c r="N770" s="781" t="str">
        <f t="shared" si="86"/>
        <v>CONTRATO SIN SUSPENSIÓN</v>
      </c>
      <c r="O770" s="781"/>
    </row>
    <row r="771" spans="2:15">
      <c r="B771" s="319"/>
      <c r="C771" s="319"/>
      <c r="D771" s="320"/>
      <c r="E771" s="320"/>
      <c r="F771" s="320"/>
      <c r="G771" s="465" t="str">
        <f t="shared" si="80"/>
        <v/>
      </c>
      <c r="L771" s="782"/>
      <c r="M771" s="380">
        <v>6</v>
      </c>
      <c r="N771" s="781" t="str">
        <f t="shared" si="86"/>
        <v>CONTRATO SIN SUSPENSIÓN</v>
      </c>
      <c r="O771" s="781"/>
    </row>
    <row r="772" spans="2:15">
      <c r="B772" s="319"/>
      <c r="C772" s="319"/>
      <c r="D772" s="320"/>
      <c r="E772" s="320"/>
      <c r="F772" s="320"/>
      <c r="G772" s="465" t="str">
        <f t="shared" si="80"/>
        <v/>
      </c>
      <c r="L772" s="782"/>
      <c r="M772" s="380">
        <v>7</v>
      </c>
      <c r="N772" s="781" t="str">
        <f t="shared" si="86"/>
        <v>CONTRATO SIN SUSPENSIÓN</v>
      </c>
      <c r="O772" s="781"/>
    </row>
    <row r="773" spans="2:15">
      <c r="B773" s="319"/>
      <c r="C773" s="319"/>
      <c r="D773" s="320"/>
      <c r="E773" s="320"/>
      <c r="F773" s="320"/>
      <c r="G773" s="465" t="str">
        <f t="shared" si="80"/>
        <v/>
      </c>
      <c r="L773" s="782"/>
      <c r="M773" s="380">
        <v>8</v>
      </c>
      <c r="N773" s="781" t="str">
        <f t="shared" si="86"/>
        <v>CONTRATO SIN SUSPENSIÓN</v>
      </c>
      <c r="O773" s="781"/>
    </row>
    <row r="774" spans="2:15">
      <c r="B774" s="319"/>
      <c r="C774" s="319"/>
      <c r="D774" s="320"/>
      <c r="E774" s="320"/>
      <c r="F774" s="320"/>
      <c r="G774" s="465" t="str">
        <f t="shared" ref="G774:G837" si="87">IF(OR(AND(D774="",E774=""),AND(D774="",F774="")),"",IF(AND(D774&lt;&gt;"",E774&lt;&gt;"",F774&lt;&gt;""),"REVISAR CÁLCULO",IF(AND(D774&lt;&gt;"",F774&lt;&gt;""),ROUND(((F774-D774)/30),3),IF(AND(D774&lt;&gt;"",E774&lt;&gt;""),ROUND(((E774-D774+1)/30),3),""))))</f>
        <v/>
      </c>
      <c r="L774" s="782"/>
      <c r="M774" s="380">
        <v>9</v>
      </c>
      <c r="N774" s="781" t="str">
        <f t="shared" si="86"/>
        <v>CONTRATO SIN SUSPENSIÓN</v>
      </c>
      <c r="O774" s="781"/>
    </row>
    <row r="775" spans="2:15">
      <c r="B775" s="319"/>
      <c r="C775" s="319"/>
      <c r="D775" s="320"/>
      <c r="E775" s="320"/>
      <c r="F775" s="320"/>
      <c r="G775" s="465" t="str">
        <f t="shared" si="87"/>
        <v/>
      </c>
      <c r="L775" s="782"/>
      <c r="M775" s="380">
        <v>10</v>
      </c>
      <c r="N775" s="781" t="str">
        <f t="shared" si="86"/>
        <v>CONTRATO SIN SUSPENSIÓN</v>
      </c>
      <c r="O775" s="781"/>
    </row>
    <row r="776" spans="2:15">
      <c r="B776" s="319"/>
      <c r="C776" s="319"/>
      <c r="D776" s="320"/>
      <c r="E776" s="320"/>
      <c r="F776" s="320"/>
      <c r="G776" s="465" t="str">
        <f t="shared" si="87"/>
        <v/>
      </c>
      <c r="L776" s="782">
        <v>78</v>
      </c>
      <c r="M776" s="380">
        <v>1</v>
      </c>
      <c r="N776" s="781" t="str">
        <f t="shared" ref="N776:N785" si="88">IF(SUMIFS($G$5:$G$1200,$B$5:$B$1200,$L$776,$C$5:$C$1200,$M776)=0,"CONTRATO SIN SUSPENSIÓN",ROUND(SUMIFS($G$5:$G$1200,$B$5:$B$1200,$L$776,$C$5:$C$1200,$M776),3))</f>
        <v>CONTRATO SIN SUSPENSIÓN</v>
      </c>
      <c r="O776" s="781"/>
    </row>
    <row r="777" spans="2:15">
      <c r="B777" s="319"/>
      <c r="C777" s="319"/>
      <c r="D777" s="320"/>
      <c r="E777" s="320"/>
      <c r="F777" s="320"/>
      <c r="G777" s="465" t="str">
        <f t="shared" si="87"/>
        <v/>
      </c>
      <c r="L777" s="782"/>
      <c r="M777" s="380">
        <v>2</v>
      </c>
      <c r="N777" s="781" t="str">
        <f t="shared" si="88"/>
        <v>CONTRATO SIN SUSPENSIÓN</v>
      </c>
      <c r="O777" s="781"/>
    </row>
    <row r="778" spans="2:15">
      <c r="B778" s="319"/>
      <c r="C778" s="319"/>
      <c r="D778" s="320"/>
      <c r="E778" s="320"/>
      <c r="F778" s="320"/>
      <c r="G778" s="465" t="str">
        <f t="shared" si="87"/>
        <v/>
      </c>
      <c r="L778" s="782"/>
      <c r="M778" s="380">
        <v>3</v>
      </c>
      <c r="N778" s="781" t="str">
        <f t="shared" si="88"/>
        <v>CONTRATO SIN SUSPENSIÓN</v>
      </c>
      <c r="O778" s="781"/>
    </row>
    <row r="779" spans="2:15">
      <c r="B779" s="319"/>
      <c r="C779" s="319"/>
      <c r="D779" s="320"/>
      <c r="E779" s="320"/>
      <c r="F779" s="320"/>
      <c r="G779" s="465" t="str">
        <f t="shared" si="87"/>
        <v/>
      </c>
      <c r="L779" s="782"/>
      <c r="M779" s="380">
        <v>4</v>
      </c>
      <c r="N779" s="781" t="str">
        <f t="shared" si="88"/>
        <v>CONTRATO SIN SUSPENSIÓN</v>
      </c>
      <c r="O779" s="781"/>
    </row>
    <row r="780" spans="2:15">
      <c r="B780" s="319"/>
      <c r="C780" s="319"/>
      <c r="D780" s="320"/>
      <c r="E780" s="320"/>
      <c r="F780" s="320"/>
      <c r="G780" s="465" t="str">
        <f t="shared" si="87"/>
        <v/>
      </c>
      <c r="L780" s="782"/>
      <c r="M780" s="380">
        <v>5</v>
      </c>
      <c r="N780" s="781" t="str">
        <f t="shared" si="88"/>
        <v>CONTRATO SIN SUSPENSIÓN</v>
      </c>
      <c r="O780" s="781"/>
    </row>
    <row r="781" spans="2:15">
      <c r="B781" s="319"/>
      <c r="C781" s="319"/>
      <c r="D781" s="320"/>
      <c r="E781" s="320"/>
      <c r="F781" s="320"/>
      <c r="G781" s="465" t="str">
        <f t="shared" si="87"/>
        <v/>
      </c>
      <c r="L781" s="782"/>
      <c r="M781" s="380">
        <v>6</v>
      </c>
      <c r="N781" s="781" t="str">
        <f t="shared" si="88"/>
        <v>CONTRATO SIN SUSPENSIÓN</v>
      </c>
      <c r="O781" s="781"/>
    </row>
    <row r="782" spans="2:15">
      <c r="B782" s="319"/>
      <c r="C782" s="319"/>
      <c r="D782" s="320"/>
      <c r="E782" s="320"/>
      <c r="F782" s="320"/>
      <c r="G782" s="465" t="str">
        <f t="shared" si="87"/>
        <v/>
      </c>
      <c r="L782" s="782"/>
      <c r="M782" s="380">
        <v>7</v>
      </c>
      <c r="N782" s="781" t="str">
        <f t="shared" si="88"/>
        <v>CONTRATO SIN SUSPENSIÓN</v>
      </c>
      <c r="O782" s="781"/>
    </row>
    <row r="783" spans="2:15">
      <c r="B783" s="319"/>
      <c r="C783" s="319"/>
      <c r="D783" s="320"/>
      <c r="E783" s="320"/>
      <c r="F783" s="320"/>
      <c r="G783" s="465" t="str">
        <f t="shared" si="87"/>
        <v/>
      </c>
      <c r="L783" s="782"/>
      <c r="M783" s="380">
        <v>8</v>
      </c>
      <c r="N783" s="781" t="str">
        <f t="shared" si="88"/>
        <v>CONTRATO SIN SUSPENSIÓN</v>
      </c>
      <c r="O783" s="781"/>
    </row>
    <row r="784" spans="2:15">
      <c r="B784" s="319"/>
      <c r="C784" s="319"/>
      <c r="D784" s="320"/>
      <c r="E784" s="320"/>
      <c r="F784" s="320"/>
      <c r="G784" s="465" t="str">
        <f t="shared" si="87"/>
        <v/>
      </c>
      <c r="L784" s="782"/>
      <c r="M784" s="380">
        <v>9</v>
      </c>
      <c r="N784" s="781" t="str">
        <f t="shared" si="88"/>
        <v>CONTRATO SIN SUSPENSIÓN</v>
      </c>
      <c r="O784" s="781"/>
    </row>
    <row r="785" spans="2:15">
      <c r="B785" s="319"/>
      <c r="C785" s="319"/>
      <c r="D785" s="320"/>
      <c r="E785" s="320"/>
      <c r="F785" s="320"/>
      <c r="G785" s="465" t="str">
        <f t="shared" si="87"/>
        <v/>
      </c>
      <c r="L785" s="782"/>
      <c r="M785" s="380">
        <v>10</v>
      </c>
      <c r="N785" s="781" t="str">
        <f t="shared" si="88"/>
        <v>CONTRATO SIN SUSPENSIÓN</v>
      </c>
      <c r="O785" s="781"/>
    </row>
    <row r="786" spans="2:15">
      <c r="B786" s="319"/>
      <c r="C786" s="319"/>
      <c r="D786" s="320"/>
      <c r="E786" s="320"/>
      <c r="F786" s="320"/>
      <c r="G786" s="465" t="str">
        <f t="shared" si="87"/>
        <v/>
      </c>
      <c r="L786" s="782">
        <v>79</v>
      </c>
      <c r="M786" s="380">
        <v>1</v>
      </c>
      <c r="N786" s="781" t="str">
        <f t="shared" ref="N786:N795" si="89">IF(SUMIFS($G$5:$G$1200,$B$5:$B$1200,$L$786,$C$5:$C$1200,$M786)=0,"CONTRATO SIN SUSPENSIÓN",ROUND(SUMIFS($G$5:$G$1200,$B$5:$B$1200,$L$786,$C$5:$C$1200,$M786),3))</f>
        <v>CONTRATO SIN SUSPENSIÓN</v>
      </c>
      <c r="O786" s="781"/>
    </row>
    <row r="787" spans="2:15">
      <c r="B787" s="319"/>
      <c r="C787" s="319"/>
      <c r="D787" s="320"/>
      <c r="E787" s="320"/>
      <c r="F787" s="320"/>
      <c r="G787" s="465" t="str">
        <f t="shared" si="87"/>
        <v/>
      </c>
      <c r="L787" s="782"/>
      <c r="M787" s="380">
        <v>2</v>
      </c>
      <c r="N787" s="781" t="str">
        <f t="shared" si="89"/>
        <v>CONTRATO SIN SUSPENSIÓN</v>
      </c>
      <c r="O787" s="781"/>
    </row>
    <row r="788" spans="2:15">
      <c r="B788" s="319"/>
      <c r="C788" s="319"/>
      <c r="D788" s="320"/>
      <c r="E788" s="320"/>
      <c r="F788" s="320"/>
      <c r="G788" s="465" t="str">
        <f t="shared" si="87"/>
        <v/>
      </c>
      <c r="L788" s="782"/>
      <c r="M788" s="380">
        <v>3</v>
      </c>
      <c r="N788" s="781" t="str">
        <f t="shared" si="89"/>
        <v>CONTRATO SIN SUSPENSIÓN</v>
      </c>
      <c r="O788" s="781"/>
    </row>
    <row r="789" spans="2:15">
      <c r="B789" s="319"/>
      <c r="C789" s="319"/>
      <c r="D789" s="320"/>
      <c r="E789" s="320"/>
      <c r="F789" s="320"/>
      <c r="G789" s="465" t="str">
        <f t="shared" si="87"/>
        <v/>
      </c>
      <c r="L789" s="782"/>
      <c r="M789" s="380">
        <v>4</v>
      </c>
      <c r="N789" s="781" t="str">
        <f t="shared" si="89"/>
        <v>CONTRATO SIN SUSPENSIÓN</v>
      </c>
      <c r="O789" s="781"/>
    </row>
    <row r="790" spans="2:15">
      <c r="B790" s="319"/>
      <c r="C790" s="319"/>
      <c r="D790" s="320"/>
      <c r="E790" s="320"/>
      <c r="F790" s="320"/>
      <c r="G790" s="465" t="str">
        <f t="shared" si="87"/>
        <v/>
      </c>
      <c r="L790" s="782"/>
      <c r="M790" s="380">
        <v>5</v>
      </c>
      <c r="N790" s="781" t="str">
        <f t="shared" si="89"/>
        <v>CONTRATO SIN SUSPENSIÓN</v>
      </c>
      <c r="O790" s="781"/>
    </row>
    <row r="791" spans="2:15">
      <c r="B791" s="319"/>
      <c r="C791" s="319"/>
      <c r="D791" s="320"/>
      <c r="E791" s="320"/>
      <c r="F791" s="320"/>
      <c r="G791" s="465" t="str">
        <f t="shared" si="87"/>
        <v/>
      </c>
      <c r="L791" s="782"/>
      <c r="M791" s="380">
        <v>6</v>
      </c>
      <c r="N791" s="781" t="str">
        <f t="shared" si="89"/>
        <v>CONTRATO SIN SUSPENSIÓN</v>
      </c>
      <c r="O791" s="781"/>
    </row>
    <row r="792" spans="2:15">
      <c r="B792" s="319"/>
      <c r="C792" s="319"/>
      <c r="D792" s="320"/>
      <c r="E792" s="320"/>
      <c r="F792" s="320"/>
      <c r="G792" s="465" t="str">
        <f t="shared" si="87"/>
        <v/>
      </c>
      <c r="L792" s="782"/>
      <c r="M792" s="380">
        <v>7</v>
      </c>
      <c r="N792" s="781" t="str">
        <f t="shared" si="89"/>
        <v>CONTRATO SIN SUSPENSIÓN</v>
      </c>
      <c r="O792" s="781"/>
    </row>
    <row r="793" spans="2:15">
      <c r="B793" s="319"/>
      <c r="C793" s="319"/>
      <c r="D793" s="320"/>
      <c r="E793" s="320"/>
      <c r="F793" s="320"/>
      <c r="G793" s="465" t="str">
        <f t="shared" si="87"/>
        <v/>
      </c>
      <c r="L793" s="782"/>
      <c r="M793" s="380">
        <v>8</v>
      </c>
      <c r="N793" s="781" t="str">
        <f t="shared" si="89"/>
        <v>CONTRATO SIN SUSPENSIÓN</v>
      </c>
      <c r="O793" s="781"/>
    </row>
    <row r="794" spans="2:15">
      <c r="B794" s="319"/>
      <c r="C794" s="319"/>
      <c r="D794" s="320"/>
      <c r="E794" s="320"/>
      <c r="F794" s="320"/>
      <c r="G794" s="465" t="str">
        <f t="shared" si="87"/>
        <v/>
      </c>
      <c r="L794" s="782"/>
      <c r="M794" s="380">
        <v>9</v>
      </c>
      <c r="N794" s="781" t="str">
        <f t="shared" si="89"/>
        <v>CONTRATO SIN SUSPENSIÓN</v>
      </c>
      <c r="O794" s="781"/>
    </row>
    <row r="795" spans="2:15">
      <c r="B795" s="319"/>
      <c r="C795" s="319"/>
      <c r="D795" s="320"/>
      <c r="E795" s="320"/>
      <c r="F795" s="320"/>
      <c r="G795" s="465" t="str">
        <f t="shared" si="87"/>
        <v/>
      </c>
      <c r="L795" s="782"/>
      <c r="M795" s="380">
        <v>10</v>
      </c>
      <c r="N795" s="781" t="str">
        <f t="shared" si="89"/>
        <v>CONTRATO SIN SUSPENSIÓN</v>
      </c>
      <c r="O795" s="781"/>
    </row>
    <row r="796" spans="2:15">
      <c r="B796" s="319"/>
      <c r="C796" s="319"/>
      <c r="D796" s="320"/>
      <c r="E796" s="320"/>
      <c r="F796" s="320"/>
      <c r="G796" s="465" t="str">
        <f t="shared" si="87"/>
        <v/>
      </c>
      <c r="L796" s="782">
        <v>80</v>
      </c>
      <c r="M796" s="380">
        <v>1</v>
      </c>
      <c r="N796" s="781" t="str">
        <f t="shared" ref="N796:N805" si="90">IF(SUMIFS($G$5:$G$1200,$B$5:$B$1200,$L$796,$C$5:$C$1200,$M796)=0,"CONTRATO SIN SUSPENSIÓN",ROUND(SUMIFS($G$5:$G$1200,$B$5:$B$1200,$L$796,$C$5:$C$1200,$M796),3))</f>
        <v>CONTRATO SIN SUSPENSIÓN</v>
      </c>
      <c r="O796" s="781"/>
    </row>
    <row r="797" spans="2:15">
      <c r="B797" s="319"/>
      <c r="C797" s="319"/>
      <c r="D797" s="320"/>
      <c r="E797" s="320"/>
      <c r="F797" s="320"/>
      <c r="G797" s="465" t="str">
        <f t="shared" si="87"/>
        <v/>
      </c>
      <c r="L797" s="782"/>
      <c r="M797" s="380">
        <v>2</v>
      </c>
      <c r="N797" s="781" t="str">
        <f t="shared" si="90"/>
        <v>CONTRATO SIN SUSPENSIÓN</v>
      </c>
      <c r="O797" s="781"/>
    </row>
    <row r="798" spans="2:15">
      <c r="B798" s="319"/>
      <c r="C798" s="319"/>
      <c r="D798" s="320"/>
      <c r="E798" s="320"/>
      <c r="F798" s="320"/>
      <c r="G798" s="465" t="str">
        <f t="shared" si="87"/>
        <v/>
      </c>
      <c r="L798" s="782"/>
      <c r="M798" s="380">
        <v>3</v>
      </c>
      <c r="N798" s="781" t="str">
        <f t="shared" si="90"/>
        <v>CONTRATO SIN SUSPENSIÓN</v>
      </c>
      <c r="O798" s="781"/>
    </row>
    <row r="799" spans="2:15">
      <c r="B799" s="319"/>
      <c r="C799" s="319"/>
      <c r="D799" s="320"/>
      <c r="E799" s="320"/>
      <c r="F799" s="320"/>
      <c r="G799" s="465" t="str">
        <f t="shared" si="87"/>
        <v/>
      </c>
      <c r="L799" s="782"/>
      <c r="M799" s="380">
        <v>4</v>
      </c>
      <c r="N799" s="781" t="str">
        <f t="shared" si="90"/>
        <v>CONTRATO SIN SUSPENSIÓN</v>
      </c>
      <c r="O799" s="781"/>
    </row>
    <row r="800" spans="2:15">
      <c r="B800" s="319"/>
      <c r="C800" s="319"/>
      <c r="D800" s="320"/>
      <c r="E800" s="320"/>
      <c r="F800" s="320"/>
      <c r="G800" s="465" t="str">
        <f t="shared" si="87"/>
        <v/>
      </c>
      <c r="L800" s="782"/>
      <c r="M800" s="380">
        <v>5</v>
      </c>
      <c r="N800" s="781" t="str">
        <f t="shared" si="90"/>
        <v>CONTRATO SIN SUSPENSIÓN</v>
      </c>
      <c r="O800" s="781"/>
    </row>
    <row r="801" spans="2:15">
      <c r="B801" s="319"/>
      <c r="C801" s="319"/>
      <c r="D801" s="320"/>
      <c r="E801" s="320"/>
      <c r="F801" s="320"/>
      <c r="G801" s="465" t="str">
        <f t="shared" si="87"/>
        <v/>
      </c>
      <c r="L801" s="782"/>
      <c r="M801" s="380">
        <v>6</v>
      </c>
      <c r="N801" s="781" t="str">
        <f t="shared" si="90"/>
        <v>CONTRATO SIN SUSPENSIÓN</v>
      </c>
      <c r="O801" s="781"/>
    </row>
    <row r="802" spans="2:15">
      <c r="B802" s="319"/>
      <c r="C802" s="319"/>
      <c r="D802" s="320"/>
      <c r="E802" s="320"/>
      <c r="F802" s="320"/>
      <c r="G802" s="465" t="str">
        <f t="shared" si="87"/>
        <v/>
      </c>
      <c r="L802" s="782"/>
      <c r="M802" s="380">
        <v>7</v>
      </c>
      <c r="N802" s="781" t="str">
        <f t="shared" si="90"/>
        <v>CONTRATO SIN SUSPENSIÓN</v>
      </c>
      <c r="O802" s="781"/>
    </row>
    <row r="803" spans="2:15">
      <c r="B803" s="319"/>
      <c r="C803" s="319"/>
      <c r="D803" s="320"/>
      <c r="E803" s="320"/>
      <c r="F803" s="320"/>
      <c r="G803" s="465" t="str">
        <f t="shared" si="87"/>
        <v/>
      </c>
      <c r="L803" s="782"/>
      <c r="M803" s="380">
        <v>8</v>
      </c>
      <c r="N803" s="781" t="str">
        <f t="shared" si="90"/>
        <v>CONTRATO SIN SUSPENSIÓN</v>
      </c>
      <c r="O803" s="781"/>
    </row>
    <row r="804" spans="2:15">
      <c r="B804" s="319"/>
      <c r="C804" s="319"/>
      <c r="D804" s="320"/>
      <c r="E804" s="320"/>
      <c r="F804" s="320"/>
      <c r="G804" s="465" t="str">
        <f t="shared" si="87"/>
        <v/>
      </c>
      <c r="L804" s="782"/>
      <c r="M804" s="380">
        <v>9</v>
      </c>
      <c r="N804" s="781" t="str">
        <f t="shared" si="90"/>
        <v>CONTRATO SIN SUSPENSIÓN</v>
      </c>
      <c r="O804" s="781"/>
    </row>
    <row r="805" spans="2:15">
      <c r="B805" s="319"/>
      <c r="C805" s="319"/>
      <c r="D805" s="320"/>
      <c r="E805" s="320"/>
      <c r="F805" s="320"/>
      <c r="G805" s="465" t="str">
        <f t="shared" si="87"/>
        <v/>
      </c>
      <c r="L805" s="782"/>
      <c r="M805" s="380">
        <v>10</v>
      </c>
      <c r="N805" s="781" t="str">
        <f t="shared" si="90"/>
        <v>CONTRATO SIN SUSPENSIÓN</v>
      </c>
      <c r="O805" s="781"/>
    </row>
    <row r="806" spans="2:15">
      <c r="B806" s="319"/>
      <c r="C806" s="319"/>
      <c r="D806" s="320"/>
      <c r="E806" s="320"/>
      <c r="F806" s="320"/>
      <c r="G806" s="465" t="str">
        <f t="shared" si="87"/>
        <v/>
      </c>
      <c r="L806" s="782">
        <v>81</v>
      </c>
      <c r="M806" s="380">
        <v>1</v>
      </c>
      <c r="N806" s="781" t="str">
        <f t="shared" ref="N806:N815" si="91">IF(SUMIFS($G$5:$G$1200,$B$5:$B$1200,$L$806,$C$5:$C$1200,$M806)=0,"CONTRATO SIN SUSPENSIÓN",ROUND(SUMIFS($G$5:$G$1200,$B$5:$B$1200,$L$806,$C$5:$C$1200,$M806),3))</f>
        <v>CONTRATO SIN SUSPENSIÓN</v>
      </c>
      <c r="O806" s="781"/>
    </row>
    <row r="807" spans="2:15">
      <c r="B807" s="319"/>
      <c r="C807" s="319"/>
      <c r="D807" s="320"/>
      <c r="E807" s="320"/>
      <c r="F807" s="320"/>
      <c r="G807" s="465" t="str">
        <f t="shared" si="87"/>
        <v/>
      </c>
      <c r="L807" s="782"/>
      <c r="M807" s="380">
        <v>2</v>
      </c>
      <c r="N807" s="781" t="str">
        <f t="shared" si="91"/>
        <v>CONTRATO SIN SUSPENSIÓN</v>
      </c>
      <c r="O807" s="781"/>
    </row>
    <row r="808" spans="2:15">
      <c r="B808" s="319"/>
      <c r="C808" s="319"/>
      <c r="D808" s="320"/>
      <c r="E808" s="320"/>
      <c r="F808" s="320"/>
      <c r="G808" s="465" t="str">
        <f t="shared" si="87"/>
        <v/>
      </c>
      <c r="L808" s="782"/>
      <c r="M808" s="380">
        <v>3</v>
      </c>
      <c r="N808" s="781" t="str">
        <f t="shared" si="91"/>
        <v>CONTRATO SIN SUSPENSIÓN</v>
      </c>
      <c r="O808" s="781"/>
    </row>
    <row r="809" spans="2:15">
      <c r="B809" s="319"/>
      <c r="C809" s="319"/>
      <c r="D809" s="320"/>
      <c r="E809" s="320"/>
      <c r="F809" s="320"/>
      <c r="G809" s="465" t="str">
        <f t="shared" si="87"/>
        <v/>
      </c>
      <c r="L809" s="782"/>
      <c r="M809" s="380">
        <v>4</v>
      </c>
      <c r="N809" s="781" t="str">
        <f t="shared" si="91"/>
        <v>CONTRATO SIN SUSPENSIÓN</v>
      </c>
      <c r="O809" s="781"/>
    </row>
    <row r="810" spans="2:15">
      <c r="B810" s="319"/>
      <c r="C810" s="319"/>
      <c r="D810" s="320"/>
      <c r="E810" s="320"/>
      <c r="F810" s="320"/>
      <c r="G810" s="465" t="str">
        <f t="shared" si="87"/>
        <v/>
      </c>
      <c r="L810" s="782"/>
      <c r="M810" s="380">
        <v>5</v>
      </c>
      <c r="N810" s="781" t="str">
        <f t="shared" si="91"/>
        <v>CONTRATO SIN SUSPENSIÓN</v>
      </c>
      <c r="O810" s="781"/>
    </row>
    <row r="811" spans="2:15">
      <c r="B811" s="319"/>
      <c r="C811" s="319"/>
      <c r="D811" s="320"/>
      <c r="E811" s="320"/>
      <c r="F811" s="320"/>
      <c r="G811" s="465" t="str">
        <f t="shared" si="87"/>
        <v/>
      </c>
      <c r="L811" s="782"/>
      <c r="M811" s="380">
        <v>6</v>
      </c>
      <c r="N811" s="781" t="str">
        <f t="shared" si="91"/>
        <v>CONTRATO SIN SUSPENSIÓN</v>
      </c>
      <c r="O811" s="781"/>
    </row>
    <row r="812" spans="2:15">
      <c r="B812" s="319"/>
      <c r="C812" s="319"/>
      <c r="D812" s="320"/>
      <c r="E812" s="320"/>
      <c r="F812" s="320"/>
      <c r="G812" s="465" t="str">
        <f t="shared" si="87"/>
        <v/>
      </c>
      <c r="L812" s="782"/>
      <c r="M812" s="380">
        <v>7</v>
      </c>
      <c r="N812" s="781" t="str">
        <f t="shared" si="91"/>
        <v>CONTRATO SIN SUSPENSIÓN</v>
      </c>
      <c r="O812" s="781"/>
    </row>
    <row r="813" spans="2:15">
      <c r="B813" s="319"/>
      <c r="C813" s="319"/>
      <c r="D813" s="320"/>
      <c r="E813" s="320"/>
      <c r="F813" s="320"/>
      <c r="G813" s="465" t="str">
        <f t="shared" si="87"/>
        <v/>
      </c>
      <c r="L813" s="782"/>
      <c r="M813" s="380">
        <v>8</v>
      </c>
      <c r="N813" s="781" t="str">
        <f t="shared" si="91"/>
        <v>CONTRATO SIN SUSPENSIÓN</v>
      </c>
      <c r="O813" s="781"/>
    </row>
    <row r="814" spans="2:15">
      <c r="B814" s="319"/>
      <c r="C814" s="319"/>
      <c r="D814" s="320"/>
      <c r="E814" s="320"/>
      <c r="F814" s="320"/>
      <c r="G814" s="465" t="str">
        <f t="shared" si="87"/>
        <v/>
      </c>
      <c r="L814" s="782"/>
      <c r="M814" s="380">
        <v>9</v>
      </c>
      <c r="N814" s="781" t="str">
        <f t="shared" si="91"/>
        <v>CONTRATO SIN SUSPENSIÓN</v>
      </c>
      <c r="O814" s="781"/>
    </row>
    <row r="815" spans="2:15">
      <c r="B815" s="319"/>
      <c r="C815" s="319"/>
      <c r="D815" s="320"/>
      <c r="E815" s="320"/>
      <c r="F815" s="320"/>
      <c r="G815" s="465" t="str">
        <f t="shared" si="87"/>
        <v/>
      </c>
      <c r="L815" s="782"/>
      <c r="M815" s="380">
        <v>10</v>
      </c>
      <c r="N815" s="781" t="str">
        <f t="shared" si="91"/>
        <v>CONTRATO SIN SUSPENSIÓN</v>
      </c>
      <c r="O815" s="781"/>
    </row>
    <row r="816" spans="2:15">
      <c r="B816" s="319"/>
      <c r="C816" s="319"/>
      <c r="D816" s="320"/>
      <c r="E816" s="320"/>
      <c r="F816" s="320"/>
      <c r="G816" s="465" t="str">
        <f t="shared" si="87"/>
        <v/>
      </c>
      <c r="L816" s="782">
        <v>82</v>
      </c>
      <c r="M816" s="380">
        <v>1</v>
      </c>
      <c r="N816" s="781" t="str">
        <f t="shared" ref="N816:N825" si="92">IF(SUMIFS($G$5:$G$1200,$B$5:$B$1200,$L$816,$C$5:$C$1200,$M816)=0,"CONTRATO SIN SUSPENSIÓN",ROUND(SUMIFS($G$5:$G$1200,$B$5:$B$1200,$L$816,$C$5:$C$1200,$M816),3))</f>
        <v>CONTRATO SIN SUSPENSIÓN</v>
      </c>
      <c r="O816" s="781"/>
    </row>
    <row r="817" spans="2:15">
      <c r="B817" s="319"/>
      <c r="C817" s="319"/>
      <c r="D817" s="320"/>
      <c r="E817" s="320"/>
      <c r="F817" s="320"/>
      <c r="G817" s="465" t="str">
        <f t="shared" si="87"/>
        <v/>
      </c>
      <c r="L817" s="782"/>
      <c r="M817" s="380">
        <v>2</v>
      </c>
      <c r="N817" s="781" t="str">
        <f t="shared" si="92"/>
        <v>CONTRATO SIN SUSPENSIÓN</v>
      </c>
      <c r="O817" s="781"/>
    </row>
    <row r="818" spans="2:15">
      <c r="B818" s="319"/>
      <c r="C818" s="319"/>
      <c r="D818" s="320"/>
      <c r="E818" s="320"/>
      <c r="F818" s="320"/>
      <c r="G818" s="465" t="str">
        <f t="shared" si="87"/>
        <v/>
      </c>
      <c r="L818" s="782"/>
      <c r="M818" s="380">
        <v>3</v>
      </c>
      <c r="N818" s="781" t="str">
        <f t="shared" si="92"/>
        <v>CONTRATO SIN SUSPENSIÓN</v>
      </c>
      <c r="O818" s="781"/>
    </row>
    <row r="819" spans="2:15">
      <c r="B819" s="319"/>
      <c r="C819" s="319"/>
      <c r="D819" s="320"/>
      <c r="E819" s="320"/>
      <c r="F819" s="320"/>
      <c r="G819" s="465" t="str">
        <f t="shared" si="87"/>
        <v/>
      </c>
      <c r="L819" s="782"/>
      <c r="M819" s="380">
        <v>4</v>
      </c>
      <c r="N819" s="781" t="str">
        <f t="shared" si="92"/>
        <v>CONTRATO SIN SUSPENSIÓN</v>
      </c>
      <c r="O819" s="781"/>
    </row>
    <row r="820" spans="2:15">
      <c r="B820" s="319"/>
      <c r="C820" s="319"/>
      <c r="D820" s="320"/>
      <c r="E820" s="320"/>
      <c r="F820" s="320"/>
      <c r="G820" s="465" t="str">
        <f t="shared" si="87"/>
        <v/>
      </c>
      <c r="L820" s="782"/>
      <c r="M820" s="380">
        <v>5</v>
      </c>
      <c r="N820" s="781" t="str">
        <f t="shared" si="92"/>
        <v>CONTRATO SIN SUSPENSIÓN</v>
      </c>
      <c r="O820" s="781"/>
    </row>
    <row r="821" spans="2:15">
      <c r="B821" s="319"/>
      <c r="C821" s="319"/>
      <c r="D821" s="320"/>
      <c r="E821" s="320"/>
      <c r="F821" s="320"/>
      <c r="G821" s="465" t="str">
        <f t="shared" si="87"/>
        <v/>
      </c>
      <c r="L821" s="782"/>
      <c r="M821" s="380">
        <v>6</v>
      </c>
      <c r="N821" s="781" t="str">
        <f t="shared" si="92"/>
        <v>CONTRATO SIN SUSPENSIÓN</v>
      </c>
      <c r="O821" s="781"/>
    </row>
    <row r="822" spans="2:15">
      <c r="B822" s="319"/>
      <c r="C822" s="319"/>
      <c r="D822" s="320"/>
      <c r="E822" s="320"/>
      <c r="F822" s="320"/>
      <c r="G822" s="465" t="str">
        <f t="shared" si="87"/>
        <v/>
      </c>
      <c r="L822" s="782"/>
      <c r="M822" s="380">
        <v>7</v>
      </c>
      <c r="N822" s="781" t="str">
        <f t="shared" si="92"/>
        <v>CONTRATO SIN SUSPENSIÓN</v>
      </c>
      <c r="O822" s="781"/>
    </row>
    <row r="823" spans="2:15">
      <c r="B823" s="319"/>
      <c r="C823" s="319"/>
      <c r="D823" s="320"/>
      <c r="E823" s="320"/>
      <c r="F823" s="320"/>
      <c r="G823" s="465" t="str">
        <f t="shared" si="87"/>
        <v/>
      </c>
      <c r="L823" s="782"/>
      <c r="M823" s="380">
        <v>8</v>
      </c>
      <c r="N823" s="781" t="str">
        <f t="shared" si="92"/>
        <v>CONTRATO SIN SUSPENSIÓN</v>
      </c>
      <c r="O823" s="781"/>
    </row>
    <row r="824" spans="2:15">
      <c r="B824" s="319"/>
      <c r="C824" s="319"/>
      <c r="D824" s="320"/>
      <c r="E824" s="320"/>
      <c r="F824" s="320"/>
      <c r="G824" s="465" t="str">
        <f t="shared" si="87"/>
        <v/>
      </c>
      <c r="L824" s="782"/>
      <c r="M824" s="380">
        <v>9</v>
      </c>
      <c r="N824" s="781" t="str">
        <f t="shared" si="92"/>
        <v>CONTRATO SIN SUSPENSIÓN</v>
      </c>
      <c r="O824" s="781"/>
    </row>
    <row r="825" spans="2:15">
      <c r="B825" s="319"/>
      <c r="C825" s="319"/>
      <c r="D825" s="320"/>
      <c r="E825" s="320"/>
      <c r="F825" s="320"/>
      <c r="G825" s="465" t="str">
        <f t="shared" si="87"/>
        <v/>
      </c>
      <c r="L825" s="782"/>
      <c r="M825" s="380">
        <v>10</v>
      </c>
      <c r="N825" s="781" t="str">
        <f t="shared" si="92"/>
        <v>CONTRATO SIN SUSPENSIÓN</v>
      </c>
      <c r="O825" s="781"/>
    </row>
    <row r="826" spans="2:15">
      <c r="B826" s="319"/>
      <c r="C826" s="319"/>
      <c r="D826" s="320"/>
      <c r="E826" s="320"/>
      <c r="F826" s="320"/>
      <c r="G826" s="465" t="str">
        <f t="shared" si="87"/>
        <v/>
      </c>
      <c r="L826" s="782">
        <v>83</v>
      </c>
      <c r="M826" s="380">
        <v>1</v>
      </c>
      <c r="N826" s="781" t="str">
        <f t="shared" ref="N826:N835" si="93">IF(SUMIFS($G$5:$G$1200,$B$5:$B$1200,$L$826,$C$5:$C$1200,$M826)=0,"CONTRATO SIN SUSPENSIÓN",ROUND(SUMIFS($G$5:$G$1200,$B$5:$B$1200,$L$826,$C$5:$C$1200,$M826),3))</f>
        <v>CONTRATO SIN SUSPENSIÓN</v>
      </c>
      <c r="O826" s="781"/>
    </row>
    <row r="827" spans="2:15">
      <c r="B827" s="319"/>
      <c r="C827" s="319"/>
      <c r="D827" s="320"/>
      <c r="E827" s="320"/>
      <c r="F827" s="320"/>
      <c r="G827" s="465" t="str">
        <f t="shared" si="87"/>
        <v/>
      </c>
      <c r="L827" s="782"/>
      <c r="M827" s="380">
        <v>2</v>
      </c>
      <c r="N827" s="781" t="str">
        <f t="shared" si="93"/>
        <v>CONTRATO SIN SUSPENSIÓN</v>
      </c>
      <c r="O827" s="781"/>
    </row>
    <row r="828" spans="2:15">
      <c r="B828" s="319"/>
      <c r="C828" s="319"/>
      <c r="D828" s="320"/>
      <c r="E828" s="320"/>
      <c r="F828" s="320"/>
      <c r="G828" s="465" t="str">
        <f t="shared" si="87"/>
        <v/>
      </c>
      <c r="L828" s="782"/>
      <c r="M828" s="380">
        <v>3</v>
      </c>
      <c r="N828" s="781" t="str">
        <f t="shared" si="93"/>
        <v>CONTRATO SIN SUSPENSIÓN</v>
      </c>
      <c r="O828" s="781"/>
    </row>
    <row r="829" spans="2:15">
      <c r="B829" s="319"/>
      <c r="C829" s="319"/>
      <c r="D829" s="320"/>
      <c r="E829" s="320"/>
      <c r="F829" s="320"/>
      <c r="G829" s="465" t="str">
        <f t="shared" si="87"/>
        <v/>
      </c>
      <c r="L829" s="782"/>
      <c r="M829" s="380">
        <v>4</v>
      </c>
      <c r="N829" s="781" t="str">
        <f t="shared" si="93"/>
        <v>CONTRATO SIN SUSPENSIÓN</v>
      </c>
      <c r="O829" s="781"/>
    </row>
    <row r="830" spans="2:15">
      <c r="B830" s="319"/>
      <c r="C830" s="319"/>
      <c r="D830" s="320"/>
      <c r="E830" s="320"/>
      <c r="F830" s="320"/>
      <c r="G830" s="465" t="str">
        <f t="shared" si="87"/>
        <v/>
      </c>
      <c r="L830" s="782"/>
      <c r="M830" s="380">
        <v>5</v>
      </c>
      <c r="N830" s="781" t="str">
        <f t="shared" si="93"/>
        <v>CONTRATO SIN SUSPENSIÓN</v>
      </c>
      <c r="O830" s="781"/>
    </row>
    <row r="831" spans="2:15">
      <c r="B831" s="319"/>
      <c r="C831" s="319"/>
      <c r="D831" s="320"/>
      <c r="E831" s="320"/>
      <c r="F831" s="320"/>
      <c r="G831" s="465" t="str">
        <f t="shared" si="87"/>
        <v/>
      </c>
      <c r="L831" s="782"/>
      <c r="M831" s="380">
        <v>6</v>
      </c>
      <c r="N831" s="781" t="str">
        <f t="shared" si="93"/>
        <v>CONTRATO SIN SUSPENSIÓN</v>
      </c>
      <c r="O831" s="781"/>
    </row>
    <row r="832" spans="2:15">
      <c r="B832" s="319"/>
      <c r="C832" s="319"/>
      <c r="D832" s="320"/>
      <c r="E832" s="320"/>
      <c r="F832" s="320"/>
      <c r="G832" s="465" t="str">
        <f t="shared" si="87"/>
        <v/>
      </c>
      <c r="L832" s="782"/>
      <c r="M832" s="380">
        <v>7</v>
      </c>
      <c r="N832" s="781" t="str">
        <f t="shared" si="93"/>
        <v>CONTRATO SIN SUSPENSIÓN</v>
      </c>
      <c r="O832" s="781"/>
    </row>
    <row r="833" spans="2:15">
      <c r="B833" s="319"/>
      <c r="C833" s="319"/>
      <c r="D833" s="320"/>
      <c r="E833" s="320"/>
      <c r="F833" s="320"/>
      <c r="G833" s="465" t="str">
        <f t="shared" si="87"/>
        <v/>
      </c>
      <c r="L833" s="782"/>
      <c r="M833" s="380">
        <v>8</v>
      </c>
      <c r="N833" s="781" t="str">
        <f t="shared" si="93"/>
        <v>CONTRATO SIN SUSPENSIÓN</v>
      </c>
      <c r="O833" s="781"/>
    </row>
    <row r="834" spans="2:15">
      <c r="B834" s="319"/>
      <c r="C834" s="319"/>
      <c r="D834" s="320"/>
      <c r="E834" s="320"/>
      <c r="F834" s="320"/>
      <c r="G834" s="465" t="str">
        <f t="shared" si="87"/>
        <v/>
      </c>
      <c r="L834" s="782"/>
      <c r="M834" s="380">
        <v>9</v>
      </c>
      <c r="N834" s="781" t="str">
        <f t="shared" si="93"/>
        <v>CONTRATO SIN SUSPENSIÓN</v>
      </c>
      <c r="O834" s="781"/>
    </row>
    <row r="835" spans="2:15">
      <c r="B835" s="319"/>
      <c r="C835" s="319"/>
      <c r="D835" s="320"/>
      <c r="E835" s="320"/>
      <c r="F835" s="320"/>
      <c r="G835" s="465" t="str">
        <f t="shared" si="87"/>
        <v/>
      </c>
      <c r="L835" s="782"/>
      <c r="M835" s="380">
        <v>10</v>
      </c>
      <c r="N835" s="781" t="str">
        <f t="shared" si="93"/>
        <v>CONTRATO SIN SUSPENSIÓN</v>
      </c>
      <c r="O835" s="781"/>
    </row>
    <row r="836" spans="2:15">
      <c r="B836" s="319"/>
      <c r="C836" s="319"/>
      <c r="D836" s="320"/>
      <c r="E836" s="320"/>
      <c r="F836" s="320"/>
      <c r="G836" s="465" t="str">
        <f t="shared" si="87"/>
        <v/>
      </c>
      <c r="L836" s="782">
        <v>84</v>
      </c>
      <c r="M836" s="380">
        <v>1</v>
      </c>
      <c r="N836" s="781" t="str">
        <f t="shared" ref="N836:N845" si="94">IF(SUMIFS($G$5:$G$1200,$B$5:$B$1200,$L$836,$C$5:$C$1200,$M836)=0,"CONTRATO SIN SUSPENSIÓN",ROUND(SUMIFS($G$5:$G$1200,$B$5:$B$1200,$L$836,$C$5:$C$1200,$M836),3))</f>
        <v>CONTRATO SIN SUSPENSIÓN</v>
      </c>
      <c r="O836" s="781"/>
    </row>
    <row r="837" spans="2:15">
      <c r="B837" s="319"/>
      <c r="C837" s="319"/>
      <c r="D837" s="320"/>
      <c r="E837" s="320"/>
      <c r="F837" s="320"/>
      <c r="G837" s="465" t="str">
        <f t="shared" si="87"/>
        <v/>
      </c>
      <c r="L837" s="782"/>
      <c r="M837" s="380">
        <v>2</v>
      </c>
      <c r="N837" s="781" t="str">
        <f t="shared" si="94"/>
        <v>CONTRATO SIN SUSPENSIÓN</v>
      </c>
      <c r="O837" s="781"/>
    </row>
    <row r="838" spans="2:15">
      <c r="B838" s="319"/>
      <c r="C838" s="319"/>
      <c r="D838" s="320"/>
      <c r="E838" s="320"/>
      <c r="F838" s="320"/>
      <c r="G838" s="465" t="str">
        <f t="shared" ref="G838:G901" si="95">IF(OR(AND(D838="",E838=""),AND(D838="",F838="")),"",IF(AND(D838&lt;&gt;"",E838&lt;&gt;"",F838&lt;&gt;""),"REVISAR CÁLCULO",IF(AND(D838&lt;&gt;"",F838&lt;&gt;""),ROUND(((F838-D838)/30),3),IF(AND(D838&lt;&gt;"",E838&lt;&gt;""),ROUND(((E838-D838+1)/30),3),""))))</f>
        <v/>
      </c>
      <c r="L838" s="782"/>
      <c r="M838" s="380">
        <v>3</v>
      </c>
      <c r="N838" s="781" t="str">
        <f t="shared" si="94"/>
        <v>CONTRATO SIN SUSPENSIÓN</v>
      </c>
      <c r="O838" s="781"/>
    </row>
    <row r="839" spans="2:15">
      <c r="B839" s="319"/>
      <c r="C839" s="319"/>
      <c r="D839" s="320"/>
      <c r="E839" s="320"/>
      <c r="F839" s="320"/>
      <c r="G839" s="465" t="str">
        <f t="shared" si="95"/>
        <v/>
      </c>
      <c r="L839" s="782"/>
      <c r="M839" s="380">
        <v>4</v>
      </c>
      <c r="N839" s="781" t="str">
        <f t="shared" si="94"/>
        <v>CONTRATO SIN SUSPENSIÓN</v>
      </c>
      <c r="O839" s="781"/>
    </row>
    <row r="840" spans="2:15">
      <c r="B840" s="319"/>
      <c r="C840" s="319"/>
      <c r="D840" s="320"/>
      <c r="E840" s="320"/>
      <c r="F840" s="320"/>
      <c r="G840" s="465" t="str">
        <f t="shared" si="95"/>
        <v/>
      </c>
      <c r="L840" s="782"/>
      <c r="M840" s="380">
        <v>5</v>
      </c>
      <c r="N840" s="781" t="str">
        <f t="shared" si="94"/>
        <v>CONTRATO SIN SUSPENSIÓN</v>
      </c>
      <c r="O840" s="781"/>
    </row>
    <row r="841" spans="2:15">
      <c r="B841" s="319"/>
      <c r="C841" s="319"/>
      <c r="D841" s="320"/>
      <c r="E841" s="320"/>
      <c r="F841" s="320"/>
      <c r="G841" s="465" t="str">
        <f t="shared" si="95"/>
        <v/>
      </c>
      <c r="L841" s="782"/>
      <c r="M841" s="380">
        <v>6</v>
      </c>
      <c r="N841" s="781" t="str">
        <f t="shared" si="94"/>
        <v>CONTRATO SIN SUSPENSIÓN</v>
      </c>
      <c r="O841" s="781"/>
    </row>
    <row r="842" spans="2:15">
      <c r="B842" s="319"/>
      <c r="C842" s="319"/>
      <c r="D842" s="320"/>
      <c r="E842" s="320"/>
      <c r="F842" s="320"/>
      <c r="G842" s="465" t="str">
        <f t="shared" si="95"/>
        <v/>
      </c>
      <c r="L842" s="782"/>
      <c r="M842" s="380">
        <v>7</v>
      </c>
      <c r="N842" s="781" t="str">
        <f t="shared" si="94"/>
        <v>CONTRATO SIN SUSPENSIÓN</v>
      </c>
      <c r="O842" s="781"/>
    </row>
    <row r="843" spans="2:15">
      <c r="B843" s="319"/>
      <c r="C843" s="319"/>
      <c r="D843" s="320"/>
      <c r="E843" s="320"/>
      <c r="F843" s="320"/>
      <c r="G843" s="465" t="str">
        <f t="shared" si="95"/>
        <v/>
      </c>
      <c r="L843" s="782"/>
      <c r="M843" s="380">
        <v>8</v>
      </c>
      <c r="N843" s="781" t="str">
        <f t="shared" si="94"/>
        <v>CONTRATO SIN SUSPENSIÓN</v>
      </c>
      <c r="O843" s="781"/>
    </row>
    <row r="844" spans="2:15">
      <c r="B844" s="319"/>
      <c r="C844" s="319"/>
      <c r="D844" s="320"/>
      <c r="E844" s="320"/>
      <c r="F844" s="320"/>
      <c r="G844" s="465" t="str">
        <f t="shared" si="95"/>
        <v/>
      </c>
      <c r="L844" s="782"/>
      <c r="M844" s="380">
        <v>9</v>
      </c>
      <c r="N844" s="781" t="str">
        <f t="shared" si="94"/>
        <v>CONTRATO SIN SUSPENSIÓN</v>
      </c>
      <c r="O844" s="781"/>
    </row>
    <row r="845" spans="2:15">
      <c r="B845" s="319"/>
      <c r="C845" s="319"/>
      <c r="D845" s="320"/>
      <c r="E845" s="320"/>
      <c r="F845" s="320"/>
      <c r="G845" s="465" t="str">
        <f t="shared" si="95"/>
        <v/>
      </c>
      <c r="L845" s="782"/>
      <c r="M845" s="380">
        <v>10</v>
      </c>
      <c r="N845" s="781" t="str">
        <f t="shared" si="94"/>
        <v>CONTRATO SIN SUSPENSIÓN</v>
      </c>
      <c r="O845" s="781"/>
    </row>
    <row r="846" spans="2:15">
      <c r="B846" s="319"/>
      <c r="C846" s="319"/>
      <c r="D846" s="320"/>
      <c r="E846" s="320"/>
      <c r="F846" s="320"/>
      <c r="G846" s="465" t="str">
        <f t="shared" si="95"/>
        <v/>
      </c>
      <c r="L846" s="782">
        <v>85</v>
      </c>
      <c r="M846" s="380">
        <v>1</v>
      </c>
      <c r="N846" s="781" t="str">
        <f t="shared" ref="N846:N855" si="96">IF(SUMIFS($G$5:$G$1200,$B$5:$B$1200,$L$846,$C$5:$C$1200,$M846)=0,"CONTRATO SIN SUSPENSIÓN",ROUND(SUMIFS($G$5:$G$1200,$B$5:$B$1200,$L$846,$C$5:$C$1200,$M846),3))</f>
        <v>CONTRATO SIN SUSPENSIÓN</v>
      </c>
      <c r="O846" s="781"/>
    </row>
    <row r="847" spans="2:15">
      <c r="B847" s="319"/>
      <c r="C847" s="319"/>
      <c r="D847" s="320"/>
      <c r="E847" s="320"/>
      <c r="F847" s="320"/>
      <c r="G847" s="465" t="str">
        <f t="shared" si="95"/>
        <v/>
      </c>
      <c r="L847" s="782"/>
      <c r="M847" s="380">
        <v>2</v>
      </c>
      <c r="N847" s="781" t="str">
        <f t="shared" si="96"/>
        <v>CONTRATO SIN SUSPENSIÓN</v>
      </c>
      <c r="O847" s="781"/>
    </row>
    <row r="848" spans="2:15">
      <c r="B848" s="319"/>
      <c r="C848" s="319"/>
      <c r="D848" s="320"/>
      <c r="E848" s="320"/>
      <c r="F848" s="320"/>
      <c r="G848" s="465" t="str">
        <f t="shared" si="95"/>
        <v/>
      </c>
      <c r="L848" s="782"/>
      <c r="M848" s="380">
        <v>3</v>
      </c>
      <c r="N848" s="781" t="str">
        <f t="shared" si="96"/>
        <v>CONTRATO SIN SUSPENSIÓN</v>
      </c>
      <c r="O848" s="781"/>
    </row>
    <row r="849" spans="2:15">
      <c r="B849" s="319"/>
      <c r="C849" s="319"/>
      <c r="D849" s="320"/>
      <c r="E849" s="320"/>
      <c r="F849" s="320"/>
      <c r="G849" s="465" t="str">
        <f t="shared" si="95"/>
        <v/>
      </c>
      <c r="L849" s="782"/>
      <c r="M849" s="380">
        <v>4</v>
      </c>
      <c r="N849" s="781" t="str">
        <f t="shared" si="96"/>
        <v>CONTRATO SIN SUSPENSIÓN</v>
      </c>
      <c r="O849" s="781"/>
    </row>
    <row r="850" spans="2:15">
      <c r="B850" s="319"/>
      <c r="C850" s="319"/>
      <c r="D850" s="320"/>
      <c r="E850" s="320"/>
      <c r="F850" s="320"/>
      <c r="G850" s="465" t="str">
        <f t="shared" si="95"/>
        <v/>
      </c>
      <c r="L850" s="782"/>
      <c r="M850" s="380">
        <v>5</v>
      </c>
      <c r="N850" s="781" t="str">
        <f t="shared" si="96"/>
        <v>CONTRATO SIN SUSPENSIÓN</v>
      </c>
      <c r="O850" s="781"/>
    </row>
    <row r="851" spans="2:15">
      <c r="B851" s="319"/>
      <c r="C851" s="319"/>
      <c r="D851" s="320"/>
      <c r="E851" s="320"/>
      <c r="F851" s="320"/>
      <c r="G851" s="465" t="str">
        <f t="shared" si="95"/>
        <v/>
      </c>
      <c r="L851" s="782"/>
      <c r="M851" s="380">
        <v>6</v>
      </c>
      <c r="N851" s="781" t="str">
        <f t="shared" si="96"/>
        <v>CONTRATO SIN SUSPENSIÓN</v>
      </c>
      <c r="O851" s="781"/>
    </row>
    <row r="852" spans="2:15">
      <c r="B852" s="319"/>
      <c r="C852" s="319"/>
      <c r="D852" s="320"/>
      <c r="E852" s="320"/>
      <c r="F852" s="320"/>
      <c r="G852" s="465" t="str">
        <f t="shared" si="95"/>
        <v/>
      </c>
      <c r="L852" s="782"/>
      <c r="M852" s="380">
        <v>7</v>
      </c>
      <c r="N852" s="781" t="str">
        <f t="shared" si="96"/>
        <v>CONTRATO SIN SUSPENSIÓN</v>
      </c>
      <c r="O852" s="781"/>
    </row>
    <row r="853" spans="2:15">
      <c r="B853" s="319"/>
      <c r="C853" s="319"/>
      <c r="D853" s="320"/>
      <c r="E853" s="320"/>
      <c r="F853" s="320"/>
      <c r="G853" s="465" t="str">
        <f t="shared" si="95"/>
        <v/>
      </c>
      <c r="L853" s="782"/>
      <c r="M853" s="380">
        <v>8</v>
      </c>
      <c r="N853" s="781" t="str">
        <f t="shared" si="96"/>
        <v>CONTRATO SIN SUSPENSIÓN</v>
      </c>
      <c r="O853" s="781"/>
    </row>
    <row r="854" spans="2:15">
      <c r="B854" s="319"/>
      <c r="C854" s="319"/>
      <c r="D854" s="320"/>
      <c r="E854" s="320"/>
      <c r="F854" s="320"/>
      <c r="G854" s="465" t="str">
        <f t="shared" si="95"/>
        <v/>
      </c>
      <c r="L854" s="782"/>
      <c r="M854" s="380">
        <v>9</v>
      </c>
      <c r="N854" s="781" t="str">
        <f t="shared" si="96"/>
        <v>CONTRATO SIN SUSPENSIÓN</v>
      </c>
      <c r="O854" s="781"/>
    </row>
    <row r="855" spans="2:15">
      <c r="B855" s="319"/>
      <c r="C855" s="319"/>
      <c r="D855" s="320"/>
      <c r="E855" s="320"/>
      <c r="F855" s="320"/>
      <c r="G855" s="465" t="str">
        <f t="shared" si="95"/>
        <v/>
      </c>
      <c r="L855" s="782"/>
      <c r="M855" s="380">
        <v>10</v>
      </c>
      <c r="N855" s="781" t="str">
        <f t="shared" si="96"/>
        <v>CONTRATO SIN SUSPENSIÓN</v>
      </c>
      <c r="O855" s="781"/>
    </row>
    <row r="856" spans="2:15">
      <c r="B856" s="319"/>
      <c r="C856" s="319"/>
      <c r="D856" s="320"/>
      <c r="E856" s="320"/>
      <c r="F856" s="320"/>
      <c r="G856" s="465" t="str">
        <f t="shared" si="95"/>
        <v/>
      </c>
      <c r="L856" s="782">
        <v>86</v>
      </c>
      <c r="M856" s="380">
        <v>1</v>
      </c>
      <c r="N856" s="781" t="str">
        <f t="shared" ref="N856:N865" si="97">IF(SUMIFS($G$5:$G$1200,$B$5:$B$1200,$L$856,$C$5:$C$1200,$M856)=0,"CONTRATO SIN SUSPENSIÓN",ROUND(SUMIFS($G$5:$G$1200,$B$5:$B$1200,$L$856,$C$5:$C$1200,$M856),3))</f>
        <v>CONTRATO SIN SUSPENSIÓN</v>
      </c>
      <c r="O856" s="781"/>
    </row>
    <row r="857" spans="2:15">
      <c r="B857" s="319"/>
      <c r="C857" s="319"/>
      <c r="D857" s="320"/>
      <c r="E857" s="320"/>
      <c r="F857" s="320"/>
      <c r="G857" s="465" t="str">
        <f t="shared" si="95"/>
        <v/>
      </c>
      <c r="L857" s="782"/>
      <c r="M857" s="380">
        <v>2</v>
      </c>
      <c r="N857" s="781" t="str">
        <f t="shared" si="97"/>
        <v>CONTRATO SIN SUSPENSIÓN</v>
      </c>
      <c r="O857" s="781"/>
    </row>
    <row r="858" spans="2:15">
      <c r="B858" s="319"/>
      <c r="C858" s="319"/>
      <c r="D858" s="320"/>
      <c r="E858" s="320"/>
      <c r="F858" s="320"/>
      <c r="G858" s="465" t="str">
        <f t="shared" si="95"/>
        <v/>
      </c>
      <c r="L858" s="782"/>
      <c r="M858" s="380">
        <v>3</v>
      </c>
      <c r="N858" s="781" t="str">
        <f t="shared" si="97"/>
        <v>CONTRATO SIN SUSPENSIÓN</v>
      </c>
      <c r="O858" s="781"/>
    </row>
    <row r="859" spans="2:15">
      <c r="B859" s="319"/>
      <c r="C859" s="319"/>
      <c r="D859" s="320"/>
      <c r="E859" s="320"/>
      <c r="F859" s="320"/>
      <c r="G859" s="465" t="str">
        <f t="shared" si="95"/>
        <v/>
      </c>
      <c r="L859" s="782"/>
      <c r="M859" s="380">
        <v>4</v>
      </c>
      <c r="N859" s="781" t="str">
        <f t="shared" si="97"/>
        <v>CONTRATO SIN SUSPENSIÓN</v>
      </c>
      <c r="O859" s="781"/>
    </row>
    <row r="860" spans="2:15">
      <c r="B860" s="319"/>
      <c r="C860" s="319"/>
      <c r="D860" s="320"/>
      <c r="E860" s="320"/>
      <c r="F860" s="320"/>
      <c r="G860" s="465" t="str">
        <f t="shared" si="95"/>
        <v/>
      </c>
      <c r="L860" s="782"/>
      <c r="M860" s="380">
        <v>5</v>
      </c>
      <c r="N860" s="781" t="str">
        <f t="shared" si="97"/>
        <v>CONTRATO SIN SUSPENSIÓN</v>
      </c>
      <c r="O860" s="781"/>
    </row>
    <row r="861" spans="2:15">
      <c r="B861" s="319"/>
      <c r="C861" s="319"/>
      <c r="D861" s="320"/>
      <c r="E861" s="320"/>
      <c r="F861" s="320"/>
      <c r="G861" s="465" t="str">
        <f t="shared" si="95"/>
        <v/>
      </c>
      <c r="L861" s="782"/>
      <c r="M861" s="380">
        <v>6</v>
      </c>
      <c r="N861" s="781" t="str">
        <f t="shared" si="97"/>
        <v>CONTRATO SIN SUSPENSIÓN</v>
      </c>
      <c r="O861" s="781"/>
    </row>
    <row r="862" spans="2:15">
      <c r="B862" s="319"/>
      <c r="C862" s="319"/>
      <c r="D862" s="320"/>
      <c r="E862" s="320"/>
      <c r="F862" s="320"/>
      <c r="G862" s="465" t="str">
        <f t="shared" si="95"/>
        <v/>
      </c>
      <c r="L862" s="782"/>
      <c r="M862" s="380">
        <v>7</v>
      </c>
      <c r="N862" s="781" t="str">
        <f t="shared" si="97"/>
        <v>CONTRATO SIN SUSPENSIÓN</v>
      </c>
      <c r="O862" s="781"/>
    </row>
    <row r="863" spans="2:15">
      <c r="B863" s="319"/>
      <c r="C863" s="319"/>
      <c r="D863" s="320"/>
      <c r="E863" s="320"/>
      <c r="F863" s="320"/>
      <c r="G863" s="465" t="str">
        <f t="shared" si="95"/>
        <v/>
      </c>
      <c r="L863" s="782"/>
      <c r="M863" s="380">
        <v>8</v>
      </c>
      <c r="N863" s="781" t="str">
        <f t="shared" si="97"/>
        <v>CONTRATO SIN SUSPENSIÓN</v>
      </c>
      <c r="O863" s="781"/>
    </row>
    <row r="864" spans="2:15">
      <c r="B864" s="319"/>
      <c r="C864" s="319"/>
      <c r="D864" s="320"/>
      <c r="E864" s="320"/>
      <c r="F864" s="320"/>
      <c r="G864" s="465" t="str">
        <f t="shared" si="95"/>
        <v/>
      </c>
      <c r="L864" s="782"/>
      <c r="M864" s="380">
        <v>9</v>
      </c>
      <c r="N864" s="781" t="str">
        <f t="shared" si="97"/>
        <v>CONTRATO SIN SUSPENSIÓN</v>
      </c>
      <c r="O864" s="781"/>
    </row>
    <row r="865" spans="2:15">
      <c r="B865" s="319"/>
      <c r="C865" s="319"/>
      <c r="D865" s="320"/>
      <c r="E865" s="320"/>
      <c r="F865" s="320"/>
      <c r="G865" s="465" t="str">
        <f t="shared" si="95"/>
        <v/>
      </c>
      <c r="L865" s="782"/>
      <c r="M865" s="380">
        <v>10</v>
      </c>
      <c r="N865" s="781" t="str">
        <f t="shared" si="97"/>
        <v>CONTRATO SIN SUSPENSIÓN</v>
      </c>
      <c r="O865" s="781"/>
    </row>
    <row r="866" spans="2:15">
      <c r="B866" s="319"/>
      <c r="C866" s="319"/>
      <c r="D866" s="320"/>
      <c r="E866" s="320"/>
      <c r="F866" s="320"/>
      <c r="G866" s="465" t="str">
        <f t="shared" si="95"/>
        <v/>
      </c>
      <c r="L866" s="782">
        <v>87</v>
      </c>
      <c r="M866" s="380">
        <v>1</v>
      </c>
      <c r="N866" s="781" t="str">
        <f t="shared" ref="N866:N875" si="98">IF(SUMIFS($G$5:$G$1200,$B$5:$B$1200,$L$866,$C$5:$C$1200,$M866)=0,"CONTRATO SIN SUSPENSIÓN",ROUND(SUMIFS($G$5:$G$1200,$B$5:$B$1200,$L$866,$C$5:$C$1200,$M866),3))</f>
        <v>CONTRATO SIN SUSPENSIÓN</v>
      </c>
      <c r="O866" s="781"/>
    </row>
    <row r="867" spans="2:15">
      <c r="B867" s="319"/>
      <c r="C867" s="319"/>
      <c r="D867" s="320"/>
      <c r="E867" s="320"/>
      <c r="F867" s="320"/>
      <c r="G867" s="465" t="str">
        <f t="shared" si="95"/>
        <v/>
      </c>
      <c r="L867" s="782"/>
      <c r="M867" s="380">
        <v>2</v>
      </c>
      <c r="N867" s="781" t="str">
        <f t="shared" si="98"/>
        <v>CONTRATO SIN SUSPENSIÓN</v>
      </c>
      <c r="O867" s="781"/>
    </row>
    <row r="868" spans="2:15">
      <c r="B868" s="319"/>
      <c r="C868" s="319"/>
      <c r="D868" s="320"/>
      <c r="E868" s="320"/>
      <c r="F868" s="320"/>
      <c r="G868" s="465" t="str">
        <f t="shared" si="95"/>
        <v/>
      </c>
      <c r="L868" s="782"/>
      <c r="M868" s="380">
        <v>3</v>
      </c>
      <c r="N868" s="781" t="str">
        <f t="shared" si="98"/>
        <v>CONTRATO SIN SUSPENSIÓN</v>
      </c>
      <c r="O868" s="781"/>
    </row>
    <row r="869" spans="2:15">
      <c r="B869" s="319"/>
      <c r="C869" s="319"/>
      <c r="D869" s="320"/>
      <c r="E869" s="320"/>
      <c r="F869" s="320"/>
      <c r="G869" s="465" t="str">
        <f t="shared" si="95"/>
        <v/>
      </c>
      <c r="L869" s="782"/>
      <c r="M869" s="380">
        <v>4</v>
      </c>
      <c r="N869" s="781" t="str">
        <f t="shared" si="98"/>
        <v>CONTRATO SIN SUSPENSIÓN</v>
      </c>
      <c r="O869" s="781"/>
    </row>
    <row r="870" spans="2:15">
      <c r="B870" s="319"/>
      <c r="C870" s="319"/>
      <c r="D870" s="320"/>
      <c r="E870" s="320"/>
      <c r="F870" s="320"/>
      <c r="G870" s="465" t="str">
        <f t="shared" si="95"/>
        <v/>
      </c>
      <c r="L870" s="782"/>
      <c r="M870" s="380">
        <v>5</v>
      </c>
      <c r="N870" s="781" t="str">
        <f t="shared" si="98"/>
        <v>CONTRATO SIN SUSPENSIÓN</v>
      </c>
      <c r="O870" s="781"/>
    </row>
    <row r="871" spans="2:15">
      <c r="B871" s="319"/>
      <c r="C871" s="319"/>
      <c r="D871" s="320"/>
      <c r="E871" s="320"/>
      <c r="F871" s="320"/>
      <c r="G871" s="465" t="str">
        <f t="shared" si="95"/>
        <v/>
      </c>
      <c r="L871" s="782"/>
      <c r="M871" s="380">
        <v>6</v>
      </c>
      <c r="N871" s="781" t="str">
        <f t="shared" si="98"/>
        <v>CONTRATO SIN SUSPENSIÓN</v>
      </c>
      <c r="O871" s="781"/>
    </row>
    <row r="872" spans="2:15">
      <c r="B872" s="319"/>
      <c r="C872" s="319"/>
      <c r="D872" s="320"/>
      <c r="E872" s="320"/>
      <c r="F872" s="320"/>
      <c r="G872" s="465" t="str">
        <f t="shared" si="95"/>
        <v/>
      </c>
      <c r="L872" s="782"/>
      <c r="M872" s="380">
        <v>7</v>
      </c>
      <c r="N872" s="781" t="str">
        <f t="shared" si="98"/>
        <v>CONTRATO SIN SUSPENSIÓN</v>
      </c>
      <c r="O872" s="781"/>
    </row>
    <row r="873" spans="2:15">
      <c r="B873" s="319"/>
      <c r="C873" s="319"/>
      <c r="D873" s="320"/>
      <c r="E873" s="320"/>
      <c r="F873" s="320"/>
      <c r="G873" s="465" t="str">
        <f t="shared" si="95"/>
        <v/>
      </c>
      <c r="L873" s="782"/>
      <c r="M873" s="380">
        <v>8</v>
      </c>
      <c r="N873" s="781" t="str">
        <f t="shared" si="98"/>
        <v>CONTRATO SIN SUSPENSIÓN</v>
      </c>
      <c r="O873" s="781"/>
    </row>
    <row r="874" spans="2:15">
      <c r="B874" s="319"/>
      <c r="C874" s="319"/>
      <c r="D874" s="320"/>
      <c r="E874" s="320"/>
      <c r="F874" s="320"/>
      <c r="G874" s="465" t="str">
        <f t="shared" si="95"/>
        <v/>
      </c>
      <c r="L874" s="782"/>
      <c r="M874" s="380">
        <v>9</v>
      </c>
      <c r="N874" s="781" t="str">
        <f t="shared" si="98"/>
        <v>CONTRATO SIN SUSPENSIÓN</v>
      </c>
      <c r="O874" s="781"/>
    </row>
    <row r="875" spans="2:15">
      <c r="B875" s="319"/>
      <c r="C875" s="319"/>
      <c r="D875" s="320"/>
      <c r="E875" s="320"/>
      <c r="F875" s="320"/>
      <c r="G875" s="465" t="str">
        <f t="shared" si="95"/>
        <v/>
      </c>
      <c r="L875" s="782"/>
      <c r="M875" s="380">
        <v>10</v>
      </c>
      <c r="N875" s="781" t="str">
        <f t="shared" si="98"/>
        <v>CONTRATO SIN SUSPENSIÓN</v>
      </c>
      <c r="O875" s="781"/>
    </row>
    <row r="876" spans="2:15">
      <c r="B876" s="319"/>
      <c r="C876" s="319"/>
      <c r="D876" s="320"/>
      <c r="E876" s="320"/>
      <c r="F876" s="320"/>
      <c r="G876" s="465" t="str">
        <f t="shared" si="95"/>
        <v/>
      </c>
      <c r="L876" s="782">
        <v>88</v>
      </c>
      <c r="M876" s="380">
        <v>1</v>
      </c>
      <c r="N876" s="781" t="str">
        <f t="shared" ref="N876:N885" si="99">IF(SUMIFS($G$5:$G$1200,$B$5:$B$1200,$L$876,$C$5:$C$1200,$M876)=0,"CONTRATO SIN SUSPENSIÓN",ROUND(SUMIFS($G$5:$G$1200,$B$5:$B$1200,$L$876,$C$5:$C$1200,$M876),3))</f>
        <v>CONTRATO SIN SUSPENSIÓN</v>
      </c>
      <c r="O876" s="781"/>
    </row>
    <row r="877" spans="2:15">
      <c r="B877" s="319"/>
      <c r="C877" s="319"/>
      <c r="D877" s="320"/>
      <c r="E877" s="320"/>
      <c r="F877" s="320"/>
      <c r="G877" s="465" t="str">
        <f t="shared" si="95"/>
        <v/>
      </c>
      <c r="L877" s="782"/>
      <c r="M877" s="380">
        <v>2</v>
      </c>
      <c r="N877" s="781" t="str">
        <f t="shared" si="99"/>
        <v>CONTRATO SIN SUSPENSIÓN</v>
      </c>
      <c r="O877" s="781"/>
    </row>
    <row r="878" spans="2:15">
      <c r="B878" s="319"/>
      <c r="C878" s="319"/>
      <c r="D878" s="320"/>
      <c r="E878" s="320"/>
      <c r="F878" s="320"/>
      <c r="G878" s="465" t="str">
        <f t="shared" si="95"/>
        <v/>
      </c>
      <c r="L878" s="782"/>
      <c r="M878" s="380">
        <v>3</v>
      </c>
      <c r="N878" s="781" t="str">
        <f t="shared" si="99"/>
        <v>CONTRATO SIN SUSPENSIÓN</v>
      </c>
      <c r="O878" s="781"/>
    </row>
    <row r="879" spans="2:15">
      <c r="B879" s="319"/>
      <c r="C879" s="319"/>
      <c r="D879" s="320"/>
      <c r="E879" s="320"/>
      <c r="F879" s="320"/>
      <c r="G879" s="465" t="str">
        <f t="shared" si="95"/>
        <v/>
      </c>
      <c r="L879" s="782"/>
      <c r="M879" s="380">
        <v>4</v>
      </c>
      <c r="N879" s="781" t="str">
        <f t="shared" si="99"/>
        <v>CONTRATO SIN SUSPENSIÓN</v>
      </c>
      <c r="O879" s="781"/>
    </row>
    <row r="880" spans="2:15">
      <c r="B880" s="319"/>
      <c r="C880" s="319"/>
      <c r="D880" s="320"/>
      <c r="E880" s="320"/>
      <c r="F880" s="320"/>
      <c r="G880" s="465" t="str">
        <f t="shared" si="95"/>
        <v/>
      </c>
      <c r="L880" s="782"/>
      <c r="M880" s="380">
        <v>5</v>
      </c>
      <c r="N880" s="781" t="str">
        <f t="shared" si="99"/>
        <v>CONTRATO SIN SUSPENSIÓN</v>
      </c>
      <c r="O880" s="781"/>
    </row>
    <row r="881" spans="2:15">
      <c r="B881" s="319"/>
      <c r="C881" s="319"/>
      <c r="D881" s="320"/>
      <c r="E881" s="320"/>
      <c r="F881" s="320"/>
      <c r="G881" s="465" t="str">
        <f t="shared" si="95"/>
        <v/>
      </c>
      <c r="L881" s="782"/>
      <c r="M881" s="380">
        <v>6</v>
      </c>
      <c r="N881" s="781" t="str">
        <f t="shared" si="99"/>
        <v>CONTRATO SIN SUSPENSIÓN</v>
      </c>
      <c r="O881" s="781"/>
    </row>
    <row r="882" spans="2:15">
      <c r="B882" s="319"/>
      <c r="C882" s="319"/>
      <c r="D882" s="320"/>
      <c r="E882" s="320"/>
      <c r="F882" s="320"/>
      <c r="G882" s="465" t="str">
        <f t="shared" si="95"/>
        <v/>
      </c>
      <c r="L882" s="782"/>
      <c r="M882" s="380">
        <v>7</v>
      </c>
      <c r="N882" s="781" t="str">
        <f t="shared" si="99"/>
        <v>CONTRATO SIN SUSPENSIÓN</v>
      </c>
      <c r="O882" s="781"/>
    </row>
    <row r="883" spans="2:15">
      <c r="B883" s="319"/>
      <c r="C883" s="319"/>
      <c r="D883" s="320"/>
      <c r="E883" s="320"/>
      <c r="F883" s="320"/>
      <c r="G883" s="465" t="str">
        <f t="shared" si="95"/>
        <v/>
      </c>
      <c r="L883" s="782"/>
      <c r="M883" s="380">
        <v>8</v>
      </c>
      <c r="N883" s="781" t="str">
        <f t="shared" si="99"/>
        <v>CONTRATO SIN SUSPENSIÓN</v>
      </c>
      <c r="O883" s="781"/>
    </row>
    <row r="884" spans="2:15">
      <c r="B884" s="319"/>
      <c r="C884" s="319"/>
      <c r="D884" s="320"/>
      <c r="E884" s="320"/>
      <c r="F884" s="320"/>
      <c r="G884" s="465" t="str">
        <f t="shared" si="95"/>
        <v/>
      </c>
      <c r="L884" s="782"/>
      <c r="M884" s="380">
        <v>9</v>
      </c>
      <c r="N884" s="781" t="str">
        <f t="shared" si="99"/>
        <v>CONTRATO SIN SUSPENSIÓN</v>
      </c>
      <c r="O884" s="781"/>
    </row>
    <row r="885" spans="2:15">
      <c r="B885" s="319"/>
      <c r="C885" s="319"/>
      <c r="D885" s="320"/>
      <c r="E885" s="320"/>
      <c r="F885" s="320"/>
      <c r="G885" s="465" t="str">
        <f t="shared" si="95"/>
        <v/>
      </c>
      <c r="L885" s="782"/>
      <c r="M885" s="380">
        <v>10</v>
      </c>
      <c r="N885" s="781" t="str">
        <f t="shared" si="99"/>
        <v>CONTRATO SIN SUSPENSIÓN</v>
      </c>
      <c r="O885" s="781"/>
    </row>
    <row r="886" spans="2:15">
      <c r="B886" s="319"/>
      <c r="C886" s="319"/>
      <c r="D886" s="320"/>
      <c r="E886" s="320"/>
      <c r="F886" s="320"/>
      <c r="G886" s="465" t="str">
        <f t="shared" si="95"/>
        <v/>
      </c>
      <c r="L886" s="782">
        <v>89</v>
      </c>
      <c r="M886" s="380">
        <v>1</v>
      </c>
      <c r="N886" s="781" t="str">
        <f t="shared" ref="N886:N895" si="100">IF(SUMIFS($G$5:$G$1200,$B$5:$B$1200,$L$886,$C$5:$C$1200,$M886)=0,"CONTRATO SIN SUSPENSIÓN",ROUND(SUMIFS($G$5:$G$1200,$B$5:$B$1200,$L$886,$C$5:$C$1200,$M886),3))</f>
        <v>CONTRATO SIN SUSPENSIÓN</v>
      </c>
      <c r="O886" s="781"/>
    </row>
    <row r="887" spans="2:15">
      <c r="B887" s="319"/>
      <c r="C887" s="319"/>
      <c r="D887" s="320"/>
      <c r="E887" s="320"/>
      <c r="F887" s="320"/>
      <c r="G887" s="465" t="str">
        <f t="shared" si="95"/>
        <v/>
      </c>
      <c r="L887" s="782"/>
      <c r="M887" s="380">
        <v>2</v>
      </c>
      <c r="N887" s="781" t="str">
        <f t="shared" si="100"/>
        <v>CONTRATO SIN SUSPENSIÓN</v>
      </c>
      <c r="O887" s="781"/>
    </row>
    <row r="888" spans="2:15">
      <c r="B888" s="319"/>
      <c r="C888" s="319"/>
      <c r="D888" s="320"/>
      <c r="E888" s="320"/>
      <c r="F888" s="320"/>
      <c r="G888" s="465" t="str">
        <f t="shared" si="95"/>
        <v/>
      </c>
      <c r="L888" s="782"/>
      <c r="M888" s="380">
        <v>3</v>
      </c>
      <c r="N888" s="781" t="str">
        <f t="shared" si="100"/>
        <v>CONTRATO SIN SUSPENSIÓN</v>
      </c>
      <c r="O888" s="781"/>
    </row>
    <row r="889" spans="2:15">
      <c r="B889" s="319"/>
      <c r="C889" s="319"/>
      <c r="D889" s="320"/>
      <c r="E889" s="320"/>
      <c r="F889" s="320"/>
      <c r="G889" s="465" t="str">
        <f t="shared" si="95"/>
        <v/>
      </c>
      <c r="L889" s="782"/>
      <c r="M889" s="380">
        <v>4</v>
      </c>
      <c r="N889" s="781" t="str">
        <f t="shared" si="100"/>
        <v>CONTRATO SIN SUSPENSIÓN</v>
      </c>
      <c r="O889" s="781"/>
    </row>
    <row r="890" spans="2:15">
      <c r="B890" s="319"/>
      <c r="C890" s="319"/>
      <c r="D890" s="320"/>
      <c r="E890" s="320"/>
      <c r="F890" s="320"/>
      <c r="G890" s="465" t="str">
        <f t="shared" si="95"/>
        <v/>
      </c>
      <c r="L890" s="782"/>
      <c r="M890" s="380">
        <v>5</v>
      </c>
      <c r="N890" s="781" t="str">
        <f t="shared" si="100"/>
        <v>CONTRATO SIN SUSPENSIÓN</v>
      </c>
      <c r="O890" s="781"/>
    </row>
    <row r="891" spans="2:15">
      <c r="B891" s="319"/>
      <c r="C891" s="319"/>
      <c r="D891" s="320"/>
      <c r="E891" s="320"/>
      <c r="F891" s="320"/>
      <c r="G891" s="465" t="str">
        <f t="shared" si="95"/>
        <v/>
      </c>
      <c r="L891" s="782"/>
      <c r="M891" s="380">
        <v>6</v>
      </c>
      <c r="N891" s="781" t="str">
        <f t="shared" si="100"/>
        <v>CONTRATO SIN SUSPENSIÓN</v>
      </c>
      <c r="O891" s="781"/>
    </row>
    <row r="892" spans="2:15">
      <c r="B892" s="319"/>
      <c r="C892" s="319"/>
      <c r="D892" s="320"/>
      <c r="E892" s="320"/>
      <c r="F892" s="320"/>
      <c r="G892" s="465" t="str">
        <f t="shared" si="95"/>
        <v/>
      </c>
      <c r="L892" s="782"/>
      <c r="M892" s="380">
        <v>7</v>
      </c>
      <c r="N892" s="781" t="str">
        <f t="shared" si="100"/>
        <v>CONTRATO SIN SUSPENSIÓN</v>
      </c>
      <c r="O892" s="781"/>
    </row>
    <row r="893" spans="2:15">
      <c r="B893" s="319"/>
      <c r="C893" s="319"/>
      <c r="D893" s="320"/>
      <c r="E893" s="320"/>
      <c r="F893" s="320"/>
      <c r="G893" s="465" t="str">
        <f t="shared" si="95"/>
        <v/>
      </c>
      <c r="L893" s="782"/>
      <c r="M893" s="380">
        <v>8</v>
      </c>
      <c r="N893" s="781" t="str">
        <f t="shared" si="100"/>
        <v>CONTRATO SIN SUSPENSIÓN</v>
      </c>
      <c r="O893" s="781"/>
    </row>
    <row r="894" spans="2:15">
      <c r="B894" s="319"/>
      <c r="C894" s="319"/>
      <c r="D894" s="320"/>
      <c r="E894" s="320"/>
      <c r="F894" s="320"/>
      <c r="G894" s="465" t="str">
        <f t="shared" si="95"/>
        <v/>
      </c>
      <c r="L894" s="782"/>
      <c r="M894" s="380">
        <v>9</v>
      </c>
      <c r="N894" s="781" t="str">
        <f t="shared" si="100"/>
        <v>CONTRATO SIN SUSPENSIÓN</v>
      </c>
      <c r="O894" s="781"/>
    </row>
    <row r="895" spans="2:15">
      <c r="B895" s="319"/>
      <c r="C895" s="319"/>
      <c r="D895" s="320"/>
      <c r="E895" s="320"/>
      <c r="F895" s="320"/>
      <c r="G895" s="465" t="str">
        <f t="shared" si="95"/>
        <v/>
      </c>
      <c r="L895" s="782"/>
      <c r="M895" s="380">
        <v>10</v>
      </c>
      <c r="N895" s="781" t="str">
        <f t="shared" si="100"/>
        <v>CONTRATO SIN SUSPENSIÓN</v>
      </c>
      <c r="O895" s="781"/>
    </row>
    <row r="896" spans="2:15">
      <c r="B896" s="319"/>
      <c r="C896" s="319"/>
      <c r="D896" s="320"/>
      <c r="E896" s="320"/>
      <c r="F896" s="320"/>
      <c r="G896" s="465" t="str">
        <f t="shared" si="95"/>
        <v/>
      </c>
      <c r="L896" s="782">
        <v>90</v>
      </c>
      <c r="M896" s="380">
        <v>1</v>
      </c>
      <c r="N896" s="781" t="str">
        <f t="shared" ref="N896:N905" si="101">IF(SUMIFS($G$5:$G$1200,$B$5:$B$1200,$L$896,$C$5:$C$1200,$M896)=0,"CONTRATO SIN SUSPENSIÓN",ROUND(SUMIFS($G$5:$G$1200,$B$5:$B$1200,$L$896,$C$5:$C$1200,$M896),3))</f>
        <v>CONTRATO SIN SUSPENSIÓN</v>
      </c>
      <c r="O896" s="781"/>
    </row>
    <row r="897" spans="2:15">
      <c r="B897" s="319"/>
      <c r="C897" s="319"/>
      <c r="D897" s="320"/>
      <c r="E897" s="320"/>
      <c r="F897" s="320"/>
      <c r="G897" s="465" t="str">
        <f t="shared" si="95"/>
        <v/>
      </c>
      <c r="L897" s="782"/>
      <c r="M897" s="380">
        <v>2</v>
      </c>
      <c r="N897" s="781" t="str">
        <f t="shared" si="101"/>
        <v>CONTRATO SIN SUSPENSIÓN</v>
      </c>
      <c r="O897" s="781"/>
    </row>
    <row r="898" spans="2:15">
      <c r="B898" s="319"/>
      <c r="C898" s="319"/>
      <c r="D898" s="320"/>
      <c r="E898" s="320"/>
      <c r="F898" s="320"/>
      <c r="G898" s="465" t="str">
        <f t="shared" si="95"/>
        <v/>
      </c>
      <c r="L898" s="782"/>
      <c r="M898" s="380">
        <v>3</v>
      </c>
      <c r="N898" s="781" t="str">
        <f t="shared" si="101"/>
        <v>CONTRATO SIN SUSPENSIÓN</v>
      </c>
      <c r="O898" s="781"/>
    </row>
    <row r="899" spans="2:15">
      <c r="B899" s="319"/>
      <c r="C899" s="319"/>
      <c r="D899" s="320"/>
      <c r="E899" s="320"/>
      <c r="F899" s="320"/>
      <c r="G899" s="465" t="str">
        <f t="shared" si="95"/>
        <v/>
      </c>
      <c r="L899" s="782"/>
      <c r="M899" s="380">
        <v>4</v>
      </c>
      <c r="N899" s="781" t="str">
        <f t="shared" si="101"/>
        <v>CONTRATO SIN SUSPENSIÓN</v>
      </c>
      <c r="O899" s="781"/>
    </row>
    <row r="900" spans="2:15">
      <c r="B900" s="319"/>
      <c r="C900" s="319"/>
      <c r="D900" s="320"/>
      <c r="E900" s="320"/>
      <c r="F900" s="320"/>
      <c r="G900" s="465" t="str">
        <f t="shared" si="95"/>
        <v/>
      </c>
      <c r="L900" s="782"/>
      <c r="M900" s="380">
        <v>5</v>
      </c>
      <c r="N900" s="781" t="str">
        <f t="shared" si="101"/>
        <v>CONTRATO SIN SUSPENSIÓN</v>
      </c>
      <c r="O900" s="781"/>
    </row>
    <row r="901" spans="2:15">
      <c r="B901" s="319"/>
      <c r="C901" s="319"/>
      <c r="D901" s="320"/>
      <c r="E901" s="320"/>
      <c r="F901" s="320"/>
      <c r="G901" s="465" t="str">
        <f t="shared" si="95"/>
        <v/>
      </c>
      <c r="L901" s="782"/>
      <c r="M901" s="380">
        <v>6</v>
      </c>
      <c r="N901" s="781" t="str">
        <f t="shared" si="101"/>
        <v>CONTRATO SIN SUSPENSIÓN</v>
      </c>
      <c r="O901" s="781"/>
    </row>
    <row r="902" spans="2:15">
      <c r="B902" s="319"/>
      <c r="C902" s="319"/>
      <c r="D902" s="320"/>
      <c r="E902" s="320"/>
      <c r="F902" s="320"/>
      <c r="G902" s="465" t="str">
        <f t="shared" ref="G902:G965" si="102">IF(OR(AND(D902="",E902=""),AND(D902="",F902="")),"",IF(AND(D902&lt;&gt;"",E902&lt;&gt;"",F902&lt;&gt;""),"REVISAR CÁLCULO",IF(AND(D902&lt;&gt;"",F902&lt;&gt;""),ROUND(((F902-D902)/30),3),IF(AND(D902&lt;&gt;"",E902&lt;&gt;""),ROUND(((E902-D902+1)/30),3),""))))</f>
        <v/>
      </c>
      <c r="L902" s="782"/>
      <c r="M902" s="380">
        <v>7</v>
      </c>
      <c r="N902" s="781" t="str">
        <f t="shared" si="101"/>
        <v>CONTRATO SIN SUSPENSIÓN</v>
      </c>
      <c r="O902" s="781"/>
    </row>
    <row r="903" spans="2:15">
      <c r="B903" s="319"/>
      <c r="C903" s="319"/>
      <c r="D903" s="320"/>
      <c r="E903" s="320"/>
      <c r="F903" s="320"/>
      <c r="G903" s="465" t="str">
        <f t="shared" si="102"/>
        <v/>
      </c>
      <c r="L903" s="782"/>
      <c r="M903" s="380">
        <v>8</v>
      </c>
      <c r="N903" s="781" t="str">
        <f t="shared" si="101"/>
        <v>CONTRATO SIN SUSPENSIÓN</v>
      </c>
      <c r="O903" s="781"/>
    </row>
    <row r="904" spans="2:15">
      <c r="B904" s="319"/>
      <c r="C904" s="319"/>
      <c r="D904" s="320"/>
      <c r="E904" s="320"/>
      <c r="F904" s="320"/>
      <c r="G904" s="465" t="str">
        <f t="shared" si="102"/>
        <v/>
      </c>
      <c r="L904" s="782"/>
      <c r="M904" s="380">
        <v>9</v>
      </c>
      <c r="N904" s="781" t="str">
        <f t="shared" si="101"/>
        <v>CONTRATO SIN SUSPENSIÓN</v>
      </c>
      <c r="O904" s="781"/>
    </row>
    <row r="905" spans="2:15">
      <c r="B905" s="319"/>
      <c r="C905" s="319"/>
      <c r="D905" s="320"/>
      <c r="E905" s="320"/>
      <c r="F905" s="320"/>
      <c r="G905" s="465" t="str">
        <f t="shared" si="102"/>
        <v/>
      </c>
      <c r="L905" s="782"/>
      <c r="M905" s="380">
        <v>10</v>
      </c>
      <c r="N905" s="781" t="str">
        <f t="shared" si="101"/>
        <v>CONTRATO SIN SUSPENSIÓN</v>
      </c>
      <c r="O905" s="781"/>
    </row>
    <row r="906" spans="2:15">
      <c r="B906" s="319"/>
      <c r="C906" s="319"/>
      <c r="D906" s="320"/>
      <c r="E906" s="320"/>
      <c r="F906" s="320"/>
      <c r="G906" s="465" t="str">
        <f t="shared" si="102"/>
        <v/>
      </c>
      <c r="L906" s="782">
        <v>91</v>
      </c>
      <c r="M906" s="380">
        <v>1</v>
      </c>
      <c r="N906" s="781" t="str">
        <f t="shared" ref="N906:N915" si="103">IF(SUMIFS($G$5:$G$1200,$B$5:$B$1200,$L$906,$C$5:$C$1200,$M906)=0,"CONTRATO SIN SUSPENSIÓN",ROUND(SUMIFS($G$5:$G$1200,$B$5:$B$1200,$L$906,$C$5:$C$1200,$M906),3))</f>
        <v>CONTRATO SIN SUSPENSIÓN</v>
      </c>
      <c r="O906" s="781"/>
    </row>
    <row r="907" spans="2:15">
      <c r="B907" s="319"/>
      <c r="C907" s="319"/>
      <c r="D907" s="320"/>
      <c r="E907" s="320"/>
      <c r="F907" s="320"/>
      <c r="G907" s="465" t="str">
        <f t="shared" si="102"/>
        <v/>
      </c>
      <c r="L907" s="782"/>
      <c r="M907" s="380">
        <v>2</v>
      </c>
      <c r="N907" s="781" t="str">
        <f t="shared" si="103"/>
        <v>CONTRATO SIN SUSPENSIÓN</v>
      </c>
      <c r="O907" s="781"/>
    </row>
    <row r="908" spans="2:15">
      <c r="B908" s="319"/>
      <c r="C908" s="319"/>
      <c r="D908" s="320"/>
      <c r="E908" s="320"/>
      <c r="F908" s="320"/>
      <c r="G908" s="465" t="str">
        <f t="shared" si="102"/>
        <v/>
      </c>
      <c r="L908" s="782"/>
      <c r="M908" s="380">
        <v>3</v>
      </c>
      <c r="N908" s="781" t="str">
        <f t="shared" si="103"/>
        <v>CONTRATO SIN SUSPENSIÓN</v>
      </c>
      <c r="O908" s="781"/>
    </row>
    <row r="909" spans="2:15">
      <c r="B909" s="319"/>
      <c r="C909" s="319"/>
      <c r="D909" s="320"/>
      <c r="E909" s="320"/>
      <c r="F909" s="320"/>
      <c r="G909" s="465" t="str">
        <f t="shared" si="102"/>
        <v/>
      </c>
      <c r="L909" s="782"/>
      <c r="M909" s="380">
        <v>4</v>
      </c>
      <c r="N909" s="781" t="str">
        <f t="shared" si="103"/>
        <v>CONTRATO SIN SUSPENSIÓN</v>
      </c>
      <c r="O909" s="781"/>
    </row>
    <row r="910" spans="2:15">
      <c r="B910" s="319"/>
      <c r="C910" s="319"/>
      <c r="D910" s="320"/>
      <c r="E910" s="320"/>
      <c r="F910" s="320"/>
      <c r="G910" s="465" t="str">
        <f t="shared" si="102"/>
        <v/>
      </c>
      <c r="L910" s="782"/>
      <c r="M910" s="380">
        <v>5</v>
      </c>
      <c r="N910" s="781" t="str">
        <f t="shared" si="103"/>
        <v>CONTRATO SIN SUSPENSIÓN</v>
      </c>
      <c r="O910" s="781"/>
    </row>
    <row r="911" spans="2:15">
      <c r="B911" s="319"/>
      <c r="C911" s="319"/>
      <c r="D911" s="320"/>
      <c r="E911" s="320"/>
      <c r="F911" s="320"/>
      <c r="G911" s="465" t="str">
        <f t="shared" si="102"/>
        <v/>
      </c>
      <c r="L911" s="782"/>
      <c r="M911" s="380">
        <v>6</v>
      </c>
      <c r="N911" s="781" t="str">
        <f t="shared" si="103"/>
        <v>CONTRATO SIN SUSPENSIÓN</v>
      </c>
      <c r="O911" s="781"/>
    </row>
    <row r="912" spans="2:15">
      <c r="B912" s="319"/>
      <c r="C912" s="319"/>
      <c r="D912" s="320"/>
      <c r="E912" s="320"/>
      <c r="F912" s="320"/>
      <c r="G912" s="465" t="str">
        <f t="shared" si="102"/>
        <v/>
      </c>
      <c r="L912" s="782"/>
      <c r="M912" s="380">
        <v>7</v>
      </c>
      <c r="N912" s="781" t="str">
        <f t="shared" si="103"/>
        <v>CONTRATO SIN SUSPENSIÓN</v>
      </c>
      <c r="O912" s="781"/>
    </row>
    <row r="913" spans="2:15">
      <c r="B913" s="319"/>
      <c r="C913" s="319"/>
      <c r="D913" s="320"/>
      <c r="E913" s="320"/>
      <c r="F913" s="320"/>
      <c r="G913" s="465" t="str">
        <f t="shared" si="102"/>
        <v/>
      </c>
      <c r="L913" s="782"/>
      <c r="M913" s="380">
        <v>8</v>
      </c>
      <c r="N913" s="781" t="str">
        <f t="shared" si="103"/>
        <v>CONTRATO SIN SUSPENSIÓN</v>
      </c>
      <c r="O913" s="781"/>
    </row>
    <row r="914" spans="2:15">
      <c r="B914" s="319"/>
      <c r="C914" s="319"/>
      <c r="D914" s="320"/>
      <c r="E914" s="320"/>
      <c r="F914" s="320"/>
      <c r="G914" s="465" t="str">
        <f t="shared" si="102"/>
        <v/>
      </c>
      <c r="L914" s="782"/>
      <c r="M914" s="380">
        <v>9</v>
      </c>
      <c r="N914" s="781" t="str">
        <f t="shared" si="103"/>
        <v>CONTRATO SIN SUSPENSIÓN</v>
      </c>
      <c r="O914" s="781"/>
    </row>
    <row r="915" spans="2:15">
      <c r="B915" s="319"/>
      <c r="C915" s="319"/>
      <c r="D915" s="320"/>
      <c r="E915" s="320"/>
      <c r="F915" s="320"/>
      <c r="G915" s="465" t="str">
        <f t="shared" si="102"/>
        <v/>
      </c>
      <c r="L915" s="782"/>
      <c r="M915" s="380">
        <v>10</v>
      </c>
      <c r="N915" s="781" t="str">
        <f t="shared" si="103"/>
        <v>CONTRATO SIN SUSPENSIÓN</v>
      </c>
      <c r="O915" s="781"/>
    </row>
    <row r="916" spans="2:15">
      <c r="B916" s="319"/>
      <c r="C916" s="319"/>
      <c r="D916" s="320"/>
      <c r="E916" s="320"/>
      <c r="F916" s="320"/>
      <c r="G916" s="465" t="str">
        <f t="shared" si="102"/>
        <v/>
      </c>
      <c r="L916" s="782">
        <v>92</v>
      </c>
      <c r="M916" s="380">
        <v>1</v>
      </c>
      <c r="N916" s="781" t="str">
        <f t="shared" ref="N916:N925" si="104">IF(SUMIFS($G$5:$G$1200,$B$5:$B$1200,$L$916,$C$5:$C$1200,$M916)=0,"CONTRATO SIN SUSPENSIÓN",ROUND(SUMIFS($G$5:$G$1200,$B$5:$B$1200,$L$916,$C$5:$C$1200,$M916),3))</f>
        <v>CONTRATO SIN SUSPENSIÓN</v>
      </c>
      <c r="O916" s="781"/>
    </row>
    <row r="917" spans="2:15">
      <c r="B917" s="319"/>
      <c r="C917" s="319"/>
      <c r="D917" s="320"/>
      <c r="E917" s="320"/>
      <c r="F917" s="320"/>
      <c r="G917" s="465" t="str">
        <f t="shared" si="102"/>
        <v/>
      </c>
      <c r="L917" s="782"/>
      <c r="M917" s="380">
        <v>2</v>
      </c>
      <c r="N917" s="781" t="str">
        <f t="shared" si="104"/>
        <v>CONTRATO SIN SUSPENSIÓN</v>
      </c>
      <c r="O917" s="781"/>
    </row>
    <row r="918" spans="2:15">
      <c r="B918" s="319"/>
      <c r="C918" s="319"/>
      <c r="D918" s="320"/>
      <c r="E918" s="320"/>
      <c r="F918" s="320"/>
      <c r="G918" s="465" t="str">
        <f t="shared" si="102"/>
        <v/>
      </c>
      <c r="L918" s="782"/>
      <c r="M918" s="380">
        <v>3</v>
      </c>
      <c r="N918" s="781" t="str">
        <f t="shared" si="104"/>
        <v>CONTRATO SIN SUSPENSIÓN</v>
      </c>
      <c r="O918" s="781"/>
    </row>
    <row r="919" spans="2:15">
      <c r="B919" s="319"/>
      <c r="C919" s="319"/>
      <c r="D919" s="320"/>
      <c r="E919" s="320"/>
      <c r="F919" s="320"/>
      <c r="G919" s="465" t="str">
        <f t="shared" si="102"/>
        <v/>
      </c>
      <c r="L919" s="782"/>
      <c r="M919" s="380">
        <v>4</v>
      </c>
      <c r="N919" s="781" t="str">
        <f t="shared" si="104"/>
        <v>CONTRATO SIN SUSPENSIÓN</v>
      </c>
      <c r="O919" s="781"/>
    </row>
    <row r="920" spans="2:15">
      <c r="B920" s="319"/>
      <c r="C920" s="319"/>
      <c r="D920" s="320"/>
      <c r="E920" s="320"/>
      <c r="F920" s="320"/>
      <c r="G920" s="465" t="str">
        <f t="shared" si="102"/>
        <v/>
      </c>
      <c r="L920" s="782"/>
      <c r="M920" s="380">
        <v>5</v>
      </c>
      <c r="N920" s="781" t="str">
        <f t="shared" si="104"/>
        <v>CONTRATO SIN SUSPENSIÓN</v>
      </c>
      <c r="O920" s="781"/>
    </row>
    <row r="921" spans="2:15">
      <c r="B921" s="319"/>
      <c r="C921" s="319"/>
      <c r="D921" s="320"/>
      <c r="E921" s="320"/>
      <c r="F921" s="320"/>
      <c r="G921" s="465" t="str">
        <f t="shared" si="102"/>
        <v/>
      </c>
      <c r="L921" s="782"/>
      <c r="M921" s="380">
        <v>6</v>
      </c>
      <c r="N921" s="781" t="str">
        <f t="shared" si="104"/>
        <v>CONTRATO SIN SUSPENSIÓN</v>
      </c>
      <c r="O921" s="781"/>
    </row>
    <row r="922" spans="2:15">
      <c r="B922" s="319"/>
      <c r="C922" s="319"/>
      <c r="D922" s="320"/>
      <c r="E922" s="320"/>
      <c r="F922" s="320"/>
      <c r="G922" s="465" t="str">
        <f t="shared" si="102"/>
        <v/>
      </c>
      <c r="L922" s="782"/>
      <c r="M922" s="380">
        <v>7</v>
      </c>
      <c r="N922" s="781" t="str">
        <f t="shared" si="104"/>
        <v>CONTRATO SIN SUSPENSIÓN</v>
      </c>
      <c r="O922" s="781"/>
    </row>
    <row r="923" spans="2:15">
      <c r="B923" s="319"/>
      <c r="C923" s="319"/>
      <c r="D923" s="320"/>
      <c r="E923" s="320"/>
      <c r="F923" s="320"/>
      <c r="G923" s="465" t="str">
        <f t="shared" si="102"/>
        <v/>
      </c>
      <c r="L923" s="782"/>
      <c r="M923" s="380">
        <v>8</v>
      </c>
      <c r="N923" s="781" t="str">
        <f t="shared" si="104"/>
        <v>CONTRATO SIN SUSPENSIÓN</v>
      </c>
      <c r="O923" s="781"/>
    </row>
    <row r="924" spans="2:15">
      <c r="B924" s="319"/>
      <c r="C924" s="319"/>
      <c r="D924" s="320"/>
      <c r="E924" s="320"/>
      <c r="F924" s="320"/>
      <c r="G924" s="465" t="str">
        <f t="shared" si="102"/>
        <v/>
      </c>
      <c r="L924" s="782"/>
      <c r="M924" s="380">
        <v>9</v>
      </c>
      <c r="N924" s="781" t="str">
        <f t="shared" si="104"/>
        <v>CONTRATO SIN SUSPENSIÓN</v>
      </c>
      <c r="O924" s="781"/>
    </row>
    <row r="925" spans="2:15">
      <c r="B925" s="319"/>
      <c r="C925" s="319"/>
      <c r="D925" s="320"/>
      <c r="E925" s="320"/>
      <c r="F925" s="320"/>
      <c r="G925" s="465" t="str">
        <f t="shared" si="102"/>
        <v/>
      </c>
      <c r="L925" s="782"/>
      <c r="M925" s="380">
        <v>10</v>
      </c>
      <c r="N925" s="781" t="str">
        <f t="shared" si="104"/>
        <v>CONTRATO SIN SUSPENSIÓN</v>
      </c>
      <c r="O925" s="781"/>
    </row>
    <row r="926" spans="2:15">
      <c r="B926" s="319"/>
      <c r="C926" s="319"/>
      <c r="D926" s="320"/>
      <c r="E926" s="320"/>
      <c r="F926" s="320"/>
      <c r="G926" s="465" t="str">
        <f t="shared" si="102"/>
        <v/>
      </c>
      <c r="L926" s="782">
        <v>93</v>
      </c>
      <c r="M926" s="380">
        <v>1</v>
      </c>
      <c r="N926" s="781" t="str">
        <f t="shared" ref="N926:N935" si="105">IF(SUMIFS($G$5:$G$1200,$B$5:$B$1200,$L$926,$C$5:$C$1200,$M926)=0,"CONTRATO SIN SUSPENSIÓN",ROUND(SUMIFS($G$5:$G$1200,$B$5:$B$1200,$L$926,$C$5:$C$1200,$M926),3))</f>
        <v>CONTRATO SIN SUSPENSIÓN</v>
      </c>
      <c r="O926" s="781"/>
    </row>
    <row r="927" spans="2:15">
      <c r="B927" s="319"/>
      <c r="C927" s="319"/>
      <c r="D927" s="320"/>
      <c r="E927" s="320"/>
      <c r="F927" s="320"/>
      <c r="G927" s="465" t="str">
        <f t="shared" si="102"/>
        <v/>
      </c>
      <c r="L927" s="782"/>
      <c r="M927" s="380">
        <v>2</v>
      </c>
      <c r="N927" s="781" t="str">
        <f t="shared" si="105"/>
        <v>CONTRATO SIN SUSPENSIÓN</v>
      </c>
      <c r="O927" s="781"/>
    </row>
    <row r="928" spans="2:15">
      <c r="B928" s="319"/>
      <c r="C928" s="319"/>
      <c r="D928" s="320"/>
      <c r="E928" s="320"/>
      <c r="F928" s="320"/>
      <c r="G928" s="465" t="str">
        <f t="shared" si="102"/>
        <v/>
      </c>
      <c r="L928" s="782"/>
      <c r="M928" s="380">
        <v>3</v>
      </c>
      <c r="N928" s="781" t="str">
        <f t="shared" si="105"/>
        <v>CONTRATO SIN SUSPENSIÓN</v>
      </c>
      <c r="O928" s="781"/>
    </row>
    <row r="929" spans="2:15">
      <c r="B929" s="319"/>
      <c r="C929" s="319"/>
      <c r="D929" s="320"/>
      <c r="E929" s="320"/>
      <c r="F929" s="320"/>
      <c r="G929" s="465" t="str">
        <f t="shared" si="102"/>
        <v/>
      </c>
      <c r="L929" s="782"/>
      <c r="M929" s="380">
        <v>4</v>
      </c>
      <c r="N929" s="781" t="str">
        <f t="shared" si="105"/>
        <v>CONTRATO SIN SUSPENSIÓN</v>
      </c>
      <c r="O929" s="781"/>
    </row>
    <row r="930" spans="2:15">
      <c r="B930" s="319"/>
      <c r="C930" s="319"/>
      <c r="D930" s="320"/>
      <c r="E930" s="320"/>
      <c r="F930" s="320"/>
      <c r="G930" s="465" t="str">
        <f t="shared" si="102"/>
        <v/>
      </c>
      <c r="L930" s="782"/>
      <c r="M930" s="380">
        <v>5</v>
      </c>
      <c r="N930" s="781" t="str">
        <f t="shared" si="105"/>
        <v>CONTRATO SIN SUSPENSIÓN</v>
      </c>
      <c r="O930" s="781"/>
    </row>
    <row r="931" spans="2:15">
      <c r="B931" s="319"/>
      <c r="C931" s="319"/>
      <c r="D931" s="320"/>
      <c r="E931" s="320"/>
      <c r="F931" s="320"/>
      <c r="G931" s="465" t="str">
        <f t="shared" si="102"/>
        <v/>
      </c>
      <c r="L931" s="782"/>
      <c r="M931" s="380">
        <v>6</v>
      </c>
      <c r="N931" s="781" t="str">
        <f t="shared" si="105"/>
        <v>CONTRATO SIN SUSPENSIÓN</v>
      </c>
      <c r="O931" s="781"/>
    </row>
    <row r="932" spans="2:15">
      <c r="B932" s="319"/>
      <c r="C932" s="319"/>
      <c r="D932" s="320"/>
      <c r="E932" s="320"/>
      <c r="F932" s="320"/>
      <c r="G932" s="465" t="str">
        <f t="shared" si="102"/>
        <v/>
      </c>
      <c r="L932" s="782"/>
      <c r="M932" s="380">
        <v>7</v>
      </c>
      <c r="N932" s="781" t="str">
        <f t="shared" si="105"/>
        <v>CONTRATO SIN SUSPENSIÓN</v>
      </c>
      <c r="O932" s="781"/>
    </row>
    <row r="933" spans="2:15">
      <c r="B933" s="319"/>
      <c r="C933" s="319"/>
      <c r="D933" s="320"/>
      <c r="E933" s="320"/>
      <c r="F933" s="320"/>
      <c r="G933" s="465" t="str">
        <f t="shared" si="102"/>
        <v/>
      </c>
      <c r="L933" s="782"/>
      <c r="M933" s="380">
        <v>8</v>
      </c>
      <c r="N933" s="781" t="str">
        <f t="shared" si="105"/>
        <v>CONTRATO SIN SUSPENSIÓN</v>
      </c>
      <c r="O933" s="781"/>
    </row>
    <row r="934" spans="2:15">
      <c r="B934" s="319"/>
      <c r="C934" s="319"/>
      <c r="D934" s="320"/>
      <c r="E934" s="320"/>
      <c r="F934" s="320"/>
      <c r="G934" s="465" t="str">
        <f t="shared" si="102"/>
        <v/>
      </c>
      <c r="L934" s="782"/>
      <c r="M934" s="380">
        <v>9</v>
      </c>
      <c r="N934" s="781" t="str">
        <f t="shared" si="105"/>
        <v>CONTRATO SIN SUSPENSIÓN</v>
      </c>
      <c r="O934" s="781"/>
    </row>
    <row r="935" spans="2:15">
      <c r="B935" s="319"/>
      <c r="C935" s="319"/>
      <c r="D935" s="320"/>
      <c r="E935" s="320"/>
      <c r="F935" s="320"/>
      <c r="G935" s="465" t="str">
        <f t="shared" si="102"/>
        <v/>
      </c>
      <c r="L935" s="782"/>
      <c r="M935" s="380">
        <v>10</v>
      </c>
      <c r="N935" s="781" t="str">
        <f t="shared" si="105"/>
        <v>CONTRATO SIN SUSPENSIÓN</v>
      </c>
      <c r="O935" s="781"/>
    </row>
    <row r="936" spans="2:15">
      <c r="B936" s="319"/>
      <c r="C936" s="319"/>
      <c r="D936" s="320"/>
      <c r="E936" s="320"/>
      <c r="F936" s="320"/>
      <c r="G936" s="465" t="str">
        <f t="shared" si="102"/>
        <v/>
      </c>
      <c r="L936" s="782">
        <v>94</v>
      </c>
      <c r="M936" s="380">
        <v>1</v>
      </c>
      <c r="N936" s="781" t="str">
        <f t="shared" ref="N936:N945" si="106">IF(SUMIFS($G$5:$G$1200,$B$5:$B$1200,$L$936,$C$5:$C$1200,$M936)=0,"CONTRATO SIN SUSPENSIÓN",ROUND(SUMIFS($G$5:$G$1200,$B$5:$B$1200,$L$936,$C$5:$C$1200,$M936),3))</f>
        <v>CONTRATO SIN SUSPENSIÓN</v>
      </c>
      <c r="O936" s="781"/>
    </row>
    <row r="937" spans="2:15">
      <c r="B937" s="319"/>
      <c r="C937" s="319"/>
      <c r="D937" s="320"/>
      <c r="E937" s="320"/>
      <c r="F937" s="320"/>
      <c r="G937" s="465" t="str">
        <f t="shared" si="102"/>
        <v/>
      </c>
      <c r="L937" s="782"/>
      <c r="M937" s="380">
        <v>2</v>
      </c>
      <c r="N937" s="781" t="str">
        <f t="shared" si="106"/>
        <v>CONTRATO SIN SUSPENSIÓN</v>
      </c>
      <c r="O937" s="781"/>
    </row>
    <row r="938" spans="2:15">
      <c r="B938" s="319"/>
      <c r="C938" s="319"/>
      <c r="D938" s="320"/>
      <c r="E938" s="320"/>
      <c r="F938" s="320"/>
      <c r="G938" s="465" t="str">
        <f t="shared" si="102"/>
        <v/>
      </c>
      <c r="L938" s="782"/>
      <c r="M938" s="380">
        <v>3</v>
      </c>
      <c r="N938" s="781" t="str">
        <f t="shared" si="106"/>
        <v>CONTRATO SIN SUSPENSIÓN</v>
      </c>
      <c r="O938" s="781"/>
    </row>
    <row r="939" spans="2:15">
      <c r="B939" s="319"/>
      <c r="C939" s="319"/>
      <c r="D939" s="320"/>
      <c r="E939" s="320"/>
      <c r="F939" s="320"/>
      <c r="G939" s="465" t="str">
        <f t="shared" si="102"/>
        <v/>
      </c>
      <c r="L939" s="782"/>
      <c r="M939" s="380">
        <v>4</v>
      </c>
      <c r="N939" s="781" t="str">
        <f t="shared" si="106"/>
        <v>CONTRATO SIN SUSPENSIÓN</v>
      </c>
      <c r="O939" s="781"/>
    </row>
    <row r="940" spans="2:15">
      <c r="B940" s="319"/>
      <c r="C940" s="319"/>
      <c r="D940" s="320"/>
      <c r="E940" s="320"/>
      <c r="F940" s="320"/>
      <c r="G940" s="465" t="str">
        <f t="shared" si="102"/>
        <v/>
      </c>
      <c r="L940" s="782"/>
      <c r="M940" s="380">
        <v>5</v>
      </c>
      <c r="N940" s="781" t="str">
        <f t="shared" si="106"/>
        <v>CONTRATO SIN SUSPENSIÓN</v>
      </c>
      <c r="O940" s="781"/>
    </row>
    <row r="941" spans="2:15">
      <c r="B941" s="319"/>
      <c r="C941" s="319"/>
      <c r="D941" s="320"/>
      <c r="E941" s="320"/>
      <c r="F941" s="320"/>
      <c r="G941" s="465" t="str">
        <f t="shared" si="102"/>
        <v/>
      </c>
      <c r="L941" s="782"/>
      <c r="M941" s="380">
        <v>6</v>
      </c>
      <c r="N941" s="781" t="str">
        <f t="shared" si="106"/>
        <v>CONTRATO SIN SUSPENSIÓN</v>
      </c>
      <c r="O941" s="781"/>
    </row>
    <row r="942" spans="2:15">
      <c r="B942" s="319"/>
      <c r="C942" s="319"/>
      <c r="D942" s="320"/>
      <c r="E942" s="320"/>
      <c r="F942" s="320"/>
      <c r="G942" s="465" t="str">
        <f t="shared" si="102"/>
        <v/>
      </c>
      <c r="L942" s="782"/>
      <c r="M942" s="380">
        <v>7</v>
      </c>
      <c r="N942" s="781" t="str">
        <f t="shared" si="106"/>
        <v>CONTRATO SIN SUSPENSIÓN</v>
      </c>
      <c r="O942" s="781"/>
    </row>
    <row r="943" spans="2:15">
      <c r="B943" s="319"/>
      <c r="C943" s="319"/>
      <c r="D943" s="320"/>
      <c r="E943" s="320"/>
      <c r="F943" s="320"/>
      <c r="G943" s="465" t="str">
        <f t="shared" si="102"/>
        <v/>
      </c>
      <c r="L943" s="782"/>
      <c r="M943" s="380">
        <v>8</v>
      </c>
      <c r="N943" s="781" t="str">
        <f t="shared" si="106"/>
        <v>CONTRATO SIN SUSPENSIÓN</v>
      </c>
      <c r="O943" s="781"/>
    </row>
    <row r="944" spans="2:15">
      <c r="B944" s="319"/>
      <c r="C944" s="319"/>
      <c r="D944" s="320"/>
      <c r="E944" s="320"/>
      <c r="F944" s="320"/>
      <c r="G944" s="465" t="str">
        <f t="shared" si="102"/>
        <v/>
      </c>
      <c r="L944" s="782"/>
      <c r="M944" s="380">
        <v>9</v>
      </c>
      <c r="N944" s="781" t="str">
        <f t="shared" si="106"/>
        <v>CONTRATO SIN SUSPENSIÓN</v>
      </c>
      <c r="O944" s="781"/>
    </row>
    <row r="945" spans="2:15">
      <c r="B945" s="319"/>
      <c r="C945" s="319"/>
      <c r="D945" s="320"/>
      <c r="E945" s="320"/>
      <c r="F945" s="320"/>
      <c r="G945" s="465" t="str">
        <f t="shared" si="102"/>
        <v/>
      </c>
      <c r="L945" s="782"/>
      <c r="M945" s="380">
        <v>10</v>
      </c>
      <c r="N945" s="781" t="str">
        <f t="shared" si="106"/>
        <v>CONTRATO SIN SUSPENSIÓN</v>
      </c>
      <c r="O945" s="781"/>
    </row>
    <row r="946" spans="2:15">
      <c r="B946" s="319"/>
      <c r="C946" s="319"/>
      <c r="D946" s="320"/>
      <c r="E946" s="320"/>
      <c r="F946" s="320"/>
      <c r="G946" s="465" t="str">
        <f t="shared" si="102"/>
        <v/>
      </c>
      <c r="L946" s="782">
        <v>95</v>
      </c>
      <c r="M946" s="380">
        <v>1</v>
      </c>
      <c r="N946" s="781" t="str">
        <f t="shared" ref="N946:N955" si="107">IF(SUMIFS($G$5:$G$1200,$B$5:$B$1200,$L$946,$C$5:$C$1200,$M946)=0,"CONTRATO SIN SUSPENSIÓN",ROUND(SUMIFS($G$5:$G$1200,$B$5:$B$1200,$L$946,$C$5:$C$1200,$M946),3))</f>
        <v>CONTRATO SIN SUSPENSIÓN</v>
      </c>
      <c r="O946" s="781"/>
    </row>
    <row r="947" spans="2:15">
      <c r="B947" s="319"/>
      <c r="C947" s="319"/>
      <c r="D947" s="320"/>
      <c r="E947" s="320"/>
      <c r="F947" s="320"/>
      <c r="G947" s="465" t="str">
        <f t="shared" si="102"/>
        <v/>
      </c>
      <c r="L947" s="782"/>
      <c r="M947" s="380">
        <v>2</v>
      </c>
      <c r="N947" s="781" t="str">
        <f t="shared" si="107"/>
        <v>CONTRATO SIN SUSPENSIÓN</v>
      </c>
      <c r="O947" s="781"/>
    </row>
    <row r="948" spans="2:15">
      <c r="B948" s="319"/>
      <c r="C948" s="319"/>
      <c r="D948" s="320"/>
      <c r="E948" s="320"/>
      <c r="F948" s="320"/>
      <c r="G948" s="465" t="str">
        <f t="shared" si="102"/>
        <v/>
      </c>
      <c r="L948" s="782"/>
      <c r="M948" s="380">
        <v>3</v>
      </c>
      <c r="N948" s="781" t="str">
        <f t="shared" si="107"/>
        <v>CONTRATO SIN SUSPENSIÓN</v>
      </c>
      <c r="O948" s="781"/>
    </row>
    <row r="949" spans="2:15">
      <c r="B949" s="319"/>
      <c r="C949" s="319"/>
      <c r="D949" s="320"/>
      <c r="E949" s="320"/>
      <c r="F949" s="320"/>
      <c r="G949" s="465" t="str">
        <f t="shared" si="102"/>
        <v/>
      </c>
      <c r="L949" s="782"/>
      <c r="M949" s="380">
        <v>4</v>
      </c>
      <c r="N949" s="781" t="str">
        <f t="shared" si="107"/>
        <v>CONTRATO SIN SUSPENSIÓN</v>
      </c>
      <c r="O949" s="781"/>
    </row>
    <row r="950" spans="2:15">
      <c r="B950" s="319"/>
      <c r="C950" s="319"/>
      <c r="D950" s="320"/>
      <c r="E950" s="320"/>
      <c r="F950" s="320"/>
      <c r="G950" s="465" t="str">
        <f t="shared" si="102"/>
        <v/>
      </c>
      <c r="L950" s="782"/>
      <c r="M950" s="380">
        <v>5</v>
      </c>
      <c r="N950" s="781" t="str">
        <f t="shared" si="107"/>
        <v>CONTRATO SIN SUSPENSIÓN</v>
      </c>
      <c r="O950" s="781"/>
    </row>
    <row r="951" spans="2:15">
      <c r="B951" s="319"/>
      <c r="C951" s="319"/>
      <c r="D951" s="320"/>
      <c r="E951" s="320"/>
      <c r="F951" s="320"/>
      <c r="G951" s="465" t="str">
        <f t="shared" si="102"/>
        <v/>
      </c>
      <c r="L951" s="782"/>
      <c r="M951" s="380">
        <v>6</v>
      </c>
      <c r="N951" s="781" t="str">
        <f t="shared" si="107"/>
        <v>CONTRATO SIN SUSPENSIÓN</v>
      </c>
      <c r="O951" s="781"/>
    </row>
    <row r="952" spans="2:15">
      <c r="B952" s="319"/>
      <c r="C952" s="319"/>
      <c r="D952" s="320"/>
      <c r="E952" s="320"/>
      <c r="F952" s="320"/>
      <c r="G952" s="465" t="str">
        <f t="shared" si="102"/>
        <v/>
      </c>
      <c r="L952" s="782"/>
      <c r="M952" s="380">
        <v>7</v>
      </c>
      <c r="N952" s="781" t="str">
        <f t="shared" si="107"/>
        <v>CONTRATO SIN SUSPENSIÓN</v>
      </c>
      <c r="O952" s="781"/>
    </row>
    <row r="953" spans="2:15">
      <c r="B953" s="319"/>
      <c r="C953" s="319"/>
      <c r="D953" s="320"/>
      <c r="E953" s="320"/>
      <c r="F953" s="320"/>
      <c r="G953" s="465" t="str">
        <f t="shared" si="102"/>
        <v/>
      </c>
      <c r="L953" s="782"/>
      <c r="M953" s="380">
        <v>8</v>
      </c>
      <c r="N953" s="781" t="str">
        <f t="shared" si="107"/>
        <v>CONTRATO SIN SUSPENSIÓN</v>
      </c>
      <c r="O953" s="781"/>
    </row>
    <row r="954" spans="2:15">
      <c r="B954" s="319"/>
      <c r="C954" s="319"/>
      <c r="D954" s="320"/>
      <c r="E954" s="320"/>
      <c r="F954" s="320"/>
      <c r="G954" s="465" t="str">
        <f t="shared" si="102"/>
        <v/>
      </c>
      <c r="L954" s="782"/>
      <c r="M954" s="380">
        <v>9</v>
      </c>
      <c r="N954" s="781" t="str">
        <f t="shared" si="107"/>
        <v>CONTRATO SIN SUSPENSIÓN</v>
      </c>
      <c r="O954" s="781"/>
    </row>
    <row r="955" spans="2:15">
      <c r="B955" s="319"/>
      <c r="C955" s="319"/>
      <c r="D955" s="320"/>
      <c r="E955" s="320"/>
      <c r="F955" s="320"/>
      <c r="G955" s="465" t="str">
        <f t="shared" si="102"/>
        <v/>
      </c>
      <c r="L955" s="782"/>
      <c r="M955" s="380">
        <v>10</v>
      </c>
      <c r="N955" s="781" t="str">
        <f t="shared" si="107"/>
        <v>CONTRATO SIN SUSPENSIÓN</v>
      </c>
      <c r="O955" s="781"/>
    </row>
    <row r="956" spans="2:15">
      <c r="B956" s="319"/>
      <c r="C956" s="319"/>
      <c r="D956" s="320"/>
      <c r="E956" s="320"/>
      <c r="F956" s="320"/>
      <c r="G956" s="465" t="str">
        <f t="shared" si="102"/>
        <v/>
      </c>
      <c r="L956" s="782">
        <v>96</v>
      </c>
      <c r="M956" s="380">
        <v>1</v>
      </c>
      <c r="N956" s="781" t="str">
        <f t="shared" ref="N956:N965" si="108">IF(SUMIFS($G$5:$G$1200,$B$5:$B$1200,$L$956,$C$5:$C$1200,$M956)=0,"CONTRATO SIN SUSPENSIÓN",ROUND(SUMIFS($G$5:$G$1200,$B$5:$B$1200,$L$956,$C$5:$C$1200,$M956),3))</f>
        <v>CONTRATO SIN SUSPENSIÓN</v>
      </c>
      <c r="O956" s="781"/>
    </row>
    <row r="957" spans="2:15">
      <c r="B957" s="319"/>
      <c r="C957" s="319"/>
      <c r="D957" s="320"/>
      <c r="E957" s="320"/>
      <c r="F957" s="320"/>
      <c r="G957" s="465" t="str">
        <f t="shared" si="102"/>
        <v/>
      </c>
      <c r="L957" s="782"/>
      <c r="M957" s="380">
        <v>2</v>
      </c>
      <c r="N957" s="781" t="str">
        <f t="shared" si="108"/>
        <v>CONTRATO SIN SUSPENSIÓN</v>
      </c>
      <c r="O957" s="781"/>
    </row>
    <row r="958" spans="2:15">
      <c r="B958" s="319"/>
      <c r="C958" s="319"/>
      <c r="D958" s="320"/>
      <c r="E958" s="320"/>
      <c r="F958" s="320"/>
      <c r="G958" s="465" t="str">
        <f t="shared" si="102"/>
        <v/>
      </c>
      <c r="L958" s="782"/>
      <c r="M958" s="380">
        <v>3</v>
      </c>
      <c r="N958" s="781" t="str">
        <f t="shared" si="108"/>
        <v>CONTRATO SIN SUSPENSIÓN</v>
      </c>
      <c r="O958" s="781"/>
    </row>
    <row r="959" spans="2:15">
      <c r="B959" s="319"/>
      <c r="C959" s="319"/>
      <c r="D959" s="320"/>
      <c r="E959" s="320"/>
      <c r="F959" s="320"/>
      <c r="G959" s="465" t="str">
        <f t="shared" si="102"/>
        <v/>
      </c>
      <c r="L959" s="782"/>
      <c r="M959" s="380">
        <v>4</v>
      </c>
      <c r="N959" s="781" t="str">
        <f t="shared" si="108"/>
        <v>CONTRATO SIN SUSPENSIÓN</v>
      </c>
      <c r="O959" s="781"/>
    </row>
    <row r="960" spans="2:15">
      <c r="B960" s="319"/>
      <c r="C960" s="319"/>
      <c r="D960" s="320"/>
      <c r="E960" s="320"/>
      <c r="F960" s="320"/>
      <c r="G960" s="465" t="str">
        <f t="shared" si="102"/>
        <v/>
      </c>
      <c r="L960" s="782"/>
      <c r="M960" s="380">
        <v>5</v>
      </c>
      <c r="N960" s="781" t="str">
        <f t="shared" si="108"/>
        <v>CONTRATO SIN SUSPENSIÓN</v>
      </c>
      <c r="O960" s="781"/>
    </row>
    <row r="961" spans="2:15">
      <c r="B961" s="319"/>
      <c r="C961" s="319"/>
      <c r="D961" s="320"/>
      <c r="E961" s="320"/>
      <c r="F961" s="320"/>
      <c r="G961" s="465" t="str">
        <f t="shared" si="102"/>
        <v/>
      </c>
      <c r="L961" s="782"/>
      <c r="M961" s="380">
        <v>6</v>
      </c>
      <c r="N961" s="781" t="str">
        <f t="shared" si="108"/>
        <v>CONTRATO SIN SUSPENSIÓN</v>
      </c>
      <c r="O961" s="781"/>
    </row>
    <row r="962" spans="2:15">
      <c r="B962" s="319"/>
      <c r="C962" s="319"/>
      <c r="D962" s="320"/>
      <c r="E962" s="320"/>
      <c r="F962" s="320"/>
      <c r="G962" s="465" t="str">
        <f t="shared" si="102"/>
        <v/>
      </c>
      <c r="L962" s="782"/>
      <c r="M962" s="380">
        <v>7</v>
      </c>
      <c r="N962" s="781" t="str">
        <f t="shared" si="108"/>
        <v>CONTRATO SIN SUSPENSIÓN</v>
      </c>
      <c r="O962" s="781"/>
    </row>
    <row r="963" spans="2:15">
      <c r="B963" s="319"/>
      <c r="C963" s="319"/>
      <c r="D963" s="320"/>
      <c r="E963" s="320"/>
      <c r="F963" s="320"/>
      <c r="G963" s="465" t="str">
        <f t="shared" si="102"/>
        <v/>
      </c>
      <c r="L963" s="782"/>
      <c r="M963" s="380">
        <v>8</v>
      </c>
      <c r="N963" s="781" t="str">
        <f t="shared" si="108"/>
        <v>CONTRATO SIN SUSPENSIÓN</v>
      </c>
      <c r="O963" s="781"/>
    </row>
    <row r="964" spans="2:15">
      <c r="B964" s="319"/>
      <c r="C964" s="319"/>
      <c r="D964" s="320"/>
      <c r="E964" s="320"/>
      <c r="F964" s="320"/>
      <c r="G964" s="465" t="str">
        <f t="shared" si="102"/>
        <v/>
      </c>
      <c r="L964" s="782"/>
      <c r="M964" s="380">
        <v>9</v>
      </c>
      <c r="N964" s="781" t="str">
        <f t="shared" si="108"/>
        <v>CONTRATO SIN SUSPENSIÓN</v>
      </c>
      <c r="O964" s="781"/>
    </row>
    <row r="965" spans="2:15">
      <c r="B965" s="319"/>
      <c r="C965" s="319"/>
      <c r="D965" s="320"/>
      <c r="E965" s="320"/>
      <c r="F965" s="320"/>
      <c r="G965" s="465" t="str">
        <f t="shared" si="102"/>
        <v/>
      </c>
      <c r="L965" s="782"/>
      <c r="M965" s="380">
        <v>10</v>
      </c>
      <c r="N965" s="781" t="str">
        <f t="shared" si="108"/>
        <v>CONTRATO SIN SUSPENSIÓN</v>
      </c>
      <c r="O965" s="781"/>
    </row>
    <row r="966" spans="2:15">
      <c r="B966" s="319"/>
      <c r="C966" s="319"/>
      <c r="D966" s="320"/>
      <c r="E966" s="320"/>
      <c r="F966" s="320"/>
      <c r="G966" s="465" t="str">
        <f t="shared" ref="G966:G1029" si="109">IF(OR(AND(D966="",E966=""),AND(D966="",F966="")),"",IF(AND(D966&lt;&gt;"",E966&lt;&gt;"",F966&lt;&gt;""),"REVISAR CÁLCULO",IF(AND(D966&lt;&gt;"",F966&lt;&gt;""),ROUND(((F966-D966)/30),3),IF(AND(D966&lt;&gt;"",E966&lt;&gt;""),ROUND(((E966-D966+1)/30),3),""))))</f>
        <v/>
      </c>
      <c r="L966" s="782">
        <v>97</v>
      </c>
      <c r="M966" s="380">
        <v>1</v>
      </c>
      <c r="N966" s="781" t="str">
        <f t="shared" ref="N966:N975" si="110">IF(SUMIFS($G$5:$G$1200,$B$5:$B$1200,$L$966,$C$5:$C$1200,$M966)=0,"CONTRATO SIN SUSPENSIÓN",ROUND(SUMIFS($G$5:$G$1200,$B$5:$B$1200,$L$966,$C$5:$C$1200,$M966),3))</f>
        <v>CONTRATO SIN SUSPENSIÓN</v>
      </c>
      <c r="O966" s="781"/>
    </row>
    <row r="967" spans="2:15">
      <c r="B967" s="319"/>
      <c r="C967" s="319"/>
      <c r="D967" s="320"/>
      <c r="E967" s="320"/>
      <c r="F967" s="320"/>
      <c r="G967" s="465" t="str">
        <f t="shared" si="109"/>
        <v/>
      </c>
      <c r="L967" s="782"/>
      <c r="M967" s="380">
        <v>2</v>
      </c>
      <c r="N967" s="781" t="str">
        <f t="shared" si="110"/>
        <v>CONTRATO SIN SUSPENSIÓN</v>
      </c>
      <c r="O967" s="781"/>
    </row>
    <row r="968" spans="2:15">
      <c r="B968" s="319"/>
      <c r="C968" s="319"/>
      <c r="D968" s="320"/>
      <c r="E968" s="320"/>
      <c r="F968" s="320"/>
      <c r="G968" s="465" t="str">
        <f t="shared" si="109"/>
        <v/>
      </c>
      <c r="L968" s="782"/>
      <c r="M968" s="380">
        <v>3</v>
      </c>
      <c r="N968" s="781" t="str">
        <f t="shared" si="110"/>
        <v>CONTRATO SIN SUSPENSIÓN</v>
      </c>
      <c r="O968" s="781"/>
    </row>
    <row r="969" spans="2:15">
      <c r="B969" s="319"/>
      <c r="C969" s="319"/>
      <c r="D969" s="320"/>
      <c r="E969" s="320"/>
      <c r="F969" s="320"/>
      <c r="G969" s="465" t="str">
        <f t="shared" si="109"/>
        <v/>
      </c>
      <c r="L969" s="782"/>
      <c r="M969" s="380">
        <v>4</v>
      </c>
      <c r="N969" s="781" t="str">
        <f t="shared" si="110"/>
        <v>CONTRATO SIN SUSPENSIÓN</v>
      </c>
      <c r="O969" s="781"/>
    </row>
    <row r="970" spans="2:15">
      <c r="B970" s="319"/>
      <c r="C970" s="319"/>
      <c r="D970" s="320"/>
      <c r="E970" s="320"/>
      <c r="F970" s="320"/>
      <c r="G970" s="465" t="str">
        <f t="shared" si="109"/>
        <v/>
      </c>
      <c r="L970" s="782"/>
      <c r="M970" s="380">
        <v>5</v>
      </c>
      <c r="N970" s="781" t="str">
        <f t="shared" si="110"/>
        <v>CONTRATO SIN SUSPENSIÓN</v>
      </c>
      <c r="O970" s="781"/>
    </row>
    <row r="971" spans="2:15">
      <c r="B971" s="319"/>
      <c r="C971" s="319"/>
      <c r="D971" s="320"/>
      <c r="E971" s="320"/>
      <c r="F971" s="320"/>
      <c r="G971" s="465" t="str">
        <f t="shared" si="109"/>
        <v/>
      </c>
      <c r="L971" s="782"/>
      <c r="M971" s="380">
        <v>6</v>
      </c>
      <c r="N971" s="781" t="str">
        <f t="shared" si="110"/>
        <v>CONTRATO SIN SUSPENSIÓN</v>
      </c>
      <c r="O971" s="781"/>
    </row>
    <row r="972" spans="2:15">
      <c r="B972" s="319"/>
      <c r="C972" s="319"/>
      <c r="D972" s="320"/>
      <c r="E972" s="320"/>
      <c r="F972" s="320"/>
      <c r="G972" s="465" t="str">
        <f t="shared" si="109"/>
        <v/>
      </c>
      <c r="L972" s="782"/>
      <c r="M972" s="380">
        <v>7</v>
      </c>
      <c r="N972" s="781" t="str">
        <f t="shared" si="110"/>
        <v>CONTRATO SIN SUSPENSIÓN</v>
      </c>
      <c r="O972" s="781"/>
    </row>
    <row r="973" spans="2:15">
      <c r="B973" s="319"/>
      <c r="C973" s="319"/>
      <c r="D973" s="320"/>
      <c r="E973" s="320"/>
      <c r="F973" s="320"/>
      <c r="G973" s="465" t="str">
        <f t="shared" si="109"/>
        <v/>
      </c>
      <c r="L973" s="782"/>
      <c r="M973" s="380">
        <v>8</v>
      </c>
      <c r="N973" s="781" t="str">
        <f t="shared" si="110"/>
        <v>CONTRATO SIN SUSPENSIÓN</v>
      </c>
      <c r="O973" s="781"/>
    </row>
    <row r="974" spans="2:15">
      <c r="B974" s="319"/>
      <c r="C974" s="319"/>
      <c r="D974" s="320"/>
      <c r="E974" s="320"/>
      <c r="F974" s="320"/>
      <c r="G974" s="465" t="str">
        <f t="shared" si="109"/>
        <v/>
      </c>
      <c r="L974" s="782"/>
      <c r="M974" s="380">
        <v>9</v>
      </c>
      <c r="N974" s="781" t="str">
        <f t="shared" si="110"/>
        <v>CONTRATO SIN SUSPENSIÓN</v>
      </c>
      <c r="O974" s="781"/>
    </row>
    <row r="975" spans="2:15">
      <c r="B975" s="319"/>
      <c r="C975" s="319"/>
      <c r="D975" s="320"/>
      <c r="E975" s="320"/>
      <c r="F975" s="320"/>
      <c r="G975" s="465" t="str">
        <f t="shared" si="109"/>
        <v/>
      </c>
      <c r="L975" s="782"/>
      <c r="M975" s="380">
        <v>10</v>
      </c>
      <c r="N975" s="781" t="str">
        <f t="shared" si="110"/>
        <v>CONTRATO SIN SUSPENSIÓN</v>
      </c>
      <c r="O975" s="781"/>
    </row>
    <row r="976" spans="2:15">
      <c r="B976" s="319"/>
      <c r="C976" s="319"/>
      <c r="D976" s="320"/>
      <c r="E976" s="320"/>
      <c r="F976" s="320"/>
      <c r="G976" s="465" t="str">
        <f t="shared" si="109"/>
        <v/>
      </c>
      <c r="L976" s="782">
        <v>98</v>
      </c>
      <c r="M976" s="380">
        <v>1</v>
      </c>
      <c r="N976" s="781" t="str">
        <f t="shared" ref="N976:N985" si="111">IF(SUMIFS($G$5:$G$1200,$B$5:$B$1200,$L$976,$C$5:$C$1200,$M976)=0,"CONTRATO SIN SUSPENSIÓN",ROUND(SUMIFS($G$5:$G$1200,$B$5:$B$1200,$L$976,$C$5:$C$1200,$M976),3))</f>
        <v>CONTRATO SIN SUSPENSIÓN</v>
      </c>
      <c r="O976" s="781"/>
    </row>
    <row r="977" spans="2:15">
      <c r="B977" s="319"/>
      <c r="C977" s="319"/>
      <c r="D977" s="320"/>
      <c r="E977" s="320"/>
      <c r="F977" s="320"/>
      <c r="G977" s="465" t="str">
        <f t="shared" si="109"/>
        <v/>
      </c>
      <c r="L977" s="782"/>
      <c r="M977" s="380">
        <v>2</v>
      </c>
      <c r="N977" s="781" t="str">
        <f t="shared" si="111"/>
        <v>CONTRATO SIN SUSPENSIÓN</v>
      </c>
      <c r="O977" s="781"/>
    </row>
    <row r="978" spans="2:15">
      <c r="B978" s="319"/>
      <c r="C978" s="319"/>
      <c r="D978" s="320"/>
      <c r="E978" s="320"/>
      <c r="F978" s="320"/>
      <c r="G978" s="465" t="str">
        <f t="shared" si="109"/>
        <v/>
      </c>
      <c r="L978" s="782"/>
      <c r="M978" s="380">
        <v>3</v>
      </c>
      <c r="N978" s="781" t="str">
        <f t="shared" si="111"/>
        <v>CONTRATO SIN SUSPENSIÓN</v>
      </c>
      <c r="O978" s="781"/>
    </row>
    <row r="979" spans="2:15">
      <c r="B979" s="319"/>
      <c r="C979" s="319"/>
      <c r="D979" s="320"/>
      <c r="E979" s="320"/>
      <c r="F979" s="320"/>
      <c r="G979" s="465" t="str">
        <f t="shared" si="109"/>
        <v/>
      </c>
      <c r="L979" s="782"/>
      <c r="M979" s="380">
        <v>4</v>
      </c>
      <c r="N979" s="781" t="str">
        <f t="shared" si="111"/>
        <v>CONTRATO SIN SUSPENSIÓN</v>
      </c>
      <c r="O979" s="781"/>
    </row>
    <row r="980" spans="2:15">
      <c r="B980" s="319"/>
      <c r="C980" s="319"/>
      <c r="D980" s="320"/>
      <c r="E980" s="320"/>
      <c r="F980" s="320"/>
      <c r="G980" s="465" t="str">
        <f t="shared" si="109"/>
        <v/>
      </c>
      <c r="L980" s="782"/>
      <c r="M980" s="380">
        <v>5</v>
      </c>
      <c r="N980" s="781" t="str">
        <f t="shared" si="111"/>
        <v>CONTRATO SIN SUSPENSIÓN</v>
      </c>
      <c r="O980" s="781"/>
    </row>
    <row r="981" spans="2:15">
      <c r="B981" s="319"/>
      <c r="C981" s="319"/>
      <c r="D981" s="320"/>
      <c r="E981" s="320"/>
      <c r="F981" s="320"/>
      <c r="G981" s="465" t="str">
        <f t="shared" si="109"/>
        <v/>
      </c>
      <c r="L981" s="782"/>
      <c r="M981" s="380">
        <v>6</v>
      </c>
      <c r="N981" s="781" t="str">
        <f t="shared" si="111"/>
        <v>CONTRATO SIN SUSPENSIÓN</v>
      </c>
      <c r="O981" s="781"/>
    </row>
    <row r="982" spans="2:15">
      <c r="B982" s="319"/>
      <c r="C982" s="319"/>
      <c r="D982" s="320"/>
      <c r="E982" s="320"/>
      <c r="F982" s="320"/>
      <c r="G982" s="465" t="str">
        <f t="shared" si="109"/>
        <v/>
      </c>
      <c r="L982" s="782"/>
      <c r="M982" s="380">
        <v>7</v>
      </c>
      <c r="N982" s="781" t="str">
        <f t="shared" si="111"/>
        <v>CONTRATO SIN SUSPENSIÓN</v>
      </c>
      <c r="O982" s="781"/>
    </row>
    <row r="983" spans="2:15">
      <c r="B983" s="319"/>
      <c r="C983" s="319"/>
      <c r="D983" s="320"/>
      <c r="E983" s="320"/>
      <c r="F983" s="320"/>
      <c r="G983" s="465" t="str">
        <f t="shared" si="109"/>
        <v/>
      </c>
      <c r="L983" s="782"/>
      <c r="M983" s="380">
        <v>8</v>
      </c>
      <c r="N983" s="781" t="str">
        <f t="shared" si="111"/>
        <v>CONTRATO SIN SUSPENSIÓN</v>
      </c>
      <c r="O983" s="781"/>
    </row>
    <row r="984" spans="2:15">
      <c r="B984" s="319"/>
      <c r="C984" s="319"/>
      <c r="D984" s="320"/>
      <c r="E984" s="320"/>
      <c r="F984" s="320"/>
      <c r="G984" s="465" t="str">
        <f t="shared" si="109"/>
        <v/>
      </c>
      <c r="L984" s="782"/>
      <c r="M984" s="380">
        <v>9</v>
      </c>
      <c r="N984" s="781" t="str">
        <f t="shared" si="111"/>
        <v>CONTRATO SIN SUSPENSIÓN</v>
      </c>
      <c r="O984" s="781"/>
    </row>
    <row r="985" spans="2:15">
      <c r="B985" s="319"/>
      <c r="C985" s="319"/>
      <c r="D985" s="320"/>
      <c r="E985" s="320"/>
      <c r="F985" s="320"/>
      <c r="G985" s="465" t="str">
        <f t="shared" si="109"/>
        <v/>
      </c>
      <c r="L985" s="782"/>
      <c r="M985" s="380">
        <v>10</v>
      </c>
      <c r="N985" s="781" t="str">
        <f t="shared" si="111"/>
        <v>CONTRATO SIN SUSPENSIÓN</v>
      </c>
      <c r="O985" s="781"/>
    </row>
    <row r="986" spans="2:15">
      <c r="B986" s="319"/>
      <c r="C986" s="319"/>
      <c r="D986" s="320"/>
      <c r="E986" s="320"/>
      <c r="F986" s="320"/>
      <c r="G986" s="465" t="str">
        <f t="shared" si="109"/>
        <v/>
      </c>
      <c r="L986" s="782">
        <v>99</v>
      </c>
      <c r="M986" s="380">
        <v>1</v>
      </c>
      <c r="N986" s="781" t="str">
        <f t="shared" ref="N986:N995" si="112">IF(SUMIFS($G$5:$G$1200,$B$5:$B$1200,$L$986,$C$5:$C$1200,$M986)=0,"CONTRATO SIN SUSPENSIÓN",ROUND(SUMIFS($G$5:$G$1200,$B$5:$B$1200,$L$986,$C$5:$C$1200,$M986),3))</f>
        <v>CONTRATO SIN SUSPENSIÓN</v>
      </c>
      <c r="O986" s="781"/>
    </row>
    <row r="987" spans="2:15">
      <c r="B987" s="319"/>
      <c r="C987" s="319"/>
      <c r="D987" s="320"/>
      <c r="E987" s="320"/>
      <c r="F987" s="320"/>
      <c r="G987" s="465" t="str">
        <f t="shared" si="109"/>
        <v/>
      </c>
      <c r="L987" s="782"/>
      <c r="M987" s="380">
        <v>2</v>
      </c>
      <c r="N987" s="781" t="str">
        <f t="shared" si="112"/>
        <v>CONTRATO SIN SUSPENSIÓN</v>
      </c>
      <c r="O987" s="781"/>
    </row>
    <row r="988" spans="2:15">
      <c r="B988" s="319"/>
      <c r="C988" s="319"/>
      <c r="D988" s="320"/>
      <c r="E988" s="320"/>
      <c r="F988" s="320"/>
      <c r="G988" s="465" t="str">
        <f t="shared" si="109"/>
        <v/>
      </c>
      <c r="L988" s="782"/>
      <c r="M988" s="380">
        <v>3</v>
      </c>
      <c r="N988" s="781" t="str">
        <f t="shared" si="112"/>
        <v>CONTRATO SIN SUSPENSIÓN</v>
      </c>
      <c r="O988" s="781"/>
    </row>
    <row r="989" spans="2:15">
      <c r="B989" s="319"/>
      <c r="C989" s="319"/>
      <c r="D989" s="320"/>
      <c r="E989" s="320"/>
      <c r="F989" s="320"/>
      <c r="G989" s="465" t="str">
        <f t="shared" si="109"/>
        <v/>
      </c>
      <c r="L989" s="782"/>
      <c r="M989" s="380">
        <v>4</v>
      </c>
      <c r="N989" s="781" t="str">
        <f t="shared" si="112"/>
        <v>CONTRATO SIN SUSPENSIÓN</v>
      </c>
      <c r="O989" s="781"/>
    </row>
    <row r="990" spans="2:15">
      <c r="B990" s="319"/>
      <c r="C990" s="319"/>
      <c r="D990" s="320"/>
      <c r="E990" s="320"/>
      <c r="F990" s="320"/>
      <c r="G990" s="465" t="str">
        <f t="shared" si="109"/>
        <v/>
      </c>
      <c r="L990" s="782"/>
      <c r="M990" s="380">
        <v>5</v>
      </c>
      <c r="N990" s="781" t="str">
        <f t="shared" si="112"/>
        <v>CONTRATO SIN SUSPENSIÓN</v>
      </c>
      <c r="O990" s="781"/>
    </row>
    <row r="991" spans="2:15">
      <c r="B991" s="319"/>
      <c r="C991" s="319"/>
      <c r="D991" s="320"/>
      <c r="E991" s="320"/>
      <c r="F991" s="320"/>
      <c r="G991" s="465" t="str">
        <f t="shared" si="109"/>
        <v/>
      </c>
      <c r="L991" s="782"/>
      <c r="M991" s="380">
        <v>6</v>
      </c>
      <c r="N991" s="781" t="str">
        <f t="shared" si="112"/>
        <v>CONTRATO SIN SUSPENSIÓN</v>
      </c>
      <c r="O991" s="781"/>
    </row>
    <row r="992" spans="2:15">
      <c r="B992" s="319"/>
      <c r="C992" s="319"/>
      <c r="D992" s="320"/>
      <c r="E992" s="320"/>
      <c r="F992" s="320"/>
      <c r="G992" s="465" t="str">
        <f t="shared" si="109"/>
        <v/>
      </c>
      <c r="L992" s="782"/>
      <c r="M992" s="380">
        <v>7</v>
      </c>
      <c r="N992" s="781" t="str">
        <f t="shared" si="112"/>
        <v>CONTRATO SIN SUSPENSIÓN</v>
      </c>
      <c r="O992" s="781"/>
    </row>
    <row r="993" spans="2:15">
      <c r="B993" s="319"/>
      <c r="C993" s="319"/>
      <c r="D993" s="320"/>
      <c r="E993" s="320"/>
      <c r="F993" s="320"/>
      <c r="G993" s="465" t="str">
        <f t="shared" si="109"/>
        <v/>
      </c>
      <c r="L993" s="782"/>
      <c r="M993" s="380">
        <v>8</v>
      </c>
      <c r="N993" s="781" t="str">
        <f t="shared" si="112"/>
        <v>CONTRATO SIN SUSPENSIÓN</v>
      </c>
      <c r="O993" s="781"/>
    </row>
    <row r="994" spans="2:15">
      <c r="B994" s="319"/>
      <c r="C994" s="319"/>
      <c r="D994" s="320"/>
      <c r="E994" s="320"/>
      <c r="F994" s="320"/>
      <c r="G994" s="465" t="str">
        <f t="shared" si="109"/>
        <v/>
      </c>
      <c r="L994" s="782"/>
      <c r="M994" s="380">
        <v>9</v>
      </c>
      <c r="N994" s="781" t="str">
        <f t="shared" si="112"/>
        <v>CONTRATO SIN SUSPENSIÓN</v>
      </c>
      <c r="O994" s="781"/>
    </row>
    <row r="995" spans="2:15">
      <c r="B995" s="319"/>
      <c r="C995" s="319"/>
      <c r="D995" s="320"/>
      <c r="E995" s="320"/>
      <c r="F995" s="320"/>
      <c r="G995" s="465" t="str">
        <f t="shared" si="109"/>
        <v/>
      </c>
      <c r="L995" s="782"/>
      <c r="M995" s="380">
        <v>10</v>
      </c>
      <c r="N995" s="781" t="str">
        <f t="shared" si="112"/>
        <v>CONTRATO SIN SUSPENSIÓN</v>
      </c>
      <c r="O995" s="781"/>
    </row>
    <row r="996" spans="2:15">
      <c r="B996" s="319"/>
      <c r="C996" s="319"/>
      <c r="D996" s="320"/>
      <c r="E996" s="320"/>
      <c r="F996" s="320"/>
      <c r="G996" s="465" t="str">
        <f t="shared" si="109"/>
        <v/>
      </c>
      <c r="L996" s="782">
        <v>100</v>
      </c>
      <c r="M996" s="380">
        <v>1</v>
      </c>
      <c r="N996" s="781" t="str">
        <f t="shared" ref="N996:N1005" si="113">IF(SUMIFS($G$5:$G$1200,$B$5:$B$1200,$L$996,$C$5:$C$1200,$M996)=0,"CONTRATO SIN SUSPENSIÓN",ROUND(SUMIFS($G$5:$G$1200,$B$5:$B$1200,$L$996,$C$5:$C$1200,$M996),3))</f>
        <v>CONTRATO SIN SUSPENSIÓN</v>
      </c>
      <c r="O996" s="781"/>
    </row>
    <row r="997" spans="2:15">
      <c r="B997" s="319"/>
      <c r="C997" s="319"/>
      <c r="D997" s="320"/>
      <c r="E997" s="320"/>
      <c r="F997" s="320"/>
      <c r="G997" s="465" t="str">
        <f t="shared" si="109"/>
        <v/>
      </c>
      <c r="L997" s="782"/>
      <c r="M997" s="380">
        <v>2</v>
      </c>
      <c r="N997" s="781" t="str">
        <f t="shared" si="113"/>
        <v>CONTRATO SIN SUSPENSIÓN</v>
      </c>
      <c r="O997" s="781"/>
    </row>
    <row r="998" spans="2:15">
      <c r="B998" s="319"/>
      <c r="C998" s="319"/>
      <c r="D998" s="320"/>
      <c r="E998" s="320"/>
      <c r="F998" s="320"/>
      <c r="G998" s="465" t="str">
        <f t="shared" si="109"/>
        <v/>
      </c>
      <c r="L998" s="782"/>
      <c r="M998" s="380">
        <v>3</v>
      </c>
      <c r="N998" s="781" t="str">
        <f t="shared" si="113"/>
        <v>CONTRATO SIN SUSPENSIÓN</v>
      </c>
      <c r="O998" s="781"/>
    </row>
    <row r="999" spans="2:15">
      <c r="B999" s="319"/>
      <c r="C999" s="319"/>
      <c r="D999" s="320"/>
      <c r="E999" s="320"/>
      <c r="F999" s="320"/>
      <c r="G999" s="465" t="str">
        <f t="shared" si="109"/>
        <v/>
      </c>
      <c r="L999" s="782"/>
      <c r="M999" s="380">
        <v>4</v>
      </c>
      <c r="N999" s="781" t="str">
        <f t="shared" si="113"/>
        <v>CONTRATO SIN SUSPENSIÓN</v>
      </c>
      <c r="O999" s="781"/>
    </row>
    <row r="1000" spans="2:15">
      <c r="B1000" s="319"/>
      <c r="C1000" s="319"/>
      <c r="D1000" s="320"/>
      <c r="E1000" s="320"/>
      <c r="F1000" s="320"/>
      <c r="G1000" s="465" t="str">
        <f t="shared" si="109"/>
        <v/>
      </c>
      <c r="L1000" s="782"/>
      <c r="M1000" s="380">
        <v>5</v>
      </c>
      <c r="N1000" s="781" t="str">
        <f t="shared" si="113"/>
        <v>CONTRATO SIN SUSPENSIÓN</v>
      </c>
      <c r="O1000" s="781"/>
    </row>
    <row r="1001" spans="2:15">
      <c r="B1001" s="319"/>
      <c r="C1001" s="319"/>
      <c r="D1001" s="320"/>
      <c r="E1001" s="320"/>
      <c r="F1001" s="320"/>
      <c r="G1001" s="465" t="str">
        <f t="shared" si="109"/>
        <v/>
      </c>
      <c r="L1001" s="782"/>
      <c r="M1001" s="380">
        <v>6</v>
      </c>
      <c r="N1001" s="781" t="str">
        <f t="shared" si="113"/>
        <v>CONTRATO SIN SUSPENSIÓN</v>
      </c>
      <c r="O1001" s="781"/>
    </row>
    <row r="1002" spans="2:15">
      <c r="B1002" s="319"/>
      <c r="C1002" s="319"/>
      <c r="D1002" s="320"/>
      <c r="E1002" s="320"/>
      <c r="F1002" s="320"/>
      <c r="G1002" s="465" t="str">
        <f t="shared" si="109"/>
        <v/>
      </c>
      <c r="L1002" s="782"/>
      <c r="M1002" s="380">
        <v>7</v>
      </c>
      <c r="N1002" s="781" t="str">
        <f t="shared" si="113"/>
        <v>CONTRATO SIN SUSPENSIÓN</v>
      </c>
      <c r="O1002" s="781"/>
    </row>
    <row r="1003" spans="2:15">
      <c r="B1003" s="319"/>
      <c r="C1003" s="319"/>
      <c r="D1003" s="320"/>
      <c r="E1003" s="320"/>
      <c r="F1003" s="320"/>
      <c r="G1003" s="465" t="str">
        <f t="shared" si="109"/>
        <v/>
      </c>
      <c r="L1003" s="782"/>
      <c r="M1003" s="380">
        <v>8</v>
      </c>
      <c r="N1003" s="781" t="str">
        <f t="shared" si="113"/>
        <v>CONTRATO SIN SUSPENSIÓN</v>
      </c>
      <c r="O1003" s="781"/>
    </row>
    <row r="1004" spans="2:15">
      <c r="B1004" s="319"/>
      <c r="C1004" s="319"/>
      <c r="D1004" s="320"/>
      <c r="E1004" s="320"/>
      <c r="F1004" s="320"/>
      <c r="G1004" s="465" t="str">
        <f t="shared" si="109"/>
        <v/>
      </c>
      <c r="L1004" s="782"/>
      <c r="M1004" s="380">
        <v>9</v>
      </c>
      <c r="N1004" s="781" t="str">
        <f t="shared" si="113"/>
        <v>CONTRATO SIN SUSPENSIÓN</v>
      </c>
      <c r="O1004" s="781"/>
    </row>
    <row r="1005" spans="2:15">
      <c r="B1005" s="319"/>
      <c r="C1005" s="319"/>
      <c r="D1005" s="320"/>
      <c r="E1005" s="320"/>
      <c r="F1005" s="320"/>
      <c r="G1005" s="465" t="str">
        <f t="shared" si="109"/>
        <v/>
      </c>
      <c r="L1005" s="782"/>
      <c r="M1005" s="380">
        <v>10</v>
      </c>
      <c r="N1005" s="781" t="str">
        <f t="shared" si="113"/>
        <v>CONTRATO SIN SUSPENSIÓN</v>
      </c>
      <c r="O1005" s="781"/>
    </row>
    <row r="1006" spans="2:15">
      <c r="B1006" s="319"/>
      <c r="C1006" s="319"/>
      <c r="D1006" s="320"/>
      <c r="E1006" s="320"/>
      <c r="F1006" s="320"/>
      <c r="G1006" s="465" t="str">
        <f t="shared" si="109"/>
        <v/>
      </c>
    </row>
    <row r="1007" spans="2:15">
      <c r="B1007" s="319"/>
      <c r="C1007" s="319"/>
      <c r="D1007" s="320"/>
      <c r="E1007" s="320"/>
      <c r="F1007" s="320"/>
      <c r="G1007" s="465" t="str">
        <f t="shared" si="109"/>
        <v/>
      </c>
    </row>
    <row r="1008" spans="2:15">
      <c r="B1008" s="319"/>
      <c r="C1008" s="319"/>
      <c r="D1008" s="320"/>
      <c r="E1008" s="320"/>
      <c r="F1008" s="320"/>
      <c r="G1008" s="465" t="str">
        <f t="shared" si="109"/>
        <v/>
      </c>
    </row>
    <row r="1009" spans="2:7">
      <c r="B1009" s="319"/>
      <c r="C1009" s="319"/>
      <c r="D1009" s="320"/>
      <c r="E1009" s="320"/>
      <c r="F1009" s="320"/>
      <c r="G1009" s="465" t="str">
        <f t="shared" si="109"/>
        <v/>
      </c>
    </row>
    <row r="1010" spans="2:7">
      <c r="B1010" s="319"/>
      <c r="C1010" s="319"/>
      <c r="D1010" s="320"/>
      <c r="E1010" s="320"/>
      <c r="F1010" s="320"/>
      <c r="G1010" s="465" t="str">
        <f t="shared" si="109"/>
        <v/>
      </c>
    </row>
    <row r="1011" spans="2:7">
      <c r="B1011" s="319"/>
      <c r="C1011" s="319"/>
      <c r="D1011" s="320"/>
      <c r="E1011" s="320"/>
      <c r="F1011" s="320"/>
      <c r="G1011" s="465" t="str">
        <f t="shared" si="109"/>
        <v/>
      </c>
    </row>
    <row r="1012" spans="2:7">
      <c r="B1012" s="319"/>
      <c r="C1012" s="319"/>
      <c r="D1012" s="320"/>
      <c r="E1012" s="320"/>
      <c r="F1012" s="320"/>
      <c r="G1012" s="465" t="str">
        <f t="shared" si="109"/>
        <v/>
      </c>
    </row>
    <row r="1013" spans="2:7">
      <c r="B1013" s="319"/>
      <c r="C1013" s="319"/>
      <c r="D1013" s="320"/>
      <c r="E1013" s="320"/>
      <c r="F1013" s="320"/>
      <c r="G1013" s="465" t="str">
        <f t="shared" si="109"/>
        <v/>
      </c>
    </row>
    <row r="1014" spans="2:7">
      <c r="B1014" s="319"/>
      <c r="C1014" s="319"/>
      <c r="D1014" s="320"/>
      <c r="E1014" s="320"/>
      <c r="F1014" s="320"/>
      <c r="G1014" s="465" t="str">
        <f t="shared" si="109"/>
        <v/>
      </c>
    </row>
    <row r="1015" spans="2:7">
      <c r="B1015" s="319"/>
      <c r="C1015" s="319"/>
      <c r="D1015" s="320"/>
      <c r="E1015" s="320"/>
      <c r="F1015" s="320"/>
      <c r="G1015" s="465" t="str">
        <f t="shared" si="109"/>
        <v/>
      </c>
    </row>
    <row r="1016" spans="2:7">
      <c r="B1016" s="319"/>
      <c r="C1016" s="319"/>
      <c r="D1016" s="320"/>
      <c r="E1016" s="320"/>
      <c r="F1016" s="320"/>
      <c r="G1016" s="465" t="str">
        <f t="shared" si="109"/>
        <v/>
      </c>
    </row>
    <row r="1017" spans="2:7">
      <c r="B1017" s="319"/>
      <c r="C1017" s="319"/>
      <c r="D1017" s="320"/>
      <c r="E1017" s="320"/>
      <c r="F1017" s="320"/>
      <c r="G1017" s="465" t="str">
        <f t="shared" si="109"/>
        <v/>
      </c>
    </row>
    <row r="1018" spans="2:7">
      <c r="B1018" s="319"/>
      <c r="C1018" s="319"/>
      <c r="D1018" s="320"/>
      <c r="E1018" s="320"/>
      <c r="F1018" s="320"/>
      <c r="G1018" s="465" t="str">
        <f t="shared" si="109"/>
        <v/>
      </c>
    </row>
    <row r="1019" spans="2:7">
      <c r="B1019" s="319"/>
      <c r="C1019" s="319"/>
      <c r="D1019" s="320"/>
      <c r="E1019" s="320"/>
      <c r="F1019" s="320"/>
      <c r="G1019" s="465" t="str">
        <f t="shared" si="109"/>
        <v/>
      </c>
    </row>
    <row r="1020" spans="2:7">
      <c r="B1020" s="319"/>
      <c r="C1020" s="319"/>
      <c r="D1020" s="320"/>
      <c r="E1020" s="320"/>
      <c r="F1020" s="320"/>
      <c r="G1020" s="465" t="str">
        <f t="shared" si="109"/>
        <v/>
      </c>
    </row>
    <row r="1021" spans="2:7">
      <c r="B1021" s="319"/>
      <c r="C1021" s="319"/>
      <c r="D1021" s="320"/>
      <c r="E1021" s="320"/>
      <c r="F1021" s="320"/>
      <c r="G1021" s="465" t="str">
        <f t="shared" si="109"/>
        <v/>
      </c>
    </row>
    <row r="1022" spans="2:7">
      <c r="B1022" s="319"/>
      <c r="C1022" s="319"/>
      <c r="D1022" s="320"/>
      <c r="E1022" s="320"/>
      <c r="F1022" s="320"/>
      <c r="G1022" s="465" t="str">
        <f t="shared" si="109"/>
        <v/>
      </c>
    </row>
    <row r="1023" spans="2:7">
      <c r="B1023" s="319"/>
      <c r="C1023" s="319"/>
      <c r="D1023" s="320"/>
      <c r="E1023" s="320"/>
      <c r="F1023" s="320"/>
      <c r="G1023" s="465" t="str">
        <f t="shared" si="109"/>
        <v/>
      </c>
    </row>
    <row r="1024" spans="2:7">
      <c r="B1024" s="319"/>
      <c r="C1024" s="319"/>
      <c r="D1024" s="320"/>
      <c r="E1024" s="320"/>
      <c r="F1024" s="320"/>
      <c r="G1024" s="465" t="str">
        <f t="shared" si="109"/>
        <v/>
      </c>
    </row>
    <row r="1025" spans="2:7">
      <c r="B1025" s="319"/>
      <c r="C1025" s="319"/>
      <c r="D1025" s="320"/>
      <c r="E1025" s="320"/>
      <c r="F1025" s="320"/>
      <c r="G1025" s="465" t="str">
        <f t="shared" si="109"/>
        <v/>
      </c>
    </row>
    <row r="1026" spans="2:7">
      <c r="B1026" s="319"/>
      <c r="C1026" s="319"/>
      <c r="D1026" s="320"/>
      <c r="E1026" s="320"/>
      <c r="F1026" s="320"/>
      <c r="G1026" s="465" t="str">
        <f t="shared" si="109"/>
        <v/>
      </c>
    </row>
    <row r="1027" spans="2:7">
      <c r="B1027" s="319"/>
      <c r="C1027" s="319"/>
      <c r="D1027" s="320"/>
      <c r="E1027" s="320"/>
      <c r="F1027" s="320"/>
      <c r="G1027" s="465" t="str">
        <f t="shared" si="109"/>
        <v/>
      </c>
    </row>
    <row r="1028" spans="2:7">
      <c r="B1028" s="319"/>
      <c r="C1028" s="319"/>
      <c r="D1028" s="320"/>
      <c r="E1028" s="320"/>
      <c r="F1028" s="320"/>
      <c r="G1028" s="465" t="str">
        <f t="shared" si="109"/>
        <v/>
      </c>
    </row>
    <row r="1029" spans="2:7">
      <c r="B1029" s="319"/>
      <c r="C1029" s="319"/>
      <c r="D1029" s="320"/>
      <c r="E1029" s="320"/>
      <c r="F1029" s="320"/>
      <c r="G1029" s="465" t="str">
        <f t="shared" si="109"/>
        <v/>
      </c>
    </row>
    <row r="1030" spans="2:7">
      <c r="B1030" s="319"/>
      <c r="C1030" s="319"/>
      <c r="D1030" s="320"/>
      <c r="E1030" s="320"/>
      <c r="F1030" s="320"/>
      <c r="G1030" s="465" t="str">
        <f t="shared" ref="G1030:G1093" si="114">IF(OR(AND(D1030="",E1030=""),AND(D1030="",F1030="")),"",IF(AND(D1030&lt;&gt;"",E1030&lt;&gt;"",F1030&lt;&gt;""),"REVISAR CÁLCULO",IF(AND(D1030&lt;&gt;"",F1030&lt;&gt;""),ROUND(((F1030-D1030)/30),3),IF(AND(D1030&lt;&gt;"",E1030&lt;&gt;""),ROUND(((E1030-D1030+1)/30),3),""))))</f>
        <v/>
      </c>
    </row>
    <row r="1031" spans="2:7">
      <c r="B1031" s="319"/>
      <c r="C1031" s="319"/>
      <c r="D1031" s="320"/>
      <c r="E1031" s="320"/>
      <c r="F1031" s="320"/>
      <c r="G1031" s="465" t="str">
        <f t="shared" si="114"/>
        <v/>
      </c>
    </row>
    <row r="1032" spans="2:7">
      <c r="B1032" s="319"/>
      <c r="C1032" s="319"/>
      <c r="D1032" s="320"/>
      <c r="E1032" s="320"/>
      <c r="F1032" s="320"/>
      <c r="G1032" s="465" t="str">
        <f t="shared" si="114"/>
        <v/>
      </c>
    </row>
    <row r="1033" spans="2:7">
      <c r="B1033" s="319"/>
      <c r="C1033" s="319"/>
      <c r="D1033" s="320"/>
      <c r="E1033" s="320"/>
      <c r="F1033" s="320"/>
      <c r="G1033" s="465" t="str">
        <f t="shared" si="114"/>
        <v/>
      </c>
    </row>
    <row r="1034" spans="2:7">
      <c r="B1034" s="319"/>
      <c r="C1034" s="319"/>
      <c r="D1034" s="320"/>
      <c r="E1034" s="320"/>
      <c r="F1034" s="320"/>
      <c r="G1034" s="465" t="str">
        <f t="shared" si="114"/>
        <v/>
      </c>
    </row>
    <row r="1035" spans="2:7">
      <c r="B1035" s="319"/>
      <c r="C1035" s="319"/>
      <c r="D1035" s="320"/>
      <c r="E1035" s="320"/>
      <c r="F1035" s="320"/>
      <c r="G1035" s="465" t="str">
        <f t="shared" si="114"/>
        <v/>
      </c>
    </row>
    <row r="1036" spans="2:7">
      <c r="B1036" s="319"/>
      <c r="C1036" s="319"/>
      <c r="D1036" s="320"/>
      <c r="E1036" s="320"/>
      <c r="F1036" s="320"/>
      <c r="G1036" s="465" t="str">
        <f t="shared" si="114"/>
        <v/>
      </c>
    </row>
    <row r="1037" spans="2:7">
      <c r="B1037" s="319"/>
      <c r="C1037" s="319"/>
      <c r="D1037" s="320"/>
      <c r="E1037" s="320"/>
      <c r="F1037" s="320"/>
      <c r="G1037" s="465" t="str">
        <f t="shared" si="114"/>
        <v/>
      </c>
    </row>
    <row r="1038" spans="2:7">
      <c r="B1038" s="319"/>
      <c r="C1038" s="319"/>
      <c r="D1038" s="320"/>
      <c r="E1038" s="320"/>
      <c r="F1038" s="320"/>
      <c r="G1038" s="465" t="str">
        <f t="shared" si="114"/>
        <v/>
      </c>
    </row>
    <row r="1039" spans="2:7">
      <c r="B1039" s="319"/>
      <c r="C1039" s="319"/>
      <c r="D1039" s="320"/>
      <c r="E1039" s="320"/>
      <c r="F1039" s="320"/>
      <c r="G1039" s="465" t="str">
        <f t="shared" si="114"/>
        <v/>
      </c>
    </row>
    <row r="1040" spans="2:7">
      <c r="B1040" s="319"/>
      <c r="C1040" s="319"/>
      <c r="D1040" s="320"/>
      <c r="E1040" s="320"/>
      <c r="F1040" s="320"/>
      <c r="G1040" s="465" t="str">
        <f t="shared" si="114"/>
        <v/>
      </c>
    </row>
    <row r="1041" spans="2:7">
      <c r="B1041" s="319"/>
      <c r="C1041" s="319"/>
      <c r="D1041" s="320"/>
      <c r="E1041" s="320"/>
      <c r="F1041" s="320"/>
      <c r="G1041" s="465" t="str">
        <f t="shared" si="114"/>
        <v/>
      </c>
    </row>
    <row r="1042" spans="2:7">
      <c r="B1042" s="319"/>
      <c r="C1042" s="319"/>
      <c r="D1042" s="320"/>
      <c r="E1042" s="320"/>
      <c r="F1042" s="320"/>
      <c r="G1042" s="465" t="str">
        <f t="shared" si="114"/>
        <v/>
      </c>
    </row>
    <row r="1043" spans="2:7">
      <c r="B1043" s="319"/>
      <c r="C1043" s="319"/>
      <c r="D1043" s="320"/>
      <c r="E1043" s="320"/>
      <c r="F1043" s="320"/>
      <c r="G1043" s="465" t="str">
        <f t="shared" si="114"/>
        <v/>
      </c>
    </row>
    <row r="1044" spans="2:7">
      <c r="B1044" s="319"/>
      <c r="C1044" s="319"/>
      <c r="D1044" s="320"/>
      <c r="E1044" s="320"/>
      <c r="F1044" s="320"/>
      <c r="G1044" s="465" t="str">
        <f t="shared" si="114"/>
        <v/>
      </c>
    </row>
    <row r="1045" spans="2:7">
      <c r="B1045" s="319"/>
      <c r="C1045" s="319"/>
      <c r="D1045" s="320"/>
      <c r="E1045" s="320"/>
      <c r="F1045" s="320"/>
      <c r="G1045" s="465" t="str">
        <f t="shared" si="114"/>
        <v/>
      </c>
    </row>
    <row r="1046" spans="2:7">
      <c r="B1046" s="319"/>
      <c r="C1046" s="319"/>
      <c r="D1046" s="320"/>
      <c r="E1046" s="320"/>
      <c r="F1046" s="320"/>
      <c r="G1046" s="465" t="str">
        <f t="shared" si="114"/>
        <v/>
      </c>
    </row>
    <row r="1047" spans="2:7">
      <c r="B1047" s="319"/>
      <c r="C1047" s="319"/>
      <c r="D1047" s="320"/>
      <c r="E1047" s="320"/>
      <c r="F1047" s="320"/>
      <c r="G1047" s="465" t="str">
        <f t="shared" si="114"/>
        <v/>
      </c>
    </row>
    <row r="1048" spans="2:7">
      <c r="B1048" s="319"/>
      <c r="C1048" s="319"/>
      <c r="D1048" s="320"/>
      <c r="E1048" s="320"/>
      <c r="F1048" s="320"/>
      <c r="G1048" s="465" t="str">
        <f t="shared" si="114"/>
        <v/>
      </c>
    </row>
    <row r="1049" spans="2:7">
      <c r="B1049" s="319"/>
      <c r="C1049" s="319"/>
      <c r="D1049" s="320"/>
      <c r="E1049" s="320"/>
      <c r="F1049" s="320"/>
      <c r="G1049" s="465" t="str">
        <f t="shared" si="114"/>
        <v/>
      </c>
    </row>
    <row r="1050" spans="2:7">
      <c r="B1050" s="319"/>
      <c r="C1050" s="319"/>
      <c r="D1050" s="320"/>
      <c r="E1050" s="320"/>
      <c r="F1050" s="320"/>
      <c r="G1050" s="465" t="str">
        <f t="shared" si="114"/>
        <v/>
      </c>
    </row>
    <row r="1051" spans="2:7">
      <c r="B1051" s="319"/>
      <c r="C1051" s="319"/>
      <c r="D1051" s="320"/>
      <c r="E1051" s="320"/>
      <c r="F1051" s="320"/>
      <c r="G1051" s="465" t="str">
        <f t="shared" si="114"/>
        <v/>
      </c>
    </row>
    <row r="1052" spans="2:7">
      <c r="B1052" s="319"/>
      <c r="C1052" s="319"/>
      <c r="D1052" s="320"/>
      <c r="E1052" s="320"/>
      <c r="F1052" s="320"/>
      <c r="G1052" s="465" t="str">
        <f t="shared" si="114"/>
        <v/>
      </c>
    </row>
    <row r="1053" spans="2:7">
      <c r="B1053" s="319"/>
      <c r="C1053" s="319"/>
      <c r="D1053" s="320"/>
      <c r="E1053" s="320"/>
      <c r="F1053" s="320"/>
      <c r="G1053" s="465" t="str">
        <f t="shared" si="114"/>
        <v/>
      </c>
    </row>
    <row r="1054" spans="2:7">
      <c r="B1054" s="319"/>
      <c r="C1054" s="319"/>
      <c r="D1054" s="320"/>
      <c r="E1054" s="320"/>
      <c r="F1054" s="320"/>
      <c r="G1054" s="465" t="str">
        <f t="shared" si="114"/>
        <v/>
      </c>
    </row>
    <row r="1055" spans="2:7">
      <c r="B1055" s="319"/>
      <c r="C1055" s="319"/>
      <c r="D1055" s="320"/>
      <c r="E1055" s="320"/>
      <c r="F1055" s="320"/>
      <c r="G1055" s="465" t="str">
        <f t="shared" si="114"/>
        <v/>
      </c>
    </row>
    <row r="1056" spans="2:7">
      <c r="B1056" s="319"/>
      <c r="C1056" s="319"/>
      <c r="D1056" s="320"/>
      <c r="E1056" s="320"/>
      <c r="F1056" s="320"/>
      <c r="G1056" s="465" t="str">
        <f t="shared" si="114"/>
        <v/>
      </c>
    </row>
    <row r="1057" spans="2:7">
      <c r="B1057" s="319"/>
      <c r="C1057" s="319"/>
      <c r="D1057" s="320"/>
      <c r="E1057" s="320"/>
      <c r="F1057" s="320"/>
      <c r="G1057" s="465" t="str">
        <f t="shared" si="114"/>
        <v/>
      </c>
    </row>
    <row r="1058" spans="2:7">
      <c r="B1058" s="319"/>
      <c r="C1058" s="319"/>
      <c r="D1058" s="320"/>
      <c r="E1058" s="320"/>
      <c r="F1058" s="320"/>
      <c r="G1058" s="465" t="str">
        <f t="shared" si="114"/>
        <v/>
      </c>
    </row>
    <row r="1059" spans="2:7">
      <c r="B1059" s="319"/>
      <c r="C1059" s="319"/>
      <c r="D1059" s="320"/>
      <c r="E1059" s="320"/>
      <c r="F1059" s="320"/>
      <c r="G1059" s="465" t="str">
        <f t="shared" si="114"/>
        <v/>
      </c>
    </row>
    <row r="1060" spans="2:7">
      <c r="B1060" s="319"/>
      <c r="C1060" s="319"/>
      <c r="D1060" s="320"/>
      <c r="E1060" s="320"/>
      <c r="F1060" s="320"/>
      <c r="G1060" s="465" t="str">
        <f t="shared" si="114"/>
        <v/>
      </c>
    </row>
    <row r="1061" spans="2:7">
      <c r="B1061" s="319"/>
      <c r="C1061" s="319"/>
      <c r="D1061" s="320"/>
      <c r="E1061" s="320"/>
      <c r="F1061" s="320"/>
      <c r="G1061" s="465" t="str">
        <f t="shared" si="114"/>
        <v/>
      </c>
    </row>
    <row r="1062" spans="2:7">
      <c r="B1062" s="319"/>
      <c r="C1062" s="319"/>
      <c r="D1062" s="320"/>
      <c r="E1062" s="320"/>
      <c r="F1062" s="320"/>
      <c r="G1062" s="465" t="str">
        <f t="shared" si="114"/>
        <v/>
      </c>
    </row>
    <row r="1063" spans="2:7">
      <c r="B1063" s="319"/>
      <c r="C1063" s="319"/>
      <c r="D1063" s="320"/>
      <c r="E1063" s="320"/>
      <c r="F1063" s="320"/>
      <c r="G1063" s="465" t="str">
        <f t="shared" si="114"/>
        <v/>
      </c>
    </row>
    <row r="1064" spans="2:7">
      <c r="B1064" s="319"/>
      <c r="C1064" s="319"/>
      <c r="D1064" s="320"/>
      <c r="E1064" s="320"/>
      <c r="F1064" s="320"/>
      <c r="G1064" s="465" t="str">
        <f t="shared" si="114"/>
        <v/>
      </c>
    </row>
    <row r="1065" spans="2:7">
      <c r="B1065" s="319"/>
      <c r="C1065" s="319"/>
      <c r="D1065" s="320"/>
      <c r="E1065" s="320"/>
      <c r="F1065" s="320"/>
      <c r="G1065" s="465" t="str">
        <f t="shared" si="114"/>
        <v/>
      </c>
    </row>
    <row r="1066" spans="2:7">
      <c r="B1066" s="319"/>
      <c r="C1066" s="319"/>
      <c r="D1066" s="320"/>
      <c r="E1066" s="320"/>
      <c r="F1066" s="320"/>
      <c r="G1066" s="465" t="str">
        <f t="shared" si="114"/>
        <v/>
      </c>
    </row>
    <row r="1067" spans="2:7">
      <c r="B1067" s="319"/>
      <c r="C1067" s="319"/>
      <c r="D1067" s="320"/>
      <c r="E1067" s="320"/>
      <c r="F1067" s="320"/>
      <c r="G1067" s="465" t="str">
        <f t="shared" si="114"/>
        <v/>
      </c>
    </row>
    <row r="1068" spans="2:7">
      <c r="B1068" s="319"/>
      <c r="C1068" s="319"/>
      <c r="D1068" s="320"/>
      <c r="E1068" s="320"/>
      <c r="F1068" s="320"/>
      <c r="G1068" s="465" t="str">
        <f t="shared" si="114"/>
        <v/>
      </c>
    </row>
    <row r="1069" spans="2:7">
      <c r="B1069" s="319"/>
      <c r="C1069" s="319"/>
      <c r="D1069" s="320"/>
      <c r="E1069" s="320"/>
      <c r="F1069" s="320"/>
      <c r="G1069" s="465" t="str">
        <f t="shared" si="114"/>
        <v/>
      </c>
    </row>
    <row r="1070" spans="2:7">
      <c r="B1070" s="319"/>
      <c r="C1070" s="319"/>
      <c r="D1070" s="320"/>
      <c r="E1070" s="320"/>
      <c r="F1070" s="320"/>
      <c r="G1070" s="465" t="str">
        <f t="shared" si="114"/>
        <v/>
      </c>
    </row>
    <row r="1071" spans="2:7">
      <c r="B1071" s="319"/>
      <c r="C1071" s="319"/>
      <c r="D1071" s="320"/>
      <c r="E1071" s="320"/>
      <c r="F1071" s="320"/>
      <c r="G1071" s="465" t="str">
        <f t="shared" si="114"/>
        <v/>
      </c>
    </row>
    <row r="1072" spans="2:7">
      <c r="B1072" s="319"/>
      <c r="C1072" s="319"/>
      <c r="D1072" s="320"/>
      <c r="E1072" s="320"/>
      <c r="F1072" s="320"/>
      <c r="G1072" s="465" t="str">
        <f t="shared" si="114"/>
        <v/>
      </c>
    </row>
    <row r="1073" spans="2:7">
      <c r="B1073" s="319"/>
      <c r="C1073" s="319"/>
      <c r="D1073" s="320"/>
      <c r="E1073" s="320"/>
      <c r="F1073" s="320"/>
      <c r="G1073" s="465" t="str">
        <f t="shared" si="114"/>
        <v/>
      </c>
    </row>
    <row r="1074" spans="2:7">
      <c r="B1074" s="319"/>
      <c r="C1074" s="319"/>
      <c r="D1074" s="320"/>
      <c r="E1074" s="320"/>
      <c r="F1074" s="320"/>
      <c r="G1074" s="465" t="str">
        <f t="shared" si="114"/>
        <v/>
      </c>
    </row>
    <row r="1075" spans="2:7">
      <c r="B1075" s="319"/>
      <c r="C1075" s="319"/>
      <c r="D1075" s="320"/>
      <c r="E1075" s="320"/>
      <c r="F1075" s="320"/>
      <c r="G1075" s="465" t="str">
        <f t="shared" si="114"/>
        <v/>
      </c>
    </row>
    <row r="1076" spans="2:7">
      <c r="B1076" s="319"/>
      <c r="C1076" s="319"/>
      <c r="D1076" s="320"/>
      <c r="E1076" s="320"/>
      <c r="F1076" s="320"/>
      <c r="G1076" s="465" t="str">
        <f t="shared" si="114"/>
        <v/>
      </c>
    </row>
    <row r="1077" spans="2:7">
      <c r="B1077" s="319"/>
      <c r="C1077" s="319"/>
      <c r="D1077" s="320"/>
      <c r="E1077" s="320"/>
      <c r="F1077" s="320"/>
      <c r="G1077" s="465" t="str">
        <f t="shared" si="114"/>
        <v/>
      </c>
    </row>
    <row r="1078" spans="2:7">
      <c r="B1078" s="319"/>
      <c r="C1078" s="319"/>
      <c r="D1078" s="320"/>
      <c r="E1078" s="320"/>
      <c r="F1078" s="320"/>
      <c r="G1078" s="465" t="str">
        <f t="shared" si="114"/>
        <v/>
      </c>
    </row>
    <row r="1079" spans="2:7">
      <c r="B1079" s="319"/>
      <c r="C1079" s="319"/>
      <c r="D1079" s="320"/>
      <c r="E1079" s="320"/>
      <c r="F1079" s="320"/>
      <c r="G1079" s="465" t="str">
        <f t="shared" si="114"/>
        <v/>
      </c>
    </row>
    <row r="1080" spans="2:7">
      <c r="B1080" s="319"/>
      <c r="C1080" s="319"/>
      <c r="D1080" s="320"/>
      <c r="E1080" s="320"/>
      <c r="F1080" s="320"/>
      <c r="G1080" s="465" t="str">
        <f t="shared" si="114"/>
        <v/>
      </c>
    </row>
    <row r="1081" spans="2:7">
      <c r="B1081" s="319"/>
      <c r="C1081" s="319"/>
      <c r="D1081" s="320"/>
      <c r="E1081" s="320"/>
      <c r="F1081" s="320"/>
      <c r="G1081" s="465" t="str">
        <f t="shared" si="114"/>
        <v/>
      </c>
    </row>
    <row r="1082" spans="2:7">
      <c r="B1082" s="319"/>
      <c r="C1082" s="319"/>
      <c r="D1082" s="320"/>
      <c r="E1082" s="320"/>
      <c r="F1082" s="320"/>
      <c r="G1082" s="465" t="str">
        <f t="shared" si="114"/>
        <v/>
      </c>
    </row>
    <row r="1083" spans="2:7">
      <c r="B1083" s="319"/>
      <c r="C1083" s="319"/>
      <c r="D1083" s="320"/>
      <c r="E1083" s="320"/>
      <c r="F1083" s="320"/>
      <c r="G1083" s="465" t="str">
        <f t="shared" si="114"/>
        <v/>
      </c>
    </row>
    <row r="1084" spans="2:7">
      <c r="B1084" s="319"/>
      <c r="C1084" s="319"/>
      <c r="D1084" s="320"/>
      <c r="E1084" s="320"/>
      <c r="F1084" s="320"/>
      <c r="G1084" s="465" t="str">
        <f t="shared" si="114"/>
        <v/>
      </c>
    </row>
    <row r="1085" spans="2:7">
      <c r="B1085" s="319"/>
      <c r="C1085" s="319"/>
      <c r="D1085" s="320"/>
      <c r="E1085" s="320"/>
      <c r="F1085" s="320"/>
      <c r="G1085" s="465" t="str">
        <f t="shared" si="114"/>
        <v/>
      </c>
    </row>
    <row r="1086" spans="2:7">
      <c r="B1086" s="319"/>
      <c r="C1086" s="319"/>
      <c r="D1086" s="320"/>
      <c r="E1086" s="320"/>
      <c r="F1086" s="320"/>
      <c r="G1086" s="465" t="str">
        <f t="shared" si="114"/>
        <v/>
      </c>
    </row>
    <row r="1087" spans="2:7">
      <c r="B1087" s="319"/>
      <c r="C1087" s="319"/>
      <c r="D1087" s="320"/>
      <c r="E1087" s="320"/>
      <c r="F1087" s="320"/>
      <c r="G1087" s="465" t="str">
        <f t="shared" si="114"/>
        <v/>
      </c>
    </row>
    <row r="1088" spans="2:7">
      <c r="B1088" s="319"/>
      <c r="C1088" s="319"/>
      <c r="D1088" s="320"/>
      <c r="E1088" s="320"/>
      <c r="F1088" s="320"/>
      <c r="G1088" s="465" t="str">
        <f t="shared" si="114"/>
        <v/>
      </c>
    </row>
    <row r="1089" spans="2:7">
      <c r="B1089" s="319"/>
      <c r="C1089" s="319"/>
      <c r="D1089" s="320"/>
      <c r="E1089" s="320"/>
      <c r="F1089" s="320"/>
      <c r="G1089" s="465" t="str">
        <f t="shared" si="114"/>
        <v/>
      </c>
    </row>
    <row r="1090" spans="2:7">
      <c r="B1090" s="319"/>
      <c r="C1090" s="319"/>
      <c r="D1090" s="320"/>
      <c r="E1090" s="320"/>
      <c r="F1090" s="320"/>
      <c r="G1090" s="465" t="str">
        <f t="shared" si="114"/>
        <v/>
      </c>
    </row>
    <row r="1091" spans="2:7">
      <c r="B1091" s="319"/>
      <c r="C1091" s="319"/>
      <c r="D1091" s="320"/>
      <c r="E1091" s="320"/>
      <c r="F1091" s="320"/>
      <c r="G1091" s="465" t="str">
        <f t="shared" si="114"/>
        <v/>
      </c>
    </row>
    <row r="1092" spans="2:7">
      <c r="B1092" s="319"/>
      <c r="C1092" s="319"/>
      <c r="D1092" s="320"/>
      <c r="E1092" s="320"/>
      <c r="F1092" s="320"/>
      <c r="G1092" s="465" t="str">
        <f t="shared" si="114"/>
        <v/>
      </c>
    </row>
    <row r="1093" spans="2:7">
      <c r="B1093" s="319"/>
      <c r="C1093" s="319"/>
      <c r="D1093" s="320"/>
      <c r="E1093" s="320"/>
      <c r="F1093" s="320"/>
      <c r="G1093" s="465" t="str">
        <f t="shared" si="114"/>
        <v/>
      </c>
    </row>
    <row r="1094" spans="2:7">
      <c r="B1094" s="319"/>
      <c r="C1094" s="319"/>
      <c r="D1094" s="320"/>
      <c r="E1094" s="320"/>
      <c r="F1094" s="320"/>
      <c r="G1094" s="465" t="str">
        <f t="shared" ref="G1094:G1157" si="115">IF(OR(AND(D1094="",E1094=""),AND(D1094="",F1094="")),"",IF(AND(D1094&lt;&gt;"",E1094&lt;&gt;"",F1094&lt;&gt;""),"REVISAR CÁLCULO",IF(AND(D1094&lt;&gt;"",F1094&lt;&gt;""),ROUND(((F1094-D1094)/30),3),IF(AND(D1094&lt;&gt;"",E1094&lt;&gt;""),ROUND(((E1094-D1094+1)/30),3),""))))</f>
        <v/>
      </c>
    </row>
    <row r="1095" spans="2:7">
      <c r="B1095" s="319"/>
      <c r="C1095" s="319"/>
      <c r="D1095" s="320"/>
      <c r="E1095" s="320"/>
      <c r="F1095" s="320"/>
      <c r="G1095" s="465" t="str">
        <f t="shared" si="115"/>
        <v/>
      </c>
    </row>
    <row r="1096" spans="2:7">
      <c r="B1096" s="319"/>
      <c r="C1096" s="319"/>
      <c r="D1096" s="320"/>
      <c r="E1096" s="320"/>
      <c r="F1096" s="320"/>
      <c r="G1096" s="465" t="str">
        <f t="shared" si="115"/>
        <v/>
      </c>
    </row>
    <row r="1097" spans="2:7">
      <c r="B1097" s="319"/>
      <c r="C1097" s="319"/>
      <c r="D1097" s="320"/>
      <c r="E1097" s="320"/>
      <c r="F1097" s="320"/>
      <c r="G1097" s="465" t="str">
        <f t="shared" si="115"/>
        <v/>
      </c>
    </row>
    <row r="1098" spans="2:7">
      <c r="B1098" s="319"/>
      <c r="C1098" s="319"/>
      <c r="D1098" s="320"/>
      <c r="E1098" s="320"/>
      <c r="F1098" s="320"/>
      <c r="G1098" s="465" t="str">
        <f t="shared" si="115"/>
        <v/>
      </c>
    </row>
    <row r="1099" spans="2:7">
      <c r="B1099" s="319"/>
      <c r="C1099" s="319"/>
      <c r="D1099" s="320"/>
      <c r="E1099" s="320"/>
      <c r="F1099" s="320"/>
      <c r="G1099" s="465" t="str">
        <f t="shared" si="115"/>
        <v/>
      </c>
    </row>
    <row r="1100" spans="2:7">
      <c r="B1100" s="319"/>
      <c r="C1100" s="319"/>
      <c r="D1100" s="320"/>
      <c r="E1100" s="320"/>
      <c r="F1100" s="320"/>
      <c r="G1100" s="465" t="str">
        <f t="shared" si="115"/>
        <v/>
      </c>
    </row>
    <row r="1101" spans="2:7">
      <c r="B1101" s="319"/>
      <c r="C1101" s="319"/>
      <c r="D1101" s="320"/>
      <c r="E1101" s="320"/>
      <c r="F1101" s="320"/>
      <c r="G1101" s="465" t="str">
        <f t="shared" si="115"/>
        <v/>
      </c>
    </row>
    <row r="1102" spans="2:7">
      <c r="B1102" s="319"/>
      <c r="C1102" s="319"/>
      <c r="D1102" s="320"/>
      <c r="E1102" s="320"/>
      <c r="F1102" s="320"/>
      <c r="G1102" s="465" t="str">
        <f t="shared" si="115"/>
        <v/>
      </c>
    </row>
    <row r="1103" spans="2:7">
      <c r="B1103" s="319"/>
      <c r="C1103" s="319"/>
      <c r="D1103" s="320"/>
      <c r="E1103" s="320"/>
      <c r="F1103" s="320"/>
      <c r="G1103" s="465" t="str">
        <f t="shared" si="115"/>
        <v/>
      </c>
    </row>
    <row r="1104" spans="2:7">
      <c r="B1104" s="319"/>
      <c r="C1104" s="319"/>
      <c r="D1104" s="320"/>
      <c r="E1104" s="320"/>
      <c r="F1104" s="320"/>
      <c r="G1104" s="465" t="str">
        <f t="shared" si="115"/>
        <v/>
      </c>
    </row>
    <row r="1105" spans="2:7">
      <c r="B1105" s="319"/>
      <c r="C1105" s="319"/>
      <c r="D1105" s="320"/>
      <c r="E1105" s="320"/>
      <c r="F1105" s="320"/>
      <c r="G1105" s="465" t="str">
        <f t="shared" si="115"/>
        <v/>
      </c>
    </row>
    <row r="1106" spans="2:7">
      <c r="B1106" s="319"/>
      <c r="C1106" s="319"/>
      <c r="D1106" s="320"/>
      <c r="E1106" s="320"/>
      <c r="F1106" s="320"/>
      <c r="G1106" s="465" t="str">
        <f t="shared" si="115"/>
        <v/>
      </c>
    </row>
    <row r="1107" spans="2:7">
      <c r="B1107" s="319"/>
      <c r="C1107" s="319"/>
      <c r="D1107" s="320"/>
      <c r="E1107" s="320"/>
      <c r="F1107" s="320"/>
      <c r="G1107" s="465" t="str">
        <f t="shared" si="115"/>
        <v/>
      </c>
    </row>
    <row r="1108" spans="2:7">
      <c r="B1108" s="319"/>
      <c r="C1108" s="319"/>
      <c r="D1108" s="320"/>
      <c r="E1108" s="320"/>
      <c r="F1108" s="320"/>
      <c r="G1108" s="465" t="str">
        <f t="shared" si="115"/>
        <v/>
      </c>
    </row>
    <row r="1109" spans="2:7">
      <c r="B1109" s="319"/>
      <c r="C1109" s="319"/>
      <c r="D1109" s="320"/>
      <c r="E1109" s="320"/>
      <c r="F1109" s="320"/>
      <c r="G1109" s="465" t="str">
        <f t="shared" si="115"/>
        <v/>
      </c>
    </row>
    <row r="1110" spans="2:7">
      <c r="B1110" s="319"/>
      <c r="C1110" s="319"/>
      <c r="D1110" s="320"/>
      <c r="E1110" s="320"/>
      <c r="F1110" s="320"/>
      <c r="G1110" s="465" t="str">
        <f t="shared" si="115"/>
        <v/>
      </c>
    </row>
    <row r="1111" spans="2:7">
      <c r="B1111" s="319"/>
      <c r="C1111" s="319"/>
      <c r="D1111" s="320"/>
      <c r="E1111" s="320"/>
      <c r="F1111" s="320"/>
      <c r="G1111" s="465" t="str">
        <f t="shared" si="115"/>
        <v/>
      </c>
    </row>
    <row r="1112" spans="2:7">
      <c r="B1112" s="319"/>
      <c r="C1112" s="319"/>
      <c r="D1112" s="320"/>
      <c r="E1112" s="320"/>
      <c r="F1112" s="320"/>
      <c r="G1112" s="465" t="str">
        <f t="shared" si="115"/>
        <v/>
      </c>
    </row>
    <row r="1113" spans="2:7">
      <c r="B1113" s="319"/>
      <c r="C1113" s="319"/>
      <c r="D1113" s="320"/>
      <c r="E1113" s="320"/>
      <c r="F1113" s="320"/>
      <c r="G1113" s="465" t="str">
        <f t="shared" si="115"/>
        <v/>
      </c>
    </row>
    <row r="1114" spans="2:7">
      <c r="B1114" s="319"/>
      <c r="C1114" s="319"/>
      <c r="D1114" s="320"/>
      <c r="E1114" s="320"/>
      <c r="F1114" s="320"/>
      <c r="G1114" s="465" t="str">
        <f t="shared" si="115"/>
        <v/>
      </c>
    </row>
    <row r="1115" spans="2:7">
      <c r="B1115" s="319"/>
      <c r="C1115" s="319"/>
      <c r="D1115" s="320"/>
      <c r="E1115" s="320"/>
      <c r="F1115" s="320"/>
      <c r="G1115" s="465" t="str">
        <f t="shared" si="115"/>
        <v/>
      </c>
    </row>
    <row r="1116" spans="2:7">
      <c r="B1116" s="319"/>
      <c r="C1116" s="319"/>
      <c r="D1116" s="320"/>
      <c r="E1116" s="320"/>
      <c r="F1116" s="320"/>
      <c r="G1116" s="465" t="str">
        <f t="shared" si="115"/>
        <v/>
      </c>
    </row>
    <row r="1117" spans="2:7">
      <c r="B1117" s="319"/>
      <c r="C1117" s="319"/>
      <c r="D1117" s="320"/>
      <c r="E1117" s="320"/>
      <c r="F1117" s="320"/>
      <c r="G1117" s="465" t="str">
        <f t="shared" si="115"/>
        <v/>
      </c>
    </row>
    <row r="1118" spans="2:7">
      <c r="B1118" s="319"/>
      <c r="C1118" s="319"/>
      <c r="D1118" s="320"/>
      <c r="E1118" s="320"/>
      <c r="F1118" s="320"/>
      <c r="G1118" s="465" t="str">
        <f t="shared" si="115"/>
        <v/>
      </c>
    </row>
    <row r="1119" spans="2:7">
      <c r="B1119" s="319"/>
      <c r="C1119" s="319"/>
      <c r="D1119" s="320"/>
      <c r="E1119" s="320"/>
      <c r="F1119" s="320"/>
      <c r="G1119" s="465" t="str">
        <f t="shared" si="115"/>
        <v/>
      </c>
    </row>
    <row r="1120" spans="2:7">
      <c r="B1120" s="319"/>
      <c r="C1120" s="319"/>
      <c r="D1120" s="320"/>
      <c r="E1120" s="320"/>
      <c r="F1120" s="320"/>
      <c r="G1120" s="465" t="str">
        <f t="shared" si="115"/>
        <v/>
      </c>
    </row>
    <row r="1121" spans="2:7">
      <c r="B1121" s="319"/>
      <c r="C1121" s="319"/>
      <c r="D1121" s="320"/>
      <c r="E1121" s="320"/>
      <c r="F1121" s="320"/>
      <c r="G1121" s="465" t="str">
        <f t="shared" si="115"/>
        <v/>
      </c>
    </row>
    <row r="1122" spans="2:7">
      <c r="B1122" s="319"/>
      <c r="C1122" s="319"/>
      <c r="D1122" s="320"/>
      <c r="E1122" s="320"/>
      <c r="F1122" s="320"/>
      <c r="G1122" s="465" t="str">
        <f t="shared" si="115"/>
        <v/>
      </c>
    </row>
    <row r="1123" spans="2:7">
      <c r="B1123" s="319"/>
      <c r="C1123" s="319"/>
      <c r="D1123" s="320"/>
      <c r="E1123" s="320"/>
      <c r="F1123" s="320"/>
      <c r="G1123" s="465" t="str">
        <f t="shared" si="115"/>
        <v/>
      </c>
    </row>
    <row r="1124" spans="2:7">
      <c r="B1124" s="319"/>
      <c r="C1124" s="319"/>
      <c r="D1124" s="320"/>
      <c r="E1124" s="320"/>
      <c r="F1124" s="320"/>
      <c r="G1124" s="465" t="str">
        <f t="shared" si="115"/>
        <v/>
      </c>
    </row>
    <row r="1125" spans="2:7">
      <c r="B1125" s="319"/>
      <c r="C1125" s="319"/>
      <c r="D1125" s="320"/>
      <c r="E1125" s="320"/>
      <c r="F1125" s="320"/>
      <c r="G1125" s="465" t="str">
        <f t="shared" si="115"/>
        <v/>
      </c>
    </row>
    <row r="1126" spans="2:7">
      <c r="B1126" s="319"/>
      <c r="C1126" s="319"/>
      <c r="D1126" s="320"/>
      <c r="E1126" s="320"/>
      <c r="F1126" s="320"/>
      <c r="G1126" s="465" t="str">
        <f t="shared" si="115"/>
        <v/>
      </c>
    </row>
    <row r="1127" spans="2:7">
      <c r="B1127" s="319"/>
      <c r="C1127" s="319"/>
      <c r="D1127" s="320"/>
      <c r="E1127" s="320"/>
      <c r="F1127" s="320"/>
      <c r="G1127" s="465" t="str">
        <f t="shared" si="115"/>
        <v/>
      </c>
    </row>
    <row r="1128" spans="2:7">
      <c r="B1128" s="319"/>
      <c r="C1128" s="319"/>
      <c r="D1128" s="320"/>
      <c r="E1128" s="320"/>
      <c r="F1128" s="320"/>
      <c r="G1128" s="465" t="str">
        <f t="shared" si="115"/>
        <v/>
      </c>
    </row>
    <row r="1129" spans="2:7">
      <c r="B1129" s="319"/>
      <c r="C1129" s="319"/>
      <c r="D1129" s="320"/>
      <c r="E1129" s="320"/>
      <c r="F1129" s="320"/>
      <c r="G1129" s="465" t="str">
        <f t="shared" si="115"/>
        <v/>
      </c>
    </row>
    <row r="1130" spans="2:7">
      <c r="B1130" s="319"/>
      <c r="C1130" s="319"/>
      <c r="D1130" s="320"/>
      <c r="E1130" s="320"/>
      <c r="F1130" s="320"/>
      <c r="G1130" s="465" t="str">
        <f t="shared" si="115"/>
        <v/>
      </c>
    </row>
    <row r="1131" spans="2:7">
      <c r="B1131" s="319"/>
      <c r="C1131" s="319"/>
      <c r="D1131" s="320"/>
      <c r="E1131" s="320"/>
      <c r="F1131" s="320"/>
      <c r="G1131" s="465" t="str">
        <f t="shared" si="115"/>
        <v/>
      </c>
    </row>
    <row r="1132" spans="2:7">
      <c r="B1132" s="319"/>
      <c r="C1132" s="319"/>
      <c r="D1132" s="320"/>
      <c r="E1132" s="320"/>
      <c r="F1132" s="320"/>
      <c r="G1132" s="465" t="str">
        <f t="shared" si="115"/>
        <v/>
      </c>
    </row>
    <row r="1133" spans="2:7">
      <c r="B1133" s="319"/>
      <c r="C1133" s="319"/>
      <c r="D1133" s="320"/>
      <c r="E1133" s="320"/>
      <c r="F1133" s="320"/>
      <c r="G1133" s="465" t="str">
        <f t="shared" si="115"/>
        <v/>
      </c>
    </row>
    <row r="1134" spans="2:7">
      <c r="B1134" s="319"/>
      <c r="C1134" s="319"/>
      <c r="D1134" s="320"/>
      <c r="E1134" s="320"/>
      <c r="F1134" s="320"/>
      <c r="G1134" s="465" t="str">
        <f t="shared" si="115"/>
        <v/>
      </c>
    </row>
    <row r="1135" spans="2:7">
      <c r="B1135" s="319"/>
      <c r="C1135" s="319"/>
      <c r="D1135" s="320"/>
      <c r="E1135" s="320"/>
      <c r="F1135" s="320"/>
      <c r="G1135" s="465" t="str">
        <f t="shared" si="115"/>
        <v/>
      </c>
    </row>
    <row r="1136" spans="2:7">
      <c r="B1136" s="319"/>
      <c r="C1136" s="319"/>
      <c r="D1136" s="320"/>
      <c r="E1136" s="320"/>
      <c r="F1136" s="320"/>
      <c r="G1136" s="465" t="str">
        <f t="shared" si="115"/>
        <v/>
      </c>
    </row>
    <row r="1137" spans="2:7">
      <c r="B1137" s="319"/>
      <c r="C1137" s="319"/>
      <c r="D1137" s="320"/>
      <c r="E1137" s="320"/>
      <c r="F1137" s="320"/>
      <c r="G1137" s="465" t="str">
        <f t="shared" si="115"/>
        <v/>
      </c>
    </row>
    <row r="1138" spans="2:7">
      <c r="B1138" s="319"/>
      <c r="C1138" s="319"/>
      <c r="D1138" s="320"/>
      <c r="E1138" s="320"/>
      <c r="F1138" s="320"/>
      <c r="G1138" s="465" t="str">
        <f t="shared" si="115"/>
        <v/>
      </c>
    </row>
    <row r="1139" spans="2:7">
      <c r="B1139" s="319"/>
      <c r="C1139" s="319"/>
      <c r="D1139" s="320"/>
      <c r="E1139" s="320"/>
      <c r="F1139" s="320"/>
      <c r="G1139" s="465" t="str">
        <f t="shared" si="115"/>
        <v/>
      </c>
    </row>
    <row r="1140" spans="2:7">
      <c r="B1140" s="319"/>
      <c r="C1140" s="319"/>
      <c r="D1140" s="320"/>
      <c r="E1140" s="320"/>
      <c r="F1140" s="320"/>
      <c r="G1140" s="465" t="str">
        <f t="shared" si="115"/>
        <v/>
      </c>
    </row>
    <row r="1141" spans="2:7">
      <c r="B1141" s="319"/>
      <c r="C1141" s="319"/>
      <c r="D1141" s="320"/>
      <c r="E1141" s="320"/>
      <c r="F1141" s="320"/>
      <c r="G1141" s="465" t="str">
        <f t="shared" si="115"/>
        <v/>
      </c>
    </row>
    <row r="1142" spans="2:7">
      <c r="B1142" s="319"/>
      <c r="C1142" s="319"/>
      <c r="D1142" s="320"/>
      <c r="E1142" s="320"/>
      <c r="F1142" s="320"/>
      <c r="G1142" s="465" t="str">
        <f t="shared" si="115"/>
        <v/>
      </c>
    </row>
    <row r="1143" spans="2:7">
      <c r="B1143" s="319"/>
      <c r="C1143" s="319"/>
      <c r="D1143" s="320"/>
      <c r="E1143" s="320"/>
      <c r="F1143" s="320"/>
      <c r="G1143" s="465" t="str">
        <f t="shared" si="115"/>
        <v/>
      </c>
    </row>
    <row r="1144" spans="2:7">
      <c r="B1144" s="319"/>
      <c r="C1144" s="319"/>
      <c r="D1144" s="320"/>
      <c r="E1144" s="320"/>
      <c r="F1144" s="320"/>
      <c r="G1144" s="465" t="str">
        <f t="shared" si="115"/>
        <v/>
      </c>
    </row>
    <row r="1145" spans="2:7">
      <c r="B1145" s="319"/>
      <c r="C1145" s="319"/>
      <c r="D1145" s="320"/>
      <c r="E1145" s="320"/>
      <c r="F1145" s="320"/>
      <c r="G1145" s="465" t="str">
        <f t="shared" si="115"/>
        <v/>
      </c>
    </row>
    <row r="1146" spans="2:7">
      <c r="B1146" s="319"/>
      <c r="C1146" s="319"/>
      <c r="D1146" s="320"/>
      <c r="E1146" s="320"/>
      <c r="F1146" s="320"/>
      <c r="G1146" s="465" t="str">
        <f t="shared" si="115"/>
        <v/>
      </c>
    </row>
    <row r="1147" spans="2:7">
      <c r="B1147" s="319"/>
      <c r="C1147" s="319"/>
      <c r="D1147" s="320"/>
      <c r="E1147" s="320"/>
      <c r="F1147" s="320"/>
      <c r="G1147" s="465" t="str">
        <f t="shared" si="115"/>
        <v/>
      </c>
    </row>
    <row r="1148" spans="2:7">
      <c r="B1148" s="319"/>
      <c r="C1148" s="319"/>
      <c r="D1148" s="320"/>
      <c r="E1148" s="320"/>
      <c r="F1148" s="320"/>
      <c r="G1148" s="465" t="str">
        <f t="shared" si="115"/>
        <v/>
      </c>
    </row>
    <row r="1149" spans="2:7">
      <c r="B1149" s="319"/>
      <c r="C1149" s="319"/>
      <c r="D1149" s="320"/>
      <c r="E1149" s="320"/>
      <c r="F1149" s="320"/>
      <c r="G1149" s="465" t="str">
        <f t="shared" si="115"/>
        <v/>
      </c>
    </row>
    <row r="1150" spans="2:7">
      <c r="B1150" s="319"/>
      <c r="C1150" s="319"/>
      <c r="D1150" s="320"/>
      <c r="E1150" s="320"/>
      <c r="F1150" s="320"/>
      <c r="G1150" s="465" t="str">
        <f t="shared" si="115"/>
        <v/>
      </c>
    </row>
    <row r="1151" spans="2:7">
      <c r="B1151" s="319"/>
      <c r="C1151" s="319"/>
      <c r="D1151" s="320"/>
      <c r="E1151" s="320"/>
      <c r="F1151" s="320"/>
      <c r="G1151" s="465" t="str">
        <f t="shared" si="115"/>
        <v/>
      </c>
    </row>
    <row r="1152" spans="2:7">
      <c r="B1152" s="319"/>
      <c r="C1152" s="319"/>
      <c r="D1152" s="320"/>
      <c r="E1152" s="320"/>
      <c r="F1152" s="320"/>
      <c r="G1152" s="465" t="str">
        <f t="shared" si="115"/>
        <v/>
      </c>
    </row>
    <row r="1153" spans="2:7">
      <c r="B1153" s="319"/>
      <c r="C1153" s="319"/>
      <c r="D1153" s="320"/>
      <c r="E1153" s="320"/>
      <c r="F1153" s="320"/>
      <c r="G1153" s="465" t="str">
        <f t="shared" si="115"/>
        <v/>
      </c>
    </row>
    <row r="1154" spans="2:7">
      <c r="B1154" s="319"/>
      <c r="C1154" s="319"/>
      <c r="D1154" s="320"/>
      <c r="E1154" s="320"/>
      <c r="F1154" s="320"/>
      <c r="G1154" s="465" t="str">
        <f t="shared" si="115"/>
        <v/>
      </c>
    </row>
    <row r="1155" spans="2:7">
      <c r="B1155" s="319"/>
      <c r="C1155" s="319"/>
      <c r="D1155" s="320"/>
      <c r="E1155" s="320"/>
      <c r="F1155" s="320"/>
      <c r="G1155" s="465" t="str">
        <f t="shared" si="115"/>
        <v/>
      </c>
    </row>
    <row r="1156" spans="2:7">
      <c r="B1156" s="319"/>
      <c r="C1156" s="319"/>
      <c r="D1156" s="320"/>
      <c r="E1156" s="320"/>
      <c r="F1156" s="320"/>
      <c r="G1156" s="465" t="str">
        <f t="shared" si="115"/>
        <v/>
      </c>
    </row>
    <row r="1157" spans="2:7">
      <c r="B1157" s="319"/>
      <c r="C1157" s="319"/>
      <c r="D1157" s="320"/>
      <c r="E1157" s="320"/>
      <c r="F1157" s="320"/>
      <c r="G1157" s="465" t="str">
        <f t="shared" si="115"/>
        <v/>
      </c>
    </row>
    <row r="1158" spans="2:7">
      <c r="B1158" s="319"/>
      <c r="C1158" s="319"/>
      <c r="D1158" s="320"/>
      <c r="E1158" s="320"/>
      <c r="F1158" s="320"/>
      <c r="G1158" s="465" t="str">
        <f t="shared" ref="G1158:G1221" si="116">IF(OR(AND(D1158="",E1158=""),AND(D1158="",F1158="")),"",IF(AND(D1158&lt;&gt;"",E1158&lt;&gt;"",F1158&lt;&gt;""),"REVISAR CÁLCULO",IF(AND(D1158&lt;&gt;"",F1158&lt;&gt;""),ROUND(((F1158-D1158)/30),3),IF(AND(D1158&lt;&gt;"",E1158&lt;&gt;""),ROUND(((E1158-D1158+1)/30),3),""))))</f>
        <v/>
      </c>
    </row>
    <row r="1159" spans="2:7">
      <c r="B1159" s="319"/>
      <c r="C1159" s="319"/>
      <c r="D1159" s="320"/>
      <c r="E1159" s="320"/>
      <c r="F1159" s="320"/>
      <c r="G1159" s="465" t="str">
        <f t="shared" si="116"/>
        <v/>
      </c>
    </row>
    <row r="1160" spans="2:7">
      <c r="B1160" s="319"/>
      <c r="C1160" s="319"/>
      <c r="D1160" s="320"/>
      <c r="E1160" s="320"/>
      <c r="F1160" s="320"/>
      <c r="G1160" s="465" t="str">
        <f t="shared" si="116"/>
        <v/>
      </c>
    </row>
    <row r="1161" spans="2:7">
      <c r="B1161" s="319"/>
      <c r="C1161" s="319"/>
      <c r="D1161" s="320"/>
      <c r="E1161" s="320"/>
      <c r="F1161" s="320"/>
      <c r="G1161" s="465" t="str">
        <f t="shared" si="116"/>
        <v/>
      </c>
    </row>
    <row r="1162" spans="2:7">
      <c r="B1162" s="319"/>
      <c r="C1162" s="319"/>
      <c r="D1162" s="320"/>
      <c r="E1162" s="320"/>
      <c r="F1162" s="320"/>
      <c r="G1162" s="465" t="str">
        <f t="shared" si="116"/>
        <v/>
      </c>
    </row>
    <row r="1163" spans="2:7">
      <c r="B1163" s="319"/>
      <c r="C1163" s="319"/>
      <c r="D1163" s="320"/>
      <c r="E1163" s="320"/>
      <c r="F1163" s="320"/>
      <c r="G1163" s="465" t="str">
        <f t="shared" si="116"/>
        <v/>
      </c>
    </row>
    <row r="1164" spans="2:7">
      <c r="B1164" s="319"/>
      <c r="C1164" s="319"/>
      <c r="D1164" s="320"/>
      <c r="E1164" s="320"/>
      <c r="F1164" s="320"/>
      <c r="G1164" s="465" t="str">
        <f t="shared" si="116"/>
        <v/>
      </c>
    </row>
    <row r="1165" spans="2:7">
      <c r="B1165" s="319"/>
      <c r="C1165" s="319"/>
      <c r="D1165" s="320"/>
      <c r="E1165" s="320"/>
      <c r="F1165" s="320"/>
      <c r="G1165" s="465" t="str">
        <f t="shared" si="116"/>
        <v/>
      </c>
    </row>
    <row r="1166" spans="2:7">
      <c r="B1166" s="319"/>
      <c r="C1166" s="319"/>
      <c r="D1166" s="320"/>
      <c r="E1166" s="320"/>
      <c r="F1166" s="320"/>
      <c r="G1166" s="465" t="str">
        <f t="shared" si="116"/>
        <v/>
      </c>
    </row>
    <row r="1167" spans="2:7">
      <c r="B1167" s="319"/>
      <c r="C1167" s="319"/>
      <c r="D1167" s="320"/>
      <c r="E1167" s="320"/>
      <c r="F1167" s="320"/>
      <c r="G1167" s="465" t="str">
        <f t="shared" si="116"/>
        <v/>
      </c>
    </row>
    <row r="1168" spans="2:7">
      <c r="B1168" s="319"/>
      <c r="C1168" s="319"/>
      <c r="D1168" s="320"/>
      <c r="E1168" s="320"/>
      <c r="F1168" s="320"/>
      <c r="G1168" s="465" t="str">
        <f t="shared" si="116"/>
        <v/>
      </c>
    </row>
    <row r="1169" spans="2:7">
      <c r="B1169" s="319"/>
      <c r="C1169" s="319"/>
      <c r="D1169" s="320"/>
      <c r="E1169" s="320"/>
      <c r="F1169" s="320"/>
      <c r="G1169" s="465" t="str">
        <f t="shared" si="116"/>
        <v/>
      </c>
    </row>
    <row r="1170" spans="2:7">
      <c r="B1170" s="319"/>
      <c r="C1170" s="319"/>
      <c r="D1170" s="320"/>
      <c r="E1170" s="320"/>
      <c r="F1170" s="320"/>
      <c r="G1170" s="465" t="str">
        <f t="shared" si="116"/>
        <v/>
      </c>
    </row>
    <row r="1171" spans="2:7">
      <c r="B1171" s="319"/>
      <c r="C1171" s="319"/>
      <c r="D1171" s="320"/>
      <c r="E1171" s="320"/>
      <c r="F1171" s="320"/>
      <c r="G1171" s="465" t="str">
        <f t="shared" si="116"/>
        <v/>
      </c>
    </row>
    <row r="1172" spans="2:7">
      <c r="B1172" s="319"/>
      <c r="C1172" s="319"/>
      <c r="D1172" s="320"/>
      <c r="E1172" s="320"/>
      <c r="F1172" s="320"/>
      <c r="G1172" s="465" t="str">
        <f t="shared" si="116"/>
        <v/>
      </c>
    </row>
    <row r="1173" spans="2:7">
      <c r="B1173" s="319"/>
      <c r="C1173" s="319"/>
      <c r="D1173" s="320"/>
      <c r="E1173" s="320"/>
      <c r="F1173" s="320"/>
      <c r="G1173" s="465" t="str">
        <f t="shared" si="116"/>
        <v/>
      </c>
    </row>
    <row r="1174" spans="2:7">
      <c r="B1174" s="319"/>
      <c r="C1174" s="319"/>
      <c r="D1174" s="320"/>
      <c r="E1174" s="320"/>
      <c r="F1174" s="320"/>
      <c r="G1174" s="465" t="str">
        <f t="shared" si="116"/>
        <v/>
      </c>
    </row>
    <row r="1175" spans="2:7">
      <c r="B1175" s="319"/>
      <c r="C1175" s="319"/>
      <c r="D1175" s="320"/>
      <c r="E1175" s="320"/>
      <c r="F1175" s="320"/>
      <c r="G1175" s="465" t="str">
        <f t="shared" si="116"/>
        <v/>
      </c>
    </row>
    <row r="1176" spans="2:7">
      <c r="B1176" s="319"/>
      <c r="C1176" s="319"/>
      <c r="D1176" s="320"/>
      <c r="E1176" s="320"/>
      <c r="F1176" s="320"/>
      <c r="G1176" s="465" t="str">
        <f t="shared" si="116"/>
        <v/>
      </c>
    </row>
    <row r="1177" spans="2:7">
      <c r="B1177" s="319"/>
      <c r="C1177" s="319"/>
      <c r="D1177" s="320"/>
      <c r="E1177" s="320"/>
      <c r="F1177" s="320"/>
      <c r="G1177" s="465" t="str">
        <f t="shared" si="116"/>
        <v/>
      </c>
    </row>
    <row r="1178" spans="2:7">
      <c r="B1178" s="319"/>
      <c r="C1178" s="319"/>
      <c r="D1178" s="320"/>
      <c r="E1178" s="320"/>
      <c r="F1178" s="320"/>
      <c r="G1178" s="465" t="str">
        <f t="shared" si="116"/>
        <v/>
      </c>
    </row>
    <row r="1179" spans="2:7">
      <c r="B1179" s="319"/>
      <c r="C1179" s="319"/>
      <c r="D1179" s="320"/>
      <c r="E1179" s="320"/>
      <c r="F1179" s="320"/>
      <c r="G1179" s="465" t="str">
        <f t="shared" si="116"/>
        <v/>
      </c>
    </row>
    <row r="1180" spans="2:7">
      <c r="B1180" s="319"/>
      <c r="C1180" s="319"/>
      <c r="D1180" s="320"/>
      <c r="E1180" s="320"/>
      <c r="F1180" s="320"/>
      <c r="G1180" s="465" t="str">
        <f t="shared" si="116"/>
        <v/>
      </c>
    </row>
    <row r="1181" spans="2:7">
      <c r="B1181" s="319"/>
      <c r="C1181" s="319"/>
      <c r="D1181" s="320"/>
      <c r="E1181" s="320"/>
      <c r="F1181" s="320"/>
      <c r="G1181" s="465" t="str">
        <f t="shared" si="116"/>
        <v/>
      </c>
    </row>
    <row r="1182" spans="2:7">
      <c r="B1182" s="319"/>
      <c r="C1182" s="319"/>
      <c r="D1182" s="320"/>
      <c r="E1182" s="320"/>
      <c r="F1182" s="320"/>
      <c r="G1182" s="465" t="str">
        <f t="shared" si="116"/>
        <v/>
      </c>
    </row>
    <row r="1183" spans="2:7">
      <c r="B1183" s="319"/>
      <c r="C1183" s="319"/>
      <c r="D1183" s="320"/>
      <c r="E1183" s="320"/>
      <c r="F1183" s="320"/>
      <c r="G1183" s="465" t="str">
        <f t="shared" si="116"/>
        <v/>
      </c>
    </row>
    <row r="1184" spans="2:7">
      <c r="B1184" s="319"/>
      <c r="C1184" s="319"/>
      <c r="D1184" s="320"/>
      <c r="E1184" s="320"/>
      <c r="F1184" s="320"/>
      <c r="G1184" s="465" t="str">
        <f t="shared" si="116"/>
        <v/>
      </c>
    </row>
    <row r="1185" spans="2:7">
      <c r="B1185" s="319"/>
      <c r="C1185" s="319"/>
      <c r="D1185" s="320"/>
      <c r="E1185" s="320"/>
      <c r="F1185" s="320"/>
      <c r="G1185" s="465" t="str">
        <f t="shared" si="116"/>
        <v/>
      </c>
    </row>
    <row r="1186" spans="2:7">
      <c r="B1186" s="319"/>
      <c r="C1186" s="319"/>
      <c r="D1186" s="320"/>
      <c r="E1186" s="320"/>
      <c r="F1186" s="320"/>
      <c r="G1186" s="465" t="str">
        <f t="shared" si="116"/>
        <v/>
      </c>
    </row>
    <row r="1187" spans="2:7">
      <c r="B1187" s="319"/>
      <c r="C1187" s="319"/>
      <c r="D1187" s="320"/>
      <c r="E1187" s="320"/>
      <c r="F1187" s="320"/>
      <c r="G1187" s="465" t="str">
        <f t="shared" si="116"/>
        <v/>
      </c>
    </row>
    <row r="1188" spans="2:7">
      <c r="B1188" s="319"/>
      <c r="C1188" s="319"/>
      <c r="D1188" s="320"/>
      <c r="E1188" s="320"/>
      <c r="F1188" s="320"/>
      <c r="G1188" s="465" t="str">
        <f t="shared" si="116"/>
        <v/>
      </c>
    </row>
    <row r="1189" spans="2:7">
      <c r="B1189" s="319"/>
      <c r="C1189" s="319"/>
      <c r="D1189" s="320"/>
      <c r="E1189" s="320"/>
      <c r="F1189" s="320"/>
      <c r="G1189" s="465" t="str">
        <f t="shared" si="116"/>
        <v/>
      </c>
    </row>
    <row r="1190" spans="2:7">
      <c r="B1190" s="319"/>
      <c r="C1190" s="319"/>
      <c r="D1190" s="320"/>
      <c r="E1190" s="320"/>
      <c r="F1190" s="320"/>
      <c r="G1190" s="465" t="str">
        <f t="shared" si="116"/>
        <v/>
      </c>
    </row>
    <row r="1191" spans="2:7">
      <c r="B1191" s="319"/>
      <c r="C1191" s="319"/>
      <c r="D1191" s="320"/>
      <c r="E1191" s="320"/>
      <c r="F1191" s="320"/>
      <c r="G1191" s="465" t="str">
        <f t="shared" si="116"/>
        <v/>
      </c>
    </row>
    <row r="1192" spans="2:7">
      <c r="B1192" s="319"/>
      <c r="C1192" s="319"/>
      <c r="D1192" s="320"/>
      <c r="E1192" s="320"/>
      <c r="F1192" s="320"/>
      <c r="G1192" s="465" t="str">
        <f t="shared" si="116"/>
        <v/>
      </c>
    </row>
    <row r="1193" spans="2:7">
      <c r="B1193" s="319"/>
      <c r="C1193" s="319"/>
      <c r="D1193" s="320"/>
      <c r="E1193" s="320"/>
      <c r="F1193" s="320"/>
      <c r="G1193" s="465" t="str">
        <f t="shared" si="116"/>
        <v/>
      </c>
    </row>
    <row r="1194" spans="2:7">
      <c r="B1194" s="319"/>
      <c r="C1194" s="319"/>
      <c r="D1194" s="320"/>
      <c r="E1194" s="320"/>
      <c r="F1194" s="320"/>
      <c r="G1194" s="465" t="str">
        <f t="shared" si="116"/>
        <v/>
      </c>
    </row>
    <row r="1195" spans="2:7">
      <c r="B1195" s="319"/>
      <c r="C1195" s="319"/>
      <c r="D1195" s="320"/>
      <c r="E1195" s="320"/>
      <c r="F1195" s="320"/>
      <c r="G1195" s="465" t="str">
        <f t="shared" si="116"/>
        <v/>
      </c>
    </row>
    <row r="1196" spans="2:7">
      <c r="B1196" s="319"/>
      <c r="C1196" s="319"/>
      <c r="D1196" s="320"/>
      <c r="E1196" s="320"/>
      <c r="F1196" s="320"/>
      <c r="G1196" s="465" t="str">
        <f t="shared" si="116"/>
        <v/>
      </c>
    </row>
    <row r="1197" spans="2:7">
      <c r="B1197" s="319"/>
      <c r="C1197" s="319"/>
      <c r="D1197" s="321"/>
      <c r="E1197" s="320"/>
      <c r="F1197" s="320"/>
      <c r="G1197" s="465" t="str">
        <f t="shared" si="116"/>
        <v/>
      </c>
    </row>
    <row r="1198" spans="2:7">
      <c r="B1198" s="319"/>
      <c r="C1198" s="319"/>
      <c r="D1198" s="321"/>
      <c r="E1198" s="320"/>
      <c r="F1198" s="320"/>
      <c r="G1198" s="465" t="str">
        <f t="shared" si="116"/>
        <v/>
      </c>
    </row>
    <row r="1199" spans="2:7">
      <c r="B1199" s="319"/>
      <c r="C1199" s="319"/>
      <c r="D1199" s="321"/>
      <c r="E1199" s="320"/>
      <c r="F1199" s="320"/>
      <c r="G1199" s="465" t="str">
        <f t="shared" si="116"/>
        <v/>
      </c>
    </row>
    <row r="1200" spans="2:7">
      <c r="B1200" s="319"/>
      <c r="C1200" s="319"/>
      <c r="D1200" s="321"/>
      <c r="E1200" s="320"/>
      <c r="F1200" s="320"/>
      <c r="G1200" s="465" t="str">
        <f t="shared" si="116"/>
        <v/>
      </c>
    </row>
    <row r="1201" spans="2:7">
      <c r="B1201" s="319"/>
      <c r="C1201" s="319"/>
      <c r="D1201" s="321"/>
      <c r="E1201" s="320"/>
      <c r="F1201" s="320"/>
      <c r="G1201" s="465" t="str">
        <f t="shared" si="116"/>
        <v/>
      </c>
    </row>
    <row r="1202" spans="2:7">
      <c r="B1202" s="319"/>
      <c r="C1202" s="319"/>
      <c r="D1202" s="321"/>
      <c r="E1202" s="320"/>
      <c r="F1202" s="320"/>
      <c r="G1202" s="465" t="str">
        <f t="shared" si="116"/>
        <v/>
      </c>
    </row>
    <row r="1203" spans="2:7">
      <c r="B1203" s="319"/>
      <c r="C1203" s="319"/>
      <c r="D1203" s="321"/>
      <c r="E1203" s="320"/>
      <c r="F1203" s="320"/>
      <c r="G1203" s="465" t="str">
        <f t="shared" si="116"/>
        <v/>
      </c>
    </row>
    <row r="1204" spans="2:7">
      <c r="B1204" s="319"/>
      <c r="C1204" s="319"/>
      <c r="D1204" s="321"/>
      <c r="E1204" s="320"/>
      <c r="F1204" s="320"/>
      <c r="G1204" s="465" t="str">
        <f t="shared" si="116"/>
        <v/>
      </c>
    </row>
    <row r="1205" spans="2:7">
      <c r="B1205" s="319"/>
      <c r="C1205" s="319"/>
      <c r="D1205" s="321"/>
      <c r="E1205" s="320"/>
      <c r="F1205" s="320"/>
      <c r="G1205" s="465" t="str">
        <f t="shared" si="116"/>
        <v/>
      </c>
    </row>
    <row r="1206" spans="2:7">
      <c r="B1206" s="319"/>
      <c r="C1206" s="319"/>
      <c r="D1206" s="321"/>
      <c r="E1206" s="320"/>
      <c r="F1206" s="320"/>
      <c r="G1206" s="465" t="str">
        <f t="shared" si="116"/>
        <v/>
      </c>
    </row>
    <row r="1207" spans="2:7">
      <c r="B1207" s="319"/>
      <c r="C1207" s="319"/>
      <c r="D1207" s="321"/>
      <c r="E1207" s="320"/>
      <c r="F1207" s="320"/>
      <c r="G1207" s="465" t="str">
        <f t="shared" si="116"/>
        <v/>
      </c>
    </row>
    <row r="1208" spans="2:7">
      <c r="B1208" s="319"/>
      <c r="C1208" s="319"/>
      <c r="D1208" s="321"/>
      <c r="E1208" s="320"/>
      <c r="F1208" s="320"/>
      <c r="G1208" s="465" t="str">
        <f t="shared" si="116"/>
        <v/>
      </c>
    </row>
    <row r="1209" spans="2:7">
      <c r="B1209" s="319"/>
      <c r="C1209" s="319"/>
      <c r="D1209" s="321"/>
      <c r="E1209" s="320"/>
      <c r="F1209" s="320"/>
      <c r="G1209" s="465" t="str">
        <f t="shared" si="116"/>
        <v/>
      </c>
    </row>
    <row r="1210" spans="2:7">
      <c r="B1210" s="319"/>
      <c r="C1210" s="319"/>
      <c r="D1210" s="321"/>
      <c r="E1210" s="320"/>
      <c r="F1210" s="320"/>
      <c r="G1210" s="465" t="str">
        <f t="shared" si="116"/>
        <v/>
      </c>
    </row>
    <row r="1211" spans="2:7">
      <c r="B1211" s="319"/>
      <c r="C1211" s="319"/>
      <c r="D1211" s="321"/>
      <c r="E1211" s="320"/>
      <c r="F1211" s="320"/>
      <c r="G1211" s="465" t="str">
        <f t="shared" si="116"/>
        <v/>
      </c>
    </row>
    <row r="1212" spans="2:7">
      <c r="B1212" s="319"/>
      <c r="C1212" s="319"/>
      <c r="D1212" s="321"/>
      <c r="E1212" s="320"/>
      <c r="F1212" s="320"/>
      <c r="G1212" s="465" t="str">
        <f t="shared" si="116"/>
        <v/>
      </c>
    </row>
    <row r="1213" spans="2:7">
      <c r="B1213" s="319"/>
      <c r="C1213" s="319"/>
      <c r="D1213" s="321"/>
      <c r="E1213" s="320"/>
      <c r="F1213" s="320"/>
      <c r="G1213" s="465" t="str">
        <f t="shared" si="116"/>
        <v/>
      </c>
    </row>
    <row r="1214" spans="2:7">
      <c r="B1214" s="319"/>
      <c r="C1214" s="319"/>
      <c r="D1214" s="321"/>
      <c r="E1214" s="320"/>
      <c r="F1214" s="320"/>
      <c r="G1214" s="465" t="str">
        <f t="shared" si="116"/>
        <v/>
      </c>
    </row>
    <row r="1215" spans="2:7">
      <c r="B1215" s="319"/>
      <c r="C1215" s="319"/>
      <c r="D1215" s="321"/>
      <c r="E1215" s="320"/>
      <c r="F1215" s="320"/>
      <c r="G1215" s="465" t="str">
        <f t="shared" si="116"/>
        <v/>
      </c>
    </row>
    <row r="1216" spans="2:7">
      <c r="B1216" s="319"/>
      <c r="C1216" s="319"/>
      <c r="D1216" s="321"/>
      <c r="E1216" s="320"/>
      <c r="F1216" s="320"/>
      <c r="G1216" s="465" t="str">
        <f t="shared" si="116"/>
        <v/>
      </c>
    </row>
    <row r="1217" spans="2:7">
      <c r="B1217" s="319"/>
      <c r="C1217" s="319"/>
      <c r="D1217" s="321"/>
      <c r="E1217" s="320"/>
      <c r="F1217" s="320"/>
      <c r="G1217" s="465" t="str">
        <f t="shared" si="116"/>
        <v/>
      </c>
    </row>
    <row r="1218" spans="2:7">
      <c r="B1218" s="319"/>
      <c r="C1218" s="319"/>
      <c r="D1218" s="321"/>
      <c r="E1218" s="320"/>
      <c r="F1218" s="320"/>
      <c r="G1218" s="465" t="str">
        <f t="shared" si="116"/>
        <v/>
      </c>
    </row>
    <row r="1219" spans="2:7">
      <c r="B1219" s="319"/>
      <c r="C1219" s="319"/>
      <c r="D1219" s="321"/>
      <c r="E1219" s="320"/>
      <c r="F1219" s="320"/>
      <c r="G1219" s="465" t="str">
        <f t="shared" si="116"/>
        <v/>
      </c>
    </row>
    <row r="1220" spans="2:7">
      <c r="B1220" s="319"/>
      <c r="C1220" s="319"/>
      <c r="D1220" s="321"/>
      <c r="E1220" s="320"/>
      <c r="F1220" s="320"/>
      <c r="G1220" s="465" t="str">
        <f t="shared" si="116"/>
        <v/>
      </c>
    </row>
    <row r="1221" spans="2:7">
      <c r="B1221" s="319"/>
      <c r="C1221" s="319"/>
      <c r="D1221" s="321"/>
      <c r="E1221" s="320"/>
      <c r="F1221" s="320"/>
      <c r="G1221" s="465" t="str">
        <f t="shared" si="116"/>
        <v/>
      </c>
    </row>
    <row r="1222" spans="2:7">
      <c r="B1222" s="319"/>
      <c r="C1222" s="319"/>
      <c r="D1222" s="321"/>
      <c r="E1222" s="320"/>
      <c r="F1222" s="320"/>
      <c r="G1222" s="465" t="str">
        <f t="shared" ref="G1222:G1285" si="117">IF(OR(AND(D1222="",E1222=""),AND(D1222="",F1222="")),"",IF(AND(D1222&lt;&gt;"",E1222&lt;&gt;"",F1222&lt;&gt;""),"REVISAR CÁLCULO",IF(AND(D1222&lt;&gt;"",F1222&lt;&gt;""),ROUND(((F1222-D1222)/30),3),IF(AND(D1222&lt;&gt;"",E1222&lt;&gt;""),ROUND(((E1222-D1222+1)/30),3),""))))</f>
        <v/>
      </c>
    </row>
    <row r="1223" spans="2:7">
      <c r="B1223" s="319"/>
      <c r="C1223" s="319"/>
      <c r="D1223" s="321"/>
      <c r="E1223" s="320"/>
      <c r="F1223" s="320"/>
      <c r="G1223" s="465" t="str">
        <f t="shared" si="117"/>
        <v/>
      </c>
    </row>
    <row r="1224" spans="2:7">
      <c r="B1224" s="319"/>
      <c r="C1224" s="319"/>
      <c r="D1224" s="321"/>
      <c r="E1224" s="320"/>
      <c r="F1224" s="320"/>
      <c r="G1224" s="465" t="str">
        <f t="shared" si="117"/>
        <v/>
      </c>
    </row>
    <row r="1225" spans="2:7">
      <c r="B1225" s="319"/>
      <c r="C1225" s="319"/>
      <c r="D1225" s="321"/>
      <c r="E1225" s="320"/>
      <c r="F1225" s="320"/>
      <c r="G1225" s="465" t="str">
        <f t="shared" si="117"/>
        <v/>
      </c>
    </row>
    <row r="1226" spans="2:7">
      <c r="B1226" s="319"/>
      <c r="C1226" s="319"/>
      <c r="D1226" s="321"/>
      <c r="E1226" s="320"/>
      <c r="F1226" s="320"/>
      <c r="G1226" s="465" t="str">
        <f t="shared" si="117"/>
        <v/>
      </c>
    </row>
    <row r="1227" spans="2:7">
      <c r="B1227" s="319"/>
      <c r="C1227" s="319"/>
      <c r="D1227" s="321"/>
      <c r="E1227" s="320"/>
      <c r="F1227" s="320"/>
      <c r="G1227" s="465" t="str">
        <f t="shared" si="117"/>
        <v/>
      </c>
    </row>
    <row r="1228" spans="2:7">
      <c r="B1228" s="319"/>
      <c r="C1228" s="319"/>
      <c r="D1228" s="321"/>
      <c r="E1228" s="320"/>
      <c r="F1228" s="320"/>
      <c r="G1228" s="465" t="str">
        <f t="shared" si="117"/>
        <v/>
      </c>
    </row>
    <row r="1229" spans="2:7">
      <c r="B1229" s="319"/>
      <c r="C1229" s="319"/>
      <c r="D1229" s="321"/>
      <c r="E1229" s="320"/>
      <c r="F1229" s="320"/>
      <c r="G1229" s="465" t="str">
        <f t="shared" si="117"/>
        <v/>
      </c>
    </row>
    <row r="1230" spans="2:7">
      <c r="B1230" s="319"/>
      <c r="C1230" s="319"/>
      <c r="D1230" s="321"/>
      <c r="E1230" s="320"/>
      <c r="F1230" s="320"/>
      <c r="G1230" s="465" t="str">
        <f t="shared" si="117"/>
        <v/>
      </c>
    </row>
    <row r="1231" spans="2:7">
      <c r="B1231" s="319"/>
      <c r="C1231" s="319"/>
      <c r="D1231" s="321"/>
      <c r="E1231" s="320"/>
      <c r="F1231" s="320"/>
      <c r="G1231" s="465" t="str">
        <f t="shared" si="117"/>
        <v/>
      </c>
    </row>
    <row r="1232" spans="2:7">
      <c r="B1232" s="319"/>
      <c r="C1232" s="319"/>
      <c r="D1232" s="321"/>
      <c r="E1232" s="320"/>
      <c r="F1232" s="320"/>
      <c r="G1232" s="465" t="str">
        <f t="shared" si="117"/>
        <v/>
      </c>
    </row>
    <row r="1233" spans="2:7">
      <c r="B1233" s="319"/>
      <c r="C1233" s="319"/>
      <c r="D1233" s="321"/>
      <c r="E1233" s="320"/>
      <c r="F1233" s="320"/>
      <c r="G1233" s="465" t="str">
        <f t="shared" si="117"/>
        <v/>
      </c>
    </row>
    <row r="1234" spans="2:7">
      <c r="B1234" s="319"/>
      <c r="C1234" s="319"/>
      <c r="D1234" s="321"/>
      <c r="E1234" s="320"/>
      <c r="F1234" s="320"/>
      <c r="G1234" s="465" t="str">
        <f t="shared" si="117"/>
        <v/>
      </c>
    </row>
    <row r="1235" spans="2:7">
      <c r="B1235" s="319"/>
      <c r="C1235" s="319"/>
      <c r="D1235" s="321"/>
      <c r="E1235" s="320"/>
      <c r="F1235" s="320"/>
      <c r="G1235" s="465" t="str">
        <f t="shared" si="117"/>
        <v/>
      </c>
    </row>
    <row r="1236" spans="2:7">
      <c r="B1236" s="319"/>
      <c r="C1236" s="319"/>
      <c r="D1236" s="321"/>
      <c r="E1236" s="320"/>
      <c r="F1236" s="320"/>
      <c r="G1236" s="465" t="str">
        <f t="shared" si="117"/>
        <v/>
      </c>
    </row>
    <row r="1237" spans="2:7">
      <c r="B1237" s="319"/>
      <c r="C1237" s="319"/>
      <c r="D1237" s="321"/>
      <c r="E1237" s="320"/>
      <c r="F1237" s="320"/>
      <c r="G1237" s="465" t="str">
        <f t="shared" si="117"/>
        <v/>
      </c>
    </row>
    <row r="1238" spans="2:7">
      <c r="B1238" s="319"/>
      <c r="C1238" s="319"/>
      <c r="D1238" s="321"/>
      <c r="E1238" s="320"/>
      <c r="F1238" s="320"/>
      <c r="G1238" s="465" t="str">
        <f t="shared" si="117"/>
        <v/>
      </c>
    </row>
    <row r="1239" spans="2:7">
      <c r="B1239" s="319"/>
      <c r="C1239" s="319"/>
      <c r="D1239" s="321"/>
      <c r="E1239" s="320"/>
      <c r="F1239" s="320"/>
      <c r="G1239" s="465" t="str">
        <f t="shared" si="117"/>
        <v/>
      </c>
    </row>
    <row r="1240" spans="2:7">
      <c r="B1240" s="319"/>
      <c r="C1240" s="319"/>
      <c r="D1240" s="321"/>
      <c r="E1240" s="320"/>
      <c r="F1240" s="320"/>
      <c r="G1240" s="465" t="str">
        <f t="shared" si="117"/>
        <v/>
      </c>
    </row>
    <row r="1241" spans="2:7">
      <c r="B1241" s="319"/>
      <c r="C1241" s="319"/>
      <c r="D1241" s="321"/>
      <c r="E1241" s="320"/>
      <c r="F1241" s="320"/>
      <c r="G1241" s="465" t="str">
        <f t="shared" si="117"/>
        <v/>
      </c>
    </row>
    <row r="1242" spans="2:7">
      <c r="B1242" s="319"/>
      <c r="C1242" s="319"/>
      <c r="D1242" s="321"/>
      <c r="E1242" s="320"/>
      <c r="F1242" s="320"/>
      <c r="G1242" s="465" t="str">
        <f t="shared" si="117"/>
        <v/>
      </c>
    </row>
    <row r="1243" spans="2:7">
      <c r="B1243" s="319"/>
      <c r="C1243" s="319"/>
      <c r="D1243" s="321"/>
      <c r="E1243" s="320"/>
      <c r="F1243" s="320"/>
      <c r="G1243" s="465" t="str">
        <f t="shared" si="117"/>
        <v/>
      </c>
    </row>
    <row r="1244" spans="2:7">
      <c r="B1244" s="319"/>
      <c r="C1244" s="319"/>
      <c r="D1244" s="321"/>
      <c r="E1244" s="320"/>
      <c r="F1244" s="320"/>
      <c r="G1244" s="465" t="str">
        <f t="shared" si="117"/>
        <v/>
      </c>
    </row>
    <row r="1245" spans="2:7">
      <c r="B1245" s="319"/>
      <c r="C1245" s="319"/>
      <c r="D1245" s="321"/>
      <c r="E1245" s="320"/>
      <c r="F1245" s="320"/>
      <c r="G1245" s="465" t="str">
        <f t="shared" si="117"/>
        <v/>
      </c>
    </row>
    <row r="1246" spans="2:7">
      <c r="B1246" s="319"/>
      <c r="C1246" s="319"/>
      <c r="D1246" s="321"/>
      <c r="E1246" s="320"/>
      <c r="F1246" s="320"/>
      <c r="G1246" s="465" t="str">
        <f t="shared" si="117"/>
        <v/>
      </c>
    </row>
    <row r="1247" spans="2:7">
      <c r="B1247" s="319"/>
      <c r="C1247" s="319"/>
      <c r="D1247" s="321"/>
      <c r="E1247" s="320"/>
      <c r="F1247" s="320"/>
      <c r="G1247" s="465" t="str">
        <f t="shared" si="117"/>
        <v/>
      </c>
    </row>
    <row r="1248" spans="2:7">
      <c r="B1248" s="319"/>
      <c r="C1248" s="319"/>
      <c r="D1248" s="321"/>
      <c r="E1248" s="320"/>
      <c r="F1248" s="320"/>
      <c r="G1248" s="465" t="str">
        <f t="shared" si="117"/>
        <v/>
      </c>
    </row>
    <row r="1249" spans="2:7">
      <c r="B1249" s="319"/>
      <c r="C1249" s="319"/>
      <c r="D1249" s="321"/>
      <c r="E1249" s="320"/>
      <c r="F1249" s="320"/>
      <c r="G1249" s="465" t="str">
        <f t="shared" si="117"/>
        <v/>
      </c>
    </row>
    <row r="1250" spans="2:7">
      <c r="B1250" s="319"/>
      <c r="C1250" s="319"/>
      <c r="D1250" s="321"/>
      <c r="E1250" s="320"/>
      <c r="F1250" s="320"/>
      <c r="G1250" s="465" t="str">
        <f t="shared" si="117"/>
        <v/>
      </c>
    </row>
    <row r="1251" spans="2:7">
      <c r="B1251" s="319"/>
      <c r="C1251" s="319"/>
      <c r="D1251" s="321"/>
      <c r="E1251" s="320"/>
      <c r="F1251" s="320"/>
      <c r="G1251" s="465" t="str">
        <f t="shared" si="117"/>
        <v/>
      </c>
    </row>
    <row r="1252" spans="2:7">
      <c r="B1252" s="319"/>
      <c r="C1252" s="319"/>
      <c r="D1252" s="321"/>
      <c r="E1252" s="320"/>
      <c r="F1252" s="320"/>
      <c r="G1252" s="465" t="str">
        <f t="shared" si="117"/>
        <v/>
      </c>
    </row>
    <row r="1253" spans="2:7">
      <c r="B1253" s="319"/>
      <c r="C1253" s="319"/>
      <c r="D1253" s="321"/>
      <c r="E1253" s="320"/>
      <c r="F1253" s="320"/>
      <c r="G1253" s="465" t="str">
        <f t="shared" si="117"/>
        <v/>
      </c>
    </row>
    <row r="1254" spans="2:7">
      <c r="B1254" s="319"/>
      <c r="C1254" s="319"/>
      <c r="D1254" s="321"/>
      <c r="E1254" s="320"/>
      <c r="F1254" s="320"/>
      <c r="G1254" s="465" t="str">
        <f t="shared" si="117"/>
        <v/>
      </c>
    </row>
    <row r="1255" spans="2:7">
      <c r="B1255" s="319"/>
      <c r="C1255" s="319"/>
      <c r="D1255" s="321"/>
      <c r="E1255" s="320"/>
      <c r="F1255" s="320"/>
      <c r="G1255" s="465" t="str">
        <f t="shared" si="117"/>
        <v/>
      </c>
    </row>
    <row r="1256" spans="2:7">
      <c r="B1256" s="319"/>
      <c r="C1256" s="319"/>
      <c r="D1256" s="321"/>
      <c r="E1256" s="320"/>
      <c r="F1256" s="320"/>
      <c r="G1256" s="465" t="str">
        <f t="shared" si="117"/>
        <v/>
      </c>
    </row>
    <row r="1257" spans="2:7">
      <c r="B1257" s="319"/>
      <c r="C1257" s="319"/>
      <c r="D1257" s="321"/>
      <c r="E1257" s="320"/>
      <c r="F1257" s="320"/>
      <c r="G1257" s="465" t="str">
        <f t="shared" si="117"/>
        <v/>
      </c>
    </row>
    <row r="1258" spans="2:7">
      <c r="B1258" s="319"/>
      <c r="C1258" s="319"/>
      <c r="D1258" s="321"/>
      <c r="E1258" s="320"/>
      <c r="F1258" s="320"/>
      <c r="G1258" s="465" t="str">
        <f t="shared" si="117"/>
        <v/>
      </c>
    </row>
    <row r="1259" spans="2:7">
      <c r="B1259" s="319"/>
      <c r="C1259" s="319"/>
      <c r="D1259" s="321"/>
      <c r="E1259" s="320"/>
      <c r="F1259" s="320"/>
      <c r="G1259" s="465" t="str">
        <f t="shared" si="117"/>
        <v/>
      </c>
    </row>
    <row r="1260" spans="2:7">
      <c r="D1260" s="321"/>
      <c r="E1260" s="320"/>
      <c r="F1260" s="320"/>
      <c r="G1260" s="465" t="str">
        <f t="shared" si="117"/>
        <v/>
      </c>
    </row>
    <row r="1261" spans="2:7">
      <c r="D1261" s="321"/>
      <c r="E1261" s="320"/>
      <c r="F1261" s="320"/>
      <c r="G1261" s="465" t="str">
        <f t="shared" si="117"/>
        <v/>
      </c>
    </row>
    <row r="1262" spans="2:7">
      <c r="D1262" s="321"/>
      <c r="E1262" s="320"/>
      <c r="F1262" s="320"/>
      <c r="G1262" s="465" t="str">
        <f t="shared" si="117"/>
        <v/>
      </c>
    </row>
    <row r="1263" spans="2:7">
      <c r="D1263" s="321"/>
      <c r="E1263" s="320"/>
      <c r="F1263" s="320"/>
      <c r="G1263" s="465" t="str">
        <f t="shared" si="117"/>
        <v/>
      </c>
    </row>
    <row r="1264" spans="2:7">
      <c r="D1264" s="321"/>
      <c r="E1264" s="320"/>
      <c r="F1264" s="320"/>
      <c r="G1264" s="465" t="str">
        <f t="shared" si="117"/>
        <v/>
      </c>
    </row>
    <row r="1265" spans="4:7">
      <c r="D1265" s="321"/>
      <c r="E1265" s="320"/>
      <c r="F1265" s="320"/>
      <c r="G1265" s="465" t="str">
        <f t="shared" si="117"/>
        <v/>
      </c>
    </row>
    <row r="1266" spans="4:7">
      <c r="D1266" s="321"/>
      <c r="E1266" s="320"/>
      <c r="F1266" s="320"/>
      <c r="G1266" s="465" t="str">
        <f t="shared" si="117"/>
        <v/>
      </c>
    </row>
    <row r="1267" spans="4:7">
      <c r="D1267" s="321"/>
      <c r="E1267" s="320"/>
      <c r="F1267" s="320"/>
      <c r="G1267" s="465" t="str">
        <f t="shared" si="117"/>
        <v/>
      </c>
    </row>
    <row r="1268" spans="4:7">
      <c r="D1268" s="321"/>
      <c r="E1268" s="320"/>
      <c r="F1268" s="320"/>
      <c r="G1268" s="465" t="str">
        <f t="shared" si="117"/>
        <v/>
      </c>
    </row>
    <row r="1269" spans="4:7">
      <c r="D1269" s="321"/>
      <c r="E1269" s="320"/>
      <c r="F1269" s="320"/>
      <c r="G1269" s="465" t="str">
        <f t="shared" si="117"/>
        <v/>
      </c>
    </row>
    <row r="1270" spans="4:7">
      <c r="D1270" s="321"/>
      <c r="E1270" s="320"/>
      <c r="F1270" s="320"/>
      <c r="G1270" s="465" t="str">
        <f t="shared" si="117"/>
        <v/>
      </c>
    </row>
    <row r="1271" spans="4:7">
      <c r="D1271" s="321"/>
      <c r="E1271" s="320"/>
      <c r="F1271" s="320"/>
      <c r="G1271" s="465" t="str">
        <f t="shared" si="117"/>
        <v/>
      </c>
    </row>
    <row r="1272" spans="4:7">
      <c r="D1272" s="321"/>
      <c r="E1272" s="320"/>
      <c r="F1272" s="320"/>
      <c r="G1272" s="465" t="str">
        <f t="shared" si="117"/>
        <v/>
      </c>
    </row>
    <row r="1273" spans="4:7">
      <c r="D1273" s="321"/>
      <c r="E1273" s="320"/>
      <c r="F1273" s="320"/>
      <c r="G1273" s="465" t="str">
        <f t="shared" si="117"/>
        <v/>
      </c>
    </row>
    <row r="1274" spans="4:7">
      <c r="D1274" s="321"/>
      <c r="E1274" s="320"/>
      <c r="F1274" s="320"/>
      <c r="G1274" s="465" t="str">
        <f t="shared" si="117"/>
        <v/>
      </c>
    </row>
    <row r="1275" spans="4:7">
      <c r="D1275" s="321"/>
      <c r="E1275" s="320"/>
      <c r="F1275" s="320"/>
      <c r="G1275" s="465" t="str">
        <f t="shared" si="117"/>
        <v/>
      </c>
    </row>
    <row r="1276" spans="4:7">
      <c r="D1276" s="321"/>
      <c r="E1276" s="320"/>
      <c r="F1276" s="320"/>
      <c r="G1276" s="465" t="str">
        <f t="shared" si="117"/>
        <v/>
      </c>
    </row>
    <row r="1277" spans="4:7">
      <c r="D1277" s="321"/>
      <c r="E1277" s="320"/>
      <c r="F1277" s="320"/>
      <c r="G1277" s="465" t="str">
        <f t="shared" si="117"/>
        <v/>
      </c>
    </row>
    <row r="1278" spans="4:7">
      <c r="D1278" s="321"/>
      <c r="E1278" s="320"/>
      <c r="F1278" s="320"/>
      <c r="G1278" s="465" t="str">
        <f t="shared" si="117"/>
        <v/>
      </c>
    </row>
    <row r="1279" spans="4:7">
      <c r="D1279" s="321"/>
      <c r="E1279" s="320"/>
      <c r="F1279" s="320"/>
      <c r="G1279" s="465" t="str">
        <f t="shared" si="117"/>
        <v/>
      </c>
    </row>
    <row r="1280" spans="4:7">
      <c r="D1280" s="321"/>
      <c r="E1280" s="320"/>
      <c r="F1280" s="320"/>
      <c r="G1280" s="465" t="str">
        <f t="shared" si="117"/>
        <v/>
      </c>
    </row>
    <row r="1281" spans="4:7">
      <c r="D1281" s="321"/>
      <c r="E1281" s="320"/>
      <c r="F1281" s="320"/>
      <c r="G1281" s="465" t="str">
        <f t="shared" si="117"/>
        <v/>
      </c>
    </row>
    <row r="1282" spans="4:7">
      <c r="D1282" s="321"/>
      <c r="E1282" s="320"/>
      <c r="F1282" s="320"/>
      <c r="G1282" s="465" t="str">
        <f t="shared" si="117"/>
        <v/>
      </c>
    </row>
    <row r="1283" spans="4:7">
      <c r="D1283" s="321"/>
      <c r="E1283" s="320"/>
      <c r="F1283" s="320"/>
      <c r="G1283" s="465" t="str">
        <f t="shared" si="117"/>
        <v/>
      </c>
    </row>
    <row r="1284" spans="4:7">
      <c r="D1284" s="321"/>
      <c r="E1284" s="320"/>
      <c r="F1284" s="320"/>
      <c r="G1284" s="465" t="str">
        <f t="shared" si="117"/>
        <v/>
      </c>
    </row>
    <row r="1285" spans="4:7">
      <c r="D1285" s="321"/>
      <c r="E1285" s="320"/>
      <c r="F1285" s="320"/>
      <c r="G1285" s="465" t="str">
        <f t="shared" si="117"/>
        <v/>
      </c>
    </row>
    <row r="1286" spans="4:7">
      <c r="D1286" s="321"/>
      <c r="E1286" s="320"/>
      <c r="F1286" s="320"/>
      <c r="G1286" s="465" t="str">
        <f t="shared" ref="G1286:G1349" si="118">IF(OR(AND(D1286="",E1286=""),AND(D1286="",F1286="")),"",IF(AND(D1286&lt;&gt;"",E1286&lt;&gt;"",F1286&lt;&gt;""),"REVISAR CÁLCULO",IF(AND(D1286&lt;&gt;"",F1286&lt;&gt;""),ROUND(((F1286-D1286)/30),3),IF(AND(D1286&lt;&gt;"",E1286&lt;&gt;""),ROUND(((E1286-D1286+1)/30),3),""))))</f>
        <v/>
      </c>
    </row>
    <row r="1287" spans="4:7">
      <c r="D1287" s="321"/>
      <c r="E1287" s="320"/>
      <c r="F1287" s="320"/>
      <c r="G1287" s="465" t="str">
        <f t="shared" si="118"/>
        <v/>
      </c>
    </row>
    <row r="1288" spans="4:7">
      <c r="D1288" s="321"/>
      <c r="E1288" s="320"/>
      <c r="F1288" s="320"/>
      <c r="G1288" s="465" t="str">
        <f t="shared" si="118"/>
        <v/>
      </c>
    </row>
    <row r="1289" spans="4:7">
      <c r="D1289" s="321"/>
      <c r="E1289" s="320"/>
      <c r="F1289" s="320"/>
      <c r="G1289" s="465" t="str">
        <f t="shared" si="118"/>
        <v/>
      </c>
    </row>
    <row r="1290" spans="4:7">
      <c r="D1290" s="321"/>
      <c r="E1290" s="320"/>
      <c r="F1290" s="320"/>
      <c r="G1290" s="465" t="str">
        <f t="shared" si="118"/>
        <v/>
      </c>
    </row>
    <row r="1291" spans="4:7">
      <c r="D1291" s="321"/>
      <c r="E1291" s="320"/>
      <c r="F1291" s="320"/>
      <c r="G1291" s="465" t="str">
        <f t="shared" si="118"/>
        <v/>
      </c>
    </row>
    <row r="1292" spans="4:7">
      <c r="D1292" s="321"/>
      <c r="E1292" s="320"/>
      <c r="F1292" s="320"/>
      <c r="G1292" s="465" t="str">
        <f t="shared" si="118"/>
        <v/>
      </c>
    </row>
    <row r="1293" spans="4:7">
      <c r="D1293" s="321"/>
      <c r="E1293" s="320"/>
      <c r="F1293" s="320"/>
      <c r="G1293" s="465" t="str">
        <f t="shared" si="118"/>
        <v/>
      </c>
    </row>
    <row r="1294" spans="4:7">
      <c r="D1294" s="321"/>
      <c r="E1294" s="320"/>
      <c r="F1294" s="320"/>
      <c r="G1294" s="465" t="str">
        <f t="shared" si="118"/>
        <v/>
      </c>
    </row>
    <row r="1295" spans="4:7">
      <c r="D1295" s="321"/>
      <c r="E1295" s="320"/>
      <c r="F1295" s="320"/>
      <c r="G1295" s="465" t="str">
        <f t="shared" si="118"/>
        <v/>
      </c>
    </row>
    <row r="1296" spans="4:7">
      <c r="D1296" s="321"/>
      <c r="E1296" s="320"/>
      <c r="F1296" s="320"/>
      <c r="G1296" s="465" t="str">
        <f t="shared" si="118"/>
        <v/>
      </c>
    </row>
    <row r="1297" spans="4:7">
      <c r="D1297" s="321"/>
      <c r="E1297" s="320"/>
      <c r="F1297" s="320"/>
      <c r="G1297" s="465" t="str">
        <f t="shared" si="118"/>
        <v/>
      </c>
    </row>
    <row r="1298" spans="4:7">
      <c r="D1298" s="321"/>
      <c r="E1298" s="320"/>
      <c r="F1298" s="320"/>
      <c r="G1298" s="465" t="str">
        <f t="shared" si="118"/>
        <v/>
      </c>
    </row>
    <row r="1299" spans="4:7">
      <c r="D1299" s="321"/>
      <c r="E1299" s="320"/>
      <c r="F1299" s="320"/>
      <c r="G1299" s="465" t="str">
        <f t="shared" si="118"/>
        <v/>
      </c>
    </row>
    <row r="1300" spans="4:7">
      <c r="D1300" s="321"/>
      <c r="E1300" s="320"/>
      <c r="F1300" s="320"/>
      <c r="G1300" s="465" t="str">
        <f t="shared" si="118"/>
        <v/>
      </c>
    </row>
    <row r="1301" spans="4:7">
      <c r="D1301" s="321"/>
      <c r="E1301" s="320"/>
      <c r="F1301" s="320"/>
      <c r="G1301" s="465" t="str">
        <f t="shared" si="118"/>
        <v/>
      </c>
    </row>
    <row r="1302" spans="4:7">
      <c r="D1302" s="321"/>
      <c r="E1302" s="320"/>
      <c r="F1302" s="320"/>
      <c r="G1302" s="465" t="str">
        <f t="shared" si="118"/>
        <v/>
      </c>
    </row>
    <row r="1303" spans="4:7">
      <c r="D1303" s="321"/>
      <c r="E1303" s="320"/>
      <c r="F1303" s="320"/>
      <c r="G1303" s="465" t="str">
        <f t="shared" si="118"/>
        <v/>
      </c>
    </row>
    <row r="1304" spans="4:7">
      <c r="D1304" s="321"/>
      <c r="E1304" s="320"/>
      <c r="F1304" s="320"/>
      <c r="G1304" s="465" t="str">
        <f t="shared" si="118"/>
        <v/>
      </c>
    </row>
    <row r="1305" spans="4:7">
      <c r="D1305" s="321"/>
      <c r="E1305" s="320"/>
      <c r="F1305" s="320"/>
      <c r="G1305" s="465" t="str">
        <f t="shared" si="118"/>
        <v/>
      </c>
    </row>
    <row r="1306" spans="4:7">
      <c r="D1306" s="321"/>
      <c r="E1306" s="320"/>
      <c r="F1306" s="320"/>
      <c r="G1306" s="465" t="str">
        <f t="shared" si="118"/>
        <v/>
      </c>
    </row>
    <row r="1307" spans="4:7">
      <c r="D1307" s="321"/>
      <c r="E1307" s="320"/>
      <c r="F1307" s="320"/>
      <c r="G1307" s="465" t="str">
        <f t="shared" si="118"/>
        <v/>
      </c>
    </row>
    <row r="1308" spans="4:7">
      <c r="D1308" s="321"/>
      <c r="E1308" s="320"/>
      <c r="F1308" s="320"/>
      <c r="G1308" s="465" t="str">
        <f t="shared" si="118"/>
        <v/>
      </c>
    </row>
    <row r="1309" spans="4:7">
      <c r="D1309" s="321"/>
      <c r="E1309" s="320"/>
      <c r="F1309" s="320"/>
      <c r="G1309" s="465" t="str">
        <f t="shared" si="118"/>
        <v/>
      </c>
    </row>
    <row r="1310" spans="4:7">
      <c r="D1310" s="321"/>
      <c r="E1310" s="320"/>
      <c r="F1310" s="320"/>
      <c r="G1310" s="465" t="str">
        <f t="shared" si="118"/>
        <v/>
      </c>
    </row>
    <row r="1311" spans="4:7">
      <c r="D1311" s="321"/>
      <c r="E1311" s="320"/>
      <c r="F1311" s="320"/>
      <c r="G1311" s="465" t="str">
        <f t="shared" si="118"/>
        <v/>
      </c>
    </row>
    <row r="1312" spans="4:7">
      <c r="D1312" s="321"/>
      <c r="E1312" s="320"/>
      <c r="F1312" s="320"/>
      <c r="G1312" s="465" t="str">
        <f t="shared" si="118"/>
        <v/>
      </c>
    </row>
    <row r="1313" spans="4:7">
      <c r="D1313" s="321"/>
      <c r="E1313" s="320"/>
      <c r="F1313" s="320"/>
      <c r="G1313" s="465" t="str">
        <f t="shared" si="118"/>
        <v/>
      </c>
    </row>
    <row r="1314" spans="4:7">
      <c r="D1314" s="321"/>
      <c r="E1314" s="320"/>
      <c r="F1314" s="320"/>
      <c r="G1314" s="465" t="str">
        <f t="shared" si="118"/>
        <v/>
      </c>
    </row>
    <row r="1315" spans="4:7">
      <c r="D1315" s="321"/>
      <c r="E1315" s="320"/>
      <c r="F1315" s="320"/>
      <c r="G1315" s="465" t="str">
        <f t="shared" si="118"/>
        <v/>
      </c>
    </row>
    <row r="1316" spans="4:7">
      <c r="D1316" s="321"/>
      <c r="E1316" s="320"/>
      <c r="F1316" s="320"/>
      <c r="G1316" s="465" t="str">
        <f t="shared" si="118"/>
        <v/>
      </c>
    </row>
    <row r="1317" spans="4:7">
      <c r="D1317" s="321"/>
      <c r="E1317" s="320"/>
      <c r="F1317" s="320"/>
      <c r="G1317" s="465" t="str">
        <f t="shared" si="118"/>
        <v/>
      </c>
    </row>
    <row r="1318" spans="4:7">
      <c r="D1318" s="321"/>
      <c r="E1318" s="320"/>
      <c r="F1318" s="320"/>
      <c r="G1318" s="465" t="str">
        <f t="shared" si="118"/>
        <v/>
      </c>
    </row>
    <row r="1319" spans="4:7">
      <c r="D1319" s="321"/>
      <c r="E1319" s="320"/>
      <c r="F1319" s="320"/>
      <c r="G1319" s="465" t="str">
        <f t="shared" si="118"/>
        <v/>
      </c>
    </row>
    <row r="1320" spans="4:7">
      <c r="D1320" s="321"/>
      <c r="E1320" s="320"/>
      <c r="F1320" s="320"/>
      <c r="G1320" s="465" t="str">
        <f t="shared" si="118"/>
        <v/>
      </c>
    </row>
    <row r="1321" spans="4:7">
      <c r="D1321" s="321"/>
      <c r="E1321" s="320"/>
      <c r="F1321" s="320"/>
      <c r="G1321" s="465" t="str">
        <f t="shared" si="118"/>
        <v/>
      </c>
    </row>
    <row r="1322" spans="4:7">
      <c r="D1322" s="321"/>
      <c r="E1322" s="320"/>
      <c r="F1322" s="320"/>
      <c r="G1322" s="465" t="str">
        <f t="shared" si="118"/>
        <v/>
      </c>
    </row>
    <row r="1323" spans="4:7">
      <c r="D1323" s="321"/>
      <c r="E1323" s="320"/>
      <c r="F1323" s="320"/>
      <c r="G1323" s="465" t="str">
        <f t="shared" si="118"/>
        <v/>
      </c>
    </row>
    <row r="1324" spans="4:7">
      <c r="D1324" s="321"/>
      <c r="E1324" s="320"/>
      <c r="F1324" s="320"/>
      <c r="G1324" s="465" t="str">
        <f t="shared" si="118"/>
        <v/>
      </c>
    </row>
    <row r="1325" spans="4:7">
      <c r="D1325" s="321"/>
      <c r="E1325" s="320"/>
      <c r="F1325" s="320"/>
      <c r="G1325" s="465" t="str">
        <f t="shared" si="118"/>
        <v/>
      </c>
    </row>
    <row r="1326" spans="4:7">
      <c r="D1326" s="321"/>
      <c r="E1326" s="320"/>
      <c r="F1326" s="320"/>
      <c r="G1326" s="465" t="str">
        <f t="shared" si="118"/>
        <v/>
      </c>
    </row>
    <row r="1327" spans="4:7">
      <c r="D1327" s="321"/>
      <c r="E1327" s="320"/>
      <c r="F1327" s="320"/>
      <c r="G1327" s="465" t="str">
        <f t="shared" si="118"/>
        <v/>
      </c>
    </row>
    <row r="1328" spans="4:7">
      <c r="D1328" s="321"/>
      <c r="E1328" s="320"/>
      <c r="F1328" s="320"/>
      <c r="G1328" s="465" t="str">
        <f t="shared" si="118"/>
        <v/>
      </c>
    </row>
    <row r="1329" spans="4:7">
      <c r="D1329" s="321"/>
      <c r="E1329" s="320"/>
      <c r="F1329" s="320"/>
      <c r="G1329" s="465" t="str">
        <f t="shared" si="118"/>
        <v/>
      </c>
    </row>
    <row r="1330" spans="4:7">
      <c r="D1330" s="321"/>
      <c r="E1330" s="320"/>
      <c r="F1330" s="320"/>
      <c r="G1330" s="465" t="str">
        <f t="shared" si="118"/>
        <v/>
      </c>
    </row>
    <row r="1331" spans="4:7">
      <c r="D1331" s="321"/>
      <c r="E1331" s="320"/>
      <c r="F1331" s="320"/>
      <c r="G1331" s="465" t="str">
        <f t="shared" si="118"/>
        <v/>
      </c>
    </row>
    <row r="1332" spans="4:7">
      <c r="D1332" s="321"/>
      <c r="E1332" s="320"/>
      <c r="F1332" s="320"/>
      <c r="G1332" s="465" t="str">
        <f t="shared" si="118"/>
        <v/>
      </c>
    </row>
    <row r="1333" spans="4:7">
      <c r="D1333" s="321"/>
      <c r="E1333" s="320"/>
      <c r="F1333" s="320"/>
      <c r="G1333" s="465" t="str">
        <f t="shared" si="118"/>
        <v/>
      </c>
    </row>
    <row r="1334" spans="4:7">
      <c r="D1334" s="321"/>
      <c r="E1334" s="320"/>
      <c r="F1334" s="320"/>
      <c r="G1334" s="465" t="str">
        <f t="shared" si="118"/>
        <v/>
      </c>
    </row>
    <row r="1335" spans="4:7">
      <c r="D1335" s="321"/>
      <c r="E1335" s="320"/>
      <c r="F1335" s="320"/>
      <c r="G1335" s="465" t="str">
        <f t="shared" si="118"/>
        <v/>
      </c>
    </row>
    <row r="1336" spans="4:7">
      <c r="D1336" s="321"/>
      <c r="E1336" s="320"/>
      <c r="F1336" s="320"/>
      <c r="G1336" s="465" t="str">
        <f t="shared" si="118"/>
        <v/>
      </c>
    </row>
    <row r="1337" spans="4:7">
      <c r="D1337" s="321"/>
      <c r="E1337" s="320"/>
      <c r="F1337" s="320"/>
      <c r="G1337" s="465" t="str">
        <f t="shared" si="118"/>
        <v/>
      </c>
    </row>
    <row r="1338" spans="4:7">
      <c r="D1338" s="321"/>
      <c r="E1338" s="320"/>
      <c r="F1338" s="320"/>
      <c r="G1338" s="465" t="str">
        <f t="shared" si="118"/>
        <v/>
      </c>
    </row>
    <row r="1339" spans="4:7">
      <c r="D1339" s="321"/>
      <c r="E1339" s="320"/>
      <c r="F1339" s="320"/>
      <c r="G1339" s="465" t="str">
        <f t="shared" si="118"/>
        <v/>
      </c>
    </row>
    <row r="1340" spans="4:7">
      <c r="D1340" s="321"/>
      <c r="E1340" s="320"/>
      <c r="F1340" s="320"/>
      <c r="G1340" s="465" t="str">
        <f t="shared" si="118"/>
        <v/>
      </c>
    </row>
    <row r="1341" spans="4:7">
      <c r="D1341" s="321"/>
      <c r="E1341" s="320"/>
      <c r="F1341" s="320"/>
      <c r="G1341" s="465" t="str">
        <f t="shared" si="118"/>
        <v/>
      </c>
    </row>
    <row r="1342" spans="4:7">
      <c r="D1342" s="321"/>
      <c r="E1342" s="320"/>
      <c r="F1342" s="320"/>
      <c r="G1342" s="465" t="str">
        <f t="shared" si="118"/>
        <v/>
      </c>
    </row>
    <row r="1343" spans="4:7">
      <c r="D1343" s="321"/>
      <c r="E1343" s="320"/>
      <c r="F1343" s="320"/>
      <c r="G1343" s="465" t="str">
        <f t="shared" si="118"/>
        <v/>
      </c>
    </row>
    <row r="1344" spans="4:7">
      <c r="D1344" s="321"/>
      <c r="E1344" s="320"/>
      <c r="F1344" s="320"/>
      <c r="G1344" s="465" t="str">
        <f t="shared" si="118"/>
        <v/>
      </c>
    </row>
    <row r="1345" spans="4:7">
      <c r="D1345" s="321"/>
      <c r="E1345" s="320"/>
      <c r="F1345" s="320"/>
      <c r="G1345" s="465" t="str">
        <f t="shared" si="118"/>
        <v/>
      </c>
    </row>
    <row r="1346" spans="4:7">
      <c r="D1346" s="321"/>
      <c r="E1346" s="320"/>
      <c r="F1346" s="320"/>
      <c r="G1346" s="465" t="str">
        <f t="shared" si="118"/>
        <v/>
      </c>
    </row>
    <row r="1347" spans="4:7">
      <c r="D1347" s="321"/>
      <c r="E1347" s="320"/>
      <c r="F1347" s="320"/>
      <c r="G1347" s="465" t="str">
        <f t="shared" si="118"/>
        <v/>
      </c>
    </row>
    <row r="1348" spans="4:7">
      <c r="D1348" s="321"/>
      <c r="E1348" s="320"/>
      <c r="F1348" s="320"/>
      <c r="G1348" s="465" t="str">
        <f t="shared" si="118"/>
        <v/>
      </c>
    </row>
    <row r="1349" spans="4:7">
      <c r="D1349" s="321"/>
      <c r="E1349" s="320"/>
      <c r="F1349" s="320"/>
      <c r="G1349" s="465" t="str">
        <f t="shared" si="118"/>
        <v/>
      </c>
    </row>
    <row r="1350" spans="4:7">
      <c r="D1350" s="321"/>
      <c r="E1350" s="320"/>
      <c r="F1350" s="320"/>
      <c r="G1350" s="465" t="str">
        <f t="shared" ref="G1350:G1413" si="119">IF(OR(AND(D1350="",E1350=""),AND(D1350="",F1350="")),"",IF(AND(D1350&lt;&gt;"",E1350&lt;&gt;"",F1350&lt;&gt;""),"REVISAR CÁLCULO",IF(AND(D1350&lt;&gt;"",F1350&lt;&gt;""),ROUND(((F1350-D1350)/30),3),IF(AND(D1350&lt;&gt;"",E1350&lt;&gt;""),ROUND(((E1350-D1350+1)/30),3),""))))</f>
        <v/>
      </c>
    </row>
    <row r="1351" spans="4:7">
      <c r="D1351" s="321"/>
      <c r="E1351" s="320"/>
      <c r="F1351" s="320"/>
      <c r="G1351" s="465" t="str">
        <f t="shared" si="119"/>
        <v/>
      </c>
    </row>
    <row r="1352" spans="4:7">
      <c r="D1352" s="321"/>
      <c r="E1352" s="320"/>
      <c r="F1352" s="320"/>
      <c r="G1352" s="465" t="str">
        <f t="shared" si="119"/>
        <v/>
      </c>
    </row>
    <row r="1353" spans="4:7">
      <c r="D1353" s="321"/>
      <c r="E1353" s="320"/>
      <c r="F1353" s="320"/>
      <c r="G1353" s="465" t="str">
        <f t="shared" si="119"/>
        <v/>
      </c>
    </row>
    <row r="1354" spans="4:7">
      <c r="D1354" s="321"/>
      <c r="E1354" s="320"/>
      <c r="F1354" s="320"/>
      <c r="G1354" s="465" t="str">
        <f t="shared" si="119"/>
        <v/>
      </c>
    </row>
    <row r="1355" spans="4:7">
      <c r="D1355" s="321"/>
      <c r="E1355" s="320"/>
      <c r="F1355" s="320"/>
      <c r="G1355" s="465" t="str">
        <f t="shared" si="119"/>
        <v/>
      </c>
    </row>
    <row r="1356" spans="4:7">
      <c r="D1356" s="321"/>
      <c r="E1356" s="320"/>
      <c r="F1356" s="320"/>
      <c r="G1356" s="465" t="str">
        <f t="shared" si="119"/>
        <v/>
      </c>
    </row>
    <row r="1357" spans="4:7">
      <c r="D1357" s="321"/>
      <c r="E1357" s="320"/>
      <c r="F1357" s="320"/>
      <c r="G1357" s="465" t="str">
        <f t="shared" si="119"/>
        <v/>
      </c>
    </row>
    <row r="1358" spans="4:7">
      <c r="D1358" s="321"/>
      <c r="E1358" s="320"/>
      <c r="F1358" s="320"/>
      <c r="G1358" s="465" t="str">
        <f t="shared" si="119"/>
        <v/>
      </c>
    </row>
    <row r="1359" spans="4:7">
      <c r="D1359" s="321"/>
      <c r="E1359" s="320"/>
      <c r="F1359" s="320"/>
      <c r="G1359" s="465" t="str">
        <f t="shared" si="119"/>
        <v/>
      </c>
    </row>
    <row r="1360" spans="4:7">
      <c r="D1360" s="321"/>
      <c r="E1360" s="320"/>
      <c r="F1360" s="320"/>
      <c r="G1360" s="465" t="str">
        <f t="shared" si="119"/>
        <v/>
      </c>
    </row>
    <row r="1361" spans="4:7">
      <c r="D1361" s="321"/>
      <c r="E1361" s="320"/>
      <c r="F1361" s="320"/>
      <c r="G1361" s="465" t="str">
        <f t="shared" si="119"/>
        <v/>
      </c>
    </row>
    <row r="1362" spans="4:7">
      <c r="D1362" s="321"/>
      <c r="E1362" s="320"/>
      <c r="F1362" s="320"/>
      <c r="G1362" s="465" t="str">
        <f t="shared" si="119"/>
        <v/>
      </c>
    </row>
    <row r="1363" spans="4:7">
      <c r="D1363" s="321"/>
      <c r="E1363" s="320"/>
      <c r="F1363" s="320"/>
      <c r="G1363" s="465" t="str">
        <f t="shared" si="119"/>
        <v/>
      </c>
    </row>
    <row r="1364" spans="4:7">
      <c r="D1364" s="321"/>
      <c r="E1364" s="320"/>
      <c r="F1364" s="320"/>
      <c r="G1364" s="465" t="str">
        <f t="shared" si="119"/>
        <v/>
      </c>
    </row>
    <row r="1365" spans="4:7">
      <c r="D1365" s="321"/>
      <c r="E1365" s="320"/>
      <c r="F1365" s="320"/>
      <c r="G1365" s="465" t="str">
        <f t="shared" si="119"/>
        <v/>
      </c>
    </row>
    <row r="1366" spans="4:7">
      <c r="D1366" s="321"/>
      <c r="E1366" s="320"/>
      <c r="F1366" s="320"/>
      <c r="G1366" s="465" t="str">
        <f t="shared" si="119"/>
        <v/>
      </c>
    </row>
    <row r="1367" spans="4:7">
      <c r="D1367" s="321"/>
      <c r="E1367" s="320"/>
      <c r="F1367" s="320"/>
      <c r="G1367" s="465" t="str">
        <f t="shared" si="119"/>
        <v/>
      </c>
    </row>
    <row r="1368" spans="4:7">
      <c r="D1368" s="321"/>
      <c r="E1368" s="320"/>
      <c r="F1368" s="320"/>
      <c r="G1368" s="465" t="str">
        <f t="shared" si="119"/>
        <v/>
      </c>
    </row>
    <row r="1369" spans="4:7">
      <c r="D1369" s="321"/>
      <c r="E1369" s="320"/>
      <c r="F1369" s="320"/>
      <c r="G1369" s="465" t="str">
        <f t="shared" si="119"/>
        <v/>
      </c>
    </row>
    <row r="1370" spans="4:7">
      <c r="D1370" s="321"/>
      <c r="E1370" s="320"/>
      <c r="F1370" s="320"/>
      <c r="G1370" s="465" t="str">
        <f t="shared" si="119"/>
        <v/>
      </c>
    </row>
    <row r="1371" spans="4:7">
      <c r="D1371" s="321"/>
      <c r="E1371" s="320"/>
      <c r="F1371" s="320"/>
      <c r="G1371" s="465" t="str">
        <f t="shared" si="119"/>
        <v/>
      </c>
    </row>
    <row r="1372" spans="4:7">
      <c r="D1372" s="321"/>
      <c r="E1372" s="320"/>
      <c r="F1372" s="320"/>
      <c r="G1372" s="465" t="str">
        <f t="shared" si="119"/>
        <v/>
      </c>
    </row>
    <row r="1373" spans="4:7">
      <c r="D1373" s="321"/>
      <c r="E1373" s="320"/>
      <c r="F1373" s="320"/>
      <c r="G1373" s="465" t="str">
        <f t="shared" si="119"/>
        <v/>
      </c>
    </row>
    <row r="1374" spans="4:7">
      <c r="D1374" s="321"/>
      <c r="E1374" s="320"/>
      <c r="F1374" s="320"/>
      <c r="G1374" s="465" t="str">
        <f t="shared" si="119"/>
        <v/>
      </c>
    </row>
    <row r="1375" spans="4:7">
      <c r="D1375" s="321"/>
      <c r="E1375" s="320"/>
      <c r="F1375" s="320"/>
      <c r="G1375" s="465" t="str">
        <f t="shared" si="119"/>
        <v/>
      </c>
    </row>
    <row r="1376" spans="4:7">
      <c r="D1376" s="321"/>
      <c r="E1376" s="320"/>
      <c r="F1376" s="320"/>
      <c r="G1376" s="465" t="str">
        <f t="shared" si="119"/>
        <v/>
      </c>
    </row>
    <row r="1377" spans="4:7">
      <c r="D1377" s="321"/>
      <c r="E1377" s="320"/>
      <c r="F1377" s="320"/>
      <c r="G1377" s="465" t="str">
        <f t="shared" si="119"/>
        <v/>
      </c>
    </row>
    <row r="1378" spans="4:7">
      <c r="D1378" s="321"/>
      <c r="E1378" s="320"/>
      <c r="F1378" s="320"/>
      <c r="G1378" s="465" t="str">
        <f t="shared" si="119"/>
        <v/>
      </c>
    </row>
    <row r="1379" spans="4:7">
      <c r="D1379" s="321"/>
      <c r="E1379" s="320"/>
      <c r="F1379" s="320"/>
      <c r="G1379" s="465" t="str">
        <f t="shared" si="119"/>
        <v/>
      </c>
    </row>
    <row r="1380" spans="4:7">
      <c r="D1380" s="321"/>
      <c r="E1380" s="320"/>
      <c r="F1380" s="320"/>
      <c r="G1380" s="465" t="str">
        <f t="shared" si="119"/>
        <v/>
      </c>
    </row>
    <row r="1381" spans="4:7">
      <c r="D1381" s="321"/>
      <c r="E1381" s="320"/>
      <c r="F1381" s="320"/>
      <c r="G1381" s="465" t="str">
        <f t="shared" si="119"/>
        <v/>
      </c>
    </row>
    <row r="1382" spans="4:7">
      <c r="D1382" s="321"/>
      <c r="E1382" s="320"/>
      <c r="F1382" s="320"/>
      <c r="G1382" s="465" t="str">
        <f t="shared" si="119"/>
        <v/>
      </c>
    </row>
    <row r="1383" spans="4:7">
      <c r="D1383" s="321"/>
      <c r="E1383" s="320"/>
      <c r="F1383" s="320"/>
      <c r="G1383" s="465" t="str">
        <f t="shared" si="119"/>
        <v/>
      </c>
    </row>
    <row r="1384" spans="4:7">
      <c r="D1384" s="321"/>
      <c r="E1384" s="320"/>
      <c r="F1384" s="320"/>
      <c r="G1384" s="465" t="str">
        <f t="shared" si="119"/>
        <v/>
      </c>
    </row>
    <row r="1385" spans="4:7">
      <c r="D1385" s="321"/>
      <c r="E1385" s="320"/>
      <c r="F1385" s="320"/>
      <c r="G1385" s="465" t="str">
        <f t="shared" si="119"/>
        <v/>
      </c>
    </row>
    <row r="1386" spans="4:7">
      <c r="D1386" s="321"/>
      <c r="E1386" s="320"/>
      <c r="F1386" s="320"/>
      <c r="G1386" s="465" t="str">
        <f t="shared" si="119"/>
        <v/>
      </c>
    </row>
    <row r="1387" spans="4:7">
      <c r="D1387" s="321"/>
      <c r="E1387" s="320"/>
      <c r="F1387" s="320"/>
      <c r="G1387" s="465" t="str">
        <f t="shared" si="119"/>
        <v/>
      </c>
    </row>
    <row r="1388" spans="4:7">
      <c r="D1388" s="321"/>
      <c r="E1388" s="320"/>
      <c r="F1388" s="320"/>
      <c r="G1388" s="465" t="str">
        <f t="shared" si="119"/>
        <v/>
      </c>
    </row>
    <row r="1389" spans="4:7">
      <c r="D1389" s="321"/>
      <c r="E1389" s="320"/>
      <c r="F1389" s="320"/>
      <c r="G1389" s="465" t="str">
        <f t="shared" si="119"/>
        <v/>
      </c>
    </row>
    <row r="1390" spans="4:7">
      <c r="D1390" s="321"/>
      <c r="E1390" s="320"/>
      <c r="F1390" s="320"/>
      <c r="G1390" s="465" t="str">
        <f t="shared" si="119"/>
        <v/>
      </c>
    </row>
    <row r="1391" spans="4:7">
      <c r="D1391" s="321"/>
      <c r="E1391" s="320"/>
      <c r="F1391" s="320"/>
      <c r="G1391" s="465" t="str">
        <f t="shared" si="119"/>
        <v/>
      </c>
    </row>
    <row r="1392" spans="4:7">
      <c r="D1392" s="321"/>
      <c r="E1392" s="320"/>
      <c r="F1392" s="320"/>
      <c r="G1392" s="465" t="str">
        <f t="shared" si="119"/>
        <v/>
      </c>
    </row>
    <row r="1393" spans="4:7">
      <c r="D1393" s="321"/>
      <c r="E1393" s="320"/>
      <c r="F1393" s="320"/>
      <c r="G1393" s="465" t="str">
        <f t="shared" si="119"/>
        <v/>
      </c>
    </row>
    <row r="1394" spans="4:7">
      <c r="D1394" s="321"/>
      <c r="E1394" s="320"/>
      <c r="F1394" s="320"/>
      <c r="G1394" s="465" t="str">
        <f t="shared" si="119"/>
        <v/>
      </c>
    </row>
    <row r="1395" spans="4:7">
      <c r="D1395" s="321"/>
      <c r="E1395" s="320"/>
      <c r="F1395" s="320"/>
      <c r="G1395" s="465" t="str">
        <f t="shared" si="119"/>
        <v/>
      </c>
    </row>
    <row r="1396" spans="4:7">
      <c r="D1396" s="321"/>
      <c r="E1396" s="320"/>
      <c r="F1396" s="320"/>
      <c r="G1396" s="465" t="str">
        <f t="shared" si="119"/>
        <v/>
      </c>
    </row>
    <row r="1397" spans="4:7">
      <c r="D1397" s="321"/>
      <c r="E1397" s="320"/>
      <c r="F1397" s="320"/>
      <c r="G1397" s="465" t="str">
        <f t="shared" si="119"/>
        <v/>
      </c>
    </row>
    <row r="1398" spans="4:7">
      <c r="D1398" s="321"/>
      <c r="E1398" s="320"/>
      <c r="F1398" s="320"/>
      <c r="G1398" s="465" t="str">
        <f t="shared" si="119"/>
        <v/>
      </c>
    </row>
    <row r="1399" spans="4:7">
      <c r="D1399" s="321"/>
      <c r="E1399" s="320"/>
      <c r="F1399" s="320"/>
      <c r="G1399" s="465" t="str">
        <f t="shared" si="119"/>
        <v/>
      </c>
    </row>
    <row r="1400" spans="4:7">
      <c r="D1400" s="321"/>
      <c r="E1400" s="320"/>
      <c r="F1400" s="320"/>
      <c r="G1400" s="465" t="str">
        <f t="shared" si="119"/>
        <v/>
      </c>
    </row>
    <row r="1401" spans="4:7">
      <c r="D1401" s="321"/>
      <c r="E1401" s="320"/>
      <c r="F1401" s="320"/>
      <c r="G1401" s="465" t="str">
        <f t="shared" si="119"/>
        <v/>
      </c>
    </row>
    <row r="1402" spans="4:7">
      <c r="D1402" s="321"/>
      <c r="E1402" s="320"/>
      <c r="F1402" s="320"/>
      <c r="G1402" s="465" t="str">
        <f t="shared" si="119"/>
        <v/>
      </c>
    </row>
    <row r="1403" spans="4:7">
      <c r="D1403" s="321"/>
      <c r="E1403" s="320"/>
      <c r="F1403" s="320"/>
      <c r="G1403" s="465" t="str">
        <f t="shared" si="119"/>
        <v/>
      </c>
    </row>
    <row r="1404" spans="4:7">
      <c r="D1404" s="321"/>
      <c r="E1404" s="320"/>
      <c r="F1404" s="320"/>
      <c r="G1404" s="465" t="str">
        <f t="shared" si="119"/>
        <v/>
      </c>
    </row>
    <row r="1405" spans="4:7">
      <c r="D1405" s="321"/>
      <c r="E1405" s="320"/>
      <c r="F1405" s="320"/>
      <c r="G1405" s="465" t="str">
        <f t="shared" si="119"/>
        <v/>
      </c>
    </row>
    <row r="1406" spans="4:7">
      <c r="D1406" s="321"/>
      <c r="E1406" s="320"/>
      <c r="F1406" s="320"/>
      <c r="G1406" s="465" t="str">
        <f t="shared" si="119"/>
        <v/>
      </c>
    </row>
    <row r="1407" spans="4:7">
      <c r="D1407" s="321"/>
      <c r="E1407" s="320"/>
      <c r="F1407" s="320"/>
      <c r="G1407" s="465" t="str">
        <f t="shared" si="119"/>
        <v/>
      </c>
    </row>
    <row r="1408" spans="4:7">
      <c r="D1408" s="321"/>
      <c r="E1408" s="320"/>
      <c r="F1408" s="320"/>
      <c r="G1408" s="465" t="str">
        <f t="shared" si="119"/>
        <v/>
      </c>
    </row>
    <row r="1409" spans="4:7">
      <c r="D1409" s="321"/>
      <c r="E1409" s="320"/>
      <c r="F1409" s="320"/>
      <c r="G1409" s="465" t="str">
        <f t="shared" si="119"/>
        <v/>
      </c>
    </row>
    <row r="1410" spans="4:7">
      <c r="D1410" s="321"/>
      <c r="E1410" s="320"/>
      <c r="F1410" s="320"/>
      <c r="G1410" s="465" t="str">
        <f t="shared" si="119"/>
        <v/>
      </c>
    </row>
    <row r="1411" spans="4:7">
      <c r="D1411" s="321"/>
      <c r="E1411" s="320"/>
      <c r="F1411" s="320"/>
      <c r="G1411" s="465" t="str">
        <f t="shared" si="119"/>
        <v/>
      </c>
    </row>
    <row r="1412" spans="4:7">
      <c r="D1412" s="321"/>
      <c r="E1412" s="320"/>
      <c r="F1412" s="320"/>
      <c r="G1412" s="465" t="str">
        <f t="shared" si="119"/>
        <v/>
      </c>
    </row>
    <row r="1413" spans="4:7">
      <c r="D1413" s="321"/>
      <c r="E1413" s="320"/>
      <c r="F1413" s="320"/>
      <c r="G1413" s="465" t="str">
        <f t="shared" si="119"/>
        <v/>
      </c>
    </row>
    <row r="1414" spans="4:7">
      <c r="D1414" s="321"/>
      <c r="E1414" s="320"/>
      <c r="F1414" s="320"/>
      <c r="G1414" s="465" t="str">
        <f t="shared" ref="G1414:G1477" si="120">IF(OR(AND(D1414="",E1414=""),AND(D1414="",F1414="")),"",IF(AND(D1414&lt;&gt;"",E1414&lt;&gt;"",F1414&lt;&gt;""),"REVISAR CÁLCULO",IF(AND(D1414&lt;&gt;"",F1414&lt;&gt;""),ROUND(((F1414-D1414)/30),3),IF(AND(D1414&lt;&gt;"",E1414&lt;&gt;""),ROUND(((E1414-D1414+1)/30),3),""))))</f>
        <v/>
      </c>
    </row>
    <row r="1415" spans="4:7">
      <c r="D1415" s="321"/>
      <c r="E1415" s="320"/>
      <c r="F1415" s="320"/>
      <c r="G1415" s="465" t="str">
        <f t="shared" si="120"/>
        <v/>
      </c>
    </row>
    <row r="1416" spans="4:7">
      <c r="D1416" s="321"/>
      <c r="E1416" s="320"/>
      <c r="F1416" s="320"/>
      <c r="G1416" s="465" t="str">
        <f t="shared" si="120"/>
        <v/>
      </c>
    </row>
    <row r="1417" spans="4:7">
      <c r="D1417" s="321"/>
      <c r="E1417" s="320"/>
      <c r="F1417" s="320"/>
      <c r="G1417" s="465" t="str">
        <f t="shared" si="120"/>
        <v/>
      </c>
    </row>
    <row r="1418" spans="4:7">
      <c r="D1418" s="321"/>
      <c r="E1418" s="320"/>
      <c r="F1418" s="320"/>
      <c r="G1418" s="465" t="str">
        <f t="shared" si="120"/>
        <v/>
      </c>
    </row>
    <row r="1419" spans="4:7">
      <c r="D1419" s="321"/>
      <c r="E1419" s="320"/>
      <c r="F1419" s="320"/>
      <c r="G1419" s="465" t="str">
        <f t="shared" si="120"/>
        <v/>
      </c>
    </row>
    <row r="1420" spans="4:7">
      <c r="D1420" s="321"/>
      <c r="E1420" s="320"/>
      <c r="F1420" s="320"/>
      <c r="G1420" s="465" t="str">
        <f t="shared" si="120"/>
        <v/>
      </c>
    </row>
    <row r="1421" spans="4:7">
      <c r="D1421" s="321"/>
      <c r="E1421" s="320"/>
      <c r="F1421" s="320"/>
      <c r="G1421" s="465" t="str">
        <f t="shared" si="120"/>
        <v/>
      </c>
    </row>
    <row r="1422" spans="4:7">
      <c r="D1422" s="321"/>
      <c r="E1422" s="320"/>
      <c r="F1422" s="320"/>
      <c r="G1422" s="465" t="str">
        <f t="shared" si="120"/>
        <v/>
      </c>
    </row>
    <row r="1423" spans="4:7">
      <c r="D1423" s="321"/>
      <c r="E1423" s="320"/>
      <c r="F1423" s="320"/>
      <c r="G1423" s="465" t="str">
        <f t="shared" si="120"/>
        <v/>
      </c>
    </row>
    <row r="1424" spans="4:7">
      <c r="D1424" s="321"/>
      <c r="E1424" s="320"/>
      <c r="F1424" s="320"/>
      <c r="G1424" s="465" t="str">
        <f t="shared" si="120"/>
        <v/>
      </c>
    </row>
    <row r="1425" spans="4:7">
      <c r="D1425" s="321"/>
      <c r="E1425" s="320"/>
      <c r="F1425" s="320"/>
      <c r="G1425" s="465" t="str">
        <f t="shared" si="120"/>
        <v/>
      </c>
    </row>
    <row r="1426" spans="4:7">
      <c r="D1426" s="321"/>
      <c r="E1426" s="320"/>
      <c r="F1426" s="320"/>
      <c r="G1426" s="465" t="str">
        <f t="shared" si="120"/>
        <v/>
      </c>
    </row>
    <row r="1427" spans="4:7">
      <c r="D1427" s="321"/>
      <c r="E1427" s="320"/>
      <c r="F1427" s="320"/>
      <c r="G1427" s="465" t="str">
        <f t="shared" si="120"/>
        <v/>
      </c>
    </row>
    <row r="1428" spans="4:7">
      <c r="D1428" s="321"/>
      <c r="E1428" s="320"/>
      <c r="F1428" s="320"/>
      <c r="G1428" s="465" t="str">
        <f t="shared" si="120"/>
        <v/>
      </c>
    </row>
    <row r="1429" spans="4:7">
      <c r="D1429" s="321"/>
      <c r="E1429" s="320"/>
      <c r="F1429" s="320"/>
      <c r="G1429" s="465" t="str">
        <f t="shared" si="120"/>
        <v/>
      </c>
    </row>
    <row r="1430" spans="4:7">
      <c r="D1430" s="321"/>
      <c r="E1430" s="320"/>
      <c r="F1430" s="320"/>
      <c r="G1430" s="465" t="str">
        <f t="shared" si="120"/>
        <v/>
      </c>
    </row>
    <row r="1431" spans="4:7">
      <c r="D1431" s="321"/>
      <c r="E1431" s="320"/>
      <c r="F1431" s="320"/>
      <c r="G1431" s="465" t="str">
        <f t="shared" si="120"/>
        <v/>
      </c>
    </row>
    <row r="1432" spans="4:7">
      <c r="D1432" s="321"/>
      <c r="E1432" s="320"/>
      <c r="F1432" s="320"/>
      <c r="G1432" s="465" t="str">
        <f t="shared" si="120"/>
        <v/>
      </c>
    </row>
    <row r="1433" spans="4:7">
      <c r="D1433" s="321"/>
      <c r="E1433" s="320"/>
      <c r="F1433" s="320"/>
      <c r="G1433" s="465" t="str">
        <f t="shared" si="120"/>
        <v/>
      </c>
    </row>
    <row r="1434" spans="4:7">
      <c r="D1434" s="321"/>
      <c r="E1434" s="320"/>
      <c r="F1434" s="320"/>
      <c r="G1434" s="465" t="str">
        <f t="shared" si="120"/>
        <v/>
      </c>
    </row>
    <row r="1435" spans="4:7">
      <c r="D1435" s="321"/>
      <c r="E1435" s="320"/>
      <c r="F1435" s="320"/>
      <c r="G1435" s="465" t="str">
        <f t="shared" si="120"/>
        <v/>
      </c>
    </row>
    <row r="1436" spans="4:7">
      <c r="D1436" s="321"/>
      <c r="E1436" s="320"/>
      <c r="F1436" s="320"/>
      <c r="G1436" s="465" t="str">
        <f t="shared" si="120"/>
        <v/>
      </c>
    </row>
    <row r="1437" spans="4:7">
      <c r="D1437" s="321"/>
      <c r="E1437" s="320"/>
      <c r="F1437" s="320"/>
      <c r="G1437" s="465" t="str">
        <f t="shared" si="120"/>
        <v/>
      </c>
    </row>
    <row r="1438" spans="4:7">
      <c r="D1438" s="321"/>
      <c r="E1438" s="320"/>
      <c r="F1438" s="320"/>
      <c r="G1438" s="465" t="str">
        <f t="shared" si="120"/>
        <v/>
      </c>
    </row>
    <row r="1439" spans="4:7">
      <c r="D1439" s="321"/>
      <c r="E1439" s="320"/>
      <c r="F1439" s="320"/>
      <c r="G1439" s="465" t="str">
        <f t="shared" si="120"/>
        <v/>
      </c>
    </row>
    <row r="1440" spans="4:7">
      <c r="D1440" s="321"/>
      <c r="E1440" s="320"/>
      <c r="F1440" s="320"/>
      <c r="G1440" s="465" t="str">
        <f t="shared" si="120"/>
        <v/>
      </c>
    </row>
    <row r="1441" spans="4:7">
      <c r="D1441" s="321"/>
      <c r="E1441" s="320"/>
      <c r="F1441" s="320"/>
      <c r="G1441" s="465" t="str">
        <f t="shared" si="120"/>
        <v/>
      </c>
    </row>
    <row r="1442" spans="4:7">
      <c r="D1442" s="321"/>
      <c r="E1442" s="320"/>
      <c r="F1442" s="320"/>
      <c r="G1442" s="465" t="str">
        <f t="shared" si="120"/>
        <v/>
      </c>
    </row>
    <row r="1443" spans="4:7">
      <c r="D1443" s="321"/>
      <c r="E1443" s="320"/>
      <c r="F1443" s="320"/>
      <c r="G1443" s="465" t="str">
        <f t="shared" si="120"/>
        <v/>
      </c>
    </row>
    <row r="1444" spans="4:7">
      <c r="D1444" s="321"/>
      <c r="E1444" s="320"/>
      <c r="F1444" s="320"/>
      <c r="G1444" s="465" t="str">
        <f t="shared" si="120"/>
        <v/>
      </c>
    </row>
    <row r="1445" spans="4:7">
      <c r="D1445" s="321"/>
      <c r="E1445" s="320"/>
      <c r="F1445" s="320"/>
      <c r="G1445" s="465" t="str">
        <f t="shared" si="120"/>
        <v/>
      </c>
    </row>
    <row r="1446" spans="4:7">
      <c r="D1446" s="321"/>
      <c r="E1446" s="320"/>
      <c r="F1446" s="320"/>
      <c r="G1446" s="465" t="str">
        <f t="shared" si="120"/>
        <v/>
      </c>
    </row>
    <row r="1447" spans="4:7">
      <c r="D1447" s="321"/>
      <c r="E1447" s="320"/>
      <c r="F1447" s="320"/>
      <c r="G1447" s="465" t="str">
        <f t="shared" si="120"/>
        <v/>
      </c>
    </row>
    <row r="1448" spans="4:7">
      <c r="D1448" s="321"/>
      <c r="E1448" s="320"/>
      <c r="F1448" s="320"/>
      <c r="G1448" s="465" t="str">
        <f t="shared" si="120"/>
        <v/>
      </c>
    </row>
    <row r="1449" spans="4:7">
      <c r="D1449" s="321"/>
      <c r="E1449" s="320"/>
      <c r="F1449" s="320"/>
      <c r="G1449" s="465" t="str">
        <f t="shared" si="120"/>
        <v/>
      </c>
    </row>
    <row r="1450" spans="4:7">
      <c r="D1450" s="321"/>
      <c r="E1450" s="320"/>
      <c r="F1450" s="320"/>
      <c r="G1450" s="465" t="str">
        <f t="shared" si="120"/>
        <v/>
      </c>
    </row>
    <row r="1451" spans="4:7">
      <c r="D1451" s="321"/>
      <c r="E1451" s="320"/>
      <c r="F1451" s="320"/>
      <c r="G1451" s="465" t="str">
        <f t="shared" si="120"/>
        <v/>
      </c>
    </row>
    <row r="1452" spans="4:7">
      <c r="D1452" s="321"/>
      <c r="E1452" s="320"/>
      <c r="F1452" s="320"/>
      <c r="G1452" s="465" t="str">
        <f t="shared" si="120"/>
        <v/>
      </c>
    </row>
    <row r="1453" spans="4:7">
      <c r="D1453" s="321"/>
      <c r="E1453" s="320"/>
      <c r="F1453" s="320"/>
      <c r="G1453" s="465" t="str">
        <f t="shared" si="120"/>
        <v/>
      </c>
    </row>
    <row r="1454" spans="4:7">
      <c r="D1454" s="321"/>
      <c r="E1454" s="320"/>
      <c r="F1454" s="320"/>
      <c r="G1454" s="465" t="str">
        <f t="shared" si="120"/>
        <v/>
      </c>
    </row>
    <row r="1455" spans="4:7">
      <c r="D1455" s="321"/>
      <c r="E1455" s="320"/>
      <c r="F1455" s="320"/>
      <c r="G1455" s="465" t="str">
        <f t="shared" si="120"/>
        <v/>
      </c>
    </row>
    <row r="1456" spans="4:7">
      <c r="D1456" s="321"/>
      <c r="E1456" s="320"/>
      <c r="F1456" s="320"/>
      <c r="G1456" s="465" t="str">
        <f t="shared" si="120"/>
        <v/>
      </c>
    </row>
    <row r="1457" spans="4:7">
      <c r="D1457" s="321"/>
      <c r="E1457" s="320"/>
      <c r="F1457" s="320"/>
      <c r="G1457" s="465" t="str">
        <f t="shared" si="120"/>
        <v/>
      </c>
    </row>
    <row r="1458" spans="4:7">
      <c r="D1458" s="321"/>
      <c r="E1458" s="320"/>
      <c r="F1458" s="320"/>
      <c r="G1458" s="465" t="str">
        <f t="shared" si="120"/>
        <v/>
      </c>
    </row>
    <row r="1459" spans="4:7">
      <c r="D1459" s="321"/>
      <c r="E1459" s="320"/>
      <c r="F1459" s="320"/>
      <c r="G1459" s="465" t="str">
        <f t="shared" si="120"/>
        <v/>
      </c>
    </row>
    <row r="1460" spans="4:7">
      <c r="D1460" s="321"/>
      <c r="E1460" s="320"/>
      <c r="F1460" s="320"/>
      <c r="G1460" s="465" t="str">
        <f t="shared" si="120"/>
        <v/>
      </c>
    </row>
    <row r="1461" spans="4:7">
      <c r="D1461" s="321"/>
      <c r="E1461" s="320"/>
      <c r="F1461" s="320"/>
      <c r="G1461" s="465" t="str">
        <f t="shared" si="120"/>
        <v/>
      </c>
    </row>
    <row r="1462" spans="4:7">
      <c r="D1462" s="321"/>
      <c r="E1462" s="320"/>
      <c r="F1462" s="320"/>
      <c r="G1462" s="465" t="str">
        <f t="shared" si="120"/>
        <v/>
      </c>
    </row>
    <row r="1463" spans="4:7">
      <c r="D1463" s="321"/>
      <c r="E1463" s="320"/>
      <c r="F1463" s="320"/>
      <c r="G1463" s="465" t="str">
        <f t="shared" si="120"/>
        <v/>
      </c>
    </row>
    <row r="1464" spans="4:7">
      <c r="D1464" s="321"/>
      <c r="E1464" s="320"/>
      <c r="F1464" s="320"/>
      <c r="G1464" s="465" t="str">
        <f t="shared" si="120"/>
        <v/>
      </c>
    </row>
    <row r="1465" spans="4:7">
      <c r="D1465" s="321"/>
      <c r="E1465" s="320"/>
      <c r="F1465" s="320"/>
      <c r="G1465" s="465" t="str">
        <f t="shared" si="120"/>
        <v/>
      </c>
    </row>
    <row r="1466" spans="4:7">
      <c r="D1466" s="321"/>
      <c r="E1466" s="320"/>
      <c r="F1466" s="320"/>
      <c r="G1466" s="465" t="str">
        <f t="shared" si="120"/>
        <v/>
      </c>
    </row>
    <row r="1467" spans="4:7">
      <c r="D1467" s="321"/>
      <c r="E1467" s="320"/>
      <c r="F1467" s="320"/>
      <c r="G1467" s="465" t="str">
        <f t="shared" si="120"/>
        <v/>
      </c>
    </row>
    <row r="1468" spans="4:7">
      <c r="D1468" s="321"/>
      <c r="E1468" s="320"/>
      <c r="F1468" s="320"/>
      <c r="G1468" s="465" t="str">
        <f t="shared" si="120"/>
        <v/>
      </c>
    </row>
    <row r="1469" spans="4:7">
      <c r="D1469" s="321"/>
      <c r="E1469" s="320"/>
      <c r="F1469" s="320"/>
      <c r="G1469" s="465" t="str">
        <f t="shared" si="120"/>
        <v/>
      </c>
    </row>
    <row r="1470" spans="4:7">
      <c r="D1470" s="321"/>
      <c r="E1470" s="320"/>
      <c r="F1470" s="320"/>
      <c r="G1470" s="465" t="str">
        <f t="shared" si="120"/>
        <v/>
      </c>
    </row>
    <row r="1471" spans="4:7">
      <c r="D1471" s="321"/>
      <c r="E1471" s="320"/>
      <c r="F1471" s="320"/>
      <c r="G1471" s="465" t="str">
        <f t="shared" si="120"/>
        <v/>
      </c>
    </row>
    <row r="1472" spans="4:7">
      <c r="D1472" s="321"/>
      <c r="E1472" s="320"/>
      <c r="F1472" s="320"/>
      <c r="G1472" s="465" t="str">
        <f t="shared" si="120"/>
        <v/>
      </c>
    </row>
    <row r="1473" spans="4:7">
      <c r="D1473" s="321"/>
      <c r="E1473" s="320"/>
      <c r="F1473" s="320"/>
      <c r="G1473" s="465" t="str">
        <f t="shared" si="120"/>
        <v/>
      </c>
    </row>
    <row r="1474" spans="4:7">
      <c r="D1474" s="321"/>
      <c r="E1474" s="320"/>
      <c r="F1474" s="320"/>
      <c r="G1474" s="465" t="str">
        <f t="shared" si="120"/>
        <v/>
      </c>
    </row>
    <row r="1475" spans="4:7">
      <c r="D1475" s="321"/>
      <c r="E1475" s="320"/>
      <c r="F1475" s="320"/>
      <c r="G1475" s="465" t="str">
        <f t="shared" si="120"/>
        <v/>
      </c>
    </row>
    <row r="1476" spans="4:7">
      <c r="D1476" s="321"/>
      <c r="E1476" s="320"/>
      <c r="F1476" s="320"/>
      <c r="G1476" s="465" t="str">
        <f t="shared" si="120"/>
        <v/>
      </c>
    </row>
    <row r="1477" spans="4:7">
      <c r="D1477" s="321"/>
      <c r="E1477" s="320"/>
      <c r="F1477" s="320"/>
      <c r="G1477" s="465" t="str">
        <f t="shared" si="120"/>
        <v/>
      </c>
    </row>
    <row r="1478" spans="4:7">
      <c r="D1478" s="321"/>
      <c r="E1478" s="320"/>
      <c r="F1478" s="320"/>
      <c r="G1478" s="465" t="str">
        <f t="shared" ref="G1478:G1541" si="121">IF(OR(AND(D1478="",E1478=""),AND(D1478="",F1478="")),"",IF(AND(D1478&lt;&gt;"",E1478&lt;&gt;"",F1478&lt;&gt;""),"REVISAR CÁLCULO",IF(AND(D1478&lt;&gt;"",F1478&lt;&gt;""),ROUND(((F1478-D1478)/30),3),IF(AND(D1478&lt;&gt;"",E1478&lt;&gt;""),ROUND(((E1478-D1478+1)/30),3),""))))</f>
        <v/>
      </c>
    </row>
    <row r="1479" spans="4:7">
      <c r="D1479" s="321"/>
      <c r="E1479" s="320"/>
      <c r="F1479" s="320"/>
      <c r="G1479" s="465" t="str">
        <f t="shared" si="121"/>
        <v/>
      </c>
    </row>
    <row r="1480" spans="4:7">
      <c r="D1480" s="321"/>
      <c r="E1480" s="320"/>
      <c r="F1480" s="320"/>
      <c r="G1480" s="465" t="str">
        <f t="shared" si="121"/>
        <v/>
      </c>
    </row>
    <row r="1481" spans="4:7">
      <c r="D1481" s="321"/>
      <c r="E1481" s="320"/>
      <c r="F1481" s="320"/>
      <c r="G1481" s="465" t="str">
        <f t="shared" si="121"/>
        <v/>
      </c>
    </row>
    <row r="1482" spans="4:7">
      <c r="D1482" s="321"/>
      <c r="E1482" s="320"/>
      <c r="F1482" s="320"/>
      <c r="G1482" s="465" t="str">
        <f t="shared" si="121"/>
        <v/>
      </c>
    </row>
    <row r="1483" spans="4:7">
      <c r="D1483" s="321"/>
      <c r="E1483" s="320"/>
      <c r="F1483" s="320"/>
      <c r="G1483" s="465" t="str">
        <f t="shared" si="121"/>
        <v/>
      </c>
    </row>
    <row r="1484" spans="4:7">
      <c r="D1484" s="321"/>
      <c r="E1484" s="320"/>
      <c r="F1484" s="320"/>
      <c r="G1484" s="465" t="str">
        <f t="shared" si="121"/>
        <v/>
      </c>
    </row>
    <row r="1485" spans="4:7">
      <c r="D1485" s="321"/>
      <c r="E1485" s="320"/>
      <c r="F1485" s="320"/>
      <c r="G1485" s="465" t="str">
        <f t="shared" si="121"/>
        <v/>
      </c>
    </row>
    <row r="1486" spans="4:7">
      <c r="D1486" s="321"/>
      <c r="E1486" s="320"/>
      <c r="F1486" s="320"/>
      <c r="G1486" s="465" t="str">
        <f t="shared" si="121"/>
        <v/>
      </c>
    </row>
    <row r="1487" spans="4:7">
      <c r="D1487" s="321"/>
      <c r="E1487" s="320"/>
      <c r="F1487" s="320"/>
      <c r="G1487" s="465" t="str">
        <f t="shared" si="121"/>
        <v/>
      </c>
    </row>
    <row r="1488" spans="4:7">
      <c r="D1488" s="321"/>
      <c r="E1488" s="320"/>
      <c r="F1488" s="320"/>
      <c r="G1488" s="465" t="str">
        <f t="shared" si="121"/>
        <v/>
      </c>
    </row>
    <row r="1489" spans="4:7">
      <c r="D1489" s="321"/>
      <c r="E1489" s="320"/>
      <c r="F1489" s="320"/>
      <c r="G1489" s="465" t="str">
        <f t="shared" si="121"/>
        <v/>
      </c>
    </row>
    <row r="1490" spans="4:7">
      <c r="D1490" s="321"/>
      <c r="E1490" s="320"/>
      <c r="F1490" s="320"/>
      <c r="G1490" s="465" t="str">
        <f t="shared" si="121"/>
        <v/>
      </c>
    </row>
    <row r="1491" spans="4:7">
      <c r="D1491" s="321"/>
      <c r="E1491" s="320"/>
      <c r="F1491" s="320"/>
      <c r="G1491" s="465" t="str">
        <f t="shared" si="121"/>
        <v/>
      </c>
    </row>
    <row r="1492" spans="4:7">
      <c r="D1492" s="321"/>
      <c r="E1492" s="320"/>
      <c r="F1492" s="320"/>
      <c r="G1492" s="465" t="str">
        <f t="shared" si="121"/>
        <v/>
      </c>
    </row>
    <row r="1493" spans="4:7">
      <c r="D1493" s="321"/>
      <c r="E1493" s="320"/>
      <c r="F1493" s="320"/>
      <c r="G1493" s="465" t="str">
        <f t="shared" si="121"/>
        <v/>
      </c>
    </row>
    <row r="1494" spans="4:7">
      <c r="D1494" s="321"/>
      <c r="E1494" s="320"/>
      <c r="F1494" s="320"/>
      <c r="G1494" s="465" t="str">
        <f t="shared" si="121"/>
        <v/>
      </c>
    </row>
    <row r="1495" spans="4:7">
      <c r="D1495" s="321"/>
      <c r="E1495" s="320"/>
      <c r="F1495" s="320"/>
      <c r="G1495" s="465" t="str">
        <f t="shared" si="121"/>
        <v/>
      </c>
    </row>
    <row r="1496" spans="4:7">
      <c r="D1496" s="321"/>
      <c r="E1496" s="320"/>
      <c r="F1496" s="320"/>
      <c r="G1496" s="465" t="str">
        <f t="shared" si="121"/>
        <v/>
      </c>
    </row>
    <row r="1497" spans="4:7">
      <c r="D1497" s="321"/>
      <c r="E1497" s="320"/>
      <c r="F1497" s="320"/>
      <c r="G1497" s="465" t="str">
        <f t="shared" si="121"/>
        <v/>
      </c>
    </row>
    <row r="1498" spans="4:7">
      <c r="D1498" s="321"/>
      <c r="E1498" s="320"/>
      <c r="F1498" s="320"/>
      <c r="G1498" s="465" t="str">
        <f t="shared" si="121"/>
        <v/>
      </c>
    </row>
    <row r="1499" spans="4:7">
      <c r="D1499" s="321"/>
      <c r="E1499" s="320"/>
      <c r="F1499" s="320"/>
      <c r="G1499" s="465" t="str">
        <f t="shared" si="121"/>
        <v/>
      </c>
    </row>
    <row r="1500" spans="4:7">
      <c r="D1500" s="321"/>
      <c r="E1500" s="320"/>
      <c r="F1500" s="320"/>
      <c r="G1500" s="465" t="str">
        <f t="shared" si="121"/>
        <v/>
      </c>
    </row>
    <row r="1501" spans="4:7">
      <c r="D1501" s="321"/>
      <c r="E1501" s="320"/>
      <c r="F1501" s="320"/>
      <c r="G1501" s="465" t="str">
        <f t="shared" si="121"/>
        <v/>
      </c>
    </row>
    <row r="1502" spans="4:7">
      <c r="D1502" s="321"/>
      <c r="E1502" s="320"/>
      <c r="F1502" s="320"/>
      <c r="G1502" s="465" t="str">
        <f t="shared" si="121"/>
        <v/>
      </c>
    </row>
    <row r="1503" spans="4:7">
      <c r="D1503" s="321"/>
      <c r="E1503" s="320"/>
      <c r="F1503" s="320"/>
      <c r="G1503" s="465" t="str">
        <f t="shared" si="121"/>
        <v/>
      </c>
    </row>
    <row r="1504" spans="4:7">
      <c r="D1504" s="321"/>
      <c r="E1504" s="320"/>
      <c r="F1504" s="320"/>
      <c r="G1504" s="465" t="str">
        <f t="shared" si="121"/>
        <v/>
      </c>
    </row>
    <row r="1505" spans="4:7">
      <c r="D1505" s="321"/>
      <c r="E1505" s="320"/>
      <c r="F1505" s="320"/>
      <c r="G1505" s="465" t="str">
        <f t="shared" si="121"/>
        <v/>
      </c>
    </row>
    <row r="1506" spans="4:7">
      <c r="D1506" s="321"/>
      <c r="E1506" s="320"/>
      <c r="F1506" s="320"/>
      <c r="G1506" s="465" t="str">
        <f t="shared" si="121"/>
        <v/>
      </c>
    </row>
    <row r="1507" spans="4:7">
      <c r="D1507" s="321"/>
      <c r="E1507" s="320"/>
      <c r="F1507" s="320"/>
      <c r="G1507" s="465" t="str">
        <f t="shared" si="121"/>
        <v/>
      </c>
    </row>
    <row r="1508" spans="4:7">
      <c r="D1508" s="321"/>
      <c r="E1508" s="320"/>
      <c r="F1508" s="320"/>
      <c r="G1508" s="465" t="str">
        <f t="shared" si="121"/>
        <v/>
      </c>
    </row>
    <row r="1509" spans="4:7">
      <c r="D1509" s="321"/>
      <c r="E1509" s="320"/>
      <c r="F1509" s="320"/>
      <c r="G1509" s="465" t="str">
        <f t="shared" si="121"/>
        <v/>
      </c>
    </row>
    <row r="1510" spans="4:7">
      <c r="D1510" s="321"/>
      <c r="E1510" s="320"/>
      <c r="F1510" s="320"/>
      <c r="G1510" s="465" t="str">
        <f t="shared" si="121"/>
        <v/>
      </c>
    </row>
    <row r="1511" spans="4:7">
      <c r="D1511" s="321"/>
      <c r="E1511" s="320"/>
      <c r="F1511" s="320"/>
      <c r="G1511" s="465" t="str">
        <f t="shared" si="121"/>
        <v/>
      </c>
    </row>
    <row r="1512" spans="4:7">
      <c r="D1512" s="321"/>
      <c r="E1512" s="320"/>
      <c r="F1512" s="320"/>
      <c r="G1512" s="465" t="str">
        <f t="shared" si="121"/>
        <v/>
      </c>
    </row>
    <row r="1513" spans="4:7">
      <c r="D1513" s="321"/>
      <c r="E1513" s="320"/>
      <c r="F1513" s="320"/>
      <c r="G1513" s="465" t="str">
        <f t="shared" si="121"/>
        <v/>
      </c>
    </row>
    <row r="1514" spans="4:7">
      <c r="D1514" s="321"/>
      <c r="E1514" s="320"/>
      <c r="F1514" s="320"/>
      <c r="G1514" s="465" t="str">
        <f t="shared" si="121"/>
        <v/>
      </c>
    </row>
    <row r="1515" spans="4:7">
      <c r="D1515" s="321"/>
      <c r="E1515" s="320"/>
      <c r="F1515" s="320"/>
      <c r="G1515" s="465" t="str">
        <f t="shared" si="121"/>
        <v/>
      </c>
    </row>
    <row r="1516" spans="4:7">
      <c r="D1516" s="321"/>
      <c r="E1516" s="320"/>
      <c r="F1516" s="320"/>
      <c r="G1516" s="465" t="str">
        <f t="shared" si="121"/>
        <v/>
      </c>
    </row>
    <row r="1517" spans="4:7">
      <c r="D1517" s="321"/>
      <c r="E1517" s="320"/>
      <c r="F1517" s="320"/>
      <c r="G1517" s="465" t="str">
        <f t="shared" si="121"/>
        <v/>
      </c>
    </row>
    <row r="1518" spans="4:7">
      <c r="D1518" s="321"/>
      <c r="E1518" s="320"/>
      <c r="F1518" s="320"/>
      <c r="G1518" s="465" t="str">
        <f t="shared" si="121"/>
        <v/>
      </c>
    </row>
    <row r="1519" spans="4:7">
      <c r="D1519" s="321"/>
      <c r="E1519" s="320"/>
      <c r="F1519" s="320"/>
      <c r="G1519" s="465" t="str">
        <f t="shared" si="121"/>
        <v/>
      </c>
    </row>
    <row r="1520" spans="4:7">
      <c r="D1520" s="321"/>
      <c r="E1520" s="320"/>
      <c r="F1520" s="320"/>
      <c r="G1520" s="465" t="str">
        <f t="shared" si="121"/>
        <v/>
      </c>
    </row>
    <row r="1521" spans="4:7">
      <c r="D1521" s="321"/>
      <c r="E1521" s="320"/>
      <c r="F1521" s="320"/>
      <c r="G1521" s="465" t="str">
        <f t="shared" si="121"/>
        <v/>
      </c>
    </row>
    <row r="1522" spans="4:7">
      <c r="D1522" s="321"/>
      <c r="E1522" s="320"/>
      <c r="F1522" s="320"/>
      <c r="G1522" s="465" t="str">
        <f t="shared" si="121"/>
        <v/>
      </c>
    </row>
    <row r="1523" spans="4:7">
      <c r="D1523" s="321"/>
      <c r="E1523" s="320"/>
      <c r="F1523" s="320"/>
      <c r="G1523" s="465" t="str">
        <f t="shared" si="121"/>
        <v/>
      </c>
    </row>
    <row r="1524" spans="4:7">
      <c r="D1524" s="321"/>
      <c r="E1524" s="320"/>
      <c r="F1524" s="320"/>
      <c r="G1524" s="465" t="str">
        <f t="shared" si="121"/>
        <v/>
      </c>
    </row>
    <row r="1525" spans="4:7">
      <c r="D1525" s="321"/>
      <c r="E1525" s="320"/>
      <c r="F1525" s="320"/>
      <c r="G1525" s="465" t="str">
        <f t="shared" si="121"/>
        <v/>
      </c>
    </row>
    <row r="1526" spans="4:7">
      <c r="D1526" s="321"/>
      <c r="E1526" s="320"/>
      <c r="F1526" s="320"/>
      <c r="G1526" s="465" t="str">
        <f t="shared" si="121"/>
        <v/>
      </c>
    </row>
    <row r="1527" spans="4:7">
      <c r="D1527" s="321"/>
      <c r="E1527" s="320"/>
      <c r="F1527" s="320"/>
      <c r="G1527" s="465" t="str">
        <f t="shared" si="121"/>
        <v/>
      </c>
    </row>
    <row r="1528" spans="4:7">
      <c r="D1528" s="321"/>
      <c r="E1528" s="320"/>
      <c r="F1528" s="320"/>
      <c r="G1528" s="465" t="str">
        <f t="shared" si="121"/>
        <v/>
      </c>
    </row>
    <row r="1529" spans="4:7">
      <c r="D1529" s="321"/>
      <c r="E1529" s="320"/>
      <c r="F1529" s="320"/>
      <c r="G1529" s="465" t="str">
        <f t="shared" si="121"/>
        <v/>
      </c>
    </row>
    <row r="1530" spans="4:7">
      <c r="D1530" s="321"/>
      <c r="E1530" s="320"/>
      <c r="F1530" s="320"/>
      <c r="G1530" s="465" t="str">
        <f t="shared" si="121"/>
        <v/>
      </c>
    </row>
    <row r="1531" spans="4:7">
      <c r="D1531" s="321"/>
      <c r="E1531" s="320"/>
      <c r="F1531" s="320"/>
      <c r="G1531" s="465" t="str">
        <f t="shared" si="121"/>
        <v/>
      </c>
    </row>
    <row r="1532" spans="4:7">
      <c r="D1532" s="321"/>
      <c r="E1532" s="320"/>
      <c r="F1532" s="320"/>
      <c r="G1532" s="465" t="str">
        <f t="shared" si="121"/>
        <v/>
      </c>
    </row>
    <row r="1533" spans="4:7">
      <c r="D1533" s="321"/>
      <c r="E1533" s="320"/>
      <c r="F1533" s="320"/>
      <c r="G1533" s="465" t="str">
        <f t="shared" si="121"/>
        <v/>
      </c>
    </row>
    <row r="1534" spans="4:7">
      <c r="D1534" s="321"/>
      <c r="E1534" s="320"/>
      <c r="F1534" s="320"/>
      <c r="G1534" s="465" t="str">
        <f t="shared" si="121"/>
        <v/>
      </c>
    </row>
    <row r="1535" spans="4:7">
      <c r="D1535" s="321"/>
      <c r="E1535" s="320"/>
      <c r="F1535" s="320"/>
      <c r="G1535" s="465" t="str">
        <f t="shared" si="121"/>
        <v/>
      </c>
    </row>
    <row r="1536" spans="4:7">
      <c r="D1536" s="321"/>
      <c r="E1536" s="320"/>
      <c r="F1536" s="320"/>
      <c r="G1536" s="465" t="str">
        <f t="shared" si="121"/>
        <v/>
      </c>
    </row>
    <row r="1537" spans="4:7">
      <c r="D1537" s="321"/>
      <c r="E1537" s="320"/>
      <c r="F1537" s="320"/>
      <c r="G1537" s="465" t="str">
        <f t="shared" si="121"/>
        <v/>
      </c>
    </row>
    <row r="1538" spans="4:7">
      <c r="D1538" s="321"/>
      <c r="E1538" s="320"/>
      <c r="F1538" s="320"/>
      <c r="G1538" s="465" t="str">
        <f t="shared" si="121"/>
        <v/>
      </c>
    </row>
    <row r="1539" spans="4:7">
      <c r="D1539" s="321"/>
      <c r="E1539" s="320"/>
      <c r="F1539" s="320"/>
      <c r="G1539" s="465" t="str">
        <f t="shared" si="121"/>
        <v/>
      </c>
    </row>
    <row r="1540" spans="4:7">
      <c r="D1540" s="321"/>
      <c r="E1540" s="320"/>
      <c r="F1540" s="320"/>
      <c r="G1540" s="465" t="str">
        <f t="shared" si="121"/>
        <v/>
      </c>
    </row>
    <row r="1541" spans="4:7">
      <c r="D1541" s="321"/>
      <c r="E1541" s="320"/>
      <c r="F1541" s="320"/>
      <c r="G1541" s="465" t="str">
        <f t="shared" si="121"/>
        <v/>
      </c>
    </row>
    <row r="1542" spans="4:7">
      <c r="D1542" s="321"/>
      <c r="E1542" s="320"/>
      <c r="F1542" s="320"/>
      <c r="G1542" s="465" t="str">
        <f t="shared" ref="G1542:G1605" si="122">IF(OR(AND(D1542="",E1542=""),AND(D1542="",F1542="")),"",IF(AND(D1542&lt;&gt;"",E1542&lt;&gt;"",F1542&lt;&gt;""),"REVISAR CÁLCULO",IF(AND(D1542&lt;&gt;"",F1542&lt;&gt;""),ROUND(((F1542-D1542)/30),3),IF(AND(D1542&lt;&gt;"",E1542&lt;&gt;""),ROUND(((E1542-D1542+1)/30),3),""))))</f>
        <v/>
      </c>
    </row>
    <row r="1543" spans="4:7">
      <c r="D1543" s="321"/>
      <c r="E1543" s="320"/>
      <c r="F1543" s="320"/>
      <c r="G1543" s="465" t="str">
        <f t="shared" si="122"/>
        <v/>
      </c>
    </row>
    <row r="1544" spans="4:7">
      <c r="D1544" s="321"/>
      <c r="E1544" s="320"/>
      <c r="F1544" s="320"/>
      <c r="G1544" s="465" t="str">
        <f t="shared" si="122"/>
        <v/>
      </c>
    </row>
    <row r="1545" spans="4:7">
      <c r="D1545" s="321"/>
      <c r="E1545" s="320"/>
      <c r="F1545" s="320"/>
      <c r="G1545" s="465" t="str">
        <f t="shared" si="122"/>
        <v/>
      </c>
    </row>
    <row r="1546" spans="4:7">
      <c r="D1546" s="321"/>
      <c r="E1546" s="320"/>
      <c r="F1546" s="320"/>
      <c r="G1546" s="465" t="str">
        <f t="shared" si="122"/>
        <v/>
      </c>
    </row>
    <row r="1547" spans="4:7">
      <c r="D1547" s="321"/>
      <c r="E1547" s="320"/>
      <c r="F1547" s="320"/>
      <c r="G1547" s="465" t="str">
        <f t="shared" si="122"/>
        <v/>
      </c>
    </row>
    <row r="1548" spans="4:7">
      <c r="D1548" s="321"/>
      <c r="E1548" s="320"/>
      <c r="F1548" s="320"/>
      <c r="G1548" s="465" t="str">
        <f t="shared" si="122"/>
        <v/>
      </c>
    </row>
    <row r="1549" spans="4:7">
      <c r="D1549" s="321"/>
      <c r="E1549" s="320"/>
      <c r="F1549" s="320"/>
      <c r="G1549" s="465" t="str">
        <f t="shared" si="122"/>
        <v/>
      </c>
    </row>
    <row r="1550" spans="4:7">
      <c r="D1550" s="321"/>
      <c r="E1550" s="320"/>
      <c r="F1550" s="320"/>
      <c r="G1550" s="465" t="str">
        <f t="shared" si="122"/>
        <v/>
      </c>
    </row>
    <row r="1551" spans="4:7">
      <c r="D1551" s="321"/>
      <c r="E1551" s="320"/>
      <c r="F1551" s="320"/>
      <c r="G1551" s="465" t="str">
        <f t="shared" si="122"/>
        <v/>
      </c>
    </row>
    <row r="1552" spans="4:7">
      <c r="D1552" s="321"/>
      <c r="E1552" s="320"/>
      <c r="F1552" s="320"/>
      <c r="G1552" s="465" t="str">
        <f t="shared" si="122"/>
        <v/>
      </c>
    </row>
    <row r="1553" spans="4:7">
      <c r="D1553" s="321"/>
      <c r="E1553" s="320"/>
      <c r="F1553" s="320"/>
      <c r="G1553" s="465" t="str">
        <f t="shared" si="122"/>
        <v/>
      </c>
    </row>
    <row r="1554" spans="4:7">
      <c r="D1554" s="321"/>
      <c r="E1554" s="320"/>
      <c r="F1554" s="320"/>
      <c r="G1554" s="465" t="str">
        <f t="shared" si="122"/>
        <v/>
      </c>
    </row>
    <row r="1555" spans="4:7">
      <c r="D1555" s="321"/>
      <c r="E1555" s="320"/>
      <c r="F1555" s="320"/>
      <c r="G1555" s="465" t="str">
        <f t="shared" si="122"/>
        <v/>
      </c>
    </row>
    <row r="1556" spans="4:7">
      <c r="D1556" s="321"/>
      <c r="E1556" s="320"/>
      <c r="F1556" s="320"/>
      <c r="G1556" s="465" t="str">
        <f t="shared" si="122"/>
        <v/>
      </c>
    </row>
    <row r="1557" spans="4:7">
      <c r="D1557" s="321"/>
      <c r="E1557" s="320"/>
      <c r="F1557" s="320"/>
      <c r="G1557" s="465" t="str">
        <f t="shared" si="122"/>
        <v/>
      </c>
    </row>
    <row r="1558" spans="4:7">
      <c r="D1558" s="321"/>
      <c r="E1558" s="320"/>
      <c r="F1558" s="320"/>
      <c r="G1558" s="465" t="str">
        <f t="shared" si="122"/>
        <v/>
      </c>
    </row>
    <row r="1559" spans="4:7">
      <c r="D1559" s="321"/>
      <c r="E1559" s="320"/>
      <c r="F1559" s="320"/>
      <c r="G1559" s="465" t="str">
        <f t="shared" si="122"/>
        <v/>
      </c>
    </row>
    <row r="1560" spans="4:7">
      <c r="D1560" s="321"/>
      <c r="E1560" s="320"/>
      <c r="F1560" s="320"/>
      <c r="G1560" s="465" t="str">
        <f t="shared" si="122"/>
        <v/>
      </c>
    </row>
    <row r="1561" spans="4:7">
      <c r="D1561" s="321"/>
      <c r="E1561" s="320"/>
      <c r="F1561" s="320"/>
      <c r="G1561" s="465" t="str">
        <f t="shared" si="122"/>
        <v/>
      </c>
    </row>
    <row r="1562" spans="4:7">
      <c r="D1562" s="321"/>
      <c r="E1562" s="320"/>
      <c r="F1562" s="320"/>
      <c r="G1562" s="465" t="str">
        <f t="shared" si="122"/>
        <v/>
      </c>
    </row>
    <row r="1563" spans="4:7">
      <c r="D1563" s="321"/>
      <c r="E1563" s="320"/>
      <c r="F1563" s="320"/>
      <c r="G1563" s="465" t="str">
        <f t="shared" si="122"/>
        <v/>
      </c>
    </row>
    <row r="1564" spans="4:7">
      <c r="D1564" s="321"/>
      <c r="E1564" s="320"/>
      <c r="F1564" s="320"/>
      <c r="G1564" s="465" t="str">
        <f t="shared" si="122"/>
        <v/>
      </c>
    </row>
    <row r="1565" spans="4:7">
      <c r="D1565" s="321"/>
      <c r="E1565" s="320"/>
      <c r="F1565" s="320"/>
      <c r="G1565" s="465" t="str">
        <f t="shared" si="122"/>
        <v/>
      </c>
    </row>
    <row r="1566" spans="4:7">
      <c r="D1566" s="321"/>
      <c r="E1566" s="320"/>
      <c r="F1566" s="320"/>
      <c r="G1566" s="465" t="str">
        <f t="shared" si="122"/>
        <v/>
      </c>
    </row>
    <row r="1567" spans="4:7">
      <c r="D1567" s="321"/>
      <c r="E1567" s="320"/>
      <c r="F1567" s="320"/>
      <c r="G1567" s="465" t="str">
        <f t="shared" si="122"/>
        <v/>
      </c>
    </row>
    <row r="1568" spans="4:7">
      <c r="D1568" s="321"/>
      <c r="E1568" s="320"/>
      <c r="F1568" s="320"/>
      <c r="G1568" s="465" t="str">
        <f t="shared" si="122"/>
        <v/>
      </c>
    </row>
    <row r="1569" spans="4:7">
      <c r="D1569" s="321"/>
      <c r="E1569" s="320"/>
      <c r="F1569" s="320"/>
      <c r="G1569" s="465" t="str">
        <f t="shared" si="122"/>
        <v/>
      </c>
    </row>
    <row r="1570" spans="4:7">
      <c r="D1570" s="321"/>
      <c r="E1570" s="320"/>
      <c r="F1570" s="320"/>
      <c r="G1570" s="465" t="str">
        <f t="shared" si="122"/>
        <v/>
      </c>
    </row>
    <row r="1571" spans="4:7">
      <c r="D1571" s="321"/>
      <c r="E1571" s="320"/>
      <c r="F1571" s="320"/>
      <c r="G1571" s="465" t="str">
        <f t="shared" si="122"/>
        <v/>
      </c>
    </row>
    <row r="1572" spans="4:7">
      <c r="D1572" s="321"/>
      <c r="E1572" s="320"/>
      <c r="F1572" s="320"/>
      <c r="G1572" s="465" t="str">
        <f t="shared" si="122"/>
        <v/>
      </c>
    </row>
    <row r="1573" spans="4:7">
      <c r="D1573" s="321"/>
      <c r="E1573" s="321"/>
      <c r="F1573" s="321"/>
      <c r="G1573" s="465" t="str">
        <f t="shared" si="122"/>
        <v/>
      </c>
    </row>
    <row r="1574" spans="4:7">
      <c r="D1574" s="321"/>
      <c r="E1574" s="321"/>
      <c r="F1574" s="321"/>
      <c r="G1574" s="465" t="str">
        <f t="shared" si="122"/>
        <v/>
      </c>
    </row>
    <row r="1575" spans="4:7">
      <c r="D1575" s="321"/>
      <c r="E1575" s="321"/>
      <c r="F1575" s="321"/>
      <c r="G1575" s="465" t="str">
        <f t="shared" si="122"/>
        <v/>
      </c>
    </row>
    <row r="1576" spans="4:7">
      <c r="D1576" s="321"/>
      <c r="E1576" s="321"/>
      <c r="F1576" s="321"/>
      <c r="G1576" s="465" t="str">
        <f t="shared" si="122"/>
        <v/>
      </c>
    </row>
    <row r="1577" spans="4:7">
      <c r="D1577" s="321"/>
      <c r="E1577" s="321"/>
      <c r="F1577" s="321"/>
      <c r="G1577" s="465" t="str">
        <f t="shared" si="122"/>
        <v/>
      </c>
    </row>
    <row r="1578" spans="4:7">
      <c r="D1578" s="321"/>
      <c r="E1578" s="321"/>
      <c r="F1578" s="321"/>
      <c r="G1578" s="465" t="str">
        <f t="shared" si="122"/>
        <v/>
      </c>
    </row>
    <row r="1579" spans="4:7">
      <c r="D1579" s="321"/>
      <c r="E1579" s="321"/>
      <c r="F1579" s="321"/>
      <c r="G1579" s="465" t="str">
        <f t="shared" si="122"/>
        <v/>
      </c>
    </row>
    <row r="1580" spans="4:7">
      <c r="D1580" s="321"/>
      <c r="E1580" s="321"/>
      <c r="F1580" s="321"/>
      <c r="G1580" s="465" t="str">
        <f t="shared" si="122"/>
        <v/>
      </c>
    </row>
    <row r="1581" spans="4:7">
      <c r="D1581" s="321"/>
      <c r="E1581" s="321"/>
      <c r="F1581" s="321"/>
      <c r="G1581" s="465" t="str">
        <f t="shared" si="122"/>
        <v/>
      </c>
    </row>
    <row r="1582" spans="4:7">
      <c r="D1582" s="321"/>
      <c r="E1582" s="321"/>
      <c r="F1582" s="321"/>
      <c r="G1582" s="465" t="str">
        <f t="shared" si="122"/>
        <v/>
      </c>
    </row>
    <row r="1583" spans="4:7">
      <c r="D1583" s="321"/>
      <c r="E1583" s="321"/>
      <c r="F1583" s="321"/>
      <c r="G1583" s="465" t="str">
        <f t="shared" si="122"/>
        <v/>
      </c>
    </row>
    <row r="1584" spans="4:7">
      <c r="D1584" s="321"/>
      <c r="E1584" s="321"/>
      <c r="F1584" s="321"/>
      <c r="G1584" s="465" t="str">
        <f t="shared" si="122"/>
        <v/>
      </c>
    </row>
    <row r="1585" spans="4:7">
      <c r="D1585" s="321"/>
      <c r="E1585" s="321"/>
      <c r="F1585" s="321"/>
      <c r="G1585" s="465" t="str">
        <f t="shared" si="122"/>
        <v/>
      </c>
    </row>
    <row r="1586" spans="4:7">
      <c r="D1586" s="321"/>
      <c r="E1586" s="321"/>
      <c r="F1586" s="321"/>
      <c r="G1586" s="465" t="str">
        <f t="shared" si="122"/>
        <v/>
      </c>
    </row>
    <row r="1587" spans="4:7">
      <c r="D1587" s="321"/>
      <c r="E1587" s="321"/>
      <c r="F1587" s="321"/>
      <c r="G1587" s="465" t="str">
        <f t="shared" si="122"/>
        <v/>
      </c>
    </row>
    <row r="1588" spans="4:7">
      <c r="D1588" s="321"/>
      <c r="E1588" s="321"/>
      <c r="F1588" s="321"/>
      <c r="G1588" s="465" t="str">
        <f t="shared" si="122"/>
        <v/>
      </c>
    </row>
    <row r="1589" spans="4:7">
      <c r="D1589" s="321"/>
      <c r="E1589" s="321"/>
      <c r="F1589" s="321"/>
      <c r="G1589" s="465" t="str">
        <f t="shared" si="122"/>
        <v/>
      </c>
    </row>
    <row r="1590" spans="4:7">
      <c r="D1590" s="321"/>
      <c r="E1590" s="321"/>
      <c r="F1590" s="321"/>
      <c r="G1590" s="465" t="str">
        <f t="shared" si="122"/>
        <v/>
      </c>
    </row>
    <row r="1591" spans="4:7">
      <c r="D1591" s="321"/>
      <c r="E1591" s="321"/>
      <c r="F1591" s="321"/>
      <c r="G1591" s="465" t="str">
        <f t="shared" si="122"/>
        <v/>
      </c>
    </row>
    <row r="1592" spans="4:7">
      <c r="D1592" s="321"/>
      <c r="E1592" s="321"/>
      <c r="F1592" s="321"/>
      <c r="G1592" s="465" t="str">
        <f t="shared" si="122"/>
        <v/>
      </c>
    </row>
    <row r="1593" spans="4:7">
      <c r="D1593" s="321"/>
      <c r="E1593" s="321"/>
      <c r="F1593" s="321"/>
      <c r="G1593" s="465" t="str">
        <f t="shared" si="122"/>
        <v/>
      </c>
    </row>
    <row r="1594" spans="4:7">
      <c r="D1594" s="321"/>
      <c r="E1594" s="321"/>
      <c r="F1594" s="321"/>
      <c r="G1594" s="465" t="str">
        <f t="shared" si="122"/>
        <v/>
      </c>
    </row>
    <row r="1595" spans="4:7">
      <c r="D1595" s="321"/>
      <c r="E1595" s="321"/>
      <c r="F1595" s="321"/>
      <c r="G1595" s="465" t="str">
        <f t="shared" si="122"/>
        <v/>
      </c>
    </row>
    <row r="1596" spans="4:7">
      <c r="D1596" s="321"/>
      <c r="E1596" s="321"/>
      <c r="F1596" s="321"/>
      <c r="G1596" s="465" t="str">
        <f t="shared" si="122"/>
        <v/>
      </c>
    </row>
    <row r="1597" spans="4:7">
      <c r="D1597" s="321"/>
      <c r="E1597" s="321"/>
      <c r="F1597" s="321"/>
      <c r="G1597" s="465" t="str">
        <f t="shared" si="122"/>
        <v/>
      </c>
    </row>
    <row r="1598" spans="4:7">
      <c r="D1598" s="321"/>
      <c r="E1598" s="321"/>
      <c r="F1598" s="321"/>
      <c r="G1598" s="465" t="str">
        <f t="shared" si="122"/>
        <v/>
      </c>
    </row>
    <row r="1599" spans="4:7">
      <c r="D1599" s="321"/>
      <c r="E1599" s="321"/>
      <c r="F1599" s="321"/>
      <c r="G1599" s="465" t="str">
        <f t="shared" si="122"/>
        <v/>
      </c>
    </row>
    <row r="1600" spans="4:7">
      <c r="D1600" s="321"/>
      <c r="E1600" s="321"/>
      <c r="F1600" s="321"/>
      <c r="G1600" s="465" t="str">
        <f t="shared" si="122"/>
        <v/>
      </c>
    </row>
    <row r="1601" spans="4:7">
      <c r="D1601" s="321"/>
      <c r="E1601" s="321"/>
      <c r="F1601" s="321"/>
      <c r="G1601" s="465" t="str">
        <f t="shared" si="122"/>
        <v/>
      </c>
    </row>
    <row r="1602" spans="4:7">
      <c r="D1602" s="321"/>
      <c r="E1602" s="321"/>
      <c r="F1602" s="321"/>
      <c r="G1602" s="465" t="str">
        <f t="shared" si="122"/>
        <v/>
      </c>
    </row>
    <row r="1603" spans="4:7">
      <c r="D1603" s="321"/>
      <c r="E1603" s="321"/>
      <c r="F1603" s="321"/>
      <c r="G1603" s="465" t="str">
        <f t="shared" si="122"/>
        <v/>
      </c>
    </row>
    <row r="1604" spans="4:7">
      <c r="D1604" s="321"/>
      <c r="E1604" s="321"/>
      <c r="F1604" s="321"/>
      <c r="G1604" s="465" t="str">
        <f t="shared" si="122"/>
        <v/>
      </c>
    </row>
    <row r="1605" spans="4:7">
      <c r="D1605" s="321"/>
      <c r="E1605" s="321"/>
      <c r="F1605" s="321"/>
      <c r="G1605" s="465" t="str">
        <f t="shared" si="122"/>
        <v/>
      </c>
    </row>
    <row r="1606" spans="4:7">
      <c r="D1606" s="321"/>
      <c r="E1606" s="321"/>
      <c r="F1606" s="321"/>
      <c r="G1606" s="465" t="str">
        <f t="shared" ref="G1606:G1669" si="123">IF(OR(AND(D1606="",E1606=""),AND(D1606="",F1606="")),"",IF(AND(D1606&lt;&gt;"",E1606&lt;&gt;"",F1606&lt;&gt;""),"REVISAR CÁLCULO",IF(AND(D1606&lt;&gt;"",F1606&lt;&gt;""),ROUND(((F1606-D1606)/30),3),IF(AND(D1606&lt;&gt;"",E1606&lt;&gt;""),ROUND(((E1606-D1606+1)/30),3),""))))</f>
        <v/>
      </c>
    </row>
    <row r="1607" spans="4:7">
      <c r="D1607" s="321"/>
      <c r="E1607" s="321"/>
      <c r="F1607" s="321"/>
      <c r="G1607" s="465" t="str">
        <f t="shared" si="123"/>
        <v/>
      </c>
    </row>
    <row r="1608" spans="4:7">
      <c r="D1608" s="321"/>
      <c r="E1608" s="321"/>
      <c r="F1608" s="321"/>
      <c r="G1608" s="465" t="str">
        <f t="shared" si="123"/>
        <v/>
      </c>
    </row>
    <row r="1609" spans="4:7">
      <c r="D1609" s="321"/>
      <c r="E1609" s="321"/>
      <c r="F1609" s="321"/>
      <c r="G1609" s="465" t="str">
        <f t="shared" si="123"/>
        <v/>
      </c>
    </row>
    <row r="1610" spans="4:7">
      <c r="D1610" s="321"/>
      <c r="E1610" s="321"/>
      <c r="F1610" s="321"/>
      <c r="G1610" s="465" t="str">
        <f t="shared" si="123"/>
        <v/>
      </c>
    </row>
    <row r="1611" spans="4:7">
      <c r="D1611" s="321"/>
      <c r="E1611" s="321"/>
      <c r="F1611" s="321"/>
      <c r="G1611" s="465" t="str">
        <f t="shared" si="123"/>
        <v/>
      </c>
    </row>
    <row r="1612" spans="4:7">
      <c r="D1612" s="321"/>
      <c r="E1612" s="321"/>
      <c r="F1612" s="321"/>
      <c r="G1612" s="465" t="str">
        <f t="shared" si="123"/>
        <v/>
      </c>
    </row>
    <row r="1613" spans="4:7">
      <c r="D1613" s="321"/>
      <c r="E1613" s="321"/>
      <c r="F1613" s="321"/>
      <c r="G1613" s="465" t="str">
        <f t="shared" si="123"/>
        <v/>
      </c>
    </row>
    <row r="1614" spans="4:7">
      <c r="D1614" s="321"/>
      <c r="E1614" s="321"/>
      <c r="F1614" s="321"/>
      <c r="G1614" s="465" t="str">
        <f t="shared" si="123"/>
        <v/>
      </c>
    </row>
    <row r="1615" spans="4:7">
      <c r="D1615" s="321"/>
      <c r="E1615" s="321"/>
      <c r="F1615" s="321"/>
      <c r="G1615" s="465" t="str">
        <f t="shared" si="123"/>
        <v/>
      </c>
    </row>
    <row r="1616" spans="4:7">
      <c r="D1616" s="321"/>
      <c r="E1616" s="321"/>
      <c r="F1616" s="321"/>
      <c r="G1616" s="465" t="str">
        <f t="shared" si="123"/>
        <v/>
      </c>
    </row>
    <row r="1617" spans="4:7">
      <c r="D1617" s="321"/>
      <c r="E1617" s="321"/>
      <c r="F1617" s="321"/>
      <c r="G1617" s="465" t="str">
        <f t="shared" si="123"/>
        <v/>
      </c>
    </row>
    <row r="1618" spans="4:7">
      <c r="D1618" s="321"/>
      <c r="E1618" s="321"/>
      <c r="F1618" s="321"/>
      <c r="G1618" s="465" t="str">
        <f t="shared" si="123"/>
        <v/>
      </c>
    </row>
    <row r="1619" spans="4:7">
      <c r="D1619" s="321"/>
      <c r="E1619" s="321"/>
      <c r="F1619" s="321"/>
      <c r="G1619" s="465" t="str">
        <f t="shared" si="123"/>
        <v/>
      </c>
    </row>
    <row r="1620" spans="4:7">
      <c r="D1620" s="321"/>
      <c r="E1620" s="321"/>
      <c r="F1620" s="321"/>
      <c r="G1620" s="465" t="str">
        <f t="shared" si="123"/>
        <v/>
      </c>
    </row>
    <row r="1621" spans="4:7">
      <c r="D1621" s="321"/>
      <c r="E1621" s="321"/>
      <c r="F1621" s="321"/>
      <c r="G1621" s="465" t="str">
        <f t="shared" si="123"/>
        <v/>
      </c>
    </row>
    <row r="1622" spans="4:7">
      <c r="D1622" s="321"/>
      <c r="E1622" s="321"/>
      <c r="F1622" s="321"/>
      <c r="G1622" s="465" t="str">
        <f t="shared" si="123"/>
        <v/>
      </c>
    </row>
    <row r="1623" spans="4:7">
      <c r="D1623" s="321"/>
      <c r="E1623" s="321"/>
      <c r="F1623" s="321"/>
      <c r="G1623" s="465" t="str">
        <f t="shared" si="123"/>
        <v/>
      </c>
    </row>
    <row r="1624" spans="4:7">
      <c r="D1624" s="321"/>
      <c r="E1624" s="321"/>
      <c r="F1624" s="321"/>
      <c r="G1624" s="465" t="str">
        <f t="shared" si="123"/>
        <v/>
      </c>
    </row>
    <row r="1625" spans="4:7">
      <c r="D1625" s="321"/>
      <c r="E1625" s="321"/>
      <c r="F1625" s="321"/>
      <c r="G1625" s="465" t="str">
        <f t="shared" si="123"/>
        <v/>
      </c>
    </row>
    <row r="1626" spans="4:7">
      <c r="D1626" s="321"/>
      <c r="E1626" s="321"/>
      <c r="F1626" s="321"/>
      <c r="G1626" s="465" t="str">
        <f t="shared" si="123"/>
        <v/>
      </c>
    </row>
    <row r="1627" spans="4:7">
      <c r="D1627" s="321"/>
      <c r="E1627" s="321"/>
      <c r="F1627" s="321"/>
      <c r="G1627" s="465" t="str">
        <f t="shared" si="123"/>
        <v/>
      </c>
    </row>
    <row r="1628" spans="4:7">
      <c r="D1628" s="321"/>
      <c r="E1628" s="321"/>
      <c r="F1628" s="321"/>
      <c r="G1628" s="465" t="str">
        <f t="shared" si="123"/>
        <v/>
      </c>
    </row>
    <row r="1629" spans="4:7">
      <c r="D1629" s="321"/>
      <c r="E1629" s="321"/>
      <c r="F1629" s="321"/>
      <c r="G1629" s="465" t="str">
        <f t="shared" si="123"/>
        <v/>
      </c>
    </row>
    <row r="1630" spans="4:7">
      <c r="D1630" s="321"/>
      <c r="E1630" s="321"/>
      <c r="F1630" s="321"/>
      <c r="G1630" s="465" t="str">
        <f t="shared" si="123"/>
        <v/>
      </c>
    </row>
    <row r="1631" spans="4:7">
      <c r="D1631" s="321"/>
      <c r="E1631" s="321"/>
      <c r="F1631" s="321"/>
      <c r="G1631" s="465" t="str">
        <f t="shared" si="123"/>
        <v/>
      </c>
    </row>
    <row r="1632" spans="4:7">
      <c r="D1632" s="321"/>
      <c r="E1632" s="321"/>
      <c r="F1632" s="321"/>
      <c r="G1632" s="465" t="str">
        <f t="shared" si="123"/>
        <v/>
      </c>
    </row>
    <row r="1633" spans="4:7">
      <c r="D1633" s="321"/>
      <c r="E1633" s="321"/>
      <c r="F1633" s="321"/>
      <c r="G1633" s="465" t="str">
        <f t="shared" si="123"/>
        <v/>
      </c>
    </row>
    <row r="1634" spans="4:7">
      <c r="D1634" s="321"/>
      <c r="E1634" s="321"/>
      <c r="F1634" s="321"/>
      <c r="G1634" s="465" t="str">
        <f t="shared" si="123"/>
        <v/>
      </c>
    </row>
    <row r="1635" spans="4:7">
      <c r="D1635" s="321"/>
      <c r="E1635" s="321"/>
      <c r="F1635" s="321"/>
      <c r="G1635" s="465" t="str">
        <f t="shared" si="123"/>
        <v/>
      </c>
    </row>
    <row r="1636" spans="4:7">
      <c r="D1636" s="321"/>
      <c r="E1636" s="321"/>
      <c r="F1636" s="321"/>
      <c r="G1636" s="465" t="str">
        <f t="shared" si="123"/>
        <v/>
      </c>
    </row>
    <row r="1637" spans="4:7">
      <c r="D1637" s="321"/>
      <c r="E1637" s="321"/>
      <c r="F1637" s="321"/>
      <c r="G1637" s="465" t="str">
        <f t="shared" si="123"/>
        <v/>
      </c>
    </row>
    <row r="1638" spans="4:7">
      <c r="D1638" s="321"/>
      <c r="E1638" s="321"/>
      <c r="F1638" s="321"/>
      <c r="G1638" s="465" t="str">
        <f t="shared" si="123"/>
        <v/>
      </c>
    </row>
    <row r="1639" spans="4:7">
      <c r="D1639" s="321"/>
      <c r="E1639" s="321"/>
      <c r="F1639" s="321"/>
      <c r="G1639" s="465" t="str">
        <f t="shared" si="123"/>
        <v/>
      </c>
    </row>
    <row r="1640" spans="4:7">
      <c r="D1640" s="321"/>
      <c r="E1640" s="321"/>
      <c r="F1640" s="321"/>
      <c r="G1640" s="465" t="str">
        <f t="shared" si="123"/>
        <v/>
      </c>
    </row>
    <row r="1641" spans="4:7">
      <c r="D1641" s="321"/>
      <c r="E1641" s="321"/>
      <c r="F1641" s="321"/>
      <c r="G1641" s="465" t="str">
        <f t="shared" si="123"/>
        <v/>
      </c>
    </row>
    <row r="1642" spans="4:7">
      <c r="D1642" s="321"/>
      <c r="E1642" s="321"/>
      <c r="F1642" s="321"/>
      <c r="G1642" s="465" t="str">
        <f t="shared" si="123"/>
        <v/>
      </c>
    </row>
    <row r="1643" spans="4:7">
      <c r="D1643" s="321"/>
      <c r="E1643" s="321"/>
      <c r="F1643" s="321"/>
      <c r="G1643" s="465" t="str">
        <f t="shared" si="123"/>
        <v/>
      </c>
    </row>
    <row r="1644" spans="4:7">
      <c r="D1644" s="321"/>
      <c r="E1644" s="321"/>
      <c r="F1644" s="321"/>
      <c r="G1644" s="465" t="str">
        <f t="shared" si="123"/>
        <v/>
      </c>
    </row>
    <row r="1645" spans="4:7">
      <c r="D1645" s="321"/>
      <c r="E1645" s="321"/>
      <c r="F1645" s="321"/>
      <c r="G1645" s="465" t="str">
        <f t="shared" si="123"/>
        <v/>
      </c>
    </row>
    <row r="1646" spans="4:7">
      <c r="D1646" s="321"/>
      <c r="E1646" s="321"/>
      <c r="F1646" s="321"/>
      <c r="G1646" s="465" t="str">
        <f t="shared" si="123"/>
        <v/>
      </c>
    </row>
    <row r="1647" spans="4:7">
      <c r="D1647" s="321"/>
      <c r="E1647" s="321"/>
      <c r="F1647" s="321"/>
      <c r="G1647" s="465" t="str">
        <f t="shared" si="123"/>
        <v/>
      </c>
    </row>
    <row r="1648" spans="4:7">
      <c r="D1648" s="321"/>
      <c r="E1648" s="321"/>
      <c r="F1648" s="321"/>
      <c r="G1648" s="465" t="str">
        <f t="shared" si="123"/>
        <v/>
      </c>
    </row>
    <row r="1649" spans="4:7">
      <c r="D1649" s="321"/>
      <c r="E1649" s="321"/>
      <c r="F1649" s="321"/>
      <c r="G1649" s="465" t="str">
        <f t="shared" si="123"/>
        <v/>
      </c>
    </row>
    <row r="1650" spans="4:7">
      <c r="D1650" s="321"/>
      <c r="E1650" s="321"/>
      <c r="F1650" s="321"/>
      <c r="G1650" s="465" t="str">
        <f t="shared" si="123"/>
        <v/>
      </c>
    </row>
    <row r="1651" spans="4:7">
      <c r="D1651" s="321"/>
      <c r="E1651" s="321"/>
      <c r="F1651" s="321"/>
      <c r="G1651" s="465" t="str">
        <f t="shared" si="123"/>
        <v/>
      </c>
    </row>
    <row r="1652" spans="4:7">
      <c r="D1652" s="321"/>
      <c r="E1652" s="321"/>
      <c r="F1652" s="321"/>
      <c r="G1652" s="465" t="str">
        <f t="shared" si="123"/>
        <v/>
      </c>
    </row>
    <row r="1653" spans="4:7">
      <c r="D1653" s="321"/>
      <c r="E1653" s="321"/>
      <c r="F1653" s="321"/>
      <c r="G1653" s="465" t="str">
        <f t="shared" si="123"/>
        <v/>
      </c>
    </row>
    <row r="1654" spans="4:7">
      <c r="D1654" s="321"/>
      <c r="E1654" s="321"/>
      <c r="F1654" s="321"/>
      <c r="G1654" s="465" t="str">
        <f t="shared" si="123"/>
        <v/>
      </c>
    </row>
    <row r="1655" spans="4:7">
      <c r="D1655" s="321"/>
      <c r="E1655" s="321"/>
      <c r="F1655" s="321"/>
      <c r="G1655" s="465" t="str">
        <f t="shared" si="123"/>
        <v/>
      </c>
    </row>
    <row r="1656" spans="4:7">
      <c r="D1656" s="321"/>
      <c r="E1656" s="321"/>
      <c r="F1656" s="321"/>
      <c r="G1656" s="465" t="str">
        <f t="shared" si="123"/>
        <v/>
      </c>
    </row>
    <row r="1657" spans="4:7">
      <c r="D1657" s="321"/>
      <c r="E1657" s="321"/>
      <c r="F1657" s="321"/>
      <c r="G1657" s="465" t="str">
        <f t="shared" si="123"/>
        <v/>
      </c>
    </row>
    <row r="1658" spans="4:7">
      <c r="D1658" s="321"/>
      <c r="E1658" s="321"/>
      <c r="F1658" s="321"/>
      <c r="G1658" s="465" t="str">
        <f t="shared" si="123"/>
        <v/>
      </c>
    </row>
    <row r="1659" spans="4:7">
      <c r="D1659" s="321"/>
      <c r="E1659" s="321"/>
      <c r="F1659" s="321"/>
      <c r="G1659" s="465" t="str">
        <f t="shared" si="123"/>
        <v/>
      </c>
    </row>
    <row r="1660" spans="4:7">
      <c r="D1660" s="321"/>
      <c r="E1660" s="321"/>
      <c r="F1660" s="321"/>
      <c r="G1660" s="465" t="str">
        <f t="shared" si="123"/>
        <v/>
      </c>
    </row>
    <row r="1661" spans="4:7">
      <c r="D1661" s="321"/>
      <c r="E1661" s="321"/>
      <c r="F1661" s="321"/>
      <c r="G1661" s="465" t="str">
        <f t="shared" si="123"/>
        <v/>
      </c>
    </row>
    <row r="1662" spans="4:7">
      <c r="D1662" s="321"/>
      <c r="E1662" s="321"/>
      <c r="F1662" s="321"/>
      <c r="G1662" s="465" t="str">
        <f t="shared" si="123"/>
        <v/>
      </c>
    </row>
    <row r="1663" spans="4:7">
      <c r="D1663" s="321"/>
      <c r="E1663" s="321"/>
      <c r="F1663" s="321"/>
      <c r="G1663" s="465" t="str">
        <f t="shared" si="123"/>
        <v/>
      </c>
    </row>
    <row r="1664" spans="4:7">
      <c r="D1664" s="321"/>
      <c r="E1664" s="321"/>
      <c r="F1664" s="321"/>
      <c r="G1664" s="465" t="str">
        <f t="shared" si="123"/>
        <v/>
      </c>
    </row>
    <row r="1665" spans="4:7">
      <c r="D1665" s="321"/>
      <c r="E1665" s="321"/>
      <c r="F1665" s="321"/>
      <c r="G1665" s="465" t="str">
        <f t="shared" si="123"/>
        <v/>
      </c>
    </row>
    <row r="1666" spans="4:7">
      <c r="D1666" s="321"/>
      <c r="E1666" s="321"/>
      <c r="F1666" s="321"/>
      <c r="G1666" s="465" t="str">
        <f t="shared" si="123"/>
        <v/>
      </c>
    </row>
    <row r="1667" spans="4:7">
      <c r="D1667" s="321"/>
      <c r="E1667" s="321"/>
      <c r="F1667" s="321"/>
      <c r="G1667" s="465" t="str">
        <f t="shared" si="123"/>
        <v/>
      </c>
    </row>
    <row r="1668" spans="4:7">
      <c r="D1668" s="321"/>
      <c r="E1668" s="321"/>
      <c r="F1668" s="321"/>
      <c r="G1668" s="465" t="str">
        <f t="shared" si="123"/>
        <v/>
      </c>
    </row>
    <row r="1669" spans="4:7">
      <c r="D1669" s="321"/>
      <c r="E1669" s="321"/>
      <c r="F1669" s="321"/>
      <c r="G1669" s="465" t="str">
        <f t="shared" si="123"/>
        <v/>
      </c>
    </row>
    <row r="1670" spans="4:7">
      <c r="D1670" s="321"/>
      <c r="E1670" s="321"/>
      <c r="F1670" s="321"/>
      <c r="G1670" s="465" t="str">
        <f t="shared" ref="G1670:G1733" si="124">IF(OR(AND(D1670="",E1670=""),AND(D1670="",F1670="")),"",IF(AND(D1670&lt;&gt;"",E1670&lt;&gt;"",F1670&lt;&gt;""),"REVISAR CÁLCULO",IF(AND(D1670&lt;&gt;"",F1670&lt;&gt;""),ROUND(((F1670-D1670)/30),3),IF(AND(D1670&lt;&gt;"",E1670&lt;&gt;""),ROUND(((E1670-D1670+1)/30),3),""))))</f>
        <v/>
      </c>
    </row>
    <row r="1671" spans="4:7">
      <c r="D1671" s="321"/>
      <c r="E1671" s="321"/>
      <c r="F1671" s="321"/>
      <c r="G1671" s="465" t="str">
        <f t="shared" si="124"/>
        <v/>
      </c>
    </row>
    <row r="1672" spans="4:7">
      <c r="D1672" s="321"/>
      <c r="E1672" s="321"/>
      <c r="F1672" s="321"/>
      <c r="G1672" s="465" t="str">
        <f t="shared" si="124"/>
        <v/>
      </c>
    </row>
    <row r="1673" spans="4:7">
      <c r="D1673" s="321"/>
      <c r="E1673" s="321"/>
      <c r="F1673" s="321"/>
      <c r="G1673" s="465" t="str">
        <f t="shared" si="124"/>
        <v/>
      </c>
    </row>
    <row r="1674" spans="4:7">
      <c r="D1674" s="321"/>
      <c r="E1674" s="321"/>
      <c r="F1674" s="321"/>
      <c r="G1674" s="465" t="str">
        <f t="shared" si="124"/>
        <v/>
      </c>
    </row>
    <row r="1675" spans="4:7">
      <c r="D1675" s="321"/>
      <c r="E1675" s="321"/>
      <c r="F1675" s="321"/>
      <c r="G1675" s="465" t="str">
        <f t="shared" si="124"/>
        <v/>
      </c>
    </row>
    <row r="1676" spans="4:7">
      <c r="D1676" s="321"/>
      <c r="E1676" s="321"/>
      <c r="F1676" s="321"/>
      <c r="G1676" s="465" t="str">
        <f t="shared" si="124"/>
        <v/>
      </c>
    </row>
    <row r="1677" spans="4:7">
      <c r="D1677" s="321"/>
      <c r="E1677" s="321"/>
      <c r="F1677" s="321"/>
      <c r="G1677" s="465" t="str">
        <f t="shared" si="124"/>
        <v/>
      </c>
    </row>
    <row r="1678" spans="4:7">
      <c r="D1678" s="321"/>
      <c r="E1678" s="321"/>
      <c r="F1678" s="321"/>
      <c r="G1678" s="465" t="str">
        <f t="shared" si="124"/>
        <v/>
      </c>
    </row>
    <row r="1679" spans="4:7">
      <c r="D1679" s="321"/>
      <c r="E1679" s="321"/>
      <c r="F1679" s="321"/>
      <c r="G1679" s="465" t="str">
        <f t="shared" si="124"/>
        <v/>
      </c>
    </row>
    <row r="1680" spans="4:7">
      <c r="D1680" s="321"/>
      <c r="E1680" s="321"/>
      <c r="F1680" s="321"/>
      <c r="G1680" s="465" t="str">
        <f t="shared" si="124"/>
        <v/>
      </c>
    </row>
    <row r="1681" spans="4:7">
      <c r="D1681" s="321"/>
      <c r="E1681" s="321"/>
      <c r="F1681" s="321"/>
      <c r="G1681" s="465" t="str">
        <f t="shared" si="124"/>
        <v/>
      </c>
    </row>
    <row r="1682" spans="4:7">
      <c r="D1682" s="321"/>
      <c r="E1682" s="321"/>
      <c r="F1682" s="321"/>
      <c r="G1682" s="465" t="str">
        <f t="shared" si="124"/>
        <v/>
      </c>
    </row>
    <row r="1683" spans="4:7">
      <c r="D1683" s="321"/>
      <c r="E1683" s="321"/>
      <c r="F1683" s="321"/>
      <c r="G1683" s="465" t="str">
        <f t="shared" si="124"/>
        <v/>
      </c>
    </row>
    <row r="1684" spans="4:7">
      <c r="D1684" s="321"/>
      <c r="E1684" s="321"/>
      <c r="F1684" s="321"/>
      <c r="G1684" s="465" t="str">
        <f t="shared" si="124"/>
        <v/>
      </c>
    </row>
    <row r="1685" spans="4:7">
      <c r="D1685" s="321"/>
      <c r="E1685" s="321"/>
      <c r="F1685" s="321"/>
      <c r="G1685" s="465" t="str">
        <f t="shared" si="124"/>
        <v/>
      </c>
    </row>
    <row r="1686" spans="4:7">
      <c r="D1686" s="321"/>
      <c r="E1686" s="321"/>
      <c r="F1686" s="321"/>
      <c r="G1686" s="465" t="str">
        <f t="shared" si="124"/>
        <v/>
      </c>
    </row>
    <row r="1687" spans="4:7">
      <c r="D1687" s="321"/>
      <c r="E1687" s="321"/>
      <c r="F1687" s="321"/>
      <c r="G1687" s="465" t="str">
        <f t="shared" si="124"/>
        <v/>
      </c>
    </row>
    <row r="1688" spans="4:7">
      <c r="D1688" s="321"/>
      <c r="E1688" s="321"/>
      <c r="F1688" s="321"/>
      <c r="G1688" s="465" t="str">
        <f t="shared" si="124"/>
        <v/>
      </c>
    </row>
    <row r="1689" spans="4:7">
      <c r="D1689" s="321"/>
      <c r="E1689" s="321"/>
      <c r="F1689" s="321"/>
      <c r="G1689" s="465" t="str">
        <f t="shared" si="124"/>
        <v/>
      </c>
    </row>
    <row r="1690" spans="4:7">
      <c r="D1690" s="321"/>
      <c r="E1690" s="321"/>
      <c r="F1690" s="321"/>
      <c r="G1690" s="465" t="str">
        <f t="shared" si="124"/>
        <v/>
      </c>
    </row>
    <row r="1691" spans="4:7">
      <c r="D1691" s="321"/>
      <c r="E1691" s="321"/>
      <c r="F1691" s="321"/>
      <c r="G1691" s="465" t="str">
        <f t="shared" si="124"/>
        <v/>
      </c>
    </row>
    <row r="1692" spans="4:7">
      <c r="D1692" s="321"/>
      <c r="E1692" s="321"/>
      <c r="F1692" s="321"/>
      <c r="G1692" s="465" t="str">
        <f t="shared" si="124"/>
        <v/>
      </c>
    </row>
    <row r="1693" spans="4:7">
      <c r="D1693" s="321"/>
      <c r="E1693" s="321"/>
      <c r="F1693" s="321"/>
      <c r="G1693" s="465" t="str">
        <f t="shared" si="124"/>
        <v/>
      </c>
    </row>
    <row r="1694" spans="4:7">
      <c r="D1694" s="321"/>
      <c r="E1694" s="321"/>
      <c r="F1694" s="321"/>
      <c r="G1694" s="465" t="str">
        <f t="shared" si="124"/>
        <v/>
      </c>
    </row>
    <row r="1695" spans="4:7">
      <c r="D1695" s="321"/>
      <c r="E1695" s="321"/>
      <c r="F1695" s="321"/>
      <c r="G1695" s="465" t="str">
        <f t="shared" si="124"/>
        <v/>
      </c>
    </row>
    <row r="1696" spans="4:7">
      <c r="D1696" s="321"/>
      <c r="E1696" s="321"/>
      <c r="F1696" s="321"/>
      <c r="G1696" s="465" t="str">
        <f t="shared" si="124"/>
        <v/>
      </c>
    </row>
    <row r="1697" spans="4:7">
      <c r="D1697" s="321"/>
      <c r="E1697" s="321"/>
      <c r="F1697" s="321"/>
      <c r="G1697" s="465" t="str">
        <f t="shared" si="124"/>
        <v/>
      </c>
    </row>
    <row r="1698" spans="4:7">
      <c r="D1698" s="321"/>
      <c r="E1698" s="321"/>
      <c r="F1698" s="321"/>
      <c r="G1698" s="465" t="str">
        <f t="shared" si="124"/>
        <v/>
      </c>
    </row>
    <row r="1699" spans="4:7">
      <c r="D1699" s="321"/>
      <c r="E1699" s="321"/>
      <c r="F1699" s="321"/>
      <c r="G1699" s="465" t="str">
        <f t="shared" si="124"/>
        <v/>
      </c>
    </row>
    <row r="1700" spans="4:7">
      <c r="D1700" s="321"/>
      <c r="E1700" s="321"/>
      <c r="F1700" s="321"/>
      <c r="G1700" s="465" t="str">
        <f t="shared" si="124"/>
        <v/>
      </c>
    </row>
    <row r="1701" spans="4:7">
      <c r="D1701" s="321"/>
      <c r="E1701" s="321"/>
      <c r="F1701" s="321"/>
      <c r="G1701" s="465" t="str">
        <f t="shared" si="124"/>
        <v/>
      </c>
    </row>
    <row r="1702" spans="4:7">
      <c r="D1702" s="321"/>
      <c r="E1702" s="321"/>
      <c r="F1702" s="321"/>
      <c r="G1702" s="465" t="str">
        <f t="shared" si="124"/>
        <v/>
      </c>
    </row>
    <row r="1703" spans="4:7">
      <c r="D1703" s="321"/>
      <c r="E1703" s="321"/>
      <c r="F1703" s="321"/>
      <c r="G1703" s="465" t="str">
        <f t="shared" si="124"/>
        <v/>
      </c>
    </row>
    <row r="1704" spans="4:7">
      <c r="D1704" s="321"/>
      <c r="E1704" s="321"/>
      <c r="F1704" s="321"/>
      <c r="G1704" s="465" t="str">
        <f t="shared" si="124"/>
        <v/>
      </c>
    </row>
    <row r="1705" spans="4:7">
      <c r="D1705" s="321"/>
      <c r="E1705" s="321"/>
      <c r="F1705" s="321"/>
      <c r="G1705" s="465" t="str">
        <f t="shared" si="124"/>
        <v/>
      </c>
    </row>
    <row r="1706" spans="4:7">
      <c r="D1706" s="321"/>
      <c r="E1706" s="321"/>
      <c r="F1706" s="321"/>
      <c r="G1706" s="465" t="str">
        <f t="shared" si="124"/>
        <v/>
      </c>
    </row>
    <row r="1707" spans="4:7">
      <c r="D1707" s="321"/>
      <c r="E1707" s="321"/>
      <c r="F1707" s="321"/>
      <c r="G1707" s="465" t="str">
        <f t="shared" si="124"/>
        <v/>
      </c>
    </row>
    <row r="1708" spans="4:7">
      <c r="D1708" s="321"/>
      <c r="E1708" s="321"/>
      <c r="F1708" s="321"/>
      <c r="G1708" s="465" t="str">
        <f t="shared" si="124"/>
        <v/>
      </c>
    </row>
    <row r="1709" spans="4:7">
      <c r="D1709" s="321"/>
      <c r="E1709" s="321"/>
      <c r="F1709" s="321"/>
      <c r="G1709" s="465" t="str">
        <f t="shared" si="124"/>
        <v/>
      </c>
    </row>
    <row r="1710" spans="4:7">
      <c r="D1710" s="321"/>
      <c r="E1710" s="321"/>
      <c r="F1710" s="321"/>
      <c r="G1710" s="465" t="str">
        <f t="shared" si="124"/>
        <v/>
      </c>
    </row>
    <row r="1711" spans="4:7">
      <c r="D1711" s="321"/>
      <c r="E1711" s="321"/>
      <c r="F1711" s="321"/>
      <c r="G1711" s="465" t="str">
        <f t="shared" si="124"/>
        <v/>
      </c>
    </row>
    <row r="1712" spans="4:7">
      <c r="D1712" s="321"/>
      <c r="E1712" s="321"/>
      <c r="F1712" s="321"/>
      <c r="G1712" s="465" t="str">
        <f t="shared" si="124"/>
        <v/>
      </c>
    </row>
    <row r="1713" spans="4:7">
      <c r="D1713" s="321"/>
      <c r="E1713" s="321"/>
      <c r="F1713" s="321"/>
      <c r="G1713" s="465" t="str">
        <f t="shared" si="124"/>
        <v/>
      </c>
    </row>
    <row r="1714" spans="4:7">
      <c r="D1714" s="321"/>
      <c r="E1714" s="321"/>
      <c r="F1714" s="321"/>
      <c r="G1714" s="465" t="str">
        <f t="shared" si="124"/>
        <v/>
      </c>
    </row>
    <row r="1715" spans="4:7">
      <c r="D1715" s="321"/>
      <c r="E1715" s="321"/>
      <c r="F1715" s="321"/>
      <c r="G1715" s="465" t="str">
        <f t="shared" si="124"/>
        <v/>
      </c>
    </row>
    <row r="1716" spans="4:7">
      <c r="D1716" s="321"/>
      <c r="E1716" s="321"/>
      <c r="F1716" s="321"/>
      <c r="G1716" s="465" t="str">
        <f t="shared" si="124"/>
        <v/>
      </c>
    </row>
    <row r="1717" spans="4:7">
      <c r="D1717" s="321"/>
      <c r="E1717" s="321"/>
      <c r="F1717" s="321"/>
      <c r="G1717" s="465" t="str">
        <f t="shared" si="124"/>
        <v/>
      </c>
    </row>
    <row r="1718" spans="4:7">
      <c r="D1718" s="321"/>
      <c r="E1718" s="321"/>
      <c r="F1718" s="321"/>
      <c r="G1718" s="465" t="str">
        <f t="shared" si="124"/>
        <v/>
      </c>
    </row>
    <row r="1719" spans="4:7">
      <c r="D1719" s="321"/>
      <c r="E1719" s="321"/>
      <c r="F1719" s="321"/>
      <c r="G1719" s="465" t="str">
        <f t="shared" si="124"/>
        <v/>
      </c>
    </row>
    <row r="1720" spans="4:7">
      <c r="D1720" s="321"/>
      <c r="E1720" s="321"/>
      <c r="F1720" s="321"/>
      <c r="G1720" s="465" t="str">
        <f t="shared" si="124"/>
        <v/>
      </c>
    </row>
    <row r="1721" spans="4:7">
      <c r="D1721" s="321"/>
      <c r="E1721" s="321"/>
      <c r="F1721" s="321"/>
      <c r="G1721" s="465" t="str">
        <f t="shared" si="124"/>
        <v/>
      </c>
    </row>
    <row r="1722" spans="4:7">
      <c r="D1722" s="321"/>
      <c r="E1722" s="321"/>
      <c r="F1722" s="321"/>
      <c r="G1722" s="465" t="str">
        <f t="shared" si="124"/>
        <v/>
      </c>
    </row>
    <row r="1723" spans="4:7">
      <c r="D1723" s="321"/>
      <c r="E1723" s="321"/>
      <c r="F1723" s="321"/>
      <c r="G1723" s="465" t="str">
        <f t="shared" si="124"/>
        <v/>
      </c>
    </row>
    <row r="1724" spans="4:7">
      <c r="D1724" s="321"/>
      <c r="E1724" s="321"/>
      <c r="F1724" s="321"/>
      <c r="G1724" s="465" t="str">
        <f t="shared" si="124"/>
        <v/>
      </c>
    </row>
    <row r="1725" spans="4:7">
      <c r="D1725" s="321"/>
      <c r="E1725" s="321"/>
      <c r="F1725" s="321"/>
      <c r="G1725" s="465" t="str">
        <f t="shared" si="124"/>
        <v/>
      </c>
    </row>
    <row r="1726" spans="4:7">
      <c r="D1726" s="321"/>
      <c r="E1726" s="321"/>
      <c r="F1726" s="321"/>
      <c r="G1726" s="465" t="str">
        <f t="shared" si="124"/>
        <v/>
      </c>
    </row>
    <row r="1727" spans="4:7">
      <c r="D1727" s="321"/>
      <c r="E1727" s="321"/>
      <c r="F1727" s="321"/>
      <c r="G1727" s="465" t="str">
        <f t="shared" si="124"/>
        <v/>
      </c>
    </row>
    <row r="1728" spans="4:7">
      <c r="D1728" s="321"/>
      <c r="E1728" s="321"/>
      <c r="F1728" s="321"/>
      <c r="G1728" s="465" t="str">
        <f t="shared" si="124"/>
        <v/>
      </c>
    </row>
    <row r="1729" spans="4:7">
      <c r="D1729" s="321"/>
      <c r="E1729" s="321"/>
      <c r="F1729" s="321"/>
      <c r="G1729" s="465" t="str">
        <f t="shared" si="124"/>
        <v/>
      </c>
    </row>
    <row r="1730" spans="4:7">
      <c r="D1730" s="321"/>
      <c r="E1730" s="321"/>
      <c r="F1730" s="321"/>
      <c r="G1730" s="465" t="str">
        <f t="shared" si="124"/>
        <v/>
      </c>
    </row>
    <row r="1731" spans="4:7">
      <c r="D1731" s="321"/>
      <c r="E1731" s="321"/>
      <c r="F1731" s="321"/>
      <c r="G1731" s="465" t="str">
        <f t="shared" si="124"/>
        <v/>
      </c>
    </row>
    <row r="1732" spans="4:7">
      <c r="D1732" s="321"/>
      <c r="E1732" s="321"/>
      <c r="F1732" s="321"/>
      <c r="G1732" s="465" t="str">
        <f t="shared" si="124"/>
        <v/>
      </c>
    </row>
    <row r="1733" spans="4:7">
      <c r="D1733" s="321"/>
      <c r="E1733" s="321"/>
      <c r="F1733" s="321"/>
      <c r="G1733" s="465" t="str">
        <f t="shared" si="124"/>
        <v/>
      </c>
    </row>
    <row r="1734" spans="4:7">
      <c r="D1734" s="321"/>
      <c r="E1734" s="321"/>
      <c r="F1734" s="321"/>
      <c r="G1734" s="465" t="str">
        <f t="shared" ref="G1734:G1797" si="125">IF(OR(AND(D1734="",E1734=""),AND(D1734="",F1734="")),"",IF(AND(D1734&lt;&gt;"",E1734&lt;&gt;"",F1734&lt;&gt;""),"REVISAR CÁLCULO",IF(AND(D1734&lt;&gt;"",F1734&lt;&gt;""),ROUND(((F1734-D1734)/30),3),IF(AND(D1734&lt;&gt;"",E1734&lt;&gt;""),ROUND(((E1734-D1734+1)/30),3),""))))</f>
        <v/>
      </c>
    </row>
    <row r="1735" spans="4:7">
      <c r="D1735" s="321"/>
      <c r="E1735" s="321"/>
      <c r="F1735" s="321"/>
      <c r="G1735" s="465" t="str">
        <f t="shared" si="125"/>
        <v/>
      </c>
    </row>
    <row r="1736" spans="4:7">
      <c r="D1736" s="321"/>
      <c r="E1736" s="321"/>
      <c r="F1736" s="321"/>
      <c r="G1736" s="465" t="str">
        <f t="shared" si="125"/>
        <v/>
      </c>
    </row>
    <row r="1737" spans="4:7">
      <c r="D1737" s="321"/>
      <c r="E1737" s="321"/>
      <c r="F1737" s="321"/>
      <c r="G1737" s="465" t="str">
        <f t="shared" si="125"/>
        <v/>
      </c>
    </row>
    <row r="1738" spans="4:7">
      <c r="D1738" s="321"/>
      <c r="E1738" s="321"/>
      <c r="F1738" s="321"/>
      <c r="G1738" s="465" t="str">
        <f t="shared" si="125"/>
        <v/>
      </c>
    </row>
    <row r="1739" spans="4:7">
      <c r="D1739" s="321"/>
      <c r="E1739" s="321"/>
      <c r="F1739" s="321"/>
      <c r="G1739" s="465" t="str">
        <f t="shared" si="125"/>
        <v/>
      </c>
    </row>
    <row r="1740" spans="4:7">
      <c r="D1740" s="321"/>
      <c r="E1740" s="321"/>
      <c r="F1740" s="321"/>
      <c r="G1740" s="465" t="str">
        <f t="shared" si="125"/>
        <v/>
      </c>
    </row>
    <row r="1741" spans="4:7">
      <c r="D1741" s="321"/>
      <c r="E1741" s="321"/>
      <c r="F1741" s="321"/>
      <c r="G1741" s="465" t="str">
        <f t="shared" si="125"/>
        <v/>
      </c>
    </row>
    <row r="1742" spans="4:7">
      <c r="D1742" s="321"/>
      <c r="E1742" s="321"/>
      <c r="F1742" s="321"/>
      <c r="G1742" s="465" t="str">
        <f t="shared" si="125"/>
        <v/>
      </c>
    </row>
    <row r="1743" spans="4:7">
      <c r="D1743" s="321"/>
      <c r="E1743" s="321"/>
      <c r="F1743" s="321"/>
      <c r="G1743" s="465" t="str">
        <f t="shared" si="125"/>
        <v/>
      </c>
    </row>
    <row r="1744" spans="4:7">
      <c r="D1744" s="321"/>
      <c r="E1744" s="321"/>
      <c r="F1744" s="321"/>
      <c r="G1744" s="465" t="str">
        <f t="shared" si="125"/>
        <v/>
      </c>
    </row>
    <row r="1745" spans="4:7">
      <c r="D1745" s="321"/>
      <c r="E1745" s="321"/>
      <c r="F1745" s="321"/>
      <c r="G1745" s="465" t="str">
        <f t="shared" si="125"/>
        <v/>
      </c>
    </row>
    <row r="1746" spans="4:7">
      <c r="D1746" s="321"/>
      <c r="E1746" s="321"/>
      <c r="F1746" s="321"/>
      <c r="G1746" s="465" t="str">
        <f t="shared" si="125"/>
        <v/>
      </c>
    </row>
    <row r="1747" spans="4:7">
      <c r="D1747" s="321"/>
      <c r="E1747" s="321"/>
      <c r="F1747" s="321"/>
      <c r="G1747" s="465" t="str">
        <f t="shared" si="125"/>
        <v/>
      </c>
    </row>
    <row r="1748" spans="4:7">
      <c r="D1748" s="321"/>
      <c r="E1748" s="321"/>
      <c r="F1748" s="321"/>
      <c r="G1748" s="465" t="str">
        <f t="shared" si="125"/>
        <v/>
      </c>
    </row>
    <row r="1749" spans="4:7">
      <c r="D1749" s="321"/>
      <c r="E1749" s="321"/>
      <c r="F1749" s="321"/>
      <c r="G1749" s="465" t="str">
        <f t="shared" si="125"/>
        <v/>
      </c>
    </row>
    <row r="1750" spans="4:7">
      <c r="D1750" s="321"/>
      <c r="E1750" s="321"/>
      <c r="F1750" s="321"/>
      <c r="G1750" s="465" t="str">
        <f t="shared" si="125"/>
        <v/>
      </c>
    </row>
    <row r="1751" spans="4:7">
      <c r="D1751" s="321"/>
      <c r="E1751" s="321"/>
      <c r="F1751" s="321"/>
      <c r="G1751" s="465" t="str">
        <f t="shared" si="125"/>
        <v/>
      </c>
    </row>
    <row r="1752" spans="4:7">
      <c r="D1752" s="321"/>
      <c r="E1752" s="321"/>
      <c r="F1752" s="321"/>
      <c r="G1752" s="465" t="str">
        <f t="shared" si="125"/>
        <v/>
      </c>
    </row>
    <row r="1753" spans="4:7">
      <c r="D1753" s="321"/>
      <c r="E1753" s="321"/>
      <c r="F1753" s="321"/>
      <c r="G1753" s="465" t="str">
        <f t="shared" si="125"/>
        <v/>
      </c>
    </row>
    <row r="1754" spans="4:7">
      <c r="D1754" s="321"/>
      <c r="E1754" s="321"/>
      <c r="F1754" s="321"/>
      <c r="G1754" s="465" t="str">
        <f t="shared" si="125"/>
        <v/>
      </c>
    </row>
    <row r="1755" spans="4:7">
      <c r="D1755" s="321"/>
      <c r="E1755" s="321"/>
      <c r="F1755" s="321"/>
      <c r="G1755" s="465" t="str">
        <f t="shared" si="125"/>
        <v/>
      </c>
    </row>
    <row r="1756" spans="4:7">
      <c r="D1756" s="321"/>
      <c r="E1756" s="321"/>
      <c r="F1756" s="321"/>
      <c r="G1756" s="465" t="str">
        <f t="shared" si="125"/>
        <v/>
      </c>
    </row>
    <row r="1757" spans="4:7">
      <c r="D1757" s="321"/>
      <c r="E1757" s="321"/>
      <c r="F1757" s="321"/>
      <c r="G1757" s="465" t="str">
        <f t="shared" si="125"/>
        <v/>
      </c>
    </row>
    <row r="1758" spans="4:7">
      <c r="D1758" s="321"/>
      <c r="E1758" s="321"/>
      <c r="F1758" s="321"/>
      <c r="G1758" s="465" t="str">
        <f t="shared" si="125"/>
        <v/>
      </c>
    </row>
    <row r="1759" spans="4:7">
      <c r="D1759" s="321"/>
      <c r="E1759" s="321"/>
      <c r="F1759" s="321"/>
      <c r="G1759" s="465" t="str">
        <f t="shared" si="125"/>
        <v/>
      </c>
    </row>
    <row r="1760" spans="4:7">
      <c r="D1760" s="321"/>
      <c r="E1760" s="321"/>
      <c r="F1760" s="321"/>
      <c r="G1760" s="465" t="str">
        <f t="shared" si="125"/>
        <v/>
      </c>
    </row>
    <row r="1761" spans="4:7">
      <c r="D1761" s="321"/>
      <c r="E1761" s="321"/>
      <c r="F1761" s="321"/>
      <c r="G1761" s="465" t="str">
        <f t="shared" si="125"/>
        <v/>
      </c>
    </row>
    <row r="1762" spans="4:7">
      <c r="D1762" s="321"/>
      <c r="E1762" s="321"/>
      <c r="F1762" s="321"/>
      <c r="G1762" s="465" t="str">
        <f t="shared" si="125"/>
        <v/>
      </c>
    </row>
    <row r="1763" spans="4:7">
      <c r="D1763" s="321"/>
      <c r="E1763" s="321"/>
      <c r="F1763" s="321"/>
      <c r="G1763" s="465" t="str">
        <f t="shared" si="125"/>
        <v/>
      </c>
    </row>
    <row r="1764" spans="4:7">
      <c r="D1764" s="321"/>
      <c r="E1764" s="321"/>
      <c r="F1764" s="321"/>
      <c r="G1764" s="465" t="str">
        <f t="shared" si="125"/>
        <v/>
      </c>
    </row>
    <row r="1765" spans="4:7">
      <c r="D1765" s="321"/>
      <c r="E1765" s="321"/>
      <c r="F1765" s="321"/>
      <c r="G1765" s="465" t="str">
        <f t="shared" si="125"/>
        <v/>
      </c>
    </row>
    <row r="1766" spans="4:7">
      <c r="D1766" s="321"/>
      <c r="E1766" s="321"/>
      <c r="F1766" s="321"/>
      <c r="G1766" s="465" t="str">
        <f t="shared" si="125"/>
        <v/>
      </c>
    </row>
    <row r="1767" spans="4:7">
      <c r="D1767" s="321"/>
      <c r="E1767" s="321"/>
      <c r="F1767" s="321"/>
      <c r="G1767" s="465" t="str">
        <f t="shared" si="125"/>
        <v/>
      </c>
    </row>
    <row r="1768" spans="4:7">
      <c r="D1768" s="321"/>
      <c r="E1768" s="321"/>
      <c r="F1768" s="321"/>
      <c r="G1768" s="465" t="str">
        <f t="shared" si="125"/>
        <v/>
      </c>
    </row>
    <row r="1769" spans="4:7">
      <c r="D1769" s="321"/>
      <c r="E1769" s="321"/>
      <c r="F1769" s="321"/>
      <c r="G1769" s="465" t="str">
        <f t="shared" si="125"/>
        <v/>
      </c>
    </row>
    <row r="1770" spans="4:7">
      <c r="D1770" s="321"/>
      <c r="E1770" s="321"/>
      <c r="F1770" s="321"/>
      <c r="G1770" s="465" t="str">
        <f t="shared" si="125"/>
        <v/>
      </c>
    </row>
    <row r="1771" spans="4:7">
      <c r="D1771" s="321"/>
      <c r="E1771" s="321"/>
      <c r="F1771" s="321"/>
      <c r="G1771" s="465" t="str">
        <f t="shared" si="125"/>
        <v/>
      </c>
    </row>
    <row r="1772" spans="4:7">
      <c r="D1772" s="321"/>
      <c r="E1772" s="321"/>
      <c r="F1772" s="321"/>
      <c r="G1772" s="465" t="str">
        <f t="shared" si="125"/>
        <v/>
      </c>
    </row>
    <row r="1773" spans="4:7">
      <c r="D1773" s="321"/>
      <c r="E1773" s="321"/>
      <c r="F1773" s="321"/>
      <c r="G1773" s="465" t="str">
        <f t="shared" si="125"/>
        <v/>
      </c>
    </row>
    <row r="1774" spans="4:7">
      <c r="D1774" s="321"/>
      <c r="E1774" s="321"/>
      <c r="F1774" s="321"/>
      <c r="G1774" s="465" t="str">
        <f t="shared" si="125"/>
        <v/>
      </c>
    </row>
    <row r="1775" spans="4:7">
      <c r="D1775" s="321"/>
      <c r="E1775" s="321"/>
      <c r="F1775" s="321"/>
      <c r="G1775" s="465" t="str">
        <f t="shared" si="125"/>
        <v/>
      </c>
    </row>
    <row r="1776" spans="4:7">
      <c r="D1776" s="321"/>
      <c r="E1776" s="321"/>
      <c r="F1776" s="321"/>
      <c r="G1776" s="465" t="str">
        <f t="shared" si="125"/>
        <v/>
      </c>
    </row>
    <row r="1777" spans="4:7">
      <c r="D1777" s="321"/>
      <c r="E1777" s="321"/>
      <c r="F1777" s="321"/>
      <c r="G1777" s="465" t="str">
        <f t="shared" si="125"/>
        <v/>
      </c>
    </row>
    <row r="1778" spans="4:7">
      <c r="D1778" s="321"/>
      <c r="E1778" s="321"/>
      <c r="F1778" s="321"/>
      <c r="G1778" s="465" t="str">
        <f t="shared" si="125"/>
        <v/>
      </c>
    </row>
    <row r="1779" spans="4:7">
      <c r="D1779" s="321"/>
      <c r="E1779" s="321"/>
      <c r="F1779" s="321"/>
      <c r="G1779" s="465" t="str">
        <f t="shared" si="125"/>
        <v/>
      </c>
    </row>
    <row r="1780" spans="4:7">
      <c r="D1780" s="321"/>
      <c r="E1780" s="321"/>
      <c r="F1780" s="321"/>
      <c r="G1780" s="465" t="str">
        <f t="shared" si="125"/>
        <v/>
      </c>
    </row>
    <row r="1781" spans="4:7">
      <c r="D1781" s="321"/>
      <c r="E1781" s="321"/>
      <c r="F1781" s="321"/>
      <c r="G1781" s="465" t="str">
        <f t="shared" si="125"/>
        <v/>
      </c>
    </row>
    <row r="1782" spans="4:7">
      <c r="D1782" s="321"/>
      <c r="E1782" s="321"/>
      <c r="F1782" s="321"/>
      <c r="G1782" s="465" t="str">
        <f t="shared" si="125"/>
        <v/>
      </c>
    </row>
    <row r="1783" spans="4:7">
      <c r="D1783" s="321"/>
      <c r="E1783" s="321"/>
      <c r="F1783" s="321"/>
      <c r="G1783" s="465" t="str">
        <f t="shared" si="125"/>
        <v/>
      </c>
    </row>
    <row r="1784" spans="4:7">
      <c r="D1784" s="321"/>
      <c r="E1784" s="321"/>
      <c r="F1784" s="321"/>
      <c r="G1784" s="465" t="str">
        <f t="shared" si="125"/>
        <v/>
      </c>
    </row>
    <row r="1785" spans="4:7">
      <c r="D1785" s="321"/>
      <c r="E1785" s="321"/>
      <c r="F1785" s="321"/>
      <c r="G1785" s="465" t="str">
        <f t="shared" si="125"/>
        <v/>
      </c>
    </row>
    <row r="1786" spans="4:7">
      <c r="D1786" s="321"/>
      <c r="E1786" s="321"/>
      <c r="F1786" s="321"/>
      <c r="G1786" s="465" t="str">
        <f t="shared" si="125"/>
        <v/>
      </c>
    </row>
    <row r="1787" spans="4:7">
      <c r="D1787" s="321"/>
      <c r="E1787" s="321"/>
      <c r="F1787" s="321"/>
      <c r="G1787" s="465" t="str">
        <f t="shared" si="125"/>
        <v/>
      </c>
    </row>
    <row r="1788" spans="4:7">
      <c r="D1788" s="321"/>
      <c r="E1788" s="321"/>
      <c r="F1788" s="321"/>
      <c r="G1788" s="465" t="str">
        <f t="shared" si="125"/>
        <v/>
      </c>
    </row>
    <row r="1789" spans="4:7">
      <c r="D1789" s="321"/>
      <c r="E1789" s="321"/>
      <c r="F1789" s="321"/>
      <c r="G1789" s="465" t="str">
        <f t="shared" si="125"/>
        <v/>
      </c>
    </row>
    <row r="1790" spans="4:7">
      <c r="D1790" s="321"/>
      <c r="E1790" s="321"/>
      <c r="F1790" s="321"/>
      <c r="G1790" s="465" t="str">
        <f t="shared" si="125"/>
        <v/>
      </c>
    </row>
    <row r="1791" spans="4:7">
      <c r="D1791" s="321"/>
      <c r="E1791" s="321"/>
      <c r="F1791" s="321"/>
      <c r="G1791" s="465" t="str">
        <f t="shared" si="125"/>
        <v/>
      </c>
    </row>
    <row r="1792" spans="4:7">
      <c r="D1792" s="321"/>
      <c r="E1792" s="321"/>
      <c r="F1792" s="321"/>
      <c r="G1792" s="465" t="str">
        <f t="shared" si="125"/>
        <v/>
      </c>
    </row>
    <row r="1793" spans="4:7">
      <c r="D1793" s="321"/>
      <c r="E1793" s="321"/>
      <c r="F1793" s="321"/>
      <c r="G1793" s="465" t="str">
        <f t="shared" si="125"/>
        <v/>
      </c>
    </row>
    <row r="1794" spans="4:7">
      <c r="D1794" s="321"/>
      <c r="E1794" s="321"/>
      <c r="F1794" s="321"/>
      <c r="G1794" s="465" t="str">
        <f t="shared" si="125"/>
        <v/>
      </c>
    </row>
    <row r="1795" spans="4:7">
      <c r="D1795" s="321"/>
      <c r="E1795" s="321"/>
      <c r="F1795" s="321"/>
      <c r="G1795" s="465" t="str">
        <f t="shared" si="125"/>
        <v/>
      </c>
    </row>
    <row r="1796" spans="4:7">
      <c r="D1796" s="321"/>
      <c r="E1796" s="321"/>
      <c r="F1796" s="321"/>
      <c r="G1796" s="465" t="str">
        <f t="shared" si="125"/>
        <v/>
      </c>
    </row>
    <row r="1797" spans="4:7">
      <c r="D1797" s="321"/>
      <c r="E1797" s="321"/>
      <c r="F1797" s="321"/>
      <c r="G1797" s="465" t="str">
        <f t="shared" si="125"/>
        <v/>
      </c>
    </row>
    <row r="1798" spans="4:7">
      <c r="D1798" s="321"/>
      <c r="E1798" s="321"/>
      <c r="F1798" s="321"/>
      <c r="G1798" s="465" t="str">
        <f t="shared" ref="G1798:G1861" si="126">IF(OR(AND(D1798="",E1798=""),AND(D1798="",F1798="")),"",IF(AND(D1798&lt;&gt;"",E1798&lt;&gt;"",F1798&lt;&gt;""),"REVISAR CÁLCULO",IF(AND(D1798&lt;&gt;"",F1798&lt;&gt;""),ROUND(((F1798-D1798)/30),3),IF(AND(D1798&lt;&gt;"",E1798&lt;&gt;""),ROUND(((E1798-D1798+1)/30),3),""))))</f>
        <v/>
      </c>
    </row>
    <row r="1799" spans="4:7">
      <c r="D1799" s="321"/>
      <c r="E1799" s="321"/>
      <c r="F1799" s="321"/>
      <c r="G1799" s="465" t="str">
        <f t="shared" si="126"/>
        <v/>
      </c>
    </row>
    <row r="1800" spans="4:7">
      <c r="D1800" s="321"/>
      <c r="E1800" s="321"/>
      <c r="F1800" s="321"/>
      <c r="G1800" s="465" t="str">
        <f t="shared" si="126"/>
        <v/>
      </c>
    </row>
    <row r="1801" spans="4:7">
      <c r="D1801" s="321"/>
      <c r="E1801" s="321"/>
      <c r="F1801" s="321"/>
      <c r="G1801" s="465" t="str">
        <f t="shared" si="126"/>
        <v/>
      </c>
    </row>
    <row r="1802" spans="4:7">
      <c r="D1802" s="321"/>
      <c r="E1802" s="321"/>
      <c r="F1802" s="321"/>
      <c r="G1802" s="465" t="str">
        <f t="shared" si="126"/>
        <v/>
      </c>
    </row>
    <row r="1803" spans="4:7">
      <c r="D1803" s="321"/>
      <c r="E1803" s="321"/>
      <c r="F1803" s="321"/>
      <c r="G1803" s="465" t="str">
        <f t="shared" si="126"/>
        <v/>
      </c>
    </row>
    <row r="1804" spans="4:7">
      <c r="D1804" s="321"/>
      <c r="E1804" s="321"/>
      <c r="F1804" s="321"/>
      <c r="G1804" s="465" t="str">
        <f t="shared" si="126"/>
        <v/>
      </c>
    </row>
    <row r="1805" spans="4:7">
      <c r="D1805" s="321"/>
      <c r="E1805" s="321"/>
      <c r="F1805" s="321"/>
      <c r="G1805" s="465" t="str">
        <f t="shared" si="126"/>
        <v/>
      </c>
    </row>
    <row r="1806" spans="4:7">
      <c r="D1806" s="321"/>
      <c r="E1806" s="321"/>
      <c r="F1806" s="321"/>
      <c r="G1806" s="465" t="str">
        <f t="shared" si="126"/>
        <v/>
      </c>
    </row>
    <row r="1807" spans="4:7">
      <c r="D1807" s="321"/>
      <c r="E1807" s="321"/>
      <c r="F1807" s="321"/>
      <c r="G1807" s="465" t="str">
        <f t="shared" si="126"/>
        <v/>
      </c>
    </row>
    <row r="1808" spans="4:7">
      <c r="D1808" s="321"/>
      <c r="E1808" s="321"/>
      <c r="F1808" s="321"/>
      <c r="G1808" s="465" t="str">
        <f t="shared" si="126"/>
        <v/>
      </c>
    </row>
    <row r="1809" spans="4:7">
      <c r="D1809" s="321"/>
      <c r="E1809" s="321"/>
      <c r="F1809" s="321"/>
      <c r="G1809" s="465" t="str">
        <f t="shared" si="126"/>
        <v/>
      </c>
    </row>
    <row r="1810" spans="4:7">
      <c r="D1810" s="321"/>
      <c r="E1810" s="321"/>
      <c r="F1810" s="321"/>
      <c r="G1810" s="465" t="str">
        <f t="shared" si="126"/>
        <v/>
      </c>
    </row>
    <row r="1811" spans="4:7">
      <c r="D1811" s="321"/>
      <c r="E1811" s="321"/>
      <c r="F1811" s="321"/>
      <c r="G1811" s="465" t="str">
        <f t="shared" si="126"/>
        <v/>
      </c>
    </row>
    <row r="1812" spans="4:7">
      <c r="D1812" s="321"/>
      <c r="E1812" s="321"/>
      <c r="F1812" s="321"/>
      <c r="G1812" s="465" t="str">
        <f t="shared" si="126"/>
        <v/>
      </c>
    </row>
    <row r="1813" spans="4:7">
      <c r="D1813" s="321"/>
      <c r="E1813" s="321"/>
      <c r="F1813" s="321"/>
      <c r="G1813" s="465" t="str">
        <f t="shared" si="126"/>
        <v/>
      </c>
    </row>
    <row r="1814" spans="4:7">
      <c r="D1814" s="321"/>
      <c r="E1814" s="321"/>
      <c r="F1814" s="321"/>
      <c r="G1814" s="465" t="str">
        <f t="shared" si="126"/>
        <v/>
      </c>
    </row>
    <row r="1815" spans="4:7">
      <c r="D1815" s="321"/>
      <c r="E1815" s="321"/>
      <c r="F1815" s="321"/>
      <c r="G1815" s="465" t="str">
        <f t="shared" si="126"/>
        <v/>
      </c>
    </row>
    <row r="1816" spans="4:7">
      <c r="D1816" s="321"/>
      <c r="E1816" s="321"/>
      <c r="F1816" s="321"/>
      <c r="G1816" s="465" t="str">
        <f t="shared" si="126"/>
        <v/>
      </c>
    </row>
    <row r="1817" spans="4:7">
      <c r="D1817" s="321"/>
      <c r="E1817" s="321"/>
      <c r="F1817" s="321"/>
      <c r="G1817" s="465" t="str">
        <f t="shared" si="126"/>
        <v/>
      </c>
    </row>
    <row r="1818" spans="4:7">
      <c r="D1818" s="321"/>
      <c r="E1818" s="321"/>
      <c r="F1818" s="321"/>
      <c r="G1818" s="465" t="str">
        <f t="shared" si="126"/>
        <v/>
      </c>
    </row>
    <row r="1819" spans="4:7">
      <c r="D1819" s="321"/>
      <c r="E1819" s="321"/>
      <c r="F1819" s="321"/>
      <c r="G1819" s="465" t="str">
        <f t="shared" si="126"/>
        <v/>
      </c>
    </row>
    <row r="1820" spans="4:7">
      <c r="D1820" s="321"/>
      <c r="E1820" s="321"/>
      <c r="F1820" s="321"/>
      <c r="G1820" s="465" t="str">
        <f t="shared" si="126"/>
        <v/>
      </c>
    </row>
    <row r="1821" spans="4:7">
      <c r="D1821" s="321"/>
      <c r="E1821" s="321"/>
      <c r="F1821" s="321"/>
      <c r="G1821" s="465" t="str">
        <f t="shared" si="126"/>
        <v/>
      </c>
    </row>
    <row r="1822" spans="4:7">
      <c r="D1822" s="321"/>
      <c r="E1822" s="321"/>
      <c r="F1822" s="321"/>
      <c r="G1822" s="465" t="str">
        <f t="shared" si="126"/>
        <v/>
      </c>
    </row>
    <row r="1823" spans="4:7">
      <c r="D1823" s="321"/>
      <c r="E1823" s="321"/>
      <c r="F1823" s="321"/>
      <c r="G1823" s="465" t="str">
        <f t="shared" si="126"/>
        <v/>
      </c>
    </row>
    <row r="1824" spans="4:7">
      <c r="D1824" s="321"/>
      <c r="E1824" s="321"/>
      <c r="F1824" s="321"/>
      <c r="G1824" s="465" t="str">
        <f t="shared" si="126"/>
        <v/>
      </c>
    </row>
    <row r="1825" spans="4:7">
      <c r="D1825" s="321"/>
      <c r="E1825" s="321"/>
      <c r="F1825" s="321"/>
      <c r="G1825" s="465" t="str">
        <f t="shared" si="126"/>
        <v/>
      </c>
    </row>
    <row r="1826" spans="4:7">
      <c r="D1826" s="321"/>
      <c r="E1826" s="321"/>
      <c r="F1826" s="321"/>
      <c r="G1826" s="465" t="str">
        <f t="shared" si="126"/>
        <v/>
      </c>
    </row>
    <row r="1827" spans="4:7">
      <c r="D1827" s="321"/>
      <c r="E1827" s="321"/>
      <c r="F1827" s="321"/>
      <c r="G1827" s="465" t="str">
        <f t="shared" si="126"/>
        <v/>
      </c>
    </row>
    <row r="1828" spans="4:7">
      <c r="D1828" s="321"/>
      <c r="E1828" s="321"/>
      <c r="F1828" s="321"/>
      <c r="G1828" s="465" t="str">
        <f t="shared" si="126"/>
        <v/>
      </c>
    </row>
    <row r="1829" spans="4:7">
      <c r="D1829" s="321"/>
      <c r="E1829" s="321"/>
      <c r="F1829" s="321"/>
      <c r="G1829" s="465" t="str">
        <f t="shared" si="126"/>
        <v/>
      </c>
    </row>
    <row r="1830" spans="4:7">
      <c r="D1830" s="321"/>
      <c r="E1830" s="321"/>
      <c r="F1830" s="321"/>
      <c r="G1830" s="465" t="str">
        <f t="shared" si="126"/>
        <v/>
      </c>
    </row>
    <row r="1831" spans="4:7">
      <c r="D1831" s="321"/>
      <c r="E1831" s="321"/>
      <c r="F1831" s="321"/>
      <c r="G1831" s="465" t="str">
        <f t="shared" si="126"/>
        <v/>
      </c>
    </row>
    <row r="1832" spans="4:7">
      <c r="D1832" s="321"/>
      <c r="E1832" s="321"/>
      <c r="F1832" s="321"/>
      <c r="G1832" s="465" t="str">
        <f t="shared" si="126"/>
        <v/>
      </c>
    </row>
    <row r="1833" spans="4:7">
      <c r="D1833" s="321"/>
      <c r="E1833" s="321"/>
      <c r="F1833" s="321"/>
      <c r="G1833" s="465" t="str">
        <f t="shared" si="126"/>
        <v/>
      </c>
    </row>
    <row r="1834" spans="4:7">
      <c r="D1834" s="321"/>
      <c r="E1834" s="321"/>
      <c r="F1834" s="321"/>
      <c r="G1834" s="465" t="str">
        <f t="shared" si="126"/>
        <v/>
      </c>
    </row>
    <row r="1835" spans="4:7">
      <c r="D1835" s="321"/>
      <c r="E1835" s="321"/>
      <c r="F1835" s="321"/>
      <c r="G1835" s="465" t="str">
        <f t="shared" si="126"/>
        <v/>
      </c>
    </row>
    <row r="1836" spans="4:7">
      <c r="D1836" s="321"/>
      <c r="E1836" s="321"/>
      <c r="F1836" s="321"/>
      <c r="G1836" s="465" t="str">
        <f t="shared" si="126"/>
        <v/>
      </c>
    </row>
    <row r="1837" spans="4:7">
      <c r="D1837" s="321"/>
      <c r="E1837" s="321"/>
      <c r="F1837" s="321"/>
      <c r="G1837" s="465" t="str">
        <f t="shared" si="126"/>
        <v/>
      </c>
    </row>
    <row r="1838" spans="4:7">
      <c r="D1838" s="321"/>
      <c r="E1838" s="321"/>
      <c r="F1838" s="321"/>
      <c r="G1838" s="465" t="str">
        <f t="shared" si="126"/>
        <v/>
      </c>
    </row>
    <row r="1839" spans="4:7">
      <c r="D1839" s="321"/>
      <c r="E1839" s="321"/>
      <c r="F1839" s="321"/>
      <c r="G1839" s="465" t="str">
        <f t="shared" si="126"/>
        <v/>
      </c>
    </row>
    <row r="1840" spans="4:7">
      <c r="D1840" s="321"/>
      <c r="E1840" s="321"/>
      <c r="F1840" s="321"/>
      <c r="G1840" s="465" t="str">
        <f t="shared" si="126"/>
        <v/>
      </c>
    </row>
    <row r="1841" spans="4:7">
      <c r="D1841" s="321"/>
      <c r="E1841" s="321"/>
      <c r="F1841" s="321"/>
      <c r="G1841" s="465" t="str">
        <f t="shared" si="126"/>
        <v/>
      </c>
    </row>
    <row r="1842" spans="4:7">
      <c r="D1842" s="321"/>
      <c r="E1842" s="321"/>
      <c r="F1842" s="321"/>
      <c r="G1842" s="465" t="str">
        <f t="shared" si="126"/>
        <v/>
      </c>
    </row>
    <row r="1843" spans="4:7">
      <c r="D1843" s="321"/>
      <c r="E1843" s="321"/>
      <c r="F1843" s="321"/>
      <c r="G1843" s="465" t="str">
        <f t="shared" si="126"/>
        <v/>
      </c>
    </row>
    <row r="1844" spans="4:7">
      <c r="D1844" s="321"/>
      <c r="E1844" s="321"/>
      <c r="F1844" s="321"/>
      <c r="G1844" s="465" t="str">
        <f t="shared" si="126"/>
        <v/>
      </c>
    </row>
    <row r="1845" spans="4:7">
      <c r="D1845" s="321"/>
      <c r="E1845" s="321"/>
      <c r="F1845" s="321"/>
      <c r="G1845" s="465" t="str">
        <f t="shared" si="126"/>
        <v/>
      </c>
    </row>
    <row r="1846" spans="4:7">
      <c r="D1846" s="321"/>
      <c r="E1846" s="321"/>
      <c r="F1846" s="321"/>
      <c r="G1846" s="465" t="str">
        <f t="shared" si="126"/>
        <v/>
      </c>
    </row>
    <row r="1847" spans="4:7">
      <c r="D1847" s="321"/>
      <c r="E1847" s="321"/>
      <c r="F1847" s="321"/>
      <c r="G1847" s="465" t="str">
        <f t="shared" si="126"/>
        <v/>
      </c>
    </row>
    <row r="1848" spans="4:7">
      <c r="D1848" s="321"/>
      <c r="E1848" s="321"/>
      <c r="F1848" s="321"/>
      <c r="G1848" s="465" t="str">
        <f t="shared" si="126"/>
        <v/>
      </c>
    </row>
    <row r="1849" spans="4:7">
      <c r="D1849" s="321"/>
      <c r="E1849" s="321"/>
      <c r="F1849" s="321"/>
      <c r="G1849" s="465" t="str">
        <f t="shared" si="126"/>
        <v/>
      </c>
    </row>
    <row r="1850" spans="4:7">
      <c r="D1850" s="321"/>
      <c r="E1850" s="321"/>
      <c r="F1850" s="321"/>
      <c r="G1850" s="465" t="str">
        <f t="shared" si="126"/>
        <v/>
      </c>
    </row>
    <row r="1851" spans="4:7">
      <c r="D1851" s="321"/>
      <c r="E1851" s="321"/>
      <c r="F1851" s="321"/>
      <c r="G1851" s="465" t="str">
        <f t="shared" si="126"/>
        <v/>
      </c>
    </row>
    <row r="1852" spans="4:7">
      <c r="D1852" s="321"/>
      <c r="E1852" s="321"/>
      <c r="F1852" s="321"/>
      <c r="G1852" s="465" t="str">
        <f t="shared" si="126"/>
        <v/>
      </c>
    </row>
    <row r="1853" spans="4:7">
      <c r="D1853" s="321"/>
      <c r="E1853" s="321"/>
      <c r="F1853" s="321"/>
      <c r="G1853" s="465" t="str">
        <f t="shared" si="126"/>
        <v/>
      </c>
    </row>
    <row r="1854" spans="4:7">
      <c r="D1854" s="321"/>
      <c r="E1854" s="321"/>
      <c r="F1854" s="321"/>
      <c r="G1854" s="465" t="str">
        <f t="shared" si="126"/>
        <v/>
      </c>
    </row>
    <row r="1855" spans="4:7">
      <c r="D1855" s="321"/>
      <c r="E1855" s="321"/>
      <c r="F1855" s="321"/>
      <c r="G1855" s="465" t="str">
        <f t="shared" si="126"/>
        <v/>
      </c>
    </row>
    <row r="1856" spans="4:7">
      <c r="D1856" s="321"/>
      <c r="E1856" s="321"/>
      <c r="F1856" s="321"/>
      <c r="G1856" s="465" t="str">
        <f t="shared" si="126"/>
        <v/>
      </c>
    </row>
    <row r="1857" spans="4:7">
      <c r="D1857" s="321"/>
      <c r="E1857" s="321"/>
      <c r="F1857" s="321"/>
      <c r="G1857" s="465" t="str">
        <f t="shared" si="126"/>
        <v/>
      </c>
    </row>
    <row r="1858" spans="4:7">
      <c r="D1858" s="321"/>
      <c r="E1858" s="321"/>
      <c r="F1858" s="321"/>
      <c r="G1858" s="465" t="str">
        <f t="shared" si="126"/>
        <v/>
      </c>
    </row>
    <row r="1859" spans="4:7">
      <c r="D1859" s="321"/>
      <c r="E1859" s="321"/>
      <c r="F1859" s="321"/>
      <c r="G1859" s="465" t="str">
        <f t="shared" si="126"/>
        <v/>
      </c>
    </row>
    <row r="1860" spans="4:7">
      <c r="D1860" s="321"/>
      <c r="E1860" s="321"/>
      <c r="F1860" s="321"/>
      <c r="G1860" s="465" t="str">
        <f t="shared" si="126"/>
        <v/>
      </c>
    </row>
    <row r="1861" spans="4:7">
      <c r="D1861" s="321"/>
      <c r="E1861" s="321"/>
      <c r="F1861" s="321"/>
      <c r="G1861" s="465" t="str">
        <f t="shared" si="126"/>
        <v/>
      </c>
    </row>
    <row r="1862" spans="4:7">
      <c r="D1862" s="321"/>
      <c r="E1862" s="321"/>
      <c r="F1862" s="321"/>
      <c r="G1862" s="465" t="str">
        <f t="shared" ref="G1862:G1925" si="127">IF(OR(AND(D1862="",E1862=""),AND(D1862="",F1862="")),"",IF(AND(D1862&lt;&gt;"",E1862&lt;&gt;"",F1862&lt;&gt;""),"REVISAR CÁLCULO",IF(AND(D1862&lt;&gt;"",F1862&lt;&gt;""),ROUND(((F1862-D1862)/30),3),IF(AND(D1862&lt;&gt;"",E1862&lt;&gt;""),ROUND(((E1862-D1862+1)/30),3),""))))</f>
        <v/>
      </c>
    </row>
    <row r="1863" spans="4:7">
      <c r="D1863" s="321"/>
      <c r="E1863" s="321"/>
      <c r="F1863" s="321"/>
      <c r="G1863" s="465" t="str">
        <f t="shared" si="127"/>
        <v/>
      </c>
    </row>
    <row r="1864" spans="4:7">
      <c r="D1864" s="321"/>
      <c r="E1864" s="321"/>
      <c r="F1864" s="321"/>
      <c r="G1864" s="465" t="str">
        <f t="shared" si="127"/>
        <v/>
      </c>
    </row>
    <row r="1865" spans="4:7">
      <c r="D1865" s="321"/>
      <c r="E1865" s="321"/>
      <c r="F1865" s="321"/>
      <c r="G1865" s="465" t="str">
        <f t="shared" si="127"/>
        <v/>
      </c>
    </row>
    <row r="1866" spans="4:7">
      <c r="D1866" s="321"/>
      <c r="E1866" s="321"/>
      <c r="F1866" s="321"/>
      <c r="G1866" s="465" t="str">
        <f t="shared" si="127"/>
        <v/>
      </c>
    </row>
    <row r="1867" spans="4:7">
      <c r="D1867" s="321"/>
      <c r="E1867" s="321"/>
      <c r="F1867" s="321"/>
      <c r="G1867" s="465" t="str">
        <f t="shared" si="127"/>
        <v/>
      </c>
    </row>
    <row r="1868" spans="4:7">
      <c r="D1868" s="321"/>
      <c r="E1868" s="321"/>
      <c r="F1868" s="321"/>
      <c r="G1868" s="465" t="str">
        <f t="shared" si="127"/>
        <v/>
      </c>
    </row>
    <row r="1869" spans="4:7">
      <c r="D1869" s="321"/>
      <c r="E1869" s="321"/>
      <c r="F1869" s="321"/>
      <c r="G1869" s="465" t="str">
        <f t="shared" si="127"/>
        <v/>
      </c>
    </row>
    <row r="1870" spans="4:7">
      <c r="D1870" s="321"/>
      <c r="E1870" s="321"/>
      <c r="F1870" s="321"/>
      <c r="G1870" s="465" t="str">
        <f t="shared" si="127"/>
        <v/>
      </c>
    </row>
    <row r="1871" spans="4:7">
      <c r="D1871" s="321"/>
      <c r="E1871" s="321"/>
      <c r="F1871" s="321"/>
      <c r="G1871" s="465" t="str">
        <f t="shared" si="127"/>
        <v/>
      </c>
    </row>
    <row r="1872" spans="4:7">
      <c r="D1872" s="321"/>
      <c r="E1872" s="321"/>
      <c r="F1872" s="321"/>
      <c r="G1872" s="465" t="str">
        <f t="shared" si="127"/>
        <v/>
      </c>
    </row>
    <row r="1873" spans="4:7">
      <c r="D1873" s="321"/>
      <c r="E1873" s="321"/>
      <c r="F1873" s="321"/>
      <c r="G1873" s="465" t="str">
        <f t="shared" si="127"/>
        <v/>
      </c>
    </row>
    <row r="1874" spans="4:7">
      <c r="D1874" s="321"/>
      <c r="E1874" s="321"/>
      <c r="F1874" s="321"/>
      <c r="G1874" s="465" t="str">
        <f t="shared" si="127"/>
        <v/>
      </c>
    </row>
    <row r="1875" spans="4:7">
      <c r="D1875" s="321"/>
      <c r="E1875" s="321"/>
      <c r="F1875" s="321"/>
      <c r="G1875" s="465" t="str">
        <f t="shared" si="127"/>
        <v/>
      </c>
    </row>
    <row r="1876" spans="4:7">
      <c r="D1876" s="321"/>
      <c r="E1876" s="321"/>
      <c r="F1876" s="321"/>
      <c r="G1876" s="465" t="str">
        <f t="shared" si="127"/>
        <v/>
      </c>
    </row>
    <row r="1877" spans="4:7">
      <c r="D1877" s="321"/>
      <c r="E1877" s="321"/>
      <c r="F1877" s="321"/>
      <c r="G1877" s="465" t="str">
        <f t="shared" si="127"/>
        <v/>
      </c>
    </row>
    <row r="1878" spans="4:7">
      <c r="D1878" s="321"/>
      <c r="E1878" s="321"/>
      <c r="F1878" s="321"/>
      <c r="G1878" s="465" t="str">
        <f t="shared" si="127"/>
        <v/>
      </c>
    </row>
    <row r="1879" spans="4:7">
      <c r="D1879" s="321"/>
      <c r="E1879" s="321"/>
      <c r="F1879" s="321"/>
      <c r="G1879" s="465" t="str">
        <f t="shared" si="127"/>
        <v/>
      </c>
    </row>
    <row r="1880" spans="4:7">
      <c r="D1880" s="321"/>
      <c r="E1880" s="321"/>
      <c r="F1880" s="321"/>
      <c r="G1880" s="465" t="str">
        <f t="shared" si="127"/>
        <v/>
      </c>
    </row>
    <row r="1881" spans="4:7">
      <c r="D1881" s="321"/>
      <c r="E1881" s="321"/>
      <c r="F1881" s="321"/>
      <c r="G1881" s="465" t="str">
        <f t="shared" si="127"/>
        <v/>
      </c>
    </row>
    <row r="1882" spans="4:7">
      <c r="D1882" s="321"/>
      <c r="E1882" s="321"/>
      <c r="F1882" s="321"/>
      <c r="G1882" s="465" t="str">
        <f t="shared" si="127"/>
        <v/>
      </c>
    </row>
    <row r="1883" spans="4:7">
      <c r="D1883" s="321"/>
      <c r="E1883" s="321"/>
      <c r="F1883" s="321"/>
      <c r="G1883" s="465" t="str">
        <f t="shared" si="127"/>
        <v/>
      </c>
    </row>
    <row r="1884" spans="4:7">
      <c r="D1884" s="321"/>
      <c r="E1884" s="321"/>
      <c r="F1884" s="321"/>
      <c r="G1884" s="465" t="str">
        <f t="shared" si="127"/>
        <v/>
      </c>
    </row>
    <row r="1885" spans="4:7">
      <c r="D1885" s="321"/>
      <c r="E1885" s="321"/>
      <c r="F1885" s="321"/>
      <c r="G1885" s="465" t="str">
        <f t="shared" si="127"/>
        <v/>
      </c>
    </row>
    <row r="1886" spans="4:7">
      <c r="G1886" s="465" t="str">
        <f t="shared" si="127"/>
        <v/>
      </c>
    </row>
    <row r="1887" spans="4:7">
      <c r="G1887" s="465" t="str">
        <f t="shared" si="127"/>
        <v/>
      </c>
    </row>
    <row r="1888" spans="4:7">
      <c r="G1888" s="465" t="str">
        <f t="shared" si="127"/>
        <v/>
      </c>
    </row>
    <row r="1889" spans="7:7">
      <c r="G1889" s="465" t="str">
        <f t="shared" si="127"/>
        <v/>
      </c>
    </row>
    <row r="1890" spans="7:7">
      <c r="G1890" s="465" t="str">
        <f t="shared" si="127"/>
        <v/>
      </c>
    </row>
    <row r="1891" spans="7:7">
      <c r="G1891" s="465" t="str">
        <f t="shared" si="127"/>
        <v/>
      </c>
    </row>
    <row r="1892" spans="7:7">
      <c r="G1892" s="465" t="str">
        <f t="shared" si="127"/>
        <v/>
      </c>
    </row>
    <row r="1893" spans="7:7">
      <c r="G1893" s="465" t="str">
        <f t="shared" si="127"/>
        <v/>
      </c>
    </row>
    <row r="1894" spans="7:7">
      <c r="G1894" s="465" t="str">
        <f t="shared" si="127"/>
        <v/>
      </c>
    </row>
    <row r="1895" spans="7:7">
      <c r="G1895" s="465" t="str">
        <f t="shared" si="127"/>
        <v/>
      </c>
    </row>
    <row r="1896" spans="7:7">
      <c r="G1896" s="465" t="str">
        <f t="shared" si="127"/>
        <v/>
      </c>
    </row>
    <row r="1897" spans="7:7">
      <c r="G1897" s="465" t="str">
        <f t="shared" si="127"/>
        <v/>
      </c>
    </row>
    <row r="1898" spans="7:7">
      <c r="G1898" s="465" t="str">
        <f t="shared" si="127"/>
        <v/>
      </c>
    </row>
    <row r="1899" spans="7:7">
      <c r="G1899" s="465" t="str">
        <f t="shared" si="127"/>
        <v/>
      </c>
    </row>
    <row r="1900" spans="7:7">
      <c r="G1900" s="465" t="str">
        <f t="shared" si="127"/>
        <v/>
      </c>
    </row>
    <row r="1901" spans="7:7">
      <c r="G1901" s="465" t="str">
        <f t="shared" si="127"/>
        <v/>
      </c>
    </row>
    <row r="1902" spans="7:7">
      <c r="G1902" s="465" t="str">
        <f t="shared" si="127"/>
        <v/>
      </c>
    </row>
    <row r="1903" spans="7:7">
      <c r="G1903" s="465" t="str">
        <f t="shared" si="127"/>
        <v/>
      </c>
    </row>
    <row r="1904" spans="7:7">
      <c r="G1904" s="465" t="str">
        <f t="shared" si="127"/>
        <v/>
      </c>
    </row>
    <row r="1905" spans="7:7">
      <c r="G1905" s="465" t="str">
        <f t="shared" si="127"/>
        <v/>
      </c>
    </row>
    <row r="1906" spans="7:7">
      <c r="G1906" s="465" t="str">
        <f t="shared" si="127"/>
        <v/>
      </c>
    </row>
    <row r="1907" spans="7:7">
      <c r="G1907" s="465" t="str">
        <f t="shared" si="127"/>
        <v/>
      </c>
    </row>
    <row r="1908" spans="7:7">
      <c r="G1908" s="465" t="str">
        <f t="shared" si="127"/>
        <v/>
      </c>
    </row>
    <row r="1909" spans="7:7">
      <c r="G1909" s="465" t="str">
        <f t="shared" si="127"/>
        <v/>
      </c>
    </row>
    <row r="1910" spans="7:7">
      <c r="G1910" s="465" t="str">
        <f t="shared" si="127"/>
        <v/>
      </c>
    </row>
    <row r="1911" spans="7:7">
      <c r="G1911" s="465" t="str">
        <f t="shared" si="127"/>
        <v/>
      </c>
    </row>
    <row r="1912" spans="7:7">
      <c r="G1912" s="465" t="str">
        <f t="shared" si="127"/>
        <v/>
      </c>
    </row>
    <row r="1913" spans="7:7">
      <c r="G1913" s="465" t="str">
        <f t="shared" si="127"/>
        <v/>
      </c>
    </row>
    <row r="1914" spans="7:7">
      <c r="G1914" s="465" t="str">
        <f t="shared" si="127"/>
        <v/>
      </c>
    </row>
    <row r="1915" spans="7:7">
      <c r="G1915" s="465" t="str">
        <f t="shared" si="127"/>
        <v/>
      </c>
    </row>
    <row r="1916" spans="7:7">
      <c r="G1916" s="465" t="str">
        <f t="shared" si="127"/>
        <v/>
      </c>
    </row>
    <row r="1917" spans="7:7">
      <c r="G1917" s="465" t="str">
        <f t="shared" si="127"/>
        <v/>
      </c>
    </row>
    <row r="1918" spans="7:7">
      <c r="G1918" s="465" t="str">
        <f t="shared" si="127"/>
        <v/>
      </c>
    </row>
    <row r="1919" spans="7:7">
      <c r="G1919" s="465" t="str">
        <f t="shared" si="127"/>
        <v/>
      </c>
    </row>
    <row r="1920" spans="7:7">
      <c r="G1920" s="465" t="str">
        <f t="shared" si="127"/>
        <v/>
      </c>
    </row>
    <row r="1921" spans="7:7">
      <c r="G1921" s="465" t="str">
        <f t="shared" si="127"/>
        <v/>
      </c>
    </row>
    <row r="1922" spans="7:7">
      <c r="G1922" s="465" t="str">
        <f t="shared" si="127"/>
        <v/>
      </c>
    </row>
    <row r="1923" spans="7:7">
      <c r="G1923" s="465" t="str">
        <f t="shared" si="127"/>
        <v/>
      </c>
    </row>
    <row r="1924" spans="7:7">
      <c r="G1924" s="465" t="str">
        <f t="shared" si="127"/>
        <v/>
      </c>
    </row>
    <row r="1925" spans="7:7">
      <c r="G1925" s="465" t="str">
        <f t="shared" si="127"/>
        <v/>
      </c>
    </row>
    <row r="1926" spans="7:7">
      <c r="G1926" s="465" t="str">
        <f t="shared" ref="G1926:G1989" si="128">IF(OR(AND(D1926="",E1926=""),AND(D1926="",F1926="")),"",IF(AND(D1926&lt;&gt;"",E1926&lt;&gt;"",F1926&lt;&gt;""),"REVISAR CÁLCULO",IF(AND(D1926&lt;&gt;"",F1926&lt;&gt;""),ROUND(((F1926-D1926)/30),3),IF(AND(D1926&lt;&gt;"",E1926&lt;&gt;""),ROUND(((E1926-D1926+1)/30),3),""))))</f>
        <v/>
      </c>
    </row>
    <row r="1927" spans="7:7">
      <c r="G1927" s="465" t="str">
        <f t="shared" si="128"/>
        <v/>
      </c>
    </row>
    <row r="1928" spans="7:7">
      <c r="G1928" s="465" t="str">
        <f t="shared" si="128"/>
        <v/>
      </c>
    </row>
    <row r="1929" spans="7:7">
      <c r="G1929" s="465" t="str">
        <f t="shared" si="128"/>
        <v/>
      </c>
    </row>
    <row r="1930" spans="7:7">
      <c r="G1930" s="465" t="str">
        <f t="shared" si="128"/>
        <v/>
      </c>
    </row>
    <row r="1931" spans="7:7">
      <c r="G1931" s="465" t="str">
        <f t="shared" si="128"/>
        <v/>
      </c>
    </row>
    <row r="1932" spans="7:7">
      <c r="G1932" s="465" t="str">
        <f t="shared" si="128"/>
        <v/>
      </c>
    </row>
    <row r="1933" spans="7:7">
      <c r="G1933" s="465" t="str">
        <f t="shared" si="128"/>
        <v/>
      </c>
    </row>
    <row r="1934" spans="7:7">
      <c r="G1934" s="465" t="str">
        <f t="shared" si="128"/>
        <v/>
      </c>
    </row>
    <row r="1935" spans="7:7">
      <c r="G1935" s="465" t="str">
        <f t="shared" si="128"/>
        <v/>
      </c>
    </row>
    <row r="1936" spans="7:7">
      <c r="G1936" s="465" t="str">
        <f t="shared" si="128"/>
        <v/>
      </c>
    </row>
    <row r="1937" spans="7:7">
      <c r="G1937" s="465" t="str">
        <f t="shared" si="128"/>
        <v/>
      </c>
    </row>
    <row r="1938" spans="7:7">
      <c r="G1938" s="465" t="str">
        <f t="shared" si="128"/>
        <v/>
      </c>
    </row>
    <row r="1939" spans="7:7">
      <c r="G1939" s="465" t="str">
        <f t="shared" si="128"/>
        <v/>
      </c>
    </row>
    <row r="1940" spans="7:7">
      <c r="G1940" s="465" t="str">
        <f t="shared" si="128"/>
        <v/>
      </c>
    </row>
    <row r="1941" spans="7:7">
      <c r="G1941" s="465" t="str">
        <f t="shared" si="128"/>
        <v/>
      </c>
    </row>
    <row r="1942" spans="7:7">
      <c r="G1942" s="465" t="str">
        <f t="shared" si="128"/>
        <v/>
      </c>
    </row>
    <row r="1943" spans="7:7">
      <c r="G1943" s="465" t="str">
        <f t="shared" si="128"/>
        <v/>
      </c>
    </row>
    <row r="1944" spans="7:7">
      <c r="G1944" s="465" t="str">
        <f t="shared" si="128"/>
        <v/>
      </c>
    </row>
    <row r="1945" spans="7:7">
      <c r="G1945" s="465" t="str">
        <f t="shared" si="128"/>
        <v/>
      </c>
    </row>
    <row r="1946" spans="7:7">
      <c r="G1946" s="465" t="str">
        <f t="shared" si="128"/>
        <v/>
      </c>
    </row>
    <row r="1947" spans="7:7">
      <c r="G1947" s="465" t="str">
        <f t="shared" si="128"/>
        <v/>
      </c>
    </row>
    <row r="1948" spans="7:7">
      <c r="G1948" s="465" t="str">
        <f t="shared" si="128"/>
        <v/>
      </c>
    </row>
    <row r="1949" spans="7:7">
      <c r="G1949" s="465" t="str">
        <f t="shared" si="128"/>
        <v/>
      </c>
    </row>
    <row r="1950" spans="7:7">
      <c r="G1950" s="465" t="str">
        <f t="shared" si="128"/>
        <v/>
      </c>
    </row>
    <row r="1951" spans="7:7">
      <c r="G1951" s="465" t="str">
        <f t="shared" si="128"/>
        <v/>
      </c>
    </row>
    <row r="1952" spans="7:7">
      <c r="G1952" s="465" t="str">
        <f t="shared" si="128"/>
        <v/>
      </c>
    </row>
    <row r="1953" spans="7:7">
      <c r="G1953" s="465" t="str">
        <f t="shared" si="128"/>
        <v/>
      </c>
    </row>
    <row r="1954" spans="7:7">
      <c r="G1954" s="465" t="str">
        <f t="shared" si="128"/>
        <v/>
      </c>
    </row>
    <row r="1955" spans="7:7">
      <c r="G1955" s="465" t="str">
        <f t="shared" si="128"/>
        <v/>
      </c>
    </row>
    <row r="1956" spans="7:7">
      <c r="G1956" s="465" t="str">
        <f t="shared" si="128"/>
        <v/>
      </c>
    </row>
    <row r="1957" spans="7:7">
      <c r="G1957" s="465" t="str">
        <f t="shared" si="128"/>
        <v/>
      </c>
    </row>
    <row r="1958" spans="7:7">
      <c r="G1958" s="465" t="str">
        <f t="shared" si="128"/>
        <v/>
      </c>
    </row>
    <row r="1959" spans="7:7">
      <c r="G1959" s="465" t="str">
        <f t="shared" si="128"/>
        <v/>
      </c>
    </row>
    <row r="1960" spans="7:7">
      <c r="G1960" s="465" t="str">
        <f t="shared" si="128"/>
        <v/>
      </c>
    </row>
    <row r="1961" spans="7:7">
      <c r="G1961" s="465" t="str">
        <f t="shared" si="128"/>
        <v/>
      </c>
    </row>
    <row r="1962" spans="7:7">
      <c r="G1962" s="465" t="str">
        <f t="shared" si="128"/>
        <v/>
      </c>
    </row>
    <row r="1963" spans="7:7">
      <c r="G1963" s="465" t="str">
        <f t="shared" si="128"/>
        <v/>
      </c>
    </row>
    <row r="1964" spans="7:7">
      <c r="G1964" s="465" t="str">
        <f t="shared" si="128"/>
        <v/>
      </c>
    </row>
    <row r="1965" spans="7:7">
      <c r="G1965" s="465" t="str">
        <f t="shared" si="128"/>
        <v/>
      </c>
    </row>
    <row r="1966" spans="7:7">
      <c r="G1966" s="465" t="str">
        <f t="shared" si="128"/>
        <v/>
      </c>
    </row>
    <row r="1967" spans="7:7">
      <c r="G1967" s="465" t="str">
        <f t="shared" si="128"/>
        <v/>
      </c>
    </row>
    <row r="1968" spans="7:7">
      <c r="G1968" s="465" t="str">
        <f t="shared" si="128"/>
        <v/>
      </c>
    </row>
    <row r="1969" spans="7:7">
      <c r="G1969" s="465" t="str">
        <f t="shared" si="128"/>
        <v/>
      </c>
    </row>
    <row r="1970" spans="7:7">
      <c r="G1970" s="465" t="str">
        <f t="shared" si="128"/>
        <v/>
      </c>
    </row>
    <row r="1971" spans="7:7">
      <c r="G1971" s="465" t="str">
        <f t="shared" si="128"/>
        <v/>
      </c>
    </row>
    <row r="1972" spans="7:7">
      <c r="G1972" s="465" t="str">
        <f t="shared" si="128"/>
        <v/>
      </c>
    </row>
    <row r="1973" spans="7:7">
      <c r="G1973" s="465" t="str">
        <f t="shared" si="128"/>
        <v/>
      </c>
    </row>
    <row r="1974" spans="7:7">
      <c r="G1974" s="465" t="str">
        <f t="shared" si="128"/>
        <v/>
      </c>
    </row>
    <row r="1975" spans="7:7">
      <c r="G1975" s="465" t="str">
        <f t="shared" si="128"/>
        <v/>
      </c>
    </row>
    <row r="1976" spans="7:7">
      <c r="G1976" s="465" t="str">
        <f t="shared" si="128"/>
        <v/>
      </c>
    </row>
    <row r="1977" spans="7:7">
      <c r="G1977" s="465" t="str">
        <f t="shared" si="128"/>
        <v/>
      </c>
    </row>
    <row r="1978" spans="7:7">
      <c r="G1978" s="465" t="str">
        <f t="shared" si="128"/>
        <v/>
      </c>
    </row>
    <row r="1979" spans="7:7">
      <c r="G1979" s="465" t="str">
        <f t="shared" si="128"/>
        <v/>
      </c>
    </row>
    <row r="1980" spans="7:7">
      <c r="G1980" s="465" t="str">
        <f t="shared" si="128"/>
        <v/>
      </c>
    </row>
    <row r="1981" spans="7:7">
      <c r="G1981" s="465" t="str">
        <f t="shared" si="128"/>
        <v/>
      </c>
    </row>
    <row r="1982" spans="7:7">
      <c r="G1982" s="465" t="str">
        <f t="shared" si="128"/>
        <v/>
      </c>
    </row>
    <row r="1983" spans="7:7">
      <c r="G1983" s="465" t="str">
        <f t="shared" si="128"/>
        <v/>
      </c>
    </row>
    <row r="1984" spans="7:7">
      <c r="G1984" s="465" t="str">
        <f t="shared" si="128"/>
        <v/>
      </c>
    </row>
    <row r="1985" spans="7:7">
      <c r="G1985" s="465" t="str">
        <f t="shared" si="128"/>
        <v/>
      </c>
    </row>
    <row r="1986" spans="7:7">
      <c r="G1986" s="465" t="str">
        <f t="shared" si="128"/>
        <v/>
      </c>
    </row>
    <row r="1987" spans="7:7">
      <c r="G1987" s="465" t="str">
        <f t="shared" si="128"/>
        <v/>
      </c>
    </row>
    <row r="1988" spans="7:7">
      <c r="G1988" s="465" t="str">
        <f t="shared" si="128"/>
        <v/>
      </c>
    </row>
    <row r="1989" spans="7:7">
      <c r="G1989" s="465" t="str">
        <f t="shared" si="128"/>
        <v/>
      </c>
    </row>
    <row r="1990" spans="7:7">
      <c r="G1990" s="465" t="str">
        <f t="shared" ref="G1990:G2053" si="129">IF(OR(AND(D1990="",E1990=""),AND(D1990="",F1990="")),"",IF(AND(D1990&lt;&gt;"",E1990&lt;&gt;"",F1990&lt;&gt;""),"REVISAR CÁLCULO",IF(AND(D1990&lt;&gt;"",F1990&lt;&gt;""),ROUND(((F1990-D1990)/30),3),IF(AND(D1990&lt;&gt;"",E1990&lt;&gt;""),ROUND(((E1990-D1990+1)/30),3),""))))</f>
        <v/>
      </c>
    </row>
    <row r="1991" spans="7:7">
      <c r="G1991" s="465" t="str">
        <f t="shared" si="129"/>
        <v/>
      </c>
    </row>
    <row r="1992" spans="7:7">
      <c r="G1992" s="465" t="str">
        <f t="shared" si="129"/>
        <v/>
      </c>
    </row>
    <row r="1993" spans="7:7">
      <c r="G1993" s="465" t="str">
        <f t="shared" si="129"/>
        <v/>
      </c>
    </row>
    <row r="1994" spans="7:7">
      <c r="G1994" s="465" t="str">
        <f t="shared" si="129"/>
        <v/>
      </c>
    </row>
    <row r="1995" spans="7:7">
      <c r="G1995" s="465" t="str">
        <f t="shared" si="129"/>
        <v/>
      </c>
    </row>
    <row r="1996" spans="7:7">
      <c r="G1996" s="465" t="str">
        <f t="shared" si="129"/>
        <v/>
      </c>
    </row>
    <row r="1997" spans="7:7">
      <c r="G1997" s="465" t="str">
        <f t="shared" si="129"/>
        <v/>
      </c>
    </row>
    <row r="1998" spans="7:7">
      <c r="G1998" s="465" t="str">
        <f t="shared" si="129"/>
        <v/>
      </c>
    </row>
    <row r="1999" spans="7:7">
      <c r="G1999" s="465" t="str">
        <f t="shared" si="129"/>
        <v/>
      </c>
    </row>
    <row r="2000" spans="7:7">
      <c r="G2000" s="465" t="str">
        <f t="shared" si="129"/>
        <v/>
      </c>
    </row>
    <row r="2001" spans="7:7">
      <c r="G2001" s="465" t="str">
        <f t="shared" si="129"/>
        <v/>
      </c>
    </row>
    <row r="2002" spans="7:7">
      <c r="G2002" s="465" t="str">
        <f t="shared" si="129"/>
        <v/>
      </c>
    </row>
    <row r="2003" spans="7:7">
      <c r="G2003" s="465" t="str">
        <f t="shared" si="129"/>
        <v/>
      </c>
    </row>
    <row r="2004" spans="7:7">
      <c r="G2004" s="465" t="str">
        <f t="shared" si="129"/>
        <v/>
      </c>
    </row>
    <row r="2005" spans="7:7">
      <c r="G2005" s="465" t="str">
        <f t="shared" si="129"/>
        <v/>
      </c>
    </row>
    <row r="2006" spans="7:7">
      <c r="G2006" s="465" t="str">
        <f t="shared" si="129"/>
        <v/>
      </c>
    </row>
    <row r="2007" spans="7:7">
      <c r="G2007" s="465" t="str">
        <f t="shared" si="129"/>
        <v/>
      </c>
    </row>
    <row r="2008" spans="7:7">
      <c r="G2008" s="465" t="str">
        <f t="shared" si="129"/>
        <v/>
      </c>
    </row>
    <row r="2009" spans="7:7">
      <c r="G2009" s="465" t="str">
        <f t="shared" si="129"/>
        <v/>
      </c>
    </row>
    <row r="2010" spans="7:7">
      <c r="G2010" s="465" t="str">
        <f t="shared" si="129"/>
        <v/>
      </c>
    </row>
    <row r="2011" spans="7:7">
      <c r="G2011" s="465" t="str">
        <f t="shared" si="129"/>
        <v/>
      </c>
    </row>
    <row r="2012" spans="7:7">
      <c r="G2012" s="465" t="str">
        <f t="shared" si="129"/>
        <v/>
      </c>
    </row>
    <row r="2013" spans="7:7">
      <c r="G2013" s="465" t="str">
        <f t="shared" si="129"/>
        <v/>
      </c>
    </row>
    <row r="2014" spans="7:7">
      <c r="G2014" s="465" t="str">
        <f t="shared" si="129"/>
        <v/>
      </c>
    </row>
    <row r="2015" spans="7:7">
      <c r="G2015" s="465" t="str">
        <f t="shared" si="129"/>
        <v/>
      </c>
    </row>
    <row r="2016" spans="7:7">
      <c r="G2016" s="465" t="str">
        <f t="shared" si="129"/>
        <v/>
      </c>
    </row>
    <row r="2017" spans="7:7">
      <c r="G2017" s="465" t="str">
        <f t="shared" si="129"/>
        <v/>
      </c>
    </row>
    <row r="2018" spans="7:7">
      <c r="G2018" s="465" t="str">
        <f t="shared" si="129"/>
        <v/>
      </c>
    </row>
    <row r="2019" spans="7:7">
      <c r="G2019" s="465" t="str">
        <f t="shared" si="129"/>
        <v/>
      </c>
    </row>
    <row r="2020" spans="7:7">
      <c r="G2020" s="465" t="str">
        <f t="shared" si="129"/>
        <v/>
      </c>
    </row>
    <row r="2021" spans="7:7">
      <c r="G2021" s="465" t="str">
        <f t="shared" si="129"/>
        <v/>
      </c>
    </row>
    <row r="2022" spans="7:7">
      <c r="G2022" s="465" t="str">
        <f t="shared" si="129"/>
        <v/>
      </c>
    </row>
    <row r="2023" spans="7:7">
      <c r="G2023" s="465" t="str">
        <f t="shared" si="129"/>
        <v/>
      </c>
    </row>
    <row r="2024" spans="7:7">
      <c r="G2024" s="465" t="str">
        <f t="shared" si="129"/>
        <v/>
      </c>
    </row>
    <row r="2025" spans="7:7">
      <c r="G2025" s="465" t="str">
        <f t="shared" si="129"/>
        <v/>
      </c>
    </row>
    <row r="2026" spans="7:7">
      <c r="G2026" s="465" t="str">
        <f t="shared" si="129"/>
        <v/>
      </c>
    </row>
    <row r="2027" spans="7:7">
      <c r="G2027" s="465" t="str">
        <f t="shared" si="129"/>
        <v/>
      </c>
    </row>
    <row r="2028" spans="7:7">
      <c r="G2028" s="465" t="str">
        <f t="shared" si="129"/>
        <v/>
      </c>
    </row>
    <row r="2029" spans="7:7">
      <c r="G2029" s="465" t="str">
        <f t="shared" si="129"/>
        <v/>
      </c>
    </row>
    <row r="2030" spans="7:7">
      <c r="G2030" s="465" t="str">
        <f t="shared" si="129"/>
        <v/>
      </c>
    </row>
    <row r="2031" spans="7:7">
      <c r="G2031" s="465" t="str">
        <f t="shared" si="129"/>
        <v/>
      </c>
    </row>
    <row r="2032" spans="7:7">
      <c r="G2032" s="465" t="str">
        <f t="shared" si="129"/>
        <v/>
      </c>
    </row>
    <row r="2033" spans="7:7">
      <c r="G2033" s="465" t="str">
        <f t="shared" si="129"/>
        <v/>
      </c>
    </row>
    <row r="2034" spans="7:7">
      <c r="G2034" s="465" t="str">
        <f t="shared" si="129"/>
        <v/>
      </c>
    </row>
    <row r="2035" spans="7:7">
      <c r="G2035" s="465" t="str">
        <f t="shared" si="129"/>
        <v/>
      </c>
    </row>
    <row r="2036" spans="7:7">
      <c r="G2036" s="465" t="str">
        <f t="shared" si="129"/>
        <v/>
      </c>
    </row>
    <row r="2037" spans="7:7">
      <c r="G2037" s="465" t="str">
        <f t="shared" si="129"/>
        <v/>
      </c>
    </row>
    <row r="2038" spans="7:7">
      <c r="G2038" s="465" t="str">
        <f t="shared" si="129"/>
        <v/>
      </c>
    </row>
    <row r="2039" spans="7:7">
      <c r="G2039" s="465" t="str">
        <f t="shared" si="129"/>
        <v/>
      </c>
    </row>
    <row r="2040" spans="7:7">
      <c r="G2040" s="465" t="str">
        <f t="shared" si="129"/>
        <v/>
      </c>
    </row>
    <row r="2041" spans="7:7">
      <c r="G2041" s="465" t="str">
        <f t="shared" si="129"/>
        <v/>
      </c>
    </row>
    <row r="2042" spans="7:7">
      <c r="G2042" s="465" t="str">
        <f t="shared" si="129"/>
        <v/>
      </c>
    </row>
    <row r="2043" spans="7:7">
      <c r="G2043" s="465" t="str">
        <f t="shared" si="129"/>
        <v/>
      </c>
    </row>
    <row r="2044" spans="7:7">
      <c r="G2044" s="465" t="str">
        <f t="shared" si="129"/>
        <v/>
      </c>
    </row>
    <row r="2045" spans="7:7">
      <c r="G2045" s="465" t="str">
        <f t="shared" si="129"/>
        <v/>
      </c>
    </row>
    <row r="2046" spans="7:7">
      <c r="G2046" s="465" t="str">
        <f t="shared" si="129"/>
        <v/>
      </c>
    </row>
    <row r="2047" spans="7:7">
      <c r="G2047" s="465" t="str">
        <f t="shared" si="129"/>
        <v/>
      </c>
    </row>
    <row r="2048" spans="7:7">
      <c r="G2048" s="465" t="str">
        <f t="shared" si="129"/>
        <v/>
      </c>
    </row>
    <row r="2049" spans="7:7">
      <c r="G2049" s="465" t="str">
        <f t="shared" si="129"/>
        <v/>
      </c>
    </row>
    <row r="2050" spans="7:7">
      <c r="G2050" s="465" t="str">
        <f t="shared" si="129"/>
        <v/>
      </c>
    </row>
    <row r="2051" spans="7:7">
      <c r="G2051" s="465" t="str">
        <f t="shared" si="129"/>
        <v/>
      </c>
    </row>
    <row r="2052" spans="7:7">
      <c r="G2052" s="465" t="str">
        <f t="shared" si="129"/>
        <v/>
      </c>
    </row>
    <row r="2053" spans="7:7">
      <c r="G2053" s="465" t="str">
        <f t="shared" si="129"/>
        <v/>
      </c>
    </row>
    <row r="2054" spans="7:7">
      <c r="G2054" s="465" t="str">
        <f t="shared" ref="G2054:G2104" si="130">IF(OR(AND(D2054="",E2054=""),AND(D2054="",F2054="")),"",IF(AND(D2054&lt;&gt;"",E2054&lt;&gt;"",F2054&lt;&gt;""),"REVISAR CÁLCULO",IF(AND(D2054&lt;&gt;"",F2054&lt;&gt;""),ROUND(((F2054-D2054)/30),3),IF(AND(D2054&lt;&gt;"",E2054&lt;&gt;""),ROUND(((E2054-D2054+1)/30),3),""))))</f>
        <v/>
      </c>
    </row>
    <row r="2055" spans="7:7">
      <c r="G2055" s="465" t="str">
        <f t="shared" si="130"/>
        <v/>
      </c>
    </row>
    <row r="2056" spans="7:7">
      <c r="G2056" s="465" t="str">
        <f t="shared" si="130"/>
        <v/>
      </c>
    </row>
    <row r="2057" spans="7:7">
      <c r="G2057" s="465" t="str">
        <f t="shared" si="130"/>
        <v/>
      </c>
    </row>
    <row r="2058" spans="7:7">
      <c r="G2058" s="465" t="str">
        <f t="shared" si="130"/>
        <v/>
      </c>
    </row>
    <row r="2059" spans="7:7">
      <c r="G2059" s="465" t="str">
        <f t="shared" si="130"/>
        <v/>
      </c>
    </row>
    <row r="2060" spans="7:7">
      <c r="G2060" s="465" t="str">
        <f t="shared" si="130"/>
        <v/>
      </c>
    </row>
    <row r="2061" spans="7:7">
      <c r="G2061" s="465" t="str">
        <f t="shared" si="130"/>
        <v/>
      </c>
    </row>
    <row r="2062" spans="7:7">
      <c r="G2062" s="465" t="str">
        <f t="shared" si="130"/>
        <v/>
      </c>
    </row>
    <row r="2063" spans="7:7">
      <c r="G2063" s="465" t="str">
        <f t="shared" si="130"/>
        <v/>
      </c>
    </row>
    <row r="2064" spans="7:7">
      <c r="G2064" s="465" t="str">
        <f t="shared" si="130"/>
        <v/>
      </c>
    </row>
    <row r="2065" spans="7:7">
      <c r="G2065" s="465" t="str">
        <f t="shared" si="130"/>
        <v/>
      </c>
    </row>
    <row r="2066" spans="7:7">
      <c r="G2066" s="465" t="str">
        <f t="shared" si="130"/>
        <v/>
      </c>
    </row>
    <row r="2067" spans="7:7">
      <c r="G2067" s="465" t="str">
        <f t="shared" si="130"/>
        <v/>
      </c>
    </row>
    <row r="2068" spans="7:7">
      <c r="G2068" s="465" t="str">
        <f t="shared" si="130"/>
        <v/>
      </c>
    </row>
    <row r="2069" spans="7:7">
      <c r="G2069" s="465" t="str">
        <f t="shared" si="130"/>
        <v/>
      </c>
    </row>
    <row r="2070" spans="7:7">
      <c r="G2070" s="465" t="str">
        <f t="shared" si="130"/>
        <v/>
      </c>
    </row>
    <row r="2071" spans="7:7">
      <c r="G2071" s="465" t="str">
        <f t="shared" si="130"/>
        <v/>
      </c>
    </row>
    <row r="2072" spans="7:7">
      <c r="G2072" s="465" t="str">
        <f t="shared" si="130"/>
        <v/>
      </c>
    </row>
    <row r="2073" spans="7:7">
      <c r="G2073" s="465" t="str">
        <f t="shared" si="130"/>
        <v/>
      </c>
    </row>
    <row r="2074" spans="7:7">
      <c r="G2074" s="465" t="str">
        <f t="shared" si="130"/>
        <v/>
      </c>
    </row>
    <row r="2075" spans="7:7">
      <c r="G2075" s="465" t="str">
        <f t="shared" si="130"/>
        <v/>
      </c>
    </row>
    <row r="2076" spans="7:7">
      <c r="G2076" s="465" t="str">
        <f t="shared" si="130"/>
        <v/>
      </c>
    </row>
    <row r="2077" spans="7:7">
      <c r="G2077" s="465" t="str">
        <f t="shared" si="130"/>
        <v/>
      </c>
    </row>
    <row r="2078" spans="7:7">
      <c r="G2078" s="465" t="str">
        <f t="shared" si="130"/>
        <v/>
      </c>
    </row>
    <row r="2079" spans="7:7">
      <c r="G2079" s="465" t="str">
        <f t="shared" si="130"/>
        <v/>
      </c>
    </row>
    <row r="2080" spans="7:7">
      <c r="G2080" s="465" t="str">
        <f t="shared" si="130"/>
        <v/>
      </c>
    </row>
    <row r="2081" spans="7:7">
      <c r="G2081" s="465" t="str">
        <f t="shared" si="130"/>
        <v/>
      </c>
    </row>
    <row r="2082" spans="7:7">
      <c r="G2082" s="465" t="str">
        <f t="shared" si="130"/>
        <v/>
      </c>
    </row>
    <row r="2083" spans="7:7">
      <c r="G2083" s="465" t="str">
        <f t="shared" si="130"/>
        <v/>
      </c>
    </row>
    <row r="2084" spans="7:7">
      <c r="G2084" s="465" t="str">
        <f t="shared" si="130"/>
        <v/>
      </c>
    </row>
    <row r="2085" spans="7:7">
      <c r="G2085" s="465" t="str">
        <f t="shared" si="130"/>
        <v/>
      </c>
    </row>
    <row r="2086" spans="7:7">
      <c r="G2086" s="465" t="str">
        <f t="shared" si="130"/>
        <v/>
      </c>
    </row>
    <row r="2087" spans="7:7">
      <c r="G2087" s="465" t="str">
        <f t="shared" si="130"/>
        <v/>
      </c>
    </row>
    <row r="2088" spans="7:7">
      <c r="G2088" s="465" t="str">
        <f t="shared" si="130"/>
        <v/>
      </c>
    </row>
    <row r="2089" spans="7:7">
      <c r="G2089" s="465" t="str">
        <f t="shared" si="130"/>
        <v/>
      </c>
    </row>
    <row r="2090" spans="7:7">
      <c r="G2090" s="465" t="str">
        <f t="shared" si="130"/>
        <v/>
      </c>
    </row>
    <row r="2091" spans="7:7">
      <c r="G2091" s="465" t="str">
        <f t="shared" si="130"/>
        <v/>
      </c>
    </row>
    <row r="2092" spans="7:7">
      <c r="G2092" s="465" t="str">
        <f t="shared" si="130"/>
        <v/>
      </c>
    </row>
    <row r="2093" spans="7:7">
      <c r="G2093" s="465" t="str">
        <f t="shared" si="130"/>
        <v/>
      </c>
    </row>
    <row r="2094" spans="7:7">
      <c r="G2094" s="465" t="str">
        <f t="shared" si="130"/>
        <v/>
      </c>
    </row>
    <row r="2095" spans="7:7">
      <c r="G2095" s="465" t="str">
        <f t="shared" si="130"/>
        <v/>
      </c>
    </row>
    <row r="2096" spans="7:7">
      <c r="G2096" s="465" t="str">
        <f t="shared" si="130"/>
        <v/>
      </c>
    </row>
    <row r="2097" spans="7:7">
      <c r="G2097" s="465" t="str">
        <f t="shared" si="130"/>
        <v/>
      </c>
    </row>
    <row r="2098" spans="7:7">
      <c r="G2098" s="465" t="str">
        <f t="shared" si="130"/>
        <v/>
      </c>
    </row>
    <row r="2099" spans="7:7">
      <c r="G2099" s="465" t="str">
        <f t="shared" si="130"/>
        <v/>
      </c>
    </row>
    <row r="2100" spans="7:7">
      <c r="G2100" s="465" t="str">
        <f t="shared" si="130"/>
        <v/>
      </c>
    </row>
    <row r="2101" spans="7:7">
      <c r="G2101" s="465" t="str">
        <f t="shared" si="130"/>
        <v/>
      </c>
    </row>
    <row r="2102" spans="7:7">
      <c r="G2102" s="465" t="str">
        <f t="shared" si="130"/>
        <v/>
      </c>
    </row>
    <row r="2103" spans="7:7">
      <c r="G2103" s="465" t="str">
        <f t="shared" si="130"/>
        <v/>
      </c>
    </row>
    <row r="2104" spans="7:7">
      <c r="G2104" s="465" t="str">
        <f t="shared" si="130"/>
        <v/>
      </c>
    </row>
  </sheetData>
  <mergeCells count="1107">
    <mergeCell ref="B2:O2"/>
    <mergeCell ref="L4:O4"/>
    <mergeCell ref="N5:O5"/>
    <mergeCell ref="L6:L15"/>
    <mergeCell ref="N6:O6"/>
    <mergeCell ref="N7:O7"/>
    <mergeCell ref="N8:O8"/>
    <mergeCell ref="N9:O9"/>
    <mergeCell ref="N10:O10"/>
    <mergeCell ref="N11:O11"/>
    <mergeCell ref="N30:O30"/>
    <mergeCell ref="N31:O31"/>
    <mergeCell ref="N32:O32"/>
    <mergeCell ref="N33:O33"/>
    <mergeCell ref="N34:O34"/>
    <mergeCell ref="N35:O35"/>
    <mergeCell ref="N21:O21"/>
    <mergeCell ref="N22:O22"/>
    <mergeCell ref="N23:O23"/>
    <mergeCell ref="N24:O24"/>
    <mergeCell ref="N25:O25"/>
    <mergeCell ref="L26:L35"/>
    <mergeCell ref="N26:O26"/>
    <mergeCell ref="N27:O27"/>
    <mergeCell ref="N28:O28"/>
    <mergeCell ref="N29:O29"/>
    <mergeCell ref="N12:O12"/>
    <mergeCell ref="N13:O13"/>
    <mergeCell ref="N14:O14"/>
    <mergeCell ref="N15:O15"/>
    <mergeCell ref="L16:L25"/>
    <mergeCell ref="N16:O16"/>
    <mergeCell ref="N17:O17"/>
    <mergeCell ref="N18:O18"/>
    <mergeCell ref="N19:O19"/>
    <mergeCell ref="N20:O20"/>
    <mergeCell ref="N45:O45"/>
    <mergeCell ref="L46:L55"/>
    <mergeCell ref="N46:O46"/>
    <mergeCell ref="N47:O47"/>
    <mergeCell ref="N48:O48"/>
    <mergeCell ref="N49:O49"/>
    <mergeCell ref="N50:O50"/>
    <mergeCell ref="N51:O51"/>
    <mergeCell ref="N52:O52"/>
    <mergeCell ref="N53:O53"/>
    <mergeCell ref="L36:L45"/>
    <mergeCell ref="N36:O36"/>
    <mergeCell ref="N37:O37"/>
    <mergeCell ref="N38:O38"/>
    <mergeCell ref="N39:O39"/>
    <mergeCell ref="N40:O40"/>
    <mergeCell ref="N41:O41"/>
    <mergeCell ref="N42:O42"/>
    <mergeCell ref="N43:O43"/>
    <mergeCell ref="N44:O44"/>
    <mergeCell ref="N63:O63"/>
    <mergeCell ref="N64:O64"/>
    <mergeCell ref="N65:O65"/>
    <mergeCell ref="L66:L75"/>
    <mergeCell ref="N66:O66"/>
    <mergeCell ref="N67:O67"/>
    <mergeCell ref="N68:O68"/>
    <mergeCell ref="N69:O69"/>
    <mergeCell ref="N70:O70"/>
    <mergeCell ref="N71:O71"/>
    <mergeCell ref="N54:O54"/>
    <mergeCell ref="N55:O55"/>
    <mergeCell ref="L56:L65"/>
    <mergeCell ref="N56:O56"/>
    <mergeCell ref="N57:O57"/>
    <mergeCell ref="N58:O58"/>
    <mergeCell ref="N59:O59"/>
    <mergeCell ref="N60:O60"/>
    <mergeCell ref="N61:O61"/>
    <mergeCell ref="N62:O62"/>
    <mergeCell ref="N90:O90"/>
    <mergeCell ref="N91:O91"/>
    <mergeCell ref="N92:O92"/>
    <mergeCell ref="N93:O93"/>
    <mergeCell ref="N94:O94"/>
    <mergeCell ref="N95:O95"/>
    <mergeCell ref="N81:O81"/>
    <mergeCell ref="N82:O82"/>
    <mergeCell ref="N83:O83"/>
    <mergeCell ref="N84:O84"/>
    <mergeCell ref="N85:O85"/>
    <mergeCell ref="L86:L95"/>
    <mergeCell ref="N86:O86"/>
    <mergeCell ref="N87:O87"/>
    <mergeCell ref="N88:O88"/>
    <mergeCell ref="N89:O89"/>
    <mergeCell ref="N72:O72"/>
    <mergeCell ref="N73:O73"/>
    <mergeCell ref="N74:O74"/>
    <mergeCell ref="N75:O75"/>
    <mergeCell ref="L76:L85"/>
    <mergeCell ref="N76:O76"/>
    <mergeCell ref="N77:O77"/>
    <mergeCell ref="N78:O78"/>
    <mergeCell ref="N79:O79"/>
    <mergeCell ref="N80:O80"/>
    <mergeCell ref="N105:O105"/>
    <mergeCell ref="L106:L115"/>
    <mergeCell ref="N106:O106"/>
    <mergeCell ref="N107:O107"/>
    <mergeCell ref="N108:O108"/>
    <mergeCell ref="N109:O109"/>
    <mergeCell ref="N110:O110"/>
    <mergeCell ref="N111:O111"/>
    <mergeCell ref="N112:O112"/>
    <mergeCell ref="N113:O113"/>
    <mergeCell ref="L96:L105"/>
    <mergeCell ref="N96:O96"/>
    <mergeCell ref="N97:O97"/>
    <mergeCell ref="N98:O98"/>
    <mergeCell ref="N99:O99"/>
    <mergeCell ref="N100:O100"/>
    <mergeCell ref="N101:O101"/>
    <mergeCell ref="N102:O102"/>
    <mergeCell ref="N103:O103"/>
    <mergeCell ref="N104:O104"/>
    <mergeCell ref="N123:O123"/>
    <mergeCell ref="N124:O124"/>
    <mergeCell ref="N125:O125"/>
    <mergeCell ref="L126:L135"/>
    <mergeCell ref="N126:O126"/>
    <mergeCell ref="N127:O127"/>
    <mergeCell ref="N128:O128"/>
    <mergeCell ref="N129:O129"/>
    <mergeCell ref="N130:O130"/>
    <mergeCell ref="N131:O131"/>
    <mergeCell ref="N114:O114"/>
    <mergeCell ref="N115:O115"/>
    <mergeCell ref="L116:L125"/>
    <mergeCell ref="N116:O116"/>
    <mergeCell ref="N117:O117"/>
    <mergeCell ref="N118:O118"/>
    <mergeCell ref="N119:O119"/>
    <mergeCell ref="N120:O120"/>
    <mergeCell ref="N121:O121"/>
    <mergeCell ref="N122:O122"/>
    <mergeCell ref="N150:O150"/>
    <mergeCell ref="N151:O151"/>
    <mergeCell ref="N152:O152"/>
    <mergeCell ref="N153:O153"/>
    <mergeCell ref="N154:O154"/>
    <mergeCell ref="N155:O155"/>
    <mergeCell ref="N141:O141"/>
    <mergeCell ref="N142:O142"/>
    <mergeCell ref="N143:O143"/>
    <mergeCell ref="N144:O144"/>
    <mergeCell ref="N145:O145"/>
    <mergeCell ref="L146:L155"/>
    <mergeCell ref="N146:O146"/>
    <mergeCell ref="N147:O147"/>
    <mergeCell ref="N148:O148"/>
    <mergeCell ref="N149:O149"/>
    <mergeCell ref="N132:O132"/>
    <mergeCell ref="N133:O133"/>
    <mergeCell ref="N134:O134"/>
    <mergeCell ref="N135:O135"/>
    <mergeCell ref="L136:L145"/>
    <mergeCell ref="N136:O136"/>
    <mergeCell ref="N137:O137"/>
    <mergeCell ref="N138:O138"/>
    <mergeCell ref="N139:O139"/>
    <mergeCell ref="N140:O140"/>
    <mergeCell ref="N165:O165"/>
    <mergeCell ref="L166:L175"/>
    <mergeCell ref="N166:O166"/>
    <mergeCell ref="N167:O167"/>
    <mergeCell ref="N168:O168"/>
    <mergeCell ref="N169:O169"/>
    <mergeCell ref="N170:O170"/>
    <mergeCell ref="N171:O171"/>
    <mergeCell ref="N172:O172"/>
    <mergeCell ref="N173:O173"/>
    <mergeCell ref="L156:L165"/>
    <mergeCell ref="N156:O156"/>
    <mergeCell ref="N157:O157"/>
    <mergeCell ref="N158:O158"/>
    <mergeCell ref="N159:O159"/>
    <mergeCell ref="N160:O160"/>
    <mergeCell ref="N161:O161"/>
    <mergeCell ref="N162:O162"/>
    <mergeCell ref="N163:O163"/>
    <mergeCell ref="N164:O164"/>
    <mergeCell ref="N183:O183"/>
    <mergeCell ref="N184:O184"/>
    <mergeCell ref="N185:O185"/>
    <mergeCell ref="L186:L195"/>
    <mergeCell ref="N186:O186"/>
    <mergeCell ref="N187:O187"/>
    <mergeCell ref="N188:O188"/>
    <mergeCell ref="N189:O189"/>
    <mergeCell ref="N190:O190"/>
    <mergeCell ref="N191:O191"/>
    <mergeCell ref="N174:O174"/>
    <mergeCell ref="N175:O175"/>
    <mergeCell ref="L176:L185"/>
    <mergeCell ref="N176:O176"/>
    <mergeCell ref="N177:O177"/>
    <mergeCell ref="N178:O178"/>
    <mergeCell ref="N179:O179"/>
    <mergeCell ref="N180:O180"/>
    <mergeCell ref="N181:O181"/>
    <mergeCell ref="N182:O182"/>
    <mergeCell ref="N210:O210"/>
    <mergeCell ref="N211:O211"/>
    <mergeCell ref="N212:O212"/>
    <mergeCell ref="N213:O213"/>
    <mergeCell ref="N214:O214"/>
    <mergeCell ref="N215:O215"/>
    <mergeCell ref="N201:O201"/>
    <mergeCell ref="N202:O202"/>
    <mergeCell ref="N203:O203"/>
    <mergeCell ref="N204:O204"/>
    <mergeCell ref="N205:O205"/>
    <mergeCell ref="L206:L215"/>
    <mergeCell ref="N206:O206"/>
    <mergeCell ref="N207:O207"/>
    <mergeCell ref="N208:O208"/>
    <mergeCell ref="N209:O209"/>
    <mergeCell ref="N192:O192"/>
    <mergeCell ref="N193:O193"/>
    <mergeCell ref="N194:O194"/>
    <mergeCell ref="N195:O195"/>
    <mergeCell ref="L196:L205"/>
    <mergeCell ref="N196:O196"/>
    <mergeCell ref="N197:O197"/>
    <mergeCell ref="N198:O198"/>
    <mergeCell ref="N199:O199"/>
    <mergeCell ref="N200:O200"/>
    <mergeCell ref="N225:O225"/>
    <mergeCell ref="L226:L235"/>
    <mergeCell ref="N226:O226"/>
    <mergeCell ref="N227:O227"/>
    <mergeCell ref="N228:O228"/>
    <mergeCell ref="N229:O229"/>
    <mergeCell ref="N230:O230"/>
    <mergeCell ref="N231:O231"/>
    <mergeCell ref="N232:O232"/>
    <mergeCell ref="N233:O233"/>
    <mergeCell ref="L216:L225"/>
    <mergeCell ref="N216:O216"/>
    <mergeCell ref="N217:O217"/>
    <mergeCell ref="N218:O218"/>
    <mergeCell ref="N219:O219"/>
    <mergeCell ref="N220:O220"/>
    <mergeCell ref="N221:O221"/>
    <mergeCell ref="N222:O222"/>
    <mergeCell ref="N223:O223"/>
    <mergeCell ref="N224:O224"/>
    <mergeCell ref="N243:O243"/>
    <mergeCell ref="N244:O244"/>
    <mergeCell ref="N245:O245"/>
    <mergeCell ref="L246:L255"/>
    <mergeCell ref="N246:O246"/>
    <mergeCell ref="N247:O247"/>
    <mergeCell ref="N248:O248"/>
    <mergeCell ref="N249:O249"/>
    <mergeCell ref="N250:O250"/>
    <mergeCell ref="N251:O251"/>
    <mergeCell ref="N234:O234"/>
    <mergeCell ref="N235:O235"/>
    <mergeCell ref="L236:L245"/>
    <mergeCell ref="N236:O236"/>
    <mergeCell ref="N237:O237"/>
    <mergeCell ref="N238:O238"/>
    <mergeCell ref="N239:O239"/>
    <mergeCell ref="N240:O240"/>
    <mergeCell ref="N241:O241"/>
    <mergeCell ref="N242:O242"/>
    <mergeCell ref="N270:O270"/>
    <mergeCell ref="N271:O271"/>
    <mergeCell ref="N272:O272"/>
    <mergeCell ref="N273:O273"/>
    <mergeCell ref="N274:O274"/>
    <mergeCell ref="N275:O275"/>
    <mergeCell ref="N261:O261"/>
    <mergeCell ref="N262:O262"/>
    <mergeCell ref="N263:O263"/>
    <mergeCell ref="N264:O264"/>
    <mergeCell ref="N265:O265"/>
    <mergeCell ref="L266:L275"/>
    <mergeCell ref="N266:O266"/>
    <mergeCell ref="N267:O267"/>
    <mergeCell ref="N268:O268"/>
    <mergeCell ref="N269:O269"/>
    <mergeCell ref="N252:O252"/>
    <mergeCell ref="N253:O253"/>
    <mergeCell ref="N254:O254"/>
    <mergeCell ref="N255:O255"/>
    <mergeCell ref="L256:L265"/>
    <mergeCell ref="N256:O256"/>
    <mergeCell ref="N257:O257"/>
    <mergeCell ref="N258:O258"/>
    <mergeCell ref="N259:O259"/>
    <mergeCell ref="N260:O260"/>
    <mergeCell ref="N285:O285"/>
    <mergeCell ref="L286:L295"/>
    <mergeCell ref="N286:O286"/>
    <mergeCell ref="N287:O287"/>
    <mergeCell ref="N288:O288"/>
    <mergeCell ref="N289:O289"/>
    <mergeCell ref="N290:O290"/>
    <mergeCell ref="N291:O291"/>
    <mergeCell ref="N292:O292"/>
    <mergeCell ref="N293:O293"/>
    <mergeCell ref="L276:L285"/>
    <mergeCell ref="N276:O276"/>
    <mergeCell ref="N277:O277"/>
    <mergeCell ref="N278:O278"/>
    <mergeCell ref="N279:O279"/>
    <mergeCell ref="N280:O280"/>
    <mergeCell ref="N281:O281"/>
    <mergeCell ref="N282:O282"/>
    <mergeCell ref="N283:O283"/>
    <mergeCell ref="N284:O284"/>
    <mergeCell ref="N303:O303"/>
    <mergeCell ref="N304:O304"/>
    <mergeCell ref="N305:O305"/>
    <mergeCell ref="L306:L315"/>
    <mergeCell ref="N306:O306"/>
    <mergeCell ref="N307:O307"/>
    <mergeCell ref="N308:O308"/>
    <mergeCell ref="N309:O309"/>
    <mergeCell ref="N310:O310"/>
    <mergeCell ref="N311:O311"/>
    <mergeCell ref="N294:O294"/>
    <mergeCell ref="N295:O295"/>
    <mergeCell ref="L296:L305"/>
    <mergeCell ref="N296:O296"/>
    <mergeCell ref="N297:O297"/>
    <mergeCell ref="N298:O298"/>
    <mergeCell ref="N299:O299"/>
    <mergeCell ref="N300:O300"/>
    <mergeCell ref="N301:O301"/>
    <mergeCell ref="N302:O302"/>
    <mergeCell ref="N330:O330"/>
    <mergeCell ref="N331:O331"/>
    <mergeCell ref="N332:O332"/>
    <mergeCell ref="N333:O333"/>
    <mergeCell ref="N334:O334"/>
    <mergeCell ref="N335:O335"/>
    <mergeCell ref="N321:O321"/>
    <mergeCell ref="N322:O322"/>
    <mergeCell ref="N323:O323"/>
    <mergeCell ref="N324:O324"/>
    <mergeCell ref="N325:O325"/>
    <mergeCell ref="L326:L335"/>
    <mergeCell ref="N326:O326"/>
    <mergeCell ref="N327:O327"/>
    <mergeCell ref="N328:O328"/>
    <mergeCell ref="N329:O329"/>
    <mergeCell ref="N312:O312"/>
    <mergeCell ref="N313:O313"/>
    <mergeCell ref="N314:O314"/>
    <mergeCell ref="N315:O315"/>
    <mergeCell ref="L316:L325"/>
    <mergeCell ref="N316:O316"/>
    <mergeCell ref="N317:O317"/>
    <mergeCell ref="N318:O318"/>
    <mergeCell ref="N319:O319"/>
    <mergeCell ref="N320:O320"/>
    <mergeCell ref="N345:O345"/>
    <mergeCell ref="L346:L355"/>
    <mergeCell ref="N346:O346"/>
    <mergeCell ref="N347:O347"/>
    <mergeCell ref="N348:O348"/>
    <mergeCell ref="N349:O349"/>
    <mergeCell ref="N350:O350"/>
    <mergeCell ref="N351:O351"/>
    <mergeCell ref="N352:O352"/>
    <mergeCell ref="N353:O353"/>
    <mergeCell ref="L336:L345"/>
    <mergeCell ref="N336:O336"/>
    <mergeCell ref="N337:O337"/>
    <mergeCell ref="N338:O338"/>
    <mergeCell ref="N339:O339"/>
    <mergeCell ref="N340:O340"/>
    <mergeCell ref="N341:O341"/>
    <mergeCell ref="N342:O342"/>
    <mergeCell ref="N343:O343"/>
    <mergeCell ref="N344:O344"/>
    <mergeCell ref="N363:O363"/>
    <mergeCell ref="N364:O364"/>
    <mergeCell ref="N365:O365"/>
    <mergeCell ref="L366:L375"/>
    <mergeCell ref="N366:O366"/>
    <mergeCell ref="N367:O367"/>
    <mergeCell ref="N368:O368"/>
    <mergeCell ref="N369:O369"/>
    <mergeCell ref="N370:O370"/>
    <mergeCell ref="N371:O371"/>
    <mergeCell ref="N354:O354"/>
    <mergeCell ref="N355:O355"/>
    <mergeCell ref="L356:L365"/>
    <mergeCell ref="N356:O356"/>
    <mergeCell ref="N357:O357"/>
    <mergeCell ref="N358:O358"/>
    <mergeCell ref="N359:O359"/>
    <mergeCell ref="N360:O360"/>
    <mergeCell ref="N361:O361"/>
    <mergeCell ref="N362:O362"/>
    <mergeCell ref="N390:O390"/>
    <mergeCell ref="N391:O391"/>
    <mergeCell ref="N392:O392"/>
    <mergeCell ref="N393:O393"/>
    <mergeCell ref="N394:O394"/>
    <mergeCell ref="N395:O395"/>
    <mergeCell ref="N381:O381"/>
    <mergeCell ref="N382:O382"/>
    <mergeCell ref="N383:O383"/>
    <mergeCell ref="N384:O384"/>
    <mergeCell ref="N385:O385"/>
    <mergeCell ref="L386:L395"/>
    <mergeCell ref="N386:O386"/>
    <mergeCell ref="N387:O387"/>
    <mergeCell ref="N388:O388"/>
    <mergeCell ref="N389:O389"/>
    <mergeCell ref="N372:O372"/>
    <mergeCell ref="N373:O373"/>
    <mergeCell ref="N374:O374"/>
    <mergeCell ref="N375:O375"/>
    <mergeCell ref="L376:L385"/>
    <mergeCell ref="N376:O376"/>
    <mergeCell ref="N377:O377"/>
    <mergeCell ref="N378:O378"/>
    <mergeCell ref="N379:O379"/>
    <mergeCell ref="N380:O380"/>
    <mergeCell ref="N405:O405"/>
    <mergeCell ref="L406:L415"/>
    <mergeCell ref="N406:O406"/>
    <mergeCell ref="N407:O407"/>
    <mergeCell ref="N408:O408"/>
    <mergeCell ref="N409:O409"/>
    <mergeCell ref="N410:O410"/>
    <mergeCell ref="N411:O411"/>
    <mergeCell ref="N412:O412"/>
    <mergeCell ref="N413:O413"/>
    <mergeCell ref="L396:L405"/>
    <mergeCell ref="N396:O396"/>
    <mergeCell ref="N397:O397"/>
    <mergeCell ref="N398:O398"/>
    <mergeCell ref="N399:O399"/>
    <mergeCell ref="N400:O400"/>
    <mergeCell ref="N401:O401"/>
    <mergeCell ref="N402:O402"/>
    <mergeCell ref="N403:O403"/>
    <mergeCell ref="N404:O404"/>
    <mergeCell ref="N423:O423"/>
    <mergeCell ref="N424:O424"/>
    <mergeCell ref="N425:O425"/>
    <mergeCell ref="L426:L435"/>
    <mergeCell ref="N426:O426"/>
    <mergeCell ref="N427:O427"/>
    <mergeCell ref="N428:O428"/>
    <mergeCell ref="N429:O429"/>
    <mergeCell ref="N430:O430"/>
    <mergeCell ref="N431:O431"/>
    <mergeCell ref="N414:O414"/>
    <mergeCell ref="N415:O415"/>
    <mergeCell ref="L416:L425"/>
    <mergeCell ref="N416:O416"/>
    <mergeCell ref="N417:O417"/>
    <mergeCell ref="N418:O418"/>
    <mergeCell ref="N419:O419"/>
    <mergeCell ref="N420:O420"/>
    <mergeCell ref="N421:O421"/>
    <mergeCell ref="N422:O422"/>
    <mergeCell ref="N450:O450"/>
    <mergeCell ref="N451:O451"/>
    <mergeCell ref="N452:O452"/>
    <mergeCell ref="N453:O453"/>
    <mergeCell ref="N454:O454"/>
    <mergeCell ref="N455:O455"/>
    <mergeCell ref="N441:O441"/>
    <mergeCell ref="N442:O442"/>
    <mergeCell ref="N443:O443"/>
    <mergeCell ref="N444:O444"/>
    <mergeCell ref="N445:O445"/>
    <mergeCell ref="L446:L455"/>
    <mergeCell ref="N446:O446"/>
    <mergeCell ref="N447:O447"/>
    <mergeCell ref="N448:O448"/>
    <mergeCell ref="N449:O449"/>
    <mergeCell ref="N432:O432"/>
    <mergeCell ref="N433:O433"/>
    <mergeCell ref="N434:O434"/>
    <mergeCell ref="N435:O435"/>
    <mergeCell ref="L436:L445"/>
    <mergeCell ref="N436:O436"/>
    <mergeCell ref="N437:O437"/>
    <mergeCell ref="N438:O438"/>
    <mergeCell ref="N439:O439"/>
    <mergeCell ref="N440:O440"/>
    <mergeCell ref="N465:O465"/>
    <mergeCell ref="L466:L475"/>
    <mergeCell ref="N466:O466"/>
    <mergeCell ref="N467:O467"/>
    <mergeCell ref="N468:O468"/>
    <mergeCell ref="N469:O469"/>
    <mergeCell ref="N470:O470"/>
    <mergeCell ref="N471:O471"/>
    <mergeCell ref="N472:O472"/>
    <mergeCell ref="N473:O473"/>
    <mergeCell ref="L456:L465"/>
    <mergeCell ref="N456:O456"/>
    <mergeCell ref="N457:O457"/>
    <mergeCell ref="N458:O458"/>
    <mergeCell ref="N459:O459"/>
    <mergeCell ref="N460:O460"/>
    <mergeCell ref="N461:O461"/>
    <mergeCell ref="N462:O462"/>
    <mergeCell ref="N463:O463"/>
    <mergeCell ref="N464:O464"/>
    <mergeCell ref="N483:O483"/>
    <mergeCell ref="N484:O484"/>
    <mergeCell ref="N485:O485"/>
    <mergeCell ref="L486:L495"/>
    <mergeCell ref="N486:O486"/>
    <mergeCell ref="N487:O487"/>
    <mergeCell ref="N488:O488"/>
    <mergeCell ref="N489:O489"/>
    <mergeCell ref="N490:O490"/>
    <mergeCell ref="N491:O491"/>
    <mergeCell ref="N474:O474"/>
    <mergeCell ref="N475:O475"/>
    <mergeCell ref="L476:L485"/>
    <mergeCell ref="N476:O476"/>
    <mergeCell ref="N477:O477"/>
    <mergeCell ref="N478:O478"/>
    <mergeCell ref="N479:O479"/>
    <mergeCell ref="N480:O480"/>
    <mergeCell ref="N481:O481"/>
    <mergeCell ref="N482:O482"/>
    <mergeCell ref="N510:O510"/>
    <mergeCell ref="N511:O511"/>
    <mergeCell ref="N512:O512"/>
    <mergeCell ref="N513:O513"/>
    <mergeCell ref="N514:O514"/>
    <mergeCell ref="N515:O515"/>
    <mergeCell ref="N501:O501"/>
    <mergeCell ref="N502:O502"/>
    <mergeCell ref="N503:O503"/>
    <mergeCell ref="N504:O504"/>
    <mergeCell ref="N505:O505"/>
    <mergeCell ref="L506:L515"/>
    <mergeCell ref="N506:O506"/>
    <mergeCell ref="N507:O507"/>
    <mergeCell ref="N508:O508"/>
    <mergeCell ref="N509:O509"/>
    <mergeCell ref="N492:O492"/>
    <mergeCell ref="N493:O493"/>
    <mergeCell ref="N494:O494"/>
    <mergeCell ref="N495:O495"/>
    <mergeCell ref="L496:L505"/>
    <mergeCell ref="N496:O496"/>
    <mergeCell ref="N497:O497"/>
    <mergeCell ref="N498:O498"/>
    <mergeCell ref="N499:O499"/>
    <mergeCell ref="N500:O500"/>
    <mergeCell ref="N525:O525"/>
    <mergeCell ref="L526:L535"/>
    <mergeCell ref="N526:O526"/>
    <mergeCell ref="N527:O527"/>
    <mergeCell ref="N528:O528"/>
    <mergeCell ref="N529:O529"/>
    <mergeCell ref="N530:O530"/>
    <mergeCell ref="N531:O531"/>
    <mergeCell ref="N532:O532"/>
    <mergeCell ref="N533:O533"/>
    <mergeCell ref="L516:L525"/>
    <mergeCell ref="N516:O516"/>
    <mergeCell ref="N517:O517"/>
    <mergeCell ref="N518:O518"/>
    <mergeCell ref="N519:O519"/>
    <mergeCell ref="N520:O520"/>
    <mergeCell ref="N521:O521"/>
    <mergeCell ref="N522:O522"/>
    <mergeCell ref="N523:O523"/>
    <mergeCell ref="N524:O524"/>
    <mergeCell ref="N543:O543"/>
    <mergeCell ref="N544:O544"/>
    <mergeCell ref="N545:O545"/>
    <mergeCell ref="L546:L555"/>
    <mergeCell ref="N546:O546"/>
    <mergeCell ref="N547:O547"/>
    <mergeCell ref="N548:O548"/>
    <mergeCell ref="N549:O549"/>
    <mergeCell ref="N550:O550"/>
    <mergeCell ref="N551:O551"/>
    <mergeCell ref="N534:O534"/>
    <mergeCell ref="N535:O535"/>
    <mergeCell ref="L536:L545"/>
    <mergeCell ref="N536:O536"/>
    <mergeCell ref="N537:O537"/>
    <mergeCell ref="N538:O538"/>
    <mergeCell ref="N539:O539"/>
    <mergeCell ref="N540:O540"/>
    <mergeCell ref="N541:O541"/>
    <mergeCell ref="N542:O542"/>
    <mergeCell ref="N570:O570"/>
    <mergeCell ref="N571:O571"/>
    <mergeCell ref="N572:O572"/>
    <mergeCell ref="N573:O573"/>
    <mergeCell ref="N574:O574"/>
    <mergeCell ref="N575:O575"/>
    <mergeCell ref="N561:O561"/>
    <mergeCell ref="N562:O562"/>
    <mergeCell ref="N563:O563"/>
    <mergeCell ref="N564:O564"/>
    <mergeCell ref="N565:O565"/>
    <mergeCell ref="L566:L575"/>
    <mergeCell ref="N566:O566"/>
    <mergeCell ref="N567:O567"/>
    <mergeCell ref="N568:O568"/>
    <mergeCell ref="N569:O569"/>
    <mergeCell ref="N552:O552"/>
    <mergeCell ref="N553:O553"/>
    <mergeCell ref="N554:O554"/>
    <mergeCell ref="N555:O555"/>
    <mergeCell ref="L556:L565"/>
    <mergeCell ref="N556:O556"/>
    <mergeCell ref="N557:O557"/>
    <mergeCell ref="N558:O558"/>
    <mergeCell ref="N559:O559"/>
    <mergeCell ref="N560:O560"/>
    <mergeCell ref="N585:O585"/>
    <mergeCell ref="L586:L595"/>
    <mergeCell ref="N586:O586"/>
    <mergeCell ref="N587:O587"/>
    <mergeCell ref="N588:O588"/>
    <mergeCell ref="N589:O589"/>
    <mergeCell ref="N590:O590"/>
    <mergeCell ref="N591:O591"/>
    <mergeCell ref="N592:O592"/>
    <mergeCell ref="N593:O593"/>
    <mergeCell ref="L576:L585"/>
    <mergeCell ref="N576:O576"/>
    <mergeCell ref="N577:O577"/>
    <mergeCell ref="N578:O578"/>
    <mergeCell ref="N579:O579"/>
    <mergeCell ref="N580:O580"/>
    <mergeCell ref="N581:O581"/>
    <mergeCell ref="N582:O582"/>
    <mergeCell ref="N583:O583"/>
    <mergeCell ref="N584:O584"/>
    <mergeCell ref="N603:O603"/>
    <mergeCell ref="N604:O604"/>
    <mergeCell ref="N605:O605"/>
    <mergeCell ref="L606:L615"/>
    <mergeCell ref="N606:O606"/>
    <mergeCell ref="N607:O607"/>
    <mergeCell ref="N608:O608"/>
    <mergeCell ref="N609:O609"/>
    <mergeCell ref="N610:O610"/>
    <mergeCell ref="N611:O611"/>
    <mergeCell ref="N594:O594"/>
    <mergeCell ref="N595:O595"/>
    <mergeCell ref="L596:L605"/>
    <mergeCell ref="N596:O596"/>
    <mergeCell ref="N597:O597"/>
    <mergeCell ref="N598:O598"/>
    <mergeCell ref="N599:O599"/>
    <mergeCell ref="N600:O600"/>
    <mergeCell ref="N601:O601"/>
    <mergeCell ref="N602:O602"/>
    <mergeCell ref="N630:O630"/>
    <mergeCell ref="N631:O631"/>
    <mergeCell ref="N632:O632"/>
    <mergeCell ref="N633:O633"/>
    <mergeCell ref="N634:O634"/>
    <mergeCell ref="N635:O635"/>
    <mergeCell ref="N621:O621"/>
    <mergeCell ref="N622:O622"/>
    <mergeCell ref="N623:O623"/>
    <mergeCell ref="N624:O624"/>
    <mergeCell ref="N625:O625"/>
    <mergeCell ref="L626:L635"/>
    <mergeCell ref="N626:O626"/>
    <mergeCell ref="N627:O627"/>
    <mergeCell ref="N628:O628"/>
    <mergeCell ref="N629:O629"/>
    <mergeCell ref="N612:O612"/>
    <mergeCell ref="N613:O613"/>
    <mergeCell ref="N614:O614"/>
    <mergeCell ref="N615:O615"/>
    <mergeCell ref="L616:L625"/>
    <mergeCell ref="N616:O616"/>
    <mergeCell ref="N617:O617"/>
    <mergeCell ref="N618:O618"/>
    <mergeCell ref="N619:O619"/>
    <mergeCell ref="N620:O620"/>
    <mergeCell ref="N645:O645"/>
    <mergeCell ref="L646:L655"/>
    <mergeCell ref="N646:O646"/>
    <mergeCell ref="N647:O647"/>
    <mergeCell ref="N648:O648"/>
    <mergeCell ref="N649:O649"/>
    <mergeCell ref="N650:O650"/>
    <mergeCell ref="N651:O651"/>
    <mergeCell ref="N652:O652"/>
    <mergeCell ref="N653:O653"/>
    <mergeCell ref="L636:L645"/>
    <mergeCell ref="N636:O636"/>
    <mergeCell ref="N637:O637"/>
    <mergeCell ref="N638:O638"/>
    <mergeCell ref="N639:O639"/>
    <mergeCell ref="N640:O640"/>
    <mergeCell ref="N641:O641"/>
    <mergeCell ref="N642:O642"/>
    <mergeCell ref="N643:O643"/>
    <mergeCell ref="N644:O644"/>
    <mergeCell ref="N663:O663"/>
    <mergeCell ref="N664:O664"/>
    <mergeCell ref="N665:O665"/>
    <mergeCell ref="L666:L675"/>
    <mergeCell ref="N666:O666"/>
    <mergeCell ref="N667:O667"/>
    <mergeCell ref="N668:O668"/>
    <mergeCell ref="N669:O669"/>
    <mergeCell ref="N670:O670"/>
    <mergeCell ref="N671:O671"/>
    <mergeCell ref="N654:O654"/>
    <mergeCell ref="N655:O655"/>
    <mergeCell ref="L656:L665"/>
    <mergeCell ref="N656:O656"/>
    <mergeCell ref="N657:O657"/>
    <mergeCell ref="N658:O658"/>
    <mergeCell ref="N659:O659"/>
    <mergeCell ref="N660:O660"/>
    <mergeCell ref="N661:O661"/>
    <mergeCell ref="N662:O662"/>
    <mergeCell ref="N690:O690"/>
    <mergeCell ref="N691:O691"/>
    <mergeCell ref="N692:O692"/>
    <mergeCell ref="N693:O693"/>
    <mergeCell ref="N694:O694"/>
    <mergeCell ref="N695:O695"/>
    <mergeCell ref="N681:O681"/>
    <mergeCell ref="N682:O682"/>
    <mergeCell ref="N683:O683"/>
    <mergeCell ref="N684:O684"/>
    <mergeCell ref="N685:O685"/>
    <mergeCell ref="L686:L695"/>
    <mergeCell ref="N686:O686"/>
    <mergeCell ref="N687:O687"/>
    <mergeCell ref="N688:O688"/>
    <mergeCell ref="N689:O689"/>
    <mergeCell ref="N672:O672"/>
    <mergeCell ref="N673:O673"/>
    <mergeCell ref="N674:O674"/>
    <mergeCell ref="N675:O675"/>
    <mergeCell ref="L676:L685"/>
    <mergeCell ref="N676:O676"/>
    <mergeCell ref="N677:O677"/>
    <mergeCell ref="N678:O678"/>
    <mergeCell ref="N679:O679"/>
    <mergeCell ref="N680:O680"/>
    <mergeCell ref="N705:O705"/>
    <mergeCell ref="L706:L715"/>
    <mergeCell ref="N706:O706"/>
    <mergeCell ref="N707:O707"/>
    <mergeCell ref="N708:O708"/>
    <mergeCell ref="N709:O709"/>
    <mergeCell ref="N710:O710"/>
    <mergeCell ref="N711:O711"/>
    <mergeCell ref="N712:O712"/>
    <mergeCell ref="N713:O713"/>
    <mergeCell ref="L696:L705"/>
    <mergeCell ref="N696:O696"/>
    <mergeCell ref="N697:O697"/>
    <mergeCell ref="N698:O698"/>
    <mergeCell ref="N699:O699"/>
    <mergeCell ref="N700:O700"/>
    <mergeCell ref="N701:O701"/>
    <mergeCell ref="N702:O702"/>
    <mergeCell ref="N703:O703"/>
    <mergeCell ref="N704:O704"/>
    <mergeCell ref="N723:O723"/>
    <mergeCell ref="N724:O724"/>
    <mergeCell ref="N725:O725"/>
    <mergeCell ref="L726:L735"/>
    <mergeCell ref="N726:O726"/>
    <mergeCell ref="N727:O727"/>
    <mergeCell ref="N728:O728"/>
    <mergeCell ref="N729:O729"/>
    <mergeCell ref="N730:O730"/>
    <mergeCell ref="N731:O731"/>
    <mergeCell ref="N714:O714"/>
    <mergeCell ref="N715:O715"/>
    <mergeCell ref="L716:L725"/>
    <mergeCell ref="N716:O716"/>
    <mergeCell ref="N717:O717"/>
    <mergeCell ref="N718:O718"/>
    <mergeCell ref="N719:O719"/>
    <mergeCell ref="N720:O720"/>
    <mergeCell ref="N721:O721"/>
    <mergeCell ref="N722:O722"/>
    <mergeCell ref="N750:O750"/>
    <mergeCell ref="N751:O751"/>
    <mergeCell ref="N752:O752"/>
    <mergeCell ref="N753:O753"/>
    <mergeCell ref="N754:O754"/>
    <mergeCell ref="N755:O755"/>
    <mergeCell ref="N741:O741"/>
    <mergeCell ref="N742:O742"/>
    <mergeCell ref="N743:O743"/>
    <mergeCell ref="N744:O744"/>
    <mergeCell ref="N745:O745"/>
    <mergeCell ref="L746:L755"/>
    <mergeCell ref="N746:O746"/>
    <mergeCell ref="N747:O747"/>
    <mergeCell ref="N748:O748"/>
    <mergeCell ref="N749:O749"/>
    <mergeCell ref="N732:O732"/>
    <mergeCell ref="N733:O733"/>
    <mergeCell ref="N734:O734"/>
    <mergeCell ref="N735:O735"/>
    <mergeCell ref="L736:L745"/>
    <mergeCell ref="N736:O736"/>
    <mergeCell ref="N737:O737"/>
    <mergeCell ref="N738:O738"/>
    <mergeCell ref="N739:O739"/>
    <mergeCell ref="N740:O740"/>
    <mergeCell ref="N765:O765"/>
    <mergeCell ref="L766:L775"/>
    <mergeCell ref="N766:O766"/>
    <mergeCell ref="N767:O767"/>
    <mergeCell ref="N768:O768"/>
    <mergeCell ref="N769:O769"/>
    <mergeCell ref="N770:O770"/>
    <mergeCell ref="N771:O771"/>
    <mergeCell ref="N772:O772"/>
    <mergeCell ref="N773:O773"/>
    <mergeCell ref="L756:L765"/>
    <mergeCell ref="N756:O756"/>
    <mergeCell ref="N757:O757"/>
    <mergeCell ref="N758:O758"/>
    <mergeCell ref="N759:O759"/>
    <mergeCell ref="N760:O760"/>
    <mergeCell ref="N761:O761"/>
    <mergeCell ref="N762:O762"/>
    <mergeCell ref="N763:O763"/>
    <mergeCell ref="N764:O764"/>
    <mergeCell ref="N783:O783"/>
    <mergeCell ref="N784:O784"/>
    <mergeCell ref="N785:O785"/>
    <mergeCell ref="L786:L795"/>
    <mergeCell ref="N786:O786"/>
    <mergeCell ref="N787:O787"/>
    <mergeCell ref="N788:O788"/>
    <mergeCell ref="N789:O789"/>
    <mergeCell ref="N790:O790"/>
    <mergeCell ref="N791:O791"/>
    <mergeCell ref="N774:O774"/>
    <mergeCell ref="N775:O775"/>
    <mergeCell ref="L776:L785"/>
    <mergeCell ref="N776:O776"/>
    <mergeCell ref="N777:O777"/>
    <mergeCell ref="N778:O778"/>
    <mergeCell ref="N779:O779"/>
    <mergeCell ref="N780:O780"/>
    <mergeCell ref="N781:O781"/>
    <mergeCell ref="N782:O782"/>
    <mergeCell ref="N810:O810"/>
    <mergeCell ref="N811:O811"/>
    <mergeCell ref="N812:O812"/>
    <mergeCell ref="N813:O813"/>
    <mergeCell ref="N814:O814"/>
    <mergeCell ref="N815:O815"/>
    <mergeCell ref="N801:O801"/>
    <mergeCell ref="N802:O802"/>
    <mergeCell ref="N803:O803"/>
    <mergeCell ref="N804:O804"/>
    <mergeCell ref="N805:O805"/>
    <mergeCell ref="L806:L815"/>
    <mergeCell ref="N806:O806"/>
    <mergeCell ref="N807:O807"/>
    <mergeCell ref="N808:O808"/>
    <mergeCell ref="N809:O809"/>
    <mergeCell ref="N792:O792"/>
    <mergeCell ref="N793:O793"/>
    <mergeCell ref="N794:O794"/>
    <mergeCell ref="N795:O795"/>
    <mergeCell ref="L796:L805"/>
    <mergeCell ref="N796:O796"/>
    <mergeCell ref="N797:O797"/>
    <mergeCell ref="N798:O798"/>
    <mergeCell ref="N799:O799"/>
    <mergeCell ref="N800:O800"/>
    <mergeCell ref="N825:O825"/>
    <mergeCell ref="L826:L835"/>
    <mergeCell ref="N826:O826"/>
    <mergeCell ref="N827:O827"/>
    <mergeCell ref="N828:O828"/>
    <mergeCell ref="N829:O829"/>
    <mergeCell ref="N830:O830"/>
    <mergeCell ref="N831:O831"/>
    <mergeCell ref="N832:O832"/>
    <mergeCell ref="N833:O833"/>
    <mergeCell ref="L816:L825"/>
    <mergeCell ref="N816:O816"/>
    <mergeCell ref="N817:O817"/>
    <mergeCell ref="N818:O818"/>
    <mergeCell ref="N819:O819"/>
    <mergeCell ref="N820:O820"/>
    <mergeCell ref="N821:O821"/>
    <mergeCell ref="N822:O822"/>
    <mergeCell ref="N823:O823"/>
    <mergeCell ref="N824:O824"/>
    <mergeCell ref="N843:O843"/>
    <mergeCell ref="N844:O844"/>
    <mergeCell ref="N845:O845"/>
    <mergeCell ref="L846:L855"/>
    <mergeCell ref="N846:O846"/>
    <mergeCell ref="N847:O847"/>
    <mergeCell ref="N848:O848"/>
    <mergeCell ref="N849:O849"/>
    <mergeCell ref="N850:O850"/>
    <mergeCell ref="N851:O851"/>
    <mergeCell ref="N834:O834"/>
    <mergeCell ref="N835:O835"/>
    <mergeCell ref="L836:L845"/>
    <mergeCell ref="N836:O836"/>
    <mergeCell ref="N837:O837"/>
    <mergeCell ref="N838:O838"/>
    <mergeCell ref="N839:O839"/>
    <mergeCell ref="N840:O840"/>
    <mergeCell ref="N841:O841"/>
    <mergeCell ref="N842:O842"/>
    <mergeCell ref="N870:O870"/>
    <mergeCell ref="N871:O871"/>
    <mergeCell ref="N872:O872"/>
    <mergeCell ref="N873:O873"/>
    <mergeCell ref="N874:O874"/>
    <mergeCell ref="N875:O875"/>
    <mergeCell ref="N861:O861"/>
    <mergeCell ref="N862:O862"/>
    <mergeCell ref="N863:O863"/>
    <mergeCell ref="N864:O864"/>
    <mergeCell ref="N865:O865"/>
    <mergeCell ref="L866:L875"/>
    <mergeCell ref="N866:O866"/>
    <mergeCell ref="N867:O867"/>
    <mergeCell ref="N868:O868"/>
    <mergeCell ref="N869:O869"/>
    <mergeCell ref="N852:O852"/>
    <mergeCell ref="N853:O853"/>
    <mergeCell ref="N854:O854"/>
    <mergeCell ref="N855:O855"/>
    <mergeCell ref="L856:L865"/>
    <mergeCell ref="N856:O856"/>
    <mergeCell ref="N857:O857"/>
    <mergeCell ref="N858:O858"/>
    <mergeCell ref="N859:O859"/>
    <mergeCell ref="N860:O860"/>
    <mergeCell ref="N885:O885"/>
    <mergeCell ref="L886:L895"/>
    <mergeCell ref="N886:O886"/>
    <mergeCell ref="N887:O887"/>
    <mergeCell ref="N888:O888"/>
    <mergeCell ref="N889:O889"/>
    <mergeCell ref="N890:O890"/>
    <mergeCell ref="N891:O891"/>
    <mergeCell ref="N892:O892"/>
    <mergeCell ref="N893:O893"/>
    <mergeCell ref="L876:L885"/>
    <mergeCell ref="N876:O876"/>
    <mergeCell ref="N877:O877"/>
    <mergeCell ref="N878:O878"/>
    <mergeCell ref="N879:O879"/>
    <mergeCell ref="N880:O880"/>
    <mergeCell ref="N881:O881"/>
    <mergeCell ref="N882:O882"/>
    <mergeCell ref="N883:O883"/>
    <mergeCell ref="N884:O884"/>
    <mergeCell ref="N903:O903"/>
    <mergeCell ref="N904:O904"/>
    <mergeCell ref="N905:O905"/>
    <mergeCell ref="L906:L915"/>
    <mergeCell ref="N906:O906"/>
    <mergeCell ref="N907:O907"/>
    <mergeCell ref="N908:O908"/>
    <mergeCell ref="N909:O909"/>
    <mergeCell ref="N910:O910"/>
    <mergeCell ref="N911:O911"/>
    <mergeCell ref="N894:O894"/>
    <mergeCell ref="N895:O895"/>
    <mergeCell ref="L896:L905"/>
    <mergeCell ref="N896:O896"/>
    <mergeCell ref="N897:O897"/>
    <mergeCell ref="N898:O898"/>
    <mergeCell ref="N899:O899"/>
    <mergeCell ref="N900:O900"/>
    <mergeCell ref="N901:O901"/>
    <mergeCell ref="N902:O902"/>
    <mergeCell ref="N930:O930"/>
    <mergeCell ref="N931:O931"/>
    <mergeCell ref="N932:O932"/>
    <mergeCell ref="N933:O933"/>
    <mergeCell ref="N934:O934"/>
    <mergeCell ref="N935:O935"/>
    <mergeCell ref="N921:O921"/>
    <mergeCell ref="N922:O922"/>
    <mergeCell ref="N923:O923"/>
    <mergeCell ref="N924:O924"/>
    <mergeCell ref="N925:O925"/>
    <mergeCell ref="L926:L935"/>
    <mergeCell ref="N926:O926"/>
    <mergeCell ref="N927:O927"/>
    <mergeCell ref="N928:O928"/>
    <mergeCell ref="N929:O929"/>
    <mergeCell ref="N912:O912"/>
    <mergeCell ref="N913:O913"/>
    <mergeCell ref="N914:O914"/>
    <mergeCell ref="N915:O915"/>
    <mergeCell ref="L916:L925"/>
    <mergeCell ref="N916:O916"/>
    <mergeCell ref="N917:O917"/>
    <mergeCell ref="N918:O918"/>
    <mergeCell ref="N919:O919"/>
    <mergeCell ref="N920:O920"/>
    <mergeCell ref="N954:O954"/>
    <mergeCell ref="N955:O955"/>
    <mergeCell ref="L956:L965"/>
    <mergeCell ref="N956:O956"/>
    <mergeCell ref="N957:O957"/>
    <mergeCell ref="N958:O958"/>
    <mergeCell ref="N959:O959"/>
    <mergeCell ref="N960:O960"/>
    <mergeCell ref="N961:O961"/>
    <mergeCell ref="N962:O962"/>
    <mergeCell ref="N945:O945"/>
    <mergeCell ref="L946:L955"/>
    <mergeCell ref="N946:O946"/>
    <mergeCell ref="N947:O947"/>
    <mergeCell ref="N948:O948"/>
    <mergeCell ref="N949:O949"/>
    <mergeCell ref="N950:O950"/>
    <mergeCell ref="N951:O951"/>
    <mergeCell ref="N952:O952"/>
    <mergeCell ref="N953:O953"/>
    <mergeCell ref="L936:L945"/>
    <mergeCell ref="N936:O936"/>
    <mergeCell ref="N937:O937"/>
    <mergeCell ref="N938:O938"/>
    <mergeCell ref="N939:O939"/>
    <mergeCell ref="N940:O940"/>
    <mergeCell ref="N941:O941"/>
    <mergeCell ref="N942:O942"/>
    <mergeCell ref="N943:O943"/>
    <mergeCell ref="N944:O944"/>
    <mergeCell ref="N973:O973"/>
    <mergeCell ref="N974:O974"/>
    <mergeCell ref="N975:O975"/>
    <mergeCell ref="L976:L985"/>
    <mergeCell ref="N976:O976"/>
    <mergeCell ref="N977:O977"/>
    <mergeCell ref="N978:O978"/>
    <mergeCell ref="N979:O979"/>
    <mergeCell ref="N980:O980"/>
    <mergeCell ref="N963:O963"/>
    <mergeCell ref="N964:O964"/>
    <mergeCell ref="N965:O965"/>
    <mergeCell ref="L966:L975"/>
    <mergeCell ref="N966:O966"/>
    <mergeCell ref="N967:O967"/>
    <mergeCell ref="N968:O968"/>
    <mergeCell ref="N969:O969"/>
    <mergeCell ref="N970:O970"/>
    <mergeCell ref="N971:O971"/>
    <mergeCell ref="I4:J4"/>
    <mergeCell ref="N1005:O1005"/>
    <mergeCell ref="I20:J21"/>
    <mergeCell ref="I9:J9"/>
    <mergeCell ref="I15:J15"/>
    <mergeCell ref="L996:L1005"/>
    <mergeCell ref="N996:O996"/>
    <mergeCell ref="N997:O997"/>
    <mergeCell ref="N998:O998"/>
    <mergeCell ref="N999:O999"/>
    <mergeCell ref="N1000:O1000"/>
    <mergeCell ref="N1001:O1001"/>
    <mergeCell ref="N1002:O1002"/>
    <mergeCell ref="N1003:O1003"/>
    <mergeCell ref="N1004:O1004"/>
    <mergeCell ref="N990:O990"/>
    <mergeCell ref="N991:O991"/>
    <mergeCell ref="N992:O992"/>
    <mergeCell ref="N993:O993"/>
    <mergeCell ref="N994:O994"/>
    <mergeCell ref="N995:O995"/>
    <mergeCell ref="N981:O981"/>
    <mergeCell ref="N982:O982"/>
    <mergeCell ref="N983:O983"/>
    <mergeCell ref="N984:O984"/>
    <mergeCell ref="N985:O985"/>
    <mergeCell ref="L986:L995"/>
    <mergeCell ref="N986:O986"/>
    <mergeCell ref="N987:O987"/>
    <mergeCell ref="N988:O988"/>
    <mergeCell ref="N989:O989"/>
    <mergeCell ref="N972:O972"/>
  </mergeCells>
  <conditionalFormatting sqref="G5:G2104">
    <cfRule type="cellIs" dxfId="85" priority="105" stopIfTrue="1" operator="equal">
      <formula>"REVISAR CÁLCULO"</formula>
    </cfRule>
  </conditionalFormatting>
  <pageMargins left="0.7" right="0.7" top="0.75" bottom="0.75" header="0.3" footer="0.3"/>
  <pageSetup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4" tint="0.59999389629810485"/>
    <pageSetUpPr fitToPage="1"/>
  </sheetPr>
  <dimension ref="A1:P228"/>
  <sheetViews>
    <sheetView showGridLines="0" view="pageBreakPreview" topLeftCell="A22" zoomScaleNormal="85" zoomScaleSheetLayoutView="100" workbookViewId="0">
      <selection activeCell="F28" sqref="F28"/>
    </sheetView>
  </sheetViews>
  <sheetFormatPr baseColWidth="10" defaultRowHeight="12.75"/>
  <cols>
    <col min="1" max="1" width="1.28515625" style="120" customWidth="1"/>
    <col min="2" max="2" width="7.85546875" style="134" customWidth="1"/>
    <col min="3" max="3" width="11.5703125" style="134" customWidth="1"/>
    <col min="4" max="4" width="28.85546875" style="120" customWidth="1"/>
    <col min="5" max="5" width="17.42578125" style="120" customWidth="1"/>
    <col min="6" max="6" width="22.140625" style="120" customWidth="1"/>
    <col min="7" max="7" width="21.7109375" style="120" bestFit="1" customWidth="1"/>
    <col min="8" max="8" width="15.7109375" style="120" bestFit="1" customWidth="1"/>
    <col min="9" max="9" width="14.7109375" style="120" bestFit="1" customWidth="1"/>
    <col min="10" max="10" width="15.7109375" style="120" customWidth="1"/>
    <col min="11" max="11" width="14.7109375" style="120" bestFit="1" customWidth="1"/>
    <col min="12" max="14" width="14.7109375" style="120" customWidth="1"/>
    <col min="15" max="15" width="11.42578125" style="120"/>
    <col min="16" max="16" width="11.42578125" style="410" customWidth="1"/>
    <col min="17" max="16384" width="11.42578125" style="120"/>
  </cols>
  <sheetData>
    <row r="1" spans="1:16" s="118" customFormat="1" ht="15.75" customHeight="1">
      <c r="A1" s="115"/>
      <c r="B1" s="796" t="str">
        <f>PROPONENTES!B1</f>
        <v>INSTITUTO NACIONAL DE VÍAS</v>
      </c>
      <c r="C1" s="796"/>
      <c r="D1" s="796"/>
      <c r="E1" s="796"/>
      <c r="F1" s="796"/>
      <c r="G1" s="796"/>
      <c r="H1" s="796"/>
      <c r="I1" s="796"/>
      <c r="J1" s="796"/>
      <c r="K1" s="796"/>
      <c r="L1" s="796"/>
      <c r="M1" s="796"/>
      <c r="N1" s="796"/>
      <c r="P1" s="409"/>
    </row>
    <row r="2" spans="1:16" s="118" customFormat="1" ht="15.75" customHeight="1">
      <c r="A2" s="115"/>
      <c r="B2" s="796" t="str">
        <f>PROPONENTES!B2</f>
        <v>DIRECCIÓN TERRITORIAL HUILA</v>
      </c>
      <c r="C2" s="796"/>
      <c r="D2" s="796"/>
      <c r="E2" s="796"/>
      <c r="F2" s="796"/>
      <c r="G2" s="796"/>
      <c r="H2" s="796"/>
      <c r="I2" s="796"/>
      <c r="J2" s="796"/>
      <c r="K2" s="796"/>
      <c r="L2" s="796"/>
      <c r="M2" s="796"/>
      <c r="N2" s="796"/>
      <c r="P2" s="409"/>
    </row>
    <row r="3" spans="1:16" s="118" customFormat="1" ht="15.75" customHeight="1">
      <c r="A3" s="115"/>
      <c r="B3" s="796"/>
      <c r="C3" s="796"/>
      <c r="D3" s="796"/>
      <c r="E3" s="796"/>
      <c r="F3" s="796"/>
      <c r="G3" s="796"/>
      <c r="H3" s="796"/>
      <c r="I3" s="796"/>
      <c r="J3" s="796"/>
      <c r="K3" s="796"/>
      <c r="L3" s="796"/>
      <c r="M3" s="796"/>
      <c r="N3" s="796"/>
      <c r="P3" s="409"/>
    </row>
    <row r="4" spans="1:16" s="118" customFormat="1" ht="15.75">
      <c r="A4" s="115"/>
      <c r="B4" s="796" t="str">
        <f>+PROPONENTES!B6</f>
        <v>CONCURSO DE MÉRITOS ABIERTO</v>
      </c>
      <c r="C4" s="796"/>
      <c r="D4" s="796"/>
      <c r="E4" s="796"/>
      <c r="F4" s="796"/>
      <c r="G4" s="796"/>
      <c r="H4" s="796"/>
      <c r="I4" s="796"/>
      <c r="J4" s="796"/>
      <c r="K4" s="796"/>
      <c r="L4" s="796"/>
      <c r="M4" s="796"/>
      <c r="N4" s="796"/>
      <c r="P4" s="409"/>
    </row>
    <row r="5" spans="1:16" s="118" customFormat="1" ht="15.75">
      <c r="A5" s="115"/>
      <c r="B5" s="796" t="str">
        <f>PROPONENTES!B7</f>
        <v>CMA-DT-HUI-002-2019</v>
      </c>
      <c r="C5" s="796"/>
      <c r="D5" s="796"/>
      <c r="E5" s="796"/>
      <c r="F5" s="796"/>
      <c r="G5" s="796"/>
      <c r="H5" s="796"/>
      <c r="I5" s="796"/>
      <c r="J5" s="796"/>
      <c r="K5" s="796"/>
      <c r="L5" s="796"/>
      <c r="M5" s="796"/>
      <c r="N5" s="796"/>
      <c r="P5" s="409"/>
    </row>
    <row r="6" spans="1:16" ht="15.75">
      <c r="B6" s="151"/>
      <c r="C6" s="116"/>
      <c r="D6" s="121"/>
      <c r="E6" s="121"/>
      <c r="F6" s="121"/>
      <c r="G6" s="121"/>
      <c r="H6" s="121"/>
      <c r="I6" s="121"/>
      <c r="J6" s="121"/>
      <c r="K6" s="122"/>
      <c r="L6" s="122"/>
      <c r="M6" s="122"/>
    </row>
    <row r="7" spans="1:16" ht="15.75">
      <c r="B7" s="796" t="str">
        <f>PRESUPUESTOS!B9</f>
        <v>OBJETO: "INTERVENTORIA TECNICA, ADMINISTRATIVA, FINANCIERA, AMBIENTAL , ATENCIÓN SITIOS CRITICOS CONSTRUCCIÓN PUENTE QUEBRADA PÌEDRAS NEGRAS MUNICIPIO DE SALADOBLANCO CARRETERA LA CABAÑA-MORELIA, CÓDIGO 19787 (PRODUCTO SITIO CRÍTICO DE RED TERCIARIA ESTABILIZADA).”</v>
      </c>
      <c r="C7" s="796"/>
      <c r="D7" s="796"/>
      <c r="E7" s="796"/>
      <c r="F7" s="796"/>
      <c r="G7" s="796"/>
      <c r="H7" s="796"/>
      <c r="I7" s="796"/>
      <c r="J7" s="796"/>
      <c r="K7" s="796"/>
      <c r="L7" s="796"/>
      <c r="M7" s="796"/>
      <c r="N7" s="796"/>
    </row>
    <row r="8" spans="1:16" ht="15.75">
      <c r="B8" s="151"/>
      <c r="C8" s="116"/>
      <c r="D8" s="121"/>
      <c r="E8" s="121"/>
      <c r="F8" s="121"/>
      <c r="G8" s="121"/>
      <c r="H8" s="121"/>
      <c r="I8" s="121"/>
      <c r="J8" s="121"/>
      <c r="K8" s="122"/>
      <c r="L8" s="122"/>
      <c r="M8" s="122"/>
    </row>
    <row r="9" spans="1:16" ht="15.75">
      <c r="B9" s="797" t="str">
        <f>"CUADRO No. 4"</f>
        <v>CUADRO No. 4</v>
      </c>
      <c r="C9" s="797"/>
      <c r="D9" s="797"/>
      <c r="E9" s="797"/>
      <c r="F9" s="797"/>
      <c r="G9" s="797"/>
      <c r="H9" s="797"/>
      <c r="I9" s="797"/>
      <c r="J9" s="797"/>
      <c r="K9" s="797"/>
      <c r="L9" s="797"/>
      <c r="M9" s="797"/>
      <c r="N9" s="797"/>
    </row>
    <row r="10" spans="1:16" ht="18">
      <c r="B10" s="798">
        <f>NUMMOD</f>
        <v>1</v>
      </c>
      <c r="C10" s="798"/>
      <c r="D10" s="798"/>
      <c r="E10" s="798"/>
      <c r="F10" s="798"/>
      <c r="G10" s="798"/>
      <c r="H10" s="798"/>
      <c r="I10" s="798"/>
      <c r="J10" s="798"/>
      <c r="K10" s="798"/>
      <c r="L10" s="798"/>
      <c r="M10" s="798"/>
      <c r="N10" s="798"/>
    </row>
    <row r="11" spans="1:16" ht="18.75" thickBot="1">
      <c r="B11" s="152"/>
      <c r="C11" s="123"/>
      <c r="D11" s="124"/>
      <c r="E11" s="124"/>
      <c r="F11" s="124"/>
      <c r="G11" s="124"/>
      <c r="H11" s="124"/>
      <c r="I11" s="124"/>
      <c r="J11" s="124"/>
      <c r="K11" s="124"/>
      <c r="L11" s="124"/>
      <c r="M11" s="124"/>
    </row>
    <row r="12" spans="1:16" ht="18">
      <c r="B12" s="152"/>
      <c r="C12" s="803" t="s">
        <v>183</v>
      </c>
      <c r="D12" s="804"/>
      <c r="E12" s="804"/>
      <c r="F12" s="804"/>
      <c r="G12" s="804"/>
      <c r="H12" s="804"/>
      <c r="I12" s="804"/>
      <c r="J12" s="804"/>
      <c r="K12" s="805"/>
      <c r="L12" s="510"/>
      <c r="M12" s="510"/>
    </row>
    <row r="13" spans="1:16" ht="18.75" thickBot="1">
      <c r="B13" s="152"/>
      <c r="C13" s="817" t="s">
        <v>185</v>
      </c>
      <c r="D13" s="807"/>
      <c r="E13" s="807"/>
      <c r="F13" s="818"/>
      <c r="G13" s="806" t="s">
        <v>186</v>
      </c>
      <c r="H13" s="807"/>
      <c r="I13" s="807"/>
      <c r="J13" s="807"/>
      <c r="K13" s="808"/>
      <c r="L13" s="510"/>
      <c r="M13" s="510"/>
    </row>
    <row r="14" spans="1:16" ht="18">
      <c r="B14" s="152"/>
      <c r="C14" s="819" t="s">
        <v>126</v>
      </c>
      <c r="D14" s="820"/>
      <c r="E14" s="821"/>
      <c r="F14" s="337">
        <f>PLAZOMOD</f>
        <v>2</v>
      </c>
      <c r="G14" s="827" t="s">
        <v>127</v>
      </c>
      <c r="H14" s="828"/>
      <c r="I14" s="828"/>
      <c r="J14" s="828"/>
      <c r="K14" s="337">
        <f>PMFOMOD</f>
        <v>51.561999999999998</v>
      </c>
      <c r="L14" s="510"/>
      <c r="M14" s="510"/>
    </row>
    <row r="15" spans="1:16" ht="18">
      <c r="B15" s="152"/>
      <c r="C15" s="822" t="s">
        <v>325</v>
      </c>
      <c r="D15" s="823"/>
      <c r="E15" s="824"/>
      <c r="F15" s="337">
        <f>PLAZOMOD*0.5</f>
        <v>1</v>
      </c>
      <c r="G15" s="812" t="s">
        <v>326</v>
      </c>
      <c r="H15" s="813"/>
      <c r="I15" s="813"/>
      <c r="J15" s="813"/>
      <c r="K15" s="509">
        <f>PORCREQUERIDO</f>
        <v>0.5</v>
      </c>
      <c r="L15" s="511"/>
      <c r="M15" s="511"/>
    </row>
    <row r="16" spans="1:16" ht="18">
      <c r="B16" s="152"/>
      <c r="C16" s="822" t="s">
        <v>189</v>
      </c>
      <c r="D16" s="823"/>
      <c r="E16" s="824"/>
      <c r="F16" s="336">
        <f>PLAZOMOD*3</f>
        <v>6</v>
      </c>
      <c r="G16" s="812" t="str">
        <f>PORCREQUERIDO*100&amp;"% del PMFO del Módulo"</f>
        <v>50% del PMFO del Módulo</v>
      </c>
      <c r="H16" s="813"/>
      <c r="I16" s="813"/>
      <c r="J16" s="813"/>
      <c r="K16" s="336">
        <f>ROUND(PMFOMOD*PORCREQUERIDO,3)</f>
        <v>25.780999999999999</v>
      </c>
      <c r="L16" s="510"/>
      <c r="M16" s="510"/>
    </row>
    <row r="17" spans="2:16" ht="31.5" customHeight="1">
      <c r="B17" s="152"/>
      <c r="C17" s="809" t="s">
        <v>193</v>
      </c>
      <c r="D17" s="810"/>
      <c r="E17" s="811"/>
      <c r="F17" s="226">
        <f>NUMPROPMOD</f>
        <v>4</v>
      </c>
      <c r="G17" s="812" t="s">
        <v>187</v>
      </c>
      <c r="H17" s="813"/>
      <c r="I17" s="813"/>
      <c r="J17" s="813"/>
      <c r="K17" s="354">
        <f>IF(AND(0&lt;NUMPROPMOD,NUMPROPMOD&lt;=10),2,IF(NUMPROPMOD&gt;=81,10,ROUNDUP(NUMPROPMOD/10,0)+1))</f>
        <v>2</v>
      </c>
      <c r="L17" s="512"/>
      <c r="M17" s="512"/>
    </row>
    <row r="18" spans="2:16" ht="45.75" customHeight="1">
      <c r="B18" s="152"/>
      <c r="C18" s="825" t="s">
        <v>327</v>
      </c>
      <c r="D18" s="826"/>
      <c r="E18" s="810"/>
      <c r="F18" s="226">
        <f>COUNTIF($H$27:$H$226,"&lt;="&amp;$F$15)+COUNTIF($H$27:$H$226,"&gt;="&amp;$F$16)</f>
        <v>2</v>
      </c>
      <c r="G18" s="812" t="s">
        <v>188</v>
      </c>
      <c r="H18" s="813"/>
      <c r="I18" s="813"/>
      <c r="J18" s="813"/>
      <c r="K18" s="336">
        <f>ROUND((((PORCREQUERIDO*PMFOMOD)*(SQRT($K$17)+1))/PMFOMOD),3)</f>
        <v>1.2070000000000001</v>
      </c>
      <c r="L18" s="510"/>
      <c r="M18" s="510"/>
    </row>
    <row r="19" spans="2:16" ht="45.75" customHeight="1">
      <c r="B19" s="152"/>
      <c r="C19" s="825" t="s">
        <v>328</v>
      </c>
      <c r="D19" s="826"/>
      <c r="E19" s="810"/>
      <c r="F19" s="226">
        <f>NUMPROPMOD-F18</f>
        <v>2</v>
      </c>
      <c r="G19" s="812" t="str">
        <f>"Propuestas a ponderar con PFMT ≥ Relación PO"</f>
        <v>Propuestas a ponderar con PFMT ≥ Relación PO</v>
      </c>
      <c r="H19" s="813"/>
      <c r="I19" s="813"/>
      <c r="J19" s="813"/>
      <c r="K19" s="225">
        <f>COUNTIF($J$27:$J$226,"&gt;="&amp;$K$18)</f>
        <v>0</v>
      </c>
      <c r="L19" s="512"/>
      <c r="M19" s="512"/>
    </row>
    <row r="20" spans="2:16" ht="18.75" customHeight="1" thickBot="1">
      <c r="B20" s="152"/>
      <c r="C20" s="338"/>
      <c r="D20" s="341"/>
      <c r="E20" s="339"/>
      <c r="F20" s="340"/>
      <c r="G20" s="840" t="str">
        <f>"Propuestas a ponderar con PFMT &lt; Relación PO"</f>
        <v>Propuestas a ponderar con PFMT &lt; Relación PO</v>
      </c>
      <c r="H20" s="841"/>
      <c r="I20" s="841"/>
      <c r="J20" s="841"/>
      <c r="K20" s="353">
        <f>COUNTIF($J$27:$J$226,"&lt;"&amp;$K$18)</f>
        <v>4</v>
      </c>
      <c r="L20" s="512"/>
      <c r="M20" s="512"/>
    </row>
    <row r="21" spans="2:16" ht="24" thickBot="1">
      <c r="B21" s="343" t="s">
        <v>79</v>
      </c>
      <c r="C21" s="344"/>
      <c r="D21" s="844"/>
      <c r="E21" s="844"/>
      <c r="F21" s="844"/>
      <c r="G21" s="345"/>
      <c r="H21" s="345"/>
      <c r="I21" s="345"/>
      <c r="J21" s="346"/>
      <c r="K21" s="347"/>
      <c r="L21" s="347"/>
      <c r="M21" s="347"/>
    </row>
    <row r="22" spans="2:16" ht="24" customHeight="1" thickBot="1">
      <c r="B22" s="836" t="s">
        <v>190</v>
      </c>
      <c r="C22" s="837"/>
      <c r="D22" s="837"/>
      <c r="E22" s="837"/>
      <c r="F22" s="837"/>
      <c r="G22" s="837"/>
      <c r="H22" s="837"/>
      <c r="I22" s="837"/>
      <c r="J22" s="837"/>
      <c r="K22" s="837"/>
      <c r="L22" s="837"/>
      <c r="M22" s="837"/>
      <c r="N22" s="838"/>
    </row>
    <row r="23" spans="2:16" ht="15" customHeight="1">
      <c r="B23" s="830" t="s">
        <v>39</v>
      </c>
      <c r="C23" s="800" t="s">
        <v>124</v>
      </c>
      <c r="D23" s="801" t="s">
        <v>16</v>
      </c>
      <c r="E23" s="815" t="s">
        <v>111</v>
      </c>
      <c r="F23" s="801" t="s">
        <v>112</v>
      </c>
      <c r="G23" s="801" t="s">
        <v>129</v>
      </c>
      <c r="H23" s="832" t="s">
        <v>191</v>
      </c>
      <c r="I23" s="833"/>
      <c r="J23" s="834" t="s">
        <v>186</v>
      </c>
      <c r="K23" s="835"/>
      <c r="L23" s="799" t="s">
        <v>329</v>
      </c>
      <c r="M23" s="799" t="s">
        <v>246</v>
      </c>
      <c r="N23" s="842" t="s">
        <v>330</v>
      </c>
      <c r="P23" s="829" t="s">
        <v>247</v>
      </c>
    </row>
    <row r="24" spans="2:16" ht="27" customHeight="1">
      <c r="B24" s="830"/>
      <c r="C24" s="800"/>
      <c r="D24" s="801"/>
      <c r="E24" s="815"/>
      <c r="F24" s="801"/>
      <c r="G24" s="801"/>
      <c r="H24" s="839" t="s">
        <v>196</v>
      </c>
      <c r="I24" s="246" t="s">
        <v>198</v>
      </c>
      <c r="J24" s="839" t="s">
        <v>195</v>
      </c>
      <c r="K24" s="246" t="s">
        <v>198</v>
      </c>
      <c r="L24" s="800"/>
      <c r="M24" s="800"/>
      <c r="N24" s="843"/>
      <c r="P24" s="829"/>
    </row>
    <row r="25" spans="2:16" ht="18.75" customHeight="1" thickBot="1">
      <c r="B25" s="831"/>
      <c r="C25" s="814"/>
      <c r="D25" s="802"/>
      <c r="E25" s="816"/>
      <c r="F25" s="802"/>
      <c r="G25" s="242" t="s">
        <v>132</v>
      </c>
      <c r="H25" s="802"/>
      <c r="I25" s="241" t="s">
        <v>194</v>
      </c>
      <c r="J25" s="802"/>
      <c r="K25" s="241" t="s">
        <v>194</v>
      </c>
      <c r="L25" s="241" t="s">
        <v>194</v>
      </c>
      <c r="M25" s="241" t="s">
        <v>194</v>
      </c>
      <c r="N25" s="247" t="s">
        <v>194</v>
      </c>
      <c r="P25" s="829"/>
    </row>
    <row r="26" spans="2:16" ht="3" customHeight="1">
      <c r="B26" s="240"/>
      <c r="C26" s="127"/>
      <c r="D26" s="128"/>
      <c r="E26" s="239"/>
      <c r="F26" s="239"/>
      <c r="G26" s="239"/>
      <c r="H26" s="239"/>
      <c r="I26" s="239"/>
      <c r="J26" s="244"/>
      <c r="K26" s="244"/>
      <c r="L26" s="513"/>
      <c r="M26" s="513"/>
      <c r="N26" s="350"/>
    </row>
    <row r="27" spans="2:16" ht="13.5">
      <c r="B27" s="230">
        <v>1</v>
      </c>
      <c r="C27" s="129">
        <f>IF(VLOOKUP(B27,PROPONENTES!$B$19:$E$219,2,0)="","",VLOOKUP(B27,PROPONENTES!$B$19:$E$219,2,0))</f>
        <v>1</v>
      </c>
      <c r="D27" s="130" t="str">
        <f>IF(VLOOKUP(B27,PROPONENTES!$B$19:$E$218,3,0)="","",VLOOKUP(B27,PROPONENTES!$B$19:$E$218,3,0))</f>
        <v>CONSORCIO JC 2019</v>
      </c>
      <c r="E27" s="130" t="str">
        <f>IF(VLOOKUP(B27,PROPONENTES!$B$19:$E$218,4,0)="","",IF(VLOOKUP(B27,PROPONENTES!$B$19:$E$218,4,0)&gt;1,"SI","NO"))</f>
        <v>SI</v>
      </c>
      <c r="F27" s="135" t="str">
        <f>IF(C27&lt;&gt;"",IF(E27="SI",VLOOKUP("T"&amp;C27,'EXP. ESP.'!$A$20:$V$6999,11,0),"NO APLICA"),"")</f>
        <v/>
      </c>
      <c r="G27" s="245">
        <f>IF(C27&lt;&gt;"",VLOOKUP("M"&amp;C27,'EXP. ESP.'!$A$20:$V$6999,17,0),"")</f>
        <v>1</v>
      </c>
      <c r="H27" s="342">
        <f>IF(C27&lt;&gt;"",VLOOKUP("P"&amp;C27,'EXP. ESP.'!$A$20:$V$6999,16,0),"")</f>
        <v>0</v>
      </c>
      <c r="I27" s="135" t="str">
        <f t="shared" ref="I27:I58" si="0">IF(C27&lt;&gt;"",IF(AND(G27&gt;=NUMMINCONT,G27&lt;=NUMMAXCONT,H27&gt;$F$15,H27&lt;$F$16,H27&lt;&gt;0),"HÁBIL","NO HÁBIL"),"")</f>
        <v>NO HÁBIL</v>
      </c>
      <c r="J27" s="352">
        <f>IF(C27&lt;&gt;"",ROUND(VLOOKUP("S"&amp;C27,'EXP. ESP.'!$A$20:$V$6999,16,0)/$K$14,3),"")</f>
        <v>0</v>
      </c>
      <c r="K27" s="135" t="str">
        <f t="shared" ref="K27:K90" si="1">IF(C27&lt;&gt;"",IF(AND(G27&gt;=NUMMINCONT,G27&lt;=NUMMAXCONT,J27&lt;$K$18,J27&lt;&gt;0),"HÁBIL","NO HÁBIL"),"")</f>
        <v>NO HÁBIL</v>
      </c>
      <c r="L27" s="135" t="str">
        <f>IF(C27&lt;&gt;"",VLOOKUP(C27,HAB.GEN.!$C$19:$K$218,9,FALSE),"")</f>
        <v>HÁBIL</v>
      </c>
      <c r="M27" s="514" t="str">
        <f t="shared" ref="M27:M58" si="2">IF(AND(G27&gt;=NUMMINCONT,G27&lt;=NUMMAXCONT,P27&lt;&gt;"SI"),IF(OR(I27="",K27=""),"",IF(OR(I27="NO HÁBIL",K27="NO HÁBIL",F27="NO CUMPLE"),"NO HÁBIL","HÁBIL")),"NO HÁBIL")</f>
        <v>NO HÁBIL</v>
      </c>
      <c r="N27" s="351" t="str">
        <f>IF(OR(COUNTIF(L27:M27,"")=2,COUNTIF(L27:M27,"")&gt;0),"",IF(COUNTIF(L27:M27,"RECHAZO")&gt;0,"RECHAZO",IF(COUNTIF(L27:M27,"NO HÁBIL")=0,"HÁBIL","NO HÁBIL")))</f>
        <v>NO HÁBIL</v>
      </c>
      <c r="P27" s="427"/>
    </row>
    <row r="28" spans="2:16" ht="13.5">
      <c r="B28" s="231">
        <v>2</v>
      </c>
      <c r="C28" s="129">
        <f>IF(VLOOKUP(B28,PROPONENTES!$B$19:$E$219,2,0)="","",VLOOKUP(B28,PROPONENTES!$B$19:$E$219,2,0))</f>
        <v>2</v>
      </c>
      <c r="D28" s="130" t="str">
        <f>IF(VLOOKUP(B28,PROPONENTES!$B$19:$E$218,3,0)="","",VLOOKUP(B28,PROPONENTES!$B$19:$E$218,3,0))</f>
        <v>CONSORCIO MORELIA JPD</v>
      </c>
      <c r="E28" s="130" t="str">
        <f>IF(VLOOKUP(B28,PROPONENTES!$B$19:$E$218,4,0)="","",IF(VLOOKUP(B28,PROPONENTES!$B$19:$E$218,4,0)&gt;1,"SI","NO"))</f>
        <v>SI</v>
      </c>
      <c r="F28" s="135" t="str">
        <f>IF(C28&lt;&gt;"",IF(E28="SI",VLOOKUP("T"&amp;C28,'EXP. ESP.'!$A$20:$V$6999,11,0),"NO APLICA"),"")</f>
        <v>CUMPLE</v>
      </c>
      <c r="G28" s="245">
        <f>IF(C28&lt;&gt;"",VLOOKUP("M"&amp;C28,'EXP. ESP.'!$A$20:$V$6999,17,0),"")</f>
        <v>4</v>
      </c>
      <c r="H28" s="342">
        <f>IF(C28&lt;&gt;"",VLOOKUP("P"&amp;C28,'EXP. ESP.'!$A$20:$V$6999,16,0),"")</f>
        <v>3.222</v>
      </c>
      <c r="I28" s="135" t="str">
        <f t="shared" si="0"/>
        <v>HÁBIL</v>
      </c>
      <c r="J28" s="352">
        <f>IF(C28&lt;&gt;"",ROUND(VLOOKUP("S"&amp;C28,'EXP. ESP.'!$A$20:$V$6999,16,0)/$K$14,3),"")</f>
        <v>0.27</v>
      </c>
      <c r="K28" s="135" t="str">
        <f t="shared" si="1"/>
        <v>HÁBIL</v>
      </c>
      <c r="L28" s="135" t="str">
        <f>IF(C28&lt;&gt;"",VLOOKUP(C28,HAB.GEN.!$C$19:$K$218,9,FALSE),"")</f>
        <v>HÁBIL</v>
      </c>
      <c r="M28" s="514" t="str">
        <f t="shared" si="2"/>
        <v>HÁBIL</v>
      </c>
      <c r="N28" s="351" t="str">
        <f t="shared" ref="N28:N91" si="3">IF(OR(COUNTIF(L28:M28,"")=2,COUNTIF(L28:M28,"")&gt;0),"",IF(COUNTIF(L28:M28,"RECHAZO")&gt;0,"RECHAZO",IF(COUNTIF(L28:M28,"NO HÁBIL")=0,"HÁBIL","NO HÁBIL")))</f>
        <v>HÁBIL</v>
      </c>
      <c r="P28" s="427"/>
    </row>
    <row r="29" spans="2:16" ht="13.5">
      <c r="B29" s="231">
        <v>3</v>
      </c>
      <c r="C29" s="129">
        <f>IF(VLOOKUP(B29,PROPONENTES!$B$19:$E$219,2,0)="","",VLOOKUP(B29,PROPONENTES!$B$19:$E$219,2,0))</f>
        <v>3</v>
      </c>
      <c r="D29" s="130" t="str">
        <f>IF(VLOOKUP(B29,PROPONENTES!$B$19:$E$218,3,0)="","",VLOOKUP(B29,PROPONENTES!$B$19:$E$218,3,0))</f>
        <v>UCING LTDA</v>
      </c>
      <c r="E29" s="130" t="str">
        <f>IF(VLOOKUP(B29,PROPONENTES!$B$19:$E$218,4,0)="","",IF(VLOOKUP(B29,PROPONENTES!$B$19:$E$218,4,0)&gt;1,"SI","NO"))</f>
        <v>NO</v>
      </c>
      <c r="F29" s="135" t="str">
        <f>IF(C29&lt;&gt;"",IF(E29="SI",VLOOKUP("T"&amp;C29,'EXP. ESP.'!$A$20:$V$6999,11,0),"NO APLICA"),"")</f>
        <v>NO APLICA</v>
      </c>
      <c r="G29" s="245">
        <f>IF(C29&lt;&gt;"",VLOOKUP("M"&amp;C29,'EXP. ESP.'!$A$20:$V$6999,17,0),"")</f>
        <v>6</v>
      </c>
      <c r="H29" s="342">
        <f>IF(C29&lt;&gt;"",VLOOKUP("P"&amp;C29,'EXP. ESP.'!$A$20:$V$6999,16,0),"")</f>
        <v>1.95</v>
      </c>
      <c r="I29" s="135" t="str">
        <f t="shared" si="0"/>
        <v>HÁBIL</v>
      </c>
      <c r="J29" s="352">
        <f>IF(C29&lt;&gt;"",ROUND(VLOOKUP("S"&amp;C29,'EXP. ESP.'!$A$20:$V$6999,16,0)/$K$14,3),"")</f>
        <v>0.48799999999999999</v>
      </c>
      <c r="K29" s="135" t="str">
        <f t="shared" si="1"/>
        <v>HÁBIL</v>
      </c>
      <c r="L29" s="135" t="str">
        <f>IF(C29&lt;&gt;"",VLOOKUP(C29,HAB.GEN.!$C$19:$K$218,9,FALSE),"")</f>
        <v>HÁBIL</v>
      </c>
      <c r="M29" s="514" t="str">
        <f t="shared" si="2"/>
        <v>HÁBIL</v>
      </c>
      <c r="N29" s="351" t="str">
        <f t="shared" si="3"/>
        <v>HÁBIL</v>
      </c>
      <c r="P29" s="427"/>
    </row>
    <row r="30" spans="2:16" ht="13.5">
      <c r="B30" s="230">
        <v>4</v>
      </c>
      <c r="C30" s="129">
        <f>IF(VLOOKUP(B30,PROPONENTES!$B$19:$E$219,2,0)="","",VLOOKUP(B30,PROPONENTES!$B$19:$E$219,2,0))</f>
        <v>4</v>
      </c>
      <c r="D30" s="130" t="str">
        <f>IF(VLOOKUP(B30,PROPONENTES!$B$19:$E$218,3,0)="","",VLOOKUP(B30,PROPONENTES!$B$19:$E$218,3,0))</f>
        <v>SOTA</v>
      </c>
      <c r="E30" s="130" t="str">
        <f>IF(VLOOKUP(B30,PROPONENTES!$B$19:$E$218,4,0)="","",IF(VLOOKUP(B30,PROPONENTES!$B$19:$E$218,4,0)&gt;1,"SI","NO"))</f>
        <v>NO</v>
      </c>
      <c r="F30" s="135" t="str">
        <f>IF(C30&lt;&gt;"",IF(E30="SI",VLOOKUP("T"&amp;C30,'EXP. ESP.'!$A$20:$V$6999,11,0),"NO APLICA"),"")</f>
        <v>NO APLICA</v>
      </c>
      <c r="G30" s="245">
        <f>IF(C30&lt;&gt;"",VLOOKUP("M"&amp;C30,'EXP. ESP.'!$A$20:$V$6999,17,0),"")</f>
        <v>5</v>
      </c>
      <c r="H30" s="342">
        <f>IF(C30&lt;&gt;"",VLOOKUP("P"&amp;C30,'EXP. ESP.'!$A$20:$V$6999,16,0),"")</f>
        <v>6.2329999999999997</v>
      </c>
      <c r="I30" s="135" t="str">
        <f t="shared" si="0"/>
        <v>NO HÁBIL</v>
      </c>
      <c r="J30" s="352">
        <f>IF(C30&lt;&gt;"",ROUND(VLOOKUP("S"&amp;C30,'EXP. ESP.'!$A$20:$V$6999,16,0)/$K$14,3),"")</f>
        <v>0.56000000000000005</v>
      </c>
      <c r="K30" s="135" t="str">
        <f t="shared" si="1"/>
        <v>HÁBIL</v>
      </c>
      <c r="L30" s="135" t="str">
        <f>IF(C30&lt;&gt;"",VLOOKUP(C30,HAB.GEN.!$C$19:$K$218,9,FALSE),"")</f>
        <v>HÁBIL</v>
      </c>
      <c r="M30" s="514" t="str">
        <f t="shared" si="2"/>
        <v>NO HÁBIL</v>
      </c>
      <c r="N30" s="351" t="str">
        <f t="shared" si="3"/>
        <v>NO HÁBIL</v>
      </c>
      <c r="P30" s="427"/>
    </row>
    <row r="31" spans="2:16" ht="13.5">
      <c r="B31" s="231"/>
      <c r="C31" s="129"/>
      <c r="D31" s="130"/>
      <c r="E31" s="130"/>
      <c r="F31" s="135"/>
      <c r="G31" s="245"/>
      <c r="H31" s="342"/>
      <c r="I31" s="135"/>
      <c r="J31" s="352"/>
      <c r="K31" s="135"/>
      <c r="L31" s="135"/>
      <c r="M31" s="514"/>
      <c r="N31" s="351"/>
      <c r="P31" s="427"/>
    </row>
    <row r="32" spans="2:16" ht="13.5" customHeight="1">
      <c r="B32" s="231"/>
      <c r="C32" s="129"/>
      <c r="D32" s="130"/>
      <c r="E32" s="130"/>
      <c r="F32" s="135"/>
      <c r="G32" s="245"/>
      <c r="H32" s="342"/>
      <c r="I32" s="135"/>
      <c r="J32" s="352"/>
      <c r="K32" s="135"/>
      <c r="L32" s="135"/>
      <c r="M32" s="514"/>
      <c r="N32" s="351"/>
      <c r="P32" s="427"/>
    </row>
    <row r="33" spans="2:16" ht="13.5">
      <c r="B33" s="230"/>
      <c r="C33" s="129"/>
      <c r="D33" s="130"/>
      <c r="E33" s="130"/>
      <c r="F33" s="135"/>
      <c r="G33" s="245"/>
      <c r="H33" s="342"/>
      <c r="I33" s="135"/>
      <c r="J33" s="352"/>
      <c r="K33" s="135"/>
      <c r="L33" s="135"/>
      <c r="M33" s="514"/>
      <c r="N33" s="351"/>
      <c r="P33" s="427"/>
    </row>
    <row r="34" spans="2:16" ht="13.5">
      <c r="B34" s="231"/>
      <c r="C34" s="129"/>
      <c r="D34" s="130"/>
      <c r="E34" s="130"/>
      <c r="F34" s="135"/>
      <c r="G34" s="245"/>
      <c r="H34" s="342"/>
      <c r="I34" s="135"/>
      <c r="J34" s="352"/>
      <c r="K34" s="135"/>
      <c r="L34" s="135"/>
      <c r="M34" s="514"/>
      <c r="N34" s="351"/>
      <c r="P34" s="427"/>
    </row>
    <row r="35" spans="2:16" ht="13.5">
      <c r="B35" s="231"/>
      <c r="C35" s="129"/>
      <c r="D35" s="130"/>
      <c r="E35" s="130"/>
      <c r="F35" s="135"/>
      <c r="G35" s="245"/>
      <c r="H35" s="342"/>
      <c r="I35" s="135"/>
      <c r="J35" s="352"/>
      <c r="K35" s="135"/>
      <c r="L35" s="135"/>
      <c r="M35" s="514"/>
      <c r="N35" s="351"/>
      <c r="P35" s="427"/>
    </row>
    <row r="36" spans="2:16" ht="13.5">
      <c r="B36" s="230"/>
      <c r="C36" s="129"/>
      <c r="D36" s="130"/>
      <c r="E36" s="130"/>
      <c r="F36" s="135"/>
      <c r="G36" s="245"/>
      <c r="H36" s="342"/>
      <c r="I36" s="135"/>
      <c r="J36" s="352"/>
      <c r="K36" s="135"/>
      <c r="L36" s="135"/>
      <c r="M36" s="514"/>
      <c r="N36" s="351"/>
      <c r="P36" s="427"/>
    </row>
    <row r="37" spans="2:16" ht="13.5">
      <c r="B37" s="231"/>
      <c r="C37" s="129"/>
      <c r="D37" s="130"/>
      <c r="E37" s="130"/>
      <c r="F37" s="135"/>
      <c r="G37" s="245"/>
      <c r="H37" s="342"/>
      <c r="I37" s="135"/>
      <c r="J37" s="352"/>
      <c r="K37" s="135"/>
      <c r="L37" s="135"/>
      <c r="M37" s="514"/>
      <c r="N37" s="351"/>
      <c r="P37" s="427"/>
    </row>
    <row r="38" spans="2:16" ht="13.5">
      <c r="B38" s="231"/>
      <c r="C38" s="129"/>
      <c r="D38" s="130"/>
      <c r="E38" s="130"/>
      <c r="F38" s="135"/>
      <c r="G38" s="245"/>
      <c r="H38" s="342"/>
      <c r="I38" s="135"/>
      <c r="J38" s="352"/>
      <c r="K38" s="135"/>
      <c r="L38" s="135"/>
      <c r="M38" s="514"/>
      <c r="N38" s="351"/>
      <c r="P38" s="427"/>
    </row>
    <row r="39" spans="2:16" ht="13.5">
      <c r="B39" s="230"/>
      <c r="C39" s="129"/>
      <c r="D39" s="130"/>
      <c r="E39" s="130"/>
      <c r="F39" s="135"/>
      <c r="G39" s="245"/>
      <c r="H39" s="342"/>
      <c r="I39" s="135"/>
      <c r="J39" s="352"/>
      <c r="K39" s="135"/>
      <c r="L39" s="135"/>
      <c r="M39" s="514"/>
      <c r="N39" s="351"/>
      <c r="P39" s="427"/>
    </row>
    <row r="40" spans="2:16" ht="13.5">
      <c r="B40" s="231"/>
      <c r="C40" s="129"/>
      <c r="D40" s="130"/>
      <c r="E40" s="130"/>
      <c r="F40" s="135"/>
      <c r="G40" s="245"/>
      <c r="H40" s="342"/>
      <c r="I40" s="135"/>
      <c r="J40" s="352"/>
      <c r="K40" s="135"/>
      <c r="L40" s="135"/>
      <c r="M40" s="514"/>
      <c r="N40" s="351"/>
      <c r="P40" s="427"/>
    </row>
    <row r="41" spans="2:16" ht="13.5" hidden="1">
      <c r="B41" s="231">
        <v>15</v>
      </c>
      <c r="C41" s="129" t="e">
        <f>IF(VLOOKUP(B41,PROPONENTES!$B$19:$E$219,2,0)="","",VLOOKUP(B41,PROPONENTES!$B$19:$E$219,2,0))</f>
        <v>#N/A</v>
      </c>
      <c r="D41" s="130" t="e">
        <f>IF(VLOOKUP(B41,PROPONENTES!$B$19:$E$218,3,0)="","",VLOOKUP(B41,PROPONENTES!$B$19:$E$218,3,0))</f>
        <v>#N/A</v>
      </c>
      <c r="E41" s="130" t="e">
        <f>IF(VLOOKUP(B41,PROPONENTES!$B$19:$E$218,4,0)="","",IF(VLOOKUP(B41,PROPONENTES!$B$19:$E$218,4,0)&gt;1,"SI","NO"))</f>
        <v>#N/A</v>
      </c>
      <c r="F41" s="135" t="e">
        <f>IF(C41&lt;&gt;"",IF(E41="SI",VLOOKUP("T"&amp;C41,'EXP. ESP.'!$A$20:$V$6999,11,0),"NO APLICA"),"")</f>
        <v>#N/A</v>
      </c>
      <c r="G41" s="245" t="e">
        <f>IF(C41&lt;&gt;"",VLOOKUP("M"&amp;C41,'EXP. ESP.'!$A$20:$V$6999,17,0),"")</f>
        <v>#N/A</v>
      </c>
      <c r="H41" s="342" t="e">
        <f>IF(C41&lt;&gt;"",VLOOKUP("P"&amp;C41,'EXP. ESP.'!$A$20:$V$6999,16,0),"")</f>
        <v>#N/A</v>
      </c>
      <c r="I41" s="135" t="e">
        <f t="shared" si="0"/>
        <v>#N/A</v>
      </c>
      <c r="J41" s="352" t="e">
        <f>IF(C41&lt;&gt;"",ROUND(VLOOKUP("S"&amp;C41,'EXP. ESP.'!$A$20:$V$6999,16,0)/$K$14,3),"")</f>
        <v>#N/A</v>
      </c>
      <c r="K41" s="135" t="e">
        <f t="shared" si="1"/>
        <v>#N/A</v>
      </c>
      <c r="L41" s="135" t="e">
        <f>IF(C41&lt;&gt;"",VLOOKUP(C41,HAB.GEN.!$C$19:$K$218,9,FALSE),"")</f>
        <v>#N/A</v>
      </c>
      <c r="M41" s="514" t="e">
        <f t="shared" si="2"/>
        <v>#N/A</v>
      </c>
      <c r="N41" s="351" t="str">
        <f t="shared" si="3"/>
        <v>HÁBIL</v>
      </c>
      <c r="P41" s="427"/>
    </row>
    <row r="42" spans="2:16" ht="13.5" hidden="1">
      <c r="B42" s="230">
        <v>16</v>
      </c>
      <c r="C42" s="129" t="e">
        <f>IF(VLOOKUP(B42,PROPONENTES!$B$19:$E$219,2,0)="","",VLOOKUP(B42,PROPONENTES!$B$19:$E$219,2,0))</f>
        <v>#N/A</v>
      </c>
      <c r="D42" s="130" t="e">
        <f>IF(VLOOKUP(B42,PROPONENTES!$B$19:$E$218,3,0)="","",VLOOKUP(B42,PROPONENTES!$B$19:$E$218,3,0))</f>
        <v>#N/A</v>
      </c>
      <c r="E42" s="130" t="e">
        <f>IF(VLOOKUP(B42,PROPONENTES!$B$19:$E$218,4,0)="","",IF(VLOOKUP(B42,PROPONENTES!$B$19:$E$218,4,0)&gt;1,"SI","NO"))</f>
        <v>#N/A</v>
      </c>
      <c r="F42" s="135" t="e">
        <f>IF(C42&lt;&gt;"",IF(E42="SI",VLOOKUP("T"&amp;C42,'EXP. ESP.'!$A$20:$V$6999,11,0),"NO APLICA"),"")</f>
        <v>#N/A</v>
      </c>
      <c r="G42" s="245" t="e">
        <f>IF(C42&lt;&gt;"",VLOOKUP("M"&amp;C42,'EXP. ESP.'!$A$20:$V$6999,17,0),"")</f>
        <v>#N/A</v>
      </c>
      <c r="H42" s="342" t="e">
        <f>IF(C42&lt;&gt;"",VLOOKUP("P"&amp;C42,'EXP. ESP.'!$A$20:$V$6999,16,0),"")</f>
        <v>#N/A</v>
      </c>
      <c r="I42" s="135" t="e">
        <f t="shared" si="0"/>
        <v>#N/A</v>
      </c>
      <c r="J42" s="352" t="e">
        <f>IF(C42&lt;&gt;"",ROUND(VLOOKUP("S"&amp;C42,'EXP. ESP.'!$A$20:$V$6999,16,0)/$K$14,3),"")</f>
        <v>#N/A</v>
      </c>
      <c r="K42" s="135" t="e">
        <f t="shared" si="1"/>
        <v>#N/A</v>
      </c>
      <c r="L42" s="135" t="e">
        <f>IF(C42&lt;&gt;"",VLOOKUP(C42,HAB.GEN.!$C$19:$K$218,9,FALSE),"")</f>
        <v>#N/A</v>
      </c>
      <c r="M42" s="514" t="e">
        <f t="shared" si="2"/>
        <v>#N/A</v>
      </c>
      <c r="N42" s="351" t="str">
        <f t="shared" si="3"/>
        <v>HÁBIL</v>
      </c>
      <c r="P42" s="427"/>
    </row>
    <row r="43" spans="2:16" ht="13.5" hidden="1">
      <c r="B43" s="231">
        <v>17</v>
      </c>
      <c r="C43" s="129" t="e">
        <f>IF(VLOOKUP(B43,PROPONENTES!$B$19:$E$219,2,0)="","",VLOOKUP(B43,PROPONENTES!$B$19:$E$219,2,0))</f>
        <v>#N/A</v>
      </c>
      <c r="D43" s="130" t="e">
        <f>IF(VLOOKUP(B43,PROPONENTES!$B$19:$E$218,3,0)="","",VLOOKUP(B43,PROPONENTES!$B$19:$E$218,3,0))</f>
        <v>#N/A</v>
      </c>
      <c r="E43" s="130" t="e">
        <f>IF(VLOOKUP(B43,PROPONENTES!$B$19:$E$218,4,0)="","",IF(VLOOKUP(B43,PROPONENTES!$B$19:$E$218,4,0)&gt;1,"SI","NO"))</f>
        <v>#N/A</v>
      </c>
      <c r="F43" s="135" t="e">
        <f>IF(C43&lt;&gt;"",IF(E43="SI",VLOOKUP("T"&amp;C43,'EXP. ESP.'!$A$20:$V$6999,11,0),"NO APLICA"),"")</f>
        <v>#N/A</v>
      </c>
      <c r="G43" s="245" t="e">
        <f>IF(C43&lt;&gt;"",VLOOKUP("M"&amp;C43,'EXP. ESP.'!$A$20:$V$6999,17,0),"")</f>
        <v>#N/A</v>
      </c>
      <c r="H43" s="342" t="e">
        <f>IF(C43&lt;&gt;"",VLOOKUP("P"&amp;C43,'EXP. ESP.'!$A$20:$V$6999,16,0),"")</f>
        <v>#N/A</v>
      </c>
      <c r="I43" s="135" t="e">
        <f t="shared" si="0"/>
        <v>#N/A</v>
      </c>
      <c r="J43" s="352" t="e">
        <f>IF(C43&lt;&gt;"",ROUND(VLOOKUP("S"&amp;C43,'EXP. ESP.'!$A$20:$V$6999,16,0)/$K$14,3),"")</f>
        <v>#N/A</v>
      </c>
      <c r="K43" s="135" t="e">
        <f t="shared" si="1"/>
        <v>#N/A</v>
      </c>
      <c r="L43" s="135" t="e">
        <f>IF(C43&lt;&gt;"",VLOOKUP(C43,HAB.GEN.!$C$19:$K$218,9,FALSE),"")</f>
        <v>#N/A</v>
      </c>
      <c r="M43" s="514" t="e">
        <f t="shared" si="2"/>
        <v>#N/A</v>
      </c>
      <c r="N43" s="351" t="str">
        <f t="shared" si="3"/>
        <v>HÁBIL</v>
      </c>
      <c r="P43" s="427"/>
    </row>
    <row r="44" spans="2:16" ht="13.5" hidden="1">
      <c r="B44" s="231">
        <v>18</v>
      </c>
      <c r="C44" s="129" t="e">
        <f>IF(VLOOKUP(B44,PROPONENTES!$B$19:$E$219,2,0)="","",VLOOKUP(B44,PROPONENTES!$B$19:$E$219,2,0))</f>
        <v>#N/A</v>
      </c>
      <c r="D44" s="130" t="e">
        <f>IF(VLOOKUP(B44,PROPONENTES!$B$19:$E$218,3,0)="","",VLOOKUP(B44,PROPONENTES!$B$19:$E$218,3,0))</f>
        <v>#N/A</v>
      </c>
      <c r="E44" s="130" t="e">
        <f>IF(VLOOKUP(B44,PROPONENTES!$B$19:$E$218,4,0)="","",IF(VLOOKUP(B44,PROPONENTES!$B$19:$E$218,4,0)&gt;1,"SI","NO"))</f>
        <v>#N/A</v>
      </c>
      <c r="F44" s="135" t="e">
        <f>IF(C44&lt;&gt;"",IF(E44="SI",VLOOKUP("T"&amp;C44,'EXP. ESP.'!$A$20:$V$6999,11,0),"NO APLICA"),"")</f>
        <v>#N/A</v>
      </c>
      <c r="G44" s="245" t="e">
        <f>IF(C44&lt;&gt;"",VLOOKUP("M"&amp;C44,'EXP. ESP.'!$A$20:$V$6999,17,0),"")</f>
        <v>#N/A</v>
      </c>
      <c r="H44" s="342" t="e">
        <f>IF(C44&lt;&gt;"",VLOOKUP("P"&amp;C44,'EXP. ESP.'!$A$20:$V$6999,16,0),"")</f>
        <v>#N/A</v>
      </c>
      <c r="I44" s="135" t="e">
        <f t="shared" si="0"/>
        <v>#N/A</v>
      </c>
      <c r="J44" s="352" t="e">
        <f>IF(C44&lt;&gt;"",ROUND(VLOOKUP("S"&amp;C44,'EXP. ESP.'!$A$20:$V$6999,16,0)/$K$14,3),"")</f>
        <v>#N/A</v>
      </c>
      <c r="K44" s="135" t="e">
        <f t="shared" si="1"/>
        <v>#N/A</v>
      </c>
      <c r="L44" s="135" t="e">
        <f>IF(C44&lt;&gt;"",VLOOKUP(C44,HAB.GEN.!$C$19:$K$218,9,FALSE),"")</f>
        <v>#N/A</v>
      </c>
      <c r="M44" s="514" t="e">
        <f t="shared" si="2"/>
        <v>#N/A</v>
      </c>
      <c r="N44" s="351" t="str">
        <f t="shared" si="3"/>
        <v>HÁBIL</v>
      </c>
      <c r="P44" s="427"/>
    </row>
    <row r="45" spans="2:16" ht="13.5" hidden="1">
      <c r="B45" s="230">
        <v>19</v>
      </c>
      <c r="C45" s="129" t="e">
        <f>IF(VLOOKUP(B45,PROPONENTES!$B$19:$E$219,2,0)="","",VLOOKUP(B45,PROPONENTES!$B$19:$E$219,2,0))</f>
        <v>#N/A</v>
      </c>
      <c r="D45" s="130" t="e">
        <f>IF(VLOOKUP(B45,PROPONENTES!$B$19:$E$218,3,0)="","",VLOOKUP(B45,PROPONENTES!$B$19:$E$218,3,0))</f>
        <v>#N/A</v>
      </c>
      <c r="E45" s="130" t="e">
        <f>IF(VLOOKUP(B45,PROPONENTES!$B$19:$E$218,4,0)="","",IF(VLOOKUP(B45,PROPONENTES!$B$19:$E$218,4,0)&gt;1,"SI","NO"))</f>
        <v>#N/A</v>
      </c>
      <c r="F45" s="135" t="e">
        <f>IF(C45&lt;&gt;"",IF(E45="SI",VLOOKUP("T"&amp;C45,'EXP. ESP.'!$A$20:$V$6999,11,0),"NO APLICA"),"")</f>
        <v>#N/A</v>
      </c>
      <c r="G45" s="245" t="e">
        <f>IF(C45&lt;&gt;"",VLOOKUP("M"&amp;C45,'EXP. ESP.'!$A$20:$V$6999,17,0),"")</f>
        <v>#N/A</v>
      </c>
      <c r="H45" s="342" t="e">
        <f>IF(C45&lt;&gt;"",VLOOKUP("P"&amp;C45,'EXP. ESP.'!$A$20:$V$6999,16,0),"")</f>
        <v>#N/A</v>
      </c>
      <c r="I45" s="135" t="e">
        <f t="shared" si="0"/>
        <v>#N/A</v>
      </c>
      <c r="J45" s="352" t="e">
        <f>IF(C45&lt;&gt;"",ROUND(VLOOKUP("S"&amp;C45,'EXP. ESP.'!$A$20:$V$6999,16,0)/$K$14,3),"")</f>
        <v>#N/A</v>
      </c>
      <c r="K45" s="135" t="e">
        <f t="shared" si="1"/>
        <v>#N/A</v>
      </c>
      <c r="L45" s="135" t="e">
        <f>IF(C45&lt;&gt;"",VLOOKUP(C45,HAB.GEN.!$C$19:$K$218,9,FALSE),"")</f>
        <v>#N/A</v>
      </c>
      <c r="M45" s="514" t="e">
        <f t="shared" si="2"/>
        <v>#N/A</v>
      </c>
      <c r="N45" s="351" t="str">
        <f t="shared" si="3"/>
        <v>HÁBIL</v>
      </c>
      <c r="P45" s="427"/>
    </row>
    <row r="46" spans="2:16" ht="13.5" hidden="1">
      <c r="B46" s="231">
        <v>20</v>
      </c>
      <c r="C46" s="129" t="e">
        <f>IF(VLOOKUP(B46,PROPONENTES!$B$19:$E$219,2,0)="","",VLOOKUP(B46,PROPONENTES!$B$19:$E$219,2,0))</f>
        <v>#N/A</v>
      </c>
      <c r="D46" s="130" t="e">
        <f>IF(VLOOKUP(B46,PROPONENTES!$B$19:$E$218,3,0)="","",VLOOKUP(B46,PROPONENTES!$B$19:$E$218,3,0))</f>
        <v>#N/A</v>
      </c>
      <c r="E46" s="130" t="e">
        <f>IF(VLOOKUP(B46,PROPONENTES!$B$19:$E$218,4,0)="","",IF(VLOOKUP(B46,PROPONENTES!$B$19:$E$218,4,0)&gt;1,"SI","NO"))</f>
        <v>#N/A</v>
      </c>
      <c r="F46" s="135" t="e">
        <f>IF(C46&lt;&gt;"",IF(E46="SI",VLOOKUP("T"&amp;C46,'EXP. ESP.'!$A$20:$V$6999,11,0),"NO APLICA"),"")</f>
        <v>#N/A</v>
      </c>
      <c r="G46" s="245" t="e">
        <f>IF(C46&lt;&gt;"",VLOOKUP("M"&amp;C46,'EXP. ESP.'!$A$20:$V$6999,17,0),"")</f>
        <v>#N/A</v>
      </c>
      <c r="H46" s="342" t="e">
        <f>IF(C46&lt;&gt;"",VLOOKUP("P"&amp;C46,'EXP. ESP.'!$A$20:$V$6999,16,0),"")</f>
        <v>#N/A</v>
      </c>
      <c r="I46" s="135" t="e">
        <f t="shared" si="0"/>
        <v>#N/A</v>
      </c>
      <c r="J46" s="352" t="e">
        <f>IF(C46&lt;&gt;"",ROUND(VLOOKUP("S"&amp;C46,'EXP. ESP.'!$A$20:$V$6999,16,0)/$K$14,3),"")</f>
        <v>#N/A</v>
      </c>
      <c r="K46" s="135" t="e">
        <f t="shared" si="1"/>
        <v>#N/A</v>
      </c>
      <c r="L46" s="135" t="e">
        <f>IF(C46&lt;&gt;"",VLOOKUP(C46,HAB.GEN.!$C$19:$K$218,9,FALSE),"")</f>
        <v>#N/A</v>
      </c>
      <c r="M46" s="514" t="e">
        <f t="shared" si="2"/>
        <v>#N/A</v>
      </c>
      <c r="N46" s="351" t="str">
        <f t="shared" si="3"/>
        <v>HÁBIL</v>
      </c>
      <c r="P46" s="427"/>
    </row>
    <row r="47" spans="2:16" ht="13.5" hidden="1">
      <c r="B47" s="231">
        <v>21</v>
      </c>
      <c r="C47" s="129" t="e">
        <f>IF(VLOOKUP(B47,PROPONENTES!$B$19:$E$219,2,0)="","",VLOOKUP(B47,PROPONENTES!$B$19:$E$219,2,0))</f>
        <v>#N/A</v>
      </c>
      <c r="D47" s="130" t="e">
        <f>IF(VLOOKUP(B47,PROPONENTES!$B$19:$E$218,3,0)="","",VLOOKUP(B47,PROPONENTES!$B$19:$E$218,3,0))</f>
        <v>#N/A</v>
      </c>
      <c r="E47" s="130" t="e">
        <f>IF(VLOOKUP(B47,PROPONENTES!$B$19:$E$218,4,0)="","",IF(VLOOKUP(B47,PROPONENTES!$B$19:$E$218,4,0)&gt;1,"SI","NO"))</f>
        <v>#N/A</v>
      </c>
      <c r="F47" s="135" t="e">
        <f>IF(C47&lt;&gt;"",IF(E47="SI",VLOOKUP("T"&amp;C47,'EXP. ESP.'!$A$20:$V$6999,11,0),"NO APLICA"),"")</f>
        <v>#N/A</v>
      </c>
      <c r="G47" s="245" t="e">
        <f>IF(C47&lt;&gt;"",VLOOKUP("M"&amp;C47,'EXP. ESP.'!$A$20:$V$6999,17,0),"")</f>
        <v>#N/A</v>
      </c>
      <c r="H47" s="342" t="e">
        <f>IF(C47&lt;&gt;"",VLOOKUP("P"&amp;C47,'EXP. ESP.'!$A$20:$V$6999,16,0),"")</f>
        <v>#N/A</v>
      </c>
      <c r="I47" s="135" t="e">
        <f t="shared" si="0"/>
        <v>#N/A</v>
      </c>
      <c r="J47" s="352" t="e">
        <f>IF(C47&lt;&gt;"",ROUND(VLOOKUP("S"&amp;C47,'EXP. ESP.'!$A$20:$V$6999,16,0)/$K$14,3),"")</f>
        <v>#N/A</v>
      </c>
      <c r="K47" s="135" t="e">
        <f t="shared" si="1"/>
        <v>#N/A</v>
      </c>
      <c r="L47" s="135" t="e">
        <f>IF(C47&lt;&gt;"",VLOOKUP(C47,HAB.GEN.!$C$19:$K$218,9,FALSE),"")</f>
        <v>#N/A</v>
      </c>
      <c r="M47" s="514" t="e">
        <f t="shared" si="2"/>
        <v>#N/A</v>
      </c>
      <c r="N47" s="351" t="str">
        <f t="shared" si="3"/>
        <v>HÁBIL</v>
      </c>
      <c r="P47" s="427"/>
    </row>
    <row r="48" spans="2:16" ht="13.5" hidden="1">
      <c r="B48" s="230">
        <v>22</v>
      </c>
      <c r="C48" s="129" t="e">
        <f>IF(VLOOKUP(B48,PROPONENTES!$B$19:$E$219,2,0)="","",VLOOKUP(B48,PROPONENTES!$B$19:$E$219,2,0))</f>
        <v>#N/A</v>
      </c>
      <c r="D48" s="130" t="e">
        <f>IF(VLOOKUP(B48,PROPONENTES!$B$19:$E$218,3,0)="","",VLOOKUP(B48,PROPONENTES!$B$19:$E$218,3,0))</f>
        <v>#N/A</v>
      </c>
      <c r="E48" s="130" t="e">
        <f>IF(VLOOKUP(B48,PROPONENTES!$B$19:$E$218,4,0)="","",IF(VLOOKUP(B48,PROPONENTES!$B$19:$E$218,4,0)&gt;1,"SI","NO"))</f>
        <v>#N/A</v>
      </c>
      <c r="F48" s="135" t="e">
        <f>IF(C48&lt;&gt;"",IF(E48="SI",VLOOKUP("T"&amp;C48,'EXP. ESP.'!$A$20:$V$6999,11,0),"NO APLICA"),"")</f>
        <v>#N/A</v>
      </c>
      <c r="G48" s="245" t="e">
        <f>IF(C48&lt;&gt;"",VLOOKUP("M"&amp;C48,'EXP. ESP.'!$A$20:$V$6999,17,0),"")</f>
        <v>#N/A</v>
      </c>
      <c r="H48" s="342" t="e">
        <f>IF(C48&lt;&gt;"",VLOOKUP("P"&amp;C48,'EXP. ESP.'!$A$20:$V$6999,16,0),"")</f>
        <v>#N/A</v>
      </c>
      <c r="I48" s="135" t="e">
        <f t="shared" si="0"/>
        <v>#N/A</v>
      </c>
      <c r="J48" s="352" t="e">
        <f>IF(C48&lt;&gt;"",ROUND(VLOOKUP("S"&amp;C48,'EXP. ESP.'!$A$20:$V$6999,16,0)/$K$14,3),"")</f>
        <v>#N/A</v>
      </c>
      <c r="K48" s="135" t="e">
        <f t="shared" si="1"/>
        <v>#N/A</v>
      </c>
      <c r="L48" s="135" t="e">
        <f>IF(C48&lt;&gt;"",VLOOKUP(C48,HAB.GEN.!$C$19:$K$218,9,FALSE),"")</f>
        <v>#N/A</v>
      </c>
      <c r="M48" s="514" t="e">
        <f t="shared" si="2"/>
        <v>#N/A</v>
      </c>
      <c r="N48" s="351" t="str">
        <f t="shared" si="3"/>
        <v>HÁBIL</v>
      </c>
      <c r="P48" s="427"/>
    </row>
    <row r="49" spans="2:16" ht="13.5" hidden="1">
      <c r="B49" s="231">
        <v>23</v>
      </c>
      <c r="C49" s="129" t="e">
        <f>IF(VLOOKUP(B49,PROPONENTES!$B$19:$E$219,2,0)="","",VLOOKUP(B49,PROPONENTES!$B$19:$E$219,2,0))</f>
        <v>#N/A</v>
      </c>
      <c r="D49" s="130" t="e">
        <f>IF(VLOOKUP(B49,PROPONENTES!$B$19:$E$218,3,0)="","",VLOOKUP(B49,PROPONENTES!$B$19:$E$218,3,0))</f>
        <v>#N/A</v>
      </c>
      <c r="E49" s="130" t="e">
        <f>IF(VLOOKUP(B49,PROPONENTES!$B$19:$E$218,4,0)="","",IF(VLOOKUP(B49,PROPONENTES!$B$19:$E$218,4,0)&gt;1,"SI","NO"))</f>
        <v>#N/A</v>
      </c>
      <c r="F49" s="135" t="e">
        <f>IF(C49&lt;&gt;"",IF(E49="SI",VLOOKUP("T"&amp;C49,'EXP. ESP.'!$A$20:$V$6999,11,0),"NO APLICA"),"")</f>
        <v>#N/A</v>
      </c>
      <c r="G49" s="245" t="e">
        <f>IF(C49&lt;&gt;"",VLOOKUP("M"&amp;C49,'EXP. ESP.'!$A$20:$V$6999,17,0),"")</f>
        <v>#N/A</v>
      </c>
      <c r="H49" s="342" t="e">
        <f>IF(C49&lt;&gt;"",VLOOKUP("P"&amp;C49,'EXP. ESP.'!$A$20:$V$6999,16,0),"")</f>
        <v>#N/A</v>
      </c>
      <c r="I49" s="135" t="e">
        <f t="shared" si="0"/>
        <v>#N/A</v>
      </c>
      <c r="J49" s="352" t="e">
        <f>IF(C49&lt;&gt;"",ROUND(VLOOKUP("S"&amp;C49,'EXP. ESP.'!$A$20:$V$6999,16,0)/$K$14,3),"")</f>
        <v>#N/A</v>
      </c>
      <c r="K49" s="135" t="e">
        <f t="shared" si="1"/>
        <v>#N/A</v>
      </c>
      <c r="L49" s="135" t="e">
        <f>IF(C49&lt;&gt;"",VLOOKUP(C49,HAB.GEN.!$C$19:$K$218,9,FALSE),"")</f>
        <v>#N/A</v>
      </c>
      <c r="M49" s="514" t="e">
        <f t="shared" si="2"/>
        <v>#N/A</v>
      </c>
      <c r="N49" s="351" t="str">
        <f t="shared" si="3"/>
        <v>HÁBIL</v>
      </c>
      <c r="P49" s="427"/>
    </row>
    <row r="50" spans="2:16" ht="13.5" hidden="1">
      <c r="B50" s="231">
        <v>24</v>
      </c>
      <c r="C50" s="129" t="e">
        <f>IF(VLOOKUP(B50,PROPONENTES!$B$19:$E$219,2,0)="","",VLOOKUP(B50,PROPONENTES!$B$19:$E$219,2,0))</f>
        <v>#N/A</v>
      </c>
      <c r="D50" s="130" t="e">
        <f>IF(VLOOKUP(B50,PROPONENTES!$B$19:$E$218,3,0)="","",VLOOKUP(B50,PROPONENTES!$B$19:$E$218,3,0))</f>
        <v>#N/A</v>
      </c>
      <c r="E50" s="130" t="e">
        <f>IF(VLOOKUP(B50,PROPONENTES!$B$19:$E$218,4,0)="","",IF(VLOOKUP(B50,PROPONENTES!$B$19:$E$218,4,0)&gt;1,"SI","NO"))</f>
        <v>#N/A</v>
      </c>
      <c r="F50" s="135" t="e">
        <f>IF(C50&lt;&gt;"",IF(E50="SI",VLOOKUP("T"&amp;C50,'EXP. ESP.'!$A$20:$V$6999,11,0),"NO APLICA"),"")</f>
        <v>#N/A</v>
      </c>
      <c r="G50" s="245" t="e">
        <f>IF(C50&lt;&gt;"",VLOOKUP("M"&amp;C50,'EXP. ESP.'!$A$20:$V$6999,17,0),"")</f>
        <v>#N/A</v>
      </c>
      <c r="H50" s="342" t="e">
        <f>IF(C50&lt;&gt;"",VLOOKUP("P"&amp;C50,'EXP. ESP.'!$A$20:$V$6999,16,0),"")</f>
        <v>#N/A</v>
      </c>
      <c r="I50" s="135" t="e">
        <f t="shared" si="0"/>
        <v>#N/A</v>
      </c>
      <c r="J50" s="352" t="e">
        <f>IF(C50&lt;&gt;"",ROUND(VLOOKUP("S"&amp;C50,'EXP. ESP.'!$A$20:$V$6999,16,0)/$K$14,3),"")</f>
        <v>#N/A</v>
      </c>
      <c r="K50" s="135" t="e">
        <f t="shared" si="1"/>
        <v>#N/A</v>
      </c>
      <c r="L50" s="135" t="e">
        <f>IF(C50&lt;&gt;"",VLOOKUP(C50,HAB.GEN.!$C$19:$K$218,9,FALSE),"")</f>
        <v>#N/A</v>
      </c>
      <c r="M50" s="514" t="e">
        <f t="shared" si="2"/>
        <v>#N/A</v>
      </c>
      <c r="N50" s="351" t="str">
        <f t="shared" si="3"/>
        <v>HÁBIL</v>
      </c>
      <c r="P50" s="427"/>
    </row>
    <row r="51" spans="2:16" ht="13.5" hidden="1">
      <c r="B51" s="230">
        <v>25</v>
      </c>
      <c r="C51" s="129" t="e">
        <f>IF(VLOOKUP(B51,PROPONENTES!$B$19:$E$219,2,0)="","",VLOOKUP(B51,PROPONENTES!$B$19:$E$219,2,0))</f>
        <v>#N/A</v>
      </c>
      <c r="D51" s="130" t="e">
        <f>IF(VLOOKUP(B51,PROPONENTES!$B$19:$E$218,3,0)="","",VLOOKUP(B51,PROPONENTES!$B$19:$E$218,3,0))</f>
        <v>#N/A</v>
      </c>
      <c r="E51" s="130" t="e">
        <f>IF(VLOOKUP(B51,PROPONENTES!$B$19:$E$218,4,0)="","",IF(VLOOKUP(B51,PROPONENTES!$B$19:$E$218,4,0)&gt;1,"SI","NO"))</f>
        <v>#N/A</v>
      </c>
      <c r="F51" s="135" t="e">
        <f>IF(C51&lt;&gt;"",IF(E51="SI",VLOOKUP("T"&amp;C51,'EXP. ESP.'!$A$20:$V$6999,11,0),"NO APLICA"),"")</f>
        <v>#N/A</v>
      </c>
      <c r="G51" s="245" t="e">
        <f>IF(C51&lt;&gt;"",VLOOKUP("M"&amp;C51,'EXP. ESP.'!$A$20:$V$6999,17,0),"")</f>
        <v>#N/A</v>
      </c>
      <c r="H51" s="342" t="e">
        <f>IF(C51&lt;&gt;"",VLOOKUP("P"&amp;C51,'EXP. ESP.'!$A$20:$V$6999,16,0),"")</f>
        <v>#N/A</v>
      </c>
      <c r="I51" s="135" t="e">
        <f t="shared" si="0"/>
        <v>#N/A</v>
      </c>
      <c r="J51" s="352" t="e">
        <f>IF(C51&lt;&gt;"",ROUND(VLOOKUP("S"&amp;C51,'EXP. ESP.'!$A$20:$V$6999,16,0)/$K$14,3),"")</f>
        <v>#N/A</v>
      </c>
      <c r="K51" s="135" t="e">
        <f t="shared" si="1"/>
        <v>#N/A</v>
      </c>
      <c r="L51" s="135" t="e">
        <f>IF(C51&lt;&gt;"",VLOOKUP(C51,HAB.GEN.!$C$19:$K$218,9,FALSE),"")</f>
        <v>#N/A</v>
      </c>
      <c r="M51" s="514" t="e">
        <f t="shared" si="2"/>
        <v>#N/A</v>
      </c>
      <c r="N51" s="351" t="str">
        <f t="shared" si="3"/>
        <v>HÁBIL</v>
      </c>
      <c r="P51" s="427"/>
    </row>
    <row r="52" spans="2:16" ht="13.5" hidden="1">
      <c r="B52" s="231">
        <v>26</v>
      </c>
      <c r="C52" s="129" t="e">
        <f>IF(VLOOKUP(B52,PROPONENTES!$B$19:$E$219,2,0)="","",VLOOKUP(B52,PROPONENTES!$B$19:$E$219,2,0))</f>
        <v>#N/A</v>
      </c>
      <c r="D52" s="130" t="e">
        <f>IF(VLOOKUP(B52,PROPONENTES!$B$19:$E$218,3,0)="","",VLOOKUP(B52,PROPONENTES!$B$19:$E$218,3,0))</f>
        <v>#N/A</v>
      </c>
      <c r="E52" s="130" t="e">
        <f>IF(VLOOKUP(B52,PROPONENTES!$B$19:$E$218,4,0)="","",IF(VLOOKUP(B52,PROPONENTES!$B$19:$E$218,4,0)&gt;1,"SI","NO"))</f>
        <v>#N/A</v>
      </c>
      <c r="F52" s="135" t="e">
        <f>IF(C52&lt;&gt;"",IF(E52="SI",VLOOKUP("T"&amp;C52,'EXP. ESP.'!$A$20:$V$6999,11,0),"NO APLICA"),"")</f>
        <v>#N/A</v>
      </c>
      <c r="G52" s="245" t="e">
        <f>IF(C52&lt;&gt;"",VLOOKUP("M"&amp;C52,'EXP. ESP.'!$A$20:$V$6999,17,0),"")</f>
        <v>#N/A</v>
      </c>
      <c r="H52" s="342" t="e">
        <f>IF(C52&lt;&gt;"",VLOOKUP("P"&amp;C52,'EXP. ESP.'!$A$20:$V$6999,16,0),"")</f>
        <v>#N/A</v>
      </c>
      <c r="I52" s="135" t="e">
        <f t="shared" si="0"/>
        <v>#N/A</v>
      </c>
      <c r="J52" s="352" t="e">
        <f>IF(C52&lt;&gt;"",ROUND(VLOOKUP("S"&amp;C52,'EXP. ESP.'!$A$20:$V$6999,16,0)/$K$14,3),"")</f>
        <v>#N/A</v>
      </c>
      <c r="K52" s="135" t="e">
        <f t="shared" si="1"/>
        <v>#N/A</v>
      </c>
      <c r="L52" s="135" t="e">
        <f>IF(C52&lt;&gt;"",VLOOKUP(C52,HAB.GEN.!$C$19:$K$218,9,FALSE),"")</f>
        <v>#N/A</v>
      </c>
      <c r="M52" s="514" t="e">
        <f t="shared" si="2"/>
        <v>#N/A</v>
      </c>
      <c r="N52" s="351" t="str">
        <f t="shared" si="3"/>
        <v>HÁBIL</v>
      </c>
      <c r="P52" s="427"/>
    </row>
    <row r="53" spans="2:16" ht="13.5" hidden="1">
      <c r="B53" s="231">
        <v>27</v>
      </c>
      <c r="C53" s="129" t="e">
        <f>IF(VLOOKUP(B53,PROPONENTES!$B$19:$E$219,2,0)="","",VLOOKUP(B53,PROPONENTES!$B$19:$E$219,2,0))</f>
        <v>#N/A</v>
      </c>
      <c r="D53" s="130" t="e">
        <f>IF(VLOOKUP(B53,PROPONENTES!$B$19:$E$218,3,0)="","",VLOOKUP(B53,PROPONENTES!$B$19:$E$218,3,0))</f>
        <v>#N/A</v>
      </c>
      <c r="E53" s="130" t="e">
        <f>IF(VLOOKUP(B53,PROPONENTES!$B$19:$E$218,4,0)="","",IF(VLOOKUP(B53,PROPONENTES!$B$19:$E$218,4,0)&gt;1,"SI","NO"))</f>
        <v>#N/A</v>
      </c>
      <c r="F53" s="135" t="e">
        <f>IF(C53&lt;&gt;"",IF(E53="SI",VLOOKUP("T"&amp;C53,'EXP. ESP.'!$A$20:$V$6999,11,0),"NO APLICA"),"")</f>
        <v>#N/A</v>
      </c>
      <c r="G53" s="245" t="e">
        <f>IF(C53&lt;&gt;"",VLOOKUP("M"&amp;C53,'EXP. ESP.'!$A$20:$V$6999,17,0),"")</f>
        <v>#N/A</v>
      </c>
      <c r="H53" s="342" t="e">
        <f>IF(C53&lt;&gt;"",VLOOKUP("P"&amp;C53,'EXP. ESP.'!$A$20:$V$6999,16,0),"")</f>
        <v>#N/A</v>
      </c>
      <c r="I53" s="135" t="e">
        <f t="shared" si="0"/>
        <v>#N/A</v>
      </c>
      <c r="J53" s="352" t="e">
        <f>IF(C53&lt;&gt;"",ROUND(VLOOKUP("S"&amp;C53,'EXP. ESP.'!$A$20:$V$6999,16,0)/$K$14,3),"")</f>
        <v>#N/A</v>
      </c>
      <c r="K53" s="135" t="e">
        <f t="shared" si="1"/>
        <v>#N/A</v>
      </c>
      <c r="L53" s="135" t="e">
        <f>IF(C53&lt;&gt;"",VLOOKUP(C53,HAB.GEN.!$C$19:$K$218,9,FALSE),"")</f>
        <v>#N/A</v>
      </c>
      <c r="M53" s="514" t="e">
        <f t="shared" si="2"/>
        <v>#N/A</v>
      </c>
      <c r="N53" s="351" t="str">
        <f t="shared" si="3"/>
        <v>HÁBIL</v>
      </c>
      <c r="P53" s="427"/>
    </row>
    <row r="54" spans="2:16" ht="13.5" hidden="1">
      <c r="B54" s="230">
        <v>28</v>
      </c>
      <c r="C54" s="129" t="e">
        <f>IF(VLOOKUP(B54,PROPONENTES!$B$19:$E$219,2,0)="","",VLOOKUP(B54,PROPONENTES!$B$19:$E$219,2,0))</f>
        <v>#N/A</v>
      </c>
      <c r="D54" s="130" t="e">
        <f>IF(VLOOKUP(B54,PROPONENTES!$B$19:$E$218,3,0)="","",VLOOKUP(B54,PROPONENTES!$B$19:$E$218,3,0))</f>
        <v>#N/A</v>
      </c>
      <c r="E54" s="130" t="e">
        <f>IF(VLOOKUP(B54,PROPONENTES!$B$19:$E$218,4,0)="","",IF(VLOOKUP(B54,PROPONENTES!$B$19:$E$218,4,0)&gt;1,"SI","NO"))</f>
        <v>#N/A</v>
      </c>
      <c r="F54" s="135" t="e">
        <f>IF(C54&lt;&gt;"",IF(E54="SI",VLOOKUP("T"&amp;C54,'EXP. ESP.'!$A$20:$V$6999,11,0),"NO APLICA"),"")</f>
        <v>#N/A</v>
      </c>
      <c r="G54" s="245" t="e">
        <f>IF(C54&lt;&gt;"",VLOOKUP("M"&amp;C54,'EXP. ESP.'!$A$20:$V$6999,17,0),"")</f>
        <v>#N/A</v>
      </c>
      <c r="H54" s="342" t="e">
        <f>IF(C54&lt;&gt;"",VLOOKUP("P"&amp;C54,'EXP. ESP.'!$A$20:$V$6999,16,0),"")</f>
        <v>#N/A</v>
      </c>
      <c r="I54" s="135" t="e">
        <f t="shared" si="0"/>
        <v>#N/A</v>
      </c>
      <c r="J54" s="352" t="e">
        <f>IF(C54&lt;&gt;"",ROUND(VLOOKUP("S"&amp;C54,'EXP. ESP.'!$A$20:$V$6999,16,0)/$K$14,3),"")</f>
        <v>#N/A</v>
      </c>
      <c r="K54" s="135" t="e">
        <f t="shared" si="1"/>
        <v>#N/A</v>
      </c>
      <c r="L54" s="135" t="e">
        <f>IF(C54&lt;&gt;"",VLOOKUP(C54,HAB.GEN.!$C$19:$K$218,9,FALSE),"")</f>
        <v>#N/A</v>
      </c>
      <c r="M54" s="514" t="e">
        <f t="shared" si="2"/>
        <v>#N/A</v>
      </c>
      <c r="N54" s="351" t="str">
        <f t="shared" si="3"/>
        <v>HÁBIL</v>
      </c>
      <c r="P54" s="427"/>
    </row>
    <row r="55" spans="2:16" ht="13.5" hidden="1">
      <c r="B55" s="231">
        <v>29</v>
      </c>
      <c r="C55" s="129" t="e">
        <f>IF(VLOOKUP(B55,PROPONENTES!$B$19:$E$219,2,0)="","",VLOOKUP(B55,PROPONENTES!$B$19:$E$219,2,0))</f>
        <v>#N/A</v>
      </c>
      <c r="D55" s="130" t="e">
        <f>IF(VLOOKUP(B55,PROPONENTES!$B$19:$E$218,3,0)="","",VLOOKUP(B55,PROPONENTES!$B$19:$E$218,3,0))</f>
        <v>#N/A</v>
      </c>
      <c r="E55" s="130" t="e">
        <f>IF(VLOOKUP(B55,PROPONENTES!$B$19:$E$218,4,0)="","",IF(VLOOKUP(B55,PROPONENTES!$B$19:$E$218,4,0)&gt;1,"SI","NO"))</f>
        <v>#N/A</v>
      </c>
      <c r="F55" s="135" t="e">
        <f>IF(C55&lt;&gt;"",IF(E55="SI",VLOOKUP("T"&amp;C55,'EXP. ESP.'!$A$20:$V$6999,11,0),"NO APLICA"),"")</f>
        <v>#N/A</v>
      </c>
      <c r="G55" s="245" t="e">
        <f>IF(C55&lt;&gt;"",VLOOKUP("M"&amp;C55,'EXP. ESP.'!$A$20:$V$6999,17,0),"")</f>
        <v>#N/A</v>
      </c>
      <c r="H55" s="342" t="e">
        <f>IF(C55&lt;&gt;"",VLOOKUP("P"&amp;C55,'EXP. ESP.'!$A$20:$V$6999,16,0),"")</f>
        <v>#N/A</v>
      </c>
      <c r="I55" s="135" t="e">
        <f t="shared" si="0"/>
        <v>#N/A</v>
      </c>
      <c r="J55" s="352" t="e">
        <f>IF(C55&lt;&gt;"",ROUND(VLOOKUP("S"&amp;C55,'EXP. ESP.'!$A$20:$V$6999,16,0)/$K$14,3),"")</f>
        <v>#N/A</v>
      </c>
      <c r="K55" s="135" t="e">
        <f t="shared" si="1"/>
        <v>#N/A</v>
      </c>
      <c r="L55" s="135" t="e">
        <f>IF(C55&lt;&gt;"",VLOOKUP(C55,HAB.GEN.!$C$19:$K$218,9,FALSE),"")</f>
        <v>#N/A</v>
      </c>
      <c r="M55" s="514" t="e">
        <f t="shared" si="2"/>
        <v>#N/A</v>
      </c>
      <c r="N55" s="351" t="str">
        <f t="shared" si="3"/>
        <v>HÁBIL</v>
      </c>
      <c r="P55" s="427"/>
    </row>
    <row r="56" spans="2:16" ht="13.5" hidden="1">
      <c r="B56" s="231">
        <v>30</v>
      </c>
      <c r="C56" s="129" t="e">
        <f>IF(VLOOKUP(B56,PROPONENTES!$B$19:$E$219,2,0)="","",VLOOKUP(B56,PROPONENTES!$B$19:$E$219,2,0))</f>
        <v>#N/A</v>
      </c>
      <c r="D56" s="130" t="e">
        <f>IF(VLOOKUP(B56,PROPONENTES!$B$19:$E$218,3,0)="","",VLOOKUP(B56,PROPONENTES!$B$19:$E$218,3,0))</f>
        <v>#N/A</v>
      </c>
      <c r="E56" s="130" t="e">
        <f>IF(VLOOKUP(B56,PROPONENTES!$B$19:$E$218,4,0)="","",IF(VLOOKUP(B56,PROPONENTES!$B$19:$E$218,4,0)&gt;1,"SI","NO"))</f>
        <v>#N/A</v>
      </c>
      <c r="F56" s="135" t="e">
        <f>IF(C56&lt;&gt;"",IF(E56="SI",VLOOKUP("T"&amp;C56,'EXP. ESP.'!$A$20:$V$6999,11,0),"NO APLICA"),"")</f>
        <v>#N/A</v>
      </c>
      <c r="G56" s="245" t="e">
        <f>IF(C56&lt;&gt;"",VLOOKUP("M"&amp;C56,'EXP. ESP.'!$A$20:$V$6999,17,0),"")</f>
        <v>#N/A</v>
      </c>
      <c r="H56" s="342" t="e">
        <f>IF(C56&lt;&gt;"",VLOOKUP("P"&amp;C56,'EXP. ESP.'!$A$20:$V$6999,16,0),"")</f>
        <v>#N/A</v>
      </c>
      <c r="I56" s="135" t="e">
        <f t="shared" si="0"/>
        <v>#N/A</v>
      </c>
      <c r="J56" s="352" t="e">
        <f>IF(C56&lt;&gt;"",ROUND(VLOOKUP("S"&amp;C56,'EXP. ESP.'!$A$20:$V$6999,16,0)/$K$14,3),"")</f>
        <v>#N/A</v>
      </c>
      <c r="K56" s="135" t="e">
        <f t="shared" si="1"/>
        <v>#N/A</v>
      </c>
      <c r="L56" s="135" t="e">
        <f>IF(C56&lt;&gt;"",VLOOKUP(C56,HAB.GEN.!$C$19:$K$218,9,FALSE),"")</f>
        <v>#N/A</v>
      </c>
      <c r="M56" s="514" t="e">
        <f t="shared" si="2"/>
        <v>#N/A</v>
      </c>
      <c r="N56" s="351" t="str">
        <f t="shared" si="3"/>
        <v>HÁBIL</v>
      </c>
      <c r="P56" s="427"/>
    </row>
    <row r="57" spans="2:16" ht="13.5" hidden="1">
      <c r="B57" s="230">
        <v>31</v>
      </c>
      <c r="C57" s="129" t="e">
        <f>IF(VLOOKUP(B57,PROPONENTES!$B$19:$E$219,2,0)="","",VLOOKUP(B57,PROPONENTES!$B$19:$E$219,2,0))</f>
        <v>#N/A</v>
      </c>
      <c r="D57" s="130" t="e">
        <f>IF(VLOOKUP(B57,PROPONENTES!$B$19:$E$218,3,0)="","",VLOOKUP(B57,PROPONENTES!$B$19:$E$218,3,0))</f>
        <v>#N/A</v>
      </c>
      <c r="E57" s="130" t="e">
        <f>IF(VLOOKUP(B57,PROPONENTES!$B$19:$E$218,4,0)="","",IF(VLOOKUP(B57,PROPONENTES!$B$19:$E$218,4,0)&gt;1,"SI","NO"))</f>
        <v>#N/A</v>
      </c>
      <c r="F57" s="135" t="e">
        <f>IF(C57&lt;&gt;"",IF(E57="SI",VLOOKUP("T"&amp;C57,'EXP. ESP.'!$A$20:$V$6999,11,0),"NO APLICA"),"")</f>
        <v>#N/A</v>
      </c>
      <c r="G57" s="245" t="e">
        <f>IF(C57&lt;&gt;"",VLOOKUP("M"&amp;C57,'EXP. ESP.'!$A$20:$V$6999,17,0),"")</f>
        <v>#N/A</v>
      </c>
      <c r="H57" s="342" t="e">
        <f>IF(C57&lt;&gt;"",VLOOKUP("P"&amp;C57,'EXP. ESP.'!$A$20:$V$6999,16,0),"")</f>
        <v>#N/A</v>
      </c>
      <c r="I57" s="135" t="e">
        <f t="shared" si="0"/>
        <v>#N/A</v>
      </c>
      <c r="J57" s="352" t="e">
        <f>IF(C57&lt;&gt;"",ROUND(VLOOKUP("S"&amp;C57,'EXP. ESP.'!$A$20:$V$6999,16,0)/$K$14,3),"")</f>
        <v>#N/A</v>
      </c>
      <c r="K57" s="135" t="e">
        <f t="shared" si="1"/>
        <v>#N/A</v>
      </c>
      <c r="L57" s="135" t="e">
        <f>IF(C57&lt;&gt;"",VLOOKUP(C57,HAB.GEN.!$C$19:$K$218,9,FALSE),"")</f>
        <v>#N/A</v>
      </c>
      <c r="M57" s="514" t="e">
        <f t="shared" si="2"/>
        <v>#N/A</v>
      </c>
      <c r="N57" s="351" t="str">
        <f t="shared" si="3"/>
        <v>HÁBIL</v>
      </c>
      <c r="P57" s="427"/>
    </row>
    <row r="58" spans="2:16" ht="13.5" hidden="1">
      <c r="B58" s="231">
        <v>32</v>
      </c>
      <c r="C58" s="129" t="e">
        <f>IF(VLOOKUP(B58,PROPONENTES!$B$19:$E$219,2,0)="","",VLOOKUP(B58,PROPONENTES!$B$19:$E$219,2,0))</f>
        <v>#N/A</v>
      </c>
      <c r="D58" s="130" t="e">
        <f>IF(VLOOKUP(B58,PROPONENTES!$B$19:$E$218,3,0)="","",VLOOKUP(B58,PROPONENTES!$B$19:$E$218,3,0))</f>
        <v>#N/A</v>
      </c>
      <c r="E58" s="130" t="e">
        <f>IF(VLOOKUP(B58,PROPONENTES!$B$19:$E$218,4,0)="","",IF(VLOOKUP(B58,PROPONENTES!$B$19:$E$218,4,0)&gt;1,"SI","NO"))</f>
        <v>#N/A</v>
      </c>
      <c r="F58" s="135" t="e">
        <f>IF(C58&lt;&gt;"",IF(E58="SI",VLOOKUP("T"&amp;C58,'EXP. ESP.'!$A$20:$V$6999,11,0),"NO APLICA"),"")</f>
        <v>#N/A</v>
      </c>
      <c r="G58" s="245" t="e">
        <f>IF(C58&lt;&gt;"",VLOOKUP("M"&amp;C58,'EXP. ESP.'!$A$20:$V$6999,17,0),"")</f>
        <v>#N/A</v>
      </c>
      <c r="H58" s="342" t="e">
        <f>IF(C58&lt;&gt;"",VLOOKUP("P"&amp;C58,'EXP. ESP.'!$A$20:$V$6999,16,0),"")</f>
        <v>#N/A</v>
      </c>
      <c r="I58" s="135" t="e">
        <f t="shared" si="0"/>
        <v>#N/A</v>
      </c>
      <c r="J58" s="352" t="e">
        <f>IF(C58&lt;&gt;"",ROUND(VLOOKUP("S"&amp;C58,'EXP. ESP.'!$A$20:$V$6999,16,0)/$K$14,3),"")</f>
        <v>#N/A</v>
      </c>
      <c r="K58" s="135" t="e">
        <f t="shared" si="1"/>
        <v>#N/A</v>
      </c>
      <c r="L58" s="135" t="e">
        <f>IF(C58&lt;&gt;"",VLOOKUP(C58,HAB.GEN.!$C$19:$K$218,9,FALSE),"")</f>
        <v>#N/A</v>
      </c>
      <c r="M58" s="514" t="e">
        <f t="shared" si="2"/>
        <v>#N/A</v>
      </c>
      <c r="N58" s="351" t="str">
        <f t="shared" si="3"/>
        <v>HÁBIL</v>
      </c>
      <c r="P58" s="427"/>
    </row>
    <row r="59" spans="2:16" ht="13.5" hidden="1">
      <c r="B59" s="231">
        <v>33</v>
      </c>
      <c r="C59" s="129" t="e">
        <f>IF(VLOOKUP(B59,PROPONENTES!$B$19:$E$219,2,0)="","",VLOOKUP(B59,PROPONENTES!$B$19:$E$219,2,0))</f>
        <v>#N/A</v>
      </c>
      <c r="D59" s="130" t="e">
        <f>IF(VLOOKUP(B59,PROPONENTES!$B$19:$E$218,3,0)="","",VLOOKUP(B59,PROPONENTES!$B$19:$E$218,3,0))</f>
        <v>#N/A</v>
      </c>
      <c r="E59" s="130" t="e">
        <f>IF(VLOOKUP(B59,PROPONENTES!$B$19:$E$218,4,0)="","",IF(VLOOKUP(B59,PROPONENTES!$B$19:$E$218,4,0)&gt;1,"SI","NO"))</f>
        <v>#N/A</v>
      </c>
      <c r="F59" s="135" t="e">
        <f>IF(C59&lt;&gt;"",IF(E59="SI",VLOOKUP("T"&amp;C59,'EXP. ESP.'!$A$20:$V$6999,11,0),"NO APLICA"),"")</f>
        <v>#N/A</v>
      </c>
      <c r="G59" s="245" t="e">
        <f>IF(C59&lt;&gt;"",VLOOKUP("M"&amp;C59,'EXP. ESP.'!$A$20:$V$6999,17,0),"")</f>
        <v>#N/A</v>
      </c>
      <c r="H59" s="342" t="e">
        <f>IF(C59&lt;&gt;"",VLOOKUP("P"&amp;C59,'EXP. ESP.'!$A$20:$V$6999,16,0),"")</f>
        <v>#N/A</v>
      </c>
      <c r="I59" s="135" t="e">
        <f t="shared" ref="I59:I90" si="4">IF(C59&lt;&gt;"",IF(AND(G59&gt;=NUMMINCONT,G59&lt;=NUMMAXCONT,H59&gt;$F$15,H59&lt;$F$16,H59&lt;&gt;0),"HÁBIL","NO HÁBIL"),"")</f>
        <v>#N/A</v>
      </c>
      <c r="J59" s="352" t="e">
        <f>IF(C59&lt;&gt;"",ROUND(VLOOKUP("S"&amp;C59,'EXP. ESP.'!$A$20:$V$6999,16,0)/$K$14,3),"")</f>
        <v>#N/A</v>
      </c>
      <c r="K59" s="135" t="e">
        <f t="shared" si="1"/>
        <v>#N/A</v>
      </c>
      <c r="L59" s="135" t="e">
        <f>IF(C59&lt;&gt;"",VLOOKUP(C59,HAB.GEN.!$C$19:$K$218,9,FALSE),"")</f>
        <v>#N/A</v>
      </c>
      <c r="M59" s="514" t="e">
        <f t="shared" ref="M59:M90" si="5">IF(AND(G59&gt;=NUMMINCONT,G59&lt;=NUMMAXCONT,P59&lt;&gt;"SI"),IF(OR(I59="",K59=""),"",IF(OR(I59="NO HÁBIL",K59="NO HÁBIL",F59="NO CUMPLE"),"NO HÁBIL","HÁBIL")),"NO HÁBIL")</f>
        <v>#N/A</v>
      </c>
      <c r="N59" s="351" t="str">
        <f t="shared" si="3"/>
        <v>HÁBIL</v>
      </c>
      <c r="P59" s="427"/>
    </row>
    <row r="60" spans="2:16" ht="13.5" hidden="1">
      <c r="B60" s="230">
        <v>34</v>
      </c>
      <c r="C60" s="129" t="e">
        <f>IF(VLOOKUP(B60,PROPONENTES!$B$19:$E$219,2,0)="","",VLOOKUP(B60,PROPONENTES!$B$19:$E$219,2,0))</f>
        <v>#N/A</v>
      </c>
      <c r="D60" s="130" t="e">
        <f>IF(VLOOKUP(B60,PROPONENTES!$B$19:$E$218,3,0)="","",VLOOKUP(B60,PROPONENTES!$B$19:$E$218,3,0))</f>
        <v>#N/A</v>
      </c>
      <c r="E60" s="130" t="e">
        <f>IF(VLOOKUP(B60,PROPONENTES!$B$19:$E$218,4,0)="","",IF(VLOOKUP(B60,PROPONENTES!$B$19:$E$218,4,0)&gt;1,"SI","NO"))</f>
        <v>#N/A</v>
      </c>
      <c r="F60" s="135" t="e">
        <f>IF(C60&lt;&gt;"",IF(E60="SI",VLOOKUP("T"&amp;C60,'EXP. ESP.'!$A$20:$V$6999,11,0),"NO APLICA"),"")</f>
        <v>#N/A</v>
      </c>
      <c r="G60" s="245" t="e">
        <f>IF(C60&lt;&gt;"",VLOOKUP("M"&amp;C60,'EXP. ESP.'!$A$20:$V$6999,17,0),"")</f>
        <v>#N/A</v>
      </c>
      <c r="H60" s="342" t="e">
        <f>IF(C60&lt;&gt;"",VLOOKUP("P"&amp;C60,'EXP. ESP.'!$A$20:$V$6999,16,0),"")</f>
        <v>#N/A</v>
      </c>
      <c r="I60" s="135" t="e">
        <f t="shared" si="4"/>
        <v>#N/A</v>
      </c>
      <c r="J60" s="352" t="e">
        <f>IF(C60&lt;&gt;"",ROUND(VLOOKUP("S"&amp;C60,'EXP. ESP.'!$A$20:$V$6999,16,0)/$K$14,3),"")</f>
        <v>#N/A</v>
      </c>
      <c r="K60" s="135" t="e">
        <f t="shared" si="1"/>
        <v>#N/A</v>
      </c>
      <c r="L60" s="135" t="e">
        <f>IF(C60&lt;&gt;"",VLOOKUP(C60,HAB.GEN.!$C$19:$K$218,9,FALSE),"")</f>
        <v>#N/A</v>
      </c>
      <c r="M60" s="514" t="e">
        <f t="shared" si="5"/>
        <v>#N/A</v>
      </c>
      <c r="N60" s="351" t="str">
        <f t="shared" si="3"/>
        <v>HÁBIL</v>
      </c>
      <c r="P60" s="427"/>
    </row>
    <row r="61" spans="2:16" ht="13.5" hidden="1">
      <c r="B61" s="231">
        <v>35</v>
      </c>
      <c r="C61" s="129" t="e">
        <f>IF(VLOOKUP(B61,PROPONENTES!$B$19:$E$219,2,0)="","",VLOOKUP(B61,PROPONENTES!$B$19:$E$219,2,0))</f>
        <v>#N/A</v>
      </c>
      <c r="D61" s="130" t="e">
        <f>IF(VLOOKUP(B61,PROPONENTES!$B$19:$E$218,3,0)="","",VLOOKUP(B61,PROPONENTES!$B$19:$E$218,3,0))</f>
        <v>#N/A</v>
      </c>
      <c r="E61" s="130" t="e">
        <f>IF(VLOOKUP(B61,PROPONENTES!$B$19:$E$218,4,0)="","",IF(VLOOKUP(B61,PROPONENTES!$B$19:$E$218,4,0)&gt;1,"SI","NO"))</f>
        <v>#N/A</v>
      </c>
      <c r="F61" s="135" t="e">
        <f>IF(C61&lt;&gt;"",IF(E61="SI",VLOOKUP("T"&amp;C61,'EXP. ESP.'!$A$20:$V$6999,11,0),"NO APLICA"),"")</f>
        <v>#N/A</v>
      </c>
      <c r="G61" s="245" t="e">
        <f>IF(C61&lt;&gt;"",VLOOKUP("M"&amp;C61,'EXP. ESP.'!$A$20:$V$6999,17,0),"")</f>
        <v>#N/A</v>
      </c>
      <c r="H61" s="342" t="e">
        <f>IF(C61&lt;&gt;"",VLOOKUP("P"&amp;C61,'EXP. ESP.'!$A$20:$V$6999,16,0),"")</f>
        <v>#N/A</v>
      </c>
      <c r="I61" s="135" t="e">
        <f t="shared" si="4"/>
        <v>#N/A</v>
      </c>
      <c r="J61" s="352" t="e">
        <f>IF(C61&lt;&gt;"",ROUND(VLOOKUP("S"&amp;C61,'EXP. ESP.'!$A$20:$V$6999,16,0)/$K$14,3),"")</f>
        <v>#N/A</v>
      </c>
      <c r="K61" s="135" t="e">
        <f t="shared" si="1"/>
        <v>#N/A</v>
      </c>
      <c r="L61" s="135" t="e">
        <f>IF(C61&lt;&gt;"",VLOOKUP(C61,HAB.GEN.!$C$19:$K$218,9,FALSE),"")</f>
        <v>#N/A</v>
      </c>
      <c r="M61" s="514" t="e">
        <f t="shared" si="5"/>
        <v>#N/A</v>
      </c>
      <c r="N61" s="351" t="str">
        <f t="shared" si="3"/>
        <v>HÁBIL</v>
      </c>
      <c r="P61" s="427"/>
    </row>
    <row r="62" spans="2:16" ht="13.5" hidden="1">
      <c r="B62" s="231">
        <v>36</v>
      </c>
      <c r="C62" s="129" t="e">
        <f>IF(VLOOKUP(B62,PROPONENTES!$B$19:$E$219,2,0)="","",VLOOKUP(B62,PROPONENTES!$B$19:$E$219,2,0))</f>
        <v>#N/A</v>
      </c>
      <c r="D62" s="130" t="e">
        <f>IF(VLOOKUP(B62,PROPONENTES!$B$19:$E$218,3,0)="","",VLOOKUP(B62,PROPONENTES!$B$19:$E$218,3,0))</f>
        <v>#N/A</v>
      </c>
      <c r="E62" s="130" t="e">
        <f>IF(VLOOKUP(B62,PROPONENTES!$B$19:$E$218,4,0)="","",IF(VLOOKUP(B62,PROPONENTES!$B$19:$E$218,4,0)&gt;1,"SI","NO"))</f>
        <v>#N/A</v>
      </c>
      <c r="F62" s="135" t="e">
        <f>IF(C62&lt;&gt;"",IF(E62="SI",VLOOKUP("T"&amp;C62,'EXP. ESP.'!$A$20:$V$6999,11,0),"NO APLICA"),"")</f>
        <v>#N/A</v>
      </c>
      <c r="G62" s="245" t="e">
        <f>IF(C62&lt;&gt;"",VLOOKUP("M"&amp;C62,'EXP. ESP.'!$A$20:$V$6999,17,0),"")</f>
        <v>#N/A</v>
      </c>
      <c r="H62" s="342" t="e">
        <f>IF(C62&lt;&gt;"",VLOOKUP("P"&amp;C62,'EXP. ESP.'!$A$20:$V$6999,16,0),"")</f>
        <v>#N/A</v>
      </c>
      <c r="I62" s="135" t="e">
        <f t="shared" si="4"/>
        <v>#N/A</v>
      </c>
      <c r="J62" s="352" t="e">
        <f>IF(C62&lt;&gt;"",ROUND(VLOOKUP("S"&amp;C62,'EXP. ESP.'!$A$20:$V$6999,16,0)/$K$14,3),"")</f>
        <v>#N/A</v>
      </c>
      <c r="K62" s="135" t="e">
        <f t="shared" si="1"/>
        <v>#N/A</v>
      </c>
      <c r="L62" s="135" t="e">
        <f>IF(C62&lt;&gt;"",VLOOKUP(C62,HAB.GEN.!$C$19:$K$218,9,FALSE),"")</f>
        <v>#N/A</v>
      </c>
      <c r="M62" s="514" t="e">
        <f t="shared" si="5"/>
        <v>#N/A</v>
      </c>
      <c r="N62" s="351" t="str">
        <f t="shared" si="3"/>
        <v>HÁBIL</v>
      </c>
      <c r="P62" s="427"/>
    </row>
    <row r="63" spans="2:16" ht="13.5" hidden="1">
      <c r="B63" s="230">
        <v>37</v>
      </c>
      <c r="C63" s="129" t="e">
        <f>IF(VLOOKUP(B63,PROPONENTES!$B$19:$E$219,2,0)="","",VLOOKUP(B63,PROPONENTES!$B$19:$E$219,2,0))</f>
        <v>#N/A</v>
      </c>
      <c r="D63" s="130" t="e">
        <f>IF(VLOOKUP(B63,PROPONENTES!$B$19:$E$218,3,0)="","",VLOOKUP(B63,PROPONENTES!$B$19:$E$218,3,0))</f>
        <v>#N/A</v>
      </c>
      <c r="E63" s="130" t="e">
        <f>IF(VLOOKUP(B63,PROPONENTES!$B$19:$E$218,4,0)="","",IF(VLOOKUP(B63,PROPONENTES!$B$19:$E$218,4,0)&gt;1,"SI","NO"))</f>
        <v>#N/A</v>
      </c>
      <c r="F63" s="135" t="e">
        <f>IF(C63&lt;&gt;"",IF(E63="SI",VLOOKUP("T"&amp;C63,'EXP. ESP.'!$A$20:$V$6999,11,0),"NO APLICA"),"")</f>
        <v>#N/A</v>
      </c>
      <c r="G63" s="245" t="e">
        <f>IF(C63&lt;&gt;"",VLOOKUP("M"&amp;C63,'EXP. ESP.'!$A$20:$V$6999,17,0),"")</f>
        <v>#N/A</v>
      </c>
      <c r="H63" s="342" t="e">
        <f>IF(C63&lt;&gt;"",VLOOKUP("P"&amp;C63,'EXP. ESP.'!$A$20:$V$6999,16,0),"")</f>
        <v>#N/A</v>
      </c>
      <c r="I63" s="135" t="e">
        <f t="shared" si="4"/>
        <v>#N/A</v>
      </c>
      <c r="J63" s="352" t="e">
        <f>IF(C63&lt;&gt;"",ROUND(VLOOKUP("S"&amp;C63,'EXP. ESP.'!$A$20:$V$6999,16,0)/$K$14,3),"")</f>
        <v>#N/A</v>
      </c>
      <c r="K63" s="135" t="e">
        <f t="shared" si="1"/>
        <v>#N/A</v>
      </c>
      <c r="L63" s="135" t="e">
        <f>IF(C63&lt;&gt;"",VLOOKUP(C63,HAB.GEN.!$C$19:$K$218,9,FALSE),"")</f>
        <v>#N/A</v>
      </c>
      <c r="M63" s="514" t="e">
        <f t="shared" si="5"/>
        <v>#N/A</v>
      </c>
      <c r="N63" s="351" t="str">
        <f t="shared" si="3"/>
        <v>HÁBIL</v>
      </c>
      <c r="P63" s="427"/>
    </row>
    <row r="64" spans="2:16" ht="13.5" hidden="1">
      <c r="B64" s="231">
        <v>38</v>
      </c>
      <c r="C64" s="129" t="e">
        <f>IF(VLOOKUP(B64,PROPONENTES!$B$19:$E$219,2,0)="","",VLOOKUP(B64,PROPONENTES!$B$19:$E$219,2,0))</f>
        <v>#N/A</v>
      </c>
      <c r="D64" s="130" t="e">
        <f>IF(VLOOKUP(B64,PROPONENTES!$B$19:$E$218,3,0)="","",VLOOKUP(B64,PROPONENTES!$B$19:$E$218,3,0))</f>
        <v>#N/A</v>
      </c>
      <c r="E64" s="130" t="e">
        <f>IF(VLOOKUP(B64,PROPONENTES!$B$19:$E$218,4,0)="","",IF(VLOOKUP(B64,PROPONENTES!$B$19:$E$218,4,0)&gt;1,"SI","NO"))</f>
        <v>#N/A</v>
      </c>
      <c r="F64" s="135" t="e">
        <f>IF(C64&lt;&gt;"",IF(E64="SI",VLOOKUP("T"&amp;C64,'EXP. ESP.'!$A$20:$V$6999,11,0),"NO APLICA"),"")</f>
        <v>#N/A</v>
      </c>
      <c r="G64" s="245" t="e">
        <f>IF(C64&lt;&gt;"",VLOOKUP("M"&amp;C64,'EXP. ESP.'!$A$20:$V$6999,17,0),"")</f>
        <v>#N/A</v>
      </c>
      <c r="H64" s="342" t="e">
        <f>IF(C64&lt;&gt;"",VLOOKUP("P"&amp;C64,'EXP. ESP.'!$A$20:$V$6999,16,0),"")</f>
        <v>#N/A</v>
      </c>
      <c r="I64" s="135" t="e">
        <f t="shared" si="4"/>
        <v>#N/A</v>
      </c>
      <c r="J64" s="352" t="e">
        <f>IF(C64&lt;&gt;"",ROUND(VLOOKUP("S"&amp;C64,'EXP. ESP.'!$A$20:$V$6999,16,0)/$K$14,3),"")</f>
        <v>#N/A</v>
      </c>
      <c r="K64" s="135" t="e">
        <f t="shared" si="1"/>
        <v>#N/A</v>
      </c>
      <c r="L64" s="135" t="e">
        <f>IF(C64&lt;&gt;"",VLOOKUP(C64,HAB.GEN.!$C$19:$K$218,9,FALSE),"")</f>
        <v>#N/A</v>
      </c>
      <c r="M64" s="514" t="e">
        <f t="shared" si="5"/>
        <v>#N/A</v>
      </c>
      <c r="N64" s="351" t="str">
        <f t="shared" si="3"/>
        <v>HÁBIL</v>
      </c>
      <c r="P64" s="427"/>
    </row>
    <row r="65" spans="2:16" ht="13.5" hidden="1">
      <c r="B65" s="231">
        <v>39</v>
      </c>
      <c r="C65" s="129" t="e">
        <f>IF(VLOOKUP(B65,PROPONENTES!$B$19:$E$219,2,0)="","",VLOOKUP(B65,PROPONENTES!$B$19:$E$219,2,0))</f>
        <v>#N/A</v>
      </c>
      <c r="D65" s="130" t="e">
        <f>IF(VLOOKUP(B65,PROPONENTES!$B$19:$E$218,3,0)="","",VLOOKUP(B65,PROPONENTES!$B$19:$E$218,3,0))</f>
        <v>#N/A</v>
      </c>
      <c r="E65" s="130" t="e">
        <f>IF(VLOOKUP(B65,PROPONENTES!$B$19:$E$218,4,0)="","",IF(VLOOKUP(B65,PROPONENTES!$B$19:$E$218,4,0)&gt;1,"SI","NO"))</f>
        <v>#N/A</v>
      </c>
      <c r="F65" s="135" t="e">
        <f>IF(C65&lt;&gt;"",IF(E65="SI",VLOOKUP("T"&amp;C65,'EXP. ESP.'!$A$20:$V$6999,11,0),"NO APLICA"),"")</f>
        <v>#N/A</v>
      </c>
      <c r="G65" s="245" t="e">
        <f>IF(C65&lt;&gt;"",VLOOKUP("M"&amp;C65,'EXP. ESP.'!$A$20:$V$6999,17,0),"")</f>
        <v>#N/A</v>
      </c>
      <c r="H65" s="342" t="e">
        <f>IF(C65&lt;&gt;"",VLOOKUP("P"&amp;C65,'EXP. ESP.'!$A$20:$V$6999,16,0),"")</f>
        <v>#N/A</v>
      </c>
      <c r="I65" s="135" t="e">
        <f t="shared" si="4"/>
        <v>#N/A</v>
      </c>
      <c r="J65" s="352" t="e">
        <f>IF(C65&lt;&gt;"",ROUND(VLOOKUP("S"&amp;C65,'EXP. ESP.'!$A$20:$V$6999,16,0)/$K$14,3),"")</f>
        <v>#N/A</v>
      </c>
      <c r="K65" s="135" t="e">
        <f t="shared" si="1"/>
        <v>#N/A</v>
      </c>
      <c r="L65" s="135" t="e">
        <f>IF(C65&lt;&gt;"",VLOOKUP(C65,HAB.GEN.!$C$19:$K$218,9,FALSE),"")</f>
        <v>#N/A</v>
      </c>
      <c r="M65" s="514" t="e">
        <f t="shared" si="5"/>
        <v>#N/A</v>
      </c>
      <c r="N65" s="351" t="str">
        <f t="shared" si="3"/>
        <v>HÁBIL</v>
      </c>
      <c r="P65" s="427"/>
    </row>
    <row r="66" spans="2:16" ht="13.5" hidden="1">
      <c r="B66" s="230">
        <v>40</v>
      </c>
      <c r="C66" s="129" t="e">
        <f>IF(VLOOKUP(B66,PROPONENTES!$B$19:$E$219,2,0)="","",VLOOKUP(B66,PROPONENTES!$B$19:$E$219,2,0))</f>
        <v>#N/A</v>
      </c>
      <c r="D66" s="130" t="e">
        <f>IF(VLOOKUP(B66,PROPONENTES!$B$19:$E$218,3,0)="","",VLOOKUP(B66,PROPONENTES!$B$19:$E$218,3,0))</f>
        <v>#N/A</v>
      </c>
      <c r="E66" s="130" t="e">
        <f>IF(VLOOKUP(B66,PROPONENTES!$B$19:$E$218,4,0)="","",IF(VLOOKUP(B66,PROPONENTES!$B$19:$E$218,4,0)&gt;1,"SI","NO"))</f>
        <v>#N/A</v>
      </c>
      <c r="F66" s="135" t="e">
        <f>IF(C66&lt;&gt;"",IF(E66="SI",VLOOKUP("T"&amp;C66,'EXP. ESP.'!$A$20:$V$6999,11,0),"NO APLICA"),"")</f>
        <v>#N/A</v>
      </c>
      <c r="G66" s="245" t="e">
        <f>IF(C66&lt;&gt;"",VLOOKUP("M"&amp;C66,'EXP. ESP.'!$A$20:$V$6999,17,0),"")</f>
        <v>#N/A</v>
      </c>
      <c r="H66" s="342" t="e">
        <f>IF(C66&lt;&gt;"",VLOOKUP("P"&amp;C66,'EXP. ESP.'!$A$20:$V$6999,16,0),"")</f>
        <v>#N/A</v>
      </c>
      <c r="I66" s="135" t="e">
        <f t="shared" si="4"/>
        <v>#N/A</v>
      </c>
      <c r="J66" s="352" t="e">
        <f>IF(C66&lt;&gt;"",ROUND(VLOOKUP("S"&amp;C66,'EXP. ESP.'!$A$20:$V$6999,16,0)/$K$14,3),"")</f>
        <v>#N/A</v>
      </c>
      <c r="K66" s="135" t="e">
        <f t="shared" si="1"/>
        <v>#N/A</v>
      </c>
      <c r="L66" s="135" t="e">
        <f>IF(C66&lt;&gt;"",VLOOKUP(C66,HAB.GEN.!$C$19:$K$218,9,FALSE),"")</f>
        <v>#N/A</v>
      </c>
      <c r="M66" s="514" t="e">
        <f t="shared" si="5"/>
        <v>#N/A</v>
      </c>
      <c r="N66" s="351" t="str">
        <f t="shared" si="3"/>
        <v>HÁBIL</v>
      </c>
      <c r="P66" s="427"/>
    </row>
    <row r="67" spans="2:16" ht="13.5" hidden="1">
      <c r="B67" s="231">
        <v>41</v>
      </c>
      <c r="C67" s="129" t="e">
        <f>IF(VLOOKUP(B67,PROPONENTES!$B$19:$E$219,2,0)="","",VLOOKUP(B67,PROPONENTES!$B$19:$E$219,2,0))</f>
        <v>#N/A</v>
      </c>
      <c r="D67" s="130" t="e">
        <f>IF(VLOOKUP(B67,PROPONENTES!$B$19:$E$218,3,0)="","",VLOOKUP(B67,PROPONENTES!$B$19:$E$218,3,0))</f>
        <v>#N/A</v>
      </c>
      <c r="E67" s="130" t="e">
        <f>IF(VLOOKUP(B67,PROPONENTES!$B$19:$E$218,4,0)="","",IF(VLOOKUP(B67,PROPONENTES!$B$19:$E$218,4,0)&gt;1,"SI","NO"))</f>
        <v>#N/A</v>
      </c>
      <c r="F67" s="135" t="e">
        <f>IF(C67&lt;&gt;"",IF(E67="SI",VLOOKUP("T"&amp;C67,'EXP. ESP.'!$A$20:$V$6999,11,0),"NO APLICA"),"")</f>
        <v>#N/A</v>
      </c>
      <c r="G67" s="245" t="e">
        <f>IF(C67&lt;&gt;"",VLOOKUP("M"&amp;C67,'EXP. ESP.'!$A$20:$V$6999,17,0),"")</f>
        <v>#N/A</v>
      </c>
      <c r="H67" s="342" t="e">
        <f>IF(C67&lt;&gt;"",VLOOKUP("P"&amp;C67,'EXP. ESP.'!$A$20:$V$6999,16,0),"")</f>
        <v>#N/A</v>
      </c>
      <c r="I67" s="135" t="e">
        <f t="shared" si="4"/>
        <v>#N/A</v>
      </c>
      <c r="J67" s="352" t="e">
        <f>IF(C67&lt;&gt;"",ROUND(VLOOKUP("S"&amp;C67,'EXP. ESP.'!$A$20:$V$6999,16,0)/$K$14,3),"")</f>
        <v>#N/A</v>
      </c>
      <c r="K67" s="135" t="e">
        <f t="shared" si="1"/>
        <v>#N/A</v>
      </c>
      <c r="L67" s="135" t="e">
        <f>IF(C67&lt;&gt;"",VLOOKUP(C67,HAB.GEN.!$C$19:$K$218,9,FALSE),"")</f>
        <v>#N/A</v>
      </c>
      <c r="M67" s="514" t="e">
        <f t="shared" si="5"/>
        <v>#N/A</v>
      </c>
      <c r="N67" s="351" t="str">
        <f t="shared" si="3"/>
        <v>HÁBIL</v>
      </c>
      <c r="P67" s="427"/>
    </row>
    <row r="68" spans="2:16" ht="13.5" hidden="1">
      <c r="B68" s="231">
        <v>42</v>
      </c>
      <c r="C68" s="129" t="e">
        <f>IF(VLOOKUP(B68,PROPONENTES!$B$19:$E$219,2,0)="","",VLOOKUP(B68,PROPONENTES!$B$19:$E$219,2,0))</f>
        <v>#N/A</v>
      </c>
      <c r="D68" s="130" t="e">
        <f>IF(VLOOKUP(B68,PROPONENTES!$B$19:$E$218,3,0)="","",VLOOKUP(B68,PROPONENTES!$B$19:$E$218,3,0))</f>
        <v>#N/A</v>
      </c>
      <c r="E68" s="130" t="e">
        <f>IF(VLOOKUP(B68,PROPONENTES!$B$19:$E$218,4,0)="","",IF(VLOOKUP(B68,PROPONENTES!$B$19:$E$218,4,0)&gt;1,"SI","NO"))</f>
        <v>#N/A</v>
      </c>
      <c r="F68" s="135" t="e">
        <f>IF(C68&lt;&gt;"",IF(E68="SI",VLOOKUP("T"&amp;C68,'EXP. ESP.'!$A$20:$V$6999,11,0),"NO APLICA"),"")</f>
        <v>#N/A</v>
      </c>
      <c r="G68" s="245" t="e">
        <f>IF(C68&lt;&gt;"",VLOOKUP("M"&amp;C68,'EXP. ESP.'!$A$20:$V$6999,17,0),"")</f>
        <v>#N/A</v>
      </c>
      <c r="H68" s="342" t="e">
        <f>IF(C68&lt;&gt;"",VLOOKUP("P"&amp;C68,'EXP. ESP.'!$A$20:$V$6999,16,0),"")</f>
        <v>#N/A</v>
      </c>
      <c r="I68" s="135" t="e">
        <f t="shared" si="4"/>
        <v>#N/A</v>
      </c>
      <c r="J68" s="352" t="e">
        <f>IF(C68&lt;&gt;"",ROUND(VLOOKUP("S"&amp;C68,'EXP. ESP.'!$A$20:$V$6999,16,0)/$K$14,3),"")</f>
        <v>#N/A</v>
      </c>
      <c r="K68" s="135" t="e">
        <f t="shared" si="1"/>
        <v>#N/A</v>
      </c>
      <c r="L68" s="135" t="e">
        <f>IF(C68&lt;&gt;"",VLOOKUP(C68,HAB.GEN.!$C$19:$K$218,9,FALSE),"")</f>
        <v>#N/A</v>
      </c>
      <c r="M68" s="514" t="e">
        <f t="shared" si="5"/>
        <v>#N/A</v>
      </c>
      <c r="N68" s="351" t="str">
        <f t="shared" si="3"/>
        <v>HÁBIL</v>
      </c>
      <c r="P68" s="427"/>
    </row>
    <row r="69" spans="2:16" ht="13.5" hidden="1">
      <c r="B69" s="230">
        <v>43</v>
      </c>
      <c r="C69" s="129" t="e">
        <f>IF(VLOOKUP(B69,PROPONENTES!$B$19:$E$219,2,0)="","",VLOOKUP(B69,PROPONENTES!$B$19:$E$219,2,0))</f>
        <v>#N/A</v>
      </c>
      <c r="D69" s="130" t="e">
        <f>IF(VLOOKUP(B69,PROPONENTES!$B$19:$E$218,3,0)="","",VLOOKUP(B69,PROPONENTES!$B$19:$E$218,3,0))</f>
        <v>#N/A</v>
      </c>
      <c r="E69" s="130" t="e">
        <f>IF(VLOOKUP(B69,PROPONENTES!$B$19:$E$218,4,0)="","",IF(VLOOKUP(B69,PROPONENTES!$B$19:$E$218,4,0)&gt;1,"SI","NO"))</f>
        <v>#N/A</v>
      </c>
      <c r="F69" s="135" t="e">
        <f>IF(C69&lt;&gt;"",IF(E69="SI",VLOOKUP("T"&amp;C69,'EXP. ESP.'!$A$20:$V$6999,11,0),"NO APLICA"),"")</f>
        <v>#N/A</v>
      </c>
      <c r="G69" s="245" t="e">
        <f>IF(C69&lt;&gt;"",VLOOKUP("M"&amp;C69,'EXP. ESP.'!$A$20:$V$6999,17,0),"")</f>
        <v>#N/A</v>
      </c>
      <c r="H69" s="342" t="e">
        <f>IF(C69&lt;&gt;"",VLOOKUP("P"&amp;C69,'EXP. ESP.'!$A$20:$V$6999,16,0),"")</f>
        <v>#N/A</v>
      </c>
      <c r="I69" s="135" t="e">
        <f t="shared" si="4"/>
        <v>#N/A</v>
      </c>
      <c r="J69" s="352" t="e">
        <f>IF(C69&lt;&gt;"",ROUND(VLOOKUP("S"&amp;C69,'EXP. ESP.'!$A$20:$V$6999,16,0)/$K$14,3),"")</f>
        <v>#N/A</v>
      </c>
      <c r="K69" s="135" t="e">
        <f t="shared" si="1"/>
        <v>#N/A</v>
      </c>
      <c r="L69" s="135" t="e">
        <f>IF(C69&lt;&gt;"",VLOOKUP(C69,HAB.GEN.!$C$19:$K$218,9,FALSE),"")</f>
        <v>#N/A</v>
      </c>
      <c r="M69" s="514" t="e">
        <f t="shared" si="5"/>
        <v>#N/A</v>
      </c>
      <c r="N69" s="351" t="str">
        <f t="shared" si="3"/>
        <v>HÁBIL</v>
      </c>
      <c r="P69" s="427"/>
    </row>
    <row r="70" spans="2:16" ht="13.5" hidden="1">
      <c r="B70" s="231">
        <v>44</v>
      </c>
      <c r="C70" s="129" t="e">
        <f>IF(VLOOKUP(B70,PROPONENTES!$B$19:$E$219,2,0)="","",VLOOKUP(B70,PROPONENTES!$B$19:$E$219,2,0))</f>
        <v>#N/A</v>
      </c>
      <c r="D70" s="130" t="e">
        <f>IF(VLOOKUP(B70,PROPONENTES!$B$19:$E$218,3,0)="","",VLOOKUP(B70,PROPONENTES!$B$19:$E$218,3,0))</f>
        <v>#N/A</v>
      </c>
      <c r="E70" s="130" t="e">
        <f>IF(VLOOKUP(B70,PROPONENTES!$B$19:$E$218,4,0)="","",IF(VLOOKUP(B70,PROPONENTES!$B$19:$E$218,4,0)&gt;1,"SI","NO"))</f>
        <v>#N/A</v>
      </c>
      <c r="F70" s="135" t="e">
        <f>IF(C70&lt;&gt;"",IF(E70="SI",VLOOKUP("T"&amp;C70,'EXP. ESP.'!$A$20:$V$6999,11,0),"NO APLICA"),"")</f>
        <v>#N/A</v>
      </c>
      <c r="G70" s="245" t="e">
        <f>IF(C70&lt;&gt;"",VLOOKUP("M"&amp;C70,'EXP. ESP.'!$A$20:$V$6999,17,0),"")</f>
        <v>#N/A</v>
      </c>
      <c r="H70" s="342" t="e">
        <f>IF(C70&lt;&gt;"",VLOOKUP("P"&amp;C70,'EXP. ESP.'!$A$20:$V$6999,16,0),"")</f>
        <v>#N/A</v>
      </c>
      <c r="I70" s="135" t="e">
        <f t="shared" si="4"/>
        <v>#N/A</v>
      </c>
      <c r="J70" s="352" t="e">
        <f>IF(C70&lt;&gt;"",ROUND(VLOOKUP("S"&amp;C70,'EXP. ESP.'!$A$20:$V$6999,16,0)/$K$14,3),"")</f>
        <v>#N/A</v>
      </c>
      <c r="K70" s="135" t="e">
        <f t="shared" si="1"/>
        <v>#N/A</v>
      </c>
      <c r="L70" s="135" t="e">
        <f>IF(C70&lt;&gt;"",VLOOKUP(C70,HAB.GEN.!$C$19:$K$218,9,FALSE),"")</f>
        <v>#N/A</v>
      </c>
      <c r="M70" s="514" t="e">
        <f t="shared" si="5"/>
        <v>#N/A</v>
      </c>
      <c r="N70" s="351" t="str">
        <f t="shared" si="3"/>
        <v>HÁBIL</v>
      </c>
      <c r="P70" s="427"/>
    </row>
    <row r="71" spans="2:16" ht="13.5" hidden="1">
      <c r="B71" s="231">
        <v>45</v>
      </c>
      <c r="C71" s="129" t="e">
        <f>IF(VLOOKUP(B71,PROPONENTES!$B$19:$E$219,2,0)="","",VLOOKUP(B71,PROPONENTES!$B$19:$E$219,2,0))</f>
        <v>#N/A</v>
      </c>
      <c r="D71" s="130" t="e">
        <f>IF(VLOOKUP(B71,PROPONENTES!$B$19:$E$218,3,0)="","",VLOOKUP(B71,PROPONENTES!$B$19:$E$218,3,0))</f>
        <v>#N/A</v>
      </c>
      <c r="E71" s="130" t="e">
        <f>IF(VLOOKUP(B71,PROPONENTES!$B$19:$E$218,4,0)="","",IF(VLOOKUP(B71,PROPONENTES!$B$19:$E$218,4,0)&gt;1,"SI","NO"))</f>
        <v>#N/A</v>
      </c>
      <c r="F71" s="135" t="e">
        <f>IF(C71&lt;&gt;"",IF(E71="SI",VLOOKUP("T"&amp;C71,'EXP. ESP.'!$A$20:$V$6999,11,0),"NO APLICA"),"")</f>
        <v>#N/A</v>
      </c>
      <c r="G71" s="245" t="e">
        <f>IF(C71&lt;&gt;"",VLOOKUP("M"&amp;C71,'EXP. ESP.'!$A$20:$V$6999,17,0),"")</f>
        <v>#N/A</v>
      </c>
      <c r="H71" s="342" t="e">
        <f>IF(C71&lt;&gt;"",VLOOKUP("P"&amp;C71,'EXP. ESP.'!$A$20:$V$6999,16,0),"")</f>
        <v>#N/A</v>
      </c>
      <c r="I71" s="135" t="e">
        <f t="shared" si="4"/>
        <v>#N/A</v>
      </c>
      <c r="J71" s="352" t="e">
        <f>IF(C71&lt;&gt;"",ROUND(VLOOKUP("S"&amp;C71,'EXP. ESP.'!$A$20:$V$6999,16,0)/$K$14,3),"")</f>
        <v>#N/A</v>
      </c>
      <c r="K71" s="135" t="e">
        <f t="shared" si="1"/>
        <v>#N/A</v>
      </c>
      <c r="L71" s="135" t="e">
        <f>IF(C71&lt;&gt;"",VLOOKUP(C71,HAB.GEN.!$C$19:$K$218,9,FALSE),"")</f>
        <v>#N/A</v>
      </c>
      <c r="M71" s="514" t="e">
        <f t="shared" si="5"/>
        <v>#N/A</v>
      </c>
      <c r="N71" s="351" t="str">
        <f t="shared" si="3"/>
        <v>HÁBIL</v>
      </c>
      <c r="P71" s="427"/>
    </row>
    <row r="72" spans="2:16" ht="13.5" hidden="1">
      <c r="B72" s="230">
        <v>46</v>
      </c>
      <c r="C72" s="129" t="e">
        <f>IF(VLOOKUP(B72,PROPONENTES!$B$19:$E$219,2,0)="","",VLOOKUP(B72,PROPONENTES!$B$19:$E$219,2,0))</f>
        <v>#N/A</v>
      </c>
      <c r="D72" s="130" t="e">
        <f>IF(VLOOKUP(B72,PROPONENTES!$B$19:$E$218,3,0)="","",VLOOKUP(B72,PROPONENTES!$B$19:$E$218,3,0))</f>
        <v>#N/A</v>
      </c>
      <c r="E72" s="130" t="e">
        <f>IF(VLOOKUP(B72,PROPONENTES!$B$19:$E$218,4,0)="","",IF(VLOOKUP(B72,PROPONENTES!$B$19:$E$218,4,0)&gt;1,"SI","NO"))</f>
        <v>#N/A</v>
      </c>
      <c r="F72" s="135" t="e">
        <f>IF(C72&lt;&gt;"",IF(E72="SI",VLOOKUP("T"&amp;C72,'EXP. ESP.'!$A$20:$V$6999,11,0),"NO APLICA"),"")</f>
        <v>#N/A</v>
      </c>
      <c r="G72" s="245" t="e">
        <f>IF(C72&lt;&gt;"",VLOOKUP("M"&amp;C72,'EXP. ESP.'!$A$20:$V$6999,17,0),"")</f>
        <v>#N/A</v>
      </c>
      <c r="H72" s="342" t="e">
        <f>IF(C72&lt;&gt;"",VLOOKUP("P"&amp;C72,'EXP. ESP.'!$A$20:$V$6999,16,0),"")</f>
        <v>#N/A</v>
      </c>
      <c r="I72" s="135" t="e">
        <f t="shared" si="4"/>
        <v>#N/A</v>
      </c>
      <c r="J72" s="352" t="e">
        <f>IF(C72&lt;&gt;"",ROUND(VLOOKUP("S"&amp;C72,'EXP. ESP.'!$A$20:$V$6999,16,0)/$K$14,3),"")</f>
        <v>#N/A</v>
      </c>
      <c r="K72" s="135" t="e">
        <f t="shared" si="1"/>
        <v>#N/A</v>
      </c>
      <c r="L72" s="135" t="e">
        <f>IF(C72&lt;&gt;"",VLOOKUP(C72,HAB.GEN.!$C$19:$K$218,9,FALSE),"")</f>
        <v>#N/A</v>
      </c>
      <c r="M72" s="514" t="e">
        <f t="shared" si="5"/>
        <v>#N/A</v>
      </c>
      <c r="N72" s="351" t="str">
        <f t="shared" si="3"/>
        <v>HÁBIL</v>
      </c>
      <c r="P72" s="427"/>
    </row>
    <row r="73" spans="2:16" ht="13.5" hidden="1">
      <c r="B73" s="231">
        <v>47</v>
      </c>
      <c r="C73" s="129" t="e">
        <f>IF(VLOOKUP(B73,PROPONENTES!$B$19:$E$219,2,0)="","",VLOOKUP(B73,PROPONENTES!$B$19:$E$219,2,0))</f>
        <v>#N/A</v>
      </c>
      <c r="D73" s="130" t="e">
        <f>IF(VLOOKUP(B73,PROPONENTES!$B$19:$E$218,3,0)="","",VLOOKUP(B73,PROPONENTES!$B$19:$E$218,3,0))</f>
        <v>#N/A</v>
      </c>
      <c r="E73" s="130" t="e">
        <f>IF(VLOOKUP(B73,PROPONENTES!$B$19:$E$218,4,0)="","",IF(VLOOKUP(B73,PROPONENTES!$B$19:$E$218,4,0)&gt;1,"SI","NO"))</f>
        <v>#N/A</v>
      </c>
      <c r="F73" s="135" t="e">
        <f>IF(C73&lt;&gt;"",IF(E73="SI",VLOOKUP("T"&amp;C73,'EXP. ESP.'!$A$20:$V$6999,11,0),"NO APLICA"),"")</f>
        <v>#N/A</v>
      </c>
      <c r="G73" s="245" t="e">
        <f>IF(C73&lt;&gt;"",VLOOKUP("M"&amp;C73,'EXP. ESP.'!$A$20:$V$6999,17,0),"")</f>
        <v>#N/A</v>
      </c>
      <c r="H73" s="342" t="e">
        <f>IF(C73&lt;&gt;"",VLOOKUP("P"&amp;C73,'EXP. ESP.'!$A$20:$V$6999,16,0),"")</f>
        <v>#N/A</v>
      </c>
      <c r="I73" s="135" t="e">
        <f t="shared" si="4"/>
        <v>#N/A</v>
      </c>
      <c r="J73" s="352" t="e">
        <f>IF(C73&lt;&gt;"",ROUND(VLOOKUP("S"&amp;C73,'EXP. ESP.'!$A$20:$V$6999,16,0)/$K$14,3),"")</f>
        <v>#N/A</v>
      </c>
      <c r="K73" s="135" t="e">
        <f t="shared" si="1"/>
        <v>#N/A</v>
      </c>
      <c r="L73" s="135" t="e">
        <f>IF(C73&lt;&gt;"",VLOOKUP(C73,HAB.GEN.!$C$19:$K$218,9,FALSE),"")</f>
        <v>#N/A</v>
      </c>
      <c r="M73" s="514" t="e">
        <f t="shared" si="5"/>
        <v>#N/A</v>
      </c>
      <c r="N73" s="351" t="str">
        <f t="shared" si="3"/>
        <v>HÁBIL</v>
      </c>
      <c r="P73" s="427"/>
    </row>
    <row r="74" spans="2:16" ht="13.5" hidden="1">
      <c r="B74" s="231">
        <v>48</v>
      </c>
      <c r="C74" s="129" t="e">
        <f>IF(VLOOKUP(B74,PROPONENTES!$B$19:$E$219,2,0)="","",VLOOKUP(B74,PROPONENTES!$B$19:$E$219,2,0))</f>
        <v>#N/A</v>
      </c>
      <c r="D74" s="130" t="e">
        <f>IF(VLOOKUP(B74,PROPONENTES!$B$19:$E$218,3,0)="","",VLOOKUP(B74,PROPONENTES!$B$19:$E$218,3,0))</f>
        <v>#N/A</v>
      </c>
      <c r="E74" s="130" t="e">
        <f>IF(VLOOKUP(B74,PROPONENTES!$B$19:$E$218,4,0)="","",IF(VLOOKUP(B74,PROPONENTES!$B$19:$E$218,4,0)&gt;1,"SI","NO"))</f>
        <v>#N/A</v>
      </c>
      <c r="F74" s="135" t="e">
        <f>IF(C74&lt;&gt;"",IF(E74="SI",VLOOKUP("T"&amp;C74,'EXP. ESP.'!$A$20:$V$6999,11,0),"NO APLICA"),"")</f>
        <v>#N/A</v>
      </c>
      <c r="G74" s="245" t="e">
        <f>IF(C74&lt;&gt;"",VLOOKUP("M"&amp;C74,'EXP. ESP.'!$A$20:$V$6999,17,0),"")</f>
        <v>#N/A</v>
      </c>
      <c r="H74" s="342" t="e">
        <f>IF(C74&lt;&gt;"",VLOOKUP("P"&amp;C74,'EXP. ESP.'!$A$20:$V$6999,16,0),"")</f>
        <v>#N/A</v>
      </c>
      <c r="I74" s="135" t="e">
        <f t="shared" si="4"/>
        <v>#N/A</v>
      </c>
      <c r="J74" s="352" t="e">
        <f>IF(C74&lt;&gt;"",ROUND(VLOOKUP("S"&amp;C74,'EXP. ESP.'!$A$20:$V$6999,16,0)/$K$14,3),"")</f>
        <v>#N/A</v>
      </c>
      <c r="K74" s="135" t="e">
        <f t="shared" si="1"/>
        <v>#N/A</v>
      </c>
      <c r="L74" s="135" t="e">
        <f>IF(C74&lt;&gt;"",VLOOKUP(C74,HAB.GEN.!$C$19:$K$218,9,FALSE),"")</f>
        <v>#N/A</v>
      </c>
      <c r="M74" s="514" t="e">
        <f t="shared" si="5"/>
        <v>#N/A</v>
      </c>
      <c r="N74" s="351" t="str">
        <f t="shared" si="3"/>
        <v>HÁBIL</v>
      </c>
      <c r="P74" s="427"/>
    </row>
    <row r="75" spans="2:16" ht="13.5" hidden="1">
      <c r="B75" s="230">
        <v>49</v>
      </c>
      <c r="C75" s="129" t="e">
        <f>IF(VLOOKUP(B75,PROPONENTES!$B$19:$E$219,2,0)="","",VLOOKUP(B75,PROPONENTES!$B$19:$E$219,2,0))</f>
        <v>#N/A</v>
      </c>
      <c r="D75" s="130" t="e">
        <f>IF(VLOOKUP(B75,PROPONENTES!$B$19:$E$218,3,0)="","",VLOOKUP(B75,PROPONENTES!$B$19:$E$218,3,0))</f>
        <v>#N/A</v>
      </c>
      <c r="E75" s="130" t="e">
        <f>IF(VLOOKUP(B75,PROPONENTES!$B$19:$E$218,4,0)="","",IF(VLOOKUP(B75,PROPONENTES!$B$19:$E$218,4,0)&gt;1,"SI","NO"))</f>
        <v>#N/A</v>
      </c>
      <c r="F75" s="135" t="e">
        <f>IF(C75&lt;&gt;"",IF(E75="SI",VLOOKUP("T"&amp;C75,'EXP. ESP.'!$A$20:$V$6999,11,0),"NO APLICA"),"")</f>
        <v>#N/A</v>
      </c>
      <c r="G75" s="245" t="e">
        <f>IF(C75&lt;&gt;"",VLOOKUP("M"&amp;C75,'EXP. ESP.'!$A$20:$V$6999,17,0),"")</f>
        <v>#N/A</v>
      </c>
      <c r="H75" s="342" t="e">
        <f>IF(C75&lt;&gt;"",VLOOKUP("P"&amp;C75,'EXP. ESP.'!$A$20:$V$6999,16,0),"")</f>
        <v>#N/A</v>
      </c>
      <c r="I75" s="135" t="e">
        <f t="shared" si="4"/>
        <v>#N/A</v>
      </c>
      <c r="J75" s="352" t="e">
        <f>IF(C75&lt;&gt;"",ROUND(VLOOKUP("S"&amp;C75,'EXP. ESP.'!$A$20:$V$6999,16,0)/$K$14,3),"")</f>
        <v>#N/A</v>
      </c>
      <c r="K75" s="135" t="e">
        <f t="shared" si="1"/>
        <v>#N/A</v>
      </c>
      <c r="L75" s="135" t="e">
        <f>IF(C75&lt;&gt;"",VLOOKUP(C75,HAB.GEN.!$C$19:$K$218,9,FALSE),"")</f>
        <v>#N/A</v>
      </c>
      <c r="M75" s="514" t="e">
        <f t="shared" si="5"/>
        <v>#N/A</v>
      </c>
      <c r="N75" s="351" t="str">
        <f t="shared" si="3"/>
        <v>HÁBIL</v>
      </c>
      <c r="P75" s="427"/>
    </row>
    <row r="76" spans="2:16" ht="13.5" hidden="1">
      <c r="B76" s="231">
        <v>50</v>
      </c>
      <c r="C76" s="129" t="e">
        <f>IF(VLOOKUP(B76,PROPONENTES!$B$19:$E$219,2,0)="","",VLOOKUP(B76,PROPONENTES!$B$19:$E$219,2,0))</f>
        <v>#N/A</v>
      </c>
      <c r="D76" s="130" t="e">
        <f>IF(VLOOKUP(B76,PROPONENTES!$B$19:$E$218,3,0)="","",VLOOKUP(B76,PROPONENTES!$B$19:$E$218,3,0))</f>
        <v>#N/A</v>
      </c>
      <c r="E76" s="130" t="e">
        <f>IF(VLOOKUP(B76,PROPONENTES!$B$19:$E$218,4,0)="","",IF(VLOOKUP(B76,PROPONENTES!$B$19:$E$218,4,0)&gt;1,"SI","NO"))</f>
        <v>#N/A</v>
      </c>
      <c r="F76" s="135" t="e">
        <f>IF(C76&lt;&gt;"",IF(E76="SI",VLOOKUP("T"&amp;C76,'EXP. ESP.'!$A$20:$V$6999,11,0),"NO APLICA"),"")</f>
        <v>#N/A</v>
      </c>
      <c r="G76" s="245" t="e">
        <f>IF(C76&lt;&gt;"",VLOOKUP("M"&amp;C76,'EXP. ESP.'!$A$20:$V$6999,17,0),"")</f>
        <v>#N/A</v>
      </c>
      <c r="H76" s="342" t="e">
        <f>IF(C76&lt;&gt;"",VLOOKUP("P"&amp;C76,'EXP. ESP.'!$A$20:$V$6999,16,0),"")</f>
        <v>#N/A</v>
      </c>
      <c r="I76" s="135" t="e">
        <f t="shared" si="4"/>
        <v>#N/A</v>
      </c>
      <c r="J76" s="352" t="e">
        <f>IF(C76&lt;&gt;"",ROUND(VLOOKUP("S"&amp;C76,'EXP. ESP.'!$A$20:$V$6999,16,0)/$K$14,3),"")</f>
        <v>#N/A</v>
      </c>
      <c r="K76" s="135" t="e">
        <f t="shared" si="1"/>
        <v>#N/A</v>
      </c>
      <c r="L76" s="135" t="e">
        <f>IF(C76&lt;&gt;"",VLOOKUP(C76,HAB.GEN.!$C$19:$K$218,9,FALSE),"")</f>
        <v>#N/A</v>
      </c>
      <c r="M76" s="514" t="e">
        <f t="shared" si="5"/>
        <v>#N/A</v>
      </c>
      <c r="N76" s="351" t="str">
        <f t="shared" si="3"/>
        <v>HÁBIL</v>
      </c>
      <c r="P76" s="427"/>
    </row>
    <row r="77" spans="2:16" ht="13.5" hidden="1">
      <c r="B77" s="231">
        <v>51</v>
      </c>
      <c r="C77" s="129" t="e">
        <f>IF(VLOOKUP(B77,PROPONENTES!$B$19:$E$219,2,0)="","",VLOOKUP(B77,PROPONENTES!$B$19:$E$219,2,0))</f>
        <v>#N/A</v>
      </c>
      <c r="D77" s="130" t="e">
        <f>IF(VLOOKUP(B77,PROPONENTES!$B$19:$E$218,3,0)="","",VLOOKUP(B77,PROPONENTES!$B$19:$E$218,3,0))</f>
        <v>#N/A</v>
      </c>
      <c r="E77" s="130" t="e">
        <f>IF(VLOOKUP(B77,PROPONENTES!$B$19:$E$218,4,0)="","",IF(VLOOKUP(B77,PROPONENTES!$B$19:$E$218,4,0)&gt;1,"SI","NO"))</f>
        <v>#N/A</v>
      </c>
      <c r="F77" s="135" t="e">
        <f>IF(C77&lt;&gt;"",IF(E77="SI",VLOOKUP("T"&amp;C77,'EXP. ESP.'!$A$20:$V$6999,11,0),"NO APLICA"),"")</f>
        <v>#N/A</v>
      </c>
      <c r="G77" s="245" t="e">
        <f>IF(C77&lt;&gt;"",VLOOKUP("M"&amp;C77,'EXP. ESP.'!$A$20:$V$6999,17,0),"")</f>
        <v>#N/A</v>
      </c>
      <c r="H77" s="342" t="e">
        <f>IF(C77&lt;&gt;"",VLOOKUP("P"&amp;C77,'EXP. ESP.'!$A$20:$V$6999,16,0),"")</f>
        <v>#N/A</v>
      </c>
      <c r="I77" s="135" t="e">
        <f t="shared" si="4"/>
        <v>#N/A</v>
      </c>
      <c r="J77" s="352" t="e">
        <f>IF(C77&lt;&gt;"",ROUND(VLOOKUP("S"&amp;C77,'EXP. ESP.'!$A$20:$V$6999,16,0)/$K$14,3),"")</f>
        <v>#N/A</v>
      </c>
      <c r="K77" s="135" t="e">
        <f t="shared" si="1"/>
        <v>#N/A</v>
      </c>
      <c r="L77" s="135" t="e">
        <f>IF(C77&lt;&gt;"",VLOOKUP(C77,HAB.GEN.!$C$19:$K$218,9,FALSE),"")</f>
        <v>#N/A</v>
      </c>
      <c r="M77" s="514" t="e">
        <f t="shared" si="5"/>
        <v>#N/A</v>
      </c>
      <c r="N77" s="351" t="str">
        <f t="shared" si="3"/>
        <v>HÁBIL</v>
      </c>
      <c r="P77" s="427"/>
    </row>
    <row r="78" spans="2:16" ht="13.5" hidden="1">
      <c r="B78" s="231">
        <v>52</v>
      </c>
      <c r="C78" s="129" t="e">
        <f>IF(VLOOKUP(B78,PROPONENTES!$B$19:$E$219,2,0)="","",VLOOKUP(B78,PROPONENTES!$B$19:$E$219,2,0))</f>
        <v>#N/A</v>
      </c>
      <c r="D78" s="130" t="e">
        <f>IF(VLOOKUP(B78,PROPONENTES!$B$19:$E$218,3,0)="","",VLOOKUP(B78,PROPONENTES!$B$19:$E$218,3,0))</f>
        <v>#N/A</v>
      </c>
      <c r="E78" s="130" t="e">
        <f>IF(VLOOKUP(B78,PROPONENTES!$B$19:$E$218,4,0)="","",IF(VLOOKUP(B78,PROPONENTES!$B$19:$E$218,4,0)&gt;1,"SI","NO"))</f>
        <v>#N/A</v>
      </c>
      <c r="F78" s="135" t="e">
        <f>IF(C78&lt;&gt;"",IF(E78="SI",VLOOKUP("T"&amp;C78,'EXP. ESP.'!$A$20:$V$6999,11,0),"NO APLICA"),"")</f>
        <v>#N/A</v>
      </c>
      <c r="G78" s="245" t="e">
        <f>IF(C78&lt;&gt;"",VLOOKUP("M"&amp;C78,'EXP. ESP.'!$A$20:$V$6999,17,0),"")</f>
        <v>#N/A</v>
      </c>
      <c r="H78" s="342" t="e">
        <f>IF(C78&lt;&gt;"",VLOOKUP("P"&amp;C78,'EXP. ESP.'!$A$20:$V$6999,16,0),"")</f>
        <v>#N/A</v>
      </c>
      <c r="I78" s="135" t="e">
        <f t="shared" si="4"/>
        <v>#N/A</v>
      </c>
      <c r="J78" s="352" t="e">
        <f>IF(C78&lt;&gt;"",ROUND(VLOOKUP("S"&amp;C78,'EXP. ESP.'!$A$20:$V$6999,16,0)/$K$14,3),"")</f>
        <v>#N/A</v>
      </c>
      <c r="K78" s="135" t="e">
        <f t="shared" si="1"/>
        <v>#N/A</v>
      </c>
      <c r="L78" s="135" t="e">
        <f>IF(C78&lt;&gt;"",VLOOKUP(C78,HAB.GEN.!$C$19:$K$218,9,FALSE),"")</f>
        <v>#N/A</v>
      </c>
      <c r="M78" s="514" t="e">
        <f t="shared" si="5"/>
        <v>#N/A</v>
      </c>
      <c r="N78" s="351" t="str">
        <f t="shared" si="3"/>
        <v>HÁBIL</v>
      </c>
      <c r="P78" s="427"/>
    </row>
    <row r="79" spans="2:16" ht="13.5" hidden="1">
      <c r="B79" s="230">
        <v>53</v>
      </c>
      <c r="C79" s="129" t="e">
        <f>IF(VLOOKUP(B79,PROPONENTES!$B$19:$E$219,2,0)="","",VLOOKUP(B79,PROPONENTES!$B$19:$E$219,2,0))</f>
        <v>#N/A</v>
      </c>
      <c r="D79" s="130" t="e">
        <f>IF(VLOOKUP(B79,PROPONENTES!$B$19:$E$218,3,0)="","",VLOOKUP(B79,PROPONENTES!$B$19:$E$218,3,0))</f>
        <v>#N/A</v>
      </c>
      <c r="E79" s="130" t="e">
        <f>IF(VLOOKUP(B79,PROPONENTES!$B$19:$E$218,4,0)="","",IF(VLOOKUP(B79,PROPONENTES!$B$19:$E$218,4,0)&gt;1,"SI","NO"))</f>
        <v>#N/A</v>
      </c>
      <c r="F79" s="135" t="e">
        <f>IF(C79&lt;&gt;"",IF(E79="SI",VLOOKUP("T"&amp;C79,'EXP. ESP.'!$A$20:$V$6999,11,0),"NO APLICA"),"")</f>
        <v>#N/A</v>
      </c>
      <c r="G79" s="245" t="e">
        <f>IF(C79&lt;&gt;"",VLOOKUP("M"&amp;C79,'EXP. ESP.'!$A$20:$V$6999,17,0),"")</f>
        <v>#N/A</v>
      </c>
      <c r="H79" s="342" t="e">
        <f>IF(C79&lt;&gt;"",VLOOKUP("P"&amp;C79,'EXP. ESP.'!$A$20:$V$6999,16,0),"")</f>
        <v>#N/A</v>
      </c>
      <c r="I79" s="135" t="e">
        <f t="shared" si="4"/>
        <v>#N/A</v>
      </c>
      <c r="J79" s="352" t="e">
        <f>IF(C79&lt;&gt;"",ROUND(VLOOKUP("S"&amp;C79,'EXP. ESP.'!$A$20:$V$6999,16,0)/$K$14,3),"")</f>
        <v>#N/A</v>
      </c>
      <c r="K79" s="135" t="e">
        <f t="shared" si="1"/>
        <v>#N/A</v>
      </c>
      <c r="L79" s="135" t="e">
        <f>IF(C79&lt;&gt;"",VLOOKUP(C79,HAB.GEN.!$C$19:$K$218,9,FALSE),"")</f>
        <v>#N/A</v>
      </c>
      <c r="M79" s="514" t="e">
        <f t="shared" si="5"/>
        <v>#N/A</v>
      </c>
      <c r="N79" s="351" t="str">
        <f t="shared" si="3"/>
        <v>HÁBIL</v>
      </c>
      <c r="P79" s="427"/>
    </row>
    <row r="80" spans="2:16" ht="13.5" hidden="1">
      <c r="B80" s="231">
        <v>54</v>
      </c>
      <c r="C80" s="129" t="e">
        <f>IF(VLOOKUP(B80,PROPONENTES!$B$19:$E$219,2,0)="","",VLOOKUP(B80,PROPONENTES!$B$19:$E$219,2,0))</f>
        <v>#N/A</v>
      </c>
      <c r="D80" s="130" t="e">
        <f>IF(VLOOKUP(B80,PROPONENTES!$B$19:$E$218,3,0)="","",VLOOKUP(B80,PROPONENTES!$B$19:$E$218,3,0))</f>
        <v>#N/A</v>
      </c>
      <c r="E80" s="130" t="e">
        <f>IF(VLOOKUP(B80,PROPONENTES!$B$19:$E$218,4,0)="","",IF(VLOOKUP(B80,PROPONENTES!$B$19:$E$218,4,0)&gt;1,"SI","NO"))</f>
        <v>#N/A</v>
      </c>
      <c r="F80" s="135" t="e">
        <f>IF(C80&lt;&gt;"",IF(E80="SI",VLOOKUP("T"&amp;C80,'EXP. ESP.'!$A$20:$V$6999,11,0),"NO APLICA"),"")</f>
        <v>#N/A</v>
      </c>
      <c r="G80" s="245" t="e">
        <f>IF(C80&lt;&gt;"",VLOOKUP("M"&amp;C80,'EXP. ESP.'!$A$20:$V$6999,17,0),"")</f>
        <v>#N/A</v>
      </c>
      <c r="H80" s="342" t="e">
        <f>IF(C80&lt;&gt;"",VLOOKUP("P"&amp;C80,'EXP. ESP.'!$A$20:$V$6999,16,0),"")</f>
        <v>#N/A</v>
      </c>
      <c r="I80" s="135" t="e">
        <f t="shared" si="4"/>
        <v>#N/A</v>
      </c>
      <c r="J80" s="352" t="e">
        <f>IF(C80&lt;&gt;"",ROUND(VLOOKUP("S"&amp;C80,'EXP. ESP.'!$A$20:$V$6999,16,0)/$K$14,3),"")</f>
        <v>#N/A</v>
      </c>
      <c r="K80" s="135" t="e">
        <f t="shared" si="1"/>
        <v>#N/A</v>
      </c>
      <c r="L80" s="135" t="e">
        <f>IF(C80&lt;&gt;"",VLOOKUP(C80,HAB.GEN.!$C$19:$K$218,9,FALSE),"")</f>
        <v>#N/A</v>
      </c>
      <c r="M80" s="514" t="e">
        <f t="shared" si="5"/>
        <v>#N/A</v>
      </c>
      <c r="N80" s="351" t="str">
        <f t="shared" si="3"/>
        <v>HÁBIL</v>
      </c>
      <c r="P80" s="427"/>
    </row>
    <row r="81" spans="2:16" ht="13.5" hidden="1">
      <c r="B81" s="231">
        <v>55</v>
      </c>
      <c r="C81" s="129" t="e">
        <f>IF(VLOOKUP(B81,PROPONENTES!$B$19:$E$219,2,0)="","",VLOOKUP(B81,PROPONENTES!$B$19:$E$219,2,0))</f>
        <v>#N/A</v>
      </c>
      <c r="D81" s="130" t="e">
        <f>IF(VLOOKUP(B81,PROPONENTES!$B$19:$E$218,3,0)="","",VLOOKUP(B81,PROPONENTES!$B$19:$E$218,3,0))</f>
        <v>#N/A</v>
      </c>
      <c r="E81" s="130" t="e">
        <f>IF(VLOOKUP(B81,PROPONENTES!$B$19:$E$218,4,0)="","",IF(VLOOKUP(B81,PROPONENTES!$B$19:$E$218,4,0)&gt;1,"SI","NO"))</f>
        <v>#N/A</v>
      </c>
      <c r="F81" s="135" t="e">
        <f>IF(C81&lt;&gt;"",IF(E81="SI",VLOOKUP("T"&amp;C81,'EXP. ESP.'!$A$20:$V$6999,11,0),"NO APLICA"),"")</f>
        <v>#N/A</v>
      </c>
      <c r="G81" s="245" t="e">
        <f>IF(C81&lt;&gt;"",VLOOKUP("M"&amp;C81,'EXP. ESP.'!$A$20:$V$6999,17,0),"")</f>
        <v>#N/A</v>
      </c>
      <c r="H81" s="342" t="e">
        <f>IF(C81&lt;&gt;"",VLOOKUP("P"&amp;C81,'EXP. ESP.'!$A$20:$V$6999,16,0),"")</f>
        <v>#N/A</v>
      </c>
      <c r="I81" s="135" t="e">
        <f t="shared" si="4"/>
        <v>#N/A</v>
      </c>
      <c r="J81" s="352" t="e">
        <f>IF(C81&lt;&gt;"",ROUND(VLOOKUP("S"&amp;C81,'EXP. ESP.'!$A$20:$V$6999,16,0)/$K$14,3),"")</f>
        <v>#N/A</v>
      </c>
      <c r="K81" s="135" t="e">
        <f t="shared" si="1"/>
        <v>#N/A</v>
      </c>
      <c r="L81" s="135" t="e">
        <f>IF(C81&lt;&gt;"",VLOOKUP(C81,HAB.GEN.!$C$19:$K$218,9,FALSE),"")</f>
        <v>#N/A</v>
      </c>
      <c r="M81" s="514" t="e">
        <f t="shared" si="5"/>
        <v>#N/A</v>
      </c>
      <c r="N81" s="351" t="str">
        <f t="shared" si="3"/>
        <v>HÁBIL</v>
      </c>
      <c r="P81" s="427"/>
    </row>
    <row r="82" spans="2:16" ht="13.5" hidden="1">
      <c r="B82" s="231">
        <v>56</v>
      </c>
      <c r="C82" s="129" t="e">
        <f>IF(VLOOKUP(B82,PROPONENTES!$B$19:$E$219,2,0)="","",VLOOKUP(B82,PROPONENTES!$B$19:$E$219,2,0))</f>
        <v>#N/A</v>
      </c>
      <c r="D82" s="130" t="e">
        <f>IF(VLOOKUP(B82,PROPONENTES!$B$19:$E$218,3,0)="","",VLOOKUP(B82,PROPONENTES!$B$19:$E$218,3,0))</f>
        <v>#N/A</v>
      </c>
      <c r="E82" s="130" t="e">
        <f>IF(VLOOKUP(B82,PROPONENTES!$B$19:$E$218,4,0)="","",IF(VLOOKUP(B82,PROPONENTES!$B$19:$E$218,4,0)&gt;1,"SI","NO"))</f>
        <v>#N/A</v>
      </c>
      <c r="F82" s="135" t="e">
        <f>IF(C82&lt;&gt;"",IF(E82="SI",VLOOKUP("T"&amp;C82,'EXP. ESP.'!$A$20:$V$6999,11,0),"NO APLICA"),"")</f>
        <v>#N/A</v>
      </c>
      <c r="G82" s="245" t="e">
        <f>IF(C82&lt;&gt;"",VLOOKUP("M"&amp;C82,'EXP. ESP.'!$A$20:$V$6999,17,0),"")</f>
        <v>#N/A</v>
      </c>
      <c r="H82" s="342" t="e">
        <f>IF(C82&lt;&gt;"",VLOOKUP("P"&amp;C82,'EXP. ESP.'!$A$20:$V$6999,16,0),"")</f>
        <v>#N/A</v>
      </c>
      <c r="I82" s="135" t="e">
        <f t="shared" si="4"/>
        <v>#N/A</v>
      </c>
      <c r="J82" s="352" t="e">
        <f>IF(C82&lt;&gt;"",ROUND(VLOOKUP("S"&amp;C82,'EXP. ESP.'!$A$20:$V$6999,16,0)/$K$14,3),"")</f>
        <v>#N/A</v>
      </c>
      <c r="K82" s="135" t="e">
        <f t="shared" si="1"/>
        <v>#N/A</v>
      </c>
      <c r="L82" s="135" t="e">
        <f>IF(C82&lt;&gt;"",VLOOKUP(C82,HAB.GEN.!$C$19:$K$218,9,FALSE),"")</f>
        <v>#N/A</v>
      </c>
      <c r="M82" s="514" t="e">
        <f t="shared" si="5"/>
        <v>#N/A</v>
      </c>
      <c r="N82" s="351" t="str">
        <f t="shared" si="3"/>
        <v>HÁBIL</v>
      </c>
      <c r="P82" s="427"/>
    </row>
    <row r="83" spans="2:16" ht="13.5" hidden="1">
      <c r="B83" s="230">
        <v>57</v>
      </c>
      <c r="C83" s="129" t="e">
        <f>IF(VLOOKUP(B83,PROPONENTES!$B$19:$E$219,2,0)="","",VLOOKUP(B83,PROPONENTES!$B$19:$E$219,2,0))</f>
        <v>#N/A</v>
      </c>
      <c r="D83" s="130" t="e">
        <f>IF(VLOOKUP(B83,PROPONENTES!$B$19:$E$218,3,0)="","",VLOOKUP(B83,PROPONENTES!$B$19:$E$218,3,0))</f>
        <v>#N/A</v>
      </c>
      <c r="E83" s="130" t="e">
        <f>IF(VLOOKUP(B83,PROPONENTES!$B$19:$E$218,4,0)="","",IF(VLOOKUP(B83,PROPONENTES!$B$19:$E$218,4,0)&gt;1,"SI","NO"))</f>
        <v>#N/A</v>
      </c>
      <c r="F83" s="135" t="e">
        <f>IF(C83&lt;&gt;"",IF(E83="SI",VLOOKUP("T"&amp;C83,'EXP. ESP.'!$A$20:$V$6999,11,0),"NO APLICA"),"")</f>
        <v>#N/A</v>
      </c>
      <c r="G83" s="245" t="e">
        <f>IF(C83&lt;&gt;"",VLOOKUP("M"&amp;C83,'EXP. ESP.'!$A$20:$V$6999,17,0),"")</f>
        <v>#N/A</v>
      </c>
      <c r="H83" s="342" t="e">
        <f>IF(C83&lt;&gt;"",VLOOKUP("P"&amp;C83,'EXP. ESP.'!$A$20:$V$6999,16,0),"")</f>
        <v>#N/A</v>
      </c>
      <c r="I83" s="135" t="e">
        <f t="shared" si="4"/>
        <v>#N/A</v>
      </c>
      <c r="J83" s="352" t="e">
        <f>IF(C83&lt;&gt;"",ROUND(VLOOKUP("S"&amp;C83,'EXP. ESP.'!$A$20:$V$6999,16,0)/$K$14,3),"")</f>
        <v>#N/A</v>
      </c>
      <c r="K83" s="135" t="e">
        <f t="shared" si="1"/>
        <v>#N/A</v>
      </c>
      <c r="L83" s="135" t="e">
        <f>IF(C83&lt;&gt;"",VLOOKUP(C83,HAB.GEN.!$C$19:$K$218,9,FALSE),"")</f>
        <v>#N/A</v>
      </c>
      <c r="M83" s="514" t="e">
        <f t="shared" si="5"/>
        <v>#N/A</v>
      </c>
      <c r="N83" s="351" t="str">
        <f t="shared" si="3"/>
        <v>HÁBIL</v>
      </c>
      <c r="P83" s="427"/>
    </row>
    <row r="84" spans="2:16" ht="13.5" hidden="1">
      <c r="B84" s="231">
        <v>58</v>
      </c>
      <c r="C84" s="129" t="e">
        <f>IF(VLOOKUP(B84,PROPONENTES!$B$19:$E$219,2,0)="","",VLOOKUP(B84,PROPONENTES!$B$19:$E$219,2,0))</f>
        <v>#N/A</v>
      </c>
      <c r="D84" s="130" t="e">
        <f>IF(VLOOKUP(B84,PROPONENTES!$B$19:$E$218,3,0)="","",VLOOKUP(B84,PROPONENTES!$B$19:$E$218,3,0))</f>
        <v>#N/A</v>
      </c>
      <c r="E84" s="130" t="e">
        <f>IF(VLOOKUP(B84,PROPONENTES!$B$19:$E$218,4,0)="","",IF(VLOOKUP(B84,PROPONENTES!$B$19:$E$218,4,0)&gt;1,"SI","NO"))</f>
        <v>#N/A</v>
      </c>
      <c r="F84" s="135" t="e">
        <f>IF(C84&lt;&gt;"",IF(E84="SI",VLOOKUP("T"&amp;C84,'EXP. ESP.'!$A$20:$V$6999,11,0),"NO APLICA"),"")</f>
        <v>#N/A</v>
      </c>
      <c r="G84" s="245" t="e">
        <f>IF(C84&lt;&gt;"",VLOOKUP("M"&amp;C84,'EXP. ESP.'!$A$20:$V$6999,17,0),"")</f>
        <v>#N/A</v>
      </c>
      <c r="H84" s="342" t="e">
        <f>IF(C84&lt;&gt;"",VLOOKUP("P"&amp;C84,'EXP. ESP.'!$A$20:$V$6999,16,0),"")</f>
        <v>#N/A</v>
      </c>
      <c r="I84" s="135" t="e">
        <f t="shared" si="4"/>
        <v>#N/A</v>
      </c>
      <c r="J84" s="352" t="e">
        <f>IF(C84&lt;&gt;"",ROUND(VLOOKUP("S"&amp;C84,'EXP. ESP.'!$A$20:$V$6999,16,0)/$K$14,3),"")</f>
        <v>#N/A</v>
      </c>
      <c r="K84" s="135" t="e">
        <f t="shared" si="1"/>
        <v>#N/A</v>
      </c>
      <c r="L84" s="135" t="e">
        <f>IF(C84&lt;&gt;"",VLOOKUP(C84,HAB.GEN.!$C$19:$K$218,9,FALSE),"")</f>
        <v>#N/A</v>
      </c>
      <c r="M84" s="514" t="e">
        <f t="shared" si="5"/>
        <v>#N/A</v>
      </c>
      <c r="N84" s="351" t="str">
        <f t="shared" si="3"/>
        <v>HÁBIL</v>
      </c>
      <c r="P84" s="427"/>
    </row>
    <row r="85" spans="2:16" ht="13.5" hidden="1">
      <c r="B85" s="231">
        <v>59</v>
      </c>
      <c r="C85" s="129" t="e">
        <f>IF(VLOOKUP(B85,PROPONENTES!$B$19:$E$219,2,0)="","",VLOOKUP(B85,PROPONENTES!$B$19:$E$219,2,0))</f>
        <v>#N/A</v>
      </c>
      <c r="D85" s="130" t="e">
        <f>IF(VLOOKUP(B85,PROPONENTES!$B$19:$E$218,3,0)="","",VLOOKUP(B85,PROPONENTES!$B$19:$E$218,3,0))</f>
        <v>#N/A</v>
      </c>
      <c r="E85" s="130" t="e">
        <f>IF(VLOOKUP(B85,PROPONENTES!$B$19:$E$218,4,0)="","",IF(VLOOKUP(B85,PROPONENTES!$B$19:$E$218,4,0)&gt;1,"SI","NO"))</f>
        <v>#N/A</v>
      </c>
      <c r="F85" s="135" t="e">
        <f>IF(C85&lt;&gt;"",IF(E85="SI",VLOOKUP("T"&amp;C85,'EXP. ESP.'!$A$20:$V$6999,11,0),"NO APLICA"),"")</f>
        <v>#N/A</v>
      </c>
      <c r="G85" s="245" t="e">
        <f>IF(C85&lt;&gt;"",VLOOKUP("M"&amp;C85,'EXP. ESP.'!$A$20:$V$6999,17,0),"")</f>
        <v>#N/A</v>
      </c>
      <c r="H85" s="342" t="e">
        <f>IF(C85&lt;&gt;"",VLOOKUP("P"&amp;C85,'EXP. ESP.'!$A$20:$V$6999,16,0),"")</f>
        <v>#N/A</v>
      </c>
      <c r="I85" s="135" t="e">
        <f t="shared" si="4"/>
        <v>#N/A</v>
      </c>
      <c r="J85" s="352" t="e">
        <f>IF(C85&lt;&gt;"",ROUND(VLOOKUP("S"&amp;C85,'EXP. ESP.'!$A$20:$V$6999,16,0)/$K$14,3),"")</f>
        <v>#N/A</v>
      </c>
      <c r="K85" s="135" t="e">
        <f t="shared" si="1"/>
        <v>#N/A</v>
      </c>
      <c r="L85" s="135" t="e">
        <f>IF(C85&lt;&gt;"",VLOOKUP(C85,HAB.GEN.!$C$19:$K$218,9,FALSE),"")</f>
        <v>#N/A</v>
      </c>
      <c r="M85" s="514" t="e">
        <f t="shared" si="5"/>
        <v>#N/A</v>
      </c>
      <c r="N85" s="351" t="str">
        <f t="shared" si="3"/>
        <v>HÁBIL</v>
      </c>
      <c r="P85" s="427"/>
    </row>
    <row r="86" spans="2:16" ht="13.5" hidden="1">
      <c r="B86" s="231">
        <v>60</v>
      </c>
      <c r="C86" s="129" t="e">
        <f>IF(VLOOKUP(B86,PROPONENTES!$B$19:$E$219,2,0)="","",VLOOKUP(B86,PROPONENTES!$B$19:$E$219,2,0))</f>
        <v>#N/A</v>
      </c>
      <c r="D86" s="130" t="e">
        <f>IF(VLOOKUP(B86,PROPONENTES!$B$19:$E$218,3,0)="","",VLOOKUP(B86,PROPONENTES!$B$19:$E$218,3,0))</f>
        <v>#N/A</v>
      </c>
      <c r="E86" s="130" t="e">
        <f>IF(VLOOKUP(B86,PROPONENTES!$B$19:$E$218,4,0)="","",IF(VLOOKUP(B86,PROPONENTES!$B$19:$E$218,4,0)&gt;1,"SI","NO"))</f>
        <v>#N/A</v>
      </c>
      <c r="F86" s="135" t="e">
        <f>IF(C86&lt;&gt;"",IF(E86="SI",VLOOKUP("T"&amp;C86,'EXP. ESP.'!$A$20:$V$6999,11,0),"NO APLICA"),"")</f>
        <v>#N/A</v>
      </c>
      <c r="G86" s="245" t="e">
        <f>IF(C86&lt;&gt;"",VLOOKUP("M"&amp;C86,'EXP. ESP.'!$A$20:$V$6999,17,0),"")</f>
        <v>#N/A</v>
      </c>
      <c r="H86" s="342" t="e">
        <f>IF(C86&lt;&gt;"",VLOOKUP("P"&amp;C86,'EXP. ESP.'!$A$20:$V$6999,16,0),"")</f>
        <v>#N/A</v>
      </c>
      <c r="I86" s="135" t="e">
        <f t="shared" si="4"/>
        <v>#N/A</v>
      </c>
      <c r="J86" s="352" t="e">
        <f>IF(C86&lt;&gt;"",ROUND(VLOOKUP("S"&amp;C86,'EXP. ESP.'!$A$20:$V$6999,16,0)/$K$14,3),"")</f>
        <v>#N/A</v>
      </c>
      <c r="K86" s="135" t="e">
        <f t="shared" si="1"/>
        <v>#N/A</v>
      </c>
      <c r="L86" s="135" t="e">
        <f>IF(C86&lt;&gt;"",VLOOKUP(C86,HAB.GEN.!$C$19:$K$218,9,FALSE),"")</f>
        <v>#N/A</v>
      </c>
      <c r="M86" s="514" t="e">
        <f t="shared" si="5"/>
        <v>#N/A</v>
      </c>
      <c r="N86" s="351" t="str">
        <f t="shared" si="3"/>
        <v>HÁBIL</v>
      </c>
      <c r="P86" s="427"/>
    </row>
    <row r="87" spans="2:16" ht="13.5" hidden="1">
      <c r="B87" s="230">
        <v>61</v>
      </c>
      <c r="C87" s="129" t="e">
        <f>IF(VLOOKUP(B87,PROPONENTES!$B$19:$E$219,2,0)="","",VLOOKUP(B87,PROPONENTES!$B$19:$E$219,2,0))</f>
        <v>#N/A</v>
      </c>
      <c r="D87" s="130" t="e">
        <f>IF(VLOOKUP(B87,PROPONENTES!$B$19:$E$218,3,0)="","",VLOOKUP(B87,PROPONENTES!$B$19:$E$218,3,0))</f>
        <v>#N/A</v>
      </c>
      <c r="E87" s="130" t="e">
        <f>IF(VLOOKUP(B87,PROPONENTES!$B$19:$E$218,4,0)="","",IF(VLOOKUP(B87,PROPONENTES!$B$19:$E$218,4,0)&gt;1,"SI","NO"))</f>
        <v>#N/A</v>
      </c>
      <c r="F87" s="135" t="e">
        <f>IF(C87&lt;&gt;"",IF(E87="SI",VLOOKUP("T"&amp;C87,'EXP. ESP.'!$A$20:$V$6999,11,0),"NO APLICA"),"")</f>
        <v>#N/A</v>
      </c>
      <c r="G87" s="245" t="e">
        <f>IF(C87&lt;&gt;"",VLOOKUP("M"&amp;C87,'EXP. ESP.'!$A$20:$V$6999,17,0),"")</f>
        <v>#N/A</v>
      </c>
      <c r="H87" s="342" t="e">
        <f>IF(C87&lt;&gt;"",VLOOKUP("P"&amp;C87,'EXP. ESP.'!$A$20:$V$6999,16,0),"")</f>
        <v>#N/A</v>
      </c>
      <c r="I87" s="135" t="e">
        <f t="shared" si="4"/>
        <v>#N/A</v>
      </c>
      <c r="J87" s="352" t="e">
        <f>IF(C87&lt;&gt;"",ROUND(VLOOKUP("S"&amp;C87,'EXP. ESP.'!$A$20:$V$6999,16,0)/$K$14,3),"")</f>
        <v>#N/A</v>
      </c>
      <c r="K87" s="135" t="e">
        <f t="shared" si="1"/>
        <v>#N/A</v>
      </c>
      <c r="L87" s="135" t="e">
        <f>IF(C87&lt;&gt;"",VLOOKUP(C87,HAB.GEN.!$C$19:$K$218,9,FALSE),"")</f>
        <v>#N/A</v>
      </c>
      <c r="M87" s="514" t="e">
        <f t="shared" si="5"/>
        <v>#N/A</v>
      </c>
      <c r="N87" s="351" t="str">
        <f t="shared" si="3"/>
        <v>HÁBIL</v>
      </c>
      <c r="P87" s="427"/>
    </row>
    <row r="88" spans="2:16" ht="13.5" hidden="1">
      <c r="B88" s="231">
        <v>62</v>
      </c>
      <c r="C88" s="129" t="e">
        <f>IF(VLOOKUP(B88,PROPONENTES!$B$19:$E$219,2,0)="","",VLOOKUP(B88,PROPONENTES!$B$19:$E$219,2,0))</f>
        <v>#N/A</v>
      </c>
      <c r="D88" s="130" t="e">
        <f>IF(VLOOKUP(B88,PROPONENTES!$B$19:$E$218,3,0)="","",VLOOKUP(B88,PROPONENTES!$B$19:$E$218,3,0))</f>
        <v>#N/A</v>
      </c>
      <c r="E88" s="130" t="e">
        <f>IF(VLOOKUP(B88,PROPONENTES!$B$19:$E$218,4,0)="","",IF(VLOOKUP(B88,PROPONENTES!$B$19:$E$218,4,0)&gt;1,"SI","NO"))</f>
        <v>#N/A</v>
      </c>
      <c r="F88" s="135" t="e">
        <f>IF(C88&lt;&gt;"",IF(E88="SI",VLOOKUP("T"&amp;C88,'EXP. ESP.'!$A$20:$V$6999,11,0),"NO APLICA"),"")</f>
        <v>#N/A</v>
      </c>
      <c r="G88" s="245" t="e">
        <f>IF(C88&lt;&gt;"",VLOOKUP("M"&amp;C88,'EXP. ESP.'!$A$20:$V$6999,17,0),"")</f>
        <v>#N/A</v>
      </c>
      <c r="H88" s="342" t="e">
        <f>IF(C88&lt;&gt;"",VLOOKUP("P"&amp;C88,'EXP. ESP.'!$A$20:$V$6999,16,0),"")</f>
        <v>#N/A</v>
      </c>
      <c r="I88" s="135" t="e">
        <f t="shared" si="4"/>
        <v>#N/A</v>
      </c>
      <c r="J88" s="352" t="e">
        <f>IF(C88&lt;&gt;"",ROUND(VLOOKUP("S"&amp;C88,'EXP. ESP.'!$A$20:$V$6999,16,0)/$K$14,3),"")</f>
        <v>#N/A</v>
      </c>
      <c r="K88" s="135" t="e">
        <f t="shared" si="1"/>
        <v>#N/A</v>
      </c>
      <c r="L88" s="135" t="e">
        <f>IF(C88&lt;&gt;"",VLOOKUP(C88,HAB.GEN.!$C$19:$K$218,9,FALSE),"")</f>
        <v>#N/A</v>
      </c>
      <c r="M88" s="514" t="e">
        <f t="shared" si="5"/>
        <v>#N/A</v>
      </c>
      <c r="N88" s="351" t="str">
        <f t="shared" si="3"/>
        <v>HÁBIL</v>
      </c>
      <c r="P88" s="427"/>
    </row>
    <row r="89" spans="2:16" ht="13.5" hidden="1">
      <c r="B89" s="231">
        <v>63</v>
      </c>
      <c r="C89" s="129" t="e">
        <f>IF(VLOOKUP(B89,PROPONENTES!$B$19:$E$219,2,0)="","",VLOOKUP(B89,PROPONENTES!$B$19:$E$219,2,0))</f>
        <v>#N/A</v>
      </c>
      <c r="D89" s="130" t="e">
        <f>IF(VLOOKUP(B89,PROPONENTES!$B$19:$E$218,3,0)="","",VLOOKUP(B89,PROPONENTES!$B$19:$E$218,3,0))</f>
        <v>#N/A</v>
      </c>
      <c r="E89" s="130" t="e">
        <f>IF(VLOOKUP(B89,PROPONENTES!$B$19:$E$218,4,0)="","",IF(VLOOKUP(B89,PROPONENTES!$B$19:$E$218,4,0)&gt;1,"SI","NO"))</f>
        <v>#N/A</v>
      </c>
      <c r="F89" s="135" t="e">
        <f>IF(C89&lt;&gt;"",IF(E89="SI",VLOOKUP("T"&amp;C89,'EXP. ESP.'!$A$20:$V$6999,11,0),"NO APLICA"),"")</f>
        <v>#N/A</v>
      </c>
      <c r="G89" s="245" t="e">
        <f>IF(C89&lt;&gt;"",VLOOKUP("M"&amp;C89,'EXP. ESP.'!$A$20:$V$6999,17,0),"")</f>
        <v>#N/A</v>
      </c>
      <c r="H89" s="342" t="e">
        <f>IF(C89&lt;&gt;"",VLOOKUP("P"&amp;C89,'EXP. ESP.'!$A$20:$V$6999,16,0),"")</f>
        <v>#N/A</v>
      </c>
      <c r="I89" s="135" t="e">
        <f t="shared" si="4"/>
        <v>#N/A</v>
      </c>
      <c r="J89" s="352" t="e">
        <f>IF(C89&lt;&gt;"",ROUND(VLOOKUP("S"&amp;C89,'EXP. ESP.'!$A$20:$V$6999,16,0)/$K$14,3),"")</f>
        <v>#N/A</v>
      </c>
      <c r="K89" s="135" t="e">
        <f t="shared" si="1"/>
        <v>#N/A</v>
      </c>
      <c r="L89" s="135" t="e">
        <f>IF(C89&lt;&gt;"",VLOOKUP(C89,HAB.GEN.!$C$19:$K$218,9,FALSE),"")</f>
        <v>#N/A</v>
      </c>
      <c r="M89" s="514" t="e">
        <f t="shared" si="5"/>
        <v>#N/A</v>
      </c>
      <c r="N89" s="351" t="str">
        <f t="shared" si="3"/>
        <v>HÁBIL</v>
      </c>
      <c r="P89" s="427"/>
    </row>
    <row r="90" spans="2:16" ht="13.5" hidden="1">
      <c r="B90" s="231">
        <v>64</v>
      </c>
      <c r="C90" s="129" t="e">
        <f>IF(VLOOKUP(B90,PROPONENTES!$B$19:$E$219,2,0)="","",VLOOKUP(B90,PROPONENTES!$B$19:$E$219,2,0))</f>
        <v>#N/A</v>
      </c>
      <c r="D90" s="130" t="e">
        <f>IF(VLOOKUP(B90,PROPONENTES!$B$19:$E$218,3,0)="","",VLOOKUP(B90,PROPONENTES!$B$19:$E$218,3,0))</f>
        <v>#N/A</v>
      </c>
      <c r="E90" s="130" t="e">
        <f>IF(VLOOKUP(B90,PROPONENTES!$B$19:$E$218,4,0)="","",IF(VLOOKUP(B90,PROPONENTES!$B$19:$E$218,4,0)&gt;1,"SI","NO"))</f>
        <v>#N/A</v>
      </c>
      <c r="F90" s="135" t="e">
        <f>IF(C90&lt;&gt;"",IF(E90="SI",VLOOKUP("T"&amp;C90,'EXP. ESP.'!$A$20:$V$6999,11,0),"NO APLICA"),"")</f>
        <v>#N/A</v>
      </c>
      <c r="G90" s="245" t="e">
        <f>IF(C90&lt;&gt;"",VLOOKUP("M"&amp;C90,'EXP. ESP.'!$A$20:$V$6999,17,0),"")</f>
        <v>#N/A</v>
      </c>
      <c r="H90" s="342" t="e">
        <f>IF(C90&lt;&gt;"",VLOOKUP("P"&amp;C90,'EXP. ESP.'!$A$20:$V$6999,16,0),"")</f>
        <v>#N/A</v>
      </c>
      <c r="I90" s="135" t="e">
        <f t="shared" si="4"/>
        <v>#N/A</v>
      </c>
      <c r="J90" s="352" t="e">
        <f>IF(C90&lt;&gt;"",ROUND(VLOOKUP("S"&amp;C90,'EXP. ESP.'!$A$20:$V$6999,16,0)/$K$14,3),"")</f>
        <v>#N/A</v>
      </c>
      <c r="K90" s="135" t="e">
        <f t="shared" si="1"/>
        <v>#N/A</v>
      </c>
      <c r="L90" s="135" t="e">
        <f>IF(C90&lt;&gt;"",VLOOKUP(C90,HAB.GEN.!$C$19:$K$218,9,FALSE),"")</f>
        <v>#N/A</v>
      </c>
      <c r="M90" s="514" t="e">
        <f t="shared" si="5"/>
        <v>#N/A</v>
      </c>
      <c r="N90" s="351" t="str">
        <f t="shared" si="3"/>
        <v>HÁBIL</v>
      </c>
      <c r="P90" s="427"/>
    </row>
    <row r="91" spans="2:16" ht="13.5" hidden="1">
      <c r="B91" s="230">
        <v>65</v>
      </c>
      <c r="C91" s="129" t="e">
        <f>IF(VLOOKUP(B91,PROPONENTES!$B$19:$E$219,2,0)="","",VLOOKUP(B91,PROPONENTES!$B$19:$E$219,2,0))</f>
        <v>#N/A</v>
      </c>
      <c r="D91" s="130" t="e">
        <f>IF(VLOOKUP(B91,PROPONENTES!$B$19:$E$218,3,0)="","",VLOOKUP(B91,PROPONENTES!$B$19:$E$218,3,0))</f>
        <v>#N/A</v>
      </c>
      <c r="E91" s="130" t="e">
        <f>IF(VLOOKUP(B91,PROPONENTES!$B$19:$E$218,4,0)="","",IF(VLOOKUP(B91,PROPONENTES!$B$19:$E$218,4,0)&gt;1,"SI","NO"))</f>
        <v>#N/A</v>
      </c>
      <c r="F91" s="135" t="e">
        <f>IF(C91&lt;&gt;"",IF(E91="SI",VLOOKUP("T"&amp;C91,'EXP. ESP.'!$A$20:$V$6999,11,0),"NO APLICA"),"")</f>
        <v>#N/A</v>
      </c>
      <c r="G91" s="245" t="e">
        <f>IF(C91&lt;&gt;"",VLOOKUP("M"&amp;C91,'EXP. ESP.'!$A$20:$V$6999,17,0),"")</f>
        <v>#N/A</v>
      </c>
      <c r="H91" s="342" t="e">
        <f>IF(C91&lt;&gt;"",VLOOKUP("P"&amp;C91,'EXP. ESP.'!$A$20:$V$6999,16,0),"")</f>
        <v>#N/A</v>
      </c>
      <c r="I91" s="135" t="e">
        <f t="shared" ref="I91:I122" si="6">IF(C91&lt;&gt;"",IF(AND(G91&gt;=NUMMINCONT,G91&lt;=NUMMAXCONT,H91&gt;$F$15,H91&lt;$F$16,H91&lt;&gt;0),"HÁBIL","NO HÁBIL"),"")</f>
        <v>#N/A</v>
      </c>
      <c r="J91" s="352" t="e">
        <f>IF(C91&lt;&gt;"",ROUND(VLOOKUP("S"&amp;C91,'EXP. ESP.'!$A$20:$V$6999,16,0)/$K$14,3),"")</f>
        <v>#N/A</v>
      </c>
      <c r="K91" s="135" t="e">
        <f t="shared" ref="K91:K154" si="7">IF(C91&lt;&gt;"",IF(AND(G91&gt;=NUMMINCONT,G91&lt;=NUMMAXCONT,J91&lt;$K$18,J91&lt;&gt;0),"HÁBIL","NO HÁBIL"),"")</f>
        <v>#N/A</v>
      </c>
      <c r="L91" s="135" t="e">
        <f>IF(C91&lt;&gt;"",VLOOKUP(C91,HAB.GEN.!$C$19:$K$218,9,FALSE),"")</f>
        <v>#N/A</v>
      </c>
      <c r="M91" s="514" t="e">
        <f t="shared" ref="M91:M122" si="8">IF(AND(G91&gt;=NUMMINCONT,G91&lt;=NUMMAXCONT,P91&lt;&gt;"SI"),IF(OR(I91="",K91=""),"",IF(OR(I91="NO HÁBIL",K91="NO HÁBIL",F91="NO CUMPLE"),"NO HÁBIL","HÁBIL")),"NO HÁBIL")</f>
        <v>#N/A</v>
      </c>
      <c r="N91" s="351" t="str">
        <f t="shared" si="3"/>
        <v>HÁBIL</v>
      </c>
      <c r="P91" s="427"/>
    </row>
    <row r="92" spans="2:16" ht="13.5" hidden="1">
      <c r="B92" s="231">
        <v>66</v>
      </c>
      <c r="C92" s="129" t="e">
        <f>IF(VLOOKUP(B92,PROPONENTES!$B$19:$E$219,2,0)="","",VLOOKUP(B92,PROPONENTES!$B$19:$E$219,2,0))</f>
        <v>#N/A</v>
      </c>
      <c r="D92" s="130" t="e">
        <f>IF(VLOOKUP(B92,PROPONENTES!$B$19:$E$218,3,0)="","",VLOOKUP(B92,PROPONENTES!$B$19:$E$218,3,0))</f>
        <v>#N/A</v>
      </c>
      <c r="E92" s="130" t="e">
        <f>IF(VLOOKUP(B92,PROPONENTES!$B$19:$E$218,4,0)="","",IF(VLOOKUP(B92,PROPONENTES!$B$19:$E$218,4,0)&gt;1,"SI","NO"))</f>
        <v>#N/A</v>
      </c>
      <c r="F92" s="135" t="e">
        <f>IF(C92&lt;&gt;"",IF(E92="SI",VLOOKUP("T"&amp;C92,'EXP. ESP.'!$A$20:$V$6999,11,0),"NO APLICA"),"")</f>
        <v>#N/A</v>
      </c>
      <c r="G92" s="245" t="e">
        <f>IF(C92&lt;&gt;"",VLOOKUP("M"&amp;C92,'EXP. ESP.'!$A$20:$V$6999,17,0),"")</f>
        <v>#N/A</v>
      </c>
      <c r="H92" s="342" t="e">
        <f>IF(C92&lt;&gt;"",VLOOKUP("P"&amp;C92,'EXP. ESP.'!$A$20:$V$6999,16,0),"")</f>
        <v>#N/A</v>
      </c>
      <c r="I92" s="135" t="e">
        <f t="shared" si="6"/>
        <v>#N/A</v>
      </c>
      <c r="J92" s="352" t="e">
        <f>IF(C92&lt;&gt;"",ROUND(VLOOKUP("S"&amp;C92,'EXP. ESP.'!$A$20:$V$6999,16,0)/$K$14,3),"")</f>
        <v>#N/A</v>
      </c>
      <c r="K92" s="135" t="e">
        <f t="shared" si="7"/>
        <v>#N/A</v>
      </c>
      <c r="L92" s="135" t="e">
        <f>IF(C92&lt;&gt;"",VLOOKUP(C92,HAB.GEN.!$C$19:$K$218,9,FALSE),"")</f>
        <v>#N/A</v>
      </c>
      <c r="M92" s="514" t="e">
        <f t="shared" si="8"/>
        <v>#N/A</v>
      </c>
      <c r="N92" s="351" t="str">
        <f t="shared" ref="N92:N155" si="9">IF(OR(COUNTIF(L92:M92,"")=2,COUNTIF(L92:M92,"")&gt;0),"",IF(COUNTIF(L92:M92,"RECHAZO")&gt;0,"RECHAZO",IF(COUNTIF(L92:M92,"NO HÁBIL")=0,"HÁBIL","NO HÁBIL")))</f>
        <v>HÁBIL</v>
      </c>
      <c r="P92" s="427"/>
    </row>
    <row r="93" spans="2:16" ht="13.5" hidden="1">
      <c r="B93" s="231">
        <v>67</v>
      </c>
      <c r="C93" s="129" t="e">
        <f>IF(VLOOKUP(B93,PROPONENTES!$B$19:$E$219,2,0)="","",VLOOKUP(B93,PROPONENTES!$B$19:$E$219,2,0))</f>
        <v>#N/A</v>
      </c>
      <c r="D93" s="130" t="e">
        <f>IF(VLOOKUP(B93,PROPONENTES!$B$19:$E$218,3,0)="","",VLOOKUP(B93,PROPONENTES!$B$19:$E$218,3,0))</f>
        <v>#N/A</v>
      </c>
      <c r="E93" s="130" t="e">
        <f>IF(VLOOKUP(B93,PROPONENTES!$B$19:$E$218,4,0)="","",IF(VLOOKUP(B93,PROPONENTES!$B$19:$E$218,4,0)&gt;1,"SI","NO"))</f>
        <v>#N/A</v>
      </c>
      <c r="F93" s="135" t="e">
        <f>IF(C93&lt;&gt;"",IF(E93="SI",VLOOKUP("T"&amp;C93,'EXP. ESP.'!$A$20:$V$6999,11,0),"NO APLICA"),"")</f>
        <v>#N/A</v>
      </c>
      <c r="G93" s="245" t="e">
        <f>IF(C93&lt;&gt;"",VLOOKUP("M"&amp;C93,'EXP. ESP.'!$A$20:$V$6999,17,0),"")</f>
        <v>#N/A</v>
      </c>
      <c r="H93" s="342" t="e">
        <f>IF(C93&lt;&gt;"",VLOOKUP("P"&amp;C93,'EXP. ESP.'!$A$20:$V$6999,16,0),"")</f>
        <v>#N/A</v>
      </c>
      <c r="I93" s="135" t="e">
        <f t="shared" si="6"/>
        <v>#N/A</v>
      </c>
      <c r="J93" s="352" t="e">
        <f>IF(C93&lt;&gt;"",ROUND(VLOOKUP("S"&amp;C93,'EXP. ESP.'!$A$20:$V$6999,16,0)/$K$14,3),"")</f>
        <v>#N/A</v>
      </c>
      <c r="K93" s="135" t="e">
        <f t="shared" si="7"/>
        <v>#N/A</v>
      </c>
      <c r="L93" s="135" t="e">
        <f>IF(C93&lt;&gt;"",VLOOKUP(C93,HAB.GEN.!$C$19:$K$218,9,FALSE),"")</f>
        <v>#N/A</v>
      </c>
      <c r="M93" s="514" t="e">
        <f t="shared" si="8"/>
        <v>#N/A</v>
      </c>
      <c r="N93" s="351" t="str">
        <f t="shared" si="9"/>
        <v>HÁBIL</v>
      </c>
      <c r="P93" s="427"/>
    </row>
    <row r="94" spans="2:16" ht="13.5" hidden="1">
      <c r="B94" s="231">
        <v>68</v>
      </c>
      <c r="C94" s="129" t="e">
        <f>IF(VLOOKUP(B94,PROPONENTES!$B$19:$E$219,2,0)="","",VLOOKUP(B94,PROPONENTES!$B$19:$E$219,2,0))</f>
        <v>#N/A</v>
      </c>
      <c r="D94" s="130" t="e">
        <f>IF(VLOOKUP(B94,PROPONENTES!$B$19:$E$218,3,0)="","",VLOOKUP(B94,PROPONENTES!$B$19:$E$218,3,0))</f>
        <v>#N/A</v>
      </c>
      <c r="E94" s="130" t="e">
        <f>IF(VLOOKUP(B94,PROPONENTES!$B$19:$E$218,4,0)="","",IF(VLOOKUP(B94,PROPONENTES!$B$19:$E$218,4,0)&gt;1,"SI","NO"))</f>
        <v>#N/A</v>
      </c>
      <c r="F94" s="135" t="e">
        <f>IF(C94&lt;&gt;"",IF(E94="SI",VLOOKUP("T"&amp;C94,'EXP. ESP.'!$A$20:$V$6999,11,0),"NO APLICA"),"")</f>
        <v>#N/A</v>
      </c>
      <c r="G94" s="245" t="e">
        <f>IF(C94&lt;&gt;"",VLOOKUP("M"&amp;C94,'EXP. ESP.'!$A$20:$V$6999,17,0),"")</f>
        <v>#N/A</v>
      </c>
      <c r="H94" s="342" t="e">
        <f>IF(C94&lt;&gt;"",VLOOKUP("P"&amp;C94,'EXP. ESP.'!$A$20:$V$6999,16,0),"")</f>
        <v>#N/A</v>
      </c>
      <c r="I94" s="135" t="e">
        <f t="shared" si="6"/>
        <v>#N/A</v>
      </c>
      <c r="J94" s="352" t="e">
        <f>IF(C94&lt;&gt;"",ROUND(VLOOKUP("S"&amp;C94,'EXP. ESP.'!$A$20:$V$6999,16,0)/$K$14,3),"")</f>
        <v>#N/A</v>
      </c>
      <c r="K94" s="135" t="e">
        <f t="shared" si="7"/>
        <v>#N/A</v>
      </c>
      <c r="L94" s="135" t="e">
        <f>IF(C94&lt;&gt;"",VLOOKUP(C94,HAB.GEN.!$C$19:$K$218,9,FALSE),"")</f>
        <v>#N/A</v>
      </c>
      <c r="M94" s="514" t="e">
        <f t="shared" si="8"/>
        <v>#N/A</v>
      </c>
      <c r="N94" s="351" t="str">
        <f t="shared" si="9"/>
        <v>HÁBIL</v>
      </c>
      <c r="P94" s="427"/>
    </row>
    <row r="95" spans="2:16" ht="13.5" hidden="1">
      <c r="B95" s="230">
        <v>69</v>
      </c>
      <c r="C95" s="129" t="e">
        <f>IF(VLOOKUP(B95,PROPONENTES!$B$19:$E$219,2,0)="","",VLOOKUP(B95,PROPONENTES!$B$19:$E$219,2,0))</f>
        <v>#N/A</v>
      </c>
      <c r="D95" s="130" t="e">
        <f>IF(VLOOKUP(B95,PROPONENTES!$B$19:$E$218,3,0)="","",VLOOKUP(B95,PROPONENTES!$B$19:$E$218,3,0))</f>
        <v>#N/A</v>
      </c>
      <c r="E95" s="130" t="e">
        <f>IF(VLOOKUP(B95,PROPONENTES!$B$19:$E$218,4,0)="","",IF(VLOOKUP(B95,PROPONENTES!$B$19:$E$218,4,0)&gt;1,"SI","NO"))</f>
        <v>#N/A</v>
      </c>
      <c r="F95" s="135" t="e">
        <f>IF(C95&lt;&gt;"",IF(E95="SI",VLOOKUP("T"&amp;C95,'EXP. ESP.'!$A$20:$V$6999,11,0),"NO APLICA"),"")</f>
        <v>#N/A</v>
      </c>
      <c r="G95" s="245" t="e">
        <f>IF(C95&lt;&gt;"",VLOOKUP("M"&amp;C95,'EXP. ESP.'!$A$20:$V$6999,17,0),"")</f>
        <v>#N/A</v>
      </c>
      <c r="H95" s="342" t="e">
        <f>IF(C95&lt;&gt;"",VLOOKUP("P"&amp;C95,'EXP. ESP.'!$A$20:$V$6999,16,0),"")</f>
        <v>#N/A</v>
      </c>
      <c r="I95" s="135" t="e">
        <f t="shared" si="6"/>
        <v>#N/A</v>
      </c>
      <c r="J95" s="352" t="e">
        <f>IF(C95&lt;&gt;"",ROUND(VLOOKUP("S"&amp;C95,'EXP. ESP.'!$A$20:$V$6999,16,0)/$K$14,3),"")</f>
        <v>#N/A</v>
      </c>
      <c r="K95" s="135" t="e">
        <f t="shared" si="7"/>
        <v>#N/A</v>
      </c>
      <c r="L95" s="135" t="e">
        <f>IF(C95&lt;&gt;"",VLOOKUP(C95,HAB.GEN.!$C$19:$K$218,9,FALSE),"")</f>
        <v>#N/A</v>
      </c>
      <c r="M95" s="514" t="e">
        <f t="shared" si="8"/>
        <v>#N/A</v>
      </c>
      <c r="N95" s="351" t="str">
        <f t="shared" si="9"/>
        <v>HÁBIL</v>
      </c>
      <c r="P95" s="427"/>
    </row>
    <row r="96" spans="2:16" ht="13.5" hidden="1">
      <c r="B96" s="231">
        <v>70</v>
      </c>
      <c r="C96" s="129" t="e">
        <f>IF(VLOOKUP(B96,PROPONENTES!$B$19:$E$219,2,0)="","",VLOOKUP(B96,PROPONENTES!$B$19:$E$219,2,0))</f>
        <v>#N/A</v>
      </c>
      <c r="D96" s="130" t="e">
        <f>IF(VLOOKUP(B96,PROPONENTES!$B$19:$E$218,3,0)="","",VLOOKUP(B96,PROPONENTES!$B$19:$E$218,3,0))</f>
        <v>#N/A</v>
      </c>
      <c r="E96" s="130" t="e">
        <f>IF(VLOOKUP(B96,PROPONENTES!$B$19:$E$218,4,0)="","",IF(VLOOKUP(B96,PROPONENTES!$B$19:$E$218,4,0)&gt;1,"SI","NO"))</f>
        <v>#N/A</v>
      </c>
      <c r="F96" s="135" t="e">
        <f>IF(C96&lt;&gt;"",IF(E96="SI",VLOOKUP("T"&amp;C96,'EXP. ESP.'!$A$20:$V$6999,11,0),"NO APLICA"),"")</f>
        <v>#N/A</v>
      </c>
      <c r="G96" s="245" t="e">
        <f>IF(C96&lt;&gt;"",VLOOKUP("M"&amp;C96,'EXP. ESP.'!$A$20:$V$6999,17,0),"")</f>
        <v>#N/A</v>
      </c>
      <c r="H96" s="342" t="e">
        <f>IF(C96&lt;&gt;"",VLOOKUP("P"&amp;C96,'EXP. ESP.'!$A$20:$V$6999,16,0),"")</f>
        <v>#N/A</v>
      </c>
      <c r="I96" s="135" t="e">
        <f t="shared" si="6"/>
        <v>#N/A</v>
      </c>
      <c r="J96" s="352" t="e">
        <f>IF(C96&lt;&gt;"",ROUND(VLOOKUP("S"&amp;C96,'EXP. ESP.'!$A$20:$V$6999,16,0)/$K$14,3),"")</f>
        <v>#N/A</v>
      </c>
      <c r="K96" s="135" t="e">
        <f t="shared" si="7"/>
        <v>#N/A</v>
      </c>
      <c r="L96" s="135" t="e">
        <f>IF(C96&lt;&gt;"",VLOOKUP(C96,HAB.GEN.!$C$19:$K$218,9,FALSE),"")</f>
        <v>#N/A</v>
      </c>
      <c r="M96" s="514" t="e">
        <f t="shared" si="8"/>
        <v>#N/A</v>
      </c>
      <c r="N96" s="351" t="str">
        <f t="shared" si="9"/>
        <v>HÁBIL</v>
      </c>
      <c r="P96" s="427"/>
    </row>
    <row r="97" spans="2:16" ht="13.5" hidden="1">
      <c r="B97" s="231">
        <v>71</v>
      </c>
      <c r="C97" s="129" t="e">
        <f>IF(VLOOKUP(B97,PROPONENTES!$B$19:$E$219,2,0)="","",VLOOKUP(B97,PROPONENTES!$B$19:$E$219,2,0))</f>
        <v>#N/A</v>
      </c>
      <c r="D97" s="130" t="e">
        <f>IF(VLOOKUP(B97,PROPONENTES!$B$19:$E$218,3,0)="","",VLOOKUP(B97,PROPONENTES!$B$19:$E$218,3,0))</f>
        <v>#N/A</v>
      </c>
      <c r="E97" s="130" t="e">
        <f>IF(VLOOKUP(B97,PROPONENTES!$B$19:$E$218,4,0)="","",IF(VLOOKUP(B97,PROPONENTES!$B$19:$E$218,4,0)&gt;1,"SI","NO"))</f>
        <v>#N/A</v>
      </c>
      <c r="F97" s="135" t="e">
        <f>IF(C97&lt;&gt;"",IF(E97="SI",VLOOKUP("T"&amp;C97,'EXP. ESP.'!$A$20:$V$6999,11,0),"NO APLICA"),"")</f>
        <v>#N/A</v>
      </c>
      <c r="G97" s="245" t="e">
        <f>IF(C97&lt;&gt;"",VLOOKUP("M"&amp;C97,'EXP. ESP.'!$A$20:$V$6999,17,0),"")</f>
        <v>#N/A</v>
      </c>
      <c r="H97" s="342" t="e">
        <f>IF(C97&lt;&gt;"",VLOOKUP("P"&amp;C97,'EXP. ESP.'!$A$20:$V$6999,16,0),"")</f>
        <v>#N/A</v>
      </c>
      <c r="I97" s="135" t="e">
        <f t="shared" si="6"/>
        <v>#N/A</v>
      </c>
      <c r="J97" s="352" t="e">
        <f>IF(C97&lt;&gt;"",ROUND(VLOOKUP("S"&amp;C97,'EXP. ESP.'!$A$20:$V$6999,16,0)/$K$14,3),"")</f>
        <v>#N/A</v>
      </c>
      <c r="K97" s="135" t="e">
        <f t="shared" si="7"/>
        <v>#N/A</v>
      </c>
      <c r="L97" s="135" t="e">
        <f>IF(C97&lt;&gt;"",VLOOKUP(C97,HAB.GEN.!$C$19:$K$218,9,FALSE),"")</f>
        <v>#N/A</v>
      </c>
      <c r="M97" s="514" t="e">
        <f t="shared" si="8"/>
        <v>#N/A</v>
      </c>
      <c r="N97" s="351" t="str">
        <f t="shared" si="9"/>
        <v>HÁBIL</v>
      </c>
      <c r="P97" s="427"/>
    </row>
    <row r="98" spans="2:16" ht="13.5" hidden="1">
      <c r="B98" s="231">
        <v>72</v>
      </c>
      <c r="C98" s="129" t="e">
        <f>IF(VLOOKUP(B98,PROPONENTES!$B$19:$E$219,2,0)="","",VLOOKUP(B98,PROPONENTES!$B$19:$E$219,2,0))</f>
        <v>#N/A</v>
      </c>
      <c r="D98" s="130" t="e">
        <f>IF(VLOOKUP(B98,PROPONENTES!$B$19:$E$218,3,0)="","",VLOOKUP(B98,PROPONENTES!$B$19:$E$218,3,0))</f>
        <v>#N/A</v>
      </c>
      <c r="E98" s="130" t="e">
        <f>IF(VLOOKUP(B98,PROPONENTES!$B$19:$E$218,4,0)="","",IF(VLOOKUP(B98,PROPONENTES!$B$19:$E$218,4,0)&gt;1,"SI","NO"))</f>
        <v>#N/A</v>
      </c>
      <c r="F98" s="135" t="e">
        <f>IF(C98&lt;&gt;"",IF(E98="SI",VLOOKUP("T"&amp;C98,'EXP. ESP.'!$A$20:$V$6999,11,0),"NO APLICA"),"")</f>
        <v>#N/A</v>
      </c>
      <c r="G98" s="245" t="e">
        <f>IF(C98&lt;&gt;"",VLOOKUP("M"&amp;C98,'EXP. ESP.'!$A$20:$V$6999,17,0),"")</f>
        <v>#N/A</v>
      </c>
      <c r="H98" s="342" t="e">
        <f>IF(C98&lt;&gt;"",VLOOKUP("P"&amp;C98,'EXP. ESP.'!$A$20:$V$6999,16,0),"")</f>
        <v>#N/A</v>
      </c>
      <c r="I98" s="135" t="e">
        <f t="shared" si="6"/>
        <v>#N/A</v>
      </c>
      <c r="J98" s="352" t="e">
        <f>IF(C98&lt;&gt;"",ROUND(VLOOKUP("S"&amp;C98,'EXP. ESP.'!$A$20:$V$6999,16,0)/$K$14,3),"")</f>
        <v>#N/A</v>
      </c>
      <c r="K98" s="135" t="e">
        <f t="shared" si="7"/>
        <v>#N/A</v>
      </c>
      <c r="L98" s="135" t="e">
        <f>IF(C98&lt;&gt;"",VLOOKUP(C98,HAB.GEN.!$C$19:$K$218,9,FALSE),"")</f>
        <v>#N/A</v>
      </c>
      <c r="M98" s="514" t="e">
        <f t="shared" si="8"/>
        <v>#N/A</v>
      </c>
      <c r="N98" s="351" t="str">
        <f t="shared" si="9"/>
        <v>HÁBIL</v>
      </c>
      <c r="P98" s="427"/>
    </row>
    <row r="99" spans="2:16" ht="13.5" hidden="1">
      <c r="B99" s="230">
        <v>73</v>
      </c>
      <c r="C99" s="129" t="e">
        <f>IF(VLOOKUP(B99,PROPONENTES!$B$19:$E$219,2,0)="","",VLOOKUP(B99,PROPONENTES!$B$19:$E$219,2,0))</f>
        <v>#N/A</v>
      </c>
      <c r="D99" s="130" t="e">
        <f>IF(VLOOKUP(B99,PROPONENTES!$B$19:$E$218,3,0)="","",VLOOKUP(B99,PROPONENTES!$B$19:$E$218,3,0))</f>
        <v>#N/A</v>
      </c>
      <c r="E99" s="130" t="e">
        <f>IF(VLOOKUP(B99,PROPONENTES!$B$19:$E$218,4,0)="","",IF(VLOOKUP(B99,PROPONENTES!$B$19:$E$218,4,0)&gt;1,"SI","NO"))</f>
        <v>#N/A</v>
      </c>
      <c r="F99" s="135" t="e">
        <f>IF(C99&lt;&gt;"",IF(E99="SI",VLOOKUP("T"&amp;C99,'EXP. ESP.'!$A$20:$V$6999,11,0),"NO APLICA"),"")</f>
        <v>#N/A</v>
      </c>
      <c r="G99" s="245" t="e">
        <f>IF(C99&lt;&gt;"",VLOOKUP("M"&amp;C99,'EXP. ESP.'!$A$20:$V$6999,17,0),"")</f>
        <v>#N/A</v>
      </c>
      <c r="H99" s="342" t="e">
        <f>IF(C99&lt;&gt;"",VLOOKUP("P"&amp;C99,'EXP. ESP.'!$A$20:$V$6999,16,0),"")</f>
        <v>#N/A</v>
      </c>
      <c r="I99" s="135" t="e">
        <f t="shared" si="6"/>
        <v>#N/A</v>
      </c>
      <c r="J99" s="352" t="e">
        <f>IF(C99&lt;&gt;"",ROUND(VLOOKUP("S"&amp;C99,'EXP. ESP.'!$A$20:$V$6999,16,0)/$K$14,3),"")</f>
        <v>#N/A</v>
      </c>
      <c r="K99" s="135" t="e">
        <f t="shared" si="7"/>
        <v>#N/A</v>
      </c>
      <c r="L99" s="135" t="e">
        <f>IF(C99&lt;&gt;"",VLOOKUP(C99,HAB.GEN.!$C$19:$K$218,9,FALSE),"")</f>
        <v>#N/A</v>
      </c>
      <c r="M99" s="514" t="e">
        <f t="shared" si="8"/>
        <v>#N/A</v>
      </c>
      <c r="N99" s="351" t="str">
        <f t="shared" si="9"/>
        <v>HÁBIL</v>
      </c>
      <c r="P99" s="427"/>
    </row>
    <row r="100" spans="2:16" ht="13.5" hidden="1">
      <c r="B100" s="231">
        <v>74</v>
      </c>
      <c r="C100" s="129" t="e">
        <f>IF(VLOOKUP(B100,PROPONENTES!$B$19:$E$219,2,0)="","",VLOOKUP(B100,PROPONENTES!$B$19:$E$219,2,0))</f>
        <v>#N/A</v>
      </c>
      <c r="D100" s="130" t="e">
        <f>IF(VLOOKUP(B100,PROPONENTES!$B$19:$E$218,3,0)="","",VLOOKUP(B100,PROPONENTES!$B$19:$E$218,3,0))</f>
        <v>#N/A</v>
      </c>
      <c r="E100" s="130" t="e">
        <f>IF(VLOOKUP(B100,PROPONENTES!$B$19:$E$218,4,0)="","",IF(VLOOKUP(B100,PROPONENTES!$B$19:$E$218,4,0)&gt;1,"SI","NO"))</f>
        <v>#N/A</v>
      </c>
      <c r="F100" s="135" t="e">
        <f>IF(C100&lt;&gt;"",IF(E100="SI",VLOOKUP("T"&amp;C100,'EXP. ESP.'!$A$20:$V$6999,11,0),"NO APLICA"),"")</f>
        <v>#N/A</v>
      </c>
      <c r="G100" s="245" t="e">
        <f>IF(C100&lt;&gt;"",VLOOKUP("M"&amp;C100,'EXP. ESP.'!$A$20:$V$6999,17,0),"")</f>
        <v>#N/A</v>
      </c>
      <c r="H100" s="342" t="e">
        <f>IF(C100&lt;&gt;"",VLOOKUP("P"&amp;C100,'EXP. ESP.'!$A$20:$V$6999,16,0),"")</f>
        <v>#N/A</v>
      </c>
      <c r="I100" s="135" t="e">
        <f t="shared" si="6"/>
        <v>#N/A</v>
      </c>
      <c r="J100" s="352" t="e">
        <f>IF(C100&lt;&gt;"",ROUND(VLOOKUP("S"&amp;C100,'EXP. ESP.'!$A$20:$V$6999,16,0)/$K$14,3),"")</f>
        <v>#N/A</v>
      </c>
      <c r="K100" s="135" t="e">
        <f t="shared" si="7"/>
        <v>#N/A</v>
      </c>
      <c r="L100" s="135" t="e">
        <f>IF(C100&lt;&gt;"",VLOOKUP(C100,HAB.GEN.!$C$19:$K$218,9,FALSE),"")</f>
        <v>#N/A</v>
      </c>
      <c r="M100" s="514" t="e">
        <f t="shared" si="8"/>
        <v>#N/A</v>
      </c>
      <c r="N100" s="351" t="str">
        <f t="shared" si="9"/>
        <v>HÁBIL</v>
      </c>
      <c r="P100" s="427"/>
    </row>
    <row r="101" spans="2:16" ht="13.5" hidden="1">
      <c r="B101" s="231">
        <v>75</v>
      </c>
      <c r="C101" s="129" t="e">
        <f>IF(VLOOKUP(B101,PROPONENTES!$B$19:$E$219,2,0)="","",VLOOKUP(B101,PROPONENTES!$B$19:$E$219,2,0))</f>
        <v>#N/A</v>
      </c>
      <c r="D101" s="130" t="e">
        <f>IF(VLOOKUP(B101,PROPONENTES!$B$19:$E$218,3,0)="","",VLOOKUP(B101,PROPONENTES!$B$19:$E$218,3,0))</f>
        <v>#N/A</v>
      </c>
      <c r="E101" s="130" t="e">
        <f>IF(VLOOKUP(B101,PROPONENTES!$B$19:$E$218,4,0)="","",IF(VLOOKUP(B101,PROPONENTES!$B$19:$E$218,4,0)&gt;1,"SI","NO"))</f>
        <v>#N/A</v>
      </c>
      <c r="F101" s="135" t="e">
        <f>IF(C101&lt;&gt;"",IF(E101="SI",VLOOKUP("T"&amp;C101,'EXP. ESP.'!$A$20:$V$6999,11,0),"NO APLICA"),"")</f>
        <v>#N/A</v>
      </c>
      <c r="G101" s="245" t="e">
        <f>IF(C101&lt;&gt;"",VLOOKUP("M"&amp;C101,'EXP. ESP.'!$A$20:$V$6999,17,0),"")</f>
        <v>#N/A</v>
      </c>
      <c r="H101" s="342" t="e">
        <f>IF(C101&lt;&gt;"",VLOOKUP("P"&amp;C101,'EXP. ESP.'!$A$20:$V$6999,16,0),"")</f>
        <v>#N/A</v>
      </c>
      <c r="I101" s="135" t="e">
        <f t="shared" si="6"/>
        <v>#N/A</v>
      </c>
      <c r="J101" s="352" t="e">
        <f>IF(C101&lt;&gt;"",ROUND(VLOOKUP("S"&amp;C101,'EXP. ESP.'!$A$20:$V$6999,16,0)/$K$14,3),"")</f>
        <v>#N/A</v>
      </c>
      <c r="K101" s="135" t="e">
        <f t="shared" si="7"/>
        <v>#N/A</v>
      </c>
      <c r="L101" s="135" t="e">
        <f>IF(C101&lt;&gt;"",VLOOKUP(C101,HAB.GEN.!$C$19:$K$218,9,FALSE),"")</f>
        <v>#N/A</v>
      </c>
      <c r="M101" s="514" t="e">
        <f t="shared" si="8"/>
        <v>#N/A</v>
      </c>
      <c r="N101" s="351" t="str">
        <f t="shared" si="9"/>
        <v>HÁBIL</v>
      </c>
      <c r="P101" s="427"/>
    </row>
    <row r="102" spans="2:16" ht="13.5" hidden="1">
      <c r="B102" s="231">
        <v>76</v>
      </c>
      <c r="C102" s="129" t="e">
        <f>IF(VLOOKUP(B102,PROPONENTES!$B$19:$E$219,2,0)="","",VLOOKUP(B102,PROPONENTES!$B$19:$E$219,2,0))</f>
        <v>#N/A</v>
      </c>
      <c r="D102" s="130" t="e">
        <f>IF(VLOOKUP(B102,PROPONENTES!$B$19:$E$218,3,0)="","",VLOOKUP(B102,PROPONENTES!$B$19:$E$218,3,0))</f>
        <v>#N/A</v>
      </c>
      <c r="E102" s="130" t="e">
        <f>IF(VLOOKUP(B102,PROPONENTES!$B$19:$E$218,4,0)="","",IF(VLOOKUP(B102,PROPONENTES!$B$19:$E$218,4,0)&gt;1,"SI","NO"))</f>
        <v>#N/A</v>
      </c>
      <c r="F102" s="135" t="e">
        <f>IF(C102&lt;&gt;"",IF(E102="SI",VLOOKUP("T"&amp;C102,'EXP. ESP.'!$A$20:$V$6999,11,0),"NO APLICA"),"")</f>
        <v>#N/A</v>
      </c>
      <c r="G102" s="245" t="e">
        <f>IF(C102&lt;&gt;"",VLOOKUP("M"&amp;C102,'EXP. ESP.'!$A$20:$V$6999,17,0),"")</f>
        <v>#N/A</v>
      </c>
      <c r="H102" s="342" t="e">
        <f>IF(C102&lt;&gt;"",VLOOKUP("P"&amp;C102,'EXP. ESP.'!$A$20:$V$6999,16,0),"")</f>
        <v>#N/A</v>
      </c>
      <c r="I102" s="135" t="e">
        <f t="shared" si="6"/>
        <v>#N/A</v>
      </c>
      <c r="J102" s="352" t="e">
        <f>IF(C102&lt;&gt;"",ROUND(VLOOKUP("S"&amp;C102,'EXP. ESP.'!$A$20:$V$6999,16,0)/$K$14,3),"")</f>
        <v>#N/A</v>
      </c>
      <c r="K102" s="135" t="e">
        <f t="shared" si="7"/>
        <v>#N/A</v>
      </c>
      <c r="L102" s="135" t="e">
        <f>IF(C102&lt;&gt;"",VLOOKUP(C102,HAB.GEN.!$C$19:$K$218,9,FALSE),"")</f>
        <v>#N/A</v>
      </c>
      <c r="M102" s="514" t="e">
        <f t="shared" si="8"/>
        <v>#N/A</v>
      </c>
      <c r="N102" s="351" t="str">
        <f t="shared" si="9"/>
        <v>HÁBIL</v>
      </c>
      <c r="P102" s="427"/>
    </row>
    <row r="103" spans="2:16" ht="13.5" hidden="1">
      <c r="B103" s="230">
        <v>77</v>
      </c>
      <c r="C103" s="129" t="e">
        <f>IF(VLOOKUP(B103,PROPONENTES!$B$19:$E$219,2,0)="","",VLOOKUP(B103,PROPONENTES!$B$19:$E$219,2,0))</f>
        <v>#N/A</v>
      </c>
      <c r="D103" s="130" t="e">
        <f>IF(VLOOKUP(B103,PROPONENTES!$B$19:$E$218,3,0)="","",VLOOKUP(B103,PROPONENTES!$B$19:$E$218,3,0))</f>
        <v>#N/A</v>
      </c>
      <c r="E103" s="130" t="e">
        <f>IF(VLOOKUP(B103,PROPONENTES!$B$19:$E$218,4,0)="","",IF(VLOOKUP(B103,PROPONENTES!$B$19:$E$218,4,0)&gt;1,"SI","NO"))</f>
        <v>#N/A</v>
      </c>
      <c r="F103" s="135" t="e">
        <f>IF(C103&lt;&gt;"",IF(E103="SI",VLOOKUP("T"&amp;C103,'EXP. ESP.'!$A$20:$V$6999,11,0),"NO APLICA"),"")</f>
        <v>#N/A</v>
      </c>
      <c r="G103" s="245" t="e">
        <f>IF(C103&lt;&gt;"",VLOOKUP("M"&amp;C103,'EXP. ESP.'!$A$20:$V$6999,17,0),"")</f>
        <v>#N/A</v>
      </c>
      <c r="H103" s="342" t="e">
        <f>IF(C103&lt;&gt;"",VLOOKUP("P"&amp;C103,'EXP. ESP.'!$A$20:$V$6999,16,0),"")</f>
        <v>#N/A</v>
      </c>
      <c r="I103" s="135" t="e">
        <f t="shared" si="6"/>
        <v>#N/A</v>
      </c>
      <c r="J103" s="352" t="e">
        <f>IF(C103&lt;&gt;"",ROUND(VLOOKUP("S"&amp;C103,'EXP. ESP.'!$A$20:$V$6999,16,0)/$K$14,3),"")</f>
        <v>#N/A</v>
      </c>
      <c r="K103" s="135" t="e">
        <f t="shared" si="7"/>
        <v>#N/A</v>
      </c>
      <c r="L103" s="135" t="e">
        <f>IF(C103&lt;&gt;"",VLOOKUP(C103,HAB.GEN.!$C$19:$K$218,9,FALSE),"")</f>
        <v>#N/A</v>
      </c>
      <c r="M103" s="514" t="e">
        <f t="shared" si="8"/>
        <v>#N/A</v>
      </c>
      <c r="N103" s="351" t="str">
        <f t="shared" si="9"/>
        <v>HÁBIL</v>
      </c>
      <c r="P103" s="427"/>
    </row>
    <row r="104" spans="2:16" ht="13.5" hidden="1">
      <c r="B104" s="231">
        <v>78</v>
      </c>
      <c r="C104" s="129" t="e">
        <f>IF(VLOOKUP(B104,PROPONENTES!$B$19:$E$219,2,0)="","",VLOOKUP(B104,PROPONENTES!$B$19:$E$219,2,0))</f>
        <v>#N/A</v>
      </c>
      <c r="D104" s="130" t="e">
        <f>IF(VLOOKUP(B104,PROPONENTES!$B$19:$E$218,3,0)="","",VLOOKUP(B104,PROPONENTES!$B$19:$E$218,3,0))</f>
        <v>#N/A</v>
      </c>
      <c r="E104" s="130" t="e">
        <f>IF(VLOOKUP(B104,PROPONENTES!$B$19:$E$218,4,0)="","",IF(VLOOKUP(B104,PROPONENTES!$B$19:$E$218,4,0)&gt;1,"SI","NO"))</f>
        <v>#N/A</v>
      </c>
      <c r="F104" s="135" t="e">
        <f>IF(C104&lt;&gt;"",IF(E104="SI",VLOOKUP("T"&amp;C104,'EXP. ESP.'!$A$20:$V$6999,11,0),"NO APLICA"),"")</f>
        <v>#N/A</v>
      </c>
      <c r="G104" s="245" t="e">
        <f>IF(C104&lt;&gt;"",VLOOKUP("M"&amp;C104,'EXP. ESP.'!$A$20:$V$6999,17,0),"")</f>
        <v>#N/A</v>
      </c>
      <c r="H104" s="342" t="e">
        <f>IF(C104&lt;&gt;"",VLOOKUP("P"&amp;C104,'EXP. ESP.'!$A$20:$V$6999,16,0),"")</f>
        <v>#N/A</v>
      </c>
      <c r="I104" s="135" t="e">
        <f t="shared" si="6"/>
        <v>#N/A</v>
      </c>
      <c r="J104" s="352" t="e">
        <f>IF(C104&lt;&gt;"",ROUND(VLOOKUP("S"&amp;C104,'EXP. ESP.'!$A$20:$V$6999,16,0)/$K$14,3),"")</f>
        <v>#N/A</v>
      </c>
      <c r="K104" s="135" t="e">
        <f t="shared" si="7"/>
        <v>#N/A</v>
      </c>
      <c r="L104" s="135" t="e">
        <f>IF(C104&lt;&gt;"",VLOOKUP(C104,HAB.GEN.!$C$19:$K$218,9,FALSE),"")</f>
        <v>#N/A</v>
      </c>
      <c r="M104" s="514" t="e">
        <f t="shared" si="8"/>
        <v>#N/A</v>
      </c>
      <c r="N104" s="351" t="str">
        <f t="shared" si="9"/>
        <v>HÁBIL</v>
      </c>
      <c r="P104" s="427"/>
    </row>
    <row r="105" spans="2:16" ht="13.5" hidden="1">
      <c r="B105" s="231">
        <v>79</v>
      </c>
      <c r="C105" s="129" t="e">
        <f>IF(VLOOKUP(B105,PROPONENTES!$B$19:$E$219,2,0)="","",VLOOKUP(B105,PROPONENTES!$B$19:$E$219,2,0))</f>
        <v>#N/A</v>
      </c>
      <c r="D105" s="130" t="e">
        <f>IF(VLOOKUP(B105,PROPONENTES!$B$19:$E$218,3,0)="","",VLOOKUP(B105,PROPONENTES!$B$19:$E$218,3,0))</f>
        <v>#N/A</v>
      </c>
      <c r="E105" s="130" t="e">
        <f>IF(VLOOKUP(B105,PROPONENTES!$B$19:$E$218,4,0)="","",IF(VLOOKUP(B105,PROPONENTES!$B$19:$E$218,4,0)&gt;1,"SI","NO"))</f>
        <v>#N/A</v>
      </c>
      <c r="F105" s="135" t="e">
        <f>IF(C105&lt;&gt;"",IF(E105="SI",VLOOKUP("T"&amp;C105,'EXP. ESP.'!$A$20:$V$6999,11,0),"NO APLICA"),"")</f>
        <v>#N/A</v>
      </c>
      <c r="G105" s="245" t="e">
        <f>IF(C105&lt;&gt;"",VLOOKUP("M"&amp;C105,'EXP. ESP.'!$A$20:$V$6999,17,0),"")</f>
        <v>#N/A</v>
      </c>
      <c r="H105" s="342" t="e">
        <f>IF(C105&lt;&gt;"",VLOOKUP("P"&amp;C105,'EXP. ESP.'!$A$20:$V$6999,16,0),"")</f>
        <v>#N/A</v>
      </c>
      <c r="I105" s="135" t="e">
        <f t="shared" si="6"/>
        <v>#N/A</v>
      </c>
      <c r="J105" s="352" t="e">
        <f>IF(C105&lt;&gt;"",ROUND(VLOOKUP("S"&amp;C105,'EXP. ESP.'!$A$20:$V$6999,16,0)/$K$14,3),"")</f>
        <v>#N/A</v>
      </c>
      <c r="K105" s="135" t="e">
        <f t="shared" si="7"/>
        <v>#N/A</v>
      </c>
      <c r="L105" s="135" t="e">
        <f>IF(C105&lt;&gt;"",VLOOKUP(C105,HAB.GEN.!$C$19:$K$218,9,FALSE),"")</f>
        <v>#N/A</v>
      </c>
      <c r="M105" s="514" t="e">
        <f t="shared" si="8"/>
        <v>#N/A</v>
      </c>
      <c r="N105" s="351" t="str">
        <f t="shared" si="9"/>
        <v>HÁBIL</v>
      </c>
      <c r="P105" s="427"/>
    </row>
    <row r="106" spans="2:16" ht="13.5" hidden="1">
      <c r="B106" s="231">
        <v>80</v>
      </c>
      <c r="C106" s="129" t="e">
        <f>IF(VLOOKUP(B106,PROPONENTES!$B$19:$E$219,2,0)="","",VLOOKUP(B106,PROPONENTES!$B$19:$E$219,2,0))</f>
        <v>#N/A</v>
      </c>
      <c r="D106" s="130" t="e">
        <f>IF(VLOOKUP(B106,PROPONENTES!$B$19:$E$218,3,0)="","",VLOOKUP(B106,PROPONENTES!$B$19:$E$218,3,0))</f>
        <v>#N/A</v>
      </c>
      <c r="E106" s="130" t="e">
        <f>IF(VLOOKUP(B106,PROPONENTES!$B$19:$E$218,4,0)="","",IF(VLOOKUP(B106,PROPONENTES!$B$19:$E$218,4,0)&gt;1,"SI","NO"))</f>
        <v>#N/A</v>
      </c>
      <c r="F106" s="135" t="e">
        <f>IF(C106&lt;&gt;"",IF(E106="SI",VLOOKUP("T"&amp;C106,'EXP. ESP.'!$A$20:$V$6999,11,0),"NO APLICA"),"")</f>
        <v>#N/A</v>
      </c>
      <c r="G106" s="245" t="e">
        <f>IF(C106&lt;&gt;"",VLOOKUP("M"&amp;C106,'EXP. ESP.'!$A$20:$V$6999,17,0),"")</f>
        <v>#N/A</v>
      </c>
      <c r="H106" s="342" t="e">
        <f>IF(C106&lt;&gt;"",VLOOKUP("P"&amp;C106,'EXP. ESP.'!$A$20:$V$6999,16,0),"")</f>
        <v>#N/A</v>
      </c>
      <c r="I106" s="135" t="e">
        <f t="shared" si="6"/>
        <v>#N/A</v>
      </c>
      <c r="J106" s="352" t="e">
        <f>IF(C106&lt;&gt;"",ROUND(VLOOKUP("S"&amp;C106,'EXP. ESP.'!$A$20:$V$6999,16,0)/$K$14,3),"")</f>
        <v>#N/A</v>
      </c>
      <c r="K106" s="135" t="e">
        <f t="shared" si="7"/>
        <v>#N/A</v>
      </c>
      <c r="L106" s="135" t="e">
        <f>IF(C106&lt;&gt;"",VLOOKUP(C106,HAB.GEN.!$C$19:$K$218,9,FALSE),"")</f>
        <v>#N/A</v>
      </c>
      <c r="M106" s="514" t="e">
        <f t="shared" si="8"/>
        <v>#N/A</v>
      </c>
      <c r="N106" s="351" t="str">
        <f t="shared" si="9"/>
        <v>HÁBIL</v>
      </c>
      <c r="P106" s="427"/>
    </row>
    <row r="107" spans="2:16" ht="13.5" hidden="1">
      <c r="B107" s="230">
        <v>81</v>
      </c>
      <c r="C107" s="129" t="e">
        <f>IF(VLOOKUP(B107,PROPONENTES!$B$19:$E$219,2,0)="","",VLOOKUP(B107,PROPONENTES!$B$19:$E$219,2,0))</f>
        <v>#N/A</v>
      </c>
      <c r="D107" s="130" t="e">
        <f>IF(VLOOKUP(B107,PROPONENTES!$B$19:$E$218,3,0)="","",VLOOKUP(B107,PROPONENTES!$B$19:$E$218,3,0))</f>
        <v>#N/A</v>
      </c>
      <c r="E107" s="130" t="e">
        <f>IF(VLOOKUP(B107,PROPONENTES!$B$19:$E$218,4,0)="","",IF(VLOOKUP(B107,PROPONENTES!$B$19:$E$218,4,0)&gt;1,"SI","NO"))</f>
        <v>#N/A</v>
      </c>
      <c r="F107" s="135" t="e">
        <f>IF(C107&lt;&gt;"",IF(E107="SI",VLOOKUP("T"&amp;C107,'EXP. ESP.'!$A$20:$V$6999,11,0),"NO APLICA"),"")</f>
        <v>#N/A</v>
      </c>
      <c r="G107" s="245" t="e">
        <f>IF(C107&lt;&gt;"",VLOOKUP("M"&amp;C107,'EXP. ESP.'!$A$20:$V$6999,17,0),"")</f>
        <v>#N/A</v>
      </c>
      <c r="H107" s="342" t="e">
        <f>IF(C107&lt;&gt;"",VLOOKUP("P"&amp;C107,'EXP. ESP.'!$A$20:$V$6999,16,0),"")</f>
        <v>#N/A</v>
      </c>
      <c r="I107" s="135" t="e">
        <f t="shared" si="6"/>
        <v>#N/A</v>
      </c>
      <c r="J107" s="352" t="e">
        <f>IF(C107&lt;&gt;"",ROUND(VLOOKUP("S"&amp;C107,'EXP. ESP.'!$A$20:$V$6999,16,0)/$K$14,3),"")</f>
        <v>#N/A</v>
      </c>
      <c r="K107" s="135" t="e">
        <f t="shared" si="7"/>
        <v>#N/A</v>
      </c>
      <c r="L107" s="135" t="e">
        <f>IF(C107&lt;&gt;"",VLOOKUP(C107,HAB.GEN.!$C$19:$K$218,9,FALSE),"")</f>
        <v>#N/A</v>
      </c>
      <c r="M107" s="514" t="e">
        <f t="shared" si="8"/>
        <v>#N/A</v>
      </c>
      <c r="N107" s="351" t="str">
        <f t="shared" si="9"/>
        <v>HÁBIL</v>
      </c>
      <c r="P107" s="427"/>
    </row>
    <row r="108" spans="2:16" ht="13.5" hidden="1">
      <c r="B108" s="231">
        <v>82</v>
      </c>
      <c r="C108" s="129" t="e">
        <f>IF(VLOOKUP(B108,PROPONENTES!$B$19:$E$219,2,0)="","",VLOOKUP(B108,PROPONENTES!$B$19:$E$219,2,0))</f>
        <v>#N/A</v>
      </c>
      <c r="D108" s="130" t="e">
        <f>IF(VLOOKUP(B108,PROPONENTES!$B$19:$E$218,3,0)="","",VLOOKUP(B108,PROPONENTES!$B$19:$E$218,3,0))</f>
        <v>#N/A</v>
      </c>
      <c r="E108" s="130" t="e">
        <f>IF(VLOOKUP(B108,PROPONENTES!$B$19:$E$218,4,0)="","",IF(VLOOKUP(B108,PROPONENTES!$B$19:$E$218,4,0)&gt;1,"SI","NO"))</f>
        <v>#N/A</v>
      </c>
      <c r="F108" s="135" t="e">
        <f>IF(C108&lt;&gt;"",IF(E108="SI",VLOOKUP("T"&amp;C108,'EXP. ESP.'!$A$20:$V$6999,11,0),"NO APLICA"),"")</f>
        <v>#N/A</v>
      </c>
      <c r="G108" s="245" t="e">
        <f>IF(C108&lt;&gt;"",VLOOKUP("M"&amp;C108,'EXP. ESP.'!$A$20:$V$6999,17,0),"")</f>
        <v>#N/A</v>
      </c>
      <c r="H108" s="342" t="e">
        <f>IF(C108&lt;&gt;"",VLOOKUP("P"&amp;C108,'EXP. ESP.'!$A$20:$V$6999,16,0),"")</f>
        <v>#N/A</v>
      </c>
      <c r="I108" s="135" t="e">
        <f t="shared" si="6"/>
        <v>#N/A</v>
      </c>
      <c r="J108" s="352" t="e">
        <f>IF(C108&lt;&gt;"",ROUND(VLOOKUP("S"&amp;C108,'EXP. ESP.'!$A$20:$V$6999,16,0)/$K$14,3),"")</f>
        <v>#N/A</v>
      </c>
      <c r="K108" s="135" t="e">
        <f t="shared" si="7"/>
        <v>#N/A</v>
      </c>
      <c r="L108" s="135" t="e">
        <f>IF(C108&lt;&gt;"",VLOOKUP(C108,HAB.GEN.!$C$19:$K$218,9,FALSE),"")</f>
        <v>#N/A</v>
      </c>
      <c r="M108" s="514" t="e">
        <f t="shared" si="8"/>
        <v>#N/A</v>
      </c>
      <c r="N108" s="351" t="str">
        <f t="shared" si="9"/>
        <v>HÁBIL</v>
      </c>
      <c r="P108" s="427"/>
    </row>
    <row r="109" spans="2:16" ht="13.5" hidden="1">
      <c r="B109" s="231">
        <v>83</v>
      </c>
      <c r="C109" s="129" t="e">
        <f>IF(VLOOKUP(B109,PROPONENTES!$B$19:$E$219,2,0)="","",VLOOKUP(B109,PROPONENTES!$B$19:$E$219,2,0))</f>
        <v>#N/A</v>
      </c>
      <c r="D109" s="130" t="e">
        <f>IF(VLOOKUP(B109,PROPONENTES!$B$19:$E$218,3,0)="","",VLOOKUP(B109,PROPONENTES!$B$19:$E$218,3,0))</f>
        <v>#N/A</v>
      </c>
      <c r="E109" s="130" t="e">
        <f>IF(VLOOKUP(B109,PROPONENTES!$B$19:$E$218,4,0)="","",IF(VLOOKUP(B109,PROPONENTES!$B$19:$E$218,4,0)&gt;1,"SI","NO"))</f>
        <v>#N/A</v>
      </c>
      <c r="F109" s="135" t="e">
        <f>IF(C109&lt;&gt;"",IF(E109="SI",VLOOKUP("T"&amp;C109,'EXP. ESP.'!$A$20:$V$6999,11,0),"NO APLICA"),"")</f>
        <v>#N/A</v>
      </c>
      <c r="G109" s="245" t="e">
        <f>IF(C109&lt;&gt;"",VLOOKUP("M"&amp;C109,'EXP. ESP.'!$A$20:$V$6999,17,0),"")</f>
        <v>#N/A</v>
      </c>
      <c r="H109" s="342" t="e">
        <f>IF(C109&lt;&gt;"",VLOOKUP("P"&amp;C109,'EXP. ESP.'!$A$20:$V$6999,16,0),"")</f>
        <v>#N/A</v>
      </c>
      <c r="I109" s="135" t="e">
        <f t="shared" si="6"/>
        <v>#N/A</v>
      </c>
      <c r="J109" s="352" t="e">
        <f>IF(C109&lt;&gt;"",ROUND(VLOOKUP("S"&amp;C109,'EXP. ESP.'!$A$20:$V$6999,16,0)/$K$14,3),"")</f>
        <v>#N/A</v>
      </c>
      <c r="K109" s="135" t="e">
        <f t="shared" si="7"/>
        <v>#N/A</v>
      </c>
      <c r="L109" s="135" t="e">
        <f>IF(C109&lt;&gt;"",VLOOKUP(C109,HAB.GEN.!$C$19:$K$218,9,FALSE),"")</f>
        <v>#N/A</v>
      </c>
      <c r="M109" s="514" t="e">
        <f t="shared" si="8"/>
        <v>#N/A</v>
      </c>
      <c r="N109" s="351" t="str">
        <f t="shared" si="9"/>
        <v>HÁBIL</v>
      </c>
      <c r="P109" s="427"/>
    </row>
    <row r="110" spans="2:16" ht="13.5" hidden="1">
      <c r="B110" s="231">
        <v>84</v>
      </c>
      <c r="C110" s="129" t="e">
        <f>IF(VLOOKUP(B110,PROPONENTES!$B$19:$E$219,2,0)="","",VLOOKUP(B110,PROPONENTES!$B$19:$E$219,2,0))</f>
        <v>#N/A</v>
      </c>
      <c r="D110" s="130" t="e">
        <f>IF(VLOOKUP(B110,PROPONENTES!$B$19:$E$218,3,0)="","",VLOOKUP(B110,PROPONENTES!$B$19:$E$218,3,0))</f>
        <v>#N/A</v>
      </c>
      <c r="E110" s="130" t="e">
        <f>IF(VLOOKUP(B110,PROPONENTES!$B$19:$E$218,4,0)="","",IF(VLOOKUP(B110,PROPONENTES!$B$19:$E$218,4,0)&gt;1,"SI","NO"))</f>
        <v>#N/A</v>
      </c>
      <c r="F110" s="135" t="e">
        <f>IF(C110&lt;&gt;"",IF(E110="SI",VLOOKUP("T"&amp;C110,'EXP. ESP.'!$A$20:$V$6999,11,0),"NO APLICA"),"")</f>
        <v>#N/A</v>
      </c>
      <c r="G110" s="245" t="e">
        <f>IF(C110&lt;&gt;"",VLOOKUP("M"&amp;C110,'EXP. ESP.'!$A$20:$V$6999,17,0),"")</f>
        <v>#N/A</v>
      </c>
      <c r="H110" s="342" t="e">
        <f>IF(C110&lt;&gt;"",VLOOKUP("P"&amp;C110,'EXP. ESP.'!$A$20:$V$6999,16,0),"")</f>
        <v>#N/A</v>
      </c>
      <c r="I110" s="135" t="e">
        <f t="shared" si="6"/>
        <v>#N/A</v>
      </c>
      <c r="J110" s="352" t="e">
        <f>IF(C110&lt;&gt;"",ROUND(VLOOKUP("S"&amp;C110,'EXP. ESP.'!$A$20:$V$6999,16,0)/$K$14,3),"")</f>
        <v>#N/A</v>
      </c>
      <c r="K110" s="135" t="e">
        <f t="shared" si="7"/>
        <v>#N/A</v>
      </c>
      <c r="L110" s="135" t="e">
        <f>IF(C110&lt;&gt;"",VLOOKUP(C110,HAB.GEN.!$C$19:$K$218,9,FALSE),"")</f>
        <v>#N/A</v>
      </c>
      <c r="M110" s="514" t="e">
        <f t="shared" si="8"/>
        <v>#N/A</v>
      </c>
      <c r="N110" s="351" t="str">
        <f t="shared" si="9"/>
        <v>HÁBIL</v>
      </c>
      <c r="P110" s="427"/>
    </row>
    <row r="111" spans="2:16" ht="13.5" hidden="1">
      <c r="B111" s="230">
        <v>85</v>
      </c>
      <c r="C111" s="129" t="e">
        <f>IF(VLOOKUP(B111,PROPONENTES!$B$19:$E$219,2,0)="","",VLOOKUP(B111,PROPONENTES!$B$19:$E$219,2,0))</f>
        <v>#N/A</v>
      </c>
      <c r="D111" s="130" t="e">
        <f>IF(VLOOKUP(B111,PROPONENTES!$B$19:$E$218,3,0)="","",VLOOKUP(B111,PROPONENTES!$B$19:$E$218,3,0))</f>
        <v>#N/A</v>
      </c>
      <c r="E111" s="130" t="e">
        <f>IF(VLOOKUP(B111,PROPONENTES!$B$19:$E$218,4,0)="","",IF(VLOOKUP(B111,PROPONENTES!$B$19:$E$218,4,0)&gt;1,"SI","NO"))</f>
        <v>#N/A</v>
      </c>
      <c r="F111" s="135" t="e">
        <f>IF(C111&lt;&gt;"",IF(E111="SI",VLOOKUP("T"&amp;C111,'EXP. ESP.'!$A$20:$V$6999,11,0),"NO APLICA"),"")</f>
        <v>#N/A</v>
      </c>
      <c r="G111" s="245" t="e">
        <f>IF(C111&lt;&gt;"",VLOOKUP("M"&amp;C111,'EXP. ESP.'!$A$20:$V$6999,17,0),"")</f>
        <v>#N/A</v>
      </c>
      <c r="H111" s="342" t="e">
        <f>IF(C111&lt;&gt;"",VLOOKUP("P"&amp;C111,'EXP. ESP.'!$A$20:$V$6999,16,0),"")</f>
        <v>#N/A</v>
      </c>
      <c r="I111" s="135" t="e">
        <f t="shared" si="6"/>
        <v>#N/A</v>
      </c>
      <c r="J111" s="352" t="e">
        <f>IF(C111&lt;&gt;"",ROUND(VLOOKUP("S"&amp;C111,'EXP. ESP.'!$A$20:$V$6999,16,0)/$K$14,3),"")</f>
        <v>#N/A</v>
      </c>
      <c r="K111" s="135" t="e">
        <f t="shared" si="7"/>
        <v>#N/A</v>
      </c>
      <c r="L111" s="135" t="e">
        <f>IF(C111&lt;&gt;"",VLOOKUP(C111,HAB.GEN.!$C$19:$K$218,9,FALSE),"")</f>
        <v>#N/A</v>
      </c>
      <c r="M111" s="514" t="e">
        <f t="shared" si="8"/>
        <v>#N/A</v>
      </c>
      <c r="N111" s="351" t="str">
        <f t="shared" si="9"/>
        <v>HÁBIL</v>
      </c>
      <c r="P111" s="427"/>
    </row>
    <row r="112" spans="2:16" ht="13.5" hidden="1">
      <c r="B112" s="231">
        <v>86</v>
      </c>
      <c r="C112" s="129" t="e">
        <f>IF(VLOOKUP(B112,PROPONENTES!$B$19:$E$219,2,0)="","",VLOOKUP(B112,PROPONENTES!$B$19:$E$219,2,0))</f>
        <v>#N/A</v>
      </c>
      <c r="D112" s="130" t="e">
        <f>IF(VLOOKUP(B112,PROPONENTES!$B$19:$E$218,3,0)="","",VLOOKUP(B112,PROPONENTES!$B$19:$E$218,3,0))</f>
        <v>#N/A</v>
      </c>
      <c r="E112" s="130" t="e">
        <f>IF(VLOOKUP(B112,PROPONENTES!$B$19:$E$218,4,0)="","",IF(VLOOKUP(B112,PROPONENTES!$B$19:$E$218,4,0)&gt;1,"SI","NO"))</f>
        <v>#N/A</v>
      </c>
      <c r="F112" s="135" t="e">
        <f>IF(C112&lt;&gt;"",IF(E112="SI",VLOOKUP("T"&amp;C112,'EXP. ESP.'!$A$20:$V$6999,11,0),"NO APLICA"),"")</f>
        <v>#N/A</v>
      </c>
      <c r="G112" s="245" t="e">
        <f>IF(C112&lt;&gt;"",VLOOKUP("M"&amp;C112,'EXP. ESP.'!$A$20:$V$6999,17,0),"")</f>
        <v>#N/A</v>
      </c>
      <c r="H112" s="342" t="e">
        <f>IF(C112&lt;&gt;"",VLOOKUP("P"&amp;C112,'EXP. ESP.'!$A$20:$V$6999,16,0),"")</f>
        <v>#N/A</v>
      </c>
      <c r="I112" s="135" t="e">
        <f t="shared" si="6"/>
        <v>#N/A</v>
      </c>
      <c r="J112" s="352" t="e">
        <f>IF(C112&lt;&gt;"",ROUND(VLOOKUP("S"&amp;C112,'EXP. ESP.'!$A$20:$V$6999,16,0)/$K$14,3),"")</f>
        <v>#N/A</v>
      </c>
      <c r="K112" s="135" t="e">
        <f t="shared" si="7"/>
        <v>#N/A</v>
      </c>
      <c r="L112" s="135" t="e">
        <f>IF(C112&lt;&gt;"",VLOOKUP(C112,HAB.GEN.!$C$19:$K$218,9,FALSE),"")</f>
        <v>#N/A</v>
      </c>
      <c r="M112" s="514" t="e">
        <f t="shared" si="8"/>
        <v>#N/A</v>
      </c>
      <c r="N112" s="351" t="str">
        <f t="shared" si="9"/>
        <v>HÁBIL</v>
      </c>
      <c r="P112" s="427"/>
    </row>
    <row r="113" spans="2:16" ht="13.5" hidden="1">
      <c r="B113" s="231">
        <v>87</v>
      </c>
      <c r="C113" s="129" t="e">
        <f>IF(VLOOKUP(B113,PROPONENTES!$B$19:$E$219,2,0)="","",VLOOKUP(B113,PROPONENTES!$B$19:$E$219,2,0))</f>
        <v>#N/A</v>
      </c>
      <c r="D113" s="130" t="e">
        <f>IF(VLOOKUP(B113,PROPONENTES!$B$19:$E$218,3,0)="","",VLOOKUP(B113,PROPONENTES!$B$19:$E$218,3,0))</f>
        <v>#N/A</v>
      </c>
      <c r="E113" s="130" t="e">
        <f>IF(VLOOKUP(B113,PROPONENTES!$B$19:$E$218,4,0)="","",IF(VLOOKUP(B113,PROPONENTES!$B$19:$E$218,4,0)&gt;1,"SI","NO"))</f>
        <v>#N/A</v>
      </c>
      <c r="F113" s="135" t="e">
        <f>IF(C113&lt;&gt;"",IF(E113="SI",VLOOKUP("T"&amp;C113,'EXP. ESP.'!$A$20:$V$6999,11,0),"NO APLICA"),"")</f>
        <v>#N/A</v>
      </c>
      <c r="G113" s="245" t="e">
        <f>IF(C113&lt;&gt;"",VLOOKUP("M"&amp;C113,'EXP. ESP.'!$A$20:$V$6999,17,0),"")</f>
        <v>#N/A</v>
      </c>
      <c r="H113" s="342" t="e">
        <f>IF(C113&lt;&gt;"",VLOOKUP("P"&amp;C113,'EXP. ESP.'!$A$20:$V$6999,16,0),"")</f>
        <v>#N/A</v>
      </c>
      <c r="I113" s="135" t="e">
        <f t="shared" si="6"/>
        <v>#N/A</v>
      </c>
      <c r="J113" s="352" t="e">
        <f>IF(C113&lt;&gt;"",ROUND(VLOOKUP("S"&amp;C113,'EXP. ESP.'!$A$20:$V$6999,16,0)/$K$14,3),"")</f>
        <v>#N/A</v>
      </c>
      <c r="K113" s="135" t="e">
        <f t="shared" si="7"/>
        <v>#N/A</v>
      </c>
      <c r="L113" s="135" t="e">
        <f>IF(C113&lt;&gt;"",VLOOKUP(C113,HAB.GEN.!$C$19:$K$218,9,FALSE),"")</f>
        <v>#N/A</v>
      </c>
      <c r="M113" s="514" t="e">
        <f t="shared" si="8"/>
        <v>#N/A</v>
      </c>
      <c r="N113" s="351" t="str">
        <f t="shared" si="9"/>
        <v>HÁBIL</v>
      </c>
      <c r="P113" s="427"/>
    </row>
    <row r="114" spans="2:16" ht="13.5" hidden="1">
      <c r="B114" s="231">
        <v>88</v>
      </c>
      <c r="C114" s="129" t="e">
        <f>IF(VLOOKUP(B114,PROPONENTES!$B$19:$E$219,2,0)="","",VLOOKUP(B114,PROPONENTES!$B$19:$E$219,2,0))</f>
        <v>#N/A</v>
      </c>
      <c r="D114" s="130" t="e">
        <f>IF(VLOOKUP(B114,PROPONENTES!$B$19:$E$218,3,0)="","",VLOOKUP(B114,PROPONENTES!$B$19:$E$218,3,0))</f>
        <v>#N/A</v>
      </c>
      <c r="E114" s="130" t="e">
        <f>IF(VLOOKUP(B114,PROPONENTES!$B$19:$E$218,4,0)="","",IF(VLOOKUP(B114,PROPONENTES!$B$19:$E$218,4,0)&gt;1,"SI","NO"))</f>
        <v>#N/A</v>
      </c>
      <c r="F114" s="135" t="e">
        <f>IF(C114&lt;&gt;"",IF(E114="SI",VLOOKUP("T"&amp;C114,'EXP. ESP.'!$A$20:$V$6999,11,0),"NO APLICA"),"")</f>
        <v>#N/A</v>
      </c>
      <c r="G114" s="245" t="e">
        <f>IF(C114&lt;&gt;"",VLOOKUP("M"&amp;C114,'EXP. ESP.'!$A$20:$V$6999,17,0),"")</f>
        <v>#N/A</v>
      </c>
      <c r="H114" s="342" t="e">
        <f>IF(C114&lt;&gt;"",VLOOKUP("P"&amp;C114,'EXP. ESP.'!$A$20:$V$6999,16,0),"")</f>
        <v>#N/A</v>
      </c>
      <c r="I114" s="135" t="e">
        <f t="shared" si="6"/>
        <v>#N/A</v>
      </c>
      <c r="J114" s="352" t="e">
        <f>IF(C114&lt;&gt;"",ROUND(VLOOKUP("S"&amp;C114,'EXP. ESP.'!$A$20:$V$6999,16,0)/$K$14,3),"")</f>
        <v>#N/A</v>
      </c>
      <c r="K114" s="135" t="e">
        <f t="shared" si="7"/>
        <v>#N/A</v>
      </c>
      <c r="L114" s="135" t="e">
        <f>IF(C114&lt;&gt;"",VLOOKUP(C114,HAB.GEN.!$C$19:$K$218,9,FALSE),"")</f>
        <v>#N/A</v>
      </c>
      <c r="M114" s="514" t="e">
        <f t="shared" si="8"/>
        <v>#N/A</v>
      </c>
      <c r="N114" s="351" t="str">
        <f t="shared" si="9"/>
        <v>HÁBIL</v>
      </c>
      <c r="P114" s="427"/>
    </row>
    <row r="115" spans="2:16" ht="13.5" hidden="1">
      <c r="B115" s="230">
        <v>89</v>
      </c>
      <c r="C115" s="129" t="e">
        <f>IF(VLOOKUP(B115,PROPONENTES!$B$19:$E$219,2,0)="","",VLOOKUP(B115,PROPONENTES!$B$19:$E$219,2,0))</f>
        <v>#N/A</v>
      </c>
      <c r="D115" s="130" t="e">
        <f>IF(VLOOKUP(B115,PROPONENTES!$B$19:$E$218,3,0)="","",VLOOKUP(B115,PROPONENTES!$B$19:$E$218,3,0))</f>
        <v>#N/A</v>
      </c>
      <c r="E115" s="130" t="e">
        <f>IF(VLOOKUP(B115,PROPONENTES!$B$19:$E$218,4,0)="","",IF(VLOOKUP(B115,PROPONENTES!$B$19:$E$218,4,0)&gt;1,"SI","NO"))</f>
        <v>#N/A</v>
      </c>
      <c r="F115" s="135" t="e">
        <f>IF(C115&lt;&gt;"",IF(E115="SI",VLOOKUP("T"&amp;C115,'EXP. ESP.'!$A$20:$V$6999,11,0),"NO APLICA"),"")</f>
        <v>#N/A</v>
      </c>
      <c r="G115" s="245" t="e">
        <f>IF(C115&lt;&gt;"",VLOOKUP("M"&amp;C115,'EXP. ESP.'!$A$20:$V$6999,17,0),"")</f>
        <v>#N/A</v>
      </c>
      <c r="H115" s="342" t="e">
        <f>IF(C115&lt;&gt;"",VLOOKUP("P"&amp;C115,'EXP. ESP.'!$A$20:$V$6999,16,0),"")</f>
        <v>#N/A</v>
      </c>
      <c r="I115" s="135" t="e">
        <f t="shared" si="6"/>
        <v>#N/A</v>
      </c>
      <c r="J115" s="352" t="e">
        <f>IF(C115&lt;&gt;"",ROUND(VLOOKUP("S"&amp;C115,'EXP. ESP.'!$A$20:$V$6999,16,0)/$K$14,3),"")</f>
        <v>#N/A</v>
      </c>
      <c r="K115" s="135" t="e">
        <f t="shared" si="7"/>
        <v>#N/A</v>
      </c>
      <c r="L115" s="135" t="e">
        <f>IF(C115&lt;&gt;"",VLOOKUP(C115,HAB.GEN.!$C$19:$K$218,9,FALSE),"")</f>
        <v>#N/A</v>
      </c>
      <c r="M115" s="514" t="e">
        <f t="shared" si="8"/>
        <v>#N/A</v>
      </c>
      <c r="N115" s="351" t="str">
        <f t="shared" si="9"/>
        <v>HÁBIL</v>
      </c>
      <c r="P115" s="427"/>
    </row>
    <row r="116" spans="2:16" ht="13.5" hidden="1">
      <c r="B116" s="231">
        <v>90</v>
      </c>
      <c r="C116" s="129" t="e">
        <f>IF(VLOOKUP(B116,PROPONENTES!$B$19:$E$219,2,0)="","",VLOOKUP(B116,PROPONENTES!$B$19:$E$219,2,0))</f>
        <v>#N/A</v>
      </c>
      <c r="D116" s="130" t="e">
        <f>IF(VLOOKUP(B116,PROPONENTES!$B$19:$E$218,3,0)="","",VLOOKUP(B116,PROPONENTES!$B$19:$E$218,3,0))</f>
        <v>#N/A</v>
      </c>
      <c r="E116" s="130" t="e">
        <f>IF(VLOOKUP(B116,PROPONENTES!$B$19:$E$218,4,0)="","",IF(VLOOKUP(B116,PROPONENTES!$B$19:$E$218,4,0)&gt;1,"SI","NO"))</f>
        <v>#N/A</v>
      </c>
      <c r="F116" s="135" t="e">
        <f>IF(C116&lt;&gt;"",IF(E116="SI",VLOOKUP("T"&amp;C116,'EXP. ESP.'!$A$20:$V$6999,11,0),"NO APLICA"),"")</f>
        <v>#N/A</v>
      </c>
      <c r="G116" s="245" t="e">
        <f>IF(C116&lt;&gt;"",VLOOKUP("M"&amp;C116,'EXP. ESP.'!$A$20:$V$6999,17,0),"")</f>
        <v>#N/A</v>
      </c>
      <c r="H116" s="342" t="e">
        <f>IF(C116&lt;&gt;"",VLOOKUP("P"&amp;C116,'EXP. ESP.'!$A$20:$V$6999,16,0),"")</f>
        <v>#N/A</v>
      </c>
      <c r="I116" s="135" t="e">
        <f t="shared" si="6"/>
        <v>#N/A</v>
      </c>
      <c r="J116" s="352" t="e">
        <f>IF(C116&lt;&gt;"",ROUND(VLOOKUP("S"&amp;C116,'EXP. ESP.'!$A$20:$V$6999,16,0)/$K$14,3),"")</f>
        <v>#N/A</v>
      </c>
      <c r="K116" s="135" t="e">
        <f t="shared" si="7"/>
        <v>#N/A</v>
      </c>
      <c r="L116" s="135" t="e">
        <f>IF(C116&lt;&gt;"",VLOOKUP(C116,HAB.GEN.!$C$19:$K$218,9,FALSE),"")</f>
        <v>#N/A</v>
      </c>
      <c r="M116" s="514" t="e">
        <f t="shared" si="8"/>
        <v>#N/A</v>
      </c>
      <c r="N116" s="351" t="str">
        <f t="shared" si="9"/>
        <v>HÁBIL</v>
      </c>
      <c r="P116" s="427"/>
    </row>
    <row r="117" spans="2:16" ht="13.5" hidden="1">
      <c r="B117" s="231">
        <v>91</v>
      </c>
      <c r="C117" s="129" t="e">
        <f>IF(VLOOKUP(B117,PROPONENTES!$B$19:$E$219,2,0)="","",VLOOKUP(B117,PROPONENTES!$B$19:$E$219,2,0))</f>
        <v>#N/A</v>
      </c>
      <c r="D117" s="130" t="e">
        <f>IF(VLOOKUP(B117,PROPONENTES!$B$19:$E$218,3,0)="","",VLOOKUP(B117,PROPONENTES!$B$19:$E$218,3,0))</f>
        <v>#N/A</v>
      </c>
      <c r="E117" s="130" t="e">
        <f>IF(VLOOKUP(B117,PROPONENTES!$B$19:$E$218,4,0)="","",IF(VLOOKUP(B117,PROPONENTES!$B$19:$E$218,4,0)&gt;1,"SI","NO"))</f>
        <v>#N/A</v>
      </c>
      <c r="F117" s="135" t="e">
        <f>IF(C117&lt;&gt;"",IF(E117="SI",VLOOKUP("T"&amp;C117,'EXP. ESP.'!$A$20:$V$6999,11,0),"NO APLICA"),"")</f>
        <v>#N/A</v>
      </c>
      <c r="G117" s="245" t="e">
        <f>IF(C117&lt;&gt;"",VLOOKUP("M"&amp;C117,'EXP. ESP.'!$A$20:$V$6999,17,0),"")</f>
        <v>#N/A</v>
      </c>
      <c r="H117" s="342" t="e">
        <f>IF(C117&lt;&gt;"",VLOOKUP("P"&amp;C117,'EXP. ESP.'!$A$20:$V$6999,16,0),"")</f>
        <v>#N/A</v>
      </c>
      <c r="I117" s="135" t="e">
        <f t="shared" si="6"/>
        <v>#N/A</v>
      </c>
      <c r="J117" s="352" t="e">
        <f>IF(C117&lt;&gt;"",ROUND(VLOOKUP("S"&amp;C117,'EXP. ESP.'!$A$20:$V$6999,16,0)/$K$14,3),"")</f>
        <v>#N/A</v>
      </c>
      <c r="K117" s="135" t="e">
        <f t="shared" si="7"/>
        <v>#N/A</v>
      </c>
      <c r="L117" s="135" t="e">
        <f>IF(C117&lt;&gt;"",VLOOKUP(C117,HAB.GEN.!$C$19:$K$218,9,FALSE),"")</f>
        <v>#N/A</v>
      </c>
      <c r="M117" s="514" t="e">
        <f t="shared" si="8"/>
        <v>#N/A</v>
      </c>
      <c r="N117" s="351" t="str">
        <f t="shared" si="9"/>
        <v>HÁBIL</v>
      </c>
      <c r="P117" s="427"/>
    </row>
    <row r="118" spans="2:16" ht="13.5" hidden="1">
      <c r="B118" s="231">
        <v>92</v>
      </c>
      <c r="C118" s="129" t="e">
        <f>IF(VLOOKUP(B118,PROPONENTES!$B$19:$E$219,2,0)="","",VLOOKUP(B118,PROPONENTES!$B$19:$E$219,2,0))</f>
        <v>#N/A</v>
      </c>
      <c r="D118" s="130" t="e">
        <f>IF(VLOOKUP(B118,PROPONENTES!$B$19:$E$218,3,0)="","",VLOOKUP(B118,PROPONENTES!$B$19:$E$218,3,0))</f>
        <v>#N/A</v>
      </c>
      <c r="E118" s="130" t="e">
        <f>IF(VLOOKUP(B118,PROPONENTES!$B$19:$E$218,4,0)="","",IF(VLOOKUP(B118,PROPONENTES!$B$19:$E$218,4,0)&gt;1,"SI","NO"))</f>
        <v>#N/A</v>
      </c>
      <c r="F118" s="135" t="e">
        <f>IF(C118&lt;&gt;"",IF(E118="SI",VLOOKUP("T"&amp;C118,'EXP. ESP.'!$A$20:$V$6999,11,0),"NO APLICA"),"")</f>
        <v>#N/A</v>
      </c>
      <c r="G118" s="245" t="e">
        <f>IF(C118&lt;&gt;"",VLOOKUP("M"&amp;C118,'EXP. ESP.'!$A$20:$V$6999,17,0),"")</f>
        <v>#N/A</v>
      </c>
      <c r="H118" s="342" t="e">
        <f>IF(C118&lt;&gt;"",VLOOKUP("P"&amp;C118,'EXP. ESP.'!$A$20:$V$6999,16,0),"")</f>
        <v>#N/A</v>
      </c>
      <c r="I118" s="135" t="e">
        <f t="shared" si="6"/>
        <v>#N/A</v>
      </c>
      <c r="J118" s="352" t="e">
        <f>IF(C118&lt;&gt;"",ROUND(VLOOKUP("S"&amp;C118,'EXP. ESP.'!$A$20:$V$6999,16,0)/$K$14,3),"")</f>
        <v>#N/A</v>
      </c>
      <c r="K118" s="135" t="e">
        <f t="shared" si="7"/>
        <v>#N/A</v>
      </c>
      <c r="L118" s="135" t="e">
        <f>IF(C118&lt;&gt;"",VLOOKUP(C118,HAB.GEN.!$C$19:$K$218,9,FALSE),"")</f>
        <v>#N/A</v>
      </c>
      <c r="M118" s="514" t="e">
        <f t="shared" si="8"/>
        <v>#N/A</v>
      </c>
      <c r="N118" s="351" t="str">
        <f t="shared" si="9"/>
        <v>HÁBIL</v>
      </c>
      <c r="P118" s="427"/>
    </row>
    <row r="119" spans="2:16" ht="13.5" hidden="1">
      <c r="B119" s="230">
        <v>93</v>
      </c>
      <c r="C119" s="129" t="e">
        <f>IF(VLOOKUP(B119,PROPONENTES!$B$19:$E$219,2,0)="","",VLOOKUP(B119,PROPONENTES!$B$19:$E$219,2,0))</f>
        <v>#N/A</v>
      </c>
      <c r="D119" s="130" t="e">
        <f>IF(VLOOKUP(B119,PROPONENTES!$B$19:$E$218,3,0)="","",VLOOKUP(B119,PROPONENTES!$B$19:$E$218,3,0))</f>
        <v>#N/A</v>
      </c>
      <c r="E119" s="130" t="e">
        <f>IF(VLOOKUP(B119,PROPONENTES!$B$19:$E$218,4,0)="","",IF(VLOOKUP(B119,PROPONENTES!$B$19:$E$218,4,0)&gt;1,"SI","NO"))</f>
        <v>#N/A</v>
      </c>
      <c r="F119" s="135" t="e">
        <f>IF(C119&lt;&gt;"",IF(E119="SI",VLOOKUP("T"&amp;C119,'EXP. ESP.'!$A$20:$V$6999,11,0),"NO APLICA"),"")</f>
        <v>#N/A</v>
      </c>
      <c r="G119" s="245" t="e">
        <f>IF(C119&lt;&gt;"",VLOOKUP("M"&amp;C119,'EXP. ESP.'!$A$20:$V$6999,17,0),"")</f>
        <v>#N/A</v>
      </c>
      <c r="H119" s="342" t="e">
        <f>IF(C119&lt;&gt;"",VLOOKUP("P"&amp;C119,'EXP. ESP.'!$A$20:$V$6999,16,0),"")</f>
        <v>#N/A</v>
      </c>
      <c r="I119" s="135" t="e">
        <f t="shared" si="6"/>
        <v>#N/A</v>
      </c>
      <c r="J119" s="352" t="e">
        <f>IF(C119&lt;&gt;"",ROUND(VLOOKUP("S"&amp;C119,'EXP. ESP.'!$A$20:$V$6999,16,0)/$K$14,3),"")</f>
        <v>#N/A</v>
      </c>
      <c r="K119" s="135" t="e">
        <f t="shared" si="7"/>
        <v>#N/A</v>
      </c>
      <c r="L119" s="135" t="e">
        <f>IF(C119&lt;&gt;"",VLOOKUP(C119,HAB.GEN.!$C$19:$K$218,9,FALSE),"")</f>
        <v>#N/A</v>
      </c>
      <c r="M119" s="514" t="e">
        <f t="shared" si="8"/>
        <v>#N/A</v>
      </c>
      <c r="N119" s="351" t="str">
        <f t="shared" si="9"/>
        <v>HÁBIL</v>
      </c>
      <c r="P119" s="427"/>
    </row>
    <row r="120" spans="2:16" ht="13.5" hidden="1">
      <c r="B120" s="231">
        <v>94</v>
      </c>
      <c r="C120" s="129" t="e">
        <f>IF(VLOOKUP(B120,PROPONENTES!$B$19:$E$219,2,0)="","",VLOOKUP(B120,PROPONENTES!$B$19:$E$219,2,0))</f>
        <v>#N/A</v>
      </c>
      <c r="D120" s="130" t="e">
        <f>IF(VLOOKUP(B120,PROPONENTES!$B$19:$E$218,3,0)="","",VLOOKUP(B120,PROPONENTES!$B$19:$E$218,3,0))</f>
        <v>#N/A</v>
      </c>
      <c r="E120" s="130" t="e">
        <f>IF(VLOOKUP(B120,PROPONENTES!$B$19:$E$218,4,0)="","",IF(VLOOKUP(B120,PROPONENTES!$B$19:$E$218,4,0)&gt;1,"SI","NO"))</f>
        <v>#N/A</v>
      </c>
      <c r="F120" s="135" t="e">
        <f>IF(C120&lt;&gt;"",IF(E120="SI",VLOOKUP("T"&amp;C120,'EXP. ESP.'!$A$20:$V$6999,11,0),"NO APLICA"),"")</f>
        <v>#N/A</v>
      </c>
      <c r="G120" s="245" t="e">
        <f>IF(C120&lt;&gt;"",VLOOKUP("M"&amp;C120,'EXP. ESP.'!$A$20:$V$6999,17,0),"")</f>
        <v>#N/A</v>
      </c>
      <c r="H120" s="342" t="e">
        <f>IF(C120&lt;&gt;"",VLOOKUP("P"&amp;C120,'EXP. ESP.'!$A$20:$V$6999,16,0),"")</f>
        <v>#N/A</v>
      </c>
      <c r="I120" s="135" t="e">
        <f t="shared" si="6"/>
        <v>#N/A</v>
      </c>
      <c r="J120" s="352" t="e">
        <f>IF(C120&lt;&gt;"",ROUND(VLOOKUP("S"&amp;C120,'EXP. ESP.'!$A$20:$V$6999,16,0)/$K$14,3),"")</f>
        <v>#N/A</v>
      </c>
      <c r="K120" s="135" t="e">
        <f t="shared" si="7"/>
        <v>#N/A</v>
      </c>
      <c r="L120" s="135" t="e">
        <f>IF(C120&lt;&gt;"",VLOOKUP(C120,HAB.GEN.!$C$19:$K$218,9,FALSE),"")</f>
        <v>#N/A</v>
      </c>
      <c r="M120" s="514" t="e">
        <f t="shared" si="8"/>
        <v>#N/A</v>
      </c>
      <c r="N120" s="351" t="str">
        <f t="shared" si="9"/>
        <v>HÁBIL</v>
      </c>
      <c r="P120" s="427"/>
    </row>
    <row r="121" spans="2:16" ht="13.5" hidden="1">
      <c r="B121" s="231">
        <v>95</v>
      </c>
      <c r="C121" s="129" t="e">
        <f>IF(VLOOKUP(B121,PROPONENTES!$B$19:$E$219,2,0)="","",VLOOKUP(B121,PROPONENTES!$B$19:$E$219,2,0))</f>
        <v>#N/A</v>
      </c>
      <c r="D121" s="130" t="e">
        <f>IF(VLOOKUP(B121,PROPONENTES!$B$19:$E$218,3,0)="","",VLOOKUP(B121,PROPONENTES!$B$19:$E$218,3,0))</f>
        <v>#N/A</v>
      </c>
      <c r="E121" s="130" t="e">
        <f>IF(VLOOKUP(B121,PROPONENTES!$B$19:$E$218,4,0)="","",IF(VLOOKUP(B121,PROPONENTES!$B$19:$E$218,4,0)&gt;1,"SI","NO"))</f>
        <v>#N/A</v>
      </c>
      <c r="F121" s="135" t="e">
        <f>IF(C121&lt;&gt;"",IF(E121="SI",VLOOKUP("T"&amp;C121,'EXP. ESP.'!$A$20:$V$6999,11,0),"NO APLICA"),"")</f>
        <v>#N/A</v>
      </c>
      <c r="G121" s="245" t="e">
        <f>IF(C121&lt;&gt;"",VLOOKUP("M"&amp;C121,'EXP. ESP.'!$A$20:$V$6999,17,0),"")</f>
        <v>#N/A</v>
      </c>
      <c r="H121" s="342" t="e">
        <f>IF(C121&lt;&gt;"",VLOOKUP("P"&amp;C121,'EXP. ESP.'!$A$20:$V$6999,16,0),"")</f>
        <v>#N/A</v>
      </c>
      <c r="I121" s="135" t="e">
        <f t="shared" si="6"/>
        <v>#N/A</v>
      </c>
      <c r="J121" s="352" t="e">
        <f>IF(C121&lt;&gt;"",ROUND(VLOOKUP("S"&amp;C121,'EXP. ESP.'!$A$20:$V$6999,16,0)/$K$14,3),"")</f>
        <v>#N/A</v>
      </c>
      <c r="K121" s="135" t="e">
        <f t="shared" si="7"/>
        <v>#N/A</v>
      </c>
      <c r="L121" s="135" t="e">
        <f>IF(C121&lt;&gt;"",VLOOKUP(C121,HAB.GEN.!$C$19:$K$218,9,FALSE),"")</f>
        <v>#N/A</v>
      </c>
      <c r="M121" s="514" t="e">
        <f t="shared" si="8"/>
        <v>#N/A</v>
      </c>
      <c r="N121" s="351" t="str">
        <f t="shared" si="9"/>
        <v>HÁBIL</v>
      </c>
      <c r="P121" s="427"/>
    </row>
    <row r="122" spans="2:16" ht="13.5" hidden="1">
      <c r="B122" s="231">
        <v>96</v>
      </c>
      <c r="C122" s="129" t="e">
        <f>IF(VLOOKUP(B122,PROPONENTES!$B$19:$E$219,2,0)="","",VLOOKUP(B122,PROPONENTES!$B$19:$E$219,2,0))</f>
        <v>#N/A</v>
      </c>
      <c r="D122" s="130" t="e">
        <f>IF(VLOOKUP(B122,PROPONENTES!$B$19:$E$218,3,0)="","",VLOOKUP(B122,PROPONENTES!$B$19:$E$218,3,0))</f>
        <v>#N/A</v>
      </c>
      <c r="E122" s="130" t="e">
        <f>IF(VLOOKUP(B122,PROPONENTES!$B$19:$E$218,4,0)="","",IF(VLOOKUP(B122,PROPONENTES!$B$19:$E$218,4,0)&gt;1,"SI","NO"))</f>
        <v>#N/A</v>
      </c>
      <c r="F122" s="135" t="e">
        <f>IF(C122&lt;&gt;"",IF(E122="SI",VLOOKUP("T"&amp;C122,'EXP. ESP.'!$A$20:$V$6999,11,0),"NO APLICA"),"")</f>
        <v>#N/A</v>
      </c>
      <c r="G122" s="245" t="e">
        <f>IF(C122&lt;&gt;"",VLOOKUP("M"&amp;C122,'EXP. ESP.'!$A$20:$V$6999,17,0),"")</f>
        <v>#N/A</v>
      </c>
      <c r="H122" s="342" t="e">
        <f>IF(C122&lt;&gt;"",VLOOKUP("P"&amp;C122,'EXP. ESP.'!$A$20:$V$6999,16,0),"")</f>
        <v>#N/A</v>
      </c>
      <c r="I122" s="135" t="e">
        <f t="shared" si="6"/>
        <v>#N/A</v>
      </c>
      <c r="J122" s="352" t="e">
        <f>IF(C122&lt;&gt;"",ROUND(VLOOKUP("S"&amp;C122,'EXP. ESP.'!$A$20:$V$6999,16,0)/$K$14,3),"")</f>
        <v>#N/A</v>
      </c>
      <c r="K122" s="135" t="e">
        <f t="shared" si="7"/>
        <v>#N/A</v>
      </c>
      <c r="L122" s="135" t="e">
        <f>IF(C122&lt;&gt;"",VLOOKUP(C122,HAB.GEN.!$C$19:$K$218,9,FALSE),"")</f>
        <v>#N/A</v>
      </c>
      <c r="M122" s="514" t="e">
        <f t="shared" si="8"/>
        <v>#N/A</v>
      </c>
      <c r="N122" s="351" t="str">
        <f t="shared" si="9"/>
        <v>HÁBIL</v>
      </c>
      <c r="P122" s="427"/>
    </row>
    <row r="123" spans="2:16" ht="13.5" hidden="1">
      <c r="B123" s="230">
        <v>97</v>
      </c>
      <c r="C123" s="129" t="e">
        <f>IF(VLOOKUP(B123,PROPONENTES!$B$19:$E$219,2,0)="","",VLOOKUP(B123,PROPONENTES!$B$19:$E$219,2,0))</f>
        <v>#N/A</v>
      </c>
      <c r="D123" s="130" t="e">
        <f>IF(VLOOKUP(B123,PROPONENTES!$B$19:$E$218,3,0)="","",VLOOKUP(B123,PROPONENTES!$B$19:$E$218,3,0))</f>
        <v>#N/A</v>
      </c>
      <c r="E123" s="130" t="e">
        <f>IF(VLOOKUP(B123,PROPONENTES!$B$19:$E$218,4,0)="","",IF(VLOOKUP(B123,PROPONENTES!$B$19:$E$218,4,0)&gt;1,"SI","NO"))</f>
        <v>#N/A</v>
      </c>
      <c r="F123" s="135" t="e">
        <f>IF(C123&lt;&gt;"",IF(E123="SI",VLOOKUP("T"&amp;C123,'EXP. ESP.'!$A$20:$V$6999,11,0),"NO APLICA"),"")</f>
        <v>#N/A</v>
      </c>
      <c r="G123" s="245" t="e">
        <f>IF(C123&lt;&gt;"",VLOOKUP("M"&amp;C123,'EXP. ESP.'!$A$20:$V$6999,17,0),"")</f>
        <v>#N/A</v>
      </c>
      <c r="H123" s="342" t="e">
        <f>IF(C123&lt;&gt;"",VLOOKUP("P"&amp;C123,'EXP. ESP.'!$A$20:$V$6999,16,0),"")</f>
        <v>#N/A</v>
      </c>
      <c r="I123" s="135" t="e">
        <f t="shared" ref="I123:I154" si="10">IF(C123&lt;&gt;"",IF(AND(G123&gt;=NUMMINCONT,G123&lt;=NUMMAXCONT,H123&gt;$F$15,H123&lt;$F$16,H123&lt;&gt;0),"HÁBIL","NO HÁBIL"),"")</f>
        <v>#N/A</v>
      </c>
      <c r="J123" s="352" t="e">
        <f>IF(C123&lt;&gt;"",ROUND(VLOOKUP("S"&amp;C123,'EXP. ESP.'!$A$20:$V$6999,16,0)/$K$14,3),"")</f>
        <v>#N/A</v>
      </c>
      <c r="K123" s="135" t="e">
        <f t="shared" si="7"/>
        <v>#N/A</v>
      </c>
      <c r="L123" s="135" t="e">
        <f>IF(C123&lt;&gt;"",VLOOKUP(C123,HAB.GEN.!$C$19:$K$218,9,FALSE),"")</f>
        <v>#N/A</v>
      </c>
      <c r="M123" s="514" t="e">
        <f t="shared" ref="M123:M154" si="11">IF(AND(G123&gt;=NUMMINCONT,G123&lt;=NUMMAXCONT,P123&lt;&gt;"SI"),IF(OR(I123="",K123=""),"",IF(OR(I123="NO HÁBIL",K123="NO HÁBIL",F123="NO CUMPLE"),"NO HÁBIL","HÁBIL")),"NO HÁBIL")</f>
        <v>#N/A</v>
      </c>
      <c r="N123" s="351" t="str">
        <f t="shared" si="9"/>
        <v>HÁBIL</v>
      </c>
      <c r="P123" s="427"/>
    </row>
    <row r="124" spans="2:16" ht="13.5" hidden="1">
      <c r="B124" s="231">
        <v>98</v>
      </c>
      <c r="C124" s="129" t="e">
        <f>IF(VLOOKUP(B124,PROPONENTES!$B$19:$E$219,2,0)="","",VLOOKUP(B124,PROPONENTES!$B$19:$E$219,2,0))</f>
        <v>#N/A</v>
      </c>
      <c r="D124" s="130" t="e">
        <f>IF(VLOOKUP(B124,PROPONENTES!$B$19:$E$218,3,0)="","",VLOOKUP(B124,PROPONENTES!$B$19:$E$218,3,0))</f>
        <v>#N/A</v>
      </c>
      <c r="E124" s="130" t="e">
        <f>IF(VLOOKUP(B124,PROPONENTES!$B$19:$E$218,4,0)="","",IF(VLOOKUP(B124,PROPONENTES!$B$19:$E$218,4,0)&gt;1,"SI","NO"))</f>
        <v>#N/A</v>
      </c>
      <c r="F124" s="135" t="e">
        <f>IF(C124&lt;&gt;"",IF(E124="SI",VLOOKUP("T"&amp;C124,'EXP. ESP.'!$A$20:$V$6999,11,0),"NO APLICA"),"")</f>
        <v>#N/A</v>
      </c>
      <c r="G124" s="245" t="e">
        <f>IF(C124&lt;&gt;"",VLOOKUP("M"&amp;C124,'EXP. ESP.'!$A$20:$V$6999,17,0),"")</f>
        <v>#N/A</v>
      </c>
      <c r="H124" s="342" t="e">
        <f>IF(C124&lt;&gt;"",VLOOKUP("P"&amp;C124,'EXP. ESP.'!$A$20:$V$6999,16,0),"")</f>
        <v>#N/A</v>
      </c>
      <c r="I124" s="135" t="e">
        <f t="shared" si="10"/>
        <v>#N/A</v>
      </c>
      <c r="J124" s="352" t="e">
        <f>IF(C124&lt;&gt;"",ROUND(VLOOKUP("S"&amp;C124,'EXP. ESP.'!$A$20:$V$6999,16,0)/$K$14,3),"")</f>
        <v>#N/A</v>
      </c>
      <c r="K124" s="135" t="e">
        <f t="shared" si="7"/>
        <v>#N/A</v>
      </c>
      <c r="L124" s="135" t="e">
        <f>IF(C124&lt;&gt;"",VLOOKUP(C124,HAB.GEN.!$C$19:$K$218,9,FALSE),"")</f>
        <v>#N/A</v>
      </c>
      <c r="M124" s="514" t="e">
        <f t="shared" si="11"/>
        <v>#N/A</v>
      </c>
      <c r="N124" s="351" t="str">
        <f t="shared" si="9"/>
        <v>HÁBIL</v>
      </c>
      <c r="P124" s="427"/>
    </row>
    <row r="125" spans="2:16" ht="13.5" hidden="1">
      <c r="B125" s="231">
        <v>99</v>
      </c>
      <c r="C125" s="129" t="e">
        <f>IF(VLOOKUP(B125,PROPONENTES!$B$19:$E$219,2,0)="","",VLOOKUP(B125,PROPONENTES!$B$19:$E$219,2,0))</f>
        <v>#N/A</v>
      </c>
      <c r="D125" s="130" t="e">
        <f>IF(VLOOKUP(B125,PROPONENTES!$B$19:$E$218,3,0)="","",VLOOKUP(B125,PROPONENTES!$B$19:$E$218,3,0))</f>
        <v>#N/A</v>
      </c>
      <c r="E125" s="130" t="e">
        <f>IF(VLOOKUP(B125,PROPONENTES!$B$19:$E$218,4,0)="","",IF(VLOOKUP(B125,PROPONENTES!$B$19:$E$218,4,0)&gt;1,"SI","NO"))</f>
        <v>#N/A</v>
      </c>
      <c r="F125" s="135" t="e">
        <f>IF(C125&lt;&gt;"",IF(E125="SI",VLOOKUP("T"&amp;C125,'EXP. ESP.'!$A$20:$V$6999,11,0),"NO APLICA"),"")</f>
        <v>#N/A</v>
      </c>
      <c r="G125" s="245" t="e">
        <f>IF(C125&lt;&gt;"",VLOOKUP("M"&amp;C125,'EXP. ESP.'!$A$20:$V$6999,17,0),"")</f>
        <v>#N/A</v>
      </c>
      <c r="H125" s="342" t="e">
        <f>IF(C125&lt;&gt;"",VLOOKUP("P"&amp;C125,'EXP. ESP.'!$A$20:$V$6999,16,0),"")</f>
        <v>#N/A</v>
      </c>
      <c r="I125" s="135" t="e">
        <f t="shared" si="10"/>
        <v>#N/A</v>
      </c>
      <c r="J125" s="352" t="e">
        <f>IF(C125&lt;&gt;"",ROUND(VLOOKUP("S"&amp;C125,'EXP. ESP.'!$A$20:$V$6999,16,0)/$K$14,3),"")</f>
        <v>#N/A</v>
      </c>
      <c r="K125" s="135" t="e">
        <f t="shared" si="7"/>
        <v>#N/A</v>
      </c>
      <c r="L125" s="135" t="e">
        <f>IF(C125&lt;&gt;"",VLOOKUP(C125,HAB.GEN.!$C$19:$K$218,9,FALSE),"")</f>
        <v>#N/A</v>
      </c>
      <c r="M125" s="514" t="e">
        <f t="shared" si="11"/>
        <v>#N/A</v>
      </c>
      <c r="N125" s="351" t="str">
        <f t="shared" si="9"/>
        <v>HÁBIL</v>
      </c>
      <c r="P125" s="427"/>
    </row>
    <row r="126" spans="2:16" ht="13.5" hidden="1">
      <c r="B126" s="231">
        <v>100</v>
      </c>
      <c r="C126" s="129" t="e">
        <f>IF(VLOOKUP(B126,PROPONENTES!$B$19:$E$219,2,0)="","",VLOOKUP(B126,PROPONENTES!$B$19:$E$219,2,0))</f>
        <v>#N/A</v>
      </c>
      <c r="D126" s="130" t="e">
        <f>IF(VLOOKUP(B126,PROPONENTES!$B$19:$E$218,3,0)="","",VLOOKUP(B126,PROPONENTES!$B$19:$E$218,3,0))</f>
        <v>#N/A</v>
      </c>
      <c r="E126" s="130" t="e">
        <f>IF(VLOOKUP(B126,PROPONENTES!$B$19:$E$218,4,0)="","",IF(VLOOKUP(B126,PROPONENTES!$B$19:$E$218,4,0)&gt;1,"SI","NO"))</f>
        <v>#N/A</v>
      </c>
      <c r="F126" s="135" t="e">
        <f>IF(C126&lt;&gt;"",IF(E126="SI",VLOOKUP("T"&amp;C126,'EXP. ESP.'!$A$20:$V$6999,11,0),"NO APLICA"),"")</f>
        <v>#N/A</v>
      </c>
      <c r="G126" s="245" t="e">
        <f>IF(C126&lt;&gt;"",VLOOKUP("M"&amp;C126,'EXP. ESP.'!$A$20:$V$6999,17,0),"")</f>
        <v>#N/A</v>
      </c>
      <c r="H126" s="342" t="e">
        <f>IF(C126&lt;&gt;"",VLOOKUP("P"&amp;C126,'EXP. ESP.'!$A$20:$V$6999,16,0),"")</f>
        <v>#N/A</v>
      </c>
      <c r="I126" s="135" t="e">
        <f t="shared" si="10"/>
        <v>#N/A</v>
      </c>
      <c r="J126" s="352" t="e">
        <f>IF(C126&lt;&gt;"",ROUND(VLOOKUP("S"&amp;C126,'EXP. ESP.'!$A$20:$V$6999,16,0)/$K$14,3),"")</f>
        <v>#N/A</v>
      </c>
      <c r="K126" s="135" t="e">
        <f t="shared" si="7"/>
        <v>#N/A</v>
      </c>
      <c r="L126" s="135" t="e">
        <f>IF(C126&lt;&gt;"",VLOOKUP(C126,HAB.GEN.!$C$19:$K$218,9,FALSE),"")</f>
        <v>#N/A</v>
      </c>
      <c r="M126" s="514" t="e">
        <f t="shared" si="11"/>
        <v>#N/A</v>
      </c>
      <c r="N126" s="351" t="str">
        <f t="shared" si="9"/>
        <v>HÁBIL</v>
      </c>
      <c r="P126" s="427"/>
    </row>
    <row r="127" spans="2:16" ht="13.5" hidden="1">
      <c r="B127" s="231">
        <v>101</v>
      </c>
      <c r="C127" s="129" t="e">
        <f>IF(VLOOKUP(B127,PROPONENTES!$B$19:$E$219,2,0)="","",VLOOKUP(B127,PROPONENTES!$B$19:$E$219,2,0))</f>
        <v>#N/A</v>
      </c>
      <c r="D127" s="130" t="e">
        <f>IF(VLOOKUP(B127,PROPONENTES!$B$19:$E$218,3,0)="","",VLOOKUP(B127,PROPONENTES!$B$19:$E$218,3,0))</f>
        <v>#N/A</v>
      </c>
      <c r="E127" s="130" t="e">
        <f>IF(VLOOKUP(B127,PROPONENTES!$B$19:$E$218,4,0)="","",IF(VLOOKUP(B127,PROPONENTES!$B$19:$E$218,4,0)&gt;1,"SI","NO"))</f>
        <v>#N/A</v>
      </c>
      <c r="F127" s="135" t="e">
        <f>IF(C127&lt;&gt;"",IF(E127="SI",VLOOKUP("T"&amp;C127,'EXP. ESP.'!$A$20:$V$6999,11,0),"NO APLICA"),"")</f>
        <v>#N/A</v>
      </c>
      <c r="G127" s="245" t="e">
        <f>IF(C127&lt;&gt;"",VLOOKUP("M"&amp;C127,'EXP. ESP.'!$A$20:$V$6999,17,0),"")</f>
        <v>#N/A</v>
      </c>
      <c r="H127" s="342" t="e">
        <f>IF(C127&lt;&gt;"",VLOOKUP("P"&amp;C127,'EXP. ESP.'!$A$20:$V$6999,16,0),"")</f>
        <v>#N/A</v>
      </c>
      <c r="I127" s="135" t="e">
        <f t="shared" si="10"/>
        <v>#N/A</v>
      </c>
      <c r="J127" s="352" t="e">
        <f>IF(C127&lt;&gt;"",ROUND(VLOOKUP("S"&amp;C127,'EXP. ESP.'!$A$20:$V$6999,16,0)/$K$14,3),"")</f>
        <v>#N/A</v>
      </c>
      <c r="K127" s="135" t="e">
        <f t="shared" si="7"/>
        <v>#N/A</v>
      </c>
      <c r="L127" s="135" t="e">
        <f>IF(C127&lt;&gt;"",VLOOKUP(C127,HAB.GEN.!$C$19:$K$218,9,FALSE),"")</f>
        <v>#N/A</v>
      </c>
      <c r="M127" s="514" t="e">
        <f t="shared" si="11"/>
        <v>#N/A</v>
      </c>
      <c r="N127" s="351" t="str">
        <f t="shared" si="9"/>
        <v>HÁBIL</v>
      </c>
      <c r="P127" s="427"/>
    </row>
    <row r="128" spans="2:16" ht="13.5" hidden="1">
      <c r="B128" s="230">
        <v>102</v>
      </c>
      <c r="C128" s="129" t="e">
        <f>IF(VLOOKUP(B128,PROPONENTES!$B$19:$E$219,2,0)="","",VLOOKUP(B128,PROPONENTES!$B$19:$E$219,2,0))</f>
        <v>#N/A</v>
      </c>
      <c r="D128" s="130" t="e">
        <f>IF(VLOOKUP(B128,PROPONENTES!$B$19:$E$218,3,0)="","",VLOOKUP(B128,PROPONENTES!$B$19:$E$218,3,0))</f>
        <v>#N/A</v>
      </c>
      <c r="E128" s="130" t="e">
        <f>IF(VLOOKUP(B128,PROPONENTES!$B$19:$E$218,4,0)="","",IF(VLOOKUP(B128,PROPONENTES!$B$19:$E$218,4,0)&gt;1,"SI","NO"))</f>
        <v>#N/A</v>
      </c>
      <c r="F128" s="135" t="e">
        <f>IF(C128&lt;&gt;"",IF(E128="SI",VLOOKUP("T"&amp;C128,'EXP. ESP.'!$A$20:$V$6999,11,0),"NO APLICA"),"")</f>
        <v>#N/A</v>
      </c>
      <c r="G128" s="245" t="e">
        <f>IF(C128&lt;&gt;"",VLOOKUP("M"&amp;C128,'EXP. ESP.'!$A$20:$V$6999,17,0),"")</f>
        <v>#N/A</v>
      </c>
      <c r="H128" s="342" t="e">
        <f>IF(C128&lt;&gt;"",VLOOKUP("P"&amp;C128,'EXP. ESP.'!$A$20:$V$6999,16,0),"")</f>
        <v>#N/A</v>
      </c>
      <c r="I128" s="135" t="e">
        <f t="shared" si="10"/>
        <v>#N/A</v>
      </c>
      <c r="J128" s="352" t="e">
        <f>IF(C128&lt;&gt;"",ROUND(VLOOKUP("S"&amp;C128,'EXP. ESP.'!$A$20:$V$6999,16,0)/$K$14,3),"")</f>
        <v>#N/A</v>
      </c>
      <c r="K128" s="135" t="e">
        <f t="shared" si="7"/>
        <v>#N/A</v>
      </c>
      <c r="L128" s="135" t="e">
        <f>IF(C128&lt;&gt;"",VLOOKUP(C128,HAB.GEN.!$C$19:$K$218,9,FALSE),"")</f>
        <v>#N/A</v>
      </c>
      <c r="M128" s="514" t="e">
        <f t="shared" si="11"/>
        <v>#N/A</v>
      </c>
      <c r="N128" s="351" t="str">
        <f t="shared" si="9"/>
        <v>HÁBIL</v>
      </c>
      <c r="P128" s="427"/>
    </row>
    <row r="129" spans="2:16" ht="13.5" hidden="1">
      <c r="B129" s="231">
        <v>103</v>
      </c>
      <c r="C129" s="129" t="e">
        <f>IF(VLOOKUP(B129,PROPONENTES!$B$19:$E$219,2,0)="","",VLOOKUP(B129,PROPONENTES!$B$19:$E$219,2,0))</f>
        <v>#N/A</v>
      </c>
      <c r="D129" s="130" t="e">
        <f>IF(VLOOKUP(B129,PROPONENTES!$B$19:$E$218,3,0)="","",VLOOKUP(B129,PROPONENTES!$B$19:$E$218,3,0))</f>
        <v>#N/A</v>
      </c>
      <c r="E129" s="130" t="e">
        <f>IF(VLOOKUP(B129,PROPONENTES!$B$19:$E$218,4,0)="","",IF(VLOOKUP(B129,PROPONENTES!$B$19:$E$218,4,0)&gt;1,"SI","NO"))</f>
        <v>#N/A</v>
      </c>
      <c r="F129" s="135" t="e">
        <f>IF(C129&lt;&gt;"",IF(E129="SI",VLOOKUP("T"&amp;C129,'EXP. ESP.'!$A$20:$V$6999,11,0),"NO APLICA"),"")</f>
        <v>#N/A</v>
      </c>
      <c r="G129" s="245" t="e">
        <f>IF(C129&lt;&gt;"",VLOOKUP("M"&amp;C129,'EXP. ESP.'!$A$20:$V$6999,17,0),"")</f>
        <v>#N/A</v>
      </c>
      <c r="H129" s="342" t="e">
        <f>IF(C129&lt;&gt;"",VLOOKUP("P"&amp;C129,'EXP. ESP.'!$A$20:$V$6999,16,0),"")</f>
        <v>#N/A</v>
      </c>
      <c r="I129" s="135" t="e">
        <f t="shared" si="10"/>
        <v>#N/A</v>
      </c>
      <c r="J129" s="352" t="e">
        <f>IF(C129&lt;&gt;"",ROUND(VLOOKUP("S"&amp;C129,'EXP. ESP.'!$A$20:$V$6999,16,0)/$K$14,3),"")</f>
        <v>#N/A</v>
      </c>
      <c r="K129" s="135" t="e">
        <f t="shared" si="7"/>
        <v>#N/A</v>
      </c>
      <c r="L129" s="135" t="e">
        <f>IF(C129&lt;&gt;"",VLOOKUP(C129,HAB.GEN.!$C$19:$K$218,9,FALSE),"")</f>
        <v>#N/A</v>
      </c>
      <c r="M129" s="514" t="e">
        <f t="shared" si="11"/>
        <v>#N/A</v>
      </c>
      <c r="N129" s="351" t="str">
        <f t="shared" si="9"/>
        <v>HÁBIL</v>
      </c>
      <c r="P129" s="427"/>
    </row>
    <row r="130" spans="2:16" ht="13.5" hidden="1">
      <c r="B130" s="231">
        <v>104</v>
      </c>
      <c r="C130" s="129" t="e">
        <f>IF(VLOOKUP(B130,PROPONENTES!$B$19:$E$219,2,0)="","",VLOOKUP(B130,PROPONENTES!$B$19:$E$219,2,0))</f>
        <v>#N/A</v>
      </c>
      <c r="D130" s="130" t="e">
        <f>IF(VLOOKUP(B130,PROPONENTES!$B$19:$E$218,3,0)="","",VLOOKUP(B130,PROPONENTES!$B$19:$E$218,3,0))</f>
        <v>#N/A</v>
      </c>
      <c r="E130" s="130" t="e">
        <f>IF(VLOOKUP(B130,PROPONENTES!$B$19:$E$218,4,0)="","",IF(VLOOKUP(B130,PROPONENTES!$B$19:$E$218,4,0)&gt;1,"SI","NO"))</f>
        <v>#N/A</v>
      </c>
      <c r="F130" s="135" t="e">
        <f>IF(C130&lt;&gt;"",IF(E130="SI",VLOOKUP("T"&amp;C130,'EXP. ESP.'!$A$20:$V$6999,11,0),"NO APLICA"),"")</f>
        <v>#N/A</v>
      </c>
      <c r="G130" s="245" t="e">
        <f>IF(C130&lt;&gt;"",VLOOKUP("M"&amp;C130,'EXP. ESP.'!$A$20:$V$6999,17,0),"")</f>
        <v>#N/A</v>
      </c>
      <c r="H130" s="342" t="e">
        <f>IF(C130&lt;&gt;"",VLOOKUP("P"&amp;C130,'EXP. ESP.'!$A$20:$V$6999,16,0),"")</f>
        <v>#N/A</v>
      </c>
      <c r="I130" s="135" t="e">
        <f t="shared" si="10"/>
        <v>#N/A</v>
      </c>
      <c r="J130" s="352" t="e">
        <f>IF(C130&lt;&gt;"",ROUND(VLOOKUP("S"&amp;C130,'EXP. ESP.'!$A$20:$V$6999,16,0)/$K$14,3),"")</f>
        <v>#N/A</v>
      </c>
      <c r="K130" s="135" t="e">
        <f t="shared" si="7"/>
        <v>#N/A</v>
      </c>
      <c r="L130" s="135" t="e">
        <f>IF(C130&lt;&gt;"",VLOOKUP(C130,HAB.GEN.!$C$19:$K$218,9,FALSE),"")</f>
        <v>#N/A</v>
      </c>
      <c r="M130" s="514" t="e">
        <f t="shared" si="11"/>
        <v>#N/A</v>
      </c>
      <c r="N130" s="351" t="str">
        <f t="shared" si="9"/>
        <v>HÁBIL</v>
      </c>
      <c r="P130" s="427"/>
    </row>
    <row r="131" spans="2:16" ht="13.5" hidden="1">
      <c r="B131" s="231">
        <v>105</v>
      </c>
      <c r="C131" s="129" t="e">
        <f>IF(VLOOKUP(B131,PROPONENTES!$B$19:$E$219,2,0)="","",VLOOKUP(B131,PROPONENTES!$B$19:$E$219,2,0))</f>
        <v>#N/A</v>
      </c>
      <c r="D131" s="130" t="e">
        <f>IF(VLOOKUP(B131,PROPONENTES!$B$19:$E$218,3,0)="","",VLOOKUP(B131,PROPONENTES!$B$19:$E$218,3,0))</f>
        <v>#N/A</v>
      </c>
      <c r="E131" s="130" t="e">
        <f>IF(VLOOKUP(B131,PROPONENTES!$B$19:$E$218,4,0)="","",IF(VLOOKUP(B131,PROPONENTES!$B$19:$E$218,4,0)&gt;1,"SI","NO"))</f>
        <v>#N/A</v>
      </c>
      <c r="F131" s="135" t="e">
        <f>IF(C131&lt;&gt;"",IF(E131="SI",VLOOKUP("T"&amp;C131,'EXP. ESP.'!$A$20:$V$6999,11,0),"NO APLICA"),"")</f>
        <v>#N/A</v>
      </c>
      <c r="G131" s="245" t="e">
        <f>IF(C131&lt;&gt;"",VLOOKUP("M"&amp;C131,'EXP. ESP.'!$A$20:$V$6999,17,0),"")</f>
        <v>#N/A</v>
      </c>
      <c r="H131" s="342" t="e">
        <f>IF(C131&lt;&gt;"",VLOOKUP("P"&amp;C131,'EXP. ESP.'!$A$20:$V$6999,16,0),"")</f>
        <v>#N/A</v>
      </c>
      <c r="I131" s="135" t="e">
        <f t="shared" si="10"/>
        <v>#N/A</v>
      </c>
      <c r="J131" s="352" t="e">
        <f>IF(C131&lt;&gt;"",ROUND(VLOOKUP("S"&amp;C131,'EXP. ESP.'!$A$20:$V$6999,16,0)/$K$14,3),"")</f>
        <v>#N/A</v>
      </c>
      <c r="K131" s="135" t="e">
        <f t="shared" si="7"/>
        <v>#N/A</v>
      </c>
      <c r="L131" s="135" t="e">
        <f>IF(C131&lt;&gt;"",VLOOKUP(C131,HAB.GEN.!$C$19:$K$218,9,FALSE),"")</f>
        <v>#N/A</v>
      </c>
      <c r="M131" s="514" t="e">
        <f t="shared" si="11"/>
        <v>#N/A</v>
      </c>
      <c r="N131" s="351" t="str">
        <f t="shared" si="9"/>
        <v>HÁBIL</v>
      </c>
      <c r="P131" s="427"/>
    </row>
    <row r="132" spans="2:16" ht="13.5" hidden="1">
      <c r="B132" s="231">
        <v>106</v>
      </c>
      <c r="C132" s="129" t="e">
        <f>IF(VLOOKUP(B132,PROPONENTES!$B$19:$E$219,2,0)="","",VLOOKUP(B132,PROPONENTES!$B$19:$E$219,2,0))</f>
        <v>#N/A</v>
      </c>
      <c r="D132" s="130" t="e">
        <f>IF(VLOOKUP(B132,PROPONENTES!$B$19:$E$218,3,0)="","",VLOOKUP(B132,PROPONENTES!$B$19:$E$218,3,0))</f>
        <v>#N/A</v>
      </c>
      <c r="E132" s="130" t="e">
        <f>IF(VLOOKUP(B132,PROPONENTES!$B$19:$E$218,4,0)="","",IF(VLOOKUP(B132,PROPONENTES!$B$19:$E$218,4,0)&gt;1,"SI","NO"))</f>
        <v>#N/A</v>
      </c>
      <c r="F132" s="135" t="e">
        <f>IF(C132&lt;&gt;"",IF(E132="SI",VLOOKUP("T"&amp;C132,'EXP. ESP.'!$A$20:$V$6999,11,0),"NO APLICA"),"")</f>
        <v>#N/A</v>
      </c>
      <c r="G132" s="245" t="e">
        <f>IF(C132&lt;&gt;"",VLOOKUP("M"&amp;C132,'EXP. ESP.'!$A$20:$V$6999,17,0),"")</f>
        <v>#N/A</v>
      </c>
      <c r="H132" s="342" t="e">
        <f>IF(C132&lt;&gt;"",VLOOKUP("P"&amp;C132,'EXP. ESP.'!$A$20:$V$6999,16,0),"")</f>
        <v>#N/A</v>
      </c>
      <c r="I132" s="135" t="e">
        <f t="shared" si="10"/>
        <v>#N/A</v>
      </c>
      <c r="J132" s="352" t="e">
        <f>IF(C132&lt;&gt;"",ROUND(VLOOKUP("S"&amp;C132,'EXP. ESP.'!$A$20:$V$6999,16,0)/$K$14,3),"")</f>
        <v>#N/A</v>
      </c>
      <c r="K132" s="135" t="e">
        <f t="shared" si="7"/>
        <v>#N/A</v>
      </c>
      <c r="L132" s="135" t="e">
        <f>IF(C132&lt;&gt;"",VLOOKUP(C132,HAB.GEN.!$C$19:$K$218,9,FALSE),"")</f>
        <v>#N/A</v>
      </c>
      <c r="M132" s="514" t="e">
        <f t="shared" si="11"/>
        <v>#N/A</v>
      </c>
      <c r="N132" s="351" t="str">
        <f t="shared" si="9"/>
        <v>HÁBIL</v>
      </c>
      <c r="P132" s="427"/>
    </row>
    <row r="133" spans="2:16" ht="13.5" hidden="1">
      <c r="B133" s="230">
        <v>107</v>
      </c>
      <c r="C133" s="129" t="e">
        <f>IF(VLOOKUP(B133,PROPONENTES!$B$19:$E$219,2,0)="","",VLOOKUP(B133,PROPONENTES!$B$19:$E$219,2,0))</f>
        <v>#N/A</v>
      </c>
      <c r="D133" s="130" t="e">
        <f>IF(VLOOKUP(B133,PROPONENTES!$B$19:$E$218,3,0)="","",VLOOKUP(B133,PROPONENTES!$B$19:$E$218,3,0))</f>
        <v>#N/A</v>
      </c>
      <c r="E133" s="130" t="e">
        <f>IF(VLOOKUP(B133,PROPONENTES!$B$19:$E$218,4,0)="","",IF(VLOOKUP(B133,PROPONENTES!$B$19:$E$218,4,0)&gt;1,"SI","NO"))</f>
        <v>#N/A</v>
      </c>
      <c r="F133" s="135" t="e">
        <f>IF(C133&lt;&gt;"",IF(E133="SI",VLOOKUP("T"&amp;C133,'EXP. ESP.'!$A$20:$V$6999,11,0),"NO APLICA"),"")</f>
        <v>#N/A</v>
      </c>
      <c r="G133" s="245" t="e">
        <f>IF(C133&lt;&gt;"",VLOOKUP("M"&amp;C133,'EXP. ESP.'!$A$20:$V$6999,17,0),"")</f>
        <v>#N/A</v>
      </c>
      <c r="H133" s="342" t="e">
        <f>IF(C133&lt;&gt;"",VLOOKUP("P"&amp;C133,'EXP. ESP.'!$A$20:$V$6999,16,0),"")</f>
        <v>#N/A</v>
      </c>
      <c r="I133" s="135" t="e">
        <f t="shared" si="10"/>
        <v>#N/A</v>
      </c>
      <c r="J133" s="352" t="e">
        <f>IF(C133&lt;&gt;"",ROUND(VLOOKUP("S"&amp;C133,'EXP. ESP.'!$A$20:$V$6999,16,0)/$K$14,3),"")</f>
        <v>#N/A</v>
      </c>
      <c r="K133" s="135" t="e">
        <f t="shared" si="7"/>
        <v>#N/A</v>
      </c>
      <c r="L133" s="135" t="e">
        <f>IF(C133&lt;&gt;"",VLOOKUP(C133,HAB.GEN.!$C$19:$K$218,9,FALSE),"")</f>
        <v>#N/A</v>
      </c>
      <c r="M133" s="514" t="e">
        <f t="shared" si="11"/>
        <v>#N/A</v>
      </c>
      <c r="N133" s="351" t="str">
        <f t="shared" si="9"/>
        <v>HÁBIL</v>
      </c>
      <c r="P133" s="427"/>
    </row>
    <row r="134" spans="2:16" ht="13.5" hidden="1">
      <c r="B134" s="231">
        <v>108</v>
      </c>
      <c r="C134" s="129" t="e">
        <f>IF(VLOOKUP(B134,PROPONENTES!$B$19:$E$219,2,0)="","",VLOOKUP(B134,PROPONENTES!$B$19:$E$219,2,0))</f>
        <v>#N/A</v>
      </c>
      <c r="D134" s="130" t="e">
        <f>IF(VLOOKUP(B134,PROPONENTES!$B$19:$E$218,3,0)="","",VLOOKUP(B134,PROPONENTES!$B$19:$E$218,3,0))</f>
        <v>#N/A</v>
      </c>
      <c r="E134" s="130" t="e">
        <f>IF(VLOOKUP(B134,PROPONENTES!$B$19:$E$218,4,0)="","",IF(VLOOKUP(B134,PROPONENTES!$B$19:$E$218,4,0)&gt;1,"SI","NO"))</f>
        <v>#N/A</v>
      </c>
      <c r="F134" s="135" t="e">
        <f>IF(C134&lt;&gt;"",IF(E134="SI",VLOOKUP("T"&amp;C134,'EXP. ESP.'!$A$20:$V$6999,11,0),"NO APLICA"),"")</f>
        <v>#N/A</v>
      </c>
      <c r="G134" s="245" t="e">
        <f>IF(C134&lt;&gt;"",VLOOKUP("M"&amp;C134,'EXP. ESP.'!$A$20:$V$6999,17,0),"")</f>
        <v>#N/A</v>
      </c>
      <c r="H134" s="342" t="e">
        <f>IF(C134&lt;&gt;"",VLOOKUP("P"&amp;C134,'EXP. ESP.'!$A$20:$V$6999,16,0),"")</f>
        <v>#N/A</v>
      </c>
      <c r="I134" s="135" t="e">
        <f t="shared" si="10"/>
        <v>#N/A</v>
      </c>
      <c r="J134" s="352" t="e">
        <f>IF(C134&lt;&gt;"",ROUND(VLOOKUP("S"&amp;C134,'EXP. ESP.'!$A$20:$V$6999,16,0)/$K$14,3),"")</f>
        <v>#N/A</v>
      </c>
      <c r="K134" s="135" t="e">
        <f t="shared" si="7"/>
        <v>#N/A</v>
      </c>
      <c r="L134" s="135" t="e">
        <f>IF(C134&lt;&gt;"",VLOOKUP(C134,HAB.GEN.!$C$19:$K$218,9,FALSE),"")</f>
        <v>#N/A</v>
      </c>
      <c r="M134" s="514" t="e">
        <f t="shared" si="11"/>
        <v>#N/A</v>
      </c>
      <c r="N134" s="351" t="str">
        <f t="shared" si="9"/>
        <v>HÁBIL</v>
      </c>
      <c r="P134" s="427"/>
    </row>
    <row r="135" spans="2:16" ht="13.5" hidden="1">
      <c r="B135" s="231">
        <v>109</v>
      </c>
      <c r="C135" s="129" t="e">
        <f>IF(VLOOKUP(B135,PROPONENTES!$B$19:$E$219,2,0)="","",VLOOKUP(B135,PROPONENTES!$B$19:$E$219,2,0))</f>
        <v>#N/A</v>
      </c>
      <c r="D135" s="130" t="e">
        <f>IF(VLOOKUP(B135,PROPONENTES!$B$19:$E$218,3,0)="","",VLOOKUP(B135,PROPONENTES!$B$19:$E$218,3,0))</f>
        <v>#N/A</v>
      </c>
      <c r="E135" s="130" t="e">
        <f>IF(VLOOKUP(B135,PROPONENTES!$B$19:$E$218,4,0)="","",IF(VLOOKUP(B135,PROPONENTES!$B$19:$E$218,4,0)&gt;1,"SI","NO"))</f>
        <v>#N/A</v>
      </c>
      <c r="F135" s="135" t="e">
        <f>IF(C135&lt;&gt;"",IF(E135="SI",VLOOKUP("T"&amp;C135,'EXP. ESP.'!$A$20:$V$6999,11,0),"NO APLICA"),"")</f>
        <v>#N/A</v>
      </c>
      <c r="G135" s="245" t="e">
        <f>IF(C135&lt;&gt;"",VLOOKUP("M"&amp;C135,'EXP. ESP.'!$A$20:$V$6999,17,0),"")</f>
        <v>#N/A</v>
      </c>
      <c r="H135" s="342" t="e">
        <f>IF(C135&lt;&gt;"",VLOOKUP("P"&amp;C135,'EXP. ESP.'!$A$20:$V$6999,16,0),"")</f>
        <v>#N/A</v>
      </c>
      <c r="I135" s="135" t="e">
        <f t="shared" si="10"/>
        <v>#N/A</v>
      </c>
      <c r="J135" s="352" t="e">
        <f>IF(C135&lt;&gt;"",ROUND(VLOOKUP("S"&amp;C135,'EXP. ESP.'!$A$20:$V$6999,16,0)/$K$14,3),"")</f>
        <v>#N/A</v>
      </c>
      <c r="K135" s="135" t="e">
        <f t="shared" si="7"/>
        <v>#N/A</v>
      </c>
      <c r="L135" s="135" t="e">
        <f>IF(C135&lt;&gt;"",VLOOKUP(C135,HAB.GEN.!$C$19:$K$218,9,FALSE),"")</f>
        <v>#N/A</v>
      </c>
      <c r="M135" s="514" t="e">
        <f t="shared" si="11"/>
        <v>#N/A</v>
      </c>
      <c r="N135" s="351" t="str">
        <f t="shared" si="9"/>
        <v>HÁBIL</v>
      </c>
      <c r="P135" s="427"/>
    </row>
    <row r="136" spans="2:16" ht="13.5" hidden="1">
      <c r="B136" s="231">
        <v>110</v>
      </c>
      <c r="C136" s="129" t="e">
        <f>IF(VLOOKUP(B136,PROPONENTES!$B$19:$E$219,2,0)="","",VLOOKUP(B136,PROPONENTES!$B$19:$E$219,2,0))</f>
        <v>#N/A</v>
      </c>
      <c r="D136" s="130" t="e">
        <f>IF(VLOOKUP(B136,PROPONENTES!$B$19:$E$218,3,0)="","",VLOOKUP(B136,PROPONENTES!$B$19:$E$218,3,0))</f>
        <v>#N/A</v>
      </c>
      <c r="E136" s="130" t="e">
        <f>IF(VLOOKUP(B136,PROPONENTES!$B$19:$E$218,4,0)="","",IF(VLOOKUP(B136,PROPONENTES!$B$19:$E$218,4,0)&gt;1,"SI","NO"))</f>
        <v>#N/A</v>
      </c>
      <c r="F136" s="135" t="e">
        <f>IF(C136&lt;&gt;"",IF(E136="SI",VLOOKUP("T"&amp;C136,'EXP. ESP.'!$A$20:$V$6999,11,0),"NO APLICA"),"")</f>
        <v>#N/A</v>
      </c>
      <c r="G136" s="245" t="e">
        <f>IF(C136&lt;&gt;"",VLOOKUP("M"&amp;C136,'EXP. ESP.'!$A$20:$V$6999,17,0),"")</f>
        <v>#N/A</v>
      </c>
      <c r="H136" s="342" t="e">
        <f>IF(C136&lt;&gt;"",VLOOKUP("P"&amp;C136,'EXP. ESP.'!$A$20:$V$6999,16,0),"")</f>
        <v>#N/A</v>
      </c>
      <c r="I136" s="135" t="e">
        <f t="shared" si="10"/>
        <v>#N/A</v>
      </c>
      <c r="J136" s="352" t="e">
        <f>IF(C136&lt;&gt;"",ROUND(VLOOKUP("S"&amp;C136,'EXP. ESP.'!$A$20:$V$6999,16,0)/$K$14,3),"")</f>
        <v>#N/A</v>
      </c>
      <c r="K136" s="135" t="e">
        <f t="shared" si="7"/>
        <v>#N/A</v>
      </c>
      <c r="L136" s="135" t="e">
        <f>IF(C136&lt;&gt;"",VLOOKUP(C136,HAB.GEN.!$C$19:$K$218,9,FALSE),"")</f>
        <v>#N/A</v>
      </c>
      <c r="M136" s="514" t="e">
        <f t="shared" si="11"/>
        <v>#N/A</v>
      </c>
      <c r="N136" s="351" t="str">
        <f t="shared" si="9"/>
        <v>HÁBIL</v>
      </c>
      <c r="P136" s="427"/>
    </row>
    <row r="137" spans="2:16" ht="13.5" hidden="1">
      <c r="B137" s="231">
        <v>111</v>
      </c>
      <c r="C137" s="129" t="e">
        <f>IF(VLOOKUP(B137,PROPONENTES!$B$19:$E$219,2,0)="","",VLOOKUP(B137,PROPONENTES!$B$19:$E$219,2,0))</f>
        <v>#N/A</v>
      </c>
      <c r="D137" s="130" t="e">
        <f>IF(VLOOKUP(B137,PROPONENTES!$B$19:$E$218,3,0)="","",VLOOKUP(B137,PROPONENTES!$B$19:$E$218,3,0))</f>
        <v>#N/A</v>
      </c>
      <c r="E137" s="130" t="e">
        <f>IF(VLOOKUP(B137,PROPONENTES!$B$19:$E$218,4,0)="","",IF(VLOOKUP(B137,PROPONENTES!$B$19:$E$218,4,0)&gt;1,"SI","NO"))</f>
        <v>#N/A</v>
      </c>
      <c r="F137" s="135" t="e">
        <f>IF(C137&lt;&gt;"",IF(E137="SI",VLOOKUP("T"&amp;C137,'EXP. ESP.'!$A$20:$V$6999,11,0),"NO APLICA"),"")</f>
        <v>#N/A</v>
      </c>
      <c r="G137" s="245" t="e">
        <f>IF(C137&lt;&gt;"",VLOOKUP("M"&amp;C137,'EXP. ESP.'!$A$20:$V$6999,17,0),"")</f>
        <v>#N/A</v>
      </c>
      <c r="H137" s="342" t="e">
        <f>IF(C137&lt;&gt;"",VLOOKUP("P"&amp;C137,'EXP. ESP.'!$A$20:$V$6999,16,0),"")</f>
        <v>#N/A</v>
      </c>
      <c r="I137" s="135" t="e">
        <f t="shared" si="10"/>
        <v>#N/A</v>
      </c>
      <c r="J137" s="352" t="e">
        <f>IF(C137&lt;&gt;"",ROUND(VLOOKUP("S"&amp;C137,'EXP. ESP.'!$A$20:$V$6999,16,0)/$K$14,3),"")</f>
        <v>#N/A</v>
      </c>
      <c r="K137" s="135" t="e">
        <f t="shared" si="7"/>
        <v>#N/A</v>
      </c>
      <c r="L137" s="135" t="e">
        <f>IF(C137&lt;&gt;"",VLOOKUP(C137,HAB.GEN.!$C$19:$K$218,9,FALSE),"")</f>
        <v>#N/A</v>
      </c>
      <c r="M137" s="514" t="e">
        <f t="shared" si="11"/>
        <v>#N/A</v>
      </c>
      <c r="N137" s="351" t="str">
        <f t="shared" si="9"/>
        <v>HÁBIL</v>
      </c>
      <c r="P137" s="427"/>
    </row>
    <row r="138" spans="2:16" ht="13.5" hidden="1">
      <c r="B138" s="230">
        <v>112</v>
      </c>
      <c r="C138" s="129" t="e">
        <f>IF(VLOOKUP(B138,PROPONENTES!$B$19:$E$219,2,0)="","",VLOOKUP(B138,PROPONENTES!$B$19:$E$219,2,0))</f>
        <v>#N/A</v>
      </c>
      <c r="D138" s="130" t="e">
        <f>IF(VLOOKUP(B138,PROPONENTES!$B$19:$E$218,3,0)="","",VLOOKUP(B138,PROPONENTES!$B$19:$E$218,3,0))</f>
        <v>#N/A</v>
      </c>
      <c r="E138" s="130" t="e">
        <f>IF(VLOOKUP(B138,PROPONENTES!$B$19:$E$218,4,0)="","",IF(VLOOKUP(B138,PROPONENTES!$B$19:$E$218,4,0)&gt;1,"SI","NO"))</f>
        <v>#N/A</v>
      </c>
      <c r="F138" s="135" t="e">
        <f>IF(C138&lt;&gt;"",IF(E138="SI",VLOOKUP("T"&amp;C138,'EXP. ESP.'!$A$20:$V$6999,11,0),"NO APLICA"),"")</f>
        <v>#N/A</v>
      </c>
      <c r="G138" s="245" t="e">
        <f>IF(C138&lt;&gt;"",VLOOKUP("M"&amp;C138,'EXP. ESP.'!$A$20:$V$6999,17,0),"")</f>
        <v>#N/A</v>
      </c>
      <c r="H138" s="342" t="e">
        <f>IF(C138&lt;&gt;"",VLOOKUP("P"&amp;C138,'EXP. ESP.'!$A$20:$V$6999,16,0),"")</f>
        <v>#N/A</v>
      </c>
      <c r="I138" s="135" t="e">
        <f t="shared" si="10"/>
        <v>#N/A</v>
      </c>
      <c r="J138" s="352" t="e">
        <f>IF(C138&lt;&gt;"",ROUND(VLOOKUP("S"&amp;C138,'EXP. ESP.'!$A$20:$V$6999,16,0)/$K$14,3),"")</f>
        <v>#N/A</v>
      </c>
      <c r="K138" s="135" t="e">
        <f t="shared" si="7"/>
        <v>#N/A</v>
      </c>
      <c r="L138" s="135" t="e">
        <f>IF(C138&lt;&gt;"",VLOOKUP(C138,HAB.GEN.!$C$19:$K$218,9,FALSE),"")</f>
        <v>#N/A</v>
      </c>
      <c r="M138" s="514" t="e">
        <f t="shared" si="11"/>
        <v>#N/A</v>
      </c>
      <c r="N138" s="351" t="str">
        <f t="shared" si="9"/>
        <v>HÁBIL</v>
      </c>
      <c r="P138" s="427"/>
    </row>
    <row r="139" spans="2:16" ht="13.5" hidden="1">
      <c r="B139" s="231">
        <v>113</v>
      </c>
      <c r="C139" s="129" t="e">
        <f>IF(VLOOKUP(B139,PROPONENTES!$B$19:$E$219,2,0)="","",VLOOKUP(B139,PROPONENTES!$B$19:$E$219,2,0))</f>
        <v>#N/A</v>
      </c>
      <c r="D139" s="130" t="e">
        <f>IF(VLOOKUP(B139,PROPONENTES!$B$19:$E$218,3,0)="","",VLOOKUP(B139,PROPONENTES!$B$19:$E$218,3,0))</f>
        <v>#N/A</v>
      </c>
      <c r="E139" s="130" t="e">
        <f>IF(VLOOKUP(B139,PROPONENTES!$B$19:$E$218,4,0)="","",IF(VLOOKUP(B139,PROPONENTES!$B$19:$E$218,4,0)&gt;1,"SI","NO"))</f>
        <v>#N/A</v>
      </c>
      <c r="F139" s="135" t="e">
        <f>IF(C139&lt;&gt;"",IF(E139="SI",VLOOKUP("T"&amp;C139,'EXP. ESP.'!$A$20:$V$6999,11,0),"NO APLICA"),"")</f>
        <v>#N/A</v>
      </c>
      <c r="G139" s="245" t="e">
        <f>IF(C139&lt;&gt;"",VLOOKUP("M"&amp;C139,'EXP. ESP.'!$A$20:$V$6999,17,0),"")</f>
        <v>#N/A</v>
      </c>
      <c r="H139" s="342" t="e">
        <f>IF(C139&lt;&gt;"",VLOOKUP("P"&amp;C139,'EXP. ESP.'!$A$20:$V$6999,16,0),"")</f>
        <v>#N/A</v>
      </c>
      <c r="I139" s="135" t="e">
        <f t="shared" si="10"/>
        <v>#N/A</v>
      </c>
      <c r="J139" s="352" t="e">
        <f>IF(C139&lt;&gt;"",ROUND(VLOOKUP("S"&amp;C139,'EXP. ESP.'!$A$20:$V$6999,16,0)/$K$14,3),"")</f>
        <v>#N/A</v>
      </c>
      <c r="K139" s="135" t="e">
        <f t="shared" si="7"/>
        <v>#N/A</v>
      </c>
      <c r="L139" s="135" t="e">
        <f>IF(C139&lt;&gt;"",VLOOKUP(C139,HAB.GEN.!$C$19:$K$218,9,FALSE),"")</f>
        <v>#N/A</v>
      </c>
      <c r="M139" s="514" t="e">
        <f t="shared" si="11"/>
        <v>#N/A</v>
      </c>
      <c r="N139" s="351" t="str">
        <f t="shared" si="9"/>
        <v>HÁBIL</v>
      </c>
      <c r="P139" s="427"/>
    </row>
    <row r="140" spans="2:16" ht="13.5" hidden="1">
      <c r="B140" s="231">
        <v>114</v>
      </c>
      <c r="C140" s="129" t="e">
        <f>IF(VLOOKUP(B140,PROPONENTES!$B$19:$E$219,2,0)="","",VLOOKUP(B140,PROPONENTES!$B$19:$E$219,2,0))</f>
        <v>#N/A</v>
      </c>
      <c r="D140" s="130" t="e">
        <f>IF(VLOOKUP(B140,PROPONENTES!$B$19:$E$218,3,0)="","",VLOOKUP(B140,PROPONENTES!$B$19:$E$218,3,0))</f>
        <v>#N/A</v>
      </c>
      <c r="E140" s="130" t="e">
        <f>IF(VLOOKUP(B140,PROPONENTES!$B$19:$E$218,4,0)="","",IF(VLOOKUP(B140,PROPONENTES!$B$19:$E$218,4,0)&gt;1,"SI","NO"))</f>
        <v>#N/A</v>
      </c>
      <c r="F140" s="135" t="e">
        <f>IF(C140&lt;&gt;"",IF(E140="SI",VLOOKUP("T"&amp;C140,'EXP. ESP.'!$A$20:$V$6999,11,0),"NO APLICA"),"")</f>
        <v>#N/A</v>
      </c>
      <c r="G140" s="245" t="e">
        <f>IF(C140&lt;&gt;"",VLOOKUP("M"&amp;C140,'EXP. ESP.'!$A$20:$V$6999,17,0),"")</f>
        <v>#N/A</v>
      </c>
      <c r="H140" s="342" t="e">
        <f>IF(C140&lt;&gt;"",VLOOKUP("P"&amp;C140,'EXP. ESP.'!$A$20:$V$6999,16,0),"")</f>
        <v>#N/A</v>
      </c>
      <c r="I140" s="135" t="e">
        <f t="shared" si="10"/>
        <v>#N/A</v>
      </c>
      <c r="J140" s="352" t="e">
        <f>IF(C140&lt;&gt;"",ROUND(VLOOKUP("S"&amp;C140,'EXP. ESP.'!$A$20:$V$6999,16,0)/$K$14,3),"")</f>
        <v>#N/A</v>
      </c>
      <c r="K140" s="135" t="e">
        <f t="shared" si="7"/>
        <v>#N/A</v>
      </c>
      <c r="L140" s="135" t="e">
        <f>IF(C140&lt;&gt;"",VLOOKUP(C140,HAB.GEN.!$C$19:$K$218,9,FALSE),"")</f>
        <v>#N/A</v>
      </c>
      <c r="M140" s="514" t="e">
        <f t="shared" si="11"/>
        <v>#N/A</v>
      </c>
      <c r="N140" s="351" t="str">
        <f t="shared" si="9"/>
        <v>HÁBIL</v>
      </c>
      <c r="P140" s="427"/>
    </row>
    <row r="141" spans="2:16" ht="13.5" hidden="1">
      <c r="B141" s="231">
        <v>115</v>
      </c>
      <c r="C141" s="129" t="e">
        <f>IF(VLOOKUP(B141,PROPONENTES!$B$19:$E$219,2,0)="","",VLOOKUP(B141,PROPONENTES!$B$19:$E$219,2,0))</f>
        <v>#N/A</v>
      </c>
      <c r="D141" s="130" t="e">
        <f>IF(VLOOKUP(B141,PROPONENTES!$B$19:$E$218,3,0)="","",VLOOKUP(B141,PROPONENTES!$B$19:$E$218,3,0))</f>
        <v>#N/A</v>
      </c>
      <c r="E141" s="130" t="e">
        <f>IF(VLOOKUP(B141,PROPONENTES!$B$19:$E$218,4,0)="","",IF(VLOOKUP(B141,PROPONENTES!$B$19:$E$218,4,0)&gt;1,"SI","NO"))</f>
        <v>#N/A</v>
      </c>
      <c r="F141" s="135" t="e">
        <f>IF(C141&lt;&gt;"",IF(E141="SI",VLOOKUP("T"&amp;C141,'EXP. ESP.'!$A$20:$V$6999,11,0),"NO APLICA"),"")</f>
        <v>#N/A</v>
      </c>
      <c r="G141" s="245" t="e">
        <f>IF(C141&lt;&gt;"",VLOOKUP("M"&amp;C141,'EXP. ESP.'!$A$20:$V$6999,17,0),"")</f>
        <v>#N/A</v>
      </c>
      <c r="H141" s="342" t="e">
        <f>IF(C141&lt;&gt;"",VLOOKUP("P"&amp;C141,'EXP. ESP.'!$A$20:$V$6999,16,0),"")</f>
        <v>#N/A</v>
      </c>
      <c r="I141" s="135" t="e">
        <f t="shared" si="10"/>
        <v>#N/A</v>
      </c>
      <c r="J141" s="352" t="e">
        <f>IF(C141&lt;&gt;"",ROUND(VLOOKUP("S"&amp;C141,'EXP. ESP.'!$A$20:$V$6999,16,0)/$K$14,3),"")</f>
        <v>#N/A</v>
      </c>
      <c r="K141" s="135" t="e">
        <f t="shared" si="7"/>
        <v>#N/A</v>
      </c>
      <c r="L141" s="135" t="e">
        <f>IF(C141&lt;&gt;"",VLOOKUP(C141,HAB.GEN.!$C$19:$K$218,9,FALSE),"")</f>
        <v>#N/A</v>
      </c>
      <c r="M141" s="514" t="e">
        <f t="shared" si="11"/>
        <v>#N/A</v>
      </c>
      <c r="N141" s="351" t="str">
        <f t="shared" si="9"/>
        <v>HÁBIL</v>
      </c>
      <c r="P141" s="427"/>
    </row>
    <row r="142" spans="2:16" ht="13.5" hidden="1">
      <c r="B142" s="231">
        <v>116</v>
      </c>
      <c r="C142" s="129" t="e">
        <f>IF(VLOOKUP(B142,PROPONENTES!$B$19:$E$219,2,0)="","",VLOOKUP(B142,PROPONENTES!$B$19:$E$219,2,0))</f>
        <v>#N/A</v>
      </c>
      <c r="D142" s="130" t="e">
        <f>IF(VLOOKUP(B142,PROPONENTES!$B$19:$E$218,3,0)="","",VLOOKUP(B142,PROPONENTES!$B$19:$E$218,3,0))</f>
        <v>#N/A</v>
      </c>
      <c r="E142" s="130" t="e">
        <f>IF(VLOOKUP(B142,PROPONENTES!$B$19:$E$218,4,0)="","",IF(VLOOKUP(B142,PROPONENTES!$B$19:$E$218,4,0)&gt;1,"SI","NO"))</f>
        <v>#N/A</v>
      </c>
      <c r="F142" s="135" t="e">
        <f>IF(C142&lt;&gt;"",IF(E142="SI",VLOOKUP("T"&amp;C142,'EXP. ESP.'!$A$20:$V$6999,11,0),"NO APLICA"),"")</f>
        <v>#N/A</v>
      </c>
      <c r="G142" s="245" t="e">
        <f>IF(C142&lt;&gt;"",VLOOKUP("M"&amp;C142,'EXP. ESP.'!$A$20:$V$6999,17,0),"")</f>
        <v>#N/A</v>
      </c>
      <c r="H142" s="342" t="e">
        <f>IF(C142&lt;&gt;"",VLOOKUP("P"&amp;C142,'EXP. ESP.'!$A$20:$V$6999,16,0),"")</f>
        <v>#N/A</v>
      </c>
      <c r="I142" s="135" t="e">
        <f t="shared" si="10"/>
        <v>#N/A</v>
      </c>
      <c r="J142" s="352" t="e">
        <f>IF(C142&lt;&gt;"",ROUND(VLOOKUP("S"&amp;C142,'EXP. ESP.'!$A$20:$V$6999,16,0)/$K$14,3),"")</f>
        <v>#N/A</v>
      </c>
      <c r="K142" s="135" t="e">
        <f t="shared" si="7"/>
        <v>#N/A</v>
      </c>
      <c r="L142" s="135" t="e">
        <f>IF(C142&lt;&gt;"",VLOOKUP(C142,HAB.GEN.!$C$19:$K$218,9,FALSE),"")</f>
        <v>#N/A</v>
      </c>
      <c r="M142" s="514" t="e">
        <f t="shared" si="11"/>
        <v>#N/A</v>
      </c>
      <c r="N142" s="351" t="str">
        <f t="shared" si="9"/>
        <v>HÁBIL</v>
      </c>
      <c r="P142" s="427"/>
    </row>
    <row r="143" spans="2:16" ht="13.5" hidden="1">
      <c r="B143" s="230">
        <v>117</v>
      </c>
      <c r="C143" s="129" t="e">
        <f>IF(VLOOKUP(B143,PROPONENTES!$B$19:$E$219,2,0)="","",VLOOKUP(B143,PROPONENTES!$B$19:$E$219,2,0))</f>
        <v>#N/A</v>
      </c>
      <c r="D143" s="130" t="e">
        <f>IF(VLOOKUP(B143,PROPONENTES!$B$19:$E$218,3,0)="","",VLOOKUP(B143,PROPONENTES!$B$19:$E$218,3,0))</f>
        <v>#N/A</v>
      </c>
      <c r="E143" s="130" t="e">
        <f>IF(VLOOKUP(B143,PROPONENTES!$B$19:$E$218,4,0)="","",IF(VLOOKUP(B143,PROPONENTES!$B$19:$E$218,4,0)&gt;1,"SI","NO"))</f>
        <v>#N/A</v>
      </c>
      <c r="F143" s="135" t="e">
        <f>IF(C143&lt;&gt;"",IF(E143="SI",VLOOKUP("T"&amp;C143,'EXP. ESP.'!$A$20:$V$6999,11,0),"NO APLICA"),"")</f>
        <v>#N/A</v>
      </c>
      <c r="G143" s="245" t="e">
        <f>IF(C143&lt;&gt;"",VLOOKUP("M"&amp;C143,'EXP. ESP.'!$A$20:$V$6999,17,0),"")</f>
        <v>#N/A</v>
      </c>
      <c r="H143" s="342" t="e">
        <f>IF(C143&lt;&gt;"",VLOOKUP("P"&amp;C143,'EXP. ESP.'!$A$20:$V$6999,16,0),"")</f>
        <v>#N/A</v>
      </c>
      <c r="I143" s="135" t="e">
        <f t="shared" si="10"/>
        <v>#N/A</v>
      </c>
      <c r="J143" s="352" t="e">
        <f>IF(C143&lt;&gt;"",ROUND(VLOOKUP("S"&amp;C143,'EXP. ESP.'!$A$20:$V$6999,16,0)/$K$14,3),"")</f>
        <v>#N/A</v>
      </c>
      <c r="K143" s="135" t="e">
        <f t="shared" si="7"/>
        <v>#N/A</v>
      </c>
      <c r="L143" s="135" t="e">
        <f>IF(C143&lt;&gt;"",VLOOKUP(C143,HAB.GEN.!$C$19:$K$218,9,FALSE),"")</f>
        <v>#N/A</v>
      </c>
      <c r="M143" s="514" t="e">
        <f t="shared" si="11"/>
        <v>#N/A</v>
      </c>
      <c r="N143" s="351" t="str">
        <f t="shared" si="9"/>
        <v>HÁBIL</v>
      </c>
      <c r="P143" s="427"/>
    </row>
    <row r="144" spans="2:16" ht="13.5" hidden="1">
      <c r="B144" s="231">
        <v>118</v>
      </c>
      <c r="C144" s="129" t="e">
        <f>IF(VLOOKUP(B144,PROPONENTES!$B$19:$E$219,2,0)="","",VLOOKUP(B144,PROPONENTES!$B$19:$E$219,2,0))</f>
        <v>#N/A</v>
      </c>
      <c r="D144" s="130" t="e">
        <f>IF(VLOOKUP(B144,PROPONENTES!$B$19:$E$218,3,0)="","",VLOOKUP(B144,PROPONENTES!$B$19:$E$218,3,0))</f>
        <v>#N/A</v>
      </c>
      <c r="E144" s="130" t="e">
        <f>IF(VLOOKUP(B144,PROPONENTES!$B$19:$E$218,4,0)="","",IF(VLOOKUP(B144,PROPONENTES!$B$19:$E$218,4,0)&gt;1,"SI","NO"))</f>
        <v>#N/A</v>
      </c>
      <c r="F144" s="135" t="e">
        <f>IF(C144&lt;&gt;"",IF(E144="SI",VLOOKUP("T"&amp;C144,'EXP. ESP.'!$A$20:$V$6999,11,0),"NO APLICA"),"")</f>
        <v>#N/A</v>
      </c>
      <c r="G144" s="245" t="e">
        <f>IF(C144&lt;&gt;"",VLOOKUP("M"&amp;C144,'EXP. ESP.'!$A$20:$V$6999,17,0),"")</f>
        <v>#N/A</v>
      </c>
      <c r="H144" s="342" t="e">
        <f>IF(C144&lt;&gt;"",VLOOKUP("P"&amp;C144,'EXP. ESP.'!$A$20:$V$6999,16,0),"")</f>
        <v>#N/A</v>
      </c>
      <c r="I144" s="135" t="e">
        <f t="shared" si="10"/>
        <v>#N/A</v>
      </c>
      <c r="J144" s="352" t="e">
        <f>IF(C144&lt;&gt;"",ROUND(VLOOKUP("S"&amp;C144,'EXP. ESP.'!$A$20:$V$6999,16,0)/$K$14,3),"")</f>
        <v>#N/A</v>
      </c>
      <c r="K144" s="135" t="e">
        <f t="shared" si="7"/>
        <v>#N/A</v>
      </c>
      <c r="L144" s="135" t="e">
        <f>IF(C144&lt;&gt;"",VLOOKUP(C144,HAB.GEN.!$C$19:$K$218,9,FALSE),"")</f>
        <v>#N/A</v>
      </c>
      <c r="M144" s="514" t="e">
        <f t="shared" si="11"/>
        <v>#N/A</v>
      </c>
      <c r="N144" s="351" t="str">
        <f t="shared" si="9"/>
        <v>HÁBIL</v>
      </c>
      <c r="P144" s="427"/>
    </row>
    <row r="145" spans="2:16" ht="13.5" hidden="1">
      <c r="B145" s="231">
        <v>119</v>
      </c>
      <c r="C145" s="129" t="e">
        <f>IF(VLOOKUP(B145,PROPONENTES!$B$19:$E$219,2,0)="","",VLOOKUP(B145,PROPONENTES!$B$19:$E$219,2,0))</f>
        <v>#N/A</v>
      </c>
      <c r="D145" s="130" t="e">
        <f>IF(VLOOKUP(B145,PROPONENTES!$B$19:$E$218,3,0)="","",VLOOKUP(B145,PROPONENTES!$B$19:$E$218,3,0))</f>
        <v>#N/A</v>
      </c>
      <c r="E145" s="130" t="e">
        <f>IF(VLOOKUP(B145,PROPONENTES!$B$19:$E$218,4,0)="","",IF(VLOOKUP(B145,PROPONENTES!$B$19:$E$218,4,0)&gt;1,"SI","NO"))</f>
        <v>#N/A</v>
      </c>
      <c r="F145" s="135" t="e">
        <f>IF(C145&lt;&gt;"",IF(E145="SI",VLOOKUP("T"&amp;C145,'EXP. ESP.'!$A$20:$V$6999,11,0),"NO APLICA"),"")</f>
        <v>#N/A</v>
      </c>
      <c r="G145" s="245" t="e">
        <f>IF(C145&lt;&gt;"",VLOOKUP("M"&amp;C145,'EXP. ESP.'!$A$20:$V$6999,17,0),"")</f>
        <v>#N/A</v>
      </c>
      <c r="H145" s="342" t="e">
        <f>IF(C145&lt;&gt;"",VLOOKUP("P"&amp;C145,'EXP. ESP.'!$A$20:$V$6999,16,0),"")</f>
        <v>#N/A</v>
      </c>
      <c r="I145" s="135" t="e">
        <f t="shared" si="10"/>
        <v>#N/A</v>
      </c>
      <c r="J145" s="352" t="e">
        <f>IF(C145&lt;&gt;"",ROUND(VLOOKUP("S"&amp;C145,'EXP. ESP.'!$A$20:$V$6999,16,0)/$K$14,3),"")</f>
        <v>#N/A</v>
      </c>
      <c r="K145" s="135" t="e">
        <f t="shared" si="7"/>
        <v>#N/A</v>
      </c>
      <c r="L145" s="135" t="e">
        <f>IF(C145&lt;&gt;"",VLOOKUP(C145,HAB.GEN.!$C$19:$K$218,9,FALSE),"")</f>
        <v>#N/A</v>
      </c>
      <c r="M145" s="514" t="e">
        <f t="shared" si="11"/>
        <v>#N/A</v>
      </c>
      <c r="N145" s="351" t="str">
        <f t="shared" si="9"/>
        <v>HÁBIL</v>
      </c>
      <c r="P145" s="427"/>
    </row>
    <row r="146" spans="2:16" ht="13.5" hidden="1">
      <c r="B146" s="231">
        <v>120</v>
      </c>
      <c r="C146" s="129" t="e">
        <f>IF(VLOOKUP(B146,PROPONENTES!$B$19:$E$219,2,0)="","",VLOOKUP(B146,PROPONENTES!$B$19:$E$219,2,0))</f>
        <v>#N/A</v>
      </c>
      <c r="D146" s="130" t="e">
        <f>IF(VLOOKUP(B146,PROPONENTES!$B$19:$E$218,3,0)="","",VLOOKUP(B146,PROPONENTES!$B$19:$E$218,3,0))</f>
        <v>#N/A</v>
      </c>
      <c r="E146" s="130" t="e">
        <f>IF(VLOOKUP(B146,PROPONENTES!$B$19:$E$218,4,0)="","",IF(VLOOKUP(B146,PROPONENTES!$B$19:$E$218,4,0)&gt;1,"SI","NO"))</f>
        <v>#N/A</v>
      </c>
      <c r="F146" s="135" t="e">
        <f>IF(C146&lt;&gt;"",IF(E146="SI",VLOOKUP("T"&amp;C146,'EXP. ESP.'!$A$20:$V$6999,11,0),"NO APLICA"),"")</f>
        <v>#N/A</v>
      </c>
      <c r="G146" s="245" t="e">
        <f>IF(C146&lt;&gt;"",VLOOKUP("M"&amp;C146,'EXP. ESP.'!$A$20:$V$6999,17,0),"")</f>
        <v>#N/A</v>
      </c>
      <c r="H146" s="342" t="e">
        <f>IF(C146&lt;&gt;"",VLOOKUP("P"&amp;C146,'EXP. ESP.'!$A$20:$V$6999,16,0),"")</f>
        <v>#N/A</v>
      </c>
      <c r="I146" s="135" t="e">
        <f t="shared" si="10"/>
        <v>#N/A</v>
      </c>
      <c r="J146" s="352" t="e">
        <f>IF(C146&lt;&gt;"",ROUND(VLOOKUP("S"&amp;C146,'EXP. ESP.'!$A$20:$V$6999,16,0)/$K$14,3),"")</f>
        <v>#N/A</v>
      </c>
      <c r="K146" s="135" t="e">
        <f t="shared" si="7"/>
        <v>#N/A</v>
      </c>
      <c r="L146" s="135" t="e">
        <f>IF(C146&lt;&gt;"",VLOOKUP(C146,HAB.GEN.!$C$19:$K$218,9,FALSE),"")</f>
        <v>#N/A</v>
      </c>
      <c r="M146" s="514" t="e">
        <f t="shared" si="11"/>
        <v>#N/A</v>
      </c>
      <c r="N146" s="351" t="str">
        <f t="shared" si="9"/>
        <v>HÁBIL</v>
      </c>
      <c r="P146" s="427"/>
    </row>
    <row r="147" spans="2:16" ht="13.5" hidden="1">
      <c r="B147" s="231">
        <v>121</v>
      </c>
      <c r="C147" s="129" t="e">
        <f>IF(VLOOKUP(B147,PROPONENTES!$B$19:$E$219,2,0)="","",VLOOKUP(B147,PROPONENTES!$B$19:$E$219,2,0))</f>
        <v>#N/A</v>
      </c>
      <c r="D147" s="130" t="e">
        <f>IF(VLOOKUP(B147,PROPONENTES!$B$19:$E$218,3,0)="","",VLOOKUP(B147,PROPONENTES!$B$19:$E$218,3,0))</f>
        <v>#N/A</v>
      </c>
      <c r="E147" s="130" t="e">
        <f>IF(VLOOKUP(B147,PROPONENTES!$B$19:$E$218,4,0)="","",IF(VLOOKUP(B147,PROPONENTES!$B$19:$E$218,4,0)&gt;1,"SI","NO"))</f>
        <v>#N/A</v>
      </c>
      <c r="F147" s="135" t="e">
        <f>IF(C147&lt;&gt;"",IF(E147="SI",VLOOKUP("T"&amp;C147,'EXP. ESP.'!$A$20:$V$6999,11,0),"NO APLICA"),"")</f>
        <v>#N/A</v>
      </c>
      <c r="G147" s="245" t="e">
        <f>IF(C147&lt;&gt;"",VLOOKUP("M"&amp;C147,'EXP. ESP.'!$A$20:$V$6999,17,0),"")</f>
        <v>#N/A</v>
      </c>
      <c r="H147" s="342" t="e">
        <f>IF(C147&lt;&gt;"",VLOOKUP("P"&amp;C147,'EXP. ESP.'!$A$20:$V$6999,16,0),"")</f>
        <v>#N/A</v>
      </c>
      <c r="I147" s="135" t="e">
        <f t="shared" si="10"/>
        <v>#N/A</v>
      </c>
      <c r="J147" s="352" t="e">
        <f>IF(C147&lt;&gt;"",ROUND(VLOOKUP("S"&amp;C147,'EXP. ESP.'!$A$20:$V$6999,16,0)/$K$14,3),"")</f>
        <v>#N/A</v>
      </c>
      <c r="K147" s="135" t="e">
        <f t="shared" si="7"/>
        <v>#N/A</v>
      </c>
      <c r="L147" s="135" t="e">
        <f>IF(C147&lt;&gt;"",VLOOKUP(C147,HAB.GEN.!$C$19:$K$218,9,FALSE),"")</f>
        <v>#N/A</v>
      </c>
      <c r="M147" s="514" t="e">
        <f t="shared" si="11"/>
        <v>#N/A</v>
      </c>
      <c r="N147" s="351" t="str">
        <f t="shared" si="9"/>
        <v>HÁBIL</v>
      </c>
      <c r="P147" s="427"/>
    </row>
    <row r="148" spans="2:16" ht="13.5" hidden="1">
      <c r="B148" s="230">
        <v>122</v>
      </c>
      <c r="C148" s="129" t="e">
        <f>IF(VLOOKUP(B148,PROPONENTES!$B$19:$E$219,2,0)="","",VLOOKUP(B148,PROPONENTES!$B$19:$E$219,2,0))</f>
        <v>#N/A</v>
      </c>
      <c r="D148" s="130" t="e">
        <f>IF(VLOOKUP(B148,PROPONENTES!$B$19:$E$218,3,0)="","",VLOOKUP(B148,PROPONENTES!$B$19:$E$218,3,0))</f>
        <v>#N/A</v>
      </c>
      <c r="E148" s="130" t="e">
        <f>IF(VLOOKUP(B148,PROPONENTES!$B$19:$E$218,4,0)="","",IF(VLOOKUP(B148,PROPONENTES!$B$19:$E$218,4,0)&gt;1,"SI","NO"))</f>
        <v>#N/A</v>
      </c>
      <c r="F148" s="135" t="e">
        <f>IF(C148&lt;&gt;"",IF(E148="SI",VLOOKUP("T"&amp;C148,'EXP. ESP.'!$A$20:$V$6999,11,0),"NO APLICA"),"")</f>
        <v>#N/A</v>
      </c>
      <c r="G148" s="245" t="e">
        <f>IF(C148&lt;&gt;"",VLOOKUP("M"&amp;C148,'EXP. ESP.'!$A$20:$V$6999,17,0),"")</f>
        <v>#N/A</v>
      </c>
      <c r="H148" s="342" t="e">
        <f>IF(C148&lt;&gt;"",VLOOKUP("P"&amp;C148,'EXP. ESP.'!$A$20:$V$6999,16,0),"")</f>
        <v>#N/A</v>
      </c>
      <c r="I148" s="135" t="e">
        <f t="shared" si="10"/>
        <v>#N/A</v>
      </c>
      <c r="J148" s="352" t="e">
        <f>IF(C148&lt;&gt;"",ROUND(VLOOKUP("S"&amp;C148,'EXP. ESP.'!$A$20:$V$6999,16,0)/$K$14,3),"")</f>
        <v>#N/A</v>
      </c>
      <c r="K148" s="135" t="e">
        <f t="shared" si="7"/>
        <v>#N/A</v>
      </c>
      <c r="L148" s="135" t="e">
        <f>IF(C148&lt;&gt;"",VLOOKUP(C148,HAB.GEN.!$C$19:$K$218,9,FALSE),"")</f>
        <v>#N/A</v>
      </c>
      <c r="M148" s="514" t="e">
        <f t="shared" si="11"/>
        <v>#N/A</v>
      </c>
      <c r="N148" s="351" t="str">
        <f t="shared" si="9"/>
        <v>HÁBIL</v>
      </c>
      <c r="P148" s="427"/>
    </row>
    <row r="149" spans="2:16" ht="13.5" hidden="1">
      <c r="B149" s="231">
        <v>123</v>
      </c>
      <c r="C149" s="129" t="e">
        <f>IF(VLOOKUP(B149,PROPONENTES!$B$19:$E$219,2,0)="","",VLOOKUP(B149,PROPONENTES!$B$19:$E$219,2,0))</f>
        <v>#N/A</v>
      </c>
      <c r="D149" s="130" t="e">
        <f>IF(VLOOKUP(B149,PROPONENTES!$B$19:$E$218,3,0)="","",VLOOKUP(B149,PROPONENTES!$B$19:$E$218,3,0))</f>
        <v>#N/A</v>
      </c>
      <c r="E149" s="130" t="e">
        <f>IF(VLOOKUP(B149,PROPONENTES!$B$19:$E$218,4,0)="","",IF(VLOOKUP(B149,PROPONENTES!$B$19:$E$218,4,0)&gt;1,"SI","NO"))</f>
        <v>#N/A</v>
      </c>
      <c r="F149" s="135" t="e">
        <f>IF(C149&lt;&gt;"",IF(E149="SI",VLOOKUP("T"&amp;C149,'EXP. ESP.'!$A$20:$V$6999,11,0),"NO APLICA"),"")</f>
        <v>#N/A</v>
      </c>
      <c r="G149" s="245" t="e">
        <f>IF(C149&lt;&gt;"",VLOOKUP("M"&amp;C149,'EXP. ESP.'!$A$20:$V$6999,17,0),"")</f>
        <v>#N/A</v>
      </c>
      <c r="H149" s="342" t="e">
        <f>IF(C149&lt;&gt;"",VLOOKUP("P"&amp;C149,'EXP. ESP.'!$A$20:$V$6999,16,0),"")</f>
        <v>#N/A</v>
      </c>
      <c r="I149" s="135" t="e">
        <f t="shared" si="10"/>
        <v>#N/A</v>
      </c>
      <c r="J149" s="352" t="e">
        <f>IF(C149&lt;&gt;"",ROUND(VLOOKUP("S"&amp;C149,'EXP. ESP.'!$A$20:$V$6999,16,0)/$K$14,3),"")</f>
        <v>#N/A</v>
      </c>
      <c r="K149" s="135" t="e">
        <f t="shared" si="7"/>
        <v>#N/A</v>
      </c>
      <c r="L149" s="135" t="e">
        <f>IF(C149&lt;&gt;"",VLOOKUP(C149,HAB.GEN.!$C$19:$K$218,9,FALSE),"")</f>
        <v>#N/A</v>
      </c>
      <c r="M149" s="514" t="e">
        <f t="shared" si="11"/>
        <v>#N/A</v>
      </c>
      <c r="N149" s="351" t="str">
        <f t="shared" si="9"/>
        <v>HÁBIL</v>
      </c>
      <c r="P149" s="427"/>
    </row>
    <row r="150" spans="2:16" ht="13.5" hidden="1">
      <c r="B150" s="231">
        <v>124</v>
      </c>
      <c r="C150" s="129" t="e">
        <f>IF(VLOOKUP(B150,PROPONENTES!$B$19:$E$219,2,0)="","",VLOOKUP(B150,PROPONENTES!$B$19:$E$219,2,0))</f>
        <v>#N/A</v>
      </c>
      <c r="D150" s="130" t="e">
        <f>IF(VLOOKUP(B150,PROPONENTES!$B$19:$E$218,3,0)="","",VLOOKUP(B150,PROPONENTES!$B$19:$E$218,3,0))</f>
        <v>#N/A</v>
      </c>
      <c r="E150" s="130" t="e">
        <f>IF(VLOOKUP(B150,PROPONENTES!$B$19:$E$218,4,0)="","",IF(VLOOKUP(B150,PROPONENTES!$B$19:$E$218,4,0)&gt;1,"SI","NO"))</f>
        <v>#N/A</v>
      </c>
      <c r="F150" s="135" t="e">
        <f>IF(C150&lt;&gt;"",IF(E150="SI",VLOOKUP("T"&amp;C150,'EXP. ESP.'!$A$20:$V$6999,11,0),"NO APLICA"),"")</f>
        <v>#N/A</v>
      </c>
      <c r="G150" s="245" t="e">
        <f>IF(C150&lt;&gt;"",VLOOKUP("M"&amp;C150,'EXP. ESP.'!$A$20:$V$6999,17,0),"")</f>
        <v>#N/A</v>
      </c>
      <c r="H150" s="342" t="e">
        <f>IF(C150&lt;&gt;"",VLOOKUP("P"&amp;C150,'EXP. ESP.'!$A$20:$V$6999,16,0),"")</f>
        <v>#N/A</v>
      </c>
      <c r="I150" s="135" t="e">
        <f t="shared" si="10"/>
        <v>#N/A</v>
      </c>
      <c r="J150" s="352" t="e">
        <f>IF(C150&lt;&gt;"",ROUND(VLOOKUP("S"&amp;C150,'EXP. ESP.'!$A$20:$V$6999,16,0)/$K$14,3),"")</f>
        <v>#N/A</v>
      </c>
      <c r="K150" s="135" t="e">
        <f t="shared" si="7"/>
        <v>#N/A</v>
      </c>
      <c r="L150" s="135" t="e">
        <f>IF(C150&lt;&gt;"",VLOOKUP(C150,HAB.GEN.!$C$19:$K$218,9,FALSE),"")</f>
        <v>#N/A</v>
      </c>
      <c r="M150" s="514" t="e">
        <f t="shared" si="11"/>
        <v>#N/A</v>
      </c>
      <c r="N150" s="351" t="str">
        <f t="shared" si="9"/>
        <v>HÁBIL</v>
      </c>
      <c r="P150" s="427"/>
    </row>
    <row r="151" spans="2:16" ht="13.5" hidden="1">
      <c r="B151" s="231">
        <v>125</v>
      </c>
      <c r="C151" s="129" t="e">
        <f>IF(VLOOKUP(B151,PROPONENTES!$B$19:$E$219,2,0)="","",VLOOKUP(B151,PROPONENTES!$B$19:$E$219,2,0))</f>
        <v>#N/A</v>
      </c>
      <c r="D151" s="130" t="e">
        <f>IF(VLOOKUP(B151,PROPONENTES!$B$19:$E$218,3,0)="","",VLOOKUP(B151,PROPONENTES!$B$19:$E$218,3,0))</f>
        <v>#N/A</v>
      </c>
      <c r="E151" s="130" t="e">
        <f>IF(VLOOKUP(B151,PROPONENTES!$B$19:$E$218,4,0)="","",IF(VLOOKUP(B151,PROPONENTES!$B$19:$E$218,4,0)&gt;1,"SI","NO"))</f>
        <v>#N/A</v>
      </c>
      <c r="F151" s="135" t="e">
        <f>IF(C151&lt;&gt;"",IF(E151="SI",VLOOKUP("T"&amp;C151,'EXP. ESP.'!$A$20:$V$6999,11,0),"NO APLICA"),"")</f>
        <v>#N/A</v>
      </c>
      <c r="G151" s="245" t="e">
        <f>IF(C151&lt;&gt;"",VLOOKUP("M"&amp;C151,'EXP. ESP.'!$A$20:$V$6999,17,0),"")</f>
        <v>#N/A</v>
      </c>
      <c r="H151" s="342" t="e">
        <f>IF(C151&lt;&gt;"",VLOOKUP("P"&amp;C151,'EXP. ESP.'!$A$20:$V$6999,16,0),"")</f>
        <v>#N/A</v>
      </c>
      <c r="I151" s="135" t="e">
        <f t="shared" si="10"/>
        <v>#N/A</v>
      </c>
      <c r="J151" s="352" t="e">
        <f>IF(C151&lt;&gt;"",ROUND(VLOOKUP("S"&amp;C151,'EXP. ESP.'!$A$20:$V$6999,16,0)/$K$14,3),"")</f>
        <v>#N/A</v>
      </c>
      <c r="K151" s="135" t="e">
        <f t="shared" si="7"/>
        <v>#N/A</v>
      </c>
      <c r="L151" s="135" t="e">
        <f>IF(C151&lt;&gt;"",VLOOKUP(C151,HAB.GEN.!$C$19:$K$218,9,FALSE),"")</f>
        <v>#N/A</v>
      </c>
      <c r="M151" s="514" t="e">
        <f t="shared" si="11"/>
        <v>#N/A</v>
      </c>
      <c r="N151" s="351" t="str">
        <f t="shared" si="9"/>
        <v>HÁBIL</v>
      </c>
      <c r="P151" s="427"/>
    </row>
    <row r="152" spans="2:16" ht="13.5" hidden="1">
      <c r="B152" s="231">
        <v>126</v>
      </c>
      <c r="C152" s="129" t="e">
        <f>IF(VLOOKUP(B152,PROPONENTES!$B$19:$E$219,2,0)="","",VLOOKUP(B152,PROPONENTES!$B$19:$E$219,2,0))</f>
        <v>#N/A</v>
      </c>
      <c r="D152" s="130" t="e">
        <f>IF(VLOOKUP(B152,PROPONENTES!$B$19:$E$218,3,0)="","",VLOOKUP(B152,PROPONENTES!$B$19:$E$218,3,0))</f>
        <v>#N/A</v>
      </c>
      <c r="E152" s="130" t="e">
        <f>IF(VLOOKUP(B152,PROPONENTES!$B$19:$E$218,4,0)="","",IF(VLOOKUP(B152,PROPONENTES!$B$19:$E$218,4,0)&gt;1,"SI","NO"))</f>
        <v>#N/A</v>
      </c>
      <c r="F152" s="135" t="e">
        <f>IF(C152&lt;&gt;"",IF(E152="SI",VLOOKUP("T"&amp;C152,'EXP. ESP.'!$A$20:$V$6999,11,0),"NO APLICA"),"")</f>
        <v>#N/A</v>
      </c>
      <c r="G152" s="245" t="e">
        <f>IF(C152&lt;&gt;"",VLOOKUP("M"&amp;C152,'EXP. ESP.'!$A$20:$V$6999,17,0),"")</f>
        <v>#N/A</v>
      </c>
      <c r="H152" s="342" t="e">
        <f>IF(C152&lt;&gt;"",VLOOKUP("P"&amp;C152,'EXP. ESP.'!$A$20:$V$6999,16,0),"")</f>
        <v>#N/A</v>
      </c>
      <c r="I152" s="135" t="e">
        <f t="shared" si="10"/>
        <v>#N/A</v>
      </c>
      <c r="J152" s="352" t="e">
        <f>IF(C152&lt;&gt;"",ROUND(VLOOKUP("S"&amp;C152,'EXP. ESP.'!$A$20:$V$6999,16,0)/$K$14,3),"")</f>
        <v>#N/A</v>
      </c>
      <c r="K152" s="135" t="e">
        <f t="shared" si="7"/>
        <v>#N/A</v>
      </c>
      <c r="L152" s="135" t="e">
        <f>IF(C152&lt;&gt;"",VLOOKUP(C152,HAB.GEN.!$C$19:$K$218,9,FALSE),"")</f>
        <v>#N/A</v>
      </c>
      <c r="M152" s="514" t="e">
        <f t="shared" si="11"/>
        <v>#N/A</v>
      </c>
      <c r="N152" s="351" t="str">
        <f t="shared" si="9"/>
        <v>HÁBIL</v>
      </c>
      <c r="P152" s="427"/>
    </row>
    <row r="153" spans="2:16" ht="13.5" hidden="1">
      <c r="B153" s="230">
        <v>127</v>
      </c>
      <c r="C153" s="129" t="e">
        <f>IF(VLOOKUP(B153,PROPONENTES!$B$19:$E$219,2,0)="","",VLOOKUP(B153,PROPONENTES!$B$19:$E$219,2,0))</f>
        <v>#N/A</v>
      </c>
      <c r="D153" s="130" t="e">
        <f>IF(VLOOKUP(B153,PROPONENTES!$B$19:$E$218,3,0)="","",VLOOKUP(B153,PROPONENTES!$B$19:$E$218,3,0))</f>
        <v>#N/A</v>
      </c>
      <c r="E153" s="130" t="e">
        <f>IF(VLOOKUP(B153,PROPONENTES!$B$19:$E$218,4,0)="","",IF(VLOOKUP(B153,PROPONENTES!$B$19:$E$218,4,0)&gt;1,"SI","NO"))</f>
        <v>#N/A</v>
      </c>
      <c r="F153" s="135" t="e">
        <f>IF(C153&lt;&gt;"",IF(E153="SI",VLOOKUP("T"&amp;C153,'EXP. ESP.'!$A$20:$V$6999,11,0),"NO APLICA"),"")</f>
        <v>#N/A</v>
      </c>
      <c r="G153" s="245" t="e">
        <f>IF(C153&lt;&gt;"",VLOOKUP("M"&amp;C153,'EXP. ESP.'!$A$20:$V$6999,17,0),"")</f>
        <v>#N/A</v>
      </c>
      <c r="H153" s="342" t="e">
        <f>IF(C153&lt;&gt;"",VLOOKUP("P"&amp;C153,'EXP. ESP.'!$A$20:$V$6999,16,0),"")</f>
        <v>#N/A</v>
      </c>
      <c r="I153" s="135" t="e">
        <f t="shared" si="10"/>
        <v>#N/A</v>
      </c>
      <c r="J153" s="352" t="e">
        <f>IF(C153&lt;&gt;"",ROUND(VLOOKUP("S"&amp;C153,'EXP. ESP.'!$A$20:$V$6999,16,0)/$K$14,3),"")</f>
        <v>#N/A</v>
      </c>
      <c r="K153" s="135" t="e">
        <f t="shared" si="7"/>
        <v>#N/A</v>
      </c>
      <c r="L153" s="135" t="e">
        <f>IF(C153&lt;&gt;"",VLOOKUP(C153,HAB.GEN.!$C$19:$K$218,9,FALSE),"")</f>
        <v>#N/A</v>
      </c>
      <c r="M153" s="514" t="e">
        <f t="shared" si="11"/>
        <v>#N/A</v>
      </c>
      <c r="N153" s="351" t="str">
        <f t="shared" si="9"/>
        <v>HÁBIL</v>
      </c>
      <c r="P153" s="427"/>
    </row>
    <row r="154" spans="2:16" ht="13.5" hidden="1">
      <c r="B154" s="231">
        <v>128</v>
      </c>
      <c r="C154" s="129" t="e">
        <f>IF(VLOOKUP(B154,PROPONENTES!$B$19:$E$219,2,0)="","",VLOOKUP(B154,PROPONENTES!$B$19:$E$219,2,0))</f>
        <v>#N/A</v>
      </c>
      <c r="D154" s="130" t="e">
        <f>IF(VLOOKUP(B154,PROPONENTES!$B$19:$E$218,3,0)="","",VLOOKUP(B154,PROPONENTES!$B$19:$E$218,3,0))</f>
        <v>#N/A</v>
      </c>
      <c r="E154" s="130" t="e">
        <f>IF(VLOOKUP(B154,PROPONENTES!$B$19:$E$218,4,0)="","",IF(VLOOKUP(B154,PROPONENTES!$B$19:$E$218,4,0)&gt;1,"SI","NO"))</f>
        <v>#N/A</v>
      </c>
      <c r="F154" s="135" t="e">
        <f>IF(C154&lt;&gt;"",IF(E154="SI",VLOOKUP("T"&amp;C154,'EXP. ESP.'!$A$20:$V$6999,11,0),"NO APLICA"),"")</f>
        <v>#N/A</v>
      </c>
      <c r="G154" s="245" t="e">
        <f>IF(C154&lt;&gt;"",VLOOKUP("M"&amp;C154,'EXP. ESP.'!$A$20:$V$6999,17,0),"")</f>
        <v>#N/A</v>
      </c>
      <c r="H154" s="342" t="e">
        <f>IF(C154&lt;&gt;"",VLOOKUP("P"&amp;C154,'EXP. ESP.'!$A$20:$V$6999,16,0),"")</f>
        <v>#N/A</v>
      </c>
      <c r="I154" s="135" t="e">
        <f t="shared" si="10"/>
        <v>#N/A</v>
      </c>
      <c r="J154" s="352" t="e">
        <f>IF(C154&lt;&gt;"",ROUND(VLOOKUP("S"&amp;C154,'EXP. ESP.'!$A$20:$V$6999,16,0)/$K$14,3),"")</f>
        <v>#N/A</v>
      </c>
      <c r="K154" s="135" t="e">
        <f t="shared" si="7"/>
        <v>#N/A</v>
      </c>
      <c r="L154" s="135" t="e">
        <f>IF(C154&lt;&gt;"",VLOOKUP(C154,HAB.GEN.!$C$19:$K$218,9,FALSE),"")</f>
        <v>#N/A</v>
      </c>
      <c r="M154" s="514" t="e">
        <f t="shared" si="11"/>
        <v>#N/A</v>
      </c>
      <c r="N154" s="351" t="str">
        <f t="shared" si="9"/>
        <v>HÁBIL</v>
      </c>
      <c r="P154" s="427"/>
    </row>
    <row r="155" spans="2:16" ht="13.5" hidden="1">
      <c r="B155" s="231">
        <v>129</v>
      </c>
      <c r="C155" s="129" t="e">
        <f>IF(VLOOKUP(B155,PROPONENTES!$B$19:$E$219,2,0)="","",VLOOKUP(B155,PROPONENTES!$B$19:$E$219,2,0))</f>
        <v>#N/A</v>
      </c>
      <c r="D155" s="130" t="e">
        <f>IF(VLOOKUP(B155,PROPONENTES!$B$19:$E$218,3,0)="","",VLOOKUP(B155,PROPONENTES!$B$19:$E$218,3,0))</f>
        <v>#N/A</v>
      </c>
      <c r="E155" s="130" t="e">
        <f>IF(VLOOKUP(B155,PROPONENTES!$B$19:$E$218,4,0)="","",IF(VLOOKUP(B155,PROPONENTES!$B$19:$E$218,4,0)&gt;1,"SI","NO"))</f>
        <v>#N/A</v>
      </c>
      <c r="F155" s="135" t="e">
        <f>IF(C155&lt;&gt;"",IF(E155="SI",VLOOKUP("T"&amp;C155,'EXP. ESP.'!$A$20:$V$6999,11,0),"NO APLICA"),"")</f>
        <v>#N/A</v>
      </c>
      <c r="G155" s="245" t="e">
        <f>IF(C155&lt;&gt;"",VLOOKUP("M"&amp;C155,'EXP. ESP.'!$A$20:$V$6999,17,0),"")</f>
        <v>#N/A</v>
      </c>
      <c r="H155" s="342" t="e">
        <f>IF(C155&lt;&gt;"",VLOOKUP("P"&amp;C155,'EXP. ESP.'!$A$20:$V$6999,16,0),"")</f>
        <v>#N/A</v>
      </c>
      <c r="I155" s="135" t="e">
        <f t="shared" ref="I155:I186" si="12">IF(C155&lt;&gt;"",IF(AND(G155&gt;=NUMMINCONT,G155&lt;=NUMMAXCONT,H155&gt;$F$15,H155&lt;$F$16,H155&lt;&gt;0),"HÁBIL","NO HÁBIL"),"")</f>
        <v>#N/A</v>
      </c>
      <c r="J155" s="352" t="e">
        <f>IF(C155&lt;&gt;"",ROUND(VLOOKUP("S"&amp;C155,'EXP. ESP.'!$A$20:$V$6999,16,0)/$K$14,3),"")</f>
        <v>#N/A</v>
      </c>
      <c r="K155" s="135" t="e">
        <f t="shared" ref="K155:K218" si="13">IF(C155&lt;&gt;"",IF(AND(G155&gt;=NUMMINCONT,G155&lt;=NUMMAXCONT,J155&lt;$K$18,J155&lt;&gt;0),"HÁBIL","NO HÁBIL"),"")</f>
        <v>#N/A</v>
      </c>
      <c r="L155" s="135" t="e">
        <f>IF(C155&lt;&gt;"",VLOOKUP(C155,HAB.GEN.!$C$19:$K$218,9,FALSE),"")</f>
        <v>#N/A</v>
      </c>
      <c r="M155" s="514" t="e">
        <f t="shared" ref="M155:M186" si="14">IF(AND(G155&gt;=NUMMINCONT,G155&lt;=NUMMAXCONT,P155&lt;&gt;"SI"),IF(OR(I155="",K155=""),"",IF(OR(I155="NO HÁBIL",K155="NO HÁBIL",F155="NO CUMPLE"),"NO HÁBIL","HÁBIL")),"NO HÁBIL")</f>
        <v>#N/A</v>
      </c>
      <c r="N155" s="351" t="str">
        <f t="shared" si="9"/>
        <v>HÁBIL</v>
      </c>
      <c r="P155" s="427"/>
    </row>
    <row r="156" spans="2:16" ht="13.5" hidden="1">
      <c r="B156" s="231">
        <v>130</v>
      </c>
      <c r="C156" s="129" t="e">
        <f>IF(VLOOKUP(B156,PROPONENTES!$B$19:$E$219,2,0)="","",VLOOKUP(B156,PROPONENTES!$B$19:$E$219,2,0))</f>
        <v>#N/A</v>
      </c>
      <c r="D156" s="130" t="e">
        <f>IF(VLOOKUP(B156,PROPONENTES!$B$19:$E$218,3,0)="","",VLOOKUP(B156,PROPONENTES!$B$19:$E$218,3,0))</f>
        <v>#N/A</v>
      </c>
      <c r="E156" s="130" t="e">
        <f>IF(VLOOKUP(B156,PROPONENTES!$B$19:$E$218,4,0)="","",IF(VLOOKUP(B156,PROPONENTES!$B$19:$E$218,4,0)&gt;1,"SI","NO"))</f>
        <v>#N/A</v>
      </c>
      <c r="F156" s="135" t="e">
        <f>IF(C156&lt;&gt;"",IF(E156="SI",VLOOKUP("T"&amp;C156,'EXP. ESP.'!$A$20:$V$6999,11,0),"NO APLICA"),"")</f>
        <v>#N/A</v>
      </c>
      <c r="G156" s="245" t="e">
        <f>IF(C156&lt;&gt;"",VLOOKUP("M"&amp;C156,'EXP. ESP.'!$A$20:$V$6999,17,0),"")</f>
        <v>#N/A</v>
      </c>
      <c r="H156" s="342" t="e">
        <f>IF(C156&lt;&gt;"",VLOOKUP("P"&amp;C156,'EXP. ESP.'!$A$20:$V$6999,16,0),"")</f>
        <v>#N/A</v>
      </c>
      <c r="I156" s="135" t="e">
        <f t="shared" si="12"/>
        <v>#N/A</v>
      </c>
      <c r="J156" s="352" t="e">
        <f>IF(C156&lt;&gt;"",ROUND(VLOOKUP("S"&amp;C156,'EXP. ESP.'!$A$20:$V$6999,16,0)/$K$14,3),"")</f>
        <v>#N/A</v>
      </c>
      <c r="K156" s="135" t="e">
        <f t="shared" si="13"/>
        <v>#N/A</v>
      </c>
      <c r="L156" s="135" t="e">
        <f>IF(C156&lt;&gt;"",VLOOKUP(C156,HAB.GEN.!$C$19:$K$218,9,FALSE),"")</f>
        <v>#N/A</v>
      </c>
      <c r="M156" s="514" t="e">
        <f t="shared" si="14"/>
        <v>#N/A</v>
      </c>
      <c r="N156" s="351" t="str">
        <f t="shared" ref="N156:N219" si="15">IF(OR(COUNTIF(L156:M156,"")=2,COUNTIF(L156:M156,"")&gt;0),"",IF(COUNTIF(L156:M156,"RECHAZO")&gt;0,"RECHAZO",IF(COUNTIF(L156:M156,"NO HÁBIL")=0,"HÁBIL","NO HÁBIL")))</f>
        <v>HÁBIL</v>
      </c>
      <c r="P156" s="427"/>
    </row>
    <row r="157" spans="2:16" ht="13.5" hidden="1">
      <c r="B157" s="231">
        <v>131</v>
      </c>
      <c r="C157" s="129" t="e">
        <f>IF(VLOOKUP(B157,PROPONENTES!$B$19:$E$219,2,0)="","",VLOOKUP(B157,PROPONENTES!$B$19:$E$219,2,0))</f>
        <v>#N/A</v>
      </c>
      <c r="D157" s="130" t="e">
        <f>IF(VLOOKUP(B157,PROPONENTES!$B$19:$E$218,3,0)="","",VLOOKUP(B157,PROPONENTES!$B$19:$E$218,3,0))</f>
        <v>#N/A</v>
      </c>
      <c r="E157" s="130" t="e">
        <f>IF(VLOOKUP(B157,PROPONENTES!$B$19:$E$218,4,0)="","",IF(VLOOKUP(B157,PROPONENTES!$B$19:$E$218,4,0)&gt;1,"SI","NO"))</f>
        <v>#N/A</v>
      </c>
      <c r="F157" s="135" t="e">
        <f>IF(C157&lt;&gt;"",IF(E157="SI",VLOOKUP("T"&amp;C157,'EXP. ESP.'!$A$20:$V$6999,11,0),"NO APLICA"),"")</f>
        <v>#N/A</v>
      </c>
      <c r="G157" s="245" t="e">
        <f>IF(C157&lt;&gt;"",VLOOKUP("M"&amp;C157,'EXP. ESP.'!$A$20:$V$6999,17,0),"")</f>
        <v>#N/A</v>
      </c>
      <c r="H157" s="342" t="e">
        <f>IF(C157&lt;&gt;"",VLOOKUP("P"&amp;C157,'EXP. ESP.'!$A$20:$V$6999,16,0),"")</f>
        <v>#N/A</v>
      </c>
      <c r="I157" s="135" t="e">
        <f t="shared" si="12"/>
        <v>#N/A</v>
      </c>
      <c r="J157" s="352" t="e">
        <f>IF(C157&lt;&gt;"",ROUND(VLOOKUP("S"&amp;C157,'EXP. ESP.'!$A$20:$V$6999,16,0)/$K$14,3),"")</f>
        <v>#N/A</v>
      </c>
      <c r="K157" s="135" t="e">
        <f t="shared" si="13"/>
        <v>#N/A</v>
      </c>
      <c r="L157" s="135" t="e">
        <f>IF(C157&lt;&gt;"",VLOOKUP(C157,HAB.GEN.!$C$19:$K$218,9,FALSE),"")</f>
        <v>#N/A</v>
      </c>
      <c r="M157" s="514" t="e">
        <f t="shared" si="14"/>
        <v>#N/A</v>
      </c>
      <c r="N157" s="351" t="str">
        <f t="shared" si="15"/>
        <v>HÁBIL</v>
      </c>
      <c r="P157" s="427"/>
    </row>
    <row r="158" spans="2:16" ht="13.5" hidden="1">
      <c r="B158" s="230">
        <v>132</v>
      </c>
      <c r="C158" s="129" t="e">
        <f>IF(VLOOKUP(B158,PROPONENTES!$B$19:$E$219,2,0)="","",VLOOKUP(B158,PROPONENTES!$B$19:$E$219,2,0))</f>
        <v>#N/A</v>
      </c>
      <c r="D158" s="130" t="e">
        <f>IF(VLOOKUP(B158,PROPONENTES!$B$19:$E$218,3,0)="","",VLOOKUP(B158,PROPONENTES!$B$19:$E$218,3,0))</f>
        <v>#N/A</v>
      </c>
      <c r="E158" s="130" t="e">
        <f>IF(VLOOKUP(B158,PROPONENTES!$B$19:$E$218,4,0)="","",IF(VLOOKUP(B158,PROPONENTES!$B$19:$E$218,4,0)&gt;1,"SI","NO"))</f>
        <v>#N/A</v>
      </c>
      <c r="F158" s="135" t="e">
        <f>IF(C158&lt;&gt;"",IF(E158="SI",VLOOKUP("T"&amp;C158,'EXP. ESP.'!$A$20:$V$6999,11,0),"NO APLICA"),"")</f>
        <v>#N/A</v>
      </c>
      <c r="G158" s="245" t="e">
        <f>IF(C158&lt;&gt;"",VLOOKUP("M"&amp;C158,'EXP. ESP.'!$A$20:$V$6999,17,0),"")</f>
        <v>#N/A</v>
      </c>
      <c r="H158" s="342" t="e">
        <f>IF(C158&lt;&gt;"",VLOOKUP("P"&amp;C158,'EXP. ESP.'!$A$20:$V$6999,16,0),"")</f>
        <v>#N/A</v>
      </c>
      <c r="I158" s="135" t="e">
        <f t="shared" si="12"/>
        <v>#N/A</v>
      </c>
      <c r="J158" s="352" t="e">
        <f>IF(C158&lt;&gt;"",ROUND(VLOOKUP("S"&amp;C158,'EXP. ESP.'!$A$20:$V$6999,16,0)/$K$14,3),"")</f>
        <v>#N/A</v>
      </c>
      <c r="K158" s="135" t="e">
        <f t="shared" si="13"/>
        <v>#N/A</v>
      </c>
      <c r="L158" s="135" t="e">
        <f>IF(C158&lt;&gt;"",VLOOKUP(C158,HAB.GEN.!$C$19:$K$218,9,FALSE),"")</f>
        <v>#N/A</v>
      </c>
      <c r="M158" s="514" t="e">
        <f t="shared" si="14"/>
        <v>#N/A</v>
      </c>
      <c r="N158" s="351" t="str">
        <f t="shared" si="15"/>
        <v>HÁBIL</v>
      </c>
      <c r="P158" s="427"/>
    </row>
    <row r="159" spans="2:16" ht="13.5" hidden="1">
      <c r="B159" s="231">
        <v>133</v>
      </c>
      <c r="C159" s="129" t="e">
        <f>IF(VLOOKUP(B159,PROPONENTES!$B$19:$E$219,2,0)="","",VLOOKUP(B159,PROPONENTES!$B$19:$E$219,2,0))</f>
        <v>#N/A</v>
      </c>
      <c r="D159" s="130" t="e">
        <f>IF(VLOOKUP(B159,PROPONENTES!$B$19:$E$218,3,0)="","",VLOOKUP(B159,PROPONENTES!$B$19:$E$218,3,0))</f>
        <v>#N/A</v>
      </c>
      <c r="E159" s="130" t="e">
        <f>IF(VLOOKUP(B159,PROPONENTES!$B$19:$E$218,4,0)="","",IF(VLOOKUP(B159,PROPONENTES!$B$19:$E$218,4,0)&gt;1,"SI","NO"))</f>
        <v>#N/A</v>
      </c>
      <c r="F159" s="135" t="e">
        <f>IF(C159&lt;&gt;"",IF(E159="SI",VLOOKUP("T"&amp;C159,'EXP. ESP.'!$A$20:$V$6999,11,0),"NO APLICA"),"")</f>
        <v>#N/A</v>
      </c>
      <c r="G159" s="245" t="e">
        <f>IF(C159&lt;&gt;"",VLOOKUP("M"&amp;C159,'EXP. ESP.'!$A$20:$V$6999,17,0),"")</f>
        <v>#N/A</v>
      </c>
      <c r="H159" s="342" t="e">
        <f>IF(C159&lt;&gt;"",VLOOKUP("P"&amp;C159,'EXP. ESP.'!$A$20:$V$6999,16,0),"")</f>
        <v>#N/A</v>
      </c>
      <c r="I159" s="135" t="e">
        <f t="shared" si="12"/>
        <v>#N/A</v>
      </c>
      <c r="J159" s="352" t="e">
        <f>IF(C159&lt;&gt;"",ROUND(VLOOKUP("S"&amp;C159,'EXP. ESP.'!$A$20:$V$6999,16,0)/$K$14,3),"")</f>
        <v>#N/A</v>
      </c>
      <c r="K159" s="135" t="e">
        <f t="shared" si="13"/>
        <v>#N/A</v>
      </c>
      <c r="L159" s="135" t="e">
        <f>IF(C159&lt;&gt;"",VLOOKUP(C159,HAB.GEN.!$C$19:$K$218,9,FALSE),"")</f>
        <v>#N/A</v>
      </c>
      <c r="M159" s="514" t="e">
        <f t="shared" si="14"/>
        <v>#N/A</v>
      </c>
      <c r="N159" s="351" t="str">
        <f t="shared" si="15"/>
        <v>HÁBIL</v>
      </c>
      <c r="P159" s="427"/>
    </row>
    <row r="160" spans="2:16" ht="13.5" hidden="1">
      <c r="B160" s="231">
        <v>134</v>
      </c>
      <c r="C160" s="129" t="e">
        <f>IF(VLOOKUP(B160,PROPONENTES!$B$19:$E$219,2,0)="","",VLOOKUP(B160,PROPONENTES!$B$19:$E$219,2,0))</f>
        <v>#N/A</v>
      </c>
      <c r="D160" s="130" t="e">
        <f>IF(VLOOKUP(B160,PROPONENTES!$B$19:$E$218,3,0)="","",VLOOKUP(B160,PROPONENTES!$B$19:$E$218,3,0))</f>
        <v>#N/A</v>
      </c>
      <c r="E160" s="130" t="e">
        <f>IF(VLOOKUP(B160,PROPONENTES!$B$19:$E$218,4,0)="","",IF(VLOOKUP(B160,PROPONENTES!$B$19:$E$218,4,0)&gt;1,"SI","NO"))</f>
        <v>#N/A</v>
      </c>
      <c r="F160" s="135" t="e">
        <f>IF(C160&lt;&gt;"",IF(E160="SI",VLOOKUP("T"&amp;C160,'EXP. ESP.'!$A$20:$V$6999,11,0),"NO APLICA"),"")</f>
        <v>#N/A</v>
      </c>
      <c r="G160" s="245" t="e">
        <f>IF(C160&lt;&gt;"",VLOOKUP("M"&amp;C160,'EXP. ESP.'!$A$20:$V$6999,17,0),"")</f>
        <v>#N/A</v>
      </c>
      <c r="H160" s="342" t="e">
        <f>IF(C160&lt;&gt;"",VLOOKUP("P"&amp;C160,'EXP. ESP.'!$A$20:$V$6999,16,0),"")</f>
        <v>#N/A</v>
      </c>
      <c r="I160" s="135" t="e">
        <f t="shared" si="12"/>
        <v>#N/A</v>
      </c>
      <c r="J160" s="352" t="e">
        <f>IF(C160&lt;&gt;"",ROUND(VLOOKUP("S"&amp;C160,'EXP. ESP.'!$A$20:$V$6999,16,0)/$K$14,3),"")</f>
        <v>#N/A</v>
      </c>
      <c r="K160" s="135" t="e">
        <f t="shared" si="13"/>
        <v>#N/A</v>
      </c>
      <c r="L160" s="135" t="e">
        <f>IF(C160&lt;&gt;"",VLOOKUP(C160,HAB.GEN.!$C$19:$K$218,9,FALSE),"")</f>
        <v>#N/A</v>
      </c>
      <c r="M160" s="514" t="e">
        <f t="shared" si="14"/>
        <v>#N/A</v>
      </c>
      <c r="N160" s="351" t="str">
        <f t="shared" si="15"/>
        <v>HÁBIL</v>
      </c>
      <c r="P160" s="427"/>
    </row>
    <row r="161" spans="2:16" ht="13.5" hidden="1">
      <c r="B161" s="231">
        <v>135</v>
      </c>
      <c r="C161" s="129" t="e">
        <f>IF(VLOOKUP(B161,PROPONENTES!$B$19:$E$219,2,0)="","",VLOOKUP(B161,PROPONENTES!$B$19:$E$219,2,0))</f>
        <v>#N/A</v>
      </c>
      <c r="D161" s="130" t="e">
        <f>IF(VLOOKUP(B161,PROPONENTES!$B$19:$E$218,3,0)="","",VLOOKUP(B161,PROPONENTES!$B$19:$E$218,3,0))</f>
        <v>#N/A</v>
      </c>
      <c r="E161" s="130" t="e">
        <f>IF(VLOOKUP(B161,PROPONENTES!$B$19:$E$218,4,0)="","",IF(VLOOKUP(B161,PROPONENTES!$B$19:$E$218,4,0)&gt;1,"SI","NO"))</f>
        <v>#N/A</v>
      </c>
      <c r="F161" s="135" t="e">
        <f>IF(C161&lt;&gt;"",IF(E161="SI",VLOOKUP("T"&amp;C161,'EXP. ESP.'!$A$20:$V$6999,11,0),"NO APLICA"),"")</f>
        <v>#N/A</v>
      </c>
      <c r="G161" s="245" t="e">
        <f>IF(C161&lt;&gt;"",VLOOKUP("M"&amp;C161,'EXP. ESP.'!$A$20:$V$6999,17,0),"")</f>
        <v>#N/A</v>
      </c>
      <c r="H161" s="342" t="e">
        <f>IF(C161&lt;&gt;"",VLOOKUP("P"&amp;C161,'EXP. ESP.'!$A$20:$V$6999,16,0),"")</f>
        <v>#N/A</v>
      </c>
      <c r="I161" s="135" t="e">
        <f t="shared" si="12"/>
        <v>#N/A</v>
      </c>
      <c r="J161" s="352" t="e">
        <f>IF(C161&lt;&gt;"",ROUND(VLOOKUP("S"&amp;C161,'EXP. ESP.'!$A$20:$V$6999,16,0)/$K$14,3),"")</f>
        <v>#N/A</v>
      </c>
      <c r="K161" s="135" t="e">
        <f t="shared" si="13"/>
        <v>#N/A</v>
      </c>
      <c r="L161" s="135" t="e">
        <f>IF(C161&lt;&gt;"",VLOOKUP(C161,HAB.GEN.!$C$19:$K$218,9,FALSE),"")</f>
        <v>#N/A</v>
      </c>
      <c r="M161" s="514" t="e">
        <f t="shared" si="14"/>
        <v>#N/A</v>
      </c>
      <c r="N161" s="351" t="str">
        <f t="shared" si="15"/>
        <v>HÁBIL</v>
      </c>
      <c r="P161" s="427"/>
    </row>
    <row r="162" spans="2:16" ht="13.5" hidden="1">
      <c r="B162" s="231">
        <v>136</v>
      </c>
      <c r="C162" s="129" t="e">
        <f>IF(VLOOKUP(B162,PROPONENTES!$B$19:$E$219,2,0)="","",VLOOKUP(B162,PROPONENTES!$B$19:$E$219,2,0))</f>
        <v>#N/A</v>
      </c>
      <c r="D162" s="130" t="e">
        <f>IF(VLOOKUP(B162,PROPONENTES!$B$19:$E$218,3,0)="","",VLOOKUP(B162,PROPONENTES!$B$19:$E$218,3,0))</f>
        <v>#N/A</v>
      </c>
      <c r="E162" s="130" t="e">
        <f>IF(VLOOKUP(B162,PROPONENTES!$B$19:$E$218,4,0)="","",IF(VLOOKUP(B162,PROPONENTES!$B$19:$E$218,4,0)&gt;1,"SI","NO"))</f>
        <v>#N/A</v>
      </c>
      <c r="F162" s="135" t="e">
        <f>IF(C162&lt;&gt;"",IF(E162="SI",VLOOKUP("T"&amp;C162,'EXP. ESP.'!$A$20:$V$6999,11,0),"NO APLICA"),"")</f>
        <v>#N/A</v>
      </c>
      <c r="G162" s="245" t="e">
        <f>IF(C162&lt;&gt;"",VLOOKUP("M"&amp;C162,'EXP. ESP.'!$A$20:$V$6999,17,0),"")</f>
        <v>#N/A</v>
      </c>
      <c r="H162" s="342" t="e">
        <f>IF(C162&lt;&gt;"",VLOOKUP("P"&amp;C162,'EXP. ESP.'!$A$20:$V$6999,16,0),"")</f>
        <v>#N/A</v>
      </c>
      <c r="I162" s="135" t="e">
        <f t="shared" si="12"/>
        <v>#N/A</v>
      </c>
      <c r="J162" s="352" t="e">
        <f>IF(C162&lt;&gt;"",ROUND(VLOOKUP("S"&amp;C162,'EXP. ESP.'!$A$20:$V$6999,16,0)/$K$14,3),"")</f>
        <v>#N/A</v>
      </c>
      <c r="K162" s="135" t="e">
        <f t="shared" si="13"/>
        <v>#N/A</v>
      </c>
      <c r="L162" s="135" t="e">
        <f>IF(C162&lt;&gt;"",VLOOKUP(C162,HAB.GEN.!$C$19:$K$218,9,FALSE),"")</f>
        <v>#N/A</v>
      </c>
      <c r="M162" s="514" t="e">
        <f t="shared" si="14"/>
        <v>#N/A</v>
      </c>
      <c r="N162" s="351" t="str">
        <f t="shared" si="15"/>
        <v>HÁBIL</v>
      </c>
      <c r="P162" s="427"/>
    </row>
    <row r="163" spans="2:16" ht="13.5" hidden="1">
      <c r="B163" s="230">
        <v>137</v>
      </c>
      <c r="C163" s="129" t="e">
        <f>IF(VLOOKUP(B163,PROPONENTES!$B$19:$E$219,2,0)="","",VLOOKUP(B163,PROPONENTES!$B$19:$E$219,2,0))</f>
        <v>#N/A</v>
      </c>
      <c r="D163" s="130" t="e">
        <f>IF(VLOOKUP(B163,PROPONENTES!$B$19:$E$218,3,0)="","",VLOOKUP(B163,PROPONENTES!$B$19:$E$218,3,0))</f>
        <v>#N/A</v>
      </c>
      <c r="E163" s="130" t="e">
        <f>IF(VLOOKUP(B163,PROPONENTES!$B$19:$E$218,4,0)="","",IF(VLOOKUP(B163,PROPONENTES!$B$19:$E$218,4,0)&gt;1,"SI","NO"))</f>
        <v>#N/A</v>
      </c>
      <c r="F163" s="135" t="e">
        <f>IF(C163&lt;&gt;"",IF(E163="SI",VLOOKUP("T"&amp;C163,'EXP. ESP.'!$A$20:$V$6999,11,0),"NO APLICA"),"")</f>
        <v>#N/A</v>
      </c>
      <c r="G163" s="245" t="e">
        <f>IF(C163&lt;&gt;"",VLOOKUP("M"&amp;C163,'EXP. ESP.'!$A$20:$V$6999,17,0),"")</f>
        <v>#N/A</v>
      </c>
      <c r="H163" s="342" t="e">
        <f>IF(C163&lt;&gt;"",VLOOKUP("P"&amp;C163,'EXP. ESP.'!$A$20:$V$6999,16,0),"")</f>
        <v>#N/A</v>
      </c>
      <c r="I163" s="135" t="e">
        <f t="shared" si="12"/>
        <v>#N/A</v>
      </c>
      <c r="J163" s="352" t="e">
        <f>IF(C163&lt;&gt;"",ROUND(VLOOKUP("S"&amp;C163,'EXP. ESP.'!$A$20:$V$6999,16,0)/$K$14,3),"")</f>
        <v>#N/A</v>
      </c>
      <c r="K163" s="135" t="e">
        <f t="shared" si="13"/>
        <v>#N/A</v>
      </c>
      <c r="L163" s="135" t="e">
        <f>IF(C163&lt;&gt;"",VLOOKUP(C163,HAB.GEN.!$C$19:$K$218,9,FALSE),"")</f>
        <v>#N/A</v>
      </c>
      <c r="M163" s="514" t="e">
        <f t="shared" si="14"/>
        <v>#N/A</v>
      </c>
      <c r="N163" s="351" t="str">
        <f t="shared" si="15"/>
        <v>HÁBIL</v>
      </c>
      <c r="P163" s="427"/>
    </row>
    <row r="164" spans="2:16" ht="13.5" hidden="1">
      <c r="B164" s="231">
        <v>138</v>
      </c>
      <c r="C164" s="129" t="e">
        <f>IF(VLOOKUP(B164,PROPONENTES!$B$19:$E$219,2,0)="","",VLOOKUP(B164,PROPONENTES!$B$19:$E$219,2,0))</f>
        <v>#N/A</v>
      </c>
      <c r="D164" s="130" t="e">
        <f>IF(VLOOKUP(B164,PROPONENTES!$B$19:$E$218,3,0)="","",VLOOKUP(B164,PROPONENTES!$B$19:$E$218,3,0))</f>
        <v>#N/A</v>
      </c>
      <c r="E164" s="130" t="e">
        <f>IF(VLOOKUP(B164,PROPONENTES!$B$19:$E$218,4,0)="","",IF(VLOOKUP(B164,PROPONENTES!$B$19:$E$218,4,0)&gt;1,"SI","NO"))</f>
        <v>#N/A</v>
      </c>
      <c r="F164" s="135" t="e">
        <f>IF(C164&lt;&gt;"",IF(E164="SI",VLOOKUP("T"&amp;C164,'EXP. ESP.'!$A$20:$V$6999,11,0),"NO APLICA"),"")</f>
        <v>#N/A</v>
      </c>
      <c r="G164" s="245" t="e">
        <f>IF(C164&lt;&gt;"",VLOOKUP("M"&amp;C164,'EXP. ESP.'!$A$20:$V$6999,17,0),"")</f>
        <v>#N/A</v>
      </c>
      <c r="H164" s="342" t="e">
        <f>IF(C164&lt;&gt;"",VLOOKUP("P"&amp;C164,'EXP. ESP.'!$A$20:$V$6999,16,0),"")</f>
        <v>#N/A</v>
      </c>
      <c r="I164" s="135" t="e">
        <f t="shared" si="12"/>
        <v>#N/A</v>
      </c>
      <c r="J164" s="352" t="e">
        <f>IF(C164&lt;&gt;"",ROUND(VLOOKUP("S"&amp;C164,'EXP. ESP.'!$A$20:$V$6999,16,0)/$K$14,3),"")</f>
        <v>#N/A</v>
      </c>
      <c r="K164" s="135" t="e">
        <f t="shared" si="13"/>
        <v>#N/A</v>
      </c>
      <c r="L164" s="135" t="e">
        <f>IF(C164&lt;&gt;"",VLOOKUP(C164,HAB.GEN.!$C$19:$K$218,9,FALSE),"")</f>
        <v>#N/A</v>
      </c>
      <c r="M164" s="514" t="e">
        <f t="shared" si="14"/>
        <v>#N/A</v>
      </c>
      <c r="N164" s="351" t="str">
        <f t="shared" si="15"/>
        <v>HÁBIL</v>
      </c>
      <c r="P164" s="427"/>
    </row>
    <row r="165" spans="2:16" ht="13.5" hidden="1">
      <c r="B165" s="231">
        <v>139</v>
      </c>
      <c r="C165" s="129" t="e">
        <f>IF(VLOOKUP(B165,PROPONENTES!$B$19:$E$219,2,0)="","",VLOOKUP(B165,PROPONENTES!$B$19:$E$219,2,0))</f>
        <v>#N/A</v>
      </c>
      <c r="D165" s="130" t="e">
        <f>IF(VLOOKUP(B165,PROPONENTES!$B$19:$E$218,3,0)="","",VLOOKUP(B165,PROPONENTES!$B$19:$E$218,3,0))</f>
        <v>#N/A</v>
      </c>
      <c r="E165" s="130" t="e">
        <f>IF(VLOOKUP(B165,PROPONENTES!$B$19:$E$218,4,0)="","",IF(VLOOKUP(B165,PROPONENTES!$B$19:$E$218,4,0)&gt;1,"SI","NO"))</f>
        <v>#N/A</v>
      </c>
      <c r="F165" s="135" t="e">
        <f>IF(C165&lt;&gt;"",IF(E165="SI",VLOOKUP("T"&amp;C165,'EXP. ESP.'!$A$20:$V$6999,11,0),"NO APLICA"),"")</f>
        <v>#N/A</v>
      </c>
      <c r="G165" s="245" t="e">
        <f>IF(C165&lt;&gt;"",VLOOKUP("M"&amp;C165,'EXP. ESP.'!$A$20:$V$6999,17,0),"")</f>
        <v>#N/A</v>
      </c>
      <c r="H165" s="342" t="e">
        <f>IF(C165&lt;&gt;"",VLOOKUP("P"&amp;C165,'EXP. ESP.'!$A$20:$V$6999,16,0),"")</f>
        <v>#N/A</v>
      </c>
      <c r="I165" s="135" t="e">
        <f t="shared" si="12"/>
        <v>#N/A</v>
      </c>
      <c r="J165" s="352" t="e">
        <f>IF(C165&lt;&gt;"",ROUND(VLOOKUP("S"&amp;C165,'EXP. ESP.'!$A$20:$V$6999,16,0)/$K$14,3),"")</f>
        <v>#N/A</v>
      </c>
      <c r="K165" s="135" t="e">
        <f t="shared" si="13"/>
        <v>#N/A</v>
      </c>
      <c r="L165" s="135" t="e">
        <f>IF(C165&lt;&gt;"",VLOOKUP(C165,HAB.GEN.!$C$19:$K$218,9,FALSE),"")</f>
        <v>#N/A</v>
      </c>
      <c r="M165" s="514" t="e">
        <f t="shared" si="14"/>
        <v>#N/A</v>
      </c>
      <c r="N165" s="351" t="str">
        <f t="shared" si="15"/>
        <v>HÁBIL</v>
      </c>
      <c r="P165" s="427"/>
    </row>
    <row r="166" spans="2:16" ht="13.5" hidden="1">
      <c r="B166" s="231">
        <v>140</v>
      </c>
      <c r="C166" s="129" t="e">
        <f>IF(VLOOKUP(B166,PROPONENTES!$B$19:$E$219,2,0)="","",VLOOKUP(B166,PROPONENTES!$B$19:$E$219,2,0))</f>
        <v>#N/A</v>
      </c>
      <c r="D166" s="130" t="e">
        <f>IF(VLOOKUP(B166,PROPONENTES!$B$19:$E$218,3,0)="","",VLOOKUP(B166,PROPONENTES!$B$19:$E$218,3,0))</f>
        <v>#N/A</v>
      </c>
      <c r="E166" s="130" t="e">
        <f>IF(VLOOKUP(B166,PROPONENTES!$B$19:$E$218,4,0)="","",IF(VLOOKUP(B166,PROPONENTES!$B$19:$E$218,4,0)&gt;1,"SI","NO"))</f>
        <v>#N/A</v>
      </c>
      <c r="F166" s="135" t="e">
        <f>IF(C166&lt;&gt;"",IF(E166="SI",VLOOKUP("T"&amp;C166,'EXP. ESP.'!$A$20:$V$6999,11,0),"NO APLICA"),"")</f>
        <v>#N/A</v>
      </c>
      <c r="G166" s="245" t="e">
        <f>IF(C166&lt;&gt;"",VLOOKUP("M"&amp;C166,'EXP. ESP.'!$A$20:$V$6999,17,0),"")</f>
        <v>#N/A</v>
      </c>
      <c r="H166" s="342" t="e">
        <f>IF(C166&lt;&gt;"",VLOOKUP("P"&amp;C166,'EXP. ESP.'!$A$20:$V$6999,16,0),"")</f>
        <v>#N/A</v>
      </c>
      <c r="I166" s="135" t="e">
        <f t="shared" si="12"/>
        <v>#N/A</v>
      </c>
      <c r="J166" s="352" t="e">
        <f>IF(C166&lt;&gt;"",ROUND(VLOOKUP("S"&amp;C166,'EXP. ESP.'!$A$20:$V$6999,16,0)/$K$14,3),"")</f>
        <v>#N/A</v>
      </c>
      <c r="K166" s="135" t="e">
        <f t="shared" si="13"/>
        <v>#N/A</v>
      </c>
      <c r="L166" s="135" t="e">
        <f>IF(C166&lt;&gt;"",VLOOKUP(C166,HAB.GEN.!$C$19:$K$218,9,FALSE),"")</f>
        <v>#N/A</v>
      </c>
      <c r="M166" s="514" t="e">
        <f t="shared" si="14"/>
        <v>#N/A</v>
      </c>
      <c r="N166" s="351" t="str">
        <f t="shared" si="15"/>
        <v>HÁBIL</v>
      </c>
      <c r="P166" s="427"/>
    </row>
    <row r="167" spans="2:16" ht="13.5" hidden="1">
      <c r="B167" s="231">
        <v>141</v>
      </c>
      <c r="C167" s="129" t="e">
        <f>IF(VLOOKUP(B167,PROPONENTES!$B$19:$E$219,2,0)="","",VLOOKUP(B167,PROPONENTES!$B$19:$E$219,2,0))</f>
        <v>#N/A</v>
      </c>
      <c r="D167" s="130" t="e">
        <f>IF(VLOOKUP(B167,PROPONENTES!$B$19:$E$218,3,0)="","",VLOOKUP(B167,PROPONENTES!$B$19:$E$218,3,0))</f>
        <v>#N/A</v>
      </c>
      <c r="E167" s="130" t="e">
        <f>IF(VLOOKUP(B167,PROPONENTES!$B$19:$E$218,4,0)="","",IF(VLOOKUP(B167,PROPONENTES!$B$19:$E$218,4,0)&gt;1,"SI","NO"))</f>
        <v>#N/A</v>
      </c>
      <c r="F167" s="135" t="e">
        <f>IF(C167&lt;&gt;"",IF(E167="SI",VLOOKUP("T"&amp;C167,'EXP. ESP.'!$A$20:$V$6999,11,0),"NO APLICA"),"")</f>
        <v>#N/A</v>
      </c>
      <c r="G167" s="245" t="e">
        <f>IF(C167&lt;&gt;"",VLOOKUP("M"&amp;C167,'EXP. ESP.'!$A$20:$V$6999,17,0),"")</f>
        <v>#N/A</v>
      </c>
      <c r="H167" s="342" t="e">
        <f>IF(C167&lt;&gt;"",VLOOKUP("P"&amp;C167,'EXP. ESP.'!$A$20:$V$6999,16,0),"")</f>
        <v>#N/A</v>
      </c>
      <c r="I167" s="135" t="e">
        <f t="shared" si="12"/>
        <v>#N/A</v>
      </c>
      <c r="J167" s="352" t="e">
        <f>IF(C167&lt;&gt;"",ROUND(VLOOKUP("S"&amp;C167,'EXP. ESP.'!$A$20:$V$6999,16,0)/$K$14,3),"")</f>
        <v>#N/A</v>
      </c>
      <c r="K167" s="135" t="e">
        <f t="shared" si="13"/>
        <v>#N/A</v>
      </c>
      <c r="L167" s="135" t="e">
        <f>IF(C167&lt;&gt;"",VLOOKUP(C167,HAB.GEN.!$C$19:$K$218,9,FALSE),"")</f>
        <v>#N/A</v>
      </c>
      <c r="M167" s="514" t="e">
        <f t="shared" si="14"/>
        <v>#N/A</v>
      </c>
      <c r="N167" s="351" t="str">
        <f t="shared" si="15"/>
        <v>HÁBIL</v>
      </c>
      <c r="P167" s="427"/>
    </row>
    <row r="168" spans="2:16" ht="13.5" hidden="1">
      <c r="B168" s="230">
        <v>142</v>
      </c>
      <c r="C168" s="129" t="e">
        <f>IF(VLOOKUP(B168,PROPONENTES!$B$19:$E$219,2,0)="","",VLOOKUP(B168,PROPONENTES!$B$19:$E$219,2,0))</f>
        <v>#N/A</v>
      </c>
      <c r="D168" s="130" t="e">
        <f>IF(VLOOKUP(B168,PROPONENTES!$B$19:$E$218,3,0)="","",VLOOKUP(B168,PROPONENTES!$B$19:$E$218,3,0))</f>
        <v>#N/A</v>
      </c>
      <c r="E168" s="130" t="e">
        <f>IF(VLOOKUP(B168,PROPONENTES!$B$19:$E$218,4,0)="","",IF(VLOOKUP(B168,PROPONENTES!$B$19:$E$218,4,0)&gt;1,"SI","NO"))</f>
        <v>#N/A</v>
      </c>
      <c r="F168" s="135" t="e">
        <f>IF(C168&lt;&gt;"",IF(E168="SI",VLOOKUP("T"&amp;C168,'EXP. ESP.'!$A$20:$V$6999,11,0),"NO APLICA"),"")</f>
        <v>#N/A</v>
      </c>
      <c r="G168" s="245" t="e">
        <f>IF(C168&lt;&gt;"",VLOOKUP("M"&amp;C168,'EXP. ESP.'!$A$20:$V$6999,17,0),"")</f>
        <v>#N/A</v>
      </c>
      <c r="H168" s="342" t="e">
        <f>IF(C168&lt;&gt;"",VLOOKUP("P"&amp;C168,'EXP. ESP.'!$A$20:$V$6999,16,0),"")</f>
        <v>#N/A</v>
      </c>
      <c r="I168" s="135" t="e">
        <f t="shared" si="12"/>
        <v>#N/A</v>
      </c>
      <c r="J168" s="352" t="e">
        <f>IF(C168&lt;&gt;"",ROUND(VLOOKUP("S"&amp;C168,'EXP. ESP.'!$A$20:$V$6999,16,0)/$K$14,3),"")</f>
        <v>#N/A</v>
      </c>
      <c r="K168" s="135" t="e">
        <f t="shared" si="13"/>
        <v>#N/A</v>
      </c>
      <c r="L168" s="135" t="e">
        <f>IF(C168&lt;&gt;"",VLOOKUP(C168,HAB.GEN.!$C$19:$K$218,9,FALSE),"")</f>
        <v>#N/A</v>
      </c>
      <c r="M168" s="514" t="e">
        <f t="shared" si="14"/>
        <v>#N/A</v>
      </c>
      <c r="N168" s="351" t="str">
        <f t="shared" si="15"/>
        <v>HÁBIL</v>
      </c>
      <c r="P168" s="427"/>
    </row>
    <row r="169" spans="2:16" ht="13.5" hidden="1">
      <c r="B169" s="231">
        <v>143</v>
      </c>
      <c r="C169" s="129" t="e">
        <f>IF(VLOOKUP(B169,PROPONENTES!$B$19:$E$219,2,0)="","",VLOOKUP(B169,PROPONENTES!$B$19:$E$219,2,0))</f>
        <v>#N/A</v>
      </c>
      <c r="D169" s="130" t="e">
        <f>IF(VLOOKUP(B169,PROPONENTES!$B$19:$E$218,3,0)="","",VLOOKUP(B169,PROPONENTES!$B$19:$E$218,3,0))</f>
        <v>#N/A</v>
      </c>
      <c r="E169" s="130" t="e">
        <f>IF(VLOOKUP(B169,PROPONENTES!$B$19:$E$218,4,0)="","",IF(VLOOKUP(B169,PROPONENTES!$B$19:$E$218,4,0)&gt;1,"SI","NO"))</f>
        <v>#N/A</v>
      </c>
      <c r="F169" s="135" t="e">
        <f>IF(C169&lt;&gt;"",IF(E169="SI",VLOOKUP("T"&amp;C169,'EXP. ESP.'!$A$20:$V$6999,11,0),"NO APLICA"),"")</f>
        <v>#N/A</v>
      </c>
      <c r="G169" s="245" t="e">
        <f>IF(C169&lt;&gt;"",VLOOKUP("M"&amp;C169,'EXP. ESP.'!$A$20:$V$6999,17,0),"")</f>
        <v>#N/A</v>
      </c>
      <c r="H169" s="342" t="e">
        <f>IF(C169&lt;&gt;"",VLOOKUP("P"&amp;C169,'EXP. ESP.'!$A$20:$V$6999,16,0),"")</f>
        <v>#N/A</v>
      </c>
      <c r="I169" s="135" t="e">
        <f t="shared" si="12"/>
        <v>#N/A</v>
      </c>
      <c r="J169" s="352" t="e">
        <f>IF(C169&lt;&gt;"",ROUND(VLOOKUP("S"&amp;C169,'EXP. ESP.'!$A$20:$V$6999,16,0)/$K$14,3),"")</f>
        <v>#N/A</v>
      </c>
      <c r="K169" s="135" t="e">
        <f t="shared" si="13"/>
        <v>#N/A</v>
      </c>
      <c r="L169" s="135" t="e">
        <f>IF(C169&lt;&gt;"",VLOOKUP(C169,HAB.GEN.!$C$19:$K$218,9,FALSE),"")</f>
        <v>#N/A</v>
      </c>
      <c r="M169" s="514" t="e">
        <f t="shared" si="14"/>
        <v>#N/A</v>
      </c>
      <c r="N169" s="351" t="str">
        <f t="shared" si="15"/>
        <v>HÁBIL</v>
      </c>
      <c r="P169" s="427"/>
    </row>
    <row r="170" spans="2:16" ht="13.5" hidden="1">
      <c r="B170" s="231">
        <v>144</v>
      </c>
      <c r="C170" s="129" t="e">
        <f>IF(VLOOKUP(B170,PROPONENTES!$B$19:$E$219,2,0)="","",VLOOKUP(B170,PROPONENTES!$B$19:$E$219,2,0))</f>
        <v>#N/A</v>
      </c>
      <c r="D170" s="130" t="e">
        <f>IF(VLOOKUP(B170,PROPONENTES!$B$19:$E$218,3,0)="","",VLOOKUP(B170,PROPONENTES!$B$19:$E$218,3,0))</f>
        <v>#N/A</v>
      </c>
      <c r="E170" s="130" t="e">
        <f>IF(VLOOKUP(B170,PROPONENTES!$B$19:$E$218,4,0)="","",IF(VLOOKUP(B170,PROPONENTES!$B$19:$E$218,4,0)&gt;1,"SI","NO"))</f>
        <v>#N/A</v>
      </c>
      <c r="F170" s="135" t="e">
        <f>IF(C170&lt;&gt;"",IF(E170="SI",VLOOKUP("T"&amp;C170,'EXP. ESP.'!$A$20:$V$6999,11,0),"NO APLICA"),"")</f>
        <v>#N/A</v>
      </c>
      <c r="G170" s="245" t="e">
        <f>IF(C170&lt;&gt;"",VLOOKUP("M"&amp;C170,'EXP. ESP.'!$A$20:$V$6999,17,0),"")</f>
        <v>#N/A</v>
      </c>
      <c r="H170" s="342" t="e">
        <f>IF(C170&lt;&gt;"",VLOOKUP("P"&amp;C170,'EXP. ESP.'!$A$20:$V$6999,16,0),"")</f>
        <v>#N/A</v>
      </c>
      <c r="I170" s="135" t="e">
        <f t="shared" si="12"/>
        <v>#N/A</v>
      </c>
      <c r="J170" s="352" t="e">
        <f>IF(C170&lt;&gt;"",ROUND(VLOOKUP("S"&amp;C170,'EXP. ESP.'!$A$20:$V$6999,16,0)/$K$14,3),"")</f>
        <v>#N/A</v>
      </c>
      <c r="K170" s="135" t="e">
        <f t="shared" si="13"/>
        <v>#N/A</v>
      </c>
      <c r="L170" s="135" t="e">
        <f>IF(C170&lt;&gt;"",VLOOKUP(C170,HAB.GEN.!$C$19:$K$218,9,FALSE),"")</f>
        <v>#N/A</v>
      </c>
      <c r="M170" s="514" t="e">
        <f t="shared" si="14"/>
        <v>#N/A</v>
      </c>
      <c r="N170" s="351" t="str">
        <f t="shared" si="15"/>
        <v>HÁBIL</v>
      </c>
      <c r="P170" s="427"/>
    </row>
    <row r="171" spans="2:16" ht="13.5" hidden="1">
      <c r="B171" s="231">
        <v>145</v>
      </c>
      <c r="C171" s="129" t="e">
        <f>IF(VLOOKUP(B171,PROPONENTES!$B$19:$E$219,2,0)="","",VLOOKUP(B171,PROPONENTES!$B$19:$E$219,2,0))</f>
        <v>#N/A</v>
      </c>
      <c r="D171" s="130" t="e">
        <f>IF(VLOOKUP(B171,PROPONENTES!$B$19:$E$218,3,0)="","",VLOOKUP(B171,PROPONENTES!$B$19:$E$218,3,0))</f>
        <v>#N/A</v>
      </c>
      <c r="E171" s="130" t="e">
        <f>IF(VLOOKUP(B171,PROPONENTES!$B$19:$E$218,4,0)="","",IF(VLOOKUP(B171,PROPONENTES!$B$19:$E$218,4,0)&gt;1,"SI","NO"))</f>
        <v>#N/A</v>
      </c>
      <c r="F171" s="135" t="e">
        <f>IF(C171&lt;&gt;"",IF(E171="SI",VLOOKUP("T"&amp;C171,'EXP. ESP.'!$A$20:$V$6999,11,0),"NO APLICA"),"")</f>
        <v>#N/A</v>
      </c>
      <c r="G171" s="245" t="e">
        <f>IF(C171&lt;&gt;"",VLOOKUP("M"&amp;C171,'EXP. ESP.'!$A$20:$V$6999,17,0),"")</f>
        <v>#N/A</v>
      </c>
      <c r="H171" s="342" t="e">
        <f>IF(C171&lt;&gt;"",VLOOKUP("P"&amp;C171,'EXP. ESP.'!$A$20:$V$6999,16,0),"")</f>
        <v>#N/A</v>
      </c>
      <c r="I171" s="135" t="e">
        <f t="shared" si="12"/>
        <v>#N/A</v>
      </c>
      <c r="J171" s="352" t="e">
        <f>IF(C171&lt;&gt;"",ROUND(VLOOKUP("S"&amp;C171,'EXP. ESP.'!$A$20:$V$6999,16,0)/$K$14,3),"")</f>
        <v>#N/A</v>
      </c>
      <c r="K171" s="135" t="e">
        <f t="shared" si="13"/>
        <v>#N/A</v>
      </c>
      <c r="L171" s="135" t="e">
        <f>IF(C171&lt;&gt;"",VLOOKUP(C171,HAB.GEN.!$C$19:$K$218,9,FALSE),"")</f>
        <v>#N/A</v>
      </c>
      <c r="M171" s="514" t="e">
        <f t="shared" si="14"/>
        <v>#N/A</v>
      </c>
      <c r="N171" s="351" t="str">
        <f t="shared" si="15"/>
        <v>HÁBIL</v>
      </c>
      <c r="P171" s="427"/>
    </row>
    <row r="172" spans="2:16" ht="13.5" hidden="1">
      <c r="B172" s="231">
        <v>146</v>
      </c>
      <c r="C172" s="129" t="e">
        <f>IF(VLOOKUP(B172,PROPONENTES!$B$19:$E$219,2,0)="","",VLOOKUP(B172,PROPONENTES!$B$19:$E$219,2,0))</f>
        <v>#N/A</v>
      </c>
      <c r="D172" s="130" t="e">
        <f>IF(VLOOKUP(B172,PROPONENTES!$B$19:$E$218,3,0)="","",VLOOKUP(B172,PROPONENTES!$B$19:$E$218,3,0))</f>
        <v>#N/A</v>
      </c>
      <c r="E172" s="130" t="e">
        <f>IF(VLOOKUP(B172,PROPONENTES!$B$19:$E$218,4,0)="","",IF(VLOOKUP(B172,PROPONENTES!$B$19:$E$218,4,0)&gt;1,"SI","NO"))</f>
        <v>#N/A</v>
      </c>
      <c r="F172" s="135" t="e">
        <f>IF(C172&lt;&gt;"",IF(E172="SI",VLOOKUP("T"&amp;C172,'EXP. ESP.'!$A$20:$V$6999,11,0),"NO APLICA"),"")</f>
        <v>#N/A</v>
      </c>
      <c r="G172" s="245" t="e">
        <f>IF(C172&lt;&gt;"",VLOOKUP("M"&amp;C172,'EXP. ESP.'!$A$20:$V$6999,17,0),"")</f>
        <v>#N/A</v>
      </c>
      <c r="H172" s="342" t="e">
        <f>IF(C172&lt;&gt;"",VLOOKUP("P"&amp;C172,'EXP. ESP.'!$A$20:$V$6999,16,0),"")</f>
        <v>#N/A</v>
      </c>
      <c r="I172" s="135" t="e">
        <f t="shared" si="12"/>
        <v>#N/A</v>
      </c>
      <c r="J172" s="352" t="e">
        <f>IF(C172&lt;&gt;"",ROUND(VLOOKUP("S"&amp;C172,'EXP. ESP.'!$A$20:$V$6999,16,0)/$K$14,3),"")</f>
        <v>#N/A</v>
      </c>
      <c r="K172" s="135" t="e">
        <f t="shared" si="13"/>
        <v>#N/A</v>
      </c>
      <c r="L172" s="135" t="e">
        <f>IF(C172&lt;&gt;"",VLOOKUP(C172,HAB.GEN.!$C$19:$K$218,9,FALSE),"")</f>
        <v>#N/A</v>
      </c>
      <c r="M172" s="514" t="e">
        <f t="shared" si="14"/>
        <v>#N/A</v>
      </c>
      <c r="N172" s="351" t="str">
        <f t="shared" si="15"/>
        <v>HÁBIL</v>
      </c>
      <c r="P172" s="427"/>
    </row>
    <row r="173" spans="2:16" ht="13.5" hidden="1">
      <c r="B173" s="230">
        <v>147</v>
      </c>
      <c r="C173" s="129" t="e">
        <f>IF(VLOOKUP(B173,PROPONENTES!$B$19:$E$219,2,0)="","",VLOOKUP(B173,PROPONENTES!$B$19:$E$219,2,0))</f>
        <v>#N/A</v>
      </c>
      <c r="D173" s="130" t="e">
        <f>IF(VLOOKUP(B173,PROPONENTES!$B$19:$E$218,3,0)="","",VLOOKUP(B173,PROPONENTES!$B$19:$E$218,3,0))</f>
        <v>#N/A</v>
      </c>
      <c r="E173" s="130" t="e">
        <f>IF(VLOOKUP(B173,PROPONENTES!$B$19:$E$218,4,0)="","",IF(VLOOKUP(B173,PROPONENTES!$B$19:$E$218,4,0)&gt;1,"SI","NO"))</f>
        <v>#N/A</v>
      </c>
      <c r="F173" s="135" t="e">
        <f>IF(C173&lt;&gt;"",IF(E173="SI",VLOOKUP("T"&amp;C173,'EXP. ESP.'!$A$20:$V$6999,11,0),"NO APLICA"),"")</f>
        <v>#N/A</v>
      </c>
      <c r="G173" s="245" t="e">
        <f>IF(C173&lt;&gt;"",VLOOKUP("M"&amp;C173,'EXP. ESP.'!$A$20:$V$6999,17,0),"")</f>
        <v>#N/A</v>
      </c>
      <c r="H173" s="342" t="e">
        <f>IF(C173&lt;&gt;"",VLOOKUP("P"&amp;C173,'EXP. ESP.'!$A$20:$V$6999,16,0),"")</f>
        <v>#N/A</v>
      </c>
      <c r="I173" s="135" t="e">
        <f t="shared" si="12"/>
        <v>#N/A</v>
      </c>
      <c r="J173" s="352" t="e">
        <f>IF(C173&lt;&gt;"",ROUND(VLOOKUP("S"&amp;C173,'EXP. ESP.'!$A$20:$V$6999,16,0)/$K$14,3),"")</f>
        <v>#N/A</v>
      </c>
      <c r="K173" s="135" t="e">
        <f t="shared" si="13"/>
        <v>#N/A</v>
      </c>
      <c r="L173" s="135" t="e">
        <f>IF(C173&lt;&gt;"",VLOOKUP(C173,HAB.GEN.!$C$19:$K$218,9,FALSE),"")</f>
        <v>#N/A</v>
      </c>
      <c r="M173" s="514" t="e">
        <f t="shared" si="14"/>
        <v>#N/A</v>
      </c>
      <c r="N173" s="351" t="str">
        <f t="shared" si="15"/>
        <v>HÁBIL</v>
      </c>
      <c r="P173" s="427"/>
    </row>
    <row r="174" spans="2:16" ht="13.5" hidden="1">
      <c r="B174" s="231">
        <v>148</v>
      </c>
      <c r="C174" s="129" t="e">
        <f>IF(VLOOKUP(B174,PROPONENTES!$B$19:$E$219,2,0)="","",VLOOKUP(B174,PROPONENTES!$B$19:$E$219,2,0))</f>
        <v>#N/A</v>
      </c>
      <c r="D174" s="130" t="e">
        <f>IF(VLOOKUP(B174,PROPONENTES!$B$19:$E$218,3,0)="","",VLOOKUP(B174,PROPONENTES!$B$19:$E$218,3,0))</f>
        <v>#N/A</v>
      </c>
      <c r="E174" s="130" t="e">
        <f>IF(VLOOKUP(B174,PROPONENTES!$B$19:$E$218,4,0)="","",IF(VLOOKUP(B174,PROPONENTES!$B$19:$E$218,4,0)&gt;1,"SI","NO"))</f>
        <v>#N/A</v>
      </c>
      <c r="F174" s="135" t="e">
        <f>IF(C174&lt;&gt;"",IF(E174="SI",VLOOKUP("T"&amp;C174,'EXP. ESP.'!$A$20:$V$6999,11,0),"NO APLICA"),"")</f>
        <v>#N/A</v>
      </c>
      <c r="G174" s="245" t="e">
        <f>IF(C174&lt;&gt;"",VLOOKUP("M"&amp;C174,'EXP. ESP.'!$A$20:$V$6999,17,0),"")</f>
        <v>#N/A</v>
      </c>
      <c r="H174" s="342" t="e">
        <f>IF(C174&lt;&gt;"",VLOOKUP("P"&amp;C174,'EXP. ESP.'!$A$20:$V$6999,16,0),"")</f>
        <v>#N/A</v>
      </c>
      <c r="I174" s="135" t="e">
        <f t="shared" si="12"/>
        <v>#N/A</v>
      </c>
      <c r="J174" s="352" t="e">
        <f>IF(C174&lt;&gt;"",ROUND(VLOOKUP("S"&amp;C174,'EXP. ESP.'!$A$20:$V$6999,16,0)/$K$14,3),"")</f>
        <v>#N/A</v>
      </c>
      <c r="K174" s="135" t="e">
        <f t="shared" si="13"/>
        <v>#N/A</v>
      </c>
      <c r="L174" s="135" t="e">
        <f>IF(C174&lt;&gt;"",VLOOKUP(C174,HAB.GEN.!$C$19:$K$218,9,FALSE),"")</f>
        <v>#N/A</v>
      </c>
      <c r="M174" s="514" t="e">
        <f t="shared" si="14"/>
        <v>#N/A</v>
      </c>
      <c r="N174" s="351" t="str">
        <f t="shared" si="15"/>
        <v>HÁBIL</v>
      </c>
      <c r="P174" s="427"/>
    </row>
    <row r="175" spans="2:16" ht="13.5" hidden="1">
      <c r="B175" s="231">
        <v>149</v>
      </c>
      <c r="C175" s="129" t="e">
        <f>IF(VLOOKUP(B175,PROPONENTES!$B$19:$E$219,2,0)="","",VLOOKUP(B175,PROPONENTES!$B$19:$E$219,2,0))</f>
        <v>#N/A</v>
      </c>
      <c r="D175" s="130" t="e">
        <f>IF(VLOOKUP(B175,PROPONENTES!$B$19:$E$218,3,0)="","",VLOOKUP(B175,PROPONENTES!$B$19:$E$218,3,0))</f>
        <v>#N/A</v>
      </c>
      <c r="E175" s="130" t="e">
        <f>IF(VLOOKUP(B175,PROPONENTES!$B$19:$E$218,4,0)="","",IF(VLOOKUP(B175,PROPONENTES!$B$19:$E$218,4,0)&gt;1,"SI","NO"))</f>
        <v>#N/A</v>
      </c>
      <c r="F175" s="135" t="e">
        <f>IF(C175&lt;&gt;"",IF(E175="SI",VLOOKUP("T"&amp;C175,'EXP. ESP.'!$A$20:$V$6999,11,0),"NO APLICA"),"")</f>
        <v>#N/A</v>
      </c>
      <c r="G175" s="245" t="e">
        <f>IF(C175&lt;&gt;"",VLOOKUP("M"&amp;C175,'EXP. ESP.'!$A$20:$V$6999,17,0),"")</f>
        <v>#N/A</v>
      </c>
      <c r="H175" s="342" t="e">
        <f>IF(C175&lt;&gt;"",VLOOKUP("P"&amp;C175,'EXP. ESP.'!$A$20:$V$6999,16,0),"")</f>
        <v>#N/A</v>
      </c>
      <c r="I175" s="135" t="e">
        <f t="shared" si="12"/>
        <v>#N/A</v>
      </c>
      <c r="J175" s="352" t="e">
        <f>IF(C175&lt;&gt;"",ROUND(VLOOKUP("S"&amp;C175,'EXP. ESP.'!$A$20:$V$6999,16,0)/$K$14,3),"")</f>
        <v>#N/A</v>
      </c>
      <c r="K175" s="135" t="e">
        <f t="shared" si="13"/>
        <v>#N/A</v>
      </c>
      <c r="L175" s="135" t="e">
        <f>IF(C175&lt;&gt;"",VLOOKUP(C175,HAB.GEN.!$C$19:$K$218,9,FALSE),"")</f>
        <v>#N/A</v>
      </c>
      <c r="M175" s="514" t="e">
        <f t="shared" si="14"/>
        <v>#N/A</v>
      </c>
      <c r="N175" s="351" t="str">
        <f t="shared" si="15"/>
        <v>HÁBIL</v>
      </c>
      <c r="P175" s="427"/>
    </row>
    <row r="176" spans="2:16" ht="13.5" hidden="1">
      <c r="B176" s="231">
        <v>150</v>
      </c>
      <c r="C176" s="129" t="e">
        <f>IF(VLOOKUP(B176,PROPONENTES!$B$19:$E$219,2,0)="","",VLOOKUP(B176,PROPONENTES!$B$19:$E$219,2,0))</f>
        <v>#N/A</v>
      </c>
      <c r="D176" s="130" t="e">
        <f>IF(VLOOKUP(B176,PROPONENTES!$B$19:$E$218,3,0)="","",VLOOKUP(B176,PROPONENTES!$B$19:$E$218,3,0))</f>
        <v>#N/A</v>
      </c>
      <c r="E176" s="130" t="e">
        <f>IF(VLOOKUP(B176,PROPONENTES!$B$19:$E$218,4,0)="","",IF(VLOOKUP(B176,PROPONENTES!$B$19:$E$218,4,0)&gt;1,"SI","NO"))</f>
        <v>#N/A</v>
      </c>
      <c r="F176" s="135" t="e">
        <f>IF(C176&lt;&gt;"",IF(E176="SI",VLOOKUP("T"&amp;C176,'EXP. ESP.'!$A$20:$V$6999,11,0),"NO APLICA"),"")</f>
        <v>#N/A</v>
      </c>
      <c r="G176" s="245" t="e">
        <f>IF(C176&lt;&gt;"",VLOOKUP("M"&amp;C176,'EXP. ESP.'!$A$20:$V$6999,17,0),"")</f>
        <v>#N/A</v>
      </c>
      <c r="H176" s="342" t="e">
        <f>IF(C176&lt;&gt;"",VLOOKUP("P"&amp;C176,'EXP. ESP.'!$A$20:$V$6999,16,0),"")</f>
        <v>#N/A</v>
      </c>
      <c r="I176" s="135" t="e">
        <f t="shared" si="12"/>
        <v>#N/A</v>
      </c>
      <c r="J176" s="352" t="e">
        <f>IF(C176&lt;&gt;"",ROUND(VLOOKUP("S"&amp;C176,'EXP. ESP.'!$A$20:$V$6999,16,0)/$K$14,3),"")</f>
        <v>#N/A</v>
      </c>
      <c r="K176" s="135" t="e">
        <f t="shared" si="13"/>
        <v>#N/A</v>
      </c>
      <c r="L176" s="135" t="e">
        <f>IF(C176&lt;&gt;"",VLOOKUP(C176,HAB.GEN.!$C$19:$K$218,9,FALSE),"")</f>
        <v>#N/A</v>
      </c>
      <c r="M176" s="514" t="e">
        <f t="shared" si="14"/>
        <v>#N/A</v>
      </c>
      <c r="N176" s="351" t="str">
        <f t="shared" si="15"/>
        <v>HÁBIL</v>
      </c>
      <c r="P176" s="427"/>
    </row>
    <row r="177" spans="2:16" ht="13.5" hidden="1">
      <c r="B177" s="231">
        <v>151</v>
      </c>
      <c r="C177" s="129" t="e">
        <f>IF(VLOOKUP(B177,PROPONENTES!$B$19:$E$219,2,0)="","",VLOOKUP(B177,PROPONENTES!$B$19:$E$219,2,0))</f>
        <v>#N/A</v>
      </c>
      <c r="D177" s="130" t="e">
        <f>IF(VLOOKUP(B177,PROPONENTES!$B$19:$E$218,3,0)="","",VLOOKUP(B177,PROPONENTES!$B$19:$E$218,3,0))</f>
        <v>#N/A</v>
      </c>
      <c r="E177" s="130" t="e">
        <f>IF(VLOOKUP(B177,PROPONENTES!$B$19:$E$218,4,0)="","",IF(VLOOKUP(B177,PROPONENTES!$B$19:$E$218,4,0)&gt;1,"SI","NO"))</f>
        <v>#N/A</v>
      </c>
      <c r="F177" s="135" t="e">
        <f>IF(C177&lt;&gt;"",IF(E177="SI",VLOOKUP("T"&amp;C177,'EXP. ESP.'!$A$20:$V$6999,11,0),"NO APLICA"),"")</f>
        <v>#N/A</v>
      </c>
      <c r="G177" s="245" t="e">
        <f>IF(C177&lt;&gt;"",VLOOKUP("M"&amp;C177,'EXP. ESP.'!$A$20:$V$6999,17,0),"")</f>
        <v>#N/A</v>
      </c>
      <c r="H177" s="342" t="e">
        <f>IF(C177&lt;&gt;"",VLOOKUP("P"&amp;C177,'EXP. ESP.'!$A$20:$V$6999,16,0),"")</f>
        <v>#N/A</v>
      </c>
      <c r="I177" s="135" t="e">
        <f t="shared" si="12"/>
        <v>#N/A</v>
      </c>
      <c r="J177" s="352" t="e">
        <f>IF(C177&lt;&gt;"",ROUND(VLOOKUP("S"&amp;C177,'EXP. ESP.'!$A$20:$V$6999,16,0)/$K$14,3),"")</f>
        <v>#N/A</v>
      </c>
      <c r="K177" s="135" t="e">
        <f t="shared" si="13"/>
        <v>#N/A</v>
      </c>
      <c r="L177" s="135" t="e">
        <f>IF(C177&lt;&gt;"",VLOOKUP(C177,HAB.GEN.!$C$19:$K$218,9,FALSE),"")</f>
        <v>#N/A</v>
      </c>
      <c r="M177" s="514" t="e">
        <f t="shared" si="14"/>
        <v>#N/A</v>
      </c>
      <c r="N177" s="351" t="str">
        <f t="shared" si="15"/>
        <v>HÁBIL</v>
      </c>
      <c r="P177" s="427"/>
    </row>
    <row r="178" spans="2:16" ht="13.5" hidden="1">
      <c r="B178" s="230">
        <v>152</v>
      </c>
      <c r="C178" s="129" t="e">
        <f>IF(VLOOKUP(B178,PROPONENTES!$B$19:$E$219,2,0)="","",VLOOKUP(B178,PROPONENTES!$B$19:$E$219,2,0))</f>
        <v>#N/A</v>
      </c>
      <c r="D178" s="130" t="e">
        <f>IF(VLOOKUP(B178,PROPONENTES!$B$19:$E$218,3,0)="","",VLOOKUP(B178,PROPONENTES!$B$19:$E$218,3,0))</f>
        <v>#N/A</v>
      </c>
      <c r="E178" s="130" t="e">
        <f>IF(VLOOKUP(B178,PROPONENTES!$B$19:$E$218,4,0)="","",IF(VLOOKUP(B178,PROPONENTES!$B$19:$E$218,4,0)&gt;1,"SI","NO"))</f>
        <v>#N/A</v>
      </c>
      <c r="F178" s="135" t="e">
        <f>IF(C178&lt;&gt;"",IF(E178="SI",VLOOKUP("T"&amp;C178,'EXP. ESP.'!$A$20:$V$6999,11,0),"NO APLICA"),"")</f>
        <v>#N/A</v>
      </c>
      <c r="G178" s="245" t="e">
        <f>IF(C178&lt;&gt;"",VLOOKUP("M"&amp;C178,'EXP. ESP.'!$A$20:$V$6999,17,0),"")</f>
        <v>#N/A</v>
      </c>
      <c r="H178" s="342" t="e">
        <f>IF(C178&lt;&gt;"",VLOOKUP("P"&amp;C178,'EXP. ESP.'!$A$20:$V$6999,16,0),"")</f>
        <v>#N/A</v>
      </c>
      <c r="I178" s="135" t="e">
        <f t="shared" si="12"/>
        <v>#N/A</v>
      </c>
      <c r="J178" s="352" t="e">
        <f>IF(C178&lt;&gt;"",ROUND(VLOOKUP("S"&amp;C178,'EXP. ESP.'!$A$20:$V$6999,16,0)/$K$14,3),"")</f>
        <v>#N/A</v>
      </c>
      <c r="K178" s="135" t="e">
        <f t="shared" si="13"/>
        <v>#N/A</v>
      </c>
      <c r="L178" s="135" t="e">
        <f>IF(C178&lt;&gt;"",VLOOKUP(C178,HAB.GEN.!$C$19:$K$218,9,FALSE),"")</f>
        <v>#N/A</v>
      </c>
      <c r="M178" s="514" t="e">
        <f t="shared" si="14"/>
        <v>#N/A</v>
      </c>
      <c r="N178" s="351" t="str">
        <f t="shared" si="15"/>
        <v>HÁBIL</v>
      </c>
      <c r="P178" s="427"/>
    </row>
    <row r="179" spans="2:16" ht="13.5" hidden="1">
      <c r="B179" s="231">
        <v>153</v>
      </c>
      <c r="C179" s="129" t="e">
        <f>IF(VLOOKUP(B179,PROPONENTES!$B$19:$E$219,2,0)="","",VLOOKUP(B179,PROPONENTES!$B$19:$E$219,2,0))</f>
        <v>#N/A</v>
      </c>
      <c r="D179" s="130" t="e">
        <f>IF(VLOOKUP(B179,PROPONENTES!$B$19:$E$218,3,0)="","",VLOOKUP(B179,PROPONENTES!$B$19:$E$218,3,0))</f>
        <v>#N/A</v>
      </c>
      <c r="E179" s="130" t="e">
        <f>IF(VLOOKUP(B179,PROPONENTES!$B$19:$E$218,4,0)="","",IF(VLOOKUP(B179,PROPONENTES!$B$19:$E$218,4,0)&gt;1,"SI","NO"))</f>
        <v>#N/A</v>
      </c>
      <c r="F179" s="135" t="e">
        <f>IF(C179&lt;&gt;"",IF(E179="SI",VLOOKUP("T"&amp;C179,'EXP. ESP.'!$A$20:$V$6999,11,0),"NO APLICA"),"")</f>
        <v>#N/A</v>
      </c>
      <c r="G179" s="245" t="e">
        <f>IF(C179&lt;&gt;"",VLOOKUP("M"&amp;C179,'EXP. ESP.'!$A$20:$V$6999,17,0),"")</f>
        <v>#N/A</v>
      </c>
      <c r="H179" s="342" t="e">
        <f>IF(C179&lt;&gt;"",VLOOKUP("P"&amp;C179,'EXP. ESP.'!$A$20:$V$6999,16,0),"")</f>
        <v>#N/A</v>
      </c>
      <c r="I179" s="135" t="e">
        <f t="shared" si="12"/>
        <v>#N/A</v>
      </c>
      <c r="J179" s="352" t="e">
        <f>IF(C179&lt;&gt;"",ROUND(VLOOKUP("S"&amp;C179,'EXP. ESP.'!$A$20:$V$6999,16,0)/$K$14,3),"")</f>
        <v>#N/A</v>
      </c>
      <c r="K179" s="135" t="e">
        <f t="shared" si="13"/>
        <v>#N/A</v>
      </c>
      <c r="L179" s="135" t="e">
        <f>IF(C179&lt;&gt;"",VLOOKUP(C179,HAB.GEN.!$C$19:$K$218,9,FALSE),"")</f>
        <v>#N/A</v>
      </c>
      <c r="M179" s="514" t="e">
        <f t="shared" si="14"/>
        <v>#N/A</v>
      </c>
      <c r="N179" s="351" t="str">
        <f t="shared" si="15"/>
        <v>HÁBIL</v>
      </c>
      <c r="P179" s="427"/>
    </row>
    <row r="180" spans="2:16" ht="13.5" hidden="1">
      <c r="B180" s="231">
        <v>154</v>
      </c>
      <c r="C180" s="129" t="e">
        <f>IF(VLOOKUP(B180,PROPONENTES!$B$19:$E$219,2,0)="","",VLOOKUP(B180,PROPONENTES!$B$19:$E$219,2,0))</f>
        <v>#N/A</v>
      </c>
      <c r="D180" s="130" t="e">
        <f>IF(VLOOKUP(B180,PROPONENTES!$B$19:$E$218,3,0)="","",VLOOKUP(B180,PROPONENTES!$B$19:$E$218,3,0))</f>
        <v>#N/A</v>
      </c>
      <c r="E180" s="130" t="e">
        <f>IF(VLOOKUP(B180,PROPONENTES!$B$19:$E$218,4,0)="","",IF(VLOOKUP(B180,PROPONENTES!$B$19:$E$218,4,0)&gt;1,"SI","NO"))</f>
        <v>#N/A</v>
      </c>
      <c r="F180" s="135" t="e">
        <f>IF(C180&lt;&gt;"",IF(E180="SI",VLOOKUP("T"&amp;C180,'EXP. ESP.'!$A$20:$V$6999,11,0),"NO APLICA"),"")</f>
        <v>#N/A</v>
      </c>
      <c r="G180" s="245" t="e">
        <f>IF(C180&lt;&gt;"",VLOOKUP("M"&amp;C180,'EXP. ESP.'!$A$20:$V$6999,17,0),"")</f>
        <v>#N/A</v>
      </c>
      <c r="H180" s="342" t="e">
        <f>IF(C180&lt;&gt;"",VLOOKUP("P"&amp;C180,'EXP. ESP.'!$A$20:$V$6999,16,0),"")</f>
        <v>#N/A</v>
      </c>
      <c r="I180" s="135" t="e">
        <f t="shared" si="12"/>
        <v>#N/A</v>
      </c>
      <c r="J180" s="352" t="e">
        <f>IF(C180&lt;&gt;"",ROUND(VLOOKUP("S"&amp;C180,'EXP. ESP.'!$A$20:$V$6999,16,0)/$K$14,3),"")</f>
        <v>#N/A</v>
      </c>
      <c r="K180" s="135" t="e">
        <f t="shared" si="13"/>
        <v>#N/A</v>
      </c>
      <c r="L180" s="135" t="e">
        <f>IF(C180&lt;&gt;"",VLOOKUP(C180,HAB.GEN.!$C$19:$K$218,9,FALSE),"")</f>
        <v>#N/A</v>
      </c>
      <c r="M180" s="514" t="e">
        <f t="shared" si="14"/>
        <v>#N/A</v>
      </c>
      <c r="N180" s="351" t="str">
        <f t="shared" si="15"/>
        <v>HÁBIL</v>
      </c>
      <c r="P180" s="427"/>
    </row>
    <row r="181" spans="2:16" ht="13.5" hidden="1">
      <c r="B181" s="231">
        <v>155</v>
      </c>
      <c r="C181" s="129" t="e">
        <f>IF(VLOOKUP(B181,PROPONENTES!$B$19:$E$219,2,0)="","",VLOOKUP(B181,PROPONENTES!$B$19:$E$219,2,0))</f>
        <v>#N/A</v>
      </c>
      <c r="D181" s="130" t="e">
        <f>IF(VLOOKUP(B181,PROPONENTES!$B$19:$E$218,3,0)="","",VLOOKUP(B181,PROPONENTES!$B$19:$E$218,3,0))</f>
        <v>#N/A</v>
      </c>
      <c r="E181" s="130" t="e">
        <f>IF(VLOOKUP(B181,PROPONENTES!$B$19:$E$218,4,0)="","",IF(VLOOKUP(B181,PROPONENTES!$B$19:$E$218,4,0)&gt;1,"SI","NO"))</f>
        <v>#N/A</v>
      </c>
      <c r="F181" s="135" t="e">
        <f>IF(C181&lt;&gt;"",IF(E181="SI",VLOOKUP("T"&amp;C181,'EXP. ESP.'!$A$20:$V$6999,11,0),"NO APLICA"),"")</f>
        <v>#N/A</v>
      </c>
      <c r="G181" s="245" t="e">
        <f>IF(C181&lt;&gt;"",VLOOKUP("M"&amp;C181,'EXP. ESP.'!$A$20:$V$6999,17,0),"")</f>
        <v>#N/A</v>
      </c>
      <c r="H181" s="342" t="e">
        <f>IF(C181&lt;&gt;"",VLOOKUP("P"&amp;C181,'EXP. ESP.'!$A$20:$V$6999,16,0),"")</f>
        <v>#N/A</v>
      </c>
      <c r="I181" s="135" t="e">
        <f t="shared" si="12"/>
        <v>#N/A</v>
      </c>
      <c r="J181" s="352" t="e">
        <f>IF(C181&lt;&gt;"",ROUND(VLOOKUP("S"&amp;C181,'EXP. ESP.'!$A$20:$V$6999,16,0)/$K$14,3),"")</f>
        <v>#N/A</v>
      </c>
      <c r="K181" s="135" t="e">
        <f t="shared" si="13"/>
        <v>#N/A</v>
      </c>
      <c r="L181" s="135" t="e">
        <f>IF(C181&lt;&gt;"",VLOOKUP(C181,HAB.GEN.!$C$19:$K$218,9,FALSE),"")</f>
        <v>#N/A</v>
      </c>
      <c r="M181" s="514" t="e">
        <f t="shared" si="14"/>
        <v>#N/A</v>
      </c>
      <c r="N181" s="351" t="str">
        <f t="shared" si="15"/>
        <v>HÁBIL</v>
      </c>
      <c r="P181" s="427"/>
    </row>
    <row r="182" spans="2:16" ht="13.5" hidden="1">
      <c r="B182" s="231">
        <v>156</v>
      </c>
      <c r="C182" s="129" t="e">
        <f>IF(VLOOKUP(B182,PROPONENTES!$B$19:$E$219,2,0)="","",VLOOKUP(B182,PROPONENTES!$B$19:$E$219,2,0))</f>
        <v>#N/A</v>
      </c>
      <c r="D182" s="130" t="e">
        <f>IF(VLOOKUP(B182,PROPONENTES!$B$19:$E$218,3,0)="","",VLOOKUP(B182,PROPONENTES!$B$19:$E$218,3,0))</f>
        <v>#N/A</v>
      </c>
      <c r="E182" s="130" t="e">
        <f>IF(VLOOKUP(B182,PROPONENTES!$B$19:$E$218,4,0)="","",IF(VLOOKUP(B182,PROPONENTES!$B$19:$E$218,4,0)&gt;1,"SI","NO"))</f>
        <v>#N/A</v>
      </c>
      <c r="F182" s="135" t="e">
        <f>IF(C182&lt;&gt;"",IF(E182="SI",VLOOKUP("T"&amp;C182,'EXP. ESP.'!$A$20:$V$6999,11,0),"NO APLICA"),"")</f>
        <v>#N/A</v>
      </c>
      <c r="G182" s="245" t="e">
        <f>IF(C182&lt;&gt;"",VLOOKUP("M"&amp;C182,'EXP. ESP.'!$A$20:$V$6999,17,0),"")</f>
        <v>#N/A</v>
      </c>
      <c r="H182" s="342" t="e">
        <f>IF(C182&lt;&gt;"",VLOOKUP("P"&amp;C182,'EXP. ESP.'!$A$20:$V$6999,16,0),"")</f>
        <v>#N/A</v>
      </c>
      <c r="I182" s="135" t="e">
        <f t="shared" si="12"/>
        <v>#N/A</v>
      </c>
      <c r="J182" s="352" t="e">
        <f>IF(C182&lt;&gt;"",ROUND(VLOOKUP("S"&amp;C182,'EXP. ESP.'!$A$20:$V$6999,16,0)/$K$14,3),"")</f>
        <v>#N/A</v>
      </c>
      <c r="K182" s="135" t="e">
        <f t="shared" si="13"/>
        <v>#N/A</v>
      </c>
      <c r="L182" s="135" t="e">
        <f>IF(C182&lt;&gt;"",VLOOKUP(C182,HAB.GEN.!$C$19:$K$218,9,FALSE),"")</f>
        <v>#N/A</v>
      </c>
      <c r="M182" s="514" t="e">
        <f t="shared" si="14"/>
        <v>#N/A</v>
      </c>
      <c r="N182" s="351" t="str">
        <f t="shared" si="15"/>
        <v>HÁBIL</v>
      </c>
      <c r="P182" s="427"/>
    </row>
    <row r="183" spans="2:16" ht="13.5" hidden="1">
      <c r="B183" s="230">
        <v>157</v>
      </c>
      <c r="C183" s="129" t="e">
        <f>IF(VLOOKUP(B183,PROPONENTES!$B$19:$E$219,2,0)="","",VLOOKUP(B183,PROPONENTES!$B$19:$E$219,2,0))</f>
        <v>#N/A</v>
      </c>
      <c r="D183" s="130" t="e">
        <f>IF(VLOOKUP(B183,PROPONENTES!$B$19:$E$218,3,0)="","",VLOOKUP(B183,PROPONENTES!$B$19:$E$218,3,0))</f>
        <v>#N/A</v>
      </c>
      <c r="E183" s="130" t="e">
        <f>IF(VLOOKUP(B183,PROPONENTES!$B$19:$E$218,4,0)="","",IF(VLOOKUP(B183,PROPONENTES!$B$19:$E$218,4,0)&gt;1,"SI","NO"))</f>
        <v>#N/A</v>
      </c>
      <c r="F183" s="135" t="e">
        <f>IF(C183&lt;&gt;"",IF(E183="SI",VLOOKUP("T"&amp;C183,'EXP. ESP.'!$A$20:$V$6999,11,0),"NO APLICA"),"")</f>
        <v>#N/A</v>
      </c>
      <c r="G183" s="245" t="e">
        <f>IF(C183&lt;&gt;"",VLOOKUP("M"&amp;C183,'EXP. ESP.'!$A$20:$V$6999,17,0),"")</f>
        <v>#N/A</v>
      </c>
      <c r="H183" s="342" t="e">
        <f>IF(C183&lt;&gt;"",VLOOKUP("P"&amp;C183,'EXP. ESP.'!$A$20:$V$6999,16,0),"")</f>
        <v>#N/A</v>
      </c>
      <c r="I183" s="135" t="e">
        <f t="shared" si="12"/>
        <v>#N/A</v>
      </c>
      <c r="J183" s="352" t="e">
        <f>IF(C183&lt;&gt;"",ROUND(VLOOKUP("S"&amp;C183,'EXP. ESP.'!$A$20:$V$6999,16,0)/$K$14,3),"")</f>
        <v>#N/A</v>
      </c>
      <c r="K183" s="135" t="e">
        <f t="shared" si="13"/>
        <v>#N/A</v>
      </c>
      <c r="L183" s="135" t="e">
        <f>IF(C183&lt;&gt;"",VLOOKUP(C183,HAB.GEN.!$C$19:$K$218,9,FALSE),"")</f>
        <v>#N/A</v>
      </c>
      <c r="M183" s="514" t="e">
        <f t="shared" si="14"/>
        <v>#N/A</v>
      </c>
      <c r="N183" s="351" t="str">
        <f t="shared" si="15"/>
        <v>HÁBIL</v>
      </c>
      <c r="P183" s="427"/>
    </row>
    <row r="184" spans="2:16" ht="13.5" hidden="1">
      <c r="B184" s="231">
        <v>158</v>
      </c>
      <c r="C184" s="129" t="e">
        <f>IF(VLOOKUP(B184,PROPONENTES!$B$19:$E$219,2,0)="","",VLOOKUP(B184,PROPONENTES!$B$19:$E$219,2,0))</f>
        <v>#N/A</v>
      </c>
      <c r="D184" s="130" t="e">
        <f>IF(VLOOKUP(B184,PROPONENTES!$B$19:$E$218,3,0)="","",VLOOKUP(B184,PROPONENTES!$B$19:$E$218,3,0))</f>
        <v>#N/A</v>
      </c>
      <c r="E184" s="130" t="e">
        <f>IF(VLOOKUP(B184,PROPONENTES!$B$19:$E$218,4,0)="","",IF(VLOOKUP(B184,PROPONENTES!$B$19:$E$218,4,0)&gt;1,"SI","NO"))</f>
        <v>#N/A</v>
      </c>
      <c r="F184" s="135" t="e">
        <f>IF(C184&lt;&gt;"",IF(E184="SI",VLOOKUP("T"&amp;C184,'EXP. ESP.'!$A$20:$V$6999,11,0),"NO APLICA"),"")</f>
        <v>#N/A</v>
      </c>
      <c r="G184" s="245" t="e">
        <f>IF(C184&lt;&gt;"",VLOOKUP("M"&amp;C184,'EXP. ESP.'!$A$20:$V$6999,17,0),"")</f>
        <v>#N/A</v>
      </c>
      <c r="H184" s="342" t="e">
        <f>IF(C184&lt;&gt;"",VLOOKUP("P"&amp;C184,'EXP. ESP.'!$A$20:$V$6999,16,0),"")</f>
        <v>#N/A</v>
      </c>
      <c r="I184" s="135" t="e">
        <f t="shared" si="12"/>
        <v>#N/A</v>
      </c>
      <c r="J184" s="352" t="e">
        <f>IF(C184&lt;&gt;"",ROUND(VLOOKUP("S"&amp;C184,'EXP. ESP.'!$A$20:$V$6999,16,0)/$K$14,3),"")</f>
        <v>#N/A</v>
      </c>
      <c r="K184" s="135" t="e">
        <f t="shared" si="13"/>
        <v>#N/A</v>
      </c>
      <c r="L184" s="135" t="e">
        <f>IF(C184&lt;&gt;"",VLOOKUP(C184,HAB.GEN.!$C$19:$K$218,9,FALSE),"")</f>
        <v>#N/A</v>
      </c>
      <c r="M184" s="514" t="e">
        <f t="shared" si="14"/>
        <v>#N/A</v>
      </c>
      <c r="N184" s="351" t="str">
        <f t="shared" si="15"/>
        <v>HÁBIL</v>
      </c>
      <c r="P184" s="427"/>
    </row>
    <row r="185" spans="2:16" ht="13.5" hidden="1">
      <c r="B185" s="231">
        <v>159</v>
      </c>
      <c r="C185" s="129" t="e">
        <f>IF(VLOOKUP(B185,PROPONENTES!$B$19:$E$219,2,0)="","",VLOOKUP(B185,PROPONENTES!$B$19:$E$219,2,0))</f>
        <v>#N/A</v>
      </c>
      <c r="D185" s="130" t="e">
        <f>IF(VLOOKUP(B185,PROPONENTES!$B$19:$E$218,3,0)="","",VLOOKUP(B185,PROPONENTES!$B$19:$E$218,3,0))</f>
        <v>#N/A</v>
      </c>
      <c r="E185" s="130" t="e">
        <f>IF(VLOOKUP(B185,PROPONENTES!$B$19:$E$218,4,0)="","",IF(VLOOKUP(B185,PROPONENTES!$B$19:$E$218,4,0)&gt;1,"SI","NO"))</f>
        <v>#N/A</v>
      </c>
      <c r="F185" s="135" t="e">
        <f>IF(C185&lt;&gt;"",IF(E185="SI",VLOOKUP("T"&amp;C185,'EXP. ESP.'!$A$20:$V$6999,11,0),"NO APLICA"),"")</f>
        <v>#N/A</v>
      </c>
      <c r="G185" s="245" t="e">
        <f>IF(C185&lt;&gt;"",VLOOKUP("M"&amp;C185,'EXP. ESP.'!$A$20:$V$6999,17,0),"")</f>
        <v>#N/A</v>
      </c>
      <c r="H185" s="342" t="e">
        <f>IF(C185&lt;&gt;"",VLOOKUP("P"&amp;C185,'EXP. ESP.'!$A$20:$V$6999,16,0),"")</f>
        <v>#N/A</v>
      </c>
      <c r="I185" s="135" t="e">
        <f t="shared" si="12"/>
        <v>#N/A</v>
      </c>
      <c r="J185" s="352" t="e">
        <f>IF(C185&lt;&gt;"",ROUND(VLOOKUP("S"&amp;C185,'EXP. ESP.'!$A$20:$V$6999,16,0)/$K$14,3),"")</f>
        <v>#N/A</v>
      </c>
      <c r="K185" s="135" t="e">
        <f t="shared" si="13"/>
        <v>#N/A</v>
      </c>
      <c r="L185" s="135" t="e">
        <f>IF(C185&lt;&gt;"",VLOOKUP(C185,HAB.GEN.!$C$19:$K$218,9,FALSE),"")</f>
        <v>#N/A</v>
      </c>
      <c r="M185" s="514" t="e">
        <f t="shared" si="14"/>
        <v>#N/A</v>
      </c>
      <c r="N185" s="351" t="str">
        <f t="shared" si="15"/>
        <v>HÁBIL</v>
      </c>
      <c r="P185" s="427"/>
    </row>
    <row r="186" spans="2:16" ht="13.5" hidden="1">
      <c r="B186" s="231">
        <v>160</v>
      </c>
      <c r="C186" s="129" t="e">
        <f>IF(VLOOKUP(B186,PROPONENTES!$B$19:$E$219,2,0)="","",VLOOKUP(B186,PROPONENTES!$B$19:$E$219,2,0))</f>
        <v>#N/A</v>
      </c>
      <c r="D186" s="130" t="e">
        <f>IF(VLOOKUP(B186,PROPONENTES!$B$19:$E$218,3,0)="","",VLOOKUP(B186,PROPONENTES!$B$19:$E$218,3,0))</f>
        <v>#N/A</v>
      </c>
      <c r="E186" s="130" t="e">
        <f>IF(VLOOKUP(B186,PROPONENTES!$B$19:$E$218,4,0)="","",IF(VLOOKUP(B186,PROPONENTES!$B$19:$E$218,4,0)&gt;1,"SI","NO"))</f>
        <v>#N/A</v>
      </c>
      <c r="F186" s="135" t="e">
        <f>IF(C186&lt;&gt;"",IF(E186="SI",VLOOKUP("T"&amp;C186,'EXP. ESP.'!$A$20:$V$6999,11,0),"NO APLICA"),"")</f>
        <v>#N/A</v>
      </c>
      <c r="G186" s="245" t="e">
        <f>IF(C186&lt;&gt;"",VLOOKUP("M"&amp;C186,'EXP. ESP.'!$A$20:$V$6999,17,0),"")</f>
        <v>#N/A</v>
      </c>
      <c r="H186" s="342" t="e">
        <f>IF(C186&lt;&gt;"",VLOOKUP("P"&amp;C186,'EXP. ESP.'!$A$20:$V$6999,16,0),"")</f>
        <v>#N/A</v>
      </c>
      <c r="I186" s="135" t="e">
        <f t="shared" si="12"/>
        <v>#N/A</v>
      </c>
      <c r="J186" s="352" t="e">
        <f>IF(C186&lt;&gt;"",ROUND(VLOOKUP("S"&amp;C186,'EXP. ESP.'!$A$20:$V$6999,16,0)/$K$14,3),"")</f>
        <v>#N/A</v>
      </c>
      <c r="K186" s="135" t="e">
        <f t="shared" si="13"/>
        <v>#N/A</v>
      </c>
      <c r="L186" s="135" t="e">
        <f>IF(C186&lt;&gt;"",VLOOKUP(C186,HAB.GEN.!$C$19:$K$218,9,FALSE),"")</f>
        <v>#N/A</v>
      </c>
      <c r="M186" s="514" t="e">
        <f t="shared" si="14"/>
        <v>#N/A</v>
      </c>
      <c r="N186" s="351" t="str">
        <f t="shared" si="15"/>
        <v>HÁBIL</v>
      </c>
      <c r="P186" s="427"/>
    </row>
    <row r="187" spans="2:16" ht="13.5" hidden="1">
      <c r="B187" s="231">
        <v>161</v>
      </c>
      <c r="C187" s="129" t="e">
        <f>IF(VLOOKUP(B187,PROPONENTES!$B$19:$E$219,2,0)="","",VLOOKUP(B187,PROPONENTES!$B$19:$E$219,2,0))</f>
        <v>#N/A</v>
      </c>
      <c r="D187" s="130" t="e">
        <f>IF(VLOOKUP(B187,PROPONENTES!$B$19:$E$218,3,0)="","",VLOOKUP(B187,PROPONENTES!$B$19:$E$218,3,0))</f>
        <v>#N/A</v>
      </c>
      <c r="E187" s="130" t="e">
        <f>IF(VLOOKUP(B187,PROPONENTES!$B$19:$E$218,4,0)="","",IF(VLOOKUP(B187,PROPONENTES!$B$19:$E$218,4,0)&gt;1,"SI","NO"))</f>
        <v>#N/A</v>
      </c>
      <c r="F187" s="135" t="e">
        <f>IF(C187&lt;&gt;"",IF(E187="SI",VLOOKUP("T"&amp;C187,'EXP. ESP.'!$A$20:$V$6999,11,0),"NO APLICA"),"")</f>
        <v>#N/A</v>
      </c>
      <c r="G187" s="245" t="e">
        <f>IF(C187&lt;&gt;"",VLOOKUP("M"&amp;C187,'EXP. ESP.'!$A$20:$V$6999,17,0),"")</f>
        <v>#N/A</v>
      </c>
      <c r="H187" s="342" t="e">
        <f>IF(C187&lt;&gt;"",VLOOKUP("P"&amp;C187,'EXP. ESP.'!$A$20:$V$6999,16,0),"")</f>
        <v>#N/A</v>
      </c>
      <c r="I187" s="135" t="e">
        <f t="shared" ref="I187:I218" si="16">IF(C187&lt;&gt;"",IF(AND(G187&gt;=NUMMINCONT,G187&lt;=NUMMAXCONT,H187&gt;$F$15,H187&lt;$F$16,H187&lt;&gt;0),"HÁBIL","NO HÁBIL"),"")</f>
        <v>#N/A</v>
      </c>
      <c r="J187" s="352" t="e">
        <f>IF(C187&lt;&gt;"",ROUND(VLOOKUP("S"&amp;C187,'EXP. ESP.'!$A$20:$V$6999,16,0)/$K$14,3),"")</f>
        <v>#N/A</v>
      </c>
      <c r="K187" s="135" t="e">
        <f t="shared" si="13"/>
        <v>#N/A</v>
      </c>
      <c r="L187" s="135" t="e">
        <f>IF(C187&lt;&gt;"",VLOOKUP(C187,HAB.GEN.!$C$19:$K$218,9,FALSE),"")</f>
        <v>#N/A</v>
      </c>
      <c r="M187" s="514" t="e">
        <f t="shared" ref="M187:M218" si="17">IF(AND(G187&gt;=NUMMINCONT,G187&lt;=NUMMAXCONT,P187&lt;&gt;"SI"),IF(OR(I187="",K187=""),"",IF(OR(I187="NO HÁBIL",K187="NO HÁBIL",F187="NO CUMPLE"),"NO HÁBIL","HÁBIL")),"NO HÁBIL")</f>
        <v>#N/A</v>
      </c>
      <c r="N187" s="351" t="str">
        <f t="shared" si="15"/>
        <v>HÁBIL</v>
      </c>
      <c r="P187" s="427"/>
    </row>
    <row r="188" spans="2:16" ht="13.5" hidden="1">
      <c r="B188" s="230">
        <v>162</v>
      </c>
      <c r="C188" s="129" t="e">
        <f>IF(VLOOKUP(B188,PROPONENTES!$B$19:$E$219,2,0)="","",VLOOKUP(B188,PROPONENTES!$B$19:$E$219,2,0))</f>
        <v>#N/A</v>
      </c>
      <c r="D188" s="130" t="e">
        <f>IF(VLOOKUP(B188,PROPONENTES!$B$19:$E$218,3,0)="","",VLOOKUP(B188,PROPONENTES!$B$19:$E$218,3,0))</f>
        <v>#N/A</v>
      </c>
      <c r="E188" s="130" t="e">
        <f>IF(VLOOKUP(B188,PROPONENTES!$B$19:$E$218,4,0)="","",IF(VLOOKUP(B188,PROPONENTES!$B$19:$E$218,4,0)&gt;1,"SI","NO"))</f>
        <v>#N/A</v>
      </c>
      <c r="F188" s="135" t="e">
        <f>IF(C188&lt;&gt;"",IF(E188="SI",VLOOKUP("T"&amp;C188,'EXP. ESP.'!$A$20:$V$6999,11,0),"NO APLICA"),"")</f>
        <v>#N/A</v>
      </c>
      <c r="G188" s="245" t="e">
        <f>IF(C188&lt;&gt;"",VLOOKUP("M"&amp;C188,'EXP. ESP.'!$A$20:$V$6999,17,0),"")</f>
        <v>#N/A</v>
      </c>
      <c r="H188" s="342" t="e">
        <f>IF(C188&lt;&gt;"",VLOOKUP("P"&amp;C188,'EXP. ESP.'!$A$20:$V$6999,16,0),"")</f>
        <v>#N/A</v>
      </c>
      <c r="I188" s="135" t="e">
        <f t="shared" si="16"/>
        <v>#N/A</v>
      </c>
      <c r="J188" s="352" t="e">
        <f>IF(C188&lt;&gt;"",ROUND(VLOOKUP("S"&amp;C188,'EXP. ESP.'!$A$20:$V$6999,16,0)/$K$14,3),"")</f>
        <v>#N/A</v>
      </c>
      <c r="K188" s="135" t="e">
        <f t="shared" si="13"/>
        <v>#N/A</v>
      </c>
      <c r="L188" s="135" t="e">
        <f>IF(C188&lt;&gt;"",VLOOKUP(C188,HAB.GEN.!$C$19:$K$218,9,FALSE),"")</f>
        <v>#N/A</v>
      </c>
      <c r="M188" s="514" t="e">
        <f t="shared" si="17"/>
        <v>#N/A</v>
      </c>
      <c r="N188" s="351" t="str">
        <f t="shared" si="15"/>
        <v>HÁBIL</v>
      </c>
      <c r="P188" s="427"/>
    </row>
    <row r="189" spans="2:16" ht="13.5" hidden="1">
      <c r="B189" s="231">
        <v>163</v>
      </c>
      <c r="C189" s="129" t="e">
        <f>IF(VLOOKUP(B189,PROPONENTES!$B$19:$E$219,2,0)="","",VLOOKUP(B189,PROPONENTES!$B$19:$E$219,2,0))</f>
        <v>#N/A</v>
      </c>
      <c r="D189" s="130" t="e">
        <f>IF(VLOOKUP(B189,PROPONENTES!$B$19:$E$218,3,0)="","",VLOOKUP(B189,PROPONENTES!$B$19:$E$218,3,0))</f>
        <v>#N/A</v>
      </c>
      <c r="E189" s="130" t="e">
        <f>IF(VLOOKUP(B189,PROPONENTES!$B$19:$E$218,4,0)="","",IF(VLOOKUP(B189,PROPONENTES!$B$19:$E$218,4,0)&gt;1,"SI","NO"))</f>
        <v>#N/A</v>
      </c>
      <c r="F189" s="135" t="e">
        <f>IF(C189&lt;&gt;"",IF(E189="SI",VLOOKUP("T"&amp;C189,'EXP. ESP.'!$A$20:$V$6999,11,0),"NO APLICA"),"")</f>
        <v>#N/A</v>
      </c>
      <c r="G189" s="245" t="e">
        <f>IF(C189&lt;&gt;"",VLOOKUP("M"&amp;C189,'EXP. ESP.'!$A$20:$V$6999,17,0),"")</f>
        <v>#N/A</v>
      </c>
      <c r="H189" s="342" t="e">
        <f>IF(C189&lt;&gt;"",VLOOKUP("P"&amp;C189,'EXP. ESP.'!$A$20:$V$6999,16,0),"")</f>
        <v>#N/A</v>
      </c>
      <c r="I189" s="135" t="e">
        <f t="shared" si="16"/>
        <v>#N/A</v>
      </c>
      <c r="J189" s="352" t="e">
        <f>IF(C189&lt;&gt;"",ROUND(VLOOKUP("S"&amp;C189,'EXP. ESP.'!$A$20:$V$6999,16,0)/$K$14,3),"")</f>
        <v>#N/A</v>
      </c>
      <c r="K189" s="135" t="e">
        <f t="shared" si="13"/>
        <v>#N/A</v>
      </c>
      <c r="L189" s="135" t="e">
        <f>IF(C189&lt;&gt;"",VLOOKUP(C189,HAB.GEN.!$C$19:$K$218,9,FALSE),"")</f>
        <v>#N/A</v>
      </c>
      <c r="M189" s="514" t="e">
        <f t="shared" si="17"/>
        <v>#N/A</v>
      </c>
      <c r="N189" s="351" t="str">
        <f t="shared" si="15"/>
        <v>HÁBIL</v>
      </c>
      <c r="P189" s="427"/>
    </row>
    <row r="190" spans="2:16" ht="13.5" hidden="1">
      <c r="B190" s="231">
        <v>164</v>
      </c>
      <c r="C190" s="129" t="e">
        <f>IF(VLOOKUP(B190,PROPONENTES!$B$19:$E$219,2,0)="","",VLOOKUP(B190,PROPONENTES!$B$19:$E$219,2,0))</f>
        <v>#N/A</v>
      </c>
      <c r="D190" s="130" t="e">
        <f>IF(VLOOKUP(B190,PROPONENTES!$B$19:$E$218,3,0)="","",VLOOKUP(B190,PROPONENTES!$B$19:$E$218,3,0))</f>
        <v>#N/A</v>
      </c>
      <c r="E190" s="130" t="e">
        <f>IF(VLOOKUP(B190,PROPONENTES!$B$19:$E$218,4,0)="","",IF(VLOOKUP(B190,PROPONENTES!$B$19:$E$218,4,0)&gt;1,"SI","NO"))</f>
        <v>#N/A</v>
      </c>
      <c r="F190" s="135" t="e">
        <f>IF(C190&lt;&gt;"",IF(E190="SI",VLOOKUP("T"&amp;C190,'EXP. ESP.'!$A$20:$V$6999,11,0),"NO APLICA"),"")</f>
        <v>#N/A</v>
      </c>
      <c r="G190" s="245" t="e">
        <f>IF(C190&lt;&gt;"",VLOOKUP("M"&amp;C190,'EXP. ESP.'!$A$20:$V$6999,17,0),"")</f>
        <v>#N/A</v>
      </c>
      <c r="H190" s="342" t="e">
        <f>IF(C190&lt;&gt;"",VLOOKUP("P"&amp;C190,'EXP. ESP.'!$A$20:$V$6999,16,0),"")</f>
        <v>#N/A</v>
      </c>
      <c r="I190" s="135" t="e">
        <f t="shared" si="16"/>
        <v>#N/A</v>
      </c>
      <c r="J190" s="352" t="e">
        <f>IF(C190&lt;&gt;"",ROUND(VLOOKUP("S"&amp;C190,'EXP. ESP.'!$A$20:$V$6999,16,0)/$K$14,3),"")</f>
        <v>#N/A</v>
      </c>
      <c r="K190" s="135" t="e">
        <f t="shared" si="13"/>
        <v>#N/A</v>
      </c>
      <c r="L190" s="135" t="e">
        <f>IF(C190&lt;&gt;"",VLOOKUP(C190,HAB.GEN.!$C$19:$K$218,9,FALSE),"")</f>
        <v>#N/A</v>
      </c>
      <c r="M190" s="514" t="e">
        <f t="shared" si="17"/>
        <v>#N/A</v>
      </c>
      <c r="N190" s="351" t="str">
        <f t="shared" si="15"/>
        <v>HÁBIL</v>
      </c>
      <c r="P190" s="427"/>
    </row>
    <row r="191" spans="2:16" ht="13.5" hidden="1">
      <c r="B191" s="231">
        <v>165</v>
      </c>
      <c r="C191" s="129" t="e">
        <f>IF(VLOOKUP(B191,PROPONENTES!$B$19:$E$219,2,0)="","",VLOOKUP(B191,PROPONENTES!$B$19:$E$219,2,0))</f>
        <v>#N/A</v>
      </c>
      <c r="D191" s="130" t="e">
        <f>IF(VLOOKUP(B191,PROPONENTES!$B$19:$E$218,3,0)="","",VLOOKUP(B191,PROPONENTES!$B$19:$E$218,3,0))</f>
        <v>#N/A</v>
      </c>
      <c r="E191" s="130" t="e">
        <f>IF(VLOOKUP(B191,PROPONENTES!$B$19:$E$218,4,0)="","",IF(VLOOKUP(B191,PROPONENTES!$B$19:$E$218,4,0)&gt;1,"SI","NO"))</f>
        <v>#N/A</v>
      </c>
      <c r="F191" s="135" t="e">
        <f>IF(C191&lt;&gt;"",IF(E191="SI",VLOOKUP("T"&amp;C191,'EXP. ESP.'!$A$20:$V$6999,11,0),"NO APLICA"),"")</f>
        <v>#N/A</v>
      </c>
      <c r="G191" s="245" t="e">
        <f>IF(C191&lt;&gt;"",VLOOKUP("M"&amp;C191,'EXP. ESP.'!$A$20:$V$6999,17,0),"")</f>
        <v>#N/A</v>
      </c>
      <c r="H191" s="342" t="e">
        <f>IF(C191&lt;&gt;"",VLOOKUP("P"&amp;C191,'EXP. ESP.'!$A$20:$V$6999,16,0),"")</f>
        <v>#N/A</v>
      </c>
      <c r="I191" s="135" t="e">
        <f t="shared" si="16"/>
        <v>#N/A</v>
      </c>
      <c r="J191" s="352" t="e">
        <f>IF(C191&lt;&gt;"",ROUND(VLOOKUP("S"&amp;C191,'EXP. ESP.'!$A$20:$V$6999,16,0)/$K$14,3),"")</f>
        <v>#N/A</v>
      </c>
      <c r="K191" s="135" t="e">
        <f t="shared" si="13"/>
        <v>#N/A</v>
      </c>
      <c r="L191" s="135" t="e">
        <f>IF(C191&lt;&gt;"",VLOOKUP(C191,HAB.GEN.!$C$19:$K$218,9,FALSE),"")</f>
        <v>#N/A</v>
      </c>
      <c r="M191" s="514" t="e">
        <f t="shared" si="17"/>
        <v>#N/A</v>
      </c>
      <c r="N191" s="351" t="str">
        <f t="shared" si="15"/>
        <v>HÁBIL</v>
      </c>
      <c r="P191" s="427"/>
    </row>
    <row r="192" spans="2:16" ht="13.5" hidden="1">
      <c r="B192" s="231">
        <v>166</v>
      </c>
      <c r="C192" s="129" t="e">
        <f>IF(VLOOKUP(B192,PROPONENTES!$B$19:$E$219,2,0)="","",VLOOKUP(B192,PROPONENTES!$B$19:$E$219,2,0))</f>
        <v>#N/A</v>
      </c>
      <c r="D192" s="130" t="e">
        <f>IF(VLOOKUP(B192,PROPONENTES!$B$19:$E$218,3,0)="","",VLOOKUP(B192,PROPONENTES!$B$19:$E$218,3,0))</f>
        <v>#N/A</v>
      </c>
      <c r="E192" s="130" t="e">
        <f>IF(VLOOKUP(B192,PROPONENTES!$B$19:$E$218,4,0)="","",IF(VLOOKUP(B192,PROPONENTES!$B$19:$E$218,4,0)&gt;1,"SI","NO"))</f>
        <v>#N/A</v>
      </c>
      <c r="F192" s="135" t="e">
        <f>IF(C192&lt;&gt;"",IF(E192="SI",VLOOKUP("T"&amp;C192,'EXP. ESP.'!$A$20:$V$6999,11,0),"NO APLICA"),"")</f>
        <v>#N/A</v>
      </c>
      <c r="G192" s="245" t="e">
        <f>IF(C192&lt;&gt;"",VLOOKUP("M"&amp;C192,'EXP. ESP.'!$A$20:$V$6999,17,0),"")</f>
        <v>#N/A</v>
      </c>
      <c r="H192" s="342" t="e">
        <f>IF(C192&lt;&gt;"",VLOOKUP("P"&amp;C192,'EXP. ESP.'!$A$20:$V$6999,16,0),"")</f>
        <v>#N/A</v>
      </c>
      <c r="I192" s="135" t="e">
        <f t="shared" si="16"/>
        <v>#N/A</v>
      </c>
      <c r="J192" s="352" t="e">
        <f>IF(C192&lt;&gt;"",ROUND(VLOOKUP("S"&amp;C192,'EXP. ESP.'!$A$20:$V$6999,16,0)/$K$14,3),"")</f>
        <v>#N/A</v>
      </c>
      <c r="K192" s="135" t="e">
        <f t="shared" si="13"/>
        <v>#N/A</v>
      </c>
      <c r="L192" s="135" t="e">
        <f>IF(C192&lt;&gt;"",VLOOKUP(C192,HAB.GEN.!$C$19:$K$218,9,FALSE),"")</f>
        <v>#N/A</v>
      </c>
      <c r="M192" s="514" t="e">
        <f t="shared" si="17"/>
        <v>#N/A</v>
      </c>
      <c r="N192" s="351" t="str">
        <f t="shared" si="15"/>
        <v>HÁBIL</v>
      </c>
      <c r="P192" s="427"/>
    </row>
    <row r="193" spans="2:16" ht="13.5" hidden="1">
      <c r="B193" s="230">
        <v>167</v>
      </c>
      <c r="C193" s="129" t="e">
        <f>IF(VLOOKUP(B193,PROPONENTES!$B$19:$E$219,2,0)="","",VLOOKUP(B193,PROPONENTES!$B$19:$E$219,2,0))</f>
        <v>#N/A</v>
      </c>
      <c r="D193" s="130" t="e">
        <f>IF(VLOOKUP(B193,PROPONENTES!$B$19:$E$218,3,0)="","",VLOOKUP(B193,PROPONENTES!$B$19:$E$218,3,0))</f>
        <v>#N/A</v>
      </c>
      <c r="E193" s="130" t="e">
        <f>IF(VLOOKUP(B193,PROPONENTES!$B$19:$E$218,4,0)="","",IF(VLOOKUP(B193,PROPONENTES!$B$19:$E$218,4,0)&gt;1,"SI","NO"))</f>
        <v>#N/A</v>
      </c>
      <c r="F193" s="135" t="e">
        <f>IF(C193&lt;&gt;"",IF(E193="SI",VLOOKUP("T"&amp;C193,'EXP. ESP.'!$A$20:$V$6999,11,0),"NO APLICA"),"")</f>
        <v>#N/A</v>
      </c>
      <c r="G193" s="245" t="e">
        <f>IF(C193&lt;&gt;"",VLOOKUP("M"&amp;C193,'EXP. ESP.'!$A$20:$V$6999,17,0),"")</f>
        <v>#N/A</v>
      </c>
      <c r="H193" s="342" t="e">
        <f>IF(C193&lt;&gt;"",VLOOKUP("P"&amp;C193,'EXP. ESP.'!$A$20:$V$6999,16,0),"")</f>
        <v>#N/A</v>
      </c>
      <c r="I193" s="135" t="e">
        <f t="shared" si="16"/>
        <v>#N/A</v>
      </c>
      <c r="J193" s="352" t="e">
        <f>IF(C193&lt;&gt;"",ROUND(VLOOKUP("S"&amp;C193,'EXP. ESP.'!$A$20:$V$6999,16,0)/$K$14,3),"")</f>
        <v>#N/A</v>
      </c>
      <c r="K193" s="135" t="e">
        <f t="shared" si="13"/>
        <v>#N/A</v>
      </c>
      <c r="L193" s="135" t="e">
        <f>IF(C193&lt;&gt;"",VLOOKUP(C193,HAB.GEN.!$C$19:$K$218,9,FALSE),"")</f>
        <v>#N/A</v>
      </c>
      <c r="M193" s="514" t="e">
        <f t="shared" si="17"/>
        <v>#N/A</v>
      </c>
      <c r="N193" s="351" t="str">
        <f t="shared" si="15"/>
        <v>HÁBIL</v>
      </c>
      <c r="P193" s="427"/>
    </row>
    <row r="194" spans="2:16" ht="13.5" hidden="1">
      <c r="B194" s="231">
        <v>168</v>
      </c>
      <c r="C194" s="129" t="e">
        <f>IF(VLOOKUP(B194,PROPONENTES!$B$19:$E$219,2,0)="","",VLOOKUP(B194,PROPONENTES!$B$19:$E$219,2,0))</f>
        <v>#N/A</v>
      </c>
      <c r="D194" s="130" t="e">
        <f>IF(VLOOKUP(B194,PROPONENTES!$B$19:$E$218,3,0)="","",VLOOKUP(B194,PROPONENTES!$B$19:$E$218,3,0))</f>
        <v>#N/A</v>
      </c>
      <c r="E194" s="130" t="e">
        <f>IF(VLOOKUP(B194,PROPONENTES!$B$19:$E$218,4,0)="","",IF(VLOOKUP(B194,PROPONENTES!$B$19:$E$218,4,0)&gt;1,"SI","NO"))</f>
        <v>#N/A</v>
      </c>
      <c r="F194" s="135" t="e">
        <f>IF(C194&lt;&gt;"",IF(E194="SI",VLOOKUP("T"&amp;C194,'EXP. ESP.'!$A$20:$V$6999,11,0),"NO APLICA"),"")</f>
        <v>#N/A</v>
      </c>
      <c r="G194" s="245" t="e">
        <f>IF(C194&lt;&gt;"",VLOOKUP("M"&amp;C194,'EXP. ESP.'!$A$20:$V$6999,17,0),"")</f>
        <v>#N/A</v>
      </c>
      <c r="H194" s="342" t="e">
        <f>IF(C194&lt;&gt;"",VLOOKUP("P"&amp;C194,'EXP. ESP.'!$A$20:$V$6999,16,0),"")</f>
        <v>#N/A</v>
      </c>
      <c r="I194" s="135" t="e">
        <f t="shared" si="16"/>
        <v>#N/A</v>
      </c>
      <c r="J194" s="352" t="e">
        <f>IF(C194&lt;&gt;"",ROUND(VLOOKUP("S"&amp;C194,'EXP. ESP.'!$A$20:$V$6999,16,0)/$K$14,3),"")</f>
        <v>#N/A</v>
      </c>
      <c r="K194" s="135" t="e">
        <f t="shared" si="13"/>
        <v>#N/A</v>
      </c>
      <c r="L194" s="135" t="e">
        <f>IF(C194&lt;&gt;"",VLOOKUP(C194,HAB.GEN.!$C$19:$K$218,9,FALSE),"")</f>
        <v>#N/A</v>
      </c>
      <c r="M194" s="514" t="e">
        <f t="shared" si="17"/>
        <v>#N/A</v>
      </c>
      <c r="N194" s="351" t="str">
        <f t="shared" si="15"/>
        <v>HÁBIL</v>
      </c>
      <c r="P194" s="427"/>
    </row>
    <row r="195" spans="2:16" ht="13.5" hidden="1">
      <c r="B195" s="231">
        <v>169</v>
      </c>
      <c r="C195" s="129" t="e">
        <f>IF(VLOOKUP(B195,PROPONENTES!$B$19:$E$219,2,0)="","",VLOOKUP(B195,PROPONENTES!$B$19:$E$219,2,0))</f>
        <v>#N/A</v>
      </c>
      <c r="D195" s="130" t="e">
        <f>IF(VLOOKUP(B195,PROPONENTES!$B$19:$E$218,3,0)="","",VLOOKUP(B195,PROPONENTES!$B$19:$E$218,3,0))</f>
        <v>#N/A</v>
      </c>
      <c r="E195" s="130" t="e">
        <f>IF(VLOOKUP(B195,PROPONENTES!$B$19:$E$218,4,0)="","",IF(VLOOKUP(B195,PROPONENTES!$B$19:$E$218,4,0)&gt;1,"SI","NO"))</f>
        <v>#N/A</v>
      </c>
      <c r="F195" s="135" t="e">
        <f>IF(C195&lt;&gt;"",IF(E195="SI",VLOOKUP("T"&amp;C195,'EXP. ESP.'!$A$20:$V$6999,11,0),"NO APLICA"),"")</f>
        <v>#N/A</v>
      </c>
      <c r="G195" s="245" t="e">
        <f>IF(C195&lt;&gt;"",VLOOKUP("M"&amp;C195,'EXP. ESP.'!$A$20:$V$6999,17,0),"")</f>
        <v>#N/A</v>
      </c>
      <c r="H195" s="342" t="e">
        <f>IF(C195&lt;&gt;"",VLOOKUP("P"&amp;C195,'EXP. ESP.'!$A$20:$V$6999,16,0),"")</f>
        <v>#N/A</v>
      </c>
      <c r="I195" s="135" t="e">
        <f t="shared" si="16"/>
        <v>#N/A</v>
      </c>
      <c r="J195" s="352" t="e">
        <f>IF(C195&lt;&gt;"",ROUND(VLOOKUP("S"&amp;C195,'EXP. ESP.'!$A$20:$V$6999,16,0)/$K$14,3),"")</f>
        <v>#N/A</v>
      </c>
      <c r="K195" s="135" t="e">
        <f t="shared" si="13"/>
        <v>#N/A</v>
      </c>
      <c r="L195" s="135" t="e">
        <f>IF(C195&lt;&gt;"",VLOOKUP(C195,HAB.GEN.!$C$19:$K$218,9,FALSE),"")</f>
        <v>#N/A</v>
      </c>
      <c r="M195" s="514" t="e">
        <f t="shared" si="17"/>
        <v>#N/A</v>
      </c>
      <c r="N195" s="351" t="str">
        <f t="shared" si="15"/>
        <v>HÁBIL</v>
      </c>
      <c r="P195" s="427"/>
    </row>
    <row r="196" spans="2:16" ht="13.5" hidden="1">
      <c r="B196" s="231">
        <v>170</v>
      </c>
      <c r="C196" s="129" t="e">
        <f>IF(VLOOKUP(B196,PROPONENTES!$B$19:$E$219,2,0)="","",VLOOKUP(B196,PROPONENTES!$B$19:$E$219,2,0))</f>
        <v>#N/A</v>
      </c>
      <c r="D196" s="130" t="e">
        <f>IF(VLOOKUP(B196,PROPONENTES!$B$19:$E$218,3,0)="","",VLOOKUP(B196,PROPONENTES!$B$19:$E$218,3,0))</f>
        <v>#N/A</v>
      </c>
      <c r="E196" s="130" t="e">
        <f>IF(VLOOKUP(B196,PROPONENTES!$B$19:$E$218,4,0)="","",IF(VLOOKUP(B196,PROPONENTES!$B$19:$E$218,4,0)&gt;1,"SI","NO"))</f>
        <v>#N/A</v>
      </c>
      <c r="F196" s="135" t="e">
        <f>IF(C196&lt;&gt;"",IF(E196="SI",VLOOKUP("T"&amp;C196,'EXP. ESP.'!$A$20:$V$6999,11,0),"NO APLICA"),"")</f>
        <v>#N/A</v>
      </c>
      <c r="G196" s="245" t="e">
        <f>IF(C196&lt;&gt;"",VLOOKUP("M"&amp;C196,'EXP. ESP.'!$A$20:$V$6999,17,0),"")</f>
        <v>#N/A</v>
      </c>
      <c r="H196" s="342" t="e">
        <f>IF(C196&lt;&gt;"",VLOOKUP("P"&amp;C196,'EXP. ESP.'!$A$20:$V$6999,16,0),"")</f>
        <v>#N/A</v>
      </c>
      <c r="I196" s="135" t="e">
        <f t="shared" si="16"/>
        <v>#N/A</v>
      </c>
      <c r="J196" s="352" t="e">
        <f>IF(C196&lt;&gt;"",ROUND(VLOOKUP("S"&amp;C196,'EXP. ESP.'!$A$20:$V$6999,16,0)/$K$14,3),"")</f>
        <v>#N/A</v>
      </c>
      <c r="K196" s="135" t="e">
        <f t="shared" si="13"/>
        <v>#N/A</v>
      </c>
      <c r="L196" s="135" t="e">
        <f>IF(C196&lt;&gt;"",VLOOKUP(C196,HAB.GEN.!$C$19:$K$218,9,FALSE),"")</f>
        <v>#N/A</v>
      </c>
      <c r="M196" s="514" t="e">
        <f t="shared" si="17"/>
        <v>#N/A</v>
      </c>
      <c r="N196" s="351" t="str">
        <f t="shared" si="15"/>
        <v>HÁBIL</v>
      </c>
      <c r="P196" s="427"/>
    </row>
    <row r="197" spans="2:16" ht="13.5" hidden="1">
      <c r="B197" s="231">
        <v>171</v>
      </c>
      <c r="C197" s="129" t="e">
        <f>IF(VLOOKUP(B197,PROPONENTES!$B$19:$E$219,2,0)="","",VLOOKUP(B197,PROPONENTES!$B$19:$E$219,2,0))</f>
        <v>#N/A</v>
      </c>
      <c r="D197" s="130" t="e">
        <f>IF(VLOOKUP(B197,PROPONENTES!$B$19:$E$218,3,0)="","",VLOOKUP(B197,PROPONENTES!$B$19:$E$218,3,0))</f>
        <v>#N/A</v>
      </c>
      <c r="E197" s="130" t="e">
        <f>IF(VLOOKUP(B197,PROPONENTES!$B$19:$E$218,4,0)="","",IF(VLOOKUP(B197,PROPONENTES!$B$19:$E$218,4,0)&gt;1,"SI","NO"))</f>
        <v>#N/A</v>
      </c>
      <c r="F197" s="135" t="e">
        <f>IF(C197&lt;&gt;"",IF(E197="SI",VLOOKUP("T"&amp;C197,'EXP. ESP.'!$A$20:$V$6999,11,0),"NO APLICA"),"")</f>
        <v>#N/A</v>
      </c>
      <c r="G197" s="245" t="e">
        <f>IF(C197&lt;&gt;"",VLOOKUP("M"&amp;C197,'EXP. ESP.'!$A$20:$V$6999,17,0),"")</f>
        <v>#N/A</v>
      </c>
      <c r="H197" s="342" t="e">
        <f>IF(C197&lt;&gt;"",VLOOKUP("P"&amp;C197,'EXP. ESP.'!$A$20:$V$6999,16,0),"")</f>
        <v>#N/A</v>
      </c>
      <c r="I197" s="135" t="e">
        <f t="shared" si="16"/>
        <v>#N/A</v>
      </c>
      <c r="J197" s="352" t="e">
        <f>IF(C197&lt;&gt;"",ROUND(VLOOKUP("S"&amp;C197,'EXP. ESP.'!$A$20:$V$6999,16,0)/$K$14,3),"")</f>
        <v>#N/A</v>
      </c>
      <c r="K197" s="135" t="e">
        <f t="shared" si="13"/>
        <v>#N/A</v>
      </c>
      <c r="L197" s="135" t="e">
        <f>IF(C197&lt;&gt;"",VLOOKUP(C197,HAB.GEN.!$C$19:$K$218,9,FALSE),"")</f>
        <v>#N/A</v>
      </c>
      <c r="M197" s="514" t="e">
        <f t="shared" si="17"/>
        <v>#N/A</v>
      </c>
      <c r="N197" s="351" t="str">
        <f t="shared" si="15"/>
        <v>HÁBIL</v>
      </c>
      <c r="P197" s="427"/>
    </row>
    <row r="198" spans="2:16" ht="13.5" hidden="1">
      <c r="B198" s="230">
        <v>172</v>
      </c>
      <c r="C198" s="129" t="e">
        <f>IF(VLOOKUP(B198,PROPONENTES!$B$19:$E$219,2,0)="","",VLOOKUP(B198,PROPONENTES!$B$19:$E$219,2,0))</f>
        <v>#N/A</v>
      </c>
      <c r="D198" s="130" t="e">
        <f>IF(VLOOKUP(B198,PROPONENTES!$B$19:$E$218,3,0)="","",VLOOKUP(B198,PROPONENTES!$B$19:$E$218,3,0))</f>
        <v>#N/A</v>
      </c>
      <c r="E198" s="130" t="e">
        <f>IF(VLOOKUP(B198,PROPONENTES!$B$19:$E$218,4,0)="","",IF(VLOOKUP(B198,PROPONENTES!$B$19:$E$218,4,0)&gt;1,"SI","NO"))</f>
        <v>#N/A</v>
      </c>
      <c r="F198" s="135" t="e">
        <f>IF(C198&lt;&gt;"",IF(E198="SI",VLOOKUP("T"&amp;C198,'EXP. ESP.'!$A$20:$V$6999,11,0),"NO APLICA"),"")</f>
        <v>#N/A</v>
      </c>
      <c r="G198" s="245" t="e">
        <f>IF(C198&lt;&gt;"",VLOOKUP("M"&amp;C198,'EXP. ESP.'!$A$20:$V$6999,17,0),"")</f>
        <v>#N/A</v>
      </c>
      <c r="H198" s="342" t="e">
        <f>IF(C198&lt;&gt;"",VLOOKUP("P"&amp;C198,'EXP. ESP.'!$A$20:$V$6999,16,0),"")</f>
        <v>#N/A</v>
      </c>
      <c r="I198" s="135" t="e">
        <f t="shared" si="16"/>
        <v>#N/A</v>
      </c>
      <c r="J198" s="352" t="e">
        <f>IF(C198&lt;&gt;"",ROUND(VLOOKUP("S"&amp;C198,'EXP. ESP.'!$A$20:$V$6999,16,0)/$K$14,3),"")</f>
        <v>#N/A</v>
      </c>
      <c r="K198" s="135" t="e">
        <f t="shared" si="13"/>
        <v>#N/A</v>
      </c>
      <c r="L198" s="135" t="e">
        <f>IF(C198&lt;&gt;"",VLOOKUP(C198,HAB.GEN.!$C$19:$K$218,9,FALSE),"")</f>
        <v>#N/A</v>
      </c>
      <c r="M198" s="514" t="e">
        <f t="shared" si="17"/>
        <v>#N/A</v>
      </c>
      <c r="N198" s="351" t="str">
        <f t="shared" si="15"/>
        <v>HÁBIL</v>
      </c>
      <c r="P198" s="427"/>
    </row>
    <row r="199" spans="2:16" ht="13.5" hidden="1">
      <c r="B199" s="231">
        <v>173</v>
      </c>
      <c r="C199" s="129" t="e">
        <f>IF(VLOOKUP(B199,PROPONENTES!$B$19:$E$219,2,0)="","",VLOOKUP(B199,PROPONENTES!$B$19:$E$219,2,0))</f>
        <v>#N/A</v>
      </c>
      <c r="D199" s="130" t="e">
        <f>IF(VLOOKUP(B199,PROPONENTES!$B$19:$E$218,3,0)="","",VLOOKUP(B199,PROPONENTES!$B$19:$E$218,3,0))</f>
        <v>#N/A</v>
      </c>
      <c r="E199" s="130" t="e">
        <f>IF(VLOOKUP(B199,PROPONENTES!$B$19:$E$218,4,0)="","",IF(VLOOKUP(B199,PROPONENTES!$B$19:$E$218,4,0)&gt;1,"SI","NO"))</f>
        <v>#N/A</v>
      </c>
      <c r="F199" s="135" t="e">
        <f>IF(C199&lt;&gt;"",IF(E199="SI",VLOOKUP("T"&amp;C199,'EXP. ESP.'!$A$20:$V$6999,11,0),"NO APLICA"),"")</f>
        <v>#N/A</v>
      </c>
      <c r="G199" s="245" t="e">
        <f>IF(C199&lt;&gt;"",VLOOKUP("M"&amp;C199,'EXP. ESP.'!$A$20:$V$6999,17,0),"")</f>
        <v>#N/A</v>
      </c>
      <c r="H199" s="342" t="e">
        <f>IF(C199&lt;&gt;"",VLOOKUP("P"&amp;C199,'EXP. ESP.'!$A$20:$V$6999,16,0),"")</f>
        <v>#N/A</v>
      </c>
      <c r="I199" s="135" t="e">
        <f t="shared" si="16"/>
        <v>#N/A</v>
      </c>
      <c r="J199" s="352" t="e">
        <f>IF(C199&lt;&gt;"",ROUND(VLOOKUP("S"&amp;C199,'EXP. ESP.'!$A$20:$V$6999,16,0)/$K$14,3),"")</f>
        <v>#N/A</v>
      </c>
      <c r="K199" s="135" t="e">
        <f t="shared" si="13"/>
        <v>#N/A</v>
      </c>
      <c r="L199" s="135" t="e">
        <f>IF(C199&lt;&gt;"",VLOOKUP(C199,HAB.GEN.!$C$19:$K$218,9,FALSE),"")</f>
        <v>#N/A</v>
      </c>
      <c r="M199" s="514" t="e">
        <f t="shared" si="17"/>
        <v>#N/A</v>
      </c>
      <c r="N199" s="351" t="str">
        <f t="shared" si="15"/>
        <v>HÁBIL</v>
      </c>
      <c r="P199" s="427"/>
    </row>
    <row r="200" spans="2:16" ht="13.5" hidden="1">
      <c r="B200" s="231">
        <v>174</v>
      </c>
      <c r="C200" s="129" t="e">
        <f>IF(VLOOKUP(B200,PROPONENTES!$B$19:$E$219,2,0)="","",VLOOKUP(B200,PROPONENTES!$B$19:$E$219,2,0))</f>
        <v>#N/A</v>
      </c>
      <c r="D200" s="130" t="e">
        <f>IF(VLOOKUP(B200,PROPONENTES!$B$19:$E$218,3,0)="","",VLOOKUP(B200,PROPONENTES!$B$19:$E$218,3,0))</f>
        <v>#N/A</v>
      </c>
      <c r="E200" s="130" t="e">
        <f>IF(VLOOKUP(B200,PROPONENTES!$B$19:$E$218,4,0)="","",IF(VLOOKUP(B200,PROPONENTES!$B$19:$E$218,4,0)&gt;1,"SI","NO"))</f>
        <v>#N/A</v>
      </c>
      <c r="F200" s="135" t="e">
        <f>IF(C200&lt;&gt;"",IF(E200="SI",VLOOKUP("T"&amp;C200,'EXP. ESP.'!$A$20:$V$6999,11,0),"NO APLICA"),"")</f>
        <v>#N/A</v>
      </c>
      <c r="G200" s="245" t="e">
        <f>IF(C200&lt;&gt;"",VLOOKUP("M"&amp;C200,'EXP. ESP.'!$A$20:$V$6999,17,0),"")</f>
        <v>#N/A</v>
      </c>
      <c r="H200" s="342" t="e">
        <f>IF(C200&lt;&gt;"",VLOOKUP("P"&amp;C200,'EXP. ESP.'!$A$20:$V$6999,16,0),"")</f>
        <v>#N/A</v>
      </c>
      <c r="I200" s="135" t="e">
        <f t="shared" si="16"/>
        <v>#N/A</v>
      </c>
      <c r="J200" s="352" t="e">
        <f>IF(C200&lt;&gt;"",ROUND(VLOOKUP("S"&amp;C200,'EXP. ESP.'!$A$20:$V$6999,16,0)/$K$14,3),"")</f>
        <v>#N/A</v>
      </c>
      <c r="K200" s="135" t="e">
        <f t="shared" si="13"/>
        <v>#N/A</v>
      </c>
      <c r="L200" s="135" t="e">
        <f>IF(C200&lt;&gt;"",VLOOKUP(C200,HAB.GEN.!$C$19:$K$218,9,FALSE),"")</f>
        <v>#N/A</v>
      </c>
      <c r="M200" s="514" t="e">
        <f t="shared" si="17"/>
        <v>#N/A</v>
      </c>
      <c r="N200" s="351" t="str">
        <f t="shared" si="15"/>
        <v>HÁBIL</v>
      </c>
      <c r="P200" s="427"/>
    </row>
    <row r="201" spans="2:16" ht="13.5" hidden="1">
      <c r="B201" s="231">
        <v>175</v>
      </c>
      <c r="C201" s="129" t="e">
        <f>IF(VLOOKUP(B201,PROPONENTES!$B$19:$E$219,2,0)="","",VLOOKUP(B201,PROPONENTES!$B$19:$E$219,2,0))</f>
        <v>#N/A</v>
      </c>
      <c r="D201" s="130" t="e">
        <f>IF(VLOOKUP(B201,PROPONENTES!$B$19:$E$218,3,0)="","",VLOOKUP(B201,PROPONENTES!$B$19:$E$218,3,0))</f>
        <v>#N/A</v>
      </c>
      <c r="E201" s="130" t="e">
        <f>IF(VLOOKUP(B201,PROPONENTES!$B$19:$E$218,4,0)="","",IF(VLOOKUP(B201,PROPONENTES!$B$19:$E$218,4,0)&gt;1,"SI","NO"))</f>
        <v>#N/A</v>
      </c>
      <c r="F201" s="135" t="e">
        <f>IF(C201&lt;&gt;"",IF(E201="SI",VLOOKUP("T"&amp;C201,'EXP. ESP.'!$A$20:$V$6999,11,0),"NO APLICA"),"")</f>
        <v>#N/A</v>
      </c>
      <c r="G201" s="245" t="e">
        <f>IF(C201&lt;&gt;"",VLOOKUP("M"&amp;C201,'EXP. ESP.'!$A$20:$V$6999,17,0),"")</f>
        <v>#N/A</v>
      </c>
      <c r="H201" s="342" t="e">
        <f>IF(C201&lt;&gt;"",VLOOKUP("P"&amp;C201,'EXP. ESP.'!$A$20:$V$6999,16,0),"")</f>
        <v>#N/A</v>
      </c>
      <c r="I201" s="135" t="e">
        <f t="shared" si="16"/>
        <v>#N/A</v>
      </c>
      <c r="J201" s="352" t="e">
        <f>IF(C201&lt;&gt;"",ROUND(VLOOKUP("S"&amp;C201,'EXP. ESP.'!$A$20:$V$6999,16,0)/$K$14,3),"")</f>
        <v>#N/A</v>
      </c>
      <c r="K201" s="135" t="e">
        <f t="shared" si="13"/>
        <v>#N/A</v>
      </c>
      <c r="L201" s="135" t="e">
        <f>IF(C201&lt;&gt;"",VLOOKUP(C201,HAB.GEN.!$C$19:$K$218,9,FALSE),"")</f>
        <v>#N/A</v>
      </c>
      <c r="M201" s="514" t="e">
        <f t="shared" si="17"/>
        <v>#N/A</v>
      </c>
      <c r="N201" s="351" t="str">
        <f t="shared" si="15"/>
        <v>HÁBIL</v>
      </c>
      <c r="P201" s="427"/>
    </row>
    <row r="202" spans="2:16" ht="13.5" hidden="1">
      <c r="B202" s="231">
        <v>176</v>
      </c>
      <c r="C202" s="129" t="e">
        <f>IF(VLOOKUP(B202,PROPONENTES!$B$19:$E$219,2,0)="","",VLOOKUP(B202,PROPONENTES!$B$19:$E$219,2,0))</f>
        <v>#N/A</v>
      </c>
      <c r="D202" s="130" t="e">
        <f>IF(VLOOKUP(B202,PROPONENTES!$B$19:$E$218,3,0)="","",VLOOKUP(B202,PROPONENTES!$B$19:$E$218,3,0))</f>
        <v>#N/A</v>
      </c>
      <c r="E202" s="130" t="e">
        <f>IF(VLOOKUP(B202,PROPONENTES!$B$19:$E$218,4,0)="","",IF(VLOOKUP(B202,PROPONENTES!$B$19:$E$218,4,0)&gt;1,"SI","NO"))</f>
        <v>#N/A</v>
      </c>
      <c r="F202" s="135" t="e">
        <f>IF(C202&lt;&gt;"",IF(E202="SI",VLOOKUP("T"&amp;C202,'EXP. ESP.'!$A$20:$V$6999,11,0),"NO APLICA"),"")</f>
        <v>#N/A</v>
      </c>
      <c r="G202" s="245" t="e">
        <f>IF(C202&lt;&gt;"",VLOOKUP("M"&amp;C202,'EXP. ESP.'!$A$20:$V$6999,17,0),"")</f>
        <v>#N/A</v>
      </c>
      <c r="H202" s="342" t="e">
        <f>IF(C202&lt;&gt;"",VLOOKUP("P"&amp;C202,'EXP. ESP.'!$A$20:$V$6999,16,0),"")</f>
        <v>#N/A</v>
      </c>
      <c r="I202" s="135" t="e">
        <f t="shared" si="16"/>
        <v>#N/A</v>
      </c>
      <c r="J202" s="352" t="e">
        <f>IF(C202&lt;&gt;"",ROUND(VLOOKUP("S"&amp;C202,'EXP. ESP.'!$A$20:$V$6999,16,0)/$K$14,3),"")</f>
        <v>#N/A</v>
      </c>
      <c r="K202" s="135" t="e">
        <f t="shared" si="13"/>
        <v>#N/A</v>
      </c>
      <c r="L202" s="135" t="e">
        <f>IF(C202&lt;&gt;"",VLOOKUP(C202,HAB.GEN.!$C$19:$K$218,9,FALSE),"")</f>
        <v>#N/A</v>
      </c>
      <c r="M202" s="514" t="e">
        <f t="shared" si="17"/>
        <v>#N/A</v>
      </c>
      <c r="N202" s="351" t="str">
        <f t="shared" si="15"/>
        <v>HÁBIL</v>
      </c>
      <c r="P202" s="427"/>
    </row>
    <row r="203" spans="2:16" ht="13.5" hidden="1">
      <c r="B203" s="230">
        <v>177</v>
      </c>
      <c r="C203" s="129" t="e">
        <f>IF(VLOOKUP(B203,PROPONENTES!$B$19:$E$219,2,0)="","",VLOOKUP(B203,PROPONENTES!$B$19:$E$219,2,0))</f>
        <v>#N/A</v>
      </c>
      <c r="D203" s="130" t="e">
        <f>IF(VLOOKUP(B203,PROPONENTES!$B$19:$E$218,3,0)="","",VLOOKUP(B203,PROPONENTES!$B$19:$E$218,3,0))</f>
        <v>#N/A</v>
      </c>
      <c r="E203" s="130" t="e">
        <f>IF(VLOOKUP(B203,PROPONENTES!$B$19:$E$218,4,0)="","",IF(VLOOKUP(B203,PROPONENTES!$B$19:$E$218,4,0)&gt;1,"SI","NO"))</f>
        <v>#N/A</v>
      </c>
      <c r="F203" s="135" t="e">
        <f>IF(C203&lt;&gt;"",IF(E203="SI",VLOOKUP("T"&amp;C203,'EXP. ESP.'!$A$20:$V$6999,11,0),"NO APLICA"),"")</f>
        <v>#N/A</v>
      </c>
      <c r="G203" s="245" t="e">
        <f>IF(C203&lt;&gt;"",VLOOKUP("M"&amp;C203,'EXP. ESP.'!$A$20:$V$6999,17,0),"")</f>
        <v>#N/A</v>
      </c>
      <c r="H203" s="342" t="e">
        <f>IF(C203&lt;&gt;"",VLOOKUP("P"&amp;C203,'EXP. ESP.'!$A$20:$V$6999,16,0),"")</f>
        <v>#N/A</v>
      </c>
      <c r="I203" s="135" t="e">
        <f t="shared" si="16"/>
        <v>#N/A</v>
      </c>
      <c r="J203" s="352" t="e">
        <f>IF(C203&lt;&gt;"",ROUND(VLOOKUP("S"&amp;C203,'EXP. ESP.'!$A$20:$V$6999,16,0)/$K$14,3),"")</f>
        <v>#N/A</v>
      </c>
      <c r="K203" s="135" t="e">
        <f t="shared" si="13"/>
        <v>#N/A</v>
      </c>
      <c r="L203" s="135" t="e">
        <f>IF(C203&lt;&gt;"",VLOOKUP(C203,HAB.GEN.!$C$19:$K$218,9,FALSE),"")</f>
        <v>#N/A</v>
      </c>
      <c r="M203" s="514" t="e">
        <f t="shared" si="17"/>
        <v>#N/A</v>
      </c>
      <c r="N203" s="351" t="str">
        <f t="shared" si="15"/>
        <v>HÁBIL</v>
      </c>
      <c r="P203" s="427"/>
    </row>
    <row r="204" spans="2:16" ht="13.5" hidden="1">
      <c r="B204" s="231">
        <v>178</v>
      </c>
      <c r="C204" s="129" t="e">
        <f>IF(VLOOKUP(B204,PROPONENTES!$B$19:$E$219,2,0)="","",VLOOKUP(B204,PROPONENTES!$B$19:$E$219,2,0))</f>
        <v>#N/A</v>
      </c>
      <c r="D204" s="130" t="e">
        <f>IF(VLOOKUP(B204,PROPONENTES!$B$19:$E$218,3,0)="","",VLOOKUP(B204,PROPONENTES!$B$19:$E$218,3,0))</f>
        <v>#N/A</v>
      </c>
      <c r="E204" s="130" t="e">
        <f>IF(VLOOKUP(B204,PROPONENTES!$B$19:$E$218,4,0)="","",IF(VLOOKUP(B204,PROPONENTES!$B$19:$E$218,4,0)&gt;1,"SI","NO"))</f>
        <v>#N/A</v>
      </c>
      <c r="F204" s="135" t="e">
        <f>IF(C204&lt;&gt;"",IF(E204="SI",VLOOKUP("T"&amp;C204,'EXP. ESP.'!$A$20:$V$6999,11,0),"NO APLICA"),"")</f>
        <v>#N/A</v>
      </c>
      <c r="G204" s="245" t="e">
        <f>IF(C204&lt;&gt;"",VLOOKUP("M"&amp;C204,'EXP. ESP.'!$A$20:$V$6999,17,0),"")</f>
        <v>#N/A</v>
      </c>
      <c r="H204" s="342" t="e">
        <f>IF(C204&lt;&gt;"",VLOOKUP("P"&amp;C204,'EXP. ESP.'!$A$20:$V$6999,16,0),"")</f>
        <v>#N/A</v>
      </c>
      <c r="I204" s="135" t="e">
        <f t="shared" si="16"/>
        <v>#N/A</v>
      </c>
      <c r="J204" s="352" t="e">
        <f>IF(C204&lt;&gt;"",ROUND(VLOOKUP("S"&amp;C204,'EXP. ESP.'!$A$20:$V$6999,16,0)/$K$14,3),"")</f>
        <v>#N/A</v>
      </c>
      <c r="K204" s="135" t="e">
        <f t="shared" si="13"/>
        <v>#N/A</v>
      </c>
      <c r="L204" s="135" t="e">
        <f>IF(C204&lt;&gt;"",VLOOKUP(C204,HAB.GEN.!$C$19:$K$218,9,FALSE),"")</f>
        <v>#N/A</v>
      </c>
      <c r="M204" s="514" t="e">
        <f t="shared" si="17"/>
        <v>#N/A</v>
      </c>
      <c r="N204" s="351" t="str">
        <f t="shared" si="15"/>
        <v>HÁBIL</v>
      </c>
      <c r="P204" s="427"/>
    </row>
    <row r="205" spans="2:16" ht="13.5" hidden="1">
      <c r="B205" s="231">
        <v>179</v>
      </c>
      <c r="C205" s="129" t="e">
        <f>IF(VLOOKUP(B205,PROPONENTES!$B$19:$E$219,2,0)="","",VLOOKUP(B205,PROPONENTES!$B$19:$E$219,2,0))</f>
        <v>#N/A</v>
      </c>
      <c r="D205" s="130" t="e">
        <f>IF(VLOOKUP(B205,PROPONENTES!$B$19:$E$218,3,0)="","",VLOOKUP(B205,PROPONENTES!$B$19:$E$218,3,0))</f>
        <v>#N/A</v>
      </c>
      <c r="E205" s="130" t="e">
        <f>IF(VLOOKUP(B205,PROPONENTES!$B$19:$E$218,4,0)="","",IF(VLOOKUP(B205,PROPONENTES!$B$19:$E$218,4,0)&gt;1,"SI","NO"))</f>
        <v>#N/A</v>
      </c>
      <c r="F205" s="135" t="e">
        <f>IF(C205&lt;&gt;"",IF(E205="SI",VLOOKUP("T"&amp;C205,'EXP. ESP.'!$A$20:$V$6999,11,0),"NO APLICA"),"")</f>
        <v>#N/A</v>
      </c>
      <c r="G205" s="245" t="e">
        <f>IF(C205&lt;&gt;"",VLOOKUP("M"&amp;C205,'EXP. ESP.'!$A$20:$V$6999,17,0),"")</f>
        <v>#N/A</v>
      </c>
      <c r="H205" s="342" t="e">
        <f>IF(C205&lt;&gt;"",VLOOKUP("P"&amp;C205,'EXP. ESP.'!$A$20:$V$6999,16,0),"")</f>
        <v>#N/A</v>
      </c>
      <c r="I205" s="135" t="e">
        <f t="shared" si="16"/>
        <v>#N/A</v>
      </c>
      <c r="J205" s="352" t="e">
        <f>IF(C205&lt;&gt;"",ROUND(VLOOKUP("S"&amp;C205,'EXP. ESP.'!$A$20:$V$6999,16,0)/$K$14,3),"")</f>
        <v>#N/A</v>
      </c>
      <c r="K205" s="135" t="e">
        <f t="shared" si="13"/>
        <v>#N/A</v>
      </c>
      <c r="L205" s="135" t="e">
        <f>IF(C205&lt;&gt;"",VLOOKUP(C205,HAB.GEN.!$C$19:$K$218,9,FALSE),"")</f>
        <v>#N/A</v>
      </c>
      <c r="M205" s="514" t="e">
        <f t="shared" si="17"/>
        <v>#N/A</v>
      </c>
      <c r="N205" s="351" t="str">
        <f t="shared" si="15"/>
        <v>HÁBIL</v>
      </c>
      <c r="P205" s="427"/>
    </row>
    <row r="206" spans="2:16" ht="13.5" hidden="1">
      <c r="B206" s="231">
        <v>180</v>
      </c>
      <c r="C206" s="129" t="e">
        <f>IF(VLOOKUP(B206,PROPONENTES!$B$19:$E$219,2,0)="","",VLOOKUP(B206,PROPONENTES!$B$19:$E$219,2,0))</f>
        <v>#N/A</v>
      </c>
      <c r="D206" s="130" t="e">
        <f>IF(VLOOKUP(B206,PROPONENTES!$B$19:$E$218,3,0)="","",VLOOKUP(B206,PROPONENTES!$B$19:$E$218,3,0))</f>
        <v>#N/A</v>
      </c>
      <c r="E206" s="130" t="e">
        <f>IF(VLOOKUP(B206,PROPONENTES!$B$19:$E$218,4,0)="","",IF(VLOOKUP(B206,PROPONENTES!$B$19:$E$218,4,0)&gt;1,"SI","NO"))</f>
        <v>#N/A</v>
      </c>
      <c r="F206" s="135" t="e">
        <f>IF(C206&lt;&gt;"",IF(E206="SI",VLOOKUP("T"&amp;C206,'EXP. ESP.'!$A$20:$V$6999,11,0),"NO APLICA"),"")</f>
        <v>#N/A</v>
      </c>
      <c r="G206" s="245" t="e">
        <f>IF(C206&lt;&gt;"",VLOOKUP("M"&amp;C206,'EXP. ESP.'!$A$20:$V$6999,17,0),"")</f>
        <v>#N/A</v>
      </c>
      <c r="H206" s="342" t="e">
        <f>IF(C206&lt;&gt;"",VLOOKUP("P"&amp;C206,'EXP. ESP.'!$A$20:$V$6999,16,0),"")</f>
        <v>#N/A</v>
      </c>
      <c r="I206" s="135" t="e">
        <f t="shared" si="16"/>
        <v>#N/A</v>
      </c>
      <c r="J206" s="352" t="e">
        <f>IF(C206&lt;&gt;"",ROUND(VLOOKUP("S"&amp;C206,'EXP. ESP.'!$A$20:$V$6999,16,0)/$K$14,3),"")</f>
        <v>#N/A</v>
      </c>
      <c r="K206" s="135" t="e">
        <f t="shared" si="13"/>
        <v>#N/A</v>
      </c>
      <c r="L206" s="135" t="e">
        <f>IF(C206&lt;&gt;"",VLOOKUP(C206,HAB.GEN.!$C$19:$K$218,9,FALSE),"")</f>
        <v>#N/A</v>
      </c>
      <c r="M206" s="514" t="e">
        <f t="shared" si="17"/>
        <v>#N/A</v>
      </c>
      <c r="N206" s="351" t="str">
        <f t="shared" si="15"/>
        <v>HÁBIL</v>
      </c>
      <c r="P206" s="427"/>
    </row>
    <row r="207" spans="2:16" ht="13.5" hidden="1">
      <c r="B207" s="231">
        <v>181</v>
      </c>
      <c r="C207" s="129" t="e">
        <f>IF(VLOOKUP(B207,PROPONENTES!$B$19:$E$219,2,0)="","",VLOOKUP(B207,PROPONENTES!$B$19:$E$219,2,0))</f>
        <v>#N/A</v>
      </c>
      <c r="D207" s="130" t="e">
        <f>IF(VLOOKUP(B207,PROPONENTES!$B$19:$E$218,3,0)="","",VLOOKUP(B207,PROPONENTES!$B$19:$E$218,3,0))</f>
        <v>#N/A</v>
      </c>
      <c r="E207" s="130" t="e">
        <f>IF(VLOOKUP(B207,PROPONENTES!$B$19:$E$218,4,0)="","",IF(VLOOKUP(B207,PROPONENTES!$B$19:$E$218,4,0)&gt;1,"SI","NO"))</f>
        <v>#N/A</v>
      </c>
      <c r="F207" s="135" t="e">
        <f>IF(C207&lt;&gt;"",IF(E207="SI",VLOOKUP("T"&amp;C207,'EXP. ESP.'!$A$20:$V$6999,11,0),"NO APLICA"),"")</f>
        <v>#N/A</v>
      </c>
      <c r="G207" s="245" t="e">
        <f>IF(C207&lt;&gt;"",VLOOKUP("M"&amp;C207,'EXP. ESP.'!$A$20:$V$6999,17,0),"")</f>
        <v>#N/A</v>
      </c>
      <c r="H207" s="342" t="e">
        <f>IF(C207&lt;&gt;"",VLOOKUP("P"&amp;C207,'EXP. ESP.'!$A$20:$V$6999,16,0),"")</f>
        <v>#N/A</v>
      </c>
      <c r="I207" s="135" t="e">
        <f t="shared" si="16"/>
        <v>#N/A</v>
      </c>
      <c r="J207" s="352" t="e">
        <f>IF(C207&lt;&gt;"",ROUND(VLOOKUP("S"&amp;C207,'EXP. ESP.'!$A$20:$V$6999,16,0)/$K$14,3),"")</f>
        <v>#N/A</v>
      </c>
      <c r="K207" s="135" t="e">
        <f t="shared" si="13"/>
        <v>#N/A</v>
      </c>
      <c r="L207" s="135" t="e">
        <f>IF(C207&lt;&gt;"",VLOOKUP(C207,HAB.GEN.!$C$19:$K$218,9,FALSE),"")</f>
        <v>#N/A</v>
      </c>
      <c r="M207" s="514" t="e">
        <f t="shared" si="17"/>
        <v>#N/A</v>
      </c>
      <c r="N207" s="351" t="str">
        <f t="shared" si="15"/>
        <v>HÁBIL</v>
      </c>
      <c r="P207" s="427"/>
    </row>
    <row r="208" spans="2:16" ht="13.5" hidden="1">
      <c r="B208" s="230">
        <v>182</v>
      </c>
      <c r="C208" s="129" t="e">
        <f>IF(VLOOKUP(B208,PROPONENTES!$B$19:$E$219,2,0)="","",VLOOKUP(B208,PROPONENTES!$B$19:$E$219,2,0))</f>
        <v>#N/A</v>
      </c>
      <c r="D208" s="130" t="e">
        <f>IF(VLOOKUP(B208,PROPONENTES!$B$19:$E$218,3,0)="","",VLOOKUP(B208,PROPONENTES!$B$19:$E$218,3,0))</f>
        <v>#N/A</v>
      </c>
      <c r="E208" s="130" t="e">
        <f>IF(VLOOKUP(B208,PROPONENTES!$B$19:$E$218,4,0)="","",IF(VLOOKUP(B208,PROPONENTES!$B$19:$E$218,4,0)&gt;1,"SI","NO"))</f>
        <v>#N/A</v>
      </c>
      <c r="F208" s="135" t="e">
        <f>IF(C208&lt;&gt;"",IF(E208="SI",VLOOKUP("T"&amp;C208,'EXP. ESP.'!$A$20:$V$6999,11,0),"NO APLICA"),"")</f>
        <v>#N/A</v>
      </c>
      <c r="G208" s="245" t="e">
        <f>IF(C208&lt;&gt;"",VLOOKUP("M"&amp;C208,'EXP. ESP.'!$A$20:$V$6999,17,0),"")</f>
        <v>#N/A</v>
      </c>
      <c r="H208" s="342" t="e">
        <f>IF(C208&lt;&gt;"",VLOOKUP("P"&amp;C208,'EXP. ESP.'!$A$20:$V$6999,16,0),"")</f>
        <v>#N/A</v>
      </c>
      <c r="I208" s="135" t="e">
        <f t="shared" si="16"/>
        <v>#N/A</v>
      </c>
      <c r="J208" s="352" t="e">
        <f>IF(C208&lt;&gt;"",ROUND(VLOOKUP("S"&amp;C208,'EXP. ESP.'!$A$20:$V$6999,16,0)/$K$14,3),"")</f>
        <v>#N/A</v>
      </c>
      <c r="K208" s="135" t="e">
        <f t="shared" si="13"/>
        <v>#N/A</v>
      </c>
      <c r="L208" s="135" t="e">
        <f>IF(C208&lt;&gt;"",VLOOKUP(C208,HAB.GEN.!$C$19:$K$218,9,FALSE),"")</f>
        <v>#N/A</v>
      </c>
      <c r="M208" s="514" t="e">
        <f t="shared" si="17"/>
        <v>#N/A</v>
      </c>
      <c r="N208" s="351" t="str">
        <f t="shared" si="15"/>
        <v>HÁBIL</v>
      </c>
      <c r="P208" s="427"/>
    </row>
    <row r="209" spans="2:16" ht="13.5" hidden="1">
      <c r="B209" s="231">
        <v>183</v>
      </c>
      <c r="C209" s="129" t="e">
        <f>IF(VLOOKUP(B209,PROPONENTES!$B$19:$E$219,2,0)="","",VLOOKUP(B209,PROPONENTES!$B$19:$E$219,2,0))</f>
        <v>#N/A</v>
      </c>
      <c r="D209" s="130" t="e">
        <f>IF(VLOOKUP(B209,PROPONENTES!$B$19:$E$218,3,0)="","",VLOOKUP(B209,PROPONENTES!$B$19:$E$218,3,0))</f>
        <v>#N/A</v>
      </c>
      <c r="E209" s="130" t="e">
        <f>IF(VLOOKUP(B209,PROPONENTES!$B$19:$E$218,4,0)="","",IF(VLOOKUP(B209,PROPONENTES!$B$19:$E$218,4,0)&gt;1,"SI","NO"))</f>
        <v>#N/A</v>
      </c>
      <c r="F209" s="135" t="e">
        <f>IF(C209&lt;&gt;"",IF(E209="SI",VLOOKUP("T"&amp;C209,'EXP. ESP.'!$A$20:$V$6999,11,0),"NO APLICA"),"")</f>
        <v>#N/A</v>
      </c>
      <c r="G209" s="245" t="e">
        <f>IF(C209&lt;&gt;"",VLOOKUP("M"&amp;C209,'EXP. ESP.'!$A$20:$V$6999,17,0),"")</f>
        <v>#N/A</v>
      </c>
      <c r="H209" s="342" t="e">
        <f>IF(C209&lt;&gt;"",VLOOKUP("P"&amp;C209,'EXP. ESP.'!$A$20:$V$6999,16,0),"")</f>
        <v>#N/A</v>
      </c>
      <c r="I209" s="135" t="e">
        <f t="shared" si="16"/>
        <v>#N/A</v>
      </c>
      <c r="J209" s="352" t="e">
        <f>IF(C209&lt;&gt;"",ROUND(VLOOKUP("S"&amp;C209,'EXP. ESP.'!$A$20:$V$6999,16,0)/$K$14,3),"")</f>
        <v>#N/A</v>
      </c>
      <c r="K209" s="135" t="e">
        <f t="shared" si="13"/>
        <v>#N/A</v>
      </c>
      <c r="L209" s="135" t="e">
        <f>IF(C209&lt;&gt;"",VLOOKUP(C209,HAB.GEN.!$C$19:$K$218,9,FALSE),"")</f>
        <v>#N/A</v>
      </c>
      <c r="M209" s="514" t="e">
        <f t="shared" si="17"/>
        <v>#N/A</v>
      </c>
      <c r="N209" s="351" t="str">
        <f t="shared" si="15"/>
        <v>HÁBIL</v>
      </c>
      <c r="P209" s="427"/>
    </row>
    <row r="210" spans="2:16" ht="13.5" hidden="1">
      <c r="B210" s="231">
        <v>184</v>
      </c>
      <c r="C210" s="129" t="e">
        <f>IF(VLOOKUP(B210,PROPONENTES!$B$19:$E$219,2,0)="","",VLOOKUP(B210,PROPONENTES!$B$19:$E$219,2,0))</f>
        <v>#N/A</v>
      </c>
      <c r="D210" s="130" t="e">
        <f>IF(VLOOKUP(B210,PROPONENTES!$B$19:$E$218,3,0)="","",VLOOKUP(B210,PROPONENTES!$B$19:$E$218,3,0))</f>
        <v>#N/A</v>
      </c>
      <c r="E210" s="130" t="e">
        <f>IF(VLOOKUP(B210,PROPONENTES!$B$19:$E$218,4,0)="","",IF(VLOOKUP(B210,PROPONENTES!$B$19:$E$218,4,0)&gt;1,"SI","NO"))</f>
        <v>#N/A</v>
      </c>
      <c r="F210" s="135" t="e">
        <f>IF(C210&lt;&gt;"",IF(E210="SI",VLOOKUP("T"&amp;C210,'EXP. ESP.'!$A$20:$V$6999,11,0),"NO APLICA"),"")</f>
        <v>#N/A</v>
      </c>
      <c r="G210" s="245" t="e">
        <f>IF(C210&lt;&gt;"",VLOOKUP("M"&amp;C210,'EXP. ESP.'!$A$20:$V$6999,17,0),"")</f>
        <v>#N/A</v>
      </c>
      <c r="H210" s="342" t="e">
        <f>IF(C210&lt;&gt;"",VLOOKUP("P"&amp;C210,'EXP. ESP.'!$A$20:$V$6999,16,0),"")</f>
        <v>#N/A</v>
      </c>
      <c r="I210" s="135" t="e">
        <f t="shared" si="16"/>
        <v>#N/A</v>
      </c>
      <c r="J210" s="352" t="e">
        <f>IF(C210&lt;&gt;"",ROUND(VLOOKUP("S"&amp;C210,'EXP. ESP.'!$A$20:$V$6999,16,0)/$K$14,3),"")</f>
        <v>#N/A</v>
      </c>
      <c r="K210" s="135" t="e">
        <f t="shared" si="13"/>
        <v>#N/A</v>
      </c>
      <c r="L210" s="135" t="e">
        <f>IF(C210&lt;&gt;"",VLOOKUP(C210,HAB.GEN.!$C$19:$K$218,9,FALSE),"")</f>
        <v>#N/A</v>
      </c>
      <c r="M210" s="514" t="e">
        <f t="shared" si="17"/>
        <v>#N/A</v>
      </c>
      <c r="N210" s="351" t="str">
        <f t="shared" si="15"/>
        <v>HÁBIL</v>
      </c>
      <c r="P210" s="427"/>
    </row>
    <row r="211" spans="2:16" ht="13.5" hidden="1">
      <c r="B211" s="231">
        <v>185</v>
      </c>
      <c r="C211" s="129" t="e">
        <f>IF(VLOOKUP(B211,PROPONENTES!$B$19:$E$219,2,0)="","",VLOOKUP(B211,PROPONENTES!$B$19:$E$219,2,0))</f>
        <v>#N/A</v>
      </c>
      <c r="D211" s="130" t="e">
        <f>IF(VLOOKUP(B211,PROPONENTES!$B$19:$E$218,3,0)="","",VLOOKUP(B211,PROPONENTES!$B$19:$E$218,3,0))</f>
        <v>#N/A</v>
      </c>
      <c r="E211" s="130" t="e">
        <f>IF(VLOOKUP(B211,PROPONENTES!$B$19:$E$218,4,0)="","",IF(VLOOKUP(B211,PROPONENTES!$B$19:$E$218,4,0)&gt;1,"SI","NO"))</f>
        <v>#N/A</v>
      </c>
      <c r="F211" s="135" t="e">
        <f>IF(C211&lt;&gt;"",IF(E211="SI",VLOOKUP("T"&amp;C211,'EXP. ESP.'!$A$20:$V$6999,11,0),"NO APLICA"),"")</f>
        <v>#N/A</v>
      </c>
      <c r="G211" s="245" t="e">
        <f>IF(C211&lt;&gt;"",VLOOKUP("M"&amp;C211,'EXP. ESP.'!$A$20:$V$6999,17,0),"")</f>
        <v>#N/A</v>
      </c>
      <c r="H211" s="342" t="e">
        <f>IF(C211&lt;&gt;"",VLOOKUP("P"&amp;C211,'EXP. ESP.'!$A$20:$V$6999,16,0),"")</f>
        <v>#N/A</v>
      </c>
      <c r="I211" s="135" t="e">
        <f t="shared" si="16"/>
        <v>#N/A</v>
      </c>
      <c r="J211" s="352" t="e">
        <f>IF(C211&lt;&gt;"",ROUND(VLOOKUP("S"&amp;C211,'EXP. ESP.'!$A$20:$V$6999,16,0)/$K$14,3),"")</f>
        <v>#N/A</v>
      </c>
      <c r="K211" s="135" t="e">
        <f t="shared" si="13"/>
        <v>#N/A</v>
      </c>
      <c r="L211" s="135" t="e">
        <f>IF(C211&lt;&gt;"",VLOOKUP(C211,HAB.GEN.!$C$19:$K$218,9,FALSE),"")</f>
        <v>#N/A</v>
      </c>
      <c r="M211" s="514" t="e">
        <f t="shared" si="17"/>
        <v>#N/A</v>
      </c>
      <c r="N211" s="351" t="str">
        <f t="shared" si="15"/>
        <v>HÁBIL</v>
      </c>
      <c r="P211" s="427"/>
    </row>
    <row r="212" spans="2:16" ht="13.5" hidden="1">
      <c r="B212" s="231">
        <v>186</v>
      </c>
      <c r="C212" s="129" t="e">
        <f>IF(VLOOKUP(B212,PROPONENTES!$B$19:$E$219,2,0)="","",VLOOKUP(B212,PROPONENTES!$B$19:$E$219,2,0))</f>
        <v>#N/A</v>
      </c>
      <c r="D212" s="130" t="e">
        <f>IF(VLOOKUP(B212,PROPONENTES!$B$19:$E$218,3,0)="","",VLOOKUP(B212,PROPONENTES!$B$19:$E$218,3,0))</f>
        <v>#N/A</v>
      </c>
      <c r="E212" s="130" t="e">
        <f>IF(VLOOKUP(B212,PROPONENTES!$B$19:$E$218,4,0)="","",IF(VLOOKUP(B212,PROPONENTES!$B$19:$E$218,4,0)&gt;1,"SI","NO"))</f>
        <v>#N/A</v>
      </c>
      <c r="F212" s="135" t="e">
        <f>IF(C212&lt;&gt;"",IF(E212="SI",VLOOKUP("T"&amp;C212,'EXP. ESP.'!$A$20:$V$6999,11,0),"NO APLICA"),"")</f>
        <v>#N/A</v>
      </c>
      <c r="G212" s="245" t="e">
        <f>IF(C212&lt;&gt;"",VLOOKUP("M"&amp;C212,'EXP. ESP.'!$A$20:$V$6999,17,0),"")</f>
        <v>#N/A</v>
      </c>
      <c r="H212" s="342" t="e">
        <f>IF(C212&lt;&gt;"",VLOOKUP("P"&amp;C212,'EXP. ESP.'!$A$20:$V$6999,16,0),"")</f>
        <v>#N/A</v>
      </c>
      <c r="I212" s="135" t="e">
        <f t="shared" si="16"/>
        <v>#N/A</v>
      </c>
      <c r="J212" s="352" t="e">
        <f>IF(C212&lt;&gt;"",ROUND(VLOOKUP("S"&amp;C212,'EXP. ESP.'!$A$20:$V$6999,16,0)/$K$14,3),"")</f>
        <v>#N/A</v>
      </c>
      <c r="K212" s="135" t="e">
        <f t="shared" si="13"/>
        <v>#N/A</v>
      </c>
      <c r="L212" s="135" t="e">
        <f>IF(C212&lt;&gt;"",VLOOKUP(C212,HAB.GEN.!$C$19:$K$218,9,FALSE),"")</f>
        <v>#N/A</v>
      </c>
      <c r="M212" s="514" t="e">
        <f t="shared" si="17"/>
        <v>#N/A</v>
      </c>
      <c r="N212" s="351" t="str">
        <f t="shared" si="15"/>
        <v>HÁBIL</v>
      </c>
      <c r="P212" s="427"/>
    </row>
    <row r="213" spans="2:16" ht="13.5" hidden="1">
      <c r="B213" s="230">
        <v>187</v>
      </c>
      <c r="C213" s="129" t="e">
        <f>IF(VLOOKUP(B213,PROPONENTES!$B$19:$E$219,2,0)="","",VLOOKUP(B213,PROPONENTES!$B$19:$E$219,2,0))</f>
        <v>#N/A</v>
      </c>
      <c r="D213" s="130" t="e">
        <f>IF(VLOOKUP(B213,PROPONENTES!$B$19:$E$218,3,0)="","",VLOOKUP(B213,PROPONENTES!$B$19:$E$218,3,0))</f>
        <v>#N/A</v>
      </c>
      <c r="E213" s="130" t="e">
        <f>IF(VLOOKUP(B213,PROPONENTES!$B$19:$E$218,4,0)="","",IF(VLOOKUP(B213,PROPONENTES!$B$19:$E$218,4,0)&gt;1,"SI","NO"))</f>
        <v>#N/A</v>
      </c>
      <c r="F213" s="135" t="e">
        <f>IF(C213&lt;&gt;"",IF(E213="SI",VLOOKUP("T"&amp;C213,'EXP. ESP.'!$A$20:$V$6999,11,0),"NO APLICA"),"")</f>
        <v>#N/A</v>
      </c>
      <c r="G213" s="245" t="e">
        <f>IF(C213&lt;&gt;"",VLOOKUP("M"&amp;C213,'EXP. ESP.'!$A$20:$V$6999,17,0),"")</f>
        <v>#N/A</v>
      </c>
      <c r="H213" s="342" t="e">
        <f>IF(C213&lt;&gt;"",VLOOKUP("P"&amp;C213,'EXP. ESP.'!$A$20:$V$6999,16,0),"")</f>
        <v>#N/A</v>
      </c>
      <c r="I213" s="135" t="e">
        <f t="shared" si="16"/>
        <v>#N/A</v>
      </c>
      <c r="J213" s="352" t="e">
        <f>IF(C213&lt;&gt;"",ROUND(VLOOKUP("S"&amp;C213,'EXP. ESP.'!$A$20:$V$6999,16,0)/$K$14,3),"")</f>
        <v>#N/A</v>
      </c>
      <c r="K213" s="135" t="e">
        <f t="shared" si="13"/>
        <v>#N/A</v>
      </c>
      <c r="L213" s="135" t="e">
        <f>IF(C213&lt;&gt;"",VLOOKUP(C213,HAB.GEN.!$C$19:$K$218,9,FALSE),"")</f>
        <v>#N/A</v>
      </c>
      <c r="M213" s="514" t="e">
        <f t="shared" si="17"/>
        <v>#N/A</v>
      </c>
      <c r="N213" s="351" t="str">
        <f t="shared" si="15"/>
        <v>HÁBIL</v>
      </c>
      <c r="P213" s="427"/>
    </row>
    <row r="214" spans="2:16" ht="13.5" hidden="1">
      <c r="B214" s="231">
        <v>188</v>
      </c>
      <c r="C214" s="129" t="e">
        <f>IF(VLOOKUP(B214,PROPONENTES!$B$19:$E$219,2,0)="","",VLOOKUP(B214,PROPONENTES!$B$19:$E$219,2,0))</f>
        <v>#N/A</v>
      </c>
      <c r="D214" s="130" t="e">
        <f>IF(VLOOKUP(B214,PROPONENTES!$B$19:$E$218,3,0)="","",VLOOKUP(B214,PROPONENTES!$B$19:$E$218,3,0))</f>
        <v>#N/A</v>
      </c>
      <c r="E214" s="130" t="e">
        <f>IF(VLOOKUP(B214,PROPONENTES!$B$19:$E$218,4,0)="","",IF(VLOOKUP(B214,PROPONENTES!$B$19:$E$218,4,0)&gt;1,"SI","NO"))</f>
        <v>#N/A</v>
      </c>
      <c r="F214" s="135" t="e">
        <f>IF(C214&lt;&gt;"",IF(E214="SI",VLOOKUP("T"&amp;C214,'EXP. ESP.'!$A$20:$V$6999,11,0),"NO APLICA"),"")</f>
        <v>#N/A</v>
      </c>
      <c r="G214" s="245" t="e">
        <f>IF(C214&lt;&gt;"",VLOOKUP("M"&amp;C214,'EXP. ESP.'!$A$20:$V$6999,17,0),"")</f>
        <v>#N/A</v>
      </c>
      <c r="H214" s="342" t="e">
        <f>IF(C214&lt;&gt;"",VLOOKUP("P"&amp;C214,'EXP. ESP.'!$A$20:$V$6999,16,0),"")</f>
        <v>#N/A</v>
      </c>
      <c r="I214" s="135" t="e">
        <f t="shared" si="16"/>
        <v>#N/A</v>
      </c>
      <c r="J214" s="352" t="e">
        <f>IF(C214&lt;&gt;"",ROUND(VLOOKUP("S"&amp;C214,'EXP. ESP.'!$A$20:$V$6999,16,0)/$K$14,3),"")</f>
        <v>#N/A</v>
      </c>
      <c r="K214" s="135" t="e">
        <f t="shared" si="13"/>
        <v>#N/A</v>
      </c>
      <c r="L214" s="135" t="e">
        <f>IF(C214&lt;&gt;"",VLOOKUP(C214,HAB.GEN.!$C$19:$K$218,9,FALSE),"")</f>
        <v>#N/A</v>
      </c>
      <c r="M214" s="514" t="e">
        <f t="shared" si="17"/>
        <v>#N/A</v>
      </c>
      <c r="N214" s="351" t="str">
        <f t="shared" si="15"/>
        <v>HÁBIL</v>
      </c>
      <c r="P214" s="427"/>
    </row>
    <row r="215" spans="2:16" ht="13.5" hidden="1">
      <c r="B215" s="231">
        <v>189</v>
      </c>
      <c r="C215" s="129" t="e">
        <f>IF(VLOOKUP(B215,PROPONENTES!$B$19:$E$219,2,0)="","",VLOOKUP(B215,PROPONENTES!$B$19:$E$219,2,0))</f>
        <v>#N/A</v>
      </c>
      <c r="D215" s="130" t="e">
        <f>IF(VLOOKUP(B215,PROPONENTES!$B$19:$E$218,3,0)="","",VLOOKUP(B215,PROPONENTES!$B$19:$E$218,3,0))</f>
        <v>#N/A</v>
      </c>
      <c r="E215" s="130" t="e">
        <f>IF(VLOOKUP(B215,PROPONENTES!$B$19:$E$218,4,0)="","",IF(VLOOKUP(B215,PROPONENTES!$B$19:$E$218,4,0)&gt;1,"SI","NO"))</f>
        <v>#N/A</v>
      </c>
      <c r="F215" s="135" t="e">
        <f>IF(C215&lt;&gt;"",IF(E215="SI",VLOOKUP("T"&amp;C215,'EXP. ESP.'!$A$20:$V$6999,11,0),"NO APLICA"),"")</f>
        <v>#N/A</v>
      </c>
      <c r="G215" s="245" t="e">
        <f>IF(C215&lt;&gt;"",VLOOKUP("M"&amp;C215,'EXP. ESP.'!$A$20:$V$6999,17,0),"")</f>
        <v>#N/A</v>
      </c>
      <c r="H215" s="342" t="e">
        <f>IF(C215&lt;&gt;"",VLOOKUP("P"&amp;C215,'EXP. ESP.'!$A$20:$V$6999,16,0),"")</f>
        <v>#N/A</v>
      </c>
      <c r="I215" s="135" t="e">
        <f t="shared" si="16"/>
        <v>#N/A</v>
      </c>
      <c r="J215" s="352" t="e">
        <f>IF(C215&lt;&gt;"",ROUND(VLOOKUP("S"&amp;C215,'EXP. ESP.'!$A$20:$V$6999,16,0)/$K$14,3),"")</f>
        <v>#N/A</v>
      </c>
      <c r="K215" s="135" t="e">
        <f t="shared" si="13"/>
        <v>#N/A</v>
      </c>
      <c r="L215" s="135" t="e">
        <f>IF(C215&lt;&gt;"",VLOOKUP(C215,HAB.GEN.!$C$19:$K$218,9,FALSE),"")</f>
        <v>#N/A</v>
      </c>
      <c r="M215" s="514" t="e">
        <f t="shared" si="17"/>
        <v>#N/A</v>
      </c>
      <c r="N215" s="351" t="str">
        <f t="shared" si="15"/>
        <v>HÁBIL</v>
      </c>
      <c r="P215" s="427"/>
    </row>
    <row r="216" spans="2:16" ht="13.5" hidden="1">
      <c r="B216" s="231">
        <v>190</v>
      </c>
      <c r="C216" s="129" t="e">
        <f>IF(VLOOKUP(B216,PROPONENTES!$B$19:$E$219,2,0)="","",VLOOKUP(B216,PROPONENTES!$B$19:$E$219,2,0))</f>
        <v>#N/A</v>
      </c>
      <c r="D216" s="130" t="e">
        <f>IF(VLOOKUP(B216,PROPONENTES!$B$19:$E$218,3,0)="","",VLOOKUP(B216,PROPONENTES!$B$19:$E$218,3,0))</f>
        <v>#N/A</v>
      </c>
      <c r="E216" s="130" t="e">
        <f>IF(VLOOKUP(B216,PROPONENTES!$B$19:$E$218,4,0)="","",IF(VLOOKUP(B216,PROPONENTES!$B$19:$E$218,4,0)&gt;1,"SI","NO"))</f>
        <v>#N/A</v>
      </c>
      <c r="F216" s="135" t="e">
        <f>IF(C216&lt;&gt;"",IF(E216="SI",VLOOKUP("T"&amp;C216,'EXP. ESP.'!$A$20:$V$6999,11,0),"NO APLICA"),"")</f>
        <v>#N/A</v>
      </c>
      <c r="G216" s="245" t="e">
        <f>IF(C216&lt;&gt;"",VLOOKUP("M"&amp;C216,'EXP. ESP.'!$A$20:$V$6999,17,0),"")</f>
        <v>#N/A</v>
      </c>
      <c r="H216" s="342" t="e">
        <f>IF(C216&lt;&gt;"",VLOOKUP("P"&amp;C216,'EXP. ESP.'!$A$20:$V$6999,16,0),"")</f>
        <v>#N/A</v>
      </c>
      <c r="I216" s="135" t="e">
        <f t="shared" si="16"/>
        <v>#N/A</v>
      </c>
      <c r="J216" s="352" t="e">
        <f>IF(C216&lt;&gt;"",ROUND(VLOOKUP("S"&amp;C216,'EXP. ESP.'!$A$20:$V$6999,16,0)/$K$14,3),"")</f>
        <v>#N/A</v>
      </c>
      <c r="K216" s="135" t="e">
        <f t="shared" si="13"/>
        <v>#N/A</v>
      </c>
      <c r="L216" s="135" t="e">
        <f>IF(C216&lt;&gt;"",VLOOKUP(C216,HAB.GEN.!$C$19:$K$218,9,FALSE),"")</f>
        <v>#N/A</v>
      </c>
      <c r="M216" s="514" t="e">
        <f t="shared" si="17"/>
        <v>#N/A</v>
      </c>
      <c r="N216" s="351" t="str">
        <f t="shared" si="15"/>
        <v>HÁBIL</v>
      </c>
      <c r="P216" s="427"/>
    </row>
    <row r="217" spans="2:16" ht="13.5" hidden="1">
      <c r="B217" s="231">
        <v>191</v>
      </c>
      <c r="C217" s="129" t="e">
        <f>IF(VLOOKUP(B217,PROPONENTES!$B$19:$E$219,2,0)="","",VLOOKUP(B217,PROPONENTES!$B$19:$E$219,2,0))</f>
        <v>#N/A</v>
      </c>
      <c r="D217" s="130" t="e">
        <f>IF(VLOOKUP(B217,PROPONENTES!$B$19:$E$218,3,0)="","",VLOOKUP(B217,PROPONENTES!$B$19:$E$218,3,0))</f>
        <v>#N/A</v>
      </c>
      <c r="E217" s="130" t="e">
        <f>IF(VLOOKUP(B217,PROPONENTES!$B$19:$E$218,4,0)="","",IF(VLOOKUP(B217,PROPONENTES!$B$19:$E$218,4,0)&gt;1,"SI","NO"))</f>
        <v>#N/A</v>
      </c>
      <c r="F217" s="135" t="e">
        <f>IF(C217&lt;&gt;"",IF(E217="SI",VLOOKUP("T"&amp;C217,'EXP. ESP.'!$A$20:$V$6999,11,0),"NO APLICA"),"")</f>
        <v>#N/A</v>
      </c>
      <c r="G217" s="245" t="e">
        <f>IF(C217&lt;&gt;"",VLOOKUP("M"&amp;C217,'EXP. ESP.'!$A$20:$V$6999,17,0),"")</f>
        <v>#N/A</v>
      </c>
      <c r="H217" s="342" t="e">
        <f>IF(C217&lt;&gt;"",VLOOKUP("P"&amp;C217,'EXP. ESP.'!$A$20:$V$6999,16,0),"")</f>
        <v>#N/A</v>
      </c>
      <c r="I217" s="135" t="e">
        <f t="shared" si="16"/>
        <v>#N/A</v>
      </c>
      <c r="J217" s="352" t="e">
        <f>IF(C217&lt;&gt;"",ROUND(VLOOKUP("S"&amp;C217,'EXP. ESP.'!$A$20:$V$6999,16,0)/$K$14,3),"")</f>
        <v>#N/A</v>
      </c>
      <c r="K217" s="135" t="e">
        <f t="shared" si="13"/>
        <v>#N/A</v>
      </c>
      <c r="L217" s="135" t="e">
        <f>IF(C217&lt;&gt;"",VLOOKUP(C217,HAB.GEN.!$C$19:$K$218,9,FALSE),"")</f>
        <v>#N/A</v>
      </c>
      <c r="M217" s="514" t="e">
        <f t="shared" si="17"/>
        <v>#N/A</v>
      </c>
      <c r="N217" s="351" t="str">
        <f t="shared" si="15"/>
        <v>HÁBIL</v>
      </c>
      <c r="P217" s="427"/>
    </row>
    <row r="218" spans="2:16" ht="13.5" hidden="1">
      <c r="B218" s="230">
        <v>192</v>
      </c>
      <c r="C218" s="129" t="e">
        <f>IF(VLOOKUP(B218,PROPONENTES!$B$19:$E$219,2,0)="","",VLOOKUP(B218,PROPONENTES!$B$19:$E$219,2,0))</f>
        <v>#N/A</v>
      </c>
      <c r="D218" s="130" t="e">
        <f>IF(VLOOKUP(B218,PROPONENTES!$B$19:$E$218,3,0)="","",VLOOKUP(B218,PROPONENTES!$B$19:$E$218,3,0))</f>
        <v>#N/A</v>
      </c>
      <c r="E218" s="130" t="e">
        <f>IF(VLOOKUP(B218,PROPONENTES!$B$19:$E$218,4,0)="","",IF(VLOOKUP(B218,PROPONENTES!$B$19:$E$218,4,0)&gt;1,"SI","NO"))</f>
        <v>#N/A</v>
      </c>
      <c r="F218" s="135" t="e">
        <f>IF(C218&lt;&gt;"",IF(E218="SI",VLOOKUP("T"&amp;C218,'EXP. ESP.'!$A$20:$V$6999,11,0),"NO APLICA"),"")</f>
        <v>#N/A</v>
      </c>
      <c r="G218" s="245" t="e">
        <f>IF(C218&lt;&gt;"",VLOOKUP("M"&amp;C218,'EXP. ESP.'!$A$20:$V$6999,17,0),"")</f>
        <v>#N/A</v>
      </c>
      <c r="H218" s="342" t="e">
        <f>IF(C218&lt;&gt;"",VLOOKUP("P"&amp;C218,'EXP. ESP.'!$A$20:$V$6999,16,0),"")</f>
        <v>#N/A</v>
      </c>
      <c r="I218" s="135" t="e">
        <f t="shared" si="16"/>
        <v>#N/A</v>
      </c>
      <c r="J218" s="352" t="e">
        <f>IF(C218&lt;&gt;"",ROUND(VLOOKUP("S"&amp;C218,'EXP. ESP.'!$A$20:$V$6999,16,0)/$K$14,3),"")</f>
        <v>#N/A</v>
      </c>
      <c r="K218" s="135" t="e">
        <f t="shared" si="13"/>
        <v>#N/A</v>
      </c>
      <c r="L218" s="135" t="e">
        <f>IF(C218&lt;&gt;"",VLOOKUP(C218,HAB.GEN.!$C$19:$K$218,9,FALSE),"")</f>
        <v>#N/A</v>
      </c>
      <c r="M218" s="514" t="e">
        <f t="shared" si="17"/>
        <v>#N/A</v>
      </c>
      <c r="N218" s="351" t="str">
        <f t="shared" si="15"/>
        <v>HÁBIL</v>
      </c>
      <c r="P218" s="427"/>
    </row>
    <row r="219" spans="2:16" ht="13.5" hidden="1">
      <c r="B219" s="231">
        <v>193</v>
      </c>
      <c r="C219" s="129" t="e">
        <f>IF(VLOOKUP(B219,PROPONENTES!$B$19:$E$219,2,0)="","",VLOOKUP(B219,PROPONENTES!$B$19:$E$219,2,0))</f>
        <v>#N/A</v>
      </c>
      <c r="D219" s="130" t="e">
        <f>IF(VLOOKUP(B219,PROPONENTES!$B$19:$E$218,3,0)="","",VLOOKUP(B219,PROPONENTES!$B$19:$E$218,3,0))</f>
        <v>#N/A</v>
      </c>
      <c r="E219" s="130" t="e">
        <f>IF(VLOOKUP(B219,PROPONENTES!$B$19:$E$218,4,0)="","",IF(VLOOKUP(B219,PROPONENTES!$B$19:$E$218,4,0)&gt;1,"SI","NO"))</f>
        <v>#N/A</v>
      </c>
      <c r="F219" s="135" t="e">
        <f>IF(C219&lt;&gt;"",IF(E219="SI",VLOOKUP("T"&amp;C219,'EXP. ESP.'!$A$20:$V$6999,11,0),"NO APLICA"),"")</f>
        <v>#N/A</v>
      </c>
      <c r="G219" s="245" t="e">
        <f>IF(C219&lt;&gt;"",VLOOKUP("M"&amp;C219,'EXP. ESP.'!$A$20:$V$6999,17,0),"")</f>
        <v>#N/A</v>
      </c>
      <c r="H219" s="342" t="e">
        <f>IF(C219&lt;&gt;"",VLOOKUP("P"&amp;C219,'EXP. ESP.'!$A$20:$V$6999,16,0),"")</f>
        <v>#N/A</v>
      </c>
      <c r="I219" s="135" t="e">
        <f t="shared" ref="I219:I226" si="18">IF(C219&lt;&gt;"",IF(AND(G219&gt;=NUMMINCONT,G219&lt;=NUMMAXCONT,H219&gt;$F$15,H219&lt;$F$16,H219&lt;&gt;0),"HÁBIL","NO HÁBIL"),"")</f>
        <v>#N/A</v>
      </c>
      <c r="J219" s="352" t="e">
        <f>IF(C219&lt;&gt;"",ROUND(VLOOKUP("S"&amp;C219,'EXP. ESP.'!$A$20:$V$6999,16,0)/$K$14,3),"")</f>
        <v>#N/A</v>
      </c>
      <c r="K219" s="135" t="e">
        <f t="shared" ref="K219:K224" si="19">IF(C219&lt;&gt;"",IF(AND(G219&gt;=NUMMINCONT,G219&lt;=NUMMAXCONT,J219&lt;$K$18,J219&lt;&gt;0),"HÁBIL","NO HÁBIL"),"")</f>
        <v>#N/A</v>
      </c>
      <c r="L219" s="135" t="e">
        <f>IF(C219&lt;&gt;"",VLOOKUP(C219,HAB.GEN.!$C$19:$K$218,9,FALSE),"")</f>
        <v>#N/A</v>
      </c>
      <c r="M219" s="514" t="e">
        <f t="shared" ref="M219:M226" si="20">IF(AND(G219&gt;=NUMMINCONT,G219&lt;=NUMMAXCONT,P219&lt;&gt;"SI"),IF(OR(I219="",K219=""),"",IF(OR(I219="NO HÁBIL",K219="NO HÁBIL",F219="NO CUMPLE"),"NO HÁBIL","HÁBIL")),"NO HÁBIL")</f>
        <v>#N/A</v>
      </c>
      <c r="N219" s="351" t="str">
        <f t="shared" si="15"/>
        <v>HÁBIL</v>
      </c>
      <c r="P219" s="427"/>
    </row>
    <row r="220" spans="2:16" ht="13.5" hidden="1">
      <c r="B220" s="231">
        <v>194</v>
      </c>
      <c r="C220" s="129" t="e">
        <f>IF(VLOOKUP(B220,PROPONENTES!$B$19:$E$219,2,0)="","",VLOOKUP(B220,PROPONENTES!$B$19:$E$219,2,0))</f>
        <v>#N/A</v>
      </c>
      <c r="D220" s="130" t="e">
        <f>IF(VLOOKUP(B220,PROPONENTES!$B$19:$E$218,3,0)="","",VLOOKUP(B220,PROPONENTES!$B$19:$E$218,3,0))</f>
        <v>#N/A</v>
      </c>
      <c r="E220" s="130" t="e">
        <f>IF(VLOOKUP(B220,PROPONENTES!$B$19:$E$218,4,0)="","",IF(VLOOKUP(B220,PROPONENTES!$B$19:$E$218,4,0)&gt;1,"SI","NO"))</f>
        <v>#N/A</v>
      </c>
      <c r="F220" s="135" t="e">
        <f>IF(C220&lt;&gt;"",IF(E220="SI",VLOOKUP("T"&amp;C220,'EXP. ESP.'!$A$20:$V$6999,11,0),"NO APLICA"),"")</f>
        <v>#N/A</v>
      </c>
      <c r="G220" s="245" t="e">
        <f>IF(C220&lt;&gt;"",VLOOKUP("M"&amp;C220,'EXP. ESP.'!$A$20:$V$6999,17,0),"")</f>
        <v>#N/A</v>
      </c>
      <c r="H220" s="342" t="e">
        <f>IF(C220&lt;&gt;"",VLOOKUP("P"&amp;C220,'EXP. ESP.'!$A$20:$V$6999,16,0),"")</f>
        <v>#N/A</v>
      </c>
      <c r="I220" s="135" t="e">
        <f t="shared" si="18"/>
        <v>#N/A</v>
      </c>
      <c r="J220" s="352" t="e">
        <f>IF(C220&lt;&gt;"",ROUND(VLOOKUP("S"&amp;C220,'EXP. ESP.'!$A$20:$V$6999,16,0)/$K$14,3),"")</f>
        <v>#N/A</v>
      </c>
      <c r="K220" s="135" t="e">
        <f t="shared" si="19"/>
        <v>#N/A</v>
      </c>
      <c r="L220" s="135" t="e">
        <f>IF(C220&lt;&gt;"",VLOOKUP(C220,HAB.GEN.!$C$19:$K$218,9,FALSE),"")</f>
        <v>#N/A</v>
      </c>
      <c r="M220" s="514" t="e">
        <f t="shared" si="20"/>
        <v>#N/A</v>
      </c>
      <c r="N220" s="351" t="str">
        <f t="shared" ref="N220:N226" si="21">IF(OR(COUNTIF(L220:M220,"")=2,COUNTIF(L220:M220,"")&gt;0),"",IF(COUNTIF(L220:M220,"RECHAZO")&gt;0,"RECHAZO",IF(COUNTIF(L220:M220,"NO HÁBIL")=0,"HÁBIL","NO HÁBIL")))</f>
        <v>HÁBIL</v>
      </c>
      <c r="P220" s="427"/>
    </row>
    <row r="221" spans="2:16" ht="13.5" hidden="1">
      <c r="B221" s="231">
        <v>195</v>
      </c>
      <c r="C221" s="129" t="e">
        <f>IF(VLOOKUP(B221,PROPONENTES!$B$19:$E$219,2,0)="","",VLOOKUP(B221,PROPONENTES!$B$19:$E$219,2,0))</f>
        <v>#N/A</v>
      </c>
      <c r="D221" s="130" t="e">
        <f>IF(VLOOKUP(B221,PROPONENTES!$B$19:$E$218,3,0)="","",VLOOKUP(B221,PROPONENTES!$B$19:$E$218,3,0))</f>
        <v>#N/A</v>
      </c>
      <c r="E221" s="130" t="e">
        <f>IF(VLOOKUP(B221,PROPONENTES!$B$19:$E$218,4,0)="","",IF(VLOOKUP(B221,PROPONENTES!$B$19:$E$218,4,0)&gt;1,"SI","NO"))</f>
        <v>#N/A</v>
      </c>
      <c r="F221" s="135" t="e">
        <f>IF(C221&lt;&gt;"",IF(E221="SI",VLOOKUP("T"&amp;C221,'EXP. ESP.'!$A$20:$V$6999,11,0),"NO APLICA"),"")</f>
        <v>#N/A</v>
      </c>
      <c r="G221" s="245" t="e">
        <f>IF(C221&lt;&gt;"",VLOOKUP("M"&amp;C221,'EXP. ESP.'!$A$20:$V$6999,17,0),"")</f>
        <v>#N/A</v>
      </c>
      <c r="H221" s="342" t="e">
        <f>IF(C221&lt;&gt;"",VLOOKUP("P"&amp;C221,'EXP. ESP.'!$A$20:$V$6999,16,0),"")</f>
        <v>#N/A</v>
      </c>
      <c r="I221" s="135" t="e">
        <f t="shared" si="18"/>
        <v>#N/A</v>
      </c>
      <c r="J221" s="352" t="e">
        <f>IF(C221&lt;&gt;"",ROUND(VLOOKUP("S"&amp;C221,'EXP. ESP.'!$A$20:$V$6999,16,0)/$K$14,3),"")</f>
        <v>#N/A</v>
      </c>
      <c r="K221" s="135" t="e">
        <f t="shared" si="19"/>
        <v>#N/A</v>
      </c>
      <c r="L221" s="135" t="e">
        <f>IF(C221&lt;&gt;"",VLOOKUP(C221,HAB.GEN.!$C$19:$K$218,9,FALSE),"")</f>
        <v>#N/A</v>
      </c>
      <c r="M221" s="514" t="e">
        <f t="shared" si="20"/>
        <v>#N/A</v>
      </c>
      <c r="N221" s="351" t="str">
        <f t="shared" si="21"/>
        <v>HÁBIL</v>
      </c>
      <c r="P221" s="427"/>
    </row>
    <row r="222" spans="2:16" ht="13.5" hidden="1">
      <c r="B222" s="231">
        <v>196</v>
      </c>
      <c r="C222" s="129" t="e">
        <f>IF(VLOOKUP(B222,PROPONENTES!$B$19:$E$219,2,0)="","",VLOOKUP(B222,PROPONENTES!$B$19:$E$219,2,0))</f>
        <v>#N/A</v>
      </c>
      <c r="D222" s="130" t="e">
        <f>IF(VLOOKUP(B222,PROPONENTES!$B$19:$E$218,3,0)="","",VLOOKUP(B222,PROPONENTES!$B$19:$E$218,3,0))</f>
        <v>#N/A</v>
      </c>
      <c r="E222" s="130" t="e">
        <f>IF(VLOOKUP(B222,PROPONENTES!$B$19:$E$218,4,0)="","",IF(VLOOKUP(B222,PROPONENTES!$B$19:$E$218,4,0)&gt;1,"SI","NO"))</f>
        <v>#N/A</v>
      </c>
      <c r="F222" s="135" t="e">
        <f>IF(C222&lt;&gt;"",IF(E222="SI",VLOOKUP("T"&amp;C222,'EXP. ESP.'!$A$20:$V$6999,11,0),"NO APLICA"),"")</f>
        <v>#N/A</v>
      </c>
      <c r="G222" s="245" t="e">
        <f>IF(C222&lt;&gt;"",VLOOKUP("M"&amp;C222,'EXP. ESP.'!$A$20:$V$6999,17,0),"")</f>
        <v>#N/A</v>
      </c>
      <c r="H222" s="342" t="e">
        <f>IF(C222&lt;&gt;"",VLOOKUP("P"&amp;C222,'EXP. ESP.'!$A$20:$V$6999,16,0),"")</f>
        <v>#N/A</v>
      </c>
      <c r="I222" s="135" t="e">
        <f t="shared" si="18"/>
        <v>#N/A</v>
      </c>
      <c r="J222" s="352" t="e">
        <f>IF(C222&lt;&gt;"",ROUND(VLOOKUP("S"&amp;C222,'EXP. ESP.'!$A$20:$V$6999,16,0)/$K$14,3),"")</f>
        <v>#N/A</v>
      </c>
      <c r="K222" s="135" t="e">
        <f t="shared" si="19"/>
        <v>#N/A</v>
      </c>
      <c r="L222" s="135" t="e">
        <f>IF(C222&lt;&gt;"",VLOOKUP(C222,HAB.GEN.!$C$19:$K$218,9,FALSE),"")</f>
        <v>#N/A</v>
      </c>
      <c r="M222" s="514" t="e">
        <f t="shared" si="20"/>
        <v>#N/A</v>
      </c>
      <c r="N222" s="351" t="str">
        <f t="shared" si="21"/>
        <v>HÁBIL</v>
      </c>
      <c r="P222" s="427"/>
    </row>
    <row r="223" spans="2:16" ht="13.5" hidden="1">
      <c r="B223" s="230">
        <v>197</v>
      </c>
      <c r="C223" s="129" t="e">
        <f>IF(VLOOKUP(B223,PROPONENTES!$B$19:$E$219,2,0)="","",VLOOKUP(B223,PROPONENTES!$B$19:$E$219,2,0))</f>
        <v>#N/A</v>
      </c>
      <c r="D223" s="130" t="e">
        <f>IF(VLOOKUP(B223,PROPONENTES!$B$19:$E$218,3,0)="","",VLOOKUP(B223,PROPONENTES!$B$19:$E$218,3,0))</f>
        <v>#N/A</v>
      </c>
      <c r="E223" s="130" t="e">
        <f>IF(VLOOKUP(B223,PROPONENTES!$B$19:$E$218,4,0)="","",IF(VLOOKUP(B223,PROPONENTES!$B$19:$E$218,4,0)&gt;1,"SI","NO"))</f>
        <v>#N/A</v>
      </c>
      <c r="F223" s="135" t="e">
        <f>IF(C223&lt;&gt;"",IF(E223="SI",VLOOKUP("T"&amp;C223,'EXP. ESP.'!$A$20:$V$6999,11,0),"NO APLICA"),"")</f>
        <v>#N/A</v>
      </c>
      <c r="G223" s="245" t="e">
        <f>IF(C223&lt;&gt;"",VLOOKUP("M"&amp;C223,'EXP. ESP.'!$A$20:$V$6999,17,0),"")</f>
        <v>#N/A</v>
      </c>
      <c r="H223" s="342" t="e">
        <f>IF(C223&lt;&gt;"",VLOOKUP("P"&amp;C223,'EXP. ESP.'!$A$20:$V$6999,16,0),"")</f>
        <v>#N/A</v>
      </c>
      <c r="I223" s="135" t="e">
        <f t="shared" si="18"/>
        <v>#N/A</v>
      </c>
      <c r="J223" s="352" t="e">
        <f>IF(C223&lt;&gt;"",ROUND(VLOOKUP("S"&amp;C223,'EXP. ESP.'!$A$20:$V$6999,16,0)/$K$14,3),"")</f>
        <v>#N/A</v>
      </c>
      <c r="K223" s="135" t="e">
        <f t="shared" si="19"/>
        <v>#N/A</v>
      </c>
      <c r="L223" s="135" t="e">
        <f>IF(C223&lt;&gt;"",VLOOKUP(C223,HAB.GEN.!$C$19:$K$218,9,FALSE),"")</f>
        <v>#N/A</v>
      </c>
      <c r="M223" s="514" t="e">
        <f t="shared" si="20"/>
        <v>#N/A</v>
      </c>
      <c r="N223" s="351" t="str">
        <f t="shared" si="21"/>
        <v>HÁBIL</v>
      </c>
      <c r="P223" s="427"/>
    </row>
    <row r="224" spans="2:16" ht="13.5" hidden="1">
      <c r="B224" s="231">
        <v>198</v>
      </c>
      <c r="C224" s="129" t="e">
        <f>IF(VLOOKUP(B224,PROPONENTES!$B$19:$E$219,2,0)="","",VLOOKUP(B224,PROPONENTES!$B$19:$E$219,2,0))</f>
        <v>#N/A</v>
      </c>
      <c r="D224" s="130" t="e">
        <f>IF(VLOOKUP(B224,PROPONENTES!$B$19:$E$218,3,0)="","",VLOOKUP(B224,PROPONENTES!$B$19:$E$218,3,0))</f>
        <v>#N/A</v>
      </c>
      <c r="E224" s="130" t="e">
        <f>IF(VLOOKUP(B224,PROPONENTES!$B$19:$E$218,4,0)="","",IF(VLOOKUP(B224,PROPONENTES!$B$19:$E$218,4,0)&gt;1,"SI","NO"))</f>
        <v>#N/A</v>
      </c>
      <c r="F224" s="135" t="e">
        <f>IF(C224&lt;&gt;"",IF(E224="SI",VLOOKUP("T"&amp;C224,'EXP. ESP.'!$A$20:$V$6999,11,0),"NO APLICA"),"")</f>
        <v>#N/A</v>
      </c>
      <c r="G224" s="245" t="e">
        <f>IF(C224&lt;&gt;"",VLOOKUP("M"&amp;C224,'EXP. ESP.'!$A$20:$V$6999,17,0),"")</f>
        <v>#N/A</v>
      </c>
      <c r="H224" s="342" t="e">
        <f>IF(C224&lt;&gt;"",VLOOKUP("P"&amp;C224,'EXP. ESP.'!$A$20:$V$6999,16,0),"")</f>
        <v>#N/A</v>
      </c>
      <c r="I224" s="135" t="e">
        <f t="shared" si="18"/>
        <v>#N/A</v>
      </c>
      <c r="J224" s="352" t="e">
        <f>IF(C224&lt;&gt;"",ROUND(VLOOKUP("S"&amp;C224,'EXP. ESP.'!$A$20:$V$6999,16,0)/$K$14,3),"")</f>
        <v>#N/A</v>
      </c>
      <c r="K224" s="135" t="e">
        <f t="shared" si="19"/>
        <v>#N/A</v>
      </c>
      <c r="L224" s="135" t="e">
        <f>IF(C224&lt;&gt;"",VLOOKUP(C224,HAB.GEN.!$C$19:$K$218,9,FALSE),"")</f>
        <v>#N/A</v>
      </c>
      <c r="M224" s="514" t="e">
        <f t="shared" si="20"/>
        <v>#N/A</v>
      </c>
      <c r="N224" s="351" t="str">
        <f t="shared" si="21"/>
        <v>HÁBIL</v>
      </c>
      <c r="P224" s="427"/>
    </row>
    <row r="225" spans="2:16" ht="13.5" hidden="1">
      <c r="B225" s="231">
        <v>199</v>
      </c>
      <c r="C225" s="129" t="e">
        <f>IF(VLOOKUP(B225,PROPONENTES!$B$19:$E$219,2,0)="","",VLOOKUP(B225,PROPONENTES!$B$19:$E$219,2,0))</f>
        <v>#N/A</v>
      </c>
      <c r="D225" s="130" t="e">
        <f>IF(VLOOKUP(B225,PROPONENTES!$B$19:$E$218,3,0)="","",VLOOKUP(B225,PROPONENTES!$B$19:$E$218,3,0))</f>
        <v>#N/A</v>
      </c>
      <c r="E225" s="130" t="e">
        <f>IF(VLOOKUP(B225,PROPONENTES!$B$19:$E$218,4,0)="","",IF(VLOOKUP(B225,PROPONENTES!$B$19:$E$218,4,0)&gt;1,"SI","NO"))</f>
        <v>#N/A</v>
      </c>
      <c r="F225" s="135" t="e">
        <f>IF(C225&lt;&gt;"",IF(E225="SI",VLOOKUP("T"&amp;C225,'EXP. ESP.'!$A$20:$V$6999,11,0),"NO APLICA"),"")</f>
        <v>#N/A</v>
      </c>
      <c r="G225" s="245" t="e">
        <f>IF(C225&lt;&gt;"",VLOOKUP("M"&amp;C225,'EXP. ESP.'!$A$20:$V$6999,17,0),"")</f>
        <v>#N/A</v>
      </c>
      <c r="H225" s="342" t="e">
        <f>IF(C225&lt;&gt;"",VLOOKUP("P"&amp;C225,'EXP. ESP.'!$A$20:$V$6999,16,0),"")</f>
        <v>#N/A</v>
      </c>
      <c r="I225" s="135" t="e">
        <f t="shared" si="18"/>
        <v>#N/A</v>
      </c>
      <c r="J225" s="352" t="e">
        <f>IF(C225&lt;&gt;"",ROUND(VLOOKUP("S"&amp;C225,'EXP. ESP.'!$A$20:$V$6999,16,0)/$K$14,3),"")</f>
        <v>#N/A</v>
      </c>
      <c r="K225" s="135" t="e">
        <f>IF(C225&lt;&gt;"",IF(AND(G225&gt;=NUMMINCONT,G225&lt;=NUMMAXCONT,J225&lt;$K$18,J225&lt;&gt;0),"HÁBIL","NO HÁBIL"),"")</f>
        <v>#N/A</v>
      </c>
      <c r="L225" s="135" t="e">
        <f>IF(C225&lt;&gt;"",VLOOKUP(C225,HAB.GEN.!$C$19:$K$218,9,FALSE),"")</f>
        <v>#N/A</v>
      </c>
      <c r="M225" s="514" t="e">
        <f t="shared" si="20"/>
        <v>#N/A</v>
      </c>
      <c r="N225" s="351" t="str">
        <f t="shared" si="21"/>
        <v>HÁBIL</v>
      </c>
      <c r="P225" s="427"/>
    </row>
    <row r="226" spans="2:16" ht="13.5" hidden="1">
      <c r="B226" s="231">
        <v>200</v>
      </c>
      <c r="C226" s="129" t="e">
        <f>IF(VLOOKUP(B226,PROPONENTES!$B$19:$E$219,2,0)="","",VLOOKUP(B226,PROPONENTES!$B$19:$E$219,2,0))</f>
        <v>#N/A</v>
      </c>
      <c r="D226" s="130" t="e">
        <f>IF(VLOOKUP(B226,PROPONENTES!$B$19:$E$218,3,0)="","",VLOOKUP(B226,PROPONENTES!$B$19:$E$218,3,0))</f>
        <v>#N/A</v>
      </c>
      <c r="E226" s="130" t="e">
        <f>IF(VLOOKUP(B226,PROPONENTES!$B$19:$E$218,4,0)="","",IF(VLOOKUP(B226,PROPONENTES!$B$19:$E$218,4,0)&gt;1,"SI","NO"))</f>
        <v>#N/A</v>
      </c>
      <c r="F226" s="135" t="e">
        <f>IF(C226&lt;&gt;"",IF(E226="SI",VLOOKUP("T"&amp;C226,'EXP. ESP.'!$A$20:$V$6999,11,0),"NO APLICA"),"")</f>
        <v>#N/A</v>
      </c>
      <c r="G226" s="245" t="e">
        <f>IF(C226&lt;&gt;"",VLOOKUP("M"&amp;C226,'EXP. ESP.'!$A$20:$V$6999,17,0),"")</f>
        <v>#N/A</v>
      </c>
      <c r="H226" s="342" t="e">
        <f>IF(C226&lt;&gt;"",VLOOKUP("P"&amp;C226,'EXP. ESP.'!$A$20:$V$6999,16,0),"")</f>
        <v>#N/A</v>
      </c>
      <c r="I226" s="135" t="e">
        <f t="shared" si="18"/>
        <v>#N/A</v>
      </c>
      <c r="J226" s="352" t="e">
        <f>IF(C226&lt;&gt;"",ROUND(VLOOKUP("S"&amp;C226,'EXP. ESP.'!$A$20:$V$6999,16,0)/$K$14,3),"")</f>
        <v>#N/A</v>
      </c>
      <c r="K226" s="135" t="e">
        <f>IF(C226&lt;&gt;"",IF(AND(G226&gt;=NUMMINCONT,G226&lt;=NUMMAXCONT,J226&lt;$K$18,J226&lt;&gt;0),"HÁBIL","NO HÁBIL"),"")</f>
        <v>#N/A</v>
      </c>
      <c r="L226" s="135" t="e">
        <f>IF(C226&lt;&gt;"",VLOOKUP(C226,HAB.GEN.!$C$19:$K$218,9,FALSE),"")</f>
        <v>#N/A</v>
      </c>
      <c r="M226" s="514" t="e">
        <f t="shared" si="20"/>
        <v>#N/A</v>
      </c>
      <c r="N226" s="351" t="str">
        <f t="shared" si="21"/>
        <v>HÁBIL</v>
      </c>
      <c r="P226" s="427"/>
    </row>
    <row r="227" spans="2:16" ht="6.75" customHeight="1" thickBot="1">
      <c r="B227" s="232"/>
      <c r="C227" s="233"/>
      <c r="D227" s="234"/>
      <c r="E227" s="234"/>
      <c r="F227" s="234"/>
      <c r="G227" s="235"/>
      <c r="H227" s="235"/>
      <c r="I227" s="235"/>
      <c r="J227" s="235"/>
      <c r="K227" s="348"/>
      <c r="L227" s="515"/>
      <c r="M227" s="515"/>
      <c r="N227" s="349"/>
    </row>
    <row r="228" spans="2:16" ht="18" customHeight="1">
      <c r="B228" s="131"/>
      <c r="C228" s="131"/>
      <c r="D228" s="132"/>
      <c r="E228" s="132"/>
      <c r="F228" s="132"/>
      <c r="G228" s="133"/>
      <c r="H228" s="133"/>
      <c r="I228" s="133"/>
      <c r="J228" s="133"/>
      <c r="K228" s="133"/>
      <c r="L228" s="133"/>
      <c r="M228" s="133"/>
    </row>
  </sheetData>
  <sheetProtection insertRows="0" deleteRows="0" selectLockedCells="1"/>
  <mergeCells count="40">
    <mergeCell ref="P23:P25"/>
    <mergeCell ref="B23:B25"/>
    <mergeCell ref="H23:I23"/>
    <mergeCell ref="J23:K23"/>
    <mergeCell ref="C19:E19"/>
    <mergeCell ref="B22:N22"/>
    <mergeCell ref="H24:H25"/>
    <mergeCell ref="J24:J25"/>
    <mergeCell ref="G19:J19"/>
    <mergeCell ref="G20:J20"/>
    <mergeCell ref="N23:N24"/>
    <mergeCell ref="D21:F21"/>
    <mergeCell ref="L23:L24"/>
    <mergeCell ref="B1:N1"/>
    <mergeCell ref="B2:N2"/>
    <mergeCell ref="B3:N3"/>
    <mergeCell ref="B4:N4"/>
    <mergeCell ref="C23:C25"/>
    <mergeCell ref="D23:D25"/>
    <mergeCell ref="E23:E25"/>
    <mergeCell ref="C13:F13"/>
    <mergeCell ref="C14:E14"/>
    <mergeCell ref="B5:N5"/>
    <mergeCell ref="C16:E16"/>
    <mergeCell ref="C18:E18"/>
    <mergeCell ref="G14:J14"/>
    <mergeCell ref="G18:J18"/>
    <mergeCell ref="C15:E15"/>
    <mergeCell ref="G15:J15"/>
    <mergeCell ref="B7:N7"/>
    <mergeCell ref="B9:N9"/>
    <mergeCell ref="B10:N10"/>
    <mergeCell ref="M23:M24"/>
    <mergeCell ref="F23:F25"/>
    <mergeCell ref="G23:G24"/>
    <mergeCell ref="C12:K12"/>
    <mergeCell ref="G13:K13"/>
    <mergeCell ref="C17:E17"/>
    <mergeCell ref="G16:J16"/>
    <mergeCell ref="G17:J17"/>
  </mergeCells>
  <conditionalFormatting sqref="B27:E226 J27:J226 G27:H226">
    <cfRule type="expression" dxfId="84" priority="50" stopIfTrue="1">
      <formula>MOD(ROW(),2)</formula>
    </cfRule>
  </conditionalFormatting>
  <conditionalFormatting sqref="J27:J226 G27:H226">
    <cfRule type="cellIs" dxfId="83" priority="46" stopIfTrue="1" operator="equal">
      <formula>"CUMPLE"</formula>
    </cfRule>
    <cfRule type="cellIs" dxfId="82" priority="47" stopIfTrue="1" operator="equal">
      <formula>"NO CUMPLE"</formula>
    </cfRule>
    <cfRule type="cellIs" dxfId="81" priority="49" stopIfTrue="1" operator="equal">
      <formula>"PENDIENTE"</formula>
    </cfRule>
  </conditionalFormatting>
  <conditionalFormatting sqref="F27:F226">
    <cfRule type="cellIs" dxfId="80" priority="40" stopIfTrue="1" operator="equal">
      <formula>"CUMPLE"</formula>
    </cfRule>
    <cfRule type="cellIs" dxfId="79" priority="41" stopIfTrue="1" operator="equal">
      <formula>"NO CUMPLE"</formula>
    </cfRule>
    <cfRule type="cellIs" dxfId="78" priority="42" stopIfTrue="1" operator="equal">
      <formula>"HÁBIL"</formula>
    </cfRule>
    <cfRule type="cellIs" dxfId="77" priority="43" stopIfTrue="1" operator="equal">
      <formula>"NO HÁBIL"</formula>
    </cfRule>
    <cfRule type="cellIs" dxfId="76" priority="44" stopIfTrue="1" operator="equal">
      <formula>"NO APLICA"</formula>
    </cfRule>
  </conditionalFormatting>
  <conditionalFormatting sqref="I27:I226">
    <cfRule type="cellIs" dxfId="75" priority="34" stopIfTrue="1" operator="equal">
      <formula>"CUMPLE"</formula>
    </cfRule>
    <cfRule type="cellIs" dxfId="74" priority="35" stopIfTrue="1" operator="equal">
      <formula>"NO CUMPLE"</formula>
    </cfRule>
    <cfRule type="cellIs" dxfId="73" priority="36" stopIfTrue="1" operator="equal">
      <formula>"HÁBIL"</formula>
    </cfRule>
    <cfRule type="cellIs" dxfId="72" priority="37" stopIfTrue="1" operator="equal">
      <formula>"NO HÁBIL"</formula>
    </cfRule>
    <cfRule type="cellIs" dxfId="71" priority="38" stopIfTrue="1" operator="equal">
      <formula>"NO APLICA"</formula>
    </cfRule>
  </conditionalFormatting>
  <conditionalFormatting sqref="K27:K226">
    <cfRule type="cellIs" dxfId="70" priority="22" stopIfTrue="1" operator="equal">
      <formula>"CUMPLE"</formula>
    </cfRule>
    <cfRule type="cellIs" dxfId="69" priority="23" stopIfTrue="1" operator="equal">
      <formula>"NO CUMPLE"</formula>
    </cfRule>
    <cfRule type="cellIs" dxfId="68" priority="24" stopIfTrue="1" operator="equal">
      <formula>"HÁBIL"</formula>
    </cfRule>
    <cfRule type="cellIs" dxfId="67" priority="25" stopIfTrue="1" operator="equal">
      <formula>"NO HÁBIL"</formula>
    </cfRule>
    <cfRule type="cellIs" dxfId="66" priority="26" stopIfTrue="1" operator="equal">
      <formula>"NO APLICA"</formula>
    </cfRule>
  </conditionalFormatting>
  <conditionalFormatting sqref="L27:M27">
    <cfRule type="cellIs" dxfId="65" priority="16" stopIfTrue="1" operator="equal">
      <formula>"CUMPLE"</formula>
    </cfRule>
    <cfRule type="cellIs" dxfId="64" priority="17" stopIfTrue="1" operator="equal">
      <formula>"NO CUMPLE"</formula>
    </cfRule>
    <cfRule type="cellIs" dxfId="63" priority="18" stopIfTrue="1" operator="equal">
      <formula>"HÁBIL"</formula>
    </cfRule>
    <cfRule type="cellIs" dxfId="62" priority="19" stopIfTrue="1" operator="equal">
      <formula>"NO HÁBIL"</formula>
    </cfRule>
    <cfRule type="cellIs" dxfId="61" priority="20" stopIfTrue="1" operator="equal">
      <formula>"NO APLICA"</formula>
    </cfRule>
  </conditionalFormatting>
  <conditionalFormatting sqref="L28:M226">
    <cfRule type="cellIs" dxfId="60" priority="9" stopIfTrue="1" operator="equal">
      <formula>"CUMPLE"</formula>
    </cfRule>
    <cfRule type="cellIs" dxfId="59" priority="10" stopIfTrue="1" operator="equal">
      <formula>"NO CUMPLE"</formula>
    </cfRule>
    <cfRule type="cellIs" dxfId="58" priority="11" stopIfTrue="1" operator="equal">
      <formula>"HÁBIL"</formula>
    </cfRule>
    <cfRule type="cellIs" dxfId="57" priority="12" stopIfTrue="1" operator="equal">
      <formula>"NO HÁBIL"</formula>
    </cfRule>
    <cfRule type="cellIs" dxfId="56" priority="13" stopIfTrue="1" operator="equal">
      <formula>"NO APLICA"</formula>
    </cfRule>
  </conditionalFormatting>
  <conditionalFormatting sqref="N27:N226">
    <cfRule type="cellIs" dxfId="55" priority="2" stopIfTrue="1" operator="equal">
      <formula>"CUMPLE"</formula>
    </cfRule>
    <cfRule type="cellIs" dxfId="54" priority="3" stopIfTrue="1" operator="equal">
      <formula>"NO CUMPLE"</formula>
    </cfRule>
    <cfRule type="cellIs" dxfId="53" priority="4" stopIfTrue="1" operator="equal">
      <formula>"HÁBIL"</formula>
    </cfRule>
    <cfRule type="cellIs" dxfId="52" priority="5" stopIfTrue="1" operator="equal">
      <formula>"NO HÁBIL"</formula>
    </cfRule>
    <cfRule type="cellIs" dxfId="51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45" fitToHeight="0" orientation="portrait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theme="4" tint="0.59999389629810485"/>
    <pageSetUpPr fitToPage="1"/>
  </sheetPr>
  <dimension ref="A1:M231"/>
  <sheetViews>
    <sheetView showGridLines="0" view="pageBreakPreview" topLeftCell="A13" zoomScale="90" zoomScaleNormal="100" zoomScaleSheetLayoutView="90" workbookViewId="0">
      <selection activeCell="J31" sqref="J31"/>
    </sheetView>
  </sheetViews>
  <sheetFormatPr baseColWidth="10" defaultRowHeight="12.75"/>
  <cols>
    <col min="1" max="1" width="1.28515625" style="120" customWidth="1"/>
    <col min="2" max="2" width="7.85546875" style="134" customWidth="1"/>
    <col min="3" max="3" width="11.5703125" style="134" customWidth="1"/>
    <col min="4" max="4" width="37.85546875" style="120" customWidth="1"/>
    <col min="5" max="5" width="22.140625" style="120" customWidth="1"/>
    <col min="6" max="6" width="21.7109375" style="120" bestFit="1" customWidth="1"/>
    <col min="7" max="10" width="21.5703125" style="120" customWidth="1"/>
    <col min="11" max="16384" width="11.42578125" style="120"/>
  </cols>
  <sheetData>
    <row r="1" spans="1:10" s="118" customFormat="1" ht="15.75">
      <c r="A1" s="115"/>
      <c r="B1" s="796" t="str">
        <f>PROPONENTES!B1</f>
        <v>INSTITUTO NACIONAL DE VÍAS</v>
      </c>
      <c r="C1" s="796"/>
      <c r="D1" s="796"/>
      <c r="E1" s="796"/>
      <c r="F1" s="796"/>
      <c r="G1" s="796"/>
      <c r="H1" s="796"/>
      <c r="I1" s="796"/>
      <c r="J1" s="796"/>
    </row>
    <row r="2" spans="1:10" s="118" customFormat="1" ht="15.75">
      <c r="A2" s="115"/>
      <c r="B2" s="796" t="str">
        <f>PROPONENTES!B2</f>
        <v>DIRECCIÓN TERRITORIAL HUILA</v>
      </c>
      <c r="C2" s="796"/>
      <c r="D2" s="796"/>
      <c r="E2" s="796"/>
      <c r="F2" s="796"/>
      <c r="G2" s="796"/>
      <c r="H2" s="796"/>
      <c r="I2" s="796"/>
      <c r="J2" s="796"/>
    </row>
    <row r="3" spans="1:10" s="118" customFormat="1" ht="15.75">
      <c r="A3" s="115"/>
      <c r="B3" s="796"/>
      <c r="C3" s="796"/>
      <c r="D3" s="796"/>
      <c r="E3" s="796"/>
      <c r="F3" s="796"/>
      <c r="G3" s="796"/>
      <c r="H3" s="796"/>
      <c r="I3" s="796"/>
      <c r="J3" s="796"/>
    </row>
    <row r="4" spans="1:10" s="118" customFormat="1" ht="15.75">
      <c r="A4" s="115"/>
      <c r="B4" s="796"/>
      <c r="C4" s="796"/>
      <c r="D4" s="796"/>
      <c r="E4" s="796"/>
      <c r="F4" s="796"/>
      <c r="G4" s="796"/>
      <c r="H4" s="796"/>
      <c r="I4" s="796"/>
      <c r="J4" s="796"/>
    </row>
    <row r="5" spans="1:10" s="118" customFormat="1" ht="15.75">
      <c r="A5" s="115"/>
      <c r="B5" s="151"/>
      <c r="C5" s="116"/>
      <c r="D5" s="117"/>
      <c r="E5" s="117"/>
      <c r="F5" s="119"/>
      <c r="G5" s="119"/>
      <c r="H5" s="119"/>
      <c r="I5" s="119"/>
      <c r="J5" s="117"/>
    </row>
    <row r="6" spans="1:10" s="118" customFormat="1" ht="15.75">
      <c r="A6" s="115"/>
      <c r="B6" s="796" t="str">
        <f>+PROPONENTES!B6</f>
        <v>CONCURSO DE MÉRITOS ABIERTO</v>
      </c>
      <c r="C6" s="796"/>
      <c r="D6" s="796"/>
      <c r="E6" s="796"/>
      <c r="F6" s="796"/>
      <c r="G6" s="796"/>
      <c r="H6" s="796"/>
      <c r="I6" s="796"/>
      <c r="J6" s="796"/>
    </row>
    <row r="7" spans="1:10" s="118" customFormat="1" ht="15.75">
      <c r="A7" s="115"/>
      <c r="B7" s="796" t="str">
        <f>PROPONENTES!B7</f>
        <v>CMA-DT-HUI-002-2019</v>
      </c>
      <c r="C7" s="796"/>
      <c r="D7" s="796"/>
      <c r="E7" s="796"/>
      <c r="F7" s="796"/>
      <c r="G7" s="796"/>
      <c r="H7" s="796"/>
      <c r="I7" s="796"/>
      <c r="J7" s="796"/>
    </row>
    <row r="8" spans="1:10" ht="15.75">
      <c r="B8" s="151"/>
      <c r="C8" s="116"/>
      <c r="D8" s="121"/>
      <c r="E8" s="121"/>
      <c r="F8" s="121"/>
      <c r="G8" s="121"/>
      <c r="H8" s="121"/>
      <c r="I8" s="121"/>
      <c r="J8" s="122"/>
    </row>
    <row r="9" spans="1:10" ht="15.75">
      <c r="B9" s="796" t="str">
        <f>PRESUPUESTOS!B9</f>
        <v>OBJETO: "INTERVENTORIA TECNICA, ADMINISTRATIVA, FINANCIERA, AMBIENTAL , ATENCIÓN SITIOS CRITICOS CONSTRUCCIÓN PUENTE QUEBRADA PÌEDRAS NEGRAS MUNICIPIO DE SALADOBLANCO CARRETERA LA CABAÑA-MORELIA, CÓDIGO 19787 (PRODUCTO SITIO CRÍTICO DE RED TERCIARIA ESTABILIZADA).”</v>
      </c>
      <c r="C9" s="796"/>
      <c r="D9" s="796"/>
      <c r="E9" s="796"/>
      <c r="F9" s="796"/>
      <c r="G9" s="796"/>
      <c r="H9" s="796"/>
      <c r="I9" s="796"/>
      <c r="J9" s="796"/>
    </row>
    <row r="10" spans="1:10" ht="15.75">
      <c r="B10" s="151"/>
      <c r="C10" s="116"/>
      <c r="D10" s="121"/>
      <c r="E10" s="121"/>
      <c r="F10" s="121"/>
      <c r="G10" s="121"/>
      <c r="H10" s="121"/>
      <c r="I10" s="121"/>
      <c r="J10" s="122"/>
    </row>
    <row r="11" spans="1:10" ht="15.75">
      <c r="B11" s="797" t="str">
        <f>"CUADRO No. 5"</f>
        <v>CUADRO No. 5</v>
      </c>
      <c r="C11" s="797"/>
      <c r="D11" s="797"/>
      <c r="E11" s="797"/>
      <c r="F11" s="797"/>
      <c r="G11" s="797"/>
      <c r="H11" s="797"/>
      <c r="I11" s="797"/>
      <c r="J11" s="797"/>
    </row>
    <row r="12" spans="1:10" ht="18">
      <c r="B12" s="845">
        <f>NUMMOD</f>
        <v>1</v>
      </c>
      <c r="C12" s="845"/>
      <c r="D12" s="845"/>
      <c r="E12" s="845"/>
      <c r="F12" s="845"/>
      <c r="G12" s="845"/>
      <c r="H12" s="845"/>
      <c r="I12" s="845"/>
      <c r="J12" s="845"/>
    </row>
    <row r="13" spans="1:10" ht="18.75" thickBot="1">
      <c r="B13" s="152"/>
      <c r="C13" s="123"/>
      <c r="D13" s="124"/>
      <c r="E13" s="124"/>
      <c r="F13" s="124"/>
      <c r="G13" s="124"/>
      <c r="H13" s="124"/>
      <c r="I13" s="124"/>
      <c r="J13" s="124"/>
    </row>
    <row r="14" spans="1:10" ht="18">
      <c r="B14" s="152"/>
      <c r="C14" s="859" t="s">
        <v>184</v>
      </c>
      <c r="D14" s="860"/>
      <c r="E14" s="860"/>
      <c r="F14" s="860"/>
      <c r="G14" s="860"/>
      <c r="H14" s="860"/>
      <c r="I14" s="861"/>
      <c r="J14" s="124"/>
    </row>
    <row r="15" spans="1:10" ht="18.75" thickBot="1">
      <c r="B15" s="152"/>
      <c r="C15" s="865" t="s">
        <v>125</v>
      </c>
      <c r="D15" s="866"/>
      <c r="E15" s="866"/>
      <c r="F15" s="806" t="s">
        <v>121</v>
      </c>
      <c r="G15" s="807"/>
      <c r="H15" s="807"/>
      <c r="I15" s="808"/>
      <c r="J15" s="124"/>
    </row>
    <row r="16" spans="1:10" ht="18">
      <c r="B16" s="152"/>
      <c r="C16" s="819" t="s">
        <v>122</v>
      </c>
      <c r="D16" s="820"/>
      <c r="E16" s="225">
        <f>PTJEEXPESP1</f>
        <v>295</v>
      </c>
      <c r="F16" s="862" t="s">
        <v>122</v>
      </c>
      <c r="G16" s="863"/>
      <c r="H16" s="864"/>
      <c r="I16" s="289">
        <f>PTJEEXPESP2</f>
        <v>595</v>
      </c>
      <c r="J16" s="124"/>
    </row>
    <row r="17" spans="2:13" ht="18">
      <c r="B17" s="152"/>
      <c r="C17" s="822" t="s">
        <v>123</v>
      </c>
      <c r="D17" s="823"/>
      <c r="E17" s="226">
        <v>0</v>
      </c>
      <c r="F17" s="827" t="s">
        <v>123</v>
      </c>
      <c r="G17" s="828"/>
      <c r="H17" s="820"/>
      <c r="I17" s="226">
        <v>0</v>
      </c>
      <c r="J17" s="355"/>
    </row>
    <row r="18" spans="2:13" ht="18">
      <c r="B18" s="152"/>
      <c r="C18" s="822" t="s">
        <v>126</v>
      </c>
      <c r="D18" s="823"/>
      <c r="E18" s="336">
        <f>PLAZOMOD</f>
        <v>2</v>
      </c>
      <c r="F18" s="827" t="s">
        <v>127</v>
      </c>
      <c r="G18" s="828"/>
      <c r="H18" s="820"/>
      <c r="I18" s="336">
        <f>PMFOMOD</f>
        <v>51.561999999999998</v>
      </c>
      <c r="J18" s="355"/>
    </row>
    <row r="19" spans="2:13" ht="18">
      <c r="B19" s="152"/>
      <c r="C19" s="812" t="s">
        <v>193</v>
      </c>
      <c r="D19" s="813"/>
      <c r="E19" s="226">
        <f>NUMPROPMOD</f>
        <v>4</v>
      </c>
      <c r="F19" s="812" t="str">
        <f>PORCREQUERIDO*100&amp;"% del PMFO del Módulo"</f>
        <v>50% del PMFO del Módulo</v>
      </c>
      <c r="G19" s="813"/>
      <c r="H19" s="823"/>
      <c r="I19" s="336">
        <f>PORPMFOMOD</f>
        <v>25.780999999999999</v>
      </c>
      <c r="J19" s="355"/>
    </row>
    <row r="20" spans="2:13" ht="18">
      <c r="B20" s="152"/>
      <c r="C20" s="812" t="s">
        <v>207</v>
      </c>
      <c r="D20" s="813"/>
      <c r="E20" s="226">
        <f>COUNTIF($E$30:$E$229,"HÁBIL")</f>
        <v>2</v>
      </c>
      <c r="F20" s="812" t="s">
        <v>187</v>
      </c>
      <c r="G20" s="813"/>
      <c r="H20" s="823"/>
      <c r="I20" s="226">
        <f>IF(AND(0&lt;NUMPROPMOD,NUMPROPMOD&lt;=10),2,IF(NUMPROPMOD&gt;=81,10,ROUNDUP(NUMPROPMOD/10,0)+1))</f>
        <v>2</v>
      </c>
      <c r="J20" s="355"/>
    </row>
    <row r="21" spans="2:13" ht="30.75" customHeight="1">
      <c r="B21" s="152"/>
      <c r="C21" s="825" t="s">
        <v>332</v>
      </c>
      <c r="D21" s="826"/>
      <c r="E21" s="336">
        <f>ROUND(((SUMIF($E$30:$E$229,"HÁBIL",$G$30:$G$229)+($E$19*PLAZOMOD))/(NUMPROPHAB+NUMPROPMOD)),3)</f>
        <v>2.1949999999999998</v>
      </c>
      <c r="F21" s="827" t="s">
        <v>201</v>
      </c>
      <c r="G21" s="828"/>
      <c r="H21" s="820"/>
      <c r="I21" s="336">
        <f>ROUND(((PORCREQUERIDO*PMFOMOD)*(SQRT($I$20)+1)),3)</f>
        <v>62.241</v>
      </c>
      <c r="J21" s="124"/>
    </row>
    <row r="22" spans="2:13" ht="30.75" customHeight="1">
      <c r="B22" s="152"/>
      <c r="C22" s="825" t="s">
        <v>199</v>
      </c>
      <c r="D22" s="826"/>
      <c r="E22" s="226">
        <f>COUNTIF(G30:G229,"&gt;="&amp;PPHMOD)</f>
        <v>2</v>
      </c>
      <c r="F22" s="827" t="str">
        <f>"Propuestas a ponderar con PFMT ≥ PMFO*"&amp;PORCREQUERIDO*100&amp;"%"</f>
        <v>Propuestas a ponderar con PFMT ≥ PMFO*50%</v>
      </c>
      <c r="G22" s="828"/>
      <c r="H22" s="820"/>
      <c r="I22" s="225">
        <f>COUNTIF(I30:I229,"&gt;="&amp;PORPMFOMOD)</f>
        <v>1</v>
      </c>
      <c r="J22" s="359"/>
    </row>
    <row r="23" spans="2:13" ht="30.75" customHeight="1" thickBot="1">
      <c r="B23" s="152"/>
      <c r="C23" s="853" t="s">
        <v>200</v>
      </c>
      <c r="D23" s="854"/>
      <c r="E23" s="356">
        <f>COUNTIF(G30:G229,"&lt;"&amp;PPHMOD)</f>
        <v>2</v>
      </c>
      <c r="F23" s="840" t="str">
        <f>"Propuestas a ponderar con PFMT &lt; PMFO*"&amp;PORCREQUERIDO*100&amp;"%"</f>
        <v>Propuestas a ponderar con PFMT &lt; PMFO*50%</v>
      </c>
      <c r="G23" s="841"/>
      <c r="H23" s="855"/>
      <c r="I23" s="227">
        <f>COUNTIF(I30:I229,"&lt;"&amp;PORPMFOMOD)</f>
        <v>3</v>
      </c>
      <c r="J23" s="124"/>
    </row>
    <row r="24" spans="2:13" ht="24" thickBot="1">
      <c r="B24" s="228" t="s">
        <v>79</v>
      </c>
      <c r="C24" s="229"/>
      <c r="D24" s="846"/>
      <c r="E24" s="846"/>
      <c r="F24" s="125"/>
      <c r="G24" s="125"/>
      <c r="H24" s="125"/>
      <c r="I24" s="288"/>
      <c r="J24" s="126"/>
    </row>
    <row r="25" spans="2:13" ht="24" customHeight="1">
      <c r="B25" s="849" t="s">
        <v>128</v>
      </c>
      <c r="C25" s="850"/>
      <c r="D25" s="850"/>
      <c r="E25" s="850"/>
      <c r="F25" s="850"/>
      <c r="G25" s="850"/>
      <c r="H25" s="850"/>
      <c r="I25" s="850"/>
      <c r="J25" s="851"/>
    </row>
    <row r="26" spans="2:13" ht="21" customHeight="1">
      <c r="B26" s="857" t="s">
        <v>39</v>
      </c>
      <c r="C26" s="858" t="s">
        <v>124</v>
      </c>
      <c r="D26" s="839" t="s">
        <v>16</v>
      </c>
      <c r="E26" s="839" t="s">
        <v>331</v>
      </c>
      <c r="F26" s="839" t="s">
        <v>129</v>
      </c>
      <c r="G26" s="847" t="s">
        <v>130</v>
      </c>
      <c r="H26" s="852"/>
      <c r="I26" s="847" t="s">
        <v>121</v>
      </c>
      <c r="J26" s="848"/>
      <c r="K26" s="237"/>
      <c r="M26" s="133"/>
    </row>
    <row r="27" spans="2:13" ht="15" customHeight="1">
      <c r="B27" s="830"/>
      <c r="C27" s="800"/>
      <c r="D27" s="801"/>
      <c r="E27" s="801"/>
      <c r="F27" s="801"/>
      <c r="G27" s="243" t="s">
        <v>131</v>
      </c>
      <c r="H27" s="246" t="s">
        <v>134</v>
      </c>
      <c r="I27" s="243" t="s">
        <v>136</v>
      </c>
      <c r="J27" s="246" t="s">
        <v>134</v>
      </c>
      <c r="K27" s="237"/>
      <c r="M27" s="856"/>
    </row>
    <row r="28" spans="2:13" ht="15" customHeight="1" thickBot="1">
      <c r="B28" s="831"/>
      <c r="C28" s="814"/>
      <c r="D28" s="802"/>
      <c r="E28" s="802"/>
      <c r="F28" s="242" t="s">
        <v>132</v>
      </c>
      <c r="G28" s="241" t="s">
        <v>133</v>
      </c>
      <c r="H28" s="241" t="s">
        <v>135</v>
      </c>
      <c r="I28" s="241" t="s">
        <v>137</v>
      </c>
      <c r="J28" s="247" t="s">
        <v>135</v>
      </c>
      <c r="K28" s="133"/>
      <c r="M28" s="856"/>
    </row>
    <row r="29" spans="2:13" ht="3" customHeight="1">
      <c r="B29" s="240"/>
      <c r="C29" s="127"/>
      <c r="D29" s="128"/>
      <c r="E29" s="239"/>
      <c r="F29" s="239"/>
      <c r="G29" s="239"/>
      <c r="H29" s="239"/>
      <c r="I29" s="244"/>
      <c r="J29" s="238"/>
    </row>
    <row r="30" spans="2:13" ht="13.5">
      <c r="B30" s="230">
        <v>1</v>
      </c>
      <c r="C30" s="129">
        <f>IF(VLOOKUP(B30,PROPONENTES!$B$19:$E$219,2,0)="","",VLOOKUP(B30,PROPONENTES!$B$19:$E$219,2,0))</f>
        <v>1</v>
      </c>
      <c r="D30" s="130" t="str">
        <f>IF(VLOOKUP(B30,PROPONENTES!$B$19:$E$218,3,0)="","",VLOOKUP(B30,PROPONENTES!$B$19:$E$218,3,0))</f>
        <v>CONSORCIO JC 2019</v>
      </c>
      <c r="E30" s="135" t="str">
        <f>IF(C30&lt;&gt;"",VLOOKUP(C30,HAB.EXP.ESP.!$C$27:$N$226,12),"")</f>
        <v>NO HÁBIL</v>
      </c>
      <c r="F30" s="245">
        <f>IF(C30&lt;&gt;"",VLOOKUP("M"&amp;C30,'EXP. ESP.'!$A$20:$V$6999,17,0),"")</f>
        <v>1</v>
      </c>
      <c r="G30" s="342">
        <f>IF(C30&lt;&gt;"",VLOOKUP("P"&amp;C30,'EXP. ESP.'!$A$20:$V$6999,16,0),"")</f>
        <v>0</v>
      </c>
      <c r="H30" s="342">
        <f>IF(C30&lt;&gt;"",IF(VLOOKUP(C30,HAB.EXP.ESP.!$C$27:$N$226,4,0)="NO CUMPLE",0,IF(E30="HÁBIL",IF(G30&lt;PPHMOD,ROUND((PTJEEXPESP1*(G30/PPHMOD)),3),IF(OR(ROUND(PTJEEXPESP1*(((3*PPHMOD)-G30)/(2*PPHMOD)),3)&lt;=0,G30&gt;=(3*PLAZOMOD)),0,ROUND(PTJEEXPESP1*(((3*PPHMOD)-G30)/(2*PPHMOD)),3))),0)),"")</f>
        <v>0</v>
      </c>
      <c r="I30" s="352">
        <f>IF(C30&lt;&gt;"",VLOOKUP("S"&amp;C30,'EXP. ESP.'!$A$20:$V$6999,16,0),"")</f>
        <v>0</v>
      </c>
      <c r="J30" s="358">
        <f>IF(C30&lt;&gt;"",IF(VLOOKUP(C30,HAB.EXP.ESP.!$C$27:$N$226,4,0)="NO CUMPLE",0,IF(E30="HÁBIL",IF(I30&lt;=PORPMFOMOD,ROUND(PTJEEXPESP2-(PTJEEXPESP2/(POWER(PORPMFOMOD,2)))*(POWER(I30-PORPMFOMOD,2)),3),IF(OR(I30&gt;=$I$21,ROUND((I30/PMFOMOD),3)&gt;=RELACIONPO),0,ROUND(PTJEEXPESP2-(1/$I$20)*(PTJEEXPESP2/(POWER(PORPMFOMOD,2)))*(POWER(I30-PORPMFOMOD,2)),3))),0)),"")</f>
        <v>0</v>
      </c>
      <c r="L30" s="357"/>
    </row>
    <row r="31" spans="2:13" ht="13.5">
      <c r="B31" s="231">
        <v>2</v>
      </c>
      <c r="C31" s="129">
        <f>IF(VLOOKUP(B31,PROPONENTES!$B$19:$E$219,2,0)="","",VLOOKUP(B31,PROPONENTES!$B$19:$E$219,2,0))</f>
        <v>2</v>
      </c>
      <c r="D31" s="130" t="str">
        <f>IF(VLOOKUP(B31,PROPONENTES!$B$19:$E$218,3,0)="","",VLOOKUP(B31,PROPONENTES!$B$19:$E$218,3,0))</f>
        <v>CONSORCIO MORELIA JPD</v>
      </c>
      <c r="E31" s="135" t="str">
        <f>IF(C31&lt;&gt;"",VLOOKUP(C31,HAB.EXP.ESP.!$C$27:$N$226,12),"")</f>
        <v>HÁBIL</v>
      </c>
      <c r="F31" s="245">
        <f>IF(C31&lt;&gt;"",VLOOKUP("M"&amp;C31,'EXP. ESP.'!$A$20:$V$6999,17,0),"")</f>
        <v>4</v>
      </c>
      <c r="G31" s="342">
        <f>IF(C31&lt;&gt;"",VLOOKUP("P"&amp;C31,'EXP. ESP.'!$A$20:$V$6999,16,0),"")</f>
        <v>3.222</v>
      </c>
      <c r="H31" s="342">
        <f>IF(C31&lt;&gt;"",IF(VLOOKUP(C31,HAB.EXP.ESP.!$C$27:$N$226,4,0)="NO CUMPLE",0,IF(E31="HÁBIL",IF(G31&lt;PPHMOD,ROUND((PTJEEXPESP1*(G31/PPHMOD)),3),IF(OR(ROUND(PTJEEXPESP1*(((3*PPHMOD)-G31)/(2*PPHMOD)),3)&lt;=0,G31&gt;=(3*PLAZOMOD)),0,ROUND(PTJEEXPESP1*(((3*PPHMOD)-G31)/(2*PPHMOD)),3))),0)),"")</f>
        <v>225.98699999999999</v>
      </c>
      <c r="I31" s="352">
        <f>IF(C31&lt;&gt;"",VLOOKUP("S"&amp;C31,'EXP. ESP.'!$A$20:$V$6999,16,0),"")</f>
        <v>13.916</v>
      </c>
      <c r="J31" s="358">
        <f>IF(C31&lt;&gt;"",IF(VLOOKUP(C31,HAB.EXP.ESP.!$C$27:$N$226,4,0)="NO CUMPLE",0,IF(E31="HÁBIL",IF(I31&lt;=PORPMFOMOD,ROUND(PTJEEXPESP2-(PTJEEXPESP2/(POWER(PORPMFOMOD,2)))*(POWER(I31-PORPMFOMOD,2)),3),IF(OR(I31&gt;=$I$21,ROUND((I31/PMFOMOD),3)&gt;=RELACIONPO),0,ROUND(PTJEEXPESP2-(1/$I$20)*(PTJEEXPESP2/(POWER(PORPMFOMOD,2)))*(POWER(I31-PORPMFOMOD,2)),3))),0)),"")</f>
        <v>468.976</v>
      </c>
    </row>
    <row r="32" spans="2:13" ht="13.5">
      <c r="B32" s="231">
        <v>3</v>
      </c>
      <c r="C32" s="129">
        <f>IF(VLOOKUP(B32,PROPONENTES!$B$19:$E$219,2,0)="","",VLOOKUP(B32,PROPONENTES!$B$19:$E$219,2,0))</f>
        <v>3</v>
      </c>
      <c r="D32" s="130" t="str">
        <f>IF(VLOOKUP(B32,PROPONENTES!$B$19:$E$218,3,0)="","",VLOOKUP(B32,PROPONENTES!$B$19:$E$218,3,0))</f>
        <v>UCING LTDA</v>
      </c>
      <c r="E32" s="135" t="str">
        <f>IF(C32&lt;&gt;"",VLOOKUP(C32,HAB.EXP.ESP.!$C$27:$N$226,12),"")</f>
        <v>HÁBIL</v>
      </c>
      <c r="F32" s="245">
        <f>IF(C32&lt;&gt;"",VLOOKUP("M"&amp;C32,'EXP. ESP.'!$A$20:$V$6999,17,0),"")</f>
        <v>6</v>
      </c>
      <c r="G32" s="342">
        <f>IF(C32&lt;&gt;"",VLOOKUP("P"&amp;C32,'EXP. ESP.'!$A$20:$V$6999,16,0),"")</f>
        <v>1.95</v>
      </c>
      <c r="H32" s="342">
        <f>IF(C32&lt;&gt;"",IF(VLOOKUP(C32,HAB.EXP.ESP.!$C$27:$N$226,4,0)="NO CUMPLE",0,IF(E32="HÁBIL",IF(G32&lt;PPHMOD,ROUND((PTJEEXPESP1*(G32/PPHMOD)),3),IF(OR(ROUND(PTJEEXPESP1*(((3*PPHMOD)-G32)/(2*PPHMOD)),3)&lt;=0,G32&gt;=(3*PLAZOMOD)),0,ROUND(PTJEEXPESP1*(((3*PPHMOD)-G32)/(2*PPHMOD)),3))),0)),"")</f>
        <v>262.07299999999998</v>
      </c>
      <c r="I32" s="352">
        <f>IF(C32&lt;&gt;"",VLOOKUP("S"&amp;C32,'EXP. ESP.'!$A$20:$V$6999,16,0),"")</f>
        <v>25.143999999999998</v>
      </c>
      <c r="J32" s="358">
        <f>IF(C32&lt;&gt;"",IF(VLOOKUP(C32,HAB.EXP.ESP.!$C$27:$N$226,4,0)="NO CUMPLE",0,IF(E32="HÁBIL",IF(I32&lt;=PORPMFOMOD,ROUND(PTJEEXPESP2-(PTJEEXPESP2/(POWER(PORPMFOMOD,2)))*(POWER(I32-PORPMFOMOD,2)),3),IF(OR(I32&gt;=$I$21,ROUND((I32/PMFOMOD),3)&gt;=RELACIONPO),0,ROUND(PTJEEXPESP2-(1/$I$20)*(PTJEEXPESP2/(POWER(PORPMFOMOD,2)))*(POWER(I32-PORPMFOMOD,2)),3))),0)),"")</f>
        <v>594.63699999999994</v>
      </c>
    </row>
    <row r="33" spans="2:10" ht="13.5">
      <c r="B33" s="230">
        <v>4</v>
      </c>
      <c r="C33" s="129">
        <f>IF(VLOOKUP(B33,PROPONENTES!$B$19:$E$219,2,0)="","",VLOOKUP(B33,PROPONENTES!$B$19:$E$219,2,0))</f>
        <v>4</v>
      </c>
      <c r="D33" s="130" t="str">
        <f>IF(VLOOKUP(B33,PROPONENTES!$B$19:$E$218,3,0)="","",VLOOKUP(B33,PROPONENTES!$B$19:$E$218,3,0))</f>
        <v>SOTA</v>
      </c>
      <c r="E33" s="135" t="str">
        <f>IF(C33&lt;&gt;"",VLOOKUP(C33,HAB.EXP.ESP.!$C$27:$N$226,12),"")</f>
        <v>NO HÁBIL</v>
      </c>
      <c r="F33" s="245">
        <f>IF(C33&lt;&gt;"",VLOOKUP("M"&amp;C33,'EXP. ESP.'!$A$20:$V$6999,17,0),"")</f>
        <v>5</v>
      </c>
      <c r="G33" s="342">
        <f>IF(C33&lt;&gt;"",VLOOKUP("P"&amp;C33,'EXP. ESP.'!$A$20:$V$6999,16,0),"")</f>
        <v>6.2329999999999997</v>
      </c>
      <c r="H33" s="342">
        <f>IF(C33&lt;&gt;"",IF(VLOOKUP(C33,HAB.EXP.ESP.!$C$27:$N$226,4,0)="NO CUMPLE",0,IF(E33="HÁBIL",IF(G33&lt;PPHMOD,ROUND((PTJEEXPESP1*(G33/PPHMOD)),3),IF(OR(ROUND(PTJEEXPESP1*(((3*PPHMOD)-G33)/(2*PPHMOD)),3)&lt;=0,G33&gt;=(3*PLAZOMOD)),0,ROUND(PTJEEXPESP1*(((3*PPHMOD)-G33)/(2*PPHMOD)),3))),0)),"")</f>
        <v>0</v>
      </c>
      <c r="I33" s="352">
        <f>IF(C33&lt;&gt;"",VLOOKUP("S"&amp;C33,'EXP. ESP.'!$A$20:$V$6999,16,0),"")</f>
        <v>28.895</v>
      </c>
      <c r="J33" s="358">
        <f>IF(C33&lt;&gt;"",IF(VLOOKUP(C33,HAB.EXP.ESP.!$C$27:$N$226,4,0)="NO CUMPLE",0,IF(E33="HÁBIL",IF(I33&lt;=PORPMFOMOD,ROUND(PTJEEXPESP2-(PTJEEXPESP2/(POWER(PORPMFOMOD,2)))*(POWER(I33-PORPMFOMOD,2)),3),IF(OR(I33&gt;=$I$21,ROUND((I33/PMFOMOD),3)&gt;=RELACIONPO),0,ROUND(PTJEEXPESP2-(1/$I$20)*(PTJEEXPESP2/(POWER(PORPMFOMOD,2)))*(POWER(I33-PORPMFOMOD,2)),3))),0)),"")</f>
        <v>0</v>
      </c>
    </row>
    <row r="34" spans="2:10" ht="13.5">
      <c r="B34" s="231">
        <v>5</v>
      </c>
      <c r="C34" s="129"/>
      <c r="D34" s="130"/>
      <c r="E34" s="135"/>
      <c r="F34" s="245"/>
      <c r="G34" s="342"/>
      <c r="H34" s="342"/>
      <c r="I34" s="352"/>
      <c r="J34" s="358"/>
    </row>
    <row r="35" spans="2:10" ht="13.5">
      <c r="B35" s="231">
        <v>6</v>
      </c>
      <c r="C35" s="129"/>
      <c r="D35" s="130"/>
      <c r="E35" s="135"/>
      <c r="F35" s="245"/>
      <c r="G35" s="342"/>
      <c r="H35" s="342"/>
      <c r="I35" s="352"/>
      <c r="J35" s="358"/>
    </row>
    <row r="36" spans="2:10" ht="13.5">
      <c r="B36" s="230">
        <v>7</v>
      </c>
      <c r="C36" s="129"/>
      <c r="D36" s="130"/>
      <c r="E36" s="135"/>
      <c r="F36" s="245"/>
      <c r="G36" s="342"/>
      <c r="H36" s="342"/>
      <c r="I36" s="352"/>
      <c r="J36" s="358"/>
    </row>
    <row r="37" spans="2:10" ht="13.5">
      <c r="B37" s="231">
        <v>8</v>
      </c>
      <c r="C37" s="129"/>
      <c r="D37" s="130"/>
      <c r="E37" s="135"/>
      <c r="F37" s="245"/>
      <c r="G37" s="342"/>
      <c r="H37" s="342"/>
      <c r="I37" s="352"/>
      <c r="J37" s="358"/>
    </row>
    <row r="38" spans="2:10" ht="13.5">
      <c r="B38" s="231">
        <v>9</v>
      </c>
      <c r="C38" s="129"/>
      <c r="D38" s="130"/>
      <c r="E38" s="135"/>
      <c r="F38" s="245"/>
      <c r="G38" s="342"/>
      <c r="H38" s="342"/>
      <c r="I38" s="352"/>
      <c r="J38" s="358"/>
    </row>
    <row r="39" spans="2:10" ht="13.5">
      <c r="B39" s="230">
        <v>10</v>
      </c>
      <c r="C39" s="129"/>
      <c r="D39" s="130"/>
      <c r="E39" s="135"/>
      <c r="F39" s="245"/>
      <c r="G39" s="342"/>
      <c r="H39" s="342"/>
      <c r="I39" s="352"/>
      <c r="J39" s="358"/>
    </row>
    <row r="40" spans="2:10" ht="13.5">
      <c r="B40" s="231">
        <v>11</v>
      </c>
      <c r="C40" s="129"/>
      <c r="D40" s="130"/>
      <c r="E40" s="135"/>
      <c r="F40" s="245"/>
      <c r="G40" s="342"/>
      <c r="H40" s="342"/>
      <c r="I40" s="352"/>
      <c r="J40" s="358"/>
    </row>
    <row r="41" spans="2:10" ht="13.5">
      <c r="B41" s="231">
        <v>12</v>
      </c>
      <c r="C41" s="129"/>
      <c r="D41" s="130"/>
      <c r="E41" s="135"/>
      <c r="F41" s="245"/>
      <c r="G41" s="342"/>
      <c r="H41" s="342"/>
      <c r="I41" s="352"/>
      <c r="J41" s="358"/>
    </row>
    <row r="42" spans="2:10" ht="13.5">
      <c r="B42" s="230">
        <v>13</v>
      </c>
      <c r="C42" s="129"/>
      <c r="D42" s="130"/>
      <c r="E42" s="135"/>
      <c r="F42" s="245"/>
      <c r="G42" s="342"/>
      <c r="H42" s="342"/>
      <c r="I42" s="352"/>
      <c r="J42" s="358"/>
    </row>
    <row r="43" spans="2:10" ht="13.5">
      <c r="B43" s="231">
        <v>14</v>
      </c>
      <c r="C43" s="129"/>
      <c r="D43" s="130"/>
      <c r="E43" s="135"/>
      <c r="F43" s="245"/>
      <c r="G43" s="342"/>
      <c r="H43" s="342"/>
      <c r="I43" s="352"/>
      <c r="J43" s="358"/>
    </row>
    <row r="44" spans="2:10" ht="13.5" hidden="1">
      <c r="B44" s="231">
        <v>15</v>
      </c>
      <c r="C44" s="129" t="e">
        <f>IF(VLOOKUP(B44,PROPONENTES!$B$19:$E$219,2,0)="","",VLOOKUP(B44,PROPONENTES!$B$19:$E$219,2,0))</f>
        <v>#N/A</v>
      </c>
      <c r="D44" s="130" t="e">
        <f>IF(VLOOKUP(B44,PROPONENTES!$B$19:$E$218,3,0)="","",VLOOKUP(B44,PROPONENTES!$B$19:$E$218,3,0))</f>
        <v>#N/A</v>
      </c>
      <c r="E44" s="135" t="e">
        <f>IF(C44&lt;&gt;"",VLOOKUP(C44,HAB.EXP.ESP.!$C$27:$N$226,12),"")</f>
        <v>#N/A</v>
      </c>
      <c r="F44" s="245" t="e">
        <f>IF(C44&lt;&gt;"",VLOOKUP("M"&amp;C44,'EXP. ESP.'!$A$20:$V$6999,17,0),"")</f>
        <v>#N/A</v>
      </c>
      <c r="G44" s="342" t="e">
        <f>IF(C44&lt;&gt;"",VLOOKUP("P"&amp;C44,'EXP. ESP.'!$A$20:$V$6999,16,0),"")</f>
        <v>#N/A</v>
      </c>
      <c r="H44" s="342" t="e">
        <f>IF(C44&lt;&gt;"",IF(VLOOKUP(C44,HAB.EXP.ESP.!$C$27:$N$226,4,0)="NO CUMPLE",0,IF(E44="HÁBIL",IF(G44&lt;PPHMOD,ROUND((PTJEEXPESP1*(G44/PPHMOD)),3),IF(OR(ROUND(PTJEEXPESP1*(((3*PPHMOD)-G44)/(2*PPHMOD)),3)&lt;=0,G44&gt;=(3*PLAZOMOD)),0,ROUND(PTJEEXPESP1*(((3*PPHMOD)-G44)/(2*PPHMOD)),3))),0)),"")</f>
        <v>#N/A</v>
      </c>
      <c r="I44" s="352" t="e">
        <f>IF(C44&lt;&gt;"",VLOOKUP("S"&amp;C44,'EXP. ESP.'!$A$20:$V$6999,16,0),"")</f>
        <v>#N/A</v>
      </c>
      <c r="J44" s="358" t="e">
        <f>IF(C44&lt;&gt;"",IF(VLOOKUP(C44,HAB.EXP.ESP.!$C$27:$N$226,4,0)="NO CUMPLE",0,IF(E44="HÁBIL",IF(I44&lt;=PORPMFOMOD,ROUND(PTJEEXPESP2-(PTJEEXPESP2/(POWER(PORPMFOMOD,2)))*(POWER(I44-PORPMFOMOD,2)),3),IF(OR(I44&gt;=$I$21,ROUND((I44/PMFOMOD),3)&gt;=RELACIONPO),0,ROUND(PTJEEXPESP2-(1/$I$20)*(PTJEEXPESP2/(POWER(PORPMFOMOD,2)))*(POWER(I44-PORPMFOMOD,2)),3))),0)),"")</f>
        <v>#N/A</v>
      </c>
    </row>
    <row r="45" spans="2:10" ht="13.5" hidden="1">
      <c r="B45" s="230">
        <v>16</v>
      </c>
      <c r="C45" s="129" t="e">
        <f>IF(VLOOKUP(B45,PROPONENTES!$B$19:$E$219,2,0)="","",VLOOKUP(B45,PROPONENTES!$B$19:$E$219,2,0))</f>
        <v>#N/A</v>
      </c>
      <c r="D45" s="130" t="e">
        <f>IF(VLOOKUP(B45,PROPONENTES!$B$19:$E$218,3,0)="","",VLOOKUP(B45,PROPONENTES!$B$19:$E$218,3,0))</f>
        <v>#N/A</v>
      </c>
      <c r="E45" s="135" t="e">
        <f>IF(C45&lt;&gt;"",VLOOKUP(C45,HAB.EXP.ESP.!$C$27:$N$226,12),"")</f>
        <v>#N/A</v>
      </c>
      <c r="F45" s="245" t="e">
        <f>IF(C45&lt;&gt;"",VLOOKUP("M"&amp;C45,'EXP. ESP.'!$A$20:$V$6999,17,0),"")</f>
        <v>#N/A</v>
      </c>
      <c r="G45" s="342" t="e">
        <f>IF(C45&lt;&gt;"",VLOOKUP("P"&amp;C45,'EXP. ESP.'!$A$20:$V$6999,16,0),"")</f>
        <v>#N/A</v>
      </c>
      <c r="H45" s="342" t="e">
        <f>IF(C45&lt;&gt;"",IF(VLOOKUP(C45,HAB.EXP.ESP.!$C$27:$N$226,4,0)="NO CUMPLE",0,IF(E45="HÁBIL",IF(G45&lt;PPHMOD,ROUND((PTJEEXPESP1*(G45/PPHMOD)),3),IF(OR(ROUND(PTJEEXPESP1*(((3*PPHMOD)-G45)/(2*PPHMOD)),3)&lt;=0,G45&gt;=(3*PLAZOMOD)),0,ROUND(PTJEEXPESP1*(((3*PPHMOD)-G45)/(2*PPHMOD)),3))),0)),"")</f>
        <v>#N/A</v>
      </c>
      <c r="I45" s="352" t="e">
        <f>IF(C45&lt;&gt;"",VLOOKUP("S"&amp;C45,'EXP. ESP.'!$A$20:$V$6999,16,0),"")</f>
        <v>#N/A</v>
      </c>
      <c r="J45" s="358" t="e">
        <f>IF(C45&lt;&gt;"",IF(VLOOKUP(C45,HAB.EXP.ESP.!$C$27:$N$226,4,0)="NO CUMPLE",0,IF(E45="HÁBIL",IF(I45&lt;=PORPMFOMOD,ROUND(PTJEEXPESP2-(PTJEEXPESP2/(POWER(PORPMFOMOD,2)))*(POWER(I45-PORPMFOMOD,2)),3),IF(OR(I45&gt;=$I$21,ROUND((I45/PMFOMOD),3)&gt;=RELACIONPO),0,ROUND(PTJEEXPESP2-(1/$I$20)*(PTJEEXPESP2/(POWER(PORPMFOMOD,2)))*(POWER(I45-PORPMFOMOD,2)),3))),0)),"")</f>
        <v>#N/A</v>
      </c>
    </row>
    <row r="46" spans="2:10" ht="13.5" hidden="1">
      <c r="B46" s="231">
        <v>17</v>
      </c>
      <c r="C46" s="129" t="e">
        <f>IF(VLOOKUP(B46,PROPONENTES!$B$19:$E$219,2,0)="","",VLOOKUP(B46,PROPONENTES!$B$19:$E$219,2,0))</f>
        <v>#N/A</v>
      </c>
      <c r="D46" s="130" t="e">
        <f>IF(VLOOKUP(B46,PROPONENTES!$B$19:$E$218,3,0)="","",VLOOKUP(B46,PROPONENTES!$B$19:$E$218,3,0))</f>
        <v>#N/A</v>
      </c>
      <c r="E46" s="135" t="e">
        <f>IF(C46&lt;&gt;"",VLOOKUP(C46,HAB.EXP.ESP.!$C$27:$N$226,12),"")</f>
        <v>#N/A</v>
      </c>
      <c r="F46" s="245" t="e">
        <f>IF(C46&lt;&gt;"",VLOOKUP("M"&amp;C46,'EXP. ESP.'!$A$20:$V$6999,17,0),"")</f>
        <v>#N/A</v>
      </c>
      <c r="G46" s="342" t="e">
        <f>IF(C46&lt;&gt;"",VLOOKUP("P"&amp;C46,'EXP. ESP.'!$A$20:$V$6999,16,0),"")</f>
        <v>#N/A</v>
      </c>
      <c r="H46" s="342" t="e">
        <f>IF(C46&lt;&gt;"",IF(VLOOKUP(C46,HAB.EXP.ESP.!$C$27:$N$226,4,0)="NO CUMPLE",0,IF(E46="HÁBIL",IF(G46&lt;PPHMOD,ROUND((PTJEEXPESP1*(G46/PPHMOD)),3),IF(OR(ROUND(PTJEEXPESP1*(((3*PPHMOD)-G46)/(2*PPHMOD)),3)&lt;=0,G46&gt;=(3*PLAZOMOD)),0,ROUND(PTJEEXPESP1*(((3*PPHMOD)-G46)/(2*PPHMOD)),3))),0)),"")</f>
        <v>#N/A</v>
      </c>
      <c r="I46" s="352" t="e">
        <f>IF(C46&lt;&gt;"",VLOOKUP("S"&amp;C46,'EXP. ESP.'!$A$20:$V$6999,16,0),"")</f>
        <v>#N/A</v>
      </c>
      <c r="J46" s="358" t="e">
        <f>IF(C46&lt;&gt;"",IF(VLOOKUP(C46,HAB.EXP.ESP.!$C$27:$N$226,4,0)="NO CUMPLE",0,IF(E46="HÁBIL",IF(I46&lt;=PORPMFOMOD,ROUND(PTJEEXPESP2-(PTJEEXPESP2/(POWER(PORPMFOMOD,2)))*(POWER(I46-PORPMFOMOD,2)),3),IF(OR(I46&gt;=$I$21,ROUND((I46/PMFOMOD),3)&gt;=RELACIONPO),0,ROUND(PTJEEXPESP2-(1/$I$20)*(PTJEEXPESP2/(POWER(PORPMFOMOD,2)))*(POWER(I46-PORPMFOMOD,2)),3))),0)),"")</f>
        <v>#N/A</v>
      </c>
    </row>
    <row r="47" spans="2:10" ht="13.5" hidden="1">
      <c r="B47" s="231">
        <v>18</v>
      </c>
      <c r="C47" s="129" t="e">
        <f>IF(VLOOKUP(B47,PROPONENTES!$B$19:$E$219,2,0)="","",VLOOKUP(B47,PROPONENTES!$B$19:$E$219,2,0))</f>
        <v>#N/A</v>
      </c>
      <c r="D47" s="130" t="e">
        <f>IF(VLOOKUP(B47,PROPONENTES!$B$19:$E$218,3,0)="","",VLOOKUP(B47,PROPONENTES!$B$19:$E$218,3,0))</f>
        <v>#N/A</v>
      </c>
      <c r="E47" s="135" t="e">
        <f>IF(C47&lt;&gt;"",VLOOKUP(C47,HAB.EXP.ESP.!$C$27:$N$226,12),"")</f>
        <v>#N/A</v>
      </c>
      <c r="F47" s="245" t="e">
        <f>IF(C47&lt;&gt;"",VLOOKUP("M"&amp;C47,'EXP. ESP.'!$A$20:$V$6999,17,0),"")</f>
        <v>#N/A</v>
      </c>
      <c r="G47" s="342" t="e">
        <f>IF(C47&lt;&gt;"",VLOOKUP("P"&amp;C47,'EXP. ESP.'!$A$20:$V$6999,16,0),"")</f>
        <v>#N/A</v>
      </c>
      <c r="H47" s="342" t="e">
        <f>IF(C47&lt;&gt;"",IF(VLOOKUP(C47,HAB.EXP.ESP.!$C$27:$N$226,4,0)="NO CUMPLE",0,IF(E47="HÁBIL",IF(G47&lt;PPHMOD,ROUND((PTJEEXPESP1*(G47/PPHMOD)),3),IF(OR(ROUND(PTJEEXPESP1*(((3*PPHMOD)-G47)/(2*PPHMOD)),3)&lt;=0,G47&gt;=(3*PLAZOMOD)),0,ROUND(PTJEEXPESP1*(((3*PPHMOD)-G47)/(2*PPHMOD)),3))),0)),"")</f>
        <v>#N/A</v>
      </c>
      <c r="I47" s="352" t="e">
        <f>IF(C47&lt;&gt;"",VLOOKUP("S"&amp;C47,'EXP. ESP.'!$A$20:$V$6999,16,0),"")</f>
        <v>#N/A</v>
      </c>
      <c r="J47" s="358" t="e">
        <f>IF(C47&lt;&gt;"",IF(VLOOKUP(C47,HAB.EXP.ESP.!$C$27:$N$226,4,0)="NO CUMPLE",0,IF(E47="HÁBIL",IF(I47&lt;=PORPMFOMOD,ROUND(PTJEEXPESP2-(PTJEEXPESP2/(POWER(PORPMFOMOD,2)))*(POWER(I47-PORPMFOMOD,2)),3),IF(OR(I47&gt;=$I$21,ROUND((I47/PMFOMOD),3)&gt;=RELACIONPO),0,ROUND(PTJEEXPESP2-(1/$I$20)*(PTJEEXPESP2/(POWER(PORPMFOMOD,2)))*(POWER(I47-PORPMFOMOD,2)),3))),0)),"")</f>
        <v>#N/A</v>
      </c>
    </row>
    <row r="48" spans="2:10" ht="13.5" hidden="1">
      <c r="B48" s="230">
        <v>19</v>
      </c>
      <c r="C48" s="129" t="e">
        <f>IF(VLOOKUP(B48,PROPONENTES!$B$19:$E$219,2,0)="","",VLOOKUP(B48,PROPONENTES!$B$19:$E$219,2,0))</f>
        <v>#N/A</v>
      </c>
      <c r="D48" s="130" t="e">
        <f>IF(VLOOKUP(B48,PROPONENTES!$B$19:$E$218,3,0)="","",VLOOKUP(B48,PROPONENTES!$B$19:$E$218,3,0))</f>
        <v>#N/A</v>
      </c>
      <c r="E48" s="135" t="e">
        <f>IF(C48&lt;&gt;"",VLOOKUP(C48,HAB.EXP.ESP.!$C$27:$N$226,12),"")</f>
        <v>#N/A</v>
      </c>
      <c r="F48" s="245" t="e">
        <f>IF(C48&lt;&gt;"",VLOOKUP("M"&amp;C48,'EXP. ESP.'!$A$20:$V$6999,17,0),"")</f>
        <v>#N/A</v>
      </c>
      <c r="G48" s="342" t="e">
        <f>IF(C48&lt;&gt;"",VLOOKUP("P"&amp;C48,'EXP. ESP.'!$A$20:$V$6999,16,0),"")</f>
        <v>#N/A</v>
      </c>
      <c r="H48" s="342" t="e">
        <f>IF(C48&lt;&gt;"",IF(VLOOKUP(C48,HAB.EXP.ESP.!$C$27:$N$226,4,0)="NO CUMPLE",0,IF(E48="HÁBIL",IF(G48&lt;PPHMOD,ROUND((PTJEEXPESP1*(G48/PPHMOD)),3),IF(OR(ROUND(PTJEEXPESP1*(((3*PPHMOD)-G48)/(2*PPHMOD)),3)&lt;=0,G48&gt;=(3*PLAZOMOD)),0,ROUND(PTJEEXPESP1*(((3*PPHMOD)-G48)/(2*PPHMOD)),3))),0)),"")</f>
        <v>#N/A</v>
      </c>
      <c r="I48" s="352" t="e">
        <f>IF(C48&lt;&gt;"",VLOOKUP("S"&amp;C48,'EXP. ESP.'!$A$20:$V$6999,16,0),"")</f>
        <v>#N/A</v>
      </c>
      <c r="J48" s="358" t="e">
        <f>IF(C48&lt;&gt;"",IF(VLOOKUP(C48,HAB.EXP.ESP.!$C$27:$N$226,4,0)="NO CUMPLE",0,IF(E48="HÁBIL",IF(I48&lt;=PORPMFOMOD,ROUND(PTJEEXPESP2-(PTJEEXPESP2/(POWER(PORPMFOMOD,2)))*(POWER(I48-PORPMFOMOD,2)),3),IF(OR(I48&gt;=$I$21,ROUND((I48/PMFOMOD),3)&gt;=RELACIONPO),0,ROUND(PTJEEXPESP2-(1/$I$20)*(PTJEEXPESP2/(POWER(PORPMFOMOD,2)))*(POWER(I48-PORPMFOMOD,2)),3))),0)),"")</f>
        <v>#N/A</v>
      </c>
    </row>
    <row r="49" spans="2:10" ht="13.5" hidden="1">
      <c r="B49" s="231">
        <v>20</v>
      </c>
      <c r="C49" s="129" t="e">
        <f>IF(VLOOKUP(B49,PROPONENTES!$B$19:$E$219,2,0)="","",VLOOKUP(B49,PROPONENTES!$B$19:$E$219,2,0))</f>
        <v>#N/A</v>
      </c>
      <c r="D49" s="130" t="e">
        <f>IF(VLOOKUP(B49,PROPONENTES!$B$19:$E$218,3,0)="","",VLOOKUP(B49,PROPONENTES!$B$19:$E$218,3,0))</f>
        <v>#N/A</v>
      </c>
      <c r="E49" s="135" t="e">
        <f>IF(C49&lt;&gt;"",VLOOKUP(C49,HAB.EXP.ESP.!$C$27:$N$226,12),"")</f>
        <v>#N/A</v>
      </c>
      <c r="F49" s="245" t="e">
        <f>IF(C49&lt;&gt;"",VLOOKUP("M"&amp;C49,'EXP. ESP.'!$A$20:$V$6999,17,0),"")</f>
        <v>#N/A</v>
      </c>
      <c r="G49" s="342" t="e">
        <f>IF(C49&lt;&gt;"",VLOOKUP("P"&amp;C49,'EXP. ESP.'!$A$20:$V$6999,16,0),"")</f>
        <v>#N/A</v>
      </c>
      <c r="H49" s="342" t="e">
        <f>IF(C49&lt;&gt;"",IF(VLOOKUP(C49,HAB.EXP.ESP.!$C$27:$N$226,4,0)="NO CUMPLE",0,IF(E49="HÁBIL",IF(G49&lt;PPHMOD,ROUND((PTJEEXPESP1*(G49/PPHMOD)),3),IF(OR(ROUND(PTJEEXPESP1*(((3*PPHMOD)-G49)/(2*PPHMOD)),3)&lt;=0,G49&gt;=(3*PLAZOMOD)),0,ROUND(PTJEEXPESP1*(((3*PPHMOD)-G49)/(2*PPHMOD)),3))),0)),"")</f>
        <v>#N/A</v>
      </c>
      <c r="I49" s="352" t="e">
        <f>IF(C49&lt;&gt;"",VLOOKUP("S"&amp;C49,'EXP. ESP.'!$A$20:$V$6999,16,0),"")</f>
        <v>#N/A</v>
      </c>
      <c r="J49" s="358" t="e">
        <f>IF(C49&lt;&gt;"",IF(VLOOKUP(C49,HAB.EXP.ESP.!$C$27:$N$226,4,0)="NO CUMPLE",0,IF(E49="HÁBIL",IF(I49&lt;=PORPMFOMOD,ROUND(PTJEEXPESP2-(PTJEEXPESP2/(POWER(PORPMFOMOD,2)))*(POWER(I49-PORPMFOMOD,2)),3),IF(OR(I49&gt;=$I$21,ROUND((I49/PMFOMOD),3)&gt;=RELACIONPO),0,ROUND(PTJEEXPESP2-(1/$I$20)*(PTJEEXPESP2/(POWER(PORPMFOMOD,2)))*(POWER(I49-PORPMFOMOD,2)),3))),0)),"")</f>
        <v>#N/A</v>
      </c>
    </row>
    <row r="50" spans="2:10" ht="13.5" hidden="1">
      <c r="B50" s="231">
        <v>21</v>
      </c>
      <c r="C50" s="129" t="e">
        <f>IF(VLOOKUP(B50,PROPONENTES!$B$19:$E$219,2,0)="","",VLOOKUP(B50,PROPONENTES!$B$19:$E$219,2,0))</f>
        <v>#N/A</v>
      </c>
      <c r="D50" s="130" t="e">
        <f>IF(VLOOKUP(B50,PROPONENTES!$B$19:$E$218,3,0)="","",VLOOKUP(B50,PROPONENTES!$B$19:$E$218,3,0))</f>
        <v>#N/A</v>
      </c>
      <c r="E50" s="135" t="e">
        <f>IF(C50&lt;&gt;"",VLOOKUP(C50,HAB.EXP.ESP.!$C$27:$N$226,12),"")</f>
        <v>#N/A</v>
      </c>
      <c r="F50" s="245" t="e">
        <f>IF(C50&lt;&gt;"",VLOOKUP("M"&amp;C50,'EXP. ESP.'!$A$20:$V$6999,17,0),"")</f>
        <v>#N/A</v>
      </c>
      <c r="G50" s="342" t="e">
        <f>IF(C50&lt;&gt;"",VLOOKUP("P"&amp;C50,'EXP. ESP.'!$A$20:$V$6999,16,0),"")</f>
        <v>#N/A</v>
      </c>
      <c r="H50" s="342" t="e">
        <f>IF(C50&lt;&gt;"",IF(VLOOKUP(C50,HAB.EXP.ESP.!$C$27:$N$226,4,0)="NO CUMPLE",0,IF(E50="HÁBIL",IF(G50&lt;PPHMOD,ROUND((PTJEEXPESP1*(G50/PPHMOD)),3),IF(OR(ROUND(PTJEEXPESP1*(((3*PPHMOD)-G50)/(2*PPHMOD)),3)&lt;=0,G50&gt;=(3*PLAZOMOD)),0,ROUND(PTJEEXPESP1*(((3*PPHMOD)-G50)/(2*PPHMOD)),3))),0)),"")</f>
        <v>#N/A</v>
      </c>
      <c r="I50" s="352" t="e">
        <f>IF(C50&lt;&gt;"",VLOOKUP("S"&amp;C50,'EXP. ESP.'!$A$20:$V$6999,16,0),"")</f>
        <v>#N/A</v>
      </c>
      <c r="J50" s="358" t="e">
        <f>IF(C50&lt;&gt;"",IF(VLOOKUP(C50,HAB.EXP.ESP.!$C$27:$N$226,4,0)="NO CUMPLE",0,IF(E50="HÁBIL",IF(I50&lt;=PORPMFOMOD,ROUND(PTJEEXPESP2-(PTJEEXPESP2/(POWER(PORPMFOMOD,2)))*(POWER(I50-PORPMFOMOD,2)),3),IF(OR(I50&gt;=$I$21,ROUND((I50/PMFOMOD),3)&gt;=RELACIONPO),0,ROUND(PTJEEXPESP2-(1/$I$20)*(PTJEEXPESP2/(POWER(PORPMFOMOD,2)))*(POWER(I50-PORPMFOMOD,2)),3))),0)),"")</f>
        <v>#N/A</v>
      </c>
    </row>
    <row r="51" spans="2:10" ht="13.5" hidden="1">
      <c r="B51" s="230">
        <v>22</v>
      </c>
      <c r="C51" s="129" t="e">
        <f>IF(VLOOKUP(B51,PROPONENTES!$B$19:$E$219,2,0)="","",VLOOKUP(B51,PROPONENTES!$B$19:$E$219,2,0))</f>
        <v>#N/A</v>
      </c>
      <c r="D51" s="130" t="e">
        <f>IF(VLOOKUP(B51,PROPONENTES!$B$19:$E$218,3,0)="","",VLOOKUP(B51,PROPONENTES!$B$19:$E$218,3,0))</f>
        <v>#N/A</v>
      </c>
      <c r="E51" s="135" t="e">
        <f>IF(C51&lt;&gt;"",VLOOKUP(C51,HAB.EXP.ESP.!$C$27:$N$226,12),"")</f>
        <v>#N/A</v>
      </c>
      <c r="F51" s="245" t="e">
        <f>IF(C51&lt;&gt;"",VLOOKUP("M"&amp;C51,'EXP. ESP.'!$A$20:$V$6999,17,0),"")</f>
        <v>#N/A</v>
      </c>
      <c r="G51" s="342" t="e">
        <f>IF(C51&lt;&gt;"",VLOOKUP("P"&amp;C51,'EXP. ESP.'!$A$20:$V$6999,16,0),"")</f>
        <v>#N/A</v>
      </c>
      <c r="H51" s="342" t="e">
        <f>IF(C51&lt;&gt;"",IF(VLOOKUP(C51,HAB.EXP.ESP.!$C$27:$N$226,4,0)="NO CUMPLE",0,IF(E51="HÁBIL",IF(G51&lt;PPHMOD,ROUND((PTJEEXPESP1*(G51/PPHMOD)),3),IF(OR(ROUND(PTJEEXPESP1*(((3*PPHMOD)-G51)/(2*PPHMOD)),3)&lt;=0,G51&gt;=(3*PLAZOMOD)),0,ROUND(PTJEEXPESP1*(((3*PPHMOD)-G51)/(2*PPHMOD)),3))),0)),"")</f>
        <v>#N/A</v>
      </c>
      <c r="I51" s="352" t="e">
        <f>IF(C51&lt;&gt;"",VLOOKUP("S"&amp;C51,'EXP. ESP.'!$A$20:$V$6999,16,0),"")</f>
        <v>#N/A</v>
      </c>
      <c r="J51" s="358" t="e">
        <f>IF(C51&lt;&gt;"",IF(VLOOKUP(C51,HAB.EXP.ESP.!$C$27:$N$226,4,0)="NO CUMPLE",0,IF(E51="HÁBIL",IF(I51&lt;=PORPMFOMOD,ROUND(PTJEEXPESP2-(PTJEEXPESP2/(POWER(PORPMFOMOD,2)))*(POWER(I51-PORPMFOMOD,2)),3),IF(OR(I51&gt;=$I$21,ROUND((I51/PMFOMOD),3)&gt;=RELACIONPO),0,ROUND(PTJEEXPESP2-(1/$I$20)*(PTJEEXPESP2/(POWER(PORPMFOMOD,2)))*(POWER(I51-PORPMFOMOD,2)),3))),0)),"")</f>
        <v>#N/A</v>
      </c>
    </row>
    <row r="52" spans="2:10" ht="13.5" hidden="1">
      <c r="B52" s="231">
        <v>23</v>
      </c>
      <c r="C52" s="129" t="e">
        <f>IF(VLOOKUP(B52,PROPONENTES!$B$19:$E$219,2,0)="","",VLOOKUP(B52,PROPONENTES!$B$19:$E$219,2,0))</f>
        <v>#N/A</v>
      </c>
      <c r="D52" s="130" t="e">
        <f>IF(VLOOKUP(B52,PROPONENTES!$B$19:$E$218,3,0)="","",VLOOKUP(B52,PROPONENTES!$B$19:$E$218,3,0))</f>
        <v>#N/A</v>
      </c>
      <c r="E52" s="135" t="e">
        <f>IF(C52&lt;&gt;"",VLOOKUP(C52,HAB.EXP.ESP.!$C$27:$N$226,12),"")</f>
        <v>#N/A</v>
      </c>
      <c r="F52" s="245" t="e">
        <f>IF(C52&lt;&gt;"",VLOOKUP("M"&amp;C52,'EXP. ESP.'!$A$20:$V$6999,17,0),"")</f>
        <v>#N/A</v>
      </c>
      <c r="G52" s="342" t="e">
        <f>IF(C52&lt;&gt;"",VLOOKUP("P"&amp;C52,'EXP. ESP.'!$A$20:$V$6999,16,0),"")</f>
        <v>#N/A</v>
      </c>
      <c r="H52" s="342" t="e">
        <f>IF(C52&lt;&gt;"",IF(VLOOKUP(C52,HAB.EXP.ESP.!$C$27:$N$226,4,0)="NO CUMPLE",0,IF(E52="HÁBIL",IF(G52&lt;PPHMOD,ROUND((PTJEEXPESP1*(G52/PPHMOD)),3),IF(OR(ROUND(PTJEEXPESP1*(((3*PPHMOD)-G52)/(2*PPHMOD)),3)&lt;=0,G52&gt;=(3*PLAZOMOD)),0,ROUND(PTJEEXPESP1*(((3*PPHMOD)-G52)/(2*PPHMOD)),3))),0)),"")</f>
        <v>#N/A</v>
      </c>
      <c r="I52" s="352" t="e">
        <f>IF(C52&lt;&gt;"",VLOOKUP("S"&amp;C52,'EXP. ESP.'!$A$20:$V$6999,16,0),"")</f>
        <v>#N/A</v>
      </c>
      <c r="J52" s="358" t="e">
        <f>IF(C52&lt;&gt;"",IF(VLOOKUP(C52,HAB.EXP.ESP.!$C$27:$N$226,4,0)="NO CUMPLE",0,IF(E52="HÁBIL",IF(I52&lt;=PORPMFOMOD,ROUND(PTJEEXPESP2-(PTJEEXPESP2/(POWER(PORPMFOMOD,2)))*(POWER(I52-PORPMFOMOD,2)),3),IF(OR(I52&gt;=$I$21,ROUND((I52/PMFOMOD),3)&gt;=RELACIONPO),0,ROUND(PTJEEXPESP2-(1/$I$20)*(PTJEEXPESP2/(POWER(PORPMFOMOD,2)))*(POWER(I52-PORPMFOMOD,2)),3))),0)),"")</f>
        <v>#N/A</v>
      </c>
    </row>
    <row r="53" spans="2:10" ht="13.5" hidden="1">
      <c r="B53" s="231">
        <v>24</v>
      </c>
      <c r="C53" s="129" t="e">
        <f>IF(VLOOKUP(B53,PROPONENTES!$B$19:$E$219,2,0)="","",VLOOKUP(B53,PROPONENTES!$B$19:$E$219,2,0))</f>
        <v>#N/A</v>
      </c>
      <c r="D53" s="130" t="e">
        <f>IF(VLOOKUP(B53,PROPONENTES!$B$19:$E$218,3,0)="","",VLOOKUP(B53,PROPONENTES!$B$19:$E$218,3,0))</f>
        <v>#N/A</v>
      </c>
      <c r="E53" s="135" t="e">
        <f>IF(C53&lt;&gt;"",VLOOKUP(C53,HAB.EXP.ESP.!$C$27:$N$226,12),"")</f>
        <v>#N/A</v>
      </c>
      <c r="F53" s="245" t="e">
        <f>IF(C53&lt;&gt;"",VLOOKUP("M"&amp;C53,'EXP. ESP.'!$A$20:$V$6999,17,0),"")</f>
        <v>#N/A</v>
      </c>
      <c r="G53" s="342" t="e">
        <f>IF(C53&lt;&gt;"",VLOOKUP("P"&amp;C53,'EXP. ESP.'!$A$20:$V$6999,16,0),"")</f>
        <v>#N/A</v>
      </c>
      <c r="H53" s="342" t="e">
        <f>IF(C53&lt;&gt;"",IF(VLOOKUP(C53,HAB.EXP.ESP.!$C$27:$N$226,4,0)="NO CUMPLE",0,IF(E53="HÁBIL",IF(G53&lt;PPHMOD,ROUND((PTJEEXPESP1*(G53/PPHMOD)),3),IF(OR(ROUND(PTJEEXPESP1*(((3*PPHMOD)-G53)/(2*PPHMOD)),3)&lt;=0,G53&gt;=(3*PLAZOMOD)),0,ROUND(PTJEEXPESP1*(((3*PPHMOD)-G53)/(2*PPHMOD)),3))),0)),"")</f>
        <v>#N/A</v>
      </c>
      <c r="I53" s="352" t="e">
        <f>IF(C53&lt;&gt;"",VLOOKUP("S"&amp;C53,'EXP. ESP.'!$A$20:$V$6999,16,0),"")</f>
        <v>#N/A</v>
      </c>
      <c r="J53" s="358" t="e">
        <f>IF(C53&lt;&gt;"",IF(VLOOKUP(C53,HAB.EXP.ESP.!$C$27:$N$226,4,0)="NO CUMPLE",0,IF(E53="HÁBIL",IF(I53&lt;=PORPMFOMOD,ROUND(PTJEEXPESP2-(PTJEEXPESP2/(POWER(PORPMFOMOD,2)))*(POWER(I53-PORPMFOMOD,2)),3),IF(OR(I53&gt;=$I$21,ROUND((I53/PMFOMOD),3)&gt;=RELACIONPO),0,ROUND(PTJEEXPESP2-(1/$I$20)*(PTJEEXPESP2/(POWER(PORPMFOMOD,2)))*(POWER(I53-PORPMFOMOD,2)),3))),0)),"")</f>
        <v>#N/A</v>
      </c>
    </row>
    <row r="54" spans="2:10" ht="13.5" hidden="1">
      <c r="B54" s="230">
        <v>25</v>
      </c>
      <c r="C54" s="129" t="e">
        <f>IF(VLOOKUP(B54,PROPONENTES!$B$19:$E$219,2,0)="","",VLOOKUP(B54,PROPONENTES!$B$19:$E$219,2,0))</f>
        <v>#N/A</v>
      </c>
      <c r="D54" s="130" t="e">
        <f>IF(VLOOKUP(B54,PROPONENTES!$B$19:$E$218,3,0)="","",VLOOKUP(B54,PROPONENTES!$B$19:$E$218,3,0))</f>
        <v>#N/A</v>
      </c>
      <c r="E54" s="135" t="e">
        <f>IF(C54&lt;&gt;"",VLOOKUP(C54,HAB.EXP.ESP.!$C$27:$N$226,12),"")</f>
        <v>#N/A</v>
      </c>
      <c r="F54" s="245" t="e">
        <f>IF(C54&lt;&gt;"",VLOOKUP("M"&amp;C54,'EXP. ESP.'!$A$20:$V$6999,17,0),"")</f>
        <v>#N/A</v>
      </c>
      <c r="G54" s="342" t="e">
        <f>IF(C54&lt;&gt;"",VLOOKUP("P"&amp;C54,'EXP. ESP.'!$A$20:$V$6999,16,0),"")</f>
        <v>#N/A</v>
      </c>
      <c r="H54" s="342" t="e">
        <f>IF(C54&lt;&gt;"",IF(VLOOKUP(C54,HAB.EXP.ESP.!$C$27:$N$226,4,0)="NO CUMPLE",0,IF(E54="HÁBIL",IF(G54&lt;PPHMOD,ROUND((PTJEEXPESP1*(G54/PPHMOD)),3),IF(OR(ROUND(PTJEEXPESP1*(((3*PPHMOD)-G54)/(2*PPHMOD)),3)&lt;=0,G54&gt;=(3*PLAZOMOD)),0,ROUND(PTJEEXPESP1*(((3*PPHMOD)-G54)/(2*PPHMOD)),3))),0)),"")</f>
        <v>#N/A</v>
      </c>
      <c r="I54" s="352" t="e">
        <f>IF(C54&lt;&gt;"",VLOOKUP("S"&amp;C54,'EXP. ESP.'!$A$20:$V$6999,16,0),"")</f>
        <v>#N/A</v>
      </c>
      <c r="J54" s="358" t="e">
        <f>IF(C54&lt;&gt;"",IF(VLOOKUP(C54,HAB.EXP.ESP.!$C$27:$N$226,4,0)="NO CUMPLE",0,IF(E54="HÁBIL",IF(I54&lt;=PORPMFOMOD,ROUND(PTJEEXPESP2-(PTJEEXPESP2/(POWER(PORPMFOMOD,2)))*(POWER(I54-PORPMFOMOD,2)),3),IF(OR(I54&gt;=$I$21,ROUND((I54/PMFOMOD),3)&gt;=RELACIONPO),0,ROUND(PTJEEXPESP2-(1/$I$20)*(PTJEEXPESP2/(POWER(PORPMFOMOD,2)))*(POWER(I54-PORPMFOMOD,2)),3))),0)),"")</f>
        <v>#N/A</v>
      </c>
    </row>
    <row r="55" spans="2:10" ht="13.5" hidden="1">
      <c r="B55" s="231">
        <v>26</v>
      </c>
      <c r="C55" s="129" t="e">
        <f>IF(VLOOKUP(B55,PROPONENTES!$B$19:$E$219,2,0)="","",VLOOKUP(B55,PROPONENTES!$B$19:$E$219,2,0))</f>
        <v>#N/A</v>
      </c>
      <c r="D55" s="130" t="e">
        <f>IF(VLOOKUP(B55,PROPONENTES!$B$19:$E$218,3,0)="","",VLOOKUP(B55,PROPONENTES!$B$19:$E$218,3,0))</f>
        <v>#N/A</v>
      </c>
      <c r="E55" s="135" t="e">
        <f>IF(C55&lt;&gt;"",VLOOKUP(C55,HAB.EXP.ESP.!$C$27:$N$226,12),"")</f>
        <v>#N/A</v>
      </c>
      <c r="F55" s="245" t="e">
        <f>IF(C55&lt;&gt;"",VLOOKUP("M"&amp;C55,'EXP. ESP.'!$A$20:$V$6999,17,0),"")</f>
        <v>#N/A</v>
      </c>
      <c r="G55" s="342" t="e">
        <f>IF(C55&lt;&gt;"",VLOOKUP("P"&amp;C55,'EXP. ESP.'!$A$20:$V$6999,16,0),"")</f>
        <v>#N/A</v>
      </c>
      <c r="H55" s="342" t="e">
        <f>IF(C55&lt;&gt;"",IF(VLOOKUP(C55,HAB.EXP.ESP.!$C$27:$N$226,4,0)="NO CUMPLE",0,IF(E55="HÁBIL",IF(G55&lt;PPHMOD,ROUND((PTJEEXPESP1*(G55/PPHMOD)),3),IF(OR(ROUND(PTJEEXPESP1*(((3*PPHMOD)-G55)/(2*PPHMOD)),3)&lt;=0,G55&gt;=(3*PLAZOMOD)),0,ROUND(PTJEEXPESP1*(((3*PPHMOD)-G55)/(2*PPHMOD)),3))),0)),"")</f>
        <v>#N/A</v>
      </c>
      <c r="I55" s="352" t="e">
        <f>IF(C55&lt;&gt;"",VLOOKUP("S"&amp;C55,'EXP. ESP.'!$A$20:$V$6999,16,0),"")</f>
        <v>#N/A</v>
      </c>
      <c r="J55" s="358" t="e">
        <f>IF(C55&lt;&gt;"",IF(VLOOKUP(C55,HAB.EXP.ESP.!$C$27:$N$226,4,0)="NO CUMPLE",0,IF(E55="HÁBIL",IF(I55&lt;=PORPMFOMOD,ROUND(PTJEEXPESP2-(PTJEEXPESP2/(POWER(PORPMFOMOD,2)))*(POWER(I55-PORPMFOMOD,2)),3),IF(OR(I55&gt;=$I$21,ROUND((I55/PMFOMOD),3)&gt;=RELACIONPO),0,ROUND(PTJEEXPESP2-(1/$I$20)*(PTJEEXPESP2/(POWER(PORPMFOMOD,2)))*(POWER(I55-PORPMFOMOD,2)),3))),0)),"")</f>
        <v>#N/A</v>
      </c>
    </row>
    <row r="56" spans="2:10" ht="13.5" hidden="1">
      <c r="B56" s="231">
        <v>27</v>
      </c>
      <c r="C56" s="129" t="e">
        <f>IF(VLOOKUP(B56,PROPONENTES!$B$19:$E$219,2,0)="","",VLOOKUP(B56,PROPONENTES!$B$19:$E$219,2,0))</f>
        <v>#N/A</v>
      </c>
      <c r="D56" s="130" t="e">
        <f>IF(VLOOKUP(B56,PROPONENTES!$B$19:$E$218,3,0)="","",VLOOKUP(B56,PROPONENTES!$B$19:$E$218,3,0))</f>
        <v>#N/A</v>
      </c>
      <c r="E56" s="135" t="e">
        <f>IF(C56&lt;&gt;"",VLOOKUP(C56,HAB.EXP.ESP.!$C$27:$N$226,12),"")</f>
        <v>#N/A</v>
      </c>
      <c r="F56" s="245" t="e">
        <f>IF(C56&lt;&gt;"",VLOOKUP("M"&amp;C56,'EXP. ESP.'!$A$20:$V$6999,17,0),"")</f>
        <v>#N/A</v>
      </c>
      <c r="G56" s="342" t="e">
        <f>IF(C56&lt;&gt;"",VLOOKUP("P"&amp;C56,'EXP. ESP.'!$A$20:$V$6999,16,0),"")</f>
        <v>#N/A</v>
      </c>
      <c r="H56" s="342" t="e">
        <f>IF(C56&lt;&gt;"",IF(VLOOKUP(C56,HAB.EXP.ESP.!$C$27:$N$226,4,0)="NO CUMPLE",0,IF(E56="HÁBIL",IF(G56&lt;PPHMOD,ROUND((PTJEEXPESP1*(G56/PPHMOD)),3),IF(OR(ROUND(PTJEEXPESP1*(((3*PPHMOD)-G56)/(2*PPHMOD)),3)&lt;=0,G56&gt;=(3*PLAZOMOD)),0,ROUND(PTJEEXPESP1*(((3*PPHMOD)-G56)/(2*PPHMOD)),3))),0)),"")</f>
        <v>#N/A</v>
      </c>
      <c r="I56" s="352" t="e">
        <f>IF(C56&lt;&gt;"",VLOOKUP("S"&amp;C56,'EXP. ESP.'!$A$20:$V$6999,16,0),"")</f>
        <v>#N/A</v>
      </c>
      <c r="J56" s="358" t="e">
        <f>IF(C56&lt;&gt;"",IF(VLOOKUP(C56,HAB.EXP.ESP.!$C$27:$N$226,4,0)="NO CUMPLE",0,IF(E56="HÁBIL",IF(I56&lt;=PORPMFOMOD,ROUND(PTJEEXPESP2-(PTJEEXPESP2/(POWER(PORPMFOMOD,2)))*(POWER(I56-PORPMFOMOD,2)),3),IF(OR(I56&gt;=$I$21,ROUND((I56/PMFOMOD),3)&gt;=RELACIONPO),0,ROUND(PTJEEXPESP2-(1/$I$20)*(PTJEEXPESP2/(POWER(PORPMFOMOD,2)))*(POWER(I56-PORPMFOMOD,2)),3))),0)),"")</f>
        <v>#N/A</v>
      </c>
    </row>
    <row r="57" spans="2:10" ht="13.5" hidden="1">
      <c r="B57" s="230">
        <v>28</v>
      </c>
      <c r="C57" s="129" t="e">
        <f>IF(VLOOKUP(B57,PROPONENTES!$B$19:$E$219,2,0)="","",VLOOKUP(B57,PROPONENTES!$B$19:$E$219,2,0))</f>
        <v>#N/A</v>
      </c>
      <c r="D57" s="130" t="e">
        <f>IF(VLOOKUP(B57,PROPONENTES!$B$19:$E$218,3,0)="","",VLOOKUP(B57,PROPONENTES!$B$19:$E$218,3,0))</f>
        <v>#N/A</v>
      </c>
      <c r="E57" s="135" t="e">
        <f>IF(C57&lt;&gt;"",VLOOKUP(C57,HAB.EXP.ESP.!$C$27:$N$226,12),"")</f>
        <v>#N/A</v>
      </c>
      <c r="F57" s="245" t="e">
        <f>IF(C57&lt;&gt;"",VLOOKUP("M"&amp;C57,'EXP. ESP.'!$A$20:$V$6999,17,0),"")</f>
        <v>#N/A</v>
      </c>
      <c r="G57" s="342" t="e">
        <f>IF(C57&lt;&gt;"",VLOOKUP("P"&amp;C57,'EXP. ESP.'!$A$20:$V$6999,16,0),"")</f>
        <v>#N/A</v>
      </c>
      <c r="H57" s="342" t="e">
        <f>IF(C57&lt;&gt;"",IF(VLOOKUP(C57,HAB.EXP.ESP.!$C$27:$N$226,4,0)="NO CUMPLE",0,IF(E57="HÁBIL",IF(G57&lt;PPHMOD,ROUND((PTJEEXPESP1*(G57/PPHMOD)),3),IF(OR(ROUND(PTJEEXPESP1*(((3*PPHMOD)-G57)/(2*PPHMOD)),3)&lt;=0,G57&gt;=(3*PLAZOMOD)),0,ROUND(PTJEEXPESP1*(((3*PPHMOD)-G57)/(2*PPHMOD)),3))),0)),"")</f>
        <v>#N/A</v>
      </c>
      <c r="I57" s="352" t="e">
        <f>IF(C57&lt;&gt;"",VLOOKUP("S"&amp;C57,'EXP. ESP.'!$A$20:$V$6999,16,0),"")</f>
        <v>#N/A</v>
      </c>
      <c r="J57" s="358" t="e">
        <f>IF(C57&lt;&gt;"",IF(VLOOKUP(C57,HAB.EXP.ESP.!$C$27:$N$226,4,0)="NO CUMPLE",0,IF(E57="HÁBIL",IF(I57&lt;=PORPMFOMOD,ROUND(PTJEEXPESP2-(PTJEEXPESP2/(POWER(PORPMFOMOD,2)))*(POWER(I57-PORPMFOMOD,2)),3),IF(OR(I57&gt;=$I$21,ROUND((I57/PMFOMOD),3)&gt;=RELACIONPO),0,ROUND(PTJEEXPESP2-(1/$I$20)*(PTJEEXPESP2/(POWER(PORPMFOMOD,2)))*(POWER(I57-PORPMFOMOD,2)),3))),0)),"")</f>
        <v>#N/A</v>
      </c>
    </row>
    <row r="58" spans="2:10" ht="13.5" hidden="1">
      <c r="B58" s="231">
        <v>29</v>
      </c>
      <c r="C58" s="129" t="e">
        <f>IF(VLOOKUP(B58,PROPONENTES!$B$19:$E$219,2,0)="","",VLOOKUP(B58,PROPONENTES!$B$19:$E$219,2,0))</f>
        <v>#N/A</v>
      </c>
      <c r="D58" s="130" t="e">
        <f>IF(VLOOKUP(B58,PROPONENTES!$B$19:$E$218,3,0)="","",VLOOKUP(B58,PROPONENTES!$B$19:$E$218,3,0))</f>
        <v>#N/A</v>
      </c>
      <c r="E58" s="135" t="e">
        <f>IF(C58&lt;&gt;"",VLOOKUP(C58,HAB.EXP.ESP.!$C$27:$N$226,12),"")</f>
        <v>#N/A</v>
      </c>
      <c r="F58" s="245" t="e">
        <f>IF(C58&lt;&gt;"",VLOOKUP("M"&amp;C58,'EXP. ESP.'!$A$20:$V$6999,17,0),"")</f>
        <v>#N/A</v>
      </c>
      <c r="G58" s="342" t="e">
        <f>IF(C58&lt;&gt;"",VLOOKUP("P"&amp;C58,'EXP. ESP.'!$A$20:$V$6999,16,0),"")</f>
        <v>#N/A</v>
      </c>
      <c r="H58" s="342" t="e">
        <f>IF(C58&lt;&gt;"",IF(VLOOKUP(C58,HAB.EXP.ESP.!$C$27:$N$226,4,0)="NO CUMPLE",0,IF(E58="HÁBIL",IF(G58&lt;PPHMOD,ROUND((PTJEEXPESP1*(G58/PPHMOD)),3),IF(OR(ROUND(PTJEEXPESP1*(((3*PPHMOD)-G58)/(2*PPHMOD)),3)&lt;=0,G58&gt;=(3*PLAZOMOD)),0,ROUND(PTJEEXPESP1*(((3*PPHMOD)-G58)/(2*PPHMOD)),3))),0)),"")</f>
        <v>#N/A</v>
      </c>
      <c r="I58" s="352" t="e">
        <f>IF(C58&lt;&gt;"",VLOOKUP("S"&amp;C58,'EXP. ESP.'!$A$20:$V$6999,16,0),"")</f>
        <v>#N/A</v>
      </c>
      <c r="J58" s="358" t="e">
        <f>IF(C58&lt;&gt;"",IF(VLOOKUP(C58,HAB.EXP.ESP.!$C$27:$N$226,4,0)="NO CUMPLE",0,IF(E58="HÁBIL",IF(I58&lt;=PORPMFOMOD,ROUND(PTJEEXPESP2-(PTJEEXPESP2/(POWER(PORPMFOMOD,2)))*(POWER(I58-PORPMFOMOD,2)),3),IF(OR(I58&gt;=$I$21,ROUND((I58/PMFOMOD),3)&gt;=RELACIONPO),0,ROUND(PTJEEXPESP2-(1/$I$20)*(PTJEEXPESP2/(POWER(PORPMFOMOD,2)))*(POWER(I58-PORPMFOMOD,2)),3))),0)),"")</f>
        <v>#N/A</v>
      </c>
    </row>
    <row r="59" spans="2:10" ht="13.5" hidden="1">
      <c r="B59" s="231">
        <v>30</v>
      </c>
      <c r="C59" s="129" t="e">
        <f>IF(VLOOKUP(B59,PROPONENTES!$B$19:$E$219,2,0)="","",VLOOKUP(B59,PROPONENTES!$B$19:$E$219,2,0))</f>
        <v>#N/A</v>
      </c>
      <c r="D59" s="130" t="e">
        <f>IF(VLOOKUP(B59,PROPONENTES!$B$19:$E$218,3,0)="","",VLOOKUP(B59,PROPONENTES!$B$19:$E$218,3,0))</f>
        <v>#N/A</v>
      </c>
      <c r="E59" s="135" t="e">
        <f>IF(C59&lt;&gt;"",VLOOKUP(C59,HAB.EXP.ESP.!$C$27:$N$226,12),"")</f>
        <v>#N/A</v>
      </c>
      <c r="F59" s="245" t="e">
        <f>IF(C59&lt;&gt;"",VLOOKUP("M"&amp;C59,'EXP. ESP.'!$A$20:$V$6999,17,0),"")</f>
        <v>#N/A</v>
      </c>
      <c r="G59" s="342" t="e">
        <f>IF(C59&lt;&gt;"",VLOOKUP("P"&amp;C59,'EXP. ESP.'!$A$20:$V$6999,16,0),"")</f>
        <v>#N/A</v>
      </c>
      <c r="H59" s="342" t="e">
        <f>IF(C59&lt;&gt;"",IF(VLOOKUP(C59,HAB.EXP.ESP.!$C$27:$N$226,4,0)="NO CUMPLE",0,IF(E59="HÁBIL",IF(G59&lt;PPHMOD,ROUND((PTJEEXPESP1*(G59/PPHMOD)),3),IF(OR(ROUND(PTJEEXPESP1*(((3*PPHMOD)-G59)/(2*PPHMOD)),3)&lt;=0,G59&gt;=(3*PLAZOMOD)),0,ROUND(PTJEEXPESP1*(((3*PPHMOD)-G59)/(2*PPHMOD)),3))),0)),"")</f>
        <v>#N/A</v>
      </c>
      <c r="I59" s="352" t="e">
        <f>IF(C59&lt;&gt;"",VLOOKUP("S"&amp;C59,'EXP. ESP.'!$A$20:$V$6999,16,0),"")</f>
        <v>#N/A</v>
      </c>
      <c r="J59" s="358" t="e">
        <f>IF(C59&lt;&gt;"",IF(VLOOKUP(C59,HAB.EXP.ESP.!$C$27:$N$226,4,0)="NO CUMPLE",0,IF(E59="HÁBIL",IF(I59&lt;=PORPMFOMOD,ROUND(PTJEEXPESP2-(PTJEEXPESP2/(POWER(PORPMFOMOD,2)))*(POWER(I59-PORPMFOMOD,2)),3),IF(OR(I59&gt;=$I$21,ROUND((I59/PMFOMOD),3)&gt;=RELACIONPO),0,ROUND(PTJEEXPESP2-(1/$I$20)*(PTJEEXPESP2/(POWER(PORPMFOMOD,2)))*(POWER(I59-PORPMFOMOD,2)),3))),0)),"")</f>
        <v>#N/A</v>
      </c>
    </row>
    <row r="60" spans="2:10" ht="13.5" hidden="1">
      <c r="B60" s="230">
        <v>31</v>
      </c>
      <c r="C60" s="129" t="e">
        <f>IF(VLOOKUP(B60,PROPONENTES!$B$19:$E$219,2,0)="","",VLOOKUP(B60,PROPONENTES!$B$19:$E$219,2,0))</f>
        <v>#N/A</v>
      </c>
      <c r="D60" s="130" t="e">
        <f>IF(VLOOKUP(B60,PROPONENTES!$B$19:$E$218,3,0)="","",VLOOKUP(B60,PROPONENTES!$B$19:$E$218,3,0))</f>
        <v>#N/A</v>
      </c>
      <c r="E60" s="135" t="e">
        <f>IF(C60&lt;&gt;"",VLOOKUP(C60,HAB.EXP.ESP.!$C$27:$N$226,12),"")</f>
        <v>#N/A</v>
      </c>
      <c r="F60" s="245" t="e">
        <f>IF(C60&lt;&gt;"",VLOOKUP("M"&amp;C60,'EXP. ESP.'!$A$20:$V$6999,17,0),"")</f>
        <v>#N/A</v>
      </c>
      <c r="G60" s="342" t="e">
        <f>IF(C60&lt;&gt;"",VLOOKUP("P"&amp;C60,'EXP. ESP.'!$A$20:$V$6999,16,0),"")</f>
        <v>#N/A</v>
      </c>
      <c r="H60" s="342" t="e">
        <f>IF(C60&lt;&gt;"",IF(VLOOKUP(C60,HAB.EXP.ESP.!$C$27:$N$226,4,0)="NO CUMPLE",0,IF(E60="HÁBIL",IF(G60&lt;PPHMOD,ROUND((PTJEEXPESP1*(G60/PPHMOD)),3),IF(OR(ROUND(PTJEEXPESP1*(((3*PPHMOD)-G60)/(2*PPHMOD)),3)&lt;=0,G60&gt;=(3*PLAZOMOD)),0,ROUND(PTJEEXPESP1*(((3*PPHMOD)-G60)/(2*PPHMOD)),3))),0)),"")</f>
        <v>#N/A</v>
      </c>
      <c r="I60" s="352" t="e">
        <f>IF(C60&lt;&gt;"",VLOOKUP("S"&amp;C60,'EXP. ESP.'!$A$20:$V$6999,16,0),"")</f>
        <v>#N/A</v>
      </c>
      <c r="J60" s="358" t="e">
        <f>IF(C60&lt;&gt;"",IF(VLOOKUP(C60,HAB.EXP.ESP.!$C$27:$N$226,4,0)="NO CUMPLE",0,IF(E60="HÁBIL",IF(I60&lt;=PORPMFOMOD,ROUND(PTJEEXPESP2-(PTJEEXPESP2/(POWER(PORPMFOMOD,2)))*(POWER(I60-PORPMFOMOD,2)),3),IF(OR(I60&gt;=$I$21,ROUND((I60/PMFOMOD),3)&gt;=RELACIONPO),0,ROUND(PTJEEXPESP2-(1/$I$20)*(PTJEEXPESP2/(POWER(PORPMFOMOD,2)))*(POWER(I60-PORPMFOMOD,2)),3))),0)),"")</f>
        <v>#N/A</v>
      </c>
    </row>
    <row r="61" spans="2:10" ht="13.5" hidden="1">
      <c r="B61" s="231">
        <v>32</v>
      </c>
      <c r="C61" s="129" t="e">
        <f>IF(VLOOKUP(B61,PROPONENTES!$B$19:$E$219,2,0)="","",VLOOKUP(B61,PROPONENTES!$B$19:$E$219,2,0))</f>
        <v>#N/A</v>
      </c>
      <c r="D61" s="130" t="e">
        <f>IF(VLOOKUP(B61,PROPONENTES!$B$19:$E$218,3,0)="","",VLOOKUP(B61,PROPONENTES!$B$19:$E$218,3,0))</f>
        <v>#N/A</v>
      </c>
      <c r="E61" s="135" t="e">
        <f>IF(C61&lt;&gt;"",VLOOKUP(C61,HAB.EXP.ESP.!$C$27:$N$226,12),"")</f>
        <v>#N/A</v>
      </c>
      <c r="F61" s="245" t="e">
        <f>IF(C61&lt;&gt;"",VLOOKUP("M"&amp;C61,'EXP. ESP.'!$A$20:$V$6999,17,0),"")</f>
        <v>#N/A</v>
      </c>
      <c r="G61" s="342" t="e">
        <f>IF(C61&lt;&gt;"",VLOOKUP("P"&amp;C61,'EXP. ESP.'!$A$20:$V$6999,16,0),"")</f>
        <v>#N/A</v>
      </c>
      <c r="H61" s="342" t="e">
        <f>IF(C61&lt;&gt;"",IF(VLOOKUP(C61,HAB.EXP.ESP.!$C$27:$N$226,4,0)="NO CUMPLE",0,IF(E61="HÁBIL",IF(G61&lt;PPHMOD,ROUND((PTJEEXPESP1*(G61/PPHMOD)),3),IF(OR(ROUND(PTJEEXPESP1*(((3*PPHMOD)-G61)/(2*PPHMOD)),3)&lt;=0,G61&gt;=(3*PLAZOMOD)),0,ROUND(PTJEEXPESP1*(((3*PPHMOD)-G61)/(2*PPHMOD)),3))),0)),"")</f>
        <v>#N/A</v>
      </c>
      <c r="I61" s="352" t="e">
        <f>IF(C61&lt;&gt;"",VLOOKUP("S"&amp;C61,'EXP. ESP.'!$A$20:$V$6999,16,0),"")</f>
        <v>#N/A</v>
      </c>
      <c r="J61" s="358" t="e">
        <f>IF(C61&lt;&gt;"",IF(VLOOKUP(C61,HAB.EXP.ESP.!$C$27:$N$226,4,0)="NO CUMPLE",0,IF(E61="HÁBIL",IF(I61&lt;=PORPMFOMOD,ROUND(PTJEEXPESP2-(PTJEEXPESP2/(POWER(PORPMFOMOD,2)))*(POWER(I61-PORPMFOMOD,2)),3),IF(OR(I61&gt;=$I$21,ROUND((I61/PMFOMOD),3)&gt;=RELACIONPO),0,ROUND(PTJEEXPESP2-(1/$I$20)*(PTJEEXPESP2/(POWER(PORPMFOMOD,2)))*(POWER(I61-PORPMFOMOD,2)),3))),0)),"")</f>
        <v>#N/A</v>
      </c>
    </row>
    <row r="62" spans="2:10" ht="13.5" hidden="1">
      <c r="B62" s="231">
        <v>33</v>
      </c>
      <c r="C62" s="129" t="e">
        <f>IF(VLOOKUP(B62,PROPONENTES!$B$19:$E$219,2,0)="","",VLOOKUP(B62,PROPONENTES!$B$19:$E$219,2,0))</f>
        <v>#N/A</v>
      </c>
      <c r="D62" s="130" t="e">
        <f>IF(VLOOKUP(B62,PROPONENTES!$B$19:$E$218,3,0)="","",VLOOKUP(B62,PROPONENTES!$B$19:$E$218,3,0))</f>
        <v>#N/A</v>
      </c>
      <c r="E62" s="135" t="e">
        <f>IF(C62&lt;&gt;"",VLOOKUP(C62,HAB.EXP.ESP.!$C$27:$N$226,12),"")</f>
        <v>#N/A</v>
      </c>
      <c r="F62" s="245" t="e">
        <f>IF(C62&lt;&gt;"",VLOOKUP("M"&amp;C62,'EXP. ESP.'!$A$20:$V$6999,17,0),"")</f>
        <v>#N/A</v>
      </c>
      <c r="G62" s="342" t="e">
        <f>IF(C62&lt;&gt;"",VLOOKUP("P"&amp;C62,'EXP. ESP.'!$A$20:$V$6999,16,0),"")</f>
        <v>#N/A</v>
      </c>
      <c r="H62" s="342" t="e">
        <f>IF(C62&lt;&gt;"",IF(VLOOKUP(C62,HAB.EXP.ESP.!$C$27:$N$226,4,0)="NO CUMPLE",0,IF(E62="HÁBIL",IF(G62&lt;PPHMOD,ROUND((PTJEEXPESP1*(G62/PPHMOD)),3),IF(OR(ROUND(PTJEEXPESP1*(((3*PPHMOD)-G62)/(2*PPHMOD)),3)&lt;=0,G62&gt;=(3*PLAZOMOD)),0,ROUND(PTJEEXPESP1*(((3*PPHMOD)-G62)/(2*PPHMOD)),3))),0)),"")</f>
        <v>#N/A</v>
      </c>
      <c r="I62" s="352" t="e">
        <f>IF(C62&lt;&gt;"",VLOOKUP("S"&amp;C62,'EXP. ESP.'!$A$20:$V$6999,16,0),"")</f>
        <v>#N/A</v>
      </c>
      <c r="J62" s="358" t="e">
        <f>IF(C62&lt;&gt;"",IF(VLOOKUP(C62,HAB.EXP.ESP.!$C$27:$N$226,4,0)="NO CUMPLE",0,IF(E62="HÁBIL",IF(I62&lt;=PORPMFOMOD,ROUND(PTJEEXPESP2-(PTJEEXPESP2/(POWER(PORPMFOMOD,2)))*(POWER(I62-PORPMFOMOD,2)),3),IF(OR(I62&gt;=$I$21,ROUND((I62/PMFOMOD),3)&gt;=RELACIONPO),0,ROUND(PTJEEXPESP2-(1/$I$20)*(PTJEEXPESP2/(POWER(PORPMFOMOD,2)))*(POWER(I62-PORPMFOMOD,2)),3))),0)),"")</f>
        <v>#N/A</v>
      </c>
    </row>
    <row r="63" spans="2:10" ht="13.5" hidden="1">
      <c r="B63" s="230">
        <v>34</v>
      </c>
      <c r="C63" s="129" t="e">
        <f>IF(VLOOKUP(B63,PROPONENTES!$B$19:$E$219,2,0)="","",VLOOKUP(B63,PROPONENTES!$B$19:$E$219,2,0))</f>
        <v>#N/A</v>
      </c>
      <c r="D63" s="130" t="e">
        <f>IF(VLOOKUP(B63,PROPONENTES!$B$19:$E$218,3,0)="","",VLOOKUP(B63,PROPONENTES!$B$19:$E$218,3,0))</f>
        <v>#N/A</v>
      </c>
      <c r="E63" s="135" t="e">
        <f>IF(C63&lt;&gt;"",VLOOKUP(C63,HAB.EXP.ESP.!$C$27:$N$226,12),"")</f>
        <v>#N/A</v>
      </c>
      <c r="F63" s="245" t="e">
        <f>IF(C63&lt;&gt;"",VLOOKUP("M"&amp;C63,'EXP. ESP.'!$A$20:$V$6999,17,0),"")</f>
        <v>#N/A</v>
      </c>
      <c r="G63" s="342" t="e">
        <f>IF(C63&lt;&gt;"",VLOOKUP("P"&amp;C63,'EXP. ESP.'!$A$20:$V$6999,16,0),"")</f>
        <v>#N/A</v>
      </c>
      <c r="H63" s="342" t="e">
        <f>IF(C63&lt;&gt;"",IF(VLOOKUP(C63,HAB.EXP.ESP.!$C$27:$N$226,4,0)="NO CUMPLE",0,IF(E63="HÁBIL",IF(G63&lt;PPHMOD,ROUND((PTJEEXPESP1*(G63/PPHMOD)),3),IF(OR(ROUND(PTJEEXPESP1*(((3*PPHMOD)-G63)/(2*PPHMOD)),3)&lt;=0,G63&gt;=(3*PLAZOMOD)),0,ROUND(PTJEEXPESP1*(((3*PPHMOD)-G63)/(2*PPHMOD)),3))),0)),"")</f>
        <v>#N/A</v>
      </c>
      <c r="I63" s="352" t="e">
        <f>IF(C63&lt;&gt;"",VLOOKUP("S"&amp;C63,'EXP. ESP.'!$A$20:$V$6999,16,0),"")</f>
        <v>#N/A</v>
      </c>
      <c r="J63" s="358" t="e">
        <f>IF(C63&lt;&gt;"",IF(VLOOKUP(C63,HAB.EXP.ESP.!$C$27:$N$226,4,0)="NO CUMPLE",0,IF(E63="HÁBIL",IF(I63&lt;=PORPMFOMOD,ROUND(PTJEEXPESP2-(PTJEEXPESP2/(POWER(PORPMFOMOD,2)))*(POWER(I63-PORPMFOMOD,2)),3),IF(OR(I63&gt;=$I$21,ROUND((I63/PMFOMOD),3)&gt;=RELACIONPO),0,ROUND(PTJEEXPESP2-(1/$I$20)*(PTJEEXPESP2/(POWER(PORPMFOMOD,2)))*(POWER(I63-PORPMFOMOD,2)),3))),0)),"")</f>
        <v>#N/A</v>
      </c>
    </row>
    <row r="64" spans="2:10" ht="13.5" hidden="1">
      <c r="B64" s="231">
        <v>35</v>
      </c>
      <c r="C64" s="129" t="e">
        <f>IF(VLOOKUP(B64,PROPONENTES!$B$19:$E$219,2,0)="","",VLOOKUP(B64,PROPONENTES!$B$19:$E$219,2,0))</f>
        <v>#N/A</v>
      </c>
      <c r="D64" s="130" t="e">
        <f>IF(VLOOKUP(B64,PROPONENTES!$B$19:$E$218,3,0)="","",VLOOKUP(B64,PROPONENTES!$B$19:$E$218,3,0))</f>
        <v>#N/A</v>
      </c>
      <c r="E64" s="135" t="e">
        <f>IF(C64&lt;&gt;"",VLOOKUP(C64,HAB.EXP.ESP.!$C$27:$N$226,12),"")</f>
        <v>#N/A</v>
      </c>
      <c r="F64" s="245" t="e">
        <f>IF(C64&lt;&gt;"",VLOOKUP("M"&amp;C64,'EXP. ESP.'!$A$20:$V$6999,17,0),"")</f>
        <v>#N/A</v>
      </c>
      <c r="G64" s="342" t="e">
        <f>IF(C64&lt;&gt;"",VLOOKUP("P"&amp;C64,'EXP. ESP.'!$A$20:$V$6999,16,0),"")</f>
        <v>#N/A</v>
      </c>
      <c r="H64" s="342" t="e">
        <f>IF(C64&lt;&gt;"",IF(VLOOKUP(C64,HAB.EXP.ESP.!$C$27:$N$226,4,0)="NO CUMPLE",0,IF(E64="HÁBIL",IF(G64&lt;PPHMOD,ROUND((PTJEEXPESP1*(G64/PPHMOD)),3),IF(OR(ROUND(PTJEEXPESP1*(((3*PPHMOD)-G64)/(2*PPHMOD)),3)&lt;=0,G64&gt;=(3*PLAZOMOD)),0,ROUND(PTJEEXPESP1*(((3*PPHMOD)-G64)/(2*PPHMOD)),3))),0)),"")</f>
        <v>#N/A</v>
      </c>
      <c r="I64" s="352" t="e">
        <f>IF(C64&lt;&gt;"",VLOOKUP("S"&amp;C64,'EXP. ESP.'!$A$20:$V$6999,16,0),"")</f>
        <v>#N/A</v>
      </c>
      <c r="J64" s="358" t="e">
        <f>IF(C64&lt;&gt;"",IF(VLOOKUP(C64,HAB.EXP.ESP.!$C$27:$N$226,4,0)="NO CUMPLE",0,IF(E64="HÁBIL",IF(I64&lt;=PORPMFOMOD,ROUND(PTJEEXPESP2-(PTJEEXPESP2/(POWER(PORPMFOMOD,2)))*(POWER(I64-PORPMFOMOD,2)),3),IF(OR(I64&gt;=$I$21,ROUND((I64/PMFOMOD),3)&gt;=RELACIONPO),0,ROUND(PTJEEXPESP2-(1/$I$20)*(PTJEEXPESP2/(POWER(PORPMFOMOD,2)))*(POWER(I64-PORPMFOMOD,2)),3))),0)),"")</f>
        <v>#N/A</v>
      </c>
    </row>
    <row r="65" spans="2:10" ht="13.5" hidden="1">
      <c r="B65" s="231">
        <v>36</v>
      </c>
      <c r="C65" s="129" t="e">
        <f>IF(VLOOKUP(B65,PROPONENTES!$B$19:$E$219,2,0)="","",VLOOKUP(B65,PROPONENTES!$B$19:$E$219,2,0))</f>
        <v>#N/A</v>
      </c>
      <c r="D65" s="130" t="e">
        <f>IF(VLOOKUP(B65,PROPONENTES!$B$19:$E$218,3,0)="","",VLOOKUP(B65,PROPONENTES!$B$19:$E$218,3,0))</f>
        <v>#N/A</v>
      </c>
      <c r="E65" s="135" t="e">
        <f>IF(C65&lt;&gt;"",VLOOKUP(C65,HAB.EXP.ESP.!$C$27:$N$226,12),"")</f>
        <v>#N/A</v>
      </c>
      <c r="F65" s="245" t="e">
        <f>IF(C65&lt;&gt;"",VLOOKUP("M"&amp;C65,'EXP. ESP.'!$A$20:$V$6999,17,0),"")</f>
        <v>#N/A</v>
      </c>
      <c r="G65" s="342" t="e">
        <f>IF(C65&lt;&gt;"",VLOOKUP("P"&amp;C65,'EXP. ESP.'!$A$20:$V$6999,16,0),"")</f>
        <v>#N/A</v>
      </c>
      <c r="H65" s="342" t="e">
        <f>IF(C65&lt;&gt;"",IF(VLOOKUP(C65,HAB.EXP.ESP.!$C$27:$N$226,4,0)="NO CUMPLE",0,IF(E65="HÁBIL",IF(G65&lt;PPHMOD,ROUND((PTJEEXPESP1*(G65/PPHMOD)),3),IF(OR(ROUND(PTJEEXPESP1*(((3*PPHMOD)-G65)/(2*PPHMOD)),3)&lt;=0,G65&gt;=(3*PLAZOMOD)),0,ROUND(PTJEEXPESP1*(((3*PPHMOD)-G65)/(2*PPHMOD)),3))),0)),"")</f>
        <v>#N/A</v>
      </c>
      <c r="I65" s="352" t="e">
        <f>IF(C65&lt;&gt;"",VLOOKUP("S"&amp;C65,'EXP. ESP.'!$A$20:$V$6999,16,0),"")</f>
        <v>#N/A</v>
      </c>
      <c r="J65" s="358" t="e">
        <f>IF(C65&lt;&gt;"",IF(VLOOKUP(C65,HAB.EXP.ESP.!$C$27:$N$226,4,0)="NO CUMPLE",0,IF(E65="HÁBIL",IF(I65&lt;=PORPMFOMOD,ROUND(PTJEEXPESP2-(PTJEEXPESP2/(POWER(PORPMFOMOD,2)))*(POWER(I65-PORPMFOMOD,2)),3),IF(OR(I65&gt;=$I$21,ROUND((I65/PMFOMOD),3)&gt;=RELACIONPO),0,ROUND(PTJEEXPESP2-(1/$I$20)*(PTJEEXPESP2/(POWER(PORPMFOMOD,2)))*(POWER(I65-PORPMFOMOD,2)),3))),0)),"")</f>
        <v>#N/A</v>
      </c>
    </row>
    <row r="66" spans="2:10" ht="13.5" hidden="1">
      <c r="B66" s="230">
        <v>37</v>
      </c>
      <c r="C66" s="129" t="e">
        <f>IF(VLOOKUP(B66,PROPONENTES!$B$19:$E$219,2,0)="","",VLOOKUP(B66,PROPONENTES!$B$19:$E$219,2,0))</f>
        <v>#N/A</v>
      </c>
      <c r="D66" s="130" t="e">
        <f>IF(VLOOKUP(B66,PROPONENTES!$B$19:$E$218,3,0)="","",VLOOKUP(B66,PROPONENTES!$B$19:$E$218,3,0))</f>
        <v>#N/A</v>
      </c>
      <c r="E66" s="135" t="e">
        <f>IF(C66&lt;&gt;"",VLOOKUP(C66,HAB.EXP.ESP.!$C$27:$N$226,12),"")</f>
        <v>#N/A</v>
      </c>
      <c r="F66" s="245" t="e">
        <f>IF(C66&lt;&gt;"",VLOOKUP("M"&amp;C66,'EXP. ESP.'!$A$20:$V$6999,17,0),"")</f>
        <v>#N/A</v>
      </c>
      <c r="G66" s="342" t="e">
        <f>IF(C66&lt;&gt;"",VLOOKUP("P"&amp;C66,'EXP. ESP.'!$A$20:$V$6999,16,0),"")</f>
        <v>#N/A</v>
      </c>
      <c r="H66" s="342" t="e">
        <f>IF(C66&lt;&gt;"",IF(VLOOKUP(C66,HAB.EXP.ESP.!$C$27:$N$226,4,0)="NO CUMPLE",0,IF(E66="HÁBIL",IF(G66&lt;PPHMOD,ROUND((PTJEEXPESP1*(G66/PPHMOD)),3),IF(OR(ROUND(PTJEEXPESP1*(((3*PPHMOD)-G66)/(2*PPHMOD)),3)&lt;=0,G66&gt;=(3*PLAZOMOD)),0,ROUND(PTJEEXPESP1*(((3*PPHMOD)-G66)/(2*PPHMOD)),3))),0)),"")</f>
        <v>#N/A</v>
      </c>
      <c r="I66" s="352" t="e">
        <f>IF(C66&lt;&gt;"",VLOOKUP("S"&amp;C66,'EXP. ESP.'!$A$20:$V$6999,16,0),"")</f>
        <v>#N/A</v>
      </c>
      <c r="J66" s="358" t="e">
        <f>IF(C66&lt;&gt;"",IF(VLOOKUP(C66,HAB.EXP.ESP.!$C$27:$N$226,4,0)="NO CUMPLE",0,IF(E66="HÁBIL",IF(I66&lt;=PORPMFOMOD,ROUND(PTJEEXPESP2-(PTJEEXPESP2/(POWER(PORPMFOMOD,2)))*(POWER(I66-PORPMFOMOD,2)),3),IF(OR(I66&gt;=$I$21,ROUND((I66/PMFOMOD),3)&gt;=RELACIONPO),0,ROUND(PTJEEXPESP2-(1/$I$20)*(PTJEEXPESP2/(POWER(PORPMFOMOD,2)))*(POWER(I66-PORPMFOMOD,2)),3))),0)),"")</f>
        <v>#N/A</v>
      </c>
    </row>
    <row r="67" spans="2:10" ht="13.5" hidden="1">
      <c r="B67" s="231">
        <v>38</v>
      </c>
      <c r="C67" s="129" t="e">
        <f>IF(VLOOKUP(B67,PROPONENTES!$B$19:$E$219,2,0)="","",VLOOKUP(B67,PROPONENTES!$B$19:$E$219,2,0))</f>
        <v>#N/A</v>
      </c>
      <c r="D67" s="130" t="e">
        <f>IF(VLOOKUP(B67,PROPONENTES!$B$19:$E$218,3,0)="","",VLOOKUP(B67,PROPONENTES!$B$19:$E$218,3,0))</f>
        <v>#N/A</v>
      </c>
      <c r="E67" s="135" t="e">
        <f>IF(C67&lt;&gt;"",VLOOKUP(C67,HAB.EXP.ESP.!$C$27:$N$226,12),"")</f>
        <v>#N/A</v>
      </c>
      <c r="F67" s="245" t="e">
        <f>IF(C67&lt;&gt;"",VLOOKUP("M"&amp;C67,'EXP. ESP.'!$A$20:$V$6999,17,0),"")</f>
        <v>#N/A</v>
      </c>
      <c r="G67" s="342" t="e">
        <f>IF(C67&lt;&gt;"",VLOOKUP("P"&amp;C67,'EXP. ESP.'!$A$20:$V$6999,16,0),"")</f>
        <v>#N/A</v>
      </c>
      <c r="H67" s="342" t="e">
        <f>IF(C67&lt;&gt;"",IF(VLOOKUP(C67,HAB.EXP.ESP.!$C$27:$N$226,4,0)="NO CUMPLE",0,IF(E67="HÁBIL",IF(G67&lt;PPHMOD,ROUND((PTJEEXPESP1*(G67/PPHMOD)),3),IF(OR(ROUND(PTJEEXPESP1*(((3*PPHMOD)-G67)/(2*PPHMOD)),3)&lt;=0,G67&gt;=(3*PLAZOMOD)),0,ROUND(PTJEEXPESP1*(((3*PPHMOD)-G67)/(2*PPHMOD)),3))),0)),"")</f>
        <v>#N/A</v>
      </c>
      <c r="I67" s="352" t="e">
        <f>IF(C67&lt;&gt;"",VLOOKUP("S"&amp;C67,'EXP. ESP.'!$A$20:$V$6999,16,0),"")</f>
        <v>#N/A</v>
      </c>
      <c r="J67" s="358" t="e">
        <f>IF(C67&lt;&gt;"",IF(VLOOKUP(C67,HAB.EXP.ESP.!$C$27:$N$226,4,0)="NO CUMPLE",0,IF(E67="HÁBIL",IF(I67&lt;=PORPMFOMOD,ROUND(PTJEEXPESP2-(PTJEEXPESP2/(POWER(PORPMFOMOD,2)))*(POWER(I67-PORPMFOMOD,2)),3),IF(OR(I67&gt;=$I$21,ROUND((I67/PMFOMOD),3)&gt;=RELACIONPO),0,ROUND(PTJEEXPESP2-(1/$I$20)*(PTJEEXPESP2/(POWER(PORPMFOMOD,2)))*(POWER(I67-PORPMFOMOD,2)),3))),0)),"")</f>
        <v>#N/A</v>
      </c>
    </row>
    <row r="68" spans="2:10" ht="13.5" hidden="1">
      <c r="B68" s="231">
        <v>39</v>
      </c>
      <c r="C68" s="129" t="e">
        <f>IF(VLOOKUP(B68,PROPONENTES!$B$19:$E$219,2,0)="","",VLOOKUP(B68,PROPONENTES!$B$19:$E$219,2,0))</f>
        <v>#N/A</v>
      </c>
      <c r="D68" s="130" t="e">
        <f>IF(VLOOKUP(B68,PROPONENTES!$B$19:$E$218,3,0)="","",VLOOKUP(B68,PROPONENTES!$B$19:$E$218,3,0))</f>
        <v>#N/A</v>
      </c>
      <c r="E68" s="135" t="e">
        <f>IF(C68&lt;&gt;"",VLOOKUP(C68,HAB.EXP.ESP.!$C$27:$N$226,12),"")</f>
        <v>#N/A</v>
      </c>
      <c r="F68" s="245" t="e">
        <f>IF(C68&lt;&gt;"",VLOOKUP("M"&amp;C68,'EXP. ESP.'!$A$20:$V$6999,17,0),"")</f>
        <v>#N/A</v>
      </c>
      <c r="G68" s="342" t="e">
        <f>IF(C68&lt;&gt;"",VLOOKUP("P"&amp;C68,'EXP. ESP.'!$A$20:$V$6999,16,0),"")</f>
        <v>#N/A</v>
      </c>
      <c r="H68" s="342" t="e">
        <f>IF(C68&lt;&gt;"",IF(VLOOKUP(C68,HAB.EXP.ESP.!$C$27:$N$226,4,0)="NO CUMPLE",0,IF(E68="HÁBIL",IF(G68&lt;PPHMOD,ROUND((PTJEEXPESP1*(G68/PPHMOD)),3),IF(OR(ROUND(PTJEEXPESP1*(((3*PPHMOD)-G68)/(2*PPHMOD)),3)&lt;=0,G68&gt;=(3*PLAZOMOD)),0,ROUND(PTJEEXPESP1*(((3*PPHMOD)-G68)/(2*PPHMOD)),3))),0)),"")</f>
        <v>#N/A</v>
      </c>
      <c r="I68" s="352" t="e">
        <f>IF(C68&lt;&gt;"",VLOOKUP("S"&amp;C68,'EXP. ESP.'!$A$20:$V$6999,16,0),"")</f>
        <v>#N/A</v>
      </c>
      <c r="J68" s="358" t="e">
        <f>IF(C68&lt;&gt;"",IF(VLOOKUP(C68,HAB.EXP.ESP.!$C$27:$N$226,4,0)="NO CUMPLE",0,IF(E68="HÁBIL",IF(I68&lt;=PORPMFOMOD,ROUND(PTJEEXPESP2-(PTJEEXPESP2/(POWER(PORPMFOMOD,2)))*(POWER(I68-PORPMFOMOD,2)),3),IF(OR(I68&gt;=$I$21,ROUND((I68/PMFOMOD),3)&gt;=RELACIONPO),0,ROUND(PTJEEXPESP2-(1/$I$20)*(PTJEEXPESP2/(POWER(PORPMFOMOD,2)))*(POWER(I68-PORPMFOMOD,2)),3))),0)),"")</f>
        <v>#N/A</v>
      </c>
    </row>
    <row r="69" spans="2:10" ht="13.5" hidden="1">
      <c r="B69" s="230">
        <v>40</v>
      </c>
      <c r="C69" s="129" t="e">
        <f>IF(VLOOKUP(B69,PROPONENTES!$B$19:$E$219,2,0)="","",VLOOKUP(B69,PROPONENTES!$B$19:$E$219,2,0))</f>
        <v>#N/A</v>
      </c>
      <c r="D69" s="130" t="e">
        <f>IF(VLOOKUP(B69,PROPONENTES!$B$19:$E$218,3,0)="","",VLOOKUP(B69,PROPONENTES!$B$19:$E$218,3,0))</f>
        <v>#N/A</v>
      </c>
      <c r="E69" s="135" t="e">
        <f>IF(C69&lt;&gt;"",VLOOKUP(C69,HAB.EXP.ESP.!$C$27:$N$226,12),"")</f>
        <v>#N/A</v>
      </c>
      <c r="F69" s="245" t="e">
        <f>IF(C69&lt;&gt;"",VLOOKUP("M"&amp;C69,'EXP. ESP.'!$A$20:$V$6999,17,0),"")</f>
        <v>#N/A</v>
      </c>
      <c r="G69" s="342" t="e">
        <f>IF(C69&lt;&gt;"",VLOOKUP("P"&amp;C69,'EXP. ESP.'!$A$20:$V$6999,16,0),"")</f>
        <v>#N/A</v>
      </c>
      <c r="H69" s="342" t="e">
        <f>IF(C69&lt;&gt;"",IF(VLOOKUP(C69,HAB.EXP.ESP.!$C$27:$N$226,4,0)="NO CUMPLE",0,IF(E69="HÁBIL",IF(G69&lt;PPHMOD,ROUND((PTJEEXPESP1*(G69/PPHMOD)),3),IF(OR(ROUND(PTJEEXPESP1*(((3*PPHMOD)-G69)/(2*PPHMOD)),3)&lt;=0,G69&gt;=(3*PLAZOMOD)),0,ROUND(PTJEEXPESP1*(((3*PPHMOD)-G69)/(2*PPHMOD)),3))),0)),"")</f>
        <v>#N/A</v>
      </c>
      <c r="I69" s="352" t="e">
        <f>IF(C69&lt;&gt;"",VLOOKUP("S"&amp;C69,'EXP. ESP.'!$A$20:$V$6999,16,0),"")</f>
        <v>#N/A</v>
      </c>
      <c r="J69" s="358" t="e">
        <f>IF(C69&lt;&gt;"",IF(VLOOKUP(C69,HAB.EXP.ESP.!$C$27:$N$226,4,0)="NO CUMPLE",0,IF(E69="HÁBIL",IF(I69&lt;=PORPMFOMOD,ROUND(PTJEEXPESP2-(PTJEEXPESP2/(POWER(PORPMFOMOD,2)))*(POWER(I69-PORPMFOMOD,2)),3),IF(OR(I69&gt;=$I$21,ROUND((I69/PMFOMOD),3)&gt;=RELACIONPO),0,ROUND(PTJEEXPESP2-(1/$I$20)*(PTJEEXPESP2/(POWER(PORPMFOMOD,2)))*(POWER(I69-PORPMFOMOD,2)),3))),0)),"")</f>
        <v>#N/A</v>
      </c>
    </row>
    <row r="70" spans="2:10" ht="13.5" hidden="1">
      <c r="B70" s="231">
        <v>41</v>
      </c>
      <c r="C70" s="129" t="e">
        <f>IF(VLOOKUP(B70,PROPONENTES!$B$19:$E$219,2,0)="","",VLOOKUP(B70,PROPONENTES!$B$19:$E$219,2,0))</f>
        <v>#N/A</v>
      </c>
      <c r="D70" s="130" t="e">
        <f>IF(VLOOKUP(B70,PROPONENTES!$B$19:$E$218,3,0)="","",VLOOKUP(B70,PROPONENTES!$B$19:$E$218,3,0))</f>
        <v>#N/A</v>
      </c>
      <c r="E70" s="135" t="e">
        <f>IF(C70&lt;&gt;"",VLOOKUP(C70,HAB.EXP.ESP.!$C$27:$N$226,12),"")</f>
        <v>#N/A</v>
      </c>
      <c r="F70" s="245" t="e">
        <f>IF(C70&lt;&gt;"",VLOOKUP("M"&amp;C70,'EXP. ESP.'!$A$20:$V$6999,17,0),"")</f>
        <v>#N/A</v>
      </c>
      <c r="G70" s="342" t="e">
        <f>IF(C70&lt;&gt;"",VLOOKUP("P"&amp;C70,'EXP. ESP.'!$A$20:$V$6999,16,0),"")</f>
        <v>#N/A</v>
      </c>
      <c r="H70" s="342" t="e">
        <f>IF(C70&lt;&gt;"",IF(VLOOKUP(C70,HAB.EXP.ESP.!$C$27:$N$226,4,0)="NO CUMPLE",0,IF(E70="HÁBIL",IF(G70&lt;PPHMOD,ROUND((PTJEEXPESP1*(G70/PPHMOD)),3),IF(OR(ROUND(PTJEEXPESP1*(((3*PPHMOD)-G70)/(2*PPHMOD)),3)&lt;=0,G70&gt;=(3*PLAZOMOD)),0,ROUND(PTJEEXPESP1*(((3*PPHMOD)-G70)/(2*PPHMOD)),3))),0)),"")</f>
        <v>#N/A</v>
      </c>
      <c r="I70" s="352" t="e">
        <f>IF(C70&lt;&gt;"",VLOOKUP("S"&amp;C70,'EXP. ESP.'!$A$20:$V$6999,16,0),"")</f>
        <v>#N/A</v>
      </c>
      <c r="J70" s="358" t="e">
        <f>IF(C70&lt;&gt;"",IF(VLOOKUP(C70,HAB.EXP.ESP.!$C$27:$N$226,4,0)="NO CUMPLE",0,IF(E70="HÁBIL",IF(I70&lt;=PORPMFOMOD,ROUND(PTJEEXPESP2-(PTJEEXPESP2/(POWER(PORPMFOMOD,2)))*(POWER(I70-PORPMFOMOD,2)),3),IF(OR(I70&gt;=$I$21,ROUND((I70/PMFOMOD),3)&gt;=RELACIONPO),0,ROUND(PTJEEXPESP2-(1/$I$20)*(PTJEEXPESP2/(POWER(PORPMFOMOD,2)))*(POWER(I70-PORPMFOMOD,2)),3))),0)),"")</f>
        <v>#N/A</v>
      </c>
    </row>
    <row r="71" spans="2:10" ht="13.5" hidden="1">
      <c r="B71" s="231">
        <v>42</v>
      </c>
      <c r="C71" s="129" t="e">
        <f>IF(VLOOKUP(B71,PROPONENTES!$B$19:$E$219,2,0)="","",VLOOKUP(B71,PROPONENTES!$B$19:$E$219,2,0))</f>
        <v>#N/A</v>
      </c>
      <c r="D71" s="130" t="e">
        <f>IF(VLOOKUP(B71,PROPONENTES!$B$19:$E$218,3,0)="","",VLOOKUP(B71,PROPONENTES!$B$19:$E$218,3,0))</f>
        <v>#N/A</v>
      </c>
      <c r="E71" s="135" t="e">
        <f>IF(C71&lt;&gt;"",VLOOKUP(C71,HAB.EXP.ESP.!$C$27:$N$226,12),"")</f>
        <v>#N/A</v>
      </c>
      <c r="F71" s="245" t="e">
        <f>IF(C71&lt;&gt;"",VLOOKUP("M"&amp;C71,'EXP. ESP.'!$A$20:$V$6999,17,0),"")</f>
        <v>#N/A</v>
      </c>
      <c r="G71" s="342" t="e">
        <f>IF(C71&lt;&gt;"",VLOOKUP("P"&amp;C71,'EXP. ESP.'!$A$20:$V$6999,16,0),"")</f>
        <v>#N/A</v>
      </c>
      <c r="H71" s="342" t="e">
        <f>IF(C71&lt;&gt;"",IF(VLOOKUP(C71,HAB.EXP.ESP.!$C$27:$N$226,4,0)="NO CUMPLE",0,IF(E71="HÁBIL",IF(G71&lt;PPHMOD,ROUND((PTJEEXPESP1*(G71/PPHMOD)),3),IF(OR(ROUND(PTJEEXPESP1*(((3*PPHMOD)-G71)/(2*PPHMOD)),3)&lt;=0,G71&gt;=(3*PLAZOMOD)),0,ROUND(PTJEEXPESP1*(((3*PPHMOD)-G71)/(2*PPHMOD)),3))),0)),"")</f>
        <v>#N/A</v>
      </c>
      <c r="I71" s="352" t="e">
        <f>IF(C71&lt;&gt;"",VLOOKUP("S"&amp;C71,'EXP. ESP.'!$A$20:$V$6999,16,0),"")</f>
        <v>#N/A</v>
      </c>
      <c r="J71" s="358" t="e">
        <f>IF(C71&lt;&gt;"",IF(VLOOKUP(C71,HAB.EXP.ESP.!$C$27:$N$226,4,0)="NO CUMPLE",0,IF(E71="HÁBIL",IF(I71&lt;=PORPMFOMOD,ROUND(PTJEEXPESP2-(PTJEEXPESP2/(POWER(PORPMFOMOD,2)))*(POWER(I71-PORPMFOMOD,2)),3),IF(OR(I71&gt;=$I$21,ROUND((I71/PMFOMOD),3)&gt;=RELACIONPO),0,ROUND(PTJEEXPESP2-(1/$I$20)*(PTJEEXPESP2/(POWER(PORPMFOMOD,2)))*(POWER(I71-PORPMFOMOD,2)),3))),0)),"")</f>
        <v>#N/A</v>
      </c>
    </row>
    <row r="72" spans="2:10" ht="13.5" hidden="1">
      <c r="B72" s="230">
        <v>43</v>
      </c>
      <c r="C72" s="129" t="e">
        <f>IF(VLOOKUP(B72,PROPONENTES!$B$19:$E$219,2,0)="","",VLOOKUP(B72,PROPONENTES!$B$19:$E$219,2,0))</f>
        <v>#N/A</v>
      </c>
      <c r="D72" s="130" t="e">
        <f>IF(VLOOKUP(B72,PROPONENTES!$B$19:$E$218,3,0)="","",VLOOKUP(B72,PROPONENTES!$B$19:$E$218,3,0))</f>
        <v>#N/A</v>
      </c>
      <c r="E72" s="135" t="e">
        <f>IF(C72&lt;&gt;"",VLOOKUP(C72,HAB.EXP.ESP.!$C$27:$N$226,12),"")</f>
        <v>#N/A</v>
      </c>
      <c r="F72" s="245" t="e">
        <f>IF(C72&lt;&gt;"",VLOOKUP("M"&amp;C72,'EXP. ESP.'!$A$20:$V$6999,17,0),"")</f>
        <v>#N/A</v>
      </c>
      <c r="G72" s="342" t="e">
        <f>IF(C72&lt;&gt;"",VLOOKUP("P"&amp;C72,'EXP. ESP.'!$A$20:$V$6999,16,0),"")</f>
        <v>#N/A</v>
      </c>
      <c r="H72" s="342" t="e">
        <f>IF(C72&lt;&gt;"",IF(VLOOKUP(C72,HAB.EXP.ESP.!$C$27:$N$226,4,0)="NO CUMPLE",0,IF(E72="HÁBIL",IF(G72&lt;PPHMOD,ROUND((PTJEEXPESP1*(G72/PPHMOD)),3),IF(OR(ROUND(PTJEEXPESP1*(((3*PPHMOD)-G72)/(2*PPHMOD)),3)&lt;=0,G72&gt;=(3*PLAZOMOD)),0,ROUND(PTJEEXPESP1*(((3*PPHMOD)-G72)/(2*PPHMOD)),3))),0)),"")</f>
        <v>#N/A</v>
      </c>
      <c r="I72" s="352" t="e">
        <f>IF(C72&lt;&gt;"",VLOOKUP("S"&amp;C72,'EXP. ESP.'!$A$20:$V$6999,16,0),"")</f>
        <v>#N/A</v>
      </c>
      <c r="J72" s="358" t="e">
        <f>IF(C72&lt;&gt;"",IF(VLOOKUP(C72,HAB.EXP.ESP.!$C$27:$N$226,4,0)="NO CUMPLE",0,IF(E72="HÁBIL",IF(I72&lt;=PORPMFOMOD,ROUND(PTJEEXPESP2-(PTJEEXPESP2/(POWER(PORPMFOMOD,2)))*(POWER(I72-PORPMFOMOD,2)),3),IF(OR(I72&gt;=$I$21,ROUND((I72/PMFOMOD),3)&gt;=RELACIONPO),0,ROUND(PTJEEXPESP2-(1/$I$20)*(PTJEEXPESP2/(POWER(PORPMFOMOD,2)))*(POWER(I72-PORPMFOMOD,2)),3))),0)),"")</f>
        <v>#N/A</v>
      </c>
    </row>
    <row r="73" spans="2:10" ht="13.5" hidden="1">
      <c r="B73" s="231">
        <v>44</v>
      </c>
      <c r="C73" s="129" t="e">
        <f>IF(VLOOKUP(B73,PROPONENTES!$B$19:$E$219,2,0)="","",VLOOKUP(B73,PROPONENTES!$B$19:$E$219,2,0))</f>
        <v>#N/A</v>
      </c>
      <c r="D73" s="130" t="e">
        <f>IF(VLOOKUP(B73,PROPONENTES!$B$19:$E$218,3,0)="","",VLOOKUP(B73,PROPONENTES!$B$19:$E$218,3,0))</f>
        <v>#N/A</v>
      </c>
      <c r="E73" s="135" t="e">
        <f>IF(C73&lt;&gt;"",VLOOKUP(C73,HAB.EXP.ESP.!$C$27:$N$226,12),"")</f>
        <v>#N/A</v>
      </c>
      <c r="F73" s="245" t="e">
        <f>IF(C73&lt;&gt;"",VLOOKUP("M"&amp;C73,'EXP. ESP.'!$A$20:$V$6999,17,0),"")</f>
        <v>#N/A</v>
      </c>
      <c r="G73" s="342" t="e">
        <f>IF(C73&lt;&gt;"",VLOOKUP("P"&amp;C73,'EXP. ESP.'!$A$20:$V$6999,16,0),"")</f>
        <v>#N/A</v>
      </c>
      <c r="H73" s="342" t="e">
        <f>IF(C73&lt;&gt;"",IF(VLOOKUP(C73,HAB.EXP.ESP.!$C$27:$N$226,4,0)="NO CUMPLE",0,IF(E73="HÁBIL",IF(G73&lt;PPHMOD,ROUND((PTJEEXPESP1*(G73/PPHMOD)),3),IF(OR(ROUND(PTJEEXPESP1*(((3*PPHMOD)-G73)/(2*PPHMOD)),3)&lt;=0,G73&gt;=(3*PLAZOMOD)),0,ROUND(PTJEEXPESP1*(((3*PPHMOD)-G73)/(2*PPHMOD)),3))),0)),"")</f>
        <v>#N/A</v>
      </c>
      <c r="I73" s="352" t="e">
        <f>IF(C73&lt;&gt;"",VLOOKUP("S"&amp;C73,'EXP. ESP.'!$A$20:$V$6999,16,0),"")</f>
        <v>#N/A</v>
      </c>
      <c r="J73" s="358" t="e">
        <f>IF(C73&lt;&gt;"",IF(VLOOKUP(C73,HAB.EXP.ESP.!$C$27:$N$226,4,0)="NO CUMPLE",0,IF(E73="HÁBIL",IF(I73&lt;=PORPMFOMOD,ROUND(PTJEEXPESP2-(PTJEEXPESP2/(POWER(PORPMFOMOD,2)))*(POWER(I73-PORPMFOMOD,2)),3),IF(OR(I73&gt;=$I$21,ROUND((I73/PMFOMOD),3)&gt;=RELACIONPO),0,ROUND(PTJEEXPESP2-(1/$I$20)*(PTJEEXPESP2/(POWER(PORPMFOMOD,2)))*(POWER(I73-PORPMFOMOD,2)),3))),0)),"")</f>
        <v>#N/A</v>
      </c>
    </row>
    <row r="74" spans="2:10" ht="13.5" hidden="1">
      <c r="B74" s="231">
        <v>45</v>
      </c>
      <c r="C74" s="129" t="e">
        <f>IF(VLOOKUP(B74,PROPONENTES!$B$19:$E$219,2,0)="","",VLOOKUP(B74,PROPONENTES!$B$19:$E$219,2,0))</f>
        <v>#N/A</v>
      </c>
      <c r="D74" s="130" t="e">
        <f>IF(VLOOKUP(B74,PROPONENTES!$B$19:$E$218,3,0)="","",VLOOKUP(B74,PROPONENTES!$B$19:$E$218,3,0))</f>
        <v>#N/A</v>
      </c>
      <c r="E74" s="135" t="e">
        <f>IF(C74&lt;&gt;"",VLOOKUP(C74,HAB.EXP.ESP.!$C$27:$N$226,12),"")</f>
        <v>#N/A</v>
      </c>
      <c r="F74" s="245" t="e">
        <f>IF(C74&lt;&gt;"",VLOOKUP("M"&amp;C74,'EXP. ESP.'!$A$20:$V$6999,17,0),"")</f>
        <v>#N/A</v>
      </c>
      <c r="G74" s="342" t="e">
        <f>IF(C74&lt;&gt;"",VLOOKUP("P"&amp;C74,'EXP. ESP.'!$A$20:$V$6999,16,0),"")</f>
        <v>#N/A</v>
      </c>
      <c r="H74" s="342" t="e">
        <f>IF(C74&lt;&gt;"",IF(VLOOKUP(C74,HAB.EXP.ESP.!$C$27:$N$226,4,0)="NO CUMPLE",0,IF(E74="HÁBIL",IF(G74&lt;PPHMOD,ROUND((PTJEEXPESP1*(G74/PPHMOD)),3),IF(OR(ROUND(PTJEEXPESP1*(((3*PPHMOD)-G74)/(2*PPHMOD)),3)&lt;=0,G74&gt;=(3*PLAZOMOD)),0,ROUND(PTJEEXPESP1*(((3*PPHMOD)-G74)/(2*PPHMOD)),3))),0)),"")</f>
        <v>#N/A</v>
      </c>
      <c r="I74" s="352" t="e">
        <f>IF(C74&lt;&gt;"",VLOOKUP("S"&amp;C74,'EXP. ESP.'!$A$20:$V$6999,16,0),"")</f>
        <v>#N/A</v>
      </c>
      <c r="J74" s="358" t="e">
        <f>IF(C74&lt;&gt;"",IF(VLOOKUP(C74,HAB.EXP.ESP.!$C$27:$N$226,4,0)="NO CUMPLE",0,IF(E74="HÁBIL",IF(I74&lt;=PORPMFOMOD,ROUND(PTJEEXPESP2-(PTJEEXPESP2/(POWER(PORPMFOMOD,2)))*(POWER(I74-PORPMFOMOD,2)),3),IF(OR(I74&gt;=$I$21,ROUND((I74/PMFOMOD),3)&gt;=RELACIONPO),0,ROUND(PTJEEXPESP2-(1/$I$20)*(PTJEEXPESP2/(POWER(PORPMFOMOD,2)))*(POWER(I74-PORPMFOMOD,2)),3))),0)),"")</f>
        <v>#N/A</v>
      </c>
    </row>
    <row r="75" spans="2:10" ht="13.5" hidden="1">
      <c r="B75" s="230">
        <v>46</v>
      </c>
      <c r="C75" s="129" t="e">
        <f>IF(VLOOKUP(B75,PROPONENTES!$B$19:$E$219,2,0)="","",VLOOKUP(B75,PROPONENTES!$B$19:$E$219,2,0))</f>
        <v>#N/A</v>
      </c>
      <c r="D75" s="130" t="e">
        <f>IF(VLOOKUP(B75,PROPONENTES!$B$19:$E$218,3,0)="","",VLOOKUP(B75,PROPONENTES!$B$19:$E$218,3,0))</f>
        <v>#N/A</v>
      </c>
      <c r="E75" s="135" t="e">
        <f>IF(C75&lt;&gt;"",VLOOKUP(C75,HAB.EXP.ESP.!$C$27:$N$226,12),"")</f>
        <v>#N/A</v>
      </c>
      <c r="F75" s="245" t="e">
        <f>IF(C75&lt;&gt;"",VLOOKUP("M"&amp;C75,'EXP. ESP.'!$A$20:$V$6999,17,0),"")</f>
        <v>#N/A</v>
      </c>
      <c r="G75" s="342" t="e">
        <f>IF(C75&lt;&gt;"",VLOOKUP("P"&amp;C75,'EXP. ESP.'!$A$20:$V$6999,16,0),"")</f>
        <v>#N/A</v>
      </c>
      <c r="H75" s="342" t="e">
        <f>IF(C75&lt;&gt;"",IF(VLOOKUP(C75,HAB.EXP.ESP.!$C$27:$N$226,4,0)="NO CUMPLE",0,IF(E75="HÁBIL",IF(G75&lt;PPHMOD,ROUND((PTJEEXPESP1*(G75/PPHMOD)),3),IF(OR(ROUND(PTJEEXPESP1*(((3*PPHMOD)-G75)/(2*PPHMOD)),3)&lt;=0,G75&gt;=(3*PLAZOMOD)),0,ROUND(PTJEEXPESP1*(((3*PPHMOD)-G75)/(2*PPHMOD)),3))),0)),"")</f>
        <v>#N/A</v>
      </c>
      <c r="I75" s="352" t="e">
        <f>IF(C75&lt;&gt;"",VLOOKUP("S"&amp;C75,'EXP. ESP.'!$A$20:$V$6999,16,0),"")</f>
        <v>#N/A</v>
      </c>
      <c r="J75" s="358" t="e">
        <f>IF(C75&lt;&gt;"",IF(VLOOKUP(C75,HAB.EXP.ESP.!$C$27:$N$226,4,0)="NO CUMPLE",0,IF(E75="HÁBIL",IF(I75&lt;=PORPMFOMOD,ROUND(PTJEEXPESP2-(PTJEEXPESP2/(POWER(PORPMFOMOD,2)))*(POWER(I75-PORPMFOMOD,2)),3),IF(OR(I75&gt;=$I$21,ROUND((I75/PMFOMOD),3)&gt;=RELACIONPO),0,ROUND(PTJEEXPESP2-(1/$I$20)*(PTJEEXPESP2/(POWER(PORPMFOMOD,2)))*(POWER(I75-PORPMFOMOD,2)),3))),0)),"")</f>
        <v>#N/A</v>
      </c>
    </row>
    <row r="76" spans="2:10" ht="13.5" hidden="1">
      <c r="B76" s="231">
        <v>47</v>
      </c>
      <c r="C76" s="129" t="e">
        <f>IF(VLOOKUP(B76,PROPONENTES!$B$19:$E$219,2,0)="","",VLOOKUP(B76,PROPONENTES!$B$19:$E$219,2,0))</f>
        <v>#N/A</v>
      </c>
      <c r="D76" s="130" t="e">
        <f>IF(VLOOKUP(B76,PROPONENTES!$B$19:$E$218,3,0)="","",VLOOKUP(B76,PROPONENTES!$B$19:$E$218,3,0))</f>
        <v>#N/A</v>
      </c>
      <c r="E76" s="135" t="e">
        <f>IF(C76&lt;&gt;"",VLOOKUP(C76,HAB.EXP.ESP.!$C$27:$N$226,12),"")</f>
        <v>#N/A</v>
      </c>
      <c r="F76" s="245" t="e">
        <f>IF(C76&lt;&gt;"",VLOOKUP("M"&amp;C76,'EXP. ESP.'!$A$20:$V$6999,17,0),"")</f>
        <v>#N/A</v>
      </c>
      <c r="G76" s="342" t="e">
        <f>IF(C76&lt;&gt;"",VLOOKUP("P"&amp;C76,'EXP. ESP.'!$A$20:$V$6999,16,0),"")</f>
        <v>#N/A</v>
      </c>
      <c r="H76" s="342" t="e">
        <f>IF(C76&lt;&gt;"",IF(VLOOKUP(C76,HAB.EXP.ESP.!$C$27:$N$226,4,0)="NO CUMPLE",0,IF(E76="HÁBIL",IF(G76&lt;PPHMOD,ROUND((PTJEEXPESP1*(G76/PPHMOD)),3),IF(OR(ROUND(PTJEEXPESP1*(((3*PPHMOD)-G76)/(2*PPHMOD)),3)&lt;=0,G76&gt;=(3*PLAZOMOD)),0,ROUND(PTJEEXPESP1*(((3*PPHMOD)-G76)/(2*PPHMOD)),3))),0)),"")</f>
        <v>#N/A</v>
      </c>
      <c r="I76" s="352" t="e">
        <f>IF(C76&lt;&gt;"",VLOOKUP("S"&amp;C76,'EXP. ESP.'!$A$20:$V$6999,16,0),"")</f>
        <v>#N/A</v>
      </c>
      <c r="J76" s="358" t="e">
        <f>IF(C76&lt;&gt;"",IF(VLOOKUP(C76,HAB.EXP.ESP.!$C$27:$N$226,4,0)="NO CUMPLE",0,IF(E76="HÁBIL",IF(I76&lt;=PORPMFOMOD,ROUND(PTJEEXPESP2-(PTJEEXPESP2/(POWER(PORPMFOMOD,2)))*(POWER(I76-PORPMFOMOD,2)),3),IF(OR(I76&gt;=$I$21,ROUND((I76/PMFOMOD),3)&gt;=RELACIONPO),0,ROUND(PTJEEXPESP2-(1/$I$20)*(PTJEEXPESP2/(POWER(PORPMFOMOD,2)))*(POWER(I76-PORPMFOMOD,2)),3))),0)),"")</f>
        <v>#N/A</v>
      </c>
    </row>
    <row r="77" spans="2:10" ht="13.5" hidden="1">
      <c r="B77" s="231">
        <v>48</v>
      </c>
      <c r="C77" s="129" t="e">
        <f>IF(VLOOKUP(B77,PROPONENTES!$B$19:$E$219,2,0)="","",VLOOKUP(B77,PROPONENTES!$B$19:$E$219,2,0))</f>
        <v>#N/A</v>
      </c>
      <c r="D77" s="130" t="e">
        <f>IF(VLOOKUP(B77,PROPONENTES!$B$19:$E$218,3,0)="","",VLOOKUP(B77,PROPONENTES!$B$19:$E$218,3,0))</f>
        <v>#N/A</v>
      </c>
      <c r="E77" s="135" t="e">
        <f>IF(C77&lt;&gt;"",VLOOKUP(C77,HAB.EXP.ESP.!$C$27:$N$226,12),"")</f>
        <v>#N/A</v>
      </c>
      <c r="F77" s="245" t="e">
        <f>IF(C77&lt;&gt;"",VLOOKUP("M"&amp;C77,'EXP. ESP.'!$A$20:$V$6999,17,0),"")</f>
        <v>#N/A</v>
      </c>
      <c r="G77" s="342" t="e">
        <f>IF(C77&lt;&gt;"",VLOOKUP("P"&amp;C77,'EXP. ESP.'!$A$20:$V$6999,16,0),"")</f>
        <v>#N/A</v>
      </c>
      <c r="H77" s="342" t="e">
        <f>IF(C77&lt;&gt;"",IF(VLOOKUP(C77,HAB.EXP.ESP.!$C$27:$N$226,4,0)="NO CUMPLE",0,IF(E77="HÁBIL",IF(G77&lt;PPHMOD,ROUND((PTJEEXPESP1*(G77/PPHMOD)),3),IF(OR(ROUND(PTJEEXPESP1*(((3*PPHMOD)-G77)/(2*PPHMOD)),3)&lt;=0,G77&gt;=(3*PLAZOMOD)),0,ROUND(PTJEEXPESP1*(((3*PPHMOD)-G77)/(2*PPHMOD)),3))),0)),"")</f>
        <v>#N/A</v>
      </c>
      <c r="I77" s="352" t="e">
        <f>IF(C77&lt;&gt;"",VLOOKUP("S"&amp;C77,'EXP. ESP.'!$A$20:$V$6999,16,0),"")</f>
        <v>#N/A</v>
      </c>
      <c r="J77" s="358" t="e">
        <f>IF(C77&lt;&gt;"",IF(VLOOKUP(C77,HAB.EXP.ESP.!$C$27:$N$226,4,0)="NO CUMPLE",0,IF(E77="HÁBIL",IF(I77&lt;=PORPMFOMOD,ROUND(PTJEEXPESP2-(PTJEEXPESP2/(POWER(PORPMFOMOD,2)))*(POWER(I77-PORPMFOMOD,2)),3),IF(OR(I77&gt;=$I$21,ROUND((I77/PMFOMOD),3)&gt;=RELACIONPO),0,ROUND(PTJEEXPESP2-(1/$I$20)*(PTJEEXPESP2/(POWER(PORPMFOMOD,2)))*(POWER(I77-PORPMFOMOD,2)),3))),0)),"")</f>
        <v>#N/A</v>
      </c>
    </row>
    <row r="78" spans="2:10" ht="13.5" hidden="1">
      <c r="B78" s="230">
        <v>49</v>
      </c>
      <c r="C78" s="129" t="e">
        <f>IF(VLOOKUP(B78,PROPONENTES!$B$19:$E$219,2,0)="","",VLOOKUP(B78,PROPONENTES!$B$19:$E$219,2,0))</f>
        <v>#N/A</v>
      </c>
      <c r="D78" s="130" t="e">
        <f>IF(VLOOKUP(B78,PROPONENTES!$B$19:$E$218,3,0)="","",VLOOKUP(B78,PROPONENTES!$B$19:$E$218,3,0))</f>
        <v>#N/A</v>
      </c>
      <c r="E78" s="135" t="e">
        <f>IF(C78&lt;&gt;"",VLOOKUP(C78,HAB.EXP.ESP.!$C$27:$N$226,12),"")</f>
        <v>#N/A</v>
      </c>
      <c r="F78" s="245" t="e">
        <f>IF(C78&lt;&gt;"",VLOOKUP("M"&amp;C78,'EXP. ESP.'!$A$20:$V$6999,17,0),"")</f>
        <v>#N/A</v>
      </c>
      <c r="G78" s="342" t="e">
        <f>IF(C78&lt;&gt;"",VLOOKUP("P"&amp;C78,'EXP. ESP.'!$A$20:$V$6999,16,0),"")</f>
        <v>#N/A</v>
      </c>
      <c r="H78" s="342" t="e">
        <f>IF(C78&lt;&gt;"",IF(VLOOKUP(C78,HAB.EXP.ESP.!$C$27:$N$226,4,0)="NO CUMPLE",0,IF(E78="HÁBIL",IF(G78&lt;PPHMOD,ROUND((PTJEEXPESP1*(G78/PPHMOD)),3),IF(OR(ROUND(PTJEEXPESP1*(((3*PPHMOD)-G78)/(2*PPHMOD)),3)&lt;=0,G78&gt;=(3*PLAZOMOD)),0,ROUND(PTJEEXPESP1*(((3*PPHMOD)-G78)/(2*PPHMOD)),3))),0)),"")</f>
        <v>#N/A</v>
      </c>
      <c r="I78" s="352" t="e">
        <f>IF(C78&lt;&gt;"",VLOOKUP("S"&amp;C78,'EXP. ESP.'!$A$20:$V$6999,16,0),"")</f>
        <v>#N/A</v>
      </c>
      <c r="J78" s="358" t="e">
        <f>IF(C78&lt;&gt;"",IF(VLOOKUP(C78,HAB.EXP.ESP.!$C$27:$N$226,4,0)="NO CUMPLE",0,IF(E78="HÁBIL",IF(I78&lt;=PORPMFOMOD,ROUND(PTJEEXPESP2-(PTJEEXPESP2/(POWER(PORPMFOMOD,2)))*(POWER(I78-PORPMFOMOD,2)),3),IF(OR(I78&gt;=$I$21,ROUND((I78/PMFOMOD),3)&gt;=RELACIONPO),0,ROUND(PTJEEXPESP2-(1/$I$20)*(PTJEEXPESP2/(POWER(PORPMFOMOD,2)))*(POWER(I78-PORPMFOMOD,2)),3))),0)),"")</f>
        <v>#N/A</v>
      </c>
    </row>
    <row r="79" spans="2:10" ht="13.5" hidden="1">
      <c r="B79" s="231">
        <v>50</v>
      </c>
      <c r="C79" s="129" t="e">
        <f>IF(VLOOKUP(B79,PROPONENTES!$B$19:$E$219,2,0)="","",VLOOKUP(B79,PROPONENTES!$B$19:$E$219,2,0))</f>
        <v>#N/A</v>
      </c>
      <c r="D79" s="130" t="e">
        <f>IF(VLOOKUP(B79,PROPONENTES!$B$19:$E$218,3,0)="","",VLOOKUP(B79,PROPONENTES!$B$19:$E$218,3,0))</f>
        <v>#N/A</v>
      </c>
      <c r="E79" s="135" t="e">
        <f>IF(C79&lt;&gt;"",VLOOKUP(C79,HAB.EXP.ESP.!$C$27:$N$226,12),"")</f>
        <v>#N/A</v>
      </c>
      <c r="F79" s="245" t="e">
        <f>IF(C79&lt;&gt;"",VLOOKUP("M"&amp;C79,'EXP. ESP.'!$A$20:$V$6999,17,0),"")</f>
        <v>#N/A</v>
      </c>
      <c r="G79" s="342" t="e">
        <f>IF(C79&lt;&gt;"",VLOOKUP("P"&amp;C79,'EXP. ESP.'!$A$20:$V$6999,16,0),"")</f>
        <v>#N/A</v>
      </c>
      <c r="H79" s="342" t="e">
        <f>IF(C79&lt;&gt;"",IF(VLOOKUP(C79,HAB.EXP.ESP.!$C$27:$N$226,4,0)="NO CUMPLE",0,IF(E79="HÁBIL",IF(G79&lt;PPHMOD,ROUND((PTJEEXPESP1*(G79/PPHMOD)),3),IF(OR(ROUND(PTJEEXPESP1*(((3*PPHMOD)-G79)/(2*PPHMOD)),3)&lt;=0,G79&gt;=(3*PLAZOMOD)),0,ROUND(PTJEEXPESP1*(((3*PPHMOD)-G79)/(2*PPHMOD)),3))),0)),"")</f>
        <v>#N/A</v>
      </c>
      <c r="I79" s="352" t="e">
        <f>IF(C79&lt;&gt;"",VLOOKUP("S"&amp;C79,'EXP. ESP.'!$A$20:$V$6999,16,0),"")</f>
        <v>#N/A</v>
      </c>
      <c r="J79" s="358" t="e">
        <f>IF(C79&lt;&gt;"",IF(VLOOKUP(C79,HAB.EXP.ESP.!$C$27:$N$226,4,0)="NO CUMPLE",0,IF(E79="HÁBIL",IF(I79&lt;=PORPMFOMOD,ROUND(PTJEEXPESP2-(PTJEEXPESP2/(POWER(PORPMFOMOD,2)))*(POWER(I79-PORPMFOMOD,2)),3),IF(OR(I79&gt;=$I$21,ROUND((I79/PMFOMOD),3)&gt;=RELACIONPO),0,ROUND(PTJEEXPESP2-(1/$I$20)*(PTJEEXPESP2/(POWER(PORPMFOMOD,2)))*(POWER(I79-PORPMFOMOD,2)),3))),0)),"")</f>
        <v>#N/A</v>
      </c>
    </row>
    <row r="80" spans="2:10" ht="13.5" hidden="1">
      <c r="B80" s="231">
        <v>51</v>
      </c>
      <c r="C80" s="129" t="e">
        <f>IF(VLOOKUP(B80,PROPONENTES!$B$19:$E$219,2,0)="","",VLOOKUP(B80,PROPONENTES!$B$19:$E$219,2,0))</f>
        <v>#N/A</v>
      </c>
      <c r="D80" s="130" t="e">
        <f>IF(VLOOKUP(B80,PROPONENTES!$B$19:$E$218,3,0)="","",VLOOKUP(B80,PROPONENTES!$B$19:$E$218,3,0))</f>
        <v>#N/A</v>
      </c>
      <c r="E80" s="135" t="e">
        <f>IF(C80&lt;&gt;"",VLOOKUP(C80,HAB.EXP.ESP.!$C$27:$N$226,12),"")</f>
        <v>#N/A</v>
      </c>
      <c r="F80" s="245" t="e">
        <f>IF(C80&lt;&gt;"",VLOOKUP("M"&amp;C80,'EXP. ESP.'!$A$20:$V$6999,17,0),"")</f>
        <v>#N/A</v>
      </c>
      <c r="G80" s="342" t="e">
        <f>IF(C80&lt;&gt;"",VLOOKUP("P"&amp;C80,'EXP. ESP.'!$A$20:$V$6999,16,0),"")</f>
        <v>#N/A</v>
      </c>
      <c r="H80" s="342" t="e">
        <f>IF(C80&lt;&gt;"",IF(VLOOKUP(C80,HAB.EXP.ESP.!$C$27:$N$226,4,0)="NO CUMPLE",0,IF(E80="HÁBIL",IF(G80&lt;PPHMOD,ROUND((PTJEEXPESP1*(G80/PPHMOD)),3),IF(OR(ROUND(PTJEEXPESP1*(((3*PPHMOD)-G80)/(2*PPHMOD)),3)&lt;=0,G80&gt;=(3*PLAZOMOD)),0,ROUND(PTJEEXPESP1*(((3*PPHMOD)-G80)/(2*PPHMOD)),3))),0)),"")</f>
        <v>#N/A</v>
      </c>
      <c r="I80" s="352" t="e">
        <f>IF(C80&lt;&gt;"",VLOOKUP("S"&amp;C80,'EXP. ESP.'!$A$20:$V$6999,16,0),"")</f>
        <v>#N/A</v>
      </c>
      <c r="J80" s="358" t="e">
        <f>IF(C80&lt;&gt;"",IF(VLOOKUP(C80,HAB.EXP.ESP.!$C$27:$N$226,4,0)="NO CUMPLE",0,IF(E80="HÁBIL",IF(I80&lt;=PORPMFOMOD,ROUND(PTJEEXPESP2-(PTJEEXPESP2/(POWER(PORPMFOMOD,2)))*(POWER(I80-PORPMFOMOD,2)),3),IF(OR(I80&gt;=$I$21,ROUND((I80/PMFOMOD),3)&gt;=RELACIONPO),0,ROUND(PTJEEXPESP2-(1/$I$20)*(PTJEEXPESP2/(POWER(PORPMFOMOD,2)))*(POWER(I80-PORPMFOMOD,2)),3))),0)),"")</f>
        <v>#N/A</v>
      </c>
    </row>
    <row r="81" spans="2:10" ht="13.5" hidden="1">
      <c r="B81" s="231">
        <v>52</v>
      </c>
      <c r="C81" s="129" t="e">
        <f>IF(VLOOKUP(B81,PROPONENTES!$B$19:$E$219,2,0)="","",VLOOKUP(B81,PROPONENTES!$B$19:$E$219,2,0))</f>
        <v>#N/A</v>
      </c>
      <c r="D81" s="130" t="e">
        <f>IF(VLOOKUP(B81,PROPONENTES!$B$19:$E$218,3,0)="","",VLOOKUP(B81,PROPONENTES!$B$19:$E$218,3,0))</f>
        <v>#N/A</v>
      </c>
      <c r="E81" s="135" t="e">
        <f>IF(C81&lt;&gt;"",VLOOKUP(C81,HAB.EXP.ESP.!$C$27:$N$226,12),"")</f>
        <v>#N/A</v>
      </c>
      <c r="F81" s="245" t="e">
        <f>IF(C81&lt;&gt;"",VLOOKUP("M"&amp;C81,'EXP. ESP.'!$A$20:$V$6999,17,0),"")</f>
        <v>#N/A</v>
      </c>
      <c r="G81" s="342" t="e">
        <f>IF(C81&lt;&gt;"",VLOOKUP("P"&amp;C81,'EXP. ESP.'!$A$20:$V$6999,16,0),"")</f>
        <v>#N/A</v>
      </c>
      <c r="H81" s="342" t="e">
        <f>IF(C81&lt;&gt;"",IF(VLOOKUP(C81,HAB.EXP.ESP.!$C$27:$N$226,4,0)="NO CUMPLE",0,IF(E81="HÁBIL",IF(G81&lt;PPHMOD,ROUND((PTJEEXPESP1*(G81/PPHMOD)),3),IF(OR(ROUND(PTJEEXPESP1*(((3*PPHMOD)-G81)/(2*PPHMOD)),3)&lt;=0,G81&gt;=(3*PLAZOMOD)),0,ROUND(PTJEEXPESP1*(((3*PPHMOD)-G81)/(2*PPHMOD)),3))),0)),"")</f>
        <v>#N/A</v>
      </c>
      <c r="I81" s="352" t="e">
        <f>IF(C81&lt;&gt;"",VLOOKUP("S"&amp;C81,'EXP. ESP.'!$A$20:$V$6999,16,0),"")</f>
        <v>#N/A</v>
      </c>
      <c r="J81" s="358" t="e">
        <f>IF(C81&lt;&gt;"",IF(VLOOKUP(C81,HAB.EXP.ESP.!$C$27:$N$226,4,0)="NO CUMPLE",0,IF(E81="HÁBIL",IF(I81&lt;=PORPMFOMOD,ROUND(PTJEEXPESP2-(PTJEEXPESP2/(POWER(PORPMFOMOD,2)))*(POWER(I81-PORPMFOMOD,2)),3),IF(OR(I81&gt;=$I$21,ROUND((I81/PMFOMOD),3)&gt;=RELACIONPO),0,ROUND(PTJEEXPESP2-(1/$I$20)*(PTJEEXPESP2/(POWER(PORPMFOMOD,2)))*(POWER(I81-PORPMFOMOD,2)),3))),0)),"")</f>
        <v>#N/A</v>
      </c>
    </row>
    <row r="82" spans="2:10" ht="13.5" hidden="1">
      <c r="B82" s="230">
        <v>53</v>
      </c>
      <c r="C82" s="129" t="e">
        <f>IF(VLOOKUP(B82,PROPONENTES!$B$19:$E$219,2,0)="","",VLOOKUP(B82,PROPONENTES!$B$19:$E$219,2,0))</f>
        <v>#N/A</v>
      </c>
      <c r="D82" s="130" t="e">
        <f>IF(VLOOKUP(B82,PROPONENTES!$B$19:$E$218,3,0)="","",VLOOKUP(B82,PROPONENTES!$B$19:$E$218,3,0))</f>
        <v>#N/A</v>
      </c>
      <c r="E82" s="135" t="e">
        <f>IF(C82&lt;&gt;"",VLOOKUP(C82,HAB.EXP.ESP.!$C$27:$N$226,12),"")</f>
        <v>#N/A</v>
      </c>
      <c r="F82" s="245" t="e">
        <f>IF(C82&lt;&gt;"",VLOOKUP("M"&amp;C82,'EXP. ESP.'!$A$20:$V$6999,17,0),"")</f>
        <v>#N/A</v>
      </c>
      <c r="G82" s="342" t="e">
        <f>IF(C82&lt;&gt;"",VLOOKUP("P"&amp;C82,'EXP. ESP.'!$A$20:$V$6999,16,0),"")</f>
        <v>#N/A</v>
      </c>
      <c r="H82" s="342" t="e">
        <f>IF(C82&lt;&gt;"",IF(VLOOKUP(C82,HAB.EXP.ESP.!$C$27:$N$226,4,0)="NO CUMPLE",0,IF(E82="HÁBIL",IF(G82&lt;PPHMOD,ROUND((PTJEEXPESP1*(G82/PPHMOD)),3),IF(OR(ROUND(PTJEEXPESP1*(((3*PPHMOD)-G82)/(2*PPHMOD)),3)&lt;=0,G82&gt;=(3*PLAZOMOD)),0,ROUND(PTJEEXPESP1*(((3*PPHMOD)-G82)/(2*PPHMOD)),3))),0)),"")</f>
        <v>#N/A</v>
      </c>
      <c r="I82" s="352" t="e">
        <f>IF(C82&lt;&gt;"",VLOOKUP("S"&amp;C82,'EXP. ESP.'!$A$20:$V$6999,16,0),"")</f>
        <v>#N/A</v>
      </c>
      <c r="J82" s="358" t="e">
        <f>IF(C82&lt;&gt;"",IF(VLOOKUP(C82,HAB.EXP.ESP.!$C$27:$N$226,4,0)="NO CUMPLE",0,IF(E82="HÁBIL",IF(I82&lt;=PORPMFOMOD,ROUND(PTJEEXPESP2-(PTJEEXPESP2/(POWER(PORPMFOMOD,2)))*(POWER(I82-PORPMFOMOD,2)),3),IF(OR(I82&gt;=$I$21,ROUND((I82/PMFOMOD),3)&gt;=RELACIONPO),0,ROUND(PTJEEXPESP2-(1/$I$20)*(PTJEEXPESP2/(POWER(PORPMFOMOD,2)))*(POWER(I82-PORPMFOMOD,2)),3))),0)),"")</f>
        <v>#N/A</v>
      </c>
    </row>
    <row r="83" spans="2:10" ht="13.5" hidden="1">
      <c r="B83" s="231">
        <v>54</v>
      </c>
      <c r="C83" s="129" t="e">
        <f>IF(VLOOKUP(B83,PROPONENTES!$B$19:$E$219,2,0)="","",VLOOKUP(B83,PROPONENTES!$B$19:$E$219,2,0))</f>
        <v>#N/A</v>
      </c>
      <c r="D83" s="130" t="e">
        <f>IF(VLOOKUP(B83,PROPONENTES!$B$19:$E$218,3,0)="","",VLOOKUP(B83,PROPONENTES!$B$19:$E$218,3,0))</f>
        <v>#N/A</v>
      </c>
      <c r="E83" s="135" t="e">
        <f>IF(C83&lt;&gt;"",VLOOKUP(C83,HAB.EXP.ESP.!$C$27:$N$226,12),"")</f>
        <v>#N/A</v>
      </c>
      <c r="F83" s="245" t="e">
        <f>IF(C83&lt;&gt;"",VLOOKUP("M"&amp;C83,'EXP. ESP.'!$A$20:$V$6999,17,0),"")</f>
        <v>#N/A</v>
      </c>
      <c r="G83" s="342" t="e">
        <f>IF(C83&lt;&gt;"",VLOOKUP("P"&amp;C83,'EXP. ESP.'!$A$20:$V$6999,16,0),"")</f>
        <v>#N/A</v>
      </c>
      <c r="H83" s="342" t="e">
        <f>IF(C83&lt;&gt;"",IF(VLOOKUP(C83,HAB.EXP.ESP.!$C$27:$N$226,4,0)="NO CUMPLE",0,IF(E83="HÁBIL",IF(G83&lt;PPHMOD,ROUND((PTJEEXPESP1*(G83/PPHMOD)),3),IF(OR(ROUND(PTJEEXPESP1*(((3*PPHMOD)-G83)/(2*PPHMOD)),3)&lt;=0,G83&gt;=(3*PLAZOMOD)),0,ROUND(PTJEEXPESP1*(((3*PPHMOD)-G83)/(2*PPHMOD)),3))),0)),"")</f>
        <v>#N/A</v>
      </c>
      <c r="I83" s="352" t="e">
        <f>IF(C83&lt;&gt;"",VLOOKUP("S"&amp;C83,'EXP. ESP.'!$A$20:$V$6999,16,0),"")</f>
        <v>#N/A</v>
      </c>
      <c r="J83" s="358" t="e">
        <f>IF(C83&lt;&gt;"",IF(VLOOKUP(C83,HAB.EXP.ESP.!$C$27:$N$226,4,0)="NO CUMPLE",0,IF(E83="HÁBIL",IF(I83&lt;=PORPMFOMOD,ROUND(PTJEEXPESP2-(PTJEEXPESP2/(POWER(PORPMFOMOD,2)))*(POWER(I83-PORPMFOMOD,2)),3),IF(OR(I83&gt;=$I$21,ROUND((I83/PMFOMOD),3)&gt;=RELACIONPO),0,ROUND(PTJEEXPESP2-(1/$I$20)*(PTJEEXPESP2/(POWER(PORPMFOMOD,2)))*(POWER(I83-PORPMFOMOD,2)),3))),0)),"")</f>
        <v>#N/A</v>
      </c>
    </row>
    <row r="84" spans="2:10" ht="13.5" hidden="1">
      <c r="B84" s="231">
        <v>55</v>
      </c>
      <c r="C84" s="129" t="e">
        <f>IF(VLOOKUP(B84,PROPONENTES!$B$19:$E$219,2,0)="","",VLOOKUP(B84,PROPONENTES!$B$19:$E$219,2,0))</f>
        <v>#N/A</v>
      </c>
      <c r="D84" s="130" t="e">
        <f>IF(VLOOKUP(B84,PROPONENTES!$B$19:$E$218,3,0)="","",VLOOKUP(B84,PROPONENTES!$B$19:$E$218,3,0))</f>
        <v>#N/A</v>
      </c>
      <c r="E84" s="135" t="e">
        <f>IF(C84&lt;&gt;"",VLOOKUP(C84,HAB.EXP.ESP.!$C$27:$N$226,12),"")</f>
        <v>#N/A</v>
      </c>
      <c r="F84" s="245" t="e">
        <f>IF(C84&lt;&gt;"",VLOOKUP("M"&amp;C84,'EXP. ESP.'!$A$20:$V$6999,17,0),"")</f>
        <v>#N/A</v>
      </c>
      <c r="G84" s="342" t="e">
        <f>IF(C84&lt;&gt;"",VLOOKUP("P"&amp;C84,'EXP. ESP.'!$A$20:$V$6999,16,0),"")</f>
        <v>#N/A</v>
      </c>
      <c r="H84" s="342" t="e">
        <f>IF(C84&lt;&gt;"",IF(VLOOKUP(C84,HAB.EXP.ESP.!$C$27:$N$226,4,0)="NO CUMPLE",0,IF(E84="HÁBIL",IF(G84&lt;PPHMOD,ROUND((PTJEEXPESP1*(G84/PPHMOD)),3),IF(OR(ROUND(PTJEEXPESP1*(((3*PPHMOD)-G84)/(2*PPHMOD)),3)&lt;=0,G84&gt;=(3*PLAZOMOD)),0,ROUND(PTJEEXPESP1*(((3*PPHMOD)-G84)/(2*PPHMOD)),3))),0)),"")</f>
        <v>#N/A</v>
      </c>
      <c r="I84" s="352" t="e">
        <f>IF(C84&lt;&gt;"",VLOOKUP("S"&amp;C84,'EXP. ESP.'!$A$20:$V$6999,16,0),"")</f>
        <v>#N/A</v>
      </c>
      <c r="J84" s="358" t="e">
        <f>IF(C84&lt;&gt;"",IF(VLOOKUP(C84,HAB.EXP.ESP.!$C$27:$N$226,4,0)="NO CUMPLE",0,IF(E84="HÁBIL",IF(I84&lt;=PORPMFOMOD,ROUND(PTJEEXPESP2-(PTJEEXPESP2/(POWER(PORPMFOMOD,2)))*(POWER(I84-PORPMFOMOD,2)),3),IF(OR(I84&gt;=$I$21,ROUND((I84/PMFOMOD),3)&gt;=RELACIONPO),0,ROUND(PTJEEXPESP2-(1/$I$20)*(PTJEEXPESP2/(POWER(PORPMFOMOD,2)))*(POWER(I84-PORPMFOMOD,2)),3))),0)),"")</f>
        <v>#N/A</v>
      </c>
    </row>
    <row r="85" spans="2:10" ht="13.5" hidden="1">
      <c r="B85" s="231">
        <v>56</v>
      </c>
      <c r="C85" s="129" t="e">
        <f>IF(VLOOKUP(B85,PROPONENTES!$B$19:$E$219,2,0)="","",VLOOKUP(B85,PROPONENTES!$B$19:$E$219,2,0))</f>
        <v>#N/A</v>
      </c>
      <c r="D85" s="130" t="e">
        <f>IF(VLOOKUP(B85,PROPONENTES!$B$19:$E$218,3,0)="","",VLOOKUP(B85,PROPONENTES!$B$19:$E$218,3,0))</f>
        <v>#N/A</v>
      </c>
      <c r="E85" s="135" t="e">
        <f>IF(C85&lt;&gt;"",VLOOKUP(C85,HAB.EXP.ESP.!$C$27:$N$226,12),"")</f>
        <v>#N/A</v>
      </c>
      <c r="F85" s="245" t="e">
        <f>IF(C85&lt;&gt;"",VLOOKUP("M"&amp;C85,'EXP. ESP.'!$A$20:$V$6999,17,0),"")</f>
        <v>#N/A</v>
      </c>
      <c r="G85" s="342" t="e">
        <f>IF(C85&lt;&gt;"",VLOOKUP("P"&amp;C85,'EXP. ESP.'!$A$20:$V$6999,16,0),"")</f>
        <v>#N/A</v>
      </c>
      <c r="H85" s="342" t="e">
        <f>IF(C85&lt;&gt;"",IF(VLOOKUP(C85,HAB.EXP.ESP.!$C$27:$N$226,4,0)="NO CUMPLE",0,IF(E85="HÁBIL",IF(G85&lt;PPHMOD,ROUND((PTJEEXPESP1*(G85/PPHMOD)),3),IF(OR(ROUND(PTJEEXPESP1*(((3*PPHMOD)-G85)/(2*PPHMOD)),3)&lt;=0,G85&gt;=(3*PLAZOMOD)),0,ROUND(PTJEEXPESP1*(((3*PPHMOD)-G85)/(2*PPHMOD)),3))),0)),"")</f>
        <v>#N/A</v>
      </c>
      <c r="I85" s="352" t="e">
        <f>IF(C85&lt;&gt;"",VLOOKUP("S"&amp;C85,'EXP. ESP.'!$A$20:$V$6999,16,0),"")</f>
        <v>#N/A</v>
      </c>
      <c r="J85" s="358" t="e">
        <f>IF(C85&lt;&gt;"",IF(VLOOKUP(C85,HAB.EXP.ESP.!$C$27:$N$226,4,0)="NO CUMPLE",0,IF(E85="HÁBIL",IF(I85&lt;=PORPMFOMOD,ROUND(PTJEEXPESP2-(PTJEEXPESP2/(POWER(PORPMFOMOD,2)))*(POWER(I85-PORPMFOMOD,2)),3),IF(OR(I85&gt;=$I$21,ROUND((I85/PMFOMOD),3)&gt;=RELACIONPO),0,ROUND(PTJEEXPESP2-(1/$I$20)*(PTJEEXPESP2/(POWER(PORPMFOMOD,2)))*(POWER(I85-PORPMFOMOD,2)),3))),0)),"")</f>
        <v>#N/A</v>
      </c>
    </row>
    <row r="86" spans="2:10" ht="13.5" hidden="1">
      <c r="B86" s="230">
        <v>57</v>
      </c>
      <c r="C86" s="129" t="e">
        <f>IF(VLOOKUP(B86,PROPONENTES!$B$19:$E$219,2,0)="","",VLOOKUP(B86,PROPONENTES!$B$19:$E$219,2,0))</f>
        <v>#N/A</v>
      </c>
      <c r="D86" s="130" t="e">
        <f>IF(VLOOKUP(B86,PROPONENTES!$B$19:$E$218,3,0)="","",VLOOKUP(B86,PROPONENTES!$B$19:$E$218,3,0))</f>
        <v>#N/A</v>
      </c>
      <c r="E86" s="135" t="e">
        <f>IF(C86&lt;&gt;"",VLOOKUP(C86,HAB.EXP.ESP.!$C$27:$N$226,12),"")</f>
        <v>#N/A</v>
      </c>
      <c r="F86" s="245" t="e">
        <f>IF(C86&lt;&gt;"",VLOOKUP("M"&amp;C86,'EXP. ESP.'!$A$20:$V$6999,17,0),"")</f>
        <v>#N/A</v>
      </c>
      <c r="G86" s="342" t="e">
        <f>IF(C86&lt;&gt;"",VLOOKUP("P"&amp;C86,'EXP. ESP.'!$A$20:$V$6999,16,0),"")</f>
        <v>#N/A</v>
      </c>
      <c r="H86" s="342" t="e">
        <f>IF(C86&lt;&gt;"",IF(VLOOKUP(C86,HAB.EXP.ESP.!$C$27:$N$226,4,0)="NO CUMPLE",0,IF(E86="HÁBIL",IF(G86&lt;PPHMOD,ROUND((PTJEEXPESP1*(G86/PPHMOD)),3),IF(OR(ROUND(PTJEEXPESP1*(((3*PPHMOD)-G86)/(2*PPHMOD)),3)&lt;=0,G86&gt;=(3*PLAZOMOD)),0,ROUND(PTJEEXPESP1*(((3*PPHMOD)-G86)/(2*PPHMOD)),3))),0)),"")</f>
        <v>#N/A</v>
      </c>
      <c r="I86" s="352" t="e">
        <f>IF(C86&lt;&gt;"",VLOOKUP("S"&amp;C86,'EXP. ESP.'!$A$20:$V$6999,16,0),"")</f>
        <v>#N/A</v>
      </c>
      <c r="J86" s="358" t="e">
        <f>IF(C86&lt;&gt;"",IF(VLOOKUP(C86,HAB.EXP.ESP.!$C$27:$N$226,4,0)="NO CUMPLE",0,IF(E86="HÁBIL",IF(I86&lt;=PORPMFOMOD,ROUND(PTJEEXPESP2-(PTJEEXPESP2/(POWER(PORPMFOMOD,2)))*(POWER(I86-PORPMFOMOD,2)),3),IF(OR(I86&gt;=$I$21,ROUND((I86/PMFOMOD),3)&gt;=RELACIONPO),0,ROUND(PTJEEXPESP2-(1/$I$20)*(PTJEEXPESP2/(POWER(PORPMFOMOD,2)))*(POWER(I86-PORPMFOMOD,2)),3))),0)),"")</f>
        <v>#N/A</v>
      </c>
    </row>
    <row r="87" spans="2:10" ht="13.5" hidden="1">
      <c r="B87" s="231">
        <v>58</v>
      </c>
      <c r="C87" s="129" t="e">
        <f>IF(VLOOKUP(B87,PROPONENTES!$B$19:$E$219,2,0)="","",VLOOKUP(B87,PROPONENTES!$B$19:$E$219,2,0))</f>
        <v>#N/A</v>
      </c>
      <c r="D87" s="130" t="e">
        <f>IF(VLOOKUP(B87,PROPONENTES!$B$19:$E$218,3,0)="","",VLOOKUP(B87,PROPONENTES!$B$19:$E$218,3,0))</f>
        <v>#N/A</v>
      </c>
      <c r="E87" s="135" t="e">
        <f>IF(C87&lt;&gt;"",VLOOKUP(C87,HAB.EXP.ESP.!$C$27:$N$226,12),"")</f>
        <v>#N/A</v>
      </c>
      <c r="F87" s="245" t="e">
        <f>IF(C87&lt;&gt;"",VLOOKUP("M"&amp;C87,'EXP. ESP.'!$A$20:$V$6999,17,0),"")</f>
        <v>#N/A</v>
      </c>
      <c r="G87" s="342" t="e">
        <f>IF(C87&lt;&gt;"",VLOOKUP("P"&amp;C87,'EXP. ESP.'!$A$20:$V$6999,16,0),"")</f>
        <v>#N/A</v>
      </c>
      <c r="H87" s="342" t="e">
        <f>IF(C87&lt;&gt;"",IF(VLOOKUP(C87,HAB.EXP.ESP.!$C$27:$N$226,4,0)="NO CUMPLE",0,IF(E87="HÁBIL",IF(G87&lt;PPHMOD,ROUND((PTJEEXPESP1*(G87/PPHMOD)),3),IF(OR(ROUND(PTJEEXPESP1*(((3*PPHMOD)-G87)/(2*PPHMOD)),3)&lt;=0,G87&gt;=(3*PLAZOMOD)),0,ROUND(PTJEEXPESP1*(((3*PPHMOD)-G87)/(2*PPHMOD)),3))),0)),"")</f>
        <v>#N/A</v>
      </c>
      <c r="I87" s="352" t="e">
        <f>IF(C87&lt;&gt;"",VLOOKUP("S"&amp;C87,'EXP. ESP.'!$A$20:$V$6999,16,0),"")</f>
        <v>#N/A</v>
      </c>
      <c r="J87" s="358" t="e">
        <f>IF(C87&lt;&gt;"",IF(VLOOKUP(C87,HAB.EXP.ESP.!$C$27:$N$226,4,0)="NO CUMPLE",0,IF(E87="HÁBIL",IF(I87&lt;=PORPMFOMOD,ROUND(PTJEEXPESP2-(PTJEEXPESP2/(POWER(PORPMFOMOD,2)))*(POWER(I87-PORPMFOMOD,2)),3),IF(OR(I87&gt;=$I$21,ROUND((I87/PMFOMOD),3)&gt;=RELACIONPO),0,ROUND(PTJEEXPESP2-(1/$I$20)*(PTJEEXPESP2/(POWER(PORPMFOMOD,2)))*(POWER(I87-PORPMFOMOD,2)),3))),0)),"")</f>
        <v>#N/A</v>
      </c>
    </row>
    <row r="88" spans="2:10" ht="13.5" hidden="1">
      <c r="B88" s="231">
        <v>59</v>
      </c>
      <c r="C88" s="129" t="e">
        <f>IF(VLOOKUP(B88,PROPONENTES!$B$19:$E$219,2,0)="","",VLOOKUP(B88,PROPONENTES!$B$19:$E$219,2,0))</f>
        <v>#N/A</v>
      </c>
      <c r="D88" s="130" t="e">
        <f>IF(VLOOKUP(B88,PROPONENTES!$B$19:$E$218,3,0)="","",VLOOKUP(B88,PROPONENTES!$B$19:$E$218,3,0))</f>
        <v>#N/A</v>
      </c>
      <c r="E88" s="135" t="e">
        <f>IF(C88&lt;&gt;"",VLOOKUP(C88,HAB.EXP.ESP.!$C$27:$N$226,12),"")</f>
        <v>#N/A</v>
      </c>
      <c r="F88" s="245" t="e">
        <f>IF(C88&lt;&gt;"",VLOOKUP("M"&amp;C88,'EXP. ESP.'!$A$20:$V$6999,17,0),"")</f>
        <v>#N/A</v>
      </c>
      <c r="G88" s="342" t="e">
        <f>IF(C88&lt;&gt;"",VLOOKUP("P"&amp;C88,'EXP. ESP.'!$A$20:$V$6999,16,0),"")</f>
        <v>#N/A</v>
      </c>
      <c r="H88" s="342" t="e">
        <f>IF(C88&lt;&gt;"",IF(VLOOKUP(C88,HAB.EXP.ESP.!$C$27:$N$226,4,0)="NO CUMPLE",0,IF(E88="HÁBIL",IF(G88&lt;PPHMOD,ROUND((PTJEEXPESP1*(G88/PPHMOD)),3),IF(OR(ROUND(PTJEEXPESP1*(((3*PPHMOD)-G88)/(2*PPHMOD)),3)&lt;=0,G88&gt;=(3*PLAZOMOD)),0,ROUND(PTJEEXPESP1*(((3*PPHMOD)-G88)/(2*PPHMOD)),3))),0)),"")</f>
        <v>#N/A</v>
      </c>
      <c r="I88" s="352" t="e">
        <f>IF(C88&lt;&gt;"",VLOOKUP("S"&amp;C88,'EXP. ESP.'!$A$20:$V$6999,16,0),"")</f>
        <v>#N/A</v>
      </c>
      <c r="J88" s="358" t="e">
        <f>IF(C88&lt;&gt;"",IF(VLOOKUP(C88,HAB.EXP.ESP.!$C$27:$N$226,4,0)="NO CUMPLE",0,IF(E88="HÁBIL",IF(I88&lt;=PORPMFOMOD,ROUND(PTJEEXPESP2-(PTJEEXPESP2/(POWER(PORPMFOMOD,2)))*(POWER(I88-PORPMFOMOD,2)),3),IF(OR(I88&gt;=$I$21,ROUND((I88/PMFOMOD),3)&gt;=RELACIONPO),0,ROUND(PTJEEXPESP2-(1/$I$20)*(PTJEEXPESP2/(POWER(PORPMFOMOD,2)))*(POWER(I88-PORPMFOMOD,2)),3))),0)),"")</f>
        <v>#N/A</v>
      </c>
    </row>
    <row r="89" spans="2:10" ht="13.5" hidden="1">
      <c r="B89" s="231">
        <v>60</v>
      </c>
      <c r="C89" s="129" t="e">
        <f>IF(VLOOKUP(B89,PROPONENTES!$B$19:$E$219,2,0)="","",VLOOKUP(B89,PROPONENTES!$B$19:$E$219,2,0))</f>
        <v>#N/A</v>
      </c>
      <c r="D89" s="130" t="e">
        <f>IF(VLOOKUP(B89,PROPONENTES!$B$19:$E$218,3,0)="","",VLOOKUP(B89,PROPONENTES!$B$19:$E$218,3,0))</f>
        <v>#N/A</v>
      </c>
      <c r="E89" s="135" t="e">
        <f>IF(C89&lt;&gt;"",VLOOKUP(C89,HAB.EXP.ESP.!$C$27:$N$226,12),"")</f>
        <v>#N/A</v>
      </c>
      <c r="F89" s="245" t="e">
        <f>IF(C89&lt;&gt;"",VLOOKUP("M"&amp;C89,'EXP. ESP.'!$A$20:$V$6999,17,0),"")</f>
        <v>#N/A</v>
      </c>
      <c r="G89" s="342" t="e">
        <f>IF(C89&lt;&gt;"",VLOOKUP("P"&amp;C89,'EXP. ESP.'!$A$20:$V$6999,16,0),"")</f>
        <v>#N/A</v>
      </c>
      <c r="H89" s="342" t="e">
        <f>IF(C89&lt;&gt;"",IF(VLOOKUP(C89,HAB.EXP.ESP.!$C$27:$N$226,4,0)="NO CUMPLE",0,IF(E89="HÁBIL",IF(G89&lt;PPHMOD,ROUND((PTJEEXPESP1*(G89/PPHMOD)),3),IF(OR(ROUND(PTJEEXPESP1*(((3*PPHMOD)-G89)/(2*PPHMOD)),3)&lt;=0,G89&gt;=(3*PLAZOMOD)),0,ROUND(PTJEEXPESP1*(((3*PPHMOD)-G89)/(2*PPHMOD)),3))),0)),"")</f>
        <v>#N/A</v>
      </c>
      <c r="I89" s="352" t="e">
        <f>IF(C89&lt;&gt;"",VLOOKUP("S"&amp;C89,'EXP. ESP.'!$A$20:$V$6999,16,0),"")</f>
        <v>#N/A</v>
      </c>
      <c r="J89" s="358" t="e">
        <f>IF(C89&lt;&gt;"",IF(VLOOKUP(C89,HAB.EXP.ESP.!$C$27:$N$226,4,0)="NO CUMPLE",0,IF(E89="HÁBIL",IF(I89&lt;=PORPMFOMOD,ROUND(PTJEEXPESP2-(PTJEEXPESP2/(POWER(PORPMFOMOD,2)))*(POWER(I89-PORPMFOMOD,2)),3),IF(OR(I89&gt;=$I$21,ROUND((I89/PMFOMOD),3)&gt;=RELACIONPO),0,ROUND(PTJEEXPESP2-(1/$I$20)*(PTJEEXPESP2/(POWER(PORPMFOMOD,2)))*(POWER(I89-PORPMFOMOD,2)),3))),0)),"")</f>
        <v>#N/A</v>
      </c>
    </row>
    <row r="90" spans="2:10" ht="13.5" hidden="1">
      <c r="B90" s="230">
        <v>61</v>
      </c>
      <c r="C90" s="129" t="e">
        <f>IF(VLOOKUP(B90,PROPONENTES!$B$19:$E$219,2,0)="","",VLOOKUP(B90,PROPONENTES!$B$19:$E$219,2,0))</f>
        <v>#N/A</v>
      </c>
      <c r="D90" s="130" t="e">
        <f>IF(VLOOKUP(B90,PROPONENTES!$B$19:$E$218,3,0)="","",VLOOKUP(B90,PROPONENTES!$B$19:$E$218,3,0))</f>
        <v>#N/A</v>
      </c>
      <c r="E90" s="135" t="e">
        <f>IF(C90&lt;&gt;"",VLOOKUP(C90,HAB.EXP.ESP.!$C$27:$N$226,12),"")</f>
        <v>#N/A</v>
      </c>
      <c r="F90" s="245" t="e">
        <f>IF(C90&lt;&gt;"",VLOOKUP("M"&amp;C90,'EXP. ESP.'!$A$20:$V$6999,17,0),"")</f>
        <v>#N/A</v>
      </c>
      <c r="G90" s="342" t="e">
        <f>IF(C90&lt;&gt;"",VLOOKUP("P"&amp;C90,'EXP. ESP.'!$A$20:$V$6999,16,0),"")</f>
        <v>#N/A</v>
      </c>
      <c r="H90" s="342" t="e">
        <f>IF(C90&lt;&gt;"",IF(VLOOKUP(C90,HAB.EXP.ESP.!$C$27:$N$226,4,0)="NO CUMPLE",0,IF(E90="HÁBIL",IF(G90&lt;PPHMOD,ROUND((PTJEEXPESP1*(G90/PPHMOD)),3),IF(OR(ROUND(PTJEEXPESP1*(((3*PPHMOD)-G90)/(2*PPHMOD)),3)&lt;=0,G90&gt;=(3*PLAZOMOD)),0,ROUND(PTJEEXPESP1*(((3*PPHMOD)-G90)/(2*PPHMOD)),3))),0)),"")</f>
        <v>#N/A</v>
      </c>
      <c r="I90" s="352" t="e">
        <f>IF(C90&lt;&gt;"",VLOOKUP("S"&amp;C90,'EXP. ESP.'!$A$20:$V$6999,16,0),"")</f>
        <v>#N/A</v>
      </c>
      <c r="J90" s="358" t="e">
        <f>IF(C90&lt;&gt;"",IF(VLOOKUP(C90,HAB.EXP.ESP.!$C$27:$N$226,4,0)="NO CUMPLE",0,IF(E90="HÁBIL",IF(I90&lt;=PORPMFOMOD,ROUND(PTJEEXPESP2-(PTJEEXPESP2/(POWER(PORPMFOMOD,2)))*(POWER(I90-PORPMFOMOD,2)),3),IF(OR(I90&gt;=$I$21,ROUND((I90/PMFOMOD),3)&gt;=RELACIONPO),0,ROUND(PTJEEXPESP2-(1/$I$20)*(PTJEEXPESP2/(POWER(PORPMFOMOD,2)))*(POWER(I90-PORPMFOMOD,2)),3))),0)),"")</f>
        <v>#N/A</v>
      </c>
    </row>
    <row r="91" spans="2:10" ht="13.5" hidden="1">
      <c r="B91" s="231">
        <v>62</v>
      </c>
      <c r="C91" s="129" t="e">
        <f>IF(VLOOKUP(B91,PROPONENTES!$B$19:$E$219,2,0)="","",VLOOKUP(B91,PROPONENTES!$B$19:$E$219,2,0))</f>
        <v>#N/A</v>
      </c>
      <c r="D91" s="130" t="e">
        <f>IF(VLOOKUP(B91,PROPONENTES!$B$19:$E$218,3,0)="","",VLOOKUP(B91,PROPONENTES!$B$19:$E$218,3,0))</f>
        <v>#N/A</v>
      </c>
      <c r="E91" s="135" t="e">
        <f>IF(C91&lt;&gt;"",VLOOKUP(C91,HAB.EXP.ESP.!$C$27:$N$226,12),"")</f>
        <v>#N/A</v>
      </c>
      <c r="F91" s="245" t="e">
        <f>IF(C91&lt;&gt;"",VLOOKUP("M"&amp;C91,'EXP. ESP.'!$A$20:$V$6999,17,0),"")</f>
        <v>#N/A</v>
      </c>
      <c r="G91" s="342" t="e">
        <f>IF(C91&lt;&gt;"",VLOOKUP("P"&amp;C91,'EXP. ESP.'!$A$20:$V$6999,16,0),"")</f>
        <v>#N/A</v>
      </c>
      <c r="H91" s="342" t="e">
        <f>IF(C91&lt;&gt;"",IF(VLOOKUP(C91,HAB.EXP.ESP.!$C$27:$N$226,4,0)="NO CUMPLE",0,IF(E91="HÁBIL",IF(G91&lt;PPHMOD,ROUND((PTJEEXPESP1*(G91/PPHMOD)),3),IF(OR(ROUND(PTJEEXPESP1*(((3*PPHMOD)-G91)/(2*PPHMOD)),3)&lt;=0,G91&gt;=(3*PLAZOMOD)),0,ROUND(PTJEEXPESP1*(((3*PPHMOD)-G91)/(2*PPHMOD)),3))),0)),"")</f>
        <v>#N/A</v>
      </c>
      <c r="I91" s="352" t="e">
        <f>IF(C91&lt;&gt;"",VLOOKUP("S"&amp;C91,'EXP. ESP.'!$A$20:$V$6999,16,0),"")</f>
        <v>#N/A</v>
      </c>
      <c r="J91" s="358" t="e">
        <f>IF(C91&lt;&gt;"",IF(VLOOKUP(C91,HAB.EXP.ESP.!$C$27:$N$226,4,0)="NO CUMPLE",0,IF(E91="HÁBIL",IF(I91&lt;=PORPMFOMOD,ROUND(PTJEEXPESP2-(PTJEEXPESP2/(POWER(PORPMFOMOD,2)))*(POWER(I91-PORPMFOMOD,2)),3),IF(OR(I91&gt;=$I$21,ROUND((I91/PMFOMOD),3)&gt;=RELACIONPO),0,ROUND(PTJEEXPESP2-(1/$I$20)*(PTJEEXPESP2/(POWER(PORPMFOMOD,2)))*(POWER(I91-PORPMFOMOD,2)),3))),0)),"")</f>
        <v>#N/A</v>
      </c>
    </row>
    <row r="92" spans="2:10" ht="13.5" hidden="1">
      <c r="B92" s="231">
        <v>63</v>
      </c>
      <c r="C92" s="129" t="e">
        <f>IF(VLOOKUP(B92,PROPONENTES!$B$19:$E$219,2,0)="","",VLOOKUP(B92,PROPONENTES!$B$19:$E$219,2,0))</f>
        <v>#N/A</v>
      </c>
      <c r="D92" s="130" t="e">
        <f>IF(VLOOKUP(B92,PROPONENTES!$B$19:$E$218,3,0)="","",VLOOKUP(B92,PROPONENTES!$B$19:$E$218,3,0))</f>
        <v>#N/A</v>
      </c>
      <c r="E92" s="135" t="e">
        <f>IF(C92&lt;&gt;"",VLOOKUP(C92,HAB.EXP.ESP.!$C$27:$N$226,12),"")</f>
        <v>#N/A</v>
      </c>
      <c r="F92" s="245" t="e">
        <f>IF(C92&lt;&gt;"",VLOOKUP("M"&amp;C92,'EXP. ESP.'!$A$20:$V$6999,17,0),"")</f>
        <v>#N/A</v>
      </c>
      <c r="G92" s="342" t="e">
        <f>IF(C92&lt;&gt;"",VLOOKUP("P"&amp;C92,'EXP. ESP.'!$A$20:$V$6999,16,0),"")</f>
        <v>#N/A</v>
      </c>
      <c r="H92" s="342" t="e">
        <f>IF(C92&lt;&gt;"",IF(VLOOKUP(C92,HAB.EXP.ESP.!$C$27:$N$226,4,0)="NO CUMPLE",0,IF(E92="HÁBIL",IF(G92&lt;PPHMOD,ROUND((PTJEEXPESP1*(G92/PPHMOD)),3),IF(OR(ROUND(PTJEEXPESP1*(((3*PPHMOD)-G92)/(2*PPHMOD)),3)&lt;=0,G92&gt;=(3*PLAZOMOD)),0,ROUND(PTJEEXPESP1*(((3*PPHMOD)-G92)/(2*PPHMOD)),3))),0)),"")</f>
        <v>#N/A</v>
      </c>
      <c r="I92" s="352" t="e">
        <f>IF(C92&lt;&gt;"",VLOOKUP("S"&amp;C92,'EXP. ESP.'!$A$20:$V$6999,16,0),"")</f>
        <v>#N/A</v>
      </c>
      <c r="J92" s="358" t="e">
        <f>IF(C92&lt;&gt;"",IF(VLOOKUP(C92,HAB.EXP.ESP.!$C$27:$N$226,4,0)="NO CUMPLE",0,IF(E92="HÁBIL",IF(I92&lt;=PORPMFOMOD,ROUND(PTJEEXPESP2-(PTJEEXPESP2/(POWER(PORPMFOMOD,2)))*(POWER(I92-PORPMFOMOD,2)),3),IF(OR(I92&gt;=$I$21,ROUND((I92/PMFOMOD),3)&gt;=RELACIONPO),0,ROUND(PTJEEXPESP2-(1/$I$20)*(PTJEEXPESP2/(POWER(PORPMFOMOD,2)))*(POWER(I92-PORPMFOMOD,2)),3))),0)),"")</f>
        <v>#N/A</v>
      </c>
    </row>
    <row r="93" spans="2:10" ht="13.5" hidden="1">
      <c r="B93" s="231">
        <v>64</v>
      </c>
      <c r="C93" s="129" t="e">
        <f>IF(VLOOKUP(B93,PROPONENTES!$B$19:$E$219,2,0)="","",VLOOKUP(B93,PROPONENTES!$B$19:$E$219,2,0))</f>
        <v>#N/A</v>
      </c>
      <c r="D93" s="130" t="e">
        <f>IF(VLOOKUP(B93,PROPONENTES!$B$19:$E$218,3,0)="","",VLOOKUP(B93,PROPONENTES!$B$19:$E$218,3,0))</f>
        <v>#N/A</v>
      </c>
      <c r="E93" s="135" t="e">
        <f>IF(C93&lt;&gt;"",VLOOKUP(C93,HAB.EXP.ESP.!$C$27:$N$226,12),"")</f>
        <v>#N/A</v>
      </c>
      <c r="F93" s="245" t="e">
        <f>IF(C93&lt;&gt;"",VLOOKUP("M"&amp;C93,'EXP. ESP.'!$A$20:$V$6999,17,0),"")</f>
        <v>#N/A</v>
      </c>
      <c r="G93" s="342" t="e">
        <f>IF(C93&lt;&gt;"",VLOOKUP("P"&amp;C93,'EXP. ESP.'!$A$20:$V$6999,16,0),"")</f>
        <v>#N/A</v>
      </c>
      <c r="H93" s="342" t="e">
        <f>IF(C93&lt;&gt;"",IF(VLOOKUP(C93,HAB.EXP.ESP.!$C$27:$N$226,4,0)="NO CUMPLE",0,IF(E93="HÁBIL",IF(G93&lt;PPHMOD,ROUND((PTJEEXPESP1*(G93/PPHMOD)),3),IF(OR(ROUND(PTJEEXPESP1*(((3*PPHMOD)-G93)/(2*PPHMOD)),3)&lt;=0,G93&gt;=(3*PLAZOMOD)),0,ROUND(PTJEEXPESP1*(((3*PPHMOD)-G93)/(2*PPHMOD)),3))),0)),"")</f>
        <v>#N/A</v>
      </c>
      <c r="I93" s="352" t="e">
        <f>IF(C93&lt;&gt;"",VLOOKUP("S"&amp;C93,'EXP. ESP.'!$A$20:$V$6999,16,0),"")</f>
        <v>#N/A</v>
      </c>
      <c r="J93" s="358" t="e">
        <f>IF(C93&lt;&gt;"",IF(VLOOKUP(C93,HAB.EXP.ESP.!$C$27:$N$226,4,0)="NO CUMPLE",0,IF(E93="HÁBIL",IF(I93&lt;=PORPMFOMOD,ROUND(PTJEEXPESP2-(PTJEEXPESP2/(POWER(PORPMFOMOD,2)))*(POWER(I93-PORPMFOMOD,2)),3),IF(OR(I93&gt;=$I$21,ROUND((I93/PMFOMOD),3)&gt;=RELACIONPO),0,ROUND(PTJEEXPESP2-(1/$I$20)*(PTJEEXPESP2/(POWER(PORPMFOMOD,2)))*(POWER(I93-PORPMFOMOD,2)),3))),0)),"")</f>
        <v>#N/A</v>
      </c>
    </row>
    <row r="94" spans="2:10" ht="13.5" hidden="1">
      <c r="B94" s="230">
        <v>65</v>
      </c>
      <c r="C94" s="129" t="e">
        <f>IF(VLOOKUP(B94,PROPONENTES!$B$19:$E$219,2,0)="","",VLOOKUP(B94,PROPONENTES!$B$19:$E$219,2,0))</f>
        <v>#N/A</v>
      </c>
      <c r="D94" s="130" t="e">
        <f>IF(VLOOKUP(B94,PROPONENTES!$B$19:$E$218,3,0)="","",VLOOKUP(B94,PROPONENTES!$B$19:$E$218,3,0))</f>
        <v>#N/A</v>
      </c>
      <c r="E94" s="135" t="e">
        <f>IF(C94&lt;&gt;"",VLOOKUP(C94,HAB.EXP.ESP.!$C$27:$N$226,12),"")</f>
        <v>#N/A</v>
      </c>
      <c r="F94" s="245" t="e">
        <f>IF(C94&lt;&gt;"",VLOOKUP("M"&amp;C94,'EXP. ESP.'!$A$20:$V$6999,17,0),"")</f>
        <v>#N/A</v>
      </c>
      <c r="G94" s="342" t="e">
        <f>IF(C94&lt;&gt;"",VLOOKUP("P"&amp;C94,'EXP. ESP.'!$A$20:$V$6999,16,0),"")</f>
        <v>#N/A</v>
      </c>
      <c r="H94" s="342" t="e">
        <f>IF(C94&lt;&gt;"",IF(VLOOKUP(C94,HAB.EXP.ESP.!$C$27:$N$226,4,0)="NO CUMPLE",0,IF(E94="HÁBIL",IF(G94&lt;PPHMOD,ROUND((PTJEEXPESP1*(G94/PPHMOD)),3),IF(OR(ROUND(PTJEEXPESP1*(((3*PPHMOD)-G94)/(2*PPHMOD)),3)&lt;=0,G94&gt;=(3*PLAZOMOD)),0,ROUND(PTJEEXPESP1*(((3*PPHMOD)-G94)/(2*PPHMOD)),3))),0)),"")</f>
        <v>#N/A</v>
      </c>
      <c r="I94" s="352" t="e">
        <f>IF(C94&lt;&gt;"",VLOOKUP("S"&amp;C94,'EXP. ESP.'!$A$20:$V$6999,16,0),"")</f>
        <v>#N/A</v>
      </c>
      <c r="J94" s="358" t="e">
        <f>IF(C94&lt;&gt;"",IF(VLOOKUP(C94,HAB.EXP.ESP.!$C$27:$N$226,4,0)="NO CUMPLE",0,IF(E94="HÁBIL",IF(I94&lt;=PORPMFOMOD,ROUND(PTJEEXPESP2-(PTJEEXPESP2/(POWER(PORPMFOMOD,2)))*(POWER(I94-PORPMFOMOD,2)),3),IF(OR(I94&gt;=$I$21,ROUND((I94/PMFOMOD),3)&gt;=RELACIONPO),0,ROUND(PTJEEXPESP2-(1/$I$20)*(PTJEEXPESP2/(POWER(PORPMFOMOD,2)))*(POWER(I94-PORPMFOMOD,2)),3))),0)),"")</f>
        <v>#N/A</v>
      </c>
    </row>
    <row r="95" spans="2:10" ht="13.5" hidden="1">
      <c r="B95" s="231">
        <v>66</v>
      </c>
      <c r="C95" s="129" t="e">
        <f>IF(VLOOKUP(B95,PROPONENTES!$B$19:$E$219,2,0)="","",VLOOKUP(B95,PROPONENTES!$B$19:$E$219,2,0))</f>
        <v>#N/A</v>
      </c>
      <c r="D95" s="130" t="e">
        <f>IF(VLOOKUP(B95,PROPONENTES!$B$19:$E$218,3,0)="","",VLOOKUP(B95,PROPONENTES!$B$19:$E$218,3,0))</f>
        <v>#N/A</v>
      </c>
      <c r="E95" s="135" t="e">
        <f>IF(C95&lt;&gt;"",VLOOKUP(C95,HAB.EXP.ESP.!$C$27:$N$226,12),"")</f>
        <v>#N/A</v>
      </c>
      <c r="F95" s="245" t="e">
        <f>IF(C95&lt;&gt;"",VLOOKUP("M"&amp;C95,'EXP. ESP.'!$A$20:$V$6999,17,0),"")</f>
        <v>#N/A</v>
      </c>
      <c r="G95" s="342" t="e">
        <f>IF(C95&lt;&gt;"",VLOOKUP("P"&amp;C95,'EXP. ESP.'!$A$20:$V$6999,16,0),"")</f>
        <v>#N/A</v>
      </c>
      <c r="H95" s="342" t="e">
        <f>IF(C95&lt;&gt;"",IF(VLOOKUP(C95,HAB.EXP.ESP.!$C$27:$N$226,4,0)="NO CUMPLE",0,IF(E95="HÁBIL",IF(G95&lt;PPHMOD,ROUND((PTJEEXPESP1*(G95/PPHMOD)),3),IF(OR(ROUND(PTJEEXPESP1*(((3*PPHMOD)-G95)/(2*PPHMOD)),3)&lt;=0,G95&gt;=(3*PLAZOMOD)),0,ROUND(PTJEEXPESP1*(((3*PPHMOD)-G95)/(2*PPHMOD)),3))),0)),"")</f>
        <v>#N/A</v>
      </c>
      <c r="I95" s="352" t="e">
        <f>IF(C95&lt;&gt;"",VLOOKUP("S"&amp;C95,'EXP. ESP.'!$A$20:$V$6999,16,0),"")</f>
        <v>#N/A</v>
      </c>
      <c r="J95" s="358" t="e">
        <f>IF(C95&lt;&gt;"",IF(VLOOKUP(C95,HAB.EXP.ESP.!$C$27:$N$226,4,0)="NO CUMPLE",0,IF(E95="HÁBIL",IF(I95&lt;=PORPMFOMOD,ROUND(PTJEEXPESP2-(PTJEEXPESP2/(POWER(PORPMFOMOD,2)))*(POWER(I95-PORPMFOMOD,2)),3),IF(OR(I95&gt;=$I$21,ROUND((I95/PMFOMOD),3)&gt;=RELACIONPO),0,ROUND(PTJEEXPESP2-(1/$I$20)*(PTJEEXPESP2/(POWER(PORPMFOMOD,2)))*(POWER(I95-PORPMFOMOD,2)),3))),0)),"")</f>
        <v>#N/A</v>
      </c>
    </row>
    <row r="96" spans="2:10" ht="13.5" hidden="1">
      <c r="B96" s="231">
        <v>67</v>
      </c>
      <c r="C96" s="129" t="e">
        <f>IF(VLOOKUP(B96,PROPONENTES!$B$19:$E$219,2,0)="","",VLOOKUP(B96,PROPONENTES!$B$19:$E$219,2,0))</f>
        <v>#N/A</v>
      </c>
      <c r="D96" s="130" t="e">
        <f>IF(VLOOKUP(B96,PROPONENTES!$B$19:$E$218,3,0)="","",VLOOKUP(B96,PROPONENTES!$B$19:$E$218,3,0))</f>
        <v>#N/A</v>
      </c>
      <c r="E96" s="135" t="e">
        <f>IF(C96&lt;&gt;"",VLOOKUP(C96,HAB.EXP.ESP.!$C$27:$N$226,12),"")</f>
        <v>#N/A</v>
      </c>
      <c r="F96" s="245" t="e">
        <f>IF(C96&lt;&gt;"",VLOOKUP("M"&amp;C96,'EXP. ESP.'!$A$20:$V$6999,17,0),"")</f>
        <v>#N/A</v>
      </c>
      <c r="G96" s="342" t="e">
        <f>IF(C96&lt;&gt;"",VLOOKUP("P"&amp;C96,'EXP. ESP.'!$A$20:$V$6999,16,0),"")</f>
        <v>#N/A</v>
      </c>
      <c r="H96" s="342" t="e">
        <f>IF(C96&lt;&gt;"",IF(VLOOKUP(C96,HAB.EXP.ESP.!$C$27:$N$226,4,0)="NO CUMPLE",0,IF(E96="HÁBIL",IF(G96&lt;PPHMOD,ROUND((PTJEEXPESP1*(G96/PPHMOD)),3),IF(OR(ROUND(PTJEEXPESP1*(((3*PPHMOD)-G96)/(2*PPHMOD)),3)&lt;=0,G96&gt;=(3*PLAZOMOD)),0,ROUND(PTJEEXPESP1*(((3*PPHMOD)-G96)/(2*PPHMOD)),3))),0)),"")</f>
        <v>#N/A</v>
      </c>
      <c r="I96" s="352" t="e">
        <f>IF(C96&lt;&gt;"",VLOOKUP("S"&amp;C96,'EXP. ESP.'!$A$20:$V$6999,16,0),"")</f>
        <v>#N/A</v>
      </c>
      <c r="J96" s="358" t="e">
        <f>IF(C96&lt;&gt;"",IF(VLOOKUP(C96,HAB.EXP.ESP.!$C$27:$N$226,4,0)="NO CUMPLE",0,IF(E96="HÁBIL",IF(I96&lt;=PORPMFOMOD,ROUND(PTJEEXPESP2-(PTJEEXPESP2/(POWER(PORPMFOMOD,2)))*(POWER(I96-PORPMFOMOD,2)),3),IF(OR(I96&gt;=$I$21,ROUND((I96/PMFOMOD),3)&gt;=RELACIONPO),0,ROUND(PTJEEXPESP2-(1/$I$20)*(PTJEEXPESP2/(POWER(PORPMFOMOD,2)))*(POWER(I96-PORPMFOMOD,2)),3))),0)),"")</f>
        <v>#N/A</v>
      </c>
    </row>
    <row r="97" spans="2:10" ht="13.5" hidden="1">
      <c r="B97" s="231">
        <v>68</v>
      </c>
      <c r="C97" s="129" t="e">
        <f>IF(VLOOKUP(B97,PROPONENTES!$B$19:$E$219,2,0)="","",VLOOKUP(B97,PROPONENTES!$B$19:$E$219,2,0))</f>
        <v>#N/A</v>
      </c>
      <c r="D97" s="130" t="e">
        <f>IF(VLOOKUP(B97,PROPONENTES!$B$19:$E$218,3,0)="","",VLOOKUP(B97,PROPONENTES!$B$19:$E$218,3,0))</f>
        <v>#N/A</v>
      </c>
      <c r="E97" s="135" t="e">
        <f>IF(C97&lt;&gt;"",VLOOKUP(C97,HAB.EXP.ESP.!$C$27:$N$226,12),"")</f>
        <v>#N/A</v>
      </c>
      <c r="F97" s="245" t="e">
        <f>IF(C97&lt;&gt;"",VLOOKUP("M"&amp;C97,'EXP. ESP.'!$A$20:$V$6999,17,0),"")</f>
        <v>#N/A</v>
      </c>
      <c r="G97" s="342" t="e">
        <f>IF(C97&lt;&gt;"",VLOOKUP("P"&amp;C97,'EXP. ESP.'!$A$20:$V$6999,16,0),"")</f>
        <v>#N/A</v>
      </c>
      <c r="H97" s="342" t="e">
        <f>IF(C97&lt;&gt;"",IF(VLOOKUP(C97,HAB.EXP.ESP.!$C$27:$N$226,4,0)="NO CUMPLE",0,IF(E97="HÁBIL",IF(G97&lt;PPHMOD,ROUND((PTJEEXPESP1*(G97/PPHMOD)),3),IF(OR(ROUND(PTJEEXPESP1*(((3*PPHMOD)-G97)/(2*PPHMOD)),3)&lt;=0,G97&gt;=(3*PLAZOMOD)),0,ROUND(PTJEEXPESP1*(((3*PPHMOD)-G97)/(2*PPHMOD)),3))),0)),"")</f>
        <v>#N/A</v>
      </c>
      <c r="I97" s="352" t="e">
        <f>IF(C97&lt;&gt;"",VLOOKUP("S"&amp;C97,'EXP. ESP.'!$A$20:$V$6999,16,0),"")</f>
        <v>#N/A</v>
      </c>
      <c r="J97" s="358" t="e">
        <f>IF(C97&lt;&gt;"",IF(VLOOKUP(C97,HAB.EXP.ESP.!$C$27:$N$226,4,0)="NO CUMPLE",0,IF(E97="HÁBIL",IF(I97&lt;=PORPMFOMOD,ROUND(PTJEEXPESP2-(PTJEEXPESP2/(POWER(PORPMFOMOD,2)))*(POWER(I97-PORPMFOMOD,2)),3),IF(OR(I97&gt;=$I$21,ROUND((I97/PMFOMOD),3)&gt;=RELACIONPO),0,ROUND(PTJEEXPESP2-(1/$I$20)*(PTJEEXPESP2/(POWER(PORPMFOMOD,2)))*(POWER(I97-PORPMFOMOD,2)),3))),0)),"")</f>
        <v>#N/A</v>
      </c>
    </row>
    <row r="98" spans="2:10" ht="13.5" hidden="1">
      <c r="B98" s="230">
        <v>69</v>
      </c>
      <c r="C98" s="129" t="e">
        <f>IF(VLOOKUP(B98,PROPONENTES!$B$19:$E$219,2,0)="","",VLOOKUP(B98,PROPONENTES!$B$19:$E$219,2,0))</f>
        <v>#N/A</v>
      </c>
      <c r="D98" s="130" t="e">
        <f>IF(VLOOKUP(B98,PROPONENTES!$B$19:$E$218,3,0)="","",VLOOKUP(B98,PROPONENTES!$B$19:$E$218,3,0))</f>
        <v>#N/A</v>
      </c>
      <c r="E98" s="135" t="e">
        <f>IF(C98&lt;&gt;"",VLOOKUP(C98,HAB.EXP.ESP.!$C$27:$N$226,12),"")</f>
        <v>#N/A</v>
      </c>
      <c r="F98" s="245" t="e">
        <f>IF(C98&lt;&gt;"",VLOOKUP("M"&amp;C98,'EXP. ESP.'!$A$20:$V$6999,17,0),"")</f>
        <v>#N/A</v>
      </c>
      <c r="G98" s="342" t="e">
        <f>IF(C98&lt;&gt;"",VLOOKUP("P"&amp;C98,'EXP. ESP.'!$A$20:$V$6999,16,0),"")</f>
        <v>#N/A</v>
      </c>
      <c r="H98" s="342" t="e">
        <f>IF(C98&lt;&gt;"",IF(VLOOKUP(C98,HAB.EXP.ESP.!$C$27:$N$226,4,0)="NO CUMPLE",0,IF(E98="HÁBIL",IF(G98&lt;PPHMOD,ROUND((PTJEEXPESP1*(G98/PPHMOD)),3),IF(OR(ROUND(PTJEEXPESP1*(((3*PPHMOD)-G98)/(2*PPHMOD)),3)&lt;=0,G98&gt;=(3*PLAZOMOD)),0,ROUND(PTJEEXPESP1*(((3*PPHMOD)-G98)/(2*PPHMOD)),3))),0)),"")</f>
        <v>#N/A</v>
      </c>
      <c r="I98" s="352" t="e">
        <f>IF(C98&lt;&gt;"",VLOOKUP("S"&amp;C98,'EXP. ESP.'!$A$20:$V$6999,16,0),"")</f>
        <v>#N/A</v>
      </c>
      <c r="J98" s="358" t="e">
        <f>IF(C98&lt;&gt;"",IF(VLOOKUP(C98,HAB.EXP.ESP.!$C$27:$N$226,4,0)="NO CUMPLE",0,IF(E98="HÁBIL",IF(I98&lt;=PORPMFOMOD,ROUND(PTJEEXPESP2-(PTJEEXPESP2/(POWER(PORPMFOMOD,2)))*(POWER(I98-PORPMFOMOD,2)),3),IF(OR(I98&gt;=$I$21,ROUND((I98/PMFOMOD),3)&gt;=RELACIONPO),0,ROUND(PTJEEXPESP2-(1/$I$20)*(PTJEEXPESP2/(POWER(PORPMFOMOD,2)))*(POWER(I98-PORPMFOMOD,2)),3))),0)),"")</f>
        <v>#N/A</v>
      </c>
    </row>
    <row r="99" spans="2:10" ht="13.5" hidden="1">
      <c r="B99" s="231">
        <v>70</v>
      </c>
      <c r="C99" s="129" t="e">
        <f>IF(VLOOKUP(B99,PROPONENTES!$B$19:$E$219,2,0)="","",VLOOKUP(B99,PROPONENTES!$B$19:$E$219,2,0))</f>
        <v>#N/A</v>
      </c>
      <c r="D99" s="130" t="e">
        <f>IF(VLOOKUP(B99,PROPONENTES!$B$19:$E$218,3,0)="","",VLOOKUP(B99,PROPONENTES!$B$19:$E$218,3,0))</f>
        <v>#N/A</v>
      </c>
      <c r="E99" s="135" t="e">
        <f>IF(C99&lt;&gt;"",VLOOKUP(C99,HAB.EXP.ESP.!$C$27:$N$226,12),"")</f>
        <v>#N/A</v>
      </c>
      <c r="F99" s="245" t="e">
        <f>IF(C99&lt;&gt;"",VLOOKUP("M"&amp;C99,'EXP. ESP.'!$A$20:$V$6999,17,0),"")</f>
        <v>#N/A</v>
      </c>
      <c r="G99" s="342" t="e">
        <f>IF(C99&lt;&gt;"",VLOOKUP("P"&amp;C99,'EXP. ESP.'!$A$20:$V$6999,16,0),"")</f>
        <v>#N/A</v>
      </c>
      <c r="H99" s="342" t="e">
        <f>IF(C99&lt;&gt;"",IF(VLOOKUP(C99,HAB.EXP.ESP.!$C$27:$N$226,4,0)="NO CUMPLE",0,IF(E99="HÁBIL",IF(G99&lt;PPHMOD,ROUND((PTJEEXPESP1*(G99/PPHMOD)),3),IF(OR(ROUND(PTJEEXPESP1*(((3*PPHMOD)-G99)/(2*PPHMOD)),3)&lt;=0,G99&gt;=(3*PLAZOMOD)),0,ROUND(PTJEEXPESP1*(((3*PPHMOD)-G99)/(2*PPHMOD)),3))),0)),"")</f>
        <v>#N/A</v>
      </c>
      <c r="I99" s="352" t="e">
        <f>IF(C99&lt;&gt;"",VLOOKUP("S"&amp;C99,'EXP. ESP.'!$A$20:$V$6999,16,0),"")</f>
        <v>#N/A</v>
      </c>
      <c r="J99" s="358" t="e">
        <f>IF(C99&lt;&gt;"",IF(VLOOKUP(C99,HAB.EXP.ESP.!$C$27:$N$226,4,0)="NO CUMPLE",0,IF(E99="HÁBIL",IF(I99&lt;=PORPMFOMOD,ROUND(PTJEEXPESP2-(PTJEEXPESP2/(POWER(PORPMFOMOD,2)))*(POWER(I99-PORPMFOMOD,2)),3),IF(OR(I99&gt;=$I$21,ROUND((I99/PMFOMOD),3)&gt;=RELACIONPO),0,ROUND(PTJEEXPESP2-(1/$I$20)*(PTJEEXPESP2/(POWER(PORPMFOMOD,2)))*(POWER(I99-PORPMFOMOD,2)),3))),0)),"")</f>
        <v>#N/A</v>
      </c>
    </row>
    <row r="100" spans="2:10" ht="13.5" hidden="1">
      <c r="B100" s="231">
        <v>71</v>
      </c>
      <c r="C100" s="129" t="e">
        <f>IF(VLOOKUP(B100,PROPONENTES!$B$19:$E$219,2,0)="","",VLOOKUP(B100,PROPONENTES!$B$19:$E$219,2,0))</f>
        <v>#N/A</v>
      </c>
      <c r="D100" s="130" t="e">
        <f>IF(VLOOKUP(B100,PROPONENTES!$B$19:$E$218,3,0)="","",VLOOKUP(B100,PROPONENTES!$B$19:$E$218,3,0))</f>
        <v>#N/A</v>
      </c>
      <c r="E100" s="135" t="e">
        <f>IF(C100&lt;&gt;"",VLOOKUP(C100,HAB.EXP.ESP.!$C$27:$N$226,12),"")</f>
        <v>#N/A</v>
      </c>
      <c r="F100" s="245" t="e">
        <f>IF(C100&lt;&gt;"",VLOOKUP("M"&amp;C100,'EXP. ESP.'!$A$20:$V$6999,17,0),"")</f>
        <v>#N/A</v>
      </c>
      <c r="G100" s="342" t="e">
        <f>IF(C100&lt;&gt;"",VLOOKUP("P"&amp;C100,'EXP. ESP.'!$A$20:$V$6999,16,0),"")</f>
        <v>#N/A</v>
      </c>
      <c r="H100" s="342" t="e">
        <f>IF(C100&lt;&gt;"",IF(VLOOKUP(C100,HAB.EXP.ESP.!$C$27:$N$226,4,0)="NO CUMPLE",0,IF(E100="HÁBIL",IF(G100&lt;PPHMOD,ROUND((PTJEEXPESP1*(G100/PPHMOD)),3),IF(OR(ROUND(PTJEEXPESP1*(((3*PPHMOD)-G100)/(2*PPHMOD)),3)&lt;=0,G100&gt;=(3*PLAZOMOD)),0,ROUND(PTJEEXPESP1*(((3*PPHMOD)-G100)/(2*PPHMOD)),3))),0)),"")</f>
        <v>#N/A</v>
      </c>
      <c r="I100" s="352" t="e">
        <f>IF(C100&lt;&gt;"",VLOOKUP("S"&amp;C100,'EXP. ESP.'!$A$20:$V$6999,16,0),"")</f>
        <v>#N/A</v>
      </c>
      <c r="J100" s="358" t="e">
        <f>IF(C100&lt;&gt;"",IF(VLOOKUP(C100,HAB.EXP.ESP.!$C$27:$N$226,4,0)="NO CUMPLE",0,IF(E100="HÁBIL",IF(I100&lt;=PORPMFOMOD,ROUND(PTJEEXPESP2-(PTJEEXPESP2/(POWER(PORPMFOMOD,2)))*(POWER(I100-PORPMFOMOD,2)),3),IF(OR(I100&gt;=$I$21,ROUND((I100/PMFOMOD),3)&gt;=RELACIONPO),0,ROUND(PTJEEXPESP2-(1/$I$20)*(PTJEEXPESP2/(POWER(PORPMFOMOD,2)))*(POWER(I100-PORPMFOMOD,2)),3))),0)),"")</f>
        <v>#N/A</v>
      </c>
    </row>
    <row r="101" spans="2:10" ht="13.5" hidden="1">
      <c r="B101" s="231">
        <v>72</v>
      </c>
      <c r="C101" s="129" t="e">
        <f>IF(VLOOKUP(B101,PROPONENTES!$B$19:$E$219,2,0)="","",VLOOKUP(B101,PROPONENTES!$B$19:$E$219,2,0))</f>
        <v>#N/A</v>
      </c>
      <c r="D101" s="130" t="e">
        <f>IF(VLOOKUP(B101,PROPONENTES!$B$19:$E$218,3,0)="","",VLOOKUP(B101,PROPONENTES!$B$19:$E$218,3,0))</f>
        <v>#N/A</v>
      </c>
      <c r="E101" s="135" t="e">
        <f>IF(C101&lt;&gt;"",VLOOKUP(C101,HAB.EXP.ESP.!$C$27:$N$226,12),"")</f>
        <v>#N/A</v>
      </c>
      <c r="F101" s="245" t="e">
        <f>IF(C101&lt;&gt;"",VLOOKUP("M"&amp;C101,'EXP. ESP.'!$A$20:$V$6999,17,0),"")</f>
        <v>#N/A</v>
      </c>
      <c r="G101" s="342" t="e">
        <f>IF(C101&lt;&gt;"",VLOOKUP("P"&amp;C101,'EXP. ESP.'!$A$20:$V$6999,16,0),"")</f>
        <v>#N/A</v>
      </c>
      <c r="H101" s="342" t="e">
        <f>IF(C101&lt;&gt;"",IF(VLOOKUP(C101,HAB.EXP.ESP.!$C$27:$N$226,4,0)="NO CUMPLE",0,IF(E101="HÁBIL",IF(G101&lt;PPHMOD,ROUND((PTJEEXPESP1*(G101/PPHMOD)),3),IF(OR(ROUND(PTJEEXPESP1*(((3*PPHMOD)-G101)/(2*PPHMOD)),3)&lt;=0,G101&gt;=(3*PLAZOMOD)),0,ROUND(PTJEEXPESP1*(((3*PPHMOD)-G101)/(2*PPHMOD)),3))),0)),"")</f>
        <v>#N/A</v>
      </c>
      <c r="I101" s="352" t="e">
        <f>IF(C101&lt;&gt;"",VLOOKUP("S"&amp;C101,'EXP. ESP.'!$A$20:$V$6999,16,0),"")</f>
        <v>#N/A</v>
      </c>
      <c r="J101" s="358" t="e">
        <f>IF(C101&lt;&gt;"",IF(VLOOKUP(C101,HAB.EXP.ESP.!$C$27:$N$226,4,0)="NO CUMPLE",0,IF(E101="HÁBIL",IF(I101&lt;=PORPMFOMOD,ROUND(PTJEEXPESP2-(PTJEEXPESP2/(POWER(PORPMFOMOD,2)))*(POWER(I101-PORPMFOMOD,2)),3),IF(OR(I101&gt;=$I$21,ROUND((I101/PMFOMOD),3)&gt;=RELACIONPO),0,ROUND(PTJEEXPESP2-(1/$I$20)*(PTJEEXPESP2/(POWER(PORPMFOMOD,2)))*(POWER(I101-PORPMFOMOD,2)),3))),0)),"")</f>
        <v>#N/A</v>
      </c>
    </row>
    <row r="102" spans="2:10" ht="13.5" hidden="1">
      <c r="B102" s="230">
        <v>73</v>
      </c>
      <c r="C102" s="129" t="e">
        <f>IF(VLOOKUP(B102,PROPONENTES!$B$19:$E$219,2,0)="","",VLOOKUP(B102,PROPONENTES!$B$19:$E$219,2,0))</f>
        <v>#N/A</v>
      </c>
      <c r="D102" s="130" t="e">
        <f>IF(VLOOKUP(B102,PROPONENTES!$B$19:$E$218,3,0)="","",VLOOKUP(B102,PROPONENTES!$B$19:$E$218,3,0))</f>
        <v>#N/A</v>
      </c>
      <c r="E102" s="135" t="e">
        <f>IF(C102&lt;&gt;"",VLOOKUP(C102,HAB.EXP.ESP.!$C$27:$N$226,12),"")</f>
        <v>#N/A</v>
      </c>
      <c r="F102" s="245" t="e">
        <f>IF(C102&lt;&gt;"",VLOOKUP("M"&amp;C102,'EXP. ESP.'!$A$20:$V$6999,17,0),"")</f>
        <v>#N/A</v>
      </c>
      <c r="G102" s="342" t="e">
        <f>IF(C102&lt;&gt;"",VLOOKUP("P"&amp;C102,'EXP. ESP.'!$A$20:$V$6999,16,0),"")</f>
        <v>#N/A</v>
      </c>
      <c r="H102" s="342" t="e">
        <f>IF(C102&lt;&gt;"",IF(VLOOKUP(C102,HAB.EXP.ESP.!$C$27:$N$226,4,0)="NO CUMPLE",0,IF(E102="HÁBIL",IF(G102&lt;PPHMOD,ROUND((PTJEEXPESP1*(G102/PPHMOD)),3),IF(OR(ROUND(PTJEEXPESP1*(((3*PPHMOD)-G102)/(2*PPHMOD)),3)&lt;=0,G102&gt;=(3*PLAZOMOD)),0,ROUND(PTJEEXPESP1*(((3*PPHMOD)-G102)/(2*PPHMOD)),3))),0)),"")</f>
        <v>#N/A</v>
      </c>
      <c r="I102" s="352" t="e">
        <f>IF(C102&lt;&gt;"",VLOOKUP("S"&amp;C102,'EXP. ESP.'!$A$20:$V$6999,16,0),"")</f>
        <v>#N/A</v>
      </c>
      <c r="J102" s="358" t="e">
        <f>IF(C102&lt;&gt;"",IF(VLOOKUP(C102,HAB.EXP.ESP.!$C$27:$N$226,4,0)="NO CUMPLE",0,IF(E102="HÁBIL",IF(I102&lt;=PORPMFOMOD,ROUND(PTJEEXPESP2-(PTJEEXPESP2/(POWER(PORPMFOMOD,2)))*(POWER(I102-PORPMFOMOD,2)),3),IF(OR(I102&gt;=$I$21,ROUND((I102/PMFOMOD),3)&gt;=RELACIONPO),0,ROUND(PTJEEXPESP2-(1/$I$20)*(PTJEEXPESP2/(POWER(PORPMFOMOD,2)))*(POWER(I102-PORPMFOMOD,2)),3))),0)),"")</f>
        <v>#N/A</v>
      </c>
    </row>
    <row r="103" spans="2:10" ht="13.5" hidden="1">
      <c r="B103" s="231">
        <v>74</v>
      </c>
      <c r="C103" s="129" t="e">
        <f>IF(VLOOKUP(B103,PROPONENTES!$B$19:$E$219,2,0)="","",VLOOKUP(B103,PROPONENTES!$B$19:$E$219,2,0))</f>
        <v>#N/A</v>
      </c>
      <c r="D103" s="130" t="e">
        <f>IF(VLOOKUP(B103,PROPONENTES!$B$19:$E$218,3,0)="","",VLOOKUP(B103,PROPONENTES!$B$19:$E$218,3,0))</f>
        <v>#N/A</v>
      </c>
      <c r="E103" s="135" t="e">
        <f>IF(C103&lt;&gt;"",VLOOKUP(C103,HAB.EXP.ESP.!$C$27:$N$226,12),"")</f>
        <v>#N/A</v>
      </c>
      <c r="F103" s="245" t="e">
        <f>IF(C103&lt;&gt;"",VLOOKUP("M"&amp;C103,'EXP. ESP.'!$A$20:$V$6999,17,0),"")</f>
        <v>#N/A</v>
      </c>
      <c r="G103" s="342" t="e">
        <f>IF(C103&lt;&gt;"",VLOOKUP("P"&amp;C103,'EXP. ESP.'!$A$20:$V$6999,16,0),"")</f>
        <v>#N/A</v>
      </c>
      <c r="H103" s="342" t="e">
        <f>IF(C103&lt;&gt;"",IF(VLOOKUP(C103,HAB.EXP.ESP.!$C$27:$N$226,4,0)="NO CUMPLE",0,IF(E103="HÁBIL",IF(G103&lt;PPHMOD,ROUND((PTJEEXPESP1*(G103/PPHMOD)),3),IF(OR(ROUND(PTJEEXPESP1*(((3*PPHMOD)-G103)/(2*PPHMOD)),3)&lt;=0,G103&gt;=(3*PLAZOMOD)),0,ROUND(PTJEEXPESP1*(((3*PPHMOD)-G103)/(2*PPHMOD)),3))),0)),"")</f>
        <v>#N/A</v>
      </c>
      <c r="I103" s="352" t="e">
        <f>IF(C103&lt;&gt;"",VLOOKUP("S"&amp;C103,'EXP. ESP.'!$A$20:$V$6999,16,0),"")</f>
        <v>#N/A</v>
      </c>
      <c r="J103" s="358" t="e">
        <f>IF(C103&lt;&gt;"",IF(VLOOKUP(C103,HAB.EXP.ESP.!$C$27:$N$226,4,0)="NO CUMPLE",0,IF(E103="HÁBIL",IF(I103&lt;=PORPMFOMOD,ROUND(PTJEEXPESP2-(PTJEEXPESP2/(POWER(PORPMFOMOD,2)))*(POWER(I103-PORPMFOMOD,2)),3),IF(OR(I103&gt;=$I$21,ROUND((I103/PMFOMOD),3)&gt;=RELACIONPO),0,ROUND(PTJEEXPESP2-(1/$I$20)*(PTJEEXPESP2/(POWER(PORPMFOMOD,2)))*(POWER(I103-PORPMFOMOD,2)),3))),0)),"")</f>
        <v>#N/A</v>
      </c>
    </row>
    <row r="104" spans="2:10" ht="13.5" hidden="1">
      <c r="B104" s="231">
        <v>75</v>
      </c>
      <c r="C104" s="129" t="e">
        <f>IF(VLOOKUP(B104,PROPONENTES!$B$19:$E$219,2,0)="","",VLOOKUP(B104,PROPONENTES!$B$19:$E$219,2,0))</f>
        <v>#N/A</v>
      </c>
      <c r="D104" s="130" t="e">
        <f>IF(VLOOKUP(B104,PROPONENTES!$B$19:$E$218,3,0)="","",VLOOKUP(B104,PROPONENTES!$B$19:$E$218,3,0))</f>
        <v>#N/A</v>
      </c>
      <c r="E104" s="135" t="e">
        <f>IF(C104&lt;&gt;"",VLOOKUP(C104,HAB.EXP.ESP.!$C$27:$N$226,12),"")</f>
        <v>#N/A</v>
      </c>
      <c r="F104" s="245" t="e">
        <f>IF(C104&lt;&gt;"",VLOOKUP("M"&amp;C104,'EXP. ESP.'!$A$20:$V$6999,17,0),"")</f>
        <v>#N/A</v>
      </c>
      <c r="G104" s="342" t="e">
        <f>IF(C104&lt;&gt;"",VLOOKUP("P"&amp;C104,'EXP. ESP.'!$A$20:$V$6999,16,0),"")</f>
        <v>#N/A</v>
      </c>
      <c r="H104" s="342" t="e">
        <f>IF(C104&lt;&gt;"",IF(VLOOKUP(C104,HAB.EXP.ESP.!$C$27:$N$226,4,0)="NO CUMPLE",0,IF(E104="HÁBIL",IF(G104&lt;PPHMOD,ROUND((PTJEEXPESP1*(G104/PPHMOD)),3),IF(OR(ROUND(PTJEEXPESP1*(((3*PPHMOD)-G104)/(2*PPHMOD)),3)&lt;=0,G104&gt;=(3*PLAZOMOD)),0,ROUND(PTJEEXPESP1*(((3*PPHMOD)-G104)/(2*PPHMOD)),3))),0)),"")</f>
        <v>#N/A</v>
      </c>
      <c r="I104" s="352" t="e">
        <f>IF(C104&lt;&gt;"",VLOOKUP("S"&amp;C104,'EXP. ESP.'!$A$20:$V$6999,16,0),"")</f>
        <v>#N/A</v>
      </c>
      <c r="J104" s="358" t="e">
        <f>IF(C104&lt;&gt;"",IF(VLOOKUP(C104,HAB.EXP.ESP.!$C$27:$N$226,4,0)="NO CUMPLE",0,IF(E104="HÁBIL",IF(I104&lt;=PORPMFOMOD,ROUND(PTJEEXPESP2-(PTJEEXPESP2/(POWER(PORPMFOMOD,2)))*(POWER(I104-PORPMFOMOD,2)),3),IF(OR(I104&gt;=$I$21,ROUND((I104/PMFOMOD),3)&gt;=RELACIONPO),0,ROUND(PTJEEXPESP2-(1/$I$20)*(PTJEEXPESP2/(POWER(PORPMFOMOD,2)))*(POWER(I104-PORPMFOMOD,2)),3))),0)),"")</f>
        <v>#N/A</v>
      </c>
    </row>
    <row r="105" spans="2:10" ht="13.5" hidden="1">
      <c r="B105" s="231">
        <v>76</v>
      </c>
      <c r="C105" s="129" t="e">
        <f>IF(VLOOKUP(B105,PROPONENTES!$B$19:$E$219,2,0)="","",VLOOKUP(B105,PROPONENTES!$B$19:$E$219,2,0))</f>
        <v>#N/A</v>
      </c>
      <c r="D105" s="130" t="e">
        <f>IF(VLOOKUP(B105,PROPONENTES!$B$19:$E$218,3,0)="","",VLOOKUP(B105,PROPONENTES!$B$19:$E$218,3,0))</f>
        <v>#N/A</v>
      </c>
      <c r="E105" s="135" t="e">
        <f>IF(C105&lt;&gt;"",VLOOKUP(C105,HAB.EXP.ESP.!$C$27:$N$226,12),"")</f>
        <v>#N/A</v>
      </c>
      <c r="F105" s="245" t="e">
        <f>IF(C105&lt;&gt;"",VLOOKUP("M"&amp;C105,'EXP. ESP.'!$A$20:$V$6999,17,0),"")</f>
        <v>#N/A</v>
      </c>
      <c r="G105" s="342" t="e">
        <f>IF(C105&lt;&gt;"",VLOOKUP("P"&amp;C105,'EXP. ESP.'!$A$20:$V$6999,16,0),"")</f>
        <v>#N/A</v>
      </c>
      <c r="H105" s="342" t="e">
        <f>IF(C105&lt;&gt;"",IF(VLOOKUP(C105,HAB.EXP.ESP.!$C$27:$N$226,4,0)="NO CUMPLE",0,IF(E105="HÁBIL",IF(G105&lt;PPHMOD,ROUND((PTJEEXPESP1*(G105/PPHMOD)),3),IF(OR(ROUND(PTJEEXPESP1*(((3*PPHMOD)-G105)/(2*PPHMOD)),3)&lt;=0,G105&gt;=(3*PLAZOMOD)),0,ROUND(PTJEEXPESP1*(((3*PPHMOD)-G105)/(2*PPHMOD)),3))),0)),"")</f>
        <v>#N/A</v>
      </c>
      <c r="I105" s="352" t="e">
        <f>IF(C105&lt;&gt;"",VLOOKUP("S"&amp;C105,'EXP. ESP.'!$A$20:$V$6999,16,0),"")</f>
        <v>#N/A</v>
      </c>
      <c r="J105" s="358" t="e">
        <f>IF(C105&lt;&gt;"",IF(VLOOKUP(C105,HAB.EXP.ESP.!$C$27:$N$226,4,0)="NO CUMPLE",0,IF(E105="HÁBIL",IF(I105&lt;=PORPMFOMOD,ROUND(PTJEEXPESP2-(PTJEEXPESP2/(POWER(PORPMFOMOD,2)))*(POWER(I105-PORPMFOMOD,2)),3),IF(OR(I105&gt;=$I$21,ROUND((I105/PMFOMOD),3)&gt;=RELACIONPO),0,ROUND(PTJEEXPESP2-(1/$I$20)*(PTJEEXPESP2/(POWER(PORPMFOMOD,2)))*(POWER(I105-PORPMFOMOD,2)),3))),0)),"")</f>
        <v>#N/A</v>
      </c>
    </row>
    <row r="106" spans="2:10" ht="13.5" hidden="1">
      <c r="B106" s="230">
        <v>77</v>
      </c>
      <c r="C106" s="129" t="e">
        <f>IF(VLOOKUP(B106,PROPONENTES!$B$19:$E$219,2,0)="","",VLOOKUP(B106,PROPONENTES!$B$19:$E$219,2,0))</f>
        <v>#N/A</v>
      </c>
      <c r="D106" s="130" t="e">
        <f>IF(VLOOKUP(B106,PROPONENTES!$B$19:$E$218,3,0)="","",VLOOKUP(B106,PROPONENTES!$B$19:$E$218,3,0))</f>
        <v>#N/A</v>
      </c>
      <c r="E106" s="135" t="e">
        <f>IF(C106&lt;&gt;"",VLOOKUP(C106,HAB.EXP.ESP.!$C$27:$N$226,12),"")</f>
        <v>#N/A</v>
      </c>
      <c r="F106" s="245" t="e">
        <f>IF(C106&lt;&gt;"",VLOOKUP("M"&amp;C106,'EXP. ESP.'!$A$20:$V$6999,17,0),"")</f>
        <v>#N/A</v>
      </c>
      <c r="G106" s="342" t="e">
        <f>IF(C106&lt;&gt;"",VLOOKUP("P"&amp;C106,'EXP. ESP.'!$A$20:$V$6999,16,0),"")</f>
        <v>#N/A</v>
      </c>
      <c r="H106" s="342" t="e">
        <f>IF(C106&lt;&gt;"",IF(VLOOKUP(C106,HAB.EXP.ESP.!$C$27:$N$226,4,0)="NO CUMPLE",0,IF(E106="HÁBIL",IF(G106&lt;PPHMOD,ROUND((PTJEEXPESP1*(G106/PPHMOD)),3),IF(OR(ROUND(PTJEEXPESP1*(((3*PPHMOD)-G106)/(2*PPHMOD)),3)&lt;=0,G106&gt;=(3*PLAZOMOD)),0,ROUND(PTJEEXPESP1*(((3*PPHMOD)-G106)/(2*PPHMOD)),3))),0)),"")</f>
        <v>#N/A</v>
      </c>
      <c r="I106" s="352" t="e">
        <f>IF(C106&lt;&gt;"",VLOOKUP("S"&amp;C106,'EXP. ESP.'!$A$20:$V$6999,16,0),"")</f>
        <v>#N/A</v>
      </c>
      <c r="J106" s="358" t="e">
        <f>IF(C106&lt;&gt;"",IF(VLOOKUP(C106,HAB.EXP.ESP.!$C$27:$N$226,4,0)="NO CUMPLE",0,IF(E106="HÁBIL",IF(I106&lt;=PORPMFOMOD,ROUND(PTJEEXPESP2-(PTJEEXPESP2/(POWER(PORPMFOMOD,2)))*(POWER(I106-PORPMFOMOD,2)),3),IF(OR(I106&gt;=$I$21,ROUND((I106/PMFOMOD),3)&gt;=RELACIONPO),0,ROUND(PTJEEXPESP2-(1/$I$20)*(PTJEEXPESP2/(POWER(PORPMFOMOD,2)))*(POWER(I106-PORPMFOMOD,2)),3))),0)),"")</f>
        <v>#N/A</v>
      </c>
    </row>
    <row r="107" spans="2:10" ht="13.5" hidden="1">
      <c r="B107" s="231">
        <v>78</v>
      </c>
      <c r="C107" s="129" t="e">
        <f>IF(VLOOKUP(B107,PROPONENTES!$B$19:$E$219,2,0)="","",VLOOKUP(B107,PROPONENTES!$B$19:$E$219,2,0))</f>
        <v>#N/A</v>
      </c>
      <c r="D107" s="130" t="e">
        <f>IF(VLOOKUP(B107,PROPONENTES!$B$19:$E$218,3,0)="","",VLOOKUP(B107,PROPONENTES!$B$19:$E$218,3,0))</f>
        <v>#N/A</v>
      </c>
      <c r="E107" s="135" t="e">
        <f>IF(C107&lt;&gt;"",VLOOKUP(C107,HAB.EXP.ESP.!$C$27:$N$226,12),"")</f>
        <v>#N/A</v>
      </c>
      <c r="F107" s="245" t="e">
        <f>IF(C107&lt;&gt;"",VLOOKUP("M"&amp;C107,'EXP. ESP.'!$A$20:$V$6999,17,0),"")</f>
        <v>#N/A</v>
      </c>
      <c r="G107" s="342" t="e">
        <f>IF(C107&lt;&gt;"",VLOOKUP("P"&amp;C107,'EXP. ESP.'!$A$20:$V$6999,16,0),"")</f>
        <v>#N/A</v>
      </c>
      <c r="H107" s="342" t="e">
        <f>IF(C107&lt;&gt;"",IF(VLOOKUP(C107,HAB.EXP.ESP.!$C$27:$N$226,4,0)="NO CUMPLE",0,IF(E107="HÁBIL",IF(G107&lt;PPHMOD,ROUND((PTJEEXPESP1*(G107/PPHMOD)),3),IF(OR(ROUND(PTJEEXPESP1*(((3*PPHMOD)-G107)/(2*PPHMOD)),3)&lt;=0,G107&gt;=(3*PLAZOMOD)),0,ROUND(PTJEEXPESP1*(((3*PPHMOD)-G107)/(2*PPHMOD)),3))),0)),"")</f>
        <v>#N/A</v>
      </c>
      <c r="I107" s="352" t="e">
        <f>IF(C107&lt;&gt;"",VLOOKUP("S"&amp;C107,'EXP. ESP.'!$A$20:$V$6999,16,0),"")</f>
        <v>#N/A</v>
      </c>
      <c r="J107" s="358" t="e">
        <f>IF(C107&lt;&gt;"",IF(VLOOKUP(C107,HAB.EXP.ESP.!$C$27:$N$226,4,0)="NO CUMPLE",0,IF(E107="HÁBIL",IF(I107&lt;=PORPMFOMOD,ROUND(PTJEEXPESP2-(PTJEEXPESP2/(POWER(PORPMFOMOD,2)))*(POWER(I107-PORPMFOMOD,2)),3),IF(OR(I107&gt;=$I$21,ROUND((I107/PMFOMOD),3)&gt;=RELACIONPO),0,ROUND(PTJEEXPESP2-(1/$I$20)*(PTJEEXPESP2/(POWER(PORPMFOMOD,2)))*(POWER(I107-PORPMFOMOD,2)),3))),0)),"")</f>
        <v>#N/A</v>
      </c>
    </row>
    <row r="108" spans="2:10" ht="13.5" hidden="1">
      <c r="B108" s="231">
        <v>79</v>
      </c>
      <c r="C108" s="129" t="e">
        <f>IF(VLOOKUP(B108,PROPONENTES!$B$19:$E$219,2,0)="","",VLOOKUP(B108,PROPONENTES!$B$19:$E$219,2,0))</f>
        <v>#N/A</v>
      </c>
      <c r="D108" s="130" t="e">
        <f>IF(VLOOKUP(B108,PROPONENTES!$B$19:$E$218,3,0)="","",VLOOKUP(B108,PROPONENTES!$B$19:$E$218,3,0))</f>
        <v>#N/A</v>
      </c>
      <c r="E108" s="135" t="e">
        <f>IF(C108&lt;&gt;"",VLOOKUP(C108,HAB.EXP.ESP.!$C$27:$N$226,12),"")</f>
        <v>#N/A</v>
      </c>
      <c r="F108" s="245" t="e">
        <f>IF(C108&lt;&gt;"",VLOOKUP("M"&amp;C108,'EXP. ESP.'!$A$20:$V$6999,17,0),"")</f>
        <v>#N/A</v>
      </c>
      <c r="G108" s="342" t="e">
        <f>IF(C108&lt;&gt;"",VLOOKUP("P"&amp;C108,'EXP. ESP.'!$A$20:$V$6999,16,0),"")</f>
        <v>#N/A</v>
      </c>
      <c r="H108" s="342" t="e">
        <f>IF(C108&lt;&gt;"",IF(VLOOKUP(C108,HAB.EXP.ESP.!$C$27:$N$226,4,0)="NO CUMPLE",0,IF(E108="HÁBIL",IF(G108&lt;PPHMOD,ROUND((PTJEEXPESP1*(G108/PPHMOD)),3),IF(OR(ROUND(PTJEEXPESP1*(((3*PPHMOD)-G108)/(2*PPHMOD)),3)&lt;=0,G108&gt;=(3*PLAZOMOD)),0,ROUND(PTJEEXPESP1*(((3*PPHMOD)-G108)/(2*PPHMOD)),3))),0)),"")</f>
        <v>#N/A</v>
      </c>
      <c r="I108" s="352" t="e">
        <f>IF(C108&lt;&gt;"",VLOOKUP("S"&amp;C108,'EXP. ESP.'!$A$20:$V$6999,16,0),"")</f>
        <v>#N/A</v>
      </c>
      <c r="J108" s="358" t="e">
        <f>IF(C108&lt;&gt;"",IF(VLOOKUP(C108,HAB.EXP.ESP.!$C$27:$N$226,4,0)="NO CUMPLE",0,IF(E108="HÁBIL",IF(I108&lt;=PORPMFOMOD,ROUND(PTJEEXPESP2-(PTJEEXPESP2/(POWER(PORPMFOMOD,2)))*(POWER(I108-PORPMFOMOD,2)),3),IF(OR(I108&gt;=$I$21,ROUND((I108/PMFOMOD),3)&gt;=RELACIONPO),0,ROUND(PTJEEXPESP2-(1/$I$20)*(PTJEEXPESP2/(POWER(PORPMFOMOD,2)))*(POWER(I108-PORPMFOMOD,2)),3))),0)),"")</f>
        <v>#N/A</v>
      </c>
    </row>
    <row r="109" spans="2:10" ht="13.5" hidden="1">
      <c r="B109" s="231">
        <v>80</v>
      </c>
      <c r="C109" s="129" t="e">
        <f>IF(VLOOKUP(B109,PROPONENTES!$B$19:$E$219,2,0)="","",VLOOKUP(B109,PROPONENTES!$B$19:$E$219,2,0))</f>
        <v>#N/A</v>
      </c>
      <c r="D109" s="130" t="e">
        <f>IF(VLOOKUP(B109,PROPONENTES!$B$19:$E$218,3,0)="","",VLOOKUP(B109,PROPONENTES!$B$19:$E$218,3,0))</f>
        <v>#N/A</v>
      </c>
      <c r="E109" s="135" t="e">
        <f>IF(C109&lt;&gt;"",VLOOKUP(C109,HAB.EXP.ESP.!$C$27:$N$226,12),"")</f>
        <v>#N/A</v>
      </c>
      <c r="F109" s="245" t="e">
        <f>IF(C109&lt;&gt;"",VLOOKUP("M"&amp;C109,'EXP. ESP.'!$A$20:$V$6999,17,0),"")</f>
        <v>#N/A</v>
      </c>
      <c r="G109" s="342" t="e">
        <f>IF(C109&lt;&gt;"",VLOOKUP("P"&amp;C109,'EXP. ESP.'!$A$20:$V$6999,16,0),"")</f>
        <v>#N/A</v>
      </c>
      <c r="H109" s="342" t="e">
        <f>IF(C109&lt;&gt;"",IF(VLOOKUP(C109,HAB.EXP.ESP.!$C$27:$N$226,4,0)="NO CUMPLE",0,IF(E109="HÁBIL",IF(G109&lt;PPHMOD,ROUND((PTJEEXPESP1*(G109/PPHMOD)),3),IF(OR(ROUND(PTJEEXPESP1*(((3*PPHMOD)-G109)/(2*PPHMOD)),3)&lt;=0,G109&gt;=(3*PLAZOMOD)),0,ROUND(PTJEEXPESP1*(((3*PPHMOD)-G109)/(2*PPHMOD)),3))),0)),"")</f>
        <v>#N/A</v>
      </c>
      <c r="I109" s="352" t="e">
        <f>IF(C109&lt;&gt;"",VLOOKUP("S"&amp;C109,'EXP. ESP.'!$A$20:$V$6999,16,0),"")</f>
        <v>#N/A</v>
      </c>
      <c r="J109" s="358" t="e">
        <f>IF(C109&lt;&gt;"",IF(VLOOKUP(C109,HAB.EXP.ESP.!$C$27:$N$226,4,0)="NO CUMPLE",0,IF(E109="HÁBIL",IF(I109&lt;=PORPMFOMOD,ROUND(PTJEEXPESP2-(PTJEEXPESP2/(POWER(PORPMFOMOD,2)))*(POWER(I109-PORPMFOMOD,2)),3),IF(OR(I109&gt;=$I$21,ROUND((I109/PMFOMOD),3)&gt;=RELACIONPO),0,ROUND(PTJEEXPESP2-(1/$I$20)*(PTJEEXPESP2/(POWER(PORPMFOMOD,2)))*(POWER(I109-PORPMFOMOD,2)),3))),0)),"")</f>
        <v>#N/A</v>
      </c>
    </row>
    <row r="110" spans="2:10" ht="13.5" hidden="1">
      <c r="B110" s="230">
        <v>81</v>
      </c>
      <c r="C110" s="129" t="e">
        <f>IF(VLOOKUP(B110,PROPONENTES!$B$19:$E$219,2,0)="","",VLOOKUP(B110,PROPONENTES!$B$19:$E$219,2,0))</f>
        <v>#N/A</v>
      </c>
      <c r="D110" s="130" t="e">
        <f>IF(VLOOKUP(B110,PROPONENTES!$B$19:$E$218,3,0)="","",VLOOKUP(B110,PROPONENTES!$B$19:$E$218,3,0))</f>
        <v>#N/A</v>
      </c>
      <c r="E110" s="135" t="e">
        <f>IF(C110&lt;&gt;"",VLOOKUP(C110,HAB.EXP.ESP.!$C$27:$N$226,12),"")</f>
        <v>#N/A</v>
      </c>
      <c r="F110" s="245" t="e">
        <f>IF(C110&lt;&gt;"",VLOOKUP("M"&amp;C110,'EXP. ESP.'!$A$20:$V$6999,17,0),"")</f>
        <v>#N/A</v>
      </c>
      <c r="G110" s="342" t="e">
        <f>IF(C110&lt;&gt;"",VLOOKUP("P"&amp;C110,'EXP. ESP.'!$A$20:$V$6999,16,0),"")</f>
        <v>#N/A</v>
      </c>
      <c r="H110" s="342" t="e">
        <f>IF(C110&lt;&gt;"",IF(VLOOKUP(C110,HAB.EXP.ESP.!$C$27:$N$226,4,0)="NO CUMPLE",0,IF(E110="HÁBIL",IF(G110&lt;PPHMOD,ROUND((PTJEEXPESP1*(G110/PPHMOD)),3),IF(OR(ROUND(PTJEEXPESP1*(((3*PPHMOD)-G110)/(2*PPHMOD)),3)&lt;=0,G110&gt;=(3*PLAZOMOD)),0,ROUND(PTJEEXPESP1*(((3*PPHMOD)-G110)/(2*PPHMOD)),3))),0)),"")</f>
        <v>#N/A</v>
      </c>
      <c r="I110" s="352" t="e">
        <f>IF(C110&lt;&gt;"",VLOOKUP("S"&amp;C110,'EXP. ESP.'!$A$20:$V$6999,16,0),"")</f>
        <v>#N/A</v>
      </c>
      <c r="J110" s="358" t="e">
        <f>IF(C110&lt;&gt;"",IF(VLOOKUP(C110,HAB.EXP.ESP.!$C$27:$N$226,4,0)="NO CUMPLE",0,IF(E110="HÁBIL",IF(I110&lt;=PORPMFOMOD,ROUND(PTJEEXPESP2-(PTJEEXPESP2/(POWER(PORPMFOMOD,2)))*(POWER(I110-PORPMFOMOD,2)),3),IF(OR(I110&gt;=$I$21,ROUND((I110/PMFOMOD),3)&gt;=RELACIONPO),0,ROUND(PTJEEXPESP2-(1/$I$20)*(PTJEEXPESP2/(POWER(PORPMFOMOD,2)))*(POWER(I110-PORPMFOMOD,2)),3))),0)),"")</f>
        <v>#N/A</v>
      </c>
    </row>
    <row r="111" spans="2:10" ht="13.5" hidden="1">
      <c r="B111" s="231">
        <v>82</v>
      </c>
      <c r="C111" s="129" t="e">
        <f>IF(VLOOKUP(B111,PROPONENTES!$B$19:$E$219,2,0)="","",VLOOKUP(B111,PROPONENTES!$B$19:$E$219,2,0))</f>
        <v>#N/A</v>
      </c>
      <c r="D111" s="130" t="e">
        <f>IF(VLOOKUP(B111,PROPONENTES!$B$19:$E$218,3,0)="","",VLOOKUP(B111,PROPONENTES!$B$19:$E$218,3,0))</f>
        <v>#N/A</v>
      </c>
      <c r="E111" s="135" t="e">
        <f>IF(C111&lt;&gt;"",VLOOKUP(C111,HAB.EXP.ESP.!$C$27:$N$226,12),"")</f>
        <v>#N/A</v>
      </c>
      <c r="F111" s="245" t="e">
        <f>IF(C111&lt;&gt;"",VLOOKUP("M"&amp;C111,'EXP. ESP.'!$A$20:$V$6999,17,0),"")</f>
        <v>#N/A</v>
      </c>
      <c r="G111" s="342" t="e">
        <f>IF(C111&lt;&gt;"",VLOOKUP("P"&amp;C111,'EXP. ESP.'!$A$20:$V$6999,16,0),"")</f>
        <v>#N/A</v>
      </c>
      <c r="H111" s="342" t="e">
        <f>IF(C111&lt;&gt;"",IF(VLOOKUP(C111,HAB.EXP.ESP.!$C$27:$N$226,4,0)="NO CUMPLE",0,IF(E111="HÁBIL",IF(G111&lt;PPHMOD,ROUND((PTJEEXPESP1*(G111/PPHMOD)),3),IF(OR(ROUND(PTJEEXPESP1*(((3*PPHMOD)-G111)/(2*PPHMOD)),3)&lt;=0,G111&gt;=(3*PLAZOMOD)),0,ROUND(PTJEEXPESP1*(((3*PPHMOD)-G111)/(2*PPHMOD)),3))),0)),"")</f>
        <v>#N/A</v>
      </c>
      <c r="I111" s="352" t="e">
        <f>IF(C111&lt;&gt;"",VLOOKUP("S"&amp;C111,'EXP. ESP.'!$A$20:$V$6999,16,0),"")</f>
        <v>#N/A</v>
      </c>
      <c r="J111" s="358" t="e">
        <f>IF(C111&lt;&gt;"",IF(VLOOKUP(C111,HAB.EXP.ESP.!$C$27:$N$226,4,0)="NO CUMPLE",0,IF(E111="HÁBIL",IF(I111&lt;=PORPMFOMOD,ROUND(PTJEEXPESP2-(PTJEEXPESP2/(POWER(PORPMFOMOD,2)))*(POWER(I111-PORPMFOMOD,2)),3),IF(OR(I111&gt;=$I$21,ROUND((I111/PMFOMOD),3)&gt;=RELACIONPO),0,ROUND(PTJEEXPESP2-(1/$I$20)*(PTJEEXPESP2/(POWER(PORPMFOMOD,2)))*(POWER(I111-PORPMFOMOD,2)),3))),0)),"")</f>
        <v>#N/A</v>
      </c>
    </row>
    <row r="112" spans="2:10" ht="13.5" hidden="1">
      <c r="B112" s="231">
        <v>83</v>
      </c>
      <c r="C112" s="129" t="e">
        <f>IF(VLOOKUP(B112,PROPONENTES!$B$19:$E$219,2,0)="","",VLOOKUP(B112,PROPONENTES!$B$19:$E$219,2,0))</f>
        <v>#N/A</v>
      </c>
      <c r="D112" s="130" t="e">
        <f>IF(VLOOKUP(B112,PROPONENTES!$B$19:$E$218,3,0)="","",VLOOKUP(B112,PROPONENTES!$B$19:$E$218,3,0))</f>
        <v>#N/A</v>
      </c>
      <c r="E112" s="135" t="e">
        <f>IF(C112&lt;&gt;"",VLOOKUP(C112,HAB.EXP.ESP.!$C$27:$N$226,12),"")</f>
        <v>#N/A</v>
      </c>
      <c r="F112" s="245" t="e">
        <f>IF(C112&lt;&gt;"",VLOOKUP("M"&amp;C112,'EXP. ESP.'!$A$20:$V$6999,17,0),"")</f>
        <v>#N/A</v>
      </c>
      <c r="G112" s="342" t="e">
        <f>IF(C112&lt;&gt;"",VLOOKUP("P"&amp;C112,'EXP. ESP.'!$A$20:$V$6999,16,0),"")</f>
        <v>#N/A</v>
      </c>
      <c r="H112" s="342" t="e">
        <f>IF(C112&lt;&gt;"",IF(VLOOKUP(C112,HAB.EXP.ESP.!$C$27:$N$226,4,0)="NO CUMPLE",0,IF(E112="HÁBIL",IF(G112&lt;PPHMOD,ROUND((PTJEEXPESP1*(G112/PPHMOD)),3),IF(OR(ROUND(PTJEEXPESP1*(((3*PPHMOD)-G112)/(2*PPHMOD)),3)&lt;=0,G112&gt;=(3*PLAZOMOD)),0,ROUND(PTJEEXPESP1*(((3*PPHMOD)-G112)/(2*PPHMOD)),3))),0)),"")</f>
        <v>#N/A</v>
      </c>
      <c r="I112" s="352" t="e">
        <f>IF(C112&lt;&gt;"",VLOOKUP("S"&amp;C112,'EXP. ESP.'!$A$20:$V$6999,16,0),"")</f>
        <v>#N/A</v>
      </c>
      <c r="J112" s="358" t="e">
        <f>IF(C112&lt;&gt;"",IF(VLOOKUP(C112,HAB.EXP.ESP.!$C$27:$N$226,4,0)="NO CUMPLE",0,IF(E112="HÁBIL",IF(I112&lt;=PORPMFOMOD,ROUND(PTJEEXPESP2-(PTJEEXPESP2/(POWER(PORPMFOMOD,2)))*(POWER(I112-PORPMFOMOD,2)),3),IF(OR(I112&gt;=$I$21,ROUND((I112/PMFOMOD),3)&gt;=RELACIONPO),0,ROUND(PTJEEXPESP2-(1/$I$20)*(PTJEEXPESP2/(POWER(PORPMFOMOD,2)))*(POWER(I112-PORPMFOMOD,2)),3))),0)),"")</f>
        <v>#N/A</v>
      </c>
    </row>
    <row r="113" spans="2:10" ht="13.5" hidden="1">
      <c r="B113" s="231">
        <v>84</v>
      </c>
      <c r="C113" s="129" t="e">
        <f>IF(VLOOKUP(B113,PROPONENTES!$B$19:$E$219,2,0)="","",VLOOKUP(B113,PROPONENTES!$B$19:$E$219,2,0))</f>
        <v>#N/A</v>
      </c>
      <c r="D113" s="130" t="e">
        <f>IF(VLOOKUP(B113,PROPONENTES!$B$19:$E$218,3,0)="","",VLOOKUP(B113,PROPONENTES!$B$19:$E$218,3,0))</f>
        <v>#N/A</v>
      </c>
      <c r="E113" s="135" t="e">
        <f>IF(C113&lt;&gt;"",VLOOKUP(C113,HAB.EXP.ESP.!$C$27:$N$226,12),"")</f>
        <v>#N/A</v>
      </c>
      <c r="F113" s="245" t="e">
        <f>IF(C113&lt;&gt;"",VLOOKUP("M"&amp;C113,'EXP. ESP.'!$A$20:$V$6999,17,0),"")</f>
        <v>#N/A</v>
      </c>
      <c r="G113" s="342" t="e">
        <f>IF(C113&lt;&gt;"",VLOOKUP("P"&amp;C113,'EXP. ESP.'!$A$20:$V$6999,16,0),"")</f>
        <v>#N/A</v>
      </c>
      <c r="H113" s="342" t="e">
        <f>IF(C113&lt;&gt;"",IF(VLOOKUP(C113,HAB.EXP.ESP.!$C$27:$N$226,4,0)="NO CUMPLE",0,IF(E113="HÁBIL",IF(G113&lt;PPHMOD,ROUND((PTJEEXPESP1*(G113/PPHMOD)),3),IF(OR(ROUND(PTJEEXPESP1*(((3*PPHMOD)-G113)/(2*PPHMOD)),3)&lt;=0,G113&gt;=(3*PLAZOMOD)),0,ROUND(PTJEEXPESP1*(((3*PPHMOD)-G113)/(2*PPHMOD)),3))),0)),"")</f>
        <v>#N/A</v>
      </c>
      <c r="I113" s="352" t="e">
        <f>IF(C113&lt;&gt;"",VLOOKUP("S"&amp;C113,'EXP. ESP.'!$A$20:$V$6999,16,0),"")</f>
        <v>#N/A</v>
      </c>
      <c r="J113" s="358" t="e">
        <f>IF(C113&lt;&gt;"",IF(VLOOKUP(C113,HAB.EXP.ESP.!$C$27:$N$226,4,0)="NO CUMPLE",0,IF(E113="HÁBIL",IF(I113&lt;=PORPMFOMOD,ROUND(PTJEEXPESP2-(PTJEEXPESP2/(POWER(PORPMFOMOD,2)))*(POWER(I113-PORPMFOMOD,2)),3),IF(OR(I113&gt;=$I$21,ROUND((I113/PMFOMOD),3)&gt;=RELACIONPO),0,ROUND(PTJEEXPESP2-(1/$I$20)*(PTJEEXPESP2/(POWER(PORPMFOMOD,2)))*(POWER(I113-PORPMFOMOD,2)),3))),0)),"")</f>
        <v>#N/A</v>
      </c>
    </row>
    <row r="114" spans="2:10" ht="13.5" hidden="1">
      <c r="B114" s="230">
        <v>85</v>
      </c>
      <c r="C114" s="129" t="e">
        <f>IF(VLOOKUP(B114,PROPONENTES!$B$19:$E$219,2,0)="","",VLOOKUP(B114,PROPONENTES!$B$19:$E$219,2,0))</f>
        <v>#N/A</v>
      </c>
      <c r="D114" s="130" t="e">
        <f>IF(VLOOKUP(B114,PROPONENTES!$B$19:$E$218,3,0)="","",VLOOKUP(B114,PROPONENTES!$B$19:$E$218,3,0))</f>
        <v>#N/A</v>
      </c>
      <c r="E114" s="135" t="e">
        <f>IF(C114&lt;&gt;"",VLOOKUP(C114,HAB.EXP.ESP.!$C$27:$N$226,12),"")</f>
        <v>#N/A</v>
      </c>
      <c r="F114" s="245" t="e">
        <f>IF(C114&lt;&gt;"",VLOOKUP("M"&amp;C114,'EXP. ESP.'!$A$20:$V$6999,17,0),"")</f>
        <v>#N/A</v>
      </c>
      <c r="G114" s="342" t="e">
        <f>IF(C114&lt;&gt;"",VLOOKUP("P"&amp;C114,'EXP. ESP.'!$A$20:$V$6999,16,0),"")</f>
        <v>#N/A</v>
      </c>
      <c r="H114" s="342" t="e">
        <f>IF(C114&lt;&gt;"",IF(VLOOKUP(C114,HAB.EXP.ESP.!$C$27:$N$226,4,0)="NO CUMPLE",0,IF(E114="HÁBIL",IF(G114&lt;PPHMOD,ROUND((PTJEEXPESP1*(G114/PPHMOD)),3),IF(OR(ROUND(PTJEEXPESP1*(((3*PPHMOD)-G114)/(2*PPHMOD)),3)&lt;=0,G114&gt;=(3*PLAZOMOD)),0,ROUND(PTJEEXPESP1*(((3*PPHMOD)-G114)/(2*PPHMOD)),3))),0)),"")</f>
        <v>#N/A</v>
      </c>
      <c r="I114" s="352" t="e">
        <f>IF(C114&lt;&gt;"",VLOOKUP("S"&amp;C114,'EXP. ESP.'!$A$20:$V$6999,16,0),"")</f>
        <v>#N/A</v>
      </c>
      <c r="J114" s="358" t="e">
        <f>IF(C114&lt;&gt;"",IF(VLOOKUP(C114,HAB.EXP.ESP.!$C$27:$N$226,4,0)="NO CUMPLE",0,IF(E114="HÁBIL",IF(I114&lt;=PORPMFOMOD,ROUND(PTJEEXPESP2-(PTJEEXPESP2/(POWER(PORPMFOMOD,2)))*(POWER(I114-PORPMFOMOD,2)),3),IF(OR(I114&gt;=$I$21,ROUND((I114/PMFOMOD),3)&gt;=RELACIONPO),0,ROUND(PTJEEXPESP2-(1/$I$20)*(PTJEEXPESP2/(POWER(PORPMFOMOD,2)))*(POWER(I114-PORPMFOMOD,2)),3))),0)),"")</f>
        <v>#N/A</v>
      </c>
    </row>
    <row r="115" spans="2:10" ht="13.5" hidden="1">
      <c r="B115" s="231">
        <v>86</v>
      </c>
      <c r="C115" s="129" t="e">
        <f>IF(VLOOKUP(B115,PROPONENTES!$B$19:$E$219,2,0)="","",VLOOKUP(B115,PROPONENTES!$B$19:$E$219,2,0))</f>
        <v>#N/A</v>
      </c>
      <c r="D115" s="130" t="e">
        <f>IF(VLOOKUP(B115,PROPONENTES!$B$19:$E$218,3,0)="","",VLOOKUP(B115,PROPONENTES!$B$19:$E$218,3,0))</f>
        <v>#N/A</v>
      </c>
      <c r="E115" s="135" t="e">
        <f>IF(C115&lt;&gt;"",VLOOKUP(C115,HAB.EXP.ESP.!$C$27:$N$226,12),"")</f>
        <v>#N/A</v>
      </c>
      <c r="F115" s="245" t="e">
        <f>IF(C115&lt;&gt;"",VLOOKUP("M"&amp;C115,'EXP. ESP.'!$A$20:$V$6999,17,0),"")</f>
        <v>#N/A</v>
      </c>
      <c r="G115" s="342" t="e">
        <f>IF(C115&lt;&gt;"",VLOOKUP("P"&amp;C115,'EXP. ESP.'!$A$20:$V$6999,16,0),"")</f>
        <v>#N/A</v>
      </c>
      <c r="H115" s="342" t="e">
        <f>IF(C115&lt;&gt;"",IF(VLOOKUP(C115,HAB.EXP.ESP.!$C$27:$N$226,4,0)="NO CUMPLE",0,IF(E115="HÁBIL",IF(G115&lt;PPHMOD,ROUND((PTJEEXPESP1*(G115/PPHMOD)),3),IF(OR(ROUND(PTJEEXPESP1*(((3*PPHMOD)-G115)/(2*PPHMOD)),3)&lt;=0,G115&gt;=(3*PLAZOMOD)),0,ROUND(PTJEEXPESP1*(((3*PPHMOD)-G115)/(2*PPHMOD)),3))),0)),"")</f>
        <v>#N/A</v>
      </c>
      <c r="I115" s="352" t="e">
        <f>IF(C115&lt;&gt;"",VLOOKUP("S"&amp;C115,'EXP. ESP.'!$A$20:$V$6999,16,0),"")</f>
        <v>#N/A</v>
      </c>
      <c r="J115" s="358" t="e">
        <f>IF(C115&lt;&gt;"",IF(VLOOKUP(C115,HAB.EXP.ESP.!$C$27:$N$226,4,0)="NO CUMPLE",0,IF(E115="HÁBIL",IF(I115&lt;=PORPMFOMOD,ROUND(PTJEEXPESP2-(PTJEEXPESP2/(POWER(PORPMFOMOD,2)))*(POWER(I115-PORPMFOMOD,2)),3),IF(OR(I115&gt;=$I$21,ROUND((I115/PMFOMOD),3)&gt;=RELACIONPO),0,ROUND(PTJEEXPESP2-(1/$I$20)*(PTJEEXPESP2/(POWER(PORPMFOMOD,2)))*(POWER(I115-PORPMFOMOD,2)),3))),0)),"")</f>
        <v>#N/A</v>
      </c>
    </row>
    <row r="116" spans="2:10" ht="13.5" hidden="1">
      <c r="B116" s="231">
        <v>87</v>
      </c>
      <c r="C116" s="129" t="e">
        <f>IF(VLOOKUP(B116,PROPONENTES!$B$19:$E$219,2,0)="","",VLOOKUP(B116,PROPONENTES!$B$19:$E$219,2,0))</f>
        <v>#N/A</v>
      </c>
      <c r="D116" s="130" t="e">
        <f>IF(VLOOKUP(B116,PROPONENTES!$B$19:$E$218,3,0)="","",VLOOKUP(B116,PROPONENTES!$B$19:$E$218,3,0))</f>
        <v>#N/A</v>
      </c>
      <c r="E116" s="135" t="e">
        <f>IF(C116&lt;&gt;"",VLOOKUP(C116,HAB.EXP.ESP.!$C$27:$N$226,12),"")</f>
        <v>#N/A</v>
      </c>
      <c r="F116" s="245" t="e">
        <f>IF(C116&lt;&gt;"",VLOOKUP("M"&amp;C116,'EXP. ESP.'!$A$20:$V$6999,17,0),"")</f>
        <v>#N/A</v>
      </c>
      <c r="G116" s="342" t="e">
        <f>IF(C116&lt;&gt;"",VLOOKUP("P"&amp;C116,'EXP. ESP.'!$A$20:$V$6999,16,0),"")</f>
        <v>#N/A</v>
      </c>
      <c r="H116" s="342" t="e">
        <f>IF(C116&lt;&gt;"",IF(VLOOKUP(C116,HAB.EXP.ESP.!$C$27:$N$226,4,0)="NO CUMPLE",0,IF(E116="HÁBIL",IF(G116&lt;PPHMOD,ROUND((PTJEEXPESP1*(G116/PPHMOD)),3),IF(OR(ROUND(PTJEEXPESP1*(((3*PPHMOD)-G116)/(2*PPHMOD)),3)&lt;=0,G116&gt;=(3*PLAZOMOD)),0,ROUND(PTJEEXPESP1*(((3*PPHMOD)-G116)/(2*PPHMOD)),3))),0)),"")</f>
        <v>#N/A</v>
      </c>
      <c r="I116" s="352" t="e">
        <f>IF(C116&lt;&gt;"",VLOOKUP("S"&amp;C116,'EXP. ESP.'!$A$20:$V$6999,16,0),"")</f>
        <v>#N/A</v>
      </c>
      <c r="J116" s="358" t="e">
        <f>IF(C116&lt;&gt;"",IF(VLOOKUP(C116,HAB.EXP.ESP.!$C$27:$N$226,4,0)="NO CUMPLE",0,IF(E116="HÁBIL",IF(I116&lt;=PORPMFOMOD,ROUND(PTJEEXPESP2-(PTJEEXPESP2/(POWER(PORPMFOMOD,2)))*(POWER(I116-PORPMFOMOD,2)),3),IF(OR(I116&gt;=$I$21,ROUND((I116/PMFOMOD),3)&gt;=RELACIONPO),0,ROUND(PTJEEXPESP2-(1/$I$20)*(PTJEEXPESP2/(POWER(PORPMFOMOD,2)))*(POWER(I116-PORPMFOMOD,2)),3))),0)),"")</f>
        <v>#N/A</v>
      </c>
    </row>
    <row r="117" spans="2:10" ht="13.5" hidden="1">
      <c r="B117" s="231">
        <v>88</v>
      </c>
      <c r="C117" s="129" t="e">
        <f>IF(VLOOKUP(B117,PROPONENTES!$B$19:$E$219,2,0)="","",VLOOKUP(B117,PROPONENTES!$B$19:$E$219,2,0))</f>
        <v>#N/A</v>
      </c>
      <c r="D117" s="130" t="e">
        <f>IF(VLOOKUP(B117,PROPONENTES!$B$19:$E$218,3,0)="","",VLOOKUP(B117,PROPONENTES!$B$19:$E$218,3,0))</f>
        <v>#N/A</v>
      </c>
      <c r="E117" s="135" t="e">
        <f>IF(C117&lt;&gt;"",VLOOKUP(C117,HAB.EXP.ESP.!$C$27:$N$226,12),"")</f>
        <v>#N/A</v>
      </c>
      <c r="F117" s="245" t="e">
        <f>IF(C117&lt;&gt;"",VLOOKUP("M"&amp;C117,'EXP. ESP.'!$A$20:$V$6999,17,0),"")</f>
        <v>#N/A</v>
      </c>
      <c r="G117" s="342" t="e">
        <f>IF(C117&lt;&gt;"",VLOOKUP("P"&amp;C117,'EXP. ESP.'!$A$20:$V$6999,16,0),"")</f>
        <v>#N/A</v>
      </c>
      <c r="H117" s="342" t="e">
        <f>IF(C117&lt;&gt;"",IF(VLOOKUP(C117,HAB.EXP.ESP.!$C$27:$N$226,4,0)="NO CUMPLE",0,IF(E117="HÁBIL",IF(G117&lt;PPHMOD,ROUND((PTJEEXPESP1*(G117/PPHMOD)),3),IF(OR(ROUND(PTJEEXPESP1*(((3*PPHMOD)-G117)/(2*PPHMOD)),3)&lt;=0,G117&gt;=(3*PLAZOMOD)),0,ROUND(PTJEEXPESP1*(((3*PPHMOD)-G117)/(2*PPHMOD)),3))),0)),"")</f>
        <v>#N/A</v>
      </c>
      <c r="I117" s="352" t="e">
        <f>IF(C117&lt;&gt;"",VLOOKUP("S"&amp;C117,'EXP. ESP.'!$A$20:$V$6999,16,0),"")</f>
        <v>#N/A</v>
      </c>
      <c r="J117" s="358" t="e">
        <f>IF(C117&lt;&gt;"",IF(VLOOKUP(C117,HAB.EXP.ESP.!$C$27:$N$226,4,0)="NO CUMPLE",0,IF(E117="HÁBIL",IF(I117&lt;=PORPMFOMOD,ROUND(PTJEEXPESP2-(PTJEEXPESP2/(POWER(PORPMFOMOD,2)))*(POWER(I117-PORPMFOMOD,2)),3),IF(OR(I117&gt;=$I$21,ROUND((I117/PMFOMOD),3)&gt;=RELACIONPO),0,ROUND(PTJEEXPESP2-(1/$I$20)*(PTJEEXPESP2/(POWER(PORPMFOMOD,2)))*(POWER(I117-PORPMFOMOD,2)),3))),0)),"")</f>
        <v>#N/A</v>
      </c>
    </row>
    <row r="118" spans="2:10" ht="13.5" hidden="1">
      <c r="B118" s="230">
        <v>89</v>
      </c>
      <c r="C118" s="129" t="e">
        <f>IF(VLOOKUP(B118,PROPONENTES!$B$19:$E$219,2,0)="","",VLOOKUP(B118,PROPONENTES!$B$19:$E$219,2,0))</f>
        <v>#N/A</v>
      </c>
      <c r="D118" s="130" t="e">
        <f>IF(VLOOKUP(B118,PROPONENTES!$B$19:$E$218,3,0)="","",VLOOKUP(B118,PROPONENTES!$B$19:$E$218,3,0))</f>
        <v>#N/A</v>
      </c>
      <c r="E118" s="135" t="e">
        <f>IF(C118&lt;&gt;"",VLOOKUP(C118,HAB.EXP.ESP.!$C$27:$N$226,12),"")</f>
        <v>#N/A</v>
      </c>
      <c r="F118" s="245" t="e">
        <f>IF(C118&lt;&gt;"",VLOOKUP("M"&amp;C118,'EXP. ESP.'!$A$20:$V$6999,17,0),"")</f>
        <v>#N/A</v>
      </c>
      <c r="G118" s="342" t="e">
        <f>IF(C118&lt;&gt;"",VLOOKUP("P"&amp;C118,'EXP. ESP.'!$A$20:$V$6999,16,0),"")</f>
        <v>#N/A</v>
      </c>
      <c r="H118" s="342" t="e">
        <f>IF(C118&lt;&gt;"",IF(VLOOKUP(C118,HAB.EXP.ESP.!$C$27:$N$226,4,0)="NO CUMPLE",0,IF(E118="HÁBIL",IF(G118&lt;PPHMOD,ROUND((PTJEEXPESP1*(G118/PPHMOD)),3),IF(OR(ROUND(PTJEEXPESP1*(((3*PPHMOD)-G118)/(2*PPHMOD)),3)&lt;=0,G118&gt;=(3*PLAZOMOD)),0,ROUND(PTJEEXPESP1*(((3*PPHMOD)-G118)/(2*PPHMOD)),3))),0)),"")</f>
        <v>#N/A</v>
      </c>
      <c r="I118" s="352" t="e">
        <f>IF(C118&lt;&gt;"",VLOOKUP("S"&amp;C118,'EXP. ESP.'!$A$20:$V$6999,16,0),"")</f>
        <v>#N/A</v>
      </c>
      <c r="J118" s="358" t="e">
        <f>IF(C118&lt;&gt;"",IF(VLOOKUP(C118,HAB.EXP.ESP.!$C$27:$N$226,4,0)="NO CUMPLE",0,IF(E118="HÁBIL",IF(I118&lt;=PORPMFOMOD,ROUND(PTJEEXPESP2-(PTJEEXPESP2/(POWER(PORPMFOMOD,2)))*(POWER(I118-PORPMFOMOD,2)),3),IF(OR(I118&gt;=$I$21,ROUND((I118/PMFOMOD),3)&gt;=RELACIONPO),0,ROUND(PTJEEXPESP2-(1/$I$20)*(PTJEEXPESP2/(POWER(PORPMFOMOD,2)))*(POWER(I118-PORPMFOMOD,2)),3))),0)),"")</f>
        <v>#N/A</v>
      </c>
    </row>
    <row r="119" spans="2:10" ht="13.5" hidden="1">
      <c r="B119" s="231">
        <v>90</v>
      </c>
      <c r="C119" s="129" t="e">
        <f>IF(VLOOKUP(B119,PROPONENTES!$B$19:$E$219,2,0)="","",VLOOKUP(B119,PROPONENTES!$B$19:$E$219,2,0))</f>
        <v>#N/A</v>
      </c>
      <c r="D119" s="130" t="e">
        <f>IF(VLOOKUP(B119,PROPONENTES!$B$19:$E$218,3,0)="","",VLOOKUP(B119,PROPONENTES!$B$19:$E$218,3,0))</f>
        <v>#N/A</v>
      </c>
      <c r="E119" s="135" t="e">
        <f>IF(C119&lt;&gt;"",VLOOKUP(C119,HAB.EXP.ESP.!$C$27:$N$226,12),"")</f>
        <v>#N/A</v>
      </c>
      <c r="F119" s="245" t="e">
        <f>IF(C119&lt;&gt;"",VLOOKUP("M"&amp;C119,'EXP. ESP.'!$A$20:$V$6999,17,0),"")</f>
        <v>#N/A</v>
      </c>
      <c r="G119" s="342" t="e">
        <f>IF(C119&lt;&gt;"",VLOOKUP("P"&amp;C119,'EXP. ESP.'!$A$20:$V$6999,16,0),"")</f>
        <v>#N/A</v>
      </c>
      <c r="H119" s="342" t="e">
        <f>IF(C119&lt;&gt;"",IF(VLOOKUP(C119,HAB.EXP.ESP.!$C$27:$N$226,4,0)="NO CUMPLE",0,IF(E119="HÁBIL",IF(G119&lt;PPHMOD,ROUND((PTJEEXPESP1*(G119/PPHMOD)),3),IF(OR(ROUND(PTJEEXPESP1*(((3*PPHMOD)-G119)/(2*PPHMOD)),3)&lt;=0,G119&gt;=(3*PLAZOMOD)),0,ROUND(PTJEEXPESP1*(((3*PPHMOD)-G119)/(2*PPHMOD)),3))),0)),"")</f>
        <v>#N/A</v>
      </c>
      <c r="I119" s="352" t="e">
        <f>IF(C119&lt;&gt;"",VLOOKUP("S"&amp;C119,'EXP. ESP.'!$A$20:$V$6999,16,0),"")</f>
        <v>#N/A</v>
      </c>
      <c r="J119" s="358" t="e">
        <f>IF(C119&lt;&gt;"",IF(VLOOKUP(C119,HAB.EXP.ESP.!$C$27:$N$226,4,0)="NO CUMPLE",0,IF(E119="HÁBIL",IF(I119&lt;=PORPMFOMOD,ROUND(PTJEEXPESP2-(PTJEEXPESP2/(POWER(PORPMFOMOD,2)))*(POWER(I119-PORPMFOMOD,2)),3),IF(OR(I119&gt;=$I$21,ROUND((I119/PMFOMOD),3)&gt;=RELACIONPO),0,ROUND(PTJEEXPESP2-(1/$I$20)*(PTJEEXPESP2/(POWER(PORPMFOMOD,2)))*(POWER(I119-PORPMFOMOD,2)),3))),0)),"")</f>
        <v>#N/A</v>
      </c>
    </row>
    <row r="120" spans="2:10" ht="13.5" hidden="1">
      <c r="B120" s="231">
        <v>91</v>
      </c>
      <c r="C120" s="129" t="e">
        <f>IF(VLOOKUP(B120,PROPONENTES!$B$19:$E$219,2,0)="","",VLOOKUP(B120,PROPONENTES!$B$19:$E$219,2,0))</f>
        <v>#N/A</v>
      </c>
      <c r="D120" s="130" t="e">
        <f>IF(VLOOKUP(B120,PROPONENTES!$B$19:$E$218,3,0)="","",VLOOKUP(B120,PROPONENTES!$B$19:$E$218,3,0))</f>
        <v>#N/A</v>
      </c>
      <c r="E120" s="135" t="e">
        <f>IF(C120&lt;&gt;"",VLOOKUP(C120,HAB.EXP.ESP.!$C$27:$N$226,12),"")</f>
        <v>#N/A</v>
      </c>
      <c r="F120" s="245" t="e">
        <f>IF(C120&lt;&gt;"",VLOOKUP("M"&amp;C120,'EXP. ESP.'!$A$20:$V$6999,17,0),"")</f>
        <v>#N/A</v>
      </c>
      <c r="G120" s="342" t="e">
        <f>IF(C120&lt;&gt;"",VLOOKUP("P"&amp;C120,'EXP. ESP.'!$A$20:$V$6999,16,0),"")</f>
        <v>#N/A</v>
      </c>
      <c r="H120" s="342" t="e">
        <f>IF(C120&lt;&gt;"",IF(VLOOKUP(C120,HAB.EXP.ESP.!$C$27:$N$226,4,0)="NO CUMPLE",0,IF(E120="HÁBIL",IF(G120&lt;PPHMOD,ROUND((PTJEEXPESP1*(G120/PPHMOD)),3),IF(OR(ROUND(PTJEEXPESP1*(((3*PPHMOD)-G120)/(2*PPHMOD)),3)&lt;=0,G120&gt;=(3*PLAZOMOD)),0,ROUND(PTJEEXPESP1*(((3*PPHMOD)-G120)/(2*PPHMOD)),3))),0)),"")</f>
        <v>#N/A</v>
      </c>
      <c r="I120" s="352" t="e">
        <f>IF(C120&lt;&gt;"",VLOOKUP("S"&amp;C120,'EXP. ESP.'!$A$20:$V$6999,16,0),"")</f>
        <v>#N/A</v>
      </c>
      <c r="J120" s="358" t="e">
        <f>IF(C120&lt;&gt;"",IF(VLOOKUP(C120,HAB.EXP.ESP.!$C$27:$N$226,4,0)="NO CUMPLE",0,IF(E120="HÁBIL",IF(I120&lt;=PORPMFOMOD,ROUND(PTJEEXPESP2-(PTJEEXPESP2/(POWER(PORPMFOMOD,2)))*(POWER(I120-PORPMFOMOD,2)),3),IF(OR(I120&gt;=$I$21,ROUND((I120/PMFOMOD),3)&gt;=RELACIONPO),0,ROUND(PTJEEXPESP2-(1/$I$20)*(PTJEEXPESP2/(POWER(PORPMFOMOD,2)))*(POWER(I120-PORPMFOMOD,2)),3))),0)),"")</f>
        <v>#N/A</v>
      </c>
    </row>
    <row r="121" spans="2:10" ht="13.5" hidden="1">
      <c r="B121" s="231">
        <v>92</v>
      </c>
      <c r="C121" s="129" t="e">
        <f>IF(VLOOKUP(B121,PROPONENTES!$B$19:$E$219,2,0)="","",VLOOKUP(B121,PROPONENTES!$B$19:$E$219,2,0))</f>
        <v>#N/A</v>
      </c>
      <c r="D121" s="130" t="e">
        <f>IF(VLOOKUP(B121,PROPONENTES!$B$19:$E$218,3,0)="","",VLOOKUP(B121,PROPONENTES!$B$19:$E$218,3,0))</f>
        <v>#N/A</v>
      </c>
      <c r="E121" s="135" t="e">
        <f>IF(C121&lt;&gt;"",VLOOKUP(C121,HAB.EXP.ESP.!$C$27:$N$226,12),"")</f>
        <v>#N/A</v>
      </c>
      <c r="F121" s="245" t="e">
        <f>IF(C121&lt;&gt;"",VLOOKUP("M"&amp;C121,'EXP. ESP.'!$A$20:$V$6999,17,0),"")</f>
        <v>#N/A</v>
      </c>
      <c r="G121" s="342" t="e">
        <f>IF(C121&lt;&gt;"",VLOOKUP("P"&amp;C121,'EXP. ESP.'!$A$20:$V$6999,16,0),"")</f>
        <v>#N/A</v>
      </c>
      <c r="H121" s="342" t="e">
        <f>IF(C121&lt;&gt;"",IF(VLOOKUP(C121,HAB.EXP.ESP.!$C$27:$N$226,4,0)="NO CUMPLE",0,IF(E121="HÁBIL",IF(G121&lt;PPHMOD,ROUND((PTJEEXPESP1*(G121/PPHMOD)),3),IF(OR(ROUND(PTJEEXPESP1*(((3*PPHMOD)-G121)/(2*PPHMOD)),3)&lt;=0,G121&gt;=(3*PLAZOMOD)),0,ROUND(PTJEEXPESP1*(((3*PPHMOD)-G121)/(2*PPHMOD)),3))),0)),"")</f>
        <v>#N/A</v>
      </c>
      <c r="I121" s="352" t="e">
        <f>IF(C121&lt;&gt;"",VLOOKUP("S"&amp;C121,'EXP. ESP.'!$A$20:$V$6999,16,0),"")</f>
        <v>#N/A</v>
      </c>
      <c r="J121" s="358" t="e">
        <f>IF(C121&lt;&gt;"",IF(VLOOKUP(C121,HAB.EXP.ESP.!$C$27:$N$226,4,0)="NO CUMPLE",0,IF(E121="HÁBIL",IF(I121&lt;=PORPMFOMOD,ROUND(PTJEEXPESP2-(PTJEEXPESP2/(POWER(PORPMFOMOD,2)))*(POWER(I121-PORPMFOMOD,2)),3),IF(OR(I121&gt;=$I$21,ROUND((I121/PMFOMOD),3)&gt;=RELACIONPO),0,ROUND(PTJEEXPESP2-(1/$I$20)*(PTJEEXPESP2/(POWER(PORPMFOMOD,2)))*(POWER(I121-PORPMFOMOD,2)),3))),0)),"")</f>
        <v>#N/A</v>
      </c>
    </row>
    <row r="122" spans="2:10" ht="13.5" hidden="1">
      <c r="B122" s="230">
        <v>93</v>
      </c>
      <c r="C122" s="129" t="e">
        <f>IF(VLOOKUP(B122,PROPONENTES!$B$19:$E$219,2,0)="","",VLOOKUP(B122,PROPONENTES!$B$19:$E$219,2,0))</f>
        <v>#N/A</v>
      </c>
      <c r="D122" s="130" t="e">
        <f>IF(VLOOKUP(B122,PROPONENTES!$B$19:$E$218,3,0)="","",VLOOKUP(B122,PROPONENTES!$B$19:$E$218,3,0))</f>
        <v>#N/A</v>
      </c>
      <c r="E122" s="135" t="e">
        <f>IF(C122&lt;&gt;"",VLOOKUP(C122,HAB.EXP.ESP.!$C$27:$N$226,12),"")</f>
        <v>#N/A</v>
      </c>
      <c r="F122" s="245" t="e">
        <f>IF(C122&lt;&gt;"",VLOOKUP("M"&amp;C122,'EXP. ESP.'!$A$20:$V$6999,17,0),"")</f>
        <v>#N/A</v>
      </c>
      <c r="G122" s="342" t="e">
        <f>IF(C122&lt;&gt;"",VLOOKUP("P"&amp;C122,'EXP. ESP.'!$A$20:$V$6999,16,0),"")</f>
        <v>#N/A</v>
      </c>
      <c r="H122" s="342" t="e">
        <f>IF(C122&lt;&gt;"",IF(VLOOKUP(C122,HAB.EXP.ESP.!$C$27:$N$226,4,0)="NO CUMPLE",0,IF(E122="HÁBIL",IF(G122&lt;PPHMOD,ROUND((PTJEEXPESP1*(G122/PPHMOD)),3),IF(OR(ROUND(PTJEEXPESP1*(((3*PPHMOD)-G122)/(2*PPHMOD)),3)&lt;=0,G122&gt;=(3*PLAZOMOD)),0,ROUND(PTJEEXPESP1*(((3*PPHMOD)-G122)/(2*PPHMOD)),3))),0)),"")</f>
        <v>#N/A</v>
      </c>
      <c r="I122" s="352" t="e">
        <f>IF(C122&lt;&gt;"",VLOOKUP("S"&amp;C122,'EXP. ESP.'!$A$20:$V$6999,16,0),"")</f>
        <v>#N/A</v>
      </c>
      <c r="J122" s="358" t="e">
        <f>IF(C122&lt;&gt;"",IF(VLOOKUP(C122,HAB.EXP.ESP.!$C$27:$N$226,4,0)="NO CUMPLE",0,IF(E122="HÁBIL",IF(I122&lt;=PORPMFOMOD,ROUND(PTJEEXPESP2-(PTJEEXPESP2/(POWER(PORPMFOMOD,2)))*(POWER(I122-PORPMFOMOD,2)),3),IF(OR(I122&gt;=$I$21,ROUND((I122/PMFOMOD),3)&gt;=RELACIONPO),0,ROUND(PTJEEXPESP2-(1/$I$20)*(PTJEEXPESP2/(POWER(PORPMFOMOD,2)))*(POWER(I122-PORPMFOMOD,2)),3))),0)),"")</f>
        <v>#N/A</v>
      </c>
    </row>
    <row r="123" spans="2:10" ht="13.5" hidden="1">
      <c r="B123" s="231">
        <v>94</v>
      </c>
      <c r="C123" s="129" t="e">
        <f>IF(VLOOKUP(B123,PROPONENTES!$B$19:$E$219,2,0)="","",VLOOKUP(B123,PROPONENTES!$B$19:$E$219,2,0))</f>
        <v>#N/A</v>
      </c>
      <c r="D123" s="130" t="e">
        <f>IF(VLOOKUP(B123,PROPONENTES!$B$19:$E$218,3,0)="","",VLOOKUP(B123,PROPONENTES!$B$19:$E$218,3,0))</f>
        <v>#N/A</v>
      </c>
      <c r="E123" s="135" t="e">
        <f>IF(C123&lt;&gt;"",VLOOKUP(C123,HAB.EXP.ESP.!$C$27:$N$226,12),"")</f>
        <v>#N/A</v>
      </c>
      <c r="F123" s="245" t="e">
        <f>IF(C123&lt;&gt;"",VLOOKUP("M"&amp;C123,'EXP. ESP.'!$A$20:$V$6999,17,0),"")</f>
        <v>#N/A</v>
      </c>
      <c r="G123" s="342" t="e">
        <f>IF(C123&lt;&gt;"",VLOOKUP("P"&amp;C123,'EXP. ESP.'!$A$20:$V$6999,16,0),"")</f>
        <v>#N/A</v>
      </c>
      <c r="H123" s="342" t="e">
        <f>IF(C123&lt;&gt;"",IF(VLOOKUP(C123,HAB.EXP.ESP.!$C$27:$N$226,4,0)="NO CUMPLE",0,IF(E123="HÁBIL",IF(G123&lt;PPHMOD,ROUND((PTJEEXPESP1*(G123/PPHMOD)),3),IF(OR(ROUND(PTJEEXPESP1*(((3*PPHMOD)-G123)/(2*PPHMOD)),3)&lt;=0,G123&gt;=(3*PLAZOMOD)),0,ROUND(PTJEEXPESP1*(((3*PPHMOD)-G123)/(2*PPHMOD)),3))),0)),"")</f>
        <v>#N/A</v>
      </c>
      <c r="I123" s="352" t="e">
        <f>IF(C123&lt;&gt;"",VLOOKUP("S"&amp;C123,'EXP. ESP.'!$A$20:$V$6999,16,0),"")</f>
        <v>#N/A</v>
      </c>
      <c r="J123" s="358" t="e">
        <f>IF(C123&lt;&gt;"",IF(VLOOKUP(C123,HAB.EXP.ESP.!$C$27:$N$226,4,0)="NO CUMPLE",0,IF(E123="HÁBIL",IF(I123&lt;=PORPMFOMOD,ROUND(PTJEEXPESP2-(PTJEEXPESP2/(POWER(PORPMFOMOD,2)))*(POWER(I123-PORPMFOMOD,2)),3),IF(OR(I123&gt;=$I$21,ROUND((I123/PMFOMOD),3)&gt;=RELACIONPO),0,ROUND(PTJEEXPESP2-(1/$I$20)*(PTJEEXPESP2/(POWER(PORPMFOMOD,2)))*(POWER(I123-PORPMFOMOD,2)),3))),0)),"")</f>
        <v>#N/A</v>
      </c>
    </row>
    <row r="124" spans="2:10" ht="13.5" hidden="1">
      <c r="B124" s="231">
        <v>95</v>
      </c>
      <c r="C124" s="129" t="e">
        <f>IF(VLOOKUP(B124,PROPONENTES!$B$19:$E$219,2,0)="","",VLOOKUP(B124,PROPONENTES!$B$19:$E$219,2,0))</f>
        <v>#N/A</v>
      </c>
      <c r="D124" s="130" t="e">
        <f>IF(VLOOKUP(B124,PROPONENTES!$B$19:$E$218,3,0)="","",VLOOKUP(B124,PROPONENTES!$B$19:$E$218,3,0))</f>
        <v>#N/A</v>
      </c>
      <c r="E124" s="135" t="e">
        <f>IF(C124&lt;&gt;"",VLOOKUP(C124,HAB.EXP.ESP.!$C$27:$N$226,12),"")</f>
        <v>#N/A</v>
      </c>
      <c r="F124" s="245" t="e">
        <f>IF(C124&lt;&gt;"",VLOOKUP("M"&amp;C124,'EXP. ESP.'!$A$20:$V$6999,17,0),"")</f>
        <v>#N/A</v>
      </c>
      <c r="G124" s="342" t="e">
        <f>IF(C124&lt;&gt;"",VLOOKUP("P"&amp;C124,'EXP. ESP.'!$A$20:$V$6999,16,0),"")</f>
        <v>#N/A</v>
      </c>
      <c r="H124" s="342" t="e">
        <f>IF(C124&lt;&gt;"",IF(VLOOKUP(C124,HAB.EXP.ESP.!$C$27:$N$226,4,0)="NO CUMPLE",0,IF(E124="HÁBIL",IF(G124&lt;PPHMOD,ROUND((PTJEEXPESP1*(G124/PPHMOD)),3),IF(OR(ROUND(PTJEEXPESP1*(((3*PPHMOD)-G124)/(2*PPHMOD)),3)&lt;=0,G124&gt;=(3*PLAZOMOD)),0,ROUND(PTJEEXPESP1*(((3*PPHMOD)-G124)/(2*PPHMOD)),3))),0)),"")</f>
        <v>#N/A</v>
      </c>
      <c r="I124" s="352" t="e">
        <f>IF(C124&lt;&gt;"",VLOOKUP("S"&amp;C124,'EXP. ESP.'!$A$20:$V$6999,16,0),"")</f>
        <v>#N/A</v>
      </c>
      <c r="J124" s="358" t="e">
        <f>IF(C124&lt;&gt;"",IF(VLOOKUP(C124,HAB.EXP.ESP.!$C$27:$N$226,4,0)="NO CUMPLE",0,IF(E124="HÁBIL",IF(I124&lt;=PORPMFOMOD,ROUND(PTJEEXPESP2-(PTJEEXPESP2/(POWER(PORPMFOMOD,2)))*(POWER(I124-PORPMFOMOD,2)),3),IF(OR(I124&gt;=$I$21,ROUND((I124/PMFOMOD),3)&gt;=RELACIONPO),0,ROUND(PTJEEXPESP2-(1/$I$20)*(PTJEEXPESP2/(POWER(PORPMFOMOD,2)))*(POWER(I124-PORPMFOMOD,2)),3))),0)),"")</f>
        <v>#N/A</v>
      </c>
    </row>
    <row r="125" spans="2:10" ht="13.5" hidden="1">
      <c r="B125" s="231">
        <v>96</v>
      </c>
      <c r="C125" s="129" t="e">
        <f>IF(VLOOKUP(B125,PROPONENTES!$B$19:$E$219,2,0)="","",VLOOKUP(B125,PROPONENTES!$B$19:$E$219,2,0))</f>
        <v>#N/A</v>
      </c>
      <c r="D125" s="130" t="e">
        <f>IF(VLOOKUP(B125,PROPONENTES!$B$19:$E$218,3,0)="","",VLOOKUP(B125,PROPONENTES!$B$19:$E$218,3,0))</f>
        <v>#N/A</v>
      </c>
      <c r="E125" s="135" t="e">
        <f>IF(C125&lt;&gt;"",VLOOKUP(C125,HAB.EXP.ESP.!$C$27:$N$226,12),"")</f>
        <v>#N/A</v>
      </c>
      <c r="F125" s="245" t="e">
        <f>IF(C125&lt;&gt;"",VLOOKUP("M"&amp;C125,'EXP. ESP.'!$A$20:$V$6999,17,0),"")</f>
        <v>#N/A</v>
      </c>
      <c r="G125" s="342" t="e">
        <f>IF(C125&lt;&gt;"",VLOOKUP("P"&amp;C125,'EXP. ESP.'!$A$20:$V$6999,16,0),"")</f>
        <v>#N/A</v>
      </c>
      <c r="H125" s="342" t="e">
        <f>IF(C125&lt;&gt;"",IF(VLOOKUP(C125,HAB.EXP.ESP.!$C$27:$N$226,4,0)="NO CUMPLE",0,IF(E125="HÁBIL",IF(G125&lt;PPHMOD,ROUND((PTJEEXPESP1*(G125/PPHMOD)),3),IF(OR(ROUND(PTJEEXPESP1*(((3*PPHMOD)-G125)/(2*PPHMOD)),3)&lt;=0,G125&gt;=(3*PLAZOMOD)),0,ROUND(PTJEEXPESP1*(((3*PPHMOD)-G125)/(2*PPHMOD)),3))),0)),"")</f>
        <v>#N/A</v>
      </c>
      <c r="I125" s="352" t="e">
        <f>IF(C125&lt;&gt;"",VLOOKUP("S"&amp;C125,'EXP. ESP.'!$A$20:$V$6999,16,0),"")</f>
        <v>#N/A</v>
      </c>
      <c r="J125" s="358" t="e">
        <f>IF(C125&lt;&gt;"",IF(VLOOKUP(C125,HAB.EXP.ESP.!$C$27:$N$226,4,0)="NO CUMPLE",0,IF(E125="HÁBIL",IF(I125&lt;=PORPMFOMOD,ROUND(PTJEEXPESP2-(PTJEEXPESP2/(POWER(PORPMFOMOD,2)))*(POWER(I125-PORPMFOMOD,2)),3),IF(OR(I125&gt;=$I$21,ROUND((I125/PMFOMOD),3)&gt;=RELACIONPO),0,ROUND(PTJEEXPESP2-(1/$I$20)*(PTJEEXPESP2/(POWER(PORPMFOMOD,2)))*(POWER(I125-PORPMFOMOD,2)),3))),0)),"")</f>
        <v>#N/A</v>
      </c>
    </row>
    <row r="126" spans="2:10" ht="13.5" hidden="1">
      <c r="B126" s="230">
        <v>97</v>
      </c>
      <c r="C126" s="129" t="e">
        <f>IF(VLOOKUP(B126,PROPONENTES!$B$19:$E$219,2,0)="","",VLOOKUP(B126,PROPONENTES!$B$19:$E$219,2,0))</f>
        <v>#N/A</v>
      </c>
      <c r="D126" s="130" t="e">
        <f>IF(VLOOKUP(B126,PROPONENTES!$B$19:$E$218,3,0)="","",VLOOKUP(B126,PROPONENTES!$B$19:$E$218,3,0))</f>
        <v>#N/A</v>
      </c>
      <c r="E126" s="135" t="e">
        <f>IF(C126&lt;&gt;"",VLOOKUP(C126,HAB.EXP.ESP.!$C$27:$N$226,12),"")</f>
        <v>#N/A</v>
      </c>
      <c r="F126" s="245" t="e">
        <f>IF(C126&lt;&gt;"",VLOOKUP("M"&amp;C126,'EXP. ESP.'!$A$20:$V$6999,17,0),"")</f>
        <v>#N/A</v>
      </c>
      <c r="G126" s="342" t="e">
        <f>IF(C126&lt;&gt;"",VLOOKUP("P"&amp;C126,'EXP. ESP.'!$A$20:$V$6999,16,0),"")</f>
        <v>#N/A</v>
      </c>
      <c r="H126" s="342" t="e">
        <f>IF(C126&lt;&gt;"",IF(VLOOKUP(C126,HAB.EXP.ESP.!$C$27:$N$226,4,0)="NO CUMPLE",0,IF(E126="HÁBIL",IF(G126&lt;PPHMOD,ROUND((PTJEEXPESP1*(G126/PPHMOD)),3),IF(OR(ROUND(PTJEEXPESP1*(((3*PPHMOD)-G126)/(2*PPHMOD)),3)&lt;=0,G126&gt;=(3*PLAZOMOD)),0,ROUND(PTJEEXPESP1*(((3*PPHMOD)-G126)/(2*PPHMOD)),3))),0)),"")</f>
        <v>#N/A</v>
      </c>
      <c r="I126" s="352" t="e">
        <f>IF(C126&lt;&gt;"",VLOOKUP("S"&amp;C126,'EXP. ESP.'!$A$20:$V$6999,16,0),"")</f>
        <v>#N/A</v>
      </c>
      <c r="J126" s="358" t="e">
        <f>IF(C126&lt;&gt;"",IF(VLOOKUP(C126,HAB.EXP.ESP.!$C$27:$N$226,4,0)="NO CUMPLE",0,IF(E126="HÁBIL",IF(I126&lt;=PORPMFOMOD,ROUND(PTJEEXPESP2-(PTJEEXPESP2/(POWER(PORPMFOMOD,2)))*(POWER(I126-PORPMFOMOD,2)),3),IF(OR(I126&gt;=$I$21,ROUND((I126/PMFOMOD),3)&gt;=RELACIONPO),0,ROUND(PTJEEXPESP2-(1/$I$20)*(PTJEEXPESP2/(POWER(PORPMFOMOD,2)))*(POWER(I126-PORPMFOMOD,2)),3))),0)),"")</f>
        <v>#N/A</v>
      </c>
    </row>
    <row r="127" spans="2:10" ht="13.5" hidden="1">
      <c r="B127" s="231">
        <v>98</v>
      </c>
      <c r="C127" s="129" t="e">
        <f>IF(VLOOKUP(B127,PROPONENTES!$B$19:$E$219,2,0)="","",VLOOKUP(B127,PROPONENTES!$B$19:$E$219,2,0))</f>
        <v>#N/A</v>
      </c>
      <c r="D127" s="130" t="e">
        <f>IF(VLOOKUP(B127,PROPONENTES!$B$19:$E$218,3,0)="","",VLOOKUP(B127,PROPONENTES!$B$19:$E$218,3,0))</f>
        <v>#N/A</v>
      </c>
      <c r="E127" s="135" t="e">
        <f>IF(C127&lt;&gt;"",VLOOKUP(C127,HAB.EXP.ESP.!$C$27:$N$226,12),"")</f>
        <v>#N/A</v>
      </c>
      <c r="F127" s="245" t="e">
        <f>IF(C127&lt;&gt;"",VLOOKUP("M"&amp;C127,'EXP. ESP.'!$A$20:$V$6999,17,0),"")</f>
        <v>#N/A</v>
      </c>
      <c r="G127" s="342" t="e">
        <f>IF(C127&lt;&gt;"",VLOOKUP("P"&amp;C127,'EXP. ESP.'!$A$20:$V$6999,16,0),"")</f>
        <v>#N/A</v>
      </c>
      <c r="H127" s="342" t="e">
        <f>IF(C127&lt;&gt;"",IF(VLOOKUP(C127,HAB.EXP.ESP.!$C$27:$N$226,4,0)="NO CUMPLE",0,IF(E127="HÁBIL",IF(G127&lt;PPHMOD,ROUND((PTJEEXPESP1*(G127/PPHMOD)),3),IF(OR(ROUND(PTJEEXPESP1*(((3*PPHMOD)-G127)/(2*PPHMOD)),3)&lt;=0,G127&gt;=(3*PLAZOMOD)),0,ROUND(PTJEEXPESP1*(((3*PPHMOD)-G127)/(2*PPHMOD)),3))),0)),"")</f>
        <v>#N/A</v>
      </c>
      <c r="I127" s="352" t="e">
        <f>IF(C127&lt;&gt;"",VLOOKUP("S"&amp;C127,'EXP. ESP.'!$A$20:$V$6999,16,0),"")</f>
        <v>#N/A</v>
      </c>
      <c r="J127" s="358" t="e">
        <f>IF(C127&lt;&gt;"",IF(VLOOKUP(C127,HAB.EXP.ESP.!$C$27:$N$226,4,0)="NO CUMPLE",0,IF(E127="HÁBIL",IF(I127&lt;=PORPMFOMOD,ROUND(PTJEEXPESP2-(PTJEEXPESP2/(POWER(PORPMFOMOD,2)))*(POWER(I127-PORPMFOMOD,2)),3),IF(OR(I127&gt;=$I$21,ROUND((I127/PMFOMOD),3)&gt;=RELACIONPO),0,ROUND(PTJEEXPESP2-(1/$I$20)*(PTJEEXPESP2/(POWER(PORPMFOMOD,2)))*(POWER(I127-PORPMFOMOD,2)),3))),0)),"")</f>
        <v>#N/A</v>
      </c>
    </row>
    <row r="128" spans="2:10" ht="13.5" hidden="1">
      <c r="B128" s="231">
        <v>99</v>
      </c>
      <c r="C128" s="129" t="e">
        <f>IF(VLOOKUP(B128,PROPONENTES!$B$19:$E$219,2,0)="","",VLOOKUP(B128,PROPONENTES!$B$19:$E$219,2,0))</f>
        <v>#N/A</v>
      </c>
      <c r="D128" s="130" t="e">
        <f>IF(VLOOKUP(B128,PROPONENTES!$B$19:$E$218,3,0)="","",VLOOKUP(B128,PROPONENTES!$B$19:$E$218,3,0))</f>
        <v>#N/A</v>
      </c>
      <c r="E128" s="135" t="e">
        <f>IF(C128&lt;&gt;"",VLOOKUP(C128,HAB.EXP.ESP.!$C$27:$N$226,12),"")</f>
        <v>#N/A</v>
      </c>
      <c r="F128" s="245" t="e">
        <f>IF(C128&lt;&gt;"",VLOOKUP("M"&amp;C128,'EXP. ESP.'!$A$20:$V$6999,17,0),"")</f>
        <v>#N/A</v>
      </c>
      <c r="G128" s="342" t="e">
        <f>IF(C128&lt;&gt;"",VLOOKUP("P"&amp;C128,'EXP. ESP.'!$A$20:$V$6999,16,0),"")</f>
        <v>#N/A</v>
      </c>
      <c r="H128" s="342" t="e">
        <f>IF(C128&lt;&gt;"",IF(VLOOKUP(C128,HAB.EXP.ESP.!$C$27:$N$226,4,0)="NO CUMPLE",0,IF(E128="HÁBIL",IF(G128&lt;PPHMOD,ROUND((PTJEEXPESP1*(G128/PPHMOD)),3),IF(OR(ROUND(PTJEEXPESP1*(((3*PPHMOD)-G128)/(2*PPHMOD)),3)&lt;=0,G128&gt;=(3*PLAZOMOD)),0,ROUND(PTJEEXPESP1*(((3*PPHMOD)-G128)/(2*PPHMOD)),3))),0)),"")</f>
        <v>#N/A</v>
      </c>
      <c r="I128" s="352" t="e">
        <f>IF(C128&lt;&gt;"",VLOOKUP("S"&amp;C128,'EXP. ESP.'!$A$20:$V$6999,16,0),"")</f>
        <v>#N/A</v>
      </c>
      <c r="J128" s="358" t="e">
        <f>IF(C128&lt;&gt;"",IF(VLOOKUP(C128,HAB.EXP.ESP.!$C$27:$N$226,4,0)="NO CUMPLE",0,IF(E128="HÁBIL",IF(I128&lt;=PORPMFOMOD,ROUND(PTJEEXPESP2-(PTJEEXPESP2/(POWER(PORPMFOMOD,2)))*(POWER(I128-PORPMFOMOD,2)),3),IF(OR(I128&gt;=$I$21,ROUND((I128/PMFOMOD),3)&gt;=RELACIONPO),0,ROUND(PTJEEXPESP2-(1/$I$20)*(PTJEEXPESP2/(POWER(PORPMFOMOD,2)))*(POWER(I128-PORPMFOMOD,2)),3))),0)),"")</f>
        <v>#N/A</v>
      </c>
    </row>
    <row r="129" spans="2:10" ht="13.5" hidden="1">
      <c r="B129" s="231">
        <v>100</v>
      </c>
      <c r="C129" s="129" t="e">
        <f>IF(VLOOKUP(B129,PROPONENTES!$B$19:$E$219,2,0)="","",VLOOKUP(B129,PROPONENTES!$B$19:$E$219,2,0))</f>
        <v>#N/A</v>
      </c>
      <c r="D129" s="130" t="e">
        <f>IF(VLOOKUP(B129,PROPONENTES!$B$19:$E$218,3,0)="","",VLOOKUP(B129,PROPONENTES!$B$19:$E$218,3,0))</f>
        <v>#N/A</v>
      </c>
      <c r="E129" s="135" t="e">
        <f>IF(C129&lt;&gt;"",VLOOKUP(C129,HAB.EXP.ESP.!$C$27:$N$226,12),"")</f>
        <v>#N/A</v>
      </c>
      <c r="F129" s="245" t="e">
        <f>IF(C129&lt;&gt;"",VLOOKUP("M"&amp;C129,'EXP. ESP.'!$A$20:$V$6999,17,0),"")</f>
        <v>#N/A</v>
      </c>
      <c r="G129" s="342" t="e">
        <f>IF(C129&lt;&gt;"",VLOOKUP("P"&amp;C129,'EXP. ESP.'!$A$20:$V$6999,16,0),"")</f>
        <v>#N/A</v>
      </c>
      <c r="H129" s="342" t="e">
        <f>IF(C129&lt;&gt;"",IF(VLOOKUP(C129,HAB.EXP.ESP.!$C$27:$N$226,4,0)="NO CUMPLE",0,IF(E129="HÁBIL",IF(G129&lt;PPHMOD,ROUND((PTJEEXPESP1*(G129/PPHMOD)),3),IF(OR(ROUND(PTJEEXPESP1*(((3*PPHMOD)-G129)/(2*PPHMOD)),3)&lt;=0,G129&gt;=(3*PLAZOMOD)),0,ROUND(PTJEEXPESP1*(((3*PPHMOD)-G129)/(2*PPHMOD)),3))),0)),"")</f>
        <v>#N/A</v>
      </c>
      <c r="I129" s="352" t="e">
        <f>IF(C129&lt;&gt;"",VLOOKUP("S"&amp;C129,'EXP. ESP.'!$A$20:$V$6999,16,0),"")</f>
        <v>#N/A</v>
      </c>
      <c r="J129" s="358" t="e">
        <f>IF(C129&lt;&gt;"",IF(VLOOKUP(C129,HAB.EXP.ESP.!$C$27:$N$226,4,0)="NO CUMPLE",0,IF(E129="HÁBIL",IF(I129&lt;=PORPMFOMOD,ROUND(PTJEEXPESP2-(PTJEEXPESP2/(POWER(PORPMFOMOD,2)))*(POWER(I129-PORPMFOMOD,2)),3),IF(OR(I129&gt;=$I$21,ROUND((I129/PMFOMOD),3)&gt;=RELACIONPO),0,ROUND(PTJEEXPESP2-(1/$I$20)*(PTJEEXPESP2/(POWER(PORPMFOMOD,2)))*(POWER(I129-PORPMFOMOD,2)),3))),0)),"")</f>
        <v>#N/A</v>
      </c>
    </row>
    <row r="130" spans="2:10" ht="13.5" hidden="1">
      <c r="B130" s="230">
        <v>101</v>
      </c>
      <c r="C130" s="129" t="e">
        <f>IF(VLOOKUP(B130,PROPONENTES!$B$19:$E$219,2,0)="","",VLOOKUP(B130,PROPONENTES!$B$19:$E$219,2,0))</f>
        <v>#N/A</v>
      </c>
      <c r="D130" s="130" t="e">
        <f>IF(VLOOKUP(B130,PROPONENTES!$B$19:$E$218,3,0)="","",VLOOKUP(B130,PROPONENTES!$B$19:$E$218,3,0))</f>
        <v>#N/A</v>
      </c>
      <c r="E130" s="135" t="e">
        <f>IF(C130&lt;&gt;"",VLOOKUP(C130,HAB.EXP.ESP.!$C$27:$N$226,12),"")</f>
        <v>#N/A</v>
      </c>
      <c r="F130" s="245" t="e">
        <f>IF(C130&lt;&gt;"",VLOOKUP("M"&amp;C130,'EXP. ESP.'!$A$20:$V$6999,17,0),"")</f>
        <v>#N/A</v>
      </c>
      <c r="G130" s="342" t="e">
        <f>IF(C130&lt;&gt;"",VLOOKUP("P"&amp;C130,'EXP. ESP.'!$A$20:$V$6999,16,0),"")</f>
        <v>#N/A</v>
      </c>
      <c r="H130" s="342" t="e">
        <f>IF(C130&lt;&gt;"",IF(VLOOKUP(C130,HAB.EXP.ESP.!$C$27:$N$226,4,0)="NO CUMPLE",0,IF(E130="HÁBIL",IF(G130&lt;PPHMOD,ROUND((PTJEEXPESP1*(G130/PPHMOD)),3),IF(OR(ROUND(PTJEEXPESP1*(((3*PPHMOD)-G130)/(2*PPHMOD)),3)&lt;=0,G130&gt;=(3*PLAZOMOD)),0,ROUND(PTJEEXPESP1*(((3*PPHMOD)-G130)/(2*PPHMOD)),3))),0)),"")</f>
        <v>#N/A</v>
      </c>
      <c r="I130" s="352" t="e">
        <f>IF(C130&lt;&gt;"",VLOOKUP("S"&amp;C130,'EXP. ESP.'!$A$20:$V$6999,16,0),"")</f>
        <v>#N/A</v>
      </c>
      <c r="J130" s="358" t="e">
        <f>IF(C130&lt;&gt;"",IF(VLOOKUP(C130,HAB.EXP.ESP.!$C$27:$N$226,4,0)="NO CUMPLE",0,IF(E130="HÁBIL",IF(I130&lt;=PORPMFOMOD,ROUND(PTJEEXPESP2-(PTJEEXPESP2/(POWER(PORPMFOMOD,2)))*(POWER(I130-PORPMFOMOD,2)),3),IF(OR(I130&gt;=$I$21,ROUND((I130/PMFOMOD),3)&gt;=RELACIONPO),0,ROUND(PTJEEXPESP2-(1/$I$20)*(PTJEEXPESP2/(POWER(PORPMFOMOD,2)))*(POWER(I130-PORPMFOMOD,2)),3))),0)),"")</f>
        <v>#N/A</v>
      </c>
    </row>
    <row r="131" spans="2:10" ht="13.5" hidden="1">
      <c r="B131" s="231">
        <v>102</v>
      </c>
      <c r="C131" s="129" t="e">
        <f>IF(VLOOKUP(B131,PROPONENTES!$B$19:$E$219,2,0)="","",VLOOKUP(B131,PROPONENTES!$B$19:$E$219,2,0))</f>
        <v>#N/A</v>
      </c>
      <c r="D131" s="130" t="e">
        <f>IF(VLOOKUP(B131,PROPONENTES!$B$19:$E$218,3,0)="","",VLOOKUP(B131,PROPONENTES!$B$19:$E$218,3,0))</f>
        <v>#N/A</v>
      </c>
      <c r="E131" s="135" t="e">
        <f>IF(C131&lt;&gt;"",VLOOKUP(C131,HAB.EXP.ESP.!$C$27:$N$226,12),"")</f>
        <v>#N/A</v>
      </c>
      <c r="F131" s="245" t="e">
        <f>IF(C131&lt;&gt;"",VLOOKUP("M"&amp;C131,'EXP. ESP.'!$A$20:$V$6999,17,0),"")</f>
        <v>#N/A</v>
      </c>
      <c r="G131" s="342" t="e">
        <f>IF(C131&lt;&gt;"",VLOOKUP("P"&amp;C131,'EXP. ESP.'!$A$20:$V$6999,16,0),"")</f>
        <v>#N/A</v>
      </c>
      <c r="H131" s="342" t="e">
        <f>IF(C131&lt;&gt;"",IF(VLOOKUP(C131,HAB.EXP.ESP.!$C$27:$N$226,4,0)="NO CUMPLE",0,IF(E131="HÁBIL",IF(G131&lt;PPHMOD,ROUND((PTJEEXPESP1*(G131/PPHMOD)),3),IF(OR(ROUND(PTJEEXPESP1*(((3*PPHMOD)-G131)/(2*PPHMOD)),3)&lt;=0,G131&gt;=(3*PLAZOMOD)),0,ROUND(PTJEEXPESP1*(((3*PPHMOD)-G131)/(2*PPHMOD)),3))),0)),"")</f>
        <v>#N/A</v>
      </c>
      <c r="I131" s="352" t="e">
        <f>IF(C131&lt;&gt;"",VLOOKUP("S"&amp;C131,'EXP. ESP.'!$A$20:$V$6999,16,0),"")</f>
        <v>#N/A</v>
      </c>
      <c r="J131" s="358" t="e">
        <f>IF(C131&lt;&gt;"",IF(VLOOKUP(C131,HAB.EXP.ESP.!$C$27:$N$226,4,0)="NO CUMPLE",0,IF(E131="HÁBIL",IF(I131&lt;=PORPMFOMOD,ROUND(PTJEEXPESP2-(PTJEEXPESP2/(POWER(PORPMFOMOD,2)))*(POWER(I131-PORPMFOMOD,2)),3),IF(OR(I131&gt;=$I$21,ROUND((I131/PMFOMOD),3)&gt;=RELACIONPO),0,ROUND(PTJEEXPESP2-(1/$I$20)*(PTJEEXPESP2/(POWER(PORPMFOMOD,2)))*(POWER(I131-PORPMFOMOD,2)),3))),0)),"")</f>
        <v>#N/A</v>
      </c>
    </row>
    <row r="132" spans="2:10" ht="13.5" hidden="1">
      <c r="B132" s="231">
        <v>103</v>
      </c>
      <c r="C132" s="129" t="e">
        <f>IF(VLOOKUP(B132,PROPONENTES!$B$19:$E$219,2,0)="","",VLOOKUP(B132,PROPONENTES!$B$19:$E$219,2,0))</f>
        <v>#N/A</v>
      </c>
      <c r="D132" s="130" t="e">
        <f>IF(VLOOKUP(B132,PROPONENTES!$B$19:$E$218,3,0)="","",VLOOKUP(B132,PROPONENTES!$B$19:$E$218,3,0))</f>
        <v>#N/A</v>
      </c>
      <c r="E132" s="135" t="e">
        <f>IF(C132&lt;&gt;"",VLOOKUP(C132,HAB.EXP.ESP.!$C$27:$N$226,12),"")</f>
        <v>#N/A</v>
      </c>
      <c r="F132" s="245" t="e">
        <f>IF(C132&lt;&gt;"",VLOOKUP("M"&amp;C132,'EXP. ESP.'!$A$20:$V$6999,17,0),"")</f>
        <v>#N/A</v>
      </c>
      <c r="G132" s="342" t="e">
        <f>IF(C132&lt;&gt;"",VLOOKUP("P"&amp;C132,'EXP. ESP.'!$A$20:$V$6999,16,0),"")</f>
        <v>#N/A</v>
      </c>
      <c r="H132" s="342" t="e">
        <f>IF(C132&lt;&gt;"",IF(VLOOKUP(C132,HAB.EXP.ESP.!$C$27:$N$226,4,0)="NO CUMPLE",0,IF(E132="HÁBIL",IF(G132&lt;PPHMOD,ROUND((PTJEEXPESP1*(G132/PPHMOD)),3),IF(OR(ROUND(PTJEEXPESP1*(((3*PPHMOD)-G132)/(2*PPHMOD)),3)&lt;=0,G132&gt;=(3*PLAZOMOD)),0,ROUND(PTJEEXPESP1*(((3*PPHMOD)-G132)/(2*PPHMOD)),3))),0)),"")</f>
        <v>#N/A</v>
      </c>
      <c r="I132" s="352" t="e">
        <f>IF(C132&lt;&gt;"",VLOOKUP("S"&amp;C132,'EXP. ESP.'!$A$20:$V$6999,16,0),"")</f>
        <v>#N/A</v>
      </c>
      <c r="J132" s="358" t="e">
        <f>IF(C132&lt;&gt;"",IF(VLOOKUP(C132,HAB.EXP.ESP.!$C$27:$N$226,4,0)="NO CUMPLE",0,IF(E132="HÁBIL",IF(I132&lt;=PORPMFOMOD,ROUND(PTJEEXPESP2-(PTJEEXPESP2/(POWER(PORPMFOMOD,2)))*(POWER(I132-PORPMFOMOD,2)),3),IF(OR(I132&gt;=$I$21,ROUND((I132/PMFOMOD),3)&gt;=RELACIONPO),0,ROUND(PTJEEXPESP2-(1/$I$20)*(PTJEEXPESP2/(POWER(PORPMFOMOD,2)))*(POWER(I132-PORPMFOMOD,2)),3))),0)),"")</f>
        <v>#N/A</v>
      </c>
    </row>
    <row r="133" spans="2:10" ht="13.5" hidden="1">
      <c r="B133" s="231">
        <v>104</v>
      </c>
      <c r="C133" s="129" t="e">
        <f>IF(VLOOKUP(B133,PROPONENTES!$B$19:$E$219,2,0)="","",VLOOKUP(B133,PROPONENTES!$B$19:$E$219,2,0))</f>
        <v>#N/A</v>
      </c>
      <c r="D133" s="130" t="e">
        <f>IF(VLOOKUP(B133,PROPONENTES!$B$19:$E$218,3,0)="","",VLOOKUP(B133,PROPONENTES!$B$19:$E$218,3,0))</f>
        <v>#N/A</v>
      </c>
      <c r="E133" s="135" t="e">
        <f>IF(C133&lt;&gt;"",VLOOKUP(C133,HAB.EXP.ESP.!$C$27:$N$226,12),"")</f>
        <v>#N/A</v>
      </c>
      <c r="F133" s="245" t="e">
        <f>IF(C133&lt;&gt;"",VLOOKUP("M"&amp;C133,'EXP. ESP.'!$A$20:$V$6999,17,0),"")</f>
        <v>#N/A</v>
      </c>
      <c r="G133" s="342" t="e">
        <f>IF(C133&lt;&gt;"",VLOOKUP("P"&amp;C133,'EXP. ESP.'!$A$20:$V$6999,16,0),"")</f>
        <v>#N/A</v>
      </c>
      <c r="H133" s="342" t="e">
        <f>IF(C133&lt;&gt;"",IF(VLOOKUP(C133,HAB.EXP.ESP.!$C$27:$N$226,4,0)="NO CUMPLE",0,IF(E133="HÁBIL",IF(G133&lt;PPHMOD,ROUND((PTJEEXPESP1*(G133/PPHMOD)),3),IF(OR(ROUND(PTJEEXPESP1*(((3*PPHMOD)-G133)/(2*PPHMOD)),3)&lt;=0,G133&gt;=(3*PLAZOMOD)),0,ROUND(PTJEEXPESP1*(((3*PPHMOD)-G133)/(2*PPHMOD)),3))),0)),"")</f>
        <v>#N/A</v>
      </c>
      <c r="I133" s="352" t="e">
        <f>IF(C133&lt;&gt;"",VLOOKUP("S"&amp;C133,'EXP. ESP.'!$A$20:$V$6999,16,0),"")</f>
        <v>#N/A</v>
      </c>
      <c r="J133" s="358" t="e">
        <f>IF(C133&lt;&gt;"",IF(VLOOKUP(C133,HAB.EXP.ESP.!$C$27:$N$226,4,0)="NO CUMPLE",0,IF(E133="HÁBIL",IF(I133&lt;=PORPMFOMOD,ROUND(PTJEEXPESP2-(PTJEEXPESP2/(POWER(PORPMFOMOD,2)))*(POWER(I133-PORPMFOMOD,2)),3),IF(OR(I133&gt;=$I$21,ROUND((I133/PMFOMOD),3)&gt;=RELACIONPO),0,ROUND(PTJEEXPESP2-(1/$I$20)*(PTJEEXPESP2/(POWER(PORPMFOMOD,2)))*(POWER(I133-PORPMFOMOD,2)),3))),0)),"")</f>
        <v>#N/A</v>
      </c>
    </row>
    <row r="134" spans="2:10" ht="13.5" hidden="1">
      <c r="B134" s="230">
        <v>105</v>
      </c>
      <c r="C134" s="129" t="e">
        <f>IF(VLOOKUP(B134,PROPONENTES!$B$19:$E$219,2,0)="","",VLOOKUP(B134,PROPONENTES!$B$19:$E$219,2,0))</f>
        <v>#N/A</v>
      </c>
      <c r="D134" s="130" t="e">
        <f>IF(VLOOKUP(B134,PROPONENTES!$B$19:$E$218,3,0)="","",VLOOKUP(B134,PROPONENTES!$B$19:$E$218,3,0))</f>
        <v>#N/A</v>
      </c>
      <c r="E134" s="135" t="e">
        <f>IF(C134&lt;&gt;"",VLOOKUP(C134,HAB.EXP.ESP.!$C$27:$N$226,12),"")</f>
        <v>#N/A</v>
      </c>
      <c r="F134" s="245" t="e">
        <f>IF(C134&lt;&gt;"",VLOOKUP("M"&amp;C134,'EXP. ESP.'!$A$20:$V$6999,17,0),"")</f>
        <v>#N/A</v>
      </c>
      <c r="G134" s="342" t="e">
        <f>IF(C134&lt;&gt;"",VLOOKUP("P"&amp;C134,'EXP. ESP.'!$A$20:$V$6999,16,0),"")</f>
        <v>#N/A</v>
      </c>
      <c r="H134" s="342" t="e">
        <f>IF(C134&lt;&gt;"",IF(VLOOKUP(C134,HAB.EXP.ESP.!$C$27:$N$226,4,0)="NO CUMPLE",0,IF(E134="HÁBIL",IF(G134&lt;PPHMOD,ROUND((PTJEEXPESP1*(G134/PPHMOD)),3),IF(OR(ROUND(PTJEEXPESP1*(((3*PPHMOD)-G134)/(2*PPHMOD)),3)&lt;=0,G134&gt;=(3*PLAZOMOD)),0,ROUND(PTJEEXPESP1*(((3*PPHMOD)-G134)/(2*PPHMOD)),3))),0)),"")</f>
        <v>#N/A</v>
      </c>
      <c r="I134" s="352" t="e">
        <f>IF(C134&lt;&gt;"",VLOOKUP("S"&amp;C134,'EXP. ESP.'!$A$20:$V$6999,16,0),"")</f>
        <v>#N/A</v>
      </c>
      <c r="J134" s="358" t="e">
        <f>IF(C134&lt;&gt;"",IF(VLOOKUP(C134,HAB.EXP.ESP.!$C$27:$N$226,4,0)="NO CUMPLE",0,IF(E134="HÁBIL",IF(I134&lt;=PORPMFOMOD,ROUND(PTJEEXPESP2-(PTJEEXPESP2/(POWER(PORPMFOMOD,2)))*(POWER(I134-PORPMFOMOD,2)),3),IF(OR(I134&gt;=$I$21,ROUND((I134/PMFOMOD),3)&gt;=RELACIONPO),0,ROUND(PTJEEXPESP2-(1/$I$20)*(PTJEEXPESP2/(POWER(PORPMFOMOD,2)))*(POWER(I134-PORPMFOMOD,2)),3))),0)),"")</f>
        <v>#N/A</v>
      </c>
    </row>
    <row r="135" spans="2:10" ht="13.5" hidden="1">
      <c r="B135" s="231">
        <v>106</v>
      </c>
      <c r="C135" s="129" t="e">
        <f>IF(VLOOKUP(B135,PROPONENTES!$B$19:$E$219,2,0)="","",VLOOKUP(B135,PROPONENTES!$B$19:$E$219,2,0))</f>
        <v>#N/A</v>
      </c>
      <c r="D135" s="130" t="e">
        <f>IF(VLOOKUP(B135,PROPONENTES!$B$19:$E$218,3,0)="","",VLOOKUP(B135,PROPONENTES!$B$19:$E$218,3,0))</f>
        <v>#N/A</v>
      </c>
      <c r="E135" s="135" t="e">
        <f>IF(C135&lt;&gt;"",VLOOKUP(C135,HAB.EXP.ESP.!$C$27:$N$226,12),"")</f>
        <v>#N/A</v>
      </c>
      <c r="F135" s="245" t="e">
        <f>IF(C135&lt;&gt;"",VLOOKUP("M"&amp;C135,'EXP. ESP.'!$A$20:$V$6999,17,0),"")</f>
        <v>#N/A</v>
      </c>
      <c r="G135" s="342" t="e">
        <f>IF(C135&lt;&gt;"",VLOOKUP("P"&amp;C135,'EXP. ESP.'!$A$20:$V$6999,16,0),"")</f>
        <v>#N/A</v>
      </c>
      <c r="H135" s="342" t="e">
        <f>IF(C135&lt;&gt;"",IF(VLOOKUP(C135,HAB.EXP.ESP.!$C$27:$N$226,4,0)="NO CUMPLE",0,IF(E135="HÁBIL",IF(G135&lt;PPHMOD,ROUND((PTJEEXPESP1*(G135/PPHMOD)),3),IF(OR(ROUND(PTJEEXPESP1*(((3*PPHMOD)-G135)/(2*PPHMOD)),3)&lt;=0,G135&gt;=(3*PLAZOMOD)),0,ROUND(PTJEEXPESP1*(((3*PPHMOD)-G135)/(2*PPHMOD)),3))),0)),"")</f>
        <v>#N/A</v>
      </c>
      <c r="I135" s="352" t="e">
        <f>IF(C135&lt;&gt;"",VLOOKUP("S"&amp;C135,'EXP. ESP.'!$A$20:$V$6999,16,0),"")</f>
        <v>#N/A</v>
      </c>
      <c r="J135" s="358" t="e">
        <f>IF(C135&lt;&gt;"",IF(VLOOKUP(C135,HAB.EXP.ESP.!$C$27:$N$226,4,0)="NO CUMPLE",0,IF(E135="HÁBIL",IF(I135&lt;=PORPMFOMOD,ROUND(PTJEEXPESP2-(PTJEEXPESP2/(POWER(PORPMFOMOD,2)))*(POWER(I135-PORPMFOMOD,2)),3),IF(OR(I135&gt;=$I$21,ROUND((I135/PMFOMOD),3)&gt;=RELACIONPO),0,ROUND(PTJEEXPESP2-(1/$I$20)*(PTJEEXPESP2/(POWER(PORPMFOMOD,2)))*(POWER(I135-PORPMFOMOD,2)),3))),0)),"")</f>
        <v>#N/A</v>
      </c>
    </row>
    <row r="136" spans="2:10" ht="13.5" hidden="1">
      <c r="B136" s="231">
        <v>107</v>
      </c>
      <c r="C136" s="129" t="e">
        <f>IF(VLOOKUP(B136,PROPONENTES!$B$19:$E$219,2,0)="","",VLOOKUP(B136,PROPONENTES!$B$19:$E$219,2,0))</f>
        <v>#N/A</v>
      </c>
      <c r="D136" s="130" t="e">
        <f>IF(VLOOKUP(B136,PROPONENTES!$B$19:$E$218,3,0)="","",VLOOKUP(B136,PROPONENTES!$B$19:$E$218,3,0))</f>
        <v>#N/A</v>
      </c>
      <c r="E136" s="135" t="e">
        <f>IF(C136&lt;&gt;"",VLOOKUP(C136,HAB.EXP.ESP.!$C$27:$N$226,12),"")</f>
        <v>#N/A</v>
      </c>
      <c r="F136" s="245" t="e">
        <f>IF(C136&lt;&gt;"",VLOOKUP("M"&amp;C136,'EXP. ESP.'!$A$20:$V$6999,17,0),"")</f>
        <v>#N/A</v>
      </c>
      <c r="G136" s="342" t="e">
        <f>IF(C136&lt;&gt;"",VLOOKUP("P"&amp;C136,'EXP. ESP.'!$A$20:$V$6999,16,0),"")</f>
        <v>#N/A</v>
      </c>
      <c r="H136" s="342" t="e">
        <f>IF(C136&lt;&gt;"",IF(VLOOKUP(C136,HAB.EXP.ESP.!$C$27:$N$226,4,0)="NO CUMPLE",0,IF(E136="HÁBIL",IF(G136&lt;PPHMOD,ROUND((PTJEEXPESP1*(G136/PPHMOD)),3),IF(OR(ROUND(PTJEEXPESP1*(((3*PPHMOD)-G136)/(2*PPHMOD)),3)&lt;=0,G136&gt;=(3*PLAZOMOD)),0,ROUND(PTJEEXPESP1*(((3*PPHMOD)-G136)/(2*PPHMOD)),3))),0)),"")</f>
        <v>#N/A</v>
      </c>
      <c r="I136" s="352" t="e">
        <f>IF(C136&lt;&gt;"",VLOOKUP("S"&amp;C136,'EXP. ESP.'!$A$20:$V$6999,16,0),"")</f>
        <v>#N/A</v>
      </c>
      <c r="J136" s="358" t="e">
        <f>IF(C136&lt;&gt;"",IF(VLOOKUP(C136,HAB.EXP.ESP.!$C$27:$N$226,4,0)="NO CUMPLE",0,IF(E136="HÁBIL",IF(I136&lt;=PORPMFOMOD,ROUND(PTJEEXPESP2-(PTJEEXPESP2/(POWER(PORPMFOMOD,2)))*(POWER(I136-PORPMFOMOD,2)),3),IF(OR(I136&gt;=$I$21,ROUND((I136/PMFOMOD),3)&gt;=RELACIONPO),0,ROUND(PTJEEXPESP2-(1/$I$20)*(PTJEEXPESP2/(POWER(PORPMFOMOD,2)))*(POWER(I136-PORPMFOMOD,2)),3))),0)),"")</f>
        <v>#N/A</v>
      </c>
    </row>
    <row r="137" spans="2:10" ht="13.5" hidden="1">
      <c r="B137" s="231">
        <v>108</v>
      </c>
      <c r="C137" s="129" t="e">
        <f>IF(VLOOKUP(B137,PROPONENTES!$B$19:$E$219,2,0)="","",VLOOKUP(B137,PROPONENTES!$B$19:$E$219,2,0))</f>
        <v>#N/A</v>
      </c>
      <c r="D137" s="130" t="e">
        <f>IF(VLOOKUP(B137,PROPONENTES!$B$19:$E$218,3,0)="","",VLOOKUP(B137,PROPONENTES!$B$19:$E$218,3,0))</f>
        <v>#N/A</v>
      </c>
      <c r="E137" s="135" t="e">
        <f>IF(C137&lt;&gt;"",VLOOKUP(C137,HAB.EXP.ESP.!$C$27:$N$226,12),"")</f>
        <v>#N/A</v>
      </c>
      <c r="F137" s="245" t="e">
        <f>IF(C137&lt;&gt;"",VLOOKUP("M"&amp;C137,'EXP. ESP.'!$A$20:$V$6999,17,0),"")</f>
        <v>#N/A</v>
      </c>
      <c r="G137" s="342" t="e">
        <f>IF(C137&lt;&gt;"",VLOOKUP("P"&amp;C137,'EXP. ESP.'!$A$20:$V$6999,16,0),"")</f>
        <v>#N/A</v>
      </c>
      <c r="H137" s="342" t="e">
        <f>IF(C137&lt;&gt;"",IF(VLOOKUP(C137,HAB.EXP.ESP.!$C$27:$N$226,4,0)="NO CUMPLE",0,IF(E137="HÁBIL",IF(G137&lt;PPHMOD,ROUND((PTJEEXPESP1*(G137/PPHMOD)),3),IF(OR(ROUND(PTJEEXPESP1*(((3*PPHMOD)-G137)/(2*PPHMOD)),3)&lt;=0,G137&gt;=(3*PLAZOMOD)),0,ROUND(PTJEEXPESP1*(((3*PPHMOD)-G137)/(2*PPHMOD)),3))),0)),"")</f>
        <v>#N/A</v>
      </c>
      <c r="I137" s="352" t="e">
        <f>IF(C137&lt;&gt;"",VLOOKUP("S"&amp;C137,'EXP. ESP.'!$A$20:$V$6999,16,0),"")</f>
        <v>#N/A</v>
      </c>
      <c r="J137" s="358" t="e">
        <f>IF(C137&lt;&gt;"",IF(VLOOKUP(C137,HAB.EXP.ESP.!$C$27:$N$226,4,0)="NO CUMPLE",0,IF(E137="HÁBIL",IF(I137&lt;=PORPMFOMOD,ROUND(PTJEEXPESP2-(PTJEEXPESP2/(POWER(PORPMFOMOD,2)))*(POWER(I137-PORPMFOMOD,2)),3),IF(OR(I137&gt;=$I$21,ROUND((I137/PMFOMOD),3)&gt;=RELACIONPO),0,ROUND(PTJEEXPESP2-(1/$I$20)*(PTJEEXPESP2/(POWER(PORPMFOMOD,2)))*(POWER(I137-PORPMFOMOD,2)),3))),0)),"")</f>
        <v>#N/A</v>
      </c>
    </row>
    <row r="138" spans="2:10" ht="13.5" hidden="1">
      <c r="B138" s="230">
        <v>109</v>
      </c>
      <c r="C138" s="129" t="e">
        <f>IF(VLOOKUP(B138,PROPONENTES!$B$19:$E$219,2,0)="","",VLOOKUP(B138,PROPONENTES!$B$19:$E$219,2,0))</f>
        <v>#N/A</v>
      </c>
      <c r="D138" s="130" t="e">
        <f>IF(VLOOKUP(B138,PROPONENTES!$B$19:$E$218,3,0)="","",VLOOKUP(B138,PROPONENTES!$B$19:$E$218,3,0))</f>
        <v>#N/A</v>
      </c>
      <c r="E138" s="135" t="e">
        <f>IF(C138&lt;&gt;"",VLOOKUP(C138,HAB.EXP.ESP.!$C$27:$N$226,12),"")</f>
        <v>#N/A</v>
      </c>
      <c r="F138" s="245" t="e">
        <f>IF(C138&lt;&gt;"",VLOOKUP("M"&amp;C138,'EXP. ESP.'!$A$20:$V$6999,17,0),"")</f>
        <v>#N/A</v>
      </c>
      <c r="G138" s="342" t="e">
        <f>IF(C138&lt;&gt;"",VLOOKUP("P"&amp;C138,'EXP. ESP.'!$A$20:$V$6999,16,0),"")</f>
        <v>#N/A</v>
      </c>
      <c r="H138" s="342" t="e">
        <f>IF(C138&lt;&gt;"",IF(VLOOKUP(C138,HAB.EXP.ESP.!$C$27:$N$226,4,0)="NO CUMPLE",0,IF(E138="HÁBIL",IF(G138&lt;PPHMOD,ROUND((PTJEEXPESP1*(G138/PPHMOD)),3),IF(OR(ROUND(PTJEEXPESP1*(((3*PPHMOD)-G138)/(2*PPHMOD)),3)&lt;=0,G138&gt;=(3*PLAZOMOD)),0,ROUND(PTJEEXPESP1*(((3*PPHMOD)-G138)/(2*PPHMOD)),3))),0)),"")</f>
        <v>#N/A</v>
      </c>
      <c r="I138" s="352" t="e">
        <f>IF(C138&lt;&gt;"",VLOOKUP("S"&amp;C138,'EXP. ESP.'!$A$20:$V$6999,16,0),"")</f>
        <v>#N/A</v>
      </c>
      <c r="J138" s="358" t="e">
        <f>IF(C138&lt;&gt;"",IF(VLOOKUP(C138,HAB.EXP.ESP.!$C$27:$N$226,4,0)="NO CUMPLE",0,IF(E138="HÁBIL",IF(I138&lt;=PORPMFOMOD,ROUND(PTJEEXPESP2-(PTJEEXPESP2/(POWER(PORPMFOMOD,2)))*(POWER(I138-PORPMFOMOD,2)),3),IF(OR(I138&gt;=$I$21,ROUND((I138/PMFOMOD),3)&gt;=RELACIONPO),0,ROUND(PTJEEXPESP2-(1/$I$20)*(PTJEEXPESP2/(POWER(PORPMFOMOD,2)))*(POWER(I138-PORPMFOMOD,2)),3))),0)),"")</f>
        <v>#N/A</v>
      </c>
    </row>
    <row r="139" spans="2:10" ht="13.5" hidden="1">
      <c r="B139" s="231">
        <v>110</v>
      </c>
      <c r="C139" s="129" t="e">
        <f>IF(VLOOKUP(B139,PROPONENTES!$B$19:$E$219,2,0)="","",VLOOKUP(B139,PROPONENTES!$B$19:$E$219,2,0))</f>
        <v>#N/A</v>
      </c>
      <c r="D139" s="130" t="e">
        <f>IF(VLOOKUP(B139,PROPONENTES!$B$19:$E$218,3,0)="","",VLOOKUP(B139,PROPONENTES!$B$19:$E$218,3,0))</f>
        <v>#N/A</v>
      </c>
      <c r="E139" s="135" t="e">
        <f>IF(C139&lt;&gt;"",VLOOKUP(C139,HAB.EXP.ESP.!$C$27:$N$226,12),"")</f>
        <v>#N/A</v>
      </c>
      <c r="F139" s="245" t="e">
        <f>IF(C139&lt;&gt;"",VLOOKUP("M"&amp;C139,'EXP. ESP.'!$A$20:$V$6999,17,0),"")</f>
        <v>#N/A</v>
      </c>
      <c r="G139" s="342" t="e">
        <f>IF(C139&lt;&gt;"",VLOOKUP("P"&amp;C139,'EXP. ESP.'!$A$20:$V$6999,16,0),"")</f>
        <v>#N/A</v>
      </c>
      <c r="H139" s="342" t="e">
        <f>IF(C139&lt;&gt;"",IF(VLOOKUP(C139,HAB.EXP.ESP.!$C$27:$N$226,4,0)="NO CUMPLE",0,IF(E139="HÁBIL",IF(G139&lt;PPHMOD,ROUND((PTJEEXPESP1*(G139/PPHMOD)),3),IF(OR(ROUND(PTJEEXPESP1*(((3*PPHMOD)-G139)/(2*PPHMOD)),3)&lt;=0,G139&gt;=(3*PLAZOMOD)),0,ROUND(PTJEEXPESP1*(((3*PPHMOD)-G139)/(2*PPHMOD)),3))),0)),"")</f>
        <v>#N/A</v>
      </c>
      <c r="I139" s="352" t="e">
        <f>IF(C139&lt;&gt;"",VLOOKUP("S"&amp;C139,'EXP. ESP.'!$A$20:$V$6999,16,0),"")</f>
        <v>#N/A</v>
      </c>
      <c r="J139" s="358" t="e">
        <f>IF(C139&lt;&gt;"",IF(VLOOKUP(C139,HAB.EXP.ESP.!$C$27:$N$226,4,0)="NO CUMPLE",0,IF(E139="HÁBIL",IF(I139&lt;=PORPMFOMOD,ROUND(PTJEEXPESP2-(PTJEEXPESP2/(POWER(PORPMFOMOD,2)))*(POWER(I139-PORPMFOMOD,2)),3),IF(OR(I139&gt;=$I$21,ROUND((I139/PMFOMOD),3)&gt;=RELACIONPO),0,ROUND(PTJEEXPESP2-(1/$I$20)*(PTJEEXPESP2/(POWER(PORPMFOMOD,2)))*(POWER(I139-PORPMFOMOD,2)),3))),0)),"")</f>
        <v>#N/A</v>
      </c>
    </row>
    <row r="140" spans="2:10" ht="13.5" hidden="1">
      <c r="B140" s="231">
        <v>111</v>
      </c>
      <c r="C140" s="129" t="e">
        <f>IF(VLOOKUP(B140,PROPONENTES!$B$19:$E$219,2,0)="","",VLOOKUP(B140,PROPONENTES!$B$19:$E$219,2,0))</f>
        <v>#N/A</v>
      </c>
      <c r="D140" s="130" t="e">
        <f>IF(VLOOKUP(B140,PROPONENTES!$B$19:$E$218,3,0)="","",VLOOKUP(B140,PROPONENTES!$B$19:$E$218,3,0))</f>
        <v>#N/A</v>
      </c>
      <c r="E140" s="135" t="e">
        <f>IF(C140&lt;&gt;"",VLOOKUP(C140,HAB.EXP.ESP.!$C$27:$N$226,12),"")</f>
        <v>#N/A</v>
      </c>
      <c r="F140" s="245" t="e">
        <f>IF(C140&lt;&gt;"",VLOOKUP("M"&amp;C140,'EXP. ESP.'!$A$20:$V$6999,17,0),"")</f>
        <v>#N/A</v>
      </c>
      <c r="G140" s="342" t="e">
        <f>IF(C140&lt;&gt;"",VLOOKUP("P"&amp;C140,'EXP. ESP.'!$A$20:$V$6999,16,0),"")</f>
        <v>#N/A</v>
      </c>
      <c r="H140" s="342" t="e">
        <f>IF(C140&lt;&gt;"",IF(VLOOKUP(C140,HAB.EXP.ESP.!$C$27:$N$226,4,0)="NO CUMPLE",0,IF(E140="HÁBIL",IF(G140&lt;PPHMOD,ROUND((PTJEEXPESP1*(G140/PPHMOD)),3),IF(OR(ROUND(PTJEEXPESP1*(((3*PPHMOD)-G140)/(2*PPHMOD)),3)&lt;=0,G140&gt;=(3*PLAZOMOD)),0,ROUND(PTJEEXPESP1*(((3*PPHMOD)-G140)/(2*PPHMOD)),3))),0)),"")</f>
        <v>#N/A</v>
      </c>
      <c r="I140" s="352" t="e">
        <f>IF(C140&lt;&gt;"",VLOOKUP("S"&amp;C140,'EXP. ESP.'!$A$20:$V$6999,16,0),"")</f>
        <v>#N/A</v>
      </c>
      <c r="J140" s="358" t="e">
        <f>IF(C140&lt;&gt;"",IF(VLOOKUP(C140,HAB.EXP.ESP.!$C$27:$N$226,4,0)="NO CUMPLE",0,IF(E140="HÁBIL",IF(I140&lt;=PORPMFOMOD,ROUND(PTJEEXPESP2-(PTJEEXPESP2/(POWER(PORPMFOMOD,2)))*(POWER(I140-PORPMFOMOD,2)),3),IF(OR(I140&gt;=$I$21,ROUND((I140/PMFOMOD),3)&gt;=RELACIONPO),0,ROUND(PTJEEXPESP2-(1/$I$20)*(PTJEEXPESP2/(POWER(PORPMFOMOD,2)))*(POWER(I140-PORPMFOMOD,2)),3))),0)),"")</f>
        <v>#N/A</v>
      </c>
    </row>
    <row r="141" spans="2:10" ht="13.5" hidden="1">
      <c r="B141" s="231">
        <v>112</v>
      </c>
      <c r="C141" s="129" t="e">
        <f>IF(VLOOKUP(B141,PROPONENTES!$B$19:$E$219,2,0)="","",VLOOKUP(B141,PROPONENTES!$B$19:$E$219,2,0))</f>
        <v>#N/A</v>
      </c>
      <c r="D141" s="130" t="e">
        <f>IF(VLOOKUP(B141,PROPONENTES!$B$19:$E$218,3,0)="","",VLOOKUP(B141,PROPONENTES!$B$19:$E$218,3,0))</f>
        <v>#N/A</v>
      </c>
      <c r="E141" s="135" t="e">
        <f>IF(C141&lt;&gt;"",VLOOKUP(C141,HAB.EXP.ESP.!$C$27:$N$226,12),"")</f>
        <v>#N/A</v>
      </c>
      <c r="F141" s="245" t="e">
        <f>IF(C141&lt;&gt;"",VLOOKUP("M"&amp;C141,'EXP. ESP.'!$A$20:$V$6999,17,0),"")</f>
        <v>#N/A</v>
      </c>
      <c r="G141" s="342" t="e">
        <f>IF(C141&lt;&gt;"",VLOOKUP("P"&amp;C141,'EXP. ESP.'!$A$20:$V$6999,16,0),"")</f>
        <v>#N/A</v>
      </c>
      <c r="H141" s="342" t="e">
        <f>IF(C141&lt;&gt;"",IF(VLOOKUP(C141,HAB.EXP.ESP.!$C$27:$N$226,4,0)="NO CUMPLE",0,IF(E141="HÁBIL",IF(G141&lt;PPHMOD,ROUND((PTJEEXPESP1*(G141/PPHMOD)),3),IF(OR(ROUND(PTJEEXPESP1*(((3*PPHMOD)-G141)/(2*PPHMOD)),3)&lt;=0,G141&gt;=(3*PLAZOMOD)),0,ROUND(PTJEEXPESP1*(((3*PPHMOD)-G141)/(2*PPHMOD)),3))),0)),"")</f>
        <v>#N/A</v>
      </c>
      <c r="I141" s="352" t="e">
        <f>IF(C141&lt;&gt;"",VLOOKUP("S"&amp;C141,'EXP. ESP.'!$A$20:$V$6999,16,0),"")</f>
        <v>#N/A</v>
      </c>
      <c r="J141" s="358" t="e">
        <f>IF(C141&lt;&gt;"",IF(VLOOKUP(C141,HAB.EXP.ESP.!$C$27:$N$226,4,0)="NO CUMPLE",0,IF(E141="HÁBIL",IF(I141&lt;=PORPMFOMOD,ROUND(PTJEEXPESP2-(PTJEEXPESP2/(POWER(PORPMFOMOD,2)))*(POWER(I141-PORPMFOMOD,2)),3),IF(OR(I141&gt;=$I$21,ROUND((I141/PMFOMOD),3)&gt;=RELACIONPO),0,ROUND(PTJEEXPESP2-(1/$I$20)*(PTJEEXPESP2/(POWER(PORPMFOMOD,2)))*(POWER(I141-PORPMFOMOD,2)),3))),0)),"")</f>
        <v>#N/A</v>
      </c>
    </row>
    <row r="142" spans="2:10" ht="13.5" hidden="1">
      <c r="B142" s="230">
        <v>113</v>
      </c>
      <c r="C142" s="129" t="e">
        <f>IF(VLOOKUP(B142,PROPONENTES!$B$19:$E$219,2,0)="","",VLOOKUP(B142,PROPONENTES!$B$19:$E$219,2,0))</f>
        <v>#N/A</v>
      </c>
      <c r="D142" s="130" t="e">
        <f>IF(VLOOKUP(B142,PROPONENTES!$B$19:$E$218,3,0)="","",VLOOKUP(B142,PROPONENTES!$B$19:$E$218,3,0))</f>
        <v>#N/A</v>
      </c>
      <c r="E142" s="135" t="e">
        <f>IF(C142&lt;&gt;"",VLOOKUP(C142,HAB.EXP.ESP.!$C$27:$N$226,12),"")</f>
        <v>#N/A</v>
      </c>
      <c r="F142" s="245" t="e">
        <f>IF(C142&lt;&gt;"",VLOOKUP("M"&amp;C142,'EXP. ESP.'!$A$20:$V$6999,17,0),"")</f>
        <v>#N/A</v>
      </c>
      <c r="G142" s="342" t="e">
        <f>IF(C142&lt;&gt;"",VLOOKUP("P"&amp;C142,'EXP. ESP.'!$A$20:$V$6999,16,0),"")</f>
        <v>#N/A</v>
      </c>
      <c r="H142" s="342" t="e">
        <f>IF(C142&lt;&gt;"",IF(VLOOKUP(C142,HAB.EXP.ESP.!$C$27:$N$226,4,0)="NO CUMPLE",0,IF(E142="HÁBIL",IF(G142&lt;PPHMOD,ROUND((PTJEEXPESP1*(G142/PPHMOD)),3),IF(OR(ROUND(PTJEEXPESP1*(((3*PPHMOD)-G142)/(2*PPHMOD)),3)&lt;=0,G142&gt;=(3*PLAZOMOD)),0,ROUND(PTJEEXPESP1*(((3*PPHMOD)-G142)/(2*PPHMOD)),3))),0)),"")</f>
        <v>#N/A</v>
      </c>
      <c r="I142" s="352" t="e">
        <f>IF(C142&lt;&gt;"",VLOOKUP("S"&amp;C142,'EXP. ESP.'!$A$20:$V$6999,16,0),"")</f>
        <v>#N/A</v>
      </c>
      <c r="J142" s="358" t="e">
        <f>IF(C142&lt;&gt;"",IF(VLOOKUP(C142,HAB.EXP.ESP.!$C$27:$N$226,4,0)="NO CUMPLE",0,IF(E142="HÁBIL",IF(I142&lt;=PORPMFOMOD,ROUND(PTJEEXPESP2-(PTJEEXPESP2/(POWER(PORPMFOMOD,2)))*(POWER(I142-PORPMFOMOD,2)),3),IF(OR(I142&gt;=$I$21,ROUND((I142/PMFOMOD),3)&gt;=RELACIONPO),0,ROUND(PTJEEXPESP2-(1/$I$20)*(PTJEEXPESP2/(POWER(PORPMFOMOD,2)))*(POWER(I142-PORPMFOMOD,2)),3))),0)),"")</f>
        <v>#N/A</v>
      </c>
    </row>
    <row r="143" spans="2:10" ht="13.5" hidden="1">
      <c r="B143" s="231">
        <v>114</v>
      </c>
      <c r="C143" s="129" t="e">
        <f>IF(VLOOKUP(B143,PROPONENTES!$B$19:$E$219,2,0)="","",VLOOKUP(B143,PROPONENTES!$B$19:$E$219,2,0))</f>
        <v>#N/A</v>
      </c>
      <c r="D143" s="130" t="e">
        <f>IF(VLOOKUP(B143,PROPONENTES!$B$19:$E$218,3,0)="","",VLOOKUP(B143,PROPONENTES!$B$19:$E$218,3,0))</f>
        <v>#N/A</v>
      </c>
      <c r="E143" s="135" t="e">
        <f>IF(C143&lt;&gt;"",VLOOKUP(C143,HAB.EXP.ESP.!$C$27:$N$226,12),"")</f>
        <v>#N/A</v>
      </c>
      <c r="F143" s="245" t="e">
        <f>IF(C143&lt;&gt;"",VLOOKUP("M"&amp;C143,'EXP. ESP.'!$A$20:$V$6999,17,0),"")</f>
        <v>#N/A</v>
      </c>
      <c r="G143" s="342" t="e">
        <f>IF(C143&lt;&gt;"",VLOOKUP("P"&amp;C143,'EXP. ESP.'!$A$20:$V$6999,16,0),"")</f>
        <v>#N/A</v>
      </c>
      <c r="H143" s="342" t="e">
        <f>IF(C143&lt;&gt;"",IF(VLOOKUP(C143,HAB.EXP.ESP.!$C$27:$N$226,4,0)="NO CUMPLE",0,IF(E143="HÁBIL",IF(G143&lt;PPHMOD,ROUND((PTJEEXPESP1*(G143/PPHMOD)),3),IF(OR(ROUND(PTJEEXPESP1*(((3*PPHMOD)-G143)/(2*PPHMOD)),3)&lt;=0,G143&gt;=(3*PLAZOMOD)),0,ROUND(PTJEEXPESP1*(((3*PPHMOD)-G143)/(2*PPHMOD)),3))),0)),"")</f>
        <v>#N/A</v>
      </c>
      <c r="I143" s="352" t="e">
        <f>IF(C143&lt;&gt;"",VLOOKUP("S"&amp;C143,'EXP. ESP.'!$A$20:$V$6999,16,0),"")</f>
        <v>#N/A</v>
      </c>
      <c r="J143" s="358" t="e">
        <f>IF(C143&lt;&gt;"",IF(VLOOKUP(C143,HAB.EXP.ESP.!$C$27:$N$226,4,0)="NO CUMPLE",0,IF(E143="HÁBIL",IF(I143&lt;=PORPMFOMOD,ROUND(PTJEEXPESP2-(PTJEEXPESP2/(POWER(PORPMFOMOD,2)))*(POWER(I143-PORPMFOMOD,2)),3),IF(OR(I143&gt;=$I$21,ROUND((I143/PMFOMOD),3)&gt;=RELACIONPO),0,ROUND(PTJEEXPESP2-(1/$I$20)*(PTJEEXPESP2/(POWER(PORPMFOMOD,2)))*(POWER(I143-PORPMFOMOD,2)),3))),0)),"")</f>
        <v>#N/A</v>
      </c>
    </row>
    <row r="144" spans="2:10" ht="13.5" hidden="1">
      <c r="B144" s="231">
        <v>115</v>
      </c>
      <c r="C144" s="129" t="e">
        <f>IF(VLOOKUP(B144,PROPONENTES!$B$19:$E$219,2,0)="","",VLOOKUP(B144,PROPONENTES!$B$19:$E$219,2,0))</f>
        <v>#N/A</v>
      </c>
      <c r="D144" s="130" t="e">
        <f>IF(VLOOKUP(B144,PROPONENTES!$B$19:$E$218,3,0)="","",VLOOKUP(B144,PROPONENTES!$B$19:$E$218,3,0))</f>
        <v>#N/A</v>
      </c>
      <c r="E144" s="135" t="e">
        <f>IF(C144&lt;&gt;"",VLOOKUP(C144,HAB.EXP.ESP.!$C$27:$N$226,12),"")</f>
        <v>#N/A</v>
      </c>
      <c r="F144" s="245" t="e">
        <f>IF(C144&lt;&gt;"",VLOOKUP("M"&amp;C144,'EXP. ESP.'!$A$20:$V$6999,17,0),"")</f>
        <v>#N/A</v>
      </c>
      <c r="G144" s="342" t="e">
        <f>IF(C144&lt;&gt;"",VLOOKUP("P"&amp;C144,'EXP. ESP.'!$A$20:$V$6999,16,0),"")</f>
        <v>#N/A</v>
      </c>
      <c r="H144" s="342" t="e">
        <f>IF(C144&lt;&gt;"",IF(VLOOKUP(C144,HAB.EXP.ESP.!$C$27:$N$226,4,0)="NO CUMPLE",0,IF(E144="HÁBIL",IF(G144&lt;PPHMOD,ROUND((PTJEEXPESP1*(G144/PPHMOD)),3),IF(OR(ROUND(PTJEEXPESP1*(((3*PPHMOD)-G144)/(2*PPHMOD)),3)&lt;=0,G144&gt;=(3*PLAZOMOD)),0,ROUND(PTJEEXPESP1*(((3*PPHMOD)-G144)/(2*PPHMOD)),3))),0)),"")</f>
        <v>#N/A</v>
      </c>
      <c r="I144" s="352" t="e">
        <f>IF(C144&lt;&gt;"",VLOOKUP("S"&amp;C144,'EXP. ESP.'!$A$20:$V$6999,16,0),"")</f>
        <v>#N/A</v>
      </c>
      <c r="J144" s="358" t="e">
        <f>IF(C144&lt;&gt;"",IF(VLOOKUP(C144,HAB.EXP.ESP.!$C$27:$N$226,4,0)="NO CUMPLE",0,IF(E144="HÁBIL",IF(I144&lt;=PORPMFOMOD,ROUND(PTJEEXPESP2-(PTJEEXPESP2/(POWER(PORPMFOMOD,2)))*(POWER(I144-PORPMFOMOD,2)),3),IF(OR(I144&gt;=$I$21,ROUND((I144/PMFOMOD),3)&gt;=RELACIONPO),0,ROUND(PTJEEXPESP2-(1/$I$20)*(PTJEEXPESP2/(POWER(PORPMFOMOD,2)))*(POWER(I144-PORPMFOMOD,2)),3))),0)),"")</f>
        <v>#N/A</v>
      </c>
    </row>
    <row r="145" spans="2:10" ht="13.5" hidden="1">
      <c r="B145" s="231">
        <v>116</v>
      </c>
      <c r="C145" s="129" t="e">
        <f>IF(VLOOKUP(B145,PROPONENTES!$B$19:$E$219,2,0)="","",VLOOKUP(B145,PROPONENTES!$B$19:$E$219,2,0))</f>
        <v>#N/A</v>
      </c>
      <c r="D145" s="130" t="e">
        <f>IF(VLOOKUP(B145,PROPONENTES!$B$19:$E$218,3,0)="","",VLOOKUP(B145,PROPONENTES!$B$19:$E$218,3,0))</f>
        <v>#N/A</v>
      </c>
      <c r="E145" s="135" t="e">
        <f>IF(C145&lt;&gt;"",VLOOKUP(C145,HAB.EXP.ESP.!$C$27:$N$226,12),"")</f>
        <v>#N/A</v>
      </c>
      <c r="F145" s="245" t="e">
        <f>IF(C145&lt;&gt;"",VLOOKUP("M"&amp;C145,'EXP. ESP.'!$A$20:$V$6999,17,0),"")</f>
        <v>#N/A</v>
      </c>
      <c r="G145" s="342" t="e">
        <f>IF(C145&lt;&gt;"",VLOOKUP("P"&amp;C145,'EXP. ESP.'!$A$20:$V$6999,16,0),"")</f>
        <v>#N/A</v>
      </c>
      <c r="H145" s="342" t="e">
        <f>IF(C145&lt;&gt;"",IF(VLOOKUP(C145,HAB.EXP.ESP.!$C$27:$N$226,4,0)="NO CUMPLE",0,IF(E145="HÁBIL",IF(G145&lt;PPHMOD,ROUND((PTJEEXPESP1*(G145/PPHMOD)),3),IF(OR(ROUND(PTJEEXPESP1*(((3*PPHMOD)-G145)/(2*PPHMOD)),3)&lt;=0,G145&gt;=(3*PLAZOMOD)),0,ROUND(PTJEEXPESP1*(((3*PPHMOD)-G145)/(2*PPHMOD)),3))),0)),"")</f>
        <v>#N/A</v>
      </c>
      <c r="I145" s="352" t="e">
        <f>IF(C145&lt;&gt;"",VLOOKUP("S"&amp;C145,'EXP. ESP.'!$A$20:$V$6999,16,0),"")</f>
        <v>#N/A</v>
      </c>
      <c r="J145" s="358" t="e">
        <f>IF(C145&lt;&gt;"",IF(VLOOKUP(C145,HAB.EXP.ESP.!$C$27:$N$226,4,0)="NO CUMPLE",0,IF(E145="HÁBIL",IF(I145&lt;=PORPMFOMOD,ROUND(PTJEEXPESP2-(PTJEEXPESP2/(POWER(PORPMFOMOD,2)))*(POWER(I145-PORPMFOMOD,2)),3),IF(OR(I145&gt;=$I$21,ROUND((I145/PMFOMOD),3)&gt;=RELACIONPO),0,ROUND(PTJEEXPESP2-(1/$I$20)*(PTJEEXPESP2/(POWER(PORPMFOMOD,2)))*(POWER(I145-PORPMFOMOD,2)),3))),0)),"")</f>
        <v>#N/A</v>
      </c>
    </row>
    <row r="146" spans="2:10" ht="13.5" hidden="1">
      <c r="B146" s="230">
        <v>117</v>
      </c>
      <c r="C146" s="129" t="e">
        <f>IF(VLOOKUP(B146,PROPONENTES!$B$19:$E$219,2,0)="","",VLOOKUP(B146,PROPONENTES!$B$19:$E$219,2,0))</f>
        <v>#N/A</v>
      </c>
      <c r="D146" s="130" t="e">
        <f>IF(VLOOKUP(B146,PROPONENTES!$B$19:$E$218,3,0)="","",VLOOKUP(B146,PROPONENTES!$B$19:$E$218,3,0))</f>
        <v>#N/A</v>
      </c>
      <c r="E146" s="135" t="e">
        <f>IF(C146&lt;&gt;"",VLOOKUP(C146,HAB.EXP.ESP.!$C$27:$N$226,12),"")</f>
        <v>#N/A</v>
      </c>
      <c r="F146" s="245" t="e">
        <f>IF(C146&lt;&gt;"",VLOOKUP("M"&amp;C146,'EXP. ESP.'!$A$20:$V$6999,17,0),"")</f>
        <v>#N/A</v>
      </c>
      <c r="G146" s="342" t="e">
        <f>IF(C146&lt;&gt;"",VLOOKUP("P"&amp;C146,'EXP. ESP.'!$A$20:$V$6999,16,0),"")</f>
        <v>#N/A</v>
      </c>
      <c r="H146" s="342" t="e">
        <f>IF(C146&lt;&gt;"",IF(VLOOKUP(C146,HAB.EXP.ESP.!$C$27:$N$226,4,0)="NO CUMPLE",0,IF(E146="HÁBIL",IF(G146&lt;PPHMOD,ROUND((PTJEEXPESP1*(G146/PPHMOD)),3),IF(OR(ROUND(PTJEEXPESP1*(((3*PPHMOD)-G146)/(2*PPHMOD)),3)&lt;=0,G146&gt;=(3*PLAZOMOD)),0,ROUND(PTJEEXPESP1*(((3*PPHMOD)-G146)/(2*PPHMOD)),3))),0)),"")</f>
        <v>#N/A</v>
      </c>
      <c r="I146" s="352" t="e">
        <f>IF(C146&lt;&gt;"",VLOOKUP("S"&amp;C146,'EXP. ESP.'!$A$20:$V$6999,16,0),"")</f>
        <v>#N/A</v>
      </c>
      <c r="J146" s="358" t="e">
        <f>IF(C146&lt;&gt;"",IF(VLOOKUP(C146,HAB.EXP.ESP.!$C$27:$N$226,4,0)="NO CUMPLE",0,IF(E146="HÁBIL",IF(I146&lt;=PORPMFOMOD,ROUND(PTJEEXPESP2-(PTJEEXPESP2/(POWER(PORPMFOMOD,2)))*(POWER(I146-PORPMFOMOD,2)),3),IF(OR(I146&gt;=$I$21,ROUND((I146/PMFOMOD),3)&gt;=RELACIONPO),0,ROUND(PTJEEXPESP2-(1/$I$20)*(PTJEEXPESP2/(POWER(PORPMFOMOD,2)))*(POWER(I146-PORPMFOMOD,2)),3))),0)),"")</f>
        <v>#N/A</v>
      </c>
    </row>
    <row r="147" spans="2:10" ht="13.5" hidden="1">
      <c r="B147" s="231">
        <v>118</v>
      </c>
      <c r="C147" s="129" t="e">
        <f>IF(VLOOKUP(B147,PROPONENTES!$B$19:$E$219,2,0)="","",VLOOKUP(B147,PROPONENTES!$B$19:$E$219,2,0))</f>
        <v>#N/A</v>
      </c>
      <c r="D147" s="130" t="e">
        <f>IF(VLOOKUP(B147,PROPONENTES!$B$19:$E$218,3,0)="","",VLOOKUP(B147,PROPONENTES!$B$19:$E$218,3,0))</f>
        <v>#N/A</v>
      </c>
      <c r="E147" s="135" t="e">
        <f>IF(C147&lt;&gt;"",VLOOKUP(C147,HAB.EXP.ESP.!$C$27:$N$226,12),"")</f>
        <v>#N/A</v>
      </c>
      <c r="F147" s="245" t="e">
        <f>IF(C147&lt;&gt;"",VLOOKUP("M"&amp;C147,'EXP. ESP.'!$A$20:$V$6999,17,0),"")</f>
        <v>#N/A</v>
      </c>
      <c r="G147" s="342" t="e">
        <f>IF(C147&lt;&gt;"",VLOOKUP("P"&amp;C147,'EXP. ESP.'!$A$20:$V$6999,16,0),"")</f>
        <v>#N/A</v>
      </c>
      <c r="H147" s="342" t="e">
        <f>IF(C147&lt;&gt;"",IF(VLOOKUP(C147,HAB.EXP.ESP.!$C$27:$N$226,4,0)="NO CUMPLE",0,IF(E147="HÁBIL",IF(G147&lt;PPHMOD,ROUND((PTJEEXPESP1*(G147/PPHMOD)),3),IF(OR(ROUND(PTJEEXPESP1*(((3*PPHMOD)-G147)/(2*PPHMOD)),3)&lt;=0,G147&gt;=(3*PLAZOMOD)),0,ROUND(PTJEEXPESP1*(((3*PPHMOD)-G147)/(2*PPHMOD)),3))),0)),"")</f>
        <v>#N/A</v>
      </c>
      <c r="I147" s="352" t="e">
        <f>IF(C147&lt;&gt;"",VLOOKUP("S"&amp;C147,'EXP. ESP.'!$A$20:$V$6999,16,0),"")</f>
        <v>#N/A</v>
      </c>
      <c r="J147" s="358" t="e">
        <f>IF(C147&lt;&gt;"",IF(VLOOKUP(C147,HAB.EXP.ESP.!$C$27:$N$226,4,0)="NO CUMPLE",0,IF(E147="HÁBIL",IF(I147&lt;=PORPMFOMOD,ROUND(PTJEEXPESP2-(PTJEEXPESP2/(POWER(PORPMFOMOD,2)))*(POWER(I147-PORPMFOMOD,2)),3),IF(OR(I147&gt;=$I$21,ROUND((I147/PMFOMOD),3)&gt;=RELACIONPO),0,ROUND(PTJEEXPESP2-(1/$I$20)*(PTJEEXPESP2/(POWER(PORPMFOMOD,2)))*(POWER(I147-PORPMFOMOD,2)),3))),0)),"")</f>
        <v>#N/A</v>
      </c>
    </row>
    <row r="148" spans="2:10" ht="13.5" hidden="1">
      <c r="B148" s="231">
        <v>119</v>
      </c>
      <c r="C148" s="129" t="e">
        <f>IF(VLOOKUP(B148,PROPONENTES!$B$19:$E$219,2,0)="","",VLOOKUP(B148,PROPONENTES!$B$19:$E$219,2,0))</f>
        <v>#N/A</v>
      </c>
      <c r="D148" s="130" t="e">
        <f>IF(VLOOKUP(B148,PROPONENTES!$B$19:$E$218,3,0)="","",VLOOKUP(B148,PROPONENTES!$B$19:$E$218,3,0))</f>
        <v>#N/A</v>
      </c>
      <c r="E148" s="135" t="e">
        <f>IF(C148&lt;&gt;"",VLOOKUP(C148,HAB.EXP.ESP.!$C$27:$N$226,12),"")</f>
        <v>#N/A</v>
      </c>
      <c r="F148" s="245" t="e">
        <f>IF(C148&lt;&gt;"",VLOOKUP("M"&amp;C148,'EXP. ESP.'!$A$20:$V$6999,17,0),"")</f>
        <v>#N/A</v>
      </c>
      <c r="G148" s="342" t="e">
        <f>IF(C148&lt;&gt;"",VLOOKUP("P"&amp;C148,'EXP. ESP.'!$A$20:$V$6999,16,0),"")</f>
        <v>#N/A</v>
      </c>
      <c r="H148" s="342" t="e">
        <f>IF(C148&lt;&gt;"",IF(VLOOKUP(C148,HAB.EXP.ESP.!$C$27:$N$226,4,0)="NO CUMPLE",0,IF(E148="HÁBIL",IF(G148&lt;PPHMOD,ROUND((PTJEEXPESP1*(G148/PPHMOD)),3),IF(OR(ROUND(PTJEEXPESP1*(((3*PPHMOD)-G148)/(2*PPHMOD)),3)&lt;=0,G148&gt;=(3*PLAZOMOD)),0,ROUND(PTJEEXPESP1*(((3*PPHMOD)-G148)/(2*PPHMOD)),3))),0)),"")</f>
        <v>#N/A</v>
      </c>
      <c r="I148" s="352" t="e">
        <f>IF(C148&lt;&gt;"",VLOOKUP("S"&amp;C148,'EXP. ESP.'!$A$20:$V$6999,16,0),"")</f>
        <v>#N/A</v>
      </c>
      <c r="J148" s="358" t="e">
        <f>IF(C148&lt;&gt;"",IF(VLOOKUP(C148,HAB.EXP.ESP.!$C$27:$N$226,4,0)="NO CUMPLE",0,IF(E148="HÁBIL",IF(I148&lt;=PORPMFOMOD,ROUND(PTJEEXPESP2-(PTJEEXPESP2/(POWER(PORPMFOMOD,2)))*(POWER(I148-PORPMFOMOD,2)),3),IF(OR(I148&gt;=$I$21,ROUND((I148/PMFOMOD),3)&gt;=RELACIONPO),0,ROUND(PTJEEXPESP2-(1/$I$20)*(PTJEEXPESP2/(POWER(PORPMFOMOD,2)))*(POWER(I148-PORPMFOMOD,2)),3))),0)),"")</f>
        <v>#N/A</v>
      </c>
    </row>
    <row r="149" spans="2:10" ht="13.5" hidden="1">
      <c r="B149" s="231">
        <v>120</v>
      </c>
      <c r="C149" s="129" t="e">
        <f>IF(VLOOKUP(B149,PROPONENTES!$B$19:$E$219,2,0)="","",VLOOKUP(B149,PROPONENTES!$B$19:$E$219,2,0))</f>
        <v>#N/A</v>
      </c>
      <c r="D149" s="130" t="e">
        <f>IF(VLOOKUP(B149,PROPONENTES!$B$19:$E$218,3,0)="","",VLOOKUP(B149,PROPONENTES!$B$19:$E$218,3,0))</f>
        <v>#N/A</v>
      </c>
      <c r="E149" s="135" t="e">
        <f>IF(C149&lt;&gt;"",VLOOKUP(C149,HAB.EXP.ESP.!$C$27:$N$226,12),"")</f>
        <v>#N/A</v>
      </c>
      <c r="F149" s="245" t="e">
        <f>IF(C149&lt;&gt;"",VLOOKUP("M"&amp;C149,'EXP. ESP.'!$A$20:$V$6999,17,0),"")</f>
        <v>#N/A</v>
      </c>
      <c r="G149" s="342" t="e">
        <f>IF(C149&lt;&gt;"",VLOOKUP("P"&amp;C149,'EXP. ESP.'!$A$20:$V$6999,16,0),"")</f>
        <v>#N/A</v>
      </c>
      <c r="H149" s="342" t="e">
        <f>IF(C149&lt;&gt;"",IF(VLOOKUP(C149,HAB.EXP.ESP.!$C$27:$N$226,4,0)="NO CUMPLE",0,IF(E149="HÁBIL",IF(G149&lt;PPHMOD,ROUND((PTJEEXPESP1*(G149/PPHMOD)),3),IF(OR(ROUND(PTJEEXPESP1*(((3*PPHMOD)-G149)/(2*PPHMOD)),3)&lt;=0,G149&gt;=(3*PLAZOMOD)),0,ROUND(PTJEEXPESP1*(((3*PPHMOD)-G149)/(2*PPHMOD)),3))),0)),"")</f>
        <v>#N/A</v>
      </c>
      <c r="I149" s="352" t="e">
        <f>IF(C149&lt;&gt;"",VLOOKUP("S"&amp;C149,'EXP. ESP.'!$A$20:$V$6999,16,0),"")</f>
        <v>#N/A</v>
      </c>
      <c r="J149" s="358" t="e">
        <f>IF(C149&lt;&gt;"",IF(VLOOKUP(C149,HAB.EXP.ESP.!$C$27:$N$226,4,0)="NO CUMPLE",0,IF(E149="HÁBIL",IF(I149&lt;=PORPMFOMOD,ROUND(PTJEEXPESP2-(PTJEEXPESP2/(POWER(PORPMFOMOD,2)))*(POWER(I149-PORPMFOMOD,2)),3),IF(OR(I149&gt;=$I$21,ROUND((I149/PMFOMOD),3)&gt;=RELACIONPO),0,ROUND(PTJEEXPESP2-(1/$I$20)*(PTJEEXPESP2/(POWER(PORPMFOMOD,2)))*(POWER(I149-PORPMFOMOD,2)),3))),0)),"")</f>
        <v>#N/A</v>
      </c>
    </row>
    <row r="150" spans="2:10" ht="13.5" hidden="1">
      <c r="B150" s="230">
        <v>121</v>
      </c>
      <c r="C150" s="129" t="e">
        <f>IF(VLOOKUP(B150,PROPONENTES!$B$19:$E$219,2,0)="","",VLOOKUP(B150,PROPONENTES!$B$19:$E$219,2,0))</f>
        <v>#N/A</v>
      </c>
      <c r="D150" s="130" t="e">
        <f>IF(VLOOKUP(B150,PROPONENTES!$B$19:$E$218,3,0)="","",VLOOKUP(B150,PROPONENTES!$B$19:$E$218,3,0))</f>
        <v>#N/A</v>
      </c>
      <c r="E150" s="135" t="e">
        <f>IF(C150&lt;&gt;"",VLOOKUP(C150,HAB.EXP.ESP.!$C$27:$N$226,12),"")</f>
        <v>#N/A</v>
      </c>
      <c r="F150" s="245" t="e">
        <f>IF(C150&lt;&gt;"",VLOOKUP("M"&amp;C150,'EXP. ESP.'!$A$20:$V$6999,17,0),"")</f>
        <v>#N/A</v>
      </c>
      <c r="G150" s="342" t="e">
        <f>IF(C150&lt;&gt;"",VLOOKUP("P"&amp;C150,'EXP. ESP.'!$A$20:$V$6999,16,0),"")</f>
        <v>#N/A</v>
      </c>
      <c r="H150" s="342" t="e">
        <f>IF(C150&lt;&gt;"",IF(VLOOKUP(C150,HAB.EXP.ESP.!$C$27:$N$226,4,0)="NO CUMPLE",0,IF(E150="HÁBIL",IF(G150&lt;PPHMOD,ROUND((PTJEEXPESP1*(G150/PPHMOD)),3),IF(OR(ROUND(PTJEEXPESP1*(((3*PPHMOD)-G150)/(2*PPHMOD)),3)&lt;=0,G150&gt;=(3*PLAZOMOD)),0,ROUND(PTJEEXPESP1*(((3*PPHMOD)-G150)/(2*PPHMOD)),3))),0)),"")</f>
        <v>#N/A</v>
      </c>
      <c r="I150" s="352" t="e">
        <f>IF(C150&lt;&gt;"",VLOOKUP("S"&amp;C150,'EXP. ESP.'!$A$20:$V$6999,16,0),"")</f>
        <v>#N/A</v>
      </c>
      <c r="J150" s="358" t="e">
        <f>IF(C150&lt;&gt;"",IF(VLOOKUP(C150,HAB.EXP.ESP.!$C$27:$N$226,4,0)="NO CUMPLE",0,IF(E150="HÁBIL",IF(I150&lt;=PORPMFOMOD,ROUND(PTJEEXPESP2-(PTJEEXPESP2/(POWER(PORPMFOMOD,2)))*(POWER(I150-PORPMFOMOD,2)),3),IF(OR(I150&gt;=$I$21,ROUND((I150/PMFOMOD),3)&gt;=RELACIONPO),0,ROUND(PTJEEXPESP2-(1/$I$20)*(PTJEEXPESP2/(POWER(PORPMFOMOD,2)))*(POWER(I150-PORPMFOMOD,2)),3))),0)),"")</f>
        <v>#N/A</v>
      </c>
    </row>
    <row r="151" spans="2:10" ht="13.5" hidden="1">
      <c r="B151" s="231">
        <v>122</v>
      </c>
      <c r="C151" s="129" t="e">
        <f>IF(VLOOKUP(B151,PROPONENTES!$B$19:$E$219,2,0)="","",VLOOKUP(B151,PROPONENTES!$B$19:$E$219,2,0))</f>
        <v>#N/A</v>
      </c>
      <c r="D151" s="130" t="e">
        <f>IF(VLOOKUP(B151,PROPONENTES!$B$19:$E$218,3,0)="","",VLOOKUP(B151,PROPONENTES!$B$19:$E$218,3,0))</f>
        <v>#N/A</v>
      </c>
      <c r="E151" s="135" t="e">
        <f>IF(C151&lt;&gt;"",VLOOKUP(C151,HAB.EXP.ESP.!$C$27:$N$226,12),"")</f>
        <v>#N/A</v>
      </c>
      <c r="F151" s="245" t="e">
        <f>IF(C151&lt;&gt;"",VLOOKUP("M"&amp;C151,'EXP. ESP.'!$A$20:$V$6999,17,0),"")</f>
        <v>#N/A</v>
      </c>
      <c r="G151" s="342" t="e">
        <f>IF(C151&lt;&gt;"",VLOOKUP("P"&amp;C151,'EXP. ESP.'!$A$20:$V$6999,16,0),"")</f>
        <v>#N/A</v>
      </c>
      <c r="H151" s="342" t="e">
        <f>IF(C151&lt;&gt;"",IF(VLOOKUP(C151,HAB.EXP.ESP.!$C$27:$N$226,4,0)="NO CUMPLE",0,IF(E151="HÁBIL",IF(G151&lt;PPHMOD,ROUND((PTJEEXPESP1*(G151/PPHMOD)),3),IF(OR(ROUND(PTJEEXPESP1*(((3*PPHMOD)-G151)/(2*PPHMOD)),3)&lt;=0,G151&gt;=(3*PLAZOMOD)),0,ROUND(PTJEEXPESP1*(((3*PPHMOD)-G151)/(2*PPHMOD)),3))),0)),"")</f>
        <v>#N/A</v>
      </c>
      <c r="I151" s="352" t="e">
        <f>IF(C151&lt;&gt;"",VLOOKUP("S"&amp;C151,'EXP. ESP.'!$A$20:$V$6999,16,0),"")</f>
        <v>#N/A</v>
      </c>
      <c r="J151" s="358" t="e">
        <f>IF(C151&lt;&gt;"",IF(VLOOKUP(C151,HAB.EXP.ESP.!$C$27:$N$226,4,0)="NO CUMPLE",0,IF(E151="HÁBIL",IF(I151&lt;=PORPMFOMOD,ROUND(PTJEEXPESP2-(PTJEEXPESP2/(POWER(PORPMFOMOD,2)))*(POWER(I151-PORPMFOMOD,2)),3),IF(OR(I151&gt;=$I$21,ROUND((I151/PMFOMOD),3)&gt;=RELACIONPO),0,ROUND(PTJEEXPESP2-(1/$I$20)*(PTJEEXPESP2/(POWER(PORPMFOMOD,2)))*(POWER(I151-PORPMFOMOD,2)),3))),0)),"")</f>
        <v>#N/A</v>
      </c>
    </row>
    <row r="152" spans="2:10" ht="13.5" hidden="1">
      <c r="B152" s="231">
        <v>123</v>
      </c>
      <c r="C152" s="129" t="e">
        <f>IF(VLOOKUP(B152,PROPONENTES!$B$19:$E$219,2,0)="","",VLOOKUP(B152,PROPONENTES!$B$19:$E$219,2,0))</f>
        <v>#N/A</v>
      </c>
      <c r="D152" s="130" t="e">
        <f>IF(VLOOKUP(B152,PROPONENTES!$B$19:$E$218,3,0)="","",VLOOKUP(B152,PROPONENTES!$B$19:$E$218,3,0))</f>
        <v>#N/A</v>
      </c>
      <c r="E152" s="135" t="e">
        <f>IF(C152&lt;&gt;"",VLOOKUP(C152,HAB.EXP.ESP.!$C$27:$N$226,12),"")</f>
        <v>#N/A</v>
      </c>
      <c r="F152" s="245" t="e">
        <f>IF(C152&lt;&gt;"",VLOOKUP("M"&amp;C152,'EXP. ESP.'!$A$20:$V$6999,17,0),"")</f>
        <v>#N/A</v>
      </c>
      <c r="G152" s="342" t="e">
        <f>IF(C152&lt;&gt;"",VLOOKUP("P"&amp;C152,'EXP. ESP.'!$A$20:$V$6999,16,0),"")</f>
        <v>#N/A</v>
      </c>
      <c r="H152" s="342" t="e">
        <f>IF(C152&lt;&gt;"",IF(VLOOKUP(C152,HAB.EXP.ESP.!$C$27:$N$226,4,0)="NO CUMPLE",0,IF(E152="HÁBIL",IF(G152&lt;PPHMOD,ROUND((PTJEEXPESP1*(G152/PPHMOD)),3),IF(OR(ROUND(PTJEEXPESP1*(((3*PPHMOD)-G152)/(2*PPHMOD)),3)&lt;=0,G152&gt;=(3*PLAZOMOD)),0,ROUND(PTJEEXPESP1*(((3*PPHMOD)-G152)/(2*PPHMOD)),3))),0)),"")</f>
        <v>#N/A</v>
      </c>
      <c r="I152" s="352" t="e">
        <f>IF(C152&lt;&gt;"",VLOOKUP("S"&amp;C152,'EXP. ESP.'!$A$20:$V$6999,16,0),"")</f>
        <v>#N/A</v>
      </c>
      <c r="J152" s="358" t="e">
        <f>IF(C152&lt;&gt;"",IF(VLOOKUP(C152,HAB.EXP.ESP.!$C$27:$N$226,4,0)="NO CUMPLE",0,IF(E152="HÁBIL",IF(I152&lt;=PORPMFOMOD,ROUND(PTJEEXPESP2-(PTJEEXPESP2/(POWER(PORPMFOMOD,2)))*(POWER(I152-PORPMFOMOD,2)),3),IF(OR(I152&gt;=$I$21,ROUND((I152/PMFOMOD),3)&gt;=RELACIONPO),0,ROUND(PTJEEXPESP2-(1/$I$20)*(PTJEEXPESP2/(POWER(PORPMFOMOD,2)))*(POWER(I152-PORPMFOMOD,2)),3))),0)),"")</f>
        <v>#N/A</v>
      </c>
    </row>
    <row r="153" spans="2:10" ht="13.5" hidden="1">
      <c r="B153" s="231">
        <v>124</v>
      </c>
      <c r="C153" s="129" t="e">
        <f>IF(VLOOKUP(B153,PROPONENTES!$B$19:$E$219,2,0)="","",VLOOKUP(B153,PROPONENTES!$B$19:$E$219,2,0))</f>
        <v>#N/A</v>
      </c>
      <c r="D153" s="130" t="e">
        <f>IF(VLOOKUP(B153,PROPONENTES!$B$19:$E$218,3,0)="","",VLOOKUP(B153,PROPONENTES!$B$19:$E$218,3,0))</f>
        <v>#N/A</v>
      </c>
      <c r="E153" s="135" t="e">
        <f>IF(C153&lt;&gt;"",VLOOKUP(C153,HAB.EXP.ESP.!$C$27:$N$226,12),"")</f>
        <v>#N/A</v>
      </c>
      <c r="F153" s="245" t="e">
        <f>IF(C153&lt;&gt;"",VLOOKUP("M"&amp;C153,'EXP. ESP.'!$A$20:$V$6999,17,0),"")</f>
        <v>#N/A</v>
      </c>
      <c r="G153" s="342" t="e">
        <f>IF(C153&lt;&gt;"",VLOOKUP("P"&amp;C153,'EXP. ESP.'!$A$20:$V$6999,16,0),"")</f>
        <v>#N/A</v>
      </c>
      <c r="H153" s="342" t="e">
        <f>IF(C153&lt;&gt;"",IF(VLOOKUP(C153,HAB.EXP.ESP.!$C$27:$N$226,4,0)="NO CUMPLE",0,IF(E153="HÁBIL",IF(G153&lt;PPHMOD,ROUND((PTJEEXPESP1*(G153/PPHMOD)),3),IF(OR(ROUND(PTJEEXPESP1*(((3*PPHMOD)-G153)/(2*PPHMOD)),3)&lt;=0,G153&gt;=(3*PLAZOMOD)),0,ROUND(PTJEEXPESP1*(((3*PPHMOD)-G153)/(2*PPHMOD)),3))),0)),"")</f>
        <v>#N/A</v>
      </c>
      <c r="I153" s="352" t="e">
        <f>IF(C153&lt;&gt;"",VLOOKUP("S"&amp;C153,'EXP. ESP.'!$A$20:$V$6999,16,0),"")</f>
        <v>#N/A</v>
      </c>
      <c r="J153" s="358" t="e">
        <f>IF(C153&lt;&gt;"",IF(VLOOKUP(C153,HAB.EXP.ESP.!$C$27:$N$226,4,0)="NO CUMPLE",0,IF(E153="HÁBIL",IF(I153&lt;=PORPMFOMOD,ROUND(PTJEEXPESP2-(PTJEEXPESP2/(POWER(PORPMFOMOD,2)))*(POWER(I153-PORPMFOMOD,2)),3),IF(OR(I153&gt;=$I$21,ROUND((I153/PMFOMOD),3)&gt;=RELACIONPO),0,ROUND(PTJEEXPESP2-(1/$I$20)*(PTJEEXPESP2/(POWER(PORPMFOMOD,2)))*(POWER(I153-PORPMFOMOD,2)),3))),0)),"")</f>
        <v>#N/A</v>
      </c>
    </row>
    <row r="154" spans="2:10" ht="13.5" hidden="1">
      <c r="B154" s="230">
        <v>125</v>
      </c>
      <c r="C154" s="129" t="e">
        <f>IF(VLOOKUP(B154,PROPONENTES!$B$19:$E$219,2,0)="","",VLOOKUP(B154,PROPONENTES!$B$19:$E$219,2,0))</f>
        <v>#N/A</v>
      </c>
      <c r="D154" s="130" t="e">
        <f>IF(VLOOKUP(B154,PROPONENTES!$B$19:$E$218,3,0)="","",VLOOKUP(B154,PROPONENTES!$B$19:$E$218,3,0))</f>
        <v>#N/A</v>
      </c>
      <c r="E154" s="135" t="e">
        <f>IF(C154&lt;&gt;"",VLOOKUP(C154,HAB.EXP.ESP.!$C$27:$N$226,12),"")</f>
        <v>#N/A</v>
      </c>
      <c r="F154" s="245" t="e">
        <f>IF(C154&lt;&gt;"",VLOOKUP("M"&amp;C154,'EXP. ESP.'!$A$20:$V$6999,17,0),"")</f>
        <v>#N/A</v>
      </c>
      <c r="G154" s="342" t="e">
        <f>IF(C154&lt;&gt;"",VLOOKUP("P"&amp;C154,'EXP. ESP.'!$A$20:$V$6999,16,0),"")</f>
        <v>#N/A</v>
      </c>
      <c r="H154" s="342" t="e">
        <f>IF(C154&lt;&gt;"",IF(VLOOKUP(C154,HAB.EXP.ESP.!$C$27:$N$226,4,0)="NO CUMPLE",0,IF(E154="HÁBIL",IF(G154&lt;PPHMOD,ROUND((PTJEEXPESP1*(G154/PPHMOD)),3),IF(OR(ROUND(PTJEEXPESP1*(((3*PPHMOD)-G154)/(2*PPHMOD)),3)&lt;=0,G154&gt;=(3*PLAZOMOD)),0,ROUND(PTJEEXPESP1*(((3*PPHMOD)-G154)/(2*PPHMOD)),3))),0)),"")</f>
        <v>#N/A</v>
      </c>
      <c r="I154" s="352" t="e">
        <f>IF(C154&lt;&gt;"",VLOOKUP("S"&amp;C154,'EXP. ESP.'!$A$20:$V$6999,16,0),"")</f>
        <v>#N/A</v>
      </c>
      <c r="J154" s="358" t="e">
        <f>IF(C154&lt;&gt;"",IF(VLOOKUP(C154,HAB.EXP.ESP.!$C$27:$N$226,4,0)="NO CUMPLE",0,IF(E154="HÁBIL",IF(I154&lt;=PORPMFOMOD,ROUND(PTJEEXPESP2-(PTJEEXPESP2/(POWER(PORPMFOMOD,2)))*(POWER(I154-PORPMFOMOD,2)),3),IF(OR(I154&gt;=$I$21,ROUND((I154/PMFOMOD),3)&gt;=RELACIONPO),0,ROUND(PTJEEXPESP2-(1/$I$20)*(PTJEEXPESP2/(POWER(PORPMFOMOD,2)))*(POWER(I154-PORPMFOMOD,2)),3))),0)),"")</f>
        <v>#N/A</v>
      </c>
    </row>
    <row r="155" spans="2:10" ht="13.5" hidden="1">
      <c r="B155" s="231">
        <v>126</v>
      </c>
      <c r="C155" s="129" t="e">
        <f>IF(VLOOKUP(B155,PROPONENTES!$B$19:$E$219,2,0)="","",VLOOKUP(B155,PROPONENTES!$B$19:$E$219,2,0))</f>
        <v>#N/A</v>
      </c>
      <c r="D155" s="130" t="e">
        <f>IF(VLOOKUP(B155,PROPONENTES!$B$19:$E$218,3,0)="","",VLOOKUP(B155,PROPONENTES!$B$19:$E$218,3,0))</f>
        <v>#N/A</v>
      </c>
      <c r="E155" s="135" t="e">
        <f>IF(C155&lt;&gt;"",VLOOKUP(C155,HAB.EXP.ESP.!$C$27:$N$226,12),"")</f>
        <v>#N/A</v>
      </c>
      <c r="F155" s="245" t="e">
        <f>IF(C155&lt;&gt;"",VLOOKUP("M"&amp;C155,'EXP. ESP.'!$A$20:$V$6999,17,0),"")</f>
        <v>#N/A</v>
      </c>
      <c r="G155" s="342" t="e">
        <f>IF(C155&lt;&gt;"",VLOOKUP("P"&amp;C155,'EXP. ESP.'!$A$20:$V$6999,16,0),"")</f>
        <v>#N/A</v>
      </c>
      <c r="H155" s="342" t="e">
        <f>IF(C155&lt;&gt;"",IF(VLOOKUP(C155,HAB.EXP.ESP.!$C$27:$N$226,4,0)="NO CUMPLE",0,IF(E155="HÁBIL",IF(G155&lt;PPHMOD,ROUND((PTJEEXPESP1*(G155/PPHMOD)),3),IF(OR(ROUND(PTJEEXPESP1*(((3*PPHMOD)-G155)/(2*PPHMOD)),3)&lt;=0,G155&gt;=(3*PLAZOMOD)),0,ROUND(PTJEEXPESP1*(((3*PPHMOD)-G155)/(2*PPHMOD)),3))),0)),"")</f>
        <v>#N/A</v>
      </c>
      <c r="I155" s="352" t="e">
        <f>IF(C155&lt;&gt;"",VLOOKUP("S"&amp;C155,'EXP. ESP.'!$A$20:$V$6999,16,0),"")</f>
        <v>#N/A</v>
      </c>
      <c r="J155" s="358" t="e">
        <f>IF(C155&lt;&gt;"",IF(VLOOKUP(C155,HAB.EXP.ESP.!$C$27:$N$226,4,0)="NO CUMPLE",0,IF(E155="HÁBIL",IF(I155&lt;=PORPMFOMOD,ROUND(PTJEEXPESP2-(PTJEEXPESP2/(POWER(PORPMFOMOD,2)))*(POWER(I155-PORPMFOMOD,2)),3),IF(OR(I155&gt;=$I$21,ROUND((I155/PMFOMOD),3)&gt;=RELACIONPO),0,ROUND(PTJEEXPESP2-(1/$I$20)*(PTJEEXPESP2/(POWER(PORPMFOMOD,2)))*(POWER(I155-PORPMFOMOD,2)),3))),0)),"")</f>
        <v>#N/A</v>
      </c>
    </row>
    <row r="156" spans="2:10" ht="13.5" hidden="1">
      <c r="B156" s="231">
        <v>127</v>
      </c>
      <c r="C156" s="129" t="e">
        <f>IF(VLOOKUP(B156,PROPONENTES!$B$19:$E$219,2,0)="","",VLOOKUP(B156,PROPONENTES!$B$19:$E$219,2,0))</f>
        <v>#N/A</v>
      </c>
      <c r="D156" s="130" t="e">
        <f>IF(VLOOKUP(B156,PROPONENTES!$B$19:$E$218,3,0)="","",VLOOKUP(B156,PROPONENTES!$B$19:$E$218,3,0))</f>
        <v>#N/A</v>
      </c>
      <c r="E156" s="135" t="e">
        <f>IF(C156&lt;&gt;"",VLOOKUP(C156,HAB.EXP.ESP.!$C$27:$N$226,12),"")</f>
        <v>#N/A</v>
      </c>
      <c r="F156" s="245" t="e">
        <f>IF(C156&lt;&gt;"",VLOOKUP("M"&amp;C156,'EXP. ESP.'!$A$20:$V$6999,17,0),"")</f>
        <v>#N/A</v>
      </c>
      <c r="G156" s="342" t="e">
        <f>IF(C156&lt;&gt;"",VLOOKUP("P"&amp;C156,'EXP. ESP.'!$A$20:$V$6999,16,0),"")</f>
        <v>#N/A</v>
      </c>
      <c r="H156" s="342" t="e">
        <f>IF(C156&lt;&gt;"",IF(VLOOKUP(C156,HAB.EXP.ESP.!$C$27:$N$226,4,0)="NO CUMPLE",0,IF(E156="HÁBIL",IF(G156&lt;PPHMOD,ROUND((PTJEEXPESP1*(G156/PPHMOD)),3),IF(OR(ROUND(PTJEEXPESP1*(((3*PPHMOD)-G156)/(2*PPHMOD)),3)&lt;=0,G156&gt;=(3*PLAZOMOD)),0,ROUND(PTJEEXPESP1*(((3*PPHMOD)-G156)/(2*PPHMOD)),3))),0)),"")</f>
        <v>#N/A</v>
      </c>
      <c r="I156" s="352" t="e">
        <f>IF(C156&lt;&gt;"",VLOOKUP("S"&amp;C156,'EXP. ESP.'!$A$20:$V$6999,16,0),"")</f>
        <v>#N/A</v>
      </c>
      <c r="J156" s="358" t="e">
        <f>IF(C156&lt;&gt;"",IF(VLOOKUP(C156,HAB.EXP.ESP.!$C$27:$N$226,4,0)="NO CUMPLE",0,IF(E156="HÁBIL",IF(I156&lt;=PORPMFOMOD,ROUND(PTJEEXPESP2-(PTJEEXPESP2/(POWER(PORPMFOMOD,2)))*(POWER(I156-PORPMFOMOD,2)),3),IF(OR(I156&gt;=$I$21,ROUND((I156/PMFOMOD),3)&gt;=RELACIONPO),0,ROUND(PTJEEXPESP2-(1/$I$20)*(PTJEEXPESP2/(POWER(PORPMFOMOD,2)))*(POWER(I156-PORPMFOMOD,2)),3))),0)),"")</f>
        <v>#N/A</v>
      </c>
    </row>
    <row r="157" spans="2:10" ht="13.5" hidden="1">
      <c r="B157" s="231">
        <v>128</v>
      </c>
      <c r="C157" s="129" t="e">
        <f>IF(VLOOKUP(B157,PROPONENTES!$B$19:$E$219,2,0)="","",VLOOKUP(B157,PROPONENTES!$B$19:$E$219,2,0))</f>
        <v>#N/A</v>
      </c>
      <c r="D157" s="130" t="e">
        <f>IF(VLOOKUP(B157,PROPONENTES!$B$19:$E$218,3,0)="","",VLOOKUP(B157,PROPONENTES!$B$19:$E$218,3,0))</f>
        <v>#N/A</v>
      </c>
      <c r="E157" s="135" t="e">
        <f>IF(C157&lt;&gt;"",VLOOKUP(C157,HAB.EXP.ESP.!$C$27:$N$226,12),"")</f>
        <v>#N/A</v>
      </c>
      <c r="F157" s="245" t="e">
        <f>IF(C157&lt;&gt;"",VLOOKUP("M"&amp;C157,'EXP. ESP.'!$A$20:$V$6999,17,0),"")</f>
        <v>#N/A</v>
      </c>
      <c r="G157" s="342" t="e">
        <f>IF(C157&lt;&gt;"",VLOOKUP("P"&amp;C157,'EXP. ESP.'!$A$20:$V$6999,16,0),"")</f>
        <v>#N/A</v>
      </c>
      <c r="H157" s="342" t="e">
        <f>IF(C157&lt;&gt;"",IF(VLOOKUP(C157,HAB.EXP.ESP.!$C$27:$N$226,4,0)="NO CUMPLE",0,IF(E157="HÁBIL",IF(G157&lt;PPHMOD,ROUND((PTJEEXPESP1*(G157/PPHMOD)),3),IF(OR(ROUND(PTJEEXPESP1*(((3*PPHMOD)-G157)/(2*PPHMOD)),3)&lt;=0,G157&gt;=(3*PLAZOMOD)),0,ROUND(PTJEEXPESP1*(((3*PPHMOD)-G157)/(2*PPHMOD)),3))),0)),"")</f>
        <v>#N/A</v>
      </c>
      <c r="I157" s="352" t="e">
        <f>IF(C157&lt;&gt;"",VLOOKUP("S"&amp;C157,'EXP. ESP.'!$A$20:$V$6999,16,0),"")</f>
        <v>#N/A</v>
      </c>
      <c r="J157" s="358" t="e">
        <f>IF(C157&lt;&gt;"",IF(VLOOKUP(C157,HAB.EXP.ESP.!$C$27:$N$226,4,0)="NO CUMPLE",0,IF(E157="HÁBIL",IF(I157&lt;=PORPMFOMOD,ROUND(PTJEEXPESP2-(PTJEEXPESP2/(POWER(PORPMFOMOD,2)))*(POWER(I157-PORPMFOMOD,2)),3),IF(OR(I157&gt;=$I$21,ROUND((I157/PMFOMOD),3)&gt;=RELACIONPO),0,ROUND(PTJEEXPESP2-(1/$I$20)*(PTJEEXPESP2/(POWER(PORPMFOMOD,2)))*(POWER(I157-PORPMFOMOD,2)),3))),0)),"")</f>
        <v>#N/A</v>
      </c>
    </row>
    <row r="158" spans="2:10" ht="13.5" hidden="1">
      <c r="B158" s="230">
        <v>129</v>
      </c>
      <c r="C158" s="129" t="e">
        <f>IF(VLOOKUP(B158,PROPONENTES!$B$19:$E$219,2,0)="","",VLOOKUP(B158,PROPONENTES!$B$19:$E$219,2,0))</f>
        <v>#N/A</v>
      </c>
      <c r="D158" s="130" t="e">
        <f>IF(VLOOKUP(B158,PROPONENTES!$B$19:$E$218,3,0)="","",VLOOKUP(B158,PROPONENTES!$B$19:$E$218,3,0))</f>
        <v>#N/A</v>
      </c>
      <c r="E158" s="135" t="e">
        <f>IF(C158&lt;&gt;"",VLOOKUP(C158,HAB.EXP.ESP.!$C$27:$N$226,12),"")</f>
        <v>#N/A</v>
      </c>
      <c r="F158" s="245" t="e">
        <f>IF(C158&lt;&gt;"",VLOOKUP("M"&amp;C158,'EXP. ESP.'!$A$20:$V$6999,17,0),"")</f>
        <v>#N/A</v>
      </c>
      <c r="G158" s="342" t="e">
        <f>IF(C158&lt;&gt;"",VLOOKUP("P"&amp;C158,'EXP. ESP.'!$A$20:$V$6999,16,0),"")</f>
        <v>#N/A</v>
      </c>
      <c r="H158" s="342" t="e">
        <f>IF(C158&lt;&gt;"",IF(VLOOKUP(C158,HAB.EXP.ESP.!$C$27:$N$226,4,0)="NO CUMPLE",0,IF(E158="HÁBIL",IF(G158&lt;PPHMOD,ROUND((PTJEEXPESP1*(G158/PPHMOD)),3),IF(OR(ROUND(PTJEEXPESP1*(((3*PPHMOD)-G158)/(2*PPHMOD)),3)&lt;=0,G158&gt;=(3*PLAZOMOD)),0,ROUND(PTJEEXPESP1*(((3*PPHMOD)-G158)/(2*PPHMOD)),3))),0)),"")</f>
        <v>#N/A</v>
      </c>
      <c r="I158" s="352" t="e">
        <f>IF(C158&lt;&gt;"",VLOOKUP("S"&amp;C158,'EXP. ESP.'!$A$20:$V$6999,16,0),"")</f>
        <v>#N/A</v>
      </c>
      <c r="J158" s="358" t="e">
        <f>IF(C158&lt;&gt;"",IF(VLOOKUP(C158,HAB.EXP.ESP.!$C$27:$N$226,4,0)="NO CUMPLE",0,IF(E158="HÁBIL",IF(I158&lt;=PORPMFOMOD,ROUND(PTJEEXPESP2-(PTJEEXPESP2/(POWER(PORPMFOMOD,2)))*(POWER(I158-PORPMFOMOD,2)),3),IF(OR(I158&gt;=$I$21,ROUND((I158/PMFOMOD),3)&gt;=RELACIONPO),0,ROUND(PTJEEXPESP2-(1/$I$20)*(PTJEEXPESP2/(POWER(PORPMFOMOD,2)))*(POWER(I158-PORPMFOMOD,2)),3))),0)),"")</f>
        <v>#N/A</v>
      </c>
    </row>
    <row r="159" spans="2:10" ht="13.5" hidden="1">
      <c r="B159" s="231">
        <v>130</v>
      </c>
      <c r="C159" s="129" t="e">
        <f>IF(VLOOKUP(B159,PROPONENTES!$B$19:$E$219,2,0)="","",VLOOKUP(B159,PROPONENTES!$B$19:$E$219,2,0))</f>
        <v>#N/A</v>
      </c>
      <c r="D159" s="130" t="e">
        <f>IF(VLOOKUP(B159,PROPONENTES!$B$19:$E$218,3,0)="","",VLOOKUP(B159,PROPONENTES!$B$19:$E$218,3,0))</f>
        <v>#N/A</v>
      </c>
      <c r="E159" s="135" t="e">
        <f>IF(C159&lt;&gt;"",VLOOKUP(C159,HAB.EXP.ESP.!$C$27:$N$226,12),"")</f>
        <v>#N/A</v>
      </c>
      <c r="F159" s="245" t="e">
        <f>IF(C159&lt;&gt;"",VLOOKUP("M"&amp;C159,'EXP. ESP.'!$A$20:$V$6999,17,0),"")</f>
        <v>#N/A</v>
      </c>
      <c r="G159" s="342" t="e">
        <f>IF(C159&lt;&gt;"",VLOOKUP("P"&amp;C159,'EXP. ESP.'!$A$20:$V$6999,16,0),"")</f>
        <v>#N/A</v>
      </c>
      <c r="H159" s="342" t="e">
        <f>IF(C159&lt;&gt;"",IF(VLOOKUP(C159,HAB.EXP.ESP.!$C$27:$N$226,4,0)="NO CUMPLE",0,IF(E159="HÁBIL",IF(G159&lt;PPHMOD,ROUND((PTJEEXPESP1*(G159/PPHMOD)),3),IF(OR(ROUND(PTJEEXPESP1*(((3*PPHMOD)-G159)/(2*PPHMOD)),3)&lt;=0,G159&gt;=(3*PLAZOMOD)),0,ROUND(PTJEEXPESP1*(((3*PPHMOD)-G159)/(2*PPHMOD)),3))),0)),"")</f>
        <v>#N/A</v>
      </c>
      <c r="I159" s="352" t="e">
        <f>IF(C159&lt;&gt;"",VLOOKUP("S"&amp;C159,'EXP. ESP.'!$A$20:$V$6999,16,0),"")</f>
        <v>#N/A</v>
      </c>
      <c r="J159" s="358" t="e">
        <f>IF(C159&lt;&gt;"",IF(VLOOKUP(C159,HAB.EXP.ESP.!$C$27:$N$226,4,0)="NO CUMPLE",0,IF(E159="HÁBIL",IF(I159&lt;=PORPMFOMOD,ROUND(PTJEEXPESP2-(PTJEEXPESP2/(POWER(PORPMFOMOD,2)))*(POWER(I159-PORPMFOMOD,2)),3),IF(OR(I159&gt;=$I$21,ROUND((I159/PMFOMOD),3)&gt;=RELACIONPO),0,ROUND(PTJEEXPESP2-(1/$I$20)*(PTJEEXPESP2/(POWER(PORPMFOMOD,2)))*(POWER(I159-PORPMFOMOD,2)),3))),0)),"")</f>
        <v>#N/A</v>
      </c>
    </row>
    <row r="160" spans="2:10" ht="13.5" hidden="1">
      <c r="B160" s="231">
        <v>131</v>
      </c>
      <c r="C160" s="129" t="e">
        <f>IF(VLOOKUP(B160,PROPONENTES!$B$19:$E$219,2,0)="","",VLOOKUP(B160,PROPONENTES!$B$19:$E$219,2,0))</f>
        <v>#N/A</v>
      </c>
      <c r="D160" s="130" t="e">
        <f>IF(VLOOKUP(B160,PROPONENTES!$B$19:$E$218,3,0)="","",VLOOKUP(B160,PROPONENTES!$B$19:$E$218,3,0))</f>
        <v>#N/A</v>
      </c>
      <c r="E160" s="135" t="e">
        <f>IF(C160&lt;&gt;"",VLOOKUP(C160,HAB.EXP.ESP.!$C$27:$N$226,12),"")</f>
        <v>#N/A</v>
      </c>
      <c r="F160" s="245" t="e">
        <f>IF(C160&lt;&gt;"",VLOOKUP("M"&amp;C160,'EXP. ESP.'!$A$20:$V$6999,17,0),"")</f>
        <v>#N/A</v>
      </c>
      <c r="G160" s="342" t="e">
        <f>IF(C160&lt;&gt;"",VLOOKUP("P"&amp;C160,'EXP. ESP.'!$A$20:$V$6999,16,0),"")</f>
        <v>#N/A</v>
      </c>
      <c r="H160" s="342" t="e">
        <f>IF(C160&lt;&gt;"",IF(VLOOKUP(C160,HAB.EXP.ESP.!$C$27:$N$226,4,0)="NO CUMPLE",0,IF(E160="HÁBIL",IF(G160&lt;PPHMOD,ROUND((PTJEEXPESP1*(G160/PPHMOD)),3),IF(OR(ROUND(PTJEEXPESP1*(((3*PPHMOD)-G160)/(2*PPHMOD)),3)&lt;=0,G160&gt;=(3*PLAZOMOD)),0,ROUND(PTJEEXPESP1*(((3*PPHMOD)-G160)/(2*PPHMOD)),3))),0)),"")</f>
        <v>#N/A</v>
      </c>
      <c r="I160" s="352" t="e">
        <f>IF(C160&lt;&gt;"",VLOOKUP("S"&amp;C160,'EXP. ESP.'!$A$20:$V$6999,16,0),"")</f>
        <v>#N/A</v>
      </c>
      <c r="J160" s="358" t="e">
        <f>IF(C160&lt;&gt;"",IF(VLOOKUP(C160,HAB.EXP.ESP.!$C$27:$N$226,4,0)="NO CUMPLE",0,IF(E160="HÁBIL",IF(I160&lt;=PORPMFOMOD,ROUND(PTJEEXPESP2-(PTJEEXPESP2/(POWER(PORPMFOMOD,2)))*(POWER(I160-PORPMFOMOD,2)),3),IF(OR(I160&gt;=$I$21,ROUND((I160/PMFOMOD),3)&gt;=RELACIONPO),0,ROUND(PTJEEXPESP2-(1/$I$20)*(PTJEEXPESP2/(POWER(PORPMFOMOD,2)))*(POWER(I160-PORPMFOMOD,2)),3))),0)),"")</f>
        <v>#N/A</v>
      </c>
    </row>
    <row r="161" spans="2:10" ht="13.5" hidden="1">
      <c r="B161" s="231">
        <v>132</v>
      </c>
      <c r="C161" s="129" t="e">
        <f>IF(VLOOKUP(B161,PROPONENTES!$B$19:$E$219,2,0)="","",VLOOKUP(B161,PROPONENTES!$B$19:$E$219,2,0))</f>
        <v>#N/A</v>
      </c>
      <c r="D161" s="130" t="e">
        <f>IF(VLOOKUP(B161,PROPONENTES!$B$19:$E$218,3,0)="","",VLOOKUP(B161,PROPONENTES!$B$19:$E$218,3,0))</f>
        <v>#N/A</v>
      </c>
      <c r="E161" s="135" t="e">
        <f>IF(C161&lt;&gt;"",VLOOKUP(C161,HAB.EXP.ESP.!$C$27:$N$226,12),"")</f>
        <v>#N/A</v>
      </c>
      <c r="F161" s="245" t="e">
        <f>IF(C161&lt;&gt;"",VLOOKUP("M"&amp;C161,'EXP. ESP.'!$A$20:$V$6999,17,0),"")</f>
        <v>#N/A</v>
      </c>
      <c r="G161" s="342" t="e">
        <f>IF(C161&lt;&gt;"",VLOOKUP("P"&amp;C161,'EXP. ESP.'!$A$20:$V$6999,16,0),"")</f>
        <v>#N/A</v>
      </c>
      <c r="H161" s="342" t="e">
        <f>IF(C161&lt;&gt;"",IF(VLOOKUP(C161,HAB.EXP.ESP.!$C$27:$N$226,4,0)="NO CUMPLE",0,IF(E161="HÁBIL",IF(G161&lt;PPHMOD,ROUND((PTJEEXPESP1*(G161/PPHMOD)),3),IF(OR(ROUND(PTJEEXPESP1*(((3*PPHMOD)-G161)/(2*PPHMOD)),3)&lt;=0,G161&gt;=(3*PLAZOMOD)),0,ROUND(PTJEEXPESP1*(((3*PPHMOD)-G161)/(2*PPHMOD)),3))),0)),"")</f>
        <v>#N/A</v>
      </c>
      <c r="I161" s="352" t="e">
        <f>IF(C161&lt;&gt;"",VLOOKUP("S"&amp;C161,'EXP. ESP.'!$A$20:$V$6999,16,0),"")</f>
        <v>#N/A</v>
      </c>
      <c r="J161" s="358" t="e">
        <f>IF(C161&lt;&gt;"",IF(VLOOKUP(C161,HAB.EXP.ESP.!$C$27:$N$226,4,0)="NO CUMPLE",0,IF(E161="HÁBIL",IF(I161&lt;=PORPMFOMOD,ROUND(PTJEEXPESP2-(PTJEEXPESP2/(POWER(PORPMFOMOD,2)))*(POWER(I161-PORPMFOMOD,2)),3),IF(OR(I161&gt;=$I$21,ROUND((I161/PMFOMOD),3)&gt;=RELACIONPO),0,ROUND(PTJEEXPESP2-(1/$I$20)*(PTJEEXPESP2/(POWER(PORPMFOMOD,2)))*(POWER(I161-PORPMFOMOD,2)),3))),0)),"")</f>
        <v>#N/A</v>
      </c>
    </row>
    <row r="162" spans="2:10" ht="13.5" hidden="1">
      <c r="B162" s="230">
        <v>133</v>
      </c>
      <c r="C162" s="129" t="e">
        <f>IF(VLOOKUP(B162,PROPONENTES!$B$19:$E$219,2,0)="","",VLOOKUP(B162,PROPONENTES!$B$19:$E$219,2,0))</f>
        <v>#N/A</v>
      </c>
      <c r="D162" s="130" t="e">
        <f>IF(VLOOKUP(B162,PROPONENTES!$B$19:$E$218,3,0)="","",VLOOKUP(B162,PROPONENTES!$B$19:$E$218,3,0))</f>
        <v>#N/A</v>
      </c>
      <c r="E162" s="135" t="e">
        <f>IF(C162&lt;&gt;"",VLOOKUP(C162,HAB.EXP.ESP.!$C$27:$N$226,12),"")</f>
        <v>#N/A</v>
      </c>
      <c r="F162" s="245" t="e">
        <f>IF(C162&lt;&gt;"",VLOOKUP("M"&amp;C162,'EXP. ESP.'!$A$20:$V$6999,17,0),"")</f>
        <v>#N/A</v>
      </c>
      <c r="G162" s="342" t="e">
        <f>IF(C162&lt;&gt;"",VLOOKUP("P"&amp;C162,'EXP. ESP.'!$A$20:$V$6999,16,0),"")</f>
        <v>#N/A</v>
      </c>
      <c r="H162" s="342" t="e">
        <f>IF(C162&lt;&gt;"",IF(VLOOKUP(C162,HAB.EXP.ESP.!$C$27:$N$226,4,0)="NO CUMPLE",0,IF(E162="HÁBIL",IF(G162&lt;PPHMOD,ROUND((PTJEEXPESP1*(G162/PPHMOD)),3),IF(OR(ROUND(PTJEEXPESP1*(((3*PPHMOD)-G162)/(2*PPHMOD)),3)&lt;=0,G162&gt;=(3*PLAZOMOD)),0,ROUND(PTJEEXPESP1*(((3*PPHMOD)-G162)/(2*PPHMOD)),3))),0)),"")</f>
        <v>#N/A</v>
      </c>
      <c r="I162" s="352" t="e">
        <f>IF(C162&lt;&gt;"",VLOOKUP("S"&amp;C162,'EXP. ESP.'!$A$20:$V$6999,16,0),"")</f>
        <v>#N/A</v>
      </c>
      <c r="J162" s="358" t="e">
        <f>IF(C162&lt;&gt;"",IF(VLOOKUP(C162,HAB.EXP.ESP.!$C$27:$N$226,4,0)="NO CUMPLE",0,IF(E162="HÁBIL",IF(I162&lt;=PORPMFOMOD,ROUND(PTJEEXPESP2-(PTJEEXPESP2/(POWER(PORPMFOMOD,2)))*(POWER(I162-PORPMFOMOD,2)),3),IF(OR(I162&gt;=$I$21,ROUND((I162/PMFOMOD),3)&gt;=RELACIONPO),0,ROUND(PTJEEXPESP2-(1/$I$20)*(PTJEEXPESP2/(POWER(PORPMFOMOD,2)))*(POWER(I162-PORPMFOMOD,2)),3))),0)),"")</f>
        <v>#N/A</v>
      </c>
    </row>
    <row r="163" spans="2:10" ht="13.5" hidden="1">
      <c r="B163" s="231">
        <v>134</v>
      </c>
      <c r="C163" s="129" t="e">
        <f>IF(VLOOKUP(B163,PROPONENTES!$B$19:$E$219,2,0)="","",VLOOKUP(B163,PROPONENTES!$B$19:$E$219,2,0))</f>
        <v>#N/A</v>
      </c>
      <c r="D163" s="130" t="e">
        <f>IF(VLOOKUP(B163,PROPONENTES!$B$19:$E$218,3,0)="","",VLOOKUP(B163,PROPONENTES!$B$19:$E$218,3,0))</f>
        <v>#N/A</v>
      </c>
      <c r="E163" s="135" t="e">
        <f>IF(C163&lt;&gt;"",VLOOKUP(C163,HAB.EXP.ESP.!$C$27:$N$226,12),"")</f>
        <v>#N/A</v>
      </c>
      <c r="F163" s="245" t="e">
        <f>IF(C163&lt;&gt;"",VLOOKUP("M"&amp;C163,'EXP. ESP.'!$A$20:$V$6999,17,0),"")</f>
        <v>#N/A</v>
      </c>
      <c r="G163" s="342" t="e">
        <f>IF(C163&lt;&gt;"",VLOOKUP("P"&amp;C163,'EXP. ESP.'!$A$20:$V$6999,16,0),"")</f>
        <v>#N/A</v>
      </c>
      <c r="H163" s="342" t="e">
        <f>IF(C163&lt;&gt;"",IF(VLOOKUP(C163,HAB.EXP.ESP.!$C$27:$N$226,4,0)="NO CUMPLE",0,IF(E163="HÁBIL",IF(G163&lt;PPHMOD,ROUND((PTJEEXPESP1*(G163/PPHMOD)),3),IF(OR(ROUND(PTJEEXPESP1*(((3*PPHMOD)-G163)/(2*PPHMOD)),3)&lt;=0,G163&gt;=(3*PLAZOMOD)),0,ROUND(PTJEEXPESP1*(((3*PPHMOD)-G163)/(2*PPHMOD)),3))),0)),"")</f>
        <v>#N/A</v>
      </c>
      <c r="I163" s="352" t="e">
        <f>IF(C163&lt;&gt;"",VLOOKUP("S"&amp;C163,'EXP. ESP.'!$A$20:$V$6999,16,0),"")</f>
        <v>#N/A</v>
      </c>
      <c r="J163" s="358" t="e">
        <f>IF(C163&lt;&gt;"",IF(VLOOKUP(C163,HAB.EXP.ESP.!$C$27:$N$226,4,0)="NO CUMPLE",0,IF(E163="HÁBIL",IF(I163&lt;=PORPMFOMOD,ROUND(PTJEEXPESP2-(PTJEEXPESP2/(POWER(PORPMFOMOD,2)))*(POWER(I163-PORPMFOMOD,2)),3),IF(OR(I163&gt;=$I$21,ROUND((I163/PMFOMOD),3)&gt;=RELACIONPO),0,ROUND(PTJEEXPESP2-(1/$I$20)*(PTJEEXPESP2/(POWER(PORPMFOMOD,2)))*(POWER(I163-PORPMFOMOD,2)),3))),0)),"")</f>
        <v>#N/A</v>
      </c>
    </row>
    <row r="164" spans="2:10" ht="13.5" hidden="1">
      <c r="B164" s="231">
        <v>135</v>
      </c>
      <c r="C164" s="129" t="e">
        <f>IF(VLOOKUP(B164,PROPONENTES!$B$19:$E$219,2,0)="","",VLOOKUP(B164,PROPONENTES!$B$19:$E$219,2,0))</f>
        <v>#N/A</v>
      </c>
      <c r="D164" s="130" t="e">
        <f>IF(VLOOKUP(B164,PROPONENTES!$B$19:$E$218,3,0)="","",VLOOKUP(B164,PROPONENTES!$B$19:$E$218,3,0))</f>
        <v>#N/A</v>
      </c>
      <c r="E164" s="135" t="e">
        <f>IF(C164&lt;&gt;"",VLOOKUP(C164,HAB.EXP.ESP.!$C$27:$N$226,12),"")</f>
        <v>#N/A</v>
      </c>
      <c r="F164" s="245" t="e">
        <f>IF(C164&lt;&gt;"",VLOOKUP("M"&amp;C164,'EXP. ESP.'!$A$20:$V$6999,17,0),"")</f>
        <v>#N/A</v>
      </c>
      <c r="G164" s="342" t="e">
        <f>IF(C164&lt;&gt;"",VLOOKUP("P"&amp;C164,'EXP. ESP.'!$A$20:$V$6999,16,0),"")</f>
        <v>#N/A</v>
      </c>
      <c r="H164" s="342" t="e">
        <f>IF(C164&lt;&gt;"",IF(VLOOKUP(C164,HAB.EXP.ESP.!$C$27:$N$226,4,0)="NO CUMPLE",0,IF(E164="HÁBIL",IF(G164&lt;PPHMOD,ROUND((PTJEEXPESP1*(G164/PPHMOD)),3),IF(OR(ROUND(PTJEEXPESP1*(((3*PPHMOD)-G164)/(2*PPHMOD)),3)&lt;=0,G164&gt;=(3*PLAZOMOD)),0,ROUND(PTJEEXPESP1*(((3*PPHMOD)-G164)/(2*PPHMOD)),3))),0)),"")</f>
        <v>#N/A</v>
      </c>
      <c r="I164" s="352" t="e">
        <f>IF(C164&lt;&gt;"",VLOOKUP("S"&amp;C164,'EXP. ESP.'!$A$20:$V$6999,16,0),"")</f>
        <v>#N/A</v>
      </c>
      <c r="J164" s="358" t="e">
        <f>IF(C164&lt;&gt;"",IF(VLOOKUP(C164,HAB.EXP.ESP.!$C$27:$N$226,4,0)="NO CUMPLE",0,IF(E164="HÁBIL",IF(I164&lt;=PORPMFOMOD,ROUND(PTJEEXPESP2-(PTJEEXPESP2/(POWER(PORPMFOMOD,2)))*(POWER(I164-PORPMFOMOD,2)),3),IF(OR(I164&gt;=$I$21,ROUND((I164/PMFOMOD),3)&gt;=RELACIONPO),0,ROUND(PTJEEXPESP2-(1/$I$20)*(PTJEEXPESP2/(POWER(PORPMFOMOD,2)))*(POWER(I164-PORPMFOMOD,2)),3))),0)),"")</f>
        <v>#N/A</v>
      </c>
    </row>
    <row r="165" spans="2:10" ht="13.5" hidden="1">
      <c r="B165" s="231">
        <v>136</v>
      </c>
      <c r="C165" s="129" t="e">
        <f>IF(VLOOKUP(B165,PROPONENTES!$B$19:$E$219,2,0)="","",VLOOKUP(B165,PROPONENTES!$B$19:$E$219,2,0))</f>
        <v>#N/A</v>
      </c>
      <c r="D165" s="130" t="e">
        <f>IF(VLOOKUP(B165,PROPONENTES!$B$19:$E$218,3,0)="","",VLOOKUP(B165,PROPONENTES!$B$19:$E$218,3,0))</f>
        <v>#N/A</v>
      </c>
      <c r="E165" s="135" t="e">
        <f>IF(C165&lt;&gt;"",VLOOKUP(C165,HAB.EXP.ESP.!$C$27:$N$226,12),"")</f>
        <v>#N/A</v>
      </c>
      <c r="F165" s="245" t="e">
        <f>IF(C165&lt;&gt;"",VLOOKUP("M"&amp;C165,'EXP. ESP.'!$A$20:$V$6999,17,0),"")</f>
        <v>#N/A</v>
      </c>
      <c r="G165" s="342" t="e">
        <f>IF(C165&lt;&gt;"",VLOOKUP("P"&amp;C165,'EXP. ESP.'!$A$20:$V$6999,16,0),"")</f>
        <v>#N/A</v>
      </c>
      <c r="H165" s="342" t="e">
        <f>IF(C165&lt;&gt;"",IF(VLOOKUP(C165,HAB.EXP.ESP.!$C$27:$N$226,4,0)="NO CUMPLE",0,IF(E165="HÁBIL",IF(G165&lt;PPHMOD,ROUND((PTJEEXPESP1*(G165/PPHMOD)),3),IF(OR(ROUND(PTJEEXPESP1*(((3*PPHMOD)-G165)/(2*PPHMOD)),3)&lt;=0,G165&gt;=(3*PLAZOMOD)),0,ROUND(PTJEEXPESP1*(((3*PPHMOD)-G165)/(2*PPHMOD)),3))),0)),"")</f>
        <v>#N/A</v>
      </c>
      <c r="I165" s="352" t="e">
        <f>IF(C165&lt;&gt;"",VLOOKUP("S"&amp;C165,'EXP. ESP.'!$A$20:$V$6999,16,0),"")</f>
        <v>#N/A</v>
      </c>
      <c r="J165" s="358" t="e">
        <f>IF(C165&lt;&gt;"",IF(VLOOKUP(C165,HAB.EXP.ESP.!$C$27:$N$226,4,0)="NO CUMPLE",0,IF(E165="HÁBIL",IF(I165&lt;=PORPMFOMOD,ROUND(PTJEEXPESP2-(PTJEEXPESP2/(POWER(PORPMFOMOD,2)))*(POWER(I165-PORPMFOMOD,2)),3),IF(OR(I165&gt;=$I$21,ROUND((I165/PMFOMOD),3)&gt;=RELACIONPO),0,ROUND(PTJEEXPESP2-(1/$I$20)*(PTJEEXPESP2/(POWER(PORPMFOMOD,2)))*(POWER(I165-PORPMFOMOD,2)),3))),0)),"")</f>
        <v>#N/A</v>
      </c>
    </row>
    <row r="166" spans="2:10" ht="13.5" hidden="1">
      <c r="B166" s="230">
        <v>137</v>
      </c>
      <c r="C166" s="129" t="e">
        <f>IF(VLOOKUP(B166,PROPONENTES!$B$19:$E$219,2,0)="","",VLOOKUP(B166,PROPONENTES!$B$19:$E$219,2,0))</f>
        <v>#N/A</v>
      </c>
      <c r="D166" s="130" t="e">
        <f>IF(VLOOKUP(B166,PROPONENTES!$B$19:$E$218,3,0)="","",VLOOKUP(B166,PROPONENTES!$B$19:$E$218,3,0))</f>
        <v>#N/A</v>
      </c>
      <c r="E166" s="135" t="e">
        <f>IF(C166&lt;&gt;"",VLOOKUP(C166,HAB.EXP.ESP.!$C$27:$N$226,12),"")</f>
        <v>#N/A</v>
      </c>
      <c r="F166" s="245" t="e">
        <f>IF(C166&lt;&gt;"",VLOOKUP("M"&amp;C166,'EXP. ESP.'!$A$20:$V$6999,17,0),"")</f>
        <v>#N/A</v>
      </c>
      <c r="G166" s="342" t="e">
        <f>IF(C166&lt;&gt;"",VLOOKUP("P"&amp;C166,'EXP. ESP.'!$A$20:$V$6999,16,0),"")</f>
        <v>#N/A</v>
      </c>
      <c r="H166" s="342" t="e">
        <f>IF(C166&lt;&gt;"",IF(VLOOKUP(C166,HAB.EXP.ESP.!$C$27:$N$226,4,0)="NO CUMPLE",0,IF(E166="HÁBIL",IF(G166&lt;PPHMOD,ROUND((PTJEEXPESP1*(G166/PPHMOD)),3),IF(OR(ROUND(PTJEEXPESP1*(((3*PPHMOD)-G166)/(2*PPHMOD)),3)&lt;=0,G166&gt;=(3*PLAZOMOD)),0,ROUND(PTJEEXPESP1*(((3*PPHMOD)-G166)/(2*PPHMOD)),3))),0)),"")</f>
        <v>#N/A</v>
      </c>
      <c r="I166" s="352" t="e">
        <f>IF(C166&lt;&gt;"",VLOOKUP("S"&amp;C166,'EXP. ESP.'!$A$20:$V$6999,16,0),"")</f>
        <v>#N/A</v>
      </c>
      <c r="J166" s="358" t="e">
        <f>IF(C166&lt;&gt;"",IF(VLOOKUP(C166,HAB.EXP.ESP.!$C$27:$N$226,4,0)="NO CUMPLE",0,IF(E166="HÁBIL",IF(I166&lt;=PORPMFOMOD,ROUND(PTJEEXPESP2-(PTJEEXPESP2/(POWER(PORPMFOMOD,2)))*(POWER(I166-PORPMFOMOD,2)),3),IF(OR(I166&gt;=$I$21,ROUND((I166/PMFOMOD),3)&gt;=RELACIONPO),0,ROUND(PTJEEXPESP2-(1/$I$20)*(PTJEEXPESP2/(POWER(PORPMFOMOD,2)))*(POWER(I166-PORPMFOMOD,2)),3))),0)),"")</f>
        <v>#N/A</v>
      </c>
    </row>
    <row r="167" spans="2:10" ht="13.5" hidden="1">
      <c r="B167" s="231">
        <v>138</v>
      </c>
      <c r="C167" s="129" t="e">
        <f>IF(VLOOKUP(B167,PROPONENTES!$B$19:$E$219,2,0)="","",VLOOKUP(B167,PROPONENTES!$B$19:$E$219,2,0))</f>
        <v>#N/A</v>
      </c>
      <c r="D167" s="130" t="e">
        <f>IF(VLOOKUP(B167,PROPONENTES!$B$19:$E$218,3,0)="","",VLOOKUP(B167,PROPONENTES!$B$19:$E$218,3,0))</f>
        <v>#N/A</v>
      </c>
      <c r="E167" s="135" t="e">
        <f>IF(C167&lt;&gt;"",VLOOKUP(C167,HAB.EXP.ESP.!$C$27:$N$226,12),"")</f>
        <v>#N/A</v>
      </c>
      <c r="F167" s="245" t="e">
        <f>IF(C167&lt;&gt;"",VLOOKUP("M"&amp;C167,'EXP. ESP.'!$A$20:$V$6999,17,0),"")</f>
        <v>#N/A</v>
      </c>
      <c r="G167" s="342" t="e">
        <f>IF(C167&lt;&gt;"",VLOOKUP("P"&amp;C167,'EXP. ESP.'!$A$20:$V$6999,16,0),"")</f>
        <v>#N/A</v>
      </c>
      <c r="H167" s="342" t="e">
        <f>IF(C167&lt;&gt;"",IF(VLOOKUP(C167,HAB.EXP.ESP.!$C$27:$N$226,4,0)="NO CUMPLE",0,IF(E167="HÁBIL",IF(G167&lt;PPHMOD,ROUND((PTJEEXPESP1*(G167/PPHMOD)),3),IF(OR(ROUND(PTJEEXPESP1*(((3*PPHMOD)-G167)/(2*PPHMOD)),3)&lt;=0,G167&gt;=(3*PLAZOMOD)),0,ROUND(PTJEEXPESP1*(((3*PPHMOD)-G167)/(2*PPHMOD)),3))),0)),"")</f>
        <v>#N/A</v>
      </c>
      <c r="I167" s="352" t="e">
        <f>IF(C167&lt;&gt;"",VLOOKUP("S"&amp;C167,'EXP. ESP.'!$A$20:$V$6999,16,0),"")</f>
        <v>#N/A</v>
      </c>
      <c r="J167" s="358" t="e">
        <f>IF(C167&lt;&gt;"",IF(VLOOKUP(C167,HAB.EXP.ESP.!$C$27:$N$226,4,0)="NO CUMPLE",0,IF(E167="HÁBIL",IF(I167&lt;=PORPMFOMOD,ROUND(PTJEEXPESP2-(PTJEEXPESP2/(POWER(PORPMFOMOD,2)))*(POWER(I167-PORPMFOMOD,2)),3),IF(OR(I167&gt;=$I$21,ROUND((I167/PMFOMOD),3)&gt;=RELACIONPO),0,ROUND(PTJEEXPESP2-(1/$I$20)*(PTJEEXPESP2/(POWER(PORPMFOMOD,2)))*(POWER(I167-PORPMFOMOD,2)),3))),0)),"")</f>
        <v>#N/A</v>
      </c>
    </row>
    <row r="168" spans="2:10" ht="13.5" hidden="1">
      <c r="B168" s="231">
        <v>139</v>
      </c>
      <c r="C168" s="129" t="e">
        <f>IF(VLOOKUP(B168,PROPONENTES!$B$19:$E$219,2,0)="","",VLOOKUP(B168,PROPONENTES!$B$19:$E$219,2,0))</f>
        <v>#N/A</v>
      </c>
      <c r="D168" s="130" t="e">
        <f>IF(VLOOKUP(B168,PROPONENTES!$B$19:$E$218,3,0)="","",VLOOKUP(B168,PROPONENTES!$B$19:$E$218,3,0))</f>
        <v>#N/A</v>
      </c>
      <c r="E168" s="135" t="e">
        <f>IF(C168&lt;&gt;"",VLOOKUP(C168,HAB.EXP.ESP.!$C$27:$N$226,12),"")</f>
        <v>#N/A</v>
      </c>
      <c r="F168" s="245" t="e">
        <f>IF(C168&lt;&gt;"",VLOOKUP("M"&amp;C168,'EXP. ESP.'!$A$20:$V$6999,17,0),"")</f>
        <v>#N/A</v>
      </c>
      <c r="G168" s="342" t="e">
        <f>IF(C168&lt;&gt;"",VLOOKUP("P"&amp;C168,'EXP. ESP.'!$A$20:$V$6999,16,0),"")</f>
        <v>#N/A</v>
      </c>
      <c r="H168" s="342" t="e">
        <f>IF(C168&lt;&gt;"",IF(VLOOKUP(C168,HAB.EXP.ESP.!$C$27:$N$226,4,0)="NO CUMPLE",0,IF(E168="HÁBIL",IF(G168&lt;PPHMOD,ROUND((PTJEEXPESP1*(G168/PPHMOD)),3),IF(OR(ROUND(PTJEEXPESP1*(((3*PPHMOD)-G168)/(2*PPHMOD)),3)&lt;=0,G168&gt;=(3*PLAZOMOD)),0,ROUND(PTJEEXPESP1*(((3*PPHMOD)-G168)/(2*PPHMOD)),3))),0)),"")</f>
        <v>#N/A</v>
      </c>
      <c r="I168" s="352" t="e">
        <f>IF(C168&lt;&gt;"",VLOOKUP("S"&amp;C168,'EXP. ESP.'!$A$20:$V$6999,16,0),"")</f>
        <v>#N/A</v>
      </c>
      <c r="J168" s="358" t="e">
        <f>IF(C168&lt;&gt;"",IF(VLOOKUP(C168,HAB.EXP.ESP.!$C$27:$N$226,4,0)="NO CUMPLE",0,IF(E168="HÁBIL",IF(I168&lt;=PORPMFOMOD,ROUND(PTJEEXPESP2-(PTJEEXPESP2/(POWER(PORPMFOMOD,2)))*(POWER(I168-PORPMFOMOD,2)),3),IF(OR(I168&gt;=$I$21,ROUND((I168/PMFOMOD),3)&gt;=RELACIONPO),0,ROUND(PTJEEXPESP2-(1/$I$20)*(PTJEEXPESP2/(POWER(PORPMFOMOD,2)))*(POWER(I168-PORPMFOMOD,2)),3))),0)),"")</f>
        <v>#N/A</v>
      </c>
    </row>
    <row r="169" spans="2:10" ht="13.5" hidden="1">
      <c r="B169" s="231">
        <v>140</v>
      </c>
      <c r="C169" s="129" t="e">
        <f>IF(VLOOKUP(B169,PROPONENTES!$B$19:$E$219,2,0)="","",VLOOKUP(B169,PROPONENTES!$B$19:$E$219,2,0))</f>
        <v>#N/A</v>
      </c>
      <c r="D169" s="130" t="e">
        <f>IF(VLOOKUP(B169,PROPONENTES!$B$19:$E$218,3,0)="","",VLOOKUP(B169,PROPONENTES!$B$19:$E$218,3,0))</f>
        <v>#N/A</v>
      </c>
      <c r="E169" s="135" t="e">
        <f>IF(C169&lt;&gt;"",VLOOKUP(C169,HAB.EXP.ESP.!$C$27:$N$226,12),"")</f>
        <v>#N/A</v>
      </c>
      <c r="F169" s="245" t="e">
        <f>IF(C169&lt;&gt;"",VLOOKUP("M"&amp;C169,'EXP. ESP.'!$A$20:$V$6999,17,0),"")</f>
        <v>#N/A</v>
      </c>
      <c r="G169" s="342" t="e">
        <f>IF(C169&lt;&gt;"",VLOOKUP("P"&amp;C169,'EXP. ESP.'!$A$20:$V$6999,16,0),"")</f>
        <v>#N/A</v>
      </c>
      <c r="H169" s="342" t="e">
        <f>IF(C169&lt;&gt;"",IF(VLOOKUP(C169,HAB.EXP.ESP.!$C$27:$N$226,4,0)="NO CUMPLE",0,IF(E169="HÁBIL",IF(G169&lt;PPHMOD,ROUND((PTJEEXPESP1*(G169/PPHMOD)),3),IF(OR(ROUND(PTJEEXPESP1*(((3*PPHMOD)-G169)/(2*PPHMOD)),3)&lt;=0,G169&gt;=(3*PLAZOMOD)),0,ROUND(PTJEEXPESP1*(((3*PPHMOD)-G169)/(2*PPHMOD)),3))),0)),"")</f>
        <v>#N/A</v>
      </c>
      <c r="I169" s="352" t="e">
        <f>IF(C169&lt;&gt;"",VLOOKUP("S"&amp;C169,'EXP. ESP.'!$A$20:$V$6999,16,0),"")</f>
        <v>#N/A</v>
      </c>
      <c r="J169" s="358" t="e">
        <f>IF(C169&lt;&gt;"",IF(VLOOKUP(C169,HAB.EXP.ESP.!$C$27:$N$226,4,0)="NO CUMPLE",0,IF(E169="HÁBIL",IF(I169&lt;=PORPMFOMOD,ROUND(PTJEEXPESP2-(PTJEEXPESP2/(POWER(PORPMFOMOD,2)))*(POWER(I169-PORPMFOMOD,2)),3),IF(OR(I169&gt;=$I$21,ROUND((I169/PMFOMOD),3)&gt;=RELACIONPO),0,ROUND(PTJEEXPESP2-(1/$I$20)*(PTJEEXPESP2/(POWER(PORPMFOMOD,2)))*(POWER(I169-PORPMFOMOD,2)),3))),0)),"")</f>
        <v>#N/A</v>
      </c>
    </row>
    <row r="170" spans="2:10" ht="13.5" hidden="1">
      <c r="B170" s="230">
        <v>141</v>
      </c>
      <c r="C170" s="129" t="e">
        <f>IF(VLOOKUP(B170,PROPONENTES!$B$19:$E$219,2,0)="","",VLOOKUP(B170,PROPONENTES!$B$19:$E$219,2,0))</f>
        <v>#N/A</v>
      </c>
      <c r="D170" s="130" t="e">
        <f>IF(VLOOKUP(B170,PROPONENTES!$B$19:$E$218,3,0)="","",VLOOKUP(B170,PROPONENTES!$B$19:$E$218,3,0))</f>
        <v>#N/A</v>
      </c>
      <c r="E170" s="135" t="e">
        <f>IF(C170&lt;&gt;"",VLOOKUP(C170,HAB.EXP.ESP.!$C$27:$N$226,12),"")</f>
        <v>#N/A</v>
      </c>
      <c r="F170" s="245" t="e">
        <f>IF(C170&lt;&gt;"",VLOOKUP("M"&amp;C170,'EXP. ESP.'!$A$20:$V$6999,17,0),"")</f>
        <v>#N/A</v>
      </c>
      <c r="G170" s="342" t="e">
        <f>IF(C170&lt;&gt;"",VLOOKUP("P"&amp;C170,'EXP. ESP.'!$A$20:$V$6999,16,0),"")</f>
        <v>#N/A</v>
      </c>
      <c r="H170" s="342" t="e">
        <f>IF(C170&lt;&gt;"",IF(VLOOKUP(C170,HAB.EXP.ESP.!$C$27:$N$226,4,0)="NO CUMPLE",0,IF(E170="HÁBIL",IF(G170&lt;PPHMOD,ROUND((PTJEEXPESP1*(G170/PPHMOD)),3),IF(OR(ROUND(PTJEEXPESP1*(((3*PPHMOD)-G170)/(2*PPHMOD)),3)&lt;=0,G170&gt;=(3*PLAZOMOD)),0,ROUND(PTJEEXPESP1*(((3*PPHMOD)-G170)/(2*PPHMOD)),3))),0)),"")</f>
        <v>#N/A</v>
      </c>
      <c r="I170" s="352" t="e">
        <f>IF(C170&lt;&gt;"",VLOOKUP("S"&amp;C170,'EXP. ESP.'!$A$20:$V$6999,16,0),"")</f>
        <v>#N/A</v>
      </c>
      <c r="J170" s="358" t="e">
        <f>IF(C170&lt;&gt;"",IF(VLOOKUP(C170,HAB.EXP.ESP.!$C$27:$N$226,4,0)="NO CUMPLE",0,IF(E170="HÁBIL",IF(I170&lt;=PORPMFOMOD,ROUND(PTJEEXPESP2-(PTJEEXPESP2/(POWER(PORPMFOMOD,2)))*(POWER(I170-PORPMFOMOD,2)),3),IF(OR(I170&gt;=$I$21,ROUND((I170/PMFOMOD),3)&gt;=RELACIONPO),0,ROUND(PTJEEXPESP2-(1/$I$20)*(PTJEEXPESP2/(POWER(PORPMFOMOD,2)))*(POWER(I170-PORPMFOMOD,2)),3))),0)),"")</f>
        <v>#N/A</v>
      </c>
    </row>
    <row r="171" spans="2:10" ht="13.5" hidden="1">
      <c r="B171" s="231">
        <v>142</v>
      </c>
      <c r="C171" s="129" t="e">
        <f>IF(VLOOKUP(B171,PROPONENTES!$B$19:$E$219,2,0)="","",VLOOKUP(B171,PROPONENTES!$B$19:$E$219,2,0))</f>
        <v>#N/A</v>
      </c>
      <c r="D171" s="130" t="e">
        <f>IF(VLOOKUP(B171,PROPONENTES!$B$19:$E$218,3,0)="","",VLOOKUP(B171,PROPONENTES!$B$19:$E$218,3,0))</f>
        <v>#N/A</v>
      </c>
      <c r="E171" s="135" t="e">
        <f>IF(C171&lt;&gt;"",VLOOKUP(C171,HAB.EXP.ESP.!$C$27:$N$226,12),"")</f>
        <v>#N/A</v>
      </c>
      <c r="F171" s="245" t="e">
        <f>IF(C171&lt;&gt;"",VLOOKUP("M"&amp;C171,'EXP. ESP.'!$A$20:$V$6999,17,0),"")</f>
        <v>#N/A</v>
      </c>
      <c r="G171" s="342" t="e">
        <f>IF(C171&lt;&gt;"",VLOOKUP("P"&amp;C171,'EXP. ESP.'!$A$20:$V$6999,16,0),"")</f>
        <v>#N/A</v>
      </c>
      <c r="H171" s="342" t="e">
        <f>IF(C171&lt;&gt;"",IF(VLOOKUP(C171,HAB.EXP.ESP.!$C$27:$N$226,4,0)="NO CUMPLE",0,IF(E171="HÁBIL",IF(G171&lt;PPHMOD,ROUND((PTJEEXPESP1*(G171/PPHMOD)),3),IF(OR(ROUND(PTJEEXPESP1*(((3*PPHMOD)-G171)/(2*PPHMOD)),3)&lt;=0,G171&gt;=(3*PLAZOMOD)),0,ROUND(PTJEEXPESP1*(((3*PPHMOD)-G171)/(2*PPHMOD)),3))),0)),"")</f>
        <v>#N/A</v>
      </c>
      <c r="I171" s="352" t="e">
        <f>IF(C171&lt;&gt;"",VLOOKUP("S"&amp;C171,'EXP. ESP.'!$A$20:$V$6999,16,0),"")</f>
        <v>#N/A</v>
      </c>
      <c r="J171" s="358" t="e">
        <f>IF(C171&lt;&gt;"",IF(VLOOKUP(C171,HAB.EXP.ESP.!$C$27:$N$226,4,0)="NO CUMPLE",0,IF(E171="HÁBIL",IF(I171&lt;=PORPMFOMOD,ROUND(PTJEEXPESP2-(PTJEEXPESP2/(POWER(PORPMFOMOD,2)))*(POWER(I171-PORPMFOMOD,2)),3),IF(OR(I171&gt;=$I$21,ROUND((I171/PMFOMOD),3)&gt;=RELACIONPO),0,ROUND(PTJEEXPESP2-(1/$I$20)*(PTJEEXPESP2/(POWER(PORPMFOMOD,2)))*(POWER(I171-PORPMFOMOD,2)),3))),0)),"")</f>
        <v>#N/A</v>
      </c>
    </row>
    <row r="172" spans="2:10" ht="13.5" hidden="1">
      <c r="B172" s="231">
        <v>143</v>
      </c>
      <c r="C172" s="129" t="e">
        <f>IF(VLOOKUP(B172,PROPONENTES!$B$19:$E$219,2,0)="","",VLOOKUP(B172,PROPONENTES!$B$19:$E$219,2,0))</f>
        <v>#N/A</v>
      </c>
      <c r="D172" s="130" t="e">
        <f>IF(VLOOKUP(B172,PROPONENTES!$B$19:$E$218,3,0)="","",VLOOKUP(B172,PROPONENTES!$B$19:$E$218,3,0))</f>
        <v>#N/A</v>
      </c>
      <c r="E172" s="135" t="e">
        <f>IF(C172&lt;&gt;"",VLOOKUP(C172,HAB.EXP.ESP.!$C$27:$N$226,12),"")</f>
        <v>#N/A</v>
      </c>
      <c r="F172" s="245" t="e">
        <f>IF(C172&lt;&gt;"",VLOOKUP("M"&amp;C172,'EXP. ESP.'!$A$20:$V$6999,17,0),"")</f>
        <v>#N/A</v>
      </c>
      <c r="G172" s="342" t="e">
        <f>IF(C172&lt;&gt;"",VLOOKUP("P"&amp;C172,'EXP. ESP.'!$A$20:$V$6999,16,0),"")</f>
        <v>#N/A</v>
      </c>
      <c r="H172" s="342" t="e">
        <f>IF(C172&lt;&gt;"",IF(VLOOKUP(C172,HAB.EXP.ESP.!$C$27:$N$226,4,0)="NO CUMPLE",0,IF(E172="HÁBIL",IF(G172&lt;PPHMOD,ROUND((PTJEEXPESP1*(G172/PPHMOD)),3),IF(OR(ROUND(PTJEEXPESP1*(((3*PPHMOD)-G172)/(2*PPHMOD)),3)&lt;=0,G172&gt;=(3*PLAZOMOD)),0,ROUND(PTJEEXPESP1*(((3*PPHMOD)-G172)/(2*PPHMOD)),3))),0)),"")</f>
        <v>#N/A</v>
      </c>
      <c r="I172" s="352" t="e">
        <f>IF(C172&lt;&gt;"",VLOOKUP("S"&amp;C172,'EXP. ESP.'!$A$20:$V$6999,16,0),"")</f>
        <v>#N/A</v>
      </c>
      <c r="J172" s="358" t="e">
        <f>IF(C172&lt;&gt;"",IF(VLOOKUP(C172,HAB.EXP.ESP.!$C$27:$N$226,4,0)="NO CUMPLE",0,IF(E172="HÁBIL",IF(I172&lt;=PORPMFOMOD,ROUND(PTJEEXPESP2-(PTJEEXPESP2/(POWER(PORPMFOMOD,2)))*(POWER(I172-PORPMFOMOD,2)),3),IF(OR(I172&gt;=$I$21,ROUND((I172/PMFOMOD),3)&gt;=RELACIONPO),0,ROUND(PTJEEXPESP2-(1/$I$20)*(PTJEEXPESP2/(POWER(PORPMFOMOD,2)))*(POWER(I172-PORPMFOMOD,2)),3))),0)),"")</f>
        <v>#N/A</v>
      </c>
    </row>
    <row r="173" spans="2:10" ht="13.5" hidden="1">
      <c r="B173" s="231">
        <v>144</v>
      </c>
      <c r="C173" s="129" t="e">
        <f>IF(VLOOKUP(B173,PROPONENTES!$B$19:$E$219,2,0)="","",VLOOKUP(B173,PROPONENTES!$B$19:$E$219,2,0))</f>
        <v>#N/A</v>
      </c>
      <c r="D173" s="130" t="e">
        <f>IF(VLOOKUP(B173,PROPONENTES!$B$19:$E$218,3,0)="","",VLOOKUP(B173,PROPONENTES!$B$19:$E$218,3,0))</f>
        <v>#N/A</v>
      </c>
      <c r="E173" s="135" t="e">
        <f>IF(C173&lt;&gt;"",VLOOKUP(C173,HAB.EXP.ESP.!$C$27:$N$226,12),"")</f>
        <v>#N/A</v>
      </c>
      <c r="F173" s="245" t="e">
        <f>IF(C173&lt;&gt;"",VLOOKUP("M"&amp;C173,'EXP. ESP.'!$A$20:$V$6999,17,0),"")</f>
        <v>#N/A</v>
      </c>
      <c r="G173" s="342" t="e">
        <f>IF(C173&lt;&gt;"",VLOOKUP("P"&amp;C173,'EXP. ESP.'!$A$20:$V$6999,16,0),"")</f>
        <v>#N/A</v>
      </c>
      <c r="H173" s="342" t="e">
        <f>IF(C173&lt;&gt;"",IF(VLOOKUP(C173,HAB.EXP.ESP.!$C$27:$N$226,4,0)="NO CUMPLE",0,IF(E173="HÁBIL",IF(G173&lt;PPHMOD,ROUND((PTJEEXPESP1*(G173/PPHMOD)),3),IF(OR(ROUND(PTJEEXPESP1*(((3*PPHMOD)-G173)/(2*PPHMOD)),3)&lt;=0,G173&gt;=(3*PLAZOMOD)),0,ROUND(PTJEEXPESP1*(((3*PPHMOD)-G173)/(2*PPHMOD)),3))),0)),"")</f>
        <v>#N/A</v>
      </c>
      <c r="I173" s="352" t="e">
        <f>IF(C173&lt;&gt;"",VLOOKUP("S"&amp;C173,'EXP. ESP.'!$A$20:$V$6999,16,0),"")</f>
        <v>#N/A</v>
      </c>
      <c r="J173" s="358" t="e">
        <f>IF(C173&lt;&gt;"",IF(VLOOKUP(C173,HAB.EXP.ESP.!$C$27:$N$226,4,0)="NO CUMPLE",0,IF(E173="HÁBIL",IF(I173&lt;=PORPMFOMOD,ROUND(PTJEEXPESP2-(PTJEEXPESP2/(POWER(PORPMFOMOD,2)))*(POWER(I173-PORPMFOMOD,2)),3),IF(OR(I173&gt;=$I$21,ROUND((I173/PMFOMOD),3)&gt;=RELACIONPO),0,ROUND(PTJEEXPESP2-(1/$I$20)*(PTJEEXPESP2/(POWER(PORPMFOMOD,2)))*(POWER(I173-PORPMFOMOD,2)),3))),0)),"")</f>
        <v>#N/A</v>
      </c>
    </row>
    <row r="174" spans="2:10" ht="13.5" hidden="1">
      <c r="B174" s="230">
        <v>145</v>
      </c>
      <c r="C174" s="129" t="e">
        <f>IF(VLOOKUP(B174,PROPONENTES!$B$19:$E$219,2,0)="","",VLOOKUP(B174,PROPONENTES!$B$19:$E$219,2,0))</f>
        <v>#N/A</v>
      </c>
      <c r="D174" s="130" t="e">
        <f>IF(VLOOKUP(B174,PROPONENTES!$B$19:$E$218,3,0)="","",VLOOKUP(B174,PROPONENTES!$B$19:$E$218,3,0))</f>
        <v>#N/A</v>
      </c>
      <c r="E174" s="135" t="e">
        <f>IF(C174&lt;&gt;"",VLOOKUP(C174,HAB.EXP.ESP.!$C$27:$N$226,12),"")</f>
        <v>#N/A</v>
      </c>
      <c r="F174" s="245" t="e">
        <f>IF(C174&lt;&gt;"",VLOOKUP("M"&amp;C174,'EXP. ESP.'!$A$20:$V$6999,17,0),"")</f>
        <v>#N/A</v>
      </c>
      <c r="G174" s="342" t="e">
        <f>IF(C174&lt;&gt;"",VLOOKUP("P"&amp;C174,'EXP. ESP.'!$A$20:$V$6999,16,0),"")</f>
        <v>#N/A</v>
      </c>
      <c r="H174" s="342" t="e">
        <f>IF(C174&lt;&gt;"",IF(VLOOKUP(C174,HAB.EXP.ESP.!$C$27:$N$226,4,0)="NO CUMPLE",0,IF(E174="HÁBIL",IF(G174&lt;PPHMOD,ROUND((PTJEEXPESP1*(G174/PPHMOD)),3),IF(OR(ROUND(PTJEEXPESP1*(((3*PPHMOD)-G174)/(2*PPHMOD)),3)&lt;=0,G174&gt;=(3*PLAZOMOD)),0,ROUND(PTJEEXPESP1*(((3*PPHMOD)-G174)/(2*PPHMOD)),3))),0)),"")</f>
        <v>#N/A</v>
      </c>
      <c r="I174" s="352" t="e">
        <f>IF(C174&lt;&gt;"",VLOOKUP("S"&amp;C174,'EXP. ESP.'!$A$20:$V$6999,16,0),"")</f>
        <v>#N/A</v>
      </c>
      <c r="J174" s="358" t="e">
        <f>IF(C174&lt;&gt;"",IF(VLOOKUP(C174,HAB.EXP.ESP.!$C$27:$N$226,4,0)="NO CUMPLE",0,IF(E174="HÁBIL",IF(I174&lt;=PORPMFOMOD,ROUND(PTJEEXPESP2-(PTJEEXPESP2/(POWER(PORPMFOMOD,2)))*(POWER(I174-PORPMFOMOD,2)),3),IF(OR(I174&gt;=$I$21,ROUND((I174/PMFOMOD),3)&gt;=RELACIONPO),0,ROUND(PTJEEXPESP2-(1/$I$20)*(PTJEEXPESP2/(POWER(PORPMFOMOD,2)))*(POWER(I174-PORPMFOMOD,2)),3))),0)),"")</f>
        <v>#N/A</v>
      </c>
    </row>
    <row r="175" spans="2:10" ht="13.5" hidden="1">
      <c r="B175" s="231">
        <v>146</v>
      </c>
      <c r="C175" s="129" t="e">
        <f>IF(VLOOKUP(B175,PROPONENTES!$B$19:$E$219,2,0)="","",VLOOKUP(B175,PROPONENTES!$B$19:$E$219,2,0))</f>
        <v>#N/A</v>
      </c>
      <c r="D175" s="130" t="e">
        <f>IF(VLOOKUP(B175,PROPONENTES!$B$19:$E$218,3,0)="","",VLOOKUP(B175,PROPONENTES!$B$19:$E$218,3,0))</f>
        <v>#N/A</v>
      </c>
      <c r="E175" s="135" t="e">
        <f>IF(C175&lt;&gt;"",VLOOKUP(C175,HAB.EXP.ESP.!$C$27:$N$226,12),"")</f>
        <v>#N/A</v>
      </c>
      <c r="F175" s="245" t="e">
        <f>IF(C175&lt;&gt;"",VLOOKUP("M"&amp;C175,'EXP. ESP.'!$A$20:$V$6999,17,0),"")</f>
        <v>#N/A</v>
      </c>
      <c r="G175" s="342" t="e">
        <f>IF(C175&lt;&gt;"",VLOOKUP("P"&amp;C175,'EXP. ESP.'!$A$20:$V$6999,16,0),"")</f>
        <v>#N/A</v>
      </c>
      <c r="H175" s="342" t="e">
        <f>IF(C175&lt;&gt;"",IF(VLOOKUP(C175,HAB.EXP.ESP.!$C$27:$N$226,4,0)="NO CUMPLE",0,IF(E175="HÁBIL",IF(G175&lt;PPHMOD,ROUND((PTJEEXPESP1*(G175/PPHMOD)),3),IF(OR(ROUND(PTJEEXPESP1*(((3*PPHMOD)-G175)/(2*PPHMOD)),3)&lt;=0,G175&gt;=(3*PLAZOMOD)),0,ROUND(PTJEEXPESP1*(((3*PPHMOD)-G175)/(2*PPHMOD)),3))),0)),"")</f>
        <v>#N/A</v>
      </c>
      <c r="I175" s="352" t="e">
        <f>IF(C175&lt;&gt;"",VLOOKUP("S"&amp;C175,'EXP. ESP.'!$A$20:$V$6999,16,0),"")</f>
        <v>#N/A</v>
      </c>
      <c r="J175" s="358" t="e">
        <f>IF(C175&lt;&gt;"",IF(VLOOKUP(C175,HAB.EXP.ESP.!$C$27:$N$226,4,0)="NO CUMPLE",0,IF(E175="HÁBIL",IF(I175&lt;=PORPMFOMOD,ROUND(PTJEEXPESP2-(PTJEEXPESP2/(POWER(PORPMFOMOD,2)))*(POWER(I175-PORPMFOMOD,2)),3),IF(OR(I175&gt;=$I$21,ROUND((I175/PMFOMOD),3)&gt;=RELACIONPO),0,ROUND(PTJEEXPESP2-(1/$I$20)*(PTJEEXPESP2/(POWER(PORPMFOMOD,2)))*(POWER(I175-PORPMFOMOD,2)),3))),0)),"")</f>
        <v>#N/A</v>
      </c>
    </row>
    <row r="176" spans="2:10" ht="13.5" hidden="1">
      <c r="B176" s="231">
        <v>147</v>
      </c>
      <c r="C176" s="129" t="e">
        <f>IF(VLOOKUP(B176,PROPONENTES!$B$19:$E$219,2,0)="","",VLOOKUP(B176,PROPONENTES!$B$19:$E$219,2,0))</f>
        <v>#N/A</v>
      </c>
      <c r="D176" s="130" t="e">
        <f>IF(VLOOKUP(B176,PROPONENTES!$B$19:$E$218,3,0)="","",VLOOKUP(B176,PROPONENTES!$B$19:$E$218,3,0))</f>
        <v>#N/A</v>
      </c>
      <c r="E176" s="135" t="e">
        <f>IF(C176&lt;&gt;"",VLOOKUP(C176,HAB.EXP.ESP.!$C$27:$N$226,12),"")</f>
        <v>#N/A</v>
      </c>
      <c r="F176" s="245" t="e">
        <f>IF(C176&lt;&gt;"",VLOOKUP("M"&amp;C176,'EXP. ESP.'!$A$20:$V$6999,17,0),"")</f>
        <v>#N/A</v>
      </c>
      <c r="G176" s="342" t="e">
        <f>IF(C176&lt;&gt;"",VLOOKUP("P"&amp;C176,'EXP. ESP.'!$A$20:$V$6999,16,0),"")</f>
        <v>#N/A</v>
      </c>
      <c r="H176" s="342" t="e">
        <f>IF(C176&lt;&gt;"",IF(VLOOKUP(C176,HAB.EXP.ESP.!$C$27:$N$226,4,0)="NO CUMPLE",0,IF(E176="HÁBIL",IF(G176&lt;PPHMOD,ROUND((PTJEEXPESP1*(G176/PPHMOD)),3),IF(OR(ROUND(PTJEEXPESP1*(((3*PPHMOD)-G176)/(2*PPHMOD)),3)&lt;=0,G176&gt;=(3*PLAZOMOD)),0,ROUND(PTJEEXPESP1*(((3*PPHMOD)-G176)/(2*PPHMOD)),3))),0)),"")</f>
        <v>#N/A</v>
      </c>
      <c r="I176" s="352" t="e">
        <f>IF(C176&lt;&gt;"",VLOOKUP("S"&amp;C176,'EXP. ESP.'!$A$20:$V$6999,16,0),"")</f>
        <v>#N/A</v>
      </c>
      <c r="J176" s="358" t="e">
        <f>IF(C176&lt;&gt;"",IF(VLOOKUP(C176,HAB.EXP.ESP.!$C$27:$N$226,4,0)="NO CUMPLE",0,IF(E176="HÁBIL",IF(I176&lt;=PORPMFOMOD,ROUND(PTJEEXPESP2-(PTJEEXPESP2/(POWER(PORPMFOMOD,2)))*(POWER(I176-PORPMFOMOD,2)),3),IF(OR(I176&gt;=$I$21,ROUND((I176/PMFOMOD),3)&gt;=RELACIONPO),0,ROUND(PTJEEXPESP2-(1/$I$20)*(PTJEEXPESP2/(POWER(PORPMFOMOD,2)))*(POWER(I176-PORPMFOMOD,2)),3))),0)),"")</f>
        <v>#N/A</v>
      </c>
    </row>
    <row r="177" spans="2:10" ht="13.5" hidden="1">
      <c r="B177" s="231">
        <v>148</v>
      </c>
      <c r="C177" s="129" t="e">
        <f>IF(VLOOKUP(B177,PROPONENTES!$B$19:$E$219,2,0)="","",VLOOKUP(B177,PROPONENTES!$B$19:$E$219,2,0))</f>
        <v>#N/A</v>
      </c>
      <c r="D177" s="130" t="e">
        <f>IF(VLOOKUP(B177,PROPONENTES!$B$19:$E$218,3,0)="","",VLOOKUP(B177,PROPONENTES!$B$19:$E$218,3,0))</f>
        <v>#N/A</v>
      </c>
      <c r="E177" s="135" t="e">
        <f>IF(C177&lt;&gt;"",VLOOKUP(C177,HAB.EXP.ESP.!$C$27:$N$226,12),"")</f>
        <v>#N/A</v>
      </c>
      <c r="F177" s="245" t="e">
        <f>IF(C177&lt;&gt;"",VLOOKUP("M"&amp;C177,'EXP. ESP.'!$A$20:$V$6999,17,0),"")</f>
        <v>#N/A</v>
      </c>
      <c r="G177" s="342" t="e">
        <f>IF(C177&lt;&gt;"",VLOOKUP("P"&amp;C177,'EXP. ESP.'!$A$20:$V$6999,16,0),"")</f>
        <v>#N/A</v>
      </c>
      <c r="H177" s="342" t="e">
        <f>IF(C177&lt;&gt;"",IF(VLOOKUP(C177,HAB.EXP.ESP.!$C$27:$N$226,4,0)="NO CUMPLE",0,IF(E177="HÁBIL",IF(G177&lt;PPHMOD,ROUND((PTJEEXPESP1*(G177/PPHMOD)),3),IF(OR(ROUND(PTJEEXPESP1*(((3*PPHMOD)-G177)/(2*PPHMOD)),3)&lt;=0,G177&gt;=(3*PLAZOMOD)),0,ROUND(PTJEEXPESP1*(((3*PPHMOD)-G177)/(2*PPHMOD)),3))),0)),"")</f>
        <v>#N/A</v>
      </c>
      <c r="I177" s="352" t="e">
        <f>IF(C177&lt;&gt;"",VLOOKUP("S"&amp;C177,'EXP. ESP.'!$A$20:$V$6999,16,0),"")</f>
        <v>#N/A</v>
      </c>
      <c r="J177" s="358" t="e">
        <f>IF(C177&lt;&gt;"",IF(VLOOKUP(C177,HAB.EXP.ESP.!$C$27:$N$226,4,0)="NO CUMPLE",0,IF(E177="HÁBIL",IF(I177&lt;=PORPMFOMOD,ROUND(PTJEEXPESP2-(PTJEEXPESP2/(POWER(PORPMFOMOD,2)))*(POWER(I177-PORPMFOMOD,2)),3),IF(OR(I177&gt;=$I$21,ROUND((I177/PMFOMOD),3)&gt;=RELACIONPO),0,ROUND(PTJEEXPESP2-(1/$I$20)*(PTJEEXPESP2/(POWER(PORPMFOMOD,2)))*(POWER(I177-PORPMFOMOD,2)),3))),0)),"")</f>
        <v>#N/A</v>
      </c>
    </row>
    <row r="178" spans="2:10" ht="13.5" hidden="1">
      <c r="B178" s="230">
        <v>149</v>
      </c>
      <c r="C178" s="129" t="e">
        <f>IF(VLOOKUP(B178,PROPONENTES!$B$19:$E$219,2,0)="","",VLOOKUP(B178,PROPONENTES!$B$19:$E$219,2,0))</f>
        <v>#N/A</v>
      </c>
      <c r="D178" s="130" t="e">
        <f>IF(VLOOKUP(B178,PROPONENTES!$B$19:$E$218,3,0)="","",VLOOKUP(B178,PROPONENTES!$B$19:$E$218,3,0))</f>
        <v>#N/A</v>
      </c>
      <c r="E178" s="135" t="e">
        <f>IF(C178&lt;&gt;"",VLOOKUP(C178,HAB.EXP.ESP.!$C$27:$N$226,12),"")</f>
        <v>#N/A</v>
      </c>
      <c r="F178" s="245" t="e">
        <f>IF(C178&lt;&gt;"",VLOOKUP("M"&amp;C178,'EXP. ESP.'!$A$20:$V$6999,17,0),"")</f>
        <v>#N/A</v>
      </c>
      <c r="G178" s="342" t="e">
        <f>IF(C178&lt;&gt;"",VLOOKUP("P"&amp;C178,'EXP. ESP.'!$A$20:$V$6999,16,0),"")</f>
        <v>#N/A</v>
      </c>
      <c r="H178" s="342" t="e">
        <f>IF(C178&lt;&gt;"",IF(VLOOKUP(C178,HAB.EXP.ESP.!$C$27:$N$226,4,0)="NO CUMPLE",0,IF(E178="HÁBIL",IF(G178&lt;PPHMOD,ROUND((PTJEEXPESP1*(G178/PPHMOD)),3),IF(OR(ROUND(PTJEEXPESP1*(((3*PPHMOD)-G178)/(2*PPHMOD)),3)&lt;=0,G178&gt;=(3*PLAZOMOD)),0,ROUND(PTJEEXPESP1*(((3*PPHMOD)-G178)/(2*PPHMOD)),3))),0)),"")</f>
        <v>#N/A</v>
      </c>
      <c r="I178" s="352" t="e">
        <f>IF(C178&lt;&gt;"",VLOOKUP("S"&amp;C178,'EXP. ESP.'!$A$20:$V$6999,16,0),"")</f>
        <v>#N/A</v>
      </c>
      <c r="J178" s="358" t="e">
        <f>IF(C178&lt;&gt;"",IF(VLOOKUP(C178,HAB.EXP.ESP.!$C$27:$N$226,4,0)="NO CUMPLE",0,IF(E178="HÁBIL",IF(I178&lt;=PORPMFOMOD,ROUND(PTJEEXPESP2-(PTJEEXPESP2/(POWER(PORPMFOMOD,2)))*(POWER(I178-PORPMFOMOD,2)),3),IF(OR(I178&gt;=$I$21,ROUND((I178/PMFOMOD),3)&gt;=RELACIONPO),0,ROUND(PTJEEXPESP2-(1/$I$20)*(PTJEEXPESP2/(POWER(PORPMFOMOD,2)))*(POWER(I178-PORPMFOMOD,2)),3))),0)),"")</f>
        <v>#N/A</v>
      </c>
    </row>
    <row r="179" spans="2:10" ht="13.5" hidden="1">
      <c r="B179" s="231">
        <v>150</v>
      </c>
      <c r="C179" s="129" t="e">
        <f>IF(VLOOKUP(B179,PROPONENTES!$B$19:$E$219,2,0)="","",VLOOKUP(B179,PROPONENTES!$B$19:$E$219,2,0))</f>
        <v>#N/A</v>
      </c>
      <c r="D179" s="130" t="e">
        <f>IF(VLOOKUP(B179,PROPONENTES!$B$19:$E$218,3,0)="","",VLOOKUP(B179,PROPONENTES!$B$19:$E$218,3,0))</f>
        <v>#N/A</v>
      </c>
      <c r="E179" s="135" t="e">
        <f>IF(C179&lt;&gt;"",VLOOKUP(C179,HAB.EXP.ESP.!$C$27:$N$226,12),"")</f>
        <v>#N/A</v>
      </c>
      <c r="F179" s="245" t="e">
        <f>IF(C179&lt;&gt;"",VLOOKUP("M"&amp;C179,'EXP. ESP.'!$A$20:$V$6999,17,0),"")</f>
        <v>#N/A</v>
      </c>
      <c r="G179" s="342" t="e">
        <f>IF(C179&lt;&gt;"",VLOOKUP("P"&amp;C179,'EXP. ESP.'!$A$20:$V$6999,16,0),"")</f>
        <v>#N/A</v>
      </c>
      <c r="H179" s="342" t="e">
        <f>IF(C179&lt;&gt;"",IF(VLOOKUP(C179,HAB.EXP.ESP.!$C$27:$N$226,4,0)="NO CUMPLE",0,IF(E179="HÁBIL",IF(G179&lt;PPHMOD,ROUND((PTJEEXPESP1*(G179/PPHMOD)),3),IF(OR(ROUND(PTJEEXPESP1*(((3*PPHMOD)-G179)/(2*PPHMOD)),3)&lt;=0,G179&gt;=(3*PLAZOMOD)),0,ROUND(PTJEEXPESP1*(((3*PPHMOD)-G179)/(2*PPHMOD)),3))),0)),"")</f>
        <v>#N/A</v>
      </c>
      <c r="I179" s="352" t="e">
        <f>IF(C179&lt;&gt;"",VLOOKUP("S"&amp;C179,'EXP. ESP.'!$A$20:$V$6999,16,0),"")</f>
        <v>#N/A</v>
      </c>
      <c r="J179" s="358" t="e">
        <f>IF(C179&lt;&gt;"",IF(VLOOKUP(C179,HAB.EXP.ESP.!$C$27:$N$226,4,0)="NO CUMPLE",0,IF(E179="HÁBIL",IF(I179&lt;=PORPMFOMOD,ROUND(PTJEEXPESP2-(PTJEEXPESP2/(POWER(PORPMFOMOD,2)))*(POWER(I179-PORPMFOMOD,2)),3),IF(OR(I179&gt;=$I$21,ROUND((I179/PMFOMOD),3)&gt;=RELACIONPO),0,ROUND(PTJEEXPESP2-(1/$I$20)*(PTJEEXPESP2/(POWER(PORPMFOMOD,2)))*(POWER(I179-PORPMFOMOD,2)),3))),0)),"")</f>
        <v>#N/A</v>
      </c>
    </row>
    <row r="180" spans="2:10" ht="13.5" hidden="1">
      <c r="B180" s="231">
        <v>151</v>
      </c>
      <c r="C180" s="129" t="e">
        <f>IF(VLOOKUP(B180,PROPONENTES!$B$19:$E$219,2,0)="","",VLOOKUP(B180,PROPONENTES!$B$19:$E$219,2,0))</f>
        <v>#N/A</v>
      </c>
      <c r="D180" s="130" t="e">
        <f>IF(VLOOKUP(B180,PROPONENTES!$B$19:$E$218,3,0)="","",VLOOKUP(B180,PROPONENTES!$B$19:$E$218,3,0))</f>
        <v>#N/A</v>
      </c>
      <c r="E180" s="135" t="e">
        <f>IF(C180&lt;&gt;"",VLOOKUP(C180,HAB.EXP.ESP.!$C$27:$N$226,12),"")</f>
        <v>#N/A</v>
      </c>
      <c r="F180" s="245" t="e">
        <f>IF(C180&lt;&gt;"",VLOOKUP("M"&amp;C180,'EXP. ESP.'!$A$20:$V$6999,17,0),"")</f>
        <v>#N/A</v>
      </c>
      <c r="G180" s="342" t="e">
        <f>IF(C180&lt;&gt;"",VLOOKUP("P"&amp;C180,'EXP. ESP.'!$A$20:$V$6999,16,0),"")</f>
        <v>#N/A</v>
      </c>
      <c r="H180" s="342" t="e">
        <f>IF(C180&lt;&gt;"",IF(VLOOKUP(C180,HAB.EXP.ESP.!$C$27:$N$226,4,0)="NO CUMPLE",0,IF(E180="HÁBIL",IF(G180&lt;PPHMOD,ROUND((PTJEEXPESP1*(G180/PPHMOD)),3),IF(OR(ROUND(PTJEEXPESP1*(((3*PPHMOD)-G180)/(2*PPHMOD)),3)&lt;=0,G180&gt;=(3*PLAZOMOD)),0,ROUND(PTJEEXPESP1*(((3*PPHMOD)-G180)/(2*PPHMOD)),3))),0)),"")</f>
        <v>#N/A</v>
      </c>
      <c r="I180" s="352" t="e">
        <f>IF(C180&lt;&gt;"",VLOOKUP("S"&amp;C180,'EXP. ESP.'!$A$20:$V$6999,16,0),"")</f>
        <v>#N/A</v>
      </c>
      <c r="J180" s="358" t="e">
        <f>IF(C180&lt;&gt;"",IF(VLOOKUP(C180,HAB.EXP.ESP.!$C$27:$N$226,4,0)="NO CUMPLE",0,IF(E180="HÁBIL",IF(I180&lt;=PORPMFOMOD,ROUND(PTJEEXPESP2-(PTJEEXPESP2/(POWER(PORPMFOMOD,2)))*(POWER(I180-PORPMFOMOD,2)),3),IF(OR(I180&gt;=$I$21,ROUND((I180/PMFOMOD),3)&gt;=RELACIONPO),0,ROUND(PTJEEXPESP2-(1/$I$20)*(PTJEEXPESP2/(POWER(PORPMFOMOD,2)))*(POWER(I180-PORPMFOMOD,2)),3))),0)),"")</f>
        <v>#N/A</v>
      </c>
    </row>
    <row r="181" spans="2:10" ht="13.5" hidden="1">
      <c r="B181" s="231">
        <v>152</v>
      </c>
      <c r="C181" s="129" t="e">
        <f>IF(VLOOKUP(B181,PROPONENTES!$B$19:$E$219,2,0)="","",VLOOKUP(B181,PROPONENTES!$B$19:$E$219,2,0))</f>
        <v>#N/A</v>
      </c>
      <c r="D181" s="130" t="e">
        <f>IF(VLOOKUP(B181,PROPONENTES!$B$19:$E$218,3,0)="","",VLOOKUP(B181,PROPONENTES!$B$19:$E$218,3,0))</f>
        <v>#N/A</v>
      </c>
      <c r="E181" s="135" t="e">
        <f>IF(C181&lt;&gt;"",VLOOKUP(C181,HAB.EXP.ESP.!$C$27:$N$226,12),"")</f>
        <v>#N/A</v>
      </c>
      <c r="F181" s="245" t="e">
        <f>IF(C181&lt;&gt;"",VLOOKUP("M"&amp;C181,'EXP. ESP.'!$A$20:$V$6999,17,0),"")</f>
        <v>#N/A</v>
      </c>
      <c r="G181" s="342" t="e">
        <f>IF(C181&lt;&gt;"",VLOOKUP("P"&amp;C181,'EXP. ESP.'!$A$20:$V$6999,16,0),"")</f>
        <v>#N/A</v>
      </c>
      <c r="H181" s="342" t="e">
        <f>IF(C181&lt;&gt;"",IF(VLOOKUP(C181,HAB.EXP.ESP.!$C$27:$N$226,4,0)="NO CUMPLE",0,IF(E181="HÁBIL",IF(G181&lt;PPHMOD,ROUND((PTJEEXPESP1*(G181/PPHMOD)),3),IF(OR(ROUND(PTJEEXPESP1*(((3*PPHMOD)-G181)/(2*PPHMOD)),3)&lt;=0,G181&gt;=(3*PLAZOMOD)),0,ROUND(PTJEEXPESP1*(((3*PPHMOD)-G181)/(2*PPHMOD)),3))),0)),"")</f>
        <v>#N/A</v>
      </c>
      <c r="I181" s="352" t="e">
        <f>IF(C181&lt;&gt;"",VLOOKUP("S"&amp;C181,'EXP. ESP.'!$A$20:$V$6999,16,0),"")</f>
        <v>#N/A</v>
      </c>
      <c r="J181" s="358" t="e">
        <f>IF(C181&lt;&gt;"",IF(VLOOKUP(C181,HAB.EXP.ESP.!$C$27:$N$226,4,0)="NO CUMPLE",0,IF(E181="HÁBIL",IF(I181&lt;=PORPMFOMOD,ROUND(PTJEEXPESP2-(PTJEEXPESP2/(POWER(PORPMFOMOD,2)))*(POWER(I181-PORPMFOMOD,2)),3),IF(OR(I181&gt;=$I$21,ROUND((I181/PMFOMOD),3)&gt;=RELACIONPO),0,ROUND(PTJEEXPESP2-(1/$I$20)*(PTJEEXPESP2/(POWER(PORPMFOMOD,2)))*(POWER(I181-PORPMFOMOD,2)),3))),0)),"")</f>
        <v>#N/A</v>
      </c>
    </row>
    <row r="182" spans="2:10" ht="13.5" hidden="1">
      <c r="B182" s="230">
        <v>153</v>
      </c>
      <c r="C182" s="129" t="e">
        <f>IF(VLOOKUP(B182,PROPONENTES!$B$19:$E$219,2,0)="","",VLOOKUP(B182,PROPONENTES!$B$19:$E$219,2,0))</f>
        <v>#N/A</v>
      </c>
      <c r="D182" s="130" t="e">
        <f>IF(VLOOKUP(B182,PROPONENTES!$B$19:$E$218,3,0)="","",VLOOKUP(B182,PROPONENTES!$B$19:$E$218,3,0))</f>
        <v>#N/A</v>
      </c>
      <c r="E182" s="135" t="e">
        <f>IF(C182&lt;&gt;"",VLOOKUP(C182,HAB.EXP.ESP.!$C$27:$N$226,12),"")</f>
        <v>#N/A</v>
      </c>
      <c r="F182" s="245" t="e">
        <f>IF(C182&lt;&gt;"",VLOOKUP("M"&amp;C182,'EXP. ESP.'!$A$20:$V$6999,17,0),"")</f>
        <v>#N/A</v>
      </c>
      <c r="G182" s="342" t="e">
        <f>IF(C182&lt;&gt;"",VLOOKUP("P"&amp;C182,'EXP. ESP.'!$A$20:$V$6999,16,0),"")</f>
        <v>#N/A</v>
      </c>
      <c r="H182" s="342" t="e">
        <f>IF(C182&lt;&gt;"",IF(VLOOKUP(C182,HAB.EXP.ESP.!$C$27:$N$226,4,0)="NO CUMPLE",0,IF(E182="HÁBIL",IF(G182&lt;PPHMOD,ROUND((PTJEEXPESP1*(G182/PPHMOD)),3),IF(OR(ROUND(PTJEEXPESP1*(((3*PPHMOD)-G182)/(2*PPHMOD)),3)&lt;=0,G182&gt;=(3*PLAZOMOD)),0,ROUND(PTJEEXPESP1*(((3*PPHMOD)-G182)/(2*PPHMOD)),3))),0)),"")</f>
        <v>#N/A</v>
      </c>
      <c r="I182" s="352" t="e">
        <f>IF(C182&lt;&gt;"",VLOOKUP("S"&amp;C182,'EXP. ESP.'!$A$20:$V$6999,16,0),"")</f>
        <v>#N/A</v>
      </c>
      <c r="J182" s="358" t="e">
        <f>IF(C182&lt;&gt;"",IF(VLOOKUP(C182,HAB.EXP.ESP.!$C$27:$N$226,4,0)="NO CUMPLE",0,IF(E182="HÁBIL",IF(I182&lt;=PORPMFOMOD,ROUND(PTJEEXPESP2-(PTJEEXPESP2/(POWER(PORPMFOMOD,2)))*(POWER(I182-PORPMFOMOD,2)),3),IF(OR(I182&gt;=$I$21,ROUND((I182/PMFOMOD),3)&gt;=RELACIONPO),0,ROUND(PTJEEXPESP2-(1/$I$20)*(PTJEEXPESP2/(POWER(PORPMFOMOD,2)))*(POWER(I182-PORPMFOMOD,2)),3))),0)),"")</f>
        <v>#N/A</v>
      </c>
    </row>
    <row r="183" spans="2:10" ht="13.5" hidden="1">
      <c r="B183" s="231">
        <v>154</v>
      </c>
      <c r="C183" s="129" t="e">
        <f>IF(VLOOKUP(B183,PROPONENTES!$B$19:$E$219,2,0)="","",VLOOKUP(B183,PROPONENTES!$B$19:$E$219,2,0))</f>
        <v>#N/A</v>
      </c>
      <c r="D183" s="130" t="e">
        <f>IF(VLOOKUP(B183,PROPONENTES!$B$19:$E$218,3,0)="","",VLOOKUP(B183,PROPONENTES!$B$19:$E$218,3,0))</f>
        <v>#N/A</v>
      </c>
      <c r="E183" s="135" t="e">
        <f>IF(C183&lt;&gt;"",VLOOKUP(C183,HAB.EXP.ESP.!$C$27:$N$226,12),"")</f>
        <v>#N/A</v>
      </c>
      <c r="F183" s="245" t="e">
        <f>IF(C183&lt;&gt;"",VLOOKUP("M"&amp;C183,'EXP. ESP.'!$A$20:$V$6999,17,0),"")</f>
        <v>#N/A</v>
      </c>
      <c r="G183" s="342" t="e">
        <f>IF(C183&lt;&gt;"",VLOOKUP("P"&amp;C183,'EXP. ESP.'!$A$20:$V$6999,16,0),"")</f>
        <v>#N/A</v>
      </c>
      <c r="H183" s="342" t="e">
        <f>IF(C183&lt;&gt;"",IF(VLOOKUP(C183,HAB.EXP.ESP.!$C$27:$N$226,4,0)="NO CUMPLE",0,IF(E183="HÁBIL",IF(G183&lt;PPHMOD,ROUND((PTJEEXPESP1*(G183/PPHMOD)),3),IF(OR(ROUND(PTJEEXPESP1*(((3*PPHMOD)-G183)/(2*PPHMOD)),3)&lt;=0,G183&gt;=(3*PLAZOMOD)),0,ROUND(PTJEEXPESP1*(((3*PPHMOD)-G183)/(2*PPHMOD)),3))),0)),"")</f>
        <v>#N/A</v>
      </c>
      <c r="I183" s="352" t="e">
        <f>IF(C183&lt;&gt;"",VLOOKUP("S"&amp;C183,'EXP. ESP.'!$A$20:$V$6999,16,0),"")</f>
        <v>#N/A</v>
      </c>
      <c r="J183" s="358" t="e">
        <f>IF(C183&lt;&gt;"",IF(VLOOKUP(C183,HAB.EXP.ESP.!$C$27:$N$226,4,0)="NO CUMPLE",0,IF(E183="HÁBIL",IF(I183&lt;=PORPMFOMOD,ROUND(PTJEEXPESP2-(PTJEEXPESP2/(POWER(PORPMFOMOD,2)))*(POWER(I183-PORPMFOMOD,2)),3),IF(OR(I183&gt;=$I$21,ROUND((I183/PMFOMOD),3)&gt;=RELACIONPO),0,ROUND(PTJEEXPESP2-(1/$I$20)*(PTJEEXPESP2/(POWER(PORPMFOMOD,2)))*(POWER(I183-PORPMFOMOD,2)),3))),0)),"")</f>
        <v>#N/A</v>
      </c>
    </row>
    <row r="184" spans="2:10" ht="13.5" hidden="1">
      <c r="B184" s="231">
        <v>155</v>
      </c>
      <c r="C184" s="129" t="e">
        <f>IF(VLOOKUP(B184,PROPONENTES!$B$19:$E$219,2,0)="","",VLOOKUP(B184,PROPONENTES!$B$19:$E$219,2,0))</f>
        <v>#N/A</v>
      </c>
      <c r="D184" s="130" t="e">
        <f>IF(VLOOKUP(B184,PROPONENTES!$B$19:$E$218,3,0)="","",VLOOKUP(B184,PROPONENTES!$B$19:$E$218,3,0))</f>
        <v>#N/A</v>
      </c>
      <c r="E184" s="135" t="e">
        <f>IF(C184&lt;&gt;"",VLOOKUP(C184,HAB.EXP.ESP.!$C$27:$N$226,12),"")</f>
        <v>#N/A</v>
      </c>
      <c r="F184" s="245" t="e">
        <f>IF(C184&lt;&gt;"",VLOOKUP("M"&amp;C184,'EXP. ESP.'!$A$20:$V$6999,17,0),"")</f>
        <v>#N/A</v>
      </c>
      <c r="G184" s="342" t="e">
        <f>IF(C184&lt;&gt;"",VLOOKUP("P"&amp;C184,'EXP. ESP.'!$A$20:$V$6999,16,0),"")</f>
        <v>#N/A</v>
      </c>
      <c r="H184" s="342" t="e">
        <f>IF(C184&lt;&gt;"",IF(VLOOKUP(C184,HAB.EXP.ESP.!$C$27:$N$226,4,0)="NO CUMPLE",0,IF(E184="HÁBIL",IF(G184&lt;PPHMOD,ROUND((PTJEEXPESP1*(G184/PPHMOD)),3),IF(OR(ROUND(PTJEEXPESP1*(((3*PPHMOD)-G184)/(2*PPHMOD)),3)&lt;=0,G184&gt;=(3*PLAZOMOD)),0,ROUND(PTJEEXPESP1*(((3*PPHMOD)-G184)/(2*PPHMOD)),3))),0)),"")</f>
        <v>#N/A</v>
      </c>
      <c r="I184" s="352" t="e">
        <f>IF(C184&lt;&gt;"",VLOOKUP("S"&amp;C184,'EXP. ESP.'!$A$20:$V$6999,16,0),"")</f>
        <v>#N/A</v>
      </c>
      <c r="J184" s="358" t="e">
        <f>IF(C184&lt;&gt;"",IF(VLOOKUP(C184,HAB.EXP.ESP.!$C$27:$N$226,4,0)="NO CUMPLE",0,IF(E184="HÁBIL",IF(I184&lt;=PORPMFOMOD,ROUND(PTJEEXPESP2-(PTJEEXPESP2/(POWER(PORPMFOMOD,2)))*(POWER(I184-PORPMFOMOD,2)),3),IF(OR(I184&gt;=$I$21,ROUND((I184/PMFOMOD),3)&gt;=RELACIONPO),0,ROUND(PTJEEXPESP2-(1/$I$20)*(PTJEEXPESP2/(POWER(PORPMFOMOD,2)))*(POWER(I184-PORPMFOMOD,2)),3))),0)),"")</f>
        <v>#N/A</v>
      </c>
    </row>
    <row r="185" spans="2:10" ht="13.5" hidden="1">
      <c r="B185" s="231">
        <v>156</v>
      </c>
      <c r="C185" s="129" t="e">
        <f>IF(VLOOKUP(B185,PROPONENTES!$B$19:$E$219,2,0)="","",VLOOKUP(B185,PROPONENTES!$B$19:$E$219,2,0))</f>
        <v>#N/A</v>
      </c>
      <c r="D185" s="130" t="e">
        <f>IF(VLOOKUP(B185,PROPONENTES!$B$19:$E$218,3,0)="","",VLOOKUP(B185,PROPONENTES!$B$19:$E$218,3,0))</f>
        <v>#N/A</v>
      </c>
      <c r="E185" s="135" t="e">
        <f>IF(C185&lt;&gt;"",VLOOKUP(C185,HAB.EXP.ESP.!$C$27:$N$226,12),"")</f>
        <v>#N/A</v>
      </c>
      <c r="F185" s="245" t="e">
        <f>IF(C185&lt;&gt;"",VLOOKUP("M"&amp;C185,'EXP. ESP.'!$A$20:$V$6999,17,0),"")</f>
        <v>#N/A</v>
      </c>
      <c r="G185" s="342" t="e">
        <f>IF(C185&lt;&gt;"",VLOOKUP("P"&amp;C185,'EXP. ESP.'!$A$20:$V$6999,16,0),"")</f>
        <v>#N/A</v>
      </c>
      <c r="H185" s="342" t="e">
        <f>IF(C185&lt;&gt;"",IF(VLOOKUP(C185,HAB.EXP.ESP.!$C$27:$N$226,4,0)="NO CUMPLE",0,IF(E185="HÁBIL",IF(G185&lt;PPHMOD,ROUND((PTJEEXPESP1*(G185/PPHMOD)),3),IF(OR(ROUND(PTJEEXPESP1*(((3*PPHMOD)-G185)/(2*PPHMOD)),3)&lt;=0,G185&gt;=(3*PLAZOMOD)),0,ROUND(PTJEEXPESP1*(((3*PPHMOD)-G185)/(2*PPHMOD)),3))),0)),"")</f>
        <v>#N/A</v>
      </c>
      <c r="I185" s="352" t="e">
        <f>IF(C185&lt;&gt;"",VLOOKUP("S"&amp;C185,'EXP. ESP.'!$A$20:$V$6999,16,0),"")</f>
        <v>#N/A</v>
      </c>
      <c r="J185" s="358" t="e">
        <f>IF(C185&lt;&gt;"",IF(VLOOKUP(C185,HAB.EXP.ESP.!$C$27:$N$226,4,0)="NO CUMPLE",0,IF(E185="HÁBIL",IF(I185&lt;=PORPMFOMOD,ROUND(PTJEEXPESP2-(PTJEEXPESP2/(POWER(PORPMFOMOD,2)))*(POWER(I185-PORPMFOMOD,2)),3),IF(OR(I185&gt;=$I$21,ROUND((I185/PMFOMOD),3)&gt;=RELACIONPO),0,ROUND(PTJEEXPESP2-(1/$I$20)*(PTJEEXPESP2/(POWER(PORPMFOMOD,2)))*(POWER(I185-PORPMFOMOD,2)),3))),0)),"")</f>
        <v>#N/A</v>
      </c>
    </row>
    <row r="186" spans="2:10" ht="13.5" hidden="1">
      <c r="B186" s="230">
        <v>157</v>
      </c>
      <c r="C186" s="129" t="e">
        <f>IF(VLOOKUP(B186,PROPONENTES!$B$19:$E$219,2,0)="","",VLOOKUP(B186,PROPONENTES!$B$19:$E$219,2,0))</f>
        <v>#N/A</v>
      </c>
      <c r="D186" s="130" t="e">
        <f>IF(VLOOKUP(B186,PROPONENTES!$B$19:$E$218,3,0)="","",VLOOKUP(B186,PROPONENTES!$B$19:$E$218,3,0))</f>
        <v>#N/A</v>
      </c>
      <c r="E186" s="135" t="e">
        <f>IF(C186&lt;&gt;"",VLOOKUP(C186,HAB.EXP.ESP.!$C$27:$N$226,12),"")</f>
        <v>#N/A</v>
      </c>
      <c r="F186" s="245" t="e">
        <f>IF(C186&lt;&gt;"",VLOOKUP("M"&amp;C186,'EXP. ESP.'!$A$20:$V$6999,17,0),"")</f>
        <v>#N/A</v>
      </c>
      <c r="G186" s="342" t="e">
        <f>IF(C186&lt;&gt;"",VLOOKUP("P"&amp;C186,'EXP. ESP.'!$A$20:$V$6999,16,0),"")</f>
        <v>#N/A</v>
      </c>
      <c r="H186" s="342" t="e">
        <f>IF(C186&lt;&gt;"",IF(VLOOKUP(C186,HAB.EXP.ESP.!$C$27:$N$226,4,0)="NO CUMPLE",0,IF(E186="HÁBIL",IF(G186&lt;PPHMOD,ROUND((PTJEEXPESP1*(G186/PPHMOD)),3),IF(OR(ROUND(PTJEEXPESP1*(((3*PPHMOD)-G186)/(2*PPHMOD)),3)&lt;=0,G186&gt;=(3*PLAZOMOD)),0,ROUND(PTJEEXPESP1*(((3*PPHMOD)-G186)/(2*PPHMOD)),3))),0)),"")</f>
        <v>#N/A</v>
      </c>
      <c r="I186" s="352" t="e">
        <f>IF(C186&lt;&gt;"",VLOOKUP("S"&amp;C186,'EXP. ESP.'!$A$20:$V$6999,16,0),"")</f>
        <v>#N/A</v>
      </c>
      <c r="J186" s="358" t="e">
        <f>IF(C186&lt;&gt;"",IF(VLOOKUP(C186,HAB.EXP.ESP.!$C$27:$N$226,4,0)="NO CUMPLE",0,IF(E186="HÁBIL",IF(I186&lt;=PORPMFOMOD,ROUND(PTJEEXPESP2-(PTJEEXPESP2/(POWER(PORPMFOMOD,2)))*(POWER(I186-PORPMFOMOD,2)),3),IF(OR(I186&gt;=$I$21,ROUND((I186/PMFOMOD),3)&gt;=RELACIONPO),0,ROUND(PTJEEXPESP2-(1/$I$20)*(PTJEEXPESP2/(POWER(PORPMFOMOD,2)))*(POWER(I186-PORPMFOMOD,2)),3))),0)),"")</f>
        <v>#N/A</v>
      </c>
    </row>
    <row r="187" spans="2:10" ht="13.5" hidden="1">
      <c r="B187" s="231">
        <v>158</v>
      </c>
      <c r="C187" s="129" t="e">
        <f>IF(VLOOKUP(B187,PROPONENTES!$B$19:$E$219,2,0)="","",VLOOKUP(B187,PROPONENTES!$B$19:$E$219,2,0))</f>
        <v>#N/A</v>
      </c>
      <c r="D187" s="130" t="e">
        <f>IF(VLOOKUP(B187,PROPONENTES!$B$19:$E$218,3,0)="","",VLOOKUP(B187,PROPONENTES!$B$19:$E$218,3,0))</f>
        <v>#N/A</v>
      </c>
      <c r="E187" s="135" t="e">
        <f>IF(C187&lt;&gt;"",VLOOKUP(C187,HAB.EXP.ESP.!$C$27:$N$226,12),"")</f>
        <v>#N/A</v>
      </c>
      <c r="F187" s="245" t="e">
        <f>IF(C187&lt;&gt;"",VLOOKUP("M"&amp;C187,'EXP. ESP.'!$A$20:$V$6999,17,0),"")</f>
        <v>#N/A</v>
      </c>
      <c r="G187" s="342" t="e">
        <f>IF(C187&lt;&gt;"",VLOOKUP("P"&amp;C187,'EXP. ESP.'!$A$20:$V$6999,16,0),"")</f>
        <v>#N/A</v>
      </c>
      <c r="H187" s="342" t="e">
        <f>IF(C187&lt;&gt;"",IF(VLOOKUP(C187,HAB.EXP.ESP.!$C$27:$N$226,4,0)="NO CUMPLE",0,IF(E187="HÁBIL",IF(G187&lt;PPHMOD,ROUND((PTJEEXPESP1*(G187/PPHMOD)),3),IF(OR(ROUND(PTJEEXPESP1*(((3*PPHMOD)-G187)/(2*PPHMOD)),3)&lt;=0,G187&gt;=(3*PLAZOMOD)),0,ROUND(PTJEEXPESP1*(((3*PPHMOD)-G187)/(2*PPHMOD)),3))),0)),"")</f>
        <v>#N/A</v>
      </c>
      <c r="I187" s="352" t="e">
        <f>IF(C187&lt;&gt;"",VLOOKUP("S"&amp;C187,'EXP. ESP.'!$A$20:$V$6999,16,0),"")</f>
        <v>#N/A</v>
      </c>
      <c r="J187" s="358" t="e">
        <f>IF(C187&lt;&gt;"",IF(VLOOKUP(C187,HAB.EXP.ESP.!$C$27:$N$226,4,0)="NO CUMPLE",0,IF(E187="HÁBIL",IF(I187&lt;=PORPMFOMOD,ROUND(PTJEEXPESP2-(PTJEEXPESP2/(POWER(PORPMFOMOD,2)))*(POWER(I187-PORPMFOMOD,2)),3),IF(OR(I187&gt;=$I$21,ROUND((I187/PMFOMOD),3)&gt;=RELACIONPO),0,ROUND(PTJEEXPESP2-(1/$I$20)*(PTJEEXPESP2/(POWER(PORPMFOMOD,2)))*(POWER(I187-PORPMFOMOD,2)),3))),0)),"")</f>
        <v>#N/A</v>
      </c>
    </row>
    <row r="188" spans="2:10" ht="13.5" hidden="1">
      <c r="B188" s="231">
        <v>159</v>
      </c>
      <c r="C188" s="129" t="e">
        <f>IF(VLOOKUP(B188,PROPONENTES!$B$19:$E$219,2,0)="","",VLOOKUP(B188,PROPONENTES!$B$19:$E$219,2,0))</f>
        <v>#N/A</v>
      </c>
      <c r="D188" s="130" t="e">
        <f>IF(VLOOKUP(B188,PROPONENTES!$B$19:$E$218,3,0)="","",VLOOKUP(B188,PROPONENTES!$B$19:$E$218,3,0))</f>
        <v>#N/A</v>
      </c>
      <c r="E188" s="135" t="e">
        <f>IF(C188&lt;&gt;"",VLOOKUP(C188,HAB.EXP.ESP.!$C$27:$N$226,12),"")</f>
        <v>#N/A</v>
      </c>
      <c r="F188" s="245" t="e">
        <f>IF(C188&lt;&gt;"",VLOOKUP("M"&amp;C188,'EXP. ESP.'!$A$20:$V$6999,17,0),"")</f>
        <v>#N/A</v>
      </c>
      <c r="G188" s="342" t="e">
        <f>IF(C188&lt;&gt;"",VLOOKUP("P"&amp;C188,'EXP. ESP.'!$A$20:$V$6999,16,0),"")</f>
        <v>#N/A</v>
      </c>
      <c r="H188" s="342" t="e">
        <f>IF(C188&lt;&gt;"",IF(VLOOKUP(C188,HAB.EXP.ESP.!$C$27:$N$226,4,0)="NO CUMPLE",0,IF(E188="HÁBIL",IF(G188&lt;PPHMOD,ROUND((PTJEEXPESP1*(G188/PPHMOD)),3),IF(OR(ROUND(PTJEEXPESP1*(((3*PPHMOD)-G188)/(2*PPHMOD)),3)&lt;=0,G188&gt;=(3*PLAZOMOD)),0,ROUND(PTJEEXPESP1*(((3*PPHMOD)-G188)/(2*PPHMOD)),3))),0)),"")</f>
        <v>#N/A</v>
      </c>
      <c r="I188" s="352" t="e">
        <f>IF(C188&lt;&gt;"",VLOOKUP("S"&amp;C188,'EXP. ESP.'!$A$20:$V$6999,16,0),"")</f>
        <v>#N/A</v>
      </c>
      <c r="J188" s="358" t="e">
        <f>IF(C188&lt;&gt;"",IF(VLOOKUP(C188,HAB.EXP.ESP.!$C$27:$N$226,4,0)="NO CUMPLE",0,IF(E188="HÁBIL",IF(I188&lt;=PORPMFOMOD,ROUND(PTJEEXPESP2-(PTJEEXPESP2/(POWER(PORPMFOMOD,2)))*(POWER(I188-PORPMFOMOD,2)),3),IF(OR(I188&gt;=$I$21,ROUND((I188/PMFOMOD),3)&gt;=RELACIONPO),0,ROUND(PTJEEXPESP2-(1/$I$20)*(PTJEEXPESP2/(POWER(PORPMFOMOD,2)))*(POWER(I188-PORPMFOMOD,2)),3))),0)),"")</f>
        <v>#N/A</v>
      </c>
    </row>
    <row r="189" spans="2:10" ht="13.5" hidden="1">
      <c r="B189" s="231">
        <v>160</v>
      </c>
      <c r="C189" s="129" t="e">
        <f>IF(VLOOKUP(B189,PROPONENTES!$B$19:$E$219,2,0)="","",VLOOKUP(B189,PROPONENTES!$B$19:$E$219,2,0))</f>
        <v>#N/A</v>
      </c>
      <c r="D189" s="130" t="e">
        <f>IF(VLOOKUP(B189,PROPONENTES!$B$19:$E$218,3,0)="","",VLOOKUP(B189,PROPONENTES!$B$19:$E$218,3,0))</f>
        <v>#N/A</v>
      </c>
      <c r="E189" s="135" t="e">
        <f>IF(C189&lt;&gt;"",VLOOKUP(C189,HAB.EXP.ESP.!$C$27:$N$226,12),"")</f>
        <v>#N/A</v>
      </c>
      <c r="F189" s="245" t="e">
        <f>IF(C189&lt;&gt;"",VLOOKUP("M"&amp;C189,'EXP. ESP.'!$A$20:$V$6999,17,0),"")</f>
        <v>#N/A</v>
      </c>
      <c r="G189" s="342" t="e">
        <f>IF(C189&lt;&gt;"",VLOOKUP("P"&amp;C189,'EXP. ESP.'!$A$20:$V$6999,16,0),"")</f>
        <v>#N/A</v>
      </c>
      <c r="H189" s="342" t="e">
        <f>IF(C189&lt;&gt;"",IF(VLOOKUP(C189,HAB.EXP.ESP.!$C$27:$N$226,4,0)="NO CUMPLE",0,IF(E189="HÁBIL",IF(G189&lt;PPHMOD,ROUND((PTJEEXPESP1*(G189/PPHMOD)),3),IF(OR(ROUND(PTJEEXPESP1*(((3*PPHMOD)-G189)/(2*PPHMOD)),3)&lt;=0,G189&gt;=(3*PLAZOMOD)),0,ROUND(PTJEEXPESP1*(((3*PPHMOD)-G189)/(2*PPHMOD)),3))),0)),"")</f>
        <v>#N/A</v>
      </c>
      <c r="I189" s="352" t="e">
        <f>IF(C189&lt;&gt;"",VLOOKUP("S"&amp;C189,'EXP. ESP.'!$A$20:$V$6999,16,0),"")</f>
        <v>#N/A</v>
      </c>
      <c r="J189" s="358" t="e">
        <f>IF(C189&lt;&gt;"",IF(VLOOKUP(C189,HAB.EXP.ESP.!$C$27:$N$226,4,0)="NO CUMPLE",0,IF(E189="HÁBIL",IF(I189&lt;=PORPMFOMOD,ROUND(PTJEEXPESP2-(PTJEEXPESP2/(POWER(PORPMFOMOD,2)))*(POWER(I189-PORPMFOMOD,2)),3),IF(OR(I189&gt;=$I$21,ROUND((I189/PMFOMOD),3)&gt;=RELACIONPO),0,ROUND(PTJEEXPESP2-(1/$I$20)*(PTJEEXPESP2/(POWER(PORPMFOMOD,2)))*(POWER(I189-PORPMFOMOD,2)),3))),0)),"")</f>
        <v>#N/A</v>
      </c>
    </row>
    <row r="190" spans="2:10" ht="13.5" hidden="1">
      <c r="B190" s="230">
        <v>161</v>
      </c>
      <c r="C190" s="129" t="e">
        <f>IF(VLOOKUP(B190,PROPONENTES!$B$19:$E$219,2,0)="","",VLOOKUP(B190,PROPONENTES!$B$19:$E$219,2,0))</f>
        <v>#N/A</v>
      </c>
      <c r="D190" s="130" t="e">
        <f>IF(VLOOKUP(B190,PROPONENTES!$B$19:$E$218,3,0)="","",VLOOKUP(B190,PROPONENTES!$B$19:$E$218,3,0))</f>
        <v>#N/A</v>
      </c>
      <c r="E190" s="135" t="e">
        <f>IF(C190&lt;&gt;"",VLOOKUP(C190,HAB.EXP.ESP.!$C$27:$N$226,12),"")</f>
        <v>#N/A</v>
      </c>
      <c r="F190" s="245" t="e">
        <f>IF(C190&lt;&gt;"",VLOOKUP("M"&amp;C190,'EXP. ESP.'!$A$20:$V$6999,17,0),"")</f>
        <v>#N/A</v>
      </c>
      <c r="G190" s="342" t="e">
        <f>IF(C190&lt;&gt;"",VLOOKUP("P"&amp;C190,'EXP. ESP.'!$A$20:$V$6999,16,0),"")</f>
        <v>#N/A</v>
      </c>
      <c r="H190" s="342" t="e">
        <f>IF(C190&lt;&gt;"",IF(VLOOKUP(C190,HAB.EXP.ESP.!$C$27:$N$226,4,0)="NO CUMPLE",0,IF(E190="HÁBIL",IF(G190&lt;PPHMOD,ROUND((PTJEEXPESP1*(G190/PPHMOD)),3),IF(OR(ROUND(PTJEEXPESP1*(((3*PPHMOD)-G190)/(2*PPHMOD)),3)&lt;=0,G190&gt;=(3*PLAZOMOD)),0,ROUND(PTJEEXPESP1*(((3*PPHMOD)-G190)/(2*PPHMOD)),3))),0)),"")</f>
        <v>#N/A</v>
      </c>
      <c r="I190" s="352" t="e">
        <f>IF(C190&lt;&gt;"",VLOOKUP("S"&amp;C190,'EXP. ESP.'!$A$20:$V$6999,16,0),"")</f>
        <v>#N/A</v>
      </c>
      <c r="J190" s="358" t="e">
        <f>IF(C190&lt;&gt;"",IF(VLOOKUP(C190,HAB.EXP.ESP.!$C$27:$N$226,4,0)="NO CUMPLE",0,IF(E190="HÁBIL",IF(I190&lt;=PORPMFOMOD,ROUND(PTJEEXPESP2-(PTJEEXPESP2/(POWER(PORPMFOMOD,2)))*(POWER(I190-PORPMFOMOD,2)),3),IF(OR(I190&gt;=$I$21,ROUND((I190/PMFOMOD),3)&gt;=RELACIONPO),0,ROUND(PTJEEXPESP2-(1/$I$20)*(PTJEEXPESP2/(POWER(PORPMFOMOD,2)))*(POWER(I190-PORPMFOMOD,2)),3))),0)),"")</f>
        <v>#N/A</v>
      </c>
    </row>
    <row r="191" spans="2:10" ht="13.5" hidden="1">
      <c r="B191" s="231">
        <v>162</v>
      </c>
      <c r="C191" s="129" t="e">
        <f>IF(VLOOKUP(B191,PROPONENTES!$B$19:$E$219,2,0)="","",VLOOKUP(B191,PROPONENTES!$B$19:$E$219,2,0))</f>
        <v>#N/A</v>
      </c>
      <c r="D191" s="130" t="e">
        <f>IF(VLOOKUP(B191,PROPONENTES!$B$19:$E$218,3,0)="","",VLOOKUP(B191,PROPONENTES!$B$19:$E$218,3,0))</f>
        <v>#N/A</v>
      </c>
      <c r="E191" s="135" t="e">
        <f>IF(C191&lt;&gt;"",VLOOKUP(C191,HAB.EXP.ESP.!$C$27:$N$226,12),"")</f>
        <v>#N/A</v>
      </c>
      <c r="F191" s="245" t="e">
        <f>IF(C191&lt;&gt;"",VLOOKUP("M"&amp;C191,'EXP. ESP.'!$A$20:$V$6999,17,0),"")</f>
        <v>#N/A</v>
      </c>
      <c r="G191" s="342" t="e">
        <f>IF(C191&lt;&gt;"",VLOOKUP("P"&amp;C191,'EXP. ESP.'!$A$20:$V$6999,16,0),"")</f>
        <v>#N/A</v>
      </c>
      <c r="H191" s="342" t="e">
        <f>IF(C191&lt;&gt;"",IF(VLOOKUP(C191,HAB.EXP.ESP.!$C$27:$N$226,4,0)="NO CUMPLE",0,IF(E191="HÁBIL",IF(G191&lt;PPHMOD,ROUND((PTJEEXPESP1*(G191/PPHMOD)),3),IF(OR(ROUND(PTJEEXPESP1*(((3*PPHMOD)-G191)/(2*PPHMOD)),3)&lt;=0,G191&gt;=(3*PLAZOMOD)),0,ROUND(PTJEEXPESP1*(((3*PPHMOD)-G191)/(2*PPHMOD)),3))),0)),"")</f>
        <v>#N/A</v>
      </c>
      <c r="I191" s="352" t="e">
        <f>IF(C191&lt;&gt;"",VLOOKUP("S"&amp;C191,'EXP. ESP.'!$A$20:$V$6999,16,0),"")</f>
        <v>#N/A</v>
      </c>
      <c r="J191" s="358" t="e">
        <f>IF(C191&lt;&gt;"",IF(VLOOKUP(C191,HAB.EXP.ESP.!$C$27:$N$226,4,0)="NO CUMPLE",0,IF(E191="HÁBIL",IF(I191&lt;=PORPMFOMOD,ROUND(PTJEEXPESP2-(PTJEEXPESP2/(POWER(PORPMFOMOD,2)))*(POWER(I191-PORPMFOMOD,2)),3),IF(OR(I191&gt;=$I$21,ROUND((I191/PMFOMOD),3)&gt;=RELACIONPO),0,ROUND(PTJEEXPESP2-(1/$I$20)*(PTJEEXPESP2/(POWER(PORPMFOMOD,2)))*(POWER(I191-PORPMFOMOD,2)),3))),0)),"")</f>
        <v>#N/A</v>
      </c>
    </row>
    <row r="192" spans="2:10" ht="13.5" hidden="1">
      <c r="B192" s="231">
        <v>163</v>
      </c>
      <c r="C192" s="129" t="e">
        <f>IF(VLOOKUP(B192,PROPONENTES!$B$19:$E$219,2,0)="","",VLOOKUP(B192,PROPONENTES!$B$19:$E$219,2,0))</f>
        <v>#N/A</v>
      </c>
      <c r="D192" s="130" t="e">
        <f>IF(VLOOKUP(B192,PROPONENTES!$B$19:$E$218,3,0)="","",VLOOKUP(B192,PROPONENTES!$B$19:$E$218,3,0))</f>
        <v>#N/A</v>
      </c>
      <c r="E192" s="135" t="e">
        <f>IF(C192&lt;&gt;"",VLOOKUP(C192,HAB.EXP.ESP.!$C$27:$N$226,12),"")</f>
        <v>#N/A</v>
      </c>
      <c r="F192" s="245" t="e">
        <f>IF(C192&lt;&gt;"",VLOOKUP("M"&amp;C192,'EXP. ESP.'!$A$20:$V$6999,17,0),"")</f>
        <v>#N/A</v>
      </c>
      <c r="G192" s="342" t="e">
        <f>IF(C192&lt;&gt;"",VLOOKUP("P"&amp;C192,'EXP. ESP.'!$A$20:$V$6999,16,0),"")</f>
        <v>#N/A</v>
      </c>
      <c r="H192" s="342" t="e">
        <f>IF(C192&lt;&gt;"",IF(VLOOKUP(C192,HAB.EXP.ESP.!$C$27:$N$226,4,0)="NO CUMPLE",0,IF(E192="HÁBIL",IF(G192&lt;PPHMOD,ROUND((PTJEEXPESP1*(G192/PPHMOD)),3),IF(OR(ROUND(PTJEEXPESP1*(((3*PPHMOD)-G192)/(2*PPHMOD)),3)&lt;=0,G192&gt;=(3*PLAZOMOD)),0,ROUND(PTJEEXPESP1*(((3*PPHMOD)-G192)/(2*PPHMOD)),3))),0)),"")</f>
        <v>#N/A</v>
      </c>
      <c r="I192" s="352" t="e">
        <f>IF(C192&lt;&gt;"",VLOOKUP("S"&amp;C192,'EXP. ESP.'!$A$20:$V$6999,16,0),"")</f>
        <v>#N/A</v>
      </c>
      <c r="J192" s="358" t="e">
        <f>IF(C192&lt;&gt;"",IF(VLOOKUP(C192,HAB.EXP.ESP.!$C$27:$N$226,4,0)="NO CUMPLE",0,IF(E192="HÁBIL",IF(I192&lt;=PORPMFOMOD,ROUND(PTJEEXPESP2-(PTJEEXPESP2/(POWER(PORPMFOMOD,2)))*(POWER(I192-PORPMFOMOD,2)),3),IF(OR(I192&gt;=$I$21,ROUND((I192/PMFOMOD),3)&gt;=RELACIONPO),0,ROUND(PTJEEXPESP2-(1/$I$20)*(PTJEEXPESP2/(POWER(PORPMFOMOD,2)))*(POWER(I192-PORPMFOMOD,2)),3))),0)),"")</f>
        <v>#N/A</v>
      </c>
    </row>
    <row r="193" spans="2:10" ht="13.5" hidden="1">
      <c r="B193" s="231">
        <v>164</v>
      </c>
      <c r="C193" s="129" t="e">
        <f>IF(VLOOKUP(B193,PROPONENTES!$B$19:$E$219,2,0)="","",VLOOKUP(B193,PROPONENTES!$B$19:$E$219,2,0))</f>
        <v>#N/A</v>
      </c>
      <c r="D193" s="130" t="e">
        <f>IF(VLOOKUP(B193,PROPONENTES!$B$19:$E$218,3,0)="","",VLOOKUP(B193,PROPONENTES!$B$19:$E$218,3,0))</f>
        <v>#N/A</v>
      </c>
      <c r="E193" s="135" t="e">
        <f>IF(C193&lt;&gt;"",VLOOKUP(C193,HAB.EXP.ESP.!$C$27:$N$226,12),"")</f>
        <v>#N/A</v>
      </c>
      <c r="F193" s="245" t="e">
        <f>IF(C193&lt;&gt;"",VLOOKUP("M"&amp;C193,'EXP. ESP.'!$A$20:$V$6999,17,0),"")</f>
        <v>#N/A</v>
      </c>
      <c r="G193" s="342" t="e">
        <f>IF(C193&lt;&gt;"",VLOOKUP("P"&amp;C193,'EXP. ESP.'!$A$20:$V$6999,16,0),"")</f>
        <v>#N/A</v>
      </c>
      <c r="H193" s="342" t="e">
        <f>IF(C193&lt;&gt;"",IF(VLOOKUP(C193,HAB.EXP.ESP.!$C$27:$N$226,4,0)="NO CUMPLE",0,IF(E193="HÁBIL",IF(G193&lt;PPHMOD,ROUND((PTJEEXPESP1*(G193/PPHMOD)),3),IF(OR(ROUND(PTJEEXPESP1*(((3*PPHMOD)-G193)/(2*PPHMOD)),3)&lt;=0,G193&gt;=(3*PLAZOMOD)),0,ROUND(PTJEEXPESP1*(((3*PPHMOD)-G193)/(2*PPHMOD)),3))),0)),"")</f>
        <v>#N/A</v>
      </c>
      <c r="I193" s="352" t="e">
        <f>IF(C193&lt;&gt;"",VLOOKUP("S"&amp;C193,'EXP. ESP.'!$A$20:$V$6999,16,0),"")</f>
        <v>#N/A</v>
      </c>
      <c r="J193" s="358" t="e">
        <f>IF(C193&lt;&gt;"",IF(VLOOKUP(C193,HAB.EXP.ESP.!$C$27:$N$226,4,0)="NO CUMPLE",0,IF(E193="HÁBIL",IF(I193&lt;=PORPMFOMOD,ROUND(PTJEEXPESP2-(PTJEEXPESP2/(POWER(PORPMFOMOD,2)))*(POWER(I193-PORPMFOMOD,2)),3),IF(OR(I193&gt;=$I$21,ROUND((I193/PMFOMOD),3)&gt;=RELACIONPO),0,ROUND(PTJEEXPESP2-(1/$I$20)*(PTJEEXPESP2/(POWER(PORPMFOMOD,2)))*(POWER(I193-PORPMFOMOD,2)),3))),0)),"")</f>
        <v>#N/A</v>
      </c>
    </row>
    <row r="194" spans="2:10" ht="13.5" hidden="1">
      <c r="B194" s="230">
        <v>165</v>
      </c>
      <c r="C194" s="129" t="e">
        <f>IF(VLOOKUP(B194,PROPONENTES!$B$19:$E$219,2,0)="","",VLOOKUP(B194,PROPONENTES!$B$19:$E$219,2,0))</f>
        <v>#N/A</v>
      </c>
      <c r="D194" s="130" t="e">
        <f>IF(VLOOKUP(B194,PROPONENTES!$B$19:$E$218,3,0)="","",VLOOKUP(B194,PROPONENTES!$B$19:$E$218,3,0))</f>
        <v>#N/A</v>
      </c>
      <c r="E194" s="135" t="e">
        <f>IF(C194&lt;&gt;"",VLOOKUP(C194,HAB.EXP.ESP.!$C$27:$N$226,12),"")</f>
        <v>#N/A</v>
      </c>
      <c r="F194" s="245" t="e">
        <f>IF(C194&lt;&gt;"",VLOOKUP("M"&amp;C194,'EXP. ESP.'!$A$20:$V$6999,17,0),"")</f>
        <v>#N/A</v>
      </c>
      <c r="G194" s="342" t="e">
        <f>IF(C194&lt;&gt;"",VLOOKUP("P"&amp;C194,'EXP. ESP.'!$A$20:$V$6999,16,0),"")</f>
        <v>#N/A</v>
      </c>
      <c r="H194" s="342" t="e">
        <f>IF(C194&lt;&gt;"",IF(VLOOKUP(C194,HAB.EXP.ESP.!$C$27:$N$226,4,0)="NO CUMPLE",0,IF(E194="HÁBIL",IF(G194&lt;PPHMOD,ROUND((PTJEEXPESP1*(G194/PPHMOD)),3),IF(OR(ROUND(PTJEEXPESP1*(((3*PPHMOD)-G194)/(2*PPHMOD)),3)&lt;=0,G194&gt;=(3*PLAZOMOD)),0,ROUND(PTJEEXPESP1*(((3*PPHMOD)-G194)/(2*PPHMOD)),3))),0)),"")</f>
        <v>#N/A</v>
      </c>
      <c r="I194" s="352" t="e">
        <f>IF(C194&lt;&gt;"",VLOOKUP("S"&amp;C194,'EXP. ESP.'!$A$20:$V$6999,16,0),"")</f>
        <v>#N/A</v>
      </c>
      <c r="J194" s="358" t="e">
        <f>IF(C194&lt;&gt;"",IF(VLOOKUP(C194,HAB.EXP.ESP.!$C$27:$N$226,4,0)="NO CUMPLE",0,IF(E194="HÁBIL",IF(I194&lt;=PORPMFOMOD,ROUND(PTJEEXPESP2-(PTJEEXPESP2/(POWER(PORPMFOMOD,2)))*(POWER(I194-PORPMFOMOD,2)),3),IF(OR(I194&gt;=$I$21,ROUND((I194/PMFOMOD),3)&gt;=RELACIONPO),0,ROUND(PTJEEXPESP2-(1/$I$20)*(PTJEEXPESP2/(POWER(PORPMFOMOD,2)))*(POWER(I194-PORPMFOMOD,2)),3))),0)),"")</f>
        <v>#N/A</v>
      </c>
    </row>
    <row r="195" spans="2:10" ht="13.5" hidden="1">
      <c r="B195" s="231">
        <v>166</v>
      </c>
      <c r="C195" s="129" t="e">
        <f>IF(VLOOKUP(B195,PROPONENTES!$B$19:$E$219,2,0)="","",VLOOKUP(B195,PROPONENTES!$B$19:$E$219,2,0))</f>
        <v>#N/A</v>
      </c>
      <c r="D195" s="130" t="e">
        <f>IF(VLOOKUP(B195,PROPONENTES!$B$19:$E$218,3,0)="","",VLOOKUP(B195,PROPONENTES!$B$19:$E$218,3,0))</f>
        <v>#N/A</v>
      </c>
      <c r="E195" s="135" t="e">
        <f>IF(C195&lt;&gt;"",VLOOKUP(C195,HAB.EXP.ESP.!$C$27:$N$226,12),"")</f>
        <v>#N/A</v>
      </c>
      <c r="F195" s="245" t="e">
        <f>IF(C195&lt;&gt;"",VLOOKUP("M"&amp;C195,'EXP. ESP.'!$A$20:$V$6999,17,0),"")</f>
        <v>#N/A</v>
      </c>
      <c r="G195" s="342" t="e">
        <f>IF(C195&lt;&gt;"",VLOOKUP("P"&amp;C195,'EXP. ESP.'!$A$20:$V$6999,16,0),"")</f>
        <v>#N/A</v>
      </c>
      <c r="H195" s="342" t="e">
        <f>IF(C195&lt;&gt;"",IF(VLOOKUP(C195,HAB.EXP.ESP.!$C$27:$N$226,4,0)="NO CUMPLE",0,IF(E195="HÁBIL",IF(G195&lt;PPHMOD,ROUND((PTJEEXPESP1*(G195/PPHMOD)),3),IF(OR(ROUND(PTJEEXPESP1*(((3*PPHMOD)-G195)/(2*PPHMOD)),3)&lt;=0,G195&gt;=(3*PLAZOMOD)),0,ROUND(PTJEEXPESP1*(((3*PPHMOD)-G195)/(2*PPHMOD)),3))),0)),"")</f>
        <v>#N/A</v>
      </c>
      <c r="I195" s="352" t="e">
        <f>IF(C195&lt;&gt;"",VLOOKUP("S"&amp;C195,'EXP. ESP.'!$A$20:$V$6999,16,0),"")</f>
        <v>#N/A</v>
      </c>
      <c r="J195" s="358" t="e">
        <f>IF(C195&lt;&gt;"",IF(VLOOKUP(C195,HAB.EXP.ESP.!$C$27:$N$226,4,0)="NO CUMPLE",0,IF(E195="HÁBIL",IF(I195&lt;=PORPMFOMOD,ROUND(PTJEEXPESP2-(PTJEEXPESP2/(POWER(PORPMFOMOD,2)))*(POWER(I195-PORPMFOMOD,2)),3),IF(OR(I195&gt;=$I$21,ROUND((I195/PMFOMOD),3)&gt;=RELACIONPO),0,ROUND(PTJEEXPESP2-(1/$I$20)*(PTJEEXPESP2/(POWER(PORPMFOMOD,2)))*(POWER(I195-PORPMFOMOD,2)),3))),0)),"")</f>
        <v>#N/A</v>
      </c>
    </row>
    <row r="196" spans="2:10" ht="13.5" hidden="1">
      <c r="B196" s="231">
        <v>167</v>
      </c>
      <c r="C196" s="129" t="e">
        <f>IF(VLOOKUP(B196,PROPONENTES!$B$19:$E$219,2,0)="","",VLOOKUP(B196,PROPONENTES!$B$19:$E$219,2,0))</f>
        <v>#N/A</v>
      </c>
      <c r="D196" s="130" t="e">
        <f>IF(VLOOKUP(B196,PROPONENTES!$B$19:$E$218,3,0)="","",VLOOKUP(B196,PROPONENTES!$B$19:$E$218,3,0))</f>
        <v>#N/A</v>
      </c>
      <c r="E196" s="135" t="e">
        <f>IF(C196&lt;&gt;"",VLOOKUP(C196,HAB.EXP.ESP.!$C$27:$N$226,12),"")</f>
        <v>#N/A</v>
      </c>
      <c r="F196" s="245" t="e">
        <f>IF(C196&lt;&gt;"",VLOOKUP("M"&amp;C196,'EXP. ESP.'!$A$20:$V$6999,17,0),"")</f>
        <v>#N/A</v>
      </c>
      <c r="G196" s="342" t="e">
        <f>IF(C196&lt;&gt;"",VLOOKUP("P"&amp;C196,'EXP. ESP.'!$A$20:$V$6999,16,0),"")</f>
        <v>#N/A</v>
      </c>
      <c r="H196" s="342" t="e">
        <f>IF(C196&lt;&gt;"",IF(VLOOKUP(C196,HAB.EXP.ESP.!$C$27:$N$226,4,0)="NO CUMPLE",0,IF(E196="HÁBIL",IF(G196&lt;PPHMOD,ROUND((PTJEEXPESP1*(G196/PPHMOD)),3),IF(OR(ROUND(PTJEEXPESP1*(((3*PPHMOD)-G196)/(2*PPHMOD)),3)&lt;=0,G196&gt;=(3*PLAZOMOD)),0,ROUND(PTJEEXPESP1*(((3*PPHMOD)-G196)/(2*PPHMOD)),3))),0)),"")</f>
        <v>#N/A</v>
      </c>
      <c r="I196" s="352" t="e">
        <f>IF(C196&lt;&gt;"",VLOOKUP("S"&amp;C196,'EXP. ESP.'!$A$20:$V$6999,16,0),"")</f>
        <v>#N/A</v>
      </c>
      <c r="J196" s="358" t="e">
        <f>IF(C196&lt;&gt;"",IF(VLOOKUP(C196,HAB.EXP.ESP.!$C$27:$N$226,4,0)="NO CUMPLE",0,IF(E196="HÁBIL",IF(I196&lt;=PORPMFOMOD,ROUND(PTJEEXPESP2-(PTJEEXPESP2/(POWER(PORPMFOMOD,2)))*(POWER(I196-PORPMFOMOD,2)),3),IF(OR(I196&gt;=$I$21,ROUND((I196/PMFOMOD),3)&gt;=RELACIONPO),0,ROUND(PTJEEXPESP2-(1/$I$20)*(PTJEEXPESP2/(POWER(PORPMFOMOD,2)))*(POWER(I196-PORPMFOMOD,2)),3))),0)),"")</f>
        <v>#N/A</v>
      </c>
    </row>
    <row r="197" spans="2:10" ht="13.5" hidden="1">
      <c r="B197" s="231">
        <v>168</v>
      </c>
      <c r="C197" s="129" t="e">
        <f>IF(VLOOKUP(B197,PROPONENTES!$B$19:$E$219,2,0)="","",VLOOKUP(B197,PROPONENTES!$B$19:$E$219,2,0))</f>
        <v>#N/A</v>
      </c>
      <c r="D197" s="130" t="e">
        <f>IF(VLOOKUP(B197,PROPONENTES!$B$19:$E$218,3,0)="","",VLOOKUP(B197,PROPONENTES!$B$19:$E$218,3,0))</f>
        <v>#N/A</v>
      </c>
      <c r="E197" s="135" t="e">
        <f>IF(C197&lt;&gt;"",VLOOKUP(C197,HAB.EXP.ESP.!$C$27:$N$226,12),"")</f>
        <v>#N/A</v>
      </c>
      <c r="F197" s="245" t="e">
        <f>IF(C197&lt;&gt;"",VLOOKUP("M"&amp;C197,'EXP. ESP.'!$A$20:$V$6999,17,0),"")</f>
        <v>#N/A</v>
      </c>
      <c r="G197" s="342" t="e">
        <f>IF(C197&lt;&gt;"",VLOOKUP("P"&amp;C197,'EXP. ESP.'!$A$20:$V$6999,16,0),"")</f>
        <v>#N/A</v>
      </c>
      <c r="H197" s="342" t="e">
        <f>IF(C197&lt;&gt;"",IF(VLOOKUP(C197,HAB.EXP.ESP.!$C$27:$N$226,4,0)="NO CUMPLE",0,IF(E197="HÁBIL",IF(G197&lt;PPHMOD,ROUND((PTJEEXPESP1*(G197/PPHMOD)),3),IF(OR(ROUND(PTJEEXPESP1*(((3*PPHMOD)-G197)/(2*PPHMOD)),3)&lt;=0,G197&gt;=(3*PLAZOMOD)),0,ROUND(PTJEEXPESP1*(((3*PPHMOD)-G197)/(2*PPHMOD)),3))),0)),"")</f>
        <v>#N/A</v>
      </c>
      <c r="I197" s="352" t="e">
        <f>IF(C197&lt;&gt;"",VLOOKUP("S"&amp;C197,'EXP. ESP.'!$A$20:$V$6999,16,0),"")</f>
        <v>#N/A</v>
      </c>
      <c r="J197" s="358" t="e">
        <f>IF(C197&lt;&gt;"",IF(VLOOKUP(C197,HAB.EXP.ESP.!$C$27:$N$226,4,0)="NO CUMPLE",0,IF(E197="HÁBIL",IF(I197&lt;=PORPMFOMOD,ROUND(PTJEEXPESP2-(PTJEEXPESP2/(POWER(PORPMFOMOD,2)))*(POWER(I197-PORPMFOMOD,2)),3),IF(OR(I197&gt;=$I$21,ROUND((I197/PMFOMOD),3)&gt;=RELACIONPO),0,ROUND(PTJEEXPESP2-(1/$I$20)*(PTJEEXPESP2/(POWER(PORPMFOMOD,2)))*(POWER(I197-PORPMFOMOD,2)),3))),0)),"")</f>
        <v>#N/A</v>
      </c>
    </row>
    <row r="198" spans="2:10" ht="13.5" hidden="1">
      <c r="B198" s="230">
        <v>169</v>
      </c>
      <c r="C198" s="129" t="e">
        <f>IF(VLOOKUP(B198,PROPONENTES!$B$19:$E$219,2,0)="","",VLOOKUP(B198,PROPONENTES!$B$19:$E$219,2,0))</f>
        <v>#N/A</v>
      </c>
      <c r="D198" s="130" t="e">
        <f>IF(VLOOKUP(B198,PROPONENTES!$B$19:$E$218,3,0)="","",VLOOKUP(B198,PROPONENTES!$B$19:$E$218,3,0))</f>
        <v>#N/A</v>
      </c>
      <c r="E198" s="135" t="e">
        <f>IF(C198&lt;&gt;"",VLOOKUP(C198,HAB.EXP.ESP.!$C$27:$N$226,12),"")</f>
        <v>#N/A</v>
      </c>
      <c r="F198" s="245" t="e">
        <f>IF(C198&lt;&gt;"",VLOOKUP("M"&amp;C198,'EXP. ESP.'!$A$20:$V$6999,17,0),"")</f>
        <v>#N/A</v>
      </c>
      <c r="G198" s="342" t="e">
        <f>IF(C198&lt;&gt;"",VLOOKUP("P"&amp;C198,'EXP. ESP.'!$A$20:$V$6999,16,0),"")</f>
        <v>#N/A</v>
      </c>
      <c r="H198" s="342" t="e">
        <f>IF(C198&lt;&gt;"",IF(VLOOKUP(C198,HAB.EXP.ESP.!$C$27:$N$226,4,0)="NO CUMPLE",0,IF(E198="HÁBIL",IF(G198&lt;PPHMOD,ROUND((PTJEEXPESP1*(G198/PPHMOD)),3),IF(OR(ROUND(PTJEEXPESP1*(((3*PPHMOD)-G198)/(2*PPHMOD)),3)&lt;=0,G198&gt;=(3*PLAZOMOD)),0,ROUND(PTJEEXPESP1*(((3*PPHMOD)-G198)/(2*PPHMOD)),3))),0)),"")</f>
        <v>#N/A</v>
      </c>
      <c r="I198" s="352" t="e">
        <f>IF(C198&lt;&gt;"",VLOOKUP("S"&amp;C198,'EXP. ESP.'!$A$20:$V$6999,16,0),"")</f>
        <v>#N/A</v>
      </c>
      <c r="J198" s="358" t="e">
        <f>IF(C198&lt;&gt;"",IF(VLOOKUP(C198,HAB.EXP.ESP.!$C$27:$N$226,4,0)="NO CUMPLE",0,IF(E198="HÁBIL",IF(I198&lt;=PORPMFOMOD,ROUND(PTJEEXPESP2-(PTJEEXPESP2/(POWER(PORPMFOMOD,2)))*(POWER(I198-PORPMFOMOD,2)),3),IF(OR(I198&gt;=$I$21,ROUND((I198/PMFOMOD),3)&gt;=RELACIONPO),0,ROUND(PTJEEXPESP2-(1/$I$20)*(PTJEEXPESP2/(POWER(PORPMFOMOD,2)))*(POWER(I198-PORPMFOMOD,2)),3))),0)),"")</f>
        <v>#N/A</v>
      </c>
    </row>
    <row r="199" spans="2:10" ht="13.5" hidden="1">
      <c r="B199" s="231">
        <v>170</v>
      </c>
      <c r="C199" s="129" t="e">
        <f>IF(VLOOKUP(B199,PROPONENTES!$B$19:$E$219,2,0)="","",VLOOKUP(B199,PROPONENTES!$B$19:$E$219,2,0))</f>
        <v>#N/A</v>
      </c>
      <c r="D199" s="130" t="e">
        <f>IF(VLOOKUP(B199,PROPONENTES!$B$19:$E$218,3,0)="","",VLOOKUP(B199,PROPONENTES!$B$19:$E$218,3,0))</f>
        <v>#N/A</v>
      </c>
      <c r="E199" s="135" t="e">
        <f>IF(C199&lt;&gt;"",VLOOKUP(C199,HAB.EXP.ESP.!$C$27:$N$226,12),"")</f>
        <v>#N/A</v>
      </c>
      <c r="F199" s="245" t="e">
        <f>IF(C199&lt;&gt;"",VLOOKUP("M"&amp;C199,'EXP. ESP.'!$A$20:$V$6999,17,0),"")</f>
        <v>#N/A</v>
      </c>
      <c r="G199" s="342" t="e">
        <f>IF(C199&lt;&gt;"",VLOOKUP("P"&amp;C199,'EXP. ESP.'!$A$20:$V$6999,16,0),"")</f>
        <v>#N/A</v>
      </c>
      <c r="H199" s="342" t="e">
        <f>IF(C199&lt;&gt;"",IF(VLOOKUP(C199,HAB.EXP.ESP.!$C$27:$N$226,4,0)="NO CUMPLE",0,IF(E199="HÁBIL",IF(G199&lt;PPHMOD,ROUND((PTJEEXPESP1*(G199/PPHMOD)),3),IF(OR(ROUND(PTJEEXPESP1*(((3*PPHMOD)-G199)/(2*PPHMOD)),3)&lt;=0,G199&gt;=(3*PLAZOMOD)),0,ROUND(PTJEEXPESP1*(((3*PPHMOD)-G199)/(2*PPHMOD)),3))),0)),"")</f>
        <v>#N/A</v>
      </c>
      <c r="I199" s="352" t="e">
        <f>IF(C199&lt;&gt;"",VLOOKUP("S"&amp;C199,'EXP. ESP.'!$A$20:$V$6999,16,0),"")</f>
        <v>#N/A</v>
      </c>
      <c r="J199" s="358" t="e">
        <f>IF(C199&lt;&gt;"",IF(VLOOKUP(C199,HAB.EXP.ESP.!$C$27:$N$226,4,0)="NO CUMPLE",0,IF(E199="HÁBIL",IF(I199&lt;=PORPMFOMOD,ROUND(PTJEEXPESP2-(PTJEEXPESP2/(POWER(PORPMFOMOD,2)))*(POWER(I199-PORPMFOMOD,2)),3),IF(OR(I199&gt;=$I$21,ROUND((I199/PMFOMOD),3)&gt;=RELACIONPO),0,ROUND(PTJEEXPESP2-(1/$I$20)*(PTJEEXPESP2/(POWER(PORPMFOMOD,2)))*(POWER(I199-PORPMFOMOD,2)),3))),0)),"")</f>
        <v>#N/A</v>
      </c>
    </row>
    <row r="200" spans="2:10" ht="13.5" hidden="1">
      <c r="B200" s="231">
        <v>171</v>
      </c>
      <c r="C200" s="129" t="e">
        <f>IF(VLOOKUP(B200,PROPONENTES!$B$19:$E$219,2,0)="","",VLOOKUP(B200,PROPONENTES!$B$19:$E$219,2,0))</f>
        <v>#N/A</v>
      </c>
      <c r="D200" s="130" t="e">
        <f>IF(VLOOKUP(B200,PROPONENTES!$B$19:$E$218,3,0)="","",VLOOKUP(B200,PROPONENTES!$B$19:$E$218,3,0))</f>
        <v>#N/A</v>
      </c>
      <c r="E200" s="135" t="e">
        <f>IF(C200&lt;&gt;"",VLOOKUP(C200,HAB.EXP.ESP.!$C$27:$N$226,12),"")</f>
        <v>#N/A</v>
      </c>
      <c r="F200" s="245" t="e">
        <f>IF(C200&lt;&gt;"",VLOOKUP("M"&amp;C200,'EXP. ESP.'!$A$20:$V$6999,17,0),"")</f>
        <v>#N/A</v>
      </c>
      <c r="G200" s="342" t="e">
        <f>IF(C200&lt;&gt;"",VLOOKUP("P"&amp;C200,'EXP. ESP.'!$A$20:$V$6999,16,0),"")</f>
        <v>#N/A</v>
      </c>
      <c r="H200" s="342" t="e">
        <f>IF(C200&lt;&gt;"",IF(VLOOKUP(C200,HAB.EXP.ESP.!$C$27:$N$226,4,0)="NO CUMPLE",0,IF(E200="HÁBIL",IF(G200&lt;PPHMOD,ROUND((PTJEEXPESP1*(G200/PPHMOD)),3),IF(OR(ROUND(PTJEEXPESP1*(((3*PPHMOD)-G200)/(2*PPHMOD)),3)&lt;=0,G200&gt;=(3*PLAZOMOD)),0,ROUND(PTJEEXPESP1*(((3*PPHMOD)-G200)/(2*PPHMOD)),3))),0)),"")</f>
        <v>#N/A</v>
      </c>
      <c r="I200" s="352" t="e">
        <f>IF(C200&lt;&gt;"",VLOOKUP("S"&amp;C200,'EXP. ESP.'!$A$20:$V$6999,16,0),"")</f>
        <v>#N/A</v>
      </c>
      <c r="J200" s="358" t="e">
        <f>IF(C200&lt;&gt;"",IF(VLOOKUP(C200,HAB.EXP.ESP.!$C$27:$N$226,4,0)="NO CUMPLE",0,IF(E200="HÁBIL",IF(I200&lt;=PORPMFOMOD,ROUND(PTJEEXPESP2-(PTJEEXPESP2/(POWER(PORPMFOMOD,2)))*(POWER(I200-PORPMFOMOD,2)),3),IF(OR(I200&gt;=$I$21,ROUND((I200/PMFOMOD),3)&gt;=RELACIONPO),0,ROUND(PTJEEXPESP2-(1/$I$20)*(PTJEEXPESP2/(POWER(PORPMFOMOD,2)))*(POWER(I200-PORPMFOMOD,2)),3))),0)),"")</f>
        <v>#N/A</v>
      </c>
    </row>
    <row r="201" spans="2:10" ht="13.5" hidden="1">
      <c r="B201" s="231">
        <v>172</v>
      </c>
      <c r="C201" s="129" t="e">
        <f>IF(VLOOKUP(B201,PROPONENTES!$B$19:$E$219,2,0)="","",VLOOKUP(B201,PROPONENTES!$B$19:$E$219,2,0))</f>
        <v>#N/A</v>
      </c>
      <c r="D201" s="130" t="e">
        <f>IF(VLOOKUP(B201,PROPONENTES!$B$19:$E$218,3,0)="","",VLOOKUP(B201,PROPONENTES!$B$19:$E$218,3,0))</f>
        <v>#N/A</v>
      </c>
      <c r="E201" s="135" t="e">
        <f>IF(C201&lt;&gt;"",VLOOKUP(C201,HAB.EXP.ESP.!$C$27:$N$226,12),"")</f>
        <v>#N/A</v>
      </c>
      <c r="F201" s="245" t="e">
        <f>IF(C201&lt;&gt;"",VLOOKUP("M"&amp;C201,'EXP. ESP.'!$A$20:$V$6999,17,0),"")</f>
        <v>#N/A</v>
      </c>
      <c r="G201" s="342" t="e">
        <f>IF(C201&lt;&gt;"",VLOOKUP("P"&amp;C201,'EXP. ESP.'!$A$20:$V$6999,16,0),"")</f>
        <v>#N/A</v>
      </c>
      <c r="H201" s="342" t="e">
        <f>IF(C201&lt;&gt;"",IF(VLOOKUP(C201,HAB.EXP.ESP.!$C$27:$N$226,4,0)="NO CUMPLE",0,IF(E201="HÁBIL",IF(G201&lt;PPHMOD,ROUND((PTJEEXPESP1*(G201/PPHMOD)),3),IF(OR(ROUND(PTJEEXPESP1*(((3*PPHMOD)-G201)/(2*PPHMOD)),3)&lt;=0,G201&gt;=(3*PLAZOMOD)),0,ROUND(PTJEEXPESP1*(((3*PPHMOD)-G201)/(2*PPHMOD)),3))),0)),"")</f>
        <v>#N/A</v>
      </c>
      <c r="I201" s="352" t="e">
        <f>IF(C201&lt;&gt;"",VLOOKUP("S"&amp;C201,'EXP. ESP.'!$A$20:$V$6999,16,0),"")</f>
        <v>#N/A</v>
      </c>
      <c r="J201" s="358" t="e">
        <f>IF(C201&lt;&gt;"",IF(VLOOKUP(C201,HAB.EXP.ESP.!$C$27:$N$226,4,0)="NO CUMPLE",0,IF(E201="HÁBIL",IF(I201&lt;=PORPMFOMOD,ROUND(PTJEEXPESP2-(PTJEEXPESP2/(POWER(PORPMFOMOD,2)))*(POWER(I201-PORPMFOMOD,2)),3),IF(OR(I201&gt;=$I$21,ROUND((I201/PMFOMOD),3)&gt;=RELACIONPO),0,ROUND(PTJEEXPESP2-(1/$I$20)*(PTJEEXPESP2/(POWER(PORPMFOMOD,2)))*(POWER(I201-PORPMFOMOD,2)),3))),0)),"")</f>
        <v>#N/A</v>
      </c>
    </row>
    <row r="202" spans="2:10" ht="13.5" hidden="1">
      <c r="B202" s="230">
        <v>173</v>
      </c>
      <c r="C202" s="129" t="e">
        <f>IF(VLOOKUP(B202,PROPONENTES!$B$19:$E$219,2,0)="","",VLOOKUP(B202,PROPONENTES!$B$19:$E$219,2,0))</f>
        <v>#N/A</v>
      </c>
      <c r="D202" s="130" t="e">
        <f>IF(VLOOKUP(B202,PROPONENTES!$B$19:$E$218,3,0)="","",VLOOKUP(B202,PROPONENTES!$B$19:$E$218,3,0))</f>
        <v>#N/A</v>
      </c>
      <c r="E202" s="135" t="e">
        <f>IF(C202&lt;&gt;"",VLOOKUP(C202,HAB.EXP.ESP.!$C$27:$N$226,12),"")</f>
        <v>#N/A</v>
      </c>
      <c r="F202" s="245" t="e">
        <f>IF(C202&lt;&gt;"",VLOOKUP("M"&amp;C202,'EXP. ESP.'!$A$20:$V$6999,17,0),"")</f>
        <v>#N/A</v>
      </c>
      <c r="G202" s="342" t="e">
        <f>IF(C202&lt;&gt;"",VLOOKUP("P"&amp;C202,'EXP. ESP.'!$A$20:$V$6999,16,0),"")</f>
        <v>#N/A</v>
      </c>
      <c r="H202" s="342" t="e">
        <f>IF(C202&lt;&gt;"",IF(VLOOKUP(C202,HAB.EXP.ESP.!$C$27:$N$226,4,0)="NO CUMPLE",0,IF(E202="HÁBIL",IF(G202&lt;PPHMOD,ROUND((PTJEEXPESP1*(G202/PPHMOD)),3),IF(OR(ROUND(PTJEEXPESP1*(((3*PPHMOD)-G202)/(2*PPHMOD)),3)&lt;=0,G202&gt;=(3*PLAZOMOD)),0,ROUND(PTJEEXPESP1*(((3*PPHMOD)-G202)/(2*PPHMOD)),3))),0)),"")</f>
        <v>#N/A</v>
      </c>
      <c r="I202" s="352" t="e">
        <f>IF(C202&lt;&gt;"",VLOOKUP("S"&amp;C202,'EXP. ESP.'!$A$20:$V$6999,16,0),"")</f>
        <v>#N/A</v>
      </c>
      <c r="J202" s="358" t="e">
        <f>IF(C202&lt;&gt;"",IF(VLOOKUP(C202,HAB.EXP.ESP.!$C$27:$N$226,4,0)="NO CUMPLE",0,IF(E202="HÁBIL",IF(I202&lt;=PORPMFOMOD,ROUND(PTJEEXPESP2-(PTJEEXPESP2/(POWER(PORPMFOMOD,2)))*(POWER(I202-PORPMFOMOD,2)),3),IF(OR(I202&gt;=$I$21,ROUND((I202/PMFOMOD),3)&gt;=RELACIONPO),0,ROUND(PTJEEXPESP2-(1/$I$20)*(PTJEEXPESP2/(POWER(PORPMFOMOD,2)))*(POWER(I202-PORPMFOMOD,2)),3))),0)),"")</f>
        <v>#N/A</v>
      </c>
    </row>
    <row r="203" spans="2:10" ht="13.5" hidden="1">
      <c r="B203" s="231">
        <v>174</v>
      </c>
      <c r="C203" s="129" t="e">
        <f>IF(VLOOKUP(B203,PROPONENTES!$B$19:$E$219,2,0)="","",VLOOKUP(B203,PROPONENTES!$B$19:$E$219,2,0))</f>
        <v>#N/A</v>
      </c>
      <c r="D203" s="130" t="e">
        <f>IF(VLOOKUP(B203,PROPONENTES!$B$19:$E$218,3,0)="","",VLOOKUP(B203,PROPONENTES!$B$19:$E$218,3,0))</f>
        <v>#N/A</v>
      </c>
      <c r="E203" s="135" t="e">
        <f>IF(C203&lt;&gt;"",VLOOKUP(C203,HAB.EXP.ESP.!$C$27:$N$226,12),"")</f>
        <v>#N/A</v>
      </c>
      <c r="F203" s="245" t="e">
        <f>IF(C203&lt;&gt;"",VLOOKUP("M"&amp;C203,'EXP. ESP.'!$A$20:$V$6999,17,0),"")</f>
        <v>#N/A</v>
      </c>
      <c r="G203" s="342" t="e">
        <f>IF(C203&lt;&gt;"",VLOOKUP("P"&amp;C203,'EXP. ESP.'!$A$20:$V$6999,16,0),"")</f>
        <v>#N/A</v>
      </c>
      <c r="H203" s="342" t="e">
        <f>IF(C203&lt;&gt;"",IF(VLOOKUP(C203,HAB.EXP.ESP.!$C$27:$N$226,4,0)="NO CUMPLE",0,IF(E203="HÁBIL",IF(G203&lt;PPHMOD,ROUND((PTJEEXPESP1*(G203/PPHMOD)),3),IF(OR(ROUND(PTJEEXPESP1*(((3*PPHMOD)-G203)/(2*PPHMOD)),3)&lt;=0,G203&gt;=(3*PLAZOMOD)),0,ROUND(PTJEEXPESP1*(((3*PPHMOD)-G203)/(2*PPHMOD)),3))),0)),"")</f>
        <v>#N/A</v>
      </c>
      <c r="I203" s="352" t="e">
        <f>IF(C203&lt;&gt;"",VLOOKUP("S"&amp;C203,'EXP. ESP.'!$A$20:$V$6999,16,0),"")</f>
        <v>#N/A</v>
      </c>
      <c r="J203" s="358" t="e">
        <f>IF(C203&lt;&gt;"",IF(VLOOKUP(C203,HAB.EXP.ESP.!$C$27:$N$226,4,0)="NO CUMPLE",0,IF(E203="HÁBIL",IF(I203&lt;=PORPMFOMOD,ROUND(PTJEEXPESP2-(PTJEEXPESP2/(POWER(PORPMFOMOD,2)))*(POWER(I203-PORPMFOMOD,2)),3),IF(OR(I203&gt;=$I$21,ROUND((I203/PMFOMOD),3)&gt;=RELACIONPO),0,ROUND(PTJEEXPESP2-(1/$I$20)*(PTJEEXPESP2/(POWER(PORPMFOMOD,2)))*(POWER(I203-PORPMFOMOD,2)),3))),0)),"")</f>
        <v>#N/A</v>
      </c>
    </row>
    <row r="204" spans="2:10" ht="13.5" hidden="1">
      <c r="B204" s="231">
        <v>175</v>
      </c>
      <c r="C204" s="129" t="e">
        <f>IF(VLOOKUP(B204,PROPONENTES!$B$19:$E$219,2,0)="","",VLOOKUP(B204,PROPONENTES!$B$19:$E$219,2,0))</f>
        <v>#N/A</v>
      </c>
      <c r="D204" s="130" t="e">
        <f>IF(VLOOKUP(B204,PROPONENTES!$B$19:$E$218,3,0)="","",VLOOKUP(B204,PROPONENTES!$B$19:$E$218,3,0))</f>
        <v>#N/A</v>
      </c>
      <c r="E204" s="135" t="e">
        <f>IF(C204&lt;&gt;"",VLOOKUP(C204,HAB.EXP.ESP.!$C$27:$N$226,12),"")</f>
        <v>#N/A</v>
      </c>
      <c r="F204" s="245" t="e">
        <f>IF(C204&lt;&gt;"",VLOOKUP("M"&amp;C204,'EXP. ESP.'!$A$20:$V$6999,17,0),"")</f>
        <v>#N/A</v>
      </c>
      <c r="G204" s="342" t="e">
        <f>IF(C204&lt;&gt;"",VLOOKUP("P"&amp;C204,'EXP. ESP.'!$A$20:$V$6999,16,0),"")</f>
        <v>#N/A</v>
      </c>
      <c r="H204" s="342" t="e">
        <f>IF(C204&lt;&gt;"",IF(VLOOKUP(C204,HAB.EXP.ESP.!$C$27:$N$226,4,0)="NO CUMPLE",0,IF(E204="HÁBIL",IF(G204&lt;PPHMOD,ROUND((PTJEEXPESP1*(G204/PPHMOD)),3),IF(OR(ROUND(PTJEEXPESP1*(((3*PPHMOD)-G204)/(2*PPHMOD)),3)&lt;=0,G204&gt;=(3*PLAZOMOD)),0,ROUND(PTJEEXPESP1*(((3*PPHMOD)-G204)/(2*PPHMOD)),3))),0)),"")</f>
        <v>#N/A</v>
      </c>
      <c r="I204" s="352" t="e">
        <f>IF(C204&lt;&gt;"",VLOOKUP("S"&amp;C204,'EXP. ESP.'!$A$20:$V$6999,16,0),"")</f>
        <v>#N/A</v>
      </c>
      <c r="J204" s="358" t="e">
        <f>IF(C204&lt;&gt;"",IF(VLOOKUP(C204,HAB.EXP.ESP.!$C$27:$N$226,4,0)="NO CUMPLE",0,IF(E204="HÁBIL",IF(I204&lt;=PORPMFOMOD,ROUND(PTJEEXPESP2-(PTJEEXPESP2/(POWER(PORPMFOMOD,2)))*(POWER(I204-PORPMFOMOD,2)),3),IF(OR(I204&gt;=$I$21,ROUND((I204/PMFOMOD),3)&gt;=RELACIONPO),0,ROUND(PTJEEXPESP2-(1/$I$20)*(PTJEEXPESP2/(POWER(PORPMFOMOD,2)))*(POWER(I204-PORPMFOMOD,2)),3))),0)),"")</f>
        <v>#N/A</v>
      </c>
    </row>
    <row r="205" spans="2:10" ht="13.5" hidden="1">
      <c r="B205" s="231">
        <v>176</v>
      </c>
      <c r="C205" s="129" t="e">
        <f>IF(VLOOKUP(B205,PROPONENTES!$B$19:$E$219,2,0)="","",VLOOKUP(B205,PROPONENTES!$B$19:$E$219,2,0))</f>
        <v>#N/A</v>
      </c>
      <c r="D205" s="130" t="e">
        <f>IF(VLOOKUP(B205,PROPONENTES!$B$19:$E$218,3,0)="","",VLOOKUP(B205,PROPONENTES!$B$19:$E$218,3,0))</f>
        <v>#N/A</v>
      </c>
      <c r="E205" s="135" t="e">
        <f>IF(C205&lt;&gt;"",VLOOKUP(C205,HAB.EXP.ESP.!$C$27:$N$226,12),"")</f>
        <v>#N/A</v>
      </c>
      <c r="F205" s="245" t="e">
        <f>IF(C205&lt;&gt;"",VLOOKUP("M"&amp;C205,'EXP. ESP.'!$A$20:$V$6999,17,0),"")</f>
        <v>#N/A</v>
      </c>
      <c r="G205" s="342" t="e">
        <f>IF(C205&lt;&gt;"",VLOOKUP("P"&amp;C205,'EXP. ESP.'!$A$20:$V$6999,16,0),"")</f>
        <v>#N/A</v>
      </c>
      <c r="H205" s="342" t="e">
        <f>IF(C205&lt;&gt;"",IF(VLOOKUP(C205,HAB.EXP.ESP.!$C$27:$N$226,4,0)="NO CUMPLE",0,IF(E205="HÁBIL",IF(G205&lt;PPHMOD,ROUND((PTJEEXPESP1*(G205/PPHMOD)),3),IF(OR(ROUND(PTJEEXPESP1*(((3*PPHMOD)-G205)/(2*PPHMOD)),3)&lt;=0,G205&gt;=(3*PLAZOMOD)),0,ROUND(PTJEEXPESP1*(((3*PPHMOD)-G205)/(2*PPHMOD)),3))),0)),"")</f>
        <v>#N/A</v>
      </c>
      <c r="I205" s="352" t="e">
        <f>IF(C205&lt;&gt;"",VLOOKUP("S"&amp;C205,'EXP. ESP.'!$A$20:$V$6999,16,0),"")</f>
        <v>#N/A</v>
      </c>
      <c r="J205" s="358" t="e">
        <f>IF(C205&lt;&gt;"",IF(VLOOKUP(C205,HAB.EXP.ESP.!$C$27:$N$226,4,0)="NO CUMPLE",0,IF(E205="HÁBIL",IF(I205&lt;=PORPMFOMOD,ROUND(PTJEEXPESP2-(PTJEEXPESP2/(POWER(PORPMFOMOD,2)))*(POWER(I205-PORPMFOMOD,2)),3),IF(OR(I205&gt;=$I$21,ROUND((I205/PMFOMOD),3)&gt;=RELACIONPO),0,ROUND(PTJEEXPESP2-(1/$I$20)*(PTJEEXPESP2/(POWER(PORPMFOMOD,2)))*(POWER(I205-PORPMFOMOD,2)),3))),0)),"")</f>
        <v>#N/A</v>
      </c>
    </row>
    <row r="206" spans="2:10" ht="13.5" hidden="1">
      <c r="B206" s="230">
        <v>177</v>
      </c>
      <c r="C206" s="129" t="e">
        <f>IF(VLOOKUP(B206,PROPONENTES!$B$19:$E$219,2,0)="","",VLOOKUP(B206,PROPONENTES!$B$19:$E$219,2,0))</f>
        <v>#N/A</v>
      </c>
      <c r="D206" s="130" t="e">
        <f>IF(VLOOKUP(B206,PROPONENTES!$B$19:$E$218,3,0)="","",VLOOKUP(B206,PROPONENTES!$B$19:$E$218,3,0))</f>
        <v>#N/A</v>
      </c>
      <c r="E206" s="135" t="e">
        <f>IF(C206&lt;&gt;"",VLOOKUP(C206,HAB.EXP.ESP.!$C$27:$N$226,12),"")</f>
        <v>#N/A</v>
      </c>
      <c r="F206" s="245" t="e">
        <f>IF(C206&lt;&gt;"",VLOOKUP("M"&amp;C206,'EXP. ESP.'!$A$20:$V$6999,17,0),"")</f>
        <v>#N/A</v>
      </c>
      <c r="G206" s="342" t="e">
        <f>IF(C206&lt;&gt;"",VLOOKUP("P"&amp;C206,'EXP. ESP.'!$A$20:$V$6999,16,0),"")</f>
        <v>#N/A</v>
      </c>
      <c r="H206" s="342" t="e">
        <f>IF(C206&lt;&gt;"",IF(VLOOKUP(C206,HAB.EXP.ESP.!$C$27:$N$226,4,0)="NO CUMPLE",0,IF(E206="HÁBIL",IF(G206&lt;PPHMOD,ROUND((PTJEEXPESP1*(G206/PPHMOD)),3),IF(OR(ROUND(PTJEEXPESP1*(((3*PPHMOD)-G206)/(2*PPHMOD)),3)&lt;=0,G206&gt;=(3*PLAZOMOD)),0,ROUND(PTJEEXPESP1*(((3*PPHMOD)-G206)/(2*PPHMOD)),3))),0)),"")</f>
        <v>#N/A</v>
      </c>
      <c r="I206" s="352" t="e">
        <f>IF(C206&lt;&gt;"",VLOOKUP("S"&amp;C206,'EXP. ESP.'!$A$20:$V$6999,16,0),"")</f>
        <v>#N/A</v>
      </c>
      <c r="J206" s="358" t="e">
        <f>IF(C206&lt;&gt;"",IF(VLOOKUP(C206,HAB.EXP.ESP.!$C$27:$N$226,4,0)="NO CUMPLE",0,IF(E206="HÁBIL",IF(I206&lt;=PORPMFOMOD,ROUND(PTJEEXPESP2-(PTJEEXPESP2/(POWER(PORPMFOMOD,2)))*(POWER(I206-PORPMFOMOD,2)),3),IF(OR(I206&gt;=$I$21,ROUND((I206/PMFOMOD),3)&gt;=RELACIONPO),0,ROUND(PTJEEXPESP2-(1/$I$20)*(PTJEEXPESP2/(POWER(PORPMFOMOD,2)))*(POWER(I206-PORPMFOMOD,2)),3))),0)),"")</f>
        <v>#N/A</v>
      </c>
    </row>
    <row r="207" spans="2:10" ht="13.5" hidden="1">
      <c r="B207" s="231">
        <v>178</v>
      </c>
      <c r="C207" s="129" t="e">
        <f>IF(VLOOKUP(B207,PROPONENTES!$B$19:$E$219,2,0)="","",VLOOKUP(B207,PROPONENTES!$B$19:$E$219,2,0))</f>
        <v>#N/A</v>
      </c>
      <c r="D207" s="130" t="e">
        <f>IF(VLOOKUP(B207,PROPONENTES!$B$19:$E$218,3,0)="","",VLOOKUP(B207,PROPONENTES!$B$19:$E$218,3,0))</f>
        <v>#N/A</v>
      </c>
      <c r="E207" s="135" t="e">
        <f>IF(C207&lt;&gt;"",VLOOKUP(C207,HAB.EXP.ESP.!$C$27:$N$226,12),"")</f>
        <v>#N/A</v>
      </c>
      <c r="F207" s="245" t="e">
        <f>IF(C207&lt;&gt;"",VLOOKUP("M"&amp;C207,'EXP. ESP.'!$A$20:$V$6999,17,0),"")</f>
        <v>#N/A</v>
      </c>
      <c r="G207" s="342" t="e">
        <f>IF(C207&lt;&gt;"",VLOOKUP("P"&amp;C207,'EXP. ESP.'!$A$20:$V$6999,16,0),"")</f>
        <v>#N/A</v>
      </c>
      <c r="H207" s="342" t="e">
        <f>IF(C207&lt;&gt;"",IF(VLOOKUP(C207,HAB.EXP.ESP.!$C$27:$N$226,4,0)="NO CUMPLE",0,IF(E207="HÁBIL",IF(G207&lt;PPHMOD,ROUND((PTJEEXPESP1*(G207/PPHMOD)),3),IF(OR(ROUND(PTJEEXPESP1*(((3*PPHMOD)-G207)/(2*PPHMOD)),3)&lt;=0,G207&gt;=(3*PLAZOMOD)),0,ROUND(PTJEEXPESP1*(((3*PPHMOD)-G207)/(2*PPHMOD)),3))),0)),"")</f>
        <v>#N/A</v>
      </c>
      <c r="I207" s="352" t="e">
        <f>IF(C207&lt;&gt;"",VLOOKUP("S"&amp;C207,'EXP. ESP.'!$A$20:$V$6999,16,0),"")</f>
        <v>#N/A</v>
      </c>
      <c r="J207" s="358" t="e">
        <f>IF(C207&lt;&gt;"",IF(VLOOKUP(C207,HAB.EXP.ESP.!$C$27:$N$226,4,0)="NO CUMPLE",0,IF(E207="HÁBIL",IF(I207&lt;=PORPMFOMOD,ROUND(PTJEEXPESP2-(PTJEEXPESP2/(POWER(PORPMFOMOD,2)))*(POWER(I207-PORPMFOMOD,2)),3),IF(OR(I207&gt;=$I$21,ROUND((I207/PMFOMOD),3)&gt;=RELACIONPO),0,ROUND(PTJEEXPESP2-(1/$I$20)*(PTJEEXPESP2/(POWER(PORPMFOMOD,2)))*(POWER(I207-PORPMFOMOD,2)),3))),0)),"")</f>
        <v>#N/A</v>
      </c>
    </row>
    <row r="208" spans="2:10" ht="13.5" hidden="1">
      <c r="B208" s="231">
        <v>179</v>
      </c>
      <c r="C208" s="129" t="e">
        <f>IF(VLOOKUP(B208,PROPONENTES!$B$19:$E$219,2,0)="","",VLOOKUP(B208,PROPONENTES!$B$19:$E$219,2,0))</f>
        <v>#N/A</v>
      </c>
      <c r="D208" s="130" t="e">
        <f>IF(VLOOKUP(B208,PROPONENTES!$B$19:$E$218,3,0)="","",VLOOKUP(B208,PROPONENTES!$B$19:$E$218,3,0))</f>
        <v>#N/A</v>
      </c>
      <c r="E208" s="135" t="e">
        <f>IF(C208&lt;&gt;"",VLOOKUP(C208,HAB.EXP.ESP.!$C$27:$N$226,12),"")</f>
        <v>#N/A</v>
      </c>
      <c r="F208" s="245" t="e">
        <f>IF(C208&lt;&gt;"",VLOOKUP("M"&amp;C208,'EXP. ESP.'!$A$20:$V$6999,17,0),"")</f>
        <v>#N/A</v>
      </c>
      <c r="G208" s="342" t="e">
        <f>IF(C208&lt;&gt;"",VLOOKUP("P"&amp;C208,'EXP. ESP.'!$A$20:$V$6999,16,0),"")</f>
        <v>#N/A</v>
      </c>
      <c r="H208" s="342" t="e">
        <f>IF(C208&lt;&gt;"",IF(VLOOKUP(C208,HAB.EXP.ESP.!$C$27:$N$226,4,0)="NO CUMPLE",0,IF(E208="HÁBIL",IF(G208&lt;PPHMOD,ROUND((PTJEEXPESP1*(G208/PPHMOD)),3),IF(OR(ROUND(PTJEEXPESP1*(((3*PPHMOD)-G208)/(2*PPHMOD)),3)&lt;=0,G208&gt;=(3*PLAZOMOD)),0,ROUND(PTJEEXPESP1*(((3*PPHMOD)-G208)/(2*PPHMOD)),3))),0)),"")</f>
        <v>#N/A</v>
      </c>
      <c r="I208" s="352" t="e">
        <f>IF(C208&lt;&gt;"",VLOOKUP("S"&amp;C208,'EXP. ESP.'!$A$20:$V$6999,16,0),"")</f>
        <v>#N/A</v>
      </c>
      <c r="J208" s="358" t="e">
        <f>IF(C208&lt;&gt;"",IF(VLOOKUP(C208,HAB.EXP.ESP.!$C$27:$N$226,4,0)="NO CUMPLE",0,IF(E208="HÁBIL",IF(I208&lt;=PORPMFOMOD,ROUND(PTJEEXPESP2-(PTJEEXPESP2/(POWER(PORPMFOMOD,2)))*(POWER(I208-PORPMFOMOD,2)),3),IF(OR(I208&gt;=$I$21,ROUND((I208/PMFOMOD),3)&gt;=RELACIONPO),0,ROUND(PTJEEXPESP2-(1/$I$20)*(PTJEEXPESP2/(POWER(PORPMFOMOD,2)))*(POWER(I208-PORPMFOMOD,2)),3))),0)),"")</f>
        <v>#N/A</v>
      </c>
    </row>
    <row r="209" spans="2:10" ht="13.5" hidden="1">
      <c r="B209" s="231">
        <v>180</v>
      </c>
      <c r="C209" s="129" t="e">
        <f>IF(VLOOKUP(B209,PROPONENTES!$B$19:$E$219,2,0)="","",VLOOKUP(B209,PROPONENTES!$B$19:$E$219,2,0))</f>
        <v>#N/A</v>
      </c>
      <c r="D209" s="130" t="e">
        <f>IF(VLOOKUP(B209,PROPONENTES!$B$19:$E$218,3,0)="","",VLOOKUP(B209,PROPONENTES!$B$19:$E$218,3,0))</f>
        <v>#N/A</v>
      </c>
      <c r="E209" s="135" t="e">
        <f>IF(C209&lt;&gt;"",VLOOKUP(C209,HAB.EXP.ESP.!$C$27:$N$226,12),"")</f>
        <v>#N/A</v>
      </c>
      <c r="F209" s="245" t="e">
        <f>IF(C209&lt;&gt;"",VLOOKUP("M"&amp;C209,'EXP. ESP.'!$A$20:$V$6999,17,0),"")</f>
        <v>#N/A</v>
      </c>
      <c r="G209" s="342" t="e">
        <f>IF(C209&lt;&gt;"",VLOOKUP("P"&amp;C209,'EXP. ESP.'!$A$20:$V$6999,16,0),"")</f>
        <v>#N/A</v>
      </c>
      <c r="H209" s="342" t="e">
        <f>IF(C209&lt;&gt;"",IF(VLOOKUP(C209,HAB.EXP.ESP.!$C$27:$N$226,4,0)="NO CUMPLE",0,IF(E209="HÁBIL",IF(G209&lt;PPHMOD,ROUND((PTJEEXPESP1*(G209/PPHMOD)),3),IF(OR(ROUND(PTJEEXPESP1*(((3*PPHMOD)-G209)/(2*PPHMOD)),3)&lt;=0,G209&gt;=(3*PLAZOMOD)),0,ROUND(PTJEEXPESP1*(((3*PPHMOD)-G209)/(2*PPHMOD)),3))),0)),"")</f>
        <v>#N/A</v>
      </c>
      <c r="I209" s="352" t="e">
        <f>IF(C209&lt;&gt;"",VLOOKUP("S"&amp;C209,'EXP. ESP.'!$A$20:$V$6999,16,0),"")</f>
        <v>#N/A</v>
      </c>
      <c r="J209" s="358" t="e">
        <f>IF(C209&lt;&gt;"",IF(VLOOKUP(C209,HAB.EXP.ESP.!$C$27:$N$226,4,0)="NO CUMPLE",0,IF(E209="HÁBIL",IF(I209&lt;=PORPMFOMOD,ROUND(PTJEEXPESP2-(PTJEEXPESP2/(POWER(PORPMFOMOD,2)))*(POWER(I209-PORPMFOMOD,2)),3),IF(OR(I209&gt;=$I$21,ROUND((I209/PMFOMOD),3)&gt;=RELACIONPO),0,ROUND(PTJEEXPESP2-(1/$I$20)*(PTJEEXPESP2/(POWER(PORPMFOMOD,2)))*(POWER(I209-PORPMFOMOD,2)),3))),0)),"")</f>
        <v>#N/A</v>
      </c>
    </row>
    <row r="210" spans="2:10" ht="13.5" hidden="1">
      <c r="B210" s="230">
        <v>181</v>
      </c>
      <c r="C210" s="129" t="e">
        <f>IF(VLOOKUP(B210,PROPONENTES!$B$19:$E$219,2,0)="","",VLOOKUP(B210,PROPONENTES!$B$19:$E$219,2,0))</f>
        <v>#N/A</v>
      </c>
      <c r="D210" s="130" t="e">
        <f>IF(VLOOKUP(B210,PROPONENTES!$B$19:$E$218,3,0)="","",VLOOKUP(B210,PROPONENTES!$B$19:$E$218,3,0))</f>
        <v>#N/A</v>
      </c>
      <c r="E210" s="135" t="e">
        <f>IF(C210&lt;&gt;"",VLOOKUP(C210,HAB.EXP.ESP.!$C$27:$N$226,12),"")</f>
        <v>#N/A</v>
      </c>
      <c r="F210" s="245" t="e">
        <f>IF(C210&lt;&gt;"",VLOOKUP("M"&amp;C210,'EXP. ESP.'!$A$20:$V$6999,17,0),"")</f>
        <v>#N/A</v>
      </c>
      <c r="G210" s="342" t="e">
        <f>IF(C210&lt;&gt;"",VLOOKUP("P"&amp;C210,'EXP. ESP.'!$A$20:$V$6999,16,0),"")</f>
        <v>#N/A</v>
      </c>
      <c r="H210" s="342" t="e">
        <f>IF(C210&lt;&gt;"",IF(VLOOKUP(C210,HAB.EXP.ESP.!$C$27:$N$226,4,0)="NO CUMPLE",0,IF(E210="HÁBIL",IF(G210&lt;PPHMOD,ROUND((PTJEEXPESP1*(G210/PPHMOD)),3),IF(OR(ROUND(PTJEEXPESP1*(((3*PPHMOD)-G210)/(2*PPHMOD)),3)&lt;=0,G210&gt;=(3*PLAZOMOD)),0,ROUND(PTJEEXPESP1*(((3*PPHMOD)-G210)/(2*PPHMOD)),3))),0)),"")</f>
        <v>#N/A</v>
      </c>
      <c r="I210" s="352" t="e">
        <f>IF(C210&lt;&gt;"",VLOOKUP("S"&amp;C210,'EXP. ESP.'!$A$20:$V$6999,16,0),"")</f>
        <v>#N/A</v>
      </c>
      <c r="J210" s="358" t="e">
        <f>IF(C210&lt;&gt;"",IF(VLOOKUP(C210,HAB.EXP.ESP.!$C$27:$N$226,4,0)="NO CUMPLE",0,IF(E210="HÁBIL",IF(I210&lt;=PORPMFOMOD,ROUND(PTJEEXPESP2-(PTJEEXPESP2/(POWER(PORPMFOMOD,2)))*(POWER(I210-PORPMFOMOD,2)),3),IF(OR(I210&gt;=$I$21,ROUND((I210/PMFOMOD),3)&gt;=RELACIONPO),0,ROUND(PTJEEXPESP2-(1/$I$20)*(PTJEEXPESP2/(POWER(PORPMFOMOD,2)))*(POWER(I210-PORPMFOMOD,2)),3))),0)),"")</f>
        <v>#N/A</v>
      </c>
    </row>
    <row r="211" spans="2:10" ht="13.5" hidden="1">
      <c r="B211" s="231">
        <v>182</v>
      </c>
      <c r="C211" s="129" t="e">
        <f>IF(VLOOKUP(B211,PROPONENTES!$B$19:$E$219,2,0)="","",VLOOKUP(B211,PROPONENTES!$B$19:$E$219,2,0))</f>
        <v>#N/A</v>
      </c>
      <c r="D211" s="130" t="e">
        <f>IF(VLOOKUP(B211,PROPONENTES!$B$19:$E$218,3,0)="","",VLOOKUP(B211,PROPONENTES!$B$19:$E$218,3,0))</f>
        <v>#N/A</v>
      </c>
      <c r="E211" s="135" t="e">
        <f>IF(C211&lt;&gt;"",VLOOKUP(C211,HAB.EXP.ESP.!$C$27:$N$226,12),"")</f>
        <v>#N/A</v>
      </c>
      <c r="F211" s="245" t="e">
        <f>IF(C211&lt;&gt;"",VLOOKUP("M"&amp;C211,'EXP. ESP.'!$A$20:$V$6999,17,0),"")</f>
        <v>#N/A</v>
      </c>
      <c r="G211" s="342" t="e">
        <f>IF(C211&lt;&gt;"",VLOOKUP("P"&amp;C211,'EXP. ESP.'!$A$20:$V$6999,16,0),"")</f>
        <v>#N/A</v>
      </c>
      <c r="H211" s="342" t="e">
        <f>IF(C211&lt;&gt;"",IF(VLOOKUP(C211,HAB.EXP.ESP.!$C$27:$N$226,4,0)="NO CUMPLE",0,IF(E211="HÁBIL",IF(G211&lt;PPHMOD,ROUND((PTJEEXPESP1*(G211/PPHMOD)),3),IF(OR(ROUND(PTJEEXPESP1*(((3*PPHMOD)-G211)/(2*PPHMOD)),3)&lt;=0,G211&gt;=(3*PLAZOMOD)),0,ROUND(PTJEEXPESP1*(((3*PPHMOD)-G211)/(2*PPHMOD)),3))),0)),"")</f>
        <v>#N/A</v>
      </c>
      <c r="I211" s="352" t="e">
        <f>IF(C211&lt;&gt;"",VLOOKUP("S"&amp;C211,'EXP. ESP.'!$A$20:$V$6999,16,0),"")</f>
        <v>#N/A</v>
      </c>
      <c r="J211" s="358" t="e">
        <f>IF(C211&lt;&gt;"",IF(VLOOKUP(C211,HAB.EXP.ESP.!$C$27:$N$226,4,0)="NO CUMPLE",0,IF(E211="HÁBIL",IF(I211&lt;=PORPMFOMOD,ROUND(PTJEEXPESP2-(PTJEEXPESP2/(POWER(PORPMFOMOD,2)))*(POWER(I211-PORPMFOMOD,2)),3),IF(OR(I211&gt;=$I$21,ROUND((I211/PMFOMOD),3)&gt;=RELACIONPO),0,ROUND(PTJEEXPESP2-(1/$I$20)*(PTJEEXPESP2/(POWER(PORPMFOMOD,2)))*(POWER(I211-PORPMFOMOD,2)),3))),0)),"")</f>
        <v>#N/A</v>
      </c>
    </row>
    <row r="212" spans="2:10" ht="13.5" hidden="1">
      <c r="B212" s="231">
        <v>183</v>
      </c>
      <c r="C212" s="129" t="e">
        <f>IF(VLOOKUP(B212,PROPONENTES!$B$19:$E$219,2,0)="","",VLOOKUP(B212,PROPONENTES!$B$19:$E$219,2,0))</f>
        <v>#N/A</v>
      </c>
      <c r="D212" s="130" t="e">
        <f>IF(VLOOKUP(B212,PROPONENTES!$B$19:$E$218,3,0)="","",VLOOKUP(B212,PROPONENTES!$B$19:$E$218,3,0))</f>
        <v>#N/A</v>
      </c>
      <c r="E212" s="135" t="e">
        <f>IF(C212&lt;&gt;"",VLOOKUP(C212,HAB.EXP.ESP.!$C$27:$N$226,12),"")</f>
        <v>#N/A</v>
      </c>
      <c r="F212" s="245" t="e">
        <f>IF(C212&lt;&gt;"",VLOOKUP("M"&amp;C212,'EXP. ESP.'!$A$20:$V$6999,17,0),"")</f>
        <v>#N/A</v>
      </c>
      <c r="G212" s="342" t="e">
        <f>IF(C212&lt;&gt;"",VLOOKUP("P"&amp;C212,'EXP. ESP.'!$A$20:$V$6999,16,0),"")</f>
        <v>#N/A</v>
      </c>
      <c r="H212" s="342" t="e">
        <f>IF(C212&lt;&gt;"",IF(VLOOKUP(C212,HAB.EXP.ESP.!$C$27:$N$226,4,0)="NO CUMPLE",0,IF(E212="HÁBIL",IF(G212&lt;PPHMOD,ROUND((PTJEEXPESP1*(G212/PPHMOD)),3),IF(OR(ROUND(PTJEEXPESP1*(((3*PPHMOD)-G212)/(2*PPHMOD)),3)&lt;=0,G212&gt;=(3*PLAZOMOD)),0,ROUND(PTJEEXPESP1*(((3*PPHMOD)-G212)/(2*PPHMOD)),3))),0)),"")</f>
        <v>#N/A</v>
      </c>
      <c r="I212" s="352" t="e">
        <f>IF(C212&lt;&gt;"",VLOOKUP("S"&amp;C212,'EXP. ESP.'!$A$20:$V$6999,16,0),"")</f>
        <v>#N/A</v>
      </c>
      <c r="J212" s="358" t="e">
        <f>IF(C212&lt;&gt;"",IF(VLOOKUP(C212,HAB.EXP.ESP.!$C$27:$N$226,4,0)="NO CUMPLE",0,IF(E212="HÁBIL",IF(I212&lt;=PORPMFOMOD,ROUND(PTJEEXPESP2-(PTJEEXPESP2/(POWER(PORPMFOMOD,2)))*(POWER(I212-PORPMFOMOD,2)),3),IF(OR(I212&gt;=$I$21,ROUND((I212/PMFOMOD),3)&gt;=RELACIONPO),0,ROUND(PTJEEXPESP2-(1/$I$20)*(PTJEEXPESP2/(POWER(PORPMFOMOD,2)))*(POWER(I212-PORPMFOMOD,2)),3))),0)),"")</f>
        <v>#N/A</v>
      </c>
    </row>
    <row r="213" spans="2:10" ht="13.5" hidden="1">
      <c r="B213" s="231">
        <v>184</v>
      </c>
      <c r="C213" s="129" t="e">
        <f>IF(VLOOKUP(B213,PROPONENTES!$B$19:$E$219,2,0)="","",VLOOKUP(B213,PROPONENTES!$B$19:$E$219,2,0))</f>
        <v>#N/A</v>
      </c>
      <c r="D213" s="130" t="e">
        <f>IF(VLOOKUP(B213,PROPONENTES!$B$19:$E$218,3,0)="","",VLOOKUP(B213,PROPONENTES!$B$19:$E$218,3,0))</f>
        <v>#N/A</v>
      </c>
      <c r="E213" s="135" t="e">
        <f>IF(C213&lt;&gt;"",VLOOKUP(C213,HAB.EXP.ESP.!$C$27:$N$226,12),"")</f>
        <v>#N/A</v>
      </c>
      <c r="F213" s="245" t="e">
        <f>IF(C213&lt;&gt;"",VLOOKUP("M"&amp;C213,'EXP. ESP.'!$A$20:$V$6999,17,0),"")</f>
        <v>#N/A</v>
      </c>
      <c r="G213" s="342" t="e">
        <f>IF(C213&lt;&gt;"",VLOOKUP("P"&amp;C213,'EXP. ESP.'!$A$20:$V$6999,16,0),"")</f>
        <v>#N/A</v>
      </c>
      <c r="H213" s="342" t="e">
        <f>IF(C213&lt;&gt;"",IF(VLOOKUP(C213,HAB.EXP.ESP.!$C$27:$N$226,4,0)="NO CUMPLE",0,IF(E213="HÁBIL",IF(G213&lt;PPHMOD,ROUND((PTJEEXPESP1*(G213/PPHMOD)),3),IF(OR(ROUND(PTJEEXPESP1*(((3*PPHMOD)-G213)/(2*PPHMOD)),3)&lt;=0,G213&gt;=(3*PLAZOMOD)),0,ROUND(PTJEEXPESP1*(((3*PPHMOD)-G213)/(2*PPHMOD)),3))),0)),"")</f>
        <v>#N/A</v>
      </c>
      <c r="I213" s="352" t="e">
        <f>IF(C213&lt;&gt;"",VLOOKUP("S"&amp;C213,'EXP. ESP.'!$A$20:$V$6999,16,0),"")</f>
        <v>#N/A</v>
      </c>
      <c r="J213" s="358" t="e">
        <f>IF(C213&lt;&gt;"",IF(VLOOKUP(C213,HAB.EXP.ESP.!$C$27:$N$226,4,0)="NO CUMPLE",0,IF(E213="HÁBIL",IF(I213&lt;=PORPMFOMOD,ROUND(PTJEEXPESP2-(PTJEEXPESP2/(POWER(PORPMFOMOD,2)))*(POWER(I213-PORPMFOMOD,2)),3),IF(OR(I213&gt;=$I$21,ROUND((I213/PMFOMOD),3)&gt;=RELACIONPO),0,ROUND(PTJEEXPESP2-(1/$I$20)*(PTJEEXPESP2/(POWER(PORPMFOMOD,2)))*(POWER(I213-PORPMFOMOD,2)),3))),0)),"")</f>
        <v>#N/A</v>
      </c>
    </row>
    <row r="214" spans="2:10" ht="13.5" hidden="1">
      <c r="B214" s="230">
        <v>185</v>
      </c>
      <c r="C214" s="129" t="e">
        <f>IF(VLOOKUP(B214,PROPONENTES!$B$19:$E$219,2,0)="","",VLOOKUP(B214,PROPONENTES!$B$19:$E$219,2,0))</f>
        <v>#N/A</v>
      </c>
      <c r="D214" s="130" t="e">
        <f>IF(VLOOKUP(B214,PROPONENTES!$B$19:$E$218,3,0)="","",VLOOKUP(B214,PROPONENTES!$B$19:$E$218,3,0))</f>
        <v>#N/A</v>
      </c>
      <c r="E214" s="135" t="e">
        <f>IF(C214&lt;&gt;"",VLOOKUP(C214,HAB.EXP.ESP.!$C$27:$N$226,12),"")</f>
        <v>#N/A</v>
      </c>
      <c r="F214" s="245" t="e">
        <f>IF(C214&lt;&gt;"",VLOOKUP("M"&amp;C214,'EXP. ESP.'!$A$20:$V$6999,17,0),"")</f>
        <v>#N/A</v>
      </c>
      <c r="G214" s="342" t="e">
        <f>IF(C214&lt;&gt;"",VLOOKUP("P"&amp;C214,'EXP. ESP.'!$A$20:$V$6999,16,0),"")</f>
        <v>#N/A</v>
      </c>
      <c r="H214" s="342" t="e">
        <f>IF(C214&lt;&gt;"",IF(VLOOKUP(C214,HAB.EXP.ESP.!$C$27:$N$226,4,0)="NO CUMPLE",0,IF(E214="HÁBIL",IF(G214&lt;PPHMOD,ROUND((PTJEEXPESP1*(G214/PPHMOD)),3),IF(OR(ROUND(PTJEEXPESP1*(((3*PPHMOD)-G214)/(2*PPHMOD)),3)&lt;=0,G214&gt;=(3*PLAZOMOD)),0,ROUND(PTJEEXPESP1*(((3*PPHMOD)-G214)/(2*PPHMOD)),3))),0)),"")</f>
        <v>#N/A</v>
      </c>
      <c r="I214" s="352" t="e">
        <f>IF(C214&lt;&gt;"",VLOOKUP("S"&amp;C214,'EXP. ESP.'!$A$20:$V$6999,16,0),"")</f>
        <v>#N/A</v>
      </c>
      <c r="J214" s="358" t="e">
        <f>IF(C214&lt;&gt;"",IF(VLOOKUP(C214,HAB.EXP.ESP.!$C$27:$N$226,4,0)="NO CUMPLE",0,IF(E214="HÁBIL",IF(I214&lt;=PORPMFOMOD,ROUND(PTJEEXPESP2-(PTJEEXPESP2/(POWER(PORPMFOMOD,2)))*(POWER(I214-PORPMFOMOD,2)),3),IF(OR(I214&gt;=$I$21,ROUND((I214/PMFOMOD),3)&gt;=RELACIONPO),0,ROUND(PTJEEXPESP2-(1/$I$20)*(PTJEEXPESP2/(POWER(PORPMFOMOD,2)))*(POWER(I214-PORPMFOMOD,2)),3))),0)),"")</f>
        <v>#N/A</v>
      </c>
    </row>
    <row r="215" spans="2:10" ht="13.5" hidden="1">
      <c r="B215" s="231">
        <v>186</v>
      </c>
      <c r="C215" s="129" t="e">
        <f>IF(VLOOKUP(B215,PROPONENTES!$B$19:$E$219,2,0)="","",VLOOKUP(B215,PROPONENTES!$B$19:$E$219,2,0))</f>
        <v>#N/A</v>
      </c>
      <c r="D215" s="130" t="e">
        <f>IF(VLOOKUP(B215,PROPONENTES!$B$19:$E$218,3,0)="","",VLOOKUP(B215,PROPONENTES!$B$19:$E$218,3,0))</f>
        <v>#N/A</v>
      </c>
      <c r="E215" s="135" t="e">
        <f>IF(C215&lt;&gt;"",VLOOKUP(C215,HAB.EXP.ESP.!$C$27:$N$226,12),"")</f>
        <v>#N/A</v>
      </c>
      <c r="F215" s="245" t="e">
        <f>IF(C215&lt;&gt;"",VLOOKUP("M"&amp;C215,'EXP. ESP.'!$A$20:$V$6999,17,0),"")</f>
        <v>#N/A</v>
      </c>
      <c r="G215" s="342" t="e">
        <f>IF(C215&lt;&gt;"",VLOOKUP("P"&amp;C215,'EXP. ESP.'!$A$20:$V$6999,16,0),"")</f>
        <v>#N/A</v>
      </c>
      <c r="H215" s="342" t="e">
        <f>IF(C215&lt;&gt;"",IF(VLOOKUP(C215,HAB.EXP.ESP.!$C$27:$N$226,4,0)="NO CUMPLE",0,IF(E215="HÁBIL",IF(G215&lt;PPHMOD,ROUND((PTJEEXPESP1*(G215/PPHMOD)),3),IF(OR(ROUND(PTJEEXPESP1*(((3*PPHMOD)-G215)/(2*PPHMOD)),3)&lt;=0,G215&gt;=(3*PLAZOMOD)),0,ROUND(PTJEEXPESP1*(((3*PPHMOD)-G215)/(2*PPHMOD)),3))),0)),"")</f>
        <v>#N/A</v>
      </c>
      <c r="I215" s="352" t="e">
        <f>IF(C215&lt;&gt;"",VLOOKUP("S"&amp;C215,'EXP. ESP.'!$A$20:$V$6999,16,0),"")</f>
        <v>#N/A</v>
      </c>
      <c r="J215" s="358" t="e">
        <f>IF(C215&lt;&gt;"",IF(VLOOKUP(C215,HAB.EXP.ESP.!$C$27:$N$226,4,0)="NO CUMPLE",0,IF(E215="HÁBIL",IF(I215&lt;=PORPMFOMOD,ROUND(PTJEEXPESP2-(PTJEEXPESP2/(POWER(PORPMFOMOD,2)))*(POWER(I215-PORPMFOMOD,2)),3),IF(OR(I215&gt;=$I$21,ROUND((I215/PMFOMOD),3)&gt;=RELACIONPO),0,ROUND(PTJEEXPESP2-(1/$I$20)*(PTJEEXPESP2/(POWER(PORPMFOMOD,2)))*(POWER(I215-PORPMFOMOD,2)),3))),0)),"")</f>
        <v>#N/A</v>
      </c>
    </row>
    <row r="216" spans="2:10" ht="13.5" hidden="1">
      <c r="B216" s="231">
        <v>187</v>
      </c>
      <c r="C216" s="129" t="e">
        <f>IF(VLOOKUP(B216,PROPONENTES!$B$19:$E$219,2,0)="","",VLOOKUP(B216,PROPONENTES!$B$19:$E$219,2,0))</f>
        <v>#N/A</v>
      </c>
      <c r="D216" s="130" t="e">
        <f>IF(VLOOKUP(B216,PROPONENTES!$B$19:$E$218,3,0)="","",VLOOKUP(B216,PROPONENTES!$B$19:$E$218,3,0))</f>
        <v>#N/A</v>
      </c>
      <c r="E216" s="135" t="e">
        <f>IF(C216&lt;&gt;"",VLOOKUP(C216,HAB.EXP.ESP.!$C$27:$N$226,12),"")</f>
        <v>#N/A</v>
      </c>
      <c r="F216" s="245" t="e">
        <f>IF(C216&lt;&gt;"",VLOOKUP("M"&amp;C216,'EXP. ESP.'!$A$20:$V$6999,17,0),"")</f>
        <v>#N/A</v>
      </c>
      <c r="G216" s="342" t="e">
        <f>IF(C216&lt;&gt;"",VLOOKUP("P"&amp;C216,'EXP. ESP.'!$A$20:$V$6999,16,0),"")</f>
        <v>#N/A</v>
      </c>
      <c r="H216" s="342" t="e">
        <f>IF(C216&lt;&gt;"",IF(VLOOKUP(C216,HAB.EXP.ESP.!$C$27:$N$226,4,0)="NO CUMPLE",0,IF(E216="HÁBIL",IF(G216&lt;PPHMOD,ROUND((PTJEEXPESP1*(G216/PPHMOD)),3),IF(OR(ROUND(PTJEEXPESP1*(((3*PPHMOD)-G216)/(2*PPHMOD)),3)&lt;=0,G216&gt;=(3*PLAZOMOD)),0,ROUND(PTJEEXPESP1*(((3*PPHMOD)-G216)/(2*PPHMOD)),3))),0)),"")</f>
        <v>#N/A</v>
      </c>
      <c r="I216" s="352" t="e">
        <f>IF(C216&lt;&gt;"",VLOOKUP("S"&amp;C216,'EXP. ESP.'!$A$20:$V$6999,16,0),"")</f>
        <v>#N/A</v>
      </c>
      <c r="J216" s="358" t="e">
        <f>IF(C216&lt;&gt;"",IF(VLOOKUP(C216,HAB.EXP.ESP.!$C$27:$N$226,4,0)="NO CUMPLE",0,IF(E216="HÁBIL",IF(I216&lt;=PORPMFOMOD,ROUND(PTJEEXPESP2-(PTJEEXPESP2/(POWER(PORPMFOMOD,2)))*(POWER(I216-PORPMFOMOD,2)),3),IF(OR(I216&gt;=$I$21,ROUND((I216/PMFOMOD),3)&gt;=RELACIONPO),0,ROUND(PTJEEXPESP2-(1/$I$20)*(PTJEEXPESP2/(POWER(PORPMFOMOD,2)))*(POWER(I216-PORPMFOMOD,2)),3))),0)),"")</f>
        <v>#N/A</v>
      </c>
    </row>
    <row r="217" spans="2:10" ht="13.5" hidden="1">
      <c r="B217" s="231">
        <v>188</v>
      </c>
      <c r="C217" s="129" t="e">
        <f>IF(VLOOKUP(B217,PROPONENTES!$B$19:$E$219,2,0)="","",VLOOKUP(B217,PROPONENTES!$B$19:$E$219,2,0))</f>
        <v>#N/A</v>
      </c>
      <c r="D217" s="130" t="e">
        <f>IF(VLOOKUP(B217,PROPONENTES!$B$19:$E$218,3,0)="","",VLOOKUP(B217,PROPONENTES!$B$19:$E$218,3,0))</f>
        <v>#N/A</v>
      </c>
      <c r="E217" s="135" t="e">
        <f>IF(C217&lt;&gt;"",VLOOKUP(C217,HAB.EXP.ESP.!$C$27:$N$226,12),"")</f>
        <v>#N/A</v>
      </c>
      <c r="F217" s="245" t="e">
        <f>IF(C217&lt;&gt;"",VLOOKUP("M"&amp;C217,'EXP. ESP.'!$A$20:$V$6999,17,0),"")</f>
        <v>#N/A</v>
      </c>
      <c r="G217" s="342" t="e">
        <f>IF(C217&lt;&gt;"",VLOOKUP("P"&amp;C217,'EXP. ESP.'!$A$20:$V$6999,16,0),"")</f>
        <v>#N/A</v>
      </c>
      <c r="H217" s="342" t="e">
        <f>IF(C217&lt;&gt;"",IF(VLOOKUP(C217,HAB.EXP.ESP.!$C$27:$N$226,4,0)="NO CUMPLE",0,IF(E217="HÁBIL",IF(G217&lt;PPHMOD,ROUND((PTJEEXPESP1*(G217/PPHMOD)),3),IF(OR(ROUND(PTJEEXPESP1*(((3*PPHMOD)-G217)/(2*PPHMOD)),3)&lt;=0,G217&gt;=(3*PLAZOMOD)),0,ROUND(PTJEEXPESP1*(((3*PPHMOD)-G217)/(2*PPHMOD)),3))),0)),"")</f>
        <v>#N/A</v>
      </c>
      <c r="I217" s="352" t="e">
        <f>IF(C217&lt;&gt;"",VLOOKUP("S"&amp;C217,'EXP. ESP.'!$A$20:$V$6999,16,0),"")</f>
        <v>#N/A</v>
      </c>
      <c r="J217" s="358" t="e">
        <f>IF(C217&lt;&gt;"",IF(VLOOKUP(C217,HAB.EXP.ESP.!$C$27:$N$226,4,0)="NO CUMPLE",0,IF(E217="HÁBIL",IF(I217&lt;=PORPMFOMOD,ROUND(PTJEEXPESP2-(PTJEEXPESP2/(POWER(PORPMFOMOD,2)))*(POWER(I217-PORPMFOMOD,2)),3),IF(OR(I217&gt;=$I$21,ROUND((I217/PMFOMOD),3)&gt;=RELACIONPO),0,ROUND(PTJEEXPESP2-(1/$I$20)*(PTJEEXPESP2/(POWER(PORPMFOMOD,2)))*(POWER(I217-PORPMFOMOD,2)),3))),0)),"")</f>
        <v>#N/A</v>
      </c>
    </row>
    <row r="218" spans="2:10" ht="13.5" hidden="1">
      <c r="B218" s="230">
        <v>189</v>
      </c>
      <c r="C218" s="129" t="e">
        <f>IF(VLOOKUP(B218,PROPONENTES!$B$19:$E$219,2,0)="","",VLOOKUP(B218,PROPONENTES!$B$19:$E$219,2,0))</f>
        <v>#N/A</v>
      </c>
      <c r="D218" s="130" t="e">
        <f>IF(VLOOKUP(B218,PROPONENTES!$B$19:$E$218,3,0)="","",VLOOKUP(B218,PROPONENTES!$B$19:$E$218,3,0))</f>
        <v>#N/A</v>
      </c>
      <c r="E218" s="135" t="e">
        <f>IF(C218&lt;&gt;"",VLOOKUP(C218,HAB.EXP.ESP.!$C$27:$N$226,12),"")</f>
        <v>#N/A</v>
      </c>
      <c r="F218" s="245" t="e">
        <f>IF(C218&lt;&gt;"",VLOOKUP("M"&amp;C218,'EXP. ESP.'!$A$20:$V$6999,17,0),"")</f>
        <v>#N/A</v>
      </c>
      <c r="G218" s="342" t="e">
        <f>IF(C218&lt;&gt;"",VLOOKUP("P"&amp;C218,'EXP. ESP.'!$A$20:$V$6999,16,0),"")</f>
        <v>#N/A</v>
      </c>
      <c r="H218" s="342" t="e">
        <f>IF(C218&lt;&gt;"",IF(VLOOKUP(C218,HAB.EXP.ESP.!$C$27:$N$226,4,0)="NO CUMPLE",0,IF(E218="HÁBIL",IF(G218&lt;PPHMOD,ROUND((PTJEEXPESP1*(G218/PPHMOD)),3),IF(OR(ROUND(PTJEEXPESP1*(((3*PPHMOD)-G218)/(2*PPHMOD)),3)&lt;=0,G218&gt;=(3*PLAZOMOD)),0,ROUND(PTJEEXPESP1*(((3*PPHMOD)-G218)/(2*PPHMOD)),3))),0)),"")</f>
        <v>#N/A</v>
      </c>
      <c r="I218" s="352" t="e">
        <f>IF(C218&lt;&gt;"",VLOOKUP("S"&amp;C218,'EXP. ESP.'!$A$20:$V$6999,16,0),"")</f>
        <v>#N/A</v>
      </c>
      <c r="J218" s="358" t="e">
        <f>IF(C218&lt;&gt;"",IF(VLOOKUP(C218,HAB.EXP.ESP.!$C$27:$N$226,4,0)="NO CUMPLE",0,IF(E218="HÁBIL",IF(I218&lt;=PORPMFOMOD,ROUND(PTJEEXPESP2-(PTJEEXPESP2/(POWER(PORPMFOMOD,2)))*(POWER(I218-PORPMFOMOD,2)),3),IF(OR(I218&gt;=$I$21,ROUND((I218/PMFOMOD),3)&gt;=RELACIONPO),0,ROUND(PTJEEXPESP2-(1/$I$20)*(PTJEEXPESP2/(POWER(PORPMFOMOD,2)))*(POWER(I218-PORPMFOMOD,2)),3))),0)),"")</f>
        <v>#N/A</v>
      </c>
    </row>
    <row r="219" spans="2:10" ht="13.5" hidden="1">
      <c r="B219" s="231">
        <v>190</v>
      </c>
      <c r="C219" s="129" t="e">
        <f>IF(VLOOKUP(B219,PROPONENTES!$B$19:$E$219,2,0)="","",VLOOKUP(B219,PROPONENTES!$B$19:$E$219,2,0))</f>
        <v>#N/A</v>
      </c>
      <c r="D219" s="130" t="e">
        <f>IF(VLOOKUP(B219,PROPONENTES!$B$19:$E$218,3,0)="","",VLOOKUP(B219,PROPONENTES!$B$19:$E$218,3,0))</f>
        <v>#N/A</v>
      </c>
      <c r="E219" s="135" t="e">
        <f>IF(C219&lt;&gt;"",VLOOKUP(C219,HAB.EXP.ESP.!$C$27:$N$226,12),"")</f>
        <v>#N/A</v>
      </c>
      <c r="F219" s="245" t="e">
        <f>IF(C219&lt;&gt;"",VLOOKUP("M"&amp;C219,'EXP. ESP.'!$A$20:$V$6999,17,0),"")</f>
        <v>#N/A</v>
      </c>
      <c r="G219" s="342" t="e">
        <f>IF(C219&lt;&gt;"",VLOOKUP("P"&amp;C219,'EXP. ESP.'!$A$20:$V$6999,16,0),"")</f>
        <v>#N/A</v>
      </c>
      <c r="H219" s="342" t="e">
        <f>IF(C219&lt;&gt;"",IF(VLOOKUP(C219,HAB.EXP.ESP.!$C$27:$N$226,4,0)="NO CUMPLE",0,IF(E219="HÁBIL",IF(G219&lt;PPHMOD,ROUND((PTJEEXPESP1*(G219/PPHMOD)),3),IF(OR(ROUND(PTJEEXPESP1*(((3*PPHMOD)-G219)/(2*PPHMOD)),3)&lt;=0,G219&gt;=(3*PLAZOMOD)),0,ROUND(PTJEEXPESP1*(((3*PPHMOD)-G219)/(2*PPHMOD)),3))),0)),"")</f>
        <v>#N/A</v>
      </c>
      <c r="I219" s="352" t="e">
        <f>IF(C219&lt;&gt;"",VLOOKUP("S"&amp;C219,'EXP. ESP.'!$A$20:$V$6999,16,0),"")</f>
        <v>#N/A</v>
      </c>
      <c r="J219" s="358" t="e">
        <f>IF(C219&lt;&gt;"",IF(VLOOKUP(C219,HAB.EXP.ESP.!$C$27:$N$226,4,0)="NO CUMPLE",0,IF(E219="HÁBIL",IF(I219&lt;=PORPMFOMOD,ROUND(PTJEEXPESP2-(PTJEEXPESP2/(POWER(PORPMFOMOD,2)))*(POWER(I219-PORPMFOMOD,2)),3),IF(OR(I219&gt;=$I$21,ROUND((I219/PMFOMOD),3)&gt;=RELACIONPO),0,ROUND(PTJEEXPESP2-(1/$I$20)*(PTJEEXPESP2/(POWER(PORPMFOMOD,2)))*(POWER(I219-PORPMFOMOD,2)),3))),0)),"")</f>
        <v>#N/A</v>
      </c>
    </row>
    <row r="220" spans="2:10" ht="13.5" hidden="1">
      <c r="B220" s="231">
        <v>191</v>
      </c>
      <c r="C220" s="129" t="e">
        <f>IF(VLOOKUP(B220,PROPONENTES!$B$19:$E$219,2,0)="","",VLOOKUP(B220,PROPONENTES!$B$19:$E$219,2,0))</f>
        <v>#N/A</v>
      </c>
      <c r="D220" s="130" t="e">
        <f>IF(VLOOKUP(B220,PROPONENTES!$B$19:$E$218,3,0)="","",VLOOKUP(B220,PROPONENTES!$B$19:$E$218,3,0))</f>
        <v>#N/A</v>
      </c>
      <c r="E220" s="135" t="e">
        <f>IF(C220&lt;&gt;"",VLOOKUP(C220,HAB.EXP.ESP.!$C$27:$N$226,12),"")</f>
        <v>#N/A</v>
      </c>
      <c r="F220" s="245" t="e">
        <f>IF(C220&lt;&gt;"",VLOOKUP("M"&amp;C220,'EXP. ESP.'!$A$20:$V$6999,17,0),"")</f>
        <v>#N/A</v>
      </c>
      <c r="G220" s="342" t="e">
        <f>IF(C220&lt;&gt;"",VLOOKUP("P"&amp;C220,'EXP. ESP.'!$A$20:$V$6999,16,0),"")</f>
        <v>#N/A</v>
      </c>
      <c r="H220" s="342" t="e">
        <f>IF(C220&lt;&gt;"",IF(VLOOKUP(C220,HAB.EXP.ESP.!$C$27:$N$226,4,0)="NO CUMPLE",0,IF(E220="HÁBIL",IF(G220&lt;PPHMOD,ROUND((PTJEEXPESP1*(G220/PPHMOD)),3),IF(OR(ROUND(PTJEEXPESP1*(((3*PPHMOD)-G220)/(2*PPHMOD)),3)&lt;=0,G220&gt;=(3*PLAZOMOD)),0,ROUND(PTJEEXPESP1*(((3*PPHMOD)-G220)/(2*PPHMOD)),3))),0)),"")</f>
        <v>#N/A</v>
      </c>
      <c r="I220" s="352" t="e">
        <f>IF(C220&lt;&gt;"",VLOOKUP("S"&amp;C220,'EXP. ESP.'!$A$20:$V$6999,16,0),"")</f>
        <v>#N/A</v>
      </c>
      <c r="J220" s="358" t="e">
        <f>IF(C220&lt;&gt;"",IF(VLOOKUP(C220,HAB.EXP.ESP.!$C$27:$N$226,4,0)="NO CUMPLE",0,IF(E220="HÁBIL",IF(I220&lt;=PORPMFOMOD,ROUND(PTJEEXPESP2-(PTJEEXPESP2/(POWER(PORPMFOMOD,2)))*(POWER(I220-PORPMFOMOD,2)),3),IF(OR(I220&gt;=$I$21,ROUND((I220/PMFOMOD),3)&gt;=RELACIONPO),0,ROUND(PTJEEXPESP2-(1/$I$20)*(PTJEEXPESP2/(POWER(PORPMFOMOD,2)))*(POWER(I220-PORPMFOMOD,2)),3))),0)),"")</f>
        <v>#N/A</v>
      </c>
    </row>
    <row r="221" spans="2:10" ht="13.5" hidden="1">
      <c r="B221" s="231">
        <v>192</v>
      </c>
      <c r="C221" s="129" t="e">
        <f>IF(VLOOKUP(B221,PROPONENTES!$B$19:$E$219,2,0)="","",VLOOKUP(B221,PROPONENTES!$B$19:$E$219,2,0))</f>
        <v>#N/A</v>
      </c>
      <c r="D221" s="130" t="e">
        <f>IF(VLOOKUP(B221,PROPONENTES!$B$19:$E$218,3,0)="","",VLOOKUP(B221,PROPONENTES!$B$19:$E$218,3,0))</f>
        <v>#N/A</v>
      </c>
      <c r="E221" s="135" t="e">
        <f>IF(C221&lt;&gt;"",VLOOKUP(C221,HAB.EXP.ESP.!$C$27:$N$226,12),"")</f>
        <v>#N/A</v>
      </c>
      <c r="F221" s="245" t="e">
        <f>IF(C221&lt;&gt;"",VLOOKUP("M"&amp;C221,'EXP. ESP.'!$A$20:$V$6999,17,0),"")</f>
        <v>#N/A</v>
      </c>
      <c r="G221" s="342" t="e">
        <f>IF(C221&lt;&gt;"",VLOOKUP("P"&amp;C221,'EXP. ESP.'!$A$20:$V$6999,16,0),"")</f>
        <v>#N/A</v>
      </c>
      <c r="H221" s="342" t="e">
        <f>IF(C221&lt;&gt;"",IF(VLOOKUP(C221,HAB.EXP.ESP.!$C$27:$N$226,4,0)="NO CUMPLE",0,IF(E221="HÁBIL",IF(G221&lt;PPHMOD,ROUND((PTJEEXPESP1*(G221/PPHMOD)),3),IF(OR(ROUND(PTJEEXPESP1*(((3*PPHMOD)-G221)/(2*PPHMOD)),3)&lt;=0,G221&gt;=(3*PLAZOMOD)),0,ROUND(PTJEEXPESP1*(((3*PPHMOD)-G221)/(2*PPHMOD)),3))),0)),"")</f>
        <v>#N/A</v>
      </c>
      <c r="I221" s="352" t="e">
        <f>IF(C221&lt;&gt;"",VLOOKUP("S"&amp;C221,'EXP. ESP.'!$A$20:$V$6999,16,0),"")</f>
        <v>#N/A</v>
      </c>
      <c r="J221" s="358" t="e">
        <f>IF(C221&lt;&gt;"",IF(VLOOKUP(C221,HAB.EXP.ESP.!$C$27:$N$226,4,0)="NO CUMPLE",0,IF(E221="HÁBIL",IF(I221&lt;=PORPMFOMOD,ROUND(PTJEEXPESP2-(PTJEEXPESP2/(POWER(PORPMFOMOD,2)))*(POWER(I221-PORPMFOMOD,2)),3),IF(OR(I221&gt;=$I$21,ROUND((I221/PMFOMOD),3)&gt;=RELACIONPO),0,ROUND(PTJEEXPESP2-(1/$I$20)*(PTJEEXPESP2/(POWER(PORPMFOMOD,2)))*(POWER(I221-PORPMFOMOD,2)),3))),0)),"")</f>
        <v>#N/A</v>
      </c>
    </row>
    <row r="222" spans="2:10" ht="13.5" hidden="1">
      <c r="B222" s="230">
        <v>193</v>
      </c>
      <c r="C222" s="129" t="e">
        <f>IF(VLOOKUP(B222,PROPONENTES!$B$19:$E$219,2,0)="","",VLOOKUP(B222,PROPONENTES!$B$19:$E$219,2,0))</f>
        <v>#N/A</v>
      </c>
      <c r="D222" s="130" t="e">
        <f>IF(VLOOKUP(B222,PROPONENTES!$B$19:$E$218,3,0)="","",VLOOKUP(B222,PROPONENTES!$B$19:$E$218,3,0))</f>
        <v>#N/A</v>
      </c>
      <c r="E222" s="135" t="e">
        <f>IF(C222&lt;&gt;"",VLOOKUP(C222,HAB.EXP.ESP.!$C$27:$N$226,12),"")</f>
        <v>#N/A</v>
      </c>
      <c r="F222" s="245" t="e">
        <f>IF(C222&lt;&gt;"",VLOOKUP("M"&amp;C222,'EXP. ESP.'!$A$20:$V$6999,17,0),"")</f>
        <v>#N/A</v>
      </c>
      <c r="G222" s="342" t="e">
        <f>IF(C222&lt;&gt;"",VLOOKUP("P"&amp;C222,'EXP. ESP.'!$A$20:$V$6999,16,0),"")</f>
        <v>#N/A</v>
      </c>
      <c r="H222" s="342" t="e">
        <f>IF(C222&lt;&gt;"",IF(VLOOKUP(C222,HAB.EXP.ESP.!$C$27:$N$226,4,0)="NO CUMPLE",0,IF(E222="HÁBIL",IF(G222&lt;PPHMOD,ROUND((PTJEEXPESP1*(G222/PPHMOD)),3),IF(OR(ROUND(PTJEEXPESP1*(((3*PPHMOD)-G222)/(2*PPHMOD)),3)&lt;=0,G222&gt;=(3*PLAZOMOD)),0,ROUND(PTJEEXPESP1*(((3*PPHMOD)-G222)/(2*PPHMOD)),3))),0)),"")</f>
        <v>#N/A</v>
      </c>
      <c r="I222" s="352" t="e">
        <f>IF(C222&lt;&gt;"",VLOOKUP("S"&amp;C222,'EXP. ESP.'!$A$20:$V$6999,16,0),"")</f>
        <v>#N/A</v>
      </c>
      <c r="J222" s="358" t="e">
        <f>IF(C222&lt;&gt;"",IF(VLOOKUP(C222,HAB.EXP.ESP.!$C$27:$N$226,4,0)="NO CUMPLE",0,IF(E222="HÁBIL",IF(I222&lt;=PORPMFOMOD,ROUND(PTJEEXPESP2-(PTJEEXPESP2/(POWER(PORPMFOMOD,2)))*(POWER(I222-PORPMFOMOD,2)),3),IF(OR(I222&gt;=$I$21,ROUND((I222/PMFOMOD),3)&gt;=RELACIONPO),0,ROUND(PTJEEXPESP2-(1/$I$20)*(PTJEEXPESP2/(POWER(PORPMFOMOD,2)))*(POWER(I222-PORPMFOMOD,2)),3))),0)),"")</f>
        <v>#N/A</v>
      </c>
    </row>
    <row r="223" spans="2:10" ht="13.5" hidden="1">
      <c r="B223" s="231">
        <v>194</v>
      </c>
      <c r="C223" s="129" t="e">
        <f>IF(VLOOKUP(B223,PROPONENTES!$B$19:$E$219,2,0)="","",VLOOKUP(B223,PROPONENTES!$B$19:$E$219,2,0))</f>
        <v>#N/A</v>
      </c>
      <c r="D223" s="130" t="e">
        <f>IF(VLOOKUP(B223,PROPONENTES!$B$19:$E$218,3,0)="","",VLOOKUP(B223,PROPONENTES!$B$19:$E$218,3,0))</f>
        <v>#N/A</v>
      </c>
      <c r="E223" s="135" t="e">
        <f>IF(C223&lt;&gt;"",VLOOKUP(C223,HAB.EXP.ESP.!$C$27:$N$226,12),"")</f>
        <v>#N/A</v>
      </c>
      <c r="F223" s="245" t="e">
        <f>IF(C223&lt;&gt;"",VLOOKUP("M"&amp;C223,'EXP. ESP.'!$A$20:$V$6999,17,0),"")</f>
        <v>#N/A</v>
      </c>
      <c r="G223" s="342" t="e">
        <f>IF(C223&lt;&gt;"",VLOOKUP("P"&amp;C223,'EXP. ESP.'!$A$20:$V$6999,16,0),"")</f>
        <v>#N/A</v>
      </c>
      <c r="H223" s="342" t="e">
        <f>IF(C223&lt;&gt;"",IF(VLOOKUP(C223,HAB.EXP.ESP.!$C$27:$N$226,4,0)="NO CUMPLE",0,IF(E223="HÁBIL",IF(G223&lt;PPHMOD,ROUND((PTJEEXPESP1*(G223/PPHMOD)),3),IF(OR(ROUND(PTJEEXPESP1*(((3*PPHMOD)-G223)/(2*PPHMOD)),3)&lt;=0,G223&gt;=(3*PLAZOMOD)),0,ROUND(PTJEEXPESP1*(((3*PPHMOD)-G223)/(2*PPHMOD)),3))),0)),"")</f>
        <v>#N/A</v>
      </c>
      <c r="I223" s="352" t="e">
        <f>IF(C223&lt;&gt;"",VLOOKUP("S"&amp;C223,'EXP. ESP.'!$A$20:$V$6999,16,0),"")</f>
        <v>#N/A</v>
      </c>
      <c r="J223" s="358" t="e">
        <f>IF(C223&lt;&gt;"",IF(VLOOKUP(C223,HAB.EXP.ESP.!$C$27:$N$226,4,0)="NO CUMPLE",0,IF(E223="HÁBIL",IF(I223&lt;=PORPMFOMOD,ROUND(PTJEEXPESP2-(PTJEEXPESP2/(POWER(PORPMFOMOD,2)))*(POWER(I223-PORPMFOMOD,2)),3),IF(OR(I223&gt;=$I$21,ROUND((I223/PMFOMOD),3)&gt;=RELACIONPO),0,ROUND(PTJEEXPESP2-(1/$I$20)*(PTJEEXPESP2/(POWER(PORPMFOMOD,2)))*(POWER(I223-PORPMFOMOD,2)),3))),0)),"")</f>
        <v>#N/A</v>
      </c>
    </row>
    <row r="224" spans="2:10" ht="13.5" hidden="1">
      <c r="B224" s="231">
        <v>195</v>
      </c>
      <c r="C224" s="129" t="e">
        <f>IF(VLOOKUP(B224,PROPONENTES!$B$19:$E$219,2,0)="","",VLOOKUP(B224,PROPONENTES!$B$19:$E$219,2,0))</f>
        <v>#N/A</v>
      </c>
      <c r="D224" s="130" t="e">
        <f>IF(VLOOKUP(B224,PROPONENTES!$B$19:$E$218,3,0)="","",VLOOKUP(B224,PROPONENTES!$B$19:$E$218,3,0))</f>
        <v>#N/A</v>
      </c>
      <c r="E224" s="135" t="e">
        <f>IF(C224&lt;&gt;"",VLOOKUP(C224,HAB.EXP.ESP.!$C$27:$N$226,12),"")</f>
        <v>#N/A</v>
      </c>
      <c r="F224" s="245" t="e">
        <f>IF(C224&lt;&gt;"",VLOOKUP("M"&amp;C224,'EXP. ESP.'!$A$20:$V$6999,17,0),"")</f>
        <v>#N/A</v>
      </c>
      <c r="G224" s="342" t="e">
        <f>IF(C224&lt;&gt;"",VLOOKUP("P"&amp;C224,'EXP. ESP.'!$A$20:$V$6999,16,0),"")</f>
        <v>#N/A</v>
      </c>
      <c r="H224" s="342" t="e">
        <f>IF(C224&lt;&gt;"",IF(VLOOKUP(C224,HAB.EXP.ESP.!$C$27:$N$226,4,0)="NO CUMPLE",0,IF(E224="HÁBIL",IF(G224&lt;PPHMOD,ROUND((PTJEEXPESP1*(G224/PPHMOD)),3),IF(OR(ROUND(PTJEEXPESP1*(((3*PPHMOD)-G224)/(2*PPHMOD)),3)&lt;=0,G224&gt;=(3*PLAZOMOD)),0,ROUND(PTJEEXPESP1*(((3*PPHMOD)-G224)/(2*PPHMOD)),3))),0)),"")</f>
        <v>#N/A</v>
      </c>
      <c r="I224" s="352" t="e">
        <f>IF(C224&lt;&gt;"",VLOOKUP("S"&amp;C224,'EXP. ESP.'!$A$20:$V$6999,16,0),"")</f>
        <v>#N/A</v>
      </c>
      <c r="J224" s="358" t="e">
        <f>IF(C224&lt;&gt;"",IF(VLOOKUP(C224,HAB.EXP.ESP.!$C$27:$N$226,4,0)="NO CUMPLE",0,IF(E224="HÁBIL",IF(I224&lt;=PORPMFOMOD,ROUND(PTJEEXPESP2-(PTJEEXPESP2/(POWER(PORPMFOMOD,2)))*(POWER(I224-PORPMFOMOD,2)),3),IF(OR(I224&gt;=$I$21,ROUND((I224/PMFOMOD),3)&gt;=RELACIONPO),0,ROUND(PTJEEXPESP2-(1/$I$20)*(PTJEEXPESP2/(POWER(PORPMFOMOD,2)))*(POWER(I224-PORPMFOMOD,2)),3))),0)),"")</f>
        <v>#N/A</v>
      </c>
    </row>
    <row r="225" spans="2:10" ht="13.5" hidden="1">
      <c r="B225" s="231">
        <v>196</v>
      </c>
      <c r="C225" s="129" t="e">
        <f>IF(VLOOKUP(B225,PROPONENTES!$B$19:$E$219,2,0)="","",VLOOKUP(B225,PROPONENTES!$B$19:$E$219,2,0))</f>
        <v>#N/A</v>
      </c>
      <c r="D225" s="130" t="e">
        <f>IF(VLOOKUP(B225,PROPONENTES!$B$19:$E$218,3,0)="","",VLOOKUP(B225,PROPONENTES!$B$19:$E$218,3,0))</f>
        <v>#N/A</v>
      </c>
      <c r="E225" s="135" t="e">
        <f>IF(C225&lt;&gt;"",VLOOKUP(C225,HAB.EXP.ESP.!$C$27:$N$226,12),"")</f>
        <v>#N/A</v>
      </c>
      <c r="F225" s="245" t="e">
        <f>IF(C225&lt;&gt;"",VLOOKUP("M"&amp;C225,'EXP. ESP.'!$A$20:$V$6999,17,0),"")</f>
        <v>#N/A</v>
      </c>
      <c r="G225" s="342" t="e">
        <f>IF(C225&lt;&gt;"",VLOOKUP("P"&amp;C225,'EXP. ESP.'!$A$20:$V$6999,16,0),"")</f>
        <v>#N/A</v>
      </c>
      <c r="H225" s="342" t="e">
        <f>IF(C225&lt;&gt;"",IF(VLOOKUP(C225,HAB.EXP.ESP.!$C$27:$N$226,4,0)="NO CUMPLE",0,IF(E225="HÁBIL",IF(G225&lt;PPHMOD,ROUND((PTJEEXPESP1*(G225/PPHMOD)),3),IF(OR(ROUND(PTJEEXPESP1*(((3*PPHMOD)-G225)/(2*PPHMOD)),3)&lt;=0,G225&gt;=(3*PLAZOMOD)),0,ROUND(PTJEEXPESP1*(((3*PPHMOD)-G225)/(2*PPHMOD)),3))),0)),"")</f>
        <v>#N/A</v>
      </c>
      <c r="I225" s="352" t="e">
        <f>IF(C225&lt;&gt;"",VLOOKUP("S"&amp;C225,'EXP. ESP.'!$A$20:$V$6999,16,0),"")</f>
        <v>#N/A</v>
      </c>
      <c r="J225" s="358" t="e">
        <f>IF(C225&lt;&gt;"",IF(VLOOKUP(C225,HAB.EXP.ESP.!$C$27:$N$226,4,0)="NO CUMPLE",0,IF(E225="HÁBIL",IF(I225&lt;=PORPMFOMOD,ROUND(PTJEEXPESP2-(PTJEEXPESP2/(POWER(PORPMFOMOD,2)))*(POWER(I225-PORPMFOMOD,2)),3),IF(OR(I225&gt;=$I$21,ROUND((I225/PMFOMOD),3)&gt;=RELACIONPO),0,ROUND(PTJEEXPESP2-(1/$I$20)*(PTJEEXPESP2/(POWER(PORPMFOMOD,2)))*(POWER(I225-PORPMFOMOD,2)),3))),0)),"")</f>
        <v>#N/A</v>
      </c>
    </row>
    <row r="226" spans="2:10" ht="13.5" hidden="1">
      <c r="B226" s="230">
        <v>197</v>
      </c>
      <c r="C226" s="129" t="e">
        <f>IF(VLOOKUP(B226,PROPONENTES!$B$19:$E$219,2,0)="","",VLOOKUP(B226,PROPONENTES!$B$19:$E$219,2,0))</f>
        <v>#N/A</v>
      </c>
      <c r="D226" s="130" t="e">
        <f>IF(VLOOKUP(B226,PROPONENTES!$B$19:$E$218,3,0)="","",VLOOKUP(B226,PROPONENTES!$B$19:$E$218,3,0))</f>
        <v>#N/A</v>
      </c>
      <c r="E226" s="135" t="e">
        <f>IF(C226&lt;&gt;"",VLOOKUP(C226,HAB.EXP.ESP.!$C$27:$N$226,12),"")</f>
        <v>#N/A</v>
      </c>
      <c r="F226" s="245" t="e">
        <f>IF(C226&lt;&gt;"",VLOOKUP("M"&amp;C226,'EXP. ESP.'!$A$20:$V$6999,17,0),"")</f>
        <v>#N/A</v>
      </c>
      <c r="G226" s="342" t="e">
        <f>IF(C226&lt;&gt;"",VLOOKUP("P"&amp;C226,'EXP. ESP.'!$A$20:$V$6999,16,0),"")</f>
        <v>#N/A</v>
      </c>
      <c r="H226" s="342" t="e">
        <f>IF(C226&lt;&gt;"",IF(VLOOKUP(C226,HAB.EXP.ESP.!$C$27:$N$226,4,0)="NO CUMPLE",0,IF(E226="HÁBIL",IF(G226&lt;PPHMOD,ROUND((PTJEEXPESP1*(G226/PPHMOD)),3),IF(OR(ROUND(PTJEEXPESP1*(((3*PPHMOD)-G226)/(2*PPHMOD)),3)&lt;=0,G226&gt;=(3*PLAZOMOD)),0,ROUND(PTJEEXPESP1*(((3*PPHMOD)-G226)/(2*PPHMOD)),3))),0)),"")</f>
        <v>#N/A</v>
      </c>
      <c r="I226" s="352" t="e">
        <f>IF(C226&lt;&gt;"",VLOOKUP("S"&amp;C226,'EXP. ESP.'!$A$20:$V$6999,16,0),"")</f>
        <v>#N/A</v>
      </c>
      <c r="J226" s="358" t="e">
        <f>IF(C226&lt;&gt;"",IF(VLOOKUP(C226,HAB.EXP.ESP.!$C$27:$N$226,4,0)="NO CUMPLE",0,IF(E226="HÁBIL",IF(I226&lt;=PORPMFOMOD,ROUND(PTJEEXPESP2-(PTJEEXPESP2/(POWER(PORPMFOMOD,2)))*(POWER(I226-PORPMFOMOD,2)),3),IF(OR(I226&gt;=$I$21,ROUND((I226/PMFOMOD),3)&gt;=RELACIONPO),0,ROUND(PTJEEXPESP2-(1/$I$20)*(PTJEEXPESP2/(POWER(PORPMFOMOD,2)))*(POWER(I226-PORPMFOMOD,2)),3))),0)),"")</f>
        <v>#N/A</v>
      </c>
    </row>
    <row r="227" spans="2:10" ht="13.5" hidden="1">
      <c r="B227" s="231">
        <v>198</v>
      </c>
      <c r="C227" s="129" t="e">
        <f>IF(VLOOKUP(B227,PROPONENTES!$B$19:$E$219,2,0)="","",VLOOKUP(B227,PROPONENTES!$B$19:$E$219,2,0))</f>
        <v>#N/A</v>
      </c>
      <c r="D227" s="130" t="e">
        <f>IF(VLOOKUP(B227,PROPONENTES!$B$19:$E$218,3,0)="","",VLOOKUP(B227,PROPONENTES!$B$19:$E$218,3,0))</f>
        <v>#N/A</v>
      </c>
      <c r="E227" s="135" t="e">
        <f>IF(C227&lt;&gt;"",VLOOKUP(C227,HAB.EXP.ESP.!$C$27:$N$226,12),"")</f>
        <v>#N/A</v>
      </c>
      <c r="F227" s="245" t="e">
        <f>IF(C227&lt;&gt;"",VLOOKUP("M"&amp;C227,'EXP. ESP.'!$A$20:$V$6999,17,0),"")</f>
        <v>#N/A</v>
      </c>
      <c r="G227" s="342" t="e">
        <f>IF(C227&lt;&gt;"",VLOOKUP("P"&amp;C227,'EXP. ESP.'!$A$20:$V$6999,16,0),"")</f>
        <v>#N/A</v>
      </c>
      <c r="H227" s="342" t="e">
        <f>IF(C227&lt;&gt;"",IF(VLOOKUP(C227,HAB.EXP.ESP.!$C$27:$N$226,4,0)="NO CUMPLE",0,IF(E227="HÁBIL",IF(G227&lt;PPHMOD,ROUND((PTJEEXPESP1*(G227/PPHMOD)),3),IF(OR(ROUND(PTJEEXPESP1*(((3*PPHMOD)-G227)/(2*PPHMOD)),3)&lt;=0,G227&gt;=(3*PLAZOMOD)),0,ROUND(PTJEEXPESP1*(((3*PPHMOD)-G227)/(2*PPHMOD)),3))),0)),"")</f>
        <v>#N/A</v>
      </c>
      <c r="I227" s="352" t="e">
        <f>IF(C227&lt;&gt;"",VLOOKUP("S"&amp;C227,'EXP. ESP.'!$A$20:$V$6999,16,0),"")</f>
        <v>#N/A</v>
      </c>
      <c r="J227" s="358" t="e">
        <f>IF(C227&lt;&gt;"",IF(VLOOKUP(C227,HAB.EXP.ESP.!$C$27:$N$226,4,0)="NO CUMPLE",0,IF(E227="HÁBIL",IF(I227&lt;=PORPMFOMOD,ROUND(PTJEEXPESP2-(PTJEEXPESP2/(POWER(PORPMFOMOD,2)))*(POWER(I227-PORPMFOMOD,2)),3),IF(OR(I227&gt;=$I$21,ROUND((I227/PMFOMOD),3)&gt;=RELACIONPO),0,ROUND(PTJEEXPESP2-(1/$I$20)*(PTJEEXPESP2/(POWER(PORPMFOMOD,2)))*(POWER(I227-PORPMFOMOD,2)),3))),0)),"")</f>
        <v>#N/A</v>
      </c>
    </row>
    <row r="228" spans="2:10" ht="13.5" hidden="1">
      <c r="B228" s="231">
        <v>199</v>
      </c>
      <c r="C228" s="129" t="e">
        <f>IF(VLOOKUP(B228,PROPONENTES!$B$19:$E$219,2,0)="","",VLOOKUP(B228,PROPONENTES!$B$19:$E$219,2,0))</f>
        <v>#N/A</v>
      </c>
      <c r="D228" s="130" t="e">
        <f>IF(VLOOKUP(B228,PROPONENTES!$B$19:$E$218,3,0)="","",VLOOKUP(B228,PROPONENTES!$B$19:$E$218,3,0))</f>
        <v>#N/A</v>
      </c>
      <c r="E228" s="135" t="e">
        <f>IF(C228&lt;&gt;"",VLOOKUP(C228,HAB.EXP.ESP.!$C$27:$N$226,12),"")</f>
        <v>#N/A</v>
      </c>
      <c r="F228" s="245" t="e">
        <f>IF(C228&lt;&gt;"",VLOOKUP("M"&amp;C228,'EXP. ESP.'!$A$20:$V$6999,17,0),"")</f>
        <v>#N/A</v>
      </c>
      <c r="G228" s="342" t="e">
        <f>IF(C228&lt;&gt;"",VLOOKUP("P"&amp;C228,'EXP. ESP.'!$A$20:$V$6999,16,0),"")</f>
        <v>#N/A</v>
      </c>
      <c r="H228" s="342" t="e">
        <f>IF(C228&lt;&gt;"",IF(VLOOKUP(C228,HAB.EXP.ESP.!$C$27:$N$226,4,0)="NO CUMPLE",0,IF(E228="HÁBIL",IF(G228&lt;PPHMOD,ROUND((PTJEEXPESP1*(G228/PPHMOD)),3),IF(OR(ROUND(PTJEEXPESP1*(((3*PPHMOD)-G228)/(2*PPHMOD)),3)&lt;=0,G228&gt;=(3*PLAZOMOD)),0,ROUND(PTJEEXPESP1*(((3*PPHMOD)-G228)/(2*PPHMOD)),3))),0)),"")</f>
        <v>#N/A</v>
      </c>
      <c r="I228" s="352" t="e">
        <f>IF(C228&lt;&gt;"",VLOOKUP("S"&amp;C228,'EXP. ESP.'!$A$20:$V$6999,16,0),"")</f>
        <v>#N/A</v>
      </c>
      <c r="J228" s="358" t="e">
        <f>IF(C228&lt;&gt;"",IF(VLOOKUP(C228,HAB.EXP.ESP.!$C$27:$N$226,4,0)="NO CUMPLE",0,IF(E228="HÁBIL",IF(I228&lt;=PORPMFOMOD,ROUND(PTJEEXPESP2-(PTJEEXPESP2/(POWER(PORPMFOMOD,2)))*(POWER(I228-PORPMFOMOD,2)),3),IF(OR(I228&gt;=$I$21,ROUND((I228/PMFOMOD),3)&gt;=RELACIONPO),0,ROUND(PTJEEXPESP2-(1/$I$20)*(PTJEEXPESP2/(POWER(PORPMFOMOD,2)))*(POWER(I228-PORPMFOMOD,2)),3))),0)),"")</f>
        <v>#N/A</v>
      </c>
    </row>
    <row r="229" spans="2:10" ht="13.5" hidden="1">
      <c r="B229" s="231">
        <v>200</v>
      </c>
      <c r="C229" s="129" t="e">
        <f>IF(VLOOKUP(B229,PROPONENTES!$B$19:$E$219,2,0)="","",VLOOKUP(B229,PROPONENTES!$B$19:$E$219,2,0))</f>
        <v>#N/A</v>
      </c>
      <c r="D229" s="130" t="e">
        <f>IF(VLOOKUP(B229,PROPONENTES!$B$19:$E$218,3,0)="","",VLOOKUP(B229,PROPONENTES!$B$19:$E$218,3,0))</f>
        <v>#N/A</v>
      </c>
      <c r="E229" s="135" t="e">
        <f>IF(C229&lt;&gt;"",VLOOKUP(C229,HAB.EXP.ESP.!$C$27:$N$226,12),"")</f>
        <v>#N/A</v>
      </c>
      <c r="F229" s="245" t="e">
        <f>IF(C229&lt;&gt;"",VLOOKUP("M"&amp;C229,'EXP. ESP.'!$A$20:$V$6999,17,0),"")</f>
        <v>#N/A</v>
      </c>
      <c r="G229" s="342" t="e">
        <f>IF(C229&lt;&gt;"",VLOOKUP("P"&amp;C229,'EXP. ESP.'!$A$20:$V$6999,16,0),"")</f>
        <v>#N/A</v>
      </c>
      <c r="H229" s="342" t="e">
        <f>IF(C229&lt;&gt;"",IF(VLOOKUP(C229,HAB.EXP.ESP.!$C$27:$N$226,4,0)="NO CUMPLE",0,IF(E229="HÁBIL",IF(G229&lt;PPHMOD,ROUND((PTJEEXPESP1*(G229/PPHMOD)),3),IF(OR(ROUND(PTJEEXPESP1*(((3*PPHMOD)-G229)/(2*PPHMOD)),3)&lt;=0,G229&gt;=(3*PLAZOMOD)),0,ROUND(PTJEEXPESP1*(((3*PPHMOD)-G229)/(2*PPHMOD)),3))),0)),"")</f>
        <v>#N/A</v>
      </c>
      <c r="I229" s="352" t="e">
        <f>IF(C229&lt;&gt;"",VLOOKUP("S"&amp;C229,'EXP. ESP.'!$A$20:$V$6999,16,0),"")</f>
        <v>#N/A</v>
      </c>
      <c r="J229" s="358" t="e">
        <f>IF(C229&lt;&gt;"",IF(VLOOKUP(C229,HAB.EXP.ESP.!$C$27:$N$226,4,0)="NO CUMPLE",0,IF(E229="HÁBIL",IF(I229&lt;=PORPMFOMOD,ROUND(PTJEEXPESP2-(PTJEEXPESP2/(POWER(PORPMFOMOD,2)))*(POWER(I229-PORPMFOMOD,2)),3),IF(OR(I229&gt;=$I$21,ROUND((I229/PMFOMOD),3)&gt;=RELACIONPO),0,ROUND(PTJEEXPESP2-(1/$I$20)*(PTJEEXPESP2/(POWER(PORPMFOMOD,2)))*(POWER(I229-PORPMFOMOD,2)),3))),0)),"")</f>
        <v>#N/A</v>
      </c>
    </row>
    <row r="230" spans="2:10" ht="6.75" customHeight="1" thickBot="1">
      <c r="B230" s="232"/>
      <c r="C230" s="233"/>
      <c r="D230" s="234"/>
      <c r="E230" s="234"/>
      <c r="F230" s="235"/>
      <c r="G230" s="235"/>
      <c r="H230" s="235"/>
      <c r="I230" s="235"/>
      <c r="J230" s="236"/>
    </row>
    <row r="231" spans="2:10" ht="18" customHeight="1">
      <c r="B231" s="131"/>
      <c r="C231" s="131"/>
      <c r="D231" s="132"/>
      <c r="E231" s="132"/>
      <c r="F231" s="133"/>
      <c r="G231" s="133"/>
      <c r="H231" s="133"/>
      <c r="I231" s="133"/>
      <c r="J231" s="133"/>
    </row>
  </sheetData>
  <sheetProtection insertRows="0" deleteRows="0" selectLockedCells="1"/>
  <mergeCells count="38">
    <mergeCell ref="C14:I14"/>
    <mergeCell ref="F15:I15"/>
    <mergeCell ref="F16:H16"/>
    <mergeCell ref="F17:H17"/>
    <mergeCell ref="F19:H19"/>
    <mergeCell ref="C17:D17"/>
    <mergeCell ref="F18:H18"/>
    <mergeCell ref="C18:D18"/>
    <mergeCell ref="C16:D16"/>
    <mergeCell ref="C19:D19"/>
    <mergeCell ref="C15:E15"/>
    <mergeCell ref="M27:M28"/>
    <mergeCell ref="B26:B28"/>
    <mergeCell ref="C26:C28"/>
    <mergeCell ref="D26:D28"/>
    <mergeCell ref="F26:F27"/>
    <mergeCell ref="D24:E24"/>
    <mergeCell ref="I26:J26"/>
    <mergeCell ref="E26:E28"/>
    <mergeCell ref="C22:D22"/>
    <mergeCell ref="F20:H20"/>
    <mergeCell ref="C20:D20"/>
    <mergeCell ref="C21:D21"/>
    <mergeCell ref="B25:J25"/>
    <mergeCell ref="G26:H26"/>
    <mergeCell ref="C23:D23"/>
    <mergeCell ref="F23:H23"/>
    <mergeCell ref="F22:H22"/>
    <mergeCell ref="F21:H21"/>
    <mergeCell ref="B9:J9"/>
    <mergeCell ref="B11:J11"/>
    <mergeCell ref="B12:J12"/>
    <mergeCell ref="B1:J1"/>
    <mergeCell ref="B2:J2"/>
    <mergeCell ref="B3:J3"/>
    <mergeCell ref="B4:J4"/>
    <mergeCell ref="B6:J6"/>
    <mergeCell ref="B7:J7"/>
  </mergeCells>
  <conditionalFormatting sqref="B30:D229 F30:J229">
    <cfRule type="expression" dxfId="50" priority="18" stopIfTrue="1">
      <formula>MOD(ROW(),2)</formula>
    </cfRule>
  </conditionalFormatting>
  <conditionalFormatting sqref="J30:J229">
    <cfRule type="cellIs" dxfId="49" priority="16" stopIfTrue="1" operator="equal">
      <formula>"NO HABILITADO"</formula>
    </cfRule>
  </conditionalFormatting>
  <conditionalFormatting sqref="F30:J229">
    <cfRule type="cellIs" dxfId="48" priority="14" stopIfTrue="1" operator="equal">
      <formula>"CUMPLE"</formula>
    </cfRule>
    <cfRule type="cellIs" dxfId="47" priority="15" stopIfTrue="1" operator="equal">
      <formula>"NO CUMPLE"</formula>
    </cfRule>
    <cfRule type="cellIs" dxfId="46" priority="17" stopIfTrue="1" operator="equal">
      <formula>"PENDIENTE"</formula>
    </cfRule>
  </conditionalFormatting>
  <conditionalFormatting sqref="E30:E229">
    <cfRule type="cellIs" dxfId="45" priority="2" stopIfTrue="1" operator="equal">
      <formula>"CUMPLE"</formula>
    </cfRule>
    <cfRule type="cellIs" dxfId="44" priority="3" stopIfTrue="1" operator="equal">
      <formula>"NO CUMPLE"</formula>
    </cfRule>
    <cfRule type="cellIs" dxfId="43" priority="4" stopIfTrue="1" operator="equal">
      <formula>"HÁBIL"</formula>
    </cfRule>
    <cfRule type="cellIs" dxfId="42" priority="5" stopIfTrue="1" operator="equal">
      <formula>"NO HÁBIL"</formula>
    </cfRule>
    <cfRule type="cellIs" dxfId="41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49" fitToHeight="0" orientation="portrait" horizontalDpi="1200" vertic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theme="4" tint="0.59999389629810485"/>
    <pageSetUpPr fitToPage="1"/>
  </sheetPr>
  <dimension ref="A1:D220"/>
  <sheetViews>
    <sheetView showGridLines="0" topLeftCell="A7" zoomScaleNormal="100" workbookViewId="0">
      <selection activeCell="D21" sqref="D21"/>
    </sheetView>
  </sheetViews>
  <sheetFormatPr baseColWidth="10" defaultRowHeight="15"/>
  <cols>
    <col min="1" max="1" width="3.85546875" style="258" customWidth="1"/>
    <col min="2" max="2" width="14" style="258" customWidth="1"/>
    <col min="3" max="3" width="45" style="258" customWidth="1"/>
    <col min="4" max="4" width="14.42578125" style="258" customWidth="1"/>
    <col min="5" max="16384" width="11.42578125" style="258"/>
  </cols>
  <sheetData>
    <row r="1" spans="1:4" s="4" customFormat="1" ht="15" customHeight="1">
      <c r="A1" s="248"/>
      <c r="B1" s="867" t="str">
        <f>PROPONENTES!B1</f>
        <v>INSTITUTO NACIONAL DE VÍAS</v>
      </c>
      <c r="C1" s="867"/>
      <c r="D1" s="867"/>
    </row>
    <row r="2" spans="1:4" s="2" customFormat="1" ht="15" customHeight="1">
      <c r="A2" s="251"/>
      <c r="B2" s="867" t="str">
        <f>PROPONENTES!B2</f>
        <v>DIRECCIÓN TERRITORIAL HUILA</v>
      </c>
      <c r="C2" s="867"/>
      <c r="D2" s="867"/>
    </row>
    <row r="3" spans="1:4" s="2" customFormat="1" ht="15" customHeight="1">
      <c r="A3" s="251"/>
      <c r="B3" s="867"/>
      <c r="C3" s="867"/>
      <c r="D3" s="867"/>
    </row>
    <row r="4" spans="1:4" s="2" customFormat="1" ht="12.75" customHeight="1">
      <c r="A4" s="251"/>
      <c r="B4" s="867"/>
      <c r="C4" s="867"/>
      <c r="D4" s="867"/>
    </row>
    <row r="5" spans="1:4" s="2" customFormat="1" ht="12.75">
      <c r="A5" s="251"/>
      <c r="B5" s="249"/>
      <c r="C5" s="3"/>
      <c r="D5" s="252"/>
    </row>
    <row r="6" spans="1:4" s="2" customFormat="1" ht="12.75">
      <c r="A6" s="251"/>
      <c r="B6" s="867" t="str">
        <f>+PROPONENTES!B6</f>
        <v>CONCURSO DE MÉRITOS ABIERTO</v>
      </c>
      <c r="C6" s="867"/>
      <c r="D6" s="867"/>
    </row>
    <row r="7" spans="1:4" s="6" customFormat="1" ht="12.75">
      <c r="A7" s="251"/>
      <c r="B7" s="867" t="str">
        <f>PROPONENTES!B7</f>
        <v>CMA-DT-HUI-002-2019</v>
      </c>
      <c r="C7" s="867"/>
      <c r="D7" s="867"/>
    </row>
    <row r="8" spans="1:4" s="6" customFormat="1" ht="12.75" customHeight="1">
      <c r="A8" s="251"/>
      <c r="B8" s="249"/>
      <c r="C8" s="3"/>
      <c r="D8" s="253"/>
    </row>
    <row r="9" spans="1:4" s="6" customFormat="1" ht="12.75" customHeight="1">
      <c r="A9" s="251"/>
      <c r="B9" s="867" t="str">
        <f>PROPONENTES!B9</f>
        <v>OBJETO: "INTERVENTORIA TECNICA, ADMINISTRATIVA, FINANCIERA, AMBIENTAL , ATENCIÓN SITIOS CRITICOS CONSTRUCCIÓN PUENTE QUEBRADA PÌEDRAS NEGRAS MUNICIPIO DE SALADOBLANCO CARRETERA LA CABAÑA-MORELIA, CÓDIGO 19787 (PRODUCTO SITIO CRÍTICO DE RED TERCIARIA ESTABILIZADA).”</v>
      </c>
      <c r="C9" s="867"/>
      <c r="D9" s="867"/>
    </row>
    <row r="10" spans="1:4" s="6" customFormat="1" ht="12.75" customHeight="1">
      <c r="A10" s="251"/>
      <c r="B10" s="249"/>
      <c r="C10" s="3"/>
      <c r="D10" s="253"/>
    </row>
    <row r="11" spans="1:4" s="6" customFormat="1" ht="12.75">
      <c r="A11" s="251"/>
      <c r="B11" s="868" t="str">
        <f>PROPONENTES!B11</f>
        <v>MÓDULO No. 1</v>
      </c>
      <c r="C11" s="868"/>
      <c r="D11" s="868"/>
    </row>
    <row r="12" spans="1:4" s="6" customFormat="1" ht="15.75">
      <c r="A12" s="251"/>
      <c r="B12" s="254"/>
      <c r="C12" s="255"/>
      <c r="D12" s="253"/>
    </row>
    <row r="13" spans="1:4" s="6" customFormat="1" ht="12.75">
      <c r="A13" s="251"/>
      <c r="B13" s="641" t="s">
        <v>348</v>
      </c>
      <c r="C13" s="641"/>
      <c r="D13" s="641"/>
    </row>
    <row r="14" spans="1:4">
      <c r="A14" s="256"/>
      <c r="B14" s="641" t="s">
        <v>338</v>
      </c>
      <c r="C14" s="641"/>
      <c r="D14" s="641"/>
    </row>
    <row r="15" spans="1:4" ht="15.75" thickBot="1"/>
    <row r="16" spans="1:4" ht="24" customHeight="1" thickTop="1">
      <c r="B16" s="869" t="s">
        <v>139</v>
      </c>
      <c r="C16" s="871" t="s">
        <v>16</v>
      </c>
      <c r="D16" s="873" t="s">
        <v>23</v>
      </c>
    </row>
    <row r="17" spans="2:4" ht="24" customHeight="1" thickBot="1">
      <c r="B17" s="870"/>
      <c r="C17" s="872"/>
      <c r="D17" s="874"/>
    </row>
    <row r="18" spans="2:4" ht="4.5" customHeight="1">
      <c r="B18" s="259"/>
      <c r="C18" s="260"/>
      <c r="D18" s="261"/>
    </row>
    <row r="19" spans="2:4">
      <c r="B19" s="262">
        <f>PROPONENTES!C19</f>
        <v>1</v>
      </c>
      <c r="C19" s="263" t="str">
        <f>VLOOKUP(B19,PROPONENTES!$C$19:$D$218,2,FALSE)</f>
        <v>CONSORCIO JC 2019</v>
      </c>
      <c r="D19" s="264">
        <v>10</v>
      </c>
    </row>
    <row r="20" spans="2:4">
      <c r="B20" s="262">
        <f>PROPONENTES!C20</f>
        <v>2</v>
      </c>
      <c r="C20" s="263" t="str">
        <f>VLOOKUP(B20,PROPONENTES!$C$19:$D$218,2,FALSE)</f>
        <v>CONSORCIO MORELIA JPD</v>
      </c>
      <c r="D20" s="264">
        <v>10</v>
      </c>
    </row>
    <row r="21" spans="2:4">
      <c r="B21" s="262">
        <f>PROPONENTES!C21</f>
        <v>3</v>
      </c>
      <c r="C21" s="263" t="str">
        <f>VLOOKUP(B21,PROPONENTES!$C$19:$D$218,2,FALSE)</f>
        <v>UCING LTDA</v>
      </c>
      <c r="D21" s="264">
        <v>0</v>
      </c>
    </row>
    <row r="22" spans="2:4">
      <c r="B22" s="262">
        <f>PROPONENTES!C22</f>
        <v>4</v>
      </c>
      <c r="C22" s="263" t="str">
        <f>VLOOKUP(B22,PROPONENTES!$C$19:$D$218,2,FALSE)</f>
        <v>SOTA</v>
      </c>
      <c r="D22" s="264">
        <v>10</v>
      </c>
    </row>
    <row r="23" spans="2:4">
      <c r="B23" s="262"/>
      <c r="C23" s="263"/>
      <c r="D23" s="264"/>
    </row>
    <row r="24" spans="2:4">
      <c r="B24" s="262"/>
      <c r="C24" s="263"/>
      <c r="D24" s="264"/>
    </row>
    <row r="25" spans="2:4">
      <c r="B25" s="262"/>
      <c r="C25" s="263"/>
      <c r="D25" s="264"/>
    </row>
    <row r="26" spans="2:4">
      <c r="B26" s="262"/>
      <c r="C26" s="263"/>
      <c r="D26" s="264"/>
    </row>
    <row r="27" spans="2:4">
      <c r="B27" s="262"/>
      <c r="C27" s="263"/>
      <c r="D27" s="264"/>
    </row>
    <row r="28" spans="2:4">
      <c r="B28" s="262"/>
      <c r="C28" s="263"/>
      <c r="D28" s="264"/>
    </row>
    <row r="29" spans="2:4">
      <c r="B29" s="262"/>
      <c r="C29" s="263"/>
      <c r="D29" s="264"/>
    </row>
    <row r="30" spans="2:4">
      <c r="B30" s="262"/>
      <c r="C30" s="263"/>
      <c r="D30" s="264"/>
    </row>
    <row r="31" spans="2:4">
      <c r="B31" s="262"/>
      <c r="C31" s="263"/>
      <c r="D31" s="264"/>
    </row>
    <row r="32" spans="2:4">
      <c r="B32" s="262"/>
      <c r="C32" s="263"/>
      <c r="D32" s="264"/>
    </row>
    <row r="33" spans="2:4" hidden="1">
      <c r="B33" s="262">
        <f>PROPONENTES!C33</f>
        <v>0</v>
      </c>
      <c r="C33" s="263" t="e">
        <f>VLOOKUP(B33,PROPONENTES!$C$19:$D$218,2,FALSE)</f>
        <v>#N/A</v>
      </c>
      <c r="D33" s="264"/>
    </row>
    <row r="34" spans="2:4" hidden="1">
      <c r="B34" s="262">
        <f>PROPONENTES!C34</f>
        <v>0</v>
      </c>
      <c r="C34" s="263" t="e">
        <f>VLOOKUP(B34,PROPONENTES!$C$19:$D$218,2,FALSE)</f>
        <v>#N/A</v>
      </c>
      <c r="D34" s="264"/>
    </row>
    <row r="35" spans="2:4" hidden="1">
      <c r="B35" s="262">
        <f>PROPONENTES!C35</f>
        <v>0</v>
      </c>
      <c r="C35" s="263" t="e">
        <f>VLOOKUP(B35,PROPONENTES!$C$19:$D$218,2,FALSE)</f>
        <v>#N/A</v>
      </c>
      <c r="D35" s="264"/>
    </row>
    <row r="36" spans="2:4" hidden="1">
      <c r="B36" s="262">
        <f>PROPONENTES!C36</f>
        <v>0</v>
      </c>
      <c r="C36" s="263" t="e">
        <f>VLOOKUP(B36,PROPONENTES!$C$19:$D$218,2,FALSE)</f>
        <v>#N/A</v>
      </c>
      <c r="D36" s="264"/>
    </row>
    <row r="37" spans="2:4" hidden="1">
      <c r="B37" s="262">
        <f>PROPONENTES!C37</f>
        <v>0</v>
      </c>
      <c r="C37" s="263" t="e">
        <f>VLOOKUP(B37,PROPONENTES!$C$19:$D$218,2,FALSE)</f>
        <v>#N/A</v>
      </c>
      <c r="D37" s="264"/>
    </row>
    <row r="38" spans="2:4" hidden="1">
      <c r="B38" s="262">
        <f>PROPONENTES!C38</f>
        <v>0</v>
      </c>
      <c r="C38" s="263" t="e">
        <f>VLOOKUP(B38,PROPONENTES!$C$19:$D$218,2,FALSE)</f>
        <v>#N/A</v>
      </c>
      <c r="D38" s="264"/>
    </row>
    <row r="39" spans="2:4" hidden="1">
      <c r="B39" s="262">
        <f>PROPONENTES!C39</f>
        <v>0</v>
      </c>
      <c r="C39" s="263" t="e">
        <f>VLOOKUP(B39,PROPONENTES!$C$19:$D$218,2,FALSE)</f>
        <v>#N/A</v>
      </c>
      <c r="D39" s="264"/>
    </row>
    <row r="40" spans="2:4" hidden="1">
      <c r="B40" s="262">
        <f>PROPONENTES!C40</f>
        <v>0</v>
      </c>
      <c r="C40" s="263" t="e">
        <f>VLOOKUP(B40,PROPONENTES!$C$19:$D$218,2,FALSE)</f>
        <v>#N/A</v>
      </c>
      <c r="D40" s="264"/>
    </row>
    <row r="41" spans="2:4" hidden="1">
      <c r="B41" s="262">
        <f>PROPONENTES!C41</f>
        <v>0</v>
      </c>
      <c r="C41" s="263" t="e">
        <f>VLOOKUP(B41,PROPONENTES!$C$19:$D$218,2,FALSE)</f>
        <v>#N/A</v>
      </c>
      <c r="D41" s="264"/>
    </row>
    <row r="42" spans="2:4" hidden="1">
      <c r="B42" s="262">
        <f>PROPONENTES!C42</f>
        <v>0</v>
      </c>
      <c r="C42" s="263" t="e">
        <f>VLOOKUP(B42,PROPONENTES!$C$19:$D$218,2,FALSE)</f>
        <v>#N/A</v>
      </c>
      <c r="D42" s="264"/>
    </row>
    <row r="43" spans="2:4" hidden="1">
      <c r="B43" s="262">
        <f>PROPONENTES!C43</f>
        <v>0</v>
      </c>
      <c r="C43" s="263" t="e">
        <f>VLOOKUP(B43,PROPONENTES!$C$19:$D$218,2,FALSE)</f>
        <v>#N/A</v>
      </c>
      <c r="D43" s="264"/>
    </row>
    <row r="44" spans="2:4" hidden="1">
      <c r="B44" s="262">
        <f>PROPONENTES!C44</f>
        <v>0</v>
      </c>
      <c r="C44" s="263" t="e">
        <f>VLOOKUP(B44,PROPONENTES!$C$19:$D$218,2,FALSE)</f>
        <v>#N/A</v>
      </c>
      <c r="D44" s="264"/>
    </row>
    <row r="45" spans="2:4" hidden="1">
      <c r="B45" s="262">
        <f>PROPONENTES!C45</f>
        <v>0</v>
      </c>
      <c r="C45" s="263" t="e">
        <f>VLOOKUP(B45,PROPONENTES!$C$19:$D$218,2,FALSE)</f>
        <v>#N/A</v>
      </c>
      <c r="D45" s="264"/>
    </row>
    <row r="46" spans="2:4" hidden="1">
      <c r="B46" s="262">
        <f>PROPONENTES!C46</f>
        <v>0</v>
      </c>
      <c r="C46" s="263" t="e">
        <f>VLOOKUP(B46,PROPONENTES!$C$19:$D$218,2,FALSE)</f>
        <v>#N/A</v>
      </c>
      <c r="D46" s="264"/>
    </row>
    <row r="47" spans="2:4" hidden="1">
      <c r="B47" s="262">
        <f>PROPONENTES!C47</f>
        <v>0</v>
      </c>
      <c r="C47" s="263" t="e">
        <f>VLOOKUP(B47,PROPONENTES!$C$19:$D$218,2,FALSE)</f>
        <v>#N/A</v>
      </c>
      <c r="D47" s="264"/>
    </row>
    <row r="48" spans="2:4" hidden="1">
      <c r="B48" s="262">
        <f>PROPONENTES!C48</f>
        <v>0</v>
      </c>
      <c r="C48" s="263" t="e">
        <f>VLOOKUP(B48,PROPONENTES!$C$19:$D$218,2,FALSE)</f>
        <v>#N/A</v>
      </c>
      <c r="D48" s="264"/>
    </row>
    <row r="49" spans="2:4" hidden="1">
      <c r="B49" s="262">
        <f>PROPONENTES!C49</f>
        <v>0</v>
      </c>
      <c r="C49" s="263" t="e">
        <f>VLOOKUP(B49,PROPONENTES!$C$19:$D$218,2,FALSE)</f>
        <v>#N/A</v>
      </c>
      <c r="D49" s="264"/>
    </row>
    <row r="50" spans="2:4" hidden="1">
      <c r="B50" s="262">
        <f>PROPONENTES!C50</f>
        <v>0</v>
      </c>
      <c r="C50" s="263" t="e">
        <f>VLOOKUP(B50,PROPONENTES!$C$19:$D$218,2,FALSE)</f>
        <v>#N/A</v>
      </c>
      <c r="D50" s="264"/>
    </row>
    <row r="51" spans="2:4" hidden="1">
      <c r="B51" s="262">
        <f>PROPONENTES!C51</f>
        <v>0</v>
      </c>
      <c r="C51" s="263" t="e">
        <f>VLOOKUP(B51,PROPONENTES!$C$19:$D$218,2,FALSE)</f>
        <v>#N/A</v>
      </c>
      <c r="D51" s="264"/>
    </row>
    <row r="52" spans="2:4" hidden="1">
      <c r="B52" s="262">
        <f>PROPONENTES!C52</f>
        <v>0</v>
      </c>
      <c r="C52" s="263" t="e">
        <f>VLOOKUP(B52,PROPONENTES!$C$19:$D$218,2,FALSE)</f>
        <v>#N/A</v>
      </c>
      <c r="D52" s="264"/>
    </row>
    <row r="53" spans="2:4" hidden="1">
      <c r="B53" s="262">
        <f>PROPONENTES!C53</f>
        <v>0</v>
      </c>
      <c r="C53" s="263" t="e">
        <f>VLOOKUP(B53,PROPONENTES!$C$19:$D$218,2,FALSE)</f>
        <v>#N/A</v>
      </c>
      <c r="D53" s="264"/>
    </row>
    <row r="54" spans="2:4" hidden="1">
      <c r="B54" s="262">
        <f>PROPONENTES!C54</f>
        <v>0</v>
      </c>
      <c r="C54" s="263" t="e">
        <f>VLOOKUP(B54,PROPONENTES!$C$19:$D$218,2,FALSE)</f>
        <v>#N/A</v>
      </c>
      <c r="D54" s="264"/>
    </row>
    <row r="55" spans="2:4" hidden="1">
      <c r="B55" s="262">
        <f>PROPONENTES!C55</f>
        <v>0</v>
      </c>
      <c r="C55" s="263" t="e">
        <f>VLOOKUP(B55,PROPONENTES!$C$19:$D$218,2,FALSE)</f>
        <v>#N/A</v>
      </c>
      <c r="D55" s="264"/>
    </row>
    <row r="56" spans="2:4" hidden="1">
      <c r="B56" s="262">
        <f>PROPONENTES!C56</f>
        <v>0</v>
      </c>
      <c r="C56" s="263" t="e">
        <f>VLOOKUP(B56,PROPONENTES!$C$19:$D$218,2,FALSE)</f>
        <v>#N/A</v>
      </c>
      <c r="D56" s="264"/>
    </row>
    <row r="57" spans="2:4" hidden="1">
      <c r="B57" s="262">
        <f>PROPONENTES!C57</f>
        <v>0</v>
      </c>
      <c r="C57" s="263" t="e">
        <f>VLOOKUP(B57,PROPONENTES!$C$19:$D$218,2,FALSE)</f>
        <v>#N/A</v>
      </c>
      <c r="D57" s="264"/>
    </row>
    <row r="58" spans="2:4" hidden="1">
      <c r="B58" s="262">
        <f>PROPONENTES!C58</f>
        <v>0</v>
      </c>
      <c r="C58" s="263" t="e">
        <f>VLOOKUP(B58,PROPONENTES!$C$19:$D$218,2,FALSE)</f>
        <v>#N/A</v>
      </c>
      <c r="D58" s="264"/>
    </row>
    <row r="59" spans="2:4" hidden="1">
      <c r="B59" s="262">
        <f>PROPONENTES!C59</f>
        <v>0</v>
      </c>
      <c r="C59" s="263" t="e">
        <f>VLOOKUP(B59,PROPONENTES!$C$19:$D$218,2,FALSE)</f>
        <v>#N/A</v>
      </c>
      <c r="D59" s="264"/>
    </row>
    <row r="60" spans="2:4" hidden="1">
      <c r="B60" s="262">
        <f>PROPONENTES!C60</f>
        <v>0</v>
      </c>
      <c r="C60" s="263" t="e">
        <f>VLOOKUP(B60,PROPONENTES!$C$19:$D$218,2,FALSE)</f>
        <v>#N/A</v>
      </c>
      <c r="D60" s="264"/>
    </row>
    <row r="61" spans="2:4" hidden="1">
      <c r="B61" s="262">
        <f>PROPONENTES!C61</f>
        <v>0</v>
      </c>
      <c r="C61" s="263" t="e">
        <f>VLOOKUP(B61,PROPONENTES!$C$19:$D$218,2,FALSE)</f>
        <v>#N/A</v>
      </c>
      <c r="D61" s="264"/>
    </row>
    <row r="62" spans="2:4" hidden="1">
      <c r="B62" s="262">
        <f>PROPONENTES!C62</f>
        <v>0</v>
      </c>
      <c r="C62" s="263" t="e">
        <f>VLOOKUP(B62,PROPONENTES!$C$19:$D$218,2,FALSE)</f>
        <v>#N/A</v>
      </c>
      <c r="D62" s="264"/>
    </row>
    <row r="63" spans="2:4" hidden="1">
      <c r="B63" s="262">
        <f>PROPONENTES!C63</f>
        <v>0</v>
      </c>
      <c r="C63" s="263" t="e">
        <f>VLOOKUP(B63,PROPONENTES!$C$19:$D$218,2,FALSE)</f>
        <v>#N/A</v>
      </c>
      <c r="D63" s="264"/>
    </row>
    <row r="64" spans="2:4" hidden="1">
      <c r="B64" s="262">
        <f>PROPONENTES!C64</f>
        <v>0</v>
      </c>
      <c r="C64" s="263" t="e">
        <f>VLOOKUP(B64,PROPONENTES!$C$19:$D$218,2,FALSE)</f>
        <v>#N/A</v>
      </c>
      <c r="D64" s="264"/>
    </row>
    <row r="65" spans="2:4" hidden="1">
      <c r="B65" s="262">
        <f>PROPONENTES!C65</f>
        <v>0</v>
      </c>
      <c r="C65" s="263" t="e">
        <f>VLOOKUP(B65,PROPONENTES!$C$19:$D$218,2,FALSE)</f>
        <v>#N/A</v>
      </c>
      <c r="D65" s="264"/>
    </row>
    <row r="66" spans="2:4" hidden="1">
      <c r="B66" s="262">
        <f>PROPONENTES!C66</f>
        <v>0</v>
      </c>
      <c r="C66" s="263" t="e">
        <f>VLOOKUP(B66,PROPONENTES!$C$19:$D$218,2,FALSE)</f>
        <v>#N/A</v>
      </c>
      <c r="D66" s="264"/>
    </row>
    <row r="67" spans="2:4" hidden="1">
      <c r="B67" s="262">
        <f>PROPONENTES!C67</f>
        <v>0</v>
      </c>
      <c r="C67" s="263" t="e">
        <f>VLOOKUP(B67,PROPONENTES!$C$19:$D$218,2,FALSE)</f>
        <v>#N/A</v>
      </c>
      <c r="D67" s="264"/>
    </row>
    <row r="68" spans="2:4" hidden="1">
      <c r="B68" s="262">
        <f>PROPONENTES!C68</f>
        <v>0</v>
      </c>
      <c r="C68" s="263" t="e">
        <f>VLOOKUP(B68,PROPONENTES!$C$19:$D$218,2,FALSE)</f>
        <v>#N/A</v>
      </c>
      <c r="D68" s="264"/>
    </row>
    <row r="69" spans="2:4" hidden="1">
      <c r="B69" s="262">
        <f>PROPONENTES!C69</f>
        <v>0</v>
      </c>
      <c r="C69" s="263" t="e">
        <f>VLOOKUP(B69,PROPONENTES!$C$19:$D$218,2,FALSE)</f>
        <v>#N/A</v>
      </c>
      <c r="D69" s="264"/>
    </row>
    <row r="70" spans="2:4" hidden="1">
      <c r="B70" s="262">
        <f>PROPONENTES!C70</f>
        <v>0</v>
      </c>
      <c r="C70" s="263" t="e">
        <f>VLOOKUP(B70,PROPONENTES!$C$19:$D$218,2,FALSE)</f>
        <v>#N/A</v>
      </c>
      <c r="D70" s="264"/>
    </row>
    <row r="71" spans="2:4" hidden="1">
      <c r="B71" s="262">
        <f>PROPONENTES!C71</f>
        <v>0</v>
      </c>
      <c r="C71" s="263" t="e">
        <f>VLOOKUP(B71,PROPONENTES!$C$19:$D$218,2,FALSE)</f>
        <v>#N/A</v>
      </c>
      <c r="D71" s="264"/>
    </row>
    <row r="72" spans="2:4" hidden="1">
      <c r="B72" s="262">
        <f>PROPONENTES!C72</f>
        <v>0</v>
      </c>
      <c r="C72" s="263" t="e">
        <f>VLOOKUP(B72,PROPONENTES!$C$19:$D$218,2,FALSE)</f>
        <v>#N/A</v>
      </c>
      <c r="D72" s="264"/>
    </row>
    <row r="73" spans="2:4" hidden="1">
      <c r="B73" s="262">
        <f>PROPONENTES!C73</f>
        <v>0</v>
      </c>
      <c r="C73" s="263" t="e">
        <f>VLOOKUP(B73,PROPONENTES!$C$19:$D$218,2,FALSE)</f>
        <v>#N/A</v>
      </c>
      <c r="D73" s="264"/>
    </row>
    <row r="74" spans="2:4" hidden="1">
      <c r="B74" s="262">
        <f>PROPONENTES!C74</f>
        <v>0</v>
      </c>
      <c r="C74" s="263" t="e">
        <f>VLOOKUP(B74,PROPONENTES!$C$19:$D$218,2,FALSE)</f>
        <v>#N/A</v>
      </c>
      <c r="D74" s="264"/>
    </row>
    <row r="75" spans="2:4" hidden="1">
      <c r="B75" s="262">
        <f>PROPONENTES!C75</f>
        <v>0</v>
      </c>
      <c r="C75" s="263" t="e">
        <f>VLOOKUP(B75,PROPONENTES!$C$19:$D$218,2,FALSE)</f>
        <v>#N/A</v>
      </c>
      <c r="D75" s="264"/>
    </row>
    <row r="76" spans="2:4" hidden="1">
      <c r="B76" s="262">
        <f>PROPONENTES!C76</f>
        <v>0</v>
      </c>
      <c r="C76" s="263" t="e">
        <f>VLOOKUP(B76,PROPONENTES!$C$19:$D$218,2,FALSE)</f>
        <v>#N/A</v>
      </c>
      <c r="D76" s="264"/>
    </row>
    <row r="77" spans="2:4" hidden="1">
      <c r="B77" s="262">
        <f>PROPONENTES!C77</f>
        <v>0</v>
      </c>
      <c r="C77" s="263" t="e">
        <f>VLOOKUP(B77,PROPONENTES!$C$19:$D$218,2,FALSE)</f>
        <v>#N/A</v>
      </c>
      <c r="D77" s="264"/>
    </row>
    <row r="78" spans="2:4" hidden="1">
      <c r="B78" s="262">
        <f>PROPONENTES!C78</f>
        <v>0</v>
      </c>
      <c r="C78" s="263" t="e">
        <f>VLOOKUP(B78,PROPONENTES!$C$19:$D$218,2,FALSE)</f>
        <v>#N/A</v>
      </c>
      <c r="D78" s="264"/>
    </row>
    <row r="79" spans="2:4" hidden="1">
      <c r="B79" s="262">
        <f>PROPONENTES!C79</f>
        <v>0</v>
      </c>
      <c r="C79" s="263" t="e">
        <f>VLOOKUP(B79,PROPONENTES!$C$19:$D$218,2,FALSE)</f>
        <v>#N/A</v>
      </c>
      <c r="D79" s="264"/>
    </row>
    <row r="80" spans="2:4" hidden="1">
      <c r="B80" s="262">
        <f>PROPONENTES!C80</f>
        <v>0</v>
      </c>
      <c r="C80" s="263" t="e">
        <f>VLOOKUP(B80,PROPONENTES!$C$19:$D$218,2,FALSE)</f>
        <v>#N/A</v>
      </c>
      <c r="D80" s="264"/>
    </row>
    <row r="81" spans="2:4" hidden="1">
      <c r="B81" s="262">
        <f>PROPONENTES!C81</f>
        <v>0</v>
      </c>
      <c r="C81" s="263" t="e">
        <f>VLOOKUP(B81,PROPONENTES!$C$19:$D$218,2,FALSE)</f>
        <v>#N/A</v>
      </c>
      <c r="D81" s="264"/>
    </row>
    <row r="82" spans="2:4" hidden="1">
      <c r="B82" s="262">
        <f>PROPONENTES!C82</f>
        <v>0</v>
      </c>
      <c r="C82" s="263" t="e">
        <f>VLOOKUP(B82,PROPONENTES!$C$19:$D$218,2,FALSE)</f>
        <v>#N/A</v>
      </c>
      <c r="D82" s="264"/>
    </row>
    <row r="83" spans="2:4" hidden="1">
      <c r="B83" s="262">
        <f>PROPONENTES!C83</f>
        <v>0</v>
      </c>
      <c r="C83" s="263" t="e">
        <f>VLOOKUP(B83,PROPONENTES!$C$19:$D$218,2,FALSE)</f>
        <v>#N/A</v>
      </c>
      <c r="D83" s="264"/>
    </row>
    <row r="84" spans="2:4" hidden="1">
      <c r="B84" s="262">
        <f>PROPONENTES!C84</f>
        <v>0</v>
      </c>
      <c r="C84" s="263" t="e">
        <f>VLOOKUP(B84,PROPONENTES!$C$19:$D$218,2,FALSE)</f>
        <v>#N/A</v>
      </c>
      <c r="D84" s="264"/>
    </row>
    <row r="85" spans="2:4" hidden="1">
      <c r="B85" s="262">
        <f>PROPONENTES!C85</f>
        <v>0</v>
      </c>
      <c r="C85" s="263" t="e">
        <f>VLOOKUP(B85,PROPONENTES!$C$19:$D$218,2,FALSE)</f>
        <v>#N/A</v>
      </c>
      <c r="D85" s="264"/>
    </row>
    <row r="86" spans="2:4" hidden="1">
      <c r="B86" s="262">
        <f>PROPONENTES!C86</f>
        <v>0</v>
      </c>
      <c r="C86" s="263" t="e">
        <f>VLOOKUP(B86,PROPONENTES!$C$19:$D$218,2,FALSE)</f>
        <v>#N/A</v>
      </c>
      <c r="D86" s="264"/>
    </row>
    <row r="87" spans="2:4" hidden="1">
      <c r="B87" s="262">
        <f>PROPONENTES!C87</f>
        <v>0</v>
      </c>
      <c r="C87" s="263" t="e">
        <f>VLOOKUP(B87,PROPONENTES!$C$19:$D$218,2,FALSE)</f>
        <v>#N/A</v>
      </c>
      <c r="D87" s="264"/>
    </row>
    <row r="88" spans="2:4" hidden="1">
      <c r="B88" s="262">
        <f>PROPONENTES!C88</f>
        <v>0</v>
      </c>
      <c r="C88" s="263" t="e">
        <f>VLOOKUP(B88,PROPONENTES!$C$19:$D$218,2,FALSE)</f>
        <v>#N/A</v>
      </c>
      <c r="D88" s="264"/>
    </row>
    <row r="89" spans="2:4" hidden="1">
      <c r="B89" s="262">
        <f>PROPONENTES!C89</f>
        <v>0</v>
      </c>
      <c r="C89" s="263" t="e">
        <f>VLOOKUP(B89,PROPONENTES!$C$19:$D$218,2,FALSE)</f>
        <v>#N/A</v>
      </c>
      <c r="D89" s="264"/>
    </row>
    <row r="90" spans="2:4" hidden="1">
      <c r="B90" s="262">
        <f>PROPONENTES!C90</f>
        <v>0</v>
      </c>
      <c r="C90" s="263" t="e">
        <f>VLOOKUP(B90,PROPONENTES!$C$19:$D$218,2,FALSE)</f>
        <v>#N/A</v>
      </c>
      <c r="D90" s="264"/>
    </row>
    <row r="91" spans="2:4" hidden="1">
      <c r="B91" s="262">
        <f>PROPONENTES!C91</f>
        <v>0</v>
      </c>
      <c r="C91" s="263" t="e">
        <f>VLOOKUP(B91,PROPONENTES!$C$19:$D$218,2,FALSE)</f>
        <v>#N/A</v>
      </c>
      <c r="D91" s="264"/>
    </row>
    <row r="92" spans="2:4" hidden="1">
      <c r="B92" s="262">
        <f>PROPONENTES!C92</f>
        <v>0</v>
      </c>
      <c r="C92" s="263" t="e">
        <f>VLOOKUP(B92,PROPONENTES!$C$19:$D$218,2,FALSE)</f>
        <v>#N/A</v>
      </c>
      <c r="D92" s="264"/>
    </row>
    <row r="93" spans="2:4" hidden="1">
      <c r="B93" s="262">
        <f>PROPONENTES!C93</f>
        <v>0</v>
      </c>
      <c r="C93" s="263" t="e">
        <f>VLOOKUP(B93,PROPONENTES!$C$19:$D$218,2,FALSE)</f>
        <v>#N/A</v>
      </c>
      <c r="D93" s="264"/>
    </row>
    <row r="94" spans="2:4" hidden="1">
      <c r="B94" s="262">
        <f>PROPONENTES!C94</f>
        <v>0</v>
      </c>
      <c r="C94" s="263" t="e">
        <f>VLOOKUP(B94,PROPONENTES!$C$19:$D$218,2,FALSE)</f>
        <v>#N/A</v>
      </c>
      <c r="D94" s="264"/>
    </row>
    <row r="95" spans="2:4" hidden="1">
      <c r="B95" s="262">
        <f>PROPONENTES!C95</f>
        <v>0</v>
      </c>
      <c r="C95" s="263" t="e">
        <f>VLOOKUP(B95,PROPONENTES!$C$19:$D$218,2,FALSE)</f>
        <v>#N/A</v>
      </c>
      <c r="D95" s="264"/>
    </row>
    <row r="96" spans="2:4" hidden="1">
      <c r="B96" s="262">
        <f>PROPONENTES!C96</f>
        <v>0</v>
      </c>
      <c r="C96" s="263" t="e">
        <f>VLOOKUP(B96,PROPONENTES!$C$19:$D$218,2,FALSE)</f>
        <v>#N/A</v>
      </c>
      <c r="D96" s="264"/>
    </row>
    <row r="97" spans="2:4" hidden="1">
      <c r="B97" s="262">
        <f>PROPONENTES!C97</f>
        <v>0</v>
      </c>
      <c r="C97" s="263" t="e">
        <f>VLOOKUP(B97,PROPONENTES!$C$19:$D$218,2,FALSE)</f>
        <v>#N/A</v>
      </c>
      <c r="D97" s="264"/>
    </row>
    <row r="98" spans="2:4" hidden="1">
      <c r="B98" s="262">
        <f>PROPONENTES!C98</f>
        <v>0</v>
      </c>
      <c r="C98" s="263" t="e">
        <f>VLOOKUP(B98,PROPONENTES!$C$19:$D$218,2,FALSE)</f>
        <v>#N/A</v>
      </c>
      <c r="D98" s="264"/>
    </row>
    <row r="99" spans="2:4" hidden="1">
      <c r="B99" s="262">
        <f>PROPONENTES!C99</f>
        <v>0</v>
      </c>
      <c r="C99" s="263" t="e">
        <f>VLOOKUP(B99,PROPONENTES!$C$19:$D$218,2,FALSE)</f>
        <v>#N/A</v>
      </c>
      <c r="D99" s="264"/>
    </row>
    <row r="100" spans="2:4" hidden="1">
      <c r="B100" s="262">
        <f>PROPONENTES!C100</f>
        <v>0</v>
      </c>
      <c r="C100" s="263" t="e">
        <f>VLOOKUP(B100,PROPONENTES!$C$19:$D$218,2,FALSE)</f>
        <v>#N/A</v>
      </c>
      <c r="D100" s="264"/>
    </row>
    <row r="101" spans="2:4" hidden="1">
      <c r="B101" s="262">
        <f>PROPONENTES!C101</f>
        <v>0</v>
      </c>
      <c r="C101" s="263" t="e">
        <f>VLOOKUP(B101,PROPONENTES!$C$19:$D$218,2,FALSE)</f>
        <v>#N/A</v>
      </c>
      <c r="D101" s="264"/>
    </row>
    <row r="102" spans="2:4" hidden="1">
      <c r="B102" s="262">
        <f>PROPONENTES!C102</f>
        <v>0</v>
      </c>
      <c r="C102" s="263" t="e">
        <f>VLOOKUP(B102,PROPONENTES!$C$19:$D$218,2,FALSE)</f>
        <v>#N/A</v>
      </c>
      <c r="D102" s="264"/>
    </row>
    <row r="103" spans="2:4" hidden="1">
      <c r="B103" s="262">
        <f>PROPONENTES!C103</f>
        <v>0</v>
      </c>
      <c r="C103" s="263" t="e">
        <f>VLOOKUP(B103,PROPONENTES!$C$19:$D$218,2,FALSE)</f>
        <v>#N/A</v>
      </c>
      <c r="D103" s="264"/>
    </row>
    <row r="104" spans="2:4" hidden="1">
      <c r="B104" s="262">
        <f>PROPONENTES!C104</f>
        <v>0</v>
      </c>
      <c r="C104" s="263" t="e">
        <f>VLOOKUP(B104,PROPONENTES!$C$19:$D$218,2,FALSE)</f>
        <v>#N/A</v>
      </c>
      <c r="D104" s="264"/>
    </row>
    <row r="105" spans="2:4" hidden="1">
      <c r="B105" s="262">
        <f>PROPONENTES!C105</f>
        <v>0</v>
      </c>
      <c r="C105" s="263" t="e">
        <f>VLOOKUP(B105,PROPONENTES!$C$19:$D$218,2,FALSE)</f>
        <v>#N/A</v>
      </c>
      <c r="D105" s="264"/>
    </row>
    <row r="106" spans="2:4" hidden="1">
      <c r="B106" s="262">
        <f>PROPONENTES!C106</f>
        <v>0</v>
      </c>
      <c r="C106" s="263" t="e">
        <f>VLOOKUP(B106,PROPONENTES!$C$19:$D$218,2,FALSE)</f>
        <v>#N/A</v>
      </c>
      <c r="D106" s="264"/>
    </row>
    <row r="107" spans="2:4" hidden="1">
      <c r="B107" s="262">
        <f>PROPONENTES!C107</f>
        <v>0</v>
      </c>
      <c r="C107" s="263" t="e">
        <f>VLOOKUP(B107,PROPONENTES!$C$19:$D$218,2,FALSE)</f>
        <v>#N/A</v>
      </c>
      <c r="D107" s="264"/>
    </row>
    <row r="108" spans="2:4" hidden="1">
      <c r="B108" s="262">
        <f>PROPONENTES!C108</f>
        <v>0</v>
      </c>
      <c r="C108" s="263" t="e">
        <f>VLOOKUP(B108,PROPONENTES!$C$19:$D$218,2,FALSE)</f>
        <v>#N/A</v>
      </c>
      <c r="D108" s="264"/>
    </row>
    <row r="109" spans="2:4" hidden="1">
      <c r="B109" s="262">
        <f>PROPONENTES!C109</f>
        <v>0</v>
      </c>
      <c r="C109" s="263" t="e">
        <f>VLOOKUP(B109,PROPONENTES!$C$19:$D$218,2,FALSE)</f>
        <v>#N/A</v>
      </c>
      <c r="D109" s="264"/>
    </row>
    <row r="110" spans="2:4" hidden="1">
      <c r="B110" s="262">
        <f>PROPONENTES!C110</f>
        <v>0</v>
      </c>
      <c r="C110" s="263" t="e">
        <f>VLOOKUP(B110,PROPONENTES!$C$19:$D$218,2,FALSE)</f>
        <v>#N/A</v>
      </c>
      <c r="D110" s="264"/>
    </row>
    <row r="111" spans="2:4" hidden="1">
      <c r="B111" s="262">
        <f>PROPONENTES!C111</f>
        <v>0</v>
      </c>
      <c r="C111" s="263" t="e">
        <f>VLOOKUP(B111,PROPONENTES!$C$19:$D$218,2,FALSE)</f>
        <v>#N/A</v>
      </c>
      <c r="D111" s="264"/>
    </row>
    <row r="112" spans="2:4" hidden="1">
      <c r="B112" s="262">
        <f>PROPONENTES!C112</f>
        <v>0</v>
      </c>
      <c r="C112" s="263" t="e">
        <f>VLOOKUP(B112,PROPONENTES!$C$19:$D$218,2,FALSE)</f>
        <v>#N/A</v>
      </c>
      <c r="D112" s="264"/>
    </row>
    <row r="113" spans="2:4" hidden="1">
      <c r="B113" s="262">
        <f>PROPONENTES!C113</f>
        <v>0</v>
      </c>
      <c r="C113" s="263" t="e">
        <f>VLOOKUP(B113,PROPONENTES!$C$19:$D$218,2,FALSE)</f>
        <v>#N/A</v>
      </c>
      <c r="D113" s="264"/>
    </row>
    <row r="114" spans="2:4" hidden="1">
      <c r="B114" s="262">
        <f>PROPONENTES!C114</f>
        <v>0</v>
      </c>
      <c r="C114" s="263" t="e">
        <f>VLOOKUP(B114,PROPONENTES!$C$19:$D$218,2,FALSE)</f>
        <v>#N/A</v>
      </c>
      <c r="D114" s="264"/>
    </row>
    <row r="115" spans="2:4" hidden="1">
      <c r="B115" s="262">
        <f>PROPONENTES!C115</f>
        <v>0</v>
      </c>
      <c r="C115" s="263" t="e">
        <f>VLOOKUP(B115,PROPONENTES!$C$19:$D$218,2,FALSE)</f>
        <v>#N/A</v>
      </c>
      <c r="D115" s="264"/>
    </row>
    <row r="116" spans="2:4" hidden="1">
      <c r="B116" s="262">
        <f>PROPONENTES!C116</f>
        <v>0</v>
      </c>
      <c r="C116" s="263" t="e">
        <f>VLOOKUP(B116,PROPONENTES!$C$19:$D$218,2,FALSE)</f>
        <v>#N/A</v>
      </c>
      <c r="D116" s="264"/>
    </row>
    <row r="117" spans="2:4" hidden="1">
      <c r="B117" s="262">
        <f>PROPONENTES!C117</f>
        <v>0</v>
      </c>
      <c r="C117" s="263" t="e">
        <f>VLOOKUP(B117,PROPONENTES!$C$19:$D$218,2,FALSE)</f>
        <v>#N/A</v>
      </c>
      <c r="D117" s="264"/>
    </row>
    <row r="118" spans="2:4" hidden="1">
      <c r="B118" s="262">
        <f>PROPONENTES!C118</f>
        <v>0</v>
      </c>
      <c r="C118" s="263" t="e">
        <f>VLOOKUP(B118,PROPONENTES!$C$19:$D$218,2,FALSE)</f>
        <v>#N/A</v>
      </c>
      <c r="D118" s="264"/>
    </row>
    <row r="119" spans="2:4" hidden="1">
      <c r="B119" s="262">
        <f>PROPONENTES!C119</f>
        <v>0</v>
      </c>
      <c r="C119" s="263" t="e">
        <f>VLOOKUP(B119,PROPONENTES!$C$19:$D$218,2,FALSE)</f>
        <v>#N/A</v>
      </c>
      <c r="D119" s="264"/>
    </row>
    <row r="120" spans="2:4" hidden="1">
      <c r="B120" s="262">
        <f>PROPONENTES!C120</f>
        <v>0</v>
      </c>
      <c r="C120" s="263" t="e">
        <f>VLOOKUP(B120,PROPONENTES!$C$19:$D$218,2,FALSE)</f>
        <v>#N/A</v>
      </c>
      <c r="D120" s="264"/>
    </row>
    <row r="121" spans="2:4" hidden="1">
      <c r="B121" s="262">
        <f>PROPONENTES!C121</f>
        <v>0</v>
      </c>
      <c r="C121" s="263" t="e">
        <f>VLOOKUP(B121,PROPONENTES!$C$19:$D$218,2,FALSE)</f>
        <v>#N/A</v>
      </c>
      <c r="D121" s="264"/>
    </row>
    <row r="122" spans="2:4" hidden="1">
      <c r="B122" s="262">
        <f>PROPONENTES!C122</f>
        <v>0</v>
      </c>
      <c r="C122" s="263" t="e">
        <f>VLOOKUP(B122,PROPONENTES!$C$19:$D$218,2,FALSE)</f>
        <v>#N/A</v>
      </c>
      <c r="D122" s="264"/>
    </row>
    <row r="123" spans="2:4" hidden="1">
      <c r="B123" s="262">
        <f>PROPONENTES!C123</f>
        <v>0</v>
      </c>
      <c r="C123" s="263" t="e">
        <f>VLOOKUP(B123,PROPONENTES!$C$19:$D$218,2,FALSE)</f>
        <v>#N/A</v>
      </c>
      <c r="D123" s="264"/>
    </row>
    <row r="124" spans="2:4" hidden="1">
      <c r="B124" s="262">
        <f>PROPONENTES!C124</f>
        <v>0</v>
      </c>
      <c r="C124" s="263" t="e">
        <f>VLOOKUP(B124,PROPONENTES!$C$19:$D$218,2,FALSE)</f>
        <v>#N/A</v>
      </c>
      <c r="D124" s="264"/>
    </row>
    <row r="125" spans="2:4" hidden="1">
      <c r="B125" s="262">
        <f>PROPONENTES!C125</f>
        <v>0</v>
      </c>
      <c r="C125" s="263" t="e">
        <f>VLOOKUP(B125,PROPONENTES!$C$19:$D$218,2,FALSE)</f>
        <v>#N/A</v>
      </c>
      <c r="D125" s="264"/>
    </row>
    <row r="126" spans="2:4" hidden="1">
      <c r="B126" s="262">
        <f>PROPONENTES!C126</f>
        <v>0</v>
      </c>
      <c r="C126" s="263" t="e">
        <f>VLOOKUP(B126,PROPONENTES!$C$19:$D$218,2,FALSE)</f>
        <v>#N/A</v>
      </c>
      <c r="D126" s="264"/>
    </row>
    <row r="127" spans="2:4" hidden="1">
      <c r="B127" s="262">
        <f>PROPONENTES!C127</f>
        <v>0</v>
      </c>
      <c r="C127" s="263" t="e">
        <f>VLOOKUP(B127,PROPONENTES!$C$19:$D$218,2,FALSE)</f>
        <v>#N/A</v>
      </c>
      <c r="D127" s="264"/>
    </row>
    <row r="128" spans="2:4" hidden="1">
      <c r="B128" s="262">
        <f>PROPONENTES!C128</f>
        <v>0</v>
      </c>
      <c r="C128" s="263" t="e">
        <f>VLOOKUP(B128,PROPONENTES!$C$19:$D$218,2,FALSE)</f>
        <v>#N/A</v>
      </c>
      <c r="D128" s="264"/>
    </row>
    <row r="129" spans="2:4" hidden="1">
      <c r="B129" s="262">
        <f>PROPONENTES!C129</f>
        <v>0</v>
      </c>
      <c r="C129" s="263" t="e">
        <f>VLOOKUP(B129,PROPONENTES!$C$19:$D$218,2,FALSE)</f>
        <v>#N/A</v>
      </c>
      <c r="D129" s="264"/>
    </row>
    <row r="130" spans="2:4" hidden="1">
      <c r="B130" s="262">
        <f>PROPONENTES!C130</f>
        <v>0</v>
      </c>
      <c r="C130" s="263" t="e">
        <f>VLOOKUP(B130,PROPONENTES!$C$19:$D$218,2,FALSE)</f>
        <v>#N/A</v>
      </c>
      <c r="D130" s="264"/>
    </row>
    <row r="131" spans="2:4" hidden="1">
      <c r="B131" s="262">
        <f>PROPONENTES!C131</f>
        <v>0</v>
      </c>
      <c r="C131" s="263" t="e">
        <f>VLOOKUP(B131,PROPONENTES!$C$19:$D$218,2,FALSE)</f>
        <v>#N/A</v>
      </c>
      <c r="D131" s="264"/>
    </row>
    <row r="132" spans="2:4" hidden="1">
      <c r="B132" s="262">
        <f>PROPONENTES!C132</f>
        <v>0</v>
      </c>
      <c r="C132" s="263" t="e">
        <f>VLOOKUP(B132,PROPONENTES!$C$19:$D$218,2,FALSE)</f>
        <v>#N/A</v>
      </c>
      <c r="D132" s="264"/>
    </row>
    <row r="133" spans="2:4" hidden="1">
      <c r="B133" s="262">
        <f>PROPONENTES!C133</f>
        <v>0</v>
      </c>
      <c r="C133" s="263" t="e">
        <f>VLOOKUP(B133,PROPONENTES!$C$19:$D$218,2,FALSE)</f>
        <v>#N/A</v>
      </c>
      <c r="D133" s="264"/>
    </row>
    <row r="134" spans="2:4" hidden="1">
      <c r="B134" s="262">
        <f>PROPONENTES!C134</f>
        <v>0</v>
      </c>
      <c r="C134" s="263" t="e">
        <f>VLOOKUP(B134,PROPONENTES!$C$19:$D$218,2,FALSE)</f>
        <v>#N/A</v>
      </c>
      <c r="D134" s="264"/>
    </row>
    <row r="135" spans="2:4" hidden="1">
      <c r="B135" s="262">
        <f>PROPONENTES!C135</f>
        <v>0</v>
      </c>
      <c r="C135" s="263" t="e">
        <f>VLOOKUP(B135,PROPONENTES!$C$19:$D$218,2,FALSE)</f>
        <v>#N/A</v>
      </c>
      <c r="D135" s="264"/>
    </row>
    <row r="136" spans="2:4" hidden="1">
      <c r="B136" s="262">
        <f>PROPONENTES!C136</f>
        <v>0</v>
      </c>
      <c r="C136" s="263" t="e">
        <f>VLOOKUP(B136,PROPONENTES!$C$19:$D$218,2,FALSE)</f>
        <v>#N/A</v>
      </c>
      <c r="D136" s="264"/>
    </row>
    <row r="137" spans="2:4" hidden="1">
      <c r="B137" s="262">
        <f>PROPONENTES!C137</f>
        <v>0</v>
      </c>
      <c r="C137" s="263" t="e">
        <f>VLOOKUP(B137,PROPONENTES!$C$19:$D$218,2,FALSE)</f>
        <v>#N/A</v>
      </c>
      <c r="D137" s="264"/>
    </row>
    <row r="138" spans="2:4" hidden="1">
      <c r="B138" s="262">
        <f>PROPONENTES!C138</f>
        <v>0</v>
      </c>
      <c r="C138" s="263" t="e">
        <f>VLOOKUP(B138,PROPONENTES!$C$19:$D$218,2,FALSE)</f>
        <v>#N/A</v>
      </c>
      <c r="D138" s="264"/>
    </row>
    <row r="139" spans="2:4" hidden="1">
      <c r="B139" s="262">
        <f>PROPONENTES!C139</f>
        <v>0</v>
      </c>
      <c r="C139" s="263" t="e">
        <f>VLOOKUP(B139,PROPONENTES!$C$19:$D$218,2,FALSE)</f>
        <v>#N/A</v>
      </c>
      <c r="D139" s="264"/>
    </row>
    <row r="140" spans="2:4" hidden="1">
      <c r="B140" s="262">
        <f>PROPONENTES!C140</f>
        <v>0</v>
      </c>
      <c r="C140" s="263" t="e">
        <f>VLOOKUP(B140,PROPONENTES!$C$19:$D$218,2,FALSE)</f>
        <v>#N/A</v>
      </c>
      <c r="D140" s="264"/>
    </row>
    <row r="141" spans="2:4" hidden="1">
      <c r="B141" s="262">
        <f>PROPONENTES!C141</f>
        <v>0</v>
      </c>
      <c r="C141" s="263" t="e">
        <f>VLOOKUP(B141,PROPONENTES!$C$19:$D$218,2,FALSE)</f>
        <v>#N/A</v>
      </c>
      <c r="D141" s="264"/>
    </row>
    <row r="142" spans="2:4" hidden="1">
      <c r="B142" s="262">
        <f>PROPONENTES!C142</f>
        <v>0</v>
      </c>
      <c r="C142" s="263" t="e">
        <f>VLOOKUP(B142,PROPONENTES!$C$19:$D$218,2,FALSE)</f>
        <v>#N/A</v>
      </c>
      <c r="D142" s="264"/>
    </row>
    <row r="143" spans="2:4" hidden="1">
      <c r="B143" s="262">
        <f>PROPONENTES!C143</f>
        <v>0</v>
      </c>
      <c r="C143" s="263" t="e">
        <f>VLOOKUP(B143,PROPONENTES!$C$19:$D$218,2,FALSE)</f>
        <v>#N/A</v>
      </c>
      <c r="D143" s="264"/>
    </row>
    <row r="144" spans="2:4" hidden="1">
      <c r="B144" s="262">
        <f>PROPONENTES!C144</f>
        <v>0</v>
      </c>
      <c r="C144" s="263" t="e">
        <f>VLOOKUP(B144,PROPONENTES!$C$19:$D$218,2,FALSE)</f>
        <v>#N/A</v>
      </c>
      <c r="D144" s="264"/>
    </row>
    <row r="145" spans="2:4" hidden="1">
      <c r="B145" s="262">
        <f>PROPONENTES!C145</f>
        <v>0</v>
      </c>
      <c r="C145" s="263" t="e">
        <f>VLOOKUP(B145,PROPONENTES!$C$19:$D$218,2,FALSE)</f>
        <v>#N/A</v>
      </c>
      <c r="D145" s="264"/>
    </row>
    <row r="146" spans="2:4" hidden="1">
      <c r="B146" s="262">
        <f>PROPONENTES!C146</f>
        <v>0</v>
      </c>
      <c r="C146" s="263" t="e">
        <f>VLOOKUP(B146,PROPONENTES!$C$19:$D$218,2,FALSE)</f>
        <v>#N/A</v>
      </c>
      <c r="D146" s="264"/>
    </row>
    <row r="147" spans="2:4" hidden="1">
      <c r="B147" s="262">
        <f>PROPONENTES!C147</f>
        <v>0</v>
      </c>
      <c r="C147" s="263" t="e">
        <f>VLOOKUP(B147,PROPONENTES!$C$19:$D$218,2,FALSE)</f>
        <v>#N/A</v>
      </c>
      <c r="D147" s="264"/>
    </row>
    <row r="148" spans="2:4" hidden="1">
      <c r="B148" s="262">
        <f>PROPONENTES!C148</f>
        <v>0</v>
      </c>
      <c r="C148" s="263" t="e">
        <f>VLOOKUP(B148,PROPONENTES!$C$19:$D$218,2,FALSE)</f>
        <v>#N/A</v>
      </c>
      <c r="D148" s="264"/>
    </row>
    <row r="149" spans="2:4" hidden="1">
      <c r="B149" s="262">
        <f>PROPONENTES!C149</f>
        <v>0</v>
      </c>
      <c r="C149" s="263" t="e">
        <f>VLOOKUP(B149,PROPONENTES!$C$19:$D$218,2,FALSE)</f>
        <v>#N/A</v>
      </c>
      <c r="D149" s="264"/>
    </row>
    <row r="150" spans="2:4" hidden="1">
      <c r="B150" s="262">
        <f>PROPONENTES!C150</f>
        <v>0</v>
      </c>
      <c r="C150" s="263" t="e">
        <f>VLOOKUP(B150,PROPONENTES!$C$19:$D$218,2,FALSE)</f>
        <v>#N/A</v>
      </c>
      <c r="D150" s="264"/>
    </row>
    <row r="151" spans="2:4" hidden="1">
      <c r="B151" s="262">
        <f>PROPONENTES!C151</f>
        <v>0</v>
      </c>
      <c r="C151" s="263" t="e">
        <f>VLOOKUP(B151,PROPONENTES!$C$19:$D$218,2,FALSE)</f>
        <v>#N/A</v>
      </c>
      <c r="D151" s="264"/>
    </row>
    <row r="152" spans="2:4" hidden="1">
      <c r="B152" s="262">
        <f>PROPONENTES!C152</f>
        <v>0</v>
      </c>
      <c r="C152" s="263" t="e">
        <f>VLOOKUP(B152,PROPONENTES!$C$19:$D$218,2,FALSE)</f>
        <v>#N/A</v>
      </c>
      <c r="D152" s="264"/>
    </row>
    <row r="153" spans="2:4" hidden="1">
      <c r="B153" s="262">
        <f>PROPONENTES!C153</f>
        <v>0</v>
      </c>
      <c r="C153" s="263" t="e">
        <f>VLOOKUP(B153,PROPONENTES!$C$19:$D$218,2,FALSE)</f>
        <v>#N/A</v>
      </c>
      <c r="D153" s="264"/>
    </row>
    <row r="154" spans="2:4" hidden="1">
      <c r="B154" s="262">
        <f>PROPONENTES!C154</f>
        <v>0</v>
      </c>
      <c r="C154" s="263" t="e">
        <f>VLOOKUP(B154,PROPONENTES!$C$19:$D$218,2,FALSE)</f>
        <v>#N/A</v>
      </c>
      <c r="D154" s="264"/>
    </row>
    <row r="155" spans="2:4" hidden="1">
      <c r="B155" s="262">
        <f>PROPONENTES!C155</f>
        <v>0</v>
      </c>
      <c r="C155" s="263" t="e">
        <f>VLOOKUP(B155,PROPONENTES!$C$19:$D$218,2,FALSE)</f>
        <v>#N/A</v>
      </c>
      <c r="D155" s="264"/>
    </row>
    <row r="156" spans="2:4" hidden="1">
      <c r="B156" s="262">
        <f>PROPONENTES!C156</f>
        <v>0</v>
      </c>
      <c r="C156" s="263" t="e">
        <f>VLOOKUP(B156,PROPONENTES!$C$19:$D$218,2,FALSE)</f>
        <v>#N/A</v>
      </c>
      <c r="D156" s="264"/>
    </row>
    <row r="157" spans="2:4" hidden="1">
      <c r="B157" s="262">
        <f>PROPONENTES!C157</f>
        <v>0</v>
      </c>
      <c r="C157" s="263" t="e">
        <f>VLOOKUP(B157,PROPONENTES!$C$19:$D$218,2,FALSE)</f>
        <v>#N/A</v>
      </c>
      <c r="D157" s="264"/>
    </row>
    <row r="158" spans="2:4" hidden="1">
      <c r="B158" s="262">
        <f>PROPONENTES!C158</f>
        <v>0</v>
      </c>
      <c r="C158" s="263" t="e">
        <f>VLOOKUP(B158,PROPONENTES!$C$19:$D$218,2,FALSE)</f>
        <v>#N/A</v>
      </c>
      <c r="D158" s="264"/>
    </row>
    <row r="159" spans="2:4" hidden="1">
      <c r="B159" s="262">
        <f>PROPONENTES!C159</f>
        <v>0</v>
      </c>
      <c r="C159" s="263" t="e">
        <f>VLOOKUP(B159,PROPONENTES!$C$19:$D$218,2,FALSE)</f>
        <v>#N/A</v>
      </c>
      <c r="D159" s="264"/>
    </row>
    <row r="160" spans="2:4" hidden="1">
      <c r="B160" s="262">
        <f>PROPONENTES!C160</f>
        <v>0</v>
      </c>
      <c r="C160" s="263" t="e">
        <f>VLOOKUP(B160,PROPONENTES!$C$19:$D$218,2,FALSE)</f>
        <v>#N/A</v>
      </c>
      <c r="D160" s="264"/>
    </row>
    <row r="161" spans="2:4" hidden="1">
      <c r="B161" s="262">
        <f>PROPONENTES!C161</f>
        <v>0</v>
      </c>
      <c r="C161" s="263" t="e">
        <f>VLOOKUP(B161,PROPONENTES!$C$19:$D$218,2,FALSE)</f>
        <v>#N/A</v>
      </c>
      <c r="D161" s="264"/>
    </row>
    <row r="162" spans="2:4" hidden="1">
      <c r="B162" s="262">
        <f>PROPONENTES!C162</f>
        <v>0</v>
      </c>
      <c r="C162" s="263" t="e">
        <f>VLOOKUP(B162,PROPONENTES!$C$19:$D$218,2,FALSE)</f>
        <v>#N/A</v>
      </c>
      <c r="D162" s="264"/>
    </row>
    <row r="163" spans="2:4" hidden="1">
      <c r="B163" s="262">
        <f>PROPONENTES!C163</f>
        <v>0</v>
      </c>
      <c r="C163" s="263" t="e">
        <f>VLOOKUP(B163,PROPONENTES!$C$19:$D$218,2,FALSE)</f>
        <v>#N/A</v>
      </c>
      <c r="D163" s="264"/>
    </row>
    <row r="164" spans="2:4" hidden="1">
      <c r="B164" s="262">
        <f>PROPONENTES!C164</f>
        <v>0</v>
      </c>
      <c r="C164" s="263" t="e">
        <f>VLOOKUP(B164,PROPONENTES!$C$19:$D$218,2,FALSE)</f>
        <v>#N/A</v>
      </c>
      <c r="D164" s="264"/>
    </row>
    <row r="165" spans="2:4" hidden="1">
      <c r="B165" s="262">
        <f>PROPONENTES!C165</f>
        <v>0</v>
      </c>
      <c r="C165" s="263" t="e">
        <f>VLOOKUP(B165,PROPONENTES!$C$19:$D$218,2,FALSE)</f>
        <v>#N/A</v>
      </c>
      <c r="D165" s="264"/>
    </row>
    <row r="166" spans="2:4" hidden="1">
      <c r="B166" s="262">
        <f>PROPONENTES!C166</f>
        <v>0</v>
      </c>
      <c r="C166" s="263" t="e">
        <f>VLOOKUP(B166,PROPONENTES!$C$19:$D$218,2,FALSE)</f>
        <v>#N/A</v>
      </c>
      <c r="D166" s="264"/>
    </row>
    <row r="167" spans="2:4" hidden="1">
      <c r="B167" s="262">
        <f>PROPONENTES!C167</f>
        <v>0</v>
      </c>
      <c r="C167" s="263" t="e">
        <f>VLOOKUP(B167,PROPONENTES!$C$19:$D$218,2,FALSE)</f>
        <v>#N/A</v>
      </c>
      <c r="D167" s="264"/>
    </row>
    <row r="168" spans="2:4" hidden="1">
      <c r="B168" s="262">
        <f>PROPONENTES!C168</f>
        <v>0</v>
      </c>
      <c r="C168" s="263" t="e">
        <f>VLOOKUP(B168,PROPONENTES!$C$19:$D$218,2,FALSE)</f>
        <v>#N/A</v>
      </c>
      <c r="D168" s="264"/>
    </row>
    <row r="169" spans="2:4" hidden="1">
      <c r="B169" s="262">
        <f>PROPONENTES!C169</f>
        <v>0</v>
      </c>
      <c r="C169" s="263" t="e">
        <f>VLOOKUP(B169,PROPONENTES!$C$19:$D$218,2,FALSE)</f>
        <v>#N/A</v>
      </c>
      <c r="D169" s="264"/>
    </row>
    <row r="170" spans="2:4" hidden="1">
      <c r="B170" s="262">
        <f>PROPONENTES!C170</f>
        <v>0</v>
      </c>
      <c r="C170" s="263" t="e">
        <f>VLOOKUP(B170,PROPONENTES!$C$19:$D$218,2,FALSE)</f>
        <v>#N/A</v>
      </c>
      <c r="D170" s="264"/>
    </row>
    <row r="171" spans="2:4" hidden="1">
      <c r="B171" s="262">
        <f>PROPONENTES!C171</f>
        <v>0</v>
      </c>
      <c r="C171" s="263" t="e">
        <f>VLOOKUP(B171,PROPONENTES!$C$19:$D$218,2,FALSE)</f>
        <v>#N/A</v>
      </c>
      <c r="D171" s="264"/>
    </row>
    <row r="172" spans="2:4" hidden="1">
      <c r="B172" s="262">
        <f>PROPONENTES!C172</f>
        <v>0</v>
      </c>
      <c r="C172" s="263" t="e">
        <f>VLOOKUP(B172,PROPONENTES!$C$19:$D$218,2,FALSE)</f>
        <v>#N/A</v>
      </c>
      <c r="D172" s="264"/>
    </row>
    <row r="173" spans="2:4" hidden="1">
      <c r="B173" s="262">
        <f>PROPONENTES!C173</f>
        <v>0</v>
      </c>
      <c r="C173" s="263" t="e">
        <f>VLOOKUP(B173,PROPONENTES!$C$19:$D$218,2,FALSE)</f>
        <v>#N/A</v>
      </c>
      <c r="D173" s="264"/>
    </row>
    <row r="174" spans="2:4" hidden="1">
      <c r="B174" s="262">
        <f>PROPONENTES!C174</f>
        <v>0</v>
      </c>
      <c r="C174" s="263" t="e">
        <f>VLOOKUP(B174,PROPONENTES!$C$19:$D$218,2,FALSE)</f>
        <v>#N/A</v>
      </c>
      <c r="D174" s="264"/>
    </row>
    <row r="175" spans="2:4" hidden="1">
      <c r="B175" s="262">
        <f>PROPONENTES!C175</f>
        <v>0</v>
      </c>
      <c r="C175" s="263" t="e">
        <f>VLOOKUP(B175,PROPONENTES!$C$19:$D$218,2,FALSE)</f>
        <v>#N/A</v>
      </c>
      <c r="D175" s="264"/>
    </row>
    <row r="176" spans="2:4" hidden="1">
      <c r="B176" s="262">
        <f>PROPONENTES!C176</f>
        <v>0</v>
      </c>
      <c r="C176" s="263" t="e">
        <f>VLOOKUP(B176,PROPONENTES!$C$19:$D$218,2,FALSE)</f>
        <v>#N/A</v>
      </c>
      <c r="D176" s="264"/>
    </row>
    <row r="177" spans="2:4" hidden="1">
      <c r="B177" s="262">
        <f>PROPONENTES!C177</f>
        <v>0</v>
      </c>
      <c r="C177" s="263" t="e">
        <f>VLOOKUP(B177,PROPONENTES!$C$19:$D$218,2,FALSE)</f>
        <v>#N/A</v>
      </c>
      <c r="D177" s="264"/>
    </row>
    <row r="178" spans="2:4" hidden="1">
      <c r="B178" s="262">
        <f>PROPONENTES!C178</f>
        <v>0</v>
      </c>
      <c r="C178" s="263" t="e">
        <f>VLOOKUP(B178,PROPONENTES!$C$19:$D$218,2,FALSE)</f>
        <v>#N/A</v>
      </c>
      <c r="D178" s="264"/>
    </row>
    <row r="179" spans="2:4" hidden="1">
      <c r="B179" s="262">
        <f>PROPONENTES!C179</f>
        <v>0</v>
      </c>
      <c r="C179" s="263" t="e">
        <f>VLOOKUP(B179,PROPONENTES!$C$19:$D$218,2,FALSE)</f>
        <v>#N/A</v>
      </c>
      <c r="D179" s="264"/>
    </row>
    <row r="180" spans="2:4" hidden="1">
      <c r="B180" s="262">
        <f>PROPONENTES!C180</f>
        <v>0</v>
      </c>
      <c r="C180" s="263" t="e">
        <f>VLOOKUP(B180,PROPONENTES!$C$19:$D$218,2,FALSE)</f>
        <v>#N/A</v>
      </c>
      <c r="D180" s="264"/>
    </row>
    <row r="181" spans="2:4" hidden="1">
      <c r="B181" s="262">
        <f>PROPONENTES!C181</f>
        <v>0</v>
      </c>
      <c r="C181" s="263" t="e">
        <f>VLOOKUP(B181,PROPONENTES!$C$19:$D$218,2,FALSE)</f>
        <v>#N/A</v>
      </c>
      <c r="D181" s="264"/>
    </row>
    <row r="182" spans="2:4" hidden="1">
      <c r="B182" s="262">
        <f>PROPONENTES!C182</f>
        <v>0</v>
      </c>
      <c r="C182" s="263" t="e">
        <f>VLOOKUP(B182,PROPONENTES!$C$19:$D$218,2,FALSE)</f>
        <v>#N/A</v>
      </c>
      <c r="D182" s="264"/>
    </row>
    <row r="183" spans="2:4" hidden="1">
      <c r="B183" s="262">
        <f>PROPONENTES!C183</f>
        <v>0</v>
      </c>
      <c r="C183" s="263" t="e">
        <f>VLOOKUP(B183,PROPONENTES!$C$19:$D$218,2,FALSE)</f>
        <v>#N/A</v>
      </c>
      <c r="D183" s="264"/>
    </row>
    <row r="184" spans="2:4" hidden="1">
      <c r="B184" s="262">
        <f>PROPONENTES!C184</f>
        <v>0</v>
      </c>
      <c r="C184" s="263" t="e">
        <f>VLOOKUP(B184,PROPONENTES!$C$19:$D$218,2,FALSE)</f>
        <v>#N/A</v>
      </c>
      <c r="D184" s="264"/>
    </row>
    <row r="185" spans="2:4" hidden="1">
      <c r="B185" s="262">
        <f>PROPONENTES!C185</f>
        <v>0</v>
      </c>
      <c r="C185" s="263" t="e">
        <f>VLOOKUP(B185,PROPONENTES!$C$19:$D$218,2,FALSE)</f>
        <v>#N/A</v>
      </c>
      <c r="D185" s="264"/>
    </row>
    <row r="186" spans="2:4" hidden="1">
      <c r="B186" s="262">
        <f>PROPONENTES!C186</f>
        <v>0</v>
      </c>
      <c r="C186" s="263" t="e">
        <f>VLOOKUP(B186,PROPONENTES!$C$19:$D$218,2,FALSE)</f>
        <v>#N/A</v>
      </c>
      <c r="D186" s="264"/>
    </row>
    <row r="187" spans="2:4" hidden="1">
      <c r="B187" s="262">
        <f>PROPONENTES!C187</f>
        <v>0</v>
      </c>
      <c r="C187" s="263" t="e">
        <f>VLOOKUP(B187,PROPONENTES!$C$19:$D$218,2,FALSE)</f>
        <v>#N/A</v>
      </c>
      <c r="D187" s="264"/>
    </row>
    <row r="188" spans="2:4" hidden="1">
      <c r="B188" s="262">
        <f>PROPONENTES!C188</f>
        <v>0</v>
      </c>
      <c r="C188" s="263" t="e">
        <f>VLOOKUP(B188,PROPONENTES!$C$19:$D$218,2,FALSE)</f>
        <v>#N/A</v>
      </c>
      <c r="D188" s="264"/>
    </row>
    <row r="189" spans="2:4" hidden="1">
      <c r="B189" s="262">
        <f>PROPONENTES!C189</f>
        <v>0</v>
      </c>
      <c r="C189" s="263" t="e">
        <f>VLOOKUP(B189,PROPONENTES!$C$19:$D$218,2,FALSE)</f>
        <v>#N/A</v>
      </c>
      <c r="D189" s="264"/>
    </row>
    <row r="190" spans="2:4" hidden="1">
      <c r="B190" s="262">
        <f>PROPONENTES!C190</f>
        <v>0</v>
      </c>
      <c r="C190" s="263" t="e">
        <f>VLOOKUP(B190,PROPONENTES!$C$19:$D$218,2,FALSE)</f>
        <v>#N/A</v>
      </c>
      <c r="D190" s="264"/>
    </row>
    <row r="191" spans="2:4" hidden="1">
      <c r="B191" s="262">
        <f>PROPONENTES!C191</f>
        <v>0</v>
      </c>
      <c r="C191" s="263" t="e">
        <f>VLOOKUP(B191,PROPONENTES!$C$19:$D$218,2,FALSE)</f>
        <v>#N/A</v>
      </c>
      <c r="D191" s="264"/>
    </row>
    <row r="192" spans="2:4" hidden="1">
      <c r="B192" s="262">
        <f>PROPONENTES!C192</f>
        <v>0</v>
      </c>
      <c r="C192" s="263" t="e">
        <f>VLOOKUP(B192,PROPONENTES!$C$19:$D$218,2,FALSE)</f>
        <v>#N/A</v>
      </c>
      <c r="D192" s="264"/>
    </row>
    <row r="193" spans="2:4" hidden="1">
      <c r="B193" s="262">
        <f>PROPONENTES!C193</f>
        <v>0</v>
      </c>
      <c r="C193" s="263" t="e">
        <f>VLOOKUP(B193,PROPONENTES!$C$19:$D$218,2,FALSE)</f>
        <v>#N/A</v>
      </c>
      <c r="D193" s="264"/>
    </row>
    <row r="194" spans="2:4" hidden="1">
      <c r="B194" s="262">
        <f>PROPONENTES!C194</f>
        <v>0</v>
      </c>
      <c r="C194" s="263" t="e">
        <f>VLOOKUP(B194,PROPONENTES!$C$19:$D$218,2,FALSE)</f>
        <v>#N/A</v>
      </c>
      <c r="D194" s="264"/>
    </row>
    <row r="195" spans="2:4" hidden="1">
      <c r="B195" s="262">
        <f>PROPONENTES!C195</f>
        <v>0</v>
      </c>
      <c r="C195" s="263" t="e">
        <f>VLOOKUP(B195,PROPONENTES!$C$19:$D$218,2,FALSE)</f>
        <v>#N/A</v>
      </c>
      <c r="D195" s="264"/>
    </row>
    <row r="196" spans="2:4" hidden="1">
      <c r="B196" s="262">
        <f>PROPONENTES!C196</f>
        <v>0</v>
      </c>
      <c r="C196" s="263" t="e">
        <f>VLOOKUP(B196,PROPONENTES!$C$19:$D$218,2,FALSE)</f>
        <v>#N/A</v>
      </c>
      <c r="D196" s="264"/>
    </row>
    <row r="197" spans="2:4" hidden="1">
      <c r="B197" s="262">
        <f>PROPONENTES!C197</f>
        <v>0</v>
      </c>
      <c r="C197" s="263" t="e">
        <f>VLOOKUP(B197,PROPONENTES!$C$19:$D$218,2,FALSE)</f>
        <v>#N/A</v>
      </c>
      <c r="D197" s="264"/>
    </row>
    <row r="198" spans="2:4" hidden="1">
      <c r="B198" s="262">
        <f>PROPONENTES!C198</f>
        <v>0</v>
      </c>
      <c r="C198" s="263" t="e">
        <f>VLOOKUP(B198,PROPONENTES!$C$19:$D$218,2,FALSE)</f>
        <v>#N/A</v>
      </c>
      <c r="D198" s="264"/>
    </row>
    <row r="199" spans="2:4" hidden="1">
      <c r="B199" s="262">
        <f>PROPONENTES!C199</f>
        <v>0</v>
      </c>
      <c r="C199" s="263" t="e">
        <f>VLOOKUP(B199,PROPONENTES!$C$19:$D$218,2,FALSE)</f>
        <v>#N/A</v>
      </c>
      <c r="D199" s="264"/>
    </row>
    <row r="200" spans="2:4" hidden="1">
      <c r="B200" s="262">
        <f>PROPONENTES!C200</f>
        <v>0</v>
      </c>
      <c r="C200" s="263" t="e">
        <f>VLOOKUP(B200,PROPONENTES!$C$19:$D$218,2,FALSE)</f>
        <v>#N/A</v>
      </c>
      <c r="D200" s="264"/>
    </row>
    <row r="201" spans="2:4" hidden="1">
      <c r="B201" s="262">
        <f>PROPONENTES!C201</f>
        <v>0</v>
      </c>
      <c r="C201" s="263" t="e">
        <f>VLOOKUP(B201,PROPONENTES!$C$19:$D$218,2,FALSE)</f>
        <v>#N/A</v>
      </c>
      <c r="D201" s="264"/>
    </row>
    <row r="202" spans="2:4" hidden="1">
      <c r="B202" s="262">
        <f>PROPONENTES!C202</f>
        <v>0</v>
      </c>
      <c r="C202" s="263" t="e">
        <f>VLOOKUP(B202,PROPONENTES!$C$19:$D$218,2,FALSE)</f>
        <v>#N/A</v>
      </c>
      <c r="D202" s="264"/>
    </row>
    <row r="203" spans="2:4" hidden="1">
      <c r="B203" s="262">
        <f>PROPONENTES!C203</f>
        <v>0</v>
      </c>
      <c r="C203" s="263" t="e">
        <f>VLOOKUP(B203,PROPONENTES!$C$19:$D$218,2,FALSE)</f>
        <v>#N/A</v>
      </c>
      <c r="D203" s="264"/>
    </row>
    <row r="204" spans="2:4" hidden="1">
      <c r="B204" s="262">
        <f>PROPONENTES!C204</f>
        <v>0</v>
      </c>
      <c r="C204" s="263" t="e">
        <f>VLOOKUP(B204,PROPONENTES!$C$19:$D$218,2,FALSE)</f>
        <v>#N/A</v>
      </c>
      <c r="D204" s="264"/>
    </row>
    <row r="205" spans="2:4" hidden="1">
      <c r="B205" s="262">
        <f>PROPONENTES!C205</f>
        <v>0</v>
      </c>
      <c r="C205" s="263" t="e">
        <f>VLOOKUP(B205,PROPONENTES!$C$19:$D$218,2,FALSE)</f>
        <v>#N/A</v>
      </c>
      <c r="D205" s="264"/>
    </row>
    <row r="206" spans="2:4" hidden="1">
      <c r="B206" s="262">
        <f>PROPONENTES!C206</f>
        <v>0</v>
      </c>
      <c r="C206" s="263" t="e">
        <f>VLOOKUP(B206,PROPONENTES!$C$19:$D$218,2,FALSE)</f>
        <v>#N/A</v>
      </c>
      <c r="D206" s="264"/>
    </row>
    <row r="207" spans="2:4" hidden="1">
      <c r="B207" s="262">
        <f>PROPONENTES!C207</f>
        <v>0</v>
      </c>
      <c r="C207" s="263" t="e">
        <f>VLOOKUP(B207,PROPONENTES!$C$19:$D$218,2,FALSE)</f>
        <v>#N/A</v>
      </c>
      <c r="D207" s="264"/>
    </row>
    <row r="208" spans="2:4" hidden="1">
      <c r="B208" s="262">
        <f>PROPONENTES!C208</f>
        <v>0</v>
      </c>
      <c r="C208" s="263" t="e">
        <f>VLOOKUP(B208,PROPONENTES!$C$19:$D$218,2,FALSE)</f>
        <v>#N/A</v>
      </c>
      <c r="D208" s="264"/>
    </row>
    <row r="209" spans="2:4" hidden="1">
      <c r="B209" s="262">
        <f>PROPONENTES!C209</f>
        <v>0</v>
      </c>
      <c r="C209" s="263" t="e">
        <f>VLOOKUP(B209,PROPONENTES!$C$19:$D$218,2,FALSE)</f>
        <v>#N/A</v>
      </c>
      <c r="D209" s="264"/>
    </row>
    <row r="210" spans="2:4" hidden="1">
      <c r="B210" s="262">
        <f>PROPONENTES!C210</f>
        <v>0</v>
      </c>
      <c r="C210" s="263" t="e">
        <f>VLOOKUP(B210,PROPONENTES!$C$19:$D$218,2,FALSE)</f>
        <v>#N/A</v>
      </c>
      <c r="D210" s="264"/>
    </row>
    <row r="211" spans="2:4" hidden="1">
      <c r="B211" s="262">
        <f>PROPONENTES!C211</f>
        <v>0</v>
      </c>
      <c r="C211" s="263" t="e">
        <f>VLOOKUP(B211,PROPONENTES!$C$19:$D$218,2,FALSE)</f>
        <v>#N/A</v>
      </c>
      <c r="D211" s="264"/>
    </row>
    <row r="212" spans="2:4" hidden="1">
      <c r="B212" s="262">
        <f>PROPONENTES!C212</f>
        <v>0</v>
      </c>
      <c r="C212" s="263" t="e">
        <f>VLOOKUP(B212,PROPONENTES!$C$19:$D$218,2,FALSE)</f>
        <v>#N/A</v>
      </c>
      <c r="D212" s="264"/>
    </row>
    <row r="213" spans="2:4" hidden="1">
      <c r="B213" s="262">
        <f>PROPONENTES!C213</f>
        <v>0</v>
      </c>
      <c r="C213" s="263" t="e">
        <f>VLOOKUP(B213,PROPONENTES!$C$19:$D$218,2,FALSE)</f>
        <v>#N/A</v>
      </c>
      <c r="D213" s="264"/>
    </row>
    <row r="214" spans="2:4" hidden="1">
      <c r="B214" s="262">
        <f>PROPONENTES!C214</f>
        <v>0</v>
      </c>
      <c r="C214" s="263" t="e">
        <f>VLOOKUP(B214,PROPONENTES!$C$19:$D$218,2,FALSE)</f>
        <v>#N/A</v>
      </c>
      <c r="D214" s="264"/>
    </row>
    <row r="215" spans="2:4" hidden="1">
      <c r="B215" s="262">
        <f>PROPONENTES!C215</f>
        <v>0</v>
      </c>
      <c r="C215" s="263" t="e">
        <f>VLOOKUP(B215,PROPONENTES!$C$19:$D$218,2,FALSE)</f>
        <v>#N/A</v>
      </c>
      <c r="D215" s="264"/>
    </row>
    <row r="216" spans="2:4" hidden="1">
      <c r="B216" s="262">
        <f>PROPONENTES!C216</f>
        <v>0</v>
      </c>
      <c r="C216" s="263" t="e">
        <f>VLOOKUP(B216,PROPONENTES!$C$19:$D$218,2,FALSE)</f>
        <v>#N/A</v>
      </c>
      <c r="D216" s="264"/>
    </row>
    <row r="217" spans="2:4" hidden="1">
      <c r="B217" s="262">
        <f>PROPONENTES!C217</f>
        <v>0</v>
      </c>
      <c r="C217" s="263" t="e">
        <f>VLOOKUP(B217,PROPONENTES!$C$19:$D$218,2,FALSE)</f>
        <v>#N/A</v>
      </c>
      <c r="D217" s="264"/>
    </row>
    <row r="218" spans="2:4" hidden="1">
      <c r="B218" s="262">
        <f>PROPONENTES!C218</f>
        <v>0</v>
      </c>
      <c r="C218" s="263" t="e">
        <f>VLOOKUP(B218,PROPONENTES!$C$19:$D$218,2,FALSE)</f>
        <v>#N/A</v>
      </c>
      <c r="D218" s="264"/>
    </row>
    <row r="219" spans="2:4" ht="3" customHeight="1" thickBot="1">
      <c r="B219" s="265"/>
      <c r="C219" s="266"/>
      <c r="D219" s="267"/>
    </row>
    <row r="220" spans="2:4" ht="15.75" thickTop="1"/>
  </sheetData>
  <mergeCells count="13">
    <mergeCell ref="B7:D7"/>
    <mergeCell ref="B1:D1"/>
    <mergeCell ref="B2:D2"/>
    <mergeCell ref="B3:D3"/>
    <mergeCell ref="B4:D4"/>
    <mergeCell ref="B6:D6"/>
    <mergeCell ref="B9:D9"/>
    <mergeCell ref="B11:D11"/>
    <mergeCell ref="B13:D13"/>
    <mergeCell ref="B14:D14"/>
    <mergeCell ref="B16:B17"/>
    <mergeCell ref="C16:C17"/>
    <mergeCell ref="D16:D17"/>
  </mergeCells>
  <conditionalFormatting sqref="B19:D218">
    <cfRule type="expression" dxfId="40" priority="1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4" tint="0.59999389629810485"/>
    <pageSetUpPr fitToPage="1"/>
  </sheetPr>
  <dimension ref="A1:D220"/>
  <sheetViews>
    <sheetView showGridLines="0" topLeftCell="A4" zoomScaleNormal="100" workbookViewId="0">
      <selection activeCell="D19" sqref="D19"/>
    </sheetView>
  </sheetViews>
  <sheetFormatPr baseColWidth="10" defaultRowHeight="15"/>
  <cols>
    <col min="1" max="1" width="3.85546875" style="258" customWidth="1"/>
    <col min="2" max="2" width="14" style="258" customWidth="1"/>
    <col min="3" max="3" width="45" style="258" customWidth="1"/>
    <col min="4" max="4" width="14.42578125" style="258" customWidth="1"/>
    <col min="5" max="16384" width="11.42578125" style="258"/>
  </cols>
  <sheetData>
    <row r="1" spans="1:4" s="4" customFormat="1" ht="15" customHeight="1">
      <c r="A1" s="248"/>
      <c r="B1" s="867" t="str">
        <f>PROPONENTES!B1</f>
        <v>INSTITUTO NACIONAL DE VÍAS</v>
      </c>
      <c r="C1" s="867"/>
      <c r="D1" s="867"/>
    </row>
    <row r="2" spans="1:4" s="2" customFormat="1" ht="15" customHeight="1">
      <c r="A2" s="251"/>
      <c r="B2" s="867" t="str">
        <f>PROPONENTES!B2</f>
        <v>DIRECCIÓN TERRITORIAL HUILA</v>
      </c>
      <c r="C2" s="867"/>
      <c r="D2" s="867"/>
    </row>
    <row r="3" spans="1:4" s="2" customFormat="1" ht="15" customHeight="1">
      <c r="A3" s="251"/>
      <c r="B3" s="867"/>
      <c r="C3" s="867"/>
      <c r="D3" s="867"/>
    </row>
    <row r="4" spans="1:4" s="2" customFormat="1" ht="12.75" customHeight="1">
      <c r="A4" s="251"/>
      <c r="B4" s="867"/>
      <c r="C4" s="867"/>
      <c r="D4" s="867"/>
    </row>
    <row r="5" spans="1:4" s="2" customFormat="1" ht="12.75">
      <c r="A5" s="251"/>
      <c r="B5" s="249"/>
      <c r="C5" s="3"/>
      <c r="D5" s="252"/>
    </row>
    <row r="6" spans="1:4" s="2" customFormat="1" ht="12.75">
      <c r="A6" s="251"/>
      <c r="B6" s="867" t="str">
        <f>+PROPONENTES!B6</f>
        <v>CONCURSO DE MÉRITOS ABIERTO</v>
      </c>
      <c r="C6" s="867"/>
      <c r="D6" s="867"/>
    </row>
    <row r="7" spans="1:4" s="6" customFormat="1" ht="12.75">
      <c r="A7" s="251"/>
      <c r="B7" s="867" t="str">
        <f>PROPONENTES!B7</f>
        <v>CMA-DT-HUI-002-2019</v>
      </c>
      <c r="C7" s="867"/>
      <c r="D7" s="867"/>
    </row>
    <row r="8" spans="1:4" s="6" customFormat="1" ht="12.75" customHeight="1">
      <c r="A8" s="251"/>
      <c r="B8" s="249"/>
      <c r="C8" s="3"/>
      <c r="D8" s="253"/>
    </row>
    <row r="9" spans="1:4" s="6" customFormat="1" ht="65.25" customHeight="1">
      <c r="A9" s="251"/>
      <c r="B9" s="867" t="str">
        <f>PROPONENTES!B9</f>
        <v>OBJETO: "INTERVENTORIA TECNICA, ADMINISTRATIVA, FINANCIERA, AMBIENTAL , ATENCIÓN SITIOS CRITICOS CONSTRUCCIÓN PUENTE QUEBRADA PÌEDRAS NEGRAS MUNICIPIO DE SALADOBLANCO CARRETERA LA CABAÑA-MORELIA, CÓDIGO 19787 (PRODUCTO SITIO CRÍTICO DE RED TERCIARIA ESTABILIZADA).”</v>
      </c>
      <c r="C9" s="867"/>
      <c r="D9" s="867"/>
    </row>
    <row r="10" spans="1:4" s="6" customFormat="1" ht="12.75" customHeight="1">
      <c r="A10" s="251"/>
      <c r="B10" s="249"/>
      <c r="C10" s="3"/>
      <c r="D10" s="253"/>
    </row>
    <row r="11" spans="1:4" s="6" customFormat="1" ht="12.75">
      <c r="A11" s="251"/>
      <c r="B11" s="868" t="str">
        <f>PROPONENTES!B11</f>
        <v>MÓDULO No. 1</v>
      </c>
      <c r="C11" s="868"/>
      <c r="D11" s="868"/>
    </row>
    <row r="12" spans="1:4" s="6" customFormat="1" ht="15.75">
      <c r="A12" s="251"/>
      <c r="B12" s="254"/>
      <c r="C12" s="255"/>
      <c r="D12" s="253"/>
    </row>
    <row r="13" spans="1:4" s="6" customFormat="1" ht="12.75">
      <c r="A13" s="251"/>
      <c r="B13" s="641" t="s">
        <v>349</v>
      </c>
      <c r="C13" s="641"/>
      <c r="D13" s="641"/>
    </row>
    <row r="14" spans="1:4">
      <c r="A14" s="256"/>
      <c r="B14" s="641" t="s">
        <v>138</v>
      </c>
      <c r="C14" s="641"/>
      <c r="D14" s="641"/>
    </row>
    <row r="15" spans="1:4" ht="15.75" thickBot="1"/>
    <row r="16" spans="1:4" ht="24" customHeight="1" thickTop="1">
      <c r="B16" s="869" t="s">
        <v>139</v>
      </c>
      <c r="C16" s="871" t="s">
        <v>16</v>
      </c>
      <c r="D16" s="873" t="s">
        <v>23</v>
      </c>
    </row>
    <row r="17" spans="2:4" ht="24" customHeight="1" thickBot="1">
      <c r="B17" s="870"/>
      <c r="C17" s="872"/>
      <c r="D17" s="874"/>
    </row>
    <row r="18" spans="2:4" ht="4.5" customHeight="1">
      <c r="B18" s="259"/>
      <c r="C18" s="260"/>
      <c r="D18" s="261"/>
    </row>
    <row r="19" spans="2:4">
      <c r="B19" s="262">
        <f>PROPONENTES!C19</f>
        <v>1</v>
      </c>
      <c r="C19" s="263" t="str">
        <f>VLOOKUP(B19,PROPONENTES!$C$19:$D$218,2,FALSE)</f>
        <v>CONSORCIO JC 2019</v>
      </c>
      <c r="D19" s="264">
        <v>100</v>
      </c>
    </row>
    <row r="20" spans="2:4">
      <c r="B20" s="262">
        <f>PROPONENTES!C20</f>
        <v>2</v>
      </c>
      <c r="C20" s="263" t="str">
        <f>VLOOKUP(B20,PROPONENTES!$C$19:$D$218,2,FALSE)</f>
        <v>CONSORCIO MORELIA JPD</v>
      </c>
      <c r="D20" s="264">
        <v>100</v>
      </c>
    </row>
    <row r="21" spans="2:4">
      <c r="B21" s="262">
        <f>PROPONENTES!C21</f>
        <v>3</v>
      </c>
      <c r="C21" s="263" t="str">
        <f>VLOOKUP(B21,PROPONENTES!$C$19:$D$218,2,FALSE)</f>
        <v>UCING LTDA</v>
      </c>
      <c r="D21" s="264">
        <v>100</v>
      </c>
    </row>
    <row r="22" spans="2:4">
      <c r="B22" s="262">
        <f>PROPONENTES!C22</f>
        <v>4</v>
      </c>
      <c r="C22" s="263" t="str">
        <f>VLOOKUP(B22,PROPONENTES!$C$19:$D$218,2,FALSE)</f>
        <v>SOTA</v>
      </c>
      <c r="D22" s="264">
        <v>100</v>
      </c>
    </row>
    <row r="23" spans="2:4">
      <c r="B23" s="262"/>
      <c r="C23" s="263"/>
      <c r="D23" s="264"/>
    </row>
    <row r="24" spans="2:4">
      <c r="B24" s="262"/>
      <c r="C24" s="263"/>
      <c r="D24" s="264"/>
    </row>
    <row r="25" spans="2:4">
      <c r="B25" s="262"/>
      <c r="C25" s="263"/>
      <c r="D25" s="264"/>
    </row>
    <row r="26" spans="2:4">
      <c r="B26" s="262"/>
      <c r="C26" s="263"/>
      <c r="D26" s="264"/>
    </row>
    <row r="27" spans="2:4">
      <c r="B27" s="262"/>
      <c r="C27" s="263"/>
      <c r="D27" s="264"/>
    </row>
    <row r="28" spans="2:4">
      <c r="B28" s="262"/>
      <c r="C28" s="263"/>
      <c r="D28" s="264"/>
    </row>
    <row r="29" spans="2:4">
      <c r="B29" s="262"/>
      <c r="C29" s="263"/>
      <c r="D29" s="264"/>
    </row>
    <row r="30" spans="2:4">
      <c r="B30" s="262"/>
      <c r="C30" s="263"/>
      <c r="D30" s="264"/>
    </row>
    <row r="31" spans="2:4">
      <c r="B31" s="262"/>
      <c r="C31" s="263"/>
      <c r="D31" s="264"/>
    </row>
    <row r="32" spans="2:4">
      <c r="B32" s="262"/>
      <c r="C32" s="263"/>
      <c r="D32" s="264"/>
    </row>
    <row r="33" spans="2:4" hidden="1">
      <c r="B33" s="262">
        <f>PROPONENTES!C33</f>
        <v>0</v>
      </c>
      <c r="C33" s="263" t="e">
        <f>VLOOKUP(B33,PROPONENTES!$C$19:$D$218,2,FALSE)</f>
        <v>#N/A</v>
      </c>
      <c r="D33" s="264"/>
    </row>
    <row r="34" spans="2:4" hidden="1">
      <c r="B34" s="262">
        <f>PROPONENTES!C34</f>
        <v>0</v>
      </c>
      <c r="C34" s="263" t="e">
        <f>VLOOKUP(B34,PROPONENTES!$C$19:$D$218,2,FALSE)</f>
        <v>#N/A</v>
      </c>
      <c r="D34" s="264"/>
    </row>
    <row r="35" spans="2:4" hidden="1">
      <c r="B35" s="262">
        <f>PROPONENTES!C35</f>
        <v>0</v>
      </c>
      <c r="C35" s="263" t="e">
        <f>VLOOKUP(B35,PROPONENTES!$C$19:$D$218,2,FALSE)</f>
        <v>#N/A</v>
      </c>
      <c r="D35" s="264"/>
    </row>
    <row r="36" spans="2:4" hidden="1">
      <c r="B36" s="262">
        <f>PROPONENTES!C36</f>
        <v>0</v>
      </c>
      <c r="C36" s="263" t="e">
        <f>VLOOKUP(B36,PROPONENTES!$C$19:$D$218,2,FALSE)</f>
        <v>#N/A</v>
      </c>
      <c r="D36" s="264"/>
    </row>
    <row r="37" spans="2:4" hidden="1">
      <c r="B37" s="262">
        <f>PROPONENTES!C37</f>
        <v>0</v>
      </c>
      <c r="C37" s="263" t="e">
        <f>VLOOKUP(B37,PROPONENTES!$C$19:$D$218,2,FALSE)</f>
        <v>#N/A</v>
      </c>
      <c r="D37" s="264"/>
    </row>
    <row r="38" spans="2:4" hidden="1">
      <c r="B38" s="262">
        <f>PROPONENTES!C38</f>
        <v>0</v>
      </c>
      <c r="C38" s="263" t="e">
        <f>VLOOKUP(B38,PROPONENTES!$C$19:$D$218,2,FALSE)</f>
        <v>#N/A</v>
      </c>
      <c r="D38" s="264"/>
    </row>
    <row r="39" spans="2:4" hidden="1">
      <c r="B39" s="262">
        <f>PROPONENTES!C39</f>
        <v>0</v>
      </c>
      <c r="C39" s="263" t="e">
        <f>VLOOKUP(B39,PROPONENTES!$C$19:$D$218,2,FALSE)</f>
        <v>#N/A</v>
      </c>
      <c r="D39" s="264"/>
    </row>
    <row r="40" spans="2:4" hidden="1">
      <c r="B40" s="262">
        <f>PROPONENTES!C40</f>
        <v>0</v>
      </c>
      <c r="C40" s="263" t="e">
        <f>VLOOKUP(B40,PROPONENTES!$C$19:$D$218,2,FALSE)</f>
        <v>#N/A</v>
      </c>
      <c r="D40" s="264"/>
    </row>
    <row r="41" spans="2:4" hidden="1">
      <c r="B41" s="262">
        <f>PROPONENTES!C41</f>
        <v>0</v>
      </c>
      <c r="C41" s="263" t="e">
        <f>VLOOKUP(B41,PROPONENTES!$C$19:$D$218,2,FALSE)</f>
        <v>#N/A</v>
      </c>
      <c r="D41" s="264"/>
    </row>
    <row r="42" spans="2:4" hidden="1">
      <c r="B42" s="262">
        <f>PROPONENTES!C42</f>
        <v>0</v>
      </c>
      <c r="C42" s="263" t="e">
        <f>VLOOKUP(B42,PROPONENTES!$C$19:$D$218,2,FALSE)</f>
        <v>#N/A</v>
      </c>
      <c r="D42" s="264"/>
    </row>
    <row r="43" spans="2:4" hidden="1">
      <c r="B43" s="262">
        <f>PROPONENTES!C43</f>
        <v>0</v>
      </c>
      <c r="C43" s="263" t="e">
        <f>VLOOKUP(B43,PROPONENTES!$C$19:$D$218,2,FALSE)</f>
        <v>#N/A</v>
      </c>
      <c r="D43" s="264"/>
    </row>
    <row r="44" spans="2:4" hidden="1">
      <c r="B44" s="262">
        <f>PROPONENTES!C44</f>
        <v>0</v>
      </c>
      <c r="C44" s="263" t="e">
        <f>VLOOKUP(B44,PROPONENTES!$C$19:$D$218,2,FALSE)</f>
        <v>#N/A</v>
      </c>
      <c r="D44" s="264"/>
    </row>
    <row r="45" spans="2:4" hidden="1">
      <c r="B45" s="262">
        <f>PROPONENTES!C45</f>
        <v>0</v>
      </c>
      <c r="C45" s="263" t="e">
        <f>VLOOKUP(B45,PROPONENTES!$C$19:$D$218,2,FALSE)</f>
        <v>#N/A</v>
      </c>
      <c r="D45" s="264"/>
    </row>
    <row r="46" spans="2:4" hidden="1">
      <c r="B46" s="262">
        <f>PROPONENTES!C46</f>
        <v>0</v>
      </c>
      <c r="C46" s="263" t="e">
        <f>VLOOKUP(B46,PROPONENTES!$C$19:$D$218,2,FALSE)</f>
        <v>#N/A</v>
      </c>
      <c r="D46" s="264"/>
    </row>
    <row r="47" spans="2:4" hidden="1">
      <c r="B47" s="262">
        <f>PROPONENTES!C47</f>
        <v>0</v>
      </c>
      <c r="C47" s="263" t="e">
        <f>VLOOKUP(B47,PROPONENTES!$C$19:$D$218,2,FALSE)</f>
        <v>#N/A</v>
      </c>
      <c r="D47" s="264"/>
    </row>
    <row r="48" spans="2:4" hidden="1">
      <c r="B48" s="262">
        <f>PROPONENTES!C48</f>
        <v>0</v>
      </c>
      <c r="C48" s="263" t="e">
        <f>VLOOKUP(B48,PROPONENTES!$C$19:$D$218,2,FALSE)</f>
        <v>#N/A</v>
      </c>
      <c r="D48" s="264"/>
    </row>
    <row r="49" spans="2:4" hidden="1">
      <c r="B49" s="262">
        <f>PROPONENTES!C49</f>
        <v>0</v>
      </c>
      <c r="C49" s="263" t="e">
        <f>VLOOKUP(B49,PROPONENTES!$C$19:$D$218,2,FALSE)</f>
        <v>#N/A</v>
      </c>
      <c r="D49" s="264"/>
    </row>
    <row r="50" spans="2:4" hidden="1">
      <c r="B50" s="262">
        <f>PROPONENTES!C50</f>
        <v>0</v>
      </c>
      <c r="C50" s="263" t="e">
        <f>VLOOKUP(B50,PROPONENTES!$C$19:$D$218,2,FALSE)</f>
        <v>#N/A</v>
      </c>
      <c r="D50" s="264"/>
    </row>
    <row r="51" spans="2:4" hidden="1">
      <c r="B51" s="262">
        <f>PROPONENTES!C51</f>
        <v>0</v>
      </c>
      <c r="C51" s="263" t="e">
        <f>VLOOKUP(B51,PROPONENTES!$C$19:$D$218,2,FALSE)</f>
        <v>#N/A</v>
      </c>
      <c r="D51" s="264"/>
    </row>
    <row r="52" spans="2:4" hidden="1">
      <c r="B52" s="262">
        <f>PROPONENTES!C52</f>
        <v>0</v>
      </c>
      <c r="C52" s="263" t="e">
        <f>VLOOKUP(B52,PROPONENTES!$C$19:$D$218,2,FALSE)</f>
        <v>#N/A</v>
      </c>
      <c r="D52" s="264"/>
    </row>
    <row r="53" spans="2:4" hidden="1">
      <c r="B53" s="262">
        <f>PROPONENTES!C53</f>
        <v>0</v>
      </c>
      <c r="C53" s="263" t="e">
        <f>VLOOKUP(B53,PROPONENTES!$C$19:$D$218,2,FALSE)</f>
        <v>#N/A</v>
      </c>
      <c r="D53" s="264"/>
    </row>
    <row r="54" spans="2:4" hidden="1">
      <c r="B54" s="262">
        <f>PROPONENTES!C54</f>
        <v>0</v>
      </c>
      <c r="C54" s="263" t="e">
        <f>VLOOKUP(B54,PROPONENTES!$C$19:$D$218,2,FALSE)</f>
        <v>#N/A</v>
      </c>
      <c r="D54" s="264"/>
    </row>
    <row r="55" spans="2:4" hidden="1">
      <c r="B55" s="262">
        <f>PROPONENTES!C55</f>
        <v>0</v>
      </c>
      <c r="C55" s="263" t="e">
        <f>VLOOKUP(B55,PROPONENTES!$C$19:$D$218,2,FALSE)</f>
        <v>#N/A</v>
      </c>
      <c r="D55" s="264"/>
    </row>
    <row r="56" spans="2:4" hidden="1">
      <c r="B56" s="262">
        <f>PROPONENTES!C56</f>
        <v>0</v>
      </c>
      <c r="C56" s="263" t="e">
        <f>VLOOKUP(B56,PROPONENTES!$C$19:$D$218,2,FALSE)</f>
        <v>#N/A</v>
      </c>
      <c r="D56" s="264"/>
    </row>
    <row r="57" spans="2:4" hidden="1">
      <c r="B57" s="262">
        <f>PROPONENTES!C57</f>
        <v>0</v>
      </c>
      <c r="C57" s="263" t="e">
        <f>VLOOKUP(B57,PROPONENTES!$C$19:$D$218,2,FALSE)</f>
        <v>#N/A</v>
      </c>
      <c r="D57" s="264"/>
    </row>
    <row r="58" spans="2:4" hidden="1">
      <c r="B58" s="262">
        <f>PROPONENTES!C58</f>
        <v>0</v>
      </c>
      <c r="C58" s="263" t="e">
        <f>VLOOKUP(B58,PROPONENTES!$C$19:$D$218,2,FALSE)</f>
        <v>#N/A</v>
      </c>
      <c r="D58" s="264"/>
    </row>
    <row r="59" spans="2:4" hidden="1">
      <c r="B59" s="262">
        <f>PROPONENTES!C59</f>
        <v>0</v>
      </c>
      <c r="C59" s="263" t="e">
        <f>VLOOKUP(B59,PROPONENTES!$C$19:$D$218,2,FALSE)</f>
        <v>#N/A</v>
      </c>
      <c r="D59" s="264"/>
    </row>
    <row r="60" spans="2:4" hidden="1">
      <c r="B60" s="262">
        <f>PROPONENTES!C60</f>
        <v>0</v>
      </c>
      <c r="C60" s="263" t="e">
        <f>VLOOKUP(B60,PROPONENTES!$C$19:$D$218,2,FALSE)</f>
        <v>#N/A</v>
      </c>
      <c r="D60" s="264"/>
    </row>
    <row r="61" spans="2:4" hidden="1">
      <c r="B61" s="262">
        <f>PROPONENTES!C61</f>
        <v>0</v>
      </c>
      <c r="C61" s="263" t="e">
        <f>VLOOKUP(B61,PROPONENTES!$C$19:$D$218,2,FALSE)</f>
        <v>#N/A</v>
      </c>
      <c r="D61" s="264"/>
    </row>
    <row r="62" spans="2:4" hidden="1">
      <c r="B62" s="262">
        <f>PROPONENTES!C62</f>
        <v>0</v>
      </c>
      <c r="C62" s="263" t="e">
        <f>VLOOKUP(B62,PROPONENTES!$C$19:$D$218,2,FALSE)</f>
        <v>#N/A</v>
      </c>
      <c r="D62" s="264"/>
    </row>
    <row r="63" spans="2:4" hidden="1">
      <c r="B63" s="262">
        <f>PROPONENTES!C63</f>
        <v>0</v>
      </c>
      <c r="C63" s="263" t="e">
        <f>VLOOKUP(B63,PROPONENTES!$C$19:$D$218,2,FALSE)</f>
        <v>#N/A</v>
      </c>
      <c r="D63" s="264"/>
    </row>
    <row r="64" spans="2:4" hidden="1">
      <c r="B64" s="262">
        <f>PROPONENTES!C64</f>
        <v>0</v>
      </c>
      <c r="C64" s="263" t="e">
        <f>VLOOKUP(B64,PROPONENTES!$C$19:$D$218,2,FALSE)</f>
        <v>#N/A</v>
      </c>
      <c r="D64" s="264"/>
    </row>
    <row r="65" spans="2:4" hidden="1">
      <c r="B65" s="262">
        <f>PROPONENTES!C65</f>
        <v>0</v>
      </c>
      <c r="C65" s="263" t="e">
        <f>VLOOKUP(B65,PROPONENTES!$C$19:$D$218,2,FALSE)</f>
        <v>#N/A</v>
      </c>
      <c r="D65" s="264"/>
    </row>
    <row r="66" spans="2:4" hidden="1">
      <c r="B66" s="262">
        <f>PROPONENTES!C66</f>
        <v>0</v>
      </c>
      <c r="C66" s="263" t="e">
        <f>VLOOKUP(B66,PROPONENTES!$C$19:$D$218,2,FALSE)</f>
        <v>#N/A</v>
      </c>
      <c r="D66" s="264"/>
    </row>
    <row r="67" spans="2:4" hidden="1">
      <c r="B67" s="262">
        <f>PROPONENTES!C67</f>
        <v>0</v>
      </c>
      <c r="C67" s="263" t="e">
        <f>VLOOKUP(B67,PROPONENTES!$C$19:$D$218,2,FALSE)</f>
        <v>#N/A</v>
      </c>
      <c r="D67" s="264"/>
    </row>
    <row r="68" spans="2:4" hidden="1">
      <c r="B68" s="262">
        <f>PROPONENTES!C68</f>
        <v>0</v>
      </c>
      <c r="C68" s="263" t="e">
        <f>VLOOKUP(B68,PROPONENTES!$C$19:$D$218,2,FALSE)</f>
        <v>#N/A</v>
      </c>
      <c r="D68" s="264"/>
    </row>
    <row r="69" spans="2:4" hidden="1">
      <c r="B69" s="262">
        <f>PROPONENTES!C69</f>
        <v>0</v>
      </c>
      <c r="C69" s="263" t="e">
        <f>VLOOKUP(B69,PROPONENTES!$C$19:$D$218,2,FALSE)</f>
        <v>#N/A</v>
      </c>
      <c r="D69" s="264"/>
    </row>
    <row r="70" spans="2:4" hidden="1">
      <c r="B70" s="262">
        <f>PROPONENTES!C70</f>
        <v>0</v>
      </c>
      <c r="C70" s="263" t="e">
        <f>VLOOKUP(B70,PROPONENTES!$C$19:$D$218,2,FALSE)</f>
        <v>#N/A</v>
      </c>
      <c r="D70" s="264"/>
    </row>
    <row r="71" spans="2:4" hidden="1">
      <c r="B71" s="262">
        <f>PROPONENTES!C71</f>
        <v>0</v>
      </c>
      <c r="C71" s="263" t="e">
        <f>VLOOKUP(B71,PROPONENTES!$C$19:$D$218,2,FALSE)</f>
        <v>#N/A</v>
      </c>
      <c r="D71" s="264"/>
    </row>
    <row r="72" spans="2:4" hidden="1">
      <c r="B72" s="262">
        <f>PROPONENTES!C72</f>
        <v>0</v>
      </c>
      <c r="C72" s="263" t="e">
        <f>VLOOKUP(B72,PROPONENTES!$C$19:$D$218,2,FALSE)</f>
        <v>#N/A</v>
      </c>
      <c r="D72" s="264"/>
    </row>
    <row r="73" spans="2:4" hidden="1">
      <c r="B73" s="262">
        <f>PROPONENTES!C73</f>
        <v>0</v>
      </c>
      <c r="C73" s="263" t="e">
        <f>VLOOKUP(B73,PROPONENTES!$C$19:$D$218,2,FALSE)</f>
        <v>#N/A</v>
      </c>
      <c r="D73" s="264"/>
    </row>
    <row r="74" spans="2:4" hidden="1">
      <c r="B74" s="262">
        <f>PROPONENTES!C74</f>
        <v>0</v>
      </c>
      <c r="C74" s="263" t="e">
        <f>VLOOKUP(B74,PROPONENTES!$C$19:$D$218,2,FALSE)</f>
        <v>#N/A</v>
      </c>
      <c r="D74" s="264"/>
    </row>
    <row r="75" spans="2:4" hidden="1">
      <c r="B75" s="262">
        <f>PROPONENTES!C75</f>
        <v>0</v>
      </c>
      <c r="C75" s="263" t="e">
        <f>VLOOKUP(B75,PROPONENTES!$C$19:$D$218,2,FALSE)</f>
        <v>#N/A</v>
      </c>
      <c r="D75" s="264"/>
    </row>
    <row r="76" spans="2:4" hidden="1">
      <c r="B76" s="262">
        <f>PROPONENTES!C76</f>
        <v>0</v>
      </c>
      <c r="C76" s="263" t="e">
        <f>VLOOKUP(B76,PROPONENTES!$C$19:$D$218,2,FALSE)</f>
        <v>#N/A</v>
      </c>
      <c r="D76" s="264"/>
    </row>
    <row r="77" spans="2:4" hidden="1">
      <c r="B77" s="262">
        <f>PROPONENTES!C77</f>
        <v>0</v>
      </c>
      <c r="C77" s="263" t="e">
        <f>VLOOKUP(B77,PROPONENTES!$C$19:$D$218,2,FALSE)</f>
        <v>#N/A</v>
      </c>
      <c r="D77" s="264"/>
    </row>
    <row r="78" spans="2:4" hidden="1">
      <c r="B78" s="262">
        <f>PROPONENTES!C78</f>
        <v>0</v>
      </c>
      <c r="C78" s="263" t="e">
        <f>VLOOKUP(B78,PROPONENTES!$C$19:$D$218,2,FALSE)</f>
        <v>#N/A</v>
      </c>
      <c r="D78" s="264"/>
    </row>
    <row r="79" spans="2:4" hidden="1">
      <c r="B79" s="262">
        <f>PROPONENTES!C79</f>
        <v>0</v>
      </c>
      <c r="C79" s="263" t="e">
        <f>VLOOKUP(B79,PROPONENTES!$C$19:$D$218,2,FALSE)</f>
        <v>#N/A</v>
      </c>
      <c r="D79" s="264"/>
    </row>
    <row r="80" spans="2:4" hidden="1">
      <c r="B80" s="262">
        <f>PROPONENTES!C80</f>
        <v>0</v>
      </c>
      <c r="C80" s="263" t="e">
        <f>VLOOKUP(B80,PROPONENTES!$C$19:$D$218,2,FALSE)</f>
        <v>#N/A</v>
      </c>
      <c r="D80" s="264"/>
    </row>
    <row r="81" spans="2:4" hidden="1">
      <c r="B81" s="262">
        <f>PROPONENTES!C81</f>
        <v>0</v>
      </c>
      <c r="C81" s="263" t="e">
        <f>VLOOKUP(B81,PROPONENTES!$C$19:$D$218,2,FALSE)</f>
        <v>#N/A</v>
      </c>
      <c r="D81" s="264"/>
    </row>
    <row r="82" spans="2:4" hidden="1">
      <c r="B82" s="262">
        <f>PROPONENTES!C82</f>
        <v>0</v>
      </c>
      <c r="C82" s="263" t="e">
        <f>VLOOKUP(B82,PROPONENTES!$C$19:$D$218,2,FALSE)</f>
        <v>#N/A</v>
      </c>
      <c r="D82" s="264"/>
    </row>
    <row r="83" spans="2:4" hidden="1">
      <c r="B83" s="262">
        <f>PROPONENTES!C83</f>
        <v>0</v>
      </c>
      <c r="C83" s="263" t="e">
        <f>VLOOKUP(B83,PROPONENTES!$C$19:$D$218,2,FALSE)</f>
        <v>#N/A</v>
      </c>
      <c r="D83" s="264"/>
    </row>
    <row r="84" spans="2:4" hidden="1">
      <c r="B84" s="262">
        <f>PROPONENTES!C84</f>
        <v>0</v>
      </c>
      <c r="C84" s="263" t="e">
        <f>VLOOKUP(B84,PROPONENTES!$C$19:$D$218,2,FALSE)</f>
        <v>#N/A</v>
      </c>
      <c r="D84" s="264"/>
    </row>
    <row r="85" spans="2:4" hidden="1">
      <c r="B85" s="262">
        <f>PROPONENTES!C85</f>
        <v>0</v>
      </c>
      <c r="C85" s="263" t="e">
        <f>VLOOKUP(B85,PROPONENTES!$C$19:$D$218,2,FALSE)</f>
        <v>#N/A</v>
      </c>
      <c r="D85" s="264"/>
    </row>
    <row r="86" spans="2:4" hidden="1">
      <c r="B86" s="262">
        <f>PROPONENTES!C86</f>
        <v>0</v>
      </c>
      <c r="C86" s="263" t="e">
        <f>VLOOKUP(B86,PROPONENTES!$C$19:$D$218,2,FALSE)</f>
        <v>#N/A</v>
      </c>
      <c r="D86" s="264"/>
    </row>
    <row r="87" spans="2:4" hidden="1">
      <c r="B87" s="262">
        <f>PROPONENTES!C87</f>
        <v>0</v>
      </c>
      <c r="C87" s="263" t="e">
        <f>VLOOKUP(B87,PROPONENTES!$C$19:$D$218,2,FALSE)</f>
        <v>#N/A</v>
      </c>
      <c r="D87" s="264"/>
    </row>
    <row r="88" spans="2:4" hidden="1">
      <c r="B88" s="262">
        <f>PROPONENTES!C88</f>
        <v>0</v>
      </c>
      <c r="C88" s="263" t="e">
        <f>VLOOKUP(B88,PROPONENTES!$C$19:$D$218,2,FALSE)</f>
        <v>#N/A</v>
      </c>
      <c r="D88" s="264"/>
    </row>
    <row r="89" spans="2:4" hidden="1">
      <c r="B89" s="262">
        <f>PROPONENTES!C89</f>
        <v>0</v>
      </c>
      <c r="C89" s="263" t="e">
        <f>VLOOKUP(B89,PROPONENTES!$C$19:$D$218,2,FALSE)</f>
        <v>#N/A</v>
      </c>
      <c r="D89" s="264"/>
    </row>
    <row r="90" spans="2:4" hidden="1">
      <c r="B90" s="262">
        <f>PROPONENTES!C90</f>
        <v>0</v>
      </c>
      <c r="C90" s="263" t="e">
        <f>VLOOKUP(B90,PROPONENTES!$C$19:$D$218,2,FALSE)</f>
        <v>#N/A</v>
      </c>
      <c r="D90" s="264"/>
    </row>
    <row r="91" spans="2:4" hidden="1">
      <c r="B91" s="262">
        <f>PROPONENTES!C91</f>
        <v>0</v>
      </c>
      <c r="C91" s="263" t="e">
        <f>VLOOKUP(B91,PROPONENTES!$C$19:$D$218,2,FALSE)</f>
        <v>#N/A</v>
      </c>
      <c r="D91" s="264"/>
    </row>
    <row r="92" spans="2:4" hidden="1">
      <c r="B92" s="262">
        <f>PROPONENTES!C92</f>
        <v>0</v>
      </c>
      <c r="C92" s="263" t="e">
        <f>VLOOKUP(B92,PROPONENTES!$C$19:$D$218,2,FALSE)</f>
        <v>#N/A</v>
      </c>
      <c r="D92" s="264"/>
    </row>
    <row r="93" spans="2:4" hidden="1">
      <c r="B93" s="262">
        <f>PROPONENTES!C93</f>
        <v>0</v>
      </c>
      <c r="C93" s="263" t="e">
        <f>VLOOKUP(B93,PROPONENTES!$C$19:$D$218,2,FALSE)</f>
        <v>#N/A</v>
      </c>
      <c r="D93" s="264"/>
    </row>
    <row r="94" spans="2:4" hidden="1">
      <c r="B94" s="262">
        <f>PROPONENTES!C94</f>
        <v>0</v>
      </c>
      <c r="C94" s="263" t="e">
        <f>VLOOKUP(B94,PROPONENTES!$C$19:$D$218,2,FALSE)</f>
        <v>#N/A</v>
      </c>
      <c r="D94" s="264"/>
    </row>
    <row r="95" spans="2:4" hidden="1">
      <c r="B95" s="262">
        <f>PROPONENTES!C95</f>
        <v>0</v>
      </c>
      <c r="C95" s="263" t="e">
        <f>VLOOKUP(B95,PROPONENTES!$C$19:$D$218,2,FALSE)</f>
        <v>#N/A</v>
      </c>
      <c r="D95" s="264"/>
    </row>
    <row r="96" spans="2:4" hidden="1">
      <c r="B96" s="262">
        <f>PROPONENTES!C96</f>
        <v>0</v>
      </c>
      <c r="C96" s="263" t="e">
        <f>VLOOKUP(B96,PROPONENTES!$C$19:$D$218,2,FALSE)</f>
        <v>#N/A</v>
      </c>
      <c r="D96" s="264"/>
    </row>
    <row r="97" spans="2:4" hidden="1">
      <c r="B97" s="262">
        <f>PROPONENTES!C97</f>
        <v>0</v>
      </c>
      <c r="C97" s="263" t="e">
        <f>VLOOKUP(B97,PROPONENTES!$C$19:$D$218,2,FALSE)</f>
        <v>#N/A</v>
      </c>
      <c r="D97" s="264"/>
    </row>
    <row r="98" spans="2:4" hidden="1">
      <c r="B98" s="262">
        <f>PROPONENTES!C98</f>
        <v>0</v>
      </c>
      <c r="C98" s="263" t="e">
        <f>VLOOKUP(B98,PROPONENTES!$C$19:$D$218,2,FALSE)</f>
        <v>#N/A</v>
      </c>
      <c r="D98" s="264"/>
    </row>
    <row r="99" spans="2:4" hidden="1">
      <c r="B99" s="262">
        <f>PROPONENTES!C99</f>
        <v>0</v>
      </c>
      <c r="C99" s="263" t="e">
        <f>VLOOKUP(B99,PROPONENTES!$C$19:$D$218,2,FALSE)</f>
        <v>#N/A</v>
      </c>
      <c r="D99" s="264"/>
    </row>
    <row r="100" spans="2:4" hidden="1">
      <c r="B100" s="262">
        <f>PROPONENTES!C100</f>
        <v>0</v>
      </c>
      <c r="C100" s="263" t="e">
        <f>VLOOKUP(B100,PROPONENTES!$C$19:$D$218,2,FALSE)</f>
        <v>#N/A</v>
      </c>
      <c r="D100" s="264"/>
    </row>
    <row r="101" spans="2:4" hidden="1">
      <c r="B101" s="262">
        <f>PROPONENTES!C101</f>
        <v>0</v>
      </c>
      <c r="C101" s="263" t="e">
        <f>VLOOKUP(B101,PROPONENTES!$C$19:$D$218,2,FALSE)</f>
        <v>#N/A</v>
      </c>
      <c r="D101" s="264"/>
    </row>
    <row r="102" spans="2:4" hidden="1">
      <c r="B102" s="262">
        <f>PROPONENTES!C102</f>
        <v>0</v>
      </c>
      <c r="C102" s="263" t="e">
        <f>VLOOKUP(B102,PROPONENTES!$C$19:$D$218,2,FALSE)</f>
        <v>#N/A</v>
      </c>
      <c r="D102" s="264"/>
    </row>
    <row r="103" spans="2:4" hidden="1">
      <c r="B103" s="262">
        <f>PROPONENTES!C103</f>
        <v>0</v>
      </c>
      <c r="C103" s="263" t="e">
        <f>VLOOKUP(B103,PROPONENTES!$C$19:$D$218,2,FALSE)</f>
        <v>#N/A</v>
      </c>
      <c r="D103" s="264"/>
    </row>
    <row r="104" spans="2:4" hidden="1">
      <c r="B104" s="262">
        <f>PROPONENTES!C104</f>
        <v>0</v>
      </c>
      <c r="C104" s="263" t="e">
        <f>VLOOKUP(B104,PROPONENTES!$C$19:$D$218,2,FALSE)</f>
        <v>#N/A</v>
      </c>
      <c r="D104" s="264"/>
    </row>
    <row r="105" spans="2:4" hidden="1">
      <c r="B105" s="262">
        <f>PROPONENTES!C105</f>
        <v>0</v>
      </c>
      <c r="C105" s="263" t="e">
        <f>VLOOKUP(B105,PROPONENTES!$C$19:$D$218,2,FALSE)</f>
        <v>#N/A</v>
      </c>
      <c r="D105" s="264"/>
    </row>
    <row r="106" spans="2:4" hidden="1">
      <c r="B106" s="262">
        <f>PROPONENTES!C106</f>
        <v>0</v>
      </c>
      <c r="C106" s="263" t="e">
        <f>VLOOKUP(B106,PROPONENTES!$C$19:$D$218,2,FALSE)</f>
        <v>#N/A</v>
      </c>
      <c r="D106" s="264"/>
    </row>
    <row r="107" spans="2:4" hidden="1">
      <c r="B107" s="262">
        <f>PROPONENTES!C107</f>
        <v>0</v>
      </c>
      <c r="C107" s="263" t="e">
        <f>VLOOKUP(B107,PROPONENTES!$C$19:$D$218,2,FALSE)</f>
        <v>#N/A</v>
      </c>
      <c r="D107" s="264"/>
    </row>
    <row r="108" spans="2:4" hidden="1">
      <c r="B108" s="262">
        <f>PROPONENTES!C108</f>
        <v>0</v>
      </c>
      <c r="C108" s="263" t="e">
        <f>VLOOKUP(B108,PROPONENTES!$C$19:$D$218,2,FALSE)</f>
        <v>#N/A</v>
      </c>
      <c r="D108" s="264"/>
    </row>
    <row r="109" spans="2:4" hidden="1">
      <c r="B109" s="262">
        <f>PROPONENTES!C109</f>
        <v>0</v>
      </c>
      <c r="C109" s="263" t="e">
        <f>VLOOKUP(B109,PROPONENTES!$C$19:$D$218,2,FALSE)</f>
        <v>#N/A</v>
      </c>
      <c r="D109" s="264"/>
    </row>
    <row r="110" spans="2:4" hidden="1">
      <c r="B110" s="262">
        <f>PROPONENTES!C110</f>
        <v>0</v>
      </c>
      <c r="C110" s="263" t="e">
        <f>VLOOKUP(B110,PROPONENTES!$C$19:$D$218,2,FALSE)</f>
        <v>#N/A</v>
      </c>
      <c r="D110" s="264"/>
    </row>
    <row r="111" spans="2:4" hidden="1">
      <c r="B111" s="262">
        <f>PROPONENTES!C111</f>
        <v>0</v>
      </c>
      <c r="C111" s="263" t="e">
        <f>VLOOKUP(B111,PROPONENTES!$C$19:$D$218,2,FALSE)</f>
        <v>#N/A</v>
      </c>
      <c r="D111" s="264"/>
    </row>
    <row r="112" spans="2:4" hidden="1">
      <c r="B112" s="262">
        <f>PROPONENTES!C112</f>
        <v>0</v>
      </c>
      <c r="C112" s="263" t="e">
        <f>VLOOKUP(B112,PROPONENTES!$C$19:$D$218,2,FALSE)</f>
        <v>#N/A</v>
      </c>
      <c r="D112" s="264"/>
    </row>
    <row r="113" spans="2:4" hidden="1">
      <c r="B113" s="262">
        <f>PROPONENTES!C113</f>
        <v>0</v>
      </c>
      <c r="C113" s="263" t="e">
        <f>VLOOKUP(B113,PROPONENTES!$C$19:$D$218,2,FALSE)</f>
        <v>#N/A</v>
      </c>
      <c r="D113" s="264"/>
    </row>
    <row r="114" spans="2:4" hidden="1">
      <c r="B114" s="262">
        <f>PROPONENTES!C114</f>
        <v>0</v>
      </c>
      <c r="C114" s="263" t="e">
        <f>VLOOKUP(B114,PROPONENTES!$C$19:$D$218,2,FALSE)</f>
        <v>#N/A</v>
      </c>
      <c r="D114" s="264"/>
    </row>
    <row r="115" spans="2:4" hidden="1">
      <c r="B115" s="262">
        <f>PROPONENTES!C115</f>
        <v>0</v>
      </c>
      <c r="C115" s="263" t="e">
        <f>VLOOKUP(B115,PROPONENTES!$C$19:$D$218,2,FALSE)</f>
        <v>#N/A</v>
      </c>
      <c r="D115" s="264"/>
    </row>
    <row r="116" spans="2:4" hidden="1">
      <c r="B116" s="262">
        <f>PROPONENTES!C116</f>
        <v>0</v>
      </c>
      <c r="C116" s="263" t="e">
        <f>VLOOKUP(B116,PROPONENTES!$C$19:$D$218,2,FALSE)</f>
        <v>#N/A</v>
      </c>
      <c r="D116" s="264"/>
    </row>
    <row r="117" spans="2:4" hidden="1">
      <c r="B117" s="262">
        <f>PROPONENTES!C117</f>
        <v>0</v>
      </c>
      <c r="C117" s="263" t="e">
        <f>VLOOKUP(B117,PROPONENTES!$C$19:$D$218,2,FALSE)</f>
        <v>#N/A</v>
      </c>
      <c r="D117" s="264"/>
    </row>
    <row r="118" spans="2:4" hidden="1">
      <c r="B118" s="262">
        <f>PROPONENTES!C118</f>
        <v>0</v>
      </c>
      <c r="C118" s="263" t="e">
        <f>VLOOKUP(B118,PROPONENTES!$C$19:$D$218,2,FALSE)</f>
        <v>#N/A</v>
      </c>
      <c r="D118" s="264"/>
    </row>
    <row r="119" spans="2:4" hidden="1">
      <c r="B119" s="262">
        <f>PROPONENTES!C119</f>
        <v>0</v>
      </c>
      <c r="C119" s="263" t="e">
        <f>VLOOKUP(B119,PROPONENTES!$C$19:$D$218,2,FALSE)</f>
        <v>#N/A</v>
      </c>
      <c r="D119" s="264"/>
    </row>
    <row r="120" spans="2:4" hidden="1">
      <c r="B120" s="262">
        <f>PROPONENTES!C120</f>
        <v>0</v>
      </c>
      <c r="C120" s="263" t="e">
        <f>VLOOKUP(B120,PROPONENTES!$C$19:$D$218,2,FALSE)</f>
        <v>#N/A</v>
      </c>
      <c r="D120" s="264"/>
    </row>
    <row r="121" spans="2:4" hidden="1">
      <c r="B121" s="262">
        <f>PROPONENTES!C121</f>
        <v>0</v>
      </c>
      <c r="C121" s="263" t="e">
        <f>VLOOKUP(B121,PROPONENTES!$C$19:$D$218,2,FALSE)</f>
        <v>#N/A</v>
      </c>
      <c r="D121" s="264"/>
    </row>
    <row r="122" spans="2:4" hidden="1">
      <c r="B122" s="262">
        <f>PROPONENTES!C122</f>
        <v>0</v>
      </c>
      <c r="C122" s="263" t="e">
        <f>VLOOKUP(B122,PROPONENTES!$C$19:$D$218,2,FALSE)</f>
        <v>#N/A</v>
      </c>
      <c r="D122" s="264"/>
    </row>
    <row r="123" spans="2:4" hidden="1">
      <c r="B123" s="262">
        <f>PROPONENTES!C123</f>
        <v>0</v>
      </c>
      <c r="C123" s="263" t="e">
        <f>VLOOKUP(B123,PROPONENTES!$C$19:$D$218,2,FALSE)</f>
        <v>#N/A</v>
      </c>
      <c r="D123" s="264"/>
    </row>
    <row r="124" spans="2:4" hidden="1">
      <c r="B124" s="262">
        <f>PROPONENTES!C124</f>
        <v>0</v>
      </c>
      <c r="C124" s="263" t="e">
        <f>VLOOKUP(B124,PROPONENTES!$C$19:$D$218,2,FALSE)</f>
        <v>#N/A</v>
      </c>
      <c r="D124" s="264"/>
    </row>
    <row r="125" spans="2:4" hidden="1">
      <c r="B125" s="262">
        <f>PROPONENTES!C125</f>
        <v>0</v>
      </c>
      <c r="C125" s="263" t="e">
        <f>VLOOKUP(B125,PROPONENTES!$C$19:$D$218,2,FALSE)</f>
        <v>#N/A</v>
      </c>
      <c r="D125" s="264"/>
    </row>
    <row r="126" spans="2:4" hidden="1">
      <c r="B126" s="262">
        <f>PROPONENTES!C126</f>
        <v>0</v>
      </c>
      <c r="C126" s="263" t="e">
        <f>VLOOKUP(B126,PROPONENTES!$C$19:$D$218,2,FALSE)</f>
        <v>#N/A</v>
      </c>
      <c r="D126" s="264"/>
    </row>
    <row r="127" spans="2:4" hidden="1">
      <c r="B127" s="262">
        <f>PROPONENTES!C127</f>
        <v>0</v>
      </c>
      <c r="C127" s="263" t="e">
        <f>VLOOKUP(B127,PROPONENTES!$C$19:$D$218,2,FALSE)</f>
        <v>#N/A</v>
      </c>
      <c r="D127" s="264"/>
    </row>
    <row r="128" spans="2:4" hidden="1">
      <c r="B128" s="262">
        <f>PROPONENTES!C128</f>
        <v>0</v>
      </c>
      <c r="C128" s="263" t="e">
        <f>VLOOKUP(B128,PROPONENTES!$C$19:$D$218,2,FALSE)</f>
        <v>#N/A</v>
      </c>
      <c r="D128" s="264"/>
    </row>
    <row r="129" spans="2:4" hidden="1">
      <c r="B129" s="262">
        <f>PROPONENTES!C129</f>
        <v>0</v>
      </c>
      <c r="C129" s="263" t="e">
        <f>VLOOKUP(B129,PROPONENTES!$C$19:$D$218,2,FALSE)</f>
        <v>#N/A</v>
      </c>
      <c r="D129" s="264"/>
    </row>
    <row r="130" spans="2:4" hidden="1">
      <c r="B130" s="262">
        <f>PROPONENTES!C130</f>
        <v>0</v>
      </c>
      <c r="C130" s="263" t="e">
        <f>VLOOKUP(B130,PROPONENTES!$C$19:$D$218,2,FALSE)</f>
        <v>#N/A</v>
      </c>
      <c r="D130" s="264"/>
    </row>
    <row r="131" spans="2:4" hidden="1">
      <c r="B131" s="262">
        <f>PROPONENTES!C131</f>
        <v>0</v>
      </c>
      <c r="C131" s="263" t="e">
        <f>VLOOKUP(B131,PROPONENTES!$C$19:$D$218,2,FALSE)</f>
        <v>#N/A</v>
      </c>
      <c r="D131" s="264"/>
    </row>
    <row r="132" spans="2:4" hidden="1">
      <c r="B132" s="262">
        <f>PROPONENTES!C132</f>
        <v>0</v>
      </c>
      <c r="C132" s="263" t="e">
        <f>VLOOKUP(B132,PROPONENTES!$C$19:$D$218,2,FALSE)</f>
        <v>#N/A</v>
      </c>
      <c r="D132" s="264"/>
    </row>
    <row r="133" spans="2:4" hidden="1">
      <c r="B133" s="262">
        <f>PROPONENTES!C133</f>
        <v>0</v>
      </c>
      <c r="C133" s="263" t="e">
        <f>VLOOKUP(B133,PROPONENTES!$C$19:$D$218,2,FALSE)</f>
        <v>#N/A</v>
      </c>
      <c r="D133" s="264"/>
    </row>
    <row r="134" spans="2:4" hidden="1">
      <c r="B134" s="262">
        <f>PROPONENTES!C134</f>
        <v>0</v>
      </c>
      <c r="C134" s="263" t="e">
        <f>VLOOKUP(B134,PROPONENTES!$C$19:$D$218,2,FALSE)</f>
        <v>#N/A</v>
      </c>
      <c r="D134" s="264"/>
    </row>
    <row r="135" spans="2:4" hidden="1">
      <c r="B135" s="262">
        <f>PROPONENTES!C135</f>
        <v>0</v>
      </c>
      <c r="C135" s="263" t="e">
        <f>VLOOKUP(B135,PROPONENTES!$C$19:$D$218,2,FALSE)</f>
        <v>#N/A</v>
      </c>
      <c r="D135" s="264"/>
    </row>
    <row r="136" spans="2:4" hidden="1">
      <c r="B136" s="262">
        <f>PROPONENTES!C136</f>
        <v>0</v>
      </c>
      <c r="C136" s="263" t="e">
        <f>VLOOKUP(B136,PROPONENTES!$C$19:$D$218,2,FALSE)</f>
        <v>#N/A</v>
      </c>
      <c r="D136" s="264"/>
    </row>
    <row r="137" spans="2:4" hidden="1">
      <c r="B137" s="262">
        <f>PROPONENTES!C137</f>
        <v>0</v>
      </c>
      <c r="C137" s="263" t="e">
        <f>VLOOKUP(B137,PROPONENTES!$C$19:$D$218,2,FALSE)</f>
        <v>#N/A</v>
      </c>
      <c r="D137" s="264"/>
    </row>
    <row r="138" spans="2:4" hidden="1">
      <c r="B138" s="262">
        <f>PROPONENTES!C138</f>
        <v>0</v>
      </c>
      <c r="C138" s="263" t="e">
        <f>VLOOKUP(B138,PROPONENTES!$C$19:$D$218,2,FALSE)</f>
        <v>#N/A</v>
      </c>
      <c r="D138" s="264"/>
    </row>
    <row r="139" spans="2:4" hidden="1">
      <c r="B139" s="262">
        <f>PROPONENTES!C139</f>
        <v>0</v>
      </c>
      <c r="C139" s="263" t="e">
        <f>VLOOKUP(B139,PROPONENTES!$C$19:$D$218,2,FALSE)</f>
        <v>#N/A</v>
      </c>
      <c r="D139" s="264"/>
    </row>
    <row r="140" spans="2:4" hidden="1">
      <c r="B140" s="262">
        <f>PROPONENTES!C140</f>
        <v>0</v>
      </c>
      <c r="C140" s="263" t="e">
        <f>VLOOKUP(B140,PROPONENTES!$C$19:$D$218,2,FALSE)</f>
        <v>#N/A</v>
      </c>
      <c r="D140" s="264"/>
    </row>
    <row r="141" spans="2:4" hidden="1">
      <c r="B141" s="262">
        <f>PROPONENTES!C141</f>
        <v>0</v>
      </c>
      <c r="C141" s="263" t="e">
        <f>VLOOKUP(B141,PROPONENTES!$C$19:$D$218,2,FALSE)</f>
        <v>#N/A</v>
      </c>
      <c r="D141" s="264"/>
    </row>
    <row r="142" spans="2:4" hidden="1">
      <c r="B142" s="262">
        <f>PROPONENTES!C142</f>
        <v>0</v>
      </c>
      <c r="C142" s="263" t="e">
        <f>VLOOKUP(B142,PROPONENTES!$C$19:$D$218,2,FALSE)</f>
        <v>#N/A</v>
      </c>
      <c r="D142" s="264"/>
    </row>
    <row r="143" spans="2:4" hidden="1">
      <c r="B143" s="262">
        <f>PROPONENTES!C143</f>
        <v>0</v>
      </c>
      <c r="C143" s="263" t="e">
        <f>VLOOKUP(B143,PROPONENTES!$C$19:$D$218,2,FALSE)</f>
        <v>#N/A</v>
      </c>
      <c r="D143" s="264"/>
    </row>
    <row r="144" spans="2:4" hidden="1">
      <c r="B144" s="262">
        <f>PROPONENTES!C144</f>
        <v>0</v>
      </c>
      <c r="C144" s="263" t="e">
        <f>VLOOKUP(B144,PROPONENTES!$C$19:$D$218,2,FALSE)</f>
        <v>#N/A</v>
      </c>
      <c r="D144" s="264"/>
    </row>
    <row r="145" spans="2:4" hidden="1">
      <c r="B145" s="262">
        <f>PROPONENTES!C145</f>
        <v>0</v>
      </c>
      <c r="C145" s="263" t="e">
        <f>VLOOKUP(B145,PROPONENTES!$C$19:$D$218,2,FALSE)</f>
        <v>#N/A</v>
      </c>
      <c r="D145" s="264"/>
    </row>
    <row r="146" spans="2:4" hidden="1">
      <c r="B146" s="262">
        <f>PROPONENTES!C146</f>
        <v>0</v>
      </c>
      <c r="C146" s="263" t="e">
        <f>VLOOKUP(B146,PROPONENTES!$C$19:$D$218,2,FALSE)</f>
        <v>#N/A</v>
      </c>
      <c r="D146" s="264"/>
    </row>
    <row r="147" spans="2:4" hidden="1">
      <c r="B147" s="262">
        <f>PROPONENTES!C147</f>
        <v>0</v>
      </c>
      <c r="C147" s="263" t="e">
        <f>VLOOKUP(B147,PROPONENTES!$C$19:$D$218,2,FALSE)</f>
        <v>#N/A</v>
      </c>
      <c r="D147" s="264"/>
    </row>
    <row r="148" spans="2:4" hidden="1">
      <c r="B148" s="262">
        <f>PROPONENTES!C148</f>
        <v>0</v>
      </c>
      <c r="C148" s="263" t="e">
        <f>VLOOKUP(B148,PROPONENTES!$C$19:$D$218,2,FALSE)</f>
        <v>#N/A</v>
      </c>
      <c r="D148" s="264"/>
    </row>
    <row r="149" spans="2:4" hidden="1">
      <c r="B149" s="262">
        <f>PROPONENTES!C149</f>
        <v>0</v>
      </c>
      <c r="C149" s="263" t="e">
        <f>VLOOKUP(B149,PROPONENTES!$C$19:$D$218,2,FALSE)</f>
        <v>#N/A</v>
      </c>
      <c r="D149" s="264"/>
    </row>
    <row r="150" spans="2:4" hidden="1">
      <c r="B150" s="262">
        <f>PROPONENTES!C150</f>
        <v>0</v>
      </c>
      <c r="C150" s="263" t="e">
        <f>VLOOKUP(B150,PROPONENTES!$C$19:$D$218,2,FALSE)</f>
        <v>#N/A</v>
      </c>
      <c r="D150" s="264"/>
    </row>
    <row r="151" spans="2:4" hidden="1">
      <c r="B151" s="262">
        <f>PROPONENTES!C151</f>
        <v>0</v>
      </c>
      <c r="C151" s="263" t="e">
        <f>VLOOKUP(B151,PROPONENTES!$C$19:$D$218,2,FALSE)</f>
        <v>#N/A</v>
      </c>
      <c r="D151" s="264"/>
    </row>
    <row r="152" spans="2:4" hidden="1">
      <c r="B152" s="262">
        <f>PROPONENTES!C152</f>
        <v>0</v>
      </c>
      <c r="C152" s="263" t="e">
        <f>VLOOKUP(B152,PROPONENTES!$C$19:$D$218,2,FALSE)</f>
        <v>#N/A</v>
      </c>
      <c r="D152" s="264"/>
    </row>
    <row r="153" spans="2:4" hidden="1">
      <c r="B153" s="262">
        <f>PROPONENTES!C153</f>
        <v>0</v>
      </c>
      <c r="C153" s="263" t="e">
        <f>VLOOKUP(B153,PROPONENTES!$C$19:$D$218,2,FALSE)</f>
        <v>#N/A</v>
      </c>
      <c r="D153" s="264"/>
    </row>
    <row r="154" spans="2:4" hidden="1">
      <c r="B154" s="262">
        <f>PROPONENTES!C154</f>
        <v>0</v>
      </c>
      <c r="C154" s="263" t="e">
        <f>VLOOKUP(B154,PROPONENTES!$C$19:$D$218,2,FALSE)</f>
        <v>#N/A</v>
      </c>
      <c r="D154" s="264"/>
    </row>
    <row r="155" spans="2:4" hidden="1">
      <c r="B155" s="262">
        <f>PROPONENTES!C155</f>
        <v>0</v>
      </c>
      <c r="C155" s="263" t="e">
        <f>VLOOKUP(B155,PROPONENTES!$C$19:$D$218,2,FALSE)</f>
        <v>#N/A</v>
      </c>
      <c r="D155" s="264"/>
    </row>
    <row r="156" spans="2:4" hidden="1">
      <c r="B156" s="262">
        <f>PROPONENTES!C156</f>
        <v>0</v>
      </c>
      <c r="C156" s="263" t="e">
        <f>VLOOKUP(B156,PROPONENTES!$C$19:$D$218,2,FALSE)</f>
        <v>#N/A</v>
      </c>
      <c r="D156" s="264"/>
    </row>
    <row r="157" spans="2:4" hidden="1">
      <c r="B157" s="262">
        <f>PROPONENTES!C157</f>
        <v>0</v>
      </c>
      <c r="C157" s="263" t="e">
        <f>VLOOKUP(B157,PROPONENTES!$C$19:$D$218,2,FALSE)</f>
        <v>#N/A</v>
      </c>
      <c r="D157" s="264"/>
    </row>
    <row r="158" spans="2:4" hidden="1">
      <c r="B158" s="262">
        <f>PROPONENTES!C158</f>
        <v>0</v>
      </c>
      <c r="C158" s="263" t="e">
        <f>VLOOKUP(B158,PROPONENTES!$C$19:$D$218,2,FALSE)</f>
        <v>#N/A</v>
      </c>
      <c r="D158" s="264"/>
    </row>
    <row r="159" spans="2:4" hidden="1">
      <c r="B159" s="262">
        <f>PROPONENTES!C159</f>
        <v>0</v>
      </c>
      <c r="C159" s="263" t="e">
        <f>VLOOKUP(B159,PROPONENTES!$C$19:$D$218,2,FALSE)</f>
        <v>#N/A</v>
      </c>
      <c r="D159" s="264"/>
    </row>
    <row r="160" spans="2:4" hidden="1">
      <c r="B160" s="262">
        <f>PROPONENTES!C160</f>
        <v>0</v>
      </c>
      <c r="C160" s="263" t="e">
        <f>VLOOKUP(B160,PROPONENTES!$C$19:$D$218,2,FALSE)</f>
        <v>#N/A</v>
      </c>
      <c r="D160" s="264"/>
    </row>
    <row r="161" spans="2:4" hidden="1">
      <c r="B161" s="262">
        <f>PROPONENTES!C161</f>
        <v>0</v>
      </c>
      <c r="C161" s="263" t="e">
        <f>VLOOKUP(B161,PROPONENTES!$C$19:$D$218,2,FALSE)</f>
        <v>#N/A</v>
      </c>
      <c r="D161" s="264"/>
    </row>
    <row r="162" spans="2:4" hidden="1">
      <c r="B162" s="262">
        <f>PROPONENTES!C162</f>
        <v>0</v>
      </c>
      <c r="C162" s="263" t="e">
        <f>VLOOKUP(B162,PROPONENTES!$C$19:$D$218,2,FALSE)</f>
        <v>#N/A</v>
      </c>
      <c r="D162" s="264"/>
    </row>
    <row r="163" spans="2:4" hidden="1">
      <c r="B163" s="262">
        <f>PROPONENTES!C163</f>
        <v>0</v>
      </c>
      <c r="C163" s="263" t="e">
        <f>VLOOKUP(B163,PROPONENTES!$C$19:$D$218,2,FALSE)</f>
        <v>#N/A</v>
      </c>
      <c r="D163" s="264"/>
    </row>
    <row r="164" spans="2:4" hidden="1">
      <c r="B164" s="262">
        <f>PROPONENTES!C164</f>
        <v>0</v>
      </c>
      <c r="C164" s="263" t="e">
        <f>VLOOKUP(B164,PROPONENTES!$C$19:$D$218,2,FALSE)</f>
        <v>#N/A</v>
      </c>
      <c r="D164" s="264"/>
    </row>
    <row r="165" spans="2:4" hidden="1">
      <c r="B165" s="262">
        <f>PROPONENTES!C165</f>
        <v>0</v>
      </c>
      <c r="C165" s="263" t="e">
        <f>VLOOKUP(B165,PROPONENTES!$C$19:$D$218,2,FALSE)</f>
        <v>#N/A</v>
      </c>
      <c r="D165" s="264"/>
    </row>
    <row r="166" spans="2:4" hidden="1">
      <c r="B166" s="262">
        <f>PROPONENTES!C166</f>
        <v>0</v>
      </c>
      <c r="C166" s="263" t="e">
        <f>VLOOKUP(B166,PROPONENTES!$C$19:$D$218,2,FALSE)</f>
        <v>#N/A</v>
      </c>
      <c r="D166" s="264"/>
    </row>
    <row r="167" spans="2:4" hidden="1">
      <c r="B167" s="262">
        <f>PROPONENTES!C167</f>
        <v>0</v>
      </c>
      <c r="C167" s="263" t="e">
        <f>VLOOKUP(B167,PROPONENTES!$C$19:$D$218,2,FALSE)</f>
        <v>#N/A</v>
      </c>
      <c r="D167" s="264"/>
    </row>
    <row r="168" spans="2:4" hidden="1">
      <c r="B168" s="262">
        <f>PROPONENTES!C168</f>
        <v>0</v>
      </c>
      <c r="C168" s="263" t="e">
        <f>VLOOKUP(B168,PROPONENTES!$C$19:$D$218,2,FALSE)</f>
        <v>#N/A</v>
      </c>
      <c r="D168" s="264"/>
    </row>
    <row r="169" spans="2:4" hidden="1">
      <c r="B169" s="262">
        <f>PROPONENTES!C169</f>
        <v>0</v>
      </c>
      <c r="C169" s="263" t="e">
        <f>VLOOKUP(B169,PROPONENTES!$C$19:$D$218,2,FALSE)</f>
        <v>#N/A</v>
      </c>
      <c r="D169" s="264"/>
    </row>
    <row r="170" spans="2:4" hidden="1">
      <c r="B170" s="262">
        <f>PROPONENTES!C170</f>
        <v>0</v>
      </c>
      <c r="C170" s="263" t="e">
        <f>VLOOKUP(B170,PROPONENTES!$C$19:$D$218,2,FALSE)</f>
        <v>#N/A</v>
      </c>
      <c r="D170" s="264"/>
    </row>
    <row r="171" spans="2:4" hidden="1">
      <c r="B171" s="262">
        <f>PROPONENTES!C171</f>
        <v>0</v>
      </c>
      <c r="C171" s="263" t="e">
        <f>VLOOKUP(B171,PROPONENTES!$C$19:$D$218,2,FALSE)</f>
        <v>#N/A</v>
      </c>
      <c r="D171" s="264"/>
    </row>
    <row r="172" spans="2:4" hidden="1">
      <c r="B172" s="262">
        <f>PROPONENTES!C172</f>
        <v>0</v>
      </c>
      <c r="C172" s="263" t="e">
        <f>VLOOKUP(B172,PROPONENTES!$C$19:$D$218,2,FALSE)</f>
        <v>#N/A</v>
      </c>
      <c r="D172" s="264"/>
    </row>
    <row r="173" spans="2:4" hidden="1">
      <c r="B173" s="262">
        <f>PROPONENTES!C173</f>
        <v>0</v>
      </c>
      <c r="C173" s="263" t="e">
        <f>VLOOKUP(B173,PROPONENTES!$C$19:$D$218,2,FALSE)</f>
        <v>#N/A</v>
      </c>
      <c r="D173" s="264"/>
    </row>
    <row r="174" spans="2:4" hidden="1">
      <c r="B174" s="262">
        <f>PROPONENTES!C174</f>
        <v>0</v>
      </c>
      <c r="C174" s="263" t="e">
        <f>VLOOKUP(B174,PROPONENTES!$C$19:$D$218,2,FALSE)</f>
        <v>#N/A</v>
      </c>
      <c r="D174" s="264"/>
    </row>
    <row r="175" spans="2:4" hidden="1">
      <c r="B175" s="262">
        <f>PROPONENTES!C175</f>
        <v>0</v>
      </c>
      <c r="C175" s="263" t="e">
        <f>VLOOKUP(B175,PROPONENTES!$C$19:$D$218,2,FALSE)</f>
        <v>#N/A</v>
      </c>
      <c r="D175" s="264"/>
    </row>
    <row r="176" spans="2:4" hidden="1">
      <c r="B176" s="262">
        <f>PROPONENTES!C176</f>
        <v>0</v>
      </c>
      <c r="C176" s="263" t="e">
        <f>VLOOKUP(B176,PROPONENTES!$C$19:$D$218,2,FALSE)</f>
        <v>#N/A</v>
      </c>
      <c r="D176" s="264"/>
    </row>
    <row r="177" spans="2:4" hidden="1">
      <c r="B177" s="262">
        <f>PROPONENTES!C177</f>
        <v>0</v>
      </c>
      <c r="C177" s="263" t="e">
        <f>VLOOKUP(B177,PROPONENTES!$C$19:$D$218,2,FALSE)</f>
        <v>#N/A</v>
      </c>
      <c r="D177" s="264"/>
    </row>
    <row r="178" spans="2:4" hidden="1">
      <c r="B178" s="262">
        <f>PROPONENTES!C178</f>
        <v>0</v>
      </c>
      <c r="C178" s="263" t="e">
        <f>VLOOKUP(B178,PROPONENTES!$C$19:$D$218,2,FALSE)</f>
        <v>#N/A</v>
      </c>
      <c r="D178" s="264"/>
    </row>
    <row r="179" spans="2:4" hidden="1">
      <c r="B179" s="262">
        <f>PROPONENTES!C179</f>
        <v>0</v>
      </c>
      <c r="C179" s="263" t="e">
        <f>VLOOKUP(B179,PROPONENTES!$C$19:$D$218,2,FALSE)</f>
        <v>#N/A</v>
      </c>
      <c r="D179" s="264"/>
    </row>
    <row r="180" spans="2:4" hidden="1">
      <c r="B180" s="262">
        <f>PROPONENTES!C180</f>
        <v>0</v>
      </c>
      <c r="C180" s="263" t="e">
        <f>VLOOKUP(B180,PROPONENTES!$C$19:$D$218,2,FALSE)</f>
        <v>#N/A</v>
      </c>
      <c r="D180" s="264"/>
    </row>
    <row r="181" spans="2:4" hidden="1">
      <c r="B181" s="262">
        <f>PROPONENTES!C181</f>
        <v>0</v>
      </c>
      <c r="C181" s="263" t="e">
        <f>VLOOKUP(B181,PROPONENTES!$C$19:$D$218,2,FALSE)</f>
        <v>#N/A</v>
      </c>
      <c r="D181" s="264"/>
    </row>
    <row r="182" spans="2:4" hidden="1">
      <c r="B182" s="262">
        <f>PROPONENTES!C182</f>
        <v>0</v>
      </c>
      <c r="C182" s="263" t="e">
        <f>VLOOKUP(B182,PROPONENTES!$C$19:$D$218,2,FALSE)</f>
        <v>#N/A</v>
      </c>
      <c r="D182" s="264"/>
    </row>
    <row r="183" spans="2:4" hidden="1">
      <c r="B183" s="262">
        <f>PROPONENTES!C183</f>
        <v>0</v>
      </c>
      <c r="C183" s="263" t="e">
        <f>VLOOKUP(B183,PROPONENTES!$C$19:$D$218,2,FALSE)</f>
        <v>#N/A</v>
      </c>
      <c r="D183" s="264"/>
    </row>
    <row r="184" spans="2:4" hidden="1">
      <c r="B184" s="262">
        <f>PROPONENTES!C184</f>
        <v>0</v>
      </c>
      <c r="C184" s="263" t="e">
        <f>VLOOKUP(B184,PROPONENTES!$C$19:$D$218,2,FALSE)</f>
        <v>#N/A</v>
      </c>
      <c r="D184" s="264"/>
    </row>
    <row r="185" spans="2:4" hidden="1">
      <c r="B185" s="262">
        <f>PROPONENTES!C185</f>
        <v>0</v>
      </c>
      <c r="C185" s="263" t="e">
        <f>VLOOKUP(B185,PROPONENTES!$C$19:$D$218,2,FALSE)</f>
        <v>#N/A</v>
      </c>
      <c r="D185" s="264"/>
    </row>
    <row r="186" spans="2:4" hidden="1">
      <c r="B186" s="262">
        <f>PROPONENTES!C186</f>
        <v>0</v>
      </c>
      <c r="C186" s="263" t="e">
        <f>VLOOKUP(B186,PROPONENTES!$C$19:$D$218,2,FALSE)</f>
        <v>#N/A</v>
      </c>
      <c r="D186" s="264"/>
    </row>
    <row r="187" spans="2:4" hidden="1">
      <c r="B187" s="262">
        <f>PROPONENTES!C187</f>
        <v>0</v>
      </c>
      <c r="C187" s="263" t="e">
        <f>VLOOKUP(B187,PROPONENTES!$C$19:$D$218,2,FALSE)</f>
        <v>#N/A</v>
      </c>
      <c r="D187" s="264"/>
    </row>
    <row r="188" spans="2:4" hidden="1">
      <c r="B188" s="262">
        <f>PROPONENTES!C188</f>
        <v>0</v>
      </c>
      <c r="C188" s="263" t="e">
        <f>VLOOKUP(B188,PROPONENTES!$C$19:$D$218,2,FALSE)</f>
        <v>#N/A</v>
      </c>
      <c r="D188" s="264"/>
    </row>
    <row r="189" spans="2:4" hidden="1">
      <c r="B189" s="262">
        <f>PROPONENTES!C189</f>
        <v>0</v>
      </c>
      <c r="C189" s="263" t="e">
        <f>VLOOKUP(B189,PROPONENTES!$C$19:$D$218,2,FALSE)</f>
        <v>#N/A</v>
      </c>
      <c r="D189" s="264"/>
    </row>
    <row r="190" spans="2:4" hidden="1">
      <c r="B190" s="262">
        <f>PROPONENTES!C190</f>
        <v>0</v>
      </c>
      <c r="C190" s="263" t="e">
        <f>VLOOKUP(B190,PROPONENTES!$C$19:$D$218,2,FALSE)</f>
        <v>#N/A</v>
      </c>
      <c r="D190" s="264"/>
    </row>
    <row r="191" spans="2:4" hidden="1">
      <c r="B191" s="262">
        <f>PROPONENTES!C191</f>
        <v>0</v>
      </c>
      <c r="C191" s="263" t="e">
        <f>VLOOKUP(B191,PROPONENTES!$C$19:$D$218,2,FALSE)</f>
        <v>#N/A</v>
      </c>
      <c r="D191" s="264"/>
    </row>
    <row r="192" spans="2:4" hidden="1">
      <c r="B192" s="262">
        <f>PROPONENTES!C192</f>
        <v>0</v>
      </c>
      <c r="C192" s="263" t="e">
        <f>VLOOKUP(B192,PROPONENTES!$C$19:$D$218,2,FALSE)</f>
        <v>#N/A</v>
      </c>
      <c r="D192" s="264"/>
    </row>
    <row r="193" spans="2:4" hidden="1">
      <c r="B193" s="262">
        <f>PROPONENTES!C193</f>
        <v>0</v>
      </c>
      <c r="C193" s="263" t="e">
        <f>VLOOKUP(B193,PROPONENTES!$C$19:$D$218,2,FALSE)</f>
        <v>#N/A</v>
      </c>
      <c r="D193" s="264"/>
    </row>
    <row r="194" spans="2:4" hidden="1">
      <c r="B194" s="262">
        <f>PROPONENTES!C194</f>
        <v>0</v>
      </c>
      <c r="C194" s="263" t="e">
        <f>VLOOKUP(B194,PROPONENTES!$C$19:$D$218,2,FALSE)</f>
        <v>#N/A</v>
      </c>
      <c r="D194" s="264"/>
    </row>
    <row r="195" spans="2:4" hidden="1">
      <c r="B195" s="262">
        <f>PROPONENTES!C195</f>
        <v>0</v>
      </c>
      <c r="C195" s="263" t="e">
        <f>VLOOKUP(B195,PROPONENTES!$C$19:$D$218,2,FALSE)</f>
        <v>#N/A</v>
      </c>
      <c r="D195" s="264"/>
    </row>
    <row r="196" spans="2:4" hidden="1">
      <c r="B196" s="262">
        <f>PROPONENTES!C196</f>
        <v>0</v>
      </c>
      <c r="C196" s="263" t="e">
        <f>VLOOKUP(B196,PROPONENTES!$C$19:$D$218,2,FALSE)</f>
        <v>#N/A</v>
      </c>
      <c r="D196" s="264"/>
    </row>
    <row r="197" spans="2:4" hidden="1">
      <c r="B197" s="262">
        <f>PROPONENTES!C197</f>
        <v>0</v>
      </c>
      <c r="C197" s="263" t="e">
        <f>VLOOKUP(B197,PROPONENTES!$C$19:$D$218,2,FALSE)</f>
        <v>#N/A</v>
      </c>
      <c r="D197" s="264"/>
    </row>
    <row r="198" spans="2:4" hidden="1">
      <c r="B198" s="262">
        <f>PROPONENTES!C198</f>
        <v>0</v>
      </c>
      <c r="C198" s="263" t="e">
        <f>VLOOKUP(B198,PROPONENTES!$C$19:$D$218,2,FALSE)</f>
        <v>#N/A</v>
      </c>
      <c r="D198" s="264"/>
    </row>
    <row r="199" spans="2:4" hidden="1">
      <c r="B199" s="262">
        <f>PROPONENTES!C199</f>
        <v>0</v>
      </c>
      <c r="C199" s="263" t="e">
        <f>VLOOKUP(B199,PROPONENTES!$C$19:$D$218,2,FALSE)</f>
        <v>#N/A</v>
      </c>
      <c r="D199" s="264"/>
    </row>
    <row r="200" spans="2:4" hidden="1">
      <c r="B200" s="262">
        <f>PROPONENTES!C200</f>
        <v>0</v>
      </c>
      <c r="C200" s="263" t="e">
        <f>VLOOKUP(B200,PROPONENTES!$C$19:$D$218,2,FALSE)</f>
        <v>#N/A</v>
      </c>
      <c r="D200" s="264"/>
    </row>
    <row r="201" spans="2:4" hidden="1">
      <c r="B201" s="262">
        <f>PROPONENTES!C201</f>
        <v>0</v>
      </c>
      <c r="C201" s="263" t="e">
        <f>VLOOKUP(B201,PROPONENTES!$C$19:$D$218,2,FALSE)</f>
        <v>#N/A</v>
      </c>
      <c r="D201" s="264"/>
    </row>
    <row r="202" spans="2:4" hidden="1">
      <c r="B202" s="262">
        <f>PROPONENTES!C202</f>
        <v>0</v>
      </c>
      <c r="C202" s="263" t="e">
        <f>VLOOKUP(B202,PROPONENTES!$C$19:$D$218,2,FALSE)</f>
        <v>#N/A</v>
      </c>
      <c r="D202" s="264"/>
    </row>
    <row r="203" spans="2:4" hidden="1">
      <c r="B203" s="262">
        <f>PROPONENTES!C203</f>
        <v>0</v>
      </c>
      <c r="C203" s="263" t="e">
        <f>VLOOKUP(B203,PROPONENTES!$C$19:$D$218,2,FALSE)</f>
        <v>#N/A</v>
      </c>
      <c r="D203" s="264"/>
    </row>
    <row r="204" spans="2:4" hidden="1">
      <c r="B204" s="262">
        <f>PROPONENTES!C204</f>
        <v>0</v>
      </c>
      <c r="C204" s="263" t="e">
        <f>VLOOKUP(B204,PROPONENTES!$C$19:$D$218,2,FALSE)</f>
        <v>#N/A</v>
      </c>
      <c r="D204" s="264"/>
    </row>
    <row r="205" spans="2:4" hidden="1">
      <c r="B205" s="262">
        <f>PROPONENTES!C205</f>
        <v>0</v>
      </c>
      <c r="C205" s="263" t="e">
        <f>VLOOKUP(B205,PROPONENTES!$C$19:$D$218,2,FALSE)</f>
        <v>#N/A</v>
      </c>
      <c r="D205" s="264"/>
    </row>
    <row r="206" spans="2:4" hidden="1">
      <c r="B206" s="262">
        <f>PROPONENTES!C206</f>
        <v>0</v>
      </c>
      <c r="C206" s="263" t="e">
        <f>VLOOKUP(B206,PROPONENTES!$C$19:$D$218,2,FALSE)</f>
        <v>#N/A</v>
      </c>
      <c r="D206" s="264"/>
    </row>
    <row r="207" spans="2:4" hidden="1">
      <c r="B207" s="262">
        <f>PROPONENTES!C207</f>
        <v>0</v>
      </c>
      <c r="C207" s="263" t="e">
        <f>VLOOKUP(B207,PROPONENTES!$C$19:$D$218,2,FALSE)</f>
        <v>#N/A</v>
      </c>
      <c r="D207" s="264"/>
    </row>
    <row r="208" spans="2:4" hidden="1">
      <c r="B208" s="262">
        <f>PROPONENTES!C208</f>
        <v>0</v>
      </c>
      <c r="C208" s="263" t="e">
        <f>VLOOKUP(B208,PROPONENTES!$C$19:$D$218,2,FALSE)</f>
        <v>#N/A</v>
      </c>
      <c r="D208" s="264"/>
    </row>
    <row r="209" spans="2:4" hidden="1">
      <c r="B209" s="262">
        <f>PROPONENTES!C209</f>
        <v>0</v>
      </c>
      <c r="C209" s="263" t="e">
        <f>VLOOKUP(B209,PROPONENTES!$C$19:$D$218,2,FALSE)</f>
        <v>#N/A</v>
      </c>
      <c r="D209" s="264"/>
    </row>
    <row r="210" spans="2:4" hidden="1">
      <c r="B210" s="262">
        <f>PROPONENTES!C210</f>
        <v>0</v>
      </c>
      <c r="C210" s="263" t="e">
        <f>VLOOKUP(B210,PROPONENTES!$C$19:$D$218,2,FALSE)</f>
        <v>#N/A</v>
      </c>
      <c r="D210" s="264"/>
    </row>
    <row r="211" spans="2:4" hidden="1">
      <c r="B211" s="262">
        <f>PROPONENTES!C211</f>
        <v>0</v>
      </c>
      <c r="C211" s="263" t="e">
        <f>VLOOKUP(B211,PROPONENTES!$C$19:$D$218,2,FALSE)</f>
        <v>#N/A</v>
      </c>
      <c r="D211" s="264"/>
    </row>
    <row r="212" spans="2:4" hidden="1">
      <c r="B212" s="262">
        <f>PROPONENTES!C212</f>
        <v>0</v>
      </c>
      <c r="C212" s="263" t="e">
        <f>VLOOKUP(B212,PROPONENTES!$C$19:$D$218,2,FALSE)</f>
        <v>#N/A</v>
      </c>
      <c r="D212" s="264"/>
    </row>
    <row r="213" spans="2:4" hidden="1">
      <c r="B213" s="262">
        <f>PROPONENTES!C213</f>
        <v>0</v>
      </c>
      <c r="C213" s="263" t="e">
        <f>VLOOKUP(B213,PROPONENTES!$C$19:$D$218,2,FALSE)</f>
        <v>#N/A</v>
      </c>
      <c r="D213" s="264"/>
    </row>
    <row r="214" spans="2:4" hidden="1">
      <c r="B214" s="262">
        <f>PROPONENTES!C214</f>
        <v>0</v>
      </c>
      <c r="C214" s="263" t="e">
        <f>VLOOKUP(B214,PROPONENTES!$C$19:$D$218,2,FALSE)</f>
        <v>#N/A</v>
      </c>
      <c r="D214" s="264"/>
    </row>
    <row r="215" spans="2:4" hidden="1">
      <c r="B215" s="262">
        <f>PROPONENTES!C215</f>
        <v>0</v>
      </c>
      <c r="C215" s="263" t="e">
        <f>VLOOKUP(B215,PROPONENTES!$C$19:$D$218,2,FALSE)</f>
        <v>#N/A</v>
      </c>
      <c r="D215" s="264"/>
    </row>
    <row r="216" spans="2:4" hidden="1">
      <c r="B216" s="262">
        <f>PROPONENTES!C216</f>
        <v>0</v>
      </c>
      <c r="C216" s="263" t="e">
        <f>VLOOKUP(B216,PROPONENTES!$C$19:$D$218,2,FALSE)</f>
        <v>#N/A</v>
      </c>
      <c r="D216" s="264"/>
    </row>
    <row r="217" spans="2:4" hidden="1">
      <c r="B217" s="262">
        <f>PROPONENTES!C217</f>
        <v>0</v>
      </c>
      <c r="C217" s="263" t="e">
        <f>VLOOKUP(B217,PROPONENTES!$C$19:$D$218,2,FALSE)</f>
        <v>#N/A</v>
      </c>
      <c r="D217" s="264"/>
    </row>
    <row r="218" spans="2:4" hidden="1">
      <c r="B218" s="262">
        <f>PROPONENTES!C218</f>
        <v>0</v>
      </c>
      <c r="C218" s="263" t="e">
        <f>VLOOKUP(B218,PROPONENTES!$C$19:$D$218,2,FALSE)</f>
        <v>#N/A</v>
      </c>
      <c r="D218" s="264"/>
    </row>
    <row r="219" spans="2:4" ht="3" customHeight="1" thickBot="1">
      <c r="B219" s="265"/>
      <c r="C219" s="266"/>
      <c r="D219" s="267"/>
    </row>
    <row r="220" spans="2:4" ht="15.75" thickTop="1"/>
  </sheetData>
  <mergeCells count="13">
    <mergeCell ref="B9:D9"/>
    <mergeCell ref="B1:D1"/>
    <mergeCell ref="B2:D2"/>
    <mergeCell ref="B3:D3"/>
    <mergeCell ref="B4:D4"/>
    <mergeCell ref="B6:D6"/>
    <mergeCell ref="B7:D7"/>
    <mergeCell ref="B11:D11"/>
    <mergeCell ref="B13:D13"/>
    <mergeCell ref="B14:D14"/>
    <mergeCell ref="B16:B17"/>
    <mergeCell ref="C16:C17"/>
    <mergeCell ref="D16:D17"/>
  </mergeCells>
  <conditionalFormatting sqref="B19:D218">
    <cfRule type="expression" dxfId="39" priority="1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theme="9" tint="0.39997558519241921"/>
    <pageSetUpPr fitToPage="1"/>
  </sheetPr>
  <dimension ref="A1:K221"/>
  <sheetViews>
    <sheetView showGridLines="0" view="pageBreakPreview" topLeftCell="B7" zoomScale="85" zoomScaleNormal="90" zoomScaleSheetLayoutView="85" workbookViewId="0">
      <selection activeCell="B24" sqref="B24:J33"/>
    </sheetView>
  </sheetViews>
  <sheetFormatPr baseColWidth="10" defaultRowHeight="15"/>
  <cols>
    <col min="1" max="1" width="1.42578125" style="258" customWidth="1"/>
    <col min="2" max="2" width="16.42578125" style="258" customWidth="1"/>
    <col min="3" max="3" width="15.42578125" style="258" hidden="1" customWidth="1"/>
    <col min="4" max="4" width="45.7109375" style="258" customWidth="1"/>
    <col min="5" max="5" width="16" style="258" customWidth="1"/>
    <col min="6" max="6" width="14.140625" style="258" customWidth="1"/>
    <col min="7" max="7" width="14.28515625" style="258" customWidth="1"/>
    <col min="8" max="8" width="18.140625" style="258" customWidth="1"/>
    <col min="9" max="9" width="15.28515625" style="258" customWidth="1"/>
    <col min="10" max="10" width="13.140625" style="258" customWidth="1"/>
    <col min="11" max="11" width="41.28515625" style="258" customWidth="1"/>
    <col min="12" max="16384" width="11.42578125" style="258"/>
  </cols>
  <sheetData>
    <row r="1" spans="1:11" s="4" customFormat="1" ht="15" customHeight="1">
      <c r="A1" s="248"/>
      <c r="B1" s="867" t="str">
        <f>PROPONENTES!B1</f>
        <v>INSTITUTO NACIONAL DE VÍAS</v>
      </c>
      <c r="C1" s="867"/>
      <c r="D1" s="867"/>
      <c r="E1" s="867"/>
      <c r="F1" s="867"/>
      <c r="G1" s="867"/>
      <c r="H1" s="867"/>
      <c r="I1" s="867"/>
      <c r="J1" s="867"/>
      <c r="K1" s="867"/>
    </row>
    <row r="2" spans="1:11" s="2" customFormat="1" ht="15" customHeight="1">
      <c r="A2" s="251"/>
      <c r="B2" s="867" t="str">
        <f>PROPONENTES!B2</f>
        <v>DIRECCIÓN TERRITORIAL HUILA</v>
      </c>
      <c r="C2" s="867"/>
      <c r="D2" s="867"/>
      <c r="E2" s="867"/>
      <c r="F2" s="867"/>
      <c r="G2" s="867"/>
      <c r="H2" s="867"/>
      <c r="I2" s="867"/>
      <c r="J2" s="867"/>
      <c r="K2" s="867"/>
    </row>
    <row r="3" spans="1:11" s="2" customFormat="1" ht="15" customHeight="1">
      <c r="A3" s="251"/>
      <c r="B3" s="867"/>
      <c r="C3" s="867"/>
      <c r="D3" s="867"/>
      <c r="E3" s="867"/>
      <c r="F3" s="867"/>
      <c r="G3" s="867"/>
      <c r="H3" s="867"/>
      <c r="I3" s="867"/>
      <c r="J3" s="867"/>
      <c r="K3" s="867"/>
    </row>
    <row r="4" spans="1:11" s="2" customFormat="1" ht="12.75" customHeight="1">
      <c r="A4" s="251"/>
      <c r="B4" s="867"/>
      <c r="C4" s="867"/>
      <c r="D4" s="867"/>
      <c r="E4" s="867"/>
      <c r="F4" s="867"/>
      <c r="G4" s="867"/>
      <c r="H4" s="867"/>
      <c r="I4" s="867"/>
      <c r="J4" s="867"/>
      <c r="K4" s="867"/>
    </row>
    <row r="5" spans="1:11" s="2" customFormat="1" ht="12.75">
      <c r="A5" s="251"/>
      <c r="B5" s="249"/>
      <c r="C5" s="3"/>
      <c r="D5" s="252"/>
      <c r="E5" s="252"/>
      <c r="F5" s="252"/>
      <c r="G5" s="252"/>
      <c r="H5" s="252"/>
      <c r="I5" s="252"/>
      <c r="J5" s="252"/>
      <c r="K5" s="252"/>
    </row>
    <row r="6" spans="1:11" s="2" customFormat="1" ht="12.75">
      <c r="A6" s="251"/>
      <c r="B6" s="867" t="str">
        <f>+PROPONENTES!B6</f>
        <v>CONCURSO DE MÉRITOS ABIERTO</v>
      </c>
      <c r="C6" s="867"/>
      <c r="D6" s="867"/>
      <c r="E6" s="867"/>
      <c r="F6" s="867"/>
      <c r="G6" s="867"/>
      <c r="H6" s="867"/>
      <c r="I6" s="867"/>
      <c r="J6" s="867"/>
      <c r="K6" s="867"/>
    </row>
    <row r="7" spans="1:11" s="6" customFormat="1" ht="12.75" customHeight="1">
      <c r="A7" s="251"/>
      <c r="B7" s="867" t="str">
        <f>PROPONENTES!B7</f>
        <v>CMA-DT-HUI-002-2019</v>
      </c>
      <c r="C7" s="867"/>
      <c r="D7" s="867"/>
      <c r="E7" s="867"/>
      <c r="F7" s="867"/>
      <c r="G7" s="867"/>
      <c r="H7" s="867"/>
      <c r="I7" s="867"/>
      <c r="J7" s="867"/>
      <c r="K7" s="867"/>
    </row>
    <row r="8" spans="1:11" s="6" customFormat="1" ht="15.75">
      <c r="A8" s="251"/>
      <c r="B8" s="249"/>
      <c r="C8" s="255"/>
      <c r="D8" s="253"/>
      <c r="E8" s="253"/>
      <c r="F8" s="253"/>
      <c r="G8" s="253"/>
      <c r="H8" s="253"/>
      <c r="I8" s="253"/>
      <c r="J8" s="253"/>
      <c r="K8" s="253"/>
    </row>
    <row r="9" spans="1:11" s="6" customFormat="1" ht="54.75" customHeight="1">
      <c r="A9" s="251"/>
      <c r="B9" s="867" t="str">
        <f>PROPONENTES!B9</f>
        <v>OBJETO: "INTERVENTORIA TECNICA, ADMINISTRATIVA, FINANCIERA, AMBIENTAL , ATENCIÓN SITIOS CRITICOS CONSTRUCCIÓN PUENTE QUEBRADA PÌEDRAS NEGRAS MUNICIPIO DE SALADOBLANCO CARRETERA LA CABAÑA-MORELIA, CÓDIGO 19787 (PRODUCTO SITIO CRÍTICO DE RED TERCIARIA ESTABILIZADA).”</v>
      </c>
      <c r="C9" s="867"/>
      <c r="D9" s="867"/>
      <c r="E9" s="867"/>
      <c r="F9" s="867"/>
      <c r="G9" s="867"/>
      <c r="H9" s="867"/>
      <c r="I9" s="867"/>
      <c r="J9" s="867"/>
      <c r="K9" s="867"/>
    </row>
    <row r="10" spans="1:11" s="6" customFormat="1" ht="15.75">
      <c r="A10" s="251"/>
      <c r="B10" s="249"/>
      <c r="C10" s="255"/>
      <c r="D10" s="253"/>
      <c r="E10" s="253"/>
      <c r="F10" s="253"/>
      <c r="G10" s="253"/>
      <c r="H10" s="253"/>
      <c r="I10" s="253"/>
      <c r="J10" s="253"/>
      <c r="K10" s="253"/>
    </row>
    <row r="11" spans="1:11" s="6" customFormat="1" ht="15.75" customHeight="1">
      <c r="A11" s="251"/>
      <c r="B11" s="867" t="str">
        <f>PROPONENTES!B11</f>
        <v>MÓDULO No. 1</v>
      </c>
      <c r="C11" s="867"/>
      <c r="D11" s="867"/>
      <c r="E11" s="867"/>
      <c r="F11" s="867"/>
      <c r="G11" s="867"/>
      <c r="H11" s="867"/>
      <c r="I11" s="867"/>
      <c r="J11" s="867"/>
      <c r="K11" s="867"/>
    </row>
    <row r="12" spans="1:11" s="6" customFormat="1" ht="15.75">
      <c r="A12" s="251"/>
      <c r="B12" s="249"/>
      <c r="C12" s="255"/>
      <c r="D12" s="253"/>
      <c r="E12" s="253"/>
      <c r="F12" s="253"/>
      <c r="G12" s="253"/>
      <c r="H12" s="253"/>
      <c r="I12" s="253"/>
      <c r="J12" s="253"/>
      <c r="K12" s="253"/>
    </row>
    <row r="13" spans="1:11" s="6" customFormat="1" ht="12.75">
      <c r="A13" s="251"/>
      <c r="B13" s="641" t="s">
        <v>283</v>
      </c>
      <c r="C13" s="641"/>
      <c r="D13" s="641"/>
      <c r="E13" s="641"/>
      <c r="F13" s="641"/>
      <c r="G13" s="641"/>
      <c r="H13" s="641"/>
      <c r="I13" s="641"/>
      <c r="J13" s="641"/>
      <c r="K13" s="641"/>
    </row>
    <row r="14" spans="1:11">
      <c r="A14" s="256"/>
      <c r="B14" s="641" t="s">
        <v>334</v>
      </c>
      <c r="C14" s="641"/>
      <c r="D14" s="641"/>
      <c r="E14" s="641"/>
      <c r="F14" s="641"/>
      <c r="G14" s="641"/>
      <c r="H14" s="641"/>
      <c r="I14" s="641"/>
      <c r="J14" s="641"/>
      <c r="K14" s="641"/>
    </row>
    <row r="15" spans="1:11" ht="15.75" thickBot="1"/>
    <row r="16" spans="1:11" s="290" customFormat="1" ht="15.75" customHeight="1" thickTop="1">
      <c r="B16" s="880" t="s">
        <v>38</v>
      </c>
      <c r="C16" s="883" t="s">
        <v>159</v>
      </c>
      <c r="D16" s="883" t="s">
        <v>16</v>
      </c>
      <c r="E16" s="890" t="s">
        <v>333</v>
      </c>
      <c r="F16" s="884" t="s">
        <v>160</v>
      </c>
      <c r="G16" s="885"/>
      <c r="H16" s="885"/>
      <c r="I16" s="886"/>
      <c r="J16" s="887" t="s">
        <v>161</v>
      </c>
      <c r="K16" s="875" t="s">
        <v>162</v>
      </c>
    </row>
    <row r="17" spans="2:11" s="290" customFormat="1" ht="15" customHeight="1">
      <c r="B17" s="881"/>
      <c r="C17" s="878"/>
      <c r="D17" s="878"/>
      <c r="E17" s="891"/>
      <c r="F17" s="878" t="s">
        <v>163</v>
      </c>
      <c r="G17" s="878"/>
      <c r="H17" s="878" t="s">
        <v>338</v>
      </c>
      <c r="I17" s="878" t="s">
        <v>164</v>
      </c>
      <c r="J17" s="888"/>
      <c r="K17" s="876"/>
    </row>
    <row r="18" spans="2:11" s="290" customFormat="1" ht="70.5" customHeight="1" thickBot="1">
      <c r="B18" s="882"/>
      <c r="C18" s="879"/>
      <c r="D18" s="879"/>
      <c r="E18" s="892"/>
      <c r="F18" s="291" t="s">
        <v>166</v>
      </c>
      <c r="G18" s="291" t="s">
        <v>165</v>
      </c>
      <c r="H18" s="879"/>
      <c r="I18" s="879"/>
      <c r="J18" s="889"/>
      <c r="K18" s="877"/>
    </row>
    <row r="19" spans="2:11" s="292" customFormat="1" ht="8.25" customHeight="1">
      <c r="B19" s="293"/>
      <c r="C19" s="294"/>
      <c r="D19" s="295"/>
      <c r="E19" s="295"/>
      <c r="F19" s="295"/>
      <c r="G19" s="295"/>
      <c r="H19" s="295"/>
      <c r="I19" s="296"/>
      <c r="J19" s="296"/>
      <c r="K19" s="297"/>
    </row>
    <row r="20" spans="2:11" s="292" customFormat="1" ht="13.5">
      <c r="B20" s="298">
        <f>PROPONENTES!C19</f>
        <v>1</v>
      </c>
      <c r="C20" s="299">
        <v>1</v>
      </c>
      <c r="D20" s="300" t="str">
        <f>VLOOKUP(B20,PROPONENTES!$C$19:$E$218,2,FALSE)</f>
        <v>CONSORCIO JC 2019</v>
      </c>
      <c r="E20" s="514" t="str">
        <f>VLOOKUP(B20,HAB.EXP.ESP.!$C$27:$N$226,12,FALSE)</f>
        <v>NO HÁBIL</v>
      </c>
      <c r="F20" s="385">
        <f>VLOOKUP(B20,PON.EXP.ESP.!$C$30:$J$229,6,FALSE)</f>
        <v>0</v>
      </c>
      <c r="G20" s="383">
        <f>VLOOKUP(B20,PON.EXP.ESP.!$C$30:$J$229,8,FALSE)</f>
        <v>0</v>
      </c>
      <c r="H20" s="383">
        <f>VLOOKUP(B20,VIN.PERS.DISC.!$B$19:$D$218,3,FALSE)</f>
        <v>10</v>
      </c>
      <c r="I20" s="384">
        <f>VLOOKUP(B20,'APOYO A IND. NAL.'!$B$19:$D$218,3,FALSE)</f>
        <v>100</v>
      </c>
      <c r="J20" s="384">
        <f>SUM(F20:I20)</f>
        <v>110</v>
      </c>
      <c r="K20" s="301"/>
    </row>
    <row r="21" spans="2:11" s="292" customFormat="1" ht="13.5">
      <c r="B21" s="298">
        <f>PROPONENTES!C20</f>
        <v>2</v>
      </c>
      <c r="C21" s="299">
        <v>2</v>
      </c>
      <c r="D21" s="300" t="str">
        <f>VLOOKUP(B21,PROPONENTES!$C$19:$E$218,2,FALSE)</f>
        <v>CONSORCIO MORELIA JPD</v>
      </c>
      <c r="E21" s="514" t="str">
        <f>VLOOKUP(B21,HAB.EXP.ESP.!$C$27:$N$226,12,FALSE)</f>
        <v>HÁBIL</v>
      </c>
      <c r="F21" s="385">
        <f>VLOOKUP(B21,PON.EXP.ESP.!$C$30:$J$229,6,FALSE)</f>
        <v>225.98699999999999</v>
      </c>
      <c r="G21" s="383">
        <f>VLOOKUP(B21,PON.EXP.ESP.!$C$30:$J$229,8,FALSE)</f>
        <v>468.976</v>
      </c>
      <c r="H21" s="383">
        <f>VLOOKUP(B21,VIN.PERS.DISC.!$B$19:$D$218,3,FALSE)</f>
        <v>10</v>
      </c>
      <c r="I21" s="384">
        <f>VLOOKUP(B21,'APOYO A IND. NAL.'!$B$19:$D$218,3,FALSE)</f>
        <v>100</v>
      </c>
      <c r="J21" s="384">
        <f t="shared" ref="J21:J83" si="0">SUM(F21:I21)</f>
        <v>804.96299999999997</v>
      </c>
      <c r="K21" s="301"/>
    </row>
    <row r="22" spans="2:11" s="292" customFormat="1" ht="13.5">
      <c r="B22" s="298">
        <f>PROPONENTES!C21</f>
        <v>3</v>
      </c>
      <c r="C22" s="299">
        <v>3</v>
      </c>
      <c r="D22" s="300" t="str">
        <f>VLOOKUP(B22,PROPONENTES!$C$19:$E$218,2,FALSE)</f>
        <v>UCING LTDA</v>
      </c>
      <c r="E22" s="514" t="str">
        <f>VLOOKUP(B22,HAB.EXP.ESP.!$C$27:$N$226,12,FALSE)</f>
        <v>HÁBIL</v>
      </c>
      <c r="F22" s="385">
        <f>VLOOKUP(B22,PON.EXP.ESP.!$C$30:$J$229,6,FALSE)</f>
        <v>262.07299999999998</v>
      </c>
      <c r="G22" s="383">
        <f>VLOOKUP(B22,PON.EXP.ESP.!$C$30:$J$229,8,FALSE)</f>
        <v>594.63699999999994</v>
      </c>
      <c r="H22" s="383">
        <f>VLOOKUP(B22,VIN.PERS.DISC.!$B$19:$D$218,3,FALSE)</f>
        <v>0</v>
      </c>
      <c r="I22" s="384">
        <f>VLOOKUP(B22,'APOYO A IND. NAL.'!$B$19:$D$218,3,FALSE)</f>
        <v>100</v>
      </c>
      <c r="J22" s="384">
        <f t="shared" si="0"/>
        <v>956.70999999999992</v>
      </c>
      <c r="K22" s="301"/>
    </row>
    <row r="23" spans="2:11" s="292" customFormat="1" ht="13.5">
      <c r="B23" s="298">
        <f>PROPONENTES!C22</f>
        <v>4</v>
      </c>
      <c r="C23" s="299">
        <v>4</v>
      </c>
      <c r="D23" s="300" t="str">
        <f>VLOOKUP(B23,PROPONENTES!$C$19:$E$218,2,FALSE)</f>
        <v>SOTA</v>
      </c>
      <c r="E23" s="514" t="str">
        <f>VLOOKUP(B23,HAB.EXP.ESP.!$C$27:$N$226,12,FALSE)</f>
        <v>NO HÁBIL</v>
      </c>
      <c r="F23" s="385">
        <f>VLOOKUP(B23,PON.EXP.ESP.!$C$30:$J$229,6,FALSE)</f>
        <v>0</v>
      </c>
      <c r="G23" s="383">
        <f>VLOOKUP(B23,PON.EXP.ESP.!$C$30:$J$229,8,FALSE)</f>
        <v>0</v>
      </c>
      <c r="H23" s="383">
        <f>VLOOKUP(B23,VIN.PERS.DISC.!$B$19:$D$218,3,FALSE)</f>
        <v>10</v>
      </c>
      <c r="I23" s="384">
        <f>VLOOKUP(B23,'APOYO A IND. NAL.'!$B$19:$D$218,3,FALSE)</f>
        <v>100</v>
      </c>
      <c r="J23" s="384">
        <f t="shared" si="0"/>
        <v>110</v>
      </c>
      <c r="K23" s="301"/>
    </row>
    <row r="24" spans="2:11" s="292" customFormat="1" ht="13.5">
      <c r="B24" s="298"/>
      <c r="C24" s="299"/>
      <c r="D24" s="300"/>
      <c r="E24" s="514"/>
      <c r="F24" s="385"/>
      <c r="G24" s="383"/>
      <c r="H24" s="383"/>
      <c r="I24" s="384"/>
      <c r="J24" s="384"/>
      <c r="K24" s="301"/>
    </row>
    <row r="25" spans="2:11" s="292" customFormat="1" ht="13.5">
      <c r="B25" s="298"/>
      <c r="C25" s="299"/>
      <c r="D25" s="300"/>
      <c r="E25" s="514"/>
      <c r="F25" s="385"/>
      <c r="G25" s="383"/>
      <c r="H25" s="383"/>
      <c r="I25" s="384"/>
      <c r="J25" s="384"/>
      <c r="K25" s="301"/>
    </row>
    <row r="26" spans="2:11" s="292" customFormat="1" ht="13.5">
      <c r="B26" s="298"/>
      <c r="C26" s="299"/>
      <c r="D26" s="300"/>
      <c r="E26" s="514"/>
      <c r="F26" s="385"/>
      <c r="G26" s="383"/>
      <c r="H26" s="383"/>
      <c r="I26" s="384"/>
      <c r="J26" s="384"/>
      <c r="K26" s="301"/>
    </row>
    <row r="27" spans="2:11" s="292" customFormat="1" ht="13.5">
      <c r="B27" s="298"/>
      <c r="C27" s="299"/>
      <c r="D27" s="300"/>
      <c r="E27" s="514"/>
      <c r="F27" s="385"/>
      <c r="G27" s="383"/>
      <c r="H27" s="383"/>
      <c r="I27" s="384"/>
      <c r="J27" s="384"/>
      <c r="K27" s="301"/>
    </row>
    <row r="28" spans="2:11" s="292" customFormat="1" ht="13.5">
      <c r="B28" s="298"/>
      <c r="C28" s="299"/>
      <c r="D28" s="300"/>
      <c r="E28" s="514"/>
      <c r="F28" s="385"/>
      <c r="G28" s="383"/>
      <c r="H28" s="383"/>
      <c r="I28" s="384"/>
      <c r="J28" s="384"/>
      <c r="K28" s="301"/>
    </row>
    <row r="29" spans="2:11" s="292" customFormat="1" ht="13.5">
      <c r="B29" s="298"/>
      <c r="C29" s="299"/>
      <c r="D29" s="300"/>
      <c r="E29" s="514"/>
      <c r="F29" s="385"/>
      <c r="G29" s="383"/>
      <c r="H29" s="383"/>
      <c r="I29" s="384"/>
      <c r="J29" s="384"/>
      <c r="K29" s="301"/>
    </row>
    <row r="30" spans="2:11" s="292" customFormat="1" ht="13.5">
      <c r="B30" s="298"/>
      <c r="C30" s="299"/>
      <c r="D30" s="300"/>
      <c r="E30" s="514"/>
      <c r="F30" s="385"/>
      <c r="G30" s="383"/>
      <c r="H30" s="383"/>
      <c r="I30" s="384"/>
      <c r="J30" s="384"/>
      <c r="K30" s="301"/>
    </row>
    <row r="31" spans="2:11" s="292" customFormat="1" ht="13.5">
      <c r="B31" s="298"/>
      <c r="C31" s="299"/>
      <c r="D31" s="300"/>
      <c r="E31" s="514"/>
      <c r="F31" s="385"/>
      <c r="G31" s="383"/>
      <c r="H31" s="383"/>
      <c r="I31" s="384"/>
      <c r="J31" s="384"/>
      <c r="K31" s="301"/>
    </row>
    <row r="32" spans="2:11" s="292" customFormat="1" ht="13.5">
      <c r="B32" s="298"/>
      <c r="C32" s="299"/>
      <c r="D32" s="300"/>
      <c r="E32" s="514"/>
      <c r="F32" s="385"/>
      <c r="G32" s="383"/>
      <c r="H32" s="383"/>
      <c r="I32" s="384"/>
      <c r="J32" s="384"/>
      <c r="K32" s="301"/>
    </row>
    <row r="33" spans="2:11" s="292" customFormat="1" ht="13.5">
      <c r="B33" s="298"/>
      <c r="C33" s="299"/>
      <c r="D33" s="300"/>
      <c r="E33" s="514"/>
      <c r="F33" s="385"/>
      <c r="G33" s="383"/>
      <c r="H33" s="383"/>
      <c r="I33" s="384"/>
      <c r="J33" s="384"/>
      <c r="K33" s="301"/>
    </row>
    <row r="34" spans="2:11" s="292" customFormat="1" ht="13.5" hidden="1">
      <c r="B34" s="298">
        <f>PROPONENTES!C33</f>
        <v>0</v>
      </c>
      <c r="C34" s="299">
        <v>15</v>
      </c>
      <c r="D34" s="300" t="e">
        <f>VLOOKUP(B34,PROPONENTES!$C$19:$E$218,2,FALSE)</f>
        <v>#N/A</v>
      </c>
      <c r="E34" s="514" t="e">
        <f>VLOOKUP(B34,HAB.EXP.ESP.!$C$27:$N$226,12,FALSE)</f>
        <v>#N/A</v>
      </c>
      <c r="F34" s="385" t="e">
        <f>VLOOKUP(B34,PON.EXP.ESP.!$C$30:$J$229,6,FALSE)</f>
        <v>#N/A</v>
      </c>
      <c r="G34" s="383" t="e">
        <f>VLOOKUP(B34,PON.EXP.ESP.!$C$30:$J$229,8,FALSE)</f>
        <v>#N/A</v>
      </c>
      <c r="H34" s="383">
        <f>VLOOKUP(B34,VIN.PERS.DISC.!$B$19:$D$218,3,FALSE)</f>
        <v>0</v>
      </c>
      <c r="I34" s="384">
        <f>VLOOKUP(B34,'APOYO A IND. NAL.'!$B$19:$D$218,3,FALSE)</f>
        <v>0</v>
      </c>
      <c r="J34" s="384" t="e">
        <f t="shared" si="0"/>
        <v>#N/A</v>
      </c>
      <c r="K34" s="301"/>
    </row>
    <row r="35" spans="2:11" s="292" customFormat="1" ht="13.5" hidden="1">
      <c r="B35" s="298">
        <f>PROPONENTES!C34</f>
        <v>0</v>
      </c>
      <c r="C35" s="299">
        <v>16</v>
      </c>
      <c r="D35" s="300" t="e">
        <f>VLOOKUP(B35,PROPONENTES!$C$19:$E$218,2,FALSE)</f>
        <v>#N/A</v>
      </c>
      <c r="E35" s="514" t="e">
        <f>VLOOKUP(B35,HAB.EXP.ESP.!$C$27:$N$226,12,FALSE)</f>
        <v>#N/A</v>
      </c>
      <c r="F35" s="385" t="e">
        <f>VLOOKUP(B35,PON.EXP.ESP.!$C$30:$J$229,6,FALSE)</f>
        <v>#N/A</v>
      </c>
      <c r="G35" s="383" t="e">
        <f>VLOOKUP(B35,PON.EXP.ESP.!$C$30:$J$229,8,FALSE)</f>
        <v>#N/A</v>
      </c>
      <c r="H35" s="383">
        <f>VLOOKUP(B35,VIN.PERS.DISC.!$B$19:$D$218,3,FALSE)</f>
        <v>0</v>
      </c>
      <c r="I35" s="384">
        <f>VLOOKUP(B35,'APOYO A IND. NAL.'!$B$19:$D$218,3,FALSE)</f>
        <v>0</v>
      </c>
      <c r="J35" s="384" t="e">
        <f t="shared" si="0"/>
        <v>#N/A</v>
      </c>
      <c r="K35" s="301"/>
    </row>
    <row r="36" spans="2:11" s="292" customFormat="1" ht="13.5" hidden="1">
      <c r="B36" s="298">
        <f>PROPONENTES!C35</f>
        <v>0</v>
      </c>
      <c r="C36" s="299">
        <v>17</v>
      </c>
      <c r="D36" s="300" t="e">
        <f>VLOOKUP(B36,PROPONENTES!$C$19:$E$218,2,FALSE)</f>
        <v>#N/A</v>
      </c>
      <c r="E36" s="514" t="e">
        <f>VLOOKUP(B36,HAB.EXP.ESP.!$C$27:$N$226,12,FALSE)</f>
        <v>#N/A</v>
      </c>
      <c r="F36" s="385" t="e">
        <f>VLOOKUP(B36,PON.EXP.ESP.!$C$30:$J$229,6,FALSE)</f>
        <v>#N/A</v>
      </c>
      <c r="G36" s="383" t="e">
        <f>VLOOKUP(B36,PON.EXP.ESP.!$C$30:$J$229,8,FALSE)</f>
        <v>#N/A</v>
      </c>
      <c r="H36" s="383">
        <f>VLOOKUP(B36,VIN.PERS.DISC.!$B$19:$D$218,3,FALSE)</f>
        <v>0</v>
      </c>
      <c r="I36" s="384">
        <f>VLOOKUP(B36,'APOYO A IND. NAL.'!$B$19:$D$218,3,FALSE)</f>
        <v>0</v>
      </c>
      <c r="J36" s="384" t="e">
        <f t="shared" si="0"/>
        <v>#N/A</v>
      </c>
      <c r="K36" s="301"/>
    </row>
    <row r="37" spans="2:11" s="292" customFormat="1" ht="13.5" hidden="1">
      <c r="B37" s="298">
        <f>PROPONENTES!C36</f>
        <v>0</v>
      </c>
      <c r="C37" s="299">
        <v>18</v>
      </c>
      <c r="D37" s="300" t="e">
        <f>VLOOKUP(B37,PROPONENTES!$C$19:$E$218,2,FALSE)</f>
        <v>#N/A</v>
      </c>
      <c r="E37" s="514" t="e">
        <f>VLOOKUP(B37,HAB.EXP.ESP.!$C$27:$N$226,12,FALSE)</f>
        <v>#N/A</v>
      </c>
      <c r="F37" s="385" t="e">
        <f>VLOOKUP(B37,PON.EXP.ESP.!$C$30:$J$229,6,FALSE)</f>
        <v>#N/A</v>
      </c>
      <c r="G37" s="383" t="e">
        <f>VLOOKUP(B37,PON.EXP.ESP.!$C$30:$J$229,8,FALSE)</f>
        <v>#N/A</v>
      </c>
      <c r="H37" s="383">
        <f>VLOOKUP(B37,VIN.PERS.DISC.!$B$19:$D$218,3,FALSE)</f>
        <v>0</v>
      </c>
      <c r="I37" s="384">
        <f>VLOOKUP(B37,'APOYO A IND. NAL.'!$B$19:$D$218,3,FALSE)</f>
        <v>0</v>
      </c>
      <c r="J37" s="384" t="e">
        <f t="shared" si="0"/>
        <v>#N/A</v>
      </c>
      <c r="K37" s="301"/>
    </row>
    <row r="38" spans="2:11" s="292" customFormat="1" ht="13.5" hidden="1">
      <c r="B38" s="298">
        <f>PROPONENTES!C37</f>
        <v>0</v>
      </c>
      <c r="C38" s="299">
        <v>19</v>
      </c>
      <c r="D38" s="300" t="e">
        <f>VLOOKUP(B38,PROPONENTES!$C$19:$E$218,2,FALSE)</f>
        <v>#N/A</v>
      </c>
      <c r="E38" s="514" t="e">
        <f>VLOOKUP(B38,HAB.EXP.ESP.!$C$27:$N$226,12,FALSE)</f>
        <v>#N/A</v>
      </c>
      <c r="F38" s="385" t="e">
        <f>VLOOKUP(B38,PON.EXP.ESP.!$C$30:$J$229,6,FALSE)</f>
        <v>#N/A</v>
      </c>
      <c r="G38" s="383" t="e">
        <f>VLOOKUP(B38,PON.EXP.ESP.!$C$30:$J$229,8,FALSE)</f>
        <v>#N/A</v>
      </c>
      <c r="H38" s="383">
        <f>VLOOKUP(B38,VIN.PERS.DISC.!$B$19:$D$218,3,FALSE)</f>
        <v>0</v>
      </c>
      <c r="I38" s="384">
        <f>VLOOKUP(B38,'APOYO A IND. NAL.'!$B$19:$D$218,3,FALSE)</f>
        <v>0</v>
      </c>
      <c r="J38" s="384" t="e">
        <f t="shared" si="0"/>
        <v>#N/A</v>
      </c>
      <c r="K38" s="301"/>
    </row>
    <row r="39" spans="2:11" s="292" customFormat="1" ht="13.5" hidden="1">
      <c r="B39" s="298">
        <f>PROPONENTES!C38</f>
        <v>0</v>
      </c>
      <c r="C39" s="299">
        <v>20</v>
      </c>
      <c r="D39" s="300" t="e">
        <f>VLOOKUP(B39,PROPONENTES!$C$19:$E$218,2,FALSE)</f>
        <v>#N/A</v>
      </c>
      <c r="E39" s="514" t="e">
        <f>VLOOKUP(B39,HAB.EXP.ESP.!$C$27:$N$226,12,FALSE)</f>
        <v>#N/A</v>
      </c>
      <c r="F39" s="385" t="e">
        <f>VLOOKUP(B39,PON.EXP.ESP.!$C$30:$J$229,6,FALSE)</f>
        <v>#N/A</v>
      </c>
      <c r="G39" s="383" t="e">
        <f>VLOOKUP(B39,PON.EXP.ESP.!$C$30:$J$229,8,FALSE)</f>
        <v>#N/A</v>
      </c>
      <c r="H39" s="383">
        <f>VLOOKUP(B39,VIN.PERS.DISC.!$B$19:$D$218,3,FALSE)</f>
        <v>0</v>
      </c>
      <c r="I39" s="384">
        <f>VLOOKUP(B39,'APOYO A IND. NAL.'!$B$19:$D$218,3,FALSE)</f>
        <v>0</v>
      </c>
      <c r="J39" s="384" t="e">
        <f t="shared" si="0"/>
        <v>#N/A</v>
      </c>
      <c r="K39" s="301"/>
    </row>
    <row r="40" spans="2:11" s="292" customFormat="1" ht="13.5" hidden="1">
      <c r="B40" s="298">
        <f>PROPONENTES!C39</f>
        <v>0</v>
      </c>
      <c r="C40" s="299">
        <v>21</v>
      </c>
      <c r="D40" s="300" t="e">
        <f>VLOOKUP(B40,PROPONENTES!$C$19:$E$218,2,FALSE)</f>
        <v>#N/A</v>
      </c>
      <c r="E40" s="514" t="e">
        <f>VLOOKUP(B40,HAB.EXP.ESP.!$C$27:$N$226,12,FALSE)</f>
        <v>#N/A</v>
      </c>
      <c r="F40" s="385" t="e">
        <f>VLOOKUP(B40,PON.EXP.ESP.!$C$30:$J$229,6,FALSE)</f>
        <v>#N/A</v>
      </c>
      <c r="G40" s="383" t="e">
        <f>VLOOKUP(B40,PON.EXP.ESP.!$C$30:$J$229,8,FALSE)</f>
        <v>#N/A</v>
      </c>
      <c r="H40" s="383">
        <f>VLOOKUP(B40,VIN.PERS.DISC.!$B$19:$D$218,3,FALSE)</f>
        <v>0</v>
      </c>
      <c r="I40" s="384">
        <f>VLOOKUP(B40,'APOYO A IND. NAL.'!$B$19:$D$218,3,FALSE)</f>
        <v>0</v>
      </c>
      <c r="J40" s="384" t="e">
        <f t="shared" si="0"/>
        <v>#N/A</v>
      </c>
      <c r="K40" s="301"/>
    </row>
    <row r="41" spans="2:11" s="292" customFormat="1" ht="13.5" hidden="1">
      <c r="B41" s="298">
        <f>PROPONENTES!C40</f>
        <v>0</v>
      </c>
      <c r="C41" s="299">
        <v>22</v>
      </c>
      <c r="D41" s="300" t="e">
        <f>VLOOKUP(B41,PROPONENTES!$C$19:$E$218,2,FALSE)</f>
        <v>#N/A</v>
      </c>
      <c r="E41" s="514" t="e">
        <f>VLOOKUP(B41,HAB.EXP.ESP.!$C$27:$N$226,12,FALSE)</f>
        <v>#N/A</v>
      </c>
      <c r="F41" s="385" t="e">
        <f>VLOOKUP(B41,PON.EXP.ESP.!$C$30:$J$229,6,FALSE)</f>
        <v>#N/A</v>
      </c>
      <c r="G41" s="383" t="e">
        <f>VLOOKUP(B41,PON.EXP.ESP.!$C$30:$J$229,8,FALSE)</f>
        <v>#N/A</v>
      </c>
      <c r="H41" s="383">
        <f>VLOOKUP(B41,VIN.PERS.DISC.!$B$19:$D$218,3,FALSE)</f>
        <v>0</v>
      </c>
      <c r="I41" s="384">
        <f>VLOOKUP(B41,'APOYO A IND. NAL.'!$B$19:$D$218,3,FALSE)</f>
        <v>0</v>
      </c>
      <c r="J41" s="384" t="e">
        <f t="shared" si="0"/>
        <v>#N/A</v>
      </c>
      <c r="K41" s="301"/>
    </row>
    <row r="42" spans="2:11" s="292" customFormat="1" ht="13.5" hidden="1">
      <c r="B42" s="298">
        <f>PROPONENTES!C41</f>
        <v>0</v>
      </c>
      <c r="C42" s="299">
        <v>23</v>
      </c>
      <c r="D42" s="300" t="e">
        <f>VLOOKUP(B42,PROPONENTES!$C$19:$E$218,2,FALSE)</f>
        <v>#N/A</v>
      </c>
      <c r="E42" s="514" t="e">
        <f>VLOOKUP(B42,HAB.EXP.ESP.!$C$27:$N$226,12,FALSE)</f>
        <v>#N/A</v>
      </c>
      <c r="F42" s="385" t="e">
        <f>VLOOKUP(B42,PON.EXP.ESP.!$C$30:$J$229,6,FALSE)</f>
        <v>#N/A</v>
      </c>
      <c r="G42" s="383" t="e">
        <f>VLOOKUP(B42,PON.EXP.ESP.!$C$30:$J$229,8,FALSE)</f>
        <v>#N/A</v>
      </c>
      <c r="H42" s="383">
        <f>VLOOKUP(B42,VIN.PERS.DISC.!$B$19:$D$218,3,FALSE)</f>
        <v>0</v>
      </c>
      <c r="I42" s="384">
        <f>VLOOKUP(B42,'APOYO A IND. NAL.'!$B$19:$D$218,3,FALSE)</f>
        <v>0</v>
      </c>
      <c r="J42" s="384" t="e">
        <f t="shared" si="0"/>
        <v>#N/A</v>
      </c>
      <c r="K42" s="301"/>
    </row>
    <row r="43" spans="2:11" s="292" customFormat="1" ht="13.5" hidden="1">
      <c r="B43" s="298">
        <f>PROPONENTES!C42</f>
        <v>0</v>
      </c>
      <c r="C43" s="299">
        <v>24</v>
      </c>
      <c r="D43" s="300" t="e">
        <f>VLOOKUP(B43,PROPONENTES!$C$19:$E$218,2,FALSE)</f>
        <v>#N/A</v>
      </c>
      <c r="E43" s="514" t="e">
        <f>VLOOKUP(B43,HAB.EXP.ESP.!$C$27:$N$226,12,FALSE)</f>
        <v>#N/A</v>
      </c>
      <c r="F43" s="385" t="e">
        <f>VLOOKUP(B43,PON.EXP.ESP.!$C$30:$J$229,6,FALSE)</f>
        <v>#N/A</v>
      </c>
      <c r="G43" s="383" t="e">
        <f>VLOOKUP(B43,PON.EXP.ESP.!$C$30:$J$229,8,FALSE)</f>
        <v>#N/A</v>
      </c>
      <c r="H43" s="383">
        <f>VLOOKUP(B43,VIN.PERS.DISC.!$B$19:$D$218,3,FALSE)</f>
        <v>0</v>
      </c>
      <c r="I43" s="384">
        <f>VLOOKUP(B43,'APOYO A IND. NAL.'!$B$19:$D$218,3,FALSE)</f>
        <v>0</v>
      </c>
      <c r="J43" s="384" t="e">
        <f t="shared" si="0"/>
        <v>#N/A</v>
      </c>
      <c r="K43" s="301"/>
    </row>
    <row r="44" spans="2:11" s="292" customFormat="1" ht="13.5" hidden="1">
      <c r="B44" s="298">
        <f>PROPONENTES!C43</f>
        <v>0</v>
      </c>
      <c r="C44" s="299">
        <v>25</v>
      </c>
      <c r="D44" s="300" t="e">
        <f>VLOOKUP(B44,PROPONENTES!$C$19:$E$218,2,FALSE)</f>
        <v>#N/A</v>
      </c>
      <c r="E44" s="514" t="e">
        <f>VLOOKUP(B44,HAB.EXP.ESP.!$C$27:$N$226,12,FALSE)</f>
        <v>#N/A</v>
      </c>
      <c r="F44" s="385" t="e">
        <f>VLOOKUP(B44,PON.EXP.ESP.!$C$30:$J$229,6,FALSE)</f>
        <v>#N/A</v>
      </c>
      <c r="G44" s="383" t="e">
        <f>VLOOKUP(B44,PON.EXP.ESP.!$C$30:$J$229,8,FALSE)</f>
        <v>#N/A</v>
      </c>
      <c r="H44" s="383">
        <f>VLOOKUP(B44,VIN.PERS.DISC.!$B$19:$D$218,3,FALSE)</f>
        <v>0</v>
      </c>
      <c r="I44" s="384">
        <f>VLOOKUP(B44,'APOYO A IND. NAL.'!$B$19:$D$218,3,FALSE)</f>
        <v>0</v>
      </c>
      <c r="J44" s="384" t="e">
        <f t="shared" si="0"/>
        <v>#N/A</v>
      </c>
      <c r="K44" s="301"/>
    </row>
    <row r="45" spans="2:11" s="292" customFormat="1" ht="13.5" hidden="1">
      <c r="B45" s="298">
        <f>PROPONENTES!C44</f>
        <v>0</v>
      </c>
      <c r="C45" s="299">
        <v>26</v>
      </c>
      <c r="D45" s="300" t="e">
        <f>VLOOKUP(B45,PROPONENTES!$C$19:$E$218,2,FALSE)</f>
        <v>#N/A</v>
      </c>
      <c r="E45" s="514" t="e">
        <f>VLOOKUP(B45,HAB.EXP.ESP.!$C$27:$N$226,12,FALSE)</f>
        <v>#N/A</v>
      </c>
      <c r="F45" s="385" t="e">
        <f>VLOOKUP(B45,PON.EXP.ESP.!$C$30:$J$229,6,FALSE)</f>
        <v>#N/A</v>
      </c>
      <c r="G45" s="383" t="e">
        <f>VLOOKUP(B45,PON.EXP.ESP.!$C$30:$J$229,8,FALSE)</f>
        <v>#N/A</v>
      </c>
      <c r="H45" s="383">
        <f>VLOOKUP(B45,VIN.PERS.DISC.!$B$19:$D$218,3,FALSE)</f>
        <v>0</v>
      </c>
      <c r="I45" s="384">
        <f>VLOOKUP(B45,'APOYO A IND. NAL.'!$B$19:$D$218,3,FALSE)</f>
        <v>0</v>
      </c>
      <c r="J45" s="384" t="e">
        <f t="shared" si="0"/>
        <v>#N/A</v>
      </c>
      <c r="K45" s="301"/>
    </row>
    <row r="46" spans="2:11" s="292" customFormat="1" ht="13.5" hidden="1">
      <c r="B46" s="298">
        <f>PROPONENTES!C45</f>
        <v>0</v>
      </c>
      <c r="C46" s="299">
        <v>27</v>
      </c>
      <c r="D46" s="300" t="e">
        <f>VLOOKUP(B46,PROPONENTES!$C$19:$E$218,2,FALSE)</f>
        <v>#N/A</v>
      </c>
      <c r="E46" s="514" t="e">
        <f>VLOOKUP(B46,HAB.EXP.ESP.!$C$27:$N$226,12,FALSE)</f>
        <v>#N/A</v>
      </c>
      <c r="F46" s="385" t="e">
        <f>VLOOKUP(B46,PON.EXP.ESP.!$C$30:$J$229,6,FALSE)</f>
        <v>#N/A</v>
      </c>
      <c r="G46" s="383" t="e">
        <f>VLOOKUP(B46,PON.EXP.ESP.!$C$30:$J$229,8,FALSE)</f>
        <v>#N/A</v>
      </c>
      <c r="H46" s="383">
        <f>VLOOKUP(B46,VIN.PERS.DISC.!$B$19:$D$218,3,FALSE)</f>
        <v>0</v>
      </c>
      <c r="I46" s="384">
        <f>VLOOKUP(B46,'APOYO A IND. NAL.'!$B$19:$D$218,3,FALSE)</f>
        <v>0</v>
      </c>
      <c r="J46" s="384" t="e">
        <f t="shared" si="0"/>
        <v>#N/A</v>
      </c>
      <c r="K46" s="301"/>
    </row>
    <row r="47" spans="2:11" s="292" customFormat="1" ht="13.5" hidden="1">
      <c r="B47" s="298">
        <f>PROPONENTES!C46</f>
        <v>0</v>
      </c>
      <c r="C47" s="299">
        <v>28</v>
      </c>
      <c r="D47" s="300" t="e">
        <f>VLOOKUP(B47,PROPONENTES!$C$19:$E$218,2,FALSE)</f>
        <v>#N/A</v>
      </c>
      <c r="E47" s="514" t="e">
        <f>VLOOKUP(B47,HAB.EXP.ESP.!$C$27:$N$226,12,FALSE)</f>
        <v>#N/A</v>
      </c>
      <c r="F47" s="385" t="e">
        <f>VLOOKUP(B47,PON.EXP.ESP.!$C$30:$J$229,6,FALSE)</f>
        <v>#N/A</v>
      </c>
      <c r="G47" s="383" t="e">
        <f>VLOOKUP(B47,PON.EXP.ESP.!$C$30:$J$229,8,FALSE)</f>
        <v>#N/A</v>
      </c>
      <c r="H47" s="383">
        <f>VLOOKUP(B47,VIN.PERS.DISC.!$B$19:$D$218,3,FALSE)</f>
        <v>0</v>
      </c>
      <c r="I47" s="384">
        <f>VLOOKUP(B47,'APOYO A IND. NAL.'!$B$19:$D$218,3,FALSE)</f>
        <v>0</v>
      </c>
      <c r="J47" s="384" t="e">
        <f t="shared" si="0"/>
        <v>#N/A</v>
      </c>
      <c r="K47" s="301"/>
    </row>
    <row r="48" spans="2:11" s="292" customFormat="1" ht="13.5" hidden="1">
      <c r="B48" s="298">
        <f>PROPONENTES!C47</f>
        <v>0</v>
      </c>
      <c r="C48" s="299">
        <v>29</v>
      </c>
      <c r="D48" s="300" t="e">
        <f>VLOOKUP(B48,PROPONENTES!$C$19:$E$218,2,FALSE)</f>
        <v>#N/A</v>
      </c>
      <c r="E48" s="514" t="e">
        <f>VLOOKUP(B48,HAB.EXP.ESP.!$C$27:$N$226,12,FALSE)</f>
        <v>#N/A</v>
      </c>
      <c r="F48" s="385" t="e">
        <f>VLOOKUP(B48,PON.EXP.ESP.!$C$30:$J$229,6,FALSE)</f>
        <v>#N/A</v>
      </c>
      <c r="G48" s="383" t="e">
        <f>VLOOKUP(B48,PON.EXP.ESP.!$C$30:$J$229,8,FALSE)</f>
        <v>#N/A</v>
      </c>
      <c r="H48" s="383">
        <f>VLOOKUP(B48,VIN.PERS.DISC.!$B$19:$D$218,3,FALSE)</f>
        <v>0</v>
      </c>
      <c r="I48" s="384">
        <f>VLOOKUP(B48,'APOYO A IND. NAL.'!$B$19:$D$218,3,FALSE)</f>
        <v>0</v>
      </c>
      <c r="J48" s="384" t="e">
        <f t="shared" si="0"/>
        <v>#N/A</v>
      </c>
      <c r="K48" s="301"/>
    </row>
    <row r="49" spans="2:11" s="292" customFormat="1" ht="13.5" hidden="1">
      <c r="B49" s="298">
        <f>PROPONENTES!C48</f>
        <v>0</v>
      </c>
      <c r="C49" s="299">
        <v>30</v>
      </c>
      <c r="D49" s="300" t="e">
        <f>VLOOKUP(B49,PROPONENTES!$C$19:$E$218,2,FALSE)</f>
        <v>#N/A</v>
      </c>
      <c r="E49" s="514" t="e">
        <f>VLOOKUP(B49,HAB.EXP.ESP.!$C$27:$N$226,12,FALSE)</f>
        <v>#N/A</v>
      </c>
      <c r="F49" s="385" t="e">
        <f>VLOOKUP(B49,PON.EXP.ESP.!$C$30:$J$229,6,FALSE)</f>
        <v>#N/A</v>
      </c>
      <c r="G49" s="383" t="e">
        <f>VLOOKUP(B49,PON.EXP.ESP.!$C$30:$J$229,8,FALSE)</f>
        <v>#N/A</v>
      </c>
      <c r="H49" s="383">
        <f>VLOOKUP(B49,VIN.PERS.DISC.!$B$19:$D$218,3,FALSE)</f>
        <v>0</v>
      </c>
      <c r="I49" s="384">
        <f>VLOOKUP(B49,'APOYO A IND. NAL.'!$B$19:$D$218,3,FALSE)</f>
        <v>0</v>
      </c>
      <c r="J49" s="384" t="e">
        <f t="shared" si="0"/>
        <v>#N/A</v>
      </c>
      <c r="K49" s="301"/>
    </row>
    <row r="50" spans="2:11" s="292" customFormat="1" ht="13.5" hidden="1">
      <c r="B50" s="298">
        <f>PROPONENTES!C49</f>
        <v>0</v>
      </c>
      <c r="C50" s="299">
        <v>31</v>
      </c>
      <c r="D50" s="300" t="e">
        <f>VLOOKUP(B50,PROPONENTES!$C$19:$E$218,2,FALSE)</f>
        <v>#N/A</v>
      </c>
      <c r="E50" s="514" t="e">
        <f>VLOOKUP(B50,HAB.EXP.ESP.!$C$27:$N$226,12,FALSE)</f>
        <v>#N/A</v>
      </c>
      <c r="F50" s="385" t="e">
        <f>VLOOKUP(B50,PON.EXP.ESP.!$C$30:$J$229,6,FALSE)</f>
        <v>#N/A</v>
      </c>
      <c r="G50" s="383" t="e">
        <f>VLOOKUP(B50,PON.EXP.ESP.!$C$30:$J$229,8,FALSE)</f>
        <v>#N/A</v>
      </c>
      <c r="H50" s="383">
        <f>VLOOKUP(B50,VIN.PERS.DISC.!$B$19:$D$218,3,FALSE)</f>
        <v>0</v>
      </c>
      <c r="I50" s="384">
        <f>VLOOKUP(B50,'APOYO A IND. NAL.'!$B$19:$D$218,3,FALSE)</f>
        <v>0</v>
      </c>
      <c r="J50" s="384" t="e">
        <f t="shared" si="0"/>
        <v>#N/A</v>
      </c>
      <c r="K50" s="301"/>
    </row>
    <row r="51" spans="2:11" s="292" customFormat="1" ht="13.5" hidden="1">
      <c r="B51" s="298">
        <f>PROPONENTES!C50</f>
        <v>0</v>
      </c>
      <c r="C51" s="299">
        <v>32</v>
      </c>
      <c r="D51" s="300" t="e">
        <f>VLOOKUP(B51,PROPONENTES!$C$19:$E$218,2,FALSE)</f>
        <v>#N/A</v>
      </c>
      <c r="E51" s="514" t="e">
        <f>VLOOKUP(B51,HAB.EXP.ESP.!$C$27:$N$226,12,FALSE)</f>
        <v>#N/A</v>
      </c>
      <c r="F51" s="385" t="e">
        <f>VLOOKUP(B51,PON.EXP.ESP.!$C$30:$J$229,6,FALSE)</f>
        <v>#N/A</v>
      </c>
      <c r="G51" s="383" t="e">
        <f>VLOOKUP(B51,PON.EXP.ESP.!$C$30:$J$229,8,FALSE)</f>
        <v>#N/A</v>
      </c>
      <c r="H51" s="383">
        <f>VLOOKUP(B51,VIN.PERS.DISC.!$B$19:$D$218,3,FALSE)</f>
        <v>0</v>
      </c>
      <c r="I51" s="384">
        <f>VLOOKUP(B51,'APOYO A IND. NAL.'!$B$19:$D$218,3,FALSE)</f>
        <v>0</v>
      </c>
      <c r="J51" s="384" t="e">
        <f t="shared" si="0"/>
        <v>#N/A</v>
      </c>
      <c r="K51" s="301"/>
    </row>
    <row r="52" spans="2:11" s="292" customFormat="1" ht="13.5" hidden="1">
      <c r="B52" s="298">
        <f>PROPONENTES!C51</f>
        <v>0</v>
      </c>
      <c r="C52" s="299">
        <v>33</v>
      </c>
      <c r="D52" s="300" t="e">
        <f>VLOOKUP(B52,PROPONENTES!$C$19:$E$218,2,FALSE)</f>
        <v>#N/A</v>
      </c>
      <c r="E52" s="514" t="e">
        <f>VLOOKUP(B52,HAB.EXP.ESP.!$C$27:$N$226,12,FALSE)</f>
        <v>#N/A</v>
      </c>
      <c r="F52" s="385" t="e">
        <f>VLOOKUP(B52,PON.EXP.ESP.!$C$30:$J$229,6,FALSE)</f>
        <v>#N/A</v>
      </c>
      <c r="G52" s="383" t="e">
        <f>VLOOKUP(B52,PON.EXP.ESP.!$C$30:$J$229,8,FALSE)</f>
        <v>#N/A</v>
      </c>
      <c r="H52" s="383">
        <f>VLOOKUP(B52,VIN.PERS.DISC.!$B$19:$D$218,3,FALSE)</f>
        <v>0</v>
      </c>
      <c r="I52" s="384">
        <f>VLOOKUP(B52,'APOYO A IND. NAL.'!$B$19:$D$218,3,FALSE)</f>
        <v>0</v>
      </c>
      <c r="J52" s="384" t="e">
        <f t="shared" si="0"/>
        <v>#N/A</v>
      </c>
      <c r="K52" s="301"/>
    </row>
    <row r="53" spans="2:11" s="292" customFormat="1" ht="13.5" hidden="1">
      <c r="B53" s="298">
        <f>PROPONENTES!C52</f>
        <v>0</v>
      </c>
      <c r="C53" s="299">
        <v>34</v>
      </c>
      <c r="D53" s="300" t="e">
        <f>VLOOKUP(B53,PROPONENTES!$C$19:$E$218,2,FALSE)</f>
        <v>#N/A</v>
      </c>
      <c r="E53" s="514" t="e">
        <f>VLOOKUP(B53,HAB.EXP.ESP.!$C$27:$N$226,12,FALSE)</f>
        <v>#N/A</v>
      </c>
      <c r="F53" s="385" t="e">
        <f>VLOOKUP(B53,PON.EXP.ESP.!$C$30:$J$229,6,FALSE)</f>
        <v>#N/A</v>
      </c>
      <c r="G53" s="383" t="e">
        <f>VLOOKUP(B53,PON.EXP.ESP.!$C$30:$J$229,8,FALSE)</f>
        <v>#N/A</v>
      </c>
      <c r="H53" s="383">
        <f>VLOOKUP(B53,VIN.PERS.DISC.!$B$19:$D$218,3,FALSE)</f>
        <v>0</v>
      </c>
      <c r="I53" s="384">
        <f>VLOOKUP(B53,'APOYO A IND. NAL.'!$B$19:$D$218,3,FALSE)</f>
        <v>0</v>
      </c>
      <c r="J53" s="384" t="e">
        <f t="shared" si="0"/>
        <v>#N/A</v>
      </c>
      <c r="K53" s="301"/>
    </row>
    <row r="54" spans="2:11" s="292" customFormat="1" ht="13.5" hidden="1">
      <c r="B54" s="298">
        <f>PROPONENTES!C53</f>
        <v>0</v>
      </c>
      <c r="C54" s="299">
        <v>35</v>
      </c>
      <c r="D54" s="300" t="e">
        <f>VLOOKUP(B54,PROPONENTES!$C$19:$E$218,2,FALSE)</f>
        <v>#N/A</v>
      </c>
      <c r="E54" s="514" t="e">
        <f>VLOOKUP(B54,HAB.EXP.ESP.!$C$27:$N$226,12,FALSE)</f>
        <v>#N/A</v>
      </c>
      <c r="F54" s="385" t="e">
        <f>VLOOKUP(B54,PON.EXP.ESP.!$C$30:$J$229,6,FALSE)</f>
        <v>#N/A</v>
      </c>
      <c r="G54" s="383" t="e">
        <f>VLOOKUP(B54,PON.EXP.ESP.!$C$30:$J$229,8,FALSE)</f>
        <v>#N/A</v>
      </c>
      <c r="H54" s="383">
        <f>VLOOKUP(B54,VIN.PERS.DISC.!$B$19:$D$218,3,FALSE)</f>
        <v>0</v>
      </c>
      <c r="I54" s="384">
        <f>VLOOKUP(B54,'APOYO A IND. NAL.'!$B$19:$D$218,3,FALSE)</f>
        <v>0</v>
      </c>
      <c r="J54" s="384" t="e">
        <f t="shared" si="0"/>
        <v>#N/A</v>
      </c>
      <c r="K54" s="301"/>
    </row>
    <row r="55" spans="2:11" s="292" customFormat="1" ht="13.5" hidden="1">
      <c r="B55" s="298">
        <f>PROPONENTES!C54</f>
        <v>0</v>
      </c>
      <c r="C55" s="299">
        <v>36</v>
      </c>
      <c r="D55" s="300" t="e">
        <f>VLOOKUP(B55,PROPONENTES!$C$19:$E$218,2,FALSE)</f>
        <v>#N/A</v>
      </c>
      <c r="E55" s="514" t="e">
        <f>VLOOKUP(B55,HAB.EXP.ESP.!$C$27:$N$226,12,FALSE)</f>
        <v>#N/A</v>
      </c>
      <c r="F55" s="385" t="e">
        <f>VLOOKUP(B55,PON.EXP.ESP.!$C$30:$J$229,6,FALSE)</f>
        <v>#N/A</v>
      </c>
      <c r="G55" s="383" t="e">
        <f>VLOOKUP(B55,PON.EXP.ESP.!$C$30:$J$229,8,FALSE)</f>
        <v>#N/A</v>
      </c>
      <c r="H55" s="383">
        <f>VLOOKUP(B55,VIN.PERS.DISC.!$B$19:$D$218,3,FALSE)</f>
        <v>0</v>
      </c>
      <c r="I55" s="384">
        <f>VLOOKUP(B55,'APOYO A IND. NAL.'!$B$19:$D$218,3,FALSE)</f>
        <v>0</v>
      </c>
      <c r="J55" s="384" t="e">
        <f t="shared" si="0"/>
        <v>#N/A</v>
      </c>
      <c r="K55" s="301"/>
    </row>
    <row r="56" spans="2:11" s="292" customFormat="1" ht="13.5" hidden="1">
      <c r="B56" s="298">
        <f>PROPONENTES!C55</f>
        <v>0</v>
      </c>
      <c r="C56" s="299">
        <v>37</v>
      </c>
      <c r="D56" s="300" t="e">
        <f>VLOOKUP(B56,PROPONENTES!$C$19:$E$218,2,FALSE)</f>
        <v>#N/A</v>
      </c>
      <c r="E56" s="514" t="e">
        <f>VLOOKUP(B56,HAB.EXP.ESP.!$C$27:$N$226,12,FALSE)</f>
        <v>#N/A</v>
      </c>
      <c r="F56" s="385" t="e">
        <f>VLOOKUP(B56,PON.EXP.ESP.!$C$30:$J$229,6,FALSE)</f>
        <v>#N/A</v>
      </c>
      <c r="G56" s="383" t="e">
        <f>VLOOKUP(B56,PON.EXP.ESP.!$C$30:$J$229,8,FALSE)</f>
        <v>#N/A</v>
      </c>
      <c r="H56" s="383">
        <f>VLOOKUP(B56,VIN.PERS.DISC.!$B$19:$D$218,3,FALSE)</f>
        <v>0</v>
      </c>
      <c r="I56" s="384">
        <f>VLOOKUP(B56,'APOYO A IND. NAL.'!$B$19:$D$218,3,FALSE)</f>
        <v>0</v>
      </c>
      <c r="J56" s="384" t="e">
        <f t="shared" si="0"/>
        <v>#N/A</v>
      </c>
      <c r="K56" s="301"/>
    </row>
    <row r="57" spans="2:11" s="292" customFormat="1" ht="13.5" hidden="1">
      <c r="B57" s="298">
        <f>PROPONENTES!C56</f>
        <v>0</v>
      </c>
      <c r="C57" s="299">
        <v>38</v>
      </c>
      <c r="D57" s="300" t="e">
        <f>VLOOKUP(B57,PROPONENTES!$C$19:$E$218,2,FALSE)</f>
        <v>#N/A</v>
      </c>
      <c r="E57" s="514" t="e">
        <f>VLOOKUP(B57,HAB.EXP.ESP.!$C$27:$N$226,12,FALSE)</f>
        <v>#N/A</v>
      </c>
      <c r="F57" s="385" t="e">
        <f>VLOOKUP(B57,PON.EXP.ESP.!$C$30:$J$229,6,FALSE)</f>
        <v>#N/A</v>
      </c>
      <c r="G57" s="383" t="e">
        <f>VLOOKUP(B57,PON.EXP.ESP.!$C$30:$J$229,8,FALSE)</f>
        <v>#N/A</v>
      </c>
      <c r="H57" s="383">
        <f>VLOOKUP(B57,VIN.PERS.DISC.!$B$19:$D$218,3,FALSE)</f>
        <v>0</v>
      </c>
      <c r="I57" s="384">
        <f>VLOOKUP(B57,'APOYO A IND. NAL.'!$B$19:$D$218,3,FALSE)</f>
        <v>0</v>
      </c>
      <c r="J57" s="384" t="e">
        <f t="shared" si="0"/>
        <v>#N/A</v>
      </c>
      <c r="K57" s="301"/>
    </row>
    <row r="58" spans="2:11" s="292" customFormat="1" ht="13.5" hidden="1">
      <c r="B58" s="298">
        <f>PROPONENTES!C57</f>
        <v>0</v>
      </c>
      <c r="C58" s="299">
        <v>39</v>
      </c>
      <c r="D58" s="300" t="e">
        <f>VLOOKUP(B58,PROPONENTES!$C$19:$E$218,2,FALSE)</f>
        <v>#N/A</v>
      </c>
      <c r="E58" s="514" t="e">
        <f>VLOOKUP(B58,HAB.EXP.ESP.!$C$27:$N$226,12,FALSE)</f>
        <v>#N/A</v>
      </c>
      <c r="F58" s="385" t="e">
        <f>VLOOKUP(B58,PON.EXP.ESP.!$C$30:$J$229,6,FALSE)</f>
        <v>#N/A</v>
      </c>
      <c r="G58" s="383" t="e">
        <f>VLOOKUP(B58,PON.EXP.ESP.!$C$30:$J$229,8,FALSE)</f>
        <v>#N/A</v>
      </c>
      <c r="H58" s="383">
        <f>VLOOKUP(B58,VIN.PERS.DISC.!$B$19:$D$218,3,FALSE)</f>
        <v>0</v>
      </c>
      <c r="I58" s="384">
        <f>VLOOKUP(B58,'APOYO A IND. NAL.'!$B$19:$D$218,3,FALSE)</f>
        <v>0</v>
      </c>
      <c r="J58" s="384" t="e">
        <f t="shared" si="0"/>
        <v>#N/A</v>
      </c>
      <c r="K58" s="301"/>
    </row>
    <row r="59" spans="2:11" s="292" customFormat="1" ht="13.5" hidden="1">
      <c r="B59" s="298">
        <f>PROPONENTES!C58</f>
        <v>0</v>
      </c>
      <c r="C59" s="299">
        <v>40</v>
      </c>
      <c r="D59" s="300" t="e">
        <f>VLOOKUP(B59,PROPONENTES!$C$19:$E$218,2,FALSE)</f>
        <v>#N/A</v>
      </c>
      <c r="E59" s="514" t="e">
        <f>VLOOKUP(B59,HAB.EXP.ESP.!$C$27:$N$226,12,FALSE)</f>
        <v>#N/A</v>
      </c>
      <c r="F59" s="385" t="e">
        <f>VLOOKUP(B59,PON.EXP.ESP.!$C$30:$J$229,6,FALSE)</f>
        <v>#N/A</v>
      </c>
      <c r="G59" s="383" t="e">
        <f>VLOOKUP(B59,PON.EXP.ESP.!$C$30:$J$229,8,FALSE)</f>
        <v>#N/A</v>
      </c>
      <c r="H59" s="383">
        <f>VLOOKUP(B59,VIN.PERS.DISC.!$B$19:$D$218,3,FALSE)</f>
        <v>0</v>
      </c>
      <c r="I59" s="384">
        <f>VLOOKUP(B59,'APOYO A IND. NAL.'!$B$19:$D$218,3,FALSE)</f>
        <v>0</v>
      </c>
      <c r="J59" s="384" t="e">
        <f t="shared" si="0"/>
        <v>#N/A</v>
      </c>
      <c r="K59" s="301"/>
    </row>
    <row r="60" spans="2:11" s="292" customFormat="1" ht="13.5" hidden="1">
      <c r="B60" s="298">
        <f>PROPONENTES!C59</f>
        <v>0</v>
      </c>
      <c r="C60" s="299">
        <v>41</v>
      </c>
      <c r="D60" s="300" t="e">
        <f>VLOOKUP(B60,PROPONENTES!$C$19:$E$218,2,FALSE)</f>
        <v>#N/A</v>
      </c>
      <c r="E60" s="514" t="e">
        <f>VLOOKUP(B60,HAB.EXP.ESP.!$C$27:$N$226,12,FALSE)</f>
        <v>#N/A</v>
      </c>
      <c r="F60" s="385" t="e">
        <f>VLOOKUP(B60,PON.EXP.ESP.!$C$30:$J$229,6,FALSE)</f>
        <v>#N/A</v>
      </c>
      <c r="G60" s="383" t="e">
        <f>VLOOKUP(B60,PON.EXP.ESP.!$C$30:$J$229,8,FALSE)</f>
        <v>#N/A</v>
      </c>
      <c r="H60" s="383">
        <f>VLOOKUP(B60,VIN.PERS.DISC.!$B$19:$D$218,3,FALSE)</f>
        <v>0</v>
      </c>
      <c r="I60" s="384">
        <f>VLOOKUP(B60,'APOYO A IND. NAL.'!$B$19:$D$218,3,FALSE)</f>
        <v>0</v>
      </c>
      <c r="J60" s="384" t="e">
        <f t="shared" si="0"/>
        <v>#N/A</v>
      </c>
      <c r="K60" s="301"/>
    </row>
    <row r="61" spans="2:11" s="292" customFormat="1" ht="13.5" hidden="1">
      <c r="B61" s="298">
        <f>PROPONENTES!C60</f>
        <v>0</v>
      </c>
      <c r="C61" s="299">
        <v>42</v>
      </c>
      <c r="D61" s="300" t="e">
        <f>VLOOKUP(B61,PROPONENTES!$C$19:$E$218,2,FALSE)</f>
        <v>#N/A</v>
      </c>
      <c r="E61" s="514" t="e">
        <f>VLOOKUP(B61,HAB.EXP.ESP.!$C$27:$N$226,12,FALSE)</f>
        <v>#N/A</v>
      </c>
      <c r="F61" s="385" t="e">
        <f>VLOOKUP(B61,PON.EXP.ESP.!$C$30:$J$229,6,FALSE)</f>
        <v>#N/A</v>
      </c>
      <c r="G61" s="383" t="e">
        <f>VLOOKUP(B61,PON.EXP.ESP.!$C$30:$J$229,8,FALSE)</f>
        <v>#N/A</v>
      </c>
      <c r="H61" s="383">
        <f>VLOOKUP(B61,VIN.PERS.DISC.!$B$19:$D$218,3,FALSE)</f>
        <v>0</v>
      </c>
      <c r="I61" s="384">
        <f>VLOOKUP(B61,'APOYO A IND. NAL.'!$B$19:$D$218,3,FALSE)</f>
        <v>0</v>
      </c>
      <c r="J61" s="384" t="e">
        <f t="shared" si="0"/>
        <v>#N/A</v>
      </c>
      <c r="K61" s="301"/>
    </row>
    <row r="62" spans="2:11" s="292" customFormat="1" ht="13.5" hidden="1">
      <c r="B62" s="298">
        <f>PROPONENTES!C61</f>
        <v>0</v>
      </c>
      <c r="C62" s="299">
        <v>43</v>
      </c>
      <c r="D62" s="300" t="e">
        <f>VLOOKUP(B62,PROPONENTES!$C$19:$E$218,2,FALSE)</f>
        <v>#N/A</v>
      </c>
      <c r="E62" s="514" t="e">
        <f>VLOOKUP(B62,HAB.EXP.ESP.!$C$27:$N$226,12,FALSE)</f>
        <v>#N/A</v>
      </c>
      <c r="F62" s="385" t="e">
        <f>VLOOKUP(B62,PON.EXP.ESP.!$C$30:$J$229,6,FALSE)</f>
        <v>#N/A</v>
      </c>
      <c r="G62" s="383" t="e">
        <f>VLOOKUP(B62,PON.EXP.ESP.!$C$30:$J$229,8,FALSE)</f>
        <v>#N/A</v>
      </c>
      <c r="H62" s="383">
        <f>VLOOKUP(B62,VIN.PERS.DISC.!$B$19:$D$218,3,FALSE)</f>
        <v>0</v>
      </c>
      <c r="I62" s="384">
        <f>VLOOKUP(B62,'APOYO A IND. NAL.'!$B$19:$D$218,3,FALSE)</f>
        <v>0</v>
      </c>
      <c r="J62" s="384" t="e">
        <f t="shared" si="0"/>
        <v>#N/A</v>
      </c>
      <c r="K62" s="301"/>
    </row>
    <row r="63" spans="2:11" s="292" customFormat="1" ht="13.5" hidden="1">
      <c r="B63" s="298">
        <f>PROPONENTES!C62</f>
        <v>0</v>
      </c>
      <c r="C63" s="299">
        <v>44</v>
      </c>
      <c r="D63" s="300" t="e">
        <f>VLOOKUP(B63,PROPONENTES!$C$19:$E$218,2,FALSE)</f>
        <v>#N/A</v>
      </c>
      <c r="E63" s="514" t="e">
        <f>VLOOKUP(B63,HAB.EXP.ESP.!$C$27:$N$226,12,FALSE)</f>
        <v>#N/A</v>
      </c>
      <c r="F63" s="385" t="e">
        <f>VLOOKUP(B63,PON.EXP.ESP.!$C$30:$J$229,6,FALSE)</f>
        <v>#N/A</v>
      </c>
      <c r="G63" s="383" t="e">
        <f>VLOOKUP(B63,PON.EXP.ESP.!$C$30:$J$229,8,FALSE)</f>
        <v>#N/A</v>
      </c>
      <c r="H63" s="383">
        <f>VLOOKUP(B63,VIN.PERS.DISC.!$B$19:$D$218,3,FALSE)</f>
        <v>0</v>
      </c>
      <c r="I63" s="384">
        <f>VLOOKUP(B63,'APOYO A IND. NAL.'!$B$19:$D$218,3,FALSE)</f>
        <v>0</v>
      </c>
      <c r="J63" s="384" t="e">
        <f t="shared" si="0"/>
        <v>#N/A</v>
      </c>
      <c r="K63" s="301"/>
    </row>
    <row r="64" spans="2:11" s="292" customFormat="1" ht="13.5" hidden="1">
      <c r="B64" s="298">
        <f>PROPONENTES!C63</f>
        <v>0</v>
      </c>
      <c r="C64" s="299">
        <v>45</v>
      </c>
      <c r="D64" s="300" t="e">
        <f>VLOOKUP(B64,PROPONENTES!$C$19:$E$218,2,FALSE)</f>
        <v>#N/A</v>
      </c>
      <c r="E64" s="514" t="e">
        <f>VLOOKUP(B64,HAB.EXP.ESP.!$C$27:$N$226,12,FALSE)</f>
        <v>#N/A</v>
      </c>
      <c r="F64" s="385" t="e">
        <f>VLOOKUP(B64,PON.EXP.ESP.!$C$30:$J$229,6,FALSE)</f>
        <v>#N/A</v>
      </c>
      <c r="G64" s="383" t="e">
        <f>VLOOKUP(B64,PON.EXP.ESP.!$C$30:$J$229,8,FALSE)</f>
        <v>#N/A</v>
      </c>
      <c r="H64" s="383">
        <f>VLOOKUP(B64,VIN.PERS.DISC.!$B$19:$D$218,3,FALSE)</f>
        <v>0</v>
      </c>
      <c r="I64" s="384">
        <f>VLOOKUP(B64,'APOYO A IND. NAL.'!$B$19:$D$218,3,FALSE)</f>
        <v>0</v>
      </c>
      <c r="J64" s="384" t="e">
        <f t="shared" si="0"/>
        <v>#N/A</v>
      </c>
      <c r="K64" s="301"/>
    </row>
    <row r="65" spans="2:11" s="292" customFormat="1" ht="13.5" hidden="1">
      <c r="B65" s="298">
        <f>PROPONENTES!C64</f>
        <v>0</v>
      </c>
      <c r="C65" s="299">
        <v>46</v>
      </c>
      <c r="D65" s="300" t="e">
        <f>VLOOKUP(B65,PROPONENTES!$C$19:$E$218,2,FALSE)</f>
        <v>#N/A</v>
      </c>
      <c r="E65" s="514" t="e">
        <f>VLOOKUP(B65,HAB.EXP.ESP.!$C$27:$N$226,12,FALSE)</f>
        <v>#N/A</v>
      </c>
      <c r="F65" s="385" t="e">
        <f>VLOOKUP(B65,PON.EXP.ESP.!$C$30:$J$229,6,FALSE)</f>
        <v>#N/A</v>
      </c>
      <c r="G65" s="383" t="e">
        <f>VLOOKUP(B65,PON.EXP.ESP.!$C$30:$J$229,8,FALSE)</f>
        <v>#N/A</v>
      </c>
      <c r="H65" s="383">
        <f>VLOOKUP(B65,VIN.PERS.DISC.!$B$19:$D$218,3,FALSE)</f>
        <v>0</v>
      </c>
      <c r="I65" s="384">
        <f>VLOOKUP(B65,'APOYO A IND. NAL.'!$B$19:$D$218,3,FALSE)</f>
        <v>0</v>
      </c>
      <c r="J65" s="384" t="e">
        <f t="shared" si="0"/>
        <v>#N/A</v>
      </c>
      <c r="K65" s="301"/>
    </row>
    <row r="66" spans="2:11" s="292" customFormat="1" ht="13.5" hidden="1">
      <c r="B66" s="298">
        <f>PROPONENTES!C65</f>
        <v>0</v>
      </c>
      <c r="C66" s="299">
        <v>47</v>
      </c>
      <c r="D66" s="300" t="e">
        <f>VLOOKUP(B66,PROPONENTES!$C$19:$E$218,2,FALSE)</f>
        <v>#N/A</v>
      </c>
      <c r="E66" s="514" t="e">
        <f>VLOOKUP(B66,HAB.EXP.ESP.!$C$27:$N$226,12,FALSE)</f>
        <v>#N/A</v>
      </c>
      <c r="F66" s="385" t="e">
        <f>VLOOKUP(B66,PON.EXP.ESP.!$C$30:$J$229,6,FALSE)</f>
        <v>#N/A</v>
      </c>
      <c r="G66" s="383" t="e">
        <f>VLOOKUP(B66,PON.EXP.ESP.!$C$30:$J$229,8,FALSE)</f>
        <v>#N/A</v>
      </c>
      <c r="H66" s="383">
        <f>VLOOKUP(B66,VIN.PERS.DISC.!$B$19:$D$218,3,FALSE)</f>
        <v>0</v>
      </c>
      <c r="I66" s="384">
        <f>VLOOKUP(B66,'APOYO A IND. NAL.'!$B$19:$D$218,3,FALSE)</f>
        <v>0</v>
      </c>
      <c r="J66" s="384" t="e">
        <f t="shared" si="0"/>
        <v>#N/A</v>
      </c>
      <c r="K66" s="301"/>
    </row>
    <row r="67" spans="2:11" s="292" customFormat="1" ht="13.5" hidden="1">
      <c r="B67" s="298">
        <f>PROPONENTES!C66</f>
        <v>0</v>
      </c>
      <c r="C67" s="299">
        <v>48</v>
      </c>
      <c r="D67" s="300" t="e">
        <f>VLOOKUP(B67,PROPONENTES!$C$19:$E$218,2,FALSE)</f>
        <v>#N/A</v>
      </c>
      <c r="E67" s="514" t="e">
        <f>VLOOKUP(B67,HAB.EXP.ESP.!$C$27:$N$226,12,FALSE)</f>
        <v>#N/A</v>
      </c>
      <c r="F67" s="385" t="e">
        <f>VLOOKUP(B67,PON.EXP.ESP.!$C$30:$J$229,6,FALSE)</f>
        <v>#N/A</v>
      </c>
      <c r="G67" s="383" t="e">
        <f>VLOOKUP(B67,PON.EXP.ESP.!$C$30:$J$229,8,FALSE)</f>
        <v>#N/A</v>
      </c>
      <c r="H67" s="383">
        <f>VLOOKUP(B67,VIN.PERS.DISC.!$B$19:$D$218,3,FALSE)</f>
        <v>0</v>
      </c>
      <c r="I67" s="384">
        <f>VLOOKUP(B67,'APOYO A IND. NAL.'!$B$19:$D$218,3,FALSE)</f>
        <v>0</v>
      </c>
      <c r="J67" s="384" t="e">
        <f t="shared" si="0"/>
        <v>#N/A</v>
      </c>
      <c r="K67" s="301"/>
    </row>
    <row r="68" spans="2:11" s="292" customFormat="1" ht="13.5" hidden="1">
      <c r="B68" s="298">
        <f>PROPONENTES!C67</f>
        <v>0</v>
      </c>
      <c r="C68" s="299">
        <v>49</v>
      </c>
      <c r="D68" s="300" t="e">
        <f>VLOOKUP(B68,PROPONENTES!$C$19:$E$218,2,FALSE)</f>
        <v>#N/A</v>
      </c>
      <c r="E68" s="514" t="e">
        <f>VLOOKUP(B68,HAB.EXP.ESP.!$C$27:$N$226,12,FALSE)</f>
        <v>#N/A</v>
      </c>
      <c r="F68" s="385" t="e">
        <f>VLOOKUP(B68,PON.EXP.ESP.!$C$30:$J$229,6,FALSE)</f>
        <v>#N/A</v>
      </c>
      <c r="G68" s="383" t="e">
        <f>VLOOKUP(B68,PON.EXP.ESP.!$C$30:$J$229,8,FALSE)</f>
        <v>#N/A</v>
      </c>
      <c r="H68" s="383">
        <f>VLOOKUP(B68,VIN.PERS.DISC.!$B$19:$D$218,3,FALSE)</f>
        <v>0</v>
      </c>
      <c r="I68" s="384">
        <f>VLOOKUP(B68,'APOYO A IND. NAL.'!$B$19:$D$218,3,FALSE)</f>
        <v>0</v>
      </c>
      <c r="J68" s="384" t="e">
        <f t="shared" si="0"/>
        <v>#N/A</v>
      </c>
      <c r="K68" s="301"/>
    </row>
    <row r="69" spans="2:11" s="292" customFormat="1" ht="13.5" hidden="1">
      <c r="B69" s="298">
        <f>PROPONENTES!C68</f>
        <v>0</v>
      </c>
      <c r="C69" s="299">
        <v>50</v>
      </c>
      <c r="D69" s="300" t="e">
        <f>VLOOKUP(B69,PROPONENTES!$C$19:$E$218,2,FALSE)</f>
        <v>#N/A</v>
      </c>
      <c r="E69" s="514" t="e">
        <f>VLOOKUP(B69,HAB.EXP.ESP.!$C$27:$N$226,12,FALSE)</f>
        <v>#N/A</v>
      </c>
      <c r="F69" s="385" t="e">
        <f>VLOOKUP(B69,PON.EXP.ESP.!$C$30:$J$229,6,FALSE)</f>
        <v>#N/A</v>
      </c>
      <c r="G69" s="383" t="e">
        <f>VLOOKUP(B69,PON.EXP.ESP.!$C$30:$J$229,8,FALSE)</f>
        <v>#N/A</v>
      </c>
      <c r="H69" s="383">
        <f>VLOOKUP(B69,VIN.PERS.DISC.!$B$19:$D$218,3,FALSE)</f>
        <v>0</v>
      </c>
      <c r="I69" s="384">
        <f>VLOOKUP(B69,'APOYO A IND. NAL.'!$B$19:$D$218,3,FALSE)</f>
        <v>0</v>
      </c>
      <c r="J69" s="384" t="e">
        <f t="shared" si="0"/>
        <v>#N/A</v>
      </c>
      <c r="K69" s="301"/>
    </row>
    <row r="70" spans="2:11" s="292" customFormat="1" ht="13.5" hidden="1">
      <c r="B70" s="298">
        <f>PROPONENTES!C69</f>
        <v>0</v>
      </c>
      <c r="C70" s="299">
        <v>51</v>
      </c>
      <c r="D70" s="300" t="e">
        <f>VLOOKUP(B70,PROPONENTES!$C$19:$E$218,2,FALSE)</f>
        <v>#N/A</v>
      </c>
      <c r="E70" s="514" t="e">
        <f>VLOOKUP(B70,HAB.EXP.ESP.!$C$27:$N$226,12,FALSE)</f>
        <v>#N/A</v>
      </c>
      <c r="F70" s="385" t="e">
        <f>VLOOKUP(B70,PON.EXP.ESP.!$C$30:$J$229,6,FALSE)</f>
        <v>#N/A</v>
      </c>
      <c r="G70" s="383" t="e">
        <f>VLOOKUP(B70,PON.EXP.ESP.!$C$30:$J$229,8,FALSE)</f>
        <v>#N/A</v>
      </c>
      <c r="H70" s="383">
        <f>VLOOKUP(B70,VIN.PERS.DISC.!$B$19:$D$218,3,FALSE)</f>
        <v>0</v>
      </c>
      <c r="I70" s="384">
        <f>VLOOKUP(B70,'APOYO A IND. NAL.'!$B$19:$D$218,3,FALSE)</f>
        <v>0</v>
      </c>
      <c r="J70" s="384" t="e">
        <f t="shared" si="0"/>
        <v>#N/A</v>
      </c>
      <c r="K70" s="301"/>
    </row>
    <row r="71" spans="2:11" s="292" customFormat="1" ht="13.5" hidden="1">
      <c r="B71" s="298">
        <f>PROPONENTES!C70</f>
        <v>0</v>
      </c>
      <c r="C71" s="299">
        <v>52</v>
      </c>
      <c r="D71" s="300" t="e">
        <f>VLOOKUP(B71,PROPONENTES!$C$19:$E$218,2,FALSE)</f>
        <v>#N/A</v>
      </c>
      <c r="E71" s="514" t="e">
        <f>VLOOKUP(B71,HAB.EXP.ESP.!$C$27:$N$226,12,FALSE)</f>
        <v>#N/A</v>
      </c>
      <c r="F71" s="385" t="e">
        <f>VLOOKUP(B71,PON.EXP.ESP.!$C$30:$J$229,6,FALSE)</f>
        <v>#N/A</v>
      </c>
      <c r="G71" s="383" t="e">
        <f>VLOOKUP(B71,PON.EXP.ESP.!$C$30:$J$229,8,FALSE)</f>
        <v>#N/A</v>
      </c>
      <c r="H71" s="383">
        <f>VLOOKUP(B71,VIN.PERS.DISC.!$B$19:$D$218,3,FALSE)</f>
        <v>0</v>
      </c>
      <c r="I71" s="384">
        <f>VLOOKUP(B71,'APOYO A IND. NAL.'!$B$19:$D$218,3,FALSE)</f>
        <v>0</v>
      </c>
      <c r="J71" s="384" t="e">
        <f t="shared" si="0"/>
        <v>#N/A</v>
      </c>
      <c r="K71" s="301"/>
    </row>
    <row r="72" spans="2:11" s="292" customFormat="1" ht="13.5" hidden="1">
      <c r="B72" s="298">
        <f>PROPONENTES!C71</f>
        <v>0</v>
      </c>
      <c r="C72" s="299">
        <v>53</v>
      </c>
      <c r="D72" s="300" t="e">
        <f>VLOOKUP(B72,PROPONENTES!$C$19:$E$218,2,FALSE)</f>
        <v>#N/A</v>
      </c>
      <c r="E72" s="514" t="e">
        <f>VLOOKUP(B72,HAB.EXP.ESP.!$C$27:$N$226,12,FALSE)</f>
        <v>#N/A</v>
      </c>
      <c r="F72" s="385" t="e">
        <f>VLOOKUP(B72,PON.EXP.ESP.!$C$30:$J$229,6,FALSE)</f>
        <v>#N/A</v>
      </c>
      <c r="G72" s="383" t="e">
        <f>VLOOKUP(B72,PON.EXP.ESP.!$C$30:$J$229,8,FALSE)</f>
        <v>#N/A</v>
      </c>
      <c r="H72" s="383">
        <f>VLOOKUP(B72,VIN.PERS.DISC.!$B$19:$D$218,3,FALSE)</f>
        <v>0</v>
      </c>
      <c r="I72" s="384">
        <f>VLOOKUP(B72,'APOYO A IND. NAL.'!$B$19:$D$218,3,FALSE)</f>
        <v>0</v>
      </c>
      <c r="J72" s="384" t="e">
        <f t="shared" si="0"/>
        <v>#N/A</v>
      </c>
      <c r="K72" s="301"/>
    </row>
    <row r="73" spans="2:11" s="292" customFormat="1" ht="13.5" hidden="1">
      <c r="B73" s="298">
        <f>PROPONENTES!C72</f>
        <v>0</v>
      </c>
      <c r="C73" s="299">
        <v>54</v>
      </c>
      <c r="D73" s="300" t="e">
        <f>VLOOKUP(B73,PROPONENTES!$C$19:$E$218,2,FALSE)</f>
        <v>#N/A</v>
      </c>
      <c r="E73" s="514" t="e">
        <f>VLOOKUP(B73,HAB.EXP.ESP.!$C$27:$N$226,12,FALSE)</f>
        <v>#N/A</v>
      </c>
      <c r="F73" s="385" t="e">
        <f>VLOOKUP(B73,PON.EXP.ESP.!$C$30:$J$229,6,FALSE)</f>
        <v>#N/A</v>
      </c>
      <c r="G73" s="383" t="e">
        <f>VLOOKUP(B73,PON.EXP.ESP.!$C$30:$J$229,8,FALSE)</f>
        <v>#N/A</v>
      </c>
      <c r="H73" s="383">
        <f>VLOOKUP(B73,VIN.PERS.DISC.!$B$19:$D$218,3,FALSE)</f>
        <v>0</v>
      </c>
      <c r="I73" s="384">
        <f>VLOOKUP(B73,'APOYO A IND. NAL.'!$B$19:$D$218,3,FALSE)</f>
        <v>0</v>
      </c>
      <c r="J73" s="384" t="e">
        <f t="shared" si="0"/>
        <v>#N/A</v>
      </c>
      <c r="K73" s="301"/>
    </row>
    <row r="74" spans="2:11" s="292" customFormat="1" ht="13.5" hidden="1">
      <c r="B74" s="298">
        <f>PROPONENTES!C73</f>
        <v>0</v>
      </c>
      <c r="C74" s="299">
        <v>55</v>
      </c>
      <c r="D74" s="300" t="e">
        <f>VLOOKUP(B74,PROPONENTES!$C$19:$E$218,2,FALSE)</f>
        <v>#N/A</v>
      </c>
      <c r="E74" s="514" t="e">
        <f>VLOOKUP(B74,HAB.EXP.ESP.!$C$27:$N$226,12,FALSE)</f>
        <v>#N/A</v>
      </c>
      <c r="F74" s="385" t="e">
        <f>VLOOKUP(B74,PON.EXP.ESP.!$C$30:$J$229,6,FALSE)</f>
        <v>#N/A</v>
      </c>
      <c r="G74" s="383" t="e">
        <f>VLOOKUP(B74,PON.EXP.ESP.!$C$30:$J$229,8,FALSE)</f>
        <v>#N/A</v>
      </c>
      <c r="H74" s="383">
        <f>VLOOKUP(B74,VIN.PERS.DISC.!$B$19:$D$218,3,FALSE)</f>
        <v>0</v>
      </c>
      <c r="I74" s="384">
        <f>VLOOKUP(B74,'APOYO A IND. NAL.'!$B$19:$D$218,3,FALSE)</f>
        <v>0</v>
      </c>
      <c r="J74" s="384" t="e">
        <f t="shared" si="0"/>
        <v>#N/A</v>
      </c>
      <c r="K74" s="301"/>
    </row>
    <row r="75" spans="2:11" s="292" customFormat="1" ht="13.5" hidden="1">
      <c r="B75" s="298">
        <f>PROPONENTES!C74</f>
        <v>0</v>
      </c>
      <c r="C75" s="299">
        <v>56</v>
      </c>
      <c r="D75" s="300" t="e">
        <f>VLOOKUP(B75,PROPONENTES!$C$19:$E$218,2,FALSE)</f>
        <v>#N/A</v>
      </c>
      <c r="E75" s="514" t="e">
        <f>VLOOKUP(B75,HAB.EXP.ESP.!$C$27:$N$226,12,FALSE)</f>
        <v>#N/A</v>
      </c>
      <c r="F75" s="385" t="e">
        <f>VLOOKUP(B75,PON.EXP.ESP.!$C$30:$J$229,6,FALSE)</f>
        <v>#N/A</v>
      </c>
      <c r="G75" s="383" t="e">
        <f>VLOOKUP(B75,PON.EXP.ESP.!$C$30:$J$229,8,FALSE)</f>
        <v>#N/A</v>
      </c>
      <c r="H75" s="383">
        <f>VLOOKUP(B75,VIN.PERS.DISC.!$B$19:$D$218,3,FALSE)</f>
        <v>0</v>
      </c>
      <c r="I75" s="384">
        <f>VLOOKUP(B75,'APOYO A IND. NAL.'!$B$19:$D$218,3,FALSE)</f>
        <v>0</v>
      </c>
      <c r="J75" s="384" t="e">
        <f t="shared" si="0"/>
        <v>#N/A</v>
      </c>
      <c r="K75" s="301"/>
    </row>
    <row r="76" spans="2:11" s="292" customFormat="1" ht="13.5" hidden="1">
      <c r="B76" s="298">
        <f>PROPONENTES!C75</f>
        <v>0</v>
      </c>
      <c r="C76" s="299">
        <v>57</v>
      </c>
      <c r="D76" s="300" t="e">
        <f>VLOOKUP(B76,PROPONENTES!$C$19:$E$218,2,FALSE)</f>
        <v>#N/A</v>
      </c>
      <c r="E76" s="514" t="e">
        <f>VLOOKUP(B76,HAB.EXP.ESP.!$C$27:$N$226,12,FALSE)</f>
        <v>#N/A</v>
      </c>
      <c r="F76" s="385" t="e">
        <f>VLOOKUP(B76,PON.EXP.ESP.!$C$30:$J$229,6,FALSE)</f>
        <v>#N/A</v>
      </c>
      <c r="G76" s="383" t="e">
        <f>VLOOKUP(B76,PON.EXP.ESP.!$C$30:$J$229,8,FALSE)</f>
        <v>#N/A</v>
      </c>
      <c r="H76" s="383">
        <f>VLOOKUP(B76,VIN.PERS.DISC.!$B$19:$D$218,3,FALSE)</f>
        <v>0</v>
      </c>
      <c r="I76" s="384">
        <f>VLOOKUP(B76,'APOYO A IND. NAL.'!$B$19:$D$218,3,FALSE)</f>
        <v>0</v>
      </c>
      <c r="J76" s="384" t="e">
        <f t="shared" si="0"/>
        <v>#N/A</v>
      </c>
      <c r="K76" s="301"/>
    </row>
    <row r="77" spans="2:11" s="292" customFormat="1" ht="13.5" hidden="1">
      <c r="B77" s="298">
        <f>PROPONENTES!C76</f>
        <v>0</v>
      </c>
      <c r="C77" s="299">
        <v>58</v>
      </c>
      <c r="D77" s="300" t="e">
        <f>VLOOKUP(B77,PROPONENTES!$C$19:$E$218,2,FALSE)</f>
        <v>#N/A</v>
      </c>
      <c r="E77" s="514" t="e">
        <f>VLOOKUP(B77,HAB.EXP.ESP.!$C$27:$N$226,12,FALSE)</f>
        <v>#N/A</v>
      </c>
      <c r="F77" s="385" t="e">
        <f>VLOOKUP(B77,PON.EXP.ESP.!$C$30:$J$229,6,FALSE)</f>
        <v>#N/A</v>
      </c>
      <c r="G77" s="383" t="e">
        <f>VLOOKUP(B77,PON.EXP.ESP.!$C$30:$J$229,8,FALSE)</f>
        <v>#N/A</v>
      </c>
      <c r="H77" s="383">
        <f>VLOOKUP(B77,VIN.PERS.DISC.!$B$19:$D$218,3,FALSE)</f>
        <v>0</v>
      </c>
      <c r="I77" s="384">
        <f>VLOOKUP(B77,'APOYO A IND. NAL.'!$B$19:$D$218,3,FALSE)</f>
        <v>0</v>
      </c>
      <c r="J77" s="384" t="e">
        <f t="shared" si="0"/>
        <v>#N/A</v>
      </c>
      <c r="K77" s="301"/>
    </row>
    <row r="78" spans="2:11" s="292" customFormat="1" ht="13.5" hidden="1">
      <c r="B78" s="298">
        <f>PROPONENTES!C77</f>
        <v>0</v>
      </c>
      <c r="C78" s="299">
        <v>59</v>
      </c>
      <c r="D78" s="300" t="e">
        <f>VLOOKUP(B78,PROPONENTES!$C$19:$E$218,2,FALSE)</f>
        <v>#N/A</v>
      </c>
      <c r="E78" s="514" t="e">
        <f>VLOOKUP(B78,HAB.EXP.ESP.!$C$27:$N$226,12,FALSE)</f>
        <v>#N/A</v>
      </c>
      <c r="F78" s="385" t="e">
        <f>VLOOKUP(B78,PON.EXP.ESP.!$C$30:$J$229,6,FALSE)</f>
        <v>#N/A</v>
      </c>
      <c r="G78" s="383" t="e">
        <f>VLOOKUP(B78,PON.EXP.ESP.!$C$30:$J$229,8,FALSE)</f>
        <v>#N/A</v>
      </c>
      <c r="H78" s="383">
        <f>VLOOKUP(B78,VIN.PERS.DISC.!$B$19:$D$218,3,FALSE)</f>
        <v>0</v>
      </c>
      <c r="I78" s="384">
        <f>VLOOKUP(B78,'APOYO A IND. NAL.'!$B$19:$D$218,3,FALSE)</f>
        <v>0</v>
      </c>
      <c r="J78" s="384" t="e">
        <f t="shared" si="0"/>
        <v>#N/A</v>
      </c>
      <c r="K78" s="301"/>
    </row>
    <row r="79" spans="2:11" s="292" customFormat="1" ht="13.5" hidden="1">
      <c r="B79" s="298">
        <f>PROPONENTES!C78</f>
        <v>0</v>
      </c>
      <c r="C79" s="299">
        <v>60</v>
      </c>
      <c r="D79" s="300" t="e">
        <f>VLOOKUP(B79,PROPONENTES!$C$19:$E$218,2,FALSE)</f>
        <v>#N/A</v>
      </c>
      <c r="E79" s="514" t="e">
        <f>VLOOKUP(B79,HAB.EXP.ESP.!$C$27:$N$226,12,FALSE)</f>
        <v>#N/A</v>
      </c>
      <c r="F79" s="385" t="e">
        <f>VLOOKUP(B79,PON.EXP.ESP.!$C$30:$J$229,6,FALSE)</f>
        <v>#N/A</v>
      </c>
      <c r="G79" s="383" t="e">
        <f>VLOOKUP(B79,PON.EXP.ESP.!$C$30:$J$229,8,FALSE)</f>
        <v>#N/A</v>
      </c>
      <c r="H79" s="383">
        <f>VLOOKUP(B79,VIN.PERS.DISC.!$B$19:$D$218,3,FALSE)</f>
        <v>0</v>
      </c>
      <c r="I79" s="384">
        <f>VLOOKUP(B79,'APOYO A IND. NAL.'!$B$19:$D$218,3,FALSE)</f>
        <v>0</v>
      </c>
      <c r="J79" s="384" t="e">
        <f t="shared" si="0"/>
        <v>#N/A</v>
      </c>
      <c r="K79" s="301"/>
    </row>
    <row r="80" spans="2:11" s="292" customFormat="1" ht="13.5" hidden="1">
      <c r="B80" s="298">
        <f>PROPONENTES!C79</f>
        <v>0</v>
      </c>
      <c r="C80" s="299">
        <v>61</v>
      </c>
      <c r="D80" s="300" t="e">
        <f>VLOOKUP(B80,PROPONENTES!$C$19:$E$218,2,FALSE)</f>
        <v>#N/A</v>
      </c>
      <c r="E80" s="514" t="e">
        <f>VLOOKUP(B80,HAB.EXP.ESP.!$C$27:$N$226,12,FALSE)</f>
        <v>#N/A</v>
      </c>
      <c r="F80" s="385" t="e">
        <f>VLOOKUP(B80,PON.EXP.ESP.!$C$30:$J$229,6,FALSE)</f>
        <v>#N/A</v>
      </c>
      <c r="G80" s="383" t="e">
        <f>VLOOKUP(B80,PON.EXP.ESP.!$C$30:$J$229,8,FALSE)</f>
        <v>#N/A</v>
      </c>
      <c r="H80" s="383">
        <f>VLOOKUP(B80,VIN.PERS.DISC.!$B$19:$D$218,3,FALSE)</f>
        <v>0</v>
      </c>
      <c r="I80" s="384">
        <f>VLOOKUP(B80,'APOYO A IND. NAL.'!$B$19:$D$218,3,FALSE)</f>
        <v>0</v>
      </c>
      <c r="J80" s="384" t="e">
        <f t="shared" si="0"/>
        <v>#N/A</v>
      </c>
      <c r="K80" s="301"/>
    </row>
    <row r="81" spans="2:11" s="292" customFormat="1" ht="13.5" hidden="1">
      <c r="B81" s="298">
        <f>PROPONENTES!C80</f>
        <v>0</v>
      </c>
      <c r="C81" s="299">
        <v>62</v>
      </c>
      <c r="D81" s="300" t="e">
        <f>VLOOKUP(B81,PROPONENTES!$C$19:$E$218,2,FALSE)</f>
        <v>#N/A</v>
      </c>
      <c r="E81" s="514" t="e">
        <f>VLOOKUP(B81,HAB.EXP.ESP.!$C$27:$N$226,12,FALSE)</f>
        <v>#N/A</v>
      </c>
      <c r="F81" s="385" t="e">
        <f>VLOOKUP(B81,PON.EXP.ESP.!$C$30:$J$229,6,FALSE)</f>
        <v>#N/A</v>
      </c>
      <c r="G81" s="383" t="e">
        <f>VLOOKUP(B81,PON.EXP.ESP.!$C$30:$J$229,8,FALSE)</f>
        <v>#N/A</v>
      </c>
      <c r="H81" s="383">
        <f>VLOOKUP(B81,VIN.PERS.DISC.!$B$19:$D$218,3,FALSE)</f>
        <v>0</v>
      </c>
      <c r="I81" s="384">
        <f>VLOOKUP(B81,'APOYO A IND. NAL.'!$B$19:$D$218,3,FALSE)</f>
        <v>0</v>
      </c>
      <c r="J81" s="384" t="e">
        <f t="shared" si="0"/>
        <v>#N/A</v>
      </c>
      <c r="K81" s="301"/>
    </row>
    <row r="82" spans="2:11" s="292" customFormat="1" ht="13.5" hidden="1">
      <c r="B82" s="298">
        <f>PROPONENTES!C81</f>
        <v>0</v>
      </c>
      <c r="C82" s="299">
        <v>63</v>
      </c>
      <c r="D82" s="300" t="e">
        <f>VLOOKUP(B82,PROPONENTES!$C$19:$E$218,2,FALSE)</f>
        <v>#N/A</v>
      </c>
      <c r="E82" s="514" t="e">
        <f>VLOOKUP(B82,HAB.EXP.ESP.!$C$27:$N$226,12,FALSE)</f>
        <v>#N/A</v>
      </c>
      <c r="F82" s="385" t="e">
        <f>VLOOKUP(B82,PON.EXP.ESP.!$C$30:$J$229,6,FALSE)</f>
        <v>#N/A</v>
      </c>
      <c r="G82" s="383" t="e">
        <f>VLOOKUP(B82,PON.EXP.ESP.!$C$30:$J$229,8,FALSE)</f>
        <v>#N/A</v>
      </c>
      <c r="H82" s="383">
        <f>VLOOKUP(B82,VIN.PERS.DISC.!$B$19:$D$218,3,FALSE)</f>
        <v>0</v>
      </c>
      <c r="I82" s="384">
        <f>VLOOKUP(B82,'APOYO A IND. NAL.'!$B$19:$D$218,3,FALSE)</f>
        <v>0</v>
      </c>
      <c r="J82" s="384" t="e">
        <f t="shared" si="0"/>
        <v>#N/A</v>
      </c>
      <c r="K82" s="301"/>
    </row>
    <row r="83" spans="2:11" s="292" customFormat="1" ht="13.5" hidden="1">
      <c r="B83" s="298">
        <f>PROPONENTES!C82</f>
        <v>0</v>
      </c>
      <c r="C83" s="299">
        <v>64</v>
      </c>
      <c r="D83" s="300" t="e">
        <f>VLOOKUP(B83,PROPONENTES!$C$19:$E$218,2,FALSE)</f>
        <v>#N/A</v>
      </c>
      <c r="E83" s="514" t="e">
        <f>VLOOKUP(B83,HAB.EXP.ESP.!$C$27:$N$226,12,FALSE)</f>
        <v>#N/A</v>
      </c>
      <c r="F83" s="385" t="e">
        <f>VLOOKUP(B83,PON.EXP.ESP.!$C$30:$J$229,6,FALSE)</f>
        <v>#N/A</v>
      </c>
      <c r="G83" s="383" t="e">
        <f>VLOOKUP(B83,PON.EXP.ESP.!$C$30:$J$229,8,FALSE)</f>
        <v>#N/A</v>
      </c>
      <c r="H83" s="383">
        <f>VLOOKUP(B83,VIN.PERS.DISC.!$B$19:$D$218,3,FALSE)</f>
        <v>0</v>
      </c>
      <c r="I83" s="384">
        <f>VLOOKUP(B83,'APOYO A IND. NAL.'!$B$19:$D$218,3,FALSE)</f>
        <v>0</v>
      </c>
      <c r="J83" s="384" t="e">
        <f t="shared" si="0"/>
        <v>#N/A</v>
      </c>
      <c r="K83" s="301"/>
    </row>
    <row r="84" spans="2:11" s="292" customFormat="1" ht="13.5" hidden="1">
      <c r="B84" s="298">
        <f>PROPONENTES!C83</f>
        <v>0</v>
      </c>
      <c r="C84" s="299">
        <v>65</v>
      </c>
      <c r="D84" s="300" t="e">
        <f>VLOOKUP(B84,PROPONENTES!$C$19:$E$218,2,FALSE)</f>
        <v>#N/A</v>
      </c>
      <c r="E84" s="514" t="e">
        <f>VLOOKUP(B84,HAB.EXP.ESP.!$C$27:$N$226,12,FALSE)</f>
        <v>#N/A</v>
      </c>
      <c r="F84" s="385" t="e">
        <f>VLOOKUP(B84,PON.EXP.ESP.!$C$30:$J$229,6,FALSE)</f>
        <v>#N/A</v>
      </c>
      <c r="G84" s="383" t="e">
        <f>VLOOKUP(B84,PON.EXP.ESP.!$C$30:$J$229,8,FALSE)</f>
        <v>#N/A</v>
      </c>
      <c r="H84" s="383">
        <f>VLOOKUP(B84,VIN.PERS.DISC.!$B$19:$D$218,3,FALSE)</f>
        <v>0</v>
      </c>
      <c r="I84" s="384">
        <f>VLOOKUP(B84,'APOYO A IND. NAL.'!$B$19:$D$218,3,FALSE)</f>
        <v>0</v>
      </c>
      <c r="J84" s="384" t="e">
        <f t="shared" ref="J84:J147" si="1">SUM(F84:I84)</f>
        <v>#N/A</v>
      </c>
      <c r="K84" s="301"/>
    </row>
    <row r="85" spans="2:11" s="292" customFormat="1" ht="13.5" hidden="1">
      <c r="B85" s="298">
        <f>PROPONENTES!C84</f>
        <v>0</v>
      </c>
      <c r="C85" s="299">
        <v>66</v>
      </c>
      <c r="D85" s="300" t="e">
        <f>VLOOKUP(B85,PROPONENTES!$C$19:$E$218,2,FALSE)</f>
        <v>#N/A</v>
      </c>
      <c r="E85" s="514" t="e">
        <f>VLOOKUP(B85,HAB.EXP.ESP.!$C$27:$N$226,12,FALSE)</f>
        <v>#N/A</v>
      </c>
      <c r="F85" s="385" t="e">
        <f>VLOOKUP(B85,PON.EXP.ESP.!$C$30:$J$229,6,FALSE)</f>
        <v>#N/A</v>
      </c>
      <c r="G85" s="383" t="e">
        <f>VLOOKUP(B85,PON.EXP.ESP.!$C$30:$J$229,8,FALSE)</f>
        <v>#N/A</v>
      </c>
      <c r="H85" s="383">
        <f>VLOOKUP(B85,VIN.PERS.DISC.!$B$19:$D$218,3,FALSE)</f>
        <v>0</v>
      </c>
      <c r="I85" s="384">
        <f>VLOOKUP(B85,'APOYO A IND. NAL.'!$B$19:$D$218,3,FALSE)</f>
        <v>0</v>
      </c>
      <c r="J85" s="384" t="e">
        <f t="shared" si="1"/>
        <v>#N/A</v>
      </c>
      <c r="K85" s="301"/>
    </row>
    <row r="86" spans="2:11" s="292" customFormat="1" ht="13.5" hidden="1">
      <c r="B86" s="298">
        <f>PROPONENTES!C85</f>
        <v>0</v>
      </c>
      <c r="C86" s="299">
        <v>67</v>
      </c>
      <c r="D86" s="300" t="e">
        <f>VLOOKUP(B86,PROPONENTES!$C$19:$E$218,2,FALSE)</f>
        <v>#N/A</v>
      </c>
      <c r="E86" s="514" t="e">
        <f>VLOOKUP(B86,HAB.EXP.ESP.!$C$27:$N$226,12,FALSE)</f>
        <v>#N/A</v>
      </c>
      <c r="F86" s="385" t="e">
        <f>VLOOKUP(B86,PON.EXP.ESP.!$C$30:$J$229,6,FALSE)</f>
        <v>#N/A</v>
      </c>
      <c r="G86" s="383" t="e">
        <f>VLOOKUP(B86,PON.EXP.ESP.!$C$30:$J$229,8,FALSE)</f>
        <v>#N/A</v>
      </c>
      <c r="H86" s="383">
        <f>VLOOKUP(B86,VIN.PERS.DISC.!$B$19:$D$218,3,FALSE)</f>
        <v>0</v>
      </c>
      <c r="I86" s="384">
        <f>VLOOKUP(B86,'APOYO A IND. NAL.'!$B$19:$D$218,3,FALSE)</f>
        <v>0</v>
      </c>
      <c r="J86" s="384" t="e">
        <f t="shared" si="1"/>
        <v>#N/A</v>
      </c>
      <c r="K86" s="301"/>
    </row>
    <row r="87" spans="2:11" s="292" customFormat="1" ht="13.5" hidden="1">
      <c r="B87" s="298">
        <f>PROPONENTES!C86</f>
        <v>0</v>
      </c>
      <c r="C87" s="299">
        <v>68</v>
      </c>
      <c r="D87" s="300" t="e">
        <f>VLOOKUP(B87,PROPONENTES!$C$19:$E$218,2,FALSE)</f>
        <v>#N/A</v>
      </c>
      <c r="E87" s="514" t="e">
        <f>VLOOKUP(B87,HAB.EXP.ESP.!$C$27:$N$226,12,FALSE)</f>
        <v>#N/A</v>
      </c>
      <c r="F87" s="385" t="e">
        <f>VLOOKUP(B87,PON.EXP.ESP.!$C$30:$J$229,6,FALSE)</f>
        <v>#N/A</v>
      </c>
      <c r="G87" s="383" t="e">
        <f>VLOOKUP(B87,PON.EXP.ESP.!$C$30:$J$229,8,FALSE)</f>
        <v>#N/A</v>
      </c>
      <c r="H87" s="383">
        <f>VLOOKUP(B87,VIN.PERS.DISC.!$B$19:$D$218,3,FALSE)</f>
        <v>0</v>
      </c>
      <c r="I87" s="384">
        <f>VLOOKUP(B87,'APOYO A IND. NAL.'!$B$19:$D$218,3,FALSE)</f>
        <v>0</v>
      </c>
      <c r="J87" s="384" t="e">
        <f t="shared" si="1"/>
        <v>#N/A</v>
      </c>
      <c r="K87" s="301"/>
    </row>
    <row r="88" spans="2:11" s="292" customFormat="1" ht="13.5" hidden="1">
      <c r="B88" s="298">
        <f>PROPONENTES!C87</f>
        <v>0</v>
      </c>
      <c r="C88" s="299">
        <v>69</v>
      </c>
      <c r="D88" s="300" t="e">
        <f>VLOOKUP(B88,PROPONENTES!$C$19:$E$218,2,FALSE)</f>
        <v>#N/A</v>
      </c>
      <c r="E88" s="514" t="e">
        <f>VLOOKUP(B88,HAB.EXP.ESP.!$C$27:$N$226,12,FALSE)</f>
        <v>#N/A</v>
      </c>
      <c r="F88" s="385" t="e">
        <f>VLOOKUP(B88,PON.EXP.ESP.!$C$30:$J$229,6,FALSE)</f>
        <v>#N/A</v>
      </c>
      <c r="G88" s="383" t="e">
        <f>VLOOKUP(B88,PON.EXP.ESP.!$C$30:$J$229,8,FALSE)</f>
        <v>#N/A</v>
      </c>
      <c r="H88" s="383">
        <f>VLOOKUP(B88,VIN.PERS.DISC.!$B$19:$D$218,3,FALSE)</f>
        <v>0</v>
      </c>
      <c r="I88" s="384">
        <f>VLOOKUP(B88,'APOYO A IND. NAL.'!$B$19:$D$218,3,FALSE)</f>
        <v>0</v>
      </c>
      <c r="J88" s="384" t="e">
        <f t="shared" si="1"/>
        <v>#N/A</v>
      </c>
      <c r="K88" s="301"/>
    </row>
    <row r="89" spans="2:11" s="292" customFormat="1" ht="13.5" hidden="1">
      <c r="B89" s="298">
        <f>PROPONENTES!C88</f>
        <v>0</v>
      </c>
      <c r="C89" s="299">
        <v>70</v>
      </c>
      <c r="D89" s="300" t="e">
        <f>VLOOKUP(B89,PROPONENTES!$C$19:$E$218,2,FALSE)</f>
        <v>#N/A</v>
      </c>
      <c r="E89" s="514" t="e">
        <f>VLOOKUP(B89,HAB.EXP.ESP.!$C$27:$N$226,12,FALSE)</f>
        <v>#N/A</v>
      </c>
      <c r="F89" s="385" t="e">
        <f>VLOOKUP(B89,PON.EXP.ESP.!$C$30:$J$229,6,FALSE)</f>
        <v>#N/A</v>
      </c>
      <c r="G89" s="383" t="e">
        <f>VLOOKUP(B89,PON.EXP.ESP.!$C$30:$J$229,8,FALSE)</f>
        <v>#N/A</v>
      </c>
      <c r="H89" s="383">
        <f>VLOOKUP(B89,VIN.PERS.DISC.!$B$19:$D$218,3,FALSE)</f>
        <v>0</v>
      </c>
      <c r="I89" s="384">
        <f>VLOOKUP(B89,'APOYO A IND. NAL.'!$B$19:$D$218,3,FALSE)</f>
        <v>0</v>
      </c>
      <c r="J89" s="384" t="e">
        <f t="shared" si="1"/>
        <v>#N/A</v>
      </c>
      <c r="K89" s="301"/>
    </row>
    <row r="90" spans="2:11" s="292" customFormat="1" ht="13.5" hidden="1">
      <c r="B90" s="298">
        <f>PROPONENTES!C89</f>
        <v>0</v>
      </c>
      <c r="C90" s="299">
        <v>71</v>
      </c>
      <c r="D90" s="300" t="e">
        <f>VLOOKUP(B90,PROPONENTES!$C$19:$E$218,2,FALSE)</f>
        <v>#N/A</v>
      </c>
      <c r="E90" s="514" t="e">
        <f>VLOOKUP(B90,HAB.EXP.ESP.!$C$27:$N$226,12,FALSE)</f>
        <v>#N/A</v>
      </c>
      <c r="F90" s="385" t="e">
        <f>VLOOKUP(B90,PON.EXP.ESP.!$C$30:$J$229,6,FALSE)</f>
        <v>#N/A</v>
      </c>
      <c r="G90" s="383" t="e">
        <f>VLOOKUP(B90,PON.EXP.ESP.!$C$30:$J$229,8,FALSE)</f>
        <v>#N/A</v>
      </c>
      <c r="H90" s="383">
        <f>VLOOKUP(B90,VIN.PERS.DISC.!$B$19:$D$218,3,FALSE)</f>
        <v>0</v>
      </c>
      <c r="I90" s="384">
        <f>VLOOKUP(B90,'APOYO A IND. NAL.'!$B$19:$D$218,3,FALSE)</f>
        <v>0</v>
      </c>
      <c r="J90" s="384" t="e">
        <f t="shared" si="1"/>
        <v>#N/A</v>
      </c>
      <c r="K90" s="301"/>
    </row>
    <row r="91" spans="2:11" s="292" customFormat="1" ht="13.5" hidden="1">
      <c r="B91" s="298">
        <f>PROPONENTES!C90</f>
        <v>0</v>
      </c>
      <c r="C91" s="299">
        <v>72</v>
      </c>
      <c r="D91" s="300" t="e">
        <f>VLOOKUP(B91,PROPONENTES!$C$19:$E$218,2,FALSE)</f>
        <v>#N/A</v>
      </c>
      <c r="E91" s="514" t="e">
        <f>VLOOKUP(B91,HAB.EXP.ESP.!$C$27:$N$226,12,FALSE)</f>
        <v>#N/A</v>
      </c>
      <c r="F91" s="385" t="e">
        <f>VLOOKUP(B91,PON.EXP.ESP.!$C$30:$J$229,6,FALSE)</f>
        <v>#N/A</v>
      </c>
      <c r="G91" s="383" t="e">
        <f>VLOOKUP(B91,PON.EXP.ESP.!$C$30:$J$229,8,FALSE)</f>
        <v>#N/A</v>
      </c>
      <c r="H91" s="383">
        <f>VLOOKUP(B91,VIN.PERS.DISC.!$B$19:$D$218,3,FALSE)</f>
        <v>0</v>
      </c>
      <c r="I91" s="384">
        <f>VLOOKUP(B91,'APOYO A IND. NAL.'!$B$19:$D$218,3,FALSE)</f>
        <v>0</v>
      </c>
      <c r="J91" s="384" t="e">
        <f t="shared" si="1"/>
        <v>#N/A</v>
      </c>
      <c r="K91" s="301"/>
    </row>
    <row r="92" spans="2:11" s="292" customFormat="1" ht="13.5" hidden="1">
      <c r="B92" s="298">
        <f>PROPONENTES!C91</f>
        <v>0</v>
      </c>
      <c r="C92" s="299">
        <v>73</v>
      </c>
      <c r="D92" s="300" t="e">
        <f>VLOOKUP(B92,PROPONENTES!$C$19:$E$218,2,FALSE)</f>
        <v>#N/A</v>
      </c>
      <c r="E92" s="514" t="e">
        <f>VLOOKUP(B92,HAB.EXP.ESP.!$C$27:$N$226,12,FALSE)</f>
        <v>#N/A</v>
      </c>
      <c r="F92" s="385" t="e">
        <f>VLOOKUP(B92,PON.EXP.ESP.!$C$30:$J$229,6,FALSE)</f>
        <v>#N/A</v>
      </c>
      <c r="G92" s="383" t="e">
        <f>VLOOKUP(B92,PON.EXP.ESP.!$C$30:$J$229,8,FALSE)</f>
        <v>#N/A</v>
      </c>
      <c r="H92" s="383">
        <f>VLOOKUP(B92,VIN.PERS.DISC.!$B$19:$D$218,3,FALSE)</f>
        <v>0</v>
      </c>
      <c r="I92" s="384">
        <f>VLOOKUP(B92,'APOYO A IND. NAL.'!$B$19:$D$218,3,FALSE)</f>
        <v>0</v>
      </c>
      <c r="J92" s="384" t="e">
        <f t="shared" si="1"/>
        <v>#N/A</v>
      </c>
      <c r="K92" s="301"/>
    </row>
    <row r="93" spans="2:11" s="292" customFormat="1" ht="13.5" hidden="1">
      <c r="B93" s="298">
        <f>PROPONENTES!C92</f>
        <v>0</v>
      </c>
      <c r="C93" s="299">
        <v>74</v>
      </c>
      <c r="D93" s="300" t="e">
        <f>VLOOKUP(B93,PROPONENTES!$C$19:$E$218,2,FALSE)</f>
        <v>#N/A</v>
      </c>
      <c r="E93" s="514" t="e">
        <f>VLOOKUP(B93,HAB.EXP.ESP.!$C$27:$N$226,12,FALSE)</f>
        <v>#N/A</v>
      </c>
      <c r="F93" s="385" t="e">
        <f>VLOOKUP(B93,PON.EXP.ESP.!$C$30:$J$229,6,FALSE)</f>
        <v>#N/A</v>
      </c>
      <c r="G93" s="383" t="e">
        <f>VLOOKUP(B93,PON.EXP.ESP.!$C$30:$J$229,8,FALSE)</f>
        <v>#N/A</v>
      </c>
      <c r="H93" s="383">
        <f>VLOOKUP(B93,VIN.PERS.DISC.!$B$19:$D$218,3,FALSE)</f>
        <v>0</v>
      </c>
      <c r="I93" s="384">
        <f>VLOOKUP(B93,'APOYO A IND. NAL.'!$B$19:$D$218,3,FALSE)</f>
        <v>0</v>
      </c>
      <c r="J93" s="384" t="e">
        <f t="shared" si="1"/>
        <v>#N/A</v>
      </c>
      <c r="K93" s="301"/>
    </row>
    <row r="94" spans="2:11" s="292" customFormat="1" ht="13.5" hidden="1">
      <c r="B94" s="298">
        <f>PROPONENTES!C93</f>
        <v>0</v>
      </c>
      <c r="C94" s="299">
        <v>75</v>
      </c>
      <c r="D94" s="300" t="e">
        <f>VLOOKUP(B94,PROPONENTES!$C$19:$E$218,2,FALSE)</f>
        <v>#N/A</v>
      </c>
      <c r="E94" s="514" t="e">
        <f>VLOOKUP(B94,HAB.EXP.ESP.!$C$27:$N$226,12,FALSE)</f>
        <v>#N/A</v>
      </c>
      <c r="F94" s="385" t="e">
        <f>VLOOKUP(B94,PON.EXP.ESP.!$C$30:$J$229,6,FALSE)</f>
        <v>#N/A</v>
      </c>
      <c r="G94" s="383" t="e">
        <f>VLOOKUP(B94,PON.EXP.ESP.!$C$30:$J$229,8,FALSE)</f>
        <v>#N/A</v>
      </c>
      <c r="H94" s="383">
        <f>VLOOKUP(B94,VIN.PERS.DISC.!$B$19:$D$218,3,FALSE)</f>
        <v>0</v>
      </c>
      <c r="I94" s="384">
        <f>VLOOKUP(B94,'APOYO A IND. NAL.'!$B$19:$D$218,3,FALSE)</f>
        <v>0</v>
      </c>
      <c r="J94" s="384" t="e">
        <f t="shared" si="1"/>
        <v>#N/A</v>
      </c>
      <c r="K94" s="301"/>
    </row>
    <row r="95" spans="2:11" s="292" customFormat="1" ht="13.5" hidden="1">
      <c r="B95" s="298">
        <f>PROPONENTES!C94</f>
        <v>0</v>
      </c>
      <c r="C95" s="299">
        <v>76</v>
      </c>
      <c r="D95" s="300" t="e">
        <f>VLOOKUP(B95,PROPONENTES!$C$19:$E$218,2,FALSE)</f>
        <v>#N/A</v>
      </c>
      <c r="E95" s="514" t="e">
        <f>VLOOKUP(B95,HAB.EXP.ESP.!$C$27:$N$226,12,FALSE)</f>
        <v>#N/A</v>
      </c>
      <c r="F95" s="385" t="e">
        <f>VLOOKUP(B95,PON.EXP.ESP.!$C$30:$J$229,6,FALSE)</f>
        <v>#N/A</v>
      </c>
      <c r="G95" s="383" t="e">
        <f>VLOOKUP(B95,PON.EXP.ESP.!$C$30:$J$229,8,FALSE)</f>
        <v>#N/A</v>
      </c>
      <c r="H95" s="383">
        <f>VLOOKUP(B95,VIN.PERS.DISC.!$B$19:$D$218,3,FALSE)</f>
        <v>0</v>
      </c>
      <c r="I95" s="384">
        <f>VLOOKUP(B95,'APOYO A IND. NAL.'!$B$19:$D$218,3,FALSE)</f>
        <v>0</v>
      </c>
      <c r="J95" s="384" t="e">
        <f t="shared" si="1"/>
        <v>#N/A</v>
      </c>
      <c r="K95" s="301"/>
    </row>
    <row r="96" spans="2:11" s="292" customFormat="1" ht="13.5" hidden="1">
      <c r="B96" s="298">
        <f>PROPONENTES!C95</f>
        <v>0</v>
      </c>
      <c r="C96" s="299">
        <v>77</v>
      </c>
      <c r="D96" s="300" t="e">
        <f>VLOOKUP(B96,PROPONENTES!$C$19:$E$218,2,FALSE)</f>
        <v>#N/A</v>
      </c>
      <c r="E96" s="514" t="e">
        <f>VLOOKUP(B96,HAB.EXP.ESP.!$C$27:$N$226,12,FALSE)</f>
        <v>#N/A</v>
      </c>
      <c r="F96" s="385" t="e">
        <f>VLOOKUP(B96,PON.EXP.ESP.!$C$30:$J$229,6,FALSE)</f>
        <v>#N/A</v>
      </c>
      <c r="G96" s="383" t="e">
        <f>VLOOKUP(B96,PON.EXP.ESP.!$C$30:$J$229,8,FALSE)</f>
        <v>#N/A</v>
      </c>
      <c r="H96" s="383">
        <f>VLOOKUP(B96,VIN.PERS.DISC.!$B$19:$D$218,3,FALSE)</f>
        <v>0</v>
      </c>
      <c r="I96" s="384">
        <f>VLOOKUP(B96,'APOYO A IND. NAL.'!$B$19:$D$218,3,FALSE)</f>
        <v>0</v>
      </c>
      <c r="J96" s="384" t="e">
        <f t="shared" si="1"/>
        <v>#N/A</v>
      </c>
      <c r="K96" s="301"/>
    </row>
    <row r="97" spans="2:11" s="292" customFormat="1" ht="13.5" hidden="1">
      <c r="B97" s="298">
        <f>PROPONENTES!C96</f>
        <v>0</v>
      </c>
      <c r="C97" s="299">
        <v>78</v>
      </c>
      <c r="D97" s="300" t="e">
        <f>VLOOKUP(B97,PROPONENTES!$C$19:$E$218,2,FALSE)</f>
        <v>#N/A</v>
      </c>
      <c r="E97" s="514" t="e">
        <f>VLOOKUP(B97,HAB.EXP.ESP.!$C$27:$N$226,12,FALSE)</f>
        <v>#N/A</v>
      </c>
      <c r="F97" s="385" t="e">
        <f>VLOOKUP(B97,PON.EXP.ESP.!$C$30:$J$229,6,FALSE)</f>
        <v>#N/A</v>
      </c>
      <c r="G97" s="383" t="e">
        <f>VLOOKUP(B97,PON.EXP.ESP.!$C$30:$J$229,8,FALSE)</f>
        <v>#N/A</v>
      </c>
      <c r="H97" s="383">
        <f>VLOOKUP(B97,VIN.PERS.DISC.!$B$19:$D$218,3,FALSE)</f>
        <v>0</v>
      </c>
      <c r="I97" s="384">
        <f>VLOOKUP(B97,'APOYO A IND. NAL.'!$B$19:$D$218,3,FALSE)</f>
        <v>0</v>
      </c>
      <c r="J97" s="384" t="e">
        <f t="shared" si="1"/>
        <v>#N/A</v>
      </c>
      <c r="K97" s="301"/>
    </row>
    <row r="98" spans="2:11" s="292" customFormat="1" ht="13.5" hidden="1">
      <c r="B98" s="298">
        <f>PROPONENTES!C97</f>
        <v>0</v>
      </c>
      <c r="C98" s="299">
        <v>79</v>
      </c>
      <c r="D98" s="300" t="e">
        <f>VLOOKUP(B98,PROPONENTES!$C$19:$E$218,2,FALSE)</f>
        <v>#N/A</v>
      </c>
      <c r="E98" s="514" t="e">
        <f>VLOOKUP(B98,HAB.EXP.ESP.!$C$27:$N$226,12,FALSE)</f>
        <v>#N/A</v>
      </c>
      <c r="F98" s="385" t="e">
        <f>VLOOKUP(B98,PON.EXP.ESP.!$C$30:$J$229,6,FALSE)</f>
        <v>#N/A</v>
      </c>
      <c r="G98" s="383" t="e">
        <f>VLOOKUP(B98,PON.EXP.ESP.!$C$30:$J$229,8,FALSE)</f>
        <v>#N/A</v>
      </c>
      <c r="H98" s="383">
        <f>VLOOKUP(B98,VIN.PERS.DISC.!$B$19:$D$218,3,FALSE)</f>
        <v>0</v>
      </c>
      <c r="I98" s="384">
        <f>VLOOKUP(B98,'APOYO A IND. NAL.'!$B$19:$D$218,3,FALSE)</f>
        <v>0</v>
      </c>
      <c r="J98" s="384" t="e">
        <f t="shared" si="1"/>
        <v>#N/A</v>
      </c>
      <c r="K98" s="301"/>
    </row>
    <row r="99" spans="2:11" s="292" customFormat="1" ht="13.5" hidden="1">
      <c r="B99" s="298">
        <f>PROPONENTES!C98</f>
        <v>0</v>
      </c>
      <c r="C99" s="299">
        <v>80</v>
      </c>
      <c r="D99" s="300" t="e">
        <f>VLOOKUP(B99,PROPONENTES!$C$19:$E$218,2,FALSE)</f>
        <v>#N/A</v>
      </c>
      <c r="E99" s="514" t="e">
        <f>VLOOKUP(B99,HAB.EXP.ESP.!$C$27:$N$226,12,FALSE)</f>
        <v>#N/A</v>
      </c>
      <c r="F99" s="385" t="e">
        <f>VLOOKUP(B99,PON.EXP.ESP.!$C$30:$J$229,6,FALSE)</f>
        <v>#N/A</v>
      </c>
      <c r="G99" s="383" t="e">
        <f>VLOOKUP(B99,PON.EXP.ESP.!$C$30:$J$229,8,FALSE)</f>
        <v>#N/A</v>
      </c>
      <c r="H99" s="383">
        <f>VLOOKUP(B99,VIN.PERS.DISC.!$B$19:$D$218,3,FALSE)</f>
        <v>0</v>
      </c>
      <c r="I99" s="384">
        <f>VLOOKUP(B99,'APOYO A IND. NAL.'!$B$19:$D$218,3,FALSE)</f>
        <v>0</v>
      </c>
      <c r="J99" s="384" t="e">
        <f t="shared" si="1"/>
        <v>#N/A</v>
      </c>
      <c r="K99" s="301"/>
    </row>
    <row r="100" spans="2:11" s="292" customFormat="1" ht="13.5" hidden="1">
      <c r="B100" s="298">
        <f>PROPONENTES!C99</f>
        <v>0</v>
      </c>
      <c r="C100" s="299">
        <v>81</v>
      </c>
      <c r="D100" s="300" t="e">
        <f>VLOOKUP(B100,PROPONENTES!$C$19:$E$218,2,FALSE)</f>
        <v>#N/A</v>
      </c>
      <c r="E100" s="514" t="e">
        <f>VLOOKUP(B100,HAB.EXP.ESP.!$C$27:$N$226,12,FALSE)</f>
        <v>#N/A</v>
      </c>
      <c r="F100" s="385" t="e">
        <f>VLOOKUP(B100,PON.EXP.ESP.!$C$30:$J$229,6,FALSE)</f>
        <v>#N/A</v>
      </c>
      <c r="G100" s="383" t="e">
        <f>VLOOKUP(B100,PON.EXP.ESP.!$C$30:$J$229,8,FALSE)</f>
        <v>#N/A</v>
      </c>
      <c r="H100" s="383">
        <f>VLOOKUP(B100,VIN.PERS.DISC.!$B$19:$D$218,3,FALSE)</f>
        <v>0</v>
      </c>
      <c r="I100" s="384">
        <f>VLOOKUP(B100,'APOYO A IND. NAL.'!$B$19:$D$218,3,FALSE)</f>
        <v>0</v>
      </c>
      <c r="J100" s="384" t="e">
        <f t="shared" si="1"/>
        <v>#N/A</v>
      </c>
      <c r="K100" s="301"/>
    </row>
    <row r="101" spans="2:11" s="292" customFormat="1" ht="13.5" hidden="1">
      <c r="B101" s="298">
        <f>PROPONENTES!C100</f>
        <v>0</v>
      </c>
      <c r="C101" s="299">
        <v>82</v>
      </c>
      <c r="D101" s="300" t="e">
        <f>VLOOKUP(B101,PROPONENTES!$C$19:$E$218,2,FALSE)</f>
        <v>#N/A</v>
      </c>
      <c r="E101" s="514" t="e">
        <f>VLOOKUP(B101,HAB.EXP.ESP.!$C$27:$N$226,12,FALSE)</f>
        <v>#N/A</v>
      </c>
      <c r="F101" s="385" t="e">
        <f>VLOOKUP(B101,PON.EXP.ESP.!$C$30:$J$229,6,FALSE)</f>
        <v>#N/A</v>
      </c>
      <c r="G101" s="383" t="e">
        <f>VLOOKUP(B101,PON.EXP.ESP.!$C$30:$J$229,8,FALSE)</f>
        <v>#N/A</v>
      </c>
      <c r="H101" s="383">
        <f>VLOOKUP(B101,VIN.PERS.DISC.!$B$19:$D$218,3,FALSE)</f>
        <v>0</v>
      </c>
      <c r="I101" s="384">
        <f>VLOOKUP(B101,'APOYO A IND. NAL.'!$B$19:$D$218,3,FALSE)</f>
        <v>0</v>
      </c>
      <c r="J101" s="384" t="e">
        <f t="shared" si="1"/>
        <v>#N/A</v>
      </c>
      <c r="K101" s="301"/>
    </row>
    <row r="102" spans="2:11" s="292" customFormat="1" ht="13.5" hidden="1">
      <c r="B102" s="298">
        <f>PROPONENTES!C101</f>
        <v>0</v>
      </c>
      <c r="C102" s="299">
        <v>83</v>
      </c>
      <c r="D102" s="300" t="e">
        <f>VLOOKUP(B102,PROPONENTES!$C$19:$E$218,2,FALSE)</f>
        <v>#N/A</v>
      </c>
      <c r="E102" s="514" t="e">
        <f>VLOOKUP(B102,HAB.EXP.ESP.!$C$27:$N$226,12,FALSE)</f>
        <v>#N/A</v>
      </c>
      <c r="F102" s="385" t="e">
        <f>VLOOKUP(B102,PON.EXP.ESP.!$C$30:$J$229,6,FALSE)</f>
        <v>#N/A</v>
      </c>
      <c r="G102" s="383" t="e">
        <f>VLOOKUP(B102,PON.EXP.ESP.!$C$30:$J$229,8,FALSE)</f>
        <v>#N/A</v>
      </c>
      <c r="H102" s="383">
        <f>VLOOKUP(B102,VIN.PERS.DISC.!$B$19:$D$218,3,FALSE)</f>
        <v>0</v>
      </c>
      <c r="I102" s="384">
        <f>VLOOKUP(B102,'APOYO A IND. NAL.'!$B$19:$D$218,3,FALSE)</f>
        <v>0</v>
      </c>
      <c r="J102" s="384" t="e">
        <f t="shared" si="1"/>
        <v>#N/A</v>
      </c>
      <c r="K102" s="301"/>
    </row>
    <row r="103" spans="2:11" s="292" customFormat="1" ht="13.5" hidden="1">
      <c r="B103" s="298">
        <f>PROPONENTES!C102</f>
        <v>0</v>
      </c>
      <c r="C103" s="299">
        <v>84</v>
      </c>
      <c r="D103" s="300" t="e">
        <f>VLOOKUP(B103,PROPONENTES!$C$19:$E$218,2,FALSE)</f>
        <v>#N/A</v>
      </c>
      <c r="E103" s="514" t="e">
        <f>VLOOKUP(B103,HAB.EXP.ESP.!$C$27:$N$226,12,FALSE)</f>
        <v>#N/A</v>
      </c>
      <c r="F103" s="385" t="e">
        <f>VLOOKUP(B103,PON.EXP.ESP.!$C$30:$J$229,6,FALSE)</f>
        <v>#N/A</v>
      </c>
      <c r="G103" s="383" t="e">
        <f>VLOOKUP(B103,PON.EXP.ESP.!$C$30:$J$229,8,FALSE)</f>
        <v>#N/A</v>
      </c>
      <c r="H103" s="383">
        <f>VLOOKUP(B103,VIN.PERS.DISC.!$B$19:$D$218,3,FALSE)</f>
        <v>0</v>
      </c>
      <c r="I103" s="384">
        <f>VLOOKUP(B103,'APOYO A IND. NAL.'!$B$19:$D$218,3,FALSE)</f>
        <v>0</v>
      </c>
      <c r="J103" s="384" t="e">
        <f t="shared" si="1"/>
        <v>#N/A</v>
      </c>
      <c r="K103" s="301"/>
    </row>
    <row r="104" spans="2:11" s="292" customFormat="1" ht="13.5" hidden="1">
      <c r="B104" s="298">
        <f>PROPONENTES!C103</f>
        <v>0</v>
      </c>
      <c r="C104" s="299">
        <v>85</v>
      </c>
      <c r="D104" s="300" t="e">
        <f>VLOOKUP(B104,PROPONENTES!$C$19:$E$218,2,FALSE)</f>
        <v>#N/A</v>
      </c>
      <c r="E104" s="514" t="e">
        <f>VLOOKUP(B104,HAB.EXP.ESP.!$C$27:$N$226,12,FALSE)</f>
        <v>#N/A</v>
      </c>
      <c r="F104" s="385" t="e">
        <f>VLOOKUP(B104,PON.EXP.ESP.!$C$30:$J$229,6,FALSE)</f>
        <v>#N/A</v>
      </c>
      <c r="G104" s="383" t="e">
        <f>VLOOKUP(B104,PON.EXP.ESP.!$C$30:$J$229,8,FALSE)</f>
        <v>#N/A</v>
      </c>
      <c r="H104" s="383">
        <f>VLOOKUP(B104,VIN.PERS.DISC.!$B$19:$D$218,3,FALSE)</f>
        <v>0</v>
      </c>
      <c r="I104" s="384">
        <f>VLOOKUP(B104,'APOYO A IND. NAL.'!$B$19:$D$218,3,FALSE)</f>
        <v>0</v>
      </c>
      <c r="J104" s="384" t="e">
        <f t="shared" si="1"/>
        <v>#N/A</v>
      </c>
      <c r="K104" s="301"/>
    </row>
    <row r="105" spans="2:11" s="292" customFormat="1" ht="13.5" hidden="1">
      <c r="B105" s="298">
        <f>PROPONENTES!C104</f>
        <v>0</v>
      </c>
      <c r="C105" s="299">
        <v>86</v>
      </c>
      <c r="D105" s="300" t="e">
        <f>VLOOKUP(B105,PROPONENTES!$C$19:$E$218,2,FALSE)</f>
        <v>#N/A</v>
      </c>
      <c r="E105" s="514" t="e">
        <f>VLOOKUP(B105,HAB.EXP.ESP.!$C$27:$N$226,12,FALSE)</f>
        <v>#N/A</v>
      </c>
      <c r="F105" s="385" t="e">
        <f>VLOOKUP(B105,PON.EXP.ESP.!$C$30:$J$229,6,FALSE)</f>
        <v>#N/A</v>
      </c>
      <c r="G105" s="383" t="e">
        <f>VLOOKUP(B105,PON.EXP.ESP.!$C$30:$J$229,8,FALSE)</f>
        <v>#N/A</v>
      </c>
      <c r="H105" s="383">
        <f>VLOOKUP(B105,VIN.PERS.DISC.!$B$19:$D$218,3,FALSE)</f>
        <v>0</v>
      </c>
      <c r="I105" s="384">
        <f>VLOOKUP(B105,'APOYO A IND. NAL.'!$B$19:$D$218,3,FALSE)</f>
        <v>0</v>
      </c>
      <c r="J105" s="384" t="e">
        <f t="shared" si="1"/>
        <v>#N/A</v>
      </c>
      <c r="K105" s="301"/>
    </row>
    <row r="106" spans="2:11" s="292" customFormat="1" ht="13.5" hidden="1">
      <c r="B106" s="298">
        <f>PROPONENTES!C105</f>
        <v>0</v>
      </c>
      <c r="C106" s="299">
        <v>87</v>
      </c>
      <c r="D106" s="300" t="e">
        <f>VLOOKUP(B106,PROPONENTES!$C$19:$E$218,2,FALSE)</f>
        <v>#N/A</v>
      </c>
      <c r="E106" s="514" t="e">
        <f>VLOOKUP(B106,HAB.EXP.ESP.!$C$27:$N$226,12,FALSE)</f>
        <v>#N/A</v>
      </c>
      <c r="F106" s="385" t="e">
        <f>VLOOKUP(B106,PON.EXP.ESP.!$C$30:$J$229,6,FALSE)</f>
        <v>#N/A</v>
      </c>
      <c r="G106" s="383" t="e">
        <f>VLOOKUP(B106,PON.EXP.ESP.!$C$30:$J$229,8,FALSE)</f>
        <v>#N/A</v>
      </c>
      <c r="H106" s="383">
        <f>VLOOKUP(B106,VIN.PERS.DISC.!$B$19:$D$218,3,FALSE)</f>
        <v>0</v>
      </c>
      <c r="I106" s="384">
        <f>VLOOKUP(B106,'APOYO A IND. NAL.'!$B$19:$D$218,3,FALSE)</f>
        <v>0</v>
      </c>
      <c r="J106" s="384" t="e">
        <f t="shared" si="1"/>
        <v>#N/A</v>
      </c>
      <c r="K106" s="301"/>
    </row>
    <row r="107" spans="2:11" s="292" customFormat="1" ht="13.5" hidden="1">
      <c r="B107" s="298">
        <f>PROPONENTES!C106</f>
        <v>0</v>
      </c>
      <c r="C107" s="299">
        <v>88</v>
      </c>
      <c r="D107" s="300" t="e">
        <f>VLOOKUP(B107,PROPONENTES!$C$19:$E$218,2,FALSE)</f>
        <v>#N/A</v>
      </c>
      <c r="E107" s="514" t="e">
        <f>VLOOKUP(B107,HAB.EXP.ESP.!$C$27:$N$226,12,FALSE)</f>
        <v>#N/A</v>
      </c>
      <c r="F107" s="385" t="e">
        <f>VLOOKUP(B107,PON.EXP.ESP.!$C$30:$J$229,6,FALSE)</f>
        <v>#N/A</v>
      </c>
      <c r="G107" s="383" t="e">
        <f>VLOOKUP(B107,PON.EXP.ESP.!$C$30:$J$229,8,FALSE)</f>
        <v>#N/A</v>
      </c>
      <c r="H107" s="383">
        <f>VLOOKUP(B107,VIN.PERS.DISC.!$B$19:$D$218,3,FALSE)</f>
        <v>0</v>
      </c>
      <c r="I107" s="384">
        <f>VLOOKUP(B107,'APOYO A IND. NAL.'!$B$19:$D$218,3,FALSE)</f>
        <v>0</v>
      </c>
      <c r="J107" s="384" t="e">
        <f t="shared" si="1"/>
        <v>#N/A</v>
      </c>
      <c r="K107" s="301"/>
    </row>
    <row r="108" spans="2:11" s="292" customFormat="1" ht="13.5" hidden="1">
      <c r="B108" s="298">
        <f>PROPONENTES!C107</f>
        <v>0</v>
      </c>
      <c r="C108" s="299">
        <v>89</v>
      </c>
      <c r="D108" s="300" t="e">
        <f>VLOOKUP(B108,PROPONENTES!$C$19:$E$218,2,FALSE)</f>
        <v>#N/A</v>
      </c>
      <c r="E108" s="514" t="e">
        <f>VLOOKUP(B108,HAB.EXP.ESP.!$C$27:$N$226,12,FALSE)</f>
        <v>#N/A</v>
      </c>
      <c r="F108" s="385" t="e">
        <f>VLOOKUP(B108,PON.EXP.ESP.!$C$30:$J$229,6,FALSE)</f>
        <v>#N/A</v>
      </c>
      <c r="G108" s="383" t="e">
        <f>VLOOKUP(B108,PON.EXP.ESP.!$C$30:$J$229,8,FALSE)</f>
        <v>#N/A</v>
      </c>
      <c r="H108" s="383">
        <f>VLOOKUP(B108,VIN.PERS.DISC.!$B$19:$D$218,3,FALSE)</f>
        <v>0</v>
      </c>
      <c r="I108" s="384">
        <f>VLOOKUP(B108,'APOYO A IND. NAL.'!$B$19:$D$218,3,FALSE)</f>
        <v>0</v>
      </c>
      <c r="J108" s="384" t="e">
        <f t="shared" si="1"/>
        <v>#N/A</v>
      </c>
      <c r="K108" s="301"/>
    </row>
    <row r="109" spans="2:11" s="292" customFormat="1" ht="13.5" hidden="1">
      <c r="B109" s="298">
        <f>PROPONENTES!C108</f>
        <v>0</v>
      </c>
      <c r="C109" s="299">
        <v>90</v>
      </c>
      <c r="D109" s="300" t="e">
        <f>VLOOKUP(B109,PROPONENTES!$C$19:$E$218,2,FALSE)</f>
        <v>#N/A</v>
      </c>
      <c r="E109" s="514" t="e">
        <f>VLOOKUP(B109,HAB.EXP.ESP.!$C$27:$N$226,12,FALSE)</f>
        <v>#N/A</v>
      </c>
      <c r="F109" s="385" t="e">
        <f>VLOOKUP(B109,PON.EXP.ESP.!$C$30:$J$229,6,FALSE)</f>
        <v>#N/A</v>
      </c>
      <c r="G109" s="383" t="e">
        <f>VLOOKUP(B109,PON.EXP.ESP.!$C$30:$J$229,8,FALSE)</f>
        <v>#N/A</v>
      </c>
      <c r="H109" s="383">
        <f>VLOOKUP(B109,VIN.PERS.DISC.!$B$19:$D$218,3,FALSE)</f>
        <v>0</v>
      </c>
      <c r="I109" s="384">
        <f>VLOOKUP(B109,'APOYO A IND. NAL.'!$B$19:$D$218,3,FALSE)</f>
        <v>0</v>
      </c>
      <c r="J109" s="384" t="e">
        <f t="shared" si="1"/>
        <v>#N/A</v>
      </c>
      <c r="K109" s="301"/>
    </row>
    <row r="110" spans="2:11" s="292" customFormat="1" ht="13.5" hidden="1">
      <c r="B110" s="298">
        <f>PROPONENTES!C109</f>
        <v>0</v>
      </c>
      <c r="C110" s="299">
        <v>91</v>
      </c>
      <c r="D110" s="300" t="e">
        <f>VLOOKUP(B110,PROPONENTES!$C$19:$E$218,2,FALSE)</f>
        <v>#N/A</v>
      </c>
      <c r="E110" s="514" t="e">
        <f>VLOOKUP(B110,HAB.EXP.ESP.!$C$27:$N$226,12,FALSE)</f>
        <v>#N/A</v>
      </c>
      <c r="F110" s="385" t="e">
        <f>VLOOKUP(B110,PON.EXP.ESP.!$C$30:$J$229,6,FALSE)</f>
        <v>#N/A</v>
      </c>
      <c r="G110" s="383" t="e">
        <f>VLOOKUP(B110,PON.EXP.ESP.!$C$30:$J$229,8,FALSE)</f>
        <v>#N/A</v>
      </c>
      <c r="H110" s="383">
        <f>VLOOKUP(B110,VIN.PERS.DISC.!$B$19:$D$218,3,FALSE)</f>
        <v>0</v>
      </c>
      <c r="I110" s="384">
        <f>VLOOKUP(B110,'APOYO A IND. NAL.'!$B$19:$D$218,3,FALSE)</f>
        <v>0</v>
      </c>
      <c r="J110" s="384" t="e">
        <f t="shared" si="1"/>
        <v>#N/A</v>
      </c>
      <c r="K110" s="301"/>
    </row>
    <row r="111" spans="2:11" s="292" customFormat="1" ht="13.5" hidden="1">
      <c r="B111" s="298">
        <f>PROPONENTES!C110</f>
        <v>0</v>
      </c>
      <c r="C111" s="299">
        <v>92</v>
      </c>
      <c r="D111" s="300" t="e">
        <f>VLOOKUP(B111,PROPONENTES!$C$19:$E$218,2,FALSE)</f>
        <v>#N/A</v>
      </c>
      <c r="E111" s="514" t="e">
        <f>VLOOKUP(B111,HAB.EXP.ESP.!$C$27:$N$226,12,FALSE)</f>
        <v>#N/A</v>
      </c>
      <c r="F111" s="385" t="e">
        <f>VLOOKUP(B111,PON.EXP.ESP.!$C$30:$J$229,6,FALSE)</f>
        <v>#N/A</v>
      </c>
      <c r="G111" s="383" t="e">
        <f>VLOOKUP(B111,PON.EXP.ESP.!$C$30:$J$229,8,FALSE)</f>
        <v>#N/A</v>
      </c>
      <c r="H111" s="383">
        <f>VLOOKUP(B111,VIN.PERS.DISC.!$B$19:$D$218,3,FALSE)</f>
        <v>0</v>
      </c>
      <c r="I111" s="384">
        <f>VLOOKUP(B111,'APOYO A IND. NAL.'!$B$19:$D$218,3,FALSE)</f>
        <v>0</v>
      </c>
      <c r="J111" s="384" t="e">
        <f t="shared" si="1"/>
        <v>#N/A</v>
      </c>
      <c r="K111" s="301"/>
    </row>
    <row r="112" spans="2:11" s="292" customFormat="1" ht="13.5" hidden="1">
      <c r="B112" s="298">
        <f>PROPONENTES!C111</f>
        <v>0</v>
      </c>
      <c r="C112" s="299">
        <v>93</v>
      </c>
      <c r="D112" s="300" t="e">
        <f>VLOOKUP(B112,PROPONENTES!$C$19:$E$218,2,FALSE)</f>
        <v>#N/A</v>
      </c>
      <c r="E112" s="514" t="e">
        <f>VLOOKUP(B112,HAB.EXP.ESP.!$C$27:$N$226,12,FALSE)</f>
        <v>#N/A</v>
      </c>
      <c r="F112" s="385" t="e">
        <f>VLOOKUP(B112,PON.EXP.ESP.!$C$30:$J$229,6,FALSE)</f>
        <v>#N/A</v>
      </c>
      <c r="G112" s="383" t="e">
        <f>VLOOKUP(B112,PON.EXP.ESP.!$C$30:$J$229,8,FALSE)</f>
        <v>#N/A</v>
      </c>
      <c r="H112" s="383">
        <f>VLOOKUP(B112,VIN.PERS.DISC.!$B$19:$D$218,3,FALSE)</f>
        <v>0</v>
      </c>
      <c r="I112" s="384">
        <f>VLOOKUP(B112,'APOYO A IND. NAL.'!$B$19:$D$218,3,FALSE)</f>
        <v>0</v>
      </c>
      <c r="J112" s="384" t="e">
        <f t="shared" si="1"/>
        <v>#N/A</v>
      </c>
      <c r="K112" s="301"/>
    </row>
    <row r="113" spans="2:11" s="292" customFormat="1" ht="13.5" hidden="1">
      <c r="B113" s="298">
        <f>PROPONENTES!C112</f>
        <v>0</v>
      </c>
      <c r="C113" s="299">
        <v>94</v>
      </c>
      <c r="D113" s="300" t="e">
        <f>VLOOKUP(B113,PROPONENTES!$C$19:$E$218,2,FALSE)</f>
        <v>#N/A</v>
      </c>
      <c r="E113" s="514" t="e">
        <f>VLOOKUP(B113,HAB.EXP.ESP.!$C$27:$N$226,12,FALSE)</f>
        <v>#N/A</v>
      </c>
      <c r="F113" s="385" t="e">
        <f>VLOOKUP(B113,PON.EXP.ESP.!$C$30:$J$229,6,FALSE)</f>
        <v>#N/A</v>
      </c>
      <c r="G113" s="383" t="e">
        <f>VLOOKUP(B113,PON.EXP.ESP.!$C$30:$J$229,8,FALSE)</f>
        <v>#N/A</v>
      </c>
      <c r="H113" s="383">
        <f>VLOOKUP(B113,VIN.PERS.DISC.!$B$19:$D$218,3,FALSE)</f>
        <v>0</v>
      </c>
      <c r="I113" s="384">
        <f>VLOOKUP(B113,'APOYO A IND. NAL.'!$B$19:$D$218,3,FALSE)</f>
        <v>0</v>
      </c>
      <c r="J113" s="384" t="e">
        <f t="shared" si="1"/>
        <v>#N/A</v>
      </c>
      <c r="K113" s="301"/>
    </row>
    <row r="114" spans="2:11" s="292" customFormat="1" ht="13.5" hidden="1">
      <c r="B114" s="298">
        <f>PROPONENTES!C113</f>
        <v>0</v>
      </c>
      <c r="C114" s="299">
        <v>95</v>
      </c>
      <c r="D114" s="300" t="e">
        <f>VLOOKUP(B114,PROPONENTES!$C$19:$E$218,2,FALSE)</f>
        <v>#N/A</v>
      </c>
      <c r="E114" s="514" t="e">
        <f>VLOOKUP(B114,HAB.EXP.ESP.!$C$27:$N$226,12,FALSE)</f>
        <v>#N/A</v>
      </c>
      <c r="F114" s="385" t="e">
        <f>VLOOKUP(B114,PON.EXP.ESP.!$C$30:$J$229,6,FALSE)</f>
        <v>#N/A</v>
      </c>
      <c r="G114" s="383" t="e">
        <f>VLOOKUP(B114,PON.EXP.ESP.!$C$30:$J$229,8,FALSE)</f>
        <v>#N/A</v>
      </c>
      <c r="H114" s="383">
        <f>VLOOKUP(B114,VIN.PERS.DISC.!$B$19:$D$218,3,FALSE)</f>
        <v>0</v>
      </c>
      <c r="I114" s="384">
        <f>VLOOKUP(B114,'APOYO A IND. NAL.'!$B$19:$D$218,3,FALSE)</f>
        <v>0</v>
      </c>
      <c r="J114" s="384" t="e">
        <f t="shared" si="1"/>
        <v>#N/A</v>
      </c>
      <c r="K114" s="301"/>
    </row>
    <row r="115" spans="2:11" s="292" customFormat="1" ht="13.5" hidden="1">
      <c r="B115" s="298">
        <f>PROPONENTES!C114</f>
        <v>0</v>
      </c>
      <c r="C115" s="299">
        <v>96</v>
      </c>
      <c r="D115" s="300" t="e">
        <f>VLOOKUP(B115,PROPONENTES!$C$19:$E$218,2,FALSE)</f>
        <v>#N/A</v>
      </c>
      <c r="E115" s="514" t="e">
        <f>VLOOKUP(B115,HAB.EXP.ESP.!$C$27:$N$226,12,FALSE)</f>
        <v>#N/A</v>
      </c>
      <c r="F115" s="385" t="e">
        <f>VLOOKUP(B115,PON.EXP.ESP.!$C$30:$J$229,6,FALSE)</f>
        <v>#N/A</v>
      </c>
      <c r="G115" s="383" t="e">
        <f>VLOOKUP(B115,PON.EXP.ESP.!$C$30:$J$229,8,FALSE)</f>
        <v>#N/A</v>
      </c>
      <c r="H115" s="383">
        <f>VLOOKUP(B115,VIN.PERS.DISC.!$B$19:$D$218,3,FALSE)</f>
        <v>0</v>
      </c>
      <c r="I115" s="384">
        <f>VLOOKUP(B115,'APOYO A IND. NAL.'!$B$19:$D$218,3,FALSE)</f>
        <v>0</v>
      </c>
      <c r="J115" s="384" t="e">
        <f t="shared" si="1"/>
        <v>#N/A</v>
      </c>
      <c r="K115" s="301"/>
    </row>
    <row r="116" spans="2:11" s="292" customFormat="1" ht="13.5" hidden="1">
      <c r="B116" s="298">
        <f>PROPONENTES!C115</f>
        <v>0</v>
      </c>
      <c r="C116" s="299">
        <v>97</v>
      </c>
      <c r="D116" s="300" t="e">
        <f>VLOOKUP(B116,PROPONENTES!$C$19:$E$218,2,FALSE)</f>
        <v>#N/A</v>
      </c>
      <c r="E116" s="514" t="e">
        <f>VLOOKUP(B116,HAB.EXP.ESP.!$C$27:$N$226,12,FALSE)</f>
        <v>#N/A</v>
      </c>
      <c r="F116" s="385" t="e">
        <f>VLOOKUP(B116,PON.EXP.ESP.!$C$30:$J$229,6,FALSE)</f>
        <v>#N/A</v>
      </c>
      <c r="G116" s="383" t="e">
        <f>VLOOKUP(B116,PON.EXP.ESP.!$C$30:$J$229,8,FALSE)</f>
        <v>#N/A</v>
      </c>
      <c r="H116" s="383">
        <f>VLOOKUP(B116,VIN.PERS.DISC.!$B$19:$D$218,3,FALSE)</f>
        <v>0</v>
      </c>
      <c r="I116" s="384">
        <f>VLOOKUP(B116,'APOYO A IND. NAL.'!$B$19:$D$218,3,FALSE)</f>
        <v>0</v>
      </c>
      <c r="J116" s="384" t="e">
        <f t="shared" si="1"/>
        <v>#N/A</v>
      </c>
      <c r="K116" s="301"/>
    </row>
    <row r="117" spans="2:11" s="292" customFormat="1" ht="13.5" hidden="1">
      <c r="B117" s="298">
        <f>PROPONENTES!C116</f>
        <v>0</v>
      </c>
      <c r="C117" s="299">
        <v>98</v>
      </c>
      <c r="D117" s="300" t="e">
        <f>VLOOKUP(B117,PROPONENTES!$C$19:$E$218,2,FALSE)</f>
        <v>#N/A</v>
      </c>
      <c r="E117" s="514" t="e">
        <f>VLOOKUP(B117,HAB.EXP.ESP.!$C$27:$N$226,12,FALSE)</f>
        <v>#N/A</v>
      </c>
      <c r="F117" s="385" t="e">
        <f>VLOOKUP(B117,PON.EXP.ESP.!$C$30:$J$229,6,FALSE)</f>
        <v>#N/A</v>
      </c>
      <c r="G117" s="383" t="e">
        <f>VLOOKUP(B117,PON.EXP.ESP.!$C$30:$J$229,8,FALSE)</f>
        <v>#N/A</v>
      </c>
      <c r="H117" s="383">
        <f>VLOOKUP(B117,VIN.PERS.DISC.!$B$19:$D$218,3,FALSE)</f>
        <v>0</v>
      </c>
      <c r="I117" s="384">
        <f>VLOOKUP(B117,'APOYO A IND. NAL.'!$B$19:$D$218,3,FALSE)</f>
        <v>0</v>
      </c>
      <c r="J117" s="384" t="e">
        <f t="shared" si="1"/>
        <v>#N/A</v>
      </c>
      <c r="K117" s="301"/>
    </row>
    <row r="118" spans="2:11" s="292" customFormat="1" ht="13.5" hidden="1">
      <c r="B118" s="298">
        <f>PROPONENTES!C117</f>
        <v>0</v>
      </c>
      <c r="C118" s="299">
        <v>99</v>
      </c>
      <c r="D118" s="300" t="e">
        <f>VLOOKUP(B118,PROPONENTES!$C$19:$E$218,2,FALSE)</f>
        <v>#N/A</v>
      </c>
      <c r="E118" s="514" t="e">
        <f>VLOOKUP(B118,HAB.EXP.ESP.!$C$27:$N$226,12,FALSE)</f>
        <v>#N/A</v>
      </c>
      <c r="F118" s="385" t="e">
        <f>VLOOKUP(B118,PON.EXP.ESP.!$C$30:$J$229,6,FALSE)</f>
        <v>#N/A</v>
      </c>
      <c r="G118" s="383" t="e">
        <f>VLOOKUP(B118,PON.EXP.ESP.!$C$30:$J$229,8,FALSE)</f>
        <v>#N/A</v>
      </c>
      <c r="H118" s="383">
        <f>VLOOKUP(B118,VIN.PERS.DISC.!$B$19:$D$218,3,FALSE)</f>
        <v>0</v>
      </c>
      <c r="I118" s="384">
        <f>VLOOKUP(B118,'APOYO A IND. NAL.'!$B$19:$D$218,3,FALSE)</f>
        <v>0</v>
      </c>
      <c r="J118" s="384" t="e">
        <f t="shared" si="1"/>
        <v>#N/A</v>
      </c>
      <c r="K118" s="301"/>
    </row>
    <row r="119" spans="2:11" s="292" customFormat="1" ht="13.5" hidden="1">
      <c r="B119" s="298">
        <f>PROPONENTES!C118</f>
        <v>0</v>
      </c>
      <c r="C119" s="299">
        <v>100</v>
      </c>
      <c r="D119" s="300" t="e">
        <f>VLOOKUP(B119,PROPONENTES!$C$19:$E$218,2,FALSE)</f>
        <v>#N/A</v>
      </c>
      <c r="E119" s="514" t="e">
        <f>VLOOKUP(B119,HAB.EXP.ESP.!$C$27:$N$226,12,FALSE)</f>
        <v>#N/A</v>
      </c>
      <c r="F119" s="385" t="e">
        <f>VLOOKUP(B119,PON.EXP.ESP.!$C$30:$J$229,6,FALSE)</f>
        <v>#N/A</v>
      </c>
      <c r="G119" s="383" t="e">
        <f>VLOOKUP(B119,PON.EXP.ESP.!$C$30:$J$229,8,FALSE)</f>
        <v>#N/A</v>
      </c>
      <c r="H119" s="383">
        <f>VLOOKUP(B119,VIN.PERS.DISC.!$B$19:$D$218,3,FALSE)</f>
        <v>0</v>
      </c>
      <c r="I119" s="384">
        <f>VLOOKUP(B119,'APOYO A IND. NAL.'!$B$19:$D$218,3,FALSE)</f>
        <v>0</v>
      </c>
      <c r="J119" s="384" t="e">
        <f t="shared" si="1"/>
        <v>#N/A</v>
      </c>
      <c r="K119" s="301"/>
    </row>
    <row r="120" spans="2:11" s="292" customFormat="1" ht="13.5" hidden="1">
      <c r="B120" s="298">
        <f>PROPONENTES!C119</f>
        <v>0</v>
      </c>
      <c r="C120" s="299">
        <v>101</v>
      </c>
      <c r="D120" s="300" t="e">
        <f>VLOOKUP(B120,PROPONENTES!$C$19:$E$218,2,FALSE)</f>
        <v>#N/A</v>
      </c>
      <c r="E120" s="514" t="e">
        <f>VLOOKUP(B120,HAB.EXP.ESP.!$C$27:$N$226,12,FALSE)</f>
        <v>#N/A</v>
      </c>
      <c r="F120" s="385" t="e">
        <f>VLOOKUP(B120,PON.EXP.ESP.!$C$30:$J$229,6,FALSE)</f>
        <v>#N/A</v>
      </c>
      <c r="G120" s="383" t="e">
        <f>VLOOKUP(B120,PON.EXP.ESP.!$C$30:$J$229,8,FALSE)</f>
        <v>#N/A</v>
      </c>
      <c r="H120" s="383">
        <f>VLOOKUP(B120,VIN.PERS.DISC.!$B$19:$D$218,3,FALSE)</f>
        <v>0</v>
      </c>
      <c r="I120" s="384">
        <f>VLOOKUP(B120,'APOYO A IND. NAL.'!$B$19:$D$218,3,FALSE)</f>
        <v>0</v>
      </c>
      <c r="J120" s="384" t="e">
        <f t="shared" si="1"/>
        <v>#N/A</v>
      </c>
      <c r="K120" s="301"/>
    </row>
    <row r="121" spans="2:11" s="292" customFormat="1" ht="13.5" hidden="1">
      <c r="B121" s="298">
        <f>PROPONENTES!C120</f>
        <v>0</v>
      </c>
      <c r="C121" s="299">
        <v>102</v>
      </c>
      <c r="D121" s="300" t="e">
        <f>VLOOKUP(B121,PROPONENTES!$C$19:$E$218,2,FALSE)</f>
        <v>#N/A</v>
      </c>
      <c r="E121" s="514" t="e">
        <f>VLOOKUP(B121,HAB.EXP.ESP.!$C$27:$N$226,12,FALSE)</f>
        <v>#N/A</v>
      </c>
      <c r="F121" s="385" t="e">
        <f>VLOOKUP(B121,PON.EXP.ESP.!$C$30:$J$229,6,FALSE)</f>
        <v>#N/A</v>
      </c>
      <c r="G121" s="383" t="e">
        <f>VLOOKUP(B121,PON.EXP.ESP.!$C$30:$J$229,8,FALSE)</f>
        <v>#N/A</v>
      </c>
      <c r="H121" s="383">
        <f>VLOOKUP(B121,VIN.PERS.DISC.!$B$19:$D$218,3,FALSE)</f>
        <v>0</v>
      </c>
      <c r="I121" s="384">
        <f>VLOOKUP(B121,'APOYO A IND. NAL.'!$B$19:$D$218,3,FALSE)</f>
        <v>0</v>
      </c>
      <c r="J121" s="384" t="e">
        <f t="shared" si="1"/>
        <v>#N/A</v>
      </c>
      <c r="K121" s="301"/>
    </row>
    <row r="122" spans="2:11" s="292" customFormat="1" ht="13.5" hidden="1">
      <c r="B122" s="298">
        <f>PROPONENTES!C121</f>
        <v>0</v>
      </c>
      <c r="C122" s="299">
        <v>103</v>
      </c>
      <c r="D122" s="300" t="e">
        <f>VLOOKUP(B122,PROPONENTES!$C$19:$E$218,2,FALSE)</f>
        <v>#N/A</v>
      </c>
      <c r="E122" s="514" t="e">
        <f>VLOOKUP(B122,HAB.EXP.ESP.!$C$27:$N$226,12,FALSE)</f>
        <v>#N/A</v>
      </c>
      <c r="F122" s="385" t="e">
        <f>VLOOKUP(B122,PON.EXP.ESP.!$C$30:$J$229,6,FALSE)</f>
        <v>#N/A</v>
      </c>
      <c r="G122" s="383" t="e">
        <f>VLOOKUP(B122,PON.EXP.ESP.!$C$30:$J$229,8,FALSE)</f>
        <v>#N/A</v>
      </c>
      <c r="H122" s="383">
        <f>VLOOKUP(B122,VIN.PERS.DISC.!$B$19:$D$218,3,FALSE)</f>
        <v>0</v>
      </c>
      <c r="I122" s="384">
        <f>VLOOKUP(B122,'APOYO A IND. NAL.'!$B$19:$D$218,3,FALSE)</f>
        <v>0</v>
      </c>
      <c r="J122" s="384" t="e">
        <f t="shared" si="1"/>
        <v>#N/A</v>
      </c>
      <c r="K122" s="301"/>
    </row>
    <row r="123" spans="2:11" s="292" customFormat="1" ht="13.5" hidden="1">
      <c r="B123" s="298">
        <f>PROPONENTES!C122</f>
        <v>0</v>
      </c>
      <c r="C123" s="299">
        <v>104</v>
      </c>
      <c r="D123" s="300" t="e">
        <f>VLOOKUP(B123,PROPONENTES!$C$19:$E$218,2,FALSE)</f>
        <v>#N/A</v>
      </c>
      <c r="E123" s="514" t="e">
        <f>VLOOKUP(B123,HAB.EXP.ESP.!$C$27:$N$226,12,FALSE)</f>
        <v>#N/A</v>
      </c>
      <c r="F123" s="385" t="e">
        <f>VLOOKUP(B123,PON.EXP.ESP.!$C$30:$J$229,6,FALSE)</f>
        <v>#N/A</v>
      </c>
      <c r="G123" s="383" t="e">
        <f>VLOOKUP(B123,PON.EXP.ESP.!$C$30:$J$229,8,FALSE)</f>
        <v>#N/A</v>
      </c>
      <c r="H123" s="383">
        <f>VLOOKUP(B123,VIN.PERS.DISC.!$B$19:$D$218,3,FALSE)</f>
        <v>0</v>
      </c>
      <c r="I123" s="384">
        <f>VLOOKUP(B123,'APOYO A IND. NAL.'!$B$19:$D$218,3,FALSE)</f>
        <v>0</v>
      </c>
      <c r="J123" s="384" t="e">
        <f t="shared" si="1"/>
        <v>#N/A</v>
      </c>
      <c r="K123" s="301"/>
    </row>
    <row r="124" spans="2:11" s="292" customFormat="1" ht="13.5" hidden="1">
      <c r="B124" s="298">
        <f>PROPONENTES!C123</f>
        <v>0</v>
      </c>
      <c r="C124" s="299">
        <v>105</v>
      </c>
      <c r="D124" s="300" t="e">
        <f>VLOOKUP(B124,PROPONENTES!$C$19:$E$218,2,FALSE)</f>
        <v>#N/A</v>
      </c>
      <c r="E124" s="514" t="e">
        <f>VLOOKUP(B124,HAB.EXP.ESP.!$C$27:$N$226,12,FALSE)</f>
        <v>#N/A</v>
      </c>
      <c r="F124" s="385" t="e">
        <f>VLOOKUP(B124,PON.EXP.ESP.!$C$30:$J$229,6,FALSE)</f>
        <v>#N/A</v>
      </c>
      <c r="G124" s="383" t="e">
        <f>VLOOKUP(B124,PON.EXP.ESP.!$C$30:$J$229,8,FALSE)</f>
        <v>#N/A</v>
      </c>
      <c r="H124" s="383">
        <f>VLOOKUP(B124,VIN.PERS.DISC.!$B$19:$D$218,3,FALSE)</f>
        <v>0</v>
      </c>
      <c r="I124" s="384">
        <f>VLOOKUP(B124,'APOYO A IND. NAL.'!$B$19:$D$218,3,FALSE)</f>
        <v>0</v>
      </c>
      <c r="J124" s="384" t="e">
        <f t="shared" si="1"/>
        <v>#N/A</v>
      </c>
      <c r="K124" s="301"/>
    </row>
    <row r="125" spans="2:11" s="292" customFormat="1" ht="13.5" hidden="1">
      <c r="B125" s="298">
        <f>PROPONENTES!C124</f>
        <v>0</v>
      </c>
      <c r="C125" s="299">
        <v>106</v>
      </c>
      <c r="D125" s="300" t="e">
        <f>VLOOKUP(B125,PROPONENTES!$C$19:$E$218,2,FALSE)</f>
        <v>#N/A</v>
      </c>
      <c r="E125" s="514" t="e">
        <f>VLOOKUP(B125,HAB.EXP.ESP.!$C$27:$N$226,12,FALSE)</f>
        <v>#N/A</v>
      </c>
      <c r="F125" s="385" t="e">
        <f>VLOOKUP(B125,PON.EXP.ESP.!$C$30:$J$229,6,FALSE)</f>
        <v>#N/A</v>
      </c>
      <c r="G125" s="383" t="e">
        <f>VLOOKUP(B125,PON.EXP.ESP.!$C$30:$J$229,8,FALSE)</f>
        <v>#N/A</v>
      </c>
      <c r="H125" s="383">
        <f>VLOOKUP(B125,VIN.PERS.DISC.!$B$19:$D$218,3,FALSE)</f>
        <v>0</v>
      </c>
      <c r="I125" s="384">
        <f>VLOOKUP(B125,'APOYO A IND. NAL.'!$B$19:$D$218,3,FALSE)</f>
        <v>0</v>
      </c>
      <c r="J125" s="384" t="e">
        <f t="shared" si="1"/>
        <v>#N/A</v>
      </c>
      <c r="K125" s="301"/>
    </row>
    <row r="126" spans="2:11" s="292" customFormat="1" ht="13.5" hidden="1">
      <c r="B126" s="298">
        <f>PROPONENTES!C125</f>
        <v>0</v>
      </c>
      <c r="C126" s="299">
        <v>107</v>
      </c>
      <c r="D126" s="300" t="e">
        <f>VLOOKUP(B126,PROPONENTES!$C$19:$E$218,2,FALSE)</f>
        <v>#N/A</v>
      </c>
      <c r="E126" s="514" t="e">
        <f>VLOOKUP(B126,HAB.EXP.ESP.!$C$27:$N$226,12,FALSE)</f>
        <v>#N/A</v>
      </c>
      <c r="F126" s="385" t="e">
        <f>VLOOKUP(B126,PON.EXP.ESP.!$C$30:$J$229,6,FALSE)</f>
        <v>#N/A</v>
      </c>
      <c r="G126" s="383" t="e">
        <f>VLOOKUP(B126,PON.EXP.ESP.!$C$30:$J$229,8,FALSE)</f>
        <v>#N/A</v>
      </c>
      <c r="H126" s="383">
        <f>VLOOKUP(B126,VIN.PERS.DISC.!$B$19:$D$218,3,FALSE)</f>
        <v>0</v>
      </c>
      <c r="I126" s="384">
        <f>VLOOKUP(B126,'APOYO A IND. NAL.'!$B$19:$D$218,3,FALSE)</f>
        <v>0</v>
      </c>
      <c r="J126" s="384" t="e">
        <f t="shared" si="1"/>
        <v>#N/A</v>
      </c>
      <c r="K126" s="301"/>
    </row>
    <row r="127" spans="2:11" s="292" customFormat="1" ht="13.5" hidden="1">
      <c r="B127" s="298">
        <f>PROPONENTES!C126</f>
        <v>0</v>
      </c>
      <c r="C127" s="299">
        <v>108</v>
      </c>
      <c r="D127" s="300" t="e">
        <f>VLOOKUP(B127,PROPONENTES!$C$19:$E$218,2,FALSE)</f>
        <v>#N/A</v>
      </c>
      <c r="E127" s="514" t="e">
        <f>VLOOKUP(B127,HAB.EXP.ESP.!$C$27:$N$226,12,FALSE)</f>
        <v>#N/A</v>
      </c>
      <c r="F127" s="385" t="e">
        <f>VLOOKUP(B127,PON.EXP.ESP.!$C$30:$J$229,6,FALSE)</f>
        <v>#N/A</v>
      </c>
      <c r="G127" s="383" t="e">
        <f>VLOOKUP(B127,PON.EXP.ESP.!$C$30:$J$229,8,FALSE)</f>
        <v>#N/A</v>
      </c>
      <c r="H127" s="383">
        <f>VLOOKUP(B127,VIN.PERS.DISC.!$B$19:$D$218,3,FALSE)</f>
        <v>0</v>
      </c>
      <c r="I127" s="384">
        <f>VLOOKUP(B127,'APOYO A IND. NAL.'!$B$19:$D$218,3,FALSE)</f>
        <v>0</v>
      </c>
      <c r="J127" s="384" t="e">
        <f t="shared" si="1"/>
        <v>#N/A</v>
      </c>
      <c r="K127" s="301"/>
    </row>
    <row r="128" spans="2:11" s="292" customFormat="1" ht="13.5" hidden="1">
      <c r="B128" s="298">
        <f>PROPONENTES!C127</f>
        <v>0</v>
      </c>
      <c r="C128" s="299">
        <v>109</v>
      </c>
      <c r="D128" s="300" t="e">
        <f>VLOOKUP(B128,PROPONENTES!$C$19:$E$218,2,FALSE)</f>
        <v>#N/A</v>
      </c>
      <c r="E128" s="514" t="e">
        <f>VLOOKUP(B128,HAB.EXP.ESP.!$C$27:$N$226,12,FALSE)</f>
        <v>#N/A</v>
      </c>
      <c r="F128" s="385" t="e">
        <f>VLOOKUP(B128,PON.EXP.ESP.!$C$30:$J$229,6,FALSE)</f>
        <v>#N/A</v>
      </c>
      <c r="G128" s="383" t="e">
        <f>VLOOKUP(B128,PON.EXP.ESP.!$C$30:$J$229,8,FALSE)</f>
        <v>#N/A</v>
      </c>
      <c r="H128" s="383">
        <f>VLOOKUP(B128,VIN.PERS.DISC.!$B$19:$D$218,3,FALSE)</f>
        <v>0</v>
      </c>
      <c r="I128" s="384">
        <f>VLOOKUP(B128,'APOYO A IND. NAL.'!$B$19:$D$218,3,FALSE)</f>
        <v>0</v>
      </c>
      <c r="J128" s="384" t="e">
        <f t="shared" si="1"/>
        <v>#N/A</v>
      </c>
      <c r="K128" s="301"/>
    </row>
    <row r="129" spans="2:11" s="292" customFormat="1" ht="13.5" hidden="1">
      <c r="B129" s="298">
        <f>PROPONENTES!C128</f>
        <v>0</v>
      </c>
      <c r="C129" s="299">
        <v>110</v>
      </c>
      <c r="D129" s="300" t="e">
        <f>VLOOKUP(B129,PROPONENTES!$C$19:$E$218,2,FALSE)</f>
        <v>#N/A</v>
      </c>
      <c r="E129" s="514" t="e">
        <f>VLOOKUP(B129,HAB.EXP.ESP.!$C$27:$N$226,12,FALSE)</f>
        <v>#N/A</v>
      </c>
      <c r="F129" s="385" t="e">
        <f>VLOOKUP(B129,PON.EXP.ESP.!$C$30:$J$229,6,FALSE)</f>
        <v>#N/A</v>
      </c>
      <c r="G129" s="383" t="e">
        <f>VLOOKUP(B129,PON.EXP.ESP.!$C$30:$J$229,8,FALSE)</f>
        <v>#N/A</v>
      </c>
      <c r="H129" s="383">
        <f>VLOOKUP(B129,VIN.PERS.DISC.!$B$19:$D$218,3,FALSE)</f>
        <v>0</v>
      </c>
      <c r="I129" s="384">
        <f>VLOOKUP(B129,'APOYO A IND. NAL.'!$B$19:$D$218,3,FALSE)</f>
        <v>0</v>
      </c>
      <c r="J129" s="384" t="e">
        <f t="shared" si="1"/>
        <v>#N/A</v>
      </c>
      <c r="K129" s="301"/>
    </row>
    <row r="130" spans="2:11" s="292" customFormat="1" ht="13.5" hidden="1">
      <c r="B130" s="298">
        <f>PROPONENTES!C129</f>
        <v>0</v>
      </c>
      <c r="C130" s="299">
        <v>111</v>
      </c>
      <c r="D130" s="300" t="e">
        <f>VLOOKUP(B130,PROPONENTES!$C$19:$E$218,2,FALSE)</f>
        <v>#N/A</v>
      </c>
      <c r="E130" s="514" t="e">
        <f>VLOOKUP(B130,HAB.EXP.ESP.!$C$27:$N$226,12,FALSE)</f>
        <v>#N/A</v>
      </c>
      <c r="F130" s="385" t="e">
        <f>VLOOKUP(B130,PON.EXP.ESP.!$C$30:$J$229,6,FALSE)</f>
        <v>#N/A</v>
      </c>
      <c r="G130" s="383" t="e">
        <f>VLOOKUP(B130,PON.EXP.ESP.!$C$30:$J$229,8,FALSE)</f>
        <v>#N/A</v>
      </c>
      <c r="H130" s="383">
        <f>VLOOKUP(B130,VIN.PERS.DISC.!$B$19:$D$218,3,FALSE)</f>
        <v>0</v>
      </c>
      <c r="I130" s="384">
        <f>VLOOKUP(B130,'APOYO A IND. NAL.'!$B$19:$D$218,3,FALSE)</f>
        <v>0</v>
      </c>
      <c r="J130" s="384" t="e">
        <f t="shared" si="1"/>
        <v>#N/A</v>
      </c>
      <c r="K130" s="301"/>
    </row>
    <row r="131" spans="2:11" s="292" customFormat="1" ht="13.5" hidden="1">
      <c r="B131" s="298">
        <f>PROPONENTES!C130</f>
        <v>0</v>
      </c>
      <c r="C131" s="299">
        <v>112</v>
      </c>
      <c r="D131" s="300" t="e">
        <f>VLOOKUP(B131,PROPONENTES!$C$19:$E$218,2,FALSE)</f>
        <v>#N/A</v>
      </c>
      <c r="E131" s="514" t="e">
        <f>VLOOKUP(B131,HAB.EXP.ESP.!$C$27:$N$226,12,FALSE)</f>
        <v>#N/A</v>
      </c>
      <c r="F131" s="385" t="e">
        <f>VLOOKUP(B131,PON.EXP.ESP.!$C$30:$J$229,6,FALSE)</f>
        <v>#N/A</v>
      </c>
      <c r="G131" s="383" t="e">
        <f>VLOOKUP(B131,PON.EXP.ESP.!$C$30:$J$229,8,FALSE)</f>
        <v>#N/A</v>
      </c>
      <c r="H131" s="383">
        <f>VLOOKUP(B131,VIN.PERS.DISC.!$B$19:$D$218,3,FALSE)</f>
        <v>0</v>
      </c>
      <c r="I131" s="384">
        <f>VLOOKUP(B131,'APOYO A IND. NAL.'!$B$19:$D$218,3,FALSE)</f>
        <v>0</v>
      </c>
      <c r="J131" s="384" t="e">
        <f t="shared" si="1"/>
        <v>#N/A</v>
      </c>
      <c r="K131" s="301"/>
    </row>
    <row r="132" spans="2:11" s="292" customFormat="1" ht="13.5" hidden="1">
      <c r="B132" s="298">
        <f>PROPONENTES!C131</f>
        <v>0</v>
      </c>
      <c r="C132" s="299">
        <v>113</v>
      </c>
      <c r="D132" s="300" t="e">
        <f>VLOOKUP(B132,PROPONENTES!$C$19:$E$218,2,FALSE)</f>
        <v>#N/A</v>
      </c>
      <c r="E132" s="514" t="e">
        <f>VLOOKUP(B132,HAB.EXP.ESP.!$C$27:$N$226,12,FALSE)</f>
        <v>#N/A</v>
      </c>
      <c r="F132" s="385" t="e">
        <f>VLOOKUP(B132,PON.EXP.ESP.!$C$30:$J$229,6,FALSE)</f>
        <v>#N/A</v>
      </c>
      <c r="G132" s="383" t="e">
        <f>VLOOKUP(B132,PON.EXP.ESP.!$C$30:$J$229,8,FALSE)</f>
        <v>#N/A</v>
      </c>
      <c r="H132" s="383">
        <f>VLOOKUP(B132,VIN.PERS.DISC.!$B$19:$D$218,3,FALSE)</f>
        <v>0</v>
      </c>
      <c r="I132" s="384">
        <f>VLOOKUP(B132,'APOYO A IND. NAL.'!$B$19:$D$218,3,FALSE)</f>
        <v>0</v>
      </c>
      <c r="J132" s="384" t="e">
        <f t="shared" si="1"/>
        <v>#N/A</v>
      </c>
      <c r="K132" s="301"/>
    </row>
    <row r="133" spans="2:11" s="292" customFormat="1" ht="13.5" hidden="1">
      <c r="B133" s="298">
        <f>PROPONENTES!C132</f>
        <v>0</v>
      </c>
      <c r="C133" s="299">
        <v>114</v>
      </c>
      <c r="D133" s="300" t="e">
        <f>VLOOKUP(B133,PROPONENTES!$C$19:$E$218,2,FALSE)</f>
        <v>#N/A</v>
      </c>
      <c r="E133" s="514" t="e">
        <f>VLOOKUP(B133,HAB.EXP.ESP.!$C$27:$N$226,12,FALSE)</f>
        <v>#N/A</v>
      </c>
      <c r="F133" s="385" t="e">
        <f>VLOOKUP(B133,PON.EXP.ESP.!$C$30:$J$229,6,FALSE)</f>
        <v>#N/A</v>
      </c>
      <c r="G133" s="383" t="e">
        <f>VLOOKUP(B133,PON.EXP.ESP.!$C$30:$J$229,8,FALSE)</f>
        <v>#N/A</v>
      </c>
      <c r="H133" s="383">
        <f>VLOOKUP(B133,VIN.PERS.DISC.!$B$19:$D$218,3,FALSE)</f>
        <v>0</v>
      </c>
      <c r="I133" s="384">
        <f>VLOOKUP(B133,'APOYO A IND. NAL.'!$B$19:$D$218,3,FALSE)</f>
        <v>0</v>
      </c>
      <c r="J133" s="384" t="e">
        <f t="shared" si="1"/>
        <v>#N/A</v>
      </c>
      <c r="K133" s="301"/>
    </row>
    <row r="134" spans="2:11" s="292" customFormat="1" ht="13.5" hidden="1">
      <c r="B134" s="298">
        <f>PROPONENTES!C133</f>
        <v>0</v>
      </c>
      <c r="C134" s="299">
        <v>115</v>
      </c>
      <c r="D134" s="300" t="e">
        <f>VLOOKUP(B134,PROPONENTES!$C$19:$E$218,2,FALSE)</f>
        <v>#N/A</v>
      </c>
      <c r="E134" s="514" t="e">
        <f>VLOOKUP(B134,HAB.EXP.ESP.!$C$27:$N$226,12,FALSE)</f>
        <v>#N/A</v>
      </c>
      <c r="F134" s="385" t="e">
        <f>VLOOKUP(B134,PON.EXP.ESP.!$C$30:$J$229,6,FALSE)</f>
        <v>#N/A</v>
      </c>
      <c r="G134" s="383" t="e">
        <f>VLOOKUP(B134,PON.EXP.ESP.!$C$30:$J$229,8,FALSE)</f>
        <v>#N/A</v>
      </c>
      <c r="H134" s="383">
        <f>VLOOKUP(B134,VIN.PERS.DISC.!$B$19:$D$218,3,FALSE)</f>
        <v>0</v>
      </c>
      <c r="I134" s="384">
        <f>VLOOKUP(B134,'APOYO A IND. NAL.'!$B$19:$D$218,3,FALSE)</f>
        <v>0</v>
      </c>
      <c r="J134" s="384" t="e">
        <f t="shared" si="1"/>
        <v>#N/A</v>
      </c>
      <c r="K134" s="301"/>
    </row>
    <row r="135" spans="2:11" s="292" customFormat="1" ht="13.5" hidden="1">
      <c r="B135" s="298">
        <f>PROPONENTES!C134</f>
        <v>0</v>
      </c>
      <c r="C135" s="299">
        <v>116</v>
      </c>
      <c r="D135" s="300" t="e">
        <f>VLOOKUP(B135,PROPONENTES!$C$19:$E$218,2,FALSE)</f>
        <v>#N/A</v>
      </c>
      <c r="E135" s="514" t="e">
        <f>VLOOKUP(B135,HAB.EXP.ESP.!$C$27:$N$226,12,FALSE)</f>
        <v>#N/A</v>
      </c>
      <c r="F135" s="385" t="e">
        <f>VLOOKUP(B135,PON.EXP.ESP.!$C$30:$J$229,6,FALSE)</f>
        <v>#N/A</v>
      </c>
      <c r="G135" s="383" t="e">
        <f>VLOOKUP(B135,PON.EXP.ESP.!$C$30:$J$229,8,FALSE)</f>
        <v>#N/A</v>
      </c>
      <c r="H135" s="383">
        <f>VLOOKUP(B135,VIN.PERS.DISC.!$B$19:$D$218,3,FALSE)</f>
        <v>0</v>
      </c>
      <c r="I135" s="384">
        <f>VLOOKUP(B135,'APOYO A IND. NAL.'!$B$19:$D$218,3,FALSE)</f>
        <v>0</v>
      </c>
      <c r="J135" s="384" t="e">
        <f t="shared" si="1"/>
        <v>#N/A</v>
      </c>
      <c r="K135" s="301"/>
    </row>
    <row r="136" spans="2:11" s="292" customFormat="1" ht="13.5" hidden="1">
      <c r="B136" s="298">
        <f>PROPONENTES!C135</f>
        <v>0</v>
      </c>
      <c r="C136" s="299">
        <v>117</v>
      </c>
      <c r="D136" s="300" t="e">
        <f>VLOOKUP(B136,PROPONENTES!$C$19:$E$218,2,FALSE)</f>
        <v>#N/A</v>
      </c>
      <c r="E136" s="514" t="e">
        <f>VLOOKUP(B136,HAB.EXP.ESP.!$C$27:$N$226,12,FALSE)</f>
        <v>#N/A</v>
      </c>
      <c r="F136" s="385" t="e">
        <f>VLOOKUP(B136,PON.EXP.ESP.!$C$30:$J$229,6,FALSE)</f>
        <v>#N/A</v>
      </c>
      <c r="G136" s="383" t="e">
        <f>VLOOKUP(B136,PON.EXP.ESP.!$C$30:$J$229,8,FALSE)</f>
        <v>#N/A</v>
      </c>
      <c r="H136" s="383">
        <f>VLOOKUP(B136,VIN.PERS.DISC.!$B$19:$D$218,3,FALSE)</f>
        <v>0</v>
      </c>
      <c r="I136" s="384">
        <f>VLOOKUP(B136,'APOYO A IND. NAL.'!$B$19:$D$218,3,FALSE)</f>
        <v>0</v>
      </c>
      <c r="J136" s="384" t="e">
        <f t="shared" si="1"/>
        <v>#N/A</v>
      </c>
      <c r="K136" s="301"/>
    </row>
    <row r="137" spans="2:11" s="292" customFormat="1" ht="13.5" hidden="1">
      <c r="B137" s="298">
        <f>PROPONENTES!C136</f>
        <v>0</v>
      </c>
      <c r="C137" s="299">
        <v>118</v>
      </c>
      <c r="D137" s="300" t="e">
        <f>VLOOKUP(B137,PROPONENTES!$C$19:$E$218,2,FALSE)</f>
        <v>#N/A</v>
      </c>
      <c r="E137" s="514" t="e">
        <f>VLOOKUP(B137,HAB.EXP.ESP.!$C$27:$N$226,12,FALSE)</f>
        <v>#N/A</v>
      </c>
      <c r="F137" s="385" t="e">
        <f>VLOOKUP(B137,PON.EXP.ESP.!$C$30:$J$229,6,FALSE)</f>
        <v>#N/A</v>
      </c>
      <c r="G137" s="383" t="e">
        <f>VLOOKUP(B137,PON.EXP.ESP.!$C$30:$J$229,8,FALSE)</f>
        <v>#N/A</v>
      </c>
      <c r="H137" s="383">
        <f>VLOOKUP(B137,VIN.PERS.DISC.!$B$19:$D$218,3,FALSE)</f>
        <v>0</v>
      </c>
      <c r="I137" s="384">
        <f>VLOOKUP(B137,'APOYO A IND. NAL.'!$B$19:$D$218,3,FALSE)</f>
        <v>0</v>
      </c>
      <c r="J137" s="384" t="e">
        <f t="shared" si="1"/>
        <v>#N/A</v>
      </c>
      <c r="K137" s="301"/>
    </row>
    <row r="138" spans="2:11" s="292" customFormat="1" ht="13.5" hidden="1">
      <c r="B138" s="298">
        <f>PROPONENTES!C137</f>
        <v>0</v>
      </c>
      <c r="C138" s="299">
        <v>119</v>
      </c>
      <c r="D138" s="300" t="e">
        <f>VLOOKUP(B138,PROPONENTES!$C$19:$E$218,2,FALSE)</f>
        <v>#N/A</v>
      </c>
      <c r="E138" s="514" t="e">
        <f>VLOOKUP(B138,HAB.EXP.ESP.!$C$27:$N$226,12,FALSE)</f>
        <v>#N/A</v>
      </c>
      <c r="F138" s="385" t="e">
        <f>VLOOKUP(B138,PON.EXP.ESP.!$C$30:$J$229,6,FALSE)</f>
        <v>#N/A</v>
      </c>
      <c r="G138" s="383" t="e">
        <f>VLOOKUP(B138,PON.EXP.ESP.!$C$30:$J$229,8,FALSE)</f>
        <v>#N/A</v>
      </c>
      <c r="H138" s="383">
        <f>VLOOKUP(B138,VIN.PERS.DISC.!$B$19:$D$218,3,FALSE)</f>
        <v>0</v>
      </c>
      <c r="I138" s="384">
        <f>VLOOKUP(B138,'APOYO A IND. NAL.'!$B$19:$D$218,3,FALSE)</f>
        <v>0</v>
      </c>
      <c r="J138" s="384" t="e">
        <f t="shared" si="1"/>
        <v>#N/A</v>
      </c>
      <c r="K138" s="301"/>
    </row>
    <row r="139" spans="2:11" s="292" customFormat="1" ht="13.5" hidden="1">
      <c r="B139" s="298">
        <f>PROPONENTES!C138</f>
        <v>0</v>
      </c>
      <c r="C139" s="299">
        <v>120</v>
      </c>
      <c r="D139" s="300" t="e">
        <f>VLOOKUP(B139,PROPONENTES!$C$19:$E$218,2,FALSE)</f>
        <v>#N/A</v>
      </c>
      <c r="E139" s="514" t="e">
        <f>VLOOKUP(B139,HAB.EXP.ESP.!$C$27:$N$226,12,FALSE)</f>
        <v>#N/A</v>
      </c>
      <c r="F139" s="385" t="e">
        <f>VLOOKUP(B139,PON.EXP.ESP.!$C$30:$J$229,6,FALSE)</f>
        <v>#N/A</v>
      </c>
      <c r="G139" s="383" t="e">
        <f>VLOOKUP(B139,PON.EXP.ESP.!$C$30:$J$229,8,FALSE)</f>
        <v>#N/A</v>
      </c>
      <c r="H139" s="383">
        <f>VLOOKUP(B139,VIN.PERS.DISC.!$B$19:$D$218,3,FALSE)</f>
        <v>0</v>
      </c>
      <c r="I139" s="384">
        <f>VLOOKUP(B139,'APOYO A IND. NAL.'!$B$19:$D$218,3,FALSE)</f>
        <v>0</v>
      </c>
      <c r="J139" s="384" t="e">
        <f t="shared" si="1"/>
        <v>#N/A</v>
      </c>
      <c r="K139" s="301"/>
    </row>
    <row r="140" spans="2:11" s="292" customFormat="1" ht="13.5" hidden="1">
      <c r="B140" s="298">
        <f>PROPONENTES!C139</f>
        <v>0</v>
      </c>
      <c r="C140" s="299">
        <v>121</v>
      </c>
      <c r="D140" s="300" t="e">
        <f>VLOOKUP(B140,PROPONENTES!$C$19:$E$218,2,FALSE)</f>
        <v>#N/A</v>
      </c>
      <c r="E140" s="514" t="e">
        <f>VLOOKUP(B140,HAB.EXP.ESP.!$C$27:$N$226,12,FALSE)</f>
        <v>#N/A</v>
      </c>
      <c r="F140" s="385" t="e">
        <f>VLOOKUP(B140,PON.EXP.ESP.!$C$30:$J$229,6,FALSE)</f>
        <v>#N/A</v>
      </c>
      <c r="G140" s="383" t="e">
        <f>VLOOKUP(B140,PON.EXP.ESP.!$C$30:$J$229,8,FALSE)</f>
        <v>#N/A</v>
      </c>
      <c r="H140" s="383">
        <f>VLOOKUP(B140,VIN.PERS.DISC.!$B$19:$D$218,3,FALSE)</f>
        <v>0</v>
      </c>
      <c r="I140" s="384">
        <f>VLOOKUP(B140,'APOYO A IND. NAL.'!$B$19:$D$218,3,FALSE)</f>
        <v>0</v>
      </c>
      <c r="J140" s="384" t="e">
        <f t="shared" si="1"/>
        <v>#N/A</v>
      </c>
      <c r="K140" s="301"/>
    </row>
    <row r="141" spans="2:11" s="292" customFormat="1" ht="13.5" hidden="1">
      <c r="B141" s="298">
        <f>PROPONENTES!C140</f>
        <v>0</v>
      </c>
      <c r="C141" s="299">
        <v>122</v>
      </c>
      <c r="D141" s="300" t="e">
        <f>VLOOKUP(B141,PROPONENTES!$C$19:$E$218,2,FALSE)</f>
        <v>#N/A</v>
      </c>
      <c r="E141" s="514" t="e">
        <f>VLOOKUP(B141,HAB.EXP.ESP.!$C$27:$N$226,12,FALSE)</f>
        <v>#N/A</v>
      </c>
      <c r="F141" s="385" t="e">
        <f>VLOOKUP(B141,PON.EXP.ESP.!$C$30:$J$229,6,FALSE)</f>
        <v>#N/A</v>
      </c>
      <c r="G141" s="383" t="e">
        <f>VLOOKUP(B141,PON.EXP.ESP.!$C$30:$J$229,8,FALSE)</f>
        <v>#N/A</v>
      </c>
      <c r="H141" s="383">
        <f>VLOOKUP(B141,VIN.PERS.DISC.!$B$19:$D$218,3,FALSE)</f>
        <v>0</v>
      </c>
      <c r="I141" s="384">
        <f>VLOOKUP(B141,'APOYO A IND. NAL.'!$B$19:$D$218,3,FALSE)</f>
        <v>0</v>
      </c>
      <c r="J141" s="384" t="e">
        <f t="shared" si="1"/>
        <v>#N/A</v>
      </c>
      <c r="K141" s="301"/>
    </row>
    <row r="142" spans="2:11" s="292" customFormat="1" ht="13.5" hidden="1">
      <c r="B142" s="298">
        <f>PROPONENTES!C141</f>
        <v>0</v>
      </c>
      <c r="C142" s="299">
        <v>123</v>
      </c>
      <c r="D142" s="300" t="e">
        <f>VLOOKUP(B142,PROPONENTES!$C$19:$E$218,2,FALSE)</f>
        <v>#N/A</v>
      </c>
      <c r="E142" s="514" t="e">
        <f>VLOOKUP(B142,HAB.EXP.ESP.!$C$27:$N$226,12,FALSE)</f>
        <v>#N/A</v>
      </c>
      <c r="F142" s="385" t="e">
        <f>VLOOKUP(B142,PON.EXP.ESP.!$C$30:$J$229,6,FALSE)</f>
        <v>#N/A</v>
      </c>
      <c r="G142" s="383" t="e">
        <f>VLOOKUP(B142,PON.EXP.ESP.!$C$30:$J$229,8,FALSE)</f>
        <v>#N/A</v>
      </c>
      <c r="H142" s="383">
        <f>VLOOKUP(B142,VIN.PERS.DISC.!$B$19:$D$218,3,FALSE)</f>
        <v>0</v>
      </c>
      <c r="I142" s="384">
        <f>VLOOKUP(B142,'APOYO A IND. NAL.'!$B$19:$D$218,3,FALSE)</f>
        <v>0</v>
      </c>
      <c r="J142" s="384" t="e">
        <f t="shared" si="1"/>
        <v>#N/A</v>
      </c>
      <c r="K142" s="301"/>
    </row>
    <row r="143" spans="2:11" s="292" customFormat="1" ht="13.5" hidden="1">
      <c r="B143" s="298">
        <f>PROPONENTES!C142</f>
        <v>0</v>
      </c>
      <c r="C143" s="299">
        <v>124</v>
      </c>
      <c r="D143" s="300" t="e">
        <f>VLOOKUP(B143,PROPONENTES!$C$19:$E$218,2,FALSE)</f>
        <v>#N/A</v>
      </c>
      <c r="E143" s="514" t="e">
        <f>VLOOKUP(B143,HAB.EXP.ESP.!$C$27:$N$226,12,FALSE)</f>
        <v>#N/A</v>
      </c>
      <c r="F143" s="385" t="e">
        <f>VLOOKUP(B143,PON.EXP.ESP.!$C$30:$J$229,6,FALSE)</f>
        <v>#N/A</v>
      </c>
      <c r="G143" s="383" t="e">
        <f>VLOOKUP(B143,PON.EXP.ESP.!$C$30:$J$229,8,FALSE)</f>
        <v>#N/A</v>
      </c>
      <c r="H143" s="383">
        <f>VLOOKUP(B143,VIN.PERS.DISC.!$B$19:$D$218,3,FALSE)</f>
        <v>0</v>
      </c>
      <c r="I143" s="384">
        <f>VLOOKUP(B143,'APOYO A IND. NAL.'!$B$19:$D$218,3,FALSE)</f>
        <v>0</v>
      </c>
      <c r="J143" s="384" t="e">
        <f t="shared" si="1"/>
        <v>#N/A</v>
      </c>
      <c r="K143" s="301"/>
    </row>
    <row r="144" spans="2:11" s="292" customFormat="1" ht="13.5" hidden="1">
      <c r="B144" s="298">
        <f>PROPONENTES!C143</f>
        <v>0</v>
      </c>
      <c r="C144" s="299">
        <v>125</v>
      </c>
      <c r="D144" s="300" t="e">
        <f>VLOOKUP(B144,PROPONENTES!$C$19:$E$218,2,FALSE)</f>
        <v>#N/A</v>
      </c>
      <c r="E144" s="514" t="e">
        <f>VLOOKUP(B144,HAB.EXP.ESP.!$C$27:$N$226,12,FALSE)</f>
        <v>#N/A</v>
      </c>
      <c r="F144" s="385" t="e">
        <f>VLOOKUP(B144,PON.EXP.ESP.!$C$30:$J$229,6,FALSE)</f>
        <v>#N/A</v>
      </c>
      <c r="G144" s="383" t="e">
        <f>VLOOKUP(B144,PON.EXP.ESP.!$C$30:$J$229,8,FALSE)</f>
        <v>#N/A</v>
      </c>
      <c r="H144" s="383">
        <f>VLOOKUP(B144,VIN.PERS.DISC.!$B$19:$D$218,3,FALSE)</f>
        <v>0</v>
      </c>
      <c r="I144" s="384">
        <f>VLOOKUP(B144,'APOYO A IND. NAL.'!$B$19:$D$218,3,FALSE)</f>
        <v>0</v>
      </c>
      <c r="J144" s="384" t="e">
        <f t="shared" si="1"/>
        <v>#N/A</v>
      </c>
      <c r="K144" s="301"/>
    </row>
    <row r="145" spans="2:11" s="292" customFormat="1" ht="13.5" hidden="1">
      <c r="B145" s="298">
        <f>PROPONENTES!C144</f>
        <v>0</v>
      </c>
      <c r="C145" s="299">
        <v>126</v>
      </c>
      <c r="D145" s="300" t="e">
        <f>VLOOKUP(B145,PROPONENTES!$C$19:$E$218,2,FALSE)</f>
        <v>#N/A</v>
      </c>
      <c r="E145" s="514" t="e">
        <f>VLOOKUP(B145,HAB.EXP.ESP.!$C$27:$N$226,12,FALSE)</f>
        <v>#N/A</v>
      </c>
      <c r="F145" s="385" t="e">
        <f>VLOOKUP(B145,PON.EXP.ESP.!$C$30:$J$229,6,FALSE)</f>
        <v>#N/A</v>
      </c>
      <c r="G145" s="383" t="e">
        <f>VLOOKUP(B145,PON.EXP.ESP.!$C$30:$J$229,8,FALSE)</f>
        <v>#N/A</v>
      </c>
      <c r="H145" s="383">
        <f>VLOOKUP(B145,VIN.PERS.DISC.!$B$19:$D$218,3,FALSE)</f>
        <v>0</v>
      </c>
      <c r="I145" s="384">
        <f>VLOOKUP(B145,'APOYO A IND. NAL.'!$B$19:$D$218,3,FALSE)</f>
        <v>0</v>
      </c>
      <c r="J145" s="384" t="e">
        <f t="shared" si="1"/>
        <v>#N/A</v>
      </c>
      <c r="K145" s="301"/>
    </row>
    <row r="146" spans="2:11" s="292" customFormat="1" ht="13.5" hidden="1">
      <c r="B146" s="298">
        <f>PROPONENTES!C145</f>
        <v>0</v>
      </c>
      <c r="C146" s="299">
        <v>127</v>
      </c>
      <c r="D146" s="300" t="e">
        <f>VLOOKUP(B146,PROPONENTES!$C$19:$E$218,2,FALSE)</f>
        <v>#N/A</v>
      </c>
      <c r="E146" s="514" t="e">
        <f>VLOOKUP(B146,HAB.EXP.ESP.!$C$27:$N$226,12,FALSE)</f>
        <v>#N/A</v>
      </c>
      <c r="F146" s="385" t="e">
        <f>VLOOKUP(B146,PON.EXP.ESP.!$C$30:$J$229,6,FALSE)</f>
        <v>#N/A</v>
      </c>
      <c r="G146" s="383" t="e">
        <f>VLOOKUP(B146,PON.EXP.ESP.!$C$30:$J$229,8,FALSE)</f>
        <v>#N/A</v>
      </c>
      <c r="H146" s="383">
        <f>VLOOKUP(B146,VIN.PERS.DISC.!$B$19:$D$218,3,FALSE)</f>
        <v>0</v>
      </c>
      <c r="I146" s="384">
        <f>VLOOKUP(B146,'APOYO A IND. NAL.'!$B$19:$D$218,3,FALSE)</f>
        <v>0</v>
      </c>
      <c r="J146" s="384" t="e">
        <f t="shared" si="1"/>
        <v>#N/A</v>
      </c>
      <c r="K146" s="301"/>
    </row>
    <row r="147" spans="2:11" s="292" customFormat="1" ht="13.5" hidden="1">
      <c r="B147" s="298">
        <f>PROPONENTES!C146</f>
        <v>0</v>
      </c>
      <c r="C147" s="299">
        <v>128</v>
      </c>
      <c r="D147" s="300" t="e">
        <f>VLOOKUP(B147,PROPONENTES!$C$19:$E$218,2,FALSE)</f>
        <v>#N/A</v>
      </c>
      <c r="E147" s="514" t="e">
        <f>VLOOKUP(B147,HAB.EXP.ESP.!$C$27:$N$226,12,FALSE)</f>
        <v>#N/A</v>
      </c>
      <c r="F147" s="385" t="e">
        <f>VLOOKUP(B147,PON.EXP.ESP.!$C$30:$J$229,6,FALSE)</f>
        <v>#N/A</v>
      </c>
      <c r="G147" s="383" t="e">
        <f>VLOOKUP(B147,PON.EXP.ESP.!$C$30:$J$229,8,FALSE)</f>
        <v>#N/A</v>
      </c>
      <c r="H147" s="383">
        <f>VLOOKUP(B147,VIN.PERS.DISC.!$B$19:$D$218,3,FALSE)</f>
        <v>0</v>
      </c>
      <c r="I147" s="384">
        <f>VLOOKUP(B147,'APOYO A IND. NAL.'!$B$19:$D$218,3,FALSE)</f>
        <v>0</v>
      </c>
      <c r="J147" s="384" t="e">
        <f t="shared" si="1"/>
        <v>#N/A</v>
      </c>
      <c r="K147" s="301"/>
    </row>
    <row r="148" spans="2:11" s="292" customFormat="1" ht="13.5" hidden="1">
      <c r="B148" s="298">
        <f>PROPONENTES!C147</f>
        <v>0</v>
      </c>
      <c r="C148" s="299">
        <v>129</v>
      </c>
      <c r="D148" s="300" t="e">
        <f>VLOOKUP(B148,PROPONENTES!$C$19:$E$218,2,FALSE)</f>
        <v>#N/A</v>
      </c>
      <c r="E148" s="514" t="e">
        <f>VLOOKUP(B148,HAB.EXP.ESP.!$C$27:$N$226,12,FALSE)</f>
        <v>#N/A</v>
      </c>
      <c r="F148" s="385" t="e">
        <f>VLOOKUP(B148,PON.EXP.ESP.!$C$30:$J$229,6,FALSE)</f>
        <v>#N/A</v>
      </c>
      <c r="G148" s="383" t="e">
        <f>VLOOKUP(B148,PON.EXP.ESP.!$C$30:$J$229,8,FALSE)</f>
        <v>#N/A</v>
      </c>
      <c r="H148" s="383">
        <f>VLOOKUP(B148,VIN.PERS.DISC.!$B$19:$D$218,3,FALSE)</f>
        <v>0</v>
      </c>
      <c r="I148" s="384">
        <f>VLOOKUP(B148,'APOYO A IND. NAL.'!$B$19:$D$218,3,FALSE)</f>
        <v>0</v>
      </c>
      <c r="J148" s="384" t="e">
        <f t="shared" ref="J148:J211" si="2">SUM(F148:I148)</f>
        <v>#N/A</v>
      </c>
      <c r="K148" s="301"/>
    </row>
    <row r="149" spans="2:11" s="292" customFormat="1" ht="13.5" hidden="1">
      <c r="B149" s="298">
        <f>PROPONENTES!C148</f>
        <v>0</v>
      </c>
      <c r="C149" s="299">
        <v>130</v>
      </c>
      <c r="D149" s="300" t="e">
        <f>VLOOKUP(B149,PROPONENTES!$C$19:$E$218,2,FALSE)</f>
        <v>#N/A</v>
      </c>
      <c r="E149" s="514" t="e">
        <f>VLOOKUP(B149,HAB.EXP.ESP.!$C$27:$N$226,12,FALSE)</f>
        <v>#N/A</v>
      </c>
      <c r="F149" s="385" t="e">
        <f>VLOOKUP(B149,PON.EXP.ESP.!$C$30:$J$229,6,FALSE)</f>
        <v>#N/A</v>
      </c>
      <c r="G149" s="383" t="e">
        <f>VLOOKUP(B149,PON.EXP.ESP.!$C$30:$J$229,8,FALSE)</f>
        <v>#N/A</v>
      </c>
      <c r="H149" s="383">
        <f>VLOOKUP(B149,VIN.PERS.DISC.!$B$19:$D$218,3,FALSE)</f>
        <v>0</v>
      </c>
      <c r="I149" s="384">
        <f>VLOOKUP(B149,'APOYO A IND. NAL.'!$B$19:$D$218,3,FALSE)</f>
        <v>0</v>
      </c>
      <c r="J149" s="384" t="e">
        <f t="shared" si="2"/>
        <v>#N/A</v>
      </c>
      <c r="K149" s="301"/>
    </row>
    <row r="150" spans="2:11" s="292" customFormat="1" ht="13.5" hidden="1">
      <c r="B150" s="298">
        <f>PROPONENTES!C149</f>
        <v>0</v>
      </c>
      <c r="C150" s="299">
        <v>131</v>
      </c>
      <c r="D150" s="300" t="e">
        <f>VLOOKUP(B150,PROPONENTES!$C$19:$E$218,2,FALSE)</f>
        <v>#N/A</v>
      </c>
      <c r="E150" s="514" t="e">
        <f>VLOOKUP(B150,HAB.EXP.ESP.!$C$27:$N$226,12,FALSE)</f>
        <v>#N/A</v>
      </c>
      <c r="F150" s="385" t="e">
        <f>VLOOKUP(B150,PON.EXP.ESP.!$C$30:$J$229,6,FALSE)</f>
        <v>#N/A</v>
      </c>
      <c r="G150" s="383" t="e">
        <f>VLOOKUP(B150,PON.EXP.ESP.!$C$30:$J$229,8,FALSE)</f>
        <v>#N/A</v>
      </c>
      <c r="H150" s="383">
        <f>VLOOKUP(B150,VIN.PERS.DISC.!$B$19:$D$218,3,FALSE)</f>
        <v>0</v>
      </c>
      <c r="I150" s="384">
        <f>VLOOKUP(B150,'APOYO A IND. NAL.'!$B$19:$D$218,3,FALSE)</f>
        <v>0</v>
      </c>
      <c r="J150" s="384" t="e">
        <f t="shared" si="2"/>
        <v>#N/A</v>
      </c>
      <c r="K150" s="301"/>
    </row>
    <row r="151" spans="2:11" s="292" customFormat="1" ht="13.5" hidden="1">
      <c r="B151" s="298">
        <f>PROPONENTES!C150</f>
        <v>0</v>
      </c>
      <c r="C151" s="299">
        <v>132</v>
      </c>
      <c r="D151" s="300" t="e">
        <f>VLOOKUP(B151,PROPONENTES!$C$19:$E$218,2,FALSE)</f>
        <v>#N/A</v>
      </c>
      <c r="E151" s="514" t="e">
        <f>VLOOKUP(B151,HAB.EXP.ESP.!$C$27:$N$226,12,FALSE)</f>
        <v>#N/A</v>
      </c>
      <c r="F151" s="385" t="e">
        <f>VLOOKUP(B151,PON.EXP.ESP.!$C$30:$J$229,6,FALSE)</f>
        <v>#N/A</v>
      </c>
      <c r="G151" s="383" t="e">
        <f>VLOOKUP(B151,PON.EXP.ESP.!$C$30:$J$229,8,FALSE)</f>
        <v>#N/A</v>
      </c>
      <c r="H151" s="383">
        <f>VLOOKUP(B151,VIN.PERS.DISC.!$B$19:$D$218,3,FALSE)</f>
        <v>0</v>
      </c>
      <c r="I151" s="384">
        <f>VLOOKUP(B151,'APOYO A IND. NAL.'!$B$19:$D$218,3,FALSE)</f>
        <v>0</v>
      </c>
      <c r="J151" s="384" t="e">
        <f t="shared" si="2"/>
        <v>#N/A</v>
      </c>
      <c r="K151" s="301"/>
    </row>
    <row r="152" spans="2:11" s="292" customFormat="1" ht="13.5" hidden="1">
      <c r="B152" s="298">
        <f>PROPONENTES!C151</f>
        <v>0</v>
      </c>
      <c r="C152" s="299">
        <v>133</v>
      </c>
      <c r="D152" s="300" t="e">
        <f>VLOOKUP(B152,PROPONENTES!$C$19:$E$218,2,FALSE)</f>
        <v>#N/A</v>
      </c>
      <c r="E152" s="514" t="e">
        <f>VLOOKUP(B152,HAB.EXP.ESP.!$C$27:$N$226,12,FALSE)</f>
        <v>#N/A</v>
      </c>
      <c r="F152" s="385" t="e">
        <f>VLOOKUP(B152,PON.EXP.ESP.!$C$30:$J$229,6,FALSE)</f>
        <v>#N/A</v>
      </c>
      <c r="G152" s="383" t="e">
        <f>VLOOKUP(B152,PON.EXP.ESP.!$C$30:$J$229,8,FALSE)</f>
        <v>#N/A</v>
      </c>
      <c r="H152" s="383">
        <f>VLOOKUP(B152,VIN.PERS.DISC.!$B$19:$D$218,3,FALSE)</f>
        <v>0</v>
      </c>
      <c r="I152" s="384">
        <f>VLOOKUP(B152,'APOYO A IND. NAL.'!$B$19:$D$218,3,FALSE)</f>
        <v>0</v>
      </c>
      <c r="J152" s="384" t="e">
        <f t="shared" si="2"/>
        <v>#N/A</v>
      </c>
      <c r="K152" s="301"/>
    </row>
    <row r="153" spans="2:11" s="292" customFormat="1" ht="13.5" hidden="1">
      <c r="B153" s="298">
        <f>PROPONENTES!C152</f>
        <v>0</v>
      </c>
      <c r="C153" s="299">
        <v>134</v>
      </c>
      <c r="D153" s="300" t="e">
        <f>VLOOKUP(B153,PROPONENTES!$C$19:$E$218,2,FALSE)</f>
        <v>#N/A</v>
      </c>
      <c r="E153" s="514" t="e">
        <f>VLOOKUP(B153,HAB.EXP.ESP.!$C$27:$N$226,12,FALSE)</f>
        <v>#N/A</v>
      </c>
      <c r="F153" s="385" t="e">
        <f>VLOOKUP(B153,PON.EXP.ESP.!$C$30:$J$229,6,FALSE)</f>
        <v>#N/A</v>
      </c>
      <c r="G153" s="383" t="e">
        <f>VLOOKUP(B153,PON.EXP.ESP.!$C$30:$J$229,8,FALSE)</f>
        <v>#N/A</v>
      </c>
      <c r="H153" s="383">
        <f>VLOOKUP(B153,VIN.PERS.DISC.!$B$19:$D$218,3,FALSE)</f>
        <v>0</v>
      </c>
      <c r="I153" s="384">
        <f>VLOOKUP(B153,'APOYO A IND. NAL.'!$B$19:$D$218,3,FALSE)</f>
        <v>0</v>
      </c>
      <c r="J153" s="384" t="e">
        <f t="shared" si="2"/>
        <v>#N/A</v>
      </c>
      <c r="K153" s="301"/>
    </row>
    <row r="154" spans="2:11" s="292" customFormat="1" ht="13.5" hidden="1">
      <c r="B154" s="298">
        <f>PROPONENTES!C153</f>
        <v>0</v>
      </c>
      <c r="C154" s="299">
        <v>135</v>
      </c>
      <c r="D154" s="300" t="e">
        <f>VLOOKUP(B154,PROPONENTES!$C$19:$E$218,2,FALSE)</f>
        <v>#N/A</v>
      </c>
      <c r="E154" s="514" t="e">
        <f>VLOOKUP(B154,HAB.EXP.ESP.!$C$27:$N$226,12,FALSE)</f>
        <v>#N/A</v>
      </c>
      <c r="F154" s="385" t="e">
        <f>VLOOKUP(B154,PON.EXP.ESP.!$C$30:$J$229,6,FALSE)</f>
        <v>#N/A</v>
      </c>
      <c r="G154" s="383" t="e">
        <f>VLOOKUP(B154,PON.EXP.ESP.!$C$30:$J$229,8,FALSE)</f>
        <v>#N/A</v>
      </c>
      <c r="H154" s="383">
        <f>VLOOKUP(B154,VIN.PERS.DISC.!$B$19:$D$218,3,FALSE)</f>
        <v>0</v>
      </c>
      <c r="I154" s="384">
        <f>VLOOKUP(B154,'APOYO A IND. NAL.'!$B$19:$D$218,3,FALSE)</f>
        <v>0</v>
      </c>
      <c r="J154" s="384" t="e">
        <f t="shared" si="2"/>
        <v>#N/A</v>
      </c>
      <c r="K154" s="301"/>
    </row>
    <row r="155" spans="2:11" s="292" customFormat="1" ht="13.5" hidden="1">
      <c r="B155" s="298">
        <f>PROPONENTES!C154</f>
        <v>0</v>
      </c>
      <c r="C155" s="299">
        <v>136</v>
      </c>
      <c r="D155" s="300" t="e">
        <f>VLOOKUP(B155,PROPONENTES!$C$19:$E$218,2,FALSE)</f>
        <v>#N/A</v>
      </c>
      <c r="E155" s="514" t="e">
        <f>VLOOKUP(B155,HAB.EXP.ESP.!$C$27:$N$226,12,FALSE)</f>
        <v>#N/A</v>
      </c>
      <c r="F155" s="385" t="e">
        <f>VLOOKUP(B155,PON.EXP.ESP.!$C$30:$J$229,6,FALSE)</f>
        <v>#N/A</v>
      </c>
      <c r="G155" s="383" t="e">
        <f>VLOOKUP(B155,PON.EXP.ESP.!$C$30:$J$229,8,FALSE)</f>
        <v>#N/A</v>
      </c>
      <c r="H155" s="383">
        <f>VLOOKUP(B155,VIN.PERS.DISC.!$B$19:$D$218,3,FALSE)</f>
        <v>0</v>
      </c>
      <c r="I155" s="384">
        <f>VLOOKUP(B155,'APOYO A IND. NAL.'!$B$19:$D$218,3,FALSE)</f>
        <v>0</v>
      </c>
      <c r="J155" s="384" t="e">
        <f t="shared" si="2"/>
        <v>#N/A</v>
      </c>
      <c r="K155" s="301"/>
    </row>
    <row r="156" spans="2:11" s="292" customFormat="1" ht="13.5" hidden="1">
      <c r="B156" s="298">
        <f>PROPONENTES!C155</f>
        <v>0</v>
      </c>
      <c r="C156" s="299">
        <v>137</v>
      </c>
      <c r="D156" s="300" t="e">
        <f>VLOOKUP(B156,PROPONENTES!$C$19:$E$218,2,FALSE)</f>
        <v>#N/A</v>
      </c>
      <c r="E156" s="514" t="e">
        <f>VLOOKUP(B156,HAB.EXP.ESP.!$C$27:$N$226,12,FALSE)</f>
        <v>#N/A</v>
      </c>
      <c r="F156" s="385" t="e">
        <f>VLOOKUP(B156,PON.EXP.ESP.!$C$30:$J$229,6,FALSE)</f>
        <v>#N/A</v>
      </c>
      <c r="G156" s="383" t="e">
        <f>VLOOKUP(B156,PON.EXP.ESP.!$C$30:$J$229,8,FALSE)</f>
        <v>#N/A</v>
      </c>
      <c r="H156" s="383">
        <f>VLOOKUP(B156,VIN.PERS.DISC.!$B$19:$D$218,3,FALSE)</f>
        <v>0</v>
      </c>
      <c r="I156" s="384">
        <f>VLOOKUP(B156,'APOYO A IND. NAL.'!$B$19:$D$218,3,FALSE)</f>
        <v>0</v>
      </c>
      <c r="J156" s="384" t="e">
        <f t="shared" si="2"/>
        <v>#N/A</v>
      </c>
      <c r="K156" s="301"/>
    </row>
    <row r="157" spans="2:11" s="292" customFormat="1" ht="13.5" hidden="1">
      <c r="B157" s="298">
        <f>PROPONENTES!C156</f>
        <v>0</v>
      </c>
      <c r="C157" s="299">
        <v>138</v>
      </c>
      <c r="D157" s="300" t="e">
        <f>VLOOKUP(B157,PROPONENTES!$C$19:$E$218,2,FALSE)</f>
        <v>#N/A</v>
      </c>
      <c r="E157" s="514" t="e">
        <f>VLOOKUP(B157,HAB.EXP.ESP.!$C$27:$N$226,12,FALSE)</f>
        <v>#N/A</v>
      </c>
      <c r="F157" s="385" t="e">
        <f>VLOOKUP(B157,PON.EXP.ESP.!$C$30:$J$229,6,FALSE)</f>
        <v>#N/A</v>
      </c>
      <c r="G157" s="383" t="e">
        <f>VLOOKUP(B157,PON.EXP.ESP.!$C$30:$J$229,8,FALSE)</f>
        <v>#N/A</v>
      </c>
      <c r="H157" s="383">
        <f>VLOOKUP(B157,VIN.PERS.DISC.!$B$19:$D$218,3,FALSE)</f>
        <v>0</v>
      </c>
      <c r="I157" s="384">
        <f>VLOOKUP(B157,'APOYO A IND. NAL.'!$B$19:$D$218,3,FALSE)</f>
        <v>0</v>
      </c>
      <c r="J157" s="384" t="e">
        <f t="shared" si="2"/>
        <v>#N/A</v>
      </c>
      <c r="K157" s="301"/>
    </row>
    <row r="158" spans="2:11" s="292" customFormat="1" ht="13.5" hidden="1">
      <c r="B158" s="298">
        <f>PROPONENTES!C157</f>
        <v>0</v>
      </c>
      <c r="C158" s="299">
        <v>139</v>
      </c>
      <c r="D158" s="300" t="e">
        <f>VLOOKUP(B158,PROPONENTES!$C$19:$E$218,2,FALSE)</f>
        <v>#N/A</v>
      </c>
      <c r="E158" s="514" t="e">
        <f>VLOOKUP(B158,HAB.EXP.ESP.!$C$27:$N$226,12,FALSE)</f>
        <v>#N/A</v>
      </c>
      <c r="F158" s="385" t="e">
        <f>VLOOKUP(B158,PON.EXP.ESP.!$C$30:$J$229,6,FALSE)</f>
        <v>#N/A</v>
      </c>
      <c r="G158" s="383" t="e">
        <f>VLOOKUP(B158,PON.EXP.ESP.!$C$30:$J$229,8,FALSE)</f>
        <v>#N/A</v>
      </c>
      <c r="H158" s="383">
        <f>VLOOKUP(B158,VIN.PERS.DISC.!$B$19:$D$218,3,FALSE)</f>
        <v>0</v>
      </c>
      <c r="I158" s="384">
        <f>VLOOKUP(B158,'APOYO A IND. NAL.'!$B$19:$D$218,3,FALSE)</f>
        <v>0</v>
      </c>
      <c r="J158" s="384" t="e">
        <f t="shared" si="2"/>
        <v>#N/A</v>
      </c>
      <c r="K158" s="301"/>
    </row>
    <row r="159" spans="2:11" s="292" customFormat="1" ht="13.5" hidden="1">
      <c r="B159" s="298">
        <f>PROPONENTES!C158</f>
        <v>0</v>
      </c>
      <c r="C159" s="299">
        <v>140</v>
      </c>
      <c r="D159" s="300" t="e">
        <f>VLOOKUP(B159,PROPONENTES!$C$19:$E$218,2,FALSE)</f>
        <v>#N/A</v>
      </c>
      <c r="E159" s="514" t="e">
        <f>VLOOKUP(B159,HAB.EXP.ESP.!$C$27:$N$226,12,FALSE)</f>
        <v>#N/A</v>
      </c>
      <c r="F159" s="385" t="e">
        <f>VLOOKUP(B159,PON.EXP.ESP.!$C$30:$J$229,6,FALSE)</f>
        <v>#N/A</v>
      </c>
      <c r="G159" s="383" t="e">
        <f>VLOOKUP(B159,PON.EXP.ESP.!$C$30:$J$229,8,FALSE)</f>
        <v>#N/A</v>
      </c>
      <c r="H159" s="383">
        <f>VLOOKUP(B159,VIN.PERS.DISC.!$B$19:$D$218,3,FALSE)</f>
        <v>0</v>
      </c>
      <c r="I159" s="384">
        <f>VLOOKUP(B159,'APOYO A IND. NAL.'!$B$19:$D$218,3,FALSE)</f>
        <v>0</v>
      </c>
      <c r="J159" s="384" t="e">
        <f t="shared" si="2"/>
        <v>#N/A</v>
      </c>
      <c r="K159" s="301"/>
    </row>
    <row r="160" spans="2:11" s="292" customFormat="1" ht="13.5" hidden="1">
      <c r="B160" s="298">
        <f>PROPONENTES!C159</f>
        <v>0</v>
      </c>
      <c r="C160" s="299">
        <v>141</v>
      </c>
      <c r="D160" s="300" t="e">
        <f>VLOOKUP(B160,PROPONENTES!$C$19:$E$218,2,FALSE)</f>
        <v>#N/A</v>
      </c>
      <c r="E160" s="514" t="e">
        <f>VLOOKUP(B160,HAB.EXP.ESP.!$C$27:$N$226,12,FALSE)</f>
        <v>#N/A</v>
      </c>
      <c r="F160" s="385" t="e">
        <f>VLOOKUP(B160,PON.EXP.ESP.!$C$30:$J$229,6,FALSE)</f>
        <v>#N/A</v>
      </c>
      <c r="G160" s="383" t="e">
        <f>VLOOKUP(B160,PON.EXP.ESP.!$C$30:$J$229,8,FALSE)</f>
        <v>#N/A</v>
      </c>
      <c r="H160" s="383">
        <f>VLOOKUP(B160,VIN.PERS.DISC.!$B$19:$D$218,3,FALSE)</f>
        <v>0</v>
      </c>
      <c r="I160" s="384">
        <f>VLOOKUP(B160,'APOYO A IND. NAL.'!$B$19:$D$218,3,FALSE)</f>
        <v>0</v>
      </c>
      <c r="J160" s="384" t="e">
        <f t="shared" si="2"/>
        <v>#N/A</v>
      </c>
      <c r="K160" s="301"/>
    </row>
    <row r="161" spans="2:11" s="292" customFormat="1" ht="13.5" hidden="1">
      <c r="B161" s="298">
        <f>PROPONENTES!C160</f>
        <v>0</v>
      </c>
      <c r="C161" s="299">
        <v>142</v>
      </c>
      <c r="D161" s="300" t="e">
        <f>VLOOKUP(B161,PROPONENTES!$C$19:$E$218,2,FALSE)</f>
        <v>#N/A</v>
      </c>
      <c r="E161" s="514" t="e">
        <f>VLOOKUP(B161,HAB.EXP.ESP.!$C$27:$N$226,12,FALSE)</f>
        <v>#N/A</v>
      </c>
      <c r="F161" s="385" t="e">
        <f>VLOOKUP(B161,PON.EXP.ESP.!$C$30:$J$229,6,FALSE)</f>
        <v>#N/A</v>
      </c>
      <c r="G161" s="383" t="e">
        <f>VLOOKUP(B161,PON.EXP.ESP.!$C$30:$J$229,8,FALSE)</f>
        <v>#N/A</v>
      </c>
      <c r="H161" s="383">
        <f>VLOOKUP(B161,VIN.PERS.DISC.!$B$19:$D$218,3,FALSE)</f>
        <v>0</v>
      </c>
      <c r="I161" s="384">
        <f>VLOOKUP(B161,'APOYO A IND. NAL.'!$B$19:$D$218,3,FALSE)</f>
        <v>0</v>
      </c>
      <c r="J161" s="384" t="e">
        <f t="shared" si="2"/>
        <v>#N/A</v>
      </c>
      <c r="K161" s="301"/>
    </row>
    <row r="162" spans="2:11" s="292" customFormat="1" ht="13.5" hidden="1">
      <c r="B162" s="298">
        <f>PROPONENTES!C161</f>
        <v>0</v>
      </c>
      <c r="C162" s="299">
        <v>143</v>
      </c>
      <c r="D162" s="300" t="e">
        <f>VLOOKUP(B162,PROPONENTES!$C$19:$E$218,2,FALSE)</f>
        <v>#N/A</v>
      </c>
      <c r="E162" s="514" t="e">
        <f>VLOOKUP(B162,HAB.EXP.ESP.!$C$27:$N$226,12,FALSE)</f>
        <v>#N/A</v>
      </c>
      <c r="F162" s="385" t="e">
        <f>VLOOKUP(B162,PON.EXP.ESP.!$C$30:$J$229,6,FALSE)</f>
        <v>#N/A</v>
      </c>
      <c r="G162" s="383" t="e">
        <f>VLOOKUP(B162,PON.EXP.ESP.!$C$30:$J$229,8,FALSE)</f>
        <v>#N/A</v>
      </c>
      <c r="H162" s="383">
        <f>VLOOKUP(B162,VIN.PERS.DISC.!$B$19:$D$218,3,FALSE)</f>
        <v>0</v>
      </c>
      <c r="I162" s="384">
        <f>VLOOKUP(B162,'APOYO A IND. NAL.'!$B$19:$D$218,3,FALSE)</f>
        <v>0</v>
      </c>
      <c r="J162" s="384" t="e">
        <f t="shared" si="2"/>
        <v>#N/A</v>
      </c>
      <c r="K162" s="301"/>
    </row>
    <row r="163" spans="2:11" s="292" customFormat="1" ht="13.5" hidden="1">
      <c r="B163" s="298">
        <f>PROPONENTES!C162</f>
        <v>0</v>
      </c>
      <c r="C163" s="299">
        <v>144</v>
      </c>
      <c r="D163" s="300" t="e">
        <f>VLOOKUP(B163,PROPONENTES!$C$19:$E$218,2,FALSE)</f>
        <v>#N/A</v>
      </c>
      <c r="E163" s="514" t="e">
        <f>VLOOKUP(B163,HAB.EXP.ESP.!$C$27:$N$226,12,FALSE)</f>
        <v>#N/A</v>
      </c>
      <c r="F163" s="385" t="e">
        <f>VLOOKUP(B163,PON.EXP.ESP.!$C$30:$J$229,6,FALSE)</f>
        <v>#N/A</v>
      </c>
      <c r="G163" s="383" t="e">
        <f>VLOOKUP(B163,PON.EXP.ESP.!$C$30:$J$229,8,FALSE)</f>
        <v>#N/A</v>
      </c>
      <c r="H163" s="383">
        <f>VLOOKUP(B163,VIN.PERS.DISC.!$B$19:$D$218,3,FALSE)</f>
        <v>0</v>
      </c>
      <c r="I163" s="384">
        <f>VLOOKUP(B163,'APOYO A IND. NAL.'!$B$19:$D$218,3,FALSE)</f>
        <v>0</v>
      </c>
      <c r="J163" s="384" t="e">
        <f t="shared" si="2"/>
        <v>#N/A</v>
      </c>
      <c r="K163" s="301"/>
    </row>
    <row r="164" spans="2:11" s="292" customFormat="1" ht="13.5" hidden="1">
      <c r="B164" s="298">
        <f>PROPONENTES!C163</f>
        <v>0</v>
      </c>
      <c r="C164" s="299">
        <v>145</v>
      </c>
      <c r="D164" s="300" t="e">
        <f>VLOOKUP(B164,PROPONENTES!$C$19:$E$218,2,FALSE)</f>
        <v>#N/A</v>
      </c>
      <c r="E164" s="514" t="e">
        <f>VLOOKUP(B164,HAB.EXP.ESP.!$C$27:$N$226,12,FALSE)</f>
        <v>#N/A</v>
      </c>
      <c r="F164" s="385" t="e">
        <f>VLOOKUP(B164,PON.EXP.ESP.!$C$30:$J$229,6,FALSE)</f>
        <v>#N/A</v>
      </c>
      <c r="G164" s="383" t="e">
        <f>VLOOKUP(B164,PON.EXP.ESP.!$C$30:$J$229,8,FALSE)</f>
        <v>#N/A</v>
      </c>
      <c r="H164" s="383">
        <f>VLOOKUP(B164,VIN.PERS.DISC.!$B$19:$D$218,3,FALSE)</f>
        <v>0</v>
      </c>
      <c r="I164" s="384">
        <f>VLOOKUP(B164,'APOYO A IND. NAL.'!$B$19:$D$218,3,FALSE)</f>
        <v>0</v>
      </c>
      <c r="J164" s="384" t="e">
        <f t="shared" si="2"/>
        <v>#N/A</v>
      </c>
      <c r="K164" s="301"/>
    </row>
    <row r="165" spans="2:11" s="292" customFormat="1" ht="13.5" hidden="1">
      <c r="B165" s="298">
        <f>PROPONENTES!C164</f>
        <v>0</v>
      </c>
      <c r="C165" s="299">
        <v>146</v>
      </c>
      <c r="D165" s="300" t="e">
        <f>VLOOKUP(B165,PROPONENTES!$C$19:$E$218,2,FALSE)</f>
        <v>#N/A</v>
      </c>
      <c r="E165" s="514" t="e">
        <f>VLOOKUP(B165,HAB.EXP.ESP.!$C$27:$N$226,12,FALSE)</f>
        <v>#N/A</v>
      </c>
      <c r="F165" s="385" t="e">
        <f>VLOOKUP(B165,PON.EXP.ESP.!$C$30:$J$229,6,FALSE)</f>
        <v>#N/A</v>
      </c>
      <c r="G165" s="383" t="e">
        <f>VLOOKUP(B165,PON.EXP.ESP.!$C$30:$J$229,8,FALSE)</f>
        <v>#N/A</v>
      </c>
      <c r="H165" s="383">
        <f>VLOOKUP(B165,VIN.PERS.DISC.!$B$19:$D$218,3,FALSE)</f>
        <v>0</v>
      </c>
      <c r="I165" s="384">
        <f>VLOOKUP(B165,'APOYO A IND. NAL.'!$B$19:$D$218,3,FALSE)</f>
        <v>0</v>
      </c>
      <c r="J165" s="384" t="e">
        <f t="shared" si="2"/>
        <v>#N/A</v>
      </c>
      <c r="K165" s="301"/>
    </row>
    <row r="166" spans="2:11" s="292" customFormat="1" ht="13.5" hidden="1">
      <c r="B166" s="298">
        <f>PROPONENTES!C165</f>
        <v>0</v>
      </c>
      <c r="C166" s="299">
        <v>147</v>
      </c>
      <c r="D166" s="300" t="e">
        <f>VLOOKUP(B166,PROPONENTES!$C$19:$E$218,2,FALSE)</f>
        <v>#N/A</v>
      </c>
      <c r="E166" s="514" t="e">
        <f>VLOOKUP(B166,HAB.EXP.ESP.!$C$27:$N$226,12,FALSE)</f>
        <v>#N/A</v>
      </c>
      <c r="F166" s="385" t="e">
        <f>VLOOKUP(B166,PON.EXP.ESP.!$C$30:$J$229,6,FALSE)</f>
        <v>#N/A</v>
      </c>
      <c r="G166" s="383" t="e">
        <f>VLOOKUP(B166,PON.EXP.ESP.!$C$30:$J$229,8,FALSE)</f>
        <v>#N/A</v>
      </c>
      <c r="H166" s="383">
        <f>VLOOKUP(B166,VIN.PERS.DISC.!$B$19:$D$218,3,FALSE)</f>
        <v>0</v>
      </c>
      <c r="I166" s="384">
        <f>VLOOKUP(B166,'APOYO A IND. NAL.'!$B$19:$D$218,3,FALSE)</f>
        <v>0</v>
      </c>
      <c r="J166" s="384" t="e">
        <f t="shared" si="2"/>
        <v>#N/A</v>
      </c>
      <c r="K166" s="301"/>
    </row>
    <row r="167" spans="2:11" s="292" customFormat="1" ht="13.5" hidden="1">
      <c r="B167" s="298">
        <f>PROPONENTES!C166</f>
        <v>0</v>
      </c>
      <c r="C167" s="299">
        <v>148</v>
      </c>
      <c r="D167" s="300" t="e">
        <f>VLOOKUP(B167,PROPONENTES!$C$19:$E$218,2,FALSE)</f>
        <v>#N/A</v>
      </c>
      <c r="E167" s="514" t="e">
        <f>VLOOKUP(B167,HAB.EXP.ESP.!$C$27:$N$226,12,FALSE)</f>
        <v>#N/A</v>
      </c>
      <c r="F167" s="385" t="e">
        <f>VLOOKUP(B167,PON.EXP.ESP.!$C$30:$J$229,6,FALSE)</f>
        <v>#N/A</v>
      </c>
      <c r="G167" s="383" t="e">
        <f>VLOOKUP(B167,PON.EXP.ESP.!$C$30:$J$229,8,FALSE)</f>
        <v>#N/A</v>
      </c>
      <c r="H167" s="383">
        <f>VLOOKUP(B167,VIN.PERS.DISC.!$B$19:$D$218,3,FALSE)</f>
        <v>0</v>
      </c>
      <c r="I167" s="384">
        <f>VLOOKUP(B167,'APOYO A IND. NAL.'!$B$19:$D$218,3,FALSE)</f>
        <v>0</v>
      </c>
      <c r="J167" s="384" t="e">
        <f t="shared" si="2"/>
        <v>#N/A</v>
      </c>
      <c r="K167" s="301"/>
    </row>
    <row r="168" spans="2:11" s="292" customFormat="1" ht="13.5" hidden="1">
      <c r="B168" s="298">
        <f>PROPONENTES!C167</f>
        <v>0</v>
      </c>
      <c r="C168" s="299">
        <v>149</v>
      </c>
      <c r="D168" s="300" t="e">
        <f>VLOOKUP(B168,PROPONENTES!$C$19:$E$218,2,FALSE)</f>
        <v>#N/A</v>
      </c>
      <c r="E168" s="514" t="e">
        <f>VLOOKUP(B168,HAB.EXP.ESP.!$C$27:$N$226,12,FALSE)</f>
        <v>#N/A</v>
      </c>
      <c r="F168" s="385" t="e">
        <f>VLOOKUP(B168,PON.EXP.ESP.!$C$30:$J$229,6,FALSE)</f>
        <v>#N/A</v>
      </c>
      <c r="G168" s="383" t="e">
        <f>VLOOKUP(B168,PON.EXP.ESP.!$C$30:$J$229,8,FALSE)</f>
        <v>#N/A</v>
      </c>
      <c r="H168" s="383">
        <f>VLOOKUP(B168,VIN.PERS.DISC.!$B$19:$D$218,3,FALSE)</f>
        <v>0</v>
      </c>
      <c r="I168" s="384">
        <f>VLOOKUP(B168,'APOYO A IND. NAL.'!$B$19:$D$218,3,FALSE)</f>
        <v>0</v>
      </c>
      <c r="J168" s="384" t="e">
        <f t="shared" si="2"/>
        <v>#N/A</v>
      </c>
      <c r="K168" s="301"/>
    </row>
    <row r="169" spans="2:11" s="292" customFormat="1" ht="13.5" hidden="1">
      <c r="B169" s="298">
        <f>PROPONENTES!C168</f>
        <v>0</v>
      </c>
      <c r="C169" s="299">
        <v>150</v>
      </c>
      <c r="D169" s="300" t="e">
        <f>VLOOKUP(B169,PROPONENTES!$C$19:$E$218,2,FALSE)</f>
        <v>#N/A</v>
      </c>
      <c r="E169" s="514" t="e">
        <f>VLOOKUP(B169,HAB.EXP.ESP.!$C$27:$N$226,12,FALSE)</f>
        <v>#N/A</v>
      </c>
      <c r="F169" s="385" t="e">
        <f>VLOOKUP(B169,PON.EXP.ESP.!$C$30:$J$229,6,FALSE)</f>
        <v>#N/A</v>
      </c>
      <c r="G169" s="383" t="e">
        <f>VLOOKUP(B169,PON.EXP.ESP.!$C$30:$J$229,8,FALSE)</f>
        <v>#N/A</v>
      </c>
      <c r="H169" s="383">
        <f>VLOOKUP(B169,VIN.PERS.DISC.!$B$19:$D$218,3,FALSE)</f>
        <v>0</v>
      </c>
      <c r="I169" s="384">
        <f>VLOOKUP(B169,'APOYO A IND. NAL.'!$B$19:$D$218,3,FALSE)</f>
        <v>0</v>
      </c>
      <c r="J169" s="384" t="e">
        <f t="shared" si="2"/>
        <v>#N/A</v>
      </c>
      <c r="K169" s="301"/>
    </row>
    <row r="170" spans="2:11" s="292" customFormat="1" ht="13.5" hidden="1">
      <c r="B170" s="298">
        <f>PROPONENTES!C169</f>
        <v>0</v>
      </c>
      <c r="C170" s="299">
        <v>151</v>
      </c>
      <c r="D170" s="300" t="e">
        <f>VLOOKUP(B170,PROPONENTES!$C$19:$E$218,2,FALSE)</f>
        <v>#N/A</v>
      </c>
      <c r="E170" s="514" t="e">
        <f>VLOOKUP(B170,HAB.EXP.ESP.!$C$27:$N$226,12,FALSE)</f>
        <v>#N/A</v>
      </c>
      <c r="F170" s="385" t="e">
        <f>VLOOKUP(B170,PON.EXP.ESP.!$C$30:$J$229,6,FALSE)</f>
        <v>#N/A</v>
      </c>
      <c r="G170" s="383" t="e">
        <f>VLOOKUP(B170,PON.EXP.ESP.!$C$30:$J$229,8,FALSE)</f>
        <v>#N/A</v>
      </c>
      <c r="H170" s="383">
        <f>VLOOKUP(B170,VIN.PERS.DISC.!$B$19:$D$218,3,FALSE)</f>
        <v>0</v>
      </c>
      <c r="I170" s="384">
        <f>VLOOKUP(B170,'APOYO A IND. NAL.'!$B$19:$D$218,3,FALSE)</f>
        <v>0</v>
      </c>
      <c r="J170" s="384" t="e">
        <f t="shared" si="2"/>
        <v>#N/A</v>
      </c>
      <c r="K170" s="301"/>
    </row>
    <row r="171" spans="2:11" s="292" customFormat="1" ht="13.5" hidden="1">
      <c r="B171" s="298">
        <f>PROPONENTES!C170</f>
        <v>0</v>
      </c>
      <c r="C171" s="299">
        <v>152</v>
      </c>
      <c r="D171" s="300" t="e">
        <f>VLOOKUP(B171,PROPONENTES!$C$19:$E$218,2,FALSE)</f>
        <v>#N/A</v>
      </c>
      <c r="E171" s="514" t="e">
        <f>VLOOKUP(B171,HAB.EXP.ESP.!$C$27:$N$226,12,FALSE)</f>
        <v>#N/A</v>
      </c>
      <c r="F171" s="385" t="e">
        <f>VLOOKUP(B171,PON.EXP.ESP.!$C$30:$J$229,6,FALSE)</f>
        <v>#N/A</v>
      </c>
      <c r="G171" s="383" t="e">
        <f>VLOOKUP(B171,PON.EXP.ESP.!$C$30:$J$229,8,FALSE)</f>
        <v>#N/A</v>
      </c>
      <c r="H171" s="383">
        <f>VLOOKUP(B171,VIN.PERS.DISC.!$B$19:$D$218,3,FALSE)</f>
        <v>0</v>
      </c>
      <c r="I171" s="384">
        <f>VLOOKUP(B171,'APOYO A IND. NAL.'!$B$19:$D$218,3,FALSE)</f>
        <v>0</v>
      </c>
      <c r="J171" s="384" t="e">
        <f t="shared" si="2"/>
        <v>#N/A</v>
      </c>
      <c r="K171" s="301"/>
    </row>
    <row r="172" spans="2:11" s="292" customFormat="1" ht="13.5" hidden="1">
      <c r="B172" s="298">
        <f>PROPONENTES!C171</f>
        <v>0</v>
      </c>
      <c r="C172" s="299">
        <v>153</v>
      </c>
      <c r="D172" s="300" t="e">
        <f>VLOOKUP(B172,PROPONENTES!$C$19:$E$218,2,FALSE)</f>
        <v>#N/A</v>
      </c>
      <c r="E172" s="514" t="e">
        <f>VLOOKUP(B172,HAB.EXP.ESP.!$C$27:$N$226,12,FALSE)</f>
        <v>#N/A</v>
      </c>
      <c r="F172" s="385" t="e">
        <f>VLOOKUP(B172,PON.EXP.ESP.!$C$30:$J$229,6,FALSE)</f>
        <v>#N/A</v>
      </c>
      <c r="G172" s="383" t="e">
        <f>VLOOKUP(B172,PON.EXP.ESP.!$C$30:$J$229,8,FALSE)</f>
        <v>#N/A</v>
      </c>
      <c r="H172" s="383">
        <f>VLOOKUP(B172,VIN.PERS.DISC.!$B$19:$D$218,3,FALSE)</f>
        <v>0</v>
      </c>
      <c r="I172" s="384">
        <f>VLOOKUP(B172,'APOYO A IND. NAL.'!$B$19:$D$218,3,FALSE)</f>
        <v>0</v>
      </c>
      <c r="J172" s="384" t="e">
        <f t="shared" si="2"/>
        <v>#N/A</v>
      </c>
      <c r="K172" s="301"/>
    </row>
    <row r="173" spans="2:11" s="292" customFormat="1" ht="13.5" hidden="1">
      <c r="B173" s="298">
        <f>PROPONENTES!C172</f>
        <v>0</v>
      </c>
      <c r="C173" s="299">
        <v>154</v>
      </c>
      <c r="D173" s="300" t="e">
        <f>VLOOKUP(B173,PROPONENTES!$C$19:$E$218,2,FALSE)</f>
        <v>#N/A</v>
      </c>
      <c r="E173" s="514" t="e">
        <f>VLOOKUP(B173,HAB.EXP.ESP.!$C$27:$N$226,12,FALSE)</f>
        <v>#N/A</v>
      </c>
      <c r="F173" s="385" t="e">
        <f>VLOOKUP(B173,PON.EXP.ESP.!$C$30:$J$229,6,FALSE)</f>
        <v>#N/A</v>
      </c>
      <c r="G173" s="383" t="e">
        <f>VLOOKUP(B173,PON.EXP.ESP.!$C$30:$J$229,8,FALSE)</f>
        <v>#N/A</v>
      </c>
      <c r="H173" s="383">
        <f>VLOOKUP(B173,VIN.PERS.DISC.!$B$19:$D$218,3,FALSE)</f>
        <v>0</v>
      </c>
      <c r="I173" s="384">
        <f>VLOOKUP(B173,'APOYO A IND. NAL.'!$B$19:$D$218,3,FALSE)</f>
        <v>0</v>
      </c>
      <c r="J173" s="384" t="e">
        <f t="shared" si="2"/>
        <v>#N/A</v>
      </c>
      <c r="K173" s="301"/>
    </row>
    <row r="174" spans="2:11" s="292" customFormat="1" ht="13.5" hidden="1">
      <c r="B174" s="298">
        <f>PROPONENTES!C173</f>
        <v>0</v>
      </c>
      <c r="C174" s="299">
        <v>155</v>
      </c>
      <c r="D174" s="300" t="e">
        <f>VLOOKUP(B174,PROPONENTES!$C$19:$E$218,2,FALSE)</f>
        <v>#N/A</v>
      </c>
      <c r="E174" s="514" t="e">
        <f>VLOOKUP(B174,HAB.EXP.ESP.!$C$27:$N$226,12,FALSE)</f>
        <v>#N/A</v>
      </c>
      <c r="F174" s="385" t="e">
        <f>VLOOKUP(B174,PON.EXP.ESP.!$C$30:$J$229,6,FALSE)</f>
        <v>#N/A</v>
      </c>
      <c r="G174" s="383" t="e">
        <f>VLOOKUP(B174,PON.EXP.ESP.!$C$30:$J$229,8,FALSE)</f>
        <v>#N/A</v>
      </c>
      <c r="H174" s="383">
        <f>VLOOKUP(B174,VIN.PERS.DISC.!$B$19:$D$218,3,FALSE)</f>
        <v>0</v>
      </c>
      <c r="I174" s="384">
        <f>VLOOKUP(B174,'APOYO A IND. NAL.'!$B$19:$D$218,3,FALSE)</f>
        <v>0</v>
      </c>
      <c r="J174" s="384" t="e">
        <f t="shared" si="2"/>
        <v>#N/A</v>
      </c>
      <c r="K174" s="301"/>
    </row>
    <row r="175" spans="2:11" s="292" customFormat="1" ht="13.5" hidden="1">
      <c r="B175" s="298">
        <f>PROPONENTES!C174</f>
        <v>0</v>
      </c>
      <c r="C175" s="299">
        <v>156</v>
      </c>
      <c r="D175" s="300" t="e">
        <f>VLOOKUP(B175,PROPONENTES!$C$19:$E$218,2,FALSE)</f>
        <v>#N/A</v>
      </c>
      <c r="E175" s="514" t="e">
        <f>VLOOKUP(B175,HAB.EXP.ESP.!$C$27:$N$226,12,FALSE)</f>
        <v>#N/A</v>
      </c>
      <c r="F175" s="385" t="e">
        <f>VLOOKUP(B175,PON.EXP.ESP.!$C$30:$J$229,6,FALSE)</f>
        <v>#N/A</v>
      </c>
      <c r="G175" s="383" t="e">
        <f>VLOOKUP(B175,PON.EXP.ESP.!$C$30:$J$229,8,FALSE)</f>
        <v>#N/A</v>
      </c>
      <c r="H175" s="383">
        <f>VLOOKUP(B175,VIN.PERS.DISC.!$B$19:$D$218,3,FALSE)</f>
        <v>0</v>
      </c>
      <c r="I175" s="384">
        <f>VLOOKUP(B175,'APOYO A IND. NAL.'!$B$19:$D$218,3,FALSE)</f>
        <v>0</v>
      </c>
      <c r="J175" s="384" t="e">
        <f t="shared" si="2"/>
        <v>#N/A</v>
      </c>
      <c r="K175" s="301"/>
    </row>
    <row r="176" spans="2:11" s="292" customFormat="1" ht="13.5" hidden="1">
      <c r="B176" s="298">
        <f>PROPONENTES!C175</f>
        <v>0</v>
      </c>
      <c r="C176" s="299">
        <v>157</v>
      </c>
      <c r="D176" s="300" t="e">
        <f>VLOOKUP(B176,PROPONENTES!$C$19:$E$218,2,FALSE)</f>
        <v>#N/A</v>
      </c>
      <c r="E176" s="514" t="e">
        <f>VLOOKUP(B176,HAB.EXP.ESP.!$C$27:$N$226,12,FALSE)</f>
        <v>#N/A</v>
      </c>
      <c r="F176" s="385" t="e">
        <f>VLOOKUP(B176,PON.EXP.ESP.!$C$30:$J$229,6,FALSE)</f>
        <v>#N/A</v>
      </c>
      <c r="G176" s="383" t="e">
        <f>VLOOKUP(B176,PON.EXP.ESP.!$C$30:$J$229,8,FALSE)</f>
        <v>#N/A</v>
      </c>
      <c r="H176" s="383">
        <f>VLOOKUP(B176,VIN.PERS.DISC.!$B$19:$D$218,3,FALSE)</f>
        <v>0</v>
      </c>
      <c r="I176" s="384">
        <f>VLOOKUP(B176,'APOYO A IND. NAL.'!$B$19:$D$218,3,FALSE)</f>
        <v>0</v>
      </c>
      <c r="J176" s="384" t="e">
        <f t="shared" si="2"/>
        <v>#N/A</v>
      </c>
      <c r="K176" s="301"/>
    </row>
    <row r="177" spans="2:11" s="292" customFormat="1" ht="13.5" hidden="1">
      <c r="B177" s="298">
        <f>PROPONENTES!C176</f>
        <v>0</v>
      </c>
      <c r="C177" s="299">
        <v>158</v>
      </c>
      <c r="D177" s="300" t="e">
        <f>VLOOKUP(B177,PROPONENTES!$C$19:$E$218,2,FALSE)</f>
        <v>#N/A</v>
      </c>
      <c r="E177" s="514" t="e">
        <f>VLOOKUP(B177,HAB.EXP.ESP.!$C$27:$N$226,12,FALSE)</f>
        <v>#N/A</v>
      </c>
      <c r="F177" s="385" t="e">
        <f>VLOOKUP(B177,PON.EXP.ESP.!$C$30:$J$229,6,FALSE)</f>
        <v>#N/A</v>
      </c>
      <c r="G177" s="383" t="e">
        <f>VLOOKUP(B177,PON.EXP.ESP.!$C$30:$J$229,8,FALSE)</f>
        <v>#N/A</v>
      </c>
      <c r="H177" s="383">
        <f>VLOOKUP(B177,VIN.PERS.DISC.!$B$19:$D$218,3,FALSE)</f>
        <v>0</v>
      </c>
      <c r="I177" s="384">
        <f>VLOOKUP(B177,'APOYO A IND. NAL.'!$B$19:$D$218,3,FALSE)</f>
        <v>0</v>
      </c>
      <c r="J177" s="384" t="e">
        <f t="shared" si="2"/>
        <v>#N/A</v>
      </c>
      <c r="K177" s="301"/>
    </row>
    <row r="178" spans="2:11" s="292" customFormat="1" ht="13.5" hidden="1">
      <c r="B178" s="298">
        <f>PROPONENTES!C177</f>
        <v>0</v>
      </c>
      <c r="C178" s="299">
        <v>159</v>
      </c>
      <c r="D178" s="300" t="e">
        <f>VLOOKUP(B178,PROPONENTES!$C$19:$E$218,2,FALSE)</f>
        <v>#N/A</v>
      </c>
      <c r="E178" s="514" t="e">
        <f>VLOOKUP(B178,HAB.EXP.ESP.!$C$27:$N$226,12,FALSE)</f>
        <v>#N/A</v>
      </c>
      <c r="F178" s="385" t="e">
        <f>VLOOKUP(B178,PON.EXP.ESP.!$C$30:$J$229,6,FALSE)</f>
        <v>#N/A</v>
      </c>
      <c r="G178" s="383" t="e">
        <f>VLOOKUP(B178,PON.EXP.ESP.!$C$30:$J$229,8,FALSE)</f>
        <v>#N/A</v>
      </c>
      <c r="H178" s="383">
        <f>VLOOKUP(B178,VIN.PERS.DISC.!$B$19:$D$218,3,FALSE)</f>
        <v>0</v>
      </c>
      <c r="I178" s="384">
        <f>VLOOKUP(B178,'APOYO A IND. NAL.'!$B$19:$D$218,3,FALSE)</f>
        <v>0</v>
      </c>
      <c r="J178" s="384" t="e">
        <f t="shared" si="2"/>
        <v>#N/A</v>
      </c>
      <c r="K178" s="301"/>
    </row>
    <row r="179" spans="2:11" s="292" customFormat="1" ht="13.5" hidden="1">
      <c r="B179" s="298">
        <f>PROPONENTES!C178</f>
        <v>0</v>
      </c>
      <c r="C179" s="299">
        <v>160</v>
      </c>
      <c r="D179" s="300" t="e">
        <f>VLOOKUP(B179,PROPONENTES!$C$19:$E$218,2,FALSE)</f>
        <v>#N/A</v>
      </c>
      <c r="E179" s="514" t="e">
        <f>VLOOKUP(B179,HAB.EXP.ESP.!$C$27:$N$226,12,FALSE)</f>
        <v>#N/A</v>
      </c>
      <c r="F179" s="385" t="e">
        <f>VLOOKUP(B179,PON.EXP.ESP.!$C$30:$J$229,6,FALSE)</f>
        <v>#N/A</v>
      </c>
      <c r="G179" s="383" t="e">
        <f>VLOOKUP(B179,PON.EXP.ESP.!$C$30:$J$229,8,FALSE)</f>
        <v>#N/A</v>
      </c>
      <c r="H179" s="383">
        <f>VLOOKUP(B179,VIN.PERS.DISC.!$B$19:$D$218,3,FALSE)</f>
        <v>0</v>
      </c>
      <c r="I179" s="384">
        <f>VLOOKUP(B179,'APOYO A IND. NAL.'!$B$19:$D$218,3,FALSE)</f>
        <v>0</v>
      </c>
      <c r="J179" s="384" t="e">
        <f t="shared" si="2"/>
        <v>#N/A</v>
      </c>
      <c r="K179" s="301"/>
    </row>
    <row r="180" spans="2:11" s="292" customFormat="1" ht="13.5" hidden="1">
      <c r="B180" s="298">
        <f>PROPONENTES!C179</f>
        <v>0</v>
      </c>
      <c r="C180" s="299">
        <v>161</v>
      </c>
      <c r="D180" s="300" t="e">
        <f>VLOOKUP(B180,PROPONENTES!$C$19:$E$218,2,FALSE)</f>
        <v>#N/A</v>
      </c>
      <c r="E180" s="514" t="e">
        <f>VLOOKUP(B180,HAB.EXP.ESP.!$C$27:$N$226,12,FALSE)</f>
        <v>#N/A</v>
      </c>
      <c r="F180" s="385" t="e">
        <f>VLOOKUP(B180,PON.EXP.ESP.!$C$30:$J$229,6,FALSE)</f>
        <v>#N/A</v>
      </c>
      <c r="G180" s="383" t="e">
        <f>VLOOKUP(B180,PON.EXP.ESP.!$C$30:$J$229,8,FALSE)</f>
        <v>#N/A</v>
      </c>
      <c r="H180" s="383">
        <f>VLOOKUP(B180,VIN.PERS.DISC.!$B$19:$D$218,3,FALSE)</f>
        <v>0</v>
      </c>
      <c r="I180" s="384">
        <f>VLOOKUP(B180,'APOYO A IND. NAL.'!$B$19:$D$218,3,FALSE)</f>
        <v>0</v>
      </c>
      <c r="J180" s="384" t="e">
        <f t="shared" si="2"/>
        <v>#N/A</v>
      </c>
      <c r="K180" s="301"/>
    </row>
    <row r="181" spans="2:11" s="292" customFormat="1" ht="13.5" hidden="1">
      <c r="B181" s="298">
        <f>PROPONENTES!C180</f>
        <v>0</v>
      </c>
      <c r="C181" s="299">
        <v>162</v>
      </c>
      <c r="D181" s="300" t="e">
        <f>VLOOKUP(B181,PROPONENTES!$C$19:$E$218,2,FALSE)</f>
        <v>#N/A</v>
      </c>
      <c r="E181" s="514" t="e">
        <f>VLOOKUP(B181,HAB.EXP.ESP.!$C$27:$N$226,12,FALSE)</f>
        <v>#N/A</v>
      </c>
      <c r="F181" s="385" t="e">
        <f>VLOOKUP(B181,PON.EXP.ESP.!$C$30:$J$229,6,FALSE)</f>
        <v>#N/A</v>
      </c>
      <c r="G181" s="383" t="e">
        <f>VLOOKUP(B181,PON.EXP.ESP.!$C$30:$J$229,8,FALSE)</f>
        <v>#N/A</v>
      </c>
      <c r="H181" s="383">
        <f>VLOOKUP(B181,VIN.PERS.DISC.!$B$19:$D$218,3,FALSE)</f>
        <v>0</v>
      </c>
      <c r="I181" s="384">
        <f>VLOOKUP(B181,'APOYO A IND. NAL.'!$B$19:$D$218,3,FALSE)</f>
        <v>0</v>
      </c>
      <c r="J181" s="384" t="e">
        <f t="shared" si="2"/>
        <v>#N/A</v>
      </c>
      <c r="K181" s="301"/>
    </row>
    <row r="182" spans="2:11" s="292" customFormat="1" ht="13.5" hidden="1">
      <c r="B182" s="298">
        <f>PROPONENTES!C181</f>
        <v>0</v>
      </c>
      <c r="C182" s="299">
        <v>163</v>
      </c>
      <c r="D182" s="300" t="e">
        <f>VLOOKUP(B182,PROPONENTES!$C$19:$E$218,2,FALSE)</f>
        <v>#N/A</v>
      </c>
      <c r="E182" s="514" t="e">
        <f>VLOOKUP(B182,HAB.EXP.ESP.!$C$27:$N$226,12,FALSE)</f>
        <v>#N/A</v>
      </c>
      <c r="F182" s="385" t="e">
        <f>VLOOKUP(B182,PON.EXP.ESP.!$C$30:$J$229,6,FALSE)</f>
        <v>#N/A</v>
      </c>
      <c r="G182" s="383" t="e">
        <f>VLOOKUP(B182,PON.EXP.ESP.!$C$30:$J$229,8,FALSE)</f>
        <v>#N/A</v>
      </c>
      <c r="H182" s="383">
        <f>VLOOKUP(B182,VIN.PERS.DISC.!$B$19:$D$218,3,FALSE)</f>
        <v>0</v>
      </c>
      <c r="I182" s="384">
        <f>VLOOKUP(B182,'APOYO A IND. NAL.'!$B$19:$D$218,3,FALSE)</f>
        <v>0</v>
      </c>
      <c r="J182" s="384" t="e">
        <f t="shared" si="2"/>
        <v>#N/A</v>
      </c>
      <c r="K182" s="301"/>
    </row>
    <row r="183" spans="2:11" s="292" customFormat="1" ht="13.5" hidden="1">
      <c r="B183" s="298">
        <f>PROPONENTES!C182</f>
        <v>0</v>
      </c>
      <c r="C183" s="299">
        <v>164</v>
      </c>
      <c r="D183" s="300" t="e">
        <f>VLOOKUP(B183,PROPONENTES!$C$19:$E$218,2,FALSE)</f>
        <v>#N/A</v>
      </c>
      <c r="E183" s="514" t="e">
        <f>VLOOKUP(B183,HAB.EXP.ESP.!$C$27:$N$226,12,FALSE)</f>
        <v>#N/A</v>
      </c>
      <c r="F183" s="385" t="e">
        <f>VLOOKUP(B183,PON.EXP.ESP.!$C$30:$J$229,6,FALSE)</f>
        <v>#N/A</v>
      </c>
      <c r="G183" s="383" t="e">
        <f>VLOOKUP(B183,PON.EXP.ESP.!$C$30:$J$229,8,FALSE)</f>
        <v>#N/A</v>
      </c>
      <c r="H183" s="383">
        <f>VLOOKUP(B183,VIN.PERS.DISC.!$B$19:$D$218,3,FALSE)</f>
        <v>0</v>
      </c>
      <c r="I183" s="384">
        <f>VLOOKUP(B183,'APOYO A IND. NAL.'!$B$19:$D$218,3,FALSE)</f>
        <v>0</v>
      </c>
      <c r="J183" s="384" t="e">
        <f t="shared" si="2"/>
        <v>#N/A</v>
      </c>
      <c r="K183" s="301"/>
    </row>
    <row r="184" spans="2:11" s="292" customFormat="1" ht="13.5" hidden="1">
      <c r="B184" s="298">
        <f>PROPONENTES!C183</f>
        <v>0</v>
      </c>
      <c r="C184" s="299">
        <v>165</v>
      </c>
      <c r="D184" s="300" t="e">
        <f>VLOOKUP(B184,PROPONENTES!$C$19:$E$218,2,FALSE)</f>
        <v>#N/A</v>
      </c>
      <c r="E184" s="514" t="e">
        <f>VLOOKUP(B184,HAB.EXP.ESP.!$C$27:$N$226,12,FALSE)</f>
        <v>#N/A</v>
      </c>
      <c r="F184" s="385" t="e">
        <f>VLOOKUP(B184,PON.EXP.ESP.!$C$30:$J$229,6,FALSE)</f>
        <v>#N/A</v>
      </c>
      <c r="G184" s="383" t="e">
        <f>VLOOKUP(B184,PON.EXP.ESP.!$C$30:$J$229,8,FALSE)</f>
        <v>#N/A</v>
      </c>
      <c r="H184" s="383">
        <f>VLOOKUP(B184,VIN.PERS.DISC.!$B$19:$D$218,3,FALSE)</f>
        <v>0</v>
      </c>
      <c r="I184" s="384">
        <f>VLOOKUP(B184,'APOYO A IND. NAL.'!$B$19:$D$218,3,FALSE)</f>
        <v>0</v>
      </c>
      <c r="J184" s="384" t="e">
        <f t="shared" si="2"/>
        <v>#N/A</v>
      </c>
      <c r="K184" s="301"/>
    </row>
    <row r="185" spans="2:11" s="292" customFormat="1" ht="13.5" hidden="1">
      <c r="B185" s="298">
        <f>PROPONENTES!C184</f>
        <v>0</v>
      </c>
      <c r="C185" s="299">
        <v>166</v>
      </c>
      <c r="D185" s="300" t="e">
        <f>VLOOKUP(B185,PROPONENTES!$C$19:$E$218,2,FALSE)</f>
        <v>#N/A</v>
      </c>
      <c r="E185" s="514" t="e">
        <f>VLOOKUP(B185,HAB.EXP.ESP.!$C$27:$N$226,12,FALSE)</f>
        <v>#N/A</v>
      </c>
      <c r="F185" s="385" t="e">
        <f>VLOOKUP(B185,PON.EXP.ESP.!$C$30:$J$229,6,FALSE)</f>
        <v>#N/A</v>
      </c>
      <c r="G185" s="383" t="e">
        <f>VLOOKUP(B185,PON.EXP.ESP.!$C$30:$J$229,8,FALSE)</f>
        <v>#N/A</v>
      </c>
      <c r="H185" s="383">
        <f>VLOOKUP(B185,VIN.PERS.DISC.!$B$19:$D$218,3,FALSE)</f>
        <v>0</v>
      </c>
      <c r="I185" s="384">
        <f>VLOOKUP(B185,'APOYO A IND. NAL.'!$B$19:$D$218,3,FALSE)</f>
        <v>0</v>
      </c>
      <c r="J185" s="384" t="e">
        <f t="shared" si="2"/>
        <v>#N/A</v>
      </c>
      <c r="K185" s="301"/>
    </row>
    <row r="186" spans="2:11" s="292" customFormat="1" ht="13.5" hidden="1">
      <c r="B186" s="298">
        <f>PROPONENTES!C185</f>
        <v>0</v>
      </c>
      <c r="C186" s="299">
        <v>167</v>
      </c>
      <c r="D186" s="300" t="e">
        <f>VLOOKUP(B186,PROPONENTES!$C$19:$E$218,2,FALSE)</f>
        <v>#N/A</v>
      </c>
      <c r="E186" s="514" t="e">
        <f>VLOOKUP(B186,HAB.EXP.ESP.!$C$27:$N$226,12,FALSE)</f>
        <v>#N/A</v>
      </c>
      <c r="F186" s="385" t="e">
        <f>VLOOKUP(B186,PON.EXP.ESP.!$C$30:$J$229,6,FALSE)</f>
        <v>#N/A</v>
      </c>
      <c r="G186" s="383" t="e">
        <f>VLOOKUP(B186,PON.EXP.ESP.!$C$30:$J$229,8,FALSE)</f>
        <v>#N/A</v>
      </c>
      <c r="H186" s="383">
        <f>VLOOKUP(B186,VIN.PERS.DISC.!$B$19:$D$218,3,FALSE)</f>
        <v>0</v>
      </c>
      <c r="I186" s="384">
        <f>VLOOKUP(B186,'APOYO A IND. NAL.'!$B$19:$D$218,3,FALSE)</f>
        <v>0</v>
      </c>
      <c r="J186" s="384" t="e">
        <f t="shared" si="2"/>
        <v>#N/A</v>
      </c>
      <c r="K186" s="301"/>
    </row>
    <row r="187" spans="2:11" s="292" customFormat="1" ht="13.5" hidden="1">
      <c r="B187" s="298">
        <f>PROPONENTES!C186</f>
        <v>0</v>
      </c>
      <c r="C187" s="299">
        <v>168</v>
      </c>
      <c r="D187" s="300" t="e">
        <f>VLOOKUP(B187,PROPONENTES!$C$19:$E$218,2,FALSE)</f>
        <v>#N/A</v>
      </c>
      <c r="E187" s="514" t="e">
        <f>VLOOKUP(B187,HAB.EXP.ESP.!$C$27:$N$226,12,FALSE)</f>
        <v>#N/A</v>
      </c>
      <c r="F187" s="385" t="e">
        <f>VLOOKUP(B187,PON.EXP.ESP.!$C$30:$J$229,6,FALSE)</f>
        <v>#N/A</v>
      </c>
      <c r="G187" s="383" t="e">
        <f>VLOOKUP(B187,PON.EXP.ESP.!$C$30:$J$229,8,FALSE)</f>
        <v>#N/A</v>
      </c>
      <c r="H187" s="383">
        <f>VLOOKUP(B187,VIN.PERS.DISC.!$B$19:$D$218,3,FALSE)</f>
        <v>0</v>
      </c>
      <c r="I187" s="384">
        <f>VLOOKUP(B187,'APOYO A IND. NAL.'!$B$19:$D$218,3,FALSE)</f>
        <v>0</v>
      </c>
      <c r="J187" s="384" t="e">
        <f t="shared" si="2"/>
        <v>#N/A</v>
      </c>
      <c r="K187" s="301"/>
    </row>
    <row r="188" spans="2:11" s="292" customFormat="1" ht="13.5" hidden="1">
      <c r="B188" s="298">
        <f>PROPONENTES!C187</f>
        <v>0</v>
      </c>
      <c r="C188" s="299">
        <v>169</v>
      </c>
      <c r="D188" s="300" t="e">
        <f>VLOOKUP(B188,PROPONENTES!$C$19:$E$218,2,FALSE)</f>
        <v>#N/A</v>
      </c>
      <c r="E188" s="514" t="e">
        <f>VLOOKUP(B188,HAB.EXP.ESP.!$C$27:$N$226,12,FALSE)</f>
        <v>#N/A</v>
      </c>
      <c r="F188" s="385" t="e">
        <f>VLOOKUP(B188,PON.EXP.ESP.!$C$30:$J$229,6,FALSE)</f>
        <v>#N/A</v>
      </c>
      <c r="G188" s="383" t="e">
        <f>VLOOKUP(B188,PON.EXP.ESP.!$C$30:$J$229,8,FALSE)</f>
        <v>#N/A</v>
      </c>
      <c r="H188" s="383">
        <f>VLOOKUP(B188,VIN.PERS.DISC.!$B$19:$D$218,3,FALSE)</f>
        <v>0</v>
      </c>
      <c r="I188" s="384">
        <f>VLOOKUP(B188,'APOYO A IND. NAL.'!$B$19:$D$218,3,FALSE)</f>
        <v>0</v>
      </c>
      <c r="J188" s="384" t="e">
        <f t="shared" si="2"/>
        <v>#N/A</v>
      </c>
      <c r="K188" s="301"/>
    </row>
    <row r="189" spans="2:11" s="292" customFormat="1" ht="13.5" hidden="1">
      <c r="B189" s="298">
        <f>PROPONENTES!C188</f>
        <v>0</v>
      </c>
      <c r="C189" s="299">
        <v>170</v>
      </c>
      <c r="D189" s="300" t="e">
        <f>VLOOKUP(B189,PROPONENTES!$C$19:$E$218,2,FALSE)</f>
        <v>#N/A</v>
      </c>
      <c r="E189" s="514" t="e">
        <f>VLOOKUP(B189,HAB.EXP.ESP.!$C$27:$N$226,12,FALSE)</f>
        <v>#N/A</v>
      </c>
      <c r="F189" s="385" t="e">
        <f>VLOOKUP(B189,PON.EXP.ESP.!$C$30:$J$229,6,FALSE)</f>
        <v>#N/A</v>
      </c>
      <c r="G189" s="383" t="e">
        <f>VLOOKUP(B189,PON.EXP.ESP.!$C$30:$J$229,8,FALSE)</f>
        <v>#N/A</v>
      </c>
      <c r="H189" s="383">
        <f>VLOOKUP(B189,VIN.PERS.DISC.!$B$19:$D$218,3,FALSE)</f>
        <v>0</v>
      </c>
      <c r="I189" s="384">
        <f>VLOOKUP(B189,'APOYO A IND. NAL.'!$B$19:$D$218,3,FALSE)</f>
        <v>0</v>
      </c>
      <c r="J189" s="384" t="e">
        <f t="shared" si="2"/>
        <v>#N/A</v>
      </c>
      <c r="K189" s="301"/>
    </row>
    <row r="190" spans="2:11" s="292" customFormat="1" ht="13.5" hidden="1">
      <c r="B190" s="298">
        <f>PROPONENTES!C189</f>
        <v>0</v>
      </c>
      <c r="C190" s="299">
        <v>171</v>
      </c>
      <c r="D190" s="300" t="e">
        <f>VLOOKUP(B190,PROPONENTES!$C$19:$E$218,2,FALSE)</f>
        <v>#N/A</v>
      </c>
      <c r="E190" s="514" t="e">
        <f>VLOOKUP(B190,HAB.EXP.ESP.!$C$27:$N$226,12,FALSE)</f>
        <v>#N/A</v>
      </c>
      <c r="F190" s="385" t="e">
        <f>VLOOKUP(B190,PON.EXP.ESP.!$C$30:$J$229,6,FALSE)</f>
        <v>#N/A</v>
      </c>
      <c r="G190" s="383" t="e">
        <f>VLOOKUP(B190,PON.EXP.ESP.!$C$30:$J$229,8,FALSE)</f>
        <v>#N/A</v>
      </c>
      <c r="H190" s="383">
        <f>VLOOKUP(B190,VIN.PERS.DISC.!$B$19:$D$218,3,FALSE)</f>
        <v>0</v>
      </c>
      <c r="I190" s="384">
        <f>VLOOKUP(B190,'APOYO A IND. NAL.'!$B$19:$D$218,3,FALSE)</f>
        <v>0</v>
      </c>
      <c r="J190" s="384" t="e">
        <f t="shared" si="2"/>
        <v>#N/A</v>
      </c>
      <c r="K190" s="301"/>
    </row>
    <row r="191" spans="2:11" s="292" customFormat="1" ht="13.5" hidden="1">
      <c r="B191" s="298">
        <f>PROPONENTES!C190</f>
        <v>0</v>
      </c>
      <c r="C191" s="299">
        <v>172</v>
      </c>
      <c r="D191" s="300" t="e">
        <f>VLOOKUP(B191,PROPONENTES!$C$19:$E$218,2,FALSE)</f>
        <v>#N/A</v>
      </c>
      <c r="E191" s="514" t="e">
        <f>VLOOKUP(B191,HAB.EXP.ESP.!$C$27:$N$226,12,FALSE)</f>
        <v>#N/A</v>
      </c>
      <c r="F191" s="385" t="e">
        <f>VLOOKUP(B191,PON.EXP.ESP.!$C$30:$J$229,6,FALSE)</f>
        <v>#N/A</v>
      </c>
      <c r="G191" s="383" t="e">
        <f>VLOOKUP(B191,PON.EXP.ESP.!$C$30:$J$229,8,FALSE)</f>
        <v>#N/A</v>
      </c>
      <c r="H191" s="383">
        <f>VLOOKUP(B191,VIN.PERS.DISC.!$B$19:$D$218,3,FALSE)</f>
        <v>0</v>
      </c>
      <c r="I191" s="384">
        <f>VLOOKUP(B191,'APOYO A IND. NAL.'!$B$19:$D$218,3,FALSE)</f>
        <v>0</v>
      </c>
      <c r="J191" s="384" t="e">
        <f t="shared" si="2"/>
        <v>#N/A</v>
      </c>
      <c r="K191" s="301"/>
    </row>
    <row r="192" spans="2:11" s="292" customFormat="1" ht="13.5" hidden="1">
      <c r="B192" s="298">
        <f>PROPONENTES!C191</f>
        <v>0</v>
      </c>
      <c r="C192" s="299">
        <v>173</v>
      </c>
      <c r="D192" s="300" t="e">
        <f>VLOOKUP(B192,PROPONENTES!$C$19:$E$218,2,FALSE)</f>
        <v>#N/A</v>
      </c>
      <c r="E192" s="514" t="e">
        <f>VLOOKUP(B192,HAB.EXP.ESP.!$C$27:$N$226,12,FALSE)</f>
        <v>#N/A</v>
      </c>
      <c r="F192" s="385" t="e">
        <f>VLOOKUP(B192,PON.EXP.ESP.!$C$30:$J$229,6,FALSE)</f>
        <v>#N/A</v>
      </c>
      <c r="G192" s="383" t="e">
        <f>VLOOKUP(B192,PON.EXP.ESP.!$C$30:$J$229,8,FALSE)</f>
        <v>#N/A</v>
      </c>
      <c r="H192" s="383">
        <f>VLOOKUP(B192,VIN.PERS.DISC.!$B$19:$D$218,3,FALSE)</f>
        <v>0</v>
      </c>
      <c r="I192" s="384">
        <f>VLOOKUP(B192,'APOYO A IND. NAL.'!$B$19:$D$218,3,FALSE)</f>
        <v>0</v>
      </c>
      <c r="J192" s="384" t="e">
        <f t="shared" si="2"/>
        <v>#N/A</v>
      </c>
      <c r="K192" s="301"/>
    </row>
    <row r="193" spans="2:11" s="292" customFormat="1" ht="13.5" hidden="1">
      <c r="B193" s="298">
        <f>PROPONENTES!C192</f>
        <v>0</v>
      </c>
      <c r="C193" s="299">
        <v>174</v>
      </c>
      <c r="D193" s="300" t="e">
        <f>VLOOKUP(B193,PROPONENTES!$C$19:$E$218,2,FALSE)</f>
        <v>#N/A</v>
      </c>
      <c r="E193" s="514" t="e">
        <f>VLOOKUP(B193,HAB.EXP.ESP.!$C$27:$N$226,12,FALSE)</f>
        <v>#N/A</v>
      </c>
      <c r="F193" s="385" t="e">
        <f>VLOOKUP(B193,PON.EXP.ESP.!$C$30:$J$229,6,FALSE)</f>
        <v>#N/A</v>
      </c>
      <c r="G193" s="383" t="e">
        <f>VLOOKUP(B193,PON.EXP.ESP.!$C$30:$J$229,8,FALSE)</f>
        <v>#N/A</v>
      </c>
      <c r="H193" s="383">
        <f>VLOOKUP(B193,VIN.PERS.DISC.!$B$19:$D$218,3,FALSE)</f>
        <v>0</v>
      </c>
      <c r="I193" s="384">
        <f>VLOOKUP(B193,'APOYO A IND. NAL.'!$B$19:$D$218,3,FALSE)</f>
        <v>0</v>
      </c>
      <c r="J193" s="384" t="e">
        <f t="shared" si="2"/>
        <v>#N/A</v>
      </c>
      <c r="K193" s="301"/>
    </row>
    <row r="194" spans="2:11" s="292" customFormat="1" ht="13.5" hidden="1">
      <c r="B194" s="298">
        <f>PROPONENTES!C193</f>
        <v>0</v>
      </c>
      <c r="C194" s="299">
        <v>175</v>
      </c>
      <c r="D194" s="300" t="e">
        <f>VLOOKUP(B194,PROPONENTES!$C$19:$E$218,2,FALSE)</f>
        <v>#N/A</v>
      </c>
      <c r="E194" s="514" t="e">
        <f>VLOOKUP(B194,HAB.EXP.ESP.!$C$27:$N$226,12,FALSE)</f>
        <v>#N/A</v>
      </c>
      <c r="F194" s="385" t="e">
        <f>VLOOKUP(B194,PON.EXP.ESP.!$C$30:$J$229,6,FALSE)</f>
        <v>#N/A</v>
      </c>
      <c r="G194" s="383" t="e">
        <f>VLOOKUP(B194,PON.EXP.ESP.!$C$30:$J$229,8,FALSE)</f>
        <v>#N/A</v>
      </c>
      <c r="H194" s="383">
        <f>VLOOKUP(B194,VIN.PERS.DISC.!$B$19:$D$218,3,FALSE)</f>
        <v>0</v>
      </c>
      <c r="I194" s="384">
        <f>VLOOKUP(B194,'APOYO A IND. NAL.'!$B$19:$D$218,3,FALSE)</f>
        <v>0</v>
      </c>
      <c r="J194" s="384" t="e">
        <f t="shared" si="2"/>
        <v>#N/A</v>
      </c>
      <c r="K194" s="301"/>
    </row>
    <row r="195" spans="2:11" s="292" customFormat="1" ht="13.5" hidden="1">
      <c r="B195" s="298">
        <f>PROPONENTES!C194</f>
        <v>0</v>
      </c>
      <c r="C195" s="299">
        <v>176</v>
      </c>
      <c r="D195" s="300" t="e">
        <f>VLOOKUP(B195,PROPONENTES!$C$19:$E$218,2,FALSE)</f>
        <v>#N/A</v>
      </c>
      <c r="E195" s="514" t="e">
        <f>VLOOKUP(B195,HAB.EXP.ESP.!$C$27:$N$226,12,FALSE)</f>
        <v>#N/A</v>
      </c>
      <c r="F195" s="385" t="e">
        <f>VLOOKUP(B195,PON.EXP.ESP.!$C$30:$J$229,6,FALSE)</f>
        <v>#N/A</v>
      </c>
      <c r="G195" s="383" t="e">
        <f>VLOOKUP(B195,PON.EXP.ESP.!$C$30:$J$229,8,FALSE)</f>
        <v>#N/A</v>
      </c>
      <c r="H195" s="383">
        <f>VLOOKUP(B195,VIN.PERS.DISC.!$B$19:$D$218,3,FALSE)</f>
        <v>0</v>
      </c>
      <c r="I195" s="384">
        <f>VLOOKUP(B195,'APOYO A IND. NAL.'!$B$19:$D$218,3,FALSE)</f>
        <v>0</v>
      </c>
      <c r="J195" s="384" t="e">
        <f t="shared" si="2"/>
        <v>#N/A</v>
      </c>
      <c r="K195" s="301"/>
    </row>
    <row r="196" spans="2:11" s="292" customFormat="1" ht="13.5" hidden="1">
      <c r="B196" s="298">
        <f>PROPONENTES!C195</f>
        <v>0</v>
      </c>
      <c r="C196" s="299">
        <v>177</v>
      </c>
      <c r="D196" s="300" t="e">
        <f>VLOOKUP(B196,PROPONENTES!$C$19:$E$218,2,FALSE)</f>
        <v>#N/A</v>
      </c>
      <c r="E196" s="514" t="e">
        <f>VLOOKUP(B196,HAB.EXP.ESP.!$C$27:$N$226,12,FALSE)</f>
        <v>#N/A</v>
      </c>
      <c r="F196" s="385" t="e">
        <f>VLOOKUP(B196,PON.EXP.ESP.!$C$30:$J$229,6,FALSE)</f>
        <v>#N/A</v>
      </c>
      <c r="G196" s="383" t="e">
        <f>VLOOKUP(B196,PON.EXP.ESP.!$C$30:$J$229,8,FALSE)</f>
        <v>#N/A</v>
      </c>
      <c r="H196" s="383">
        <f>VLOOKUP(B196,VIN.PERS.DISC.!$B$19:$D$218,3,FALSE)</f>
        <v>0</v>
      </c>
      <c r="I196" s="384">
        <f>VLOOKUP(B196,'APOYO A IND. NAL.'!$B$19:$D$218,3,FALSE)</f>
        <v>0</v>
      </c>
      <c r="J196" s="384" t="e">
        <f t="shared" si="2"/>
        <v>#N/A</v>
      </c>
      <c r="K196" s="301"/>
    </row>
    <row r="197" spans="2:11" s="292" customFormat="1" ht="13.5" hidden="1">
      <c r="B197" s="298">
        <f>PROPONENTES!C196</f>
        <v>0</v>
      </c>
      <c r="C197" s="299">
        <v>178</v>
      </c>
      <c r="D197" s="300" t="e">
        <f>VLOOKUP(B197,PROPONENTES!$C$19:$E$218,2,FALSE)</f>
        <v>#N/A</v>
      </c>
      <c r="E197" s="514" t="e">
        <f>VLOOKUP(B197,HAB.EXP.ESP.!$C$27:$N$226,12,FALSE)</f>
        <v>#N/A</v>
      </c>
      <c r="F197" s="385" t="e">
        <f>VLOOKUP(B197,PON.EXP.ESP.!$C$30:$J$229,6,FALSE)</f>
        <v>#N/A</v>
      </c>
      <c r="G197" s="383" t="e">
        <f>VLOOKUP(B197,PON.EXP.ESP.!$C$30:$J$229,8,FALSE)</f>
        <v>#N/A</v>
      </c>
      <c r="H197" s="383">
        <f>VLOOKUP(B197,VIN.PERS.DISC.!$B$19:$D$218,3,FALSE)</f>
        <v>0</v>
      </c>
      <c r="I197" s="384">
        <f>VLOOKUP(B197,'APOYO A IND. NAL.'!$B$19:$D$218,3,FALSE)</f>
        <v>0</v>
      </c>
      <c r="J197" s="384" t="e">
        <f t="shared" si="2"/>
        <v>#N/A</v>
      </c>
      <c r="K197" s="301"/>
    </row>
    <row r="198" spans="2:11" s="292" customFormat="1" ht="13.5" hidden="1">
      <c r="B198" s="298">
        <f>PROPONENTES!C197</f>
        <v>0</v>
      </c>
      <c r="C198" s="299">
        <v>179</v>
      </c>
      <c r="D198" s="300" t="e">
        <f>VLOOKUP(B198,PROPONENTES!$C$19:$E$218,2,FALSE)</f>
        <v>#N/A</v>
      </c>
      <c r="E198" s="514" t="e">
        <f>VLOOKUP(B198,HAB.EXP.ESP.!$C$27:$N$226,12,FALSE)</f>
        <v>#N/A</v>
      </c>
      <c r="F198" s="385" t="e">
        <f>VLOOKUP(B198,PON.EXP.ESP.!$C$30:$J$229,6,FALSE)</f>
        <v>#N/A</v>
      </c>
      <c r="G198" s="383" t="e">
        <f>VLOOKUP(B198,PON.EXP.ESP.!$C$30:$J$229,8,FALSE)</f>
        <v>#N/A</v>
      </c>
      <c r="H198" s="383">
        <f>VLOOKUP(B198,VIN.PERS.DISC.!$B$19:$D$218,3,FALSE)</f>
        <v>0</v>
      </c>
      <c r="I198" s="384">
        <f>VLOOKUP(B198,'APOYO A IND. NAL.'!$B$19:$D$218,3,FALSE)</f>
        <v>0</v>
      </c>
      <c r="J198" s="384" t="e">
        <f t="shared" si="2"/>
        <v>#N/A</v>
      </c>
      <c r="K198" s="301"/>
    </row>
    <row r="199" spans="2:11" s="292" customFormat="1" ht="13.5" hidden="1">
      <c r="B199" s="298">
        <f>PROPONENTES!C198</f>
        <v>0</v>
      </c>
      <c r="C199" s="299">
        <v>180</v>
      </c>
      <c r="D199" s="300" t="e">
        <f>VLOOKUP(B199,PROPONENTES!$C$19:$E$218,2,FALSE)</f>
        <v>#N/A</v>
      </c>
      <c r="E199" s="514" t="e">
        <f>VLOOKUP(B199,HAB.EXP.ESP.!$C$27:$N$226,12,FALSE)</f>
        <v>#N/A</v>
      </c>
      <c r="F199" s="385" t="e">
        <f>VLOOKUP(B199,PON.EXP.ESP.!$C$30:$J$229,6,FALSE)</f>
        <v>#N/A</v>
      </c>
      <c r="G199" s="383" t="e">
        <f>VLOOKUP(B199,PON.EXP.ESP.!$C$30:$J$229,8,FALSE)</f>
        <v>#N/A</v>
      </c>
      <c r="H199" s="383">
        <f>VLOOKUP(B199,VIN.PERS.DISC.!$B$19:$D$218,3,FALSE)</f>
        <v>0</v>
      </c>
      <c r="I199" s="384">
        <f>VLOOKUP(B199,'APOYO A IND. NAL.'!$B$19:$D$218,3,FALSE)</f>
        <v>0</v>
      </c>
      <c r="J199" s="384" t="e">
        <f t="shared" si="2"/>
        <v>#N/A</v>
      </c>
      <c r="K199" s="301"/>
    </row>
    <row r="200" spans="2:11" s="292" customFormat="1" ht="13.5" hidden="1">
      <c r="B200" s="298">
        <f>PROPONENTES!C199</f>
        <v>0</v>
      </c>
      <c r="C200" s="299">
        <v>181</v>
      </c>
      <c r="D200" s="300" t="e">
        <f>VLOOKUP(B200,PROPONENTES!$C$19:$E$218,2,FALSE)</f>
        <v>#N/A</v>
      </c>
      <c r="E200" s="514" t="e">
        <f>VLOOKUP(B200,HAB.EXP.ESP.!$C$27:$N$226,12,FALSE)</f>
        <v>#N/A</v>
      </c>
      <c r="F200" s="385" t="e">
        <f>VLOOKUP(B200,PON.EXP.ESP.!$C$30:$J$229,6,FALSE)</f>
        <v>#N/A</v>
      </c>
      <c r="G200" s="383" t="e">
        <f>VLOOKUP(B200,PON.EXP.ESP.!$C$30:$J$229,8,FALSE)</f>
        <v>#N/A</v>
      </c>
      <c r="H200" s="383">
        <f>VLOOKUP(B200,VIN.PERS.DISC.!$B$19:$D$218,3,FALSE)</f>
        <v>0</v>
      </c>
      <c r="I200" s="384">
        <f>VLOOKUP(B200,'APOYO A IND. NAL.'!$B$19:$D$218,3,FALSE)</f>
        <v>0</v>
      </c>
      <c r="J200" s="384" t="e">
        <f t="shared" si="2"/>
        <v>#N/A</v>
      </c>
      <c r="K200" s="301"/>
    </row>
    <row r="201" spans="2:11" s="292" customFormat="1" ht="13.5" hidden="1">
      <c r="B201" s="298">
        <f>PROPONENTES!C200</f>
        <v>0</v>
      </c>
      <c r="C201" s="299">
        <v>182</v>
      </c>
      <c r="D201" s="300" t="e">
        <f>VLOOKUP(B201,PROPONENTES!$C$19:$E$218,2,FALSE)</f>
        <v>#N/A</v>
      </c>
      <c r="E201" s="514" t="e">
        <f>VLOOKUP(B201,HAB.EXP.ESP.!$C$27:$N$226,12,FALSE)</f>
        <v>#N/A</v>
      </c>
      <c r="F201" s="385" t="e">
        <f>VLOOKUP(B201,PON.EXP.ESP.!$C$30:$J$229,6,FALSE)</f>
        <v>#N/A</v>
      </c>
      <c r="G201" s="383" t="e">
        <f>VLOOKUP(B201,PON.EXP.ESP.!$C$30:$J$229,8,FALSE)</f>
        <v>#N/A</v>
      </c>
      <c r="H201" s="383">
        <f>VLOOKUP(B201,VIN.PERS.DISC.!$B$19:$D$218,3,FALSE)</f>
        <v>0</v>
      </c>
      <c r="I201" s="384">
        <f>VLOOKUP(B201,'APOYO A IND. NAL.'!$B$19:$D$218,3,FALSE)</f>
        <v>0</v>
      </c>
      <c r="J201" s="384" t="e">
        <f t="shared" si="2"/>
        <v>#N/A</v>
      </c>
      <c r="K201" s="301"/>
    </row>
    <row r="202" spans="2:11" s="292" customFormat="1" ht="13.5" hidden="1">
      <c r="B202" s="298">
        <f>PROPONENTES!C201</f>
        <v>0</v>
      </c>
      <c r="C202" s="299">
        <v>183</v>
      </c>
      <c r="D202" s="300" t="e">
        <f>VLOOKUP(B202,PROPONENTES!$C$19:$E$218,2,FALSE)</f>
        <v>#N/A</v>
      </c>
      <c r="E202" s="514" t="e">
        <f>VLOOKUP(B202,HAB.EXP.ESP.!$C$27:$N$226,12,FALSE)</f>
        <v>#N/A</v>
      </c>
      <c r="F202" s="385" t="e">
        <f>VLOOKUP(B202,PON.EXP.ESP.!$C$30:$J$229,6,FALSE)</f>
        <v>#N/A</v>
      </c>
      <c r="G202" s="383" t="e">
        <f>VLOOKUP(B202,PON.EXP.ESP.!$C$30:$J$229,8,FALSE)</f>
        <v>#N/A</v>
      </c>
      <c r="H202" s="383">
        <f>VLOOKUP(B202,VIN.PERS.DISC.!$B$19:$D$218,3,FALSE)</f>
        <v>0</v>
      </c>
      <c r="I202" s="384">
        <f>VLOOKUP(B202,'APOYO A IND. NAL.'!$B$19:$D$218,3,FALSE)</f>
        <v>0</v>
      </c>
      <c r="J202" s="384" t="e">
        <f t="shared" si="2"/>
        <v>#N/A</v>
      </c>
      <c r="K202" s="301"/>
    </row>
    <row r="203" spans="2:11" s="292" customFormat="1" ht="13.5" hidden="1">
      <c r="B203" s="298">
        <f>PROPONENTES!C202</f>
        <v>0</v>
      </c>
      <c r="C203" s="299">
        <v>184</v>
      </c>
      <c r="D203" s="300" t="e">
        <f>VLOOKUP(B203,PROPONENTES!$C$19:$E$218,2,FALSE)</f>
        <v>#N/A</v>
      </c>
      <c r="E203" s="514" t="e">
        <f>VLOOKUP(B203,HAB.EXP.ESP.!$C$27:$N$226,12,FALSE)</f>
        <v>#N/A</v>
      </c>
      <c r="F203" s="385" t="e">
        <f>VLOOKUP(B203,PON.EXP.ESP.!$C$30:$J$229,6,FALSE)</f>
        <v>#N/A</v>
      </c>
      <c r="G203" s="383" t="e">
        <f>VLOOKUP(B203,PON.EXP.ESP.!$C$30:$J$229,8,FALSE)</f>
        <v>#N/A</v>
      </c>
      <c r="H203" s="383">
        <f>VLOOKUP(B203,VIN.PERS.DISC.!$B$19:$D$218,3,FALSE)</f>
        <v>0</v>
      </c>
      <c r="I203" s="384">
        <f>VLOOKUP(B203,'APOYO A IND. NAL.'!$B$19:$D$218,3,FALSE)</f>
        <v>0</v>
      </c>
      <c r="J203" s="384" t="e">
        <f t="shared" si="2"/>
        <v>#N/A</v>
      </c>
      <c r="K203" s="301"/>
    </row>
    <row r="204" spans="2:11" s="292" customFormat="1" ht="13.5" hidden="1">
      <c r="B204" s="298">
        <f>PROPONENTES!C203</f>
        <v>0</v>
      </c>
      <c r="C204" s="299">
        <v>185</v>
      </c>
      <c r="D204" s="300" t="e">
        <f>VLOOKUP(B204,PROPONENTES!$C$19:$E$218,2,FALSE)</f>
        <v>#N/A</v>
      </c>
      <c r="E204" s="514" t="e">
        <f>VLOOKUP(B204,HAB.EXP.ESP.!$C$27:$N$226,12,FALSE)</f>
        <v>#N/A</v>
      </c>
      <c r="F204" s="385" t="e">
        <f>VLOOKUP(B204,PON.EXP.ESP.!$C$30:$J$229,6,FALSE)</f>
        <v>#N/A</v>
      </c>
      <c r="G204" s="383" t="e">
        <f>VLOOKUP(B204,PON.EXP.ESP.!$C$30:$J$229,8,FALSE)</f>
        <v>#N/A</v>
      </c>
      <c r="H204" s="383">
        <f>VLOOKUP(B204,VIN.PERS.DISC.!$B$19:$D$218,3,FALSE)</f>
        <v>0</v>
      </c>
      <c r="I204" s="384">
        <f>VLOOKUP(B204,'APOYO A IND. NAL.'!$B$19:$D$218,3,FALSE)</f>
        <v>0</v>
      </c>
      <c r="J204" s="384" t="e">
        <f t="shared" si="2"/>
        <v>#N/A</v>
      </c>
      <c r="K204" s="301"/>
    </row>
    <row r="205" spans="2:11" s="292" customFormat="1" ht="13.5" hidden="1">
      <c r="B205" s="298">
        <f>PROPONENTES!C204</f>
        <v>0</v>
      </c>
      <c r="C205" s="299">
        <v>186</v>
      </c>
      <c r="D205" s="300" t="e">
        <f>VLOOKUP(B205,PROPONENTES!$C$19:$E$218,2,FALSE)</f>
        <v>#N/A</v>
      </c>
      <c r="E205" s="514" t="e">
        <f>VLOOKUP(B205,HAB.EXP.ESP.!$C$27:$N$226,12,FALSE)</f>
        <v>#N/A</v>
      </c>
      <c r="F205" s="385" t="e">
        <f>VLOOKUP(B205,PON.EXP.ESP.!$C$30:$J$229,6,FALSE)</f>
        <v>#N/A</v>
      </c>
      <c r="G205" s="383" t="e">
        <f>VLOOKUP(B205,PON.EXP.ESP.!$C$30:$J$229,8,FALSE)</f>
        <v>#N/A</v>
      </c>
      <c r="H205" s="383">
        <f>VLOOKUP(B205,VIN.PERS.DISC.!$B$19:$D$218,3,FALSE)</f>
        <v>0</v>
      </c>
      <c r="I205" s="384">
        <f>VLOOKUP(B205,'APOYO A IND. NAL.'!$B$19:$D$218,3,FALSE)</f>
        <v>0</v>
      </c>
      <c r="J205" s="384" t="e">
        <f t="shared" si="2"/>
        <v>#N/A</v>
      </c>
      <c r="K205" s="301"/>
    </row>
    <row r="206" spans="2:11" s="292" customFormat="1" ht="13.5" hidden="1">
      <c r="B206" s="298">
        <f>PROPONENTES!C205</f>
        <v>0</v>
      </c>
      <c r="C206" s="299">
        <v>187</v>
      </c>
      <c r="D206" s="300" t="e">
        <f>VLOOKUP(B206,PROPONENTES!$C$19:$E$218,2,FALSE)</f>
        <v>#N/A</v>
      </c>
      <c r="E206" s="514" t="e">
        <f>VLOOKUP(B206,HAB.EXP.ESP.!$C$27:$N$226,12,FALSE)</f>
        <v>#N/A</v>
      </c>
      <c r="F206" s="385" t="e">
        <f>VLOOKUP(B206,PON.EXP.ESP.!$C$30:$J$229,6,FALSE)</f>
        <v>#N/A</v>
      </c>
      <c r="G206" s="383" t="e">
        <f>VLOOKUP(B206,PON.EXP.ESP.!$C$30:$J$229,8,FALSE)</f>
        <v>#N/A</v>
      </c>
      <c r="H206" s="383">
        <f>VLOOKUP(B206,VIN.PERS.DISC.!$B$19:$D$218,3,FALSE)</f>
        <v>0</v>
      </c>
      <c r="I206" s="384">
        <f>VLOOKUP(B206,'APOYO A IND. NAL.'!$B$19:$D$218,3,FALSE)</f>
        <v>0</v>
      </c>
      <c r="J206" s="384" t="e">
        <f t="shared" si="2"/>
        <v>#N/A</v>
      </c>
      <c r="K206" s="301"/>
    </row>
    <row r="207" spans="2:11" s="292" customFormat="1" ht="13.5" hidden="1">
      <c r="B207" s="298">
        <f>PROPONENTES!C206</f>
        <v>0</v>
      </c>
      <c r="C207" s="299">
        <v>188</v>
      </c>
      <c r="D207" s="300" t="e">
        <f>VLOOKUP(B207,PROPONENTES!$C$19:$E$218,2,FALSE)</f>
        <v>#N/A</v>
      </c>
      <c r="E207" s="514" t="e">
        <f>VLOOKUP(B207,HAB.EXP.ESP.!$C$27:$N$226,12,FALSE)</f>
        <v>#N/A</v>
      </c>
      <c r="F207" s="385" t="e">
        <f>VLOOKUP(B207,PON.EXP.ESP.!$C$30:$J$229,6,FALSE)</f>
        <v>#N/A</v>
      </c>
      <c r="G207" s="383" t="e">
        <f>VLOOKUP(B207,PON.EXP.ESP.!$C$30:$J$229,8,FALSE)</f>
        <v>#N/A</v>
      </c>
      <c r="H207" s="383">
        <f>VLOOKUP(B207,VIN.PERS.DISC.!$B$19:$D$218,3,FALSE)</f>
        <v>0</v>
      </c>
      <c r="I207" s="384">
        <f>VLOOKUP(B207,'APOYO A IND. NAL.'!$B$19:$D$218,3,FALSE)</f>
        <v>0</v>
      </c>
      <c r="J207" s="384" t="e">
        <f t="shared" si="2"/>
        <v>#N/A</v>
      </c>
      <c r="K207" s="301"/>
    </row>
    <row r="208" spans="2:11" s="292" customFormat="1" ht="13.5" hidden="1">
      <c r="B208" s="298">
        <f>PROPONENTES!C207</f>
        <v>0</v>
      </c>
      <c r="C208" s="299">
        <v>189</v>
      </c>
      <c r="D208" s="300" t="e">
        <f>VLOOKUP(B208,PROPONENTES!$C$19:$E$218,2,FALSE)</f>
        <v>#N/A</v>
      </c>
      <c r="E208" s="514" t="e">
        <f>VLOOKUP(B208,HAB.EXP.ESP.!$C$27:$N$226,12,FALSE)</f>
        <v>#N/A</v>
      </c>
      <c r="F208" s="385" t="e">
        <f>VLOOKUP(B208,PON.EXP.ESP.!$C$30:$J$229,6,FALSE)</f>
        <v>#N/A</v>
      </c>
      <c r="G208" s="383" t="e">
        <f>VLOOKUP(B208,PON.EXP.ESP.!$C$30:$J$229,8,FALSE)</f>
        <v>#N/A</v>
      </c>
      <c r="H208" s="383">
        <f>VLOOKUP(B208,VIN.PERS.DISC.!$B$19:$D$218,3,FALSE)</f>
        <v>0</v>
      </c>
      <c r="I208" s="384">
        <f>VLOOKUP(B208,'APOYO A IND. NAL.'!$B$19:$D$218,3,FALSE)</f>
        <v>0</v>
      </c>
      <c r="J208" s="384" t="e">
        <f t="shared" si="2"/>
        <v>#N/A</v>
      </c>
      <c r="K208" s="301"/>
    </row>
    <row r="209" spans="2:11" s="292" customFormat="1" ht="13.5" hidden="1">
      <c r="B209" s="298">
        <f>PROPONENTES!C208</f>
        <v>0</v>
      </c>
      <c r="C209" s="299">
        <v>190</v>
      </c>
      <c r="D209" s="300" t="e">
        <f>VLOOKUP(B209,PROPONENTES!$C$19:$E$218,2,FALSE)</f>
        <v>#N/A</v>
      </c>
      <c r="E209" s="514" t="e">
        <f>VLOOKUP(B209,HAB.EXP.ESP.!$C$27:$N$226,12,FALSE)</f>
        <v>#N/A</v>
      </c>
      <c r="F209" s="385" t="e">
        <f>VLOOKUP(B209,PON.EXP.ESP.!$C$30:$J$229,6,FALSE)</f>
        <v>#N/A</v>
      </c>
      <c r="G209" s="383" t="e">
        <f>VLOOKUP(B209,PON.EXP.ESP.!$C$30:$J$229,8,FALSE)</f>
        <v>#N/A</v>
      </c>
      <c r="H209" s="383">
        <f>VLOOKUP(B209,VIN.PERS.DISC.!$B$19:$D$218,3,FALSE)</f>
        <v>0</v>
      </c>
      <c r="I209" s="384">
        <f>VLOOKUP(B209,'APOYO A IND. NAL.'!$B$19:$D$218,3,FALSE)</f>
        <v>0</v>
      </c>
      <c r="J209" s="384" t="e">
        <f t="shared" si="2"/>
        <v>#N/A</v>
      </c>
      <c r="K209" s="301"/>
    </row>
    <row r="210" spans="2:11" s="292" customFormat="1" ht="13.5" hidden="1">
      <c r="B210" s="298">
        <f>PROPONENTES!C209</f>
        <v>0</v>
      </c>
      <c r="C210" s="299">
        <v>191</v>
      </c>
      <c r="D210" s="300" t="e">
        <f>VLOOKUP(B210,PROPONENTES!$C$19:$E$218,2,FALSE)</f>
        <v>#N/A</v>
      </c>
      <c r="E210" s="514" t="e">
        <f>VLOOKUP(B210,HAB.EXP.ESP.!$C$27:$N$226,12,FALSE)</f>
        <v>#N/A</v>
      </c>
      <c r="F210" s="385" t="e">
        <f>VLOOKUP(B210,PON.EXP.ESP.!$C$30:$J$229,6,FALSE)</f>
        <v>#N/A</v>
      </c>
      <c r="G210" s="383" t="e">
        <f>VLOOKUP(B210,PON.EXP.ESP.!$C$30:$J$229,8,FALSE)</f>
        <v>#N/A</v>
      </c>
      <c r="H210" s="383">
        <f>VLOOKUP(B210,VIN.PERS.DISC.!$B$19:$D$218,3,FALSE)</f>
        <v>0</v>
      </c>
      <c r="I210" s="384">
        <f>VLOOKUP(B210,'APOYO A IND. NAL.'!$B$19:$D$218,3,FALSE)</f>
        <v>0</v>
      </c>
      <c r="J210" s="384" t="e">
        <f t="shared" si="2"/>
        <v>#N/A</v>
      </c>
      <c r="K210" s="301"/>
    </row>
    <row r="211" spans="2:11" s="292" customFormat="1" ht="13.5" hidden="1">
      <c r="B211" s="298">
        <f>PROPONENTES!C210</f>
        <v>0</v>
      </c>
      <c r="C211" s="299">
        <v>192</v>
      </c>
      <c r="D211" s="300" t="e">
        <f>VLOOKUP(B211,PROPONENTES!$C$19:$E$218,2,FALSE)</f>
        <v>#N/A</v>
      </c>
      <c r="E211" s="514" t="e">
        <f>VLOOKUP(B211,HAB.EXP.ESP.!$C$27:$N$226,12,FALSE)</f>
        <v>#N/A</v>
      </c>
      <c r="F211" s="385" t="e">
        <f>VLOOKUP(B211,PON.EXP.ESP.!$C$30:$J$229,6,FALSE)</f>
        <v>#N/A</v>
      </c>
      <c r="G211" s="383" t="e">
        <f>VLOOKUP(B211,PON.EXP.ESP.!$C$30:$J$229,8,FALSE)</f>
        <v>#N/A</v>
      </c>
      <c r="H211" s="383">
        <f>VLOOKUP(B211,VIN.PERS.DISC.!$B$19:$D$218,3,FALSE)</f>
        <v>0</v>
      </c>
      <c r="I211" s="384">
        <f>VLOOKUP(B211,'APOYO A IND. NAL.'!$B$19:$D$218,3,FALSE)</f>
        <v>0</v>
      </c>
      <c r="J211" s="384" t="e">
        <f t="shared" si="2"/>
        <v>#N/A</v>
      </c>
      <c r="K211" s="301"/>
    </row>
    <row r="212" spans="2:11" s="292" customFormat="1" ht="13.5" hidden="1">
      <c r="B212" s="298">
        <f>PROPONENTES!C211</f>
        <v>0</v>
      </c>
      <c r="C212" s="299">
        <v>193</v>
      </c>
      <c r="D212" s="300" t="e">
        <f>VLOOKUP(B212,PROPONENTES!$C$19:$E$218,2,FALSE)</f>
        <v>#N/A</v>
      </c>
      <c r="E212" s="514" t="e">
        <f>VLOOKUP(B212,HAB.EXP.ESP.!$C$27:$N$226,12,FALSE)</f>
        <v>#N/A</v>
      </c>
      <c r="F212" s="385" t="e">
        <f>VLOOKUP(B212,PON.EXP.ESP.!$C$30:$J$229,6,FALSE)</f>
        <v>#N/A</v>
      </c>
      <c r="G212" s="383" t="e">
        <f>VLOOKUP(B212,PON.EXP.ESP.!$C$30:$J$229,8,FALSE)</f>
        <v>#N/A</v>
      </c>
      <c r="H212" s="383">
        <f>VLOOKUP(B212,VIN.PERS.DISC.!$B$19:$D$218,3,FALSE)</f>
        <v>0</v>
      </c>
      <c r="I212" s="384">
        <f>VLOOKUP(B212,'APOYO A IND. NAL.'!$B$19:$D$218,3,FALSE)</f>
        <v>0</v>
      </c>
      <c r="J212" s="384" t="e">
        <f t="shared" ref="J212:J219" si="3">SUM(F212:I212)</f>
        <v>#N/A</v>
      </c>
      <c r="K212" s="301"/>
    </row>
    <row r="213" spans="2:11" s="292" customFormat="1" ht="13.5" hidden="1">
      <c r="B213" s="298">
        <f>PROPONENTES!C212</f>
        <v>0</v>
      </c>
      <c r="C213" s="299">
        <v>194</v>
      </c>
      <c r="D213" s="300" t="e">
        <f>VLOOKUP(B213,PROPONENTES!$C$19:$E$218,2,FALSE)</f>
        <v>#N/A</v>
      </c>
      <c r="E213" s="514" t="e">
        <f>VLOOKUP(B213,HAB.EXP.ESP.!$C$27:$N$226,12,FALSE)</f>
        <v>#N/A</v>
      </c>
      <c r="F213" s="385" t="e">
        <f>VLOOKUP(B213,PON.EXP.ESP.!$C$30:$J$229,6,FALSE)</f>
        <v>#N/A</v>
      </c>
      <c r="G213" s="383" t="e">
        <f>VLOOKUP(B213,PON.EXP.ESP.!$C$30:$J$229,8,FALSE)</f>
        <v>#N/A</v>
      </c>
      <c r="H213" s="383">
        <f>VLOOKUP(B213,VIN.PERS.DISC.!$B$19:$D$218,3,FALSE)</f>
        <v>0</v>
      </c>
      <c r="I213" s="384">
        <f>VLOOKUP(B213,'APOYO A IND. NAL.'!$B$19:$D$218,3,FALSE)</f>
        <v>0</v>
      </c>
      <c r="J213" s="384" t="e">
        <f t="shared" si="3"/>
        <v>#N/A</v>
      </c>
      <c r="K213" s="301"/>
    </row>
    <row r="214" spans="2:11" s="292" customFormat="1" ht="13.5" hidden="1">
      <c r="B214" s="298">
        <f>PROPONENTES!C213</f>
        <v>0</v>
      </c>
      <c r="C214" s="299">
        <v>195</v>
      </c>
      <c r="D214" s="300" t="e">
        <f>VLOOKUP(B214,PROPONENTES!$C$19:$E$218,2,FALSE)</f>
        <v>#N/A</v>
      </c>
      <c r="E214" s="514" t="e">
        <f>VLOOKUP(B214,HAB.EXP.ESP.!$C$27:$N$226,12,FALSE)</f>
        <v>#N/A</v>
      </c>
      <c r="F214" s="385" t="e">
        <f>VLOOKUP(B214,PON.EXP.ESP.!$C$30:$J$229,6,FALSE)</f>
        <v>#N/A</v>
      </c>
      <c r="G214" s="383" t="e">
        <f>VLOOKUP(B214,PON.EXP.ESP.!$C$30:$J$229,8,FALSE)</f>
        <v>#N/A</v>
      </c>
      <c r="H214" s="383">
        <f>VLOOKUP(B214,VIN.PERS.DISC.!$B$19:$D$218,3,FALSE)</f>
        <v>0</v>
      </c>
      <c r="I214" s="384">
        <f>VLOOKUP(B214,'APOYO A IND. NAL.'!$B$19:$D$218,3,FALSE)</f>
        <v>0</v>
      </c>
      <c r="J214" s="384" t="e">
        <f t="shared" si="3"/>
        <v>#N/A</v>
      </c>
      <c r="K214" s="301"/>
    </row>
    <row r="215" spans="2:11" s="292" customFormat="1" ht="13.5" hidden="1">
      <c r="B215" s="298">
        <f>PROPONENTES!C214</f>
        <v>0</v>
      </c>
      <c r="C215" s="299">
        <v>196</v>
      </c>
      <c r="D215" s="300" t="e">
        <f>VLOOKUP(B215,PROPONENTES!$C$19:$E$218,2,FALSE)</f>
        <v>#N/A</v>
      </c>
      <c r="E215" s="514" t="e">
        <f>VLOOKUP(B215,HAB.EXP.ESP.!$C$27:$N$226,12,FALSE)</f>
        <v>#N/A</v>
      </c>
      <c r="F215" s="385" t="e">
        <f>VLOOKUP(B215,PON.EXP.ESP.!$C$30:$J$229,6,FALSE)</f>
        <v>#N/A</v>
      </c>
      <c r="G215" s="383" t="e">
        <f>VLOOKUP(B215,PON.EXP.ESP.!$C$30:$J$229,8,FALSE)</f>
        <v>#N/A</v>
      </c>
      <c r="H215" s="383">
        <f>VLOOKUP(B215,VIN.PERS.DISC.!$B$19:$D$218,3,FALSE)</f>
        <v>0</v>
      </c>
      <c r="I215" s="384">
        <f>VLOOKUP(B215,'APOYO A IND. NAL.'!$B$19:$D$218,3,FALSE)</f>
        <v>0</v>
      </c>
      <c r="J215" s="384" t="e">
        <f t="shared" si="3"/>
        <v>#N/A</v>
      </c>
      <c r="K215" s="301"/>
    </row>
    <row r="216" spans="2:11" s="292" customFormat="1" ht="13.5" hidden="1">
      <c r="B216" s="298">
        <f>PROPONENTES!C215</f>
        <v>0</v>
      </c>
      <c r="C216" s="299">
        <v>197</v>
      </c>
      <c r="D216" s="300" t="e">
        <f>VLOOKUP(B216,PROPONENTES!$C$19:$E$218,2,FALSE)</f>
        <v>#N/A</v>
      </c>
      <c r="E216" s="514" t="e">
        <f>VLOOKUP(B216,HAB.EXP.ESP.!$C$27:$N$226,12,FALSE)</f>
        <v>#N/A</v>
      </c>
      <c r="F216" s="385" t="e">
        <f>VLOOKUP(B216,PON.EXP.ESP.!$C$30:$J$229,6,FALSE)</f>
        <v>#N/A</v>
      </c>
      <c r="G216" s="383" t="e">
        <f>VLOOKUP(B216,PON.EXP.ESP.!$C$30:$J$229,8,FALSE)</f>
        <v>#N/A</v>
      </c>
      <c r="H216" s="383">
        <f>VLOOKUP(B216,VIN.PERS.DISC.!$B$19:$D$218,3,FALSE)</f>
        <v>0</v>
      </c>
      <c r="I216" s="384">
        <f>VLOOKUP(B216,'APOYO A IND. NAL.'!$B$19:$D$218,3,FALSE)</f>
        <v>0</v>
      </c>
      <c r="J216" s="384" t="e">
        <f t="shared" si="3"/>
        <v>#N/A</v>
      </c>
      <c r="K216" s="301"/>
    </row>
    <row r="217" spans="2:11" s="292" customFormat="1" ht="13.5" hidden="1">
      <c r="B217" s="298">
        <f>PROPONENTES!C216</f>
        <v>0</v>
      </c>
      <c r="C217" s="299">
        <v>198</v>
      </c>
      <c r="D217" s="300" t="e">
        <f>VLOOKUP(B217,PROPONENTES!$C$19:$E$218,2,FALSE)</f>
        <v>#N/A</v>
      </c>
      <c r="E217" s="514" t="e">
        <f>VLOOKUP(B217,HAB.EXP.ESP.!$C$27:$N$226,12,FALSE)</f>
        <v>#N/A</v>
      </c>
      <c r="F217" s="385" t="e">
        <f>VLOOKUP(B217,PON.EXP.ESP.!$C$30:$J$229,6,FALSE)</f>
        <v>#N/A</v>
      </c>
      <c r="G217" s="383" t="e">
        <f>VLOOKUP(B217,PON.EXP.ESP.!$C$30:$J$229,8,FALSE)</f>
        <v>#N/A</v>
      </c>
      <c r="H217" s="383">
        <f>VLOOKUP(B217,VIN.PERS.DISC.!$B$19:$D$218,3,FALSE)</f>
        <v>0</v>
      </c>
      <c r="I217" s="384">
        <f>VLOOKUP(B217,'APOYO A IND. NAL.'!$B$19:$D$218,3,FALSE)</f>
        <v>0</v>
      </c>
      <c r="J217" s="384" t="e">
        <f t="shared" si="3"/>
        <v>#N/A</v>
      </c>
      <c r="K217" s="301"/>
    </row>
    <row r="218" spans="2:11" s="292" customFormat="1" ht="13.5" hidden="1">
      <c r="B218" s="298">
        <f>PROPONENTES!C217</f>
        <v>0</v>
      </c>
      <c r="C218" s="299">
        <v>199</v>
      </c>
      <c r="D218" s="300" t="e">
        <f>VLOOKUP(B218,PROPONENTES!$C$19:$E$218,2,FALSE)</f>
        <v>#N/A</v>
      </c>
      <c r="E218" s="514" t="e">
        <f>VLOOKUP(B218,HAB.EXP.ESP.!$C$27:$N$226,12,FALSE)</f>
        <v>#N/A</v>
      </c>
      <c r="F218" s="385" t="e">
        <f>VLOOKUP(B218,PON.EXP.ESP.!$C$30:$J$229,6,FALSE)</f>
        <v>#N/A</v>
      </c>
      <c r="G218" s="383" t="e">
        <f>VLOOKUP(B218,PON.EXP.ESP.!$C$30:$J$229,8,FALSE)</f>
        <v>#N/A</v>
      </c>
      <c r="H218" s="383">
        <f>VLOOKUP(B218,VIN.PERS.DISC.!$B$19:$D$218,3,FALSE)</f>
        <v>0</v>
      </c>
      <c r="I218" s="384">
        <f>VLOOKUP(B218,'APOYO A IND. NAL.'!$B$19:$D$218,3,FALSE)</f>
        <v>0</v>
      </c>
      <c r="J218" s="384" t="e">
        <f t="shared" si="3"/>
        <v>#N/A</v>
      </c>
      <c r="K218" s="301"/>
    </row>
    <row r="219" spans="2:11" s="292" customFormat="1" ht="13.5" hidden="1">
      <c r="B219" s="298">
        <f>PROPONENTES!C218</f>
        <v>0</v>
      </c>
      <c r="C219" s="299">
        <v>200</v>
      </c>
      <c r="D219" s="300" t="e">
        <f>VLOOKUP(B219,PROPONENTES!$C$19:$E$218,2,FALSE)</f>
        <v>#N/A</v>
      </c>
      <c r="E219" s="514" t="e">
        <f>VLOOKUP(B219,HAB.EXP.ESP.!$C$27:$N$226,12,FALSE)</f>
        <v>#N/A</v>
      </c>
      <c r="F219" s="385" t="e">
        <f>VLOOKUP(B219,PON.EXP.ESP.!$C$30:$J$229,6,FALSE)</f>
        <v>#N/A</v>
      </c>
      <c r="G219" s="383" t="e">
        <f>VLOOKUP(B219,PON.EXP.ESP.!$C$30:$J$229,8,FALSE)</f>
        <v>#N/A</v>
      </c>
      <c r="H219" s="383">
        <f>VLOOKUP(B219,VIN.PERS.DISC.!$B$19:$D$218,3,FALSE)</f>
        <v>0</v>
      </c>
      <c r="I219" s="384">
        <f>VLOOKUP(B219,'APOYO A IND. NAL.'!$B$19:$D$218,3,FALSE)</f>
        <v>0</v>
      </c>
      <c r="J219" s="384" t="e">
        <f t="shared" si="3"/>
        <v>#N/A</v>
      </c>
      <c r="K219" s="301"/>
    </row>
    <row r="220" spans="2:11" ht="6" customHeight="1" thickBot="1">
      <c r="B220" s="302"/>
      <c r="C220" s="303"/>
      <c r="D220" s="303"/>
      <c r="E220" s="303"/>
      <c r="F220" s="303"/>
      <c r="G220" s="303"/>
      <c r="H220" s="303"/>
      <c r="I220" s="303"/>
      <c r="J220" s="303"/>
      <c r="K220" s="304"/>
    </row>
    <row r="221" spans="2:11" ht="15.75" thickTop="1"/>
  </sheetData>
  <mergeCells count="20">
    <mergeCell ref="K16:K18"/>
    <mergeCell ref="F17:G17"/>
    <mergeCell ref="I17:I18"/>
    <mergeCell ref="B16:B18"/>
    <mergeCell ref="C16:C18"/>
    <mergeCell ref="D16:D18"/>
    <mergeCell ref="F16:I16"/>
    <mergeCell ref="J16:J18"/>
    <mergeCell ref="E16:E18"/>
    <mergeCell ref="H17:H18"/>
    <mergeCell ref="B9:K9"/>
    <mergeCell ref="B11:K11"/>
    <mergeCell ref="B13:K13"/>
    <mergeCell ref="B14:K14"/>
    <mergeCell ref="B1:K1"/>
    <mergeCell ref="B2:K2"/>
    <mergeCell ref="B3:K3"/>
    <mergeCell ref="B4:K4"/>
    <mergeCell ref="B6:K6"/>
    <mergeCell ref="B7:K7"/>
  </mergeCells>
  <conditionalFormatting sqref="B20:D219 F20:K219">
    <cfRule type="expression" dxfId="38" priority="23" stopIfTrue="1">
      <formula>MOD(ROW(),2)</formula>
    </cfRule>
  </conditionalFormatting>
  <conditionalFormatting sqref="E20">
    <cfRule type="cellIs" dxfId="37" priority="9" stopIfTrue="1" operator="equal">
      <formula>"CUMPLE"</formula>
    </cfRule>
    <cfRule type="cellIs" dxfId="36" priority="10" stopIfTrue="1" operator="equal">
      <formula>"NO CUMPLE"</formula>
    </cfRule>
    <cfRule type="cellIs" dxfId="35" priority="11" stopIfTrue="1" operator="equal">
      <formula>"HÁBIL"</formula>
    </cfRule>
    <cfRule type="cellIs" dxfId="34" priority="12" stopIfTrue="1" operator="equal">
      <formula>"NO HÁBIL"</formula>
    </cfRule>
    <cfRule type="cellIs" dxfId="33" priority="13" stopIfTrue="1" operator="equal">
      <formula>"NO APLICA"</formula>
    </cfRule>
  </conditionalFormatting>
  <conditionalFormatting sqref="E21:E219">
    <cfRule type="cellIs" dxfId="32" priority="2" stopIfTrue="1" operator="equal">
      <formula>"CUMPLE"</formula>
    </cfRule>
    <cfRule type="cellIs" dxfId="31" priority="3" stopIfTrue="1" operator="equal">
      <formula>"NO CUMPLE"</formula>
    </cfRule>
    <cfRule type="cellIs" dxfId="30" priority="4" stopIfTrue="1" operator="equal">
      <formula>"HÁBIL"</formula>
    </cfRule>
    <cfRule type="cellIs" dxfId="29" priority="5" stopIfTrue="1" operator="equal">
      <formula>"NO HÁBIL"</formula>
    </cfRule>
    <cfRule type="cellIs" dxfId="28" priority="6" stopIfTrue="1" operator="equal">
      <formula>"NO APLICA"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62" fitToHeight="0" orientation="landscape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132"/>
  <sheetViews>
    <sheetView topLeftCell="A18" workbookViewId="0">
      <selection activeCell="G45" sqref="G45"/>
    </sheetView>
  </sheetViews>
  <sheetFormatPr baseColWidth="10" defaultColWidth="28.140625" defaultRowHeight="15.75"/>
  <cols>
    <col min="1" max="1" width="12.140625" style="306" customWidth="1"/>
    <col min="2" max="2" width="1.85546875" style="306" customWidth="1"/>
    <col min="3" max="3" width="14" style="306" bestFit="1" customWidth="1"/>
    <col min="4" max="4" width="8.7109375" style="306" bestFit="1" customWidth="1"/>
    <col min="5" max="5" width="6.5703125" style="306" bestFit="1" customWidth="1"/>
    <col min="6" max="6" width="11.85546875" style="306" customWidth="1"/>
    <col min="7" max="7" width="12.85546875" style="306" bestFit="1" customWidth="1"/>
    <col min="8" max="8" width="14.7109375" style="306" bestFit="1" customWidth="1"/>
    <col min="9" max="9" width="17.7109375" style="306" customWidth="1"/>
    <col min="10" max="11" width="12" style="493" customWidth="1"/>
    <col min="12" max="16384" width="28.140625" style="306"/>
  </cols>
  <sheetData>
    <row r="1" spans="1:11">
      <c r="A1" s="893" t="s">
        <v>20</v>
      </c>
      <c r="B1" s="893"/>
      <c r="C1" s="893"/>
      <c r="D1" s="9" t="s">
        <v>21</v>
      </c>
      <c r="E1" s="305"/>
      <c r="J1" s="494" t="s">
        <v>312</v>
      </c>
      <c r="K1" s="494" t="s">
        <v>313</v>
      </c>
    </row>
    <row r="2" spans="1:11">
      <c r="A2" s="307">
        <v>29222</v>
      </c>
      <c r="B2" s="308"/>
      <c r="C2" s="308">
        <v>29587</v>
      </c>
      <c r="D2" s="309">
        <v>4500</v>
      </c>
      <c r="J2" s="495">
        <v>1980</v>
      </c>
      <c r="K2" s="496">
        <v>4500</v>
      </c>
    </row>
    <row r="3" spans="1:11">
      <c r="A3" s="308">
        <v>29588</v>
      </c>
      <c r="B3" s="308"/>
      <c r="C3" s="308">
        <v>29952</v>
      </c>
      <c r="D3" s="309">
        <v>5700</v>
      </c>
      <c r="E3" s="310">
        <v>0.26666666666666661</v>
      </c>
      <c r="J3" s="495">
        <v>1981</v>
      </c>
      <c r="K3" s="496">
        <v>5700</v>
      </c>
    </row>
    <row r="4" spans="1:11">
      <c r="A4" s="308">
        <v>29953</v>
      </c>
      <c r="B4" s="308"/>
      <c r="C4" s="308">
        <v>30317</v>
      </c>
      <c r="D4" s="309">
        <v>7410</v>
      </c>
      <c r="E4" s="310">
        <v>0.30000000000000004</v>
      </c>
      <c r="J4" s="495">
        <v>1982</v>
      </c>
      <c r="K4" s="496">
        <v>7410</v>
      </c>
    </row>
    <row r="5" spans="1:11">
      <c r="A5" s="308">
        <v>30318</v>
      </c>
      <c r="B5" s="308"/>
      <c r="C5" s="308">
        <v>30682</v>
      </c>
      <c r="D5" s="309">
        <v>9261</v>
      </c>
      <c r="E5" s="310">
        <v>0.24979757085020249</v>
      </c>
      <c r="J5" s="495">
        <v>1983</v>
      </c>
      <c r="K5" s="496">
        <v>9261</v>
      </c>
    </row>
    <row r="6" spans="1:11">
      <c r="A6" s="308">
        <v>30683</v>
      </c>
      <c r="B6" s="308"/>
      <c r="C6" s="308">
        <v>31048</v>
      </c>
      <c r="D6" s="309">
        <v>11298</v>
      </c>
      <c r="E6" s="310">
        <v>0.21995464852607705</v>
      </c>
      <c r="J6" s="495">
        <v>1984</v>
      </c>
      <c r="K6" s="496">
        <v>11298</v>
      </c>
    </row>
    <row r="7" spans="1:11">
      <c r="A7" s="307">
        <v>31049</v>
      </c>
      <c r="B7" s="308"/>
      <c r="C7" s="308">
        <v>31413</v>
      </c>
      <c r="D7" s="309">
        <v>13557.6</v>
      </c>
      <c r="E7" s="310">
        <v>0.19999999999999996</v>
      </c>
      <c r="J7" s="495">
        <v>1985</v>
      </c>
      <c r="K7" s="496">
        <v>13557.6</v>
      </c>
    </row>
    <row r="8" spans="1:11" ht="16.5" thickBot="1">
      <c r="A8" s="308">
        <v>31414</v>
      </c>
      <c r="B8" s="308"/>
      <c r="C8" s="308">
        <v>31778</v>
      </c>
      <c r="D8" s="309">
        <v>16611.400000000001</v>
      </c>
      <c r="E8" s="310">
        <v>0.22524635628724865</v>
      </c>
      <c r="J8" s="495">
        <v>1986</v>
      </c>
      <c r="K8" s="496">
        <v>16611.400000000001</v>
      </c>
    </row>
    <row r="9" spans="1:11" ht="16.5" thickTop="1">
      <c r="A9" s="308">
        <v>31779</v>
      </c>
      <c r="B9" s="308"/>
      <c r="C9" s="308">
        <v>32143</v>
      </c>
      <c r="D9" s="309">
        <v>20509.8</v>
      </c>
      <c r="E9" s="310">
        <v>0.23468220619574498</v>
      </c>
      <c r="G9" s="14" t="s">
        <v>29</v>
      </c>
      <c r="H9" s="15" t="s">
        <v>30</v>
      </c>
      <c r="J9" s="495">
        <v>1987</v>
      </c>
      <c r="K9" s="496">
        <v>20509.8</v>
      </c>
    </row>
    <row r="10" spans="1:11" ht="16.5" thickBot="1">
      <c r="A10" s="308">
        <v>32144</v>
      </c>
      <c r="B10" s="308"/>
      <c r="C10" s="308">
        <v>32508</v>
      </c>
      <c r="D10" s="309">
        <v>25637.4</v>
      </c>
      <c r="E10" s="310">
        <v>0.25000731357692429</v>
      </c>
      <c r="G10" s="16">
        <f ca="1">TODAY()</f>
        <v>43769</v>
      </c>
      <c r="H10" s="17">
        <f ca="1">LOOKUP(G10,A2:C100,D2:D100)</f>
        <v>781242</v>
      </c>
      <c r="J10" s="495">
        <v>1988</v>
      </c>
      <c r="K10" s="496">
        <v>25637.4</v>
      </c>
    </row>
    <row r="11" spans="1:11" ht="16.5" thickTop="1">
      <c r="A11" s="308">
        <v>32509</v>
      </c>
      <c r="B11" s="308"/>
      <c r="C11" s="308">
        <v>32873</v>
      </c>
      <c r="D11" s="309">
        <v>32559.599999999999</v>
      </c>
      <c r="E11" s="310">
        <v>0.27000397856256853</v>
      </c>
      <c r="J11" s="495">
        <v>1989</v>
      </c>
      <c r="K11" s="496">
        <v>32559.599999999999</v>
      </c>
    </row>
    <row r="12" spans="1:11">
      <c r="A12" s="307">
        <v>32874</v>
      </c>
      <c r="B12" s="308"/>
      <c r="C12" s="308">
        <v>33238</v>
      </c>
      <c r="D12" s="309">
        <v>41025</v>
      </c>
      <c r="E12" s="310">
        <v>0.25999705156083008</v>
      </c>
      <c r="J12" s="495">
        <v>1990</v>
      </c>
      <c r="K12" s="496">
        <v>41025</v>
      </c>
    </row>
    <row r="13" spans="1:11">
      <c r="A13" s="308">
        <v>33239</v>
      </c>
      <c r="B13" s="308"/>
      <c r="C13" s="308">
        <v>33603</v>
      </c>
      <c r="D13" s="309">
        <v>51720</v>
      </c>
      <c r="E13" s="310">
        <v>0.26069469835466186</v>
      </c>
      <c r="J13" s="495">
        <v>1991</v>
      </c>
      <c r="K13" s="496">
        <v>51720</v>
      </c>
    </row>
    <row r="14" spans="1:11">
      <c r="A14" s="308">
        <v>33604</v>
      </c>
      <c r="B14" s="308"/>
      <c r="C14" s="308">
        <v>33969</v>
      </c>
      <c r="D14" s="309">
        <v>65190</v>
      </c>
      <c r="E14" s="310">
        <v>0.26044083526682127</v>
      </c>
      <c r="J14" s="495">
        <v>1992</v>
      </c>
      <c r="K14" s="496">
        <v>65190</v>
      </c>
    </row>
    <row r="15" spans="1:11">
      <c r="A15" s="308">
        <v>33970</v>
      </c>
      <c r="B15" s="308"/>
      <c r="C15" s="308">
        <v>34334</v>
      </c>
      <c r="D15" s="309">
        <v>81510</v>
      </c>
      <c r="E15" s="310">
        <v>0.25034514496088356</v>
      </c>
      <c r="J15" s="495">
        <v>1993</v>
      </c>
      <c r="K15" s="496">
        <v>81510</v>
      </c>
    </row>
    <row r="16" spans="1:11">
      <c r="A16" s="308">
        <v>34335</v>
      </c>
      <c r="B16" s="308"/>
      <c r="C16" s="308">
        <v>34699</v>
      </c>
      <c r="D16" s="309">
        <v>98700</v>
      </c>
      <c r="E16" s="310">
        <v>0.21089436878910561</v>
      </c>
      <c r="J16" s="495">
        <v>1994</v>
      </c>
      <c r="K16" s="496">
        <v>98700</v>
      </c>
    </row>
    <row r="17" spans="1:11">
      <c r="A17" s="307">
        <v>34700</v>
      </c>
      <c r="B17" s="308"/>
      <c r="C17" s="308">
        <v>35064</v>
      </c>
      <c r="D17" s="309">
        <v>118933.5</v>
      </c>
      <c r="E17" s="310">
        <v>0.20500000000000007</v>
      </c>
      <c r="J17" s="495">
        <v>1995</v>
      </c>
      <c r="K17" s="496">
        <v>118933.5</v>
      </c>
    </row>
    <row r="18" spans="1:11">
      <c r="A18" s="308">
        <v>35065</v>
      </c>
      <c r="B18" s="308"/>
      <c r="C18" s="308">
        <v>35430</v>
      </c>
      <c r="D18" s="309">
        <v>142125</v>
      </c>
      <c r="E18" s="310">
        <v>0.19499552270806797</v>
      </c>
      <c r="J18" s="495">
        <v>1996</v>
      </c>
      <c r="K18" s="496">
        <v>142125</v>
      </c>
    </row>
    <row r="19" spans="1:11">
      <c r="A19" s="308">
        <v>35431</v>
      </c>
      <c r="B19" s="308"/>
      <c r="C19" s="308">
        <v>35795</v>
      </c>
      <c r="D19" s="309">
        <v>172005</v>
      </c>
      <c r="E19" s="310">
        <v>0.21023746701846968</v>
      </c>
      <c r="J19" s="495">
        <v>1997</v>
      </c>
      <c r="K19" s="496">
        <v>172005</v>
      </c>
    </row>
    <row r="20" spans="1:11">
      <c r="A20" s="308">
        <v>35796</v>
      </c>
      <c r="B20" s="308"/>
      <c r="C20" s="308">
        <v>36160</v>
      </c>
      <c r="D20" s="309">
        <v>203826</v>
      </c>
      <c r="E20" s="310">
        <v>0.1850004360338362</v>
      </c>
      <c r="J20" s="495">
        <v>1998</v>
      </c>
      <c r="K20" s="496">
        <v>203826</v>
      </c>
    </row>
    <row r="21" spans="1:11">
      <c r="A21" s="308">
        <v>36161</v>
      </c>
      <c r="B21" s="308"/>
      <c r="C21" s="308">
        <v>36525</v>
      </c>
      <c r="D21" s="309">
        <v>236460</v>
      </c>
      <c r="E21" s="310">
        <v>0.16010715021636091</v>
      </c>
      <c r="J21" s="495">
        <v>1999</v>
      </c>
      <c r="K21" s="496">
        <v>236460</v>
      </c>
    </row>
    <row r="22" spans="1:11">
      <c r="A22" s="307">
        <v>36526</v>
      </c>
      <c r="B22" s="308"/>
      <c r="C22" s="308">
        <v>36891</v>
      </c>
      <c r="D22" s="309">
        <v>260100</v>
      </c>
      <c r="E22" s="310">
        <v>9.9974625729510214E-2</v>
      </c>
      <c r="J22" s="495">
        <v>2000</v>
      </c>
      <c r="K22" s="496">
        <v>260100</v>
      </c>
    </row>
    <row r="23" spans="1:11">
      <c r="A23" s="308">
        <v>36892</v>
      </c>
      <c r="B23" s="308"/>
      <c r="C23" s="308">
        <v>37256</v>
      </c>
      <c r="D23" s="309">
        <v>286000</v>
      </c>
      <c r="E23" s="310">
        <v>9.9577085736255233E-2</v>
      </c>
      <c r="J23" s="495">
        <v>2001</v>
      </c>
      <c r="K23" s="496">
        <v>286000</v>
      </c>
    </row>
    <row r="24" spans="1:11">
      <c r="A24" s="308">
        <v>37257</v>
      </c>
      <c r="B24" s="308"/>
      <c r="C24" s="308">
        <v>37621</v>
      </c>
      <c r="D24" s="309">
        <v>309000</v>
      </c>
      <c r="E24" s="310">
        <v>8.0419580419580416E-2</v>
      </c>
      <c r="J24" s="495">
        <v>2002</v>
      </c>
      <c r="K24" s="496">
        <v>309000</v>
      </c>
    </row>
    <row r="25" spans="1:11">
      <c r="A25" s="308">
        <v>37622</v>
      </c>
      <c r="B25" s="308"/>
      <c r="C25" s="308">
        <v>37986</v>
      </c>
      <c r="D25" s="309">
        <v>332000</v>
      </c>
      <c r="E25" s="310">
        <v>7.4433656957928696E-2</v>
      </c>
      <c r="J25" s="495">
        <v>2003</v>
      </c>
      <c r="K25" s="496">
        <v>332000</v>
      </c>
    </row>
    <row r="26" spans="1:11">
      <c r="A26" s="308">
        <v>37987</v>
      </c>
      <c r="B26" s="308"/>
      <c r="C26" s="308">
        <v>38352</v>
      </c>
      <c r="D26" s="309">
        <v>358000</v>
      </c>
      <c r="E26" s="310">
        <v>7.8313253012048278E-2</v>
      </c>
      <c r="J26" s="495">
        <v>2004</v>
      </c>
      <c r="K26" s="496">
        <v>358000</v>
      </c>
    </row>
    <row r="27" spans="1:11">
      <c r="A27" s="307">
        <v>38353</v>
      </c>
      <c r="B27" s="308"/>
      <c r="C27" s="308">
        <v>38717</v>
      </c>
      <c r="D27" s="309">
        <v>381500</v>
      </c>
      <c r="E27" s="310">
        <v>6.5642458100558576E-2</v>
      </c>
      <c r="J27" s="495">
        <v>2005</v>
      </c>
      <c r="K27" s="496">
        <v>381500</v>
      </c>
    </row>
    <row r="28" spans="1:11">
      <c r="A28" s="308">
        <v>38718</v>
      </c>
      <c r="B28" s="308"/>
      <c r="C28" s="308">
        <v>39082</v>
      </c>
      <c r="D28" s="309">
        <v>408000</v>
      </c>
      <c r="E28" s="310">
        <v>6.9462647444298753E-2</v>
      </c>
      <c r="J28" s="495">
        <v>2006</v>
      </c>
      <c r="K28" s="496">
        <v>408000</v>
      </c>
    </row>
    <row r="29" spans="1:11">
      <c r="A29" s="308">
        <v>39083</v>
      </c>
      <c r="B29" s="308"/>
      <c r="C29" s="308">
        <v>39447</v>
      </c>
      <c r="D29" s="309">
        <v>433700</v>
      </c>
      <c r="E29" s="310">
        <v>6.2990196078431371E-2</v>
      </c>
      <c r="J29" s="495">
        <v>2007</v>
      </c>
      <c r="K29" s="496">
        <v>433700</v>
      </c>
    </row>
    <row r="30" spans="1:11">
      <c r="A30" s="308">
        <v>39448</v>
      </c>
      <c r="B30" s="308"/>
      <c r="C30" s="308">
        <v>39813</v>
      </c>
      <c r="D30" s="309">
        <v>461500</v>
      </c>
      <c r="E30" s="310">
        <v>6.4099608023979737E-2</v>
      </c>
      <c r="J30" s="495">
        <v>2008</v>
      </c>
      <c r="K30" s="496">
        <v>461500</v>
      </c>
    </row>
    <row r="31" spans="1:11">
      <c r="A31" s="311">
        <v>39814</v>
      </c>
      <c r="B31" s="312"/>
      <c r="C31" s="311">
        <v>40178</v>
      </c>
      <c r="D31" s="313">
        <v>496900</v>
      </c>
      <c r="E31" s="310">
        <v>7.6706392199350049E-2</v>
      </c>
      <c r="J31" s="495">
        <v>2009</v>
      </c>
      <c r="K31" s="496">
        <v>496900</v>
      </c>
    </row>
    <row r="32" spans="1:11">
      <c r="A32" s="307">
        <v>40179</v>
      </c>
      <c r="B32" s="312"/>
      <c r="C32" s="311">
        <v>40543</v>
      </c>
      <c r="D32" s="313">
        <v>515000</v>
      </c>
      <c r="E32" s="310">
        <v>3.6425840209297622E-2</v>
      </c>
      <c r="J32" s="495">
        <v>2010</v>
      </c>
      <c r="K32" s="496">
        <v>515000</v>
      </c>
    </row>
    <row r="33" spans="1:11">
      <c r="A33" s="308">
        <v>40544</v>
      </c>
      <c r="B33" s="308"/>
      <c r="C33" s="308">
        <v>40908</v>
      </c>
      <c r="D33" s="309">
        <v>535600</v>
      </c>
      <c r="E33" s="310">
        <v>4.0000000000000036E-2</v>
      </c>
      <c r="J33" s="495">
        <v>2011</v>
      </c>
      <c r="K33" s="496">
        <v>535600</v>
      </c>
    </row>
    <row r="34" spans="1:11">
      <c r="A34" s="308">
        <v>40909</v>
      </c>
      <c r="B34" s="308"/>
      <c r="C34" s="308">
        <v>41274</v>
      </c>
      <c r="D34" s="309">
        <v>566700</v>
      </c>
      <c r="E34" s="310">
        <v>4.0000000000000036E-2</v>
      </c>
      <c r="J34" s="495">
        <v>2012</v>
      </c>
      <c r="K34" s="496">
        <v>566700</v>
      </c>
    </row>
    <row r="35" spans="1:11">
      <c r="A35" s="308">
        <v>41275</v>
      </c>
      <c r="B35" s="308"/>
      <c r="C35" s="308">
        <v>41639</v>
      </c>
      <c r="D35" s="309">
        <v>589500</v>
      </c>
      <c r="E35" s="310">
        <v>4.0232927474854421E-2</v>
      </c>
      <c r="J35" s="495">
        <v>2013</v>
      </c>
      <c r="K35" s="496">
        <v>589500</v>
      </c>
    </row>
    <row r="36" spans="1:11">
      <c r="A36" s="308">
        <v>41640</v>
      </c>
      <c r="B36" s="308"/>
      <c r="C36" s="308">
        <v>42004</v>
      </c>
      <c r="D36" s="309">
        <v>616000</v>
      </c>
      <c r="E36" s="310">
        <f>+D36/D35-1</f>
        <v>4.495335029686176E-2</v>
      </c>
      <c r="J36" s="495">
        <v>2014</v>
      </c>
      <c r="K36" s="496">
        <v>616000</v>
      </c>
    </row>
    <row r="37" spans="1:11">
      <c r="A37" s="307">
        <v>42005</v>
      </c>
      <c r="B37" s="308"/>
      <c r="C37" s="308">
        <v>42369</v>
      </c>
      <c r="D37" s="309">
        <v>644350</v>
      </c>
      <c r="E37" s="310">
        <f>+D37/D36-1</f>
        <v>4.6022727272727382E-2</v>
      </c>
      <c r="J37" s="495">
        <v>2015</v>
      </c>
      <c r="K37" s="496">
        <v>644350</v>
      </c>
    </row>
    <row r="38" spans="1:11">
      <c r="A38" s="308">
        <v>42370</v>
      </c>
      <c r="B38" s="308"/>
      <c r="C38" s="308">
        <v>42735</v>
      </c>
      <c r="D38" s="309">
        <v>689455</v>
      </c>
      <c r="E38" s="310">
        <f>+D38/D37-1</f>
        <v>7.0000775975789464E-2</v>
      </c>
      <c r="J38" s="495">
        <v>2016</v>
      </c>
      <c r="K38" s="496">
        <v>689455</v>
      </c>
    </row>
    <row r="39" spans="1:11">
      <c r="A39" s="308">
        <v>42736</v>
      </c>
      <c r="B39" s="308"/>
      <c r="C39" s="308">
        <v>43100</v>
      </c>
      <c r="D39" s="309">
        <v>737717</v>
      </c>
      <c r="E39" s="310">
        <f>+D39/D38-1</f>
        <v>7.0000217563147782E-2</v>
      </c>
      <c r="J39" s="495">
        <v>2017</v>
      </c>
      <c r="K39" s="496">
        <v>737717</v>
      </c>
    </row>
    <row r="40" spans="1:11">
      <c r="A40" s="308">
        <v>43101</v>
      </c>
      <c r="B40" s="308"/>
      <c r="C40" s="308">
        <v>43465</v>
      </c>
      <c r="D40" s="309">
        <v>781242</v>
      </c>
      <c r="E40" s="310">
        <f>+D40/D39-1</f>
        <v>5.8999589273393438E-2</v>
      </c>
      <c r="J40" s="495">
        <v>2018</v>
      </c>
      <c r="K40" s="496">
        <v>781242</v>
      </c>
    </row>
    <row r="41" spans="1:11">
      <c r="E41" s="310"/>
      <c r="J41" s="495"/>
      <c r="K41" s="496"/>
    </row>
    <row r="42" spans="1:11">
      <c r="E42" s="310"/>
      <c r="J42" s="495"/>
      <c r="K42" s="496"/>
    </row>
    <row r="43" spans="1:11">
      <c r="E43" s="310"/>
      <c r="J43" s="495"/>
      <c r="K43" s="496"/>
    </row>
    <row r="44" spans="1:11">
      <c r="E44" s="310"/>
      <c r="J44" s="495"/>
      <c r="K44" s="496"/>
    </row>
    <row r="45" spans="1:11">
      <c r="E45" s="310"/>
      <c r="J45" s="495"/>
      <c r="K45" s="496"/>
    </row>
    <row r="46" spans="1:11">
      <c r="E46" s="310"/>
      <c r="J46" s="495"/>
      <c r="K46" s="496"/>
    </row>
    <row r="47" spans="1:11">
      <c r="E47" s="310"/>
      <c r="J47" s="495"/>
      <c r="K47" s="496"/>
    </row>
    <row r="48" spans="1:11">
      <c r="E48" s="310"/>
      <c r="J48" s="495"/>
      <c r="K48" s="496"/>
    </row>
    <row r="49" spans="5:11">
      <c r="E49" s="310"/>
      <c r="J49" s="495"/>
      <c r="K49" s="496"/>
    </row>
    <row r="50" spans="5:11">
      <c r="E50" s="310"/>
      <c r="J50" s="495"/>
      <c r="K50" s="496"/>
    </row>
    <row r="51" spans="5:11">
      <c r="E51" s="310"/>
      <c r="J51" s="495"/>
      <c r="K51" s="496"/>
    </row>
    <row r="52" spans="5:11">
      <c r="E52" s="310"/>
      <c r="J52" s="495"/>
      <c r="K52" s="496"/>
    </row>
    <row r="53" spans="5:11">
      <c r="E53" s="310"/>
      <c r="J53" s="495"/>
      <c r="K53" s="496"/>
    </row>
    <row r="54" spans="5:11">
      <c r="E54" s="310"/>
      <c r="J54" s="495"/>
      <c r="K54" s="496"/>
    </row>
    <row r="55" spans="5:11">
      <c r="E55" s="310"/>
      <c r="J55" s="495"/>
      <c r="K55" s="496"/>
    </row>
    <row r="56" spans="5:11">
      <c r="E56" s="310"/>
      <c r="J56" s="495"/>
      <c r="K56" s="496"/>
    </row>
    <row r="57" spans="5:11">
      <c r="E57" s="310"/>
      <c r="J57" s="495"/>
      <c r="K57" s="496"/>
    </row>
    <row r="58" spans="5:11">
      <c r="E58" s="310"/>
      <c r="J58" s="495"/>
      <c r="K58" s="496"/>
    </row>
    <row r="59" spans="5:11">
      <c r="E59" s="310"/>
      <c r="J59" s="495"/>
      <c r="K59" s="496"/>
    </row>
    <row r="60" spans="5:11">
      <c r="E60" s="310"/>
      <c r="J60" s="495"/>
      <c r="K60" s="496"/>
    </row>
    <row r="61" spans="5:11">
      <c r="E61" s="310"/>
      <c r="J61" s="495"/>
      <c r="K61" s="496"/>
    </row>
    <row r="62" spans="5:11">
      <c r="E62" s="310"/>
      <c r="J62" s="495"/>
      <c r="K62" s="496"/>
    </row>
    <row r="63" spans="5:11">
      <c r="E63" s="310"/>
      <c r="J63" s="495"/>
      <c r="K63" s="496"/>
    </row>
    <row r="64" spans="5:11">
      <c r="E64" s="310"/>
      <c r="J64" s="495"/>
      <c r="K64" s="496"/>
    </row>
    <row r="65" spans="5:11">
      <c r="E65" s="310"/>
      <c r="J65" s="495"/>
      <c r="K65" s="496"/>
    </row>
    <row r="66" spans="5:11">
      <c r="E66" s="310"/>
      <c r="J66" s="495"/>
      <c r="K66" s="496"/>
    </row>
    <row r="67" spans="5:11">
      <c r="E67" s="310"/>
      <c r="J67" s="495"/>
      <c r="K67" s="496"/>
    </row>
    <row r="68" spans="5:11">
      <c r="E68" s="310"/>
      <c r="J68" s="495"/>
      <c r="K68" s="496"/>
    </row>
    <row r="69" spans="5:11">
      <c r="E69" s="310"/>
      <c r="J69" s="495"/>
      <c r="K69" s="496"/>
    </row>
    <row r="70" spans="5:11">
      <c r="E70" s="310"/>
      <c r="J70" s="495"/>
      <c r="K70" s="496"/>
    </row>
    <row r="71" spans="5:11">
      <c r="E71" s="310"/>
      <c r="J71" s="495"/>
      <c r="K71" s="496"/>
    </row>
    <row r="72" spans="5:11">
      <c r="E72" s="310"/>
      <c r="J72" s="495"/>
      <c r="K72" s="496"/>
    </row>
    <row r="73" spans="5:11">
      <c r="E73" s="310"/>
      <c r="J73" s="495"/>
      <c r="K73" s="496"/>
    </row>
    <row r="74" spans="5:11">
      <c r="E74" s="310"/>
      <c r="J74" s="495"/>
      <c r="K74" s="496"/>
    </row>
    <row r="75" spans="5:11">
      <c r="E75" s="310"/>
      <c r="J75" s="495"/>
      <c r="K75" s="496"/>
    </row>
    <row r="76" spans="5:11">
      <c r="E76" s="310"/>
      <c r="J76" s="495"/>
      <c r="K76" s="496"/>
    </row>
    <row r="77" spans="5:11">
      <c r="E77" s="310"/>
      <c r="J77" s="495"/>
      <c r="K77" s="496"/>
    </row>
    <row r="78" spans="5:11">
      <c r="E78" s="310"/>
      <c r="J78" s="495"/>
      <c r="K78" s="496"/>
    </row>
    <row r="79" spans="5:11">
      <c r="E79" s="310"/>
      <c r="J79" s="495"/>
      <c r="K79" s="496"/>
    </row>
    <row r="80" spans="5:11">
      <c r="E80" s="310"/>
      <c r="J80" s="495"/>
      <c r="K80" s="496"/>
    </row>
    <row r="81" spans="5:11">
      <c r="E81" s="310"/>
      <c r="J81" s="495"/>
      <c r="K81" s="496"/>
    </row>
    <row r="82" spans="5:11">
      <c r="E82" s="310"/>
      <c r="J82" s="495"/>
      <c r="K82" s="496"/>
    </row>
    <row r="83" spans="5:11">
      <c r="E83" s="310"/>
      <c r="J83" s="495"/>
      <c r="K83" s="496"/>
    </row>
    <row r="84" spans="5:11">
      <c r="E84" s="310"/>
      <c r="J84" s="495"/>
      <c r="K84" s="496"/>
    </row>
    <row r="85" spans="5:11">
      <c r="E85" s="310"/>
      <c r="J85" s="495"/>
      <c r="K85" s="496"/>
    </row>
    <row r="86" spans="5:11">
      <c r="E86" s="310"/>
      <c r="J86" s="495"/>
      <c r="K86" s="496"/>
    </row>
    <row r="87" spans="5:11">
      <c r="E87" s="310"/>
      <c r="J87" s="495"/>
      <c r="K87" s="496"/>
    </row>
    <row r="88" spans="5:11">
      <c r="E88" s="310"/>
      <c r="J88" s="495"/>
      <c r="K88" s="496"/>
    </row>
    <row r="89" spans="5:11">
      <c r="E89" s="310"/>
      <c r="J89" s="495"/>
      <c r="K89" s="496"/>
    </row>
    <row r="90" spans="5:11">
      <c r="E90" s="310"/>
      <c r="J90" s="495"/>
      <c r="K90" s="496"/>
    </row>
    <row r="91" spans="5:11">
      <c r="E91" s="310"/>
      <c r="J91" s="495"/>
      <c r="K91" s="496"/>
    </row>
    <row r="92" spans="5:11">
      <c r="E92" s="310"/>
      <c r="J92" s="495"/>
      <c r="K92" s="496"/>
    </row>
    <row r="93" spans="5:11">
      <c r="E93" s="310"/>
      <c r="J93" s="495"/>
      <c r="K93" s="496"/>
    </row>
    <row r="94" spans="5:11">
      <c r="E94" s="310"/>
      <c r="J94" s="495"/>
      <c r="K94" s="496"/>
    </row>
    <row r="95" spans="5:11">
      <c r="E95" s="310"/>
      <c r="J95" s="495"/>
      <c r="K95" s="496"/>
    </row>
    <row r="96" spans="5:11">
      <c r="E96" s="310"/>
      <c r="J96" s="495"/>
      <c r="K96" s="496"/>
    </row>
    <row r="97" spans="5:11">
      <c r="E97" s="310"/>
      <c r="J97" s="495"/>
      <c r="K97" s="496"/>
    </row>
    <row r="98" spans="5:11">
      <c r="E98" s="310"/>
      <c r="J98" s="495"/>
      <c r="K98" s="496"/>
    </row>
    <row r="99" spans="5:11">
      <c r="E99" s="310"/>
      <c r="J99" s="495"/>
      <c r="K99" s="496"/>
    </row>
    <row r="100" spans="5:11">
      <c r="E100" s="310"/>
      <c r="J100" s="495"/>
      <c r="K100" s="496"/>
    </row>
    <row r="101" spans="5:11">
      <c r="E101" s="310"/>
      <c r="J101" s="495"/>
      <c r="K101" s="496"/>
    </row>
    <row r="102" spans="5:11">
      <c r="E102" s="310"/>
      <c r="J102" s="495"/>
      <c r="K102" s="496"/>
    </row>
    <row r="103" spans="5:11">
      <c r="E103" s="310"/>
      <c r="J103" s="495"/>
      <c r="K103" s="496"/>
    </row>
    <row r="104" spans="5:11">
      <c r="E104" s="310"/>
      <c r="J104" s="495"/>
      <c r="K104" s="496"/>
    </row>
    <row r="105" spans="5:11">
      <c r="E105" s="310"/>
      <c r="J105" s="495"/>
      <c r="K105" s="496"/>
    </row>
    <row r="106" spans="5:11">
      <c r="E106" s="310"/>
      <c r="J106" s="495"/>
      <c r="K106" s="496"/>
    </row>
    <row r="107" spans="5:11">
      <c r="E107" s="310"/>
      <c r="J107" s="495"/>
      <c r="K107" s="496"/>
    </row>
    <row r="108" spans="5:11">
      <c r="E108" s="310"/>
      <c r="J108" s="495"/>
      <c r="K108" s="496"/>
    </row>
    <row r="109" spans="5:11">
      <c r="E109" s="310"/>
      <c r="J109" s="495"/>
      <c r="K109" s="496"/>
    </row>
    <row r="110" spans="5:11">
      <c r="E110" s="310"/>
      <c r="J110" s="495"/>
      <c r="K110" s="496"/>
    </row>
    <row r="111" spans="5:11">
      <c r="E111" s="310"/>
      <c r="J111" s="495"/>
      <c r="K111" s="496"/>
    </row>
    <row r="112" spans="5:11">
      <c r="E112" s="310"/>
      <c r="J112" s="495"/>
      <c r="K112" s="496"/>
    </row>
    <row r="113" spans="5:11">
      <c r="E113" s="310"/>
      <c r="J113" s="495"/>
      <c r="K113" s="496"/>
    </row>
    <row r="114" spans="5:11">
      <c r="E114" s="310"/>
      <c r="J114" s="495"/>
      <c r="K114" s="496"/>
    </row>
    <row r="115" spans="5:11">
      <c r="E115" s="310"/>
      <c r="J115" s="495"/>
      <c r="K115" s="496"/>
    </row>
    <row r="116" spans="5:11">
      <c r="E116" s="310"/>
      <c r="J116" s="495"/>
      <c r="K116" s="496"/>
    </row>
    <row r="117" spans="5:11">
      <c r="E117" s="310"/>
      <c r="J117" s="495"/>
      <c r="K117" s="496"/>
    </row>
    <row r="118" spans="5:11">
      <c r="E118" s="310"/>
      <c r="J118" s="495"/>
      <c r="K118" s="496"/>
    </row>
    <row r="119" spans="5:11">
      <c r="E119" s="310"/>
      <c r="J119" s="495"/>
      <c r="K119" s="496"/>
    </row>
    <row r="120" spans="5:11">
      <c r="E120" s="310"/>
      <c r="J120" s="495"/>
      <c r="K120" s="496"/>
    </row>
    <row r="121" spans="5:11">
      <c r="E121" s="310"/>
      <c r="J121" s="495"/>
      <c r="K121" s="496"/>
    </row>
    <row r="122" spans="5:11">
      <c r="E122" s="310"/>
      <c r="J122" s="495"/>
      <c r="K122" s="496"/>
    </row>
    <row r="123" spans="5:11">
      <c r="E123" s="310"/>
      <c r="J123" s="495"/>
      <c r="K123" s="496"/>
    </row>
    <row r="124" spans="5:11">
      <c r="E124" s="310"/>
      <c r="J124" s="495"/>
      <c r="K124" s="496"/>
    </row>
    <row r="125" spans="5:11">
      <c r="E125" s="310"/>
      <c r="J125" s="495"/>
      <c r="K125" s="496"/>
    </row>
    <row r="126" spans="5:11">
      <c r="E126" s="310"/>
      <c r="J126" s="495"/>
      <c r="K126" s="496"/>
    </row>
    <row r="127" spans="5:11">
      <c r="E127" s="310"/>
      <c r="J127" s="495"/>
      <c r="K127" s="496"/>
    </row>
    <row r="128" spans="5:11">
      <c r="E128" s="310"/>
      <c r="J128" s="495"/>
      <c r="K128" s="496"/>
    </row>
    <row r="129" spans="5:5">
      <c r="E129" s="310"/>
    </row>
    <row r="130" spans="5:5">
      <c r="E130" s="310"/>
    </row>
    <row r="131" spans="5:5">
      <c r="E131" s="310"/>
    </row>
    <row r="132" spans="5:5">
      <c r="E132" s="310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11"/>
  <dimension ref="A1:F10"/>
  <sheetViews>
    <sheetView showGridLines="0" workbookViewId="0">
      <selection activeCell="C17" sqref="C17"/>
    </sheetView>
  </sheetViews>
  <sheetFormatPr baseColWidth="10" defaultRowHeight="15"/>
  <cols>
    <col min="1" max="1" width="4.85546875" bestFit="1" customWidth="1"/>
    <col min="2" max="2" width="85.7109375" bestFit="1" customWidth="1"/>
    <col min="3" max="3" width="10.5703125" customWidth="1"/>
    <col min="4" max="4" width="15.28515625" bestFit="1" customWidth="1"/>
    <col min="5" max="5" width="24.5703125" bestFit="1" customWidth="1"/>
  </cols>
  <sheetData>
    <row r="1" spans="1:6" s="42" customFormat="1" ht="15.75" thickBot="1">
      <c r="A1" s="41" t="s">
        <v>13</v>
      </c>
      <c r="B1" s="41" t="s">
        <v>14</v>
      </c>
      <c r="C1" s="41" t="s">
        <v>26</v>
      </c>
      <c r="D1" s="13" t="s">
        <v>31</v>
      </c>
      <c r="E1" s="13" t="s">
        <v>33</v>
      </c>
      <c r="F1" s="13" t="s">
        <v>44</v>
      </c>
    </row>
    <row r="2" spans="1:6">
      <c r="A2" s="6">
        <v>1</v>
      </c>
      <c r="B2" s="2" t="s">
        <v>4</v>
      </c>
      <c r="C2" t="s">
        <v>25</v>
      </c>
      <c r="D2" t="s">
        <v>6</v>
      </c>
      <c r="E2" s="10" t="s">
        <v>34</v>
      </c>
      <c r="F2" s="10" t="s">
        <v>45</v>
      </c>
    </row>
    <row r="3" spans="1:6">
      <c r="A3" s="6">
        <v>2</v>
      </c>
      <c r="B3" s="2" t="s">
        <v>5</v>
      </c>
      <c r="C3" t="s">
        <v>24</v>
      </c>
      <c r="D3" t="s">
        <v>32</v>
      </c>
      <c r="E3" s="11" t="s">
        <v>35</v>
      </c>
      <c r="F3" s="11" t="s">
        <v>46</v>
      </c>
    </row>
    <row r="4" spans="1:6">
      <c r="A4" s="6">
        <v>3</v>
      </c>
      <c r="B4" s="8" t="s">
        <v>7</v>
      </c>
      <c r="E4" s="12" t="s">
        <v>36</v>
      </c>
      <c r="F4" s="12"/>
    </row>
    <row r="5" spans="1:6">
      <c r="A5" s="6">
        <v>4</v>
      </c>
      <c r="B5" s="6" t="s">
        <v>8</v>
      </c>
      <c r="E5" s="12" t="s">
        <v>37</v>
      </c>
    </row>
    <row r="6" spans="1:6">
      <c r="A6" s="6">
        <v>5</v>
      </c>
      <c r="B6" s="6" t="s">
        <v>9</v>
      </c>
    </row>
    <row r="7" spans="1:6">
      <c r="A7" s="6">
        <v>6</v>
      </c>
      <c r="B7" s="6" t="s">
        <v>10</v>
      </c>
    </row>
    <row r="8" spans="1:6">
      <c r="A8" s="6">
        <v>7</v>
      </c>
      <c r="B8" s="6" t="s">
        <v>11</v>
      </c>
    </row>
    <row r="9" spans="1:6">
      <c r="A9" s="6">
        <v>8</v>
      </c>
      <c r="B9" s="6" t="s">
        <v>2</v>
      </c>
    </row>
    <row r="10" spans="1:6">
      <c r="A10" s="6">
        <v>9</v>
      </c>
      <c r="B10" s="6" t="s">
        <v>12</v>
      </c>
    </row>
  </sheetData>
  <customSheetViews>
    <customSheetView guid="{098B2E87-9C52-4BA2-B1C3-E2EE72C3347E}" showGridLines="0" state="veryHidden">
      <selection activeCell="C17" sqref="C17"/>
      <pageMargins left="0.7" right="0.7" top="0.75" bottom="0.75" header="0.3" footer="0.3"/>
      <pageSetup scale="78" orientation="portrait" r:id="rId1"/>
    </customSheetView>
    <customSheetView guid="{DE67EBC3-31FE-423B-B030-1FFACB67D900}" showGridLines="0" state="veryHidden">
      <selection activeCell="C17" sqref="C17"/>
      <pageMargins left="0.7" right="0.7" top="0.75" bottom="0.75" header="0.3" footer="0.3"/>
      <pageSetup scale="78" orientation="portrait" r:id="rId2"/>
    </customSheetView>
  </customSheetViews>
  <phoneticPr fontId="22" type="noConversion"/>
  <pageMargins left="0.7" right="0.7" top="0.75" bottom="0.75" header="0.3" footer="0.3"/>
  <pageSetup scale="78" orientation="portrait"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>
    <tabColor theme="4" tint="0.59999389629810485"/>
    <pageSetUpPr fitToPage="1"/>
  </sheetPr>
  <dimension ref="A1:K220"/>
  <sheetViews>
    <sheetView showGridLines="0" view="pageBreakPreview" topLeftCell="A13" zoomScaleNormal="100" zoomScaleSheetLayoutView="100" workbookViewId="0">
      <selection activeCell="B23" sqref="B23:I32"/>
    </sheetView>
  </sheetViews>
  <sheetFormatPr baseColWidth="10" defaultRowHeight="12.75"/>
  <cols>
    <col min="1" max="1" width="1.28515625" style="120" customWidth="1"/>
    <col min="2" max="2" width="7.85546875" style="134" customWidth="1"/>
    <col min="3" max="3" width="11.5703125" style="134" customWidth="1"/>
    <col min="4" max="4" width="32.28515625" style="120" customWidth="1"/>
    <col min="5" max="5" width="15.7109375" style="120" bestFit="1" customWidth="1"/>
    <col min="6" max="7" width="16.140625" style="120" customWidth="1"/>
    <col min="8" max="8" width="14.7109375" style="120" bestFit="1" customWidth="1"/>
    <col min="9" max="9" width="14.7109375" style="120" customWidth="1"/>
    <col min="10" max="10" width="11.42578125" style="120"/>
    <col min="11" max="11" width="11.42578125" style="516" hidden="1" customWidth="1"/>
    <col min="12" max="16384" width="11.42578125" style="120"/>
  </cols>
  <sheetData>
    <row r="1" spans="1:11" s="118" customFormat="1" ht="18">
      <c r="A1" s="115"/>
      <c r="B1" s="894" t="str">
        <f>PROPONENTES!B1</f>
        <v>INSTITUTO NACIONAL DE VÍAS</v>
      </c>
      <c r="C1" s="894"/>
      <c r="D1" s="894"/>
      <c r="E1" s="894"/>
      <c r="F1" s="894"/>
      <c r="G1" s="894"/>
      <c r="H1" s="894"/>
      <c r="I1" s="894"/>
      <c r="K1" s="517"/>
    </row>
    <row r="2" spans="1:11" s="118" customFormat="1" ht="18">
      <c r="A2" s="115"/>
      <c r="B2" s="894" t="str">
        <f>PROPONENTES!B2</f>
        <v>DIRECCIÓN TERRITORIAL HUILA</v>
      </c>
      <c r="C2" s="894"/>
      <c r="D2" s="894"/>
      <c r="E2" s="894"/>
      <c r="F2" s="894"/>
      <c r="G2" s="894"/>
      <c r="H2" s="894"/>
      <c r="I2" s="894"/>
      <c r="K2" s="517"/>
    </row>
    <row r="3" spans="1:11" s="118" customFormat="1" ht="15.75">
      <c r="A3" s="115"/>
      <c r="B3" s="796"/>
      <c r="C3" s="796"/>
      <c r="D3" s="796"/>
      <c r="E3" s="796"/>
      <c r="F3" s="796"/>
      <c r="G3" s="796"/>
      <c r="H3" s="796"/>
      <c r="I3" s="796"/>
      <c r="K3" s="517"/>
    </row>
    <row r="4" spans="1:11" s="118" customFormat="1" ht="15.75">
      <c r="A4" s="115"/>
      <c r="B4" s="796"/>
      <c r="C4" s="796"/>
      <c r="D4" s="796"/>
      <c r="E4" s="796"/>
      <c r="F4" s="796"/>
      <c r="G4" s="796"/>
      <c r="H4" s="796"/>
      <c r="I4" s="796"/>
      <c r="K4" s="517"/>
    </row>
    <row r="5" spans="1:11" s="118" customFormat="1" ht="15.75">
      <c r="A5" s="115"/>
      <c r="B5" s="151"/>
      <c r="C5" s="116"/>
      <c r="D5" s="117"/>
      <c r="E5" s="119"/>
      <c r="F5" s="119"/>
      <c r="G5" s="119"/>
      <c r="H5" s="117"/>
      <c r="K5" s="517"/>
    </row>
    <row r="6" spans="1:11" s="118" customFormat="1" ht="15.75">
      <c r="A6" s="115"/>
      <c r="B6" s="796" t="str">
        <f>+PROPONENTES!B6</f>
        <v>CONCURSO DE MÉRITOS ABIERTO</v>
      </c>
      <c r="C6" s="796"/>
      <c r="D6" s="796"/>
      <c r="E6" s="796"/>
      <c r="F6" s="796"/>
      <c r="G6" s="796"/>
      <c r="H6" s="796"/>
      <c r="I6" s="796"/>
      <c r="K6" s="517"/>
    </row>
    <row r="7" spans="1:11" s="118" customFormat="1" ht="15.75">
      <c r="A7" s="115"/>
      <c r="B7" s="796" t="str">
        <f>PROPONENTES!B7</f>
        <v>CMA-DT-HUI-002-2019</v>
      </c>
      <c r="C7" s="796"/>
      <c r="D7" s="796"/>
      <c r="E7" s="796"/>
      <c r="F7" s="796"/>
      <c r="G7" s="796"/>
      <c r="H7" s="796"/>
      <c r="I7" s="796"/>
      <c r="K7" s="517"/>
    </row>
    <row r="8" spans="1:11" ht="15.75">
      <c r="B8" s="151"/>
      <c r="C8" s="116"/>
      <c r="D8" s="121"/>
      <c r="E8" s="121"/>
      <c r="F8" s="121"/>
      <c r="G8" s="121"/>
      <c r="H8" s="122"/>
    </row>
    <row r="9" spans="1:11" ht="15.75">
      <c r="B9" s="796" t="str">
        <f>PRESUPUESTOS!B9</f>
        <v>OBJETO: "INTERVENTORIA TECNICA, ADMINISTRATIVA, FINANCIERA, AMBIENTAL , ATENCIÓN SITIOS CRITICOS CONSTRUCCIÓN PUENTE QUEBRADA PÌEDRAS NEGRAS MUNICIPIO DE SALADOBLANCO CARRETERA LA CABAÑA-MORELIA, CÓDIGO 19787 (PRODUCTO SITIO CRÍTICO DE RED TERCIARIA ESTABILIZADA).”</v>
      </c>
      <c r="C9" s="796"/>
      <c r="D9" s="796"/>
      <c r="E9" s="796"/>
      <c r="F9" s="796"/>
      <c r="G9" s="796"/>
      <c r="H9" s="796"/>
      <c r="I9" s="796"/>
    </row>
    <row r="10" spans="1:11" ht="15.75">
      <c r="B10" s="151"/>
      <c r="C10" s="116"/>
      <c r="D10" s="121"/>
      <c r="E10" s="121"/>
      <c r="F10" s="121"/>
      <c r="G10" s="121"/>
      <c r="H10" s="122"/>
    </row>
    <row r="11" spans="1:11" ht="15.75">
      <c r="B11" s="797" t="str">
        <f>"CUADRO No. 9"</f>
        <v>CUADRO No. 9</v>
      </c>
      <c r="C11" s="797"/>
      <c r="D11" s="797"/>
      <c r="E11" s="797"/>
      <c r="F11" s="797"/>
      <c r="G11" s="797"/>
      <c r="H11" s="797"/>
      <c r="I11" s="797"/>
    </row>
    <row r="12" spans="1:11" ht="18">
      <c r="B12" s="798">
        <v>1</v>
      </c>
      <c r="C12" s="798"/>
      <c r="D12" s="798"/>
      <c r="E12" s="798"/>
      <c r="F12" s="798"/>
      <c r="G12" s="798"/>
      <c r="H12" s="798"/>
      <c r="I12" s="798"/>
    </row>
    <row r="13" spans="1:11" ht="24" thickBot="1">
      <c r="B13" s="343" t="s">
        <v>79</v>
      </c>
      <c r="C13" s="343"/>
      <c r="D13" s="407"/>
      <c r="E13" s="345"/>
      <c r="F13" s="345"/>
      <c r="G13" s="345"/>
      <c r="H13" s="347"/>
    </row>
    <row r="14" spans="1:11" ht="24" customHeight="1" thickBot="1">
      <c r="B14" s="836" t="s">
        <v>190</v>
      </c>
      <c r="C14" s="837"/>
      <c r="D14" s="837"/>
      <c r="E14" s="837"/>
      <c r="F14" s="837"/>
      <c r="G14" s="837"/>
      <c r="H14" s="837"/>
      <c r="I14" s="838"/>
    </row>
    <row r="15" spans="1:11" ht="15" customHeight="1">
      <c r="B15" s="830" t="s">
        <v>39</v>
      </c>
      <c r="C15" s="800" t="s">
        <v>124</v>
      </c>
      <c r="D15" s="801" t="s">
        <v>16</v>
      </c>
      <c r="E15" s="895" t="s">
        <v>304</v>
      </c>
      <c r="F15" s="799" t="s">
        <v>305</v>
      </c>
      <c r="G15" s="895" t="s">
        <v>306</v>
      </c>
      <c r="H15" s="799" t="s">
        <v>246</v>
      </c>
      <c r="I15" s="842" t="s">
        <v>197</v>
      </c>
      <c r="K15" s="518"/>
    </row>
    <row r="16" spans="1:11" ht="18.75" customHeight="1">
      <c r="B16" s="830"/>
      <c r="C16" s="800"/>
      <c r="D16" s="801"/>
      <c r="E16" s="801"/>
      <c r="F16" s="800"/>
      <c r="G16" s="801"/>
      <c r="H16" s="800"/>
      <c r="I16" s="843"/>
      <c r="K16" s="518"/>
    </row>
    <row r="17" spans="2:11" ht="18.75" customHeight="1" thickBot="1">
      <c r="B17" s="831"/>
      <c r="C17" s="814"/>
      <c r="D17" s="802"/>
      <c r="E17" s="802"/>
      <c r="F17" s="814"/>
      <c r="G17" s="802"/>
      <c r="H17" s="814"/>
      <c r="I17" s="247" t="s">
        <v>194</v>
      </c>
      <c r="K17" s="518"/>
    </row>
    <row r="18" spans="2:11" ht="3" customHeight="1">
      <c r="B18" s="240"/>
      <c r="C18" s="127"/>
      <c r="D18" s="128"/>
      <c r="E18" s="239"/>
      <c r="F18" s="244"/>
      <c r="G18" s="244"/>
      <c r="H18" s="244"/>
      <c r="I18" s="350"/>
    </row>
    <row r="19" spans="2:11" ht="13.5">
      <c r="B19" s="230">
        <v>1</v>
      </c>
      <c r="C19" s="129">
        <f>IF(VLOOKUP(B19,PROPONENTES!$B$19:$E$219,2,0)="","",VLOOKUP(B19,PROPONENTES!$B$19:$E$219,2,0))</f>
        <v>1</v>
      </c>
      <c r="D19" s="130" t="str">
        <f>IF(VLOOKUP(B19,PROPONENTES!$B$19:$E$218,3,0)="","",VLOOKUP(B19,PROPONENTES!$B$19:$E$218,3,0))</f>
        <v>CONSORCIO JC 2019</v>
      </c>
      <c r="E19" s="135" t="s">
        <v>45</v>
      </c>
      <c r="F19" s="135" t="s">
        <v>45</v>
      </c>
      <c r="G19" s="135" t="s">
        <v>45</v>
      </c>
      <c r="H19" s="135" t="str">
        <f>IF(C19&lt;&gt;"",VLOOKUP(C19,HAB.EXP.ESP.!$C$27:$N$226,11,0),"")</f>
        <v>NO HÁBIL</v>
      </c>
      <c r="I19" s="351" t="str">
        <f>IF(OR(COUNTIF(E19:H19,"")=4,COUNTIF(E19:H19,"")&gt;0),"",IF(COUNTIF(E19:H19,"RECHAZO")&gt;0,"RECHAZO",IF(COUNTIF(E19:H19,"NO HÁBIL")=0,"HÁBIL","NO HÁBIL")))</f>
        <v>NO HÁBIL</v>
      </c>
      <c r="K19" s="516" t="str">
        <f>IF(OR(COUNTIF(E19:G19,"")=3,COUNTIF(E19:G19,"")&gt;0),"",IF(COUNTIF(E19:G19,"RECHAZO")&gt;0,"RECHAZO",IF(COUNTIF(E19:G19,"NO HÁBIL")&gt;0,"NO HÁBIL","HÁBIL")))</f>
        <v>HÁBIL</v>
      </c>
    </row>
    <row r="20" spans="2:11" ht="13.5">
      <c r="B20" s="231">
        <v>2</v>
      </c>
      <c r="C20" s="129">
        <f>IF(VLOOKUP(B20,PROPONENTES!$B$19:$E$219,2,0)="","",VLOOKUP(B20,PROPONENTES!$B$19:$E$219,2,0))</f>
        <v>2</v>
      </c>
      <c r="D20" s="130" t="str">
        <f>IF(VLOOKUP(B20,PROPONENTES!$B$19:$E$218,3,0)="","",VLOOKUP(B20,PROPONENTES!$B$19:$E$218,3,0))</f>
        <v>CONSORCIO MORELIA JPD</v>
      </c>
      <c r="E20" s="135" t="s">
        <v>45</v>
      </c>
      <c r="F20" s="135" t="s">
        <v>45</v>
      </c>
      <c r="G20" s="135" t="s">
        <v>45</v>
      </c>
      <c r="H20" s="135" t="str">
        <f>IF(C20&lt;&gt;"",VLOOKUP(C20,HAB.EXP.ESP.!$C$27:$N$226,11,0),"")</f>
        <v>HÁBIL</v>
      </c>
      <c r="I20" s="351" t="str">
        <f t="shared" ref="I20:I83" si="0">IF(OR(COUNTIF(E20:H20,"")=4,COUNTIF(E20:H20,"")&gt;0),"",IF(COUNTIF(E20:H20,"RECHAZO")&gt;0,"RECHAZO",IF(COUNTIF(E20:H20,"NO HÁBIL")=0,"HÁBIL","NO HÁBIL")))</f>
        <v>HÁBIL</v>
      </c>
      <c r="K20" s="516" t="str">
        <f t="shared" ref="K20:K83" si="1">IF(OR(COUNTIF(E20:G20,"")=3,COUNTIF(E20:G20,"")&gt;0),"",IF(COUNTIF(E20:G20,"RECHAZO")&gt;0,"RECHAZO",IF(COUNTIF(E20:G20,"NO HÁBIL")&gt;0,"NO HÁBIL","HÁBIL")))</f>
        <v>HÁBIL</v>
      </c>
    </row>
    <row r="21" spans="2:11" ht="13.5">
      <c r="B21" s="231">
        <v>3</v>
      </c>
      <c r="C21" s="129">
        <f>IF(VLOOKUP(B21,PROPONENTES!$B$19:$E$219,2,0)="","",VLOOKUP(B21,PROPONENTES!$B$19:$E$219,2,0))</f>
        <v>3</v>
      </c>
      <c r="D21" s="130" t="str">
        <f>IF(VLOOKUP(B21,PROPONENTES!$B$19:$E$218,3,0)="","",VLOOKUP(B21,PROPONENTES!$B$19:$E$218,3,0))</f>
        <v>UCING LTDA</v>
      </c>
      <c r="E21" s="135" t="s">
        <v>45</v>
      </c>
      <c r="F21" s="135" t="s">
        <v>45</v>
      </c>
      <c r="G21" s="135" t="s">
        <v>45</v>
      </c>
      <c r="H21" s="135" t="str">
        <f>IF(C21&lt;&gt;"",VLOOKUP(C21,HAB.EXP.ESP.!$C$27:$N$226,11,0),"")</f>
        <v>HÁBIL</v>
      </c>
      <c r="I21" s="351" t="str">
        <f t="shared" si="0"/>
        <v>HÁBIL</v>
      </c>
      <c r="K21" s="516" t="str">
        <f t="shared" si="1"/>
        <v>HÁBIL</v>
      </c>
    </row>
    <row r="22" spans="2:11" ht="13.5">
      <c r="B22" s="230">
        <v>4</v>
      </c>
      <c r="C22" s="129">
        <f>IF(VLOOKUP(B22,PROPONENTES!$B$19:$E$219,2,0)="","",VLOOKUP(B22,PROPONENTES!$B$19:$E$219,2,0))</f>
        <v>4</v>
      </c>
      <c r="D22" s="130" t="str">
        <f>IF(VLOOKUP(B22,PROPONENTES!$B$19:$E$218,3,0)="","",VLOOKUP(B22,PROPONENTES!$B$19:$E$218,3,0))</f>
        <v>SOTA</v>
      </c>
      <c r="E22" s="135" t="s">
        <v>45</v>
      </c>
      <c r="F22" s="135" t="s">
        <v>45</v>
      </c>
      <c r="G22" s="135" t="s">
        <v>45</v>
      </c>
      <c r="H22" s="135" t="str">
        <f>IF(C22&lt;&gt;"",VLOOKUP(C22,HAB.EXP.ESP.!$C$27:$N$226,11,0),"")</f>
        <v>NO HÁBIL</v>
      </c>
      <c r="I22" s="351" t="str">
        <f t="shared" si="0"/>
        <v>NO HÁBIL</v>
      </c>
      <c r="K22" s="516" t="str">
        <f t="shared" si="1"/>
        <v>HÁBIL</v>
      </c>
    </row>
    <row r="23" spans="2:11" ht="13.5">
      <c r="B23" s="231"/>
      <c r="C23" s="129"/>
      <c r="D23" s="130"/>
      <c r="E23" s="135"/>
      <c r="F23" s="135"/>
      <c r="G23" s="135"/>
      <c r="H23" s="135"/>
      <c r="I23" s="351"/>
      <c r="K23" s="516" t="str">
        <f t="shared" si="1"/>
        <v/>
      </c>
    </row>
    <row r="24" spans="2:11" ht="13.5">
      <c r="B24" s="231"/>
      <c r="C24" s="129"/>
      <c r="D24" s="130"/>
      <c r="E24" s="135"/>
      <c r="F24" s="135"/>
      <c r="G24" s="135"/>
      <c r="H24" s="135"/>
      <c r="I24" s="351"/>
      <c r="K24" s="516" t="str">
        <f t="shared" si="1"/>
        <v/>
      </c>
    </row>
    <row r="25" spans="2:11" ht="13.5">
      <c r="B25" s="230"/>
      <c r="C25" s="129"/>
      <c r="D25" s="130"/>
      <c r="E25" s="135"/>
      <c r="F25" s="135"/>
      <c r="G25" s="135"/>
      <c r="H25" s="135"/>
      <c r="I25" s="351"/>
      <c r="K25" s="516" t="str">
        <f t="shared" si="1"/>
        <v/>
      </c>
    </row>
    <row r="26" spans="2:11" ht="13.5">
      <c r="B26" s="231"/>
      <c r="C26" s="129"/>
      <c r="D26" s="130"/>
      <c r="E26" s="135"/>
      <c r="F26" s="135"/>
      <c r="G26" s="135"/>
      <c r="H26" s="135"/>
      <c r="I26" s="351"/>
      <c r="K26" s="516" t="str">
        <f t="shared" si="1"/>
        <v/>
      </c>
    </row>
    <row r="27" spans="2:11" ht="13.5">
      <c r="B27" s="231"/>
      <c r="C27" s="129"/>
      <c r="D27" s="130"/>
      <c r="E27" s="135"/>
      <c r="F27" s="135"/>
      <c r="G27" s="135"/>
      <c r="H27" s="135"/>
      <c r="I27" s="351"/>
      <c r="K27" s="516" t="str">
        <f t="shared" si="1"/>
        <v/>
      </c>
    </row>
    <row r="28" spans="2:11" ht="13.5">
      <c r="B28" s="230"/>
      <c r="C28" s="129"/>
      <c r="D28" s="130"/>
      <c r="E28" s="135"/>
      <c r="F28" s="135"/>
      <c r="G28" s="135"/>
      <c r="H28" s="135"/>
      <c r="I28" s="351"/>
      <c r="K28" s="516" t="str">
        <f t="shared" si="1"/>
        <v/>
      </c>
    </row>
    <row r="29" spans="2:11" ht="13.5">
      <c r="B29" s="231"/>
      <c r="C29" s="129"/>
      <c r="D29" s="130"/>
      <c r="E29" s="135"/>
      <c r="F29" s="135"/>
      <c r="G29" s="135"/>
      <c r="H29" s="135"/>
      <c r="I29" s="351"/>
      <c r="K29" s="516" t="str">
        <f t="shared" si="1"/>
        <v/>
      </c>
    </row>
    <row r="30" spans="2:11" ht="13.5">
      <c r="B30" s="231"/>
      <c r="C30" s="129"/>
      <c r="D30" s="130"/>
      <c r="E30" s="135"/>
      <c r="F30" s="135"/>
      <c r="G30" s="135"/>
      <c r="H30" s="135"/>
      <c r="I30" s="351"/>
      <c r="K30" s="516" t="str">
        <f t="shared" si="1"/>
        <v/>
      </c>
    </row>
    <row r="31" spans="2:11" ht="13.5">
      <c r="B31" s="230"/>
      <c r="C31" s="129"/>
      <c r="D31" s="130"/>
      <c r="E31" s="135"/>
      <c r="F31" s="135"/>
      <c r="G31" s="135"/>
      <c r="H31" s="135"/>
      <c r="I31" s="351"/>
      <c r="K31" s="516" t="str">
        <f t="shared" si="1"/>
        <v/>
      </c>
    </row>
    <row r="32" spans="2:11" ht="13.5">
      <c r="B32" s="231"/>
      <c r="C32" s="129"/>
      <c r="D32" s="130"/>
      <c r="E32" s="135"/>
      <c r="F32" s="135"/>
      <c r="G32" s="135"/>
      <c r="H32" s="135"/>
      <c r="I32" s="351"/>
      <c r="K32" s="516" t="str">
        <f t="shared" si="1"/>
        <v/>
      </c>
    </row>
    <row r="33" spans="2:11" ht="13.5" hidden="1">
      <c r="B33" s="231">
        <v>15</v>
      </c>
      <c r="C33" s="129" t="e">
        <f>IF(VLOOKUP(B33,PROPONENTES!$B$19:$E$219,2,0)="","",VLOOKUP(B33,PROPONENTES!$B$19:$E$219,2,0))</f>
        <v>#N/A</v>
      </c>
      <c r="D33" s="130" t="e">
        <f>IF(VLOOKUP(B33,PROPONENTES!$B$19:$E$218,3,0)="","",VLOOKUP(B33,PROPONENTES!$B$19:$E$218,3,0))</f>
        <v>#N/A</v>
      </c>
      <c r="E33" s="135" t="s">
        <v>45</v>
      </c>
      <c r="F33" s="135" t="s">
        <v>45</v>
      </c>
      <c r="G33" s="135" t="s">
        <v>45</v>
      </c>
      <c r="H33" s="135" t="e">
        <f>IF(C33&lt;&gt;"",VLOOKUP(C33,HAB.EXP.ESP.!$C$27:$N$226,11,0),"")</f>
        <v>#N/A</v>
      </c>
      <c r="I33" s="351" t="str">
        <f t="shared" si="0"/>
        <v>HÁBIL</v>
      </c>
      <c r="K33" s="516" t="str">
        <f t="shared" si="1"/>
        <v>HÁBIL</v>
      </c>
    </row>
    <row r="34" spans="2:11" ht="13.5" hidden="1">
      <c r="B34" s="230">
        <v>16</v>
      </c>
      <c r="C34" s="129" t="e">
        <f>IF(VLOOKUP(B34,PROPONENTES!$B$19:$E$219,2,0)="","",VLOOKUP(B34,PROPONENTES!$B$19:$E$219,2,0))</f>
        <v>#N/A</v>
      </c>
      <c r="D34" s="130" t="e">
        <f>IF(VLOOKUP(B34,PROPONENTES!$B$19:$E$218,3,0)="","",VLOOKUP(B34,PROPONENTES!$B$19:$E$218,3,0))</f>
        <v>#N/A</v>
      </c>
      <c r="E34" s="135" t="s">
        <v>45</v>
      </c>
      <c r="F34" s="135" t="s">
        <v>45</v>
      </c>
      <c r="G34" s="135" t="s">
        <v>45</v>
      </c>
      <c r="H34" s="135" t="e">
        <f>IF(C34&lt;&gt;"",VLOOKUP(C34,HAB.EXP.ESP.!$C$27:$N$226,11,0),"")</f>
        <v>#N/A</v>
      </c>
      <c r="I34" s="351" t="str">
        <f t="shared" si="0"/>
        <v>HÁBIL</v>
      </c>
      <c r="K34" s="516" t="str">
        <f t="shared" si="1"/>
        <v>HÁBIL</v>
      </c>
    </row>
    <row r="35" spans="2:11" ht="13.5" hidden="1">
      <c r="B35" s="231">
        <v>17</v>
      </c>
      <c r="C35" s="129" t="e">
        <f>IF(VLOOKUP(B35,PROPONENTES!$B$19:$E$219,2,0)="","",VLOOKUP(B35,PROPONENTES!$B$19:$E$219,2,0))</f>
        <v>#N/A</v>
      </c>
      <c r="D35" s="130" t="e">
        <f>IF(VLOOKUP(B35,PROPONENTES!$B$19:$E$218,3,0)="","",VLOOKUP(B35,PROPONENTES!$B$19:$E$218,3,0))</f>
        <v>#N/A</v>
      </c>
      <c r="E35" s="135" t="s">
        <v>45</v>
      </c>
      <c r="F35" s="135" t="s">
        <v>45</v>
      </c>
      <c r="G35" s="135" t="s">
        <v>45</v>
      </c>
      <c r="H35" s="135" t="e">
        <f>IF(C35&lt;&gt;"",VLOOKUP(C35,HAB.EXP.ESP.!$C$27:$N$226,11,0),"")</f>
        <v>#N/A</v>
      </c>
      <c r="I35" s="351" t="str">
        <f t="shared" si="0"/>
        <v>HÁBIL</v>
      </c>
      <c r="K35" s="516" t="str">
        <f t="shared" si="1"/>
        <v>HÁBIL</v>
      </c>
    </row>
    <row r="36" spans="2:11" ht="13.5" hidden="1">
      <c r="B36" s="231">
        <v>18</v>
      </c>
      <c r="C36" s="129" t="e">
        <f>IF(VLOOKUP(B36,PROPONENTES!$B$19:$E$219,2,0)="","",VLOOKUP(B36,PROPONENTES!$B$19:$E$219,2,0))</f>
        <v>#N/A</v>
      </c>
      <c r="D36" s="130" t="e">
        <f>IF(VLOOKUP(B36,PROPONENTES!$B$19:$E$218,3,0)="","",VLOOKUP(B36,PROPONENTES!$B$19:$E$218,3,0))</f>
        <v>#N/A</v>
      </c>
      <c r="E36" s="135" t="s">
        <v>45</v>
      </c>
      <c r="F36" s="135" t="s">
        <v>45</v>
      </c>
      <c r="G36" s="135" t="s">
        <v>45</v>
      </c>
      <c r="H36" s="135" t="e">
        <f>IF(C36&lt;&gt;"",VLOOKUP(C36,HAB.EXP.ESP.!$C$27:$N$226,11,0),"")</f>
        <v>#N/A</v>
      </c>
      <c r="I36" s="351" t="str">
        <f t="shared" si="0"/>
        <v>HÁBIL</v>
      </c>
      <c r="K36" s="516" t="str">
        <f t="shared" si="1"/>
        <v>HÁBIL</v>
      </c>
    </row>
    <row r="37" spans="2:11" ht="13.5" hidden="1">
      <c r="B37" s="230">
        <v>19</v>
      </c>
      <c r="C37" s="129" t="e">
        <f>IF(VLOOKUP(B37,PROPONENTES!$B$19:$E$219,2,0)="","",VLOOKUP(B37,PROPONENTES!$B$19:$E$219,2,0))</f>
        <v>#N/A</v>
      </c>
      <c r="D37" s="130" t="e">
        <f>IF(VLOOKUP(B37,PROPONENTES!$B$19:$E$218,3,0)="","",VLOOKUP(B37,PROPONENTES!$B$19:$E$218,3,0))</f>
        <v>#N/A</v>
      </c>
      <c r="E37" s="135" t="s">
        <v>45</v>
      </c>
      <c r="F37" s="135" t="s">
        <v>45</v>
      </c>
      <c r="G37" s="135" t="s">
        <v>45</v>
      </c>
      <c r="H37" s="135" t="e">
        <f>IF(C37&lt;&gt;"",VLOOKUP(C37,HAB.EXP.ESP.!$C$27:$N$226,11,0),"")</f>
        <v>#N/A</v>
      </c>
      <c r="I37" s="351" t="str">
        <f t="shared" si="0"/>
        <v>HÁBIL</v>
      </c>
      <c r="K37" s="516" t="str">
        <f t="shared" si="1"/>
        <v>HÁBIL</v>
      </c>
    </row>
    <row r="38" spans="2:11" ht="13.5" hidden="1">
      <c r="B38" s="231">
        <v>20</v>
      </c>
      <c r="C38" s="129" t="e">
        <f>IF(VLOOKUP(B38,PROPONENTES!$B$19:$E$219,2,0)="","",VLOOKUP(B38,PROPONENTES!$B$19:$E$219,2,0))</f>
        <v>#N/A</v>
      </c>
      <c r="D38" s="130" t="e">
        <f>IF(VLOOKUP(B38,PROPONENTES!$B$19:$E$218,3,0)="","",VLOOKUP(B38,PROPONENTES!$B$19:$E$218,3,0))</f>
        <v>#N/A</v>
      </c>
      <c r="E38" s="135" t="s">
        <v>45</v>
      </c>
      <c r="F38" s="135" t="s">
        <v>45</v>
      </c>
      <c r="G38" s="135" t="s">
        <v>45</v>
      </c>
      <c r="H38" s="135" t="e">
        <f>IF(C38&lt;&gt;"",VLOOKUP(C38,HAB.EXP.ESP.!$C$27:$N$226,11,0),"")</f>
        <v>#N/A</v>
      </c>
      <c r="I38" s="351" t="str">
        <f t="shared" si="0"/>
        <v>HÁBIL</v>
      </c>
      <c r="K38" s="516" t="str">
        <f t="shared" si="1"/>
        <v>HÁBIL</v>
      </c>
    </row>
    <row r="39" spans="2:11" ht="13.5" hidden="1">
      <c r="B39" s="231">
        <v>21</v>
      </c>
      <c r="C39" s="129" t="e">
        <f>IF(VLOOKUP(B39,PROPONENTES!$B$19:$E$219,2,0)="","",VLOOKUP(B39,PROPONENTES!$B$19:$E$219,2,0))</f>
        <v>#N/A</v>
      </c>
      <c r="D39" s="130" t="e">
        <f>IF(VLOOKUP(B39,PROPONENTES!$B$19:$E$218,3,0)="","",VLOOKUP(B39,PROPONENTES!$B$19:$E$218,3,0))</f>
        <v>#N/A</v>
      </c>
      <c r="E39" s="135" t="s">
        <v>45</v>
      </c>
      <c r="F39" s="135" t="s">
        <v>45</v>
      </c>
      <c r="G39" s="135" t="s">
        <v>45</v>
      </c>
      <c r="H39" s="135" t="e">
        <f>IF(C39&lt;&gt;"",VLOOKUP(C39,HAB.EXP.ESP.!$C$27:$N$226,11,0),"")</f>
        <v>#N/A</v>
      </c>
      <c r="I39" s="351" t="str">
        <f t="shared" si="0"/>
        <v>HÁBIL</v>
      </c>
      <c r="K39" s="516" t="str">
        <f t="shared" si="1"/>
        <v>HÁBIL</v>
      </c>
    </row>
    <row r="40" spans="2:11" ht="13.5" hidden="1">
      <c r="B40" s="230">
        <v>22</v>
      </c>
      <c r="C40" s="129" t="e">
        <f>IF(VLOOKUP(B40,PROPONENTES!$B$19:$E$219,2,0)="","",VLOOKUP(B40,PROPONENTES!$B$19:$E$219,2,0))</f>
        <v>#N/A</v>
      </c>
      <c r="D40" s="130" t="e">
        <f>IF(VLOOKUP(B40,PROPONENTES!$B$19:$E$218,3,0)="","",VLOOKUP(B40,PROPONENTES!$B$19:$E$218,3,0))</f>
        <v>#N/A</v>
      </c>
      <c r="E40" s="135" t="s">
        <v>45</v>
      </c>
      <c r="F40" s="135" t="s">
        <v>45</v>
      </c>
      <c r="G40" s="135" t="s">
        <v>45</v>
      </c>
      <c r="H40" s="135" t="e">
        <f>IF(C40&lt;&gt;"",VLOOKUP(C40,HAB.EXP.ESP.!$C$27:$N$226,11,0),"")</f>
        <v>#N/A</v>
      </c>
      <c r="I40" s="351" t="str">
        <f t="shared" si="0"/>
        <v>HÁBIL</v>
      </c>
      <c r="K40" s="516" t="str">
        <f t="shared" si="1"/>
        <v>HÁBIL</v>
      </c>
    </row>
    <row r="41" spans="2:11" ht="13.5" hidden="1">
      <c r="B41" s="231">
        <v>23</v>
      </c>
      <c r="C41" s="129" t="e">
        <f>IF(VLOOKUP(B41,PROPONENTES!$B$19:$E$219,2,0)="","",VLOOKUP(B41,PROPONENTES!$B$19:$E$219,2,0))</f>
        <v>#N/A</v>
      </c>
      <c r="D41" s="130" t="e">
        <f>IF(VLOOKUP(B41,PROPONENTES!$B$19:$E$218,3,0)="","",VLOOKUP(B41,PROPONENTES!$B$19:$E$218,3,0))</f>
        <v>#N/A</v>
      </c>
      <c r="E41" s="135" t="s">
        <v>45</v>
      </c>
      <c r="F41" s="135" t="s">
        <v>45</v>
      </c>
      <c r="G41" s="135" t="s">
        <v>45</v>
      </c>
      <c r="H41" s="135" t="e">
        <f>IF(C41&lt;&gt;"",VLOOKUP(C41,HAB.EXP.ESP.!$C$27:$N$226,11,0),"")</f>
        <v>#N/A</v>
      </c>
      <c r="I41" s="351" t="str">
        <f t="shared" si="0"/>
        <v>HÁBIL</v>
      </c>
      <c r="K41" s="516" t="str">
        <f t="shared" si="1"/>
        <v>HÁBIL</v>
      </c>
    </row>
    <row r="42" spans="2:11" ht="13.5" hidden="1">
      <c r="B42" s="231">
        <v>24</v>
      </c>
      <c r="C42" s="129" t="e">
        <f>IF(VLOOKUP(B42,PROPONENTES!$B$19:$E$219,2,0)="","",VLOOKUP(B42,PROPONENTES!$B$19:$E$219,2,0))</f>
        <v>#N/A</v>
      </c>
      <c r="D42" s="130" t="e">
        <f>IF(VLOOKUP(B42,PROPONENTES!$B$19:$E$218,3,0)="","",VLOOKUP(B42,PROPONENTES!$B$19:$E$218,3,0))</f>
        <v>#N/A</v>
      </c>
      <c r="E42" s="135" t="s">
        <v>45</v>
      </c>
      <c r="F42" s="135" t="s">
        <v>45</v>
      </c>
      <c r="G42" s="135" t="s">
        <v>45</v>
      </c>
      <c r="H42" s="135" t="e">
        <f>IF(C42&lt;&gt;"",VLOOKUP(C42,HAB.EXP.ESP.!$C$27:$N$226,11,0),"")</f>
        <v>#N/A</v>
      </c>
      <c r="I42" s="351" t="str">
        <f t="shared" si="0"/>
        <v>HÁBIL</v>
      </c>
      <c r="K42" s="516" t="str">
        <f t="shared" si="1"/>
        <v>HÁBIL</v>
      </c>
    </row>
    <row r="43" spans="2:11" ht="13.5" hidden="1">
      <c r="B43" s="230">
        <v>25</v>
      </c>
      <c r="C43" s="129" t="e">
        <f>IF(VLOOKUP(B43,PROPONENTES!$B$19:$E$219,2,0)="","",VLOOKUP(B43,PROPONENTES!$B$19:$E$219,2,0))</f>
        <v>#N/A</v>
      </c>
      <c r="D43" s="130" t="e">
        <f>IF(VLOOKUP(B43,PROPONENTES!$B$19:$E$218,3,0)="","",VLOOKUP(B43,PROPONENTES!$B$19:$E$218,3,0))</f>
        <v>#N/A</v>
      </c>
      <c r="E43" s="135" t="s">
        <v>45</v>
      </c>
      <c r="F43" s="135" t="s">
        <v>45</v>
      </c>
      <c r="G43" s="135" t="s">
        <v>45</v>
      </c>
      <c r="H43" s="135" t="e">
        <f>IF(C43&lt;&gt;"",VLOOKUP(C43,HAB.EXP.ESP.!$C$27:$N$226,11,0),"")</f>
        <v>#N/A</v>
      </c>
      <c r="I43" s="351" t="str">
        <f t="shared" si="0"/>
        <v>HÁBIL</v>
      </c>
      <c r="K43" s="516" t="str">
        <f t="shared" si="1"/>
        <v>HÁBIL</v>
      </c>
    </row>
    <row r="44" spans="2:11" ht="13.5" hidden="1">
      <c r="B44" s="231">
        <v>26</v>
      </c>
      <c r="C44" s="129" t="e">
        <f>IF(VLOOKUP(B44,PROPONENTES!$B$19:$E$219,2,0)="","",VLOOKUP(B44,PROPONENTES!$B$19:$E$219,2,0))</f>
        <v>#N/A</v>
      </c>
      <c r="D44" s="130" t="e">
        <f>IF(VLOOKUP(B44,PROPONENTES!$B$19:$E$218,3,0)="","",VLOOKUP(B44,PROPONENTES!$B$19:$E$218,3,0))</f>
        <v>#N/A</v>
      </c>
      <c r="E44" s="135" t="s">
        <v>45</v>
      </c>
      <c r="F44" s="135" t="s">
        <v>45</v>
      </c>
      <c r="G44" s="135" t="s">
        <v>45</v>
      </c>
      <c r="H44" s="135" t="e">
        <f>IF(C44&lt;&gt;"",VLOOKUP(C44,HAB.EXP.ESP.!$C$27:$N$226,11,0),"")</f>
        <v>#N/A</v>
      </c>
      <c r="I44" s="351" t="str">
        <f t="shared" si="0"/>
        <v>HÁBIL</v>
      </c>
      <c r="K44" s="516" t="str">
        <f t="shared" si="1"/>
        <v>HÁBIL</v>
      </c>
    </row>
    <row r="45" spans="2:11" ht="13.5" hidden="1">
      <c r="B45" s="231">
        <v>27</v>
      </c>
      <c r="C45" s="129" t="e">
        <f>IF(VLOOKUP(B45,PROPONENTES!$B$19:$E$219,2,0)="","",VLOOKUP(B45,PROPONENTES!$B$19:$E$219,2,0))</f>
        <v>#N/A</v>
      </c>
      <c r="D45" s="130" t="e">
        <f>IF(VLOOKUP(B45,PROPONENTES!$B$19:$E$218,3,0)="","",VLOOKUP(B45,PROPONENTES!$B$19:$E$218,3,0))</f>
        <v>#N/A</v>
      </c>
      <c r="E45" s="135" t="s">
        <v>45</v>
      </c>
      <c r="F45" s="135" t="s">
        <v>45</v>
      </c>
      <c r="G45" s="135" t="s">
        <v>45</v>
      </c>
      <c r="H45" s="135" t="e">
        <f>IF(C45&lt;&gt;"",VLOOKUP(C45,HAB.EXP.ESP.!$C$27:$N$226,11,0),"")</f>
        <v>#N/A</v>
      </c>
      <c r="I45" s="351" t="str">
        <f t="shared" si="0"/>
        <v>HÁBIL</v>
      </c>
      <c r="K45" s="516" t="str">
        <f t="shared" si="1"/>
        <v>HÁBIL</v>
      </c>
    </row>
    <row r="46" spans="2:11" ht="13.5" hidden="1">
      <c r="B46" s="230">
        <v>28</v>
      </c>
      <c r="C46" s="129" t="e">
        <f>IF(VLOOKUP(B46,PROPONENTES!$B$19:$E$219,2,0)="","",VLOOKUP(B46,PROPONENTES!$B$19:$E$219,2,0))</f>
        <v>#N/A</v>
      </c>
      <c r="D46" s="130" t="e">
        <f>IF(VLOOKUP(B46,PROPONENTES!$B$19:$E$218,3,0)="","",VLOOKUP(B46,PROPONENTES!$B$19:$E$218,3,0))</f>
        <v>#N/A</v>
      </c>
      <c r="E46" s="135" t="s">
        <v>45</v>
      </c>
      <c r="F46" s="135" t="s">
        <v>45</v>
      </c>
      <c r="G46" s="135" t="s">
        <v>45</v>
      </c>
      <c r="H46" s="135" t="e">
        <f>IF(C46&lt;&gt;"",VLOOKUP(C46,HAB.EXP.ESP.!$C$27:$N$226,11,0),"")</f>
        <v>#N/A</v>
      </c>
      <c r="I46" s="351" t="str">
        <f t="shared" si="0"/>
        <v>HÁBIL</v>
      </c>
      <c r="K46" s="516" t="str">
        <f t="shared" si="1"/>
        <v>HÁBIL</v>
      </c>
    </row>
    <row r="47" spans="2:11" ht="13.5" hidden="1">
      <c r="B47" s="231">
        <v>29</v>
      </c>
      <c r="C47" s="129" t="e">
        <f>IF(VLOOKUP(B47,PROPONENTES!$B$19:$E$219,2,0)="","",VLOOKUP(B47,PROPONENTES!$B$19:$E$219,2,0))</f>
        <v>#N/A</v>
      </c>
      <c r="D47" s="130" t="e">
        <f>IF(VLOOKUP(B47,PROPONENTES!$B$19:$E$218,3,0)="","",VLOOKUP(B47,PROPONENTES!$B$19:$E$218,3,0))</f>
        <v>#N/A</v>
      </c>
      <c r="E47" s="135" t="s">
        <v>45</v>
      </c>
      <c r="F47" s="135" t="s">
        <v>45</v>
      </c>
      <c r="G47" s="135" t="s">
        <v>45</v>
      </c>
      <c r="H47" s="135" t="e">
        <f>IF(C47&lt;&gt;"",VLOOKUP(C47,HAB.EXP.ESP.!$C$27:$N$226,11,0),"")</f>
        <v>#N/A</v>
      </c>
      <c r="I47" s="351" t="str">
        <f t="shared" si="0"/>
        <v>HÁBIL</v>
      </c>
      <c r="K47" s="516" t="str">
        <f t="shared" si="1"/>
        <v>HÁBIL</v>
      </c>
    </row>
    <row r="48" spans="2:11" ht="13.5" hidden="1">
      <c r="B48" s="231">
        <v>30</v>
      </c>
      <c r="C48" s="129" t="e">
        <f>IF(VLOOKUP(B48,PROPONENTES!$B$19:$E$219,2,0)="","",VLOOKUP(B48,PROPONENTES!$B$19:$E$219,2,0))</f>
        <v>#N/A</v>
      </c>
      <c r="D48" s="130" t="e">
        <f>IF(VLOOKUP(B48,PROPONENTES!$B$19:$E$218,3,0)="","",VLOOKUP(B48,PROPONENTES!$B$19:$E$218,3,0))</f>
        <v>#N/A</v>
      </c>
      <c r="E48" s="135" t="s">
        <v>45</v>
      </c>
      <c r="F48" s="135" t="s">
        <v>45</v>
      </c>
      <c r="G48" s="135" t="s">
        <v>45</v>
      </c>
      <c r="H48" s="135" t="e">
        <f>IF(C48&lt;&gt;"",VLOOKUP(C48,HAB.EXP.ESP.!$C$27:$N$226,11,0),"")</f>
        <v>#N/A</v>
      </c>
      <c r="I48" s="351" t="str">
        <f t="shared" si="0"/>
        <v>HÁBIL</v>
      </c>
      <c r="K48" s="516" t="str">
        <f t="shared" si="1"/>
        <v>HÁBIL</v>
      </c>
    </row>
    <row r="49" spans="2:11" ht="13.5" hidden="1">
      <c r="B49" s="230">
        <v>31</v>
      </c>
      <c r="C49" s="129" t="e">
        <f>IF(VLOOKUP(B49,PROPONENTES!$B$19:$E$219,2,0)="","",VLOOKUP(B49,PROPONENTES!$B$19:$E$219,2,0))</f>
        <v>#N/A</v>
      </c>
      <c r="D49" s="130" t="e">
        <f>IF(VLOOKUP(B49,PROPONENTES!$B$19:$E$218,3,0)="","",VLOOKUP(B49,PROPONENTES!$B$19:$E$218,3,0))</f>
        <v>#N/A</v>
      </c>
      <c r="E49" s="135" t="s">
        <v>45</v>
      </c>
      <c r="F49" s="135" t="s">
        <v>45</v>
      </c>
      <c r="G49" s="135" t="s">
        <v>45</v>
      </c>
      <c r="H49" s="135" t="e">
        <f>IF(C49&lt;&gt;"",VLOOKUP(C49,HAB.EXP.ESP.!$C$27:$N$226,11,0),"")</f>
        <v>#N/A</v>
      </c>
      <c r="I49" s="351" t="str">
        <f t="shared" si="0"/>
        <v>HÁBIL</v>
      </c>
      <c r="K49" s="516" t="str">
        <f t="shared" si="1"/>
        <v>HÁBIL</v>
      </c>
    </row>
    <row r="50" spans="2:11" ht="13.5" hidden="1">
      <c r="B50" s="231">
        <v>32</v>
      </c>
      <c r="C50" s="129" t="e">
        <f>IF(VLOOKUP(B50,PROPONENTES!$B$19:$E$219,2,0)="","",VLOOKUP(B50,PROPONENTES!$B$19:$E$219,2,0))</f>
        <v>#N/A</v>
      </c>
      <c r="D50" s="130" t="e">
        <f>IF(VLOOKUP(B50,PROPONENTES!$B$19:$E$218,3,0)="","",VLOOKUP(B50,PROPONENTES!$B$19:$E$218,3,0))</f>
        <v>#N/A</v>
      </c>
      <c r="E50" s="135" t="s">
        <v>45</v>
      </c>
      <c r="F50" s="135" t="s">
        <v>45</v>
      </c>
      <c r="G50" s="135" t="s">
        <v>45</v>
      </c>
      <c r="H50" s="135" t="e">
        <f>IF(C50&lt;&gt;"",VLOOKUP(C50,HAB.EXP.ESP.!$C$27:$N$226,11,0),"")</f>
        <v>#N/A</v>
      </c>
      <c r="I50" s="351" t="str">
        <f t="shared" si="0"/>
        <v>HÁBIL</v>
      </c>
      <c r="K50" s="516" t="str">
        <f t="shared" si="1"/>
        <v>HÁBIL</v>
      </c>
    </row>
    <row r="51" spans="2:11" ht="13.5" hidden="1">
      <c r="B51" s="231">
        <v>33</v>
      </c>
      <c r="C51" s="129" t="e">
        <f>IF(VLOOKUP(B51,PROPONENTES!$B$19:$E$219,2,0)="","",VLOOKUP(B51,PROPONENTES!$B$19:$E$219,2,0))</f>
        <v>#N/A</v>
      </c>
      <c r="D51" s="130" t="e">
        <f>IF(VLOOKUP(B51,PROPONENTES!$B$19:$E$218,3,0)="","",VLOOKUP(B51,PROPONENTES!$B$19:$E$218,3,0))</f>
        <v>#N/A</v>
      </c>
      <c r="E51" s="135" t="s">
        <v>45</v>
      </c>
      <c r="F51" s="135" t="s">
        <v>45</v>
      </c>
      <c r="G51" s="135" t="s">
        <v>45</v>
      </c>
      <c r="H51" s="135" t="e">
        <f>IF(C51&lt;&gt;"",VLOOKUP(C51,HAB.EXP.ESP.!$C$27:$N$226,11,0),"")</f>
        <v>#N/A</v>
      </c>
      <c r="I51" s="351" t="str">
        <f t="shared" si="0"/>
        <v>HÁBIL</v>
      </c>
      <c r="K51" s="516" t="str">
        <f t="shared" si="1"/>
        <v>HÁBIL</v>
      </c>
    </row>
    <row r="52" spans="2:11" ht="13.5" hidden="1">
      <c r="B52" s="230">
        <v>34</v>
      </c>
      <c r="C52" s="129" t="e">
        <f>IF(VLOOKUP(B52,PROPONENTES!$B$19:$E$219,2,0)="","",VLOOKUP(B52,PROPONENTES!$B$19:$E$219,2,0))</f>
        <v>#N/A</v>
      </c>
      <c r="D52" s="130" t="e">
        <f>IF(VLOOKUP(B52,PROPONENTES!$B$19:$E$218,3,0)="","",VLOOKUP(B52,PROPONENTES!$B$19:$E$218,3,0))</f>
        <v>#N/A</v>
      </c>
      <c r="E52" s="135" t="s">
        <v>45</v>
      </c>
      <c r="F52" s="135" t="s">
        <v>45</v>
      </c>
      <c r="G52" s="135" t="s">
        <v>45</v>
      </c>
      <c r="H52" s="135" t="e">
        <f>IF(C52&lt;&gt;"",VLOOKUP(C52,HAB.EXP.ESP.!$C$27:$N$226,11,0),"")</f>
        <v>#N/A</v>
      </c>
      <c r="I52" s="351" t="str">
        <f t="shared" si="0"/>
        <v>HÁBIL</v>
      </c>
      <c r="K52" s="516" t="str">
        <f t="shared" si="1"/>
        <v>HÁBIL</v>
      </c>
    </row>
    <row r="53" spans="2:11" ht="13.5" hidden="1">
      <c r="B53" s="231">
        <v>35</v>
      </c>
      <c r="C53" s="129" t="e">
        <f>IF(VLOOKUP(B53,PROPONENTES!$B$19:$E$219,2,0)="","",VLOOKUP(B53,PROPONENTES!$B$19:$E$219,2,0))</f>
        <v>#N/A</v>
      </c>
      <c r="D53" s="130" t="e">
        <f>IF(VLOOKUP(B53,PROPONENTES!$B$19:$E$218,3,0)="","",VLOOKUP(B53,PROPONENTES!$B$19:$E$218,3,0))</f>
        <v>#N/A</v>
      </c>
      <c r="E53" s="135" t="s">
        <v>45</v>
      </c>
      <c r="F53" s="135" t="s">
        <v>45</v>
      </c>
      <c r="G53" s="135" t="s">
        <v>45</v>
      </c>
      <c r="H53" s="135" t="e">
        <f>IF(C53&lt;&gt;"",VLOOKUP(C53,HAB.EXP.ESP.!$C$27:$N$226,11,0),"")</f>
        <v>#N/A</v>
      </c>
      <c r="I53" s="351" t="str">
        <f t="shared" si="0"/>
        <v>HÁBIL</v>
      </c>
      <c r="K53" s="516" t="str">
        <f t="shared" si="1"/>
        <v>HÁBIL</v>
      </c>
    </row>
    <row r="54" spans="2:11" ht="13.5" hidden="1">
      <c r="B54" s="231">
        <v>36</v>
      </c>
      <c r="C54" s="129" t="e">
        <f>IF(VLOOKUP(B54,PROPONENTES!$B$19:$E$219,2,0)="","",VLOOKUP(B54,PROPONENTES!$B$19:$E$219,2,0))</f>
        <v>#N/A</v>
      </c>
      <c r="D54" s="130" t="e">
        <f>IF(VLOOKUP(B54,PROPONENTES!$B$19:$E$218,3,0)="","",VLOOKUP(B54,PROPONENTES!$B$19:$E$218,3,0))</f>
        <v>#N/A</v>
      </c>
      <c r="E54" s="135" t="s">
        <v>45</v>
      </c>
      <c r="F54" s="135" t="s">
        <v>45</v>
      </c>
      <c r="G54" s="135" t="s">
        <v>45</v>
      </c>
      <c r="H54" s="135" t="e">
        <f>IF(C54&lt;&gt;"",VLOOKUP(C54,HAB.EXP.ESP.!$C$27:$N$226,11,0),"")</f>
        <v>#N/A</v>
      </c>
      <c r="I54" s="351" t="str">
        <f t="shared" si="0"/>
        <v>HÁBIL</v>
      </c>
      <c r="K54" s="516" t="str">
        <f t="shared" si="1"/>
        <v>HÁBIL</v>
      </c>
    </row>
    <row r="55" spans="2:11" ht="13.5" hidden="1">
      <c r="B55" s="230">
        <v>37</v>
      </c>
      <c r="C55" s="129" t="e">
        <f>IF(VLOOKUP(B55,PROPONENTES!$B$19:$E$219,2,0)="","",VLOOKUP(B55,PROPONENTES!$B$19:$E$219,2,0))</f>
        <v>#N/A</v>
      </c>
      <c r="D55" s="130" t="e">
        <f>IF(VLOOKUP(B55,PROPONENTES!$B$19:$E$218,3,0)="","",VLOOKUP(B55,PROPONENTES!$B$19:$E$218,3,0))</f>
        <v>#N/A</v>
      </c>
      <c r="E55" s="135" t="s">
        <v>45</v>
      </c>
      <c r="F55" s="135" t="s">
        <v>45</v>
      </c>
      <c r="G55" s="135" t="s">
        <v>45</v>
      </c>
      <c r="H55" s="135" t="e">
        <f>IF(C55&lt;&gt;"",VLOOKUP(C55,HAB.EXP.ESP.!$C$27:$N$226,11,0),"")</f>
        <v>#N/A</v>
      </c>
      <c r="I55" s="351" t="str">
        <f t="shared" si="0"/>
        <v>HÁBIL</v>
      </c>
      <c r="K55" s="516" t="str">
        <f t="shared" si="1"/>
        <v>HÁBIL</v>
      </c>
    </row>
    <row r="56" spans="2:11" ht="13.5" hidden="1">
      <c r="B56" s="231">
        <v>38</v>
      </c>
      <c r="C56" s="129" t="e">
        <f>IF(VLOOKUP(B56,PROPONENTES!$B$19:$E$219,2,0)="","",VLOOKUP(B56,PROPONENTES!$B$19:$E$219,2,0))</f>
        <v>#N/A</v>
      </c>
      <c r="D56" s="130" t="e">
        <f>IF(VLOOKUP(B56,PROPONENTES!$B$19:$E$218,3,0)="","",VLOOKUP(B56,PROPONENTES!$B$19:$E$218,3,0))</f>
        <v>#N/A</v>
      </c>
      <c r="E56" s="135" t="s">
        <v>45</v>
      </c>
      <c r="F56" s="135" t="s">
        <v>45</v>
      </c>
      <c r="G56" s="135" t="s">
        <v>45</v>
      </c>
      <c r="H56" s="135" t="e">
        <f>IF(C56&lt;&gt;"",VLOOKUP(C56,HAB.EXP.ESP.!$C$27:$N$226,11,0),"")</f>
        <v>#N/A</v>
      </c>
      <c r="I56" s="351" t="str">
        <f t="shared" si="0"/>
        <v>HÁBIL</v>
      </c>
      <c r="K56" s="516" t="str">
        <f t="shared" si="1"/>
        <v>HÁBIL</v>
      </c>
    </row>
    <row r="57" spans="2:11" ht="13.5" hidden="1">
      <c r="B57" s="231">
        <v>39</v>
      </c>
      <c r="C57" s="129" t="e">
        <f>IF(VLOOKUP(B57,PROPONENTES!$B$19:$E$219,2,0)="","",VLOOKUP(B57,PROPONENTES!$B$19:$E$219,2,0))</f>
        <v>#N/A</v>
      </c>
      <c r="D57" s="130" t="e">
        <f>IF(VLOOKUP(B57,PROPONENTES!$B$19:$E$218,3,0)="","",VLOOKUP(B57,PROPONENTES!$B$19:$E$218,3,0))</f>
        <v>#N/A</v>
      </c>
      <c r="E57" s="135" t="s">
        <v>45</v>
      </c>
      <c r="F57" s="135" t="s">
        <v>45</v>
      </c>
      <c r="G57" s="135" t="s">
        <v>45</v>
      </c>
      <c r="H57" s="135" t="e">
        <f>IF(C57&lt;&gt;"",VLOOKUP(C57,HAB.EXP.ESP.!$C$27:$N$226,11,0),"")</f>
        <v>#N/A</v>
      </c>
      <c r="I57" s="351" t="str">
        <f t="shared" si="0"/>
        <v>HÁBIL</v>
      </c>
      <c r="K57" s="516" t="str">
        <f t="shared" si="1"/>
        <v>HÁBIL</v>
      </c>
    </row>
    <row r="58" spans="2:11" ht="13.5" hidden="1">
      <c r="B58" s="230">
        <v>40</v>
      </c>
      <c r="C58" s="129" t="e">
        <f>IF(VLOOKUP(B58,PROPONENTES!$B$19:$E$219,2,0)="","",VLOOKUP(B58,PROPONENTES!$B$19:$E$219,2,0))</f>
        <v>#N/A</v>
      </c>
      <c r="D58" s="130" t="e">
        <f>IF(VLOOKUP(B58,PROPONENTES!$B$19:$E$218,3,0)="","",VLOOKUP(B58,PROPONENTES!$B$19:$E$218,3,0))</f>
        <v>#N/A</v>
      </c>
      <c r="E58" s="135" t="s">
        <v>45</v>
      </c>
      <c r="F58" s="135" t="s">
        <v>45</v>
      </c>
      <c r="G58" s="135" t="s">
        <v>45</v>
      </c>
      <c r="H58" s="135" t="e">
        <f>IF(C58&lt;&gt;"",VLOOKUP(C58,HAB.EXP.ESP.!$C$27:$N$226,11,0),"")</f>
        <v>#N/A</v>
      </c>
      <c r="I58" s="351" t="str">
        <f t="shared" si="0"/>
        <v>HÁBIL</v>
      </c>
      <c r="K58" s="516" t="str">
        <f t="shared" si="1"/>
        <v>HÁBIL</v>
      </c>
    </row>
    <row r="59" spans="2:11" ht="13.5" hidden="1">
      <c r="B59" s="231">
        <v>41</v>
      </c>
      <c r="C59" s="129" t="e">
        <f>IF(VLOOKUP(B59,PROPONENTES!$B$19:$E$219,2,0)="","",VLOOKUP(B59,PROPONENTES!$B$19:$E$219,2,0))</f>
        <v>#N/A</v>
      </c>
      <c r="D59" s="130" t="e">
        <f>IF(VLOOKUP(B59,PROPONENTES!$B$19:$E$218,3,0)="","",VLOOKUP(B59,PROPONENTES!$B$19:$E$218,3,0))</f>
        <v>#N/A</v>
      </c>
      <c r="E59" s="135" t="s">
        <v>45</v>
      </c>
      <c r="F59" s="135" t="s">
        <v>45</v>
      </c>
      <c r="G59" s="135" t="s">
        <v>45</v>
      </c>
      <c r="H59" s="135" t="e">
        <f>IF(C59&lt;&gt;"",VLOOKUP(C59,HAB.EXP.ESP.!$C$27:$N$226,11,0),"")</f>
        <v>#N/A</v>
      </c>
      <c r="I59" s="351" t="str">
        <f t="shared" si="0"/>
        <v>HÁBIL</v>
      </c>
      <c r="K59" s="516" t="str">
        <f t="shared" si="1"/>
        <v>HÁBIL</v>
      </c>
    </row>
    <row r="60" spans="2:11" ht="13.5" hidden="1">
      <c r="B60" s="231">
        <v>42</v>
      </c>
      <c r="C60" s="129" t="e">
        <f>IF(VLOOKUP(B60,PROPONENTES!$B$19:$E$219,2,0)="","",VLOOKUP(B60,PROPONENTES!$B$19:$E$219,2,0))</f>
        <v>#N/A</v>
      </c>
      <c r="D60" s="130" t="e">
        <f>IF(VLOOKUP(B60,PROPONENTES!$B$19:$E$218,3,0)="","",VLOOKUP(B60,PROPONENTES!$B$19:$E$218,3,0))</f>
        <v>#N/A</v>
      </c>
      <c r="E60" s="135" t="s">
        <v>45</v>
      </c>
      <c r="F60" s="135" t="s">
        <v>45</v>
      </c>
      <c r="G60" s="135" t="s">
        <v>45</v>
      </c>
      <c r="H60" s="135" t="e">
        <f>IF(C60&lt;&gt;"",VLOOKUP(C60,HAB.EXP.ESP.!$C$27:$N$226,11,0),"")</f>
        <v>#N/A</v>
      </c>
      <c r="I60" s="351" t="str">
        <f t="shared" si="0"/>
        <v>HÁBIL</v>
      </c>
      <c r="K60" s="516" t="str">
        <f t="shared" si="1"/>
        <v>HÁBIL</v>
      </c>
    </row>
    <row r="61" spans="2:11" ht="13.5" hidden="1">
      <c r="B61" s="230">
        <v>43</v>
      </c>
      <c r="C61" s="129" t="e">
        <f>IF(VLOOKUP(B61,PROPONENTES!$B$19:$E$219,2,0)="","",VLOOKUP(B61,PROPONENTES!$B$19:$E$219,2,0))</f>
        <v>#N/A</v>
      </c>
      <c r="D61" s="130" t="e">
        <f>IF(VLOOKUP(B61,PROPONENTES!$B$19:$E$218,3,0)="","",VLOOKUP(B61,PROPONENTES!$B$19:$E$218,3,0))</f>
        <v>#N/A</v>
      </c>
      <c r="E61" s="135" t="s">
        <v>45</v>
      </c>
      <c r="F61" s="135" t="s">
        <v>45</v>
      </c>
      <c r="G61" s="135" t="s">
        <v>45</v>
      </c>
      <c r="H61" s="135" t="e">
        <f>IF(C61&lt;&gt;"",VLOOKUP(C61,HAB.EXP.ESP.!$C$27:$N$226,11,0),"")</f>
        <v>#N/A</v>
      </c>
      <c r="I61" s="351" t="str">
        <f t="shared" si="0"/>
        <v>HÁBIL</v>
      </c>
      <c r="K61" s="516" t="str">
        <f t="shared" si="1"/>
        <v>HÁBIL</v>
      </c>
    </row>
    <row r="62" spans="2:11" ht="13.5" hidden="1">
      <c r="B62" s="231">
        <v>44</v>
      </c>
      <c r="C62" s="129" t="e">
        <f>IF(VLOOKUP(B62,PROPONENTES!$B$19:$E$219,2,0)="","",VLOOKUP(B62,PROPONENTES!$B$19:$E$219,2,0))</f>
        <v>#N/A</v>
      </c>
      <c r="D62" s="130" t="e">
        <f>IF(VLOOKUP(B62,PROPONENTES!$B$19:$E$218,3,0)="","",VLOOKUP(B62,PROPONENTES!$B$19:$E$218,3,0))</f>
        <v>#N/A</v>
      </c>
      <c r="E62" s="135" t="s">
        <v>45</v>
      </c>
      <c r="F62" s="135" t="s">
        <v>45</v>
      </c>
      <c r="G62" s="135" t="s">
        <v>45</v>
      </c>
      <c r="H62" s="135" t="e">
        <f>IF(C62&lt;&gt;"",VLOOKUP(C62,HAB.EXP.ESP.!$C$27:$N$226,11,0),"")</f>
        <v>#N/A</v>
      </c>
      <c r="I62" s="351" t="str">
        <f t="shared" si="0"/>
        <v>HÁBIL</v>
      </c>
      <c r="K62" s="516" t="str">
        <f t="shared" si="1"/>
        <v>HÁBIL</v>
      </c>
    </row>
    <row r="63" spans="2:11" ht="13.5" hidden="1">
      <c r="B63" s="231">
        <v>45</v>
      </c>
      <c r="C63" s="129" t="e">
        <f>IF(VLOOKUP(B63,PROPONENTES!$B$19:$E$219,2,0)="","",VLOOKUP(B63,PROPONENTES!$B$19:$E$219,2,0))</f>
        <v>#N/A</v>
      </c>
      <c r="D63" s="130" t="e">
        <f>IF(VLOOKUP(B63,PROPONENTES!$B$19:$E$218,3,0)="","",VLOOKUP(B63,PROPONENTES!$B$19:$E$218,3,0))</f>
        <v>#N/A</v>
      </c>
      <c r="E63" s="135" t="s">
        <v>45</v>
      </c>
      <c r="F63" s="135" t="s">
        <v>45</v>
      </c>
      <c r="G63" s="135" t="s">
        <v>45</v>
      </c>
      <c r="H63" s="135" t="e">
        <f>IF(C63&lt;&gt;"",VLOOKUP(C63,HAB.EXP.ESP.!$C$27:$N$226,11,0),"")</f>
        <v>#N/A</v>
      </c>
      <c r="I63" s="351" t="str">
        <f t="shared" si="0"/>
        <v>HÁBIL</v>
      </c>
      <c r="K63" s="516" t="str">
        <f t="shared" si="1"/>
        <v>HÁBIL</v>
      </c>
    </row>
    <row r="64" spans="2:11" ht="13.5" hidden="1">
      <c r="B64" s="230">
        <v>46</v>
      </c>
      <c r="C64" s="129" t="e">
        <f>IF(VLOOKUP(B64,PROPONENTES!$B$19:$E$219,2,0)="","",VLOOKUP(B64,PROPONENTES!$B$19:$E$219,2,0))</f>
        <v>#N/A</v>
      </c>
      <c r="D64" s="130" t="e">
        <f>IF(VLOOKUP(B64,PROPONENTES!$B$19:$E$218,3,0)="","",VLOOKUP(B64,PROPONENTES!$B$19:$E$218,3,0))</f>
        <v>#N/A</v>
      </c>
      <c r="E64" s="135" t="s">
        <v>45</v>
      </c>
      <c r="F64" s="135" t="s">
        <v>45</v>
      </c>
      <c r="G64" s="135" t="s">
        <v>45</v>
      </c>
      <c r="H64" s="135" t="e">
        <f>IF(C64&lt;&gt;"",VLOOKUP(C64,HAB.EXP.ESP.!$C$27:$N$226,11,0),"")</f>
        <v>#N/A</v>
      </c>
      <c r="I64" s="351" t="str">
        <f t="shared" si="0"/>
        <v>HÁBIL</v>
      </c>
      <c r="K64" s="516" t="str">
        <f t="shared" si="1"/>
        <v>HÁBIL</v>
      </c>
    </row>
    <row r="65" spans="2:11" ht="13.5" hidden="1">
      <c r="B65" s="231">
        <v>47</v>
      </c>
      <c r="C65" s="129" t="e">
        <f>IF(VLOOKUP(B65,PROPONENTES!$B$19:$E$219,2,0)="","",VLOOKUP(B65,PROPONENTES!$B$19:$E$219,2,0))</f>
        <v>#N/A</v>
      </c>
      <c r="D65" s="130" t="e">
        <f>IF(VLOOKUP(B65,PROPONENTES!$B$19:$E$218,3,0)="","",VLOOKUP(B65,PROPONENTES!$B$19:$E$218,3,0))</f>
        <v>#N/A</v>
      </c>
      <c r="E65" s="135" t="s">
        <v>45</v>
      </c>
      <c r="F65" s="135" t="s">
        <v>45</v>
      </c>
      <c r="G65" s="135" t="s">
        <v>45</v>
      </c>
      <c r="H65" s="135" t="e">
        <f>IF(C65&lt;&gt;"",VLOOKUP(C65,HAB.EXP.ESP.!$C$27:$N$226,11,0),"")</f>
        <v>#N/A</v>
      </c>
      <c r="I65" s="351" t="str">
        <f t="shared" si="0"/>
        <v>HÁBIL</v>
      </c>
      <c r="K65" s="516" t="str">
        <f t="shared" si="1"/>
        <v>HÁBIL</v>
      </c>
    </row>
    <row r="66" spans="2:11" ht="13.5" hidden="1">
      <c r="B66" s="231">
        <v>48</v>
      </c>
      <c r="C66" s="129" t="e">
        <f>IF(VLOOKUP(B66,PROPONENTES!$B$19:$E$219,2,0)="","",VLOOKUP(B66,PROPONENTES!$B$19:$E$219,2,0))</f>
        <v>#N/A</v>
      </c>
      <c r="D66" s="130" t="e">
        <f>IF(VLOOKUP(B66,PROPONENTES!$B$19:$E$218,3,0)="","",VLOOKUP(B66,PROPONENTES!$B$19:$E$218,3,0))</f>
        <v>#N/A</v>
      </c>
      <c r="E66" s="135" t="s">
        <v>45</v>
      </c>
      <c r="F66" s="135" t="s">
        <v>45</v>
      </c>
      <c r="G66" s="135" t="s">
        <v>45</v>
      </c>
      <c r="H66" s="135" t="e">
        <f>IF(C66&lt;&gt;"",VLOOKUP(C66,HAB.EXP.ESP.!$C$27:$N$226,11,0),"")</f>
        <v>#N/A</v>
      </c>
      <c r="I66" s="351" t="str">
        <f t="shared" si="0"/>
        <v>HÁBIL</v>
      </c>
      <c r="K66" s="516" t="str">
        <f t="shared" si="1"/>
        <v>HÁBIL</v>
      </c>
    </row>
    <row r="67" spans="2:11" ht="13.5" hidden="1">
      <c r="B67" s="230">
        <v>49</v>
      </c>
      <c r="C67" s="129" t="e">
        <f>IF(VLOOKUP(B67,PROPONENTES!$B$19:$E$219,2,0)="","",VLOOKUP(B67,PROPONENTES!$B$19:$E$219,2,0))</f>
        <v>#N/A</v>
      </c>
      <c r="D67" s="130" t="e">
        <f>IF(VLOOKUP(B67,PROPONENTES!$B$19:$E$218,3,0)="","",VLOOKUP(B67,PROPONENTES!$B$19:$E$218,3,0))</f>
        <v>#N/A</v>
      </c>
      <c r="E67" s="135" t="s">
        <v>45</v>
      </c>
      <c r="F67" s="135" t="s">
        <v>45</v>
      </c>
      <c r="G67" s="135" t="s">
        <v>45</v>
      </c>
      <c r="H67" s="135" t="e">
        <f>IF(C67&lt;&gt;"",VLOOKUP(C67,HAB.EXP.ESP.!$C$27:$N$226,11,0),"")</f>
        <v>#N/A</v>
      </c>
      <c r="I67" s="351" t="str">
        <f t="shared" si="0"/>
        <v>HÁBIL</v>
      </c>
      <c r="K67" s="516" t="str">
        <f t="shared" si="1"/>
        <v>HÁBIL</v>
      </c>
    </row>
    <row r="68" spans="2:11" ht="13.5" hidden="1">
      <c r="B68" s="231">
        <v>50</v>
      </c>
      <c r="C68" s="129" t="e">
        <f>IF(VLOOKUP(B68,PROPONENTES!$B$19:$E$219,2,0)="","",VLOOKUP(B68,PROPONENTES!$B$19:$E$219,2,0))</f>
        <v>#N/A</v>
      </c>
      <c r="D68" s="130" t="e">
        <f>IF(VLOOKUP(B68,PROPONENTES!$B$19:$E$218,3,0)="","",VLOOKUP(B68,PROPONENTES!$B$19:$E$218,3,0))</f>
        <v>#N/A</v>
      </c>
      <c r="E68" s="135" t="s">
        <v>45</v>
      </c>
      <c r="F68" s="135" t="s">
        <v>45</v>
      </c>
      <c r="G68" s="135" t="s">
        <v>45</v>
      </c>
      <c r="H68" s="135" t="e">
        <f>IF(C68&lt;&gt;"",VLOOKUP(C68,HAB.EXP.ESP.!$C$27:$N$226,11,0),"")</f>
        <v>#N/A</v>
      </c>
      <c r="I68" s="351" t="str">
        <f t="shared" si="0"/>
        <v>HÁBIL</v>
      </c>
      <c r="K68" s="516" t="str">
        <f t="shared" si="1"/>
        <v>HÁBIL</v>
      </c>
    </row>
    <row r="69" spans="2:11" ht="13.5" hidden="1">
      <c r="B69" s="231">
        <v>51</v>
      </c>
      <c r="C69" s="129" t="e">
        <f>IF(VLOOKUP(B69,PROPONENTES!$B$19:$E$219,2,0)="","",VLOOKUP(B69,PROPONENTES!$B$19:$E$219,2,0))</f>
        <v>#N/A</v>
      </c>
      <c r="D69" s="130" t="e">
        <f>IF(VLOOKUP(B69,PROPONENTES!$B$19:$E$218,3,0)="","",VLOOKUP(B69,PROPONENTES!$B$19:$E$218,3,0))</f>
        <v>#N/A</v>
      </c>
      <c r="E69" s="135" t="s">
        <v>45</v>
      </c>
      <c r="F69" s="135" t="s">
        <v>45</v>
      </c>
      <c r="G69" s="135" t="s">
        <v>45</v>
      </c>
      <c r="H69" s="135" t="e">
        <f>IF(C69&lt;&gt;"",VLOOKUP(C69,HAB.EXP.ESP.!$C$27:$N$226,11,0),"")</f>
        <v>#N/A</v>
      </c>
      <c r="I69" s="351" t="str">
        <f t="shared" si="0"/>
        <v>HÁBIL</v>
      </c>
      <c r="K69" s="516" t="str">
        <f t="shared" si="1"/>
        <v>HÁBIL</v>
      </c>
    </row>
    <row r="70" spans="2:11" ht="13.5" hidden="1">
      <c r="B70" s="231">
        <v>52</v>
      </c>
      <c r="C70" s="129" t="e">
        <f>IF(VLOOKUP(B70,PROPONENTES!$B$19:$E$219,2,0)="","",VLOOKUP(B70,PROPONENTES!$B$19:$E$219,2,0))</f>
        <v>#N/A</v>
      </c>
      <c r="D70" s="130" t="e">
        <f>IF(VLOOKUP(B70,PROPONENTES!$B$19:$E$218,3,0)="","",VLOOKUP(B70,PROPONENTES!$B$19:$E$218,3,0))</f>
        <v>#N/A</v>
      </c>
      <c r="E70" s="135" t="s">
        <v>45</v>
      </c>
      <c r="F70" s="135" t="s">
        <v>45</v>
      </c>
      <c r="G70" s="135" t="s">
        <v>45</v>
      </c>
      <c r="H70" s="135" t="e">
        <f>IF(C70&lt;&gt;"",VLOOKUP(C70,HAB.EXP.ESP.!$C$27:$N$226,11,0),"")</f>
        <v>#N/A</v>
      </c>
      <c r="I70" s="351" t="str">
        <f t="shared" si="0"/>
        <v>HÁBIL</v>
      </c>
      <c r="K70" s="516" t="str">
        <f t="shared" si="1"/>
        <v>HÁBIL</v>
      </c>
    </row>
    <row r="71" spans="2:11" ht="13.5" hidden="1">
      <c r="B71" s="230">
        <v>53</v>
      </c>
      <c r="C71" s="129" t="e">
        <f>IF(VLOOKUP(B71,PROPONENTES!$B$19:$E$219,2,0)="","",VLOOKUP(B71,PROPONENTES!$B$19:$E$219,2,0))</f>
        <v>#N/A</v>
      </c>
      <c r="D71" s="130" t="e">
        <f>IF(VLOOKUP(B71,PROPONENTES!$B$19:$E$218,3,0)="","",VLOOKUP(B71,PROPONENTES!$B$19:$E$218,3,0))</f>
        <v>#N/A</v>
      </c>
      <c r="E71" s="135" t="s">
        <v>45</v>
      </c>
      <c r="F71" s="135" t="s">
        <v>45</v>
      </c>
      <c r="G71" s="135" t="s">
        <v>45</v>
      </c>
      <c r="H71" s="135" t="e">
        <f>IF(C71&lt;&gt;"",VLOOKUP(C71,HAB.EXP.ESP.!$C$27:$N$226,11,0),"")</f>
        <v>#N/A</v>
      </c>
      <c r="I71" s="351" t="str">
        <f t="shared" si="0"/>
        <v>HÁBIL</v>
      </c>
      <c r="K71" s="516" t="str">
        <f t="shared" si="1"/>
        <v>HÁBIL</v>
      </c>
    </row>
    <row r="72" spans="2:11" ht="13.5" hidden="1">
      <c r="B72" s="231">
        <v>54</v>
      </c>
      <c r="C72" s="129" t="e">
        <f>IF(VLOOKUP(B72,PROPONENTES!$B$19:$E$219,2,0)="","",VLOOKUP(B72,PROPONENTES!$B$19:$E$219,2,0))</f>
        <v>#N/A</v>
      </c>
      <c r="D72" s="130" t="e">
        <f>IF(VLOOKUP(B72,PROPONENTES!$B$19:$E$218,3,0)="","",VLOOKUP(B72,PROPONENTES!$B$19:$E$218,3,0))</f>
        <v>#N/A</v>
      </c>
      <c r="E72" s="135" t="s">
        <v>45</v>
      </c>
      <c r="F72" s="135" t="s">
        <v>45</v>
      </c>
      <c r="G72" s="135" t="s">
        <v>45</v>
      </c>
      <c r="H72" s="135" t="e">
        <f>IF(C72&lt;&gt;"",VLOOKUP(C72,HAB.EXP.ESP.!$C$27:$N$226,11,0),"")</f>
        <v>#N/A</v>
      </c>
      <c r="I72" s="351" t="str">
        <f t="shared" si="0"/>
        <v>HÁBIL</v>
      </c>
      <c r="K72" s="516" t="str">
        <f t="shared" si="1"/>
        <v>HÁBIL</v>
      </c>
    </row>
    <row r="73" spans="2:11" ht="13.5" hidden="1">
      <c r="B73" s="231">
        <v>55</v>
      </c>
      <c r="C73" s="129" t="e">
        <f>IF(VLOOKUP(B73,PROPONENTES!$B$19:$E$219,2,0)="","",VLOOKUP(B73,PROPONENTES!$B$19:$E$219,2,0))</f>
        <v>#N/A</v>
      </c>
      <c r="D73" s="130" t="e">
        <f>IF(VLOOKUP(B73,PROPONENTES!$B$19:$E$218,3,0)="","",VLOOKUP(B73,PROPONENTES!$B$19:$E$218,3,0))</f>
        <v>#N/A</v>
      </c>
      <c r="E73" s="135" t="s">
        <v>45</v>
      </c>
      <c r="F73" s="135" t="s">
        <v>45</v>
      </c>
      <c r="G73" s="135" t="s">
        <v>45</v>
      </c>
      <c r="H73" s="135" t="e">
        <f>IF(C73&lt;&gt;"",VLOOKUP(C73,HAB.EXP.ESP.!$C$27:$N$226,11,0),"")</f>
        <v>#N/A</v>
      </c>
      <c r="I73" s="351" t="str">
        <f t="shared" si="0"/>
        <v>HÁBIL</v>
      </c>
      <c r="K73" s="516" t="str">
        <f t="shared" si="1"/>
        <v>HÁBIL</v>
      </c>
    </row>
    <row r="74" spans="2:11" ht="13.5" hidden="1">
      <c r="B74" s="231">
        <v>56</v>
      </c>
      <c r="C74" s="129" t="e">
        <f>IF(VLOOKUP(B74,PROPONENTES!$B$19:$E$219,2,0)="","",VLOOKUP(B74,PROPONENTES!$B$19:$E$219,2,0))</f>
        <v>#N/A</v>
      </c>
      <c r="D74" s="130" t="e">
        <f>IF(VLOOKUP(B74,PROPONENTES!$B$19:$E$218,3,0)="","",VLOOKUP(B74,PROPONENTES!$B$19:$E$218,3,0))</f>
        <v>#N/A</v>
      </c>
      <c r="E74" s="135" t="s">
        <v>45</v>
      </c>
      <c r="F74" s="135" t="s">
        <v>45</v>
      </c>
      <c r="G74" s="135" t="s">
        <v>45</v>
      </c>
      <c r="H74" s="135" t="e">
        <f>IF(C74&lt;&gt;"",VLOOKUP(C74,HAB.EXP.ESP.!$C$27:$N$226,11,0),"")</f>
        <v>#N/A</v>
      </c>
      <c r="I74" s="351" t="str">
        <f t="shared" si="0"/>
        <v>HÁBIL</v>
      </c>
      <c r="K74" s="516" t="str">
        <f t="shared" si="1"/>
        <v>HÁBIL</v>
      </c>
    </row>
    <row r="75" spans="2:11" ht="13.5" hidden="1">
      <c r="B75" s="230">
        <v>57</v>
      </c>
      <c r="C75" s="129" t="e">
        <f>IF(VLOOKUP(B75,PROPONENTES!$B$19:$E$219,2,0)="","",VLOOKUP(B75,PROPONENTES!$B$19:$E$219,2,0))</f>
        <v>#N/A</v>
      </c>
      <c r="D75" s="130" t="e">
        <f>IF(VLOOKUP(B75,PROPONENTES!$B$19:$E$218,3,0)="","",VLOOKUP(B75,PROPONENTES!$B$19:$E$218,3,0))</f>
        <v>#N/A</v>
      </c>
      <c r="E75" s="135" t="s">
        <v>45</v>
      </c>
      <c r="F75" s="135" t="s">
        <v>45</v>
      </c>
      <c r="G75" s="135" t="s">
        <v>45</v>
      </c>
      <c r="H75" s="135" t="e">
        <f>IF(C75&lt;&gt;"",VLOOKUP(C75,HAB.EXP.ESP.!$C$27:$N$226,11,0),"")</f>
        <v>#N/A</v>
      </c>
      <c r="I75" s="351" t="str">
        <f t="shared" si="0"/>
        <v>HÁBIL</v>
      </c>
      <c r="K75" s="516" t="str">
        <f t="shared" si="1"/>
        <v>HÁBIL</v>
      </c>
    </row>
    <row r="76" spans="2:11" ht="13.5" hidden="1">
      <c r="B76" s="231">
        <v>58</v>
      </c>
      <c r="C76" s="129" t="e">
        <f>IF(VLOOKUP(B76,PROPONENTES!$B$19:$E$219,2,0)="","",VLOOKUP(B76,PROPONENTES!$B$19:$E$219,2,0))</f>
        <v>#N/A</v>
      </c>
      <c r="D76" s="130" t="e">
        <f>IF(VLOOKUP(B76,PROPONENTES!$B$19:$E$218,3,0)="","",VLOOKUP(B76,PROPONENTES!$B$19:$E$218,3,0))</f>
        <v>#N/A</v>
      </c>
      <c r="E76" s="135" t="s">
        <v>45</v>
      </c>
      <c r="F76" s="135" t="s">
        <v>45</v>
      </c>
      <c r="G76" s="135" t="s">
        <v>45</v>
      </c>
      <c r="H76" s="135" t="e">
        <f>IF(C76&lt;&gt;"",VLOOKUP(C76,HAB.EXP.ESP.!$C$27:$N$226,11,0),"")</f>
        <v>#N/A</v>
      </c>
      <c r="I76" s="351" t="str">
        <f t="shared" si="0"/>
        <v>HÁBIL</v>
      </c>
      <c r="K76" s="516" t="str">
        <f t="shared" si="1"/>
        <v>HÁBIL</v>
      </c>
    </row>
    <row r="77" spans="2:11" ht="13.5" hidden="1">
      <c r="B77" s="231">
        <v>59</v>
      </c>
      <c r="C77" s="129" t="e">
        <f>IF(VLOOKUP(B77,PROPONENTES!$B$19:$E$219,2,0)="","",VLOOKUP(B77,PROPONENTES!$B$19:$E$219,2,0))</f>
        <v>#N/A</v>
      </c>
      <c r="D77" s="130" t="e">
        <f>IF(VLOOKUP(B77,PROPONENTES!$B$19:$E$218,3,0)="","",VLOOKUP(B77,PROPONENTES!$B$19:$E$218,3,0))</f>
        <v>#N/A</v>
      </c>
      <c r="E77" s="135" t="s">
        <v>45</v>
      </c>
      <c r="F77" s="135" t="s">
        <v>45</v>
      </c>
      <c r="G77" s="135" t="s">
        <v>45</v>
      </c>
      <c r="H77" s="135" t="e">
        <f>IF(C77&lt;&gt;"",VLOOKUP(C77,HAB.EXP.ESP.!$C$27:$N$226,11,0),"")</f>
        <v>#N/A</v>
      </c>
      <c r="I77" s="351" t="str">
        <f t="shared" si="0"/>
        <v>HÁBIL</v>
      </c>
      <c r="K77" s="516" t="str">
        <f t="shared" si="1"/>
        <v>HÁBIL</v>
      </c>
    </row>
    <row r="78" spans="2:11" ht="13.5" hidden="1">
      <c r="B78" s="231">
        <v>60</v>
      </c>
      <c r="C78" s="129" t="e">
        <f>IF(VLOOKUP(B78,PROPONENTES!$B$19:$E$219,2,0)="","",VLOOKUP(B78,PROPONENTES!$B$19:$E$219,2,0))</f>
        <v>#N/A</v>
      </c>
      <c r="D78" s="130" t="e">
        <f>IF(VLOOKUP(B78,PROPONENTES!$B$19:$E$218,3,0)="","",VLOOKUP(B78,PROPONENTES!$B$19:$E$218,3,0))</f>
        <v>#N/A</v>
      </c>
      <c r="E78" s="135" t="s">
        <v>45</v>
      </c>
      <c r="F78" s="135" t="s">
        <v>45</v>
      </c>
      <c r="G78" s="135" t="s">
        <v>45</v>
      </c>
      <c r="H78" s="135" t="e">
        <f>IF(C78&lt;&gt;"",VLOOKUP(C78,HAB.EXP.ESP.!$C$27:$N$226,11,0),"")</f>
        <v>#N/A</v>
      </c>
      <c r="I78" s="351" t="str">
        <f t="shared" si="0"/>
        <v>HÁBIL</v>
      </c>
      <c r="K78" s="516" t="str">
        <f t="shared" si="1"/>
        <v>HÁBIL</v>
      </c>
    </row>
    <row r="79" spans="2:11" ht="13.5" hidden="1">
      <c r="B79" s="230">
        <v>61</v>
      </c>
      <c r="C79" s="129" t="e">
        <f>IF(VLOOKUP(B79,PROPONENTES!$B$19:$E$219,2,0)="","",VLOOKUP(B79,PROPONENTES!$B$19:$E$219,2,0))</f>
        <v>#N/A</v>
      </c>
      <c r="D79" s="130" t="e">
        <f>IF(VLOOKUP(B79,PROPONENTES!$B$19:$E$218,3,0)="","",VLOOKUP(B79,PROPONENTES!$B$19:$E$218,3,0))</f>
        <v>#N/A</v>
      </c>
      <c r="E79" s="135" t="s">
        <v>45</v>
      </c>
      <c r="F79" s="135" t="s">
        <v>45</v>
      </c>
      <c r="G79" s="135" t="s">
        <v>45</v>
      </c>
      <c r="H79" s="135" t="e">
        <f>IF(C79&lt;&gt;"",VLOOKUP(C79,HAB.EXP.ESP.!$C$27:$N$226,11,0),"")</f>
        <v>#N/A</v>
      </c>
      <c r="I79" s="351" t="str">
        <f t="shared" si="0"/>
        <v>HÁBIL</v>
      </c>
      <c r="K79" s="516" t="str">
        <f t="shared" si="1"/>
        <v>HÁBIL</v>
      </c>
    </row>
    <row r="80" spans="2:11" ht="13.5" hidden="1">
      <c r="B80" s="231">
        <v>62</v>
      </c>
      <c r="C80" s="129" t="e">
        <f>IF(VLOOKUP(B80,PROPONENTES!$B$19:$E$219,2,0)="","",VLOOKUP(B80,PROPONENTES!$B$19:$E$219,2,0))</f>
        <v>#N/A</v>
      </c>
      <c r="D80" s="130" t="e">
        <f>IF(VLOOKUP(B80,PROPONENTES!$B$19:$E$218,3,0)="","",VLOOKUP(B80,PROPONENTES!$B$19:$E$218,3,0))</f>
        <v>#N/A</v>
      </c>
      <c r="E80" s="135" t="s">
        <v>45</v>
      </c>
      <c r="F80" s="135" t="s">
        <v>45</v>
      </c>
      <c r="G80" s="135" t="s">
        <v>45</v>
      </c>
      <c r="H80" s="135" t="e">
        <f>IF(C80&lt;&gt;"",VLOOKUP(C80,HAB.EXP.ESP.!$C$27:$N$226,11,0),"")</f>
        <v>#N/A</v>
      </c>
      <c r="I80" s="351" t="str">
        <f t="shared" si="0"/>
        <v>HÁBIL</v>
      </c>
      <c r="K80" s="516" t="str">
        <f t="shared" si="1"/>
        <v>HÁBIL</v>
      </c>
    </row>
    <row r="81" spans="2:11" ht="13.5" hidden="1">
      <c r="B81" s="231">
        <v>63</v>
      </c>
      <c r="C81" s="129" t="e">
        <f>IF(VLOOKUP(B81,PROPONENTES!$B$19:$E$219,2,0)="","",VLOOKUP(B81,PROPONENTES!$B$19:$E$219,2,0))</f>
        <v>#N/A</v>
      </c>
      <c r="D81" s="130" t="e">
        <f>IF(VLOOKUP(B81,PROPONENTES!$B$19:$E$218,3,0)="","",VLOOKUP(B81,PROPONENTES!$B$19:$E$218,3,0))</f>
        <v>#N/A</v>
      </c>
      <c r="E81" s="135" t="s">
        <v>45</v>
      </c>
      <c r="F81" s="135" t="s">
        <v>45</v>
      </c>
      <c r="G81" s="135" t="s">
        <v>45</v>
      </c>
      <c r="H81" s="135" t="e">
        <f>IF(C81&lt;&gt;"",VLOOKUP(C81,HAB.EXP.ESP.!$C$27:$N$226,11,0),"")</f>
        <v>#N/A</v>
      </c>
      <c r="I81" s="351" t="str">
        <f t="shared" si="0"/>
        <v>HÁBIL</v>
      </c>
      <c r="K81" s="516" t="str">
        <f t="shared" si="1"/>
        <v>HÁBIL</v>
      </c>
    </row>
    <row r="82" spans="2:11" ht="13.5" hidden="1">
      <c r="B82" s="231">
        <v>64</v>
      </c>
      <c r="C82" s="129" t="e">
        <f>IF(VLOOKUP(B82,PROPONENTES!$B$19:$E$219,2,0)="","",VLOOKUP(B82,PROPONENTES!$B$19:$E$219,2,0))</f>
        <v>#N/A</v>
      </c>
      <c r="D82" s="130" t="e">
        <f>IF(VLOOKUP(B82,PROPONENTES!$B$19:$E$218,3,0)="","",VLOOKUP(B82,PROPONENTES!$B$19:$E$218,3,0))</f>
        <v>#N/A</v>
      </c>
      <c r="E82" s="135" t="s">
        <v>45</v>
      </c>
      <c r="F82" s="135" t="s">
        <v>45</v>
      </c>
      <c r="G82" s="135" t="s">
        <v>45</v>
      </c>
      <c r="H82" s="135" t="e">
        <f>IF(C82&lt;&gt;"",VLOOKUP(C82,HAB.EXP.ESP.!$C$27:$N$226,11,0),"")</f>
        <v>#N/A</v>
      </c>
      <c r="I82" s="351" t="str">
        <f t="shared" si="0"/>
        <v>HÁBIL</v>
      </c>
      <c r="K82" s="516" t="str">
        <f t="shared" si="1"/>
        <v>HÁBIL</v>
      </c>
    </row>
    <row r="83" spans="2:11" ht="13.5" hidden="1">
      <c r="B83" s="230">
        <v>65</v>
      </c>
      <c r="C83" s="129" t="e">
        <f>IF(VLOOKUP(B83,PROPONENTES!$B$19:$E$219,2,0)="","",VLOOKUP(B83,PROPONENTES!$B$19:$E$219,2,0))</f>
        <v>#N/A</v>
      </c>
      <c r="D83" s="130" t="e">
        <f>IF(VLOOKUP(B83,PROPONENTES!$B$19:$E$218,3,0)="","",VLOOKUP(B83,PROPONENTES!$B$19:$E$218,3,0))</f>
        <v>#N/A</v>
      </c>
      <c r="E83" s="135" t="s">
        <v>45</v>
      </c>
      <c r="F83" s="135" t="s">
        <v>45</v>
      </c>
      <c r="G83" s="135" t="s">
        <v>45</v>
      </c>
      <c r="H83" s="135" t="e">
        <f>IF(C83&lt;&gt;"",VLOOKUP(C83,HAB.EXP.ESP.!$C$27:$N$226,11,0),"")</f>
        <v>#N/A</v>
      </c>
      <c r="I83" s="351" t="str">
        <f t="shared" si="0"/>
        <v>HÁBIL</v>
      </c>
      <c r="K83" s="516" t="str">
        <f t="shared" si="1"/>
        <v>HÁBIL</v>
      </c>
    </row>
    <row r="84" spans="2:11" ht="13.5" hidden="1">
      <c r="B84" s="231">
        <v>66</v>
      </c>
      <c r="C84" s="129" t="e">
        <f>IF(VLOOKUP(B84,PROPONENTES!$B$19:$E$219,2,0)="","",VLOOKUP(B84,PROPONENTES!$B$19:$E$219,2,0))</f>
        <v>#N/A</v>
      </c>
      <c r="D84" s="130" t="e">
        <f>IF(VLOOKUP(B84,PROPONENTES!$B$19:$E$218,3,0)="","",VLOOKUP(B84,PROPONENTES!$B$19:$E$218,3,0))</f>
        <v>#N/A</v>
      </c>
      <c r="E84" s="135" t="s">
        <v>45</v>
      </c>
      <c r="F84" s="135" t="s">
        <v>45</v>
      </c>
      <c r="G84" s="135" t="s">
        <v>45</v>
      </c>
      <c r="H84" s="135" t="e">
        <f>IF(C84&lt;&gt;"",VLOOKUP(C84,HAB.EXP.ESP.!$C$27:$N$226,11,0),"")</f>
        <v>#N/A</v>
      </c>
      <c r="I84" s="351" t="str">
        <f t="shared" ref="I84:I147" si="2">IF(OR(COUNTIF(E84:H84,"")=4,COUNTIF(E84:H84,"")&gt;0),"",IF(COUNTIF(E84:H84,"RECHAZO")&gt;0,"RECHAZO",IF(COUNTIF(E84:H84,"NO HÁBIL")=0,"HÁBIL","NO HÁBIL")))</f>
        <v>HÁBIL</v>
      </c>
      <c r="K84" s="516" t="str">
        <f t="shared" ref="K84:K147" si="3">IF(OR(COUNTIF(E84:G84,"")=3,COUNTIF(E84:G84,"")&gt;0),"",IF(COUNTIF(E84:G84,"RECHAZO")&gt;0,"RECHAZO",IF(COUNTIF(E84:G84,"NO HÁBIL")&gt;0,"NO HÁBIL","HÁBIL")))</f>
        <v>HÁBIL</v>
      </c>
    </row>
    <row r="85" spans="2:11" ht="13.5" hidden="1">
      <c r="B85" s="231">
        <v>67</v>
      </c>
      <c r="C85" s="129" t="e">
        <f>IF(VLOOKUP(B85,PROPONENTES!$B$19:$E$219,2,0)="","",VLOOKUP(B85,PROPONENTES!$B$19:$E$219,2,0))</f>
        <v>#N/A</v>
      </c>
      <c r="D85" s="130" t="e">
        <f>IF(VLOOKUP(B85,PROPONENTES!$B$19:$E$218,3,0)="","",VLOOKUP(B85,PROPONENTES!$B$19:$E$218,3,0))</f>
        <v>#N/A</v>
      </c>
      <c r="E85" s="135" t="s">
        <v>45</v>
      </c>
      <c r="F85" s="135" t="s">
        <v>45</v>
      </c>
      <c r="G85" s="135" t="s">
        <v>45</v>
      </c>
      <c r="H85" s="135" t="e">
        <f>IF(C85&lt;&gt;"",VLOOKUP(C85,HAB.EXP.ESP.!$C$27:$N$226,11,0),"")</f>
        <v>#N/A</v>
      </c>
      <c r="I85" s="351" t="str">
        <f t="shared" si="2"/>
        <v>HÁBIL</v>
      </c>
      <c r="K85" s="516" t="str">
        <f t="shared" si="3"/>
        <v>HÁBIL</v>
      </c>
    </row>
    <row r="86" spans="2:11" ht="13.5" hidden="1">
      <c r="B86" s="231">
        <v>68</v>
      </c>
      <c r="C86" s="129" t="e">
        <f>IF(VLOOKUP(B86,PROPONENTES!$B$19:$E$219,2,0)="","",VLOOKUP(B86,PROPONENTES!$B$19:$E$219,2,0))</f>
        <v>#N/A</v>
      </c>
      <c r="D86" s="130" t="e">
        <f>IF(VLOOKUP(B86,PROPONENTES!$B$19:$E$218,3,0)="","",VLOOKUP(B86,PROPONENTES!$B$19:$E$218,3,0))</f>
        <v>#N/A</v>
      </c>
      <c r="E86" s="135" t="s">
        <v>45</v>
      </c>
      <c r="F86" s="135" t="s">
        <v>45</v>
      </c>
      <c r="G86" s="135" t="s">
        <v>45</v>
      </c>
      <c r="H86" s="135" t="e">
        <f>IF(C86&lt;&gt;"",VLOOKUP(C86,HAB.EXP.ESP.!$C$27:$N$226,11,0),"")</f>
        <v>#N/A</v>
      </c>
      <c r="I86" s="351" t="str">
        <f t="shared" si="2"/>
        <v>HÁBIL</v>
      </c>
      <c r="K86" s="516" t="str">
        <f t="shared" si="3"/>
        <v>HÁBIL</v>
      </c>
    </row>
    <row r="87" spans="2:11" ht="13.5" hidden="1">
      <c r="B87" s="230">
        <v>69</v>
      </c>
      <c r="C87" s="129" t="e">
        <f>IF(VLOOKUP(B87,PROPONENTES!$B$19:$E$219,2,0)="","",VLOOKUP(B87,PROPONENTES!$B$19:$E$219,2,0))</f>
        <v>#N/A</v>
      </c>
      <c r="D87" s="130" t="e">
        <f>IF(VLOOKUP(B87,PROPONENTES!$B$19:$E$218,3,0)="","",VLOOKUP(B87,PROPONENTES!$B$19:$E$218,3,0))</f>
        <v>#N/A</v>
      </c>
      <c r="E87" s="135" t="s">
        <v>45</v>
      </c>
      <c r="F87" s="135" t="s">
        <v>45</v>
      </c>
      <c r="G87" s="135" t="s">
        <v>45</v>
      </c>
      <c r="H87" s="135" t="e">
        <f>IF(C87&lt;&gt;"",VLOOKUP(C87,HAB.EXP.ESP.!$C$27:$N$226,11,0),"")</f>
        <v>#N/A</v>
      </c>
      <c r="I87" s="351" t="str">
        <f t="shared" si="2"/>
        <v>HÁBIL</v>
      </c>
      <c r="K87" s="516" t="str">
        <f t="shared" si="3"/>
        <v>HÁBIL</v>
      </c>
    </row>
    <row r="88" spans="2:11" ht="13.5" hidden="1">
      <c r="B88" s="231">
        <v>70</v>
      </c>
      <c r="C88" s="129" t="e">
        <f>IF(VLOOKUP(B88,PROPONENTES!$B$19:$E$219,2,0)="","",VLOOKUP(B88,PROPONENTES!$B$19:$E$219,2,0))</f>
        <v>#N/A</v>
      </c>
      <c r="D88" s="130" t="e">
        <f>IF(VLOOKUP(B88,PROPONENTES!$B$19:$E$218,3,0)="","",VLOOKUP(B88,PROPONENTES!$B$19:$E$218,3,0))</f>
        <v>#N/A</v>
      </c>
      <c r="E88" s="135" t="s">
        <v>45</v>
      </c>
      <c r="F88" s="135" t="s">
        <v>45</v>
      </c>
      <c r="G88" s="135" t="s">
        <v>45</v>
      </c>
      <c r="H88" s="135" t="e">
        <f>IF(C88&lt;&gt;"",VLOOKUP(C88,HAB.EXP.ESP.!$C$27:$N$226,11,0),"")</f>
        <v>#N/A</v>
      </c>
      <c r="I88" s="351" t="str">
        <f t="shared" si="2"/>
        <v>HÁBIL</v>
      </c>
      <c r="K88" s="516" t="str">
        <f t="shared" si="3"/>
        <v>HÁBIL</v>
      </c>
    </row>
    <row r="89" spans="2:11" ht="13.5" hidden="1">
      <c r="B89" s="231">
        <v>71</v>
      </c>
      <c r="C89" s="129" t="e">
        <f>IF(VLOOKUP(B89,PROPONENTES!$B$19:$E$219,2,0)="","",VLOOKUP(B89,PROPONENTES!$B$19:$E$219,2,0))</f>
        <v>#N/A</v>
      </c>
      <c r="D89" s="130" t="e">
        <f>IF(VLOOKUP(B89,PROPONENTES!$B$19:$E$218,3,0)="","",VLOOKUP(B89,PROPONENTES!$B$19:$E$218,3,0))</f>
        <v>#N/A</v>
      </c>
      <c r="E89" s="135" t="s">
        <v>45</v>
      </c>
      <c r="F89" s="135" t="s">
        <v>45</v>
      </c>
      <c r="G89" s="135" t="s">
        <v>45</v>
      </c>
      <c r="H89" s="135" t="e">
        <f>IF(C89&lt;&gt;"",VLOOKUP(C89,HAB.EXP.ESP.!$C$27:$N$226,11,0),"")</f>
        <v>#N/A</v>
      </c>
      <c r="I89" s="351" t="str">
        <f t="shared" si="2"/>
        <v>HÁBIL</v>
      </c>
      <c r="K89" s="516" t="str">
        <f t="shared" si="3"/>
        <v>HÁBIL</v>
      </c>
    </row>
    <row r="90" spans="2:11" ht="13.5" hidden="1">
      <c r="B90" s="231">
        <v>72</v>
      </c>
      <c r="C90" s="129" t="e">
        <f>IF(VLOOKUP(B90,PROPONENTES!$B$19:$E$219,2,0)="","",VLOOKUP(B90,PROPONENTES!$B$19:$E$219,2,0))</f>
        <v>#N/A</v>
      </c>
      <c r="D90" s="130" t="e">
        <f>IF(VLOOKUP(B90,PROPONENTES!$B$19:$E$218,3,0)="","",VLOOKUP(B90,PROPONENTES!$B$19:$E$218,3,0))</f>
        <v>#N/A</v>
      </c>
      <c r="E90" s="135" t="s">
        <v>45</v>
      </c>
      <c r="F90" s="135" t="s">
        <v>45</v>
      </c>
      <c r="G90" s="135" t="s">
        <v>45</v>
      </c>
      <c r="H90" s="135" t="e">
        <f>IF(C90&lt;&gt;"",VLOOKUP(C90,HAB.EXP.ESP.!$C$27:$N$226,11,0),"")</f>
        <v>#N/A</v>
      </c>
      <c r="I90" s="351" t="str">
        <f t="shared" si="2"/>
        <v>HÁBIL</v>
      </c>
      <c r="K90" s="516" t="str">
        <f t="shared" si="3"/>
        <v>HÁBIL</v>
      </c>
    </row>
    <row r="91" spans="2:11" ht="13.5" hidden="1">
      <c r="B91" s="230">
        <v>73</v>
      </c>
      <c r="C91" s="129" t="e">
        <f>IF(VLOOKUP(B91,PROPONENTES!$B$19:$E$219,2,0)="","",VLOOKUP(B91,PROPONENTES!$B$19:$E$219,2,0))</f>
        <v>#N/A</v>
      </c>
      <c r="D91" s="130" t="e">
        <f>IF(VLOOKUP(B91,PROPONENTES!$B$19:$E$218,3,0)="","",VLOOKUP(B91,PROPONENTES!$B$19:$E$218,3,0))</f>
        <v>#N/A</v>
      </c>
      <c r="E91" s="135" t="s">
        <v>45</v>
      </c>
      <c r="F91" s="135" t="s">
        <v>45</v>
      </c>
      <c r="G91" s="135" t="s">
        <v>45</v>
      </c>
      <c r="H91" s="135" t="e">
        <f>IF(C91&lt;&gt;"",VLOOKUP(C91,HAB.EXP.ESP.!$C$27:$N$226,11,0),"")</f>
        <v>#N/A</v>
      </c>
      <c r="I91" s="351" t="str">
        <f t="shared" si="2"/>
        <v>HÁBIL</v>
      </c>
      <c r="K91" s="516" t="str">
        <f t="shared" si="3"/>
        <v>HÁBIL</v>
      </c>
    </row>
    <row r="92" spans="2:11" ht="13.5" hidden="1">
      <c r="B92" s="231">
        <v>74</v>
      </c>
      <c r="C92" s="129" t="e">
        <f>IF(VLOOKUP(B92,PROPONENTES!$B$19:$E$219,2,0)="","",VLOOKUP(B92,PROPONENTES!$B$19:$E$219,2,0))</f>
        <v>#N/A</v>
      </c>
      <c r="D92" s="130" t="e">
        <f>IF(VLOOKUP(B92,PROPONENTES!$B$19:$E$218,3,0)="","",VLOOKUP(B92,PROPONENTES!$B$19:$E$218,3,0))</f>
        <v>#N/A</v>
      </c>
      <c r="E92" s="135" t="s">
        <v>45</v>
      </c>
      <c r="F92" s="135" t="s">
        <v>45</v>
      </c>
      <c r="G92" s="135" t="s">
        <v>45</v>
      </c>
      <c r="H92" s="135" t="e">
        <f>IF(C92&lt;&gt;"",VLOOKUP(C92,HAB.EXP.ESP.!$C$27:$N$226,11,0),"")</f>
        <v>#N/A</v>
      </c>
      <c r="I92" s="351" t="str">
        <f t="shared" si="2"/>
        <v>HÁBIL</v>
      </c>
      <c r="K92" s="516" t="str">
        <f t="shared" si="3"/>
        <v>HÁBIL</v>
      </c>
    </row>
    <row r="93" spans="2:11" ht="13.5" hidden="1">
      <c r="B93" s="231">
        <v>75</v>
      </c>
      <c r="C93" s="129" t="e">
        <f>IF(VLOOKUP(B93,PROPONENTES!$B$19:$E$219,2,0)="","",VLOOKUP(B93,PROPONENTES!$B$19:$E$219,2,0))</f>
        <v>#N/A</v>
      </c>
      <c r="D93" s="130" t="e">
        <f>IF(VLOOKUP(B93,PROPONENTES!$B$19:$E$218,3,0)="","",VLOOKUP(B93,PROPONENTES!$B$19:$E$218,3,0))</f>
        <v>#N/A</v>
      </c>
      <c r="E93" s="135" t="s">
        <v>45</v>
      </c>
      <c r="F93" s="135" t="s">
        <v>45</v>
      </c>
      <c r="G93" s="135" t="s">
        <v>45</v>
      </c>
      <c r="H93" s="135" t="e">
        <f>IF(C93&lt;&gt;"",VLOOKUP(C93,HAB.EXP.ESP.!$C$27:$N$226,11,0),"")</f>
        <v>#N/A</v>
      </c>
      <c r="I93" s="351" t="str">
        <f t="shared" si="2"/>
        <v>HÁBIL</v>
      </c>
      <c r="K93" s="516" t="str">
        <f t="shared" si="3"/>
        <v>HÁBIL</v>
      </c>
    </row>
    <row r="94" spans="2:11" ht="13.5" hidden="1">
      <c r="B94" s="231">
        <v>76</v>
      </c>
      <c r="C94" s="129" t="e">
        <f>IF(VLOOKUP(B94,PROPONENTES!$B$19:$E$219,2,0)="","",VLOOKUP(B94,PROPONENTES!$B$19:$E$219,2,0))</f>
        <v>#N/A</v>
      </c>
      <c r="D94" s="130" t="e">
        <f>IF(VLOOKUP(B94,PROPONENTES!$B$19:$E$218,3,0)="","",VLOOKUP(B94,PROPONENTES!$B$19:$E$218,3,0))</f>
        <v>#N/A</v>
      </c>
      <c r="E94" s="135" t="s">
        <v>45</v>
      </c>
      <c r="F94" s="135" t="s">
        <v>45</v>
      </c>
      <c r="G94" s="135" t="s">
        <v>45</v>
      </c>
      <c r="H94" s="135" t="e">
        <f>IF(C94&lt;&gt;"",VLOOKUP(C94,HAB.EXP.ESP.!$C$27:$N$226,11,0),"")</f>
        <v>#N/A</v>
      </c>
      <c r="I94" s="351" t="str">
        <f t="shared" si="2"/>
        <v>HÁBIL</v>
      </c>
      <c r="K94" s="516" t="str">
        <f t="shared" si="3"/>
        <v>HÁBIL</v>
      </c>
    </row>
    <row r="95" spans="2:11" ht="13.5" hidden="1">
      <c r="B95" s="230">
        <v>77</v>
      </c>
      <c r="C95" s="129" t="e">
        <f>IF(VLOOKUP(B95,PROPONENTES!$B$19:$E$219,2,0)="","",VLOOKUP(B95,PROPONENTES!$B$19:$E$219,2,0))</f>
        <v>#N/A</v>
      </c>
      <c r="D95" s="130" t="e">
        <f>IF(VLOOKUP(B95,PROPONENTES!$B$19:$E$218,3,0)="","",VLOOKUP(B95,PROPONENTES!$B$19:$E$218,3,0))</f>
        <v>#N/A</v>
      </c>
      <c r="E95" s="135" t="s">
        <v>45</v>
      </c>
      <c r="F95" s="135" t="s">
        <v>45</v>
      </c>
      <c r="G95" s="135" t="s">
        <v>45</v>
      </c>
      <c r="H95" s="135" t="e">
        <f>IF(C95&lt;&gt;"",VLOOKUP(C95,HAB.EXP.ESP.!$C$27:$N$226,11,0),"")</f>
        <v>#N/A</v>
      </c>
      <c r="I95" s="351" t="str">
        <f t="shared" si="2"/>
        <v>HÁBIL</v>
      </c>
      <c r="K95" s="516" t="str">
        <f t="shared" si="3"/>
        <v>HÁBIL</v>
      </c>
    </row>
    <row r="96" spans="2:11" ht="13.5" hidden="1">
      <c r="B96" s="231">
        <v>78</v>
      </c>
      <c r="C96" s="129" t="e">
        <f>IF(VLOOKUP(B96,PROPONENTES!$B$19:$E$219,2,0)="","",VLOOKUP(B96,PROPONENTES!$B$19:$E$219,2,0))</f>
        <v>#N/A</v>
      </c>
      <c r="D96" s="130" t="e">
        <f>IF(VLOOKUP(B96,PROPONENTES!$B$19:$E$218,3,0)="","",VLOOKUP(B96,PROPONENTES!$B$19:$E$218,3,0))</f>
        <v>#N/A</v>
      </c>
      <c r="E96" s="135" t="s">
        <v>45</v>
      </c>
      <c r="F96" s="135" t="s">
        <v>45</v>
      </c>
      <c r="G96" s="135" t="s">
        <v>45</v>
      </c>
      <c r="H96" s="135" t="e">
        <f>IF(C96&lt;&gt;"",VLOOKUP(C96,HAB.EXP.ESP.!$C$27:$N$226,11,0),"")</f>
        <v>#N/A</v>
      </c>
      <c r="I96" s="351" t="str">
        <f t="shared" si="2"/>
        <v>HÁBIL</v>
      </c>
      <c r="K96" s="516" t="str">
        <f t="shared" si="3"/>
        <v>HÁBIL</v>
      </c>
    </row>
    <row r="97" spans="2:11" ht="13.5" hidden="1">
      <c r="B97" s="231">
        <v>79</v>
      </c>
      <c r="C97" s="129" t="e">
        <f>IF(VLOOKUP(B97,PROPONENTES!$B$19:$E$219,2,0)="","",VLOOKUP(B97,PROPONENTES!$B$19:$E$219,2,0))</f>
        <v>#N/A</v>
      </c>
      <c r="D97" s="130" t="e">
        <f>IF(VLOOKUP(B97,PROPONENTES!$B$19:$E$218,3,0)="","",VLOOKUP(B97,PROPONENTES!$B$19:$E$218,3,0))</f>
        <v>#N/A</v>
      </c>
      <c r="E97" s="135" t="s">
        <v>45</v>
      </c>
      <c r="F97" s="135" t="s">
        <v>45</v>
      </c>
      <c r="G97" s="135" t="s">
        <v>45</v>
      </c>
      <c r="H97" s="135" t="e">
        <f>IF(C97&lt;&gt;"",VLOOKUP(C97,HAB.EXP.ESP.!$C$27:$N$226,11,0),"")</f>
        <v>#N/A</v>
      </c>
      <c r="I97" s="351" t="str">
        <f t="shared" si="2"/>
        <v>HÁBIL</v>
      </c>
      <c r="K97" s="516" t="str">
        <f t="shared" si="3"/>
        <v>HÁBIL</v>
      </c>
    </row>
    <row r="98" spans="2:11" ht="13.5" hidden="1">
      <c r="B98" s="231">
        <v>80</v>
      </c>
      <c r="C98" s="129" t="e">
        <f>IF(VLOOKUP(B98,PROPONENTES!$B$19:$E$219,2,0)="","",VLOOKUP(B98,PROPONENTES!$B$19:$E$219,2,0))</f>
        <v>#N/A</v>
      </c>
      <c r="D98" s="130" t="e">
        <f>IF(VLOOKUP(B98,PROPONENTES!$B$19:$E$218,3,0)="","",VLOOKUP(B98,PROPONENTES!$B$19:$E$218,3,0))</f>
        <v>#N/A</v>
      </c>
      <c r="E98" s="135" t="s">
        <v>45</v>
      </c>
      <c r="F98" s="135" t="s">
        <v>45</v>
      </c>
      <c r="G98" s="135" t="s">
        <v>45</v>
      </c>
      <c r="H98" s="135" t="e">
        <f>IF(C98&lt;&gt;"",VLOOKUP(C98,HAB.EXP.ESP.!$C$27:$N$226,11,0),"")</f>
        <v>#N/A</v>
      </c>
      <c r="I98" s="351" t="str">
        <f t="shared" si="2"/>
        <v>HÁBIL</v>
      </c>
      <c r="K98" s="516" t="str">
        <f t="shared" si="3"/>
        <v>HÁBIL</v>
      </c>
    </row>
    <row r="99" spans="2:11" ht="13.5" hidden="1">
      <c r="B99" s="230">
        <v>81</v>
      </c>
      <c r="C99" s="129" t="e">
        <f>IF(VLOOKUP(B99,PROPONENTES!$B$19:$E$219,2,0)="","",VLOOKUP(B99,PROPONENTES!$B$19:$E$219,2,0))</f>
        <v>#N/A</v>
      </c>
      <c r="D99" s="130" t="e">
        <f>IF(VLOOKUP(B99,PROPONENTES!$B$19:$E$218,3,0)="","",VLOOKUP(B99,PROPONENTES!$B$19:$E$218,3,0))</f>
        <v>#N/A</v>
      </c>
      <c r="E99" s="135" t="s">
        <v>45</v>
      </c>
      <c r="F99" s="135" t="s">
        <v>45</v>
      </c>
      <c r="G99" s="135" t="s">
        <v>45</v>
      </c>
      <c r="H99" s="135" t="e">
        <f>IF(C99&lt;&gt;"",VLOOKUP(C99,HAB.EXP.ESP.!$C$27:$N$226,11,0),"")</f>
        <v>#N/A</v>
      </c>
      <c r="I99" s="351" t="str">
        <f t="shared" si="2"/>
        <v>HÁBIL</v>
      </c>
      <c r="K99" s="516" t="str">
        <f t="shared" si="3"/>
        <v>HÁBIL</v>
      </c>
    </row>
    <row r="100" spans="2:11" ht="13.5" hidden="1">
      <c r="B100" s="231">
        <v>82</v>
      </c>
      <c r="C100" s="129" t="e">
        <f>IF(VLOOKUP(B100,PROPONENTES!$B$19:$E$219,2,0)="","",VLOOKUP(B100,PROPONENTES!$B$19:$E$219,2,0))</f>
        <v>#N/A</v>
      </c>
      <c r="D100" s="130" t="e">
        <f>IF(VLOOKUP(B100,PROPONENTES!$B$19:$E$218,3,0)="","",VLOOKUP(B100,PROPONENTES!$B$19:$E$218,3,0))</f>
        <v>#N/A</v>
      </c>
      <c r="E100" s="135" t="s">
        <v>45</v>
      </c>
      <c r="F100" s="135" t="s">
        <v>45</v>
      </c>
      <c r="G100" s="135" t="s">
        <v>45</v>
      </c>
      <c r="H100" s="135" t="e">
        <f>IF(C100&lt;&gt;"",VLOOKUP(C100,HAB.EXP.ESP.!$C$27:$N$226,11,0),"")</f>
        <v>#N/A</v>
      </c>
      <c r="I100" s="351" t="str">
        <f t="shared" si="2"/>
        <v>HÁBIL</v>
      </c>
      <c r="K100" s="516" t="str">
        <f t="shared" si="3"/>
        <v>HÁBIL</v>
      </c>
    </row>
    <row r="101" spans="2:11" ht="13.5" hidden="1">
      <c r="B101" s="231">
        <v>83</v>
      </c>
      <c r="C101" s="129" t="e">
        <f>IF(VLOOKUP(B101,PROPONENTES!$B$19:$E$219,2,0)="","",VLOOKUP(B101,PROPONENTES!$B$19:$E$219,2,0))</f>
        <v>#N/A</v>
      </c>
      <c r="D101" s="130" t="e">
        <f>IF(VLOOKUP(B101,PROPONENTES!$B$19:$E$218,3,0)="","",VLOOKUP(B101,PROPONENTES!$B$19:$E$218,3,0))</f>
        <v>#N/A</v>
      </c>
      <c r="E101" s="135" t="s">
        <v>45</v>
      </c>
      <c r="F101" s="135" t="s">
        <v>45</v>
      </c>
      <c r="G101" s="135" t="s">
        <v>45</v>
      </c>
      <c r="H101" s="135" t="e">
        <f>IF(C101&lt;&gt;"",VLOOKUP(C101,HAB.EXP.ESP.!$C$27:$N$226,11,0),"")</f>
        <v>#N/A</v>
      </c>
      <c r="I101" s="351" t="str">
        <f t="shared" si="2"/>
        <v>HÁBIL</v>
      </c>
      <c r="K101" s="516" t="str">
        <f t="shared" si="3"/>
        <v>HÁBIL</v>
      </c>
    </row>
    <row r="102" spans="2:11" ht="13.5" hidden="1">
      <c r="B102" s="231">
        <v>84</v>
      </c>
      <c r="C102" s="129" t="e">
        <f>IF(VLOOKUP(B102,PROPONENTES!$B$19:$E$219,2,0)="","",VLOOKUP(B102,PROPONENTES!$B$19:$E$219,2,0))</f>
        <v>#N/A</v>
      </c>
      <c r="D102" s="130" t="e">
        <f>IF(VLOOKUP(B102,PROPONENTES!$B$19:$E$218,3,0)="","",VLOOKUP(B102,PROPONENTES!$B$19:$E$218,3,0))</f>
        <v>#N/A</v>
      </c>
      <c r="E102" s="135" t="s">
        <v>45</v>
      </c>
      <c r="F102" s="135" t="s">
        <v>45</v>
      </c>
      <c r="G102" s="135" t="s">
        <v>45</v>
      </c>
      <c r="H102" s="135" t="e">
        <f>IF(C102&lt;&gt;"",VLOOKUP(C102,HAB.EXP.ESP.!$C$27:$N$226,11,0),"")</f>
        <v>#N/A</v>
      </c>
      <c r="I102" s="351" t="str">
        <f t="shared" si="2"/>
        <v>HÁBIL</v>
      </c>
      <c r="K102" s="516" t="str">
        <f t="shared" si="3"/>
        <v>HÁBIL</v>
      </c>
    </row>
    <row r="103" spans="2:11" ht="13.5" hidden="1">
      <c r="B103" s="230">
        <v>85</v>
      </c>
      <c r="C103" s="129" t="e">
        <f>IF(VLOOKUP(B103,PROPONENTES!$B$19:$E$219,2,0)="","",VLOOKUP(B103,PROPONENTES!$B$19:$E$219,2,0))</f>
        <v>#N/A</v>
      </c>
      <c r="D103" s="130" t="e">
        <f>IF(VLOOKUP(B103,PROPONENTES!$B$19:$E$218,3,0)="","",VLOOKUP(B103,PROPONENTES!$B$19:$E$218,3,0))</f>
        <v>#N/A</v>
      </c>
      <c r="E103" s="135" t="s">
        <v>45</v>
      </c>
      <c r="F103" s="135" t="s">
        <v>45</v>
      </c>
      <c r="G103" s="135" t="s">
        <v>45</v>
      </c>
      <c r="H103" s="135" t="e">
        <f>IF(C103&lt;&gt;"",VLOOKUP(C103,HAB.EXP.ESP.!$C$27:$N$226,11,0),"")</f>
        <v>#N/A</v>
      </c>
      <c r="I103" s="351" t="str">
        <f t="shared" si="2"/>
        <v>HÁBIL</v>
      </c>
      <c r="K103" s="516" t="str">
        <f t="shared" si="3"/>
        <v>HÁBIL</v>
      </c>
    </row>
    <row r="104" spans="2:11" ht="13.5" hidden="1">
      <c r="B104" s="231">
        <v>86</v>
      </c>
      <c r="C104" s="129" t="e">
        <f>IF(VLOOKUP(B104,PROPONENTES!$B$19:$E$219,2,0)="","",VLOOKUP(B104,PROPONENTES!$B$19:$E$219,2,0))</f>
        <v>#N/A</v>
      </c>
      <c r="D104" s="130" t="e">
        <f>IF(VLOOKUP(B104,PROPONENTES!$B$19:$E$218,3,0)="","",VLOOKUP(B104,PROPONENTES!$B$19:$E$218,3,0))</f>
        <v>#N/A</v>
      </c>
      <c r="E104" s="135" t="s">
        <v>45</v>
      </c>
      <c r="F104" s="135" t="s">
        <v>45</v>
      </c>
      <c r="G104" s="135" t="s">
        <v>45</v>
      </c>
      <c r="H104" s="135" t="e">
        <f>IF(C104&lt;&gt;"",VLOOKUP(C104,HAB.EXP.ESP.!$C$27:$N$226,11,0),"")</f>
        <v>#N/A</v>
      </c>
      <c r="I104" s="351" t="str">
        <f t="shared" si="2"/>
        <v>HÁBIL</v>
      </c>
      <c r="K104" s="516" t="str">
        <f t="shared" si="3"/>
        <v>HÁBIL</v>
      </c>
    </row>
    <row r="105" spans="2:11" ht="13.5" hidden="1">
      <c r="B105" s="231">
        <v>87</v>
      </c>
      <c r="C105" s="129" t="e">
        <f>IF(VLOOKUP(B105,PROPONENTES!$B$19:$E$219,2,0)="","",VLOOKUP(B105,PROPONENTES!$B$19:$E$219,2,0))</f>
        <v>#N/A</v>
      </c>
      <c r="D105" s="130" t="e">
        <f>IF(VLOOKUP(B105,PROPONENTES!$B$19:$E$218,3,0)="","",VLOOKUP(B105,PROPONENTES!$B$19:$E$218,3,0))</f>
        <v>#N/A</v>
      </c>
      <c r="E105" s="135" t="s">
        <v>45</v>
      </c>
      <c r="F105" s="135" t="s">
        <v>45</v>
      </c>
      <c r="G105" s="135" t="s">
        <v>45</v>
      </c>
      <c r="H105" s="135" t="e">
        <f>IF(C105&lt;&gt;"",VLOOKUP(C105,HAB.EXP.ESP.!$C$27:$N$226,11,0),"")</f>
        <v>#N/A</v>
      </c>
      <c r="I105" s="351" t="str">
        <f t="shared" si="2"/>
        <v>HÁBIL</v>
      </c>
      <c r="K105" s="516" t="str">
        <f t="shared" si="3"/>
        <v>HÁBIL</v>
      </c>
    </row>
    <row r="106" spans="2:11" ht="13.5" hidden="1">
      <c r="B106" s="231">
        <v>88</v>
      </c>
      <c r="C106" s="129" t="e">
        <f>IF(VLOOKUP(B106,PROPONENTES!$B$19:$E$219,2,0)="","",VLOOKUP(B106,PROPONENTES!$B$19:$E$219,2,0))</f>
        <v>#N/A</v>
      </c>
      <c r="D106" s="130" t="e">
        <f>IF(VLOOKUP(B106,PROPONENTES!$B$19:$E$218,3,0)="","",VLOOKUP(B106,PROPONENTES!$B$19:$E$218,3,0))</f>
        <v>#N/A</v>
      </c>
      <c r="E106" s="135" t="s">
        <v>45</v>
      </c>
      <c r="F106" s="135" t="s">
        <v>45</v>
      </c>
      <c r="G106" s="135" t="s">
        <v>45</v>
      </c>
      <c r="H106" s="135" t="e">
        <f>IF(C106&lt;&gt;"",VLOOKUP(C106,HAB.EXP.ESP.!$C$27:$N$226,11,0),"")</f>
        <v>#N/A</v>
      </c>
      <c r="I106" s="351" t="str">
        <f t="shared" si="2"/>
        <v>HÁBIL</v>
      </c>
      <c r="K106" s="516" t="str">
        <f t="shared" si="3"/>
        <v>HÁBIL</v>
      </c>
    </row>
    <row r="107" spans="2:11" ht="13.5" hidden="1">
      <c r="B107" s="230">
        <v>89</v>
      </c>
      <c r="C107" s="129" t="e">
        <f>IF(VLOOKUP(B107,PROPONENTES!$B$19:$E$219,2,0)="","",VLOOKUP(B107,PROPONENTES!$B$19:$E$219,2,0))</f>
        <v>#N/A</v>
      </c>
      <c r="D107" s="130" t="e">
        <f>IF(VLOOKUP(B107,PROPONENTES!$B$19:$E$218,3,0)="","",VLOOKUP(B107,PROPONENTES!$B$19:$E$218,3,0))</f>
        <v>#N/A</v>
      </c>
      <c r="E107" s="135" t="s">
        <v>45</v>
      </c>
      <c r="F107" s="135" t="s">
        <v>45</v>
      </c>
      <c r="G107" s="135" t="s">
        <v>45</v>
      </c>
      <c r="H107" s="135" t="e">
        <f>IF(C107&lt;&gt;"",VLOOKUP(C107,HAB.EXP.ESP.!$C$27:$N$226,11,0),"")</f>
        <v>#N/A</v>
      </c>
      <c r="I107" s="351" t="str">
        <f t="shared" si="2"/>
        <v>HÁBIL</v>
      </c>
      <c r="K107" s="516" t="str">
        <f t="shared" si="3"/>
        <v>HÁBIL</v>
      </c>
    </row>
    <row r="108" spans="2:11" ht="13.5" hidden="1">
      <c r="B108" s="231">
        <v>90</v>
      </c>
      <c r="C108" s="129" t="e">
        <f>IF(VLOOKUP(B108,PROPONENTES!$B$19:$E$219,2,0)="","",VLOOKUP(B108,PROPONENTES!$B$19:$E$219,2,0))</f>
        <v>#N/A</v>
      </c>
      <c r="D108" s="130" t="e">
        <f>IF(VLOOKUP(B108,PROPONENTES!$B$19:$E$218,3,0)="","",VLOOKUP(B108,PROPONENTES!$B$19:$E$218,3,0))</f>
        <v>#N/A</v>
      </c>
      <c r="E108" s="135" t="s">
        <v>45</v>
      </c>
      <c r="F108" s="135" t="s">
        <v>45</v>
      </c>
      <c r="G108" s="135" t="s">
        <v>45</v>
      </c>
      <c r="H108" s="135" t="e">
        <f>IF(C108&lt;&gt;"",VLOOKUP(C108,HAB.EXP.ESP.!$C$27:$N$226,11,0),"")</f>
        <v>#N/A</v>
      </c>
      <c r="I108" s="351" t="str">
        <f t="shared" si="2"/>
        <v>HÁBIL</v>
      </c>
      <c r="K108" s="516" t="str">
        <f t="shared" si="3"/>
        <v>HÁBIL</v>
      </c>
    </row>
    <row r="109" spans="2:11" ht="13.5" hidden="1">
      <c r="B109" s="231">
        <v>91</v>
      </c>
      <c r="C109" s="129" t="e">
        <f>IF(VLOOKUP(B109,PROPONENTES!$B$19:$E$219,2,0)="","",VLOOKUP(B109,PROPONENTES!$B$19:$E$219,2,0))</f>
        <v>#N/A</v>
      </c>
      <c r="D109" s="130" t="e">
        <f>IF(VLOOKUP(B109,PROPONENTES!$B$19:$E$218,3,0)="","",VLOOKUP(B109,PROPONENTES!$B$19:$E$218,3,0))</f>
        <v>#N/A</v>
      </c>
      <c r="E109" s="135" t="s">
        <v>45</v>
      </c>
      <c r="F109" s="135" t="s">
        <v>45</v>
      </c>
      <c r="G109" s="135" t="s">
        <v>45</v>
      </c>
      <c r="H109" s="135" t="e">
        <f>IF(C109&lt;&gt;"",VLOOKUP(C109,HAB.EXP.ESP.!$C$27:$N$226,11,0),"")</f>
        <v>#N/A</v>
      </c>
      <c r="I109" s="351" t="str">
        <f t="shared" si="2"/>
        <v>HÁBIL</v>
      </c>
      <c r="K109" s="516" t="str">
        <f t="shared" si="3"/>
        <v>HÁBIL</v>
      </c>
    </row>
    <row r="110" spans="2:11" ht="13.5" hidden="1">
      <c r="B110" s="231">
        <v>92</v>
      </c>
      <c r="C110" s="129" t="e">
        <f>IF(VLOOKUP(B110,PROPONENTES!$B$19:$E$219,2,0)="","",VLOOKUP(B110,PROPONENTES!$B$19:$E$219,2,0))</f>
        <v>#N/A</v>
      </c>
      <c r="D110" s="130" t="e">
        <f>IF(VLOOKUP(B110,PROPONENTES!$B$19:$E$218,3,0)="","",VLOOKUP(B110,PROPONENTES!$B$19:$E$218,3,0))</f>
        <v>#N/A</v>
      </c>
      <c r="E110" s="135" t="s">
        <v>45</v>
      </c>
      <c r="F110" s="135" t="s">
        <v>45</v>
      </c>
      <c r="G110" s="135" t="s">
        <v>45</v>
      </c>
      <c r="H110" s="135" t="e">
        <f>IF(C110&lt;&gt;"",VLOOKUP(C110,HAB.EXP.ESP.!$C$27:$N$226,11,0),"")</f>
        <v>#N/A</v>
      </c>
      <c r="I110" s="351" t="str">
        <f t="shared" si="2"/>
        <v>HÁBIL</v>
      </c>
      <c r="K110" s="516" t="str">
        <f t="shared" si="3"/>
        <v>HÁBIL</v>
      </c>
    </row>
    <row r="111" spans="2:11" ht="13.5" hidden="1">
      <c r="B111" s="230">
        <v>93</v>
      </c>
      <c r="C111" s="129" t="e">
        <f>IF(VLOOKUP(B111,PROPONENTES!$B$19:$E$219,2,0)="","",VLOOKUP(B111,PROPONENTES!$B$19:$E$219,2,0))</f>
        <v>#N/A</v>
      </c>
      <c r="D111" s="130" t="e">
        <f>IF(VLOOKUP(B111,PROPONENTES!$B$19:$E$218,3,0)="","",VLOOKUP(B111,PROPONENTES!$B$19:$E$218,3,0))</f>
        <v>#N/A</v>
      </c>
      <c r="E111" s="135" t="s">
        <v>45</v>
      </c>
      <c r="F111" s="135" t="s">
        <v>45</v>
      </c>
      <c r="G111" s="135" t="s">
        <v>45</v>
      </c>
      <c r="H111" s="135" t="e">
        <f>IF(C111&lt;&gt;"",VLOOKUP(C111,HAB.EXP.ESP.!$C$27:$N$226,11,0),"")</f>
        <v>#N/A</v>
      </c>
      <c r="I111" s="351" t="str">
        <f t="shared" si="2"/>
        <v>HÁBIL</v>
      </c>
      <c r="K111" s="516" t="str">
        <f t="shared" si="3"/>
        <v>HÁBIL</v>
      </c>
    </row>
    <row r="112" spans="2:11" ht="13.5" hidden="1">
      <c r="B112" s="231">
        <v>94</v>
      </c>
      <c r="C112" s="129" t="e">
        <f>IF(VLOOKUP(B112,PROPONENTES!$B$19:$E$219,2,0)="","",VLOOKUP(B112,PROPONENTES!$B$19:$E$219,2,0))</f>
        <v>#N/A</v>
      </c>
      <c r="D112" s="130" t="e">
        <f>IF(VLOOKUP(B112,PROPONENTES!$B$19:$E$218,3,0)="","",VLOOKUP(B112,PROPONENTES!$B$19:$E$218,3,0))</f>
        <v>#N/A</v>
      </c>
      <c r="E112" s="135" t="s">
        <v>45</v>
      </c>
      <c r="F112" s="135" t="s">
        <v>45</v>
      </c>
      <c r="G112" s="135" t="s">
        <v>45</v>
      </c>
      <c r="H112" s="135" t="e">
        <f>IF(C112&lt;&gt;"",VLOOKUP(C112,HAB.EXP.ESP.!$C$27:$N$226,11,0),"")</f>
        <v>#N/A</v>
      </c>
      <c r="I112" s="351" t="str">
        <f t="shared" si="2"/>
        <v>HÁBIL</v>
      </c>
      <c r="K112" s="516" t="str">
        <f t="shared" si="3"/>
        <v>HÁBIL</v>
      </c>
    </row>
    <row r="113" spans="2:11" ht="13.5" hidden="1">
      <c r="B113" s="231">
        <v>95</v>
      </c>
      <c r="C113" s="129" t="e">
        <f>IF(VLOOKUP(B113,PROPONENTES!$B$19:$E$219,2,0)="","",VLOOKUP(B113,PROPONENTES!$B$19:$E$219,2,0))</f>
        <v>#N/A</v>
      </c>
      <c r="D113" s="130" t="e">
        <f>IF(VLOOKUP(B113,PROPONENTES!$B$19:$E$218,3,0)="","",VLOOKUP(B113,PROPONENTES!$B$19:$E$218,3,0))</f>
        <v>#N/A</v>
      </c>
      <c r="E113" s="135" t="s">
        <v>45</v>
      </c>
      <c r="F113" s="135" t="s">
        <v>45</v>
      </c>
      <c r="G113" s="135" t="s">
        <v>45</v>
      </c>
      <c r="H113" s="135" t="e">
        <f>IF(C113&lt;&gt;"",VLOOKUP(C113,HAB.EXP.ESP.!$C$27:$N$226,11,0),"")</f>
        <v>#N/A</v>
      </c>
      <c r="I113" s="351" t="str">
        <f t="shared" si="2"/>
        <v>HÁBIL</v>
      </c>
      <c r="K113" s="516" t="str">
        <f t="shared" si="3"/>
        <v>HÁBIL</v>
      </c>
    </row>
    <row r="114" spans="2:11" ht="13.5" hidden="1">
      <c r="B114" s="231">
        <v>96</v>
      </c>
      <c r="C114" s="129" t="e">
        <f>IF(VLOOKUP(B114,PROPONENTES!$B$19:$E$219,2,0)="","",VLOOKUP(B114,PROPONENTES!$B$19:$E$219,2,0))</f>
        <v>#N/A</v>
      </c>
      <c r="D114" s="130" t="e">
        <f>IF(VLOOKUP(B114,PROPONENTES!$B$19:$E$218,3,0)="","",VLOOKUP(B114,PROPONENTES!$B$19:$E$218,3,0))</f>
        <v>#N/A</v>
      </c>
      <c r="E114" s="135" t="s">
        <v>45</v>
      </c>
      <c r="F114" s="135" t="s">
        <v>45</v>
      </c>
      <c r="G114" s="135" t="s">
        <v>45</v>
      </c>
      <c r="H114" s="135" t="e">
        <f>IF(C114&lt;&gt;"",VLOOKUP(C114,HAB.EXP.ESP.!$C$27:$N$226,11,0),"")</f>
        <v>#N/A</v>
      </c>
      <c r="I114" s="351" t="str">
        <f t="shared" si="2"/>
        <v>HÁBIL</v>
      </c>
      <c r="K114" s="516" t="str">
        <f t="shared" si="3"/>
        <v>HÁBIL</v>
      </c>
    </row>
    <row r="115" spans="2:11" ht="13.5" hidden="1">
      <c r="B115" s="230">
        <v>97</v>
      </c>
      <c r="C115" s="129" t="e">
        <f>IF(VLOOKUP(B115,PROPONENTES!$B$19:$E$219,2,0)="","",VLOOKUP(B115,PROPONENTES!$B$19:$E$219,2,0))</f>
        <v>#N/A</v>
      </c>
      <c r="D115" s="130" t="e">
        <f>IF(VLOOKUP(B115,PROPONENTES!$B$19:$E$218,3,0)="","",VLOOKUP(B115,PROPONENTES!$B$19:$E$218,3,0))</f>
        <v>#N/A</v>
      </c>
      <c r="E115" s="135" t="s">
        <v>45</v>
      </c>
      <c r="F115" s="135" t="s">
        <v>45</v>
      </c>
      <c r="G115" s="135" t="s">
        <v>45</v>
      </c>
      <c r="H115" s="135" t="e">
        <f>IF(C115&lt;&gt;"",VLOOKUP(C115,HAB.EXP.ESP.!$C$27:$N$226,11,0),"")</f>
        <v>#N/A</v>
      </c>
      <c r="I115" s="351" t="str">
        <f t="shared" si="2"/>
        <v>HÁBIL</v>
      </c>
      <c r="K115" s="516" t="str">
        <f t="shared" si="3"/>
        <v>HÁBIL</v>
      </c>
    </row>
    <row r="116" spans="2:11" ht="13.5" hidden="1">
      <c r="B116" s="231">
        <v>98</v>
      </c>
      <c r="C116" s="129" t="e">
        <f>IF(VLOOKUP(B116,PROPONENTES!$B$19:$E$219,2,0)="","",VLOOKUP(B116,PROPONENTES!$B$19:$E$219,2,0))</f>
        <v>#N/A</v>
      </c>
      <c r="D116" s="130" t="e">
        <f>IF(VLOOKUP(B116,PROPONENTES!$B$19:$E$218,3,0)="","",VLOOKUP(B116,PROPONENTES!$B$19:$E$218,3,0))</f>
        <v>#N/A</v>
      </c>
      <c r="E116" s="135" t="s">
        <v>45</v>
      </c>
      <c r="F116" s="135" t="s">
        <v>45</v>
      </c>
      <c r="G116" s="135" t="s">
        <v>45</v>
      </c>
      <c r="H116" s="135" t="e">
        <f>IF(C116&lt;&gt;"",VLOOKUP(C116,HAB.EXP.ESP.!$C$27:$N$226,11,0),"")</f>
        <v>#N/A</v>
      </c>
      <c r="I116" s="351" t="str">
        <f t="shared" si="2"/>
        <v>HÁBIL</v>
      </c>
      <c r="K116" s="516" t="str">
        <f t="shared" si="3"/>
        <v>HÁBIL</v>
      </c>
    </row>
    <row r="117" spans="2:11" ht="13.5" hidden="1">
      <c r="B117" s="231">
        <v>99</v>
      </c>
      <c r="C117" s="129" t="e">
        <f>IF(VLOOKUP(B117,PROPONENTES!$B$19:$E$219,2,0)="","",VLOOKUP(B117,PROPONENTES!$B$19:$E$219,2,0))</f>
        <v>#N/A</v>
      </c>
      <c r="D117" s="130" t="e">
        <f>IF(VLOOKUP(B117,PROPONENTES!$B$19:$E$218,3,0)="","",VLOOKUP(B117,PROPONENTES!$B$19:$E$218,3,0))</f>
        <v>#N/A</v>
      </c>
      <c r="E117" s="135" t="s">
        <v>45</v>
      </c>
      <c r="F117" s="135" t="s">
        <v>45</v>
      </c>
      <c r="G117" s="135" t="s">
        <v>45</v>
      </c>
      <c r="H117" s="135" t="e">
        <f>IF(C117&lt;&gt;"",VLOOKUP(C117,HAB.EXP.ESP.!$C$27:$N$226,11,0),"")</f>
        <v>#N/A</v>
      </c>
      <c r="I117" s="351" t="str">
        <f t="shared" si="2"/>
        <v>HÁBIL</v>
      </c>
      <c r="K117" s="516" t="str">
        <f t="shared" si="3"/>
        <v>HÁBIL</v>
      </c>
    </row>
    <row r="118" spans="2:11" ht="13.5" hidden="1">
      <c r="B118" s="231">
        <v>100</v>
      </c>
      <c r="C118" s="129" t="e">
        <f>IF(VLOOKUP(B118,PROPONENTES!$B$19:$E$219,2,0)="","",VLOOKUP(B118,PROPONENTES!$B$19:$E$219,2,0))</f>
        <v>#N/A</v>
      </c>
      <c r="D118" s="130" t="e">
        <f>IF(VLOOKUP(B118,PROPONENTES!$B$19:$E$218,3,0)="","",VLOOKUP(B118,PROPONENTES!$B$19:$E$218,3,0))</f>
        <v>#N/A</v>
      </c>
      <c r="E118" s="135" t="s">
        <v>45</v>
      </c>
      <c r="F118" s="135" t="s">
        <v>45</v>
      </c>
      <c r="G118" s="135" t="s">
        <v>45</v>
      </c>
      <c r="H118" s="135" t="e">
        <f>IF(C118&lt;&gt;"",VLOOKUP(C118,HAB.EXP.ESP.!$C$27:$N$226,11,0),"")</f>
        <v>#N/A</v>
      </c>
      <c r="I118" s="351" t="str">
        <f t="shared" si="2"/>
        <v>HÁBIL</v>
      </c>
      <c r="K118" s="516" t="str">
        <f t="shared" si="3"/>
        <v>HÁBIL</v>
      </c>
    </row>
    <row r="119" spans="2:11" ht="13.5" hidden="1">
      <c r="B119" s="231">
        <v>101</v>
      </c>
      <c r="C119" s="129" t="e">
        <f>IF(VLOOKUP(B119,PROPONENTES!$B$19:$E$219,2,0)="","",VLOOKUP(B119,PROPONENTES!$B$19:$E$219,2,0))</f>
        <v>#N/A</v>
      </c>
      <c r="D119" s="130" t="e">
        <f>IF(VLOOKUP(B119,PROPONENTES!$B$19:$E$218,3,0)="","",VLOOKUP(B119,PROPONENTES!$B$19:$E$218,3,0))</f>
        <v>#N/A</v>
      </c>
      <c r="E119" s="135" t="s">
        <v>45</v>
      </c>
      <c r="F119" s="135" t="s">
        <v>45</v>
      </c>
      <c r="G119" s="135" t="s">
        <v>45</v>
      </c>
      <c r="H119" s="135" t="e">
        <f>IF(C119&lt;&gt;"",VLOOKUP(C119,HAB.EXP.ESP.!$C$27:$N$226,11,0),"")</f>
        <v>#N/A</v>
      </c>
      <c r="I119" s="351" t="str">
        <f t="shared" si="2"/>
        <v>HÁBIL</v>
      </c>
      <c r="K119" s="516" t="str">
        <f t="shared" si="3"/>
        <v>HÁBIL</v>
      </c>
    </row>
    <row r="120" spans="2:11" ht="13.5" hidden="1">
      <c r="B120" s="230">
        <v>102</v>
      </c>
      <c r="C120" s="129" t="e">
        <f>IF(VLOOKUP(B120,PROPONENTES!$B$19:$E$219,2,0)="","",VLOOKUP(B120,PROPONENTES!$B$19:$E$219,2,0))</f>
        <v>#N/A</v>
      </c>
      <c r="D120" s="130" t="e">
        <f>IF(VLOOKUP(B120,PROPONENTES!$B$19:$E$218,3,0)="","",VLOOKUP(B120,PROPONENTES!$B$19:$E$218,3,0))</f>
        <v>#N/A</v>
      </c>
      <c r="E120" s="135" t="s">
        <v>45</v>
      </c>
      <c r="F120" s="135" t="s">
        <v>45</v>
      </c>
      <c r="G120" s="135" t="s">
        <v>45</v>
      </c>
      <c r="H120" s="135" t="e">
        <f>IF(C120&lt;&gt;"",VLOOKUP(C120,HAB.EXP.ESP.!$C$27:$N$226,11,0),"")</f>
        <v>#N/A</v>
      </c>
      <c r="I120" s="351" t="str">
        <f t="shared" si="2"/>
        <v>HÁBIL</v>
      </c>
      <c r="K120" s="516" t="str">
        <f t="shared" si="3"/>
        <v>HÁBIL</v>
      </c>
    </row>
    <row r="121" spans="2:11" ht="13.5" hidden="1">
      <c r="B121" s="231">
        <v>103</v>
      </c>
      <c r="C121" s="129" t="e">
        <f>IF(VLOOKUP(B121,PROPONENTES!$B$19:$E$219,2,0)="","",VLOOKUP(B121,PROPONENTES!$B$19:$E$219,2,0))</f>
        <v>#N/A</v>
      </c>
      <c r="D121" s="130" t="e">
        <f>IF(VLOOKUP(B121,PROPONENTES!$B$19:$E$218,3,0)="","",VLOOKUP(B121,PROPONENTES!$B$19:$E$218,3,0))</f>
        <v>#N/A</v>
      </c>
      <c r="E121" s="135" t="s">
        <v>45</v>
      </c>
      <c r="F121" s="135" t="s">
        <v>45</v>
      </c>
      <c r="G121" s="135" t="s">
        <v>45</v>
      </c>
      <c r="H121" s="135" t="e">
        <f>IF(C121&lt;&gt;"",VLOOKUP(C121,HAB.EXP.ESP.!$C$27:$N$226,11,0),"")</f>
        <v>#N/A</v>
      </c>
      <c r="I121" s="351" t="str">
        <f t="shared" si="2"/>
        <v>HÁBIL</v>
      </c>
      <c r="K121" s="516" t="str">
        <f t="shared" si="3"/>
        <v>HÁBIL</v>
      </c>
    </row>
    <row r="122" spans="2:11" ht="13.5" hidden="1">
      <c r="B122" s="231">
        <v>104</v>
      </c>
      <c r="C122" s="129" t="e">
        <f>IF(VLOOKUP(B122,PROPONENTES!$B$19:$E$219,2,0)="","",VLOOKUP(B122,PROPONENTES!$B$19:$E$219,2,0))</f>
        <v>#N/A</v>
      </c>
      <c r="D122" s="130" t="e">
        <f>IF(VLOOKUP(B122,PROPONENTES!$B$19:$E$218,3,0)="","",VLOOKUP(B122,PROPONENTES!$B$19:$E$218,3,0))</f>
        <v>#N/A</v>
      </c>
      <c r="E122" s="135" t="s">
        <v>45</v>
      </c>
      <c r="F122" s="135" t="s">
        <v>45</v>
      </c>
      <c r="G122" s="135" t="s">
        <v>45</v>
      </c>
      <c r="H122" s="135" t="e">
        <f>IF(C122&lt;&gt;"",VLOOKUP(C122,HAB.EXP.ESP.!$C$27:$N$226,11,0),"")</f>
        <v>#N/A</v>
      </c>
      <c r="I122" s="351" t="str">
        <f t="shared" si="2"/>
        <v>HÁBIL</v>
      </c>
      <c r="K122" s="516" t="str">
        <f t="shared" si="3"/>
        <v>HÁBIL</v>
      </c>
    </row>
    <row r="123" spans="2:11" ht="13.5" hidden="1">
      <c r="B123" s="231">
        <v>105</v>
      </c>
      <c r="C123" s="129" t="e">
        <f>IF(VLOOKUP(B123,PROPONENTES!$B$19:$E$219,2,0)="","",VLOOKUP(B123,PROPONENTES!$B$19:$E$219,2,0))</f>
        <v>#N/A</v>
      </c>
      <c r="D123" s="130" t="e">
        <f>IF(VLOOKUP(B123,PROPONENTES!$B$19:$E$218,3,0)="","",VLOOKUP(B123,PROPONENTES!$B$19:$E$218,3,0))</f>
        <v>#N/A</v>
      </c>
      <c r="E123" s="135" t="s">
        <v>45</v>
      </c>
      <c r="F123" s="135" t="s">
        <v>45</v>
      </c>
      <c r="G123" s="135" t="s">
        <v>45</v>
      </c>
      <c r="H123" s="135" t="e">
        <f>IF(C123&lt;&gt;"",VLOOKUP(C123,HAB.EXP.ESP.!$C$27:$N$226,11,0),"")</f>
        <v>#N/A</v>
      </c>
      <c r="I123" s="351" t="str">
        <f t="shared" si="2"/>
        <v>HÁBIL</v>
      </c>
      <c r="K123" s="516" t="str">
        <f t="shared" si="3"/>
        <v>HÁBIL</v>
      </c>
    </row>
    <row r="124" spans="2:11" ht="13.5" hidden="1">
      <c r="B124" s="231">
        <v>106</v>
      </c>
      <c r="C124" s="129" t="e">
        <f>IF(VLOOKUP(B124,PROPONENTES!$B$19:$E$219,2,0)="","",VLOOKUP(B124,PROPONENTES!$B$19:$E$219,2,0))</f>
        <v>#N/A</v>
      </c>
      <c r="D124" s="130" t="e">
        <f>IF(VLOOKUP(B124,PROPONENTES!$B$19:$E$218,3,0)="","",VLOOKUP(B124,PROPONENTES!$B$19:$E$218,3,0))</f>
        <v>#N/A</v>
      </c>
      <c r="E124" s="135" t="s">
        <v>45</v>
      </c>
      <c r="F124" s="135" t="s">
        <v>45</v>
      </c>
      <c r="G124" s="135" t="s">
        <v>45</v>
      </c>
      <c r="H124" s="135" t="e">
        <f>IF(C124&lt;&gt;"",VLOOKUP(C124,HAB.EXP.ESP.!$C$27:$N$226,11,0),"")</f>
        <v>#N/A</v>
      </c>
      <c r="I124" s="351" t="str">
        <f t="shared" si="2"/>
        <v>HÁBIL</v>
      </c>
      <c r="K124" s="516" t="str">
        <f t="shared" si="3"/>
        <v>HÁBIL</v>
      </c>
    </row>
    <row r="125" spans="2:11" ht="13.5" hidden="1">
      <c r="B125" s="230">
        <v>107</v>
      </c>
      <c r="C125" s="129" t="e">
        <f>IF(VLOOKUP(B125,PROPONENTES!$B$19:$E$219,2,0)="","",VLOOKUP(B125,PROPONENTES!$B$19:$E$219,2,0))</f>
        <v>#N/A</v>
      </c>
      <c r="D125" s="130" t="e">
        <f>IF(VLOOKUP(B125,PROPONENTES!$B$19:$E$218,3,0)="","",VLOOKUP(B125,PROPONENTES!$B$19:$E$218,3,0))</f>
        <v>#N/A</v>
      </c>
      <c r="E125" s="135" t="s">
        <v>45</v>
      </c>
      <c r="F125" s="135" t="s">
        <v>45</v>
      </c>
      <c r="G125" s="135" t="s">
        <v>45</v>
      </c>
      <c r="H125" s="135" t="e">
        <f>IF(C125&lt;&gt;"",VLOOKUP(C125,HAB.EXP.ESP.!$C$27:$N$226,11,0),"")</f>
        <v>#N/A</v>
      </c>
      <c r="I125" s="351" t="str">
        <f t="shared" si="2"/>
        <v>HÁBIL</v>
      </c>
      <c r="K125" s="516" t="str">
        <f t="shared" si="3"/>
        <v>HÁBIL</v>
      </c>
    </row>
    <row r="126" spans="2:11" ht="13.5" hidden="1">
      <c r="B126" s="231">
        <v>108</v>
      </c>
      <c r="C126" s="129" t="e">
        <f>IF(VLOOKUP(B126,PROPONENTES!$B$19:$E$219,2,0)="","",VLOOKUP(B126,PROPONENTES!$B$19:$E$219,2,0))</f>
        <v>#N/A</v>
      </c>
      <c r="D126" s="130" t="e">
        <f>IF(VLOOKUP(B126,PROPONENTES!$B$19:$E$218,3,0)="","",VLOOKUP(B126,PROPONENTES!$B$19:$E$218,3,0))</f>
        <v>#N/A</v>
      </c>
      <c r="E126" s="135" t="s">
        <v>45</v>
      </c>
      <c r="F126" s="135" t="s">
        <v>45</v>
      </c>
      <c r="G126" s="135" t="s">
        <v>45</v>
      </c>
      <c r="H126" s="135" t="e">
        <f>IF(C126&lt;&gt;"",VLOOKUP(C126,HAB.EXP.ESP.!$C$27:$N$226,11,0),"")</f>
        <v>#N/A</v>
      </c>
      <c r="I126" s="351" t="str">
        <f t="shared" si="2"/>
        <v>HÁBIL</v>
      </c>
      <c r="K126" s="516" t="str">
        <f t="shared" si="3"/>
        <v>HÁBIL</v>
      </c>
    </row>
    <row r="127" spans="2:11" ht="13.5" hidden="1">
      <c r="B127" s="231">
        <v>109</v>
      </c>
      <c r="C127" s="129" t="e">
        <f>IF(VLOOKUP(B127,PROPONENTES!$B$19:$E$219,2,0)="","",VLOOKUP(B127,PROPONENTES!$B$19:$E$219,2,0))</f>
        <v>#N/A</v>
      </c>
      <c r="D127" s="130" t="e">
        <f>IF(VLOOKUP(B127,PROPONENTES!$B$19:$E$218,3,0)="","",VLOOKUP(B127,PROPONENTES!$B$19:$E$218,3,0))</f>
        <v>#N/A</v>
      </c>
      <c r="E127" s="135" t="s">
        <v>45</v>
      </c>
      <c r="F127" s="135" t="s">
        <v>45</v>
      </c>
      <c r="G127" s="135" t="s">
        <v>45</v>
      </c>
      <c r="H127" s="135" t="e">
        <f>IF(C127&lt;&gt;"",VLOOKUP(C127,HAB.EXP.ESP.!$C$27:$N$226,11,0),"")</f>
        <v>#N/A</v>
      </c>
      <c r="I127" s="351" t="str">
        <f t="shared" si="2"/>
        <v>HÁBIL</v>
      </c>
      <c r="K127" s="516" t="str">
        <f t="shared" si="3"/>
        <v>HÁBIL</v>
      </c>
    </row>
    <row r="128" spans="2:11" ht="13.5" hidden="1">
      <c r="B128" s="231">
        <v>110</v>
      </c>
      <c r="C128" s="129" t="e">
        <f>IF(VLOOKUP(B128,PROPONENTES!$B$19:$E$219,2,0)="","",VLOOKUP(B128,PROPONENTES!$B$19:$E$219,2,0))</f>
        <v>#N/A</v>
      </c>
      <c r="D128" s="130" t="e">
        <f>IF(VLOOKUP(B128,PROPONENTES!$B$19:$E$218,3,0)="","",VLOOKUP(B128,PROPONENTES!$B$19:$E$218,3,0))</f>
        <v>#N/A</v>
      </c>
      <c r="E128" s="135" t="s">
        <v>45</v>
      </c>
      <c r="F128" s="135" t="s">
        <v>45</v>
      </c>
      <c r="G128" s="135" t="s">
        <v>45</v>
      </c>
      <c r="H128" s="135" t="e">
        <f>IF(C128&lt;&gt;"",VLOOKUP(C128,HAB.EXP.ESP.!$C$27:$N$226,11,0),"")</f>
        <v>#N/A</v>
      </c>
      <c r="I128" s="351" t="str">
        <f t="shared" si="2"/>
        <v>HÁBIL</v>
      </c>
      <c r="K128" s="516" t="str">
        <f t="shared" si="3"/>
        <v>HÁBIL</v>
      </c>
    </row>
    <row r="129" spans="2:11" ht="13.5" hidden="1">
      <c r="B129" s="231">
        <v>111</v>
      </c>
      <c r="C129" s="129" t="e">
        <f>IF(VLOOKUP(B129,PROPONENTES!$B$19:$E$219,2,0)="","",VLOOKUP(B129,PROPONENTES!$B$19:$E$219,2,0))</f>
        <v>#N/A</v>
      </c>
      <c r="D129" s="130" t="e">
        <f>IF(VLOOKUP(B129,PROPONENTES!$B$19:$E$218,3,0)="","",VLOOKUP(B129,PROPONENTES!$B$19:$E$218,3,0))</f>
        <v>#N/A</v>
      </c>
      <c r="E129" s="135" t="s">
        <v>45</v>
      </c>
      <c r="F129" s="135" t="s">
        <v>45</v>
      </c>
      <c r="G129" s="135" t="s">
        <v>45</v>
      </c>
      <c r="H129" s="135" t="e">
        <f>IF(C129&lt;&gt;"",VLOOKUP(C129,HAB.EXP.ESP.!$C$27:$N$226,11,0),"")</f>
        <v>#N/A</v>
      </c>
      <c r="I129" s="351" t="str">
        <f t="shared" si="2"/>
        <v>HÁBIL</v>
      </c>
      <c r="K129" s="516" t="str">
        <f t="shared" si="3"/>
        <v>HÁBIL</v>
      </c>
    </row>
    <row r="130" spans="2:11" ht="13.5" hidden="1">
      <c r="B130" s="230">
        <v>112</v>
      </c>
      <c r="C130" s="129" t="e">
        <f>IF(VLOOKUP(B130,PROPONENTES!$B$19:$E$219,2,0)="","",VLOOKUP(B130,PROPONENTES!$B$19:$E$219,2,0))</f>
        <v>#N/A</v>
      </c>
      <c r="D130" s="130" t="e">
        <f>IF(VLOOKUP(B130,PROPONENTES!$B$19:$E$218,3,0)="","",VLOOKUP(B130,PROPONENTES!$B$19:$E$218,3,0))</f>
        <v>#N/A</v>
      </c>
      <c r="E130" s="135" t="s">
        <v>45</v>
      </c>
      <c r="F130" s="135" t="s">
        <v>45</v>
      </c>
      <c r="G130" s="135" t="s">
        <v>45</v>
      </c>
      <c r="H130" s="135" t="e">
        <f>IF(C130&lt;&gt;"",VLOOKUP(C130,HAB.EXP.ESP.!$C$27:$N$226,11,0),"")</f>
        <v>#N/A</v>
      </c>
      <c r="I130" s="351" t="str">
        <f t="shared" si="2"/>
        <v>HÁBIL</v>
      </c>
      <c r="K130" s="516" t="str">
        <f t="shared" si="3"/>
        <v>HÁBIL</v>
      </c>
    </row>
    <row r="131" spans="2:11" ht="13.5" hidden="1">
      <c r="B131" s="231">
        <v>113</v>
      </c>
      <c r="C131" s="129" t="e">
        <f>IF(VLOOKUP(B131,PROPONENTES!$B$19:$E$219,2,0)="","",VLOOKUP(B131,PROPONENTES!$B$19:$E$219,2,0))</f>
        <v>#N/A</v>
      </c>
      <c r="D131" s="130" t="e">
        <f>IF(VLOOKUP(B131,PROPONENTES!$B$19:$E$218,3,0)="","",VLOOKUP(B131,PROPONENTES!$B$19:$E$218,3,0))</f>
        <v>#N/A</v>
      </c>
      <c r="E131" s="135" t="s">
        <v>45</v>
      </c>
      <c r="F131" s="135" t="s">
        <v>45</v>
      </c>
      <c r="G131" s="135" t="s">
        <v>45</v>
      </c>
      <c r="H131" s="135" t="e">
        <f>IF(C131&lt;&gt;"",VLOOKUP(C131,HAB.EXP.ESP.!$C$27:$N$226,11,0),"")</f>
        <v>#N/A</v>
      </c>
      <c r="I131" s="351" t="str">
        <f t="shared" si="2"/>
        <v>HÁBIL</v>
      </c>
      <c r="K131" s="516" t="str">
        <f t="shared" si="3"/>
        <v>HÁBIL</v>
      </c>
    </row>
    <row r="132" spans="2:11" ht="13.5" hidden="1">
      <c r="B132" s="231">
        <v>114</v>
      </c>
      <c r="C132" s="129" t="e">
        <f>IF(VLOOKUP(B132,PROPONENTES!$B$19:$E$219,2,0)="","",VLOOKUP(B132,PROPONENTES!$B$19:$E$219,2,0))</f>
        <v>#N/A</v>
      </c>
      <c r="D132" s="130" t="e">
        <f>IF(VLOOKUP(B132,PROPONENTES!$B$19:$E$218,3,0)="","",VLOOKUP(B132,PROPONENTES!$B$19:$E$218,3,0))</f>
        <v>#N/A</v>
      </c>
      <c r="E132" s="135" t="s">
        <v>45</v>
      </c>
      <c r="F132" s="135" t="s">
        <v>45</v>
      </c>
      <c r="G132" s="135" t="s">
        <v>45</v>
      </c>
      <c r="H132" s="135" t="e">
        <f>IF(C132&lt;&gt;"",VLOOKUP(C132,HAB.EXP.ESP.!$C$27:$N$226,11,0),"")</f>
        <v>#N/A</v>
      </c>
      <c r="I132" s="351" t="str">
        <f t="shared" si="2"/>
        <v>HÁBIL</v>
      </c>
      <c r="K132" s="516" t="str">
        <f t="shared" si="3"/>
        <v>HÁBIL</v>
      </c>
    </row>
    <row r="133" spans="2:11" ht="13.5" hidden="1">
      <c r="B133" s="231">
        <v>115</v>
      </c>
      <c r="C133" s="129" t="e">
        <f>IF(VLOOKUP(B133,PROPONENTES!$B$19:$E$219,2,0)="","",VLOOKUP(B133,PROPONENTES!$B$19:$E$219,2,0))</f>
        <v>#N/A</v>
      </c>
      <c r="D133" s="130" t="e">
        <f>IF(VLOOKUP(B133,PROPONENTES!$B$19:$E$218,3,0)="","",VLOOKUP(B133,PROPONENTES!$B$19:$E$218,3,0))</f>
        <v>#N/A</v>
      </c>
      <c r="E133" s="135" t="s">
        <v>45</v>
      </c>
      <c r="F133" s="135" t="s">
        <v>45</v>
      </c>
      <c r="G133" s="135" t="s">
        <v>45</v>
      </c>
      <c r="H133" s="135" t="e">
        <f>IF(C133&lt;&gt;"",VLOOKUP(C133,HAB.EXP.ESP.!$C$27:$N$226,11,0),"")</f>
        <v>#N/A</v>
      </c>
      <c r="I133" s="351" t="str">
        <f t="shared" si="2"/>
        <v>HÁBIL</v>
      </c>
      <c r="K133" s="516" t="str">
        <f t="shared" si="3"/>
        <v>HÁBIL</v>
      </c>
    </row>
    <row r="134" spans="2:11" ht="13.5" hidden="1">
      <c r="B134" s="231">
        <v>116</v>
      </c>
      <c r="C134" s="129" t="e">
        <f>IF(VLOOKUP(B134,PROPONENTES!$B$19:$E$219,2,0)="","",VLOOKUP(B134,PROPONENTES!$B$19:$E$219,2,0))</f>
        <v>#N/A</v>
      </c>
      <c r="D134" s="130" t="e">
        <f>IF(VLOOKUP(B134,PROPONENTES!$B$19:$E$218,3,0)="","",VLOOKUP(B134,PROPONENTES!$B$19:$E$218,3,0))</f>
        <v>#N/A</v>
      </c>
      <c r="E134" s="135" t="s">
        <v>45</v>
      </c>
      <c r="F134" s="135" t="s">
        <v>45</v>
      </c>
      <c r="G134" s="135" t="s">
        <v>45</v>
      </c>
      <c r="H134" s="135" t="e">
        <f>IF(C134&lt;&gt;"",VLOOKUP(C134,HAB.EXP.ESP.!$C$27:$N$226,11,0),"")</f>
        <v>#N/A</v>
      </c>
      <c r="I134" s="351" t="str">
        <f t="shared" si="2"/>
        <v>HÁBIL</v>
      </c>
      <c r="K134" s="516" t="str">
        <f t="shared" si="3"/>
        <v>HÁBIL</v>
      </c>
    </row>
    <row r="135" spans="2:11" ht="13.5" hidden="1">
      <c r="B135" s="230">
        <v>117</v>
      </c>
      <c r="C135" s="129" t="e">
        <f>IF(VLOOKUP(B135,PROPONENTES!$B$19:$E$219,2,0)="","",VLOOKUP(B135,PROPONENTES!$B$19:$E$219,2,0))</f>
        <v>#N/A</v>
      </c>
      <c r="D135" s="130" t="e">
        <f>IF(VLOOKUP(B135,PROPONENTES!$B$19:$E$218,3,0)="","",VLOOKUP(B135,PROPONENTES!$B$19:$E$218,3,0))</f>
        <v>#N/A</v>
      </c>
      <c r="E135" s="135" t="s">
        <v>45</v>
      </c>
      <c r="F135" s="135" t="s">
        <v>45</v>
      </c>
      <c r="G135" s="135" t="s">
        <v>45</v>
      </c>
      <c r="H135" s="135" t="e">
        <f>IF(C135&lt;&gt;"",VLOOKUP(C135,HAB.EXP.ESP.!$C$27:$N$226,11,0),"")</f>
        <v>#N/A</v>
      </c>
      <c r="I135" s="351" t="str">
        <f t="shared" si="2"/>
        <v>HÁBIL</v>
      </c>
      <c r="K135" s="516" t="str">
        <f t="shared" si="3"/>
        <v>HÁBIL</v>
      </c>
    </row>
    <row r="136" spans="2:11" ht="13.5" hidden="1">
      <c r="B136" s="231">
        <v>118</v>
      </c>
      <c r="C136" s="129" t="e">
        <f>IF(VLOOKUP(B136,PROPONENTES!$B$19:$E$219,2,0)="","",VLOOKUP(B136,PROPONENTES!$B$19:$E$219,2,0))</f>
        <v>#N/A</v>
      </c>
      <c r="D136" s="130" t="e">
        <f>IF(VLOOKUP(B136,PROPONENTES!$B$19:$E$218,3,0)="","",VLOOKUP(B136,PROPONENTES!$B$19:$E$218,3,0))</f>
        <v>#N/A</v>
      </c>
      <c r="E136" s="135" t="s">
        <v>45</v>
      </c>
      <c r="F136" s="135" t="s">
        <v>45</v>
      </c>
      <c r="G136" s="135" t="s">
        <v>45</v>
      </c>
      <c r="H136" s="135" t="e">
        <f>IF(C136&lt;&gt;"",VLOOKUP(C136,HAB.EXP.ESP.!$C$27:$N$226,11,0),"")</f>
        <v>#N/A</v>
      </c>
      <c r="I136" s="351" t="str">
        <f t="shared" si="2"/>
        <v>HÁBIL</v>
      </c>
      <c r="K136" s="516" t="str">
        <f t="shared" si="3"/>
        <v>HÁBIL</v>
      </c>
    </row>
    <row r="137" spans="2:11" ht="13.5" hidden="1">
      <c r="B137" s="231">
        <v>119</v>
      </c>
      <c r="C137" s="129" t="e">
        <f>IF(VLOOKUP(B137,PROPONENTES!$B$19:$E$219,2,0)="","",VLOOKUP(B137,PROPONENTES!$B$19:$E$219,2,0))</f>
        <v>#N/A</v>
      </c>
      <c r="D137" s="130" t="e">
        <f>IF(VLOOKUP(B137,PROPONENTES!$B$19:$E$218,3,0)="","",VLOOKUP(B137,PROPONENTES!$B$19:$E$218,3,0))</f>
        <v>#N/A</v>
      </c>
      <c r="E137" s="135" t="s">
        <v>45</v>
      </c>
      <c r="F137" s="135" t="s">
        <v>45</v>
      </c>
      <c r="G137" s="135" t="s">
        <v>45</v>
      </c>
      <c r="H137" s="135" t="e">
        <f>IF(C137&lt;&gt;"",VLOOKUP(C137,HAB.EXP.ESP.!$C$27:$N$226,11,0),"")</f>
        <v>#N/A</v>
      </c>
      <c r="I137" s="351" t="str">
        <f t="shared" si="2"/>
        <v>HÁBIL</v>
      </c>
      <c r="K137" s="516" t="str">
        <f t="shared" si="3"/>
        <v>HÁBIL</v>
      </c>
    </row>
    <row r="138" spans="2:11" ht="13.5" hidden="1">
      <c r="B138" s="231">
        <v>120</v>
      </c>
      <c r="C138" s="129" t="e">
        <f>IF(VLOOKUP(B138,PROPONENTES!$B$19:$E$219,2,0)="","",VLOOKUP(B138,PROPONENTES!$B$19:$E$219,2,0))</f>
        <v>#N/A</v>
      </c>
      <c r="D138" s="130" t="e">
        <f>IF(VLOOKUP(B138,PROPONENTES!$B$19:$E$218,3,0)="","",VLOOKUP(B138,PROPONENTES!$B$19:$E$218,3,0))</f>
        <v>#N/A</v>
      </c>
      <c r="E138" s="135" t="s">
        <v>45</v>
      </c>
      <c r="F138" s="135" t="s">
        <v>45</v>
      </c>
      <c r="G138" s="135" t="s">
        <v>45</v>
      </c>
      <c r="H138" s="135" t="e">
        <f>IF(C138&lt;&gt;"",VLOOKUP(C138,HAB.EXP.ESP.!$C$27:$N$226,11,0),"")</f>
        <v>#N/A</v>
      </c>
      <c r="I138" s="351" t="str">
        <f t="shared" si="2"/>
        <v>HÁBIL</v>
      </c>
      <c r="K138" s="516" t="str">
        <f t="shared" si="3"/>
        <v>HÁBIL</v>
      </c>
    </row>
    <row r="139" spans="2:11" ht="13.5" hidden="1">
      <c r="B139" s="231">
        <v>121</v>
      </c>
      <c r="C139" s="129" t="e">
        <f>IF(VLOOKUP(B139,PROPONENTES!$B$19:$E$219,2,0)="","",VLOOKUP(B139,PROPONENTES!$B$19:$E$219,2,0))</f>
        <v>#N/A</v>
      </c>
      <c r="D139" s="130" t="e">
        <f>IF(VLOOKUP(B139,PROPONENTES!$B$19:$E$218,3,0)="","",VLOOKUP(B139,PROPONENTES!$B$19:$E$218,3,0))</f>
        <v>#N/A</v>
      </c>
      <c r="E139" s="135" t="s">
        <v>45</v>
      </c>
      <c r="F139" s="135" t="s">
        <v>45</v>
      </c>
      <c r="G139" s="135" t="s">
        <v>45</v>
      </c>
      <c r="H139" s="135" t="e">
        <f>IF(C139&lt;&gt;"",VLOOKUP(C139,HAB.EXP.ESP.!$C$27:$N$226,11,0),"")</f>
        <v>#N/A</v>
      </c>
      <c r="I139" s="351" t="str">
        <f t="shared" si="2"/>
        <v>HÁBIL</v>
      </c>
      <c r="K139" s="516" t="str">
        <f t="shared" si="3"/>
        <v>HÁBIL</v>
      </c>
    </row>
    <row r="140" spans="2:11" ht="13.5" hidden="1">
      <c r="B140" s="230">
        <v>122</v>
      </c>
      <c r="C140" s="129" t="e">
        <f>IF(VLOOKUP(B140,PROPONENTES!$B$19:$E$219,2,0)="","",VLOOKUP(B140,PROPONENTES!$B$19:$E$219,2,0))</f>
        <v>#N/A</v>
      </c>
      <c r="D140" s="130" t="e">
        <f>IF(VLOOKUP(B140,PROPONENTES!$B$19:$E$218,3,0)="","",VLOOKUP(B140,PROPONENTES!$B$19:$E$218,3,0))</f>
        <v>#N/A</v>
      </c>
      <c r="E140" s="135" t="s">
        <v>45</v>
      </c>
      <c r="F140" s="135" t="s">
        <v>45</v>
      </c>
      <c r="G140" s="135" t="s">
        <v>45</v>
      </c>
      <c r="H140" s="135" t="e">
        <f>IF(C140&lt;&gt;"",VLOOKUP(C140,HAB.EXP.ESP.!$C$27:$N$226,11,0),"")</f>
        <v>#N/A</v>
      </c>
      <c r="I140" s="351" t="str">
        <f t="shared" si="2"/>
        <v>HÁBIL</v>
      </c>
      <c r="K140" s="516" t="str">
        <f t="shared" si="3"/>
        <v>HÁBIL</v>
      </c>
    </row>
    <row r="141" spans="2:11" ht="13.5" hidden="1">
      <c r="B141" s="231">
        <v>123</v>
      </c>
      <c r="C141" s="129" t="e">
        <f>IF(VLOOKUP(B141,PROPONENTES!$B$19:$E$219,2,0)="","",VLOOKUP(B141,PROPONENTES!$B$19:$E$219,2,0))</f>
        <v>#N/A</v>
      </c>
      <c r="D141" s="130" t="e">
        <f>IF(VLOOKUP(B141,PROPONENTES!$B$19:$E$218,3,0)="","",VLOOKUP(B141,PROPONENTES!$B$19:$E$218,3,0))</f>
        <v>#N/A</v>
      </c>
      <c r="E141" s="135" t="s">
        <v>45</v>
      </c>
      <c r="F141" s="135" t="s">
        <v>45</v>
      </c>
      <c r="G141" s="135" t="s">
        <v>45</v>
      </c>
      <c r="H141" s="135" t="e">
        <f>IF(C141&lt;&gt;"",VLOOKUP(C141,HAB.EXP.ESP.!$C$27:$N$226,11,0),"")</f>
        <v>#N/A</v>
      </c>
      <c r="I141" s="351" t="str">
        <f t="shared" si="2"/>
        <v>HÁBIL</v>
      </c>
      <c r="K141" s="516" t="str">
        <f t="shared" si="3"/>
        <v>HÁBIL</v>
      </c>
    </row>
    <row r="142" spans="2:11" ht="13.5" hidden="1">
      <c r="B142" s="231">
        <v>124</v>
      </c>
      <c r="C142" s="129" t="e">
        <f>IF(VLOOKUP(B142,PROPONENTES!$B$19:$E$219,2,0)="","",VLOOKUP(B142,PROPONENTES!$B$19:$E$219,2,0))</f>
        <v>#N/A</v>
      </c>
      <c r="D142" s="130" t="e">
        <f>IF(VLOOKUP(B142,PROPONENTES!$B$19:$E$218,3,0)="","",VLOOKUP(B142,PROPONENTES!$B$19:$E$218,3,0))</f>
        <v>#N/A</v>
      </c>
      <c r="E142" s="135" t="s">
        <v>45</v>
      </c>
      <c r="F142" s="135" t="s">
        <v>45</v>
      </c>
      <c r="G142" s="135" t="s">
        <v>45</v>
      </c>
      <c r="H142" s="135" t="e">
        <f>IF(C142&lt;&gt;"",VLOOKUP(C142,HAB.EXP.ESP.!$C$27:$N$226,11,0),"")</f>
        <v>#N/A</v>
      </c>
      <c r="I142" s="351" t="str">
        <f t="shared" si="2"/>
        <v>HÁBIL</v>
      </c>
      <c r="K142" s="516" t="str">
        <f t="shared" si="3"/>
        <v>HÁBIL</v>
      </c>
    </row>
    <row r="143" spans="2:11" ht="13.5" hidden="1">
      <c r="B143" s="231">
        <v>125</v>
      </c>
      <c r="C143" s="129" t="e">
        <f>IF(VLOOKUP(B143,PROPONENTES!$B$19:$E$219,2,0)="","",VLOOKUP(B143,PROPONENTES!$B$19:$E$219,2,0))</f>
        <v>#N/A</v>
      </c>
      <c r="D143" s="130" t="e">
        <f>IF(VLOOKUP(B143,PROPONENTES!$B$19:$E$218,3,0)="","",VLOOKUP(B143,PROPONENTES!$B$19:$E$218,3,0))</f>
        <v>#N/A</v>
      </c>
      <c r="E143" s="135" t="s">
        <v>45</v>
      </c>
      <c r="F143" s="135" t="s">
        <v>45</v>
      </c>
      <c r="G143" s="135" t="s">
        <v>45</v>
      </c>
      <c r="H143" s="135" t="e">
        <f>IF(C143&lt;&gt;"",VLOOKUP(C143,HAB.EXP.ESP.!$C$27:$N$226,11,0),"")</f>
        <v>#N/A</v>
      </c>
      <c r="I143" s="351" t="str">
        <f t="shared" si="2"/>
        <v>HÁBIL</v>
      </c>
      <c r="K143" s="516" t="str">
        <f t="shared" si="3"/>
        <v>HÁBIL</v>
      </c>
    </row>
    <row r="144" spans="2:11" ht="13.5" hidden="1">
      <c r="B144" s="231">
        <v>126</v>
      </c>
      <c r="C144" s="129" t="e">
        <f>IF(VLOOKUP(B144,PROPONENTES!$B$19:$E$219,2,0)="","",VLOOKUP(B144,PROPONENTES!$B$19:$E$219,2,0))</f>
        <v>#N/A</v>
      </c>
      <c r="D144" s="130" t="e">
        <f>IF(VLOOKUP(B144,PROPONENTES!$B$19:$E$218,3,0)="","",VLOOKUP(B144,PROPONENTES!$B$19:$E$218,3,0))</f>
        <v>#N/A</v>
      </c>
      <c r="E144" s="135" t="s">
        <v>45</v>
      </c>
      <c r="F144" s="135" t="s">
        <v>45</v>
      </c>
      <c r="G144" s="135" t="s">
        <v>45</v>
      </c>
      <c r="H144" s="135" t="e">
        <f>IF(C144&lt;&gt;"",VLOOKUP(C144,HAB.EXP.ESP.!$C$27:$N$226,11,0),"")</f>
        <v>#N/A</v>
      </c>
      <c r="I144" s="351" t="str">
        <f t="shared" si="2"/>
        <v>HÁBIL</v>
      </c>
      <c r="K144" s="516" t="str">
        <f t="shared" si="3"/>
        <v>HÁBIL</v>
      </c>
    </row>
    <row r="145" spans="2:11" ht="13.5" hidden="1">
      <c r="B145" s="230">
        <v>127</v>
      </c>
      <c r="C145" s="129" t="e">
        <f>IF(VLOOKUP(B145,PROPONENTES!$B$19:$E$219,2,0)="","",VLOOKUP(B145,PROPONENTES!$B$19:$E$219,2,0))</f>
        <v>#N/A</v>
      </c>
      <c r="D145" s="130" t="e">
        <f>IF(VLOOKUP(B145,PROPONENTES!$B$19:$E$218,3,0)="","",VLOOKUP(B145,PROPONENTES!$B$19:$E$218,3,0))</f>
        <v>#N/A</v>
      </c>
      <c r="E145" s="135" t="s">
        <v>45</v>
      </c>
      <c r="F145" s="135" t="s">
        <v>45</v>
      </c>
      <c r="G145" s="135" t="s">
        <v>45</v>
      </c>
      <c r="H145" s="135" t="e">
        <f>IF(C145&lt;&gt;"",VLOOKUP(C145,HAB.EXP.ESP.!$C$27:$N$226,11,0),"")</f>
        <v>#N/A</v>
      </c>
      <c r="I145" s="351" t="str">
        <f t="shared" si="2"/>
        <v>HÁBIL</v>
      </c>
      <c r="K145" s="516" t="str">
        <f t="shared" si="3"/>
        <v>HÁBIL</v>
      </c>
    </row>
    <row r="146" spans="2:11" ht="13.5" hidden="1">
      <c r="B146" s="231">
        <v>128</v>
      </c>
      <c r="C146" s="129" t="e">
        <f>IF(VLOOKUP(B146,PROPONENTES!$B$19:$E$219,2,0)="","",VLOOKUP(B146,PROPONENTES!$B$19:$E$219,2,0))</f>
        <v>#N/A</v>
      </c>
      <c r="D146" s="130" t="e">
        <f>IF(VLOOKUP(B146,PROPONENTES!$B$19:$E$218,3,0)="","",VLOOKUP(B146,PROPONENTES!$B$19:$E$218,3,0))</f>
        <v>#N/A</v>
      </c>
      <c r="E146" s="135" t="s">
        <v>45</v>
      </c>
      <c r="F146" s="135" t="s">
        <v>45</v>
      </c>
      <c r="G146" s="135" t="s">
        <v>45</v>
      </c>
      <c r="H146" s="135" t="e">
        <f>IF(C146&lt;&gt;"",VLOOKUP(C146,HAB.EXP.ESP.!$C$27:$N$226,11,0),"")</f>
        <v>#N/A</v>
      </c>
      <c r="I146" s="351" t="str">
        <f t="shared" si="2"/>
        <v>HÁBIL</v>
      </c>
      <c r="K146" s="516" t="str">
        <f t="shared" si="3"/>
        <v>HÁBIL</v>
      </c>
    </row>
    <row r="147" spans="2:11" ht="13.5" hidden="1">
      <c r="B147" s="231">
        <v>129</v>
      </c>
      <c r="C147" s="129" t="e">
        <f>IF(VLOOKUP(B147,PROPONENTES!$B$19:$E$219,2,0)="","",VLOOKUP(B147,PROPONENTES!$B$19:$E$219,2,0))</f>
        <v>#N/A</v>
      </c>
      <c r="D147" s="130" t="e">
        <f>IF(VLOOKUP(B147,PROPONENTES!$B$19:$E$218,3,0)="","",VLOOKUP(B147,PROPONENTES!$B$19:$E$218,3,0))</f>
        <v>#N/A</v>
      </c>
      <c r="E147" s="135" t="s">
        <v>45</v>
      </c>
      <c r="F147" s="135" t="s">
        <v>45</v>
      </c>
      <c r="G147" s="135" t="s">
        <v>45</v>
      </c>
      <c r="H147" s="135" t="e">
        <f>IF(C147&lt;&gt;"",VLOOKUP(C147,HAB.EXP.ESP.!$C$27:$N$226,11,0),"")</f>
        <v>#N/A</v>
      </c>
      <c r="I147" s="351" t="str">
        <f t="shared" si="2"/>
        <v>HÁBIL</v>
      </c>
      <c r="K147" s="516" t="str">
        <f t="shared" si="3"/>
        <v>HÁBIL</v>
      </c>
    </row>
    <row r="148" spans="2:11" ht="13.5" hidden="1">
      <c r="B148" s="231">
        <v>130</v>
      </c>
      <c r="C148" s="129" t="e">
        <f>IF(VLOOKUP(B148,PROPONENTES!$B$19:$E$219,2,0)="","",VLOOKUP(B148,PROPONENTES!$B$19:$E$219,2,0))</f>
        <v>#N/A</v>
      </c>
      <c r="D148" s="130" t="e">
        <f>IF(VLOOKUP(B148,PROPONENTES!$B$19:$E$218,3,0)="","",VLOOKUP(B148,PROPONENTES!$B$19:$E$218,3,0))</f>
        <v>#N/A</v>
      </c>
      <c r="E148" s="135" t="s">
        <v>45</v>
      </c>
      <c r="F148" s="135" t="s">
        <v>45</v>
      </c>
      <c r="G148" s="135" t="s">
        <v>45</v>
      </c>
      <c r="H148" s="135" t="e">
        <f>IF(C148&lt;&gt;"",VLOOKUP(C148,HAB.EXP.ESP.!$C$27:$N$226,11,0),"")</f>
        <v>#N/A</v>
      </c>
      <c r="I148" s="351" t="str">
        <f t="shared" ref="I148:I211" si="4">IF(OR(COUNTIF(E148:H148,"")=4,COUNTIF(E148:H148,"")&gt;0),"",IF(COUNTIF(E148:H148,"RECHAZO")&gt;0,"RECHAZO",IF(COUNTIF(E148:H148,"NO HÁBIL")=0,"HÁBIL","NO HÁBIL")))</f>
        <v>HÁBIL</v>
      </c>
      <c r="K148" s="516" t="str">
        <f t="shared" ref="K148:K211" si="5">IF(OR(COUNTIF(E148:G148,"")=3,COUNTIF(E148:G148,"")&gt;0),"",IF(COUNTIF(E148:G148,"RECHAZO")&gt;0,"RECHAZO",IF(COUNTIF(E148:G148,"NO HÁBIL")&gt;0,"NO HÁBIL","HÁBIL")))</f>
        <v>HÁBIL</v>
      </c>
    </row>
    <row r="149" spans="2:11" ht="13.5" hidden="1">
      <c r="B149" s="231">
        <v>131</v>
      </c>
      <c r="C149" s="129" t="e">
        <f>IF(VLOOKUP(B149,PROPONENTES!$B$19:$E$219,2,0)="","",VLOOKUP(B149,PROPONENTES!$B$19:$E$219,2,0))</f>
        <v>#N/A</v>
      </c>
      <c r="D149" s="130" t="e">
        <f>IF(VLOOKUP(B149,PROPONENTES!$B$19:$E$218,3,0)="","",VLOOKUP(B149,PROPONENTES!$B$19:$E$218,3,0))</f>
        <v>#N/A</v>
      </c>
      <c r="E149" s="135" t="s">
        <v>45</v>
      </c>
      <c r="F149" s="135" t="s">
        <v>45</v>
      </c>
      <c r="G149" s="135" t="s">
        <v>45</v>
      </c>
      <c r="H149" s="135" t="e">
        <f>IF(C149&lt;&gt;"",VLOOKUP(C149,HAB.EXP.ESP.!$C$27:$N$226,11,0),"")</f>
        <v>#N/A</v>
      </c>
      <c r="I149" s="351" t="str">
        <f t="shared" si="4"/>
        <v>HÁBIL</v>
      </c>
      <c r="K149" s="516" t="str">
        <f t="shared" si="5"/>
        <v>HÁBIL</v>
      </c>
    </row>
    <row r="150" spans="2:11" ht="13.5" hidden="1">
      <c r="B150" s="230">
        <v>132</v>
      </c>
      <c r="C150" s="129" t="e">
        <f>IF(VLOOKUP(B150,PROPONENTES!$B$19:$E$219,2,0)="","",VLOOKUP(B150,PROPONENTES!$B$19:$E$219,2,0))</f>
        <v>#N/A</v>
      </c>
      <c r="D150" s="130" t="e">
        <f>IF(VLOOKUP(B150,PROPONENTES!$B$19:$E$218,3,0)="","",VLOOKUP(B150,PROPONENTES!$B$19:$E$218,3,0))</f>
        <v>#N/A</v>
      </c>
      <c r="E150" s="135" t="s">
        <v>45</v>
      </c>
      <c r="F150" s="135" t="s">
        <v>45</v>
      </c>
      <c r="G150" s="135" t="s">
        <v>45</v>
      </c>
      <c r="H150" s="135" t="e">
        <f>IF(C150&lt;&gt;"",VLOOKUP(C150,HAB.EXP.ESP.!$C$27:$N$226,11,0),"")</f>
        <v>#N/A</v>
      </c>
      <c r="I150" s="351" t="str">
        <f t="shared" si="4"/>
        <v>HÁBIL</v>
      </c>
      <c r="K150" s="516" t="str">
        <f t="shared" si="5"/>
        <v>HÁBIL</v>
      </c>
    </row>
    <row r="151" spans="2:11" ht="13.5" hidden="1">
      <c r="B151" s="231">
        <v>133</v>
      </c>
      <c r="C151" s="129" t="e">
        <f>IF(VLOOKUP(B151,PROPONENTES!$B$19:$E$219,2,0)="","",VLOOKUP(B151,PROPONENTES!$B$19:$E$219,2,0))</f>
        <v>#N/A</v>
      </c>
      <c r="D151" s="130" t="e">
        <f>IF(VLOOKUP(B151,PROPONENTES!$B$19:$E$218,3,0)="","",VLOOKUP(B151,PROPONENTES!$B$19:$E$218,3,0))</f>
        <v>#N/A</v>
      </c>
      <c r="E151" s="135" t="s">
        <v>45</v>
      </c>
      <c r="F151" s="135" t="s">
        <v>45</v>
      </c>
      <c r="G151" s="135" t="s">
        <v>45</v>
      </c>
      <c r="H151" s="135" t="e">
        <f>IF(C151&lt;&gt;"",VLOOKUP(C151,HAB.EXP.ESP.!$C$27:$N$226,11,0),"")</f>
        <v>#N/A</v>
      </c>
      <c r="I151" s="351" t="str">
        <f t="shared" si="4"/>
        <v>HÁBIL</v>
      </c>
      <c r="K151" s="516" t="str">
        <f t="shared" si="5"/>
        <v>HÁBIL</v>
      </c>
    </row>
    <row r="152" spans="2:11" ht="13.5" hidden="1">
      <c r="B152" s="231">
        <v>134</v>
      </c>
      <c r="C152" s="129" t="e">
        <f>IF(VLOOKUP(B152,PROPONENTES!$B$19:$E$219,2,0)="","",VLOOKUP(B152,PROPONENTES!$B$19:$E$219,2,0))</f>
        <v>#N/A</v>
      </c>
      <c r="D152" s="130" t="e">
        <f>IF(VLOOKUP(B152,PROPONENTES!$B$19:$E$218,3,0)="","",VLOOKUP(B152,PROPONENTES!$B$19:$E$218,3,0))</f>
        <v>#N/A</v>
      </c>
      <c r="E152" s="135" t="s">
        <v>45</v>
      </c>
      <c r="F152" s="135" t="s">
        <v>45</v>
      </c>
      <c r="G152" s="135" t="s">
        <v>45</v>
      </c>
      <c r="H152" s="135" t="e">
        <f>IF(C152&lt;&gt;"",VLOOKUP(C152,HAB.EXP.ESP.!$C$27:$N$226,11,0),"")</f>
        <v>#N/A</v>
      </c>
      <c r="I152" s="351" t="str">
        <f t="shared" si="4"/>
        <v>HÁBIL</v>
      </c>
      <c r="K152" s="516" t="str">
        <f t="shared" si="5"/>
        <v>HÁBIL</v>
      </c>
    </row>
    <row r="153" spans="2:11" ht="13.5" hidden="1">
      <c r="B153" s="231">
        <v>135</v>
      </c>
      <c r="C153" s="129" t="e">
        <f>IF(VLOOKUP(B153,PROPONENTES!$B$19:$E$219,2,0)="","",VLOOKUP(B153,PROPONENTES!$B$19:$E$219,2,0))</f>
        <v>#N/A</v>
      </c>
      <c r="D153" s="130" t="e">
        <f>IF(VLOOKUP(B153,PROPONENTES!$B$19:$E$218,3,0)="","",VLOOKUP(B153,PROPONENTES!$B$19:$E$218,3,0))</f>
        <v>#N/A</v>
      </c>
      <c r="E153" s="135" t="s">
        <v>45</v>
      </c>
      <c r="F153" s="135" t="s">
        <v>45</v>
      </c>
      <c r="G153" s="135" t="s">
        <v>45</v>
      </c>
      <c r="H153" s="135" t="e">
        <f>IF(C153&lt;&gt;"",VLOOKUP(C153,HAB.EXP.ESP.!$C$27:$N$226,11,0),"")</f>
        <v>#N/A</v>
      </c>
      <c r="I153" s="351" t="str">
        <f t="shared" si="4"/>
        <v>HÁBIL</v>
      </c>
      <c r="K153" s="516" t="str">
        <f t="shared" si="5"/>
        <v>HÁBIL</v>
      </c>
    </row>
    <row r="154" spans="2:11" ht="13.5" hidden="1">
      <c r="B154" s="231">
        <v>136</v>
      </c>
      <c r="C154" s="129" t="e">
        <f>IF(VLOOKUP(B154,PROPONENTES!$B$19:$E$219,2,0)="","",VLOOKUP(B154,PROPONENTES!$B$19:$E$219,2,0))</f>
        <v>#N/A</v>
      </c>
      <c r="D154" s="130" t="e">
        <f>IF(VLOOKUP(B154,PROPONENTES!$B$19:$E$218,3,0)="","",VLOOKUP(B154,PROPONENTES!$B$19:$E$218,3,0))</f>
        <v>#N/A</v>
      </c>
      <c r="E154" s="135" t="s">
        <v>45</v>
      </c>
      <c r="F154" s="135" t="s">
        <v>45</v>
      </c>
      <c r="G154" s="135" t="s">
        <v>45</v>
      </c>
      <c r="H154" s="135" t="e">
        <f>IF(C154&lt;&gt;"",VLOOKUP(C154,HAB.EXP.ESP.!$C$27:$N$226,11,0),"")</f>
        <v>#N/A</v>
      </c>
      <c r="I154" s="351" t="str">
        <f t="shared" si="4"/>
        <v>HÁBIL</v>
      </c>
      <c r="K154" s="516" t="str">
        <f t="shared" si="5"/>
        <v>HÁBIL</v>
      </c>
    </row>
    <row r="155" spans="2:11" ht="13.5" hidden="1">
      <c r="B155" s="230">
        <v>137</v>
      </c>
      <c r="C155" s="129" t="e">
        <f>IF(VLOOKUP(B155,PROPONENTES!$B$19:$E$219,2,0)="","",VLOOKUP(B155,PROPONENTES!$B$19:$E$219,2,0))</f>
        <v>#N/A</v>
      </c>
      <c r="D155" s="130" t="e">
        <f>IF(VLOOKUP(B155,PROPONENTES!$B$19:$E$218,3,0)="","",VLOOKUP(B155,PROPONENTES!$B$19:$E$218,3,0))</f>
        <v>#N/A</v>
      </c>
      <c r="E155" s="135" t="s">
        <v>45</v>
      </c>
      <c r="F155" s="135" t="s">
        <v>45</v>
      </c>
      <c r="G155" s="135" t="s">
        <v>45</v>
      </c>
      <c r="H155" s="135" t="e">
        <f>IF(C155&lt;&gt;"",VLOOKUP(C155,HAB.EXP.ESP.!$C$27:$N$226,11,0),"")</f>
        <v>#N/A</v>
      </c>
      <c r="I155" s="351" t="str">
        <f t="shared" si="4"/>
        <v>HÁBIL</v>
      </c>
      <c r="K155" s="516" t="str">
        <f t="shared" si="5"/>
        <v>HÁBIL</v>
      </c>
    </row>
    <row r="156" spans="2:11" ht="13.5" hidden="1">
      <c r="B156" s="231">
        <v>138</v>
      </c>
      <c r="C156" s="129" t="e">
        <f>IF(VLOOKUP(B156,PROPONENTES!$B$19:$E$219,2,0)="","",VLOOKUP(B156,PROPONENTES!$B$19:$E$219,2,0))</f>
        <v>#N/A</v>
      </c>
      <c r="D156" s="130" t="e">
        <f>IF(VLOOKUP(B156,PROPONENTES!$B$19:$E$218,3,0)="","",VLOOKUP(B156,PROPONENTES!$B$19:$E$218,3,0))</f>
        <v>#N/A</v>
      </c>
      <c r="E156" s="135" t="s">
        <v>45</v>
      </c>
      <c r="F156" s="135" t="s">
        <v>45</v>
      </c>
      <c r="G156" s="135" t="s">
        <v>45</v>
      </c>
      <c r="H156" s="135" t="e">
        <f>IF(C156&lt;&gt;"",VLOOKUP(C156,HAB.EXP.ESP.!$C$27:$N$226,11,0),"")</f>
        <v>#N/A</v>
      </c>
      <c r="I156" s="351" t="str">
        <f t="shared" si="4"/>
        <v>HÁBIL</v>
      </c>
      <c r="K156" s="516" t="str">
        <f t="shared" si="5"/>
        <v>HÁBIL</v>
      </c>
    </row>
    <row r="157" spans="2:11" ht="13.5" hidden="1">
      <c r="B157" s="231">
        <v>139</v>
      </c>
      <c r="C157" s="129" t="e">
        <f>IF(VLOOKUP(B157,PROPONENTES!$B$19:$E$219,2,0)="","",VLOOKUP(B157,PROPONENTES!$B$19:$E$219,2,0))</f>
        <v>#N/A</v>
      </c>
      <c r="D157" s="130" t="e">
        <f>IF(VLOOKUP(B157,PROPONENTES!$B$19:$E$218,3,0)="","",VLOOKUP(B157,PROPONENTES!$B$19:$E$218,3,0))</f>
        <v>#N/A</v>
      </c>
      <c r="E157" s="135" t="s">
        <v>45</v>
      </c>
      <c r="F157" s="135" t="s">
        <v>45</v>
      </c>
      <c r="G157" s="135" t="s">
        <v>45</v>
      </c>
      <c r="H157" s="135" t="e">
        <f>IF(C157&lt;&gt;"",VLOOKUP(C157,HAB.EXP.ESP.!$C$27:$N$226,11,0),"")</f>
        <v>#N/A</v>
      </c>
      <c r="I157" s="351" t="str">
        <f t="shared" si="4"/>
        <v>HÁBIL</v>
      </c>
      <c r="K157" s="516" t="str">
        <f t="shared" si="5"/>
        <v>HÁBIL</v>
      </c>
    </row>
    <row r="158" spans="2:11" ht="13.5" hidden="1">
      <c r="B158" s="231">
        <v>140</v>
      </c>
      <c r="C158" s="129" t="e">
        <f>IF(VLOOKUP(B158,PROPONENTES!$B$19:$E$219,2,0)="","",VLOOKUP(B158,PROPONENTES!$B$19:$E$219,2,0))</f>
        <v>#N/A</v>
      </c>
      <c r="D158" s="130" t="e">
        <f>IF(VLOOKUP(B158,PROPONENTES!$B$19:$E$218,3,0)="","",VLOOKUP(B158,PROPONENTES!$B$19:$E$218,3,0))</f>
        <v>#N/A</v>
      </c>
      <c r="E158" s="135" t="s">
        <v>45</v>
      </c>
      <c r="F158" s="135" t="s">
        <v>45</v>
      </c>
      <c r="G158" s="135" t="s">
        <v>45</v>
      </c>
      <c r="H158" s="135" t="e">
        <f>IF(C158&lt;&gt;"",VLOOKUP(C158,HAB.EXP.ESP.!$C$27:$N$226,11,0),"")</f>
        <v>#N/A</v>
      </c>
      <c r="I158" s="351" t="str">
        <f t="shared" si="4"/>
        <v>HÁBIL</v>
      </c>
      <c r="K158" s="516" t="str">
        <f t="shared" si="5"/>
        <v>HÁBIL</v>
      </c>
    </row>
    <row r="159" spans="2:11" ht="13.5" hidden="1">
      <c r="B159" s="231">
        <v>141</v>
      </c>
      <c r="C159" s="129" t="e">
        <f>IF(VLOOKUP(B159,PROPONENTES!$B$19:$E$219,2,0)="","",VLOOKUP(B159,PROPONENTES!$B$19:$E$219,2,0))</f>
        <v>#N/A</v>
      </c>
      <c r="D159" s="130" t="e">
        <f>IF(VLOOKUP(B159,PROPONENTES!$B$19:$E$218,3,0)="","",VLOOKUP(B159,PROPONENTES!$B$19:$E$218,3,0))</f>
        <v>#N/A</v>
      </c>
      <c r="E159" s="135" t="s">
        <v>45</v>
      </c>
      <c r="F159" s="135" t="s">
        <v>45</v>
      </c>
      <c r="G159" s="135" t="s">
        <v>45</v>
      </c>
      <c r="H159" s="135" t="e">
        <f>IF(C159&lt;&gt;"",VLOOKUP(C159,HAB.EXP.ESP.!$C$27:$N$226,11,0),"")</f>
        <v>#N/A</v>
      </c>
      <c r="I159" s="351" t="str">
        <f t="shared" si="4"/>
        <v>HÁBIL</v>
      </c>
      <c r="K159" s="516" t="str">
        <f t="shared" si="5"/>
        <v>HÁBIL</v>
      </c>
    </row>
    <row r="160" spans="2:11" ht="13.5" hidden="1">
      <c r="B160" s="230">
        <v>142</v>
      </c>
      <c r="C160" s="129" t="e">
        <f>IF(VLOOKUP(B160,PROPONENTES!$B$19:$E$219,2,0)="","",VLOOKUP(B160,PROPONENTES!$B$19:$E$219,2,0))</f>
        <v>#N/A</v>
      </c>
      <c r="D160" s="130" t="e">
        <f>IF(VLOOKUP(B160,PROPONENTES!$B$19:$E$218,3,0)="","",VLOOKUP(B160,PROPONENTES!$B$19:$E$218,3,0))</f>
        <v>#N/A</v>
      </c>
      <c r="E160" s="135" t="s">
        <v>45</v>
      </c>
      <c r="F160" s="135" t="s">
        <v>45</v>
      </c>
      <c r="G160" s="135" t="s">
        <v>45</v>
      </c>
      <c r="H160" s="135" t="e">
        <f>IF(C160&lt;&gt;"",VLOOKUP(C160,HAB.EXP.ESP.!$C$27:$N$226,11,0),"")</f>
        <v>#N/A</v>
      </c>
      <c r="I160" s="351" t="str">
        <f t="shared" si="4"/>
        <v>HÁBIL</v>
      </c>
      <c r="K160" s="516" t="str">
        <f t="shared" si="5"/>
        <v>HÁBIL</v>
      </c>
    </row>
    <row r="161" spans="2:11" ht="13.5" hidden="1">
      <c r="B161" s="231">
        <v>143</v>
      </c>
      <c r="C161" s="129" t="e">
        <f>IF(VLOOKUP(B161,PROPONENTES!$B$19:$E$219,2,0)="","",VLOOKUP(B161,PROPONENTES!$B$19:$E$219,2,0))</f>
        <v>#N/A</v>
      </c>
      <c r="D161" s="130" t="e">
        <f>IF(VLOOKUP(B161,PROPONENTES!$B$19:$E$218,3,0)="","",VLOOKUP(B161,PROPONENTES!$B$19:$E$218,3,0))</f>
        <v>#N/A</v>
      </c>
      <c r="E161" s="135" t="s">
        <v>45</v>
      </c>
      <c r="F161" s="135" t="s">
        <v>45</v>
      </c>
      <c r="G161" s="135" t="s">
        <v>45</v>
      </c>
      <c r="H161" s="135" t="e">
        <f>IF(C161&lt;&gt;"",VLOOKUP(C161,HAB.EXP.ESP.!$C$27:$N$226,11,0),"")</f>
        <v>#N/A</v>
      </c>
      <c r="I161" s="351" t="str">
        <f t="shared" si="4"/>
        <v>HÁBIL</v>
      </c>
      <c r="K161" s="516" t="str">
        <f t="shared" si="5"/>
        <v>HÁBIL</v>
      </c>
    </row>
    <row r="162" spans="2:11" ht="13.5" hidden="1">
      <c r="B162" s="231">
        <v>144</v>
      </c>
      <c r="C162" s="129" t="e">
        <f>IF(VLOOKUP(B162,PROPONENTES!$B$19:$E$219,2,0)="","",VLOOKUP(B162,PROPONENTES!$B$19:$E$219,2,0))</f>
        <v>#N/A</v>
      </c>
      <c r="D162" s="130" t="e">
        <f>IF(VLOOKUP(B162,PROPONENTES!$B$19:$E$218,3,0)="","",VLOOKUP(B162,PROPONENTES!$B$19:$E$218,3,0))</f>
        <v>#N/A</v>
      </c>
      <c r="E162" s="135" t="s">
        <v>45</v>
      </c>
      <c r="F162" s="135" t="s">
        <v>45</v>
      </c>
      <c r="G162" s="135" t="s">
        <v>45</v>
      </c>
      <c r="H162" s="135" t="e">
        <f>IF(C162&lt;&gt;"",VLOOKUP(C162,HAB.EXP.ESP.!$C$27:$N$226,11,0),"")</f>
        <v>#N/A</v>
      </c>
      <c r="I162" s="351" t="str">
        <f t="shared" si="4"/>
        <v>HÁBIL</v>
      </c>
      <c r="K162" s="516" t="str">
        <f t="shared" si="5"/>
        <v>HÁBIL</v>
      </c>
    </row>
    <row r="163" spans="2:11" ht="13.5" hidden="1">
      <c r="B163" s="231">
        <v>145</v>
      </c>
      <c r="C163" s="129" t="e">
        <f>IF(VLOOKUP(B163,PROPONENTES!$B$19:$E$219,2,0)="","",VLOOKUP(B163,PROPONENTES!$B$19:$E$219,2,0))</f>
        <v>#N/A</v>
      </c>
      <c r="D163" s="130" t="e">
        <f>IF(VLOOKUP(B163,PROPONENTES!$B$19:$E$218,3,0)="","",VLOOKUP(B163,PROPONENTES!$B$19:$E$218,3,0))</f>
        <v>#N/A</v>
      </c>
      <c r="E163" s="135" t="s">
        <v>45</v>
      </c>
      <c r="F163" s="135" t="s">
        <v>45</v>
      </c>
      <c r="G163" s="135" t="s">
        <v>45</v>
      </c>
      <c r="H163" s="135" t="e">
        <f>IF(C163&lt;&gt;"",VLOOKUP(C163,HAB.EXP.ESP.!$C$27:$N$226,11,0),"")</f>
        <v>#N/A</v>
      </c>
      <c r="I163" s="351" t="str">
        <f t="shared" si="4"/>
        <v>HÁBIL</v>
      </c>
      <c r="K163" s="516" t="str">
        <f t="shared" si="5"/>
        <v>HÁBIL</v>
      </c>
    </row>
    <row r="164" spans="2:11" ht="13.5" hidden="1">
      <c r="B164" s="231">
        <v>146</v>
      </c>
      <c r="C164" s="129" t="e">
        <f>IF(VLOOKUP(B164,PROPONENTES!$B$19:$E$219,2,0)="","",VLOOKUP(B164,PROPONENTES!$B$19:$E$219,2,0))</f>
        <v>#N/A</v>
      </c>
      <c r="D164" s="130" t="e">
        <f>IF(VLOOKUP(B164,PROPONENTES!$B$19:$E$218,3,0)="","",VLOOKUP(B164,PROPONENTES!$B$19:$E$218,3,0))</f>
        <v>#N/A</v>
      </c>
      <c r="E164" s="135" t="s">
        <v>45</v>
      </c>
      <c r="F164" s="135" t="s">
        <v>45</v>
      </c>
      <c r="G164" s="135" t="s">
        <v>45</v>
      </c>
      <c r="H164" s="135" t="e">
        <f>IF(C164&lt;&gt;"",VLOOKUP(C164,HAB.EXP.ESP.!$C$27:$N$226,11,0),"")</f>
        <v>#N/A</v>
      </c>
      <c r="I164" s="351" t="str">
        <f t="shared" si="4"/>
        <v>HÁBIL</v>
      </c>
      <c r="K164" s="516" t="str">
        <f t="shared" si="5"/>
        <v>HÁBIL</v>
      </c>
    </row>
    <row r="165" spans="2:11" ht="13.5" hidden="1">
      <c r="B165" s="230">
        <v>147</v>
      </c>
      <c r="C165" s="129" t="e">
        <f>IF(VLOOKUP(B165,PROPONENTES!$B$19:$E$219,2,0)="","",VLOOKUP(B165,PROPONENTES!$B$19:$E$219,2,0))</f>
        <v>#N/A</v>
      </c>
      <c r="D165" s="130" t="e">
        <f>IF(VLOOKUP(B165,PROPONENTES!$B$19:$E$218,3,0)="","",VLOOKUP(B165,PROPONENTES!$B$19:$E$218,3,0))</f>
        <v>#N/A</v>
      </c>
      <c r="E165" s="135" t="s">
        <v>45</v>
      </c>
      <c r="F165" s="135" t="s">
        <v>45</v>
      </c>
      <c r="G165" s="135" t="s">
        <v>45</v>
      </c>
      <c r="H165" s="135" t="e">
        <f>IF(C165&lt;&gt;"",VLOOKUP(C165,HAB.EXP.ESP.!$C$27:$N$226,11,0),"")</f>
        <v>#N/A</v>
      </c>
      <c r="I165" s="351" t="str">
        <f t="shared" si="4"/>
        <v>HÁBIL</v>
      </c>
      <c r="K165" s="516" t="str">
        <f t="shared" si="5"/>
        <v>HÁBIL</v>
      </c>
    </row>
    <row r="166" spans="2:11" ht="13.5" hidden="1">
      <c r="B166" s="231">
        <v>148</v>
      </c>
      <c r="C166" s="129" t="e">
        <f>IF(VLOOKUP(B166,PROPONENTES!$B$19:$E$219,2,0)="","",VLOOKUP(B166,PROPONENTES!$B$19:$E$219,2,0))</f>
        <v>#N/A</v>
      </c>
      <c r="D166" s="130" t="e">
        <f>IF(VLOOKUP(B166,PROPONENTES!$B$19:$E$218,3,0)="","",VLOOKUP(B166,PROPONENTES!$B$19:$E$218,3,0))</f>
        <v>#N/A</v>
      </c>
      <c r="E166" s="135" t="s">
        <v>45</v>
      </c>
      <c r="F166" s="135" t="s">
        <v>45</v>
      </c>
      <c r="G166" s="135" t="s">
        <v>45</v>
      </c>
      <c r="H166" s="135" t="e">
        <f>IF(C166&lt;&gt;"",VLOOKUP(C166,HAB.EXP.ESP.!$C$27:$N$226,11,0),"")</f>
        <v>#N/A</v>
      </c>
      <c r="I166" s="351" t="str">
        <f t="shared" si="4"/>
        <v>HÁBIL</v>
      </c>
      <c r="K166" s="516" t="str">
        <f t="shared" si="5"/>
        <v>HÁBIL</v>
      </c>
    </row>
    <row r="167" spans="2:11" ht="13.5" hidden="1">
      <c r="B167" s="231">
        <v>149</v>
      </c>
      <c r="C167" s="129" t="e">
        <f>IF(VLOOKUP(B167,PROPONENTES!$B$19:$E$219,2,0)="","",VLOOKUP(B167,PROPONENTES!$B$19:$E$219,2,0))</f>
        <v>#N/A</v>
      </c>
      <c r="D167" s="130" t="e">
        <f>IF(VLOOKUP(B167,PROPONENTES!$B$19:$E$218,3,0)="","",VLOOKUP(B167,PROPONENTES!$B$19:$E$218,3,0))</f>
        <v>#N/A</v>
      </c>
      <c r="E167" s="135" t="s">
        <v>45</v>
      </c>
      <c r="F167" s="135" t="s">
        <v>45</v>
      </c>
      <c r="G167" s="135" t="s">
        <v>45</v>
      </c>
      <c r="H167" s="135" t="e">
        <f>IF(C167&lt;&gt;"",VLOOKUP(C167,HAB.EXP.ESP.!$C$27:$N$226,11,0),"")</f>
        <v>#N/A</v>
      </c>
      <c r="I167" s="351" t="str">
        <f t="shared" si="4"/>
        <v>HÁBIL</v>
      </c>
      <c r="K167" s="516" t="str">
        <f t="shared" si="5"/>
        <v>HÁBIL</v>
      </c>
    </row>
    <row r="168" spans="2:11" ht="13.5" hidden="1">
      <c r="B168" s="231">
        <v>150</v>
      </c>
      <c r="C168" s="129" t="e">
        <f>IF(VLOOKUP(B168,PROPONENTES!$B$19:$E$219,2,0)="","",VLOOKUP(B168,PROPONENTES!$B$19:$E$219,2,0))</f>
        <v>#N/A</v>
      </c>
      <c r="D168" s="130" t="e">
        <f>IF(VLOOKUP(B168,PROPONENTES!$B$19:$E$218,3,0)="","",VLOOKUP(B168,PROPONENTES!$B$19:$E$218,3,0))</f>
        <v>#N/A</v>
      </c>
      <c r="E168" s="135" t="s">
        <v>45</v>
      </c>
      <c r="F168" s="135" t="s">
        <v>45</v>
      </c>
      <c r="G168" s="135" t="s">
        <v>45</v>
      </c>
      <c r="H168" s="135" t="e">
        <f>IF(C168&lt;&gt;"",VLOOKUP(C168,HAB.EXP.ESP.!$C$27:$N$226,11,0),"")</f>
        <v>#N/A</v>
      </c>
      <c r="I168" s="351" t="str">
        <f t="shared" si="4"/>
        <v>HÁBIL</v>
      </c>
      <c r="K168" s="516" t="str">
        <f t="shared" si="5"/>
        <v>HÁBIL</v>
      </c>
    </row>
    <row r="169" spans="2:11" ht="13.5" hidden="1">
      <c r="B169" s="231">
        <v>151</v>
      </c>
      <c r="C169" s="129" t="e">
        <f>IF(VLOOKUP(B169,PROPONENTES!$B$19:$E$219,2,0)="","",VLOOKUP(B169,PROPONENTES!$B$19:$E$219,2,0))</f>
        <v>#N/A</v>
      </c>
      <c r="D169" s="130" t="e">
        <f>IF(VLOOKUP(B169,PROPONENTES!$B$19:$E$218,3,0)="","",VLOOKUP(B169,PROPONENTES!$B$19:$E$218,3,0))</f>
        <v>#N/A</v>
      </c>
      <c r="E169" s="135" t="s">
        <v>45</v>
      </c>
      <c r="F169" s="135" t="s">
        <v>45</v>
      </c>
      <c r="G169" s="135" t="s">
        <v>45</v>
      </c>
      <c r="H169" s="135" t="e">
        <f>IF(C169&lt;&gt;"",VLOOKUP(C169,HAB.EXP.ESP.!$C$27:$N$226,11,0),"")</f>
        <v>#N/A</v>
      </c>
      <c r="I169" s="351" t="str">
        <f t="shared" si="4"/>
        <v>HÁBIL</v>
      </c>
      <c r="K169" s="516" t="str">
        <f t="shared" si="5"/>
        <v>HÁBIL</v>
      </c>
    </row>
    <row r="170" spans="2:11" ht="13.5" hidden="1">
      <c r="B170" s="230">
        <v>152</v>
      </c>
      <c r="C170" s="129" t="e">
        <f>IF(VLOOKUP(B170,PROPONENTES!$B$19:$E$219,2,0)="","",VLOOKUP(B170,PROPONENTES!$B$19:$E$219,2,0))</f>
        <v>#N/A</v>
      </c>
      <c r="D170" s="130" t="e">
        <f>IF(VLOOKUP(B170,PROPONENTES!$B$19:$E$218,3,0)="","",VLOOKUP(B170,PROPONENTES!$B$19:$E$218,3,0))</f>
        <v>#N/A</v>
      </c>
      <c r="E170" s="135" t="s">
        <v>45</v>
      </c>
      <c r="F170" s="135" t="s">
        <v>45</v>
      </c>
      <c r="G170" s="135" t="s">
        <v>45</v>
      </c>
      <c r="H170" s="135" t="e">
        <f>IF(C170&lt;&gt;"",VLOOKUP(C170,HAB.EXP.ESP.!$C$27:$N$226,11,0),"")</f>
        <v>#N/A</v>
      </c>
      <c r="I170" s="351" t="str">
        <f t="shared" si="4"/>
        <v>HÁBIL</v>
      </c>
      <c r="K170" s="516" t="str">
        <f t="shared" si="5"/>
        <v>HÁBIL</v>
      </c>
    </row>
    <row r="171" spans="2:11" ht="13.5" hidden="1">
      <c r="B171" s="231">
        <v>153</v>
      </c>
      <c r="C171" s="129" t="e">
        <f>IF(VLOOKUP(B171,PROPONENTES!$B$19:$E$219,2,0)="","",VLOOKUP(B171,PROPONENTES!$B$19:$E$219,2,0))</f>
        <v>#N/A</v>
      </c>
      <c r="D171" s="130" t="e">
        <f>IF(VLOOKUP(B171,PROPONENTES!$B$19:$E$218,3,0)="","",VLOOKUP(B171,PROPONENTES!$B$19:$E$218,3,0))</f>
        <v>#N/A</v>
      </c>
      <c r="E171" s="135" t="s">
        <v>45</v>
      </c>
      <c r="F171" s="135" t="s">
        <v>45</v>
      </c>
      <c r="G171" s="135" t="s">
        <v>45</v>
      </c>
      <c r="H171" s="135" t="e">
        <f>IF(C171&lt;&gt;"",VLOOKUP(C171,HAB.EXP.ESP.!$C$27:$N$226,11,0),"")</f>
        <v>#N/A</v>
      </c>
      <c r="I171" s="351" t="str">
        <f t="shared" si="4"/>
        <v>HÁBIL</v>
      </c>
      <c r="K171" s="516" t="str">
        <f t="shared" si="5"/>
        <v>HÁBIL</v>
      </c>
    </row>
    <row r="172" spans="2:11" ht="13.5" hidden="1">
      <c r="B172" s="231">
        <v>154</v>
      </c>
      <c r="C172" s="129" t="e">
        <f>IF(VLOOKUP(B172,PROPONENTES!$B$19:$E$219,2,0)="","",VLOOKUP(B172,PROPONENTES!$B$19:$E$219,2,0))</f>
        <v>#N/A</v>
      </c>
      <c r="D172" s="130" t="e">
        <f>IF(VLOOKUP(B172,PROPONENTES!$B$19:$E$218,3,0)="","",VLOOKUP(B172,PROPONENTES!$B$19:$E$218,3,0))</f>
        <v>#N/A</v>
      </c>
      <c r="E172" s="135" t="s">
        <v>45</v>
      </c>
      <c r="F172" s="135" t="s">
        <v>45</v>
      </c>
      <c r="G172" s="135" t="s">
        <v>45</v>
      </c>
      <c r="H172" s="135" t="e">
        <f>IF(C172&lt;&gt;"",VLOOKUP(C172,HAB.EXP.ESP.!$C$27:$N$226,11,0),"")</f>
        <v>#N/A</v>
      </c>
      <c r="I172" s="351" t="str">
        <f t="shared" si="4"/>
        <v>HÁBIL</v>
      </c>
      <c r="K172" s="516" t="str">
        <f t="shared" si="5"/>
        <v>HÁBIL</v>
      </c>
    </row>
    <row r="173" spans="2:11" ht="13.5" hidden="1">
      <c r="B173" s="231">
        <v>155</v>
      </c>
      <c r="C173" s="129" t="e">
        <f>IF(VLOOKUP(B173,PROPONENTES!$B$19:$E$219,2,0)="","",VLOOKUP(B173,PROPONENTES!$B$19:$E$219,2,0))</f>
        <v>#N/A</v>
      </c>
      <c r="D173" s="130" t="e">
        <f>IF(VLOOKUP(B173,PROPONENTES!$B$19:$E$218,3,0)="","",VLOOKUP(B173,PROPONENTES!$B$19:$E$218,3,0))</f>
        <v>#N/A</v>
      </c>
      <c r="E173" s="135" t="s">
        <v>45</v>
      </c>
      <c r="F173" s="135" t="s">
        <v>45</v>
      </c>
      <c r="G173" s="135" t="s">
        <v>45</v>
      </c>
      <c r="H173" s="135" t="e">
        <f>IF(C173&lt;&gt;"",VLOOKUP(C173,HAB.EXP.ESP.!$C$27:$N$226,11,0),"")</f>
        <v>#N/A</v>
      </c>
      <c r="I173" s="351" t="str">
        <f t="shared" si="4"/>
        <v>HÁBIL</v>
      </c>
      <c r="K173" s="516" t="str">
        <f t="shared" si="5"/>
        <v>HÁBIL</v>
      </c>
    </row>
    <row r="174" spans="2:11" ht="13.5" hidden="1">
      <c r="B174" s="231">
        <v>156</v>
      </c>
      <c r="C174" s="129" t="e">
        <f>IF(VLOOKUP(B174,PROPONENTES!$B$19:$E$219,2,0)="","",VLOOKUP(B174,PROPONENTES!$B$19:$E$219,2,0))</f>
        <v>#N/A</v>
      </c>
      <c r="D174" s="130" t="e">
        <f>IF(VLOOKUP(B174,PROPONENTES!$B$19:$E$218,3,0)="","",VLOOKUP(B174,PROPONENTES!$B$19:$E$218,3,0))</f>
        <v>#N/A</v>
      </c>
      <c r="E174" s="135" t="s">
        <v>45</v>
      </c>
      <c r="F174" s="135" t="s">
        <v>45</v>
      </c>
      <c r="G174" s="135" t="s">
        <v>45</v>
      </c>
      <c r="H174" s="135" t="e">
        <f>IF(C174&lt;&gt;"",VLOOKUP(C174,HAB.EXP.ESP.!$C$27:$N$226,11,0),"")</f>
        <v>#N/A</v>
      </c>
      <c r="I174" s="351" t="str">
        <f t="shared" si="4"/>
        <v>HÁBIL</v>
      </c>
      <c r="K174" s="516" t="str">
        <f t="shared" si="5"/>
        <v>HÁBIL</v>
      </c>
    </row>
    <row r="175" spans="2:11" ht="13.5" hidden="1">
      <c r="B175" s="230">
        <v>157</v>
      </c>
      <c r="C175" s="129" t="e">
        <f>IF(VLOOKUP(B175,PROPONENTES!$B$19:$E$219,2,0)="","",VLOOKUP(B175,PROPONENTES!$B$19:$E$219,2,0))</f>
        <v>#N/A</v>
      </c>
      <c r="D175" s="130" t="e">
        <f>IF(VLOOKUP(B175,PROPONENTES!$B$19:$E$218,3,0)="","",VLOOKUP(B175,PROPONENTES!$B$19:$E$218,3,0))</f>
        <v>#N/A</v>
      </c>
      <c r="E175" s="135" t="s">
        <v>45</v>
      </c>
      <c r="F175" s="135" t="s">
        <v>45</v>
      </c>
      <c r="G175" s="135" t="s">
        <v>45</v>
      </c>
      <c r="H175" s="135" t="e">
        <f>IF(C175&lt;&gt;"",VLOOKUP(C175,HAB.EXP.ESP.!$C$27:$N$226,11,0),"")</f>
        <v>#N/A</v>
      </c>
      <c r="I175" s="351" t="str">
        <f t="shared" si="4"/>
        <v>HÁBIL</v>
      </c>
      <c r="K175" s="516" t="str">
        <f t="shared" si="5"/>
        <v>HÁBIL</v>
      </c>
    </row>
    <row r="176" spans="2:11" ht="13.5" hidden="1">
      <c r="B176" s="231">
        <v>158</v>
      </c>
      <c r="C176" s="129" t="e">
        <f>IF(VLOOKUP(B176,PROPONENTES!$B$19:$E$219,2,0)="","",VLOOKUP(B176,PROPONENTES!$B$19:$E$219,2,0))</f>
        <v>#N/A</v>
      </c>
      <c r="D176" s="130" t="e">
        <f>IF(VLOOKUP(B176,PROPONENTES!$B$19:$E$218,3,0)="","",VLOOKUP(B176,PROPONENTES!$B$19:$E$218,3,0))</f>
        <v>#N/A</v>
      </c>
      <c r="E176" s="135" t="s">
        <v>45</v>
      </c>
      <c r="F176" s="135" t="s">
        <v>45</v>
      </c>
      <c r="G176" s="135" t="s">
        <v>45</v>
      </c>
      <c r="H176" s="135" t="e">
        <f>IF(C176&lt;&gt;"",VLOOKUP(C176,HAB.EXP.ESP.!$C$27:$N$226,11,0),"")</f>
        <v>#N/A</v>
      </c>
      <c r="I176" s="351" t="str">
        <f t="shared" si="4"/>
        <v>HÁBIL</v>
      </c>
      <c r="K176" s="516" t="str">
        <f t="shared" si="5"/>
        <v>HÁBIL</v>
      </c>
    </row>
    <row r="177" spans="2:11" ht="13.5" hidden="1">
      <c r="B177" s="231">
        <v>159</v>
      </c>
      <c r="C177" s="129" t="e">
        <f>IF(VLOOKUP(B177,PROPONENTES!$B$19:$E$219,2,0)="","",VLOOKUP(B177,PROPONENTES!$B$19:$E$219,2,0))</f>
        <v>#N/A</v>
      </c>
      <c r="D177" s="130" t="e">
        <f>IF(VLOOKUP(B177,PROPONENTES!$B$19:$E$218,3,0)="","",VLOOKUP(B177,PROPONENTES!$B$19:$E$218,3,0))</f>
        <v>#N/A</v>
      </c>
      <c r="E177" s="135" t="s">
        <v>45</v>
      </c>
      <c r="F177" s="135" t="s">
        <v>45</v>
      </c>
      <c r="G177" s="135" t="s">
        <v>45</v>
      </c>
      <c r="H177" s="135" t="e">
        <f>IF(C177&lt;&gt;"",VLOOKUP(C177,HAB.EXP.ESP.!$C$27:$N$226,11,0),"")</f>
        <v>#N/A</v>
      </c>
      <c r="I177" s="351" t="str">
        <f t="shared" si="4"/>
        <v>HÁBIL</v>
      </c>
      <c r="K177" s="516" t="str">
        <f t="shared" si="5"/>
        <v>HÁBIL</v>
      </c>
    </row>
    <row r="178" spans="2:11" ht="13.5" hidden="1">
      <c r="B178" s="231">
        <v>160</v>
      </c>
      <c r="C178" s="129" t="e">
        <f>IF(VLOOKUP(B178,PROPONENTES!$B$19:$E$219,2,0)="","",VLOOKUP(B178,PROPONENTES!$B$19:$E$219,2,0))</f>
        <v>#N/A</v>
      </c>
      <c r="D178" s="130" t="e">
        <f>IF(VLOOKUP(B178,PROPONENTES!$B$19:$E$218,3,0)="","",VLOOKUP(B178,PROPONENTES!$B$19:$E$218,3,0))</f>
        <v>#N/A</v>
      </c>
      <c r="E178" s="135" t="s">
        <v>45</v>
      </c>
      <c r="F178" s="135" t="s">
        <v>45</v>
      </c>
      <c r="G178" s="135" t="s">
        <v>45</v>
      </c>
      <c r="H178" s="135" t="e">
        <f>IF(C178&lt;&gt;"",VLOOKUP(C178,HAB.EXP.ESP.!$C$27:$N$226,11,0),"")</f>
        <v>#N/A</v>
      </c>
      <c r="I178" s="351" t="str">
        <f t="shared" si="4"/>
        <v>HÁBIL</v>
      </c>
      <c r="K178" s="516" t="str">
        <f t="shared" si="5"/>
        <v>HÁBIL</v>
      </c>
    </row>
    <row r="179" spans="2:11" ht="13.5" hidden="1">
      <c r="B179" s="231">
        <v>161</v>
      </c>
      <c r="C179" s="129" t="e">
        <f>IF(VLOOKUP(B179,PROPONENTES!$B$19:$E$219,2,0)="","",VLOOKUP(B179,PROPONENTES!$B$19:$E$219,2,0))</f>
        <v>#N/A</v>
      </c>
      <c r="D179" s="130" t="e">
        <f>IF(VLOOKUP(B179,PROPONENTES!$B$19:$E$218,3,0)="","",VLOOKUP(B179,PROPONENTES!$B$19:$E$218,3,0))</f>
        <v>#N/A</v>
      </c>
      <c r="E179" s="135" t="s">
        <v>45</v>
      </c>
      <c r="F179" s="135" t="s">
        <v>45</v>
      </c>
      <c r="G179" s="135" t="s">
        <v>45</v>
      </c>
      <c r="H179" s="135" t="e">
        <f>IF(C179&lt;&gt;"",VLOOKUP(C179,HAB.EXP.ESP.!$C$27:$N$226,11,0),"")</f>
        <v>#N/A</v>
      </c>
      <c r="I179" s="351" t="str">
        <f t="shared" si="4"/>
        <v>HÁBIL</v>
      </c>
      <c r="K179" s="516" t="str">
        <f t="shared" si="5"/>
        <v>HÁBIL</v>
      </c>
    </row>
    <row r="180" spans="2:11" ht="13.5" hidden="1">
      <c r="B180" s="230">
        <v>162</v>
      </c>
      <c r="C180" s="129" t="e">
        <f>IF(VLOOKUP(B180,PROPONENTES!$B$19:$E$219,2,0)="","",VLOOKUP(B180,PROPONENTES!$B$19:$E$219,2,0))</f>
        <v>#N/A</v>
      </c>
      <c r="D180" s="130" t="e">
        <f>IF(VLOOKUP(B180,PROPONENTES!$B$19:$E$218,3,0)="","",VLOOKUP(B180,PROPONENTES!$B$19:$E$218,3,0))</f>
        <v>#N/A</v>
      </c>
      <c r="E180" s="135" t="s">
        <v>45</v>
      </c>
      <c r="F180" s="135" t="s">
        <v>45</v>
      </c>
      <c r="G180" s="135" t="s">
        <v>45</v>
      </c>
      <c r="H180" s="135" t="e">
        <f>IF(C180&lt;&gt;"",VLOOKUP(C180,HAB.EXP.ESP.!$C$27:$N$226,11,0),"")</f>
        <v>#N/A</v>
      </c>
      <c r="I180" s="351" t="str">
        <f t="shared" si="4"/>
        <v>HÁBIL</v>
      </c>
      <c r="K180" s="516" t="str">
        <f t="shared" si="5"/>
        <v>HÁBIL</v>
      </c>
    </row>
    <row r="181" spans="2:11" ht="13.5" hidden="1">
      <c r="B181" s="231">
        <v>163</v>
      </c>
      <c r="C181" s="129" t="e">
        <f>IF(VLOOKUP(B181,PROPONENTES!$B$19:$E$219,2,0)="","",VLOOKUP(B181,PROPONENTES!$B$19:$E$219,2,0))</f>
        <v>#N/A</v>
      </c>
      <c r="D181" s="130" t="e">
        <f>IF(VLOOKUP(B181,PROPONENTES!$B$19:$E$218,3,0)="","",VLOOKUP(B181,PROPONENTES!$B$19:$E$218,3,0))</f>
        <v>#N/A</v>
      </c>
      <c r="E181" s="135" t="s">
        <v>45</v>
      </c>
      <c r="F181" s="135" t="s">
        <v>45</v>
      </c>
      <c r="G181" s="135" t="s">
        <v>45</v>
      </c>
      <c r="H181" s="135" t="e">
        <f>IF(C181&lt;&gt;"",VLOOKUP(C181,HAB.EXP.ESP.!$C$27:$N$226,11,0),"")</f>
        <v>#N/A</v>
      </c>
      <c r="I181" s="351" t="str">
        <f t="shared" si="4"/>
        <v>HÁBIL</v>
      </c>
      <c r="K181" s="516" t="str">
        <f t="shared" si="5"/>
        <v>HÁBIL</v>
      </c>
    </row>
    <row r="182" spans="2:11" ht="13.5" hidden="1">
      <c r="B182" s="231">
        <v>164</v>
      </c>
      <c r="C182" s="129" t="e">
        <f>IF(VLOOKUP(B182,PROPONENTES!$B$19:$E$219,2,0)="","",VLOOKUP(B182,PROPONENTES!$B$19:$E$219,2,0))</f>
        <v>#N/A</v>
      </c>
      <c r="D182" s="130" t="e">
        <f>IF(VLOOKUP(B182,PROPONENTES!$B$19:$E$218,3,0)="","",VLOOKUP(B182,PROPONENTES!$B$19:$E$218,3,0))</f>
        <v>#N/A</v>
      </c>
      <c r="E182" s="135" t="s">
        <v>45</v>
      </c>
      <c r="F182" s="135" t="s">
        <v>45</v>
      </c>
      <c r="G182" s="135" t="s">
        <v>45</v>
      </c>
      <c r="H182" s="135" t="e">
        <f>IF(C182&lt;&gt;"",VLOOKUP(C182,HAB.EXP.ESP.!$C$27:$N$226,11,0),"")</f>
        <v>#N/A</v>
      </c>
      <c r="I182" s="351" t="str">
        <f t="shared" si="4"/>
        <v>HÁBIL</v>
      </c>
      <c r="K182" s="516" t="str">
        <f t="shared" si="5"/>
        <v>HÁBIL</v>
      </c>
    </row>
    <row r="183" spans="2:11" ht="13.5" hidden="1">
      <c r="B183" s="231">
        <v>165</v>
      </c>
      <c r="C183" s="129" t="e">
        <f>IF(VLOOKUP(B183,PROPONENTES!$B$19:$E$219,2,0)="","",VLOOKUP(B183,PROPONENTES!$B$19:$E$219,2,0))</f>
        <v>#N/A</v>
      </c>
      <c r="D183" s="130" t="e">
        <f>IF(VLOOKUP(B183,PROPONENTES!$B$19:$E$218,3,0)="","",VLOOKUP(B183,PROPONENTES!$B$19:$E$218,3,0))</f>
        <v>#N/A</v>
      </c>
      <c r="E183" s="135" t="s">
        <v>45</v>
      </c>
      <c r="F183" s="135" t="s">
        <v>45</v>
      </c>
      <c r="G183" s="135" t="s">
        <v>45</v>
      </c>
      <c r="H183" s="135" t="e">
        <f>IF(C183&lt;&gt;"",VLOOKUP(C183,HAB.EXP.ESP.!$C$27:$N$226,11,0),"")</f>
        <v>#N/A</v>
      </c>
      <c r="I183" s="351" t="str">
        <f t="shared" si="4"/>
        <v>HÁBIL</v>
      </c>
      <c r="K183" s="516" t="str">
        <f t="shared" si="5"/>
        <v>HÁBIL</v>
      </c>
    </row>
    <row r="184" spans="2:11" ht="13.5" hidden="1">
      <c r="B184" s="231">
        <v>166</v>
      </c>
      <c r="C184" s="129" t="e">
        <f>IF(VLOOKUP(B184,PROPONENTES!$B$19:$E$219,2,0)="","",VLOOKUP(B184,PROPONENTES!$B$19:$E$219,2,0))</f>
        <v>#N/A</v>
      </c>
      <c r="D184" s="130" t="e">
        <f>IF(VLOOKUP(B184,PROPONENTES!$B$19:$E$218,3,0)="","",VLOOKUP(B184,PROPONENTES!$B$19:$E$218,3,0))</f>
        <v>#N/A</v>
      </c>
      <c r="E184" s="135" t="s">
        <v>45</v>
      </c>
      <c r="F184" s="135" t="s">
        <v>45</v>
      </c>
      <c r="G184" s="135" t="s">
        <v>45</v>
      </c>
      <c r="H184" s="135" t="e">
        <f>IF(C184&lt;&gt;"",VLOOKUP(C184,HAB.EXP.ESP.!$C$27:$N$226,11,0),"")</f>
        <v>#N/A</v>
      </c>
      <c r="I184" s="351" t="str">
        <f t="shared" si="4"/>
        <v>HÁBIL</v>
      </c>
      <c r="K184" s="516" t="str">
        <f t="shared" si="5"/>
        <v>HÁBIL</v>
      </c>
    </row>
    <row r="185" spans="2:11" ht="13.5" hidden="1">
      <c r="B185" s="230">
        <v>167</v>
      </c>
      <c r="C185" s="129" t="e">
        <f>IF(VLOOKUP(B185,PROPONENTES!$B$19:$E$219,2,0)="","",VLOOKUP(B185,PROPONENTES!$B$19:$E$219,2,0))</f>
        <v>#N/A</v>
      </c>
      <c r="D185" s="130" t="e">
        <f>IF(VLOOKUP(B185,PROPONENTES!$B$19:$E$218,3,0)="","",VLOOKUP(B185,PROPONENTES!$B$19:$E$218,3,0))</f>
        <v>#N/A</v>
      </c>
      <c r="E185" s="135" t="s">
        <v>45</v>
      </c>
      <c r="F185" s="135" t="s">
        <v>45</v>
      </c>
      <c r="G185" s="135" t="s">
        <v>45</v>
      </c>
      <c r="H185" s="135" t="e">
        <f>IF(C185&lt;&gt;"",VLOOKUP(C185,HAB.EXP.ESP.!$C$27:$N$226,11,0),"")</f>
        <v>#N/A</v>
      </c>
      <c r="I185" s="351" t="str">
        <f t="shared" si="4"/>
        <v>HÁBIL</v>
      </c>
      <c r="K185" s="516" t="str">
        <f t="shared" si="5"/>
        <v>HÁBIL</v>
      </c>
    </row>
    <row r="186" spans="2:11" ht="13.5" hidden="1">
      <c r="B186" s="231">
        <v>168</v>
      </c>
      <c r="C186" s="129" t="e">
        <f>IF(VLOOKUP(B186,PROPONENTES!$B$19:$E$219,2,0)="","",VLOOKUP(B186,PROPONENTES!$B$19:$E$219,2,0))</f>
        <v>#N/A</v>
      </c>
      <c r="D186" s="130" t="e">
        <f>IF(VLOOKUP(B186,PROPONENTES!$B$19:$E$218,3,0)="","",VLOOKUP(B186,PROPONENTES!$B$19:$E$218,3,0))</f>
        <v>#N/A</v>
      </c>
      <c r="E186" s="135" t="s">
        <v>45</v>
      </c>
      <c r="F186" s="135" t="s">
        <v>45</v>
      </c>
      <c r="G186" s="135" t="s">
        <v>45</v>
      </c>
      <c r="H186" s="135" t="e">
        <f>IF(C186&lt;&gt;"",VLOOKUP(C186,HAB.EXP.ESP.!$C$27:$N$226,11,0),"")</f>
        <v>#N/A</v>
      </c>
      <c r="I186" s="351" t="str">
        <f t="shared" si="4"/>
        <v>HÁBIL</v>
      </c>
      <c r="K186" s="516" t="str">
        <f t="shared" si="5"/>
        <v>HÁBIL</v>
      </c>
    </row>
    <row r="187" spans="2:11" ht="13.5" hidden="1">
      <c r="B187" s="231">
        <v>169</v>
      </c>
      <c r="C187" s="129" t="e">
        <f>IF(VLOOKUP(B187,PROPONENTES!$B$19:$E$219,2,0)="","",VLOOKUP(B187,PROPONENTES!$B$19:$E$219,2,0))</f>
        <v>#N/A</v>
      </c>
      <c r="D187" s="130" t="e">
        <f>IF(VLOOKUP(B187,PROPONENTES!$B$19:$E$218,3,0)="","",VLOOKUP(B187,PROPONENTES!$B$19:$E$218,3,0))</f>
        <v>#N/A</v>
      </c>
      <c r="E187" s="135" t="s">
        <v>45</v>
      </c>
      <c r="F187" s="135" t="s">
        <v>45</v>
      </c>
      <c r="G187" s="135" t="s">
        <v>45</v>
      </c>
      <c r="H187" s="135" t="e">
        <f>IF(C187&lt;&gt;"",VLOOKUP(C187,HAB.EXP.ESP.!$C$27:$N$226,11,0),"")</f>
        <v>#N/A</v>
      </c>
      <c r="I187" s="351" t="str">
        <f t="shared" si="4"/>
        <v>HÁBIL</v>
      </c>
      <c r="K187" s="516" t="str">
        <f t="shared" si="5"/>
        <v>HÁBIL</v>
      </c>
    </row>
    <row r="188" spans="2:11" ht="13.5" hidden="1">
      <c r="B188" s="231">
        <v>170</v>
      </c>
      <c r="C188" s="129" t="e">
        <f>IF(VLOOKUP(B188,PROPONENTES!$B$19:$E$219,2,0)="","",VLOOKUP(B188,PROPONENTES!$B$19:$E$219,2,0))</f>
        <v>#N/A</v>
      </c>
      <c r="D188" s="130" t="e">
        <f>IF(VLOOKUP(B188,PROPONENTES!$B$19:$E$218,3,0)="","",VLOOKUP(B188,PROPONENTES!$B$19:$E$218,3,0))</f>
        <v>#N/A</v>
      </c>
      <c r="E188" s="135" t="s">
        <v>45</v>
      </c>
      <c r="F188" s="135" t="s">
        <v>45</v>
      </c>
      <c r="G188" s="135" t="s">
        <v>45</v>
      </c>
      <c r="H188" s="135" t="e">
        <f>IF(C188&lt;&gt;"",VLOOKUP(C188,HAB.EXP.ESP.!$C$27:$N$226,11,0),"")</f>
        <v>#N/A</v>
      </c>
      <c r="I188" s="351" t="str">
        <f t="shared" si="4"/>
        <v>HÁBIL</v>
      </c>
      <c r="K188" s="516" t="str">
        <f t="shared" si="5"/>
        <v>HÁBIL</v>
      </c>
    </row>
    <row r="189" spans="2:11" ht="13.5" hidden="1">
      <c r="B189" s="231">
        <v>171</v>
      </c>
      <c r="C189" s="129" t="e">
        <f>IF(VLOOKUP(B189,PROPONENTES!$B$19:$E$219,2,0)="","",VLOOKUP(B189,PROPONENTES!$B$19:$E$219,2,0))</f>
        <v>#N/A</v>
      </c>
      <c r="D189" s="130" t="e">
        <f>IF(VLOOKUP(B189,PROPONENTES!$B$19:$E$218,3,0)="","",VLOOKUP(B189,PROPONENTES!$B$19:$E$218,3,0))</f>
        <v>#N/A</v>
      </c>
      <c r="E189" s="135" t="s">
        <v>45</v>
      </c>
      <c r="F189" s="135" t="s">
        <v>45</v>
      </c>
      <c r="G189" s="135" t="s">
        <v>45</v>
      </c>
      <c r="H189" s="135" t="e">
        <f>IF(C189&lt;&gt;"",VLOOKUP(C189,HAB.EXP.ESP.!$C$27:$N$226,11,0),"")</f>
        <v>#N/A</v>
      </c>
      <c r="I189" s="351" t="str">
        <f t="shared" si="4"/>
        <v>HÁBIL</v>
      </c>
      <c r="K189" s="516" t="str">
        <f t="shared" si="5"/>
        <v>HÁBIL</v>
      </c>
    </row>
    <row r="190" spans="2:11" ht="13.5" hidden="1">
      <c r="B190" s="230">
        <v>172</v>
      </c>
      <c r="C190" s="129" t="e">
        <f>IF(VLOOKUP(B190,PROPONENTES!$B$19:$E$219,2,0)="","",VLOOKUP(B190,PROPONENTES!$B$19:$E$219,2,0))</f>
        <v>#N/A</v>
      </c>
      <c r="D190" s="130" t="e">
        <f>IF(VLOOKUP(B190,PROPONENTES!$B$19:$E$218,3,0)="","",VLOOKUP(B190,PROPONENTES!$B$19:$E$218,3,0))</f>
        <v>#N/A</v>
      </c>
      <c r="E190" s="135" t="s">
        <v>45</v>
      </c>
      <c r="F190" s="135" t="s">
        <v>45</v>
      </c>
      <c r="G190" s="135" t="s">
        <v>45</v>
      </c>
      <c r="H190" s="135" t="e">
        <f>IF(C190&lt;&gt;"",VLOOKUP(C190,HAB.EXP.ESP.!$C$27:$N$226,11,0),"")</f>
        <v>#N/A</v>
      </c>
      <c r="I190" s="351" t="str">
        <f t="shared" si="4"/>
        <v>HÁBIL</v>
      </c>
      <c r="K190" s="516" t="str">
        <f t="shared" si="5"/>
        <v>HÁBIL</v>
      </c>
    </row>
    <row r="191" spans="2:11" ht="13.5" hidden="1">
      <c r="B191" s="231">
        <v>173</v>
      </c>
      <c r="C191" s="129" t="e">
        <f>IF(VLOOKUP(B191,PROPONENTES!$B$19:$E$219,2,0)="","",VLOOKUP(B191,PROPONENTES!$B$19:$E$219,2,0))</f>
        <v>#N/A</v>
      </c>
      <c r="D191" s="130" t="e">
        <f>IF(VLOOKUP(B191,PROPONENTES!$B$19:$E$218,3,0)="","",VLOOKUP(B191,PROPONENTES!$B$19:$E$218,3,0))</f>
        <v>#N/A</v>
      </c>
      <c r="E191" s="135" t="s">
        <v>45</v>
      </c>
      <c r="F191" s="135" t="s">
        <v>45</v>
      </c>
      <c r="G191" s="135" t="s">
        <v>45</v>
      </c>
      <c r="H191" s="135" t="e">
        <f>IF(C191&lt;&gt;"",VLOOKUP(C191,HAB.EXP.ESP.!$C$27:$N$226,11,0),"")</f>
        <v>#N/A</v>
      </c>
      <c r="I191" s="351" t="str">
        <f t="shared" si="4"/>
        <v>HÁBIL</v>
      </c>
      <c r="K191" s="516" t="str">
        <f t="shared" si="5"/>
        <v>HÁBIL</v>
      </c>
    </row>
    <row r="192" spans="2:11" ht="13.5" hidden="1">
      <c r="B192" s="231">
        <v>174</v>
      </c>
      <c r="C192" s="129" t="e">
        <f>IF(VLOOKUP(B192,PROPONENTES!$B$19:$E$219,2,0)="","",VLOOKUP(B192,PROPONENTES!$B$19:$E$219,2,0))</f>
        <v>#N/A</v>
      </c>
      <c r="D192" s="130" t="e">
        <f>IF(VLOOKUP(B192,PROPONENTES!$B$19:$E$218,3,0)="","",VLOOKUP(B192,PROPONENTES!$B$19:$E$218,3,0))</f>
        <v>#N/A</v>
      </c>
      <c r="E192" s="135" t="s">
        <v>45</v>
      </c>
      <c r="F192" s="135" t="s">
        <v>45</v>
      </c>
      <c r="G192" s="135" t="s">
        <v>45</v>
      </c>
      <c r="H192" s="135" t="e">
        <f>IF(C192&lt;&gt;"",VLOOKUP(C192,HAB.EXP.ESP.!$C$27:$N$226,11,0),"")</f>
        <v>#N/A</v>
      </c>
      <c r="I192" s="351" t="str">
        <f t="shared" si="4"/>
        <v>HÁBIL</v>
      </c>
      <c r="K192" s="516" t="str">
        <f t="shared" si="5"/>
        <v>HÁBIL</v>
      </c>
    </row>
    <row r="193" spans="2:11" ht="13.5" hidden="1">
      <c r="B193" s="231">
        <v>175</v>
      </c>
      <c r="C193" s="129" t="e">
        <f>IF(VLOOKUP(B193,PROPONENTES!$B$19:$E$219,2,0)="","",VLOOKUP(B193,PROPONENTES!$B$19:$E$219,2,0))</f>
        <v>#N/A</v>
      </c>
      <c r="D193" s="130" t="e">
        <f>IF(VLOOKUP(B193,PROPONENTES!$B$19:$E$218,3,0)="","",VLOOKUP(B193,PROPONENTES!$B$19:$E$218,3,0))</f>
        <v>#N/A</v>
      </c>
      <c r="E193" s="135" t="s">
        <v>45</v>
      </c>
      <c r="F193" s="135" t="s">
        <v>45</v>
      </c>
      <c r="G193" s="135" t="s">
        <v>45</v>
      </c>
      <c r="H193" s="135" t="e">
        <f>IF(C193&lt;&gt;"",VLOOKUP(C193,HAB.EXP.ESP.!$C$27:$N$226,11,0),"")</f>
        <v>#N/A</v>
      </c>
      <c r="I193" s="351" t="str">
        <f t="shared" si="4"/>
        <v>HÁBIL</v>
      </c>
      <c r="K193" s="516" t="str">
        <f t="shared" si="5"/>
        <v>HÁBIL</v>
      </c>
    </row>
    <row r="194" spans="2:11" ht="13.5" hidden="1">
      <c r="B194" s="231">
        <v>176</v>
      </c>
      <c r="C194" s="129" t="e">
        <f>IF(VLOOKUP(B194,PROPONENTES!$B$19:$E$219,2,0)="","",VLOOKUP(B194,PROPONENTES!$B$19:$E$219,2,0))</f>
        <v>#N/A</v>
      </c>
      <c r="D194" s="130" t="e">
        <f>IF(VLOOKUP(B194,PROPONENTES!$B$19:$E$218,3,0)="","",VLOOKUP(B194,PROPONENTES!$B$19:$E$218,3,0))</f>
        <v>#N/A</v>
      </c>
      <c r="E194" s="135" t="s">
        <v>45</v>
      </c>
      <c r="F194" s="135" t="s">
        <v>45</v>
      </c>
      <c r="G194" s="135" t="s">
        <v>45</v>
      </c>
      <c r="H194" s="135" t="e">
        <f>IF(C194&lt;&gt;"",VLOOKUP(C194,HAB.EXP.ESP.!$C$27:$N$226,11,0),"")</f>
        <v>#N/A</v>
      </c>
      <c r="I194" s="351" t="str">
        <f t="shared" si="4"/>
        <v>HÁBIL</v>
      </c>
      <c r="K194" s="516" t="str">
        <f t="shared" si="5"/>
        <v>HÁBIL</v>
      </c>
    </row>
    <row r="195" spans="2:11" ht="13.5" hidden="1">
      <c r="B195" s="230">
        <v>177</v>
      </c>
      <c r="C195" s="129" t="e">
        <f>IF(VLOOKUP(B195,PROPONENTES!$B$19:$E$219,2,0)="","",VLOOKUP(B195,PROPONENTES!$B$19:$E$219,2,0))</f>
        <v>#N/A</v>
      </c>
      <c r="D195" s="130" t="e">
        <f>IF(VLOOKUP(B195,PROPONENTES!$B$19:$E$218,3,0)="","",VLOOKUP(B195,PROPONENTES!$B$19:$E$218,3,0))</f>
        <v>#N/A</v>
      </c>
      <c r="E195" s="135" t="s">
        <v>45</v>
      </c>
      <c r="F195" s="135" t="s">
        <v>45</v>
      </c>
      <c r="G195" s="135" t="s">
        <v>45</v>
      </c>
      <c r="H195" s="135" t="e">
        <f>IF(C195&lt;&gt;"",VLOOKUP(C195,HAB.EXP.ESP.!$C$27:$N$226,11,0),"")</f>
        <v>#N/A</v>
      </c>
      <c r="I195" s="351" t="str">
        <f t="shared" si="4"/>
        <v>HÁBIL</v>
      </c>
      <c r="K195" s="516" t="str">
        <f t="shared" si="5"/>
        <v>HÁBIL</v>
      </c>
    </row>
    <row r="196" spans="2:11" ht="13.5" hidden="1">
      <c r="B196" s="231">
        <v>178</v>
      </c>
      <c r="C196" s="129" t="e">
        <f>IF(VLOOKUP(B196,PROPONENTES!$B$19:$E$219,2,0)="","",VLOOKUP(B196,PROPONENTES!$B$19:$E$219,2,0))</f>
        <v>#N/A</v>
      </c>
      <c r="D196" s="130" t="e">
        <f>IF(VLOOKUP(B196,PROPONENTES!$B$19:$E$218,3,0)="","",VLOOKUP(B196,PROPONENTES!$B$19:$E$218,3,0))</f>
        <v>#N/A</v>
      </c>
      <c r="E196" s="135" t="s">
        <v>45</v>
      </c>
      <c r="F196" s="135" t="s">
        <v>45</v>
      </c>
      <c r="G196" s="135" t="s">
        <v>45</v>
      </c>
      <c r="H196" s="135" t="e">
        <f>IF(C196&lt;&gt;"",VLOOKUP(C196,HAB.EXP.ESP.!$C$27:$N$226,11,0),"")</f>
        <v>#N/A</v>
      </c>
      <c r="I196" s="351" t="str">
        <f t="shared" si="4"/>
        <v>HÁBIL</v>
      </c>
      <c r="K196" s="516" t="str">
        <f t="shared" si="5"/>
        <v>HÁBIL</v>
      </c>
    </row>
    <row r="197" spans="2:11" ht="13.5" hidden="1">
      <c r="B197" s="231">
        <v>179</v>
      </c>
      <c r="C197" s="129" t="e">
        <f>IF(VLOOKUP(B197,PROPONENTES!$B$19:$E$219,2,0)="","",VLOOKUP(B197,PROPONENTES!$B$19:$E$219,2,0))</f>
        <v>#N/A</v>
      </c>
      <c r="D197" s="130" t="e">
        <f>IF(VLOOKUP(B197,PROPONENTES!$B$19:$E$218,3,0)="","",VLOOKUP(B197,PROPONENTES!$B$19:$E$218,3,0))</f>
        <v>#N/A</v>
      </c>
      <c r="E197" s="135" t="s">
        <v>45</v>
      </c>
      <c r="F197" s="135" t="s">
        <v>45</v>
      </c>
      <c r="G197" s="135" t="s">
        <v>45</v>
      </c>
      <c r="H197" s="135" t="e">
        <f>IF(C197&lt;&gt;"",VLOOKUP(C197,HAB.EXP.ESP.!$C$27:$N$226,11,0),"")</f>
        <v>#N/A</v>
      </c>
      <c r="I197" s="351" t="str">
        <f t="shared" si="4"/>
        <v>HÁBIL</v>
      </c>
      <c r="K197" s="516" t="str">
        <f t="shared" si="5"/>
        <v>HÁBIL</v>
      </c>
    </row>
    <row r="198" spans="2:11" ht="13.5" hidden="1">
      <c r="B198" s="231">
        <v>180</v>
      </c>
      <c r="C198" s="129" t="e">
        <f>IF(VLOOKUP(B198,PROPONENTES!$B$19:$E$219,2,0)="","",VLOOKUP(B198,PROPONENTES!$B$19:$E$219,2,0))</f>
        <v>#N/A</v>
      </c>
      <c r="D198" s="130" t="e">
        <f>IF(VLOOKUP(B198,PROPONENTES!$B$19:$E$218,3,0)="","",VLOOKUP(B198,PROPONENTES!$B$19:$E$218,3,0))</f>
        <v>#N/A</v>
      </c>
      <c r="E198" s="135" t="s">
        <v>45</v>
      </c>
      <c r="F198" s="135" t="s">
        <v>45</v>
      </c>
      <c r="G198" s="135" t="s">
        <v>45</v>
      </c>
      <c r="H198" s="135" t="e">
        <f>IF(C198&lt;&gt;"",VLOOKUP(C198,HAB.EXP.ESP.!$C$27:$N$226,11,0),"")</f>
        <v>#N/A</v>
      </c>
      <c r="I198" s="351" t="str">
        <f t="shared" si="4"/>
        <v>HÁBIL</v>
      </c>
      <c r="K198" s="516" t="str">
        <f t="shared" si="5"/>
        <v>HÁBIL</v>
      </c>
    </row>
    <row r="199" spans="2:11" ht="13.5" hidden="1">
      <c r="B199" s="231">
        <v>181</v>
      </c>
      <c r="C199" s="129" t="e">
        <f>IF(VLOOKUP(B199,PROPONENTES!$B$19:$E$219,2,0)="","",VLOOKUP(B199,PROPONENTES!$B$19:$E$219,2,0))</f>
        <v>#N/A</v>
      </c>
      <c r="D199" s="130" t="e">
        <f>IF(VLOOKUP(B199,PROPONENTES!$B$19:$E$218,3,0)="","",VLOOKUP(B199,PROPONENTES!$B$19:$E$218,3,0))</f>
        <v>#N/A</v>
      </c>
      <c r="E199" s="135" t="s">
        <v>45</v>
      </c>
      <c r="F199" s="135" t="s">
        <v>45</v>
      </c>
      <c r="G199" s="135" t="s">
        <v>45</v>
      </c>
      <c r="H199" s="135" t="e">
        <f>IF(C199&lt;&gt;"",VLOOKUP(C199,HAB.EXP.ESP.!$C$27:$N$226,11,0),"")</f>
        <v>#N/A</v>
      </c>
      <c r="I199" s="351" t="str">
        <f t="shared" si="4"/>
        <v>HÁBIL</v>
      </c>
      <c r="K199" s="516" t="str">
        <f t="shared" si="5"/>
        <v>HÁBIL</v>
      </c>
    </row>
    <row r="200" spans="2:11" ht="13.5" hidden="1">
      <c r="B200" s="230">
        <v>182</v>
      </c>
      <c r="C200" s="129" t="e">
        <f>IF(VLOOKUP(B200,PROPONENTES!$B$19:$E$219,2,0)="","",VLOOKUP(B200,PROPONENTES!$B$19:$E$219,2,0))</f>
        <v>#N/A</v>
      </c>
      <c r="D200" s="130" t="e">
        <f>IF(VLOOKUP(B200,PROPONENTES!$B$19:$E$218,3,0)="","",VLOOKUP(B200,PROPONENTES!$B$19:$E$218,3,0))</f>
        <v>#N/A</v>
      </c>
      <c r="E200" s="135" t="s">
        <v>45</v>
      </c>
      <c r="F200" s="135" t="s">
        <v>45</v>
      </c>
      <c r="G200" s="135" t="s">
        <v>45</v>
      </c>
      <c r="H200" s="135" t="e">
        <f>IF(C200&lt;&gt;"",VLOOKUP(C200,HAB.EXP.ESP.!$C$27:$N$226,11,0),"")</f>
        <v>#N/A</v>
      </c>
      <c r="I200" s="351" t="str">
        <f t="shared" si="4"/>
        <v>HÁBIL</v>
      </c>
      <c r="K200" s="516" t="str">
        <f t="shared" si="5"/>
        <v>HÁBIL</v>
      </c>
    </row>
    <row r="201" spans="2:11" ht="13.5" hidden="1">
      <c r="B201" s="231">
        <v>183</v>
      </c>
      <c r="C201" s="129" t="e">
        <f>IF(VLOOKUP(B201,PROPONENTES!$B$19:$E$219,2,0)="","",VLOOKUP(B201,PROPONENTES!$B$19:$E$219,2,0))</f>
        <v>#N/A</v>
      </c>
      <c r="D201" s="130" t="e">
        <f>IF(VLOOKUP(B201,PROPONENTES!$B$19:$E$218,3,0)="","",VLOOKUP(B201,PROPONENTES!$B$19:$E$218,3,0))</f>
        <v>#N/A</v>
      </c>
      <c r="E201" s="135" t="s">
        <v>45</v>
      </c>
      <c r="F201" s="135" t="s">
        <v>45</v>
      </c>
      <c r="G201" s="135" t="s">
        <v>45</v>
      </c>
      <c r="H201" s="135" t="e">
        <f>IF(C201&lt;&gt;"",VLOOKUP(C201,HAB.EXP.ESP.!$C$27:$N$226,11,0),"")</f>
        <v>#N/A</v>
      </c>
      <c r="I201" s="351" t="str">
        <f t="shared" si="4"/>
        <v>HÁBIL</v>
      </c>
      <c r="K201" s="516" t="str">
        <f t="shared" si="5"/>
        <v>HÁBIL</v>
      </c>
    </row>
    <row r="202" spans="2:11" ht="13.5" hidden="1">
      <c r="B202" s="231">
        <v>184</v>
      </c>
      <c r="C202" s="129" t="e">
        <f>IF(VLOOKUP(B202,PROPONENTES!$B$19:$E$219,2,0)="","",VLOOKUP(B202,PROPONENTES!$B$19:$E$219,2,0))</f>
        <v>#N/A</v>
      </c>
      <c r="D202" s="130" t="e">
        <f>IF(VLOOKUP(B202,PROPONENTES!$B$19:$E$218,3,0)="","",VLOOKUP(B202,PROPONENTES!$B$19:$E$218,3,0))</f>
        <v>#N/A</v>
      </c>
      <c r="E202" s="135" t="s">
        <v>45</v>
      </c>
      <c r="F202" s="135" t="s">
        <v>45</v>
      </c>
      <c r="G202" s="135" t="s">
        <v>45</v>
      </c>
      <c r="H202" s="135" t="e">
        <f>IF(C202&lt;&gt;"",VLOOKUP(C202,HAB.EXP.ESP.!$C$27:$N$226,11,0),"")</f>
        <v>#N/A</v>
      </c>
      <c r="I202" s="351" t="str">
        <f t="shared" si="4"/>
        <v>HÁBIL</v>
      </c>
      <c r="K202" s="516" t="str">
        <f t="shared" si="5"/>
        <v>HÁBIL</v>
      </c>
    </row>
    <row r="203" spans="2:11" ht="13.5" hidden="1">
      <c r="B203" s="231">
        <v>185</v>
      </c>
      <c r="C203" s="129" t="e">
        <f>IF(VLOOKUP(B203,PROPONENTES!$B$19:$E$219,2,0)="","",VLOOKUP(B203,PROPONENTES!$B$19:$E$219,2,0))</f>
        <v>#N/A</v>
      </c>
      <c r="D203" s="130" t="e">
        <f>IF(VLOOKUP(B203,PROPONENTES!$B$19:$E$218,3,0)="","",VLOOKUP(B203,PROPONENTES!$B$19:$E$218,3,0))</f>
        <v>#N/A</v>
      </c>
      <c r="E203" s="135" t="s">
        <v>45</v>
      </c>
      <c r="F203" s="135" t="s">
        <v>45</v>
      </c>
      <c r="G203" s="135" t="s">
        <v>45</v>
      </c>
      <c r="H203" s="135" t="e">
        <f>IF(C203&lt;&gt;"",VLOOKUP(C203,HAB.EXP.ESP.!$C$27:$N$226,11,0),"")</f>
        <v>#N/A</v>
      </c>
      <c r="I203" s="351" t="str">
        <f t="shared" si="4"/>
        <v>HÁBIL</v>
      </c>
      <c r="K203" s="516" t="str">
        <f t="shared" si="5"/>
        <v>HÁBIL</v>
      </c>
    </row>
    <row r="204" spans="2:11" ht="13.5" hidden="1">
      <c r="B204" s="231">
        <v>186</v>
      </c>
      <c r="C204" s="129" t="e">
        <f>IF(VLOOKUP(B204,PROPONENTES!$B$19:$E$219,2,0)="","",VLOOKUP(B204,PROPONENTES!$B$19:$E$219,2,0))</f>
        <v>#N/A</v>
      </c>
      <c r="D204" s="130" t="e">
        <f>IF(VLOOKUP(B204,PROPONENTES!$B$19:$E$218,3,0)="","",VLOOKUP(B204,PROPONENTES!$B$19:$E$218,3,0))</f>
        <v>#N/A</v>
      </c>
      <c r="E204" s="135" t="s">
        <v>45</v>
      </c>
      <c r="F204" s="135" t="s">
        <v>45</v>
      </c>
      <c r="G204" s="135" t="s">
        <v>45</v>
      </c>
      <c r="H204" s="135" t="e">
        <f>IF(C204&lt;&gt;"",VLOOKUP(C204,HAB.EXP.ESP.!$C$27:$N$226,11,0),"")</f>
        <v>#N/A</v>
      </c>
      <c r="I204" s="351" t="str">
        <f t="shared" si="4"/>
        <v>HÁBIL</v>
      </c>
      <c r="K204" s="516" t="str">
        <f t="shared" si="5"/>
        <v>HÁBIL</v>
      </c>
    </row>
    <row r="205" spans="2:11" ht="13.5" hidden="1">
      <c r="B205" s="230">
        <v>187</v>
      </c>
      <c r="C205" s="129" t="e">
        <f>IF(VLOOKUP(B205,PROPONENTES!$B$19:$E$219,2,0)="","",VLOOKUP(B205,PROPONENTES!$B$19:$E$219,2,0))</f>
        <v>#N/A</v>
      </c>
      <c r="D205" s="130" t="e">
        <f>IF(VLOOKUP(B205,PROPONENTES!$B$19:$E$218,3,0)="","",VLOOKUP(B205,PROPONENTES!$B$19:$E$218,3,0))</f>
        <v>#N/A</v>
      </c>
      <c r="E205" s="135" t="s">
        <v>45</v>
      </c>
      <c r="F205" s="135" t="s">
        <v>45</v>
      </c>
      <c r="G205" s="135" t="s">
        <v>45</v>
      </c>
      <c r="H205" s="135" t="e">
        <f>IF(C205&lt;&gt;"",VLOOKUP(C205,HAB.EXP.ESP.!$C$27:$N$226,11,0),"")</f>
        <v>#N/A</v>
      </c>
      <c r="I205" s="351" t="str">
        <f t="shared" si="4"/>
        <v>HÁBIL</v>
      </c>
      <c r="K205" s="516" t="str">
        <f t="shared" si="5"/>
        <v>HÁBIL</v>
      </c>
    </row>
    <row r="206" spans="2:11" ht="13.5" hidden="1">
      <c r="B206" s="231">
        <v>188</v>
      </c>
      <c r="C206" s="129" t="e">
        <f>IF(VLOOKUP(B206,PROPONENTES!$B$19:$E$219,2,0)="","",VLOOKUP(B206,PROPONENTES!$B$19:$E$219,2,0))</f>
        <v>#N/A</v>
      </c>
      <c r="D206" s="130" t="e">
        <f>IF(VLOOKUP(B206,PROPONENTES!$B$19:$E$218,3,0)="","",VLOOKUP(B206,PROPONENTES!$B$19:$E$218,3,0))</f>
        <v>#N/A</v>
      </c>
      <c r="E206" s="135" t="s">
        <v>45</v>
      </c>
      <c r="F206" s="135" t="s">
        <v>45</v>
      </c>
      <c r="G206" s="135" t="s">
        <v>45</v>
      </c>
      <c r="H206" s="135" t="e">
        <f>IF(C206&lt;&gt;"",VLOOKUP(C206,HAB.EXP.ESP.!$C$27:$N$226,11,0),"")</f>
        <v>#N/A</v>
      </c>
      <c r="I206" s="351" t="str">
        <f t="shared" si="4"/>
        <v>HÁBIL</v>
      </c>
      <c r="K206" s="516" t="str">
        <f t="shared" si="5"/>
        <v>HÁBIL</v>
      </c>
    </row>
    <row r="207" spans="2:11" ht="13.5" hidden="1">
      <c r="B207" s="231">
        <v>189</v>
      </c>
      <c r="C207" s="129" t="e">
        <f>IF(VLOOKUP(B207,PROPONENTES!$B$19:$E$219,2,0)="","",VLOOKUP(B207,PROPONENTES!$B$19:$E$219,2,0))</f>
        <v>#N/A</v>
      </c>
      <c r="D207" s="130" t="e">
        <f>IF(VLOOKUP(B207,PROPONENTES!$B$19:$E$218,3,0)="","",VLOOKUP(B207,PROPONENTES!$B$19:$E$218,3,0))</f>
        <v>#N/A</v>
      </c>
      <c r="E207" s="135" t="s">
        <v>45</v>
      </c>
      <c r="F207" s="135" t="s">
        <v>45</v>
      </c>
      <c r="G207" s="135" t="s">
        <v>45</v>
      </c>
      <c r="H207" s="135" t="e">
        <f>IF(C207&lt;&gt;"",VLOOKUP(C207,HAB.EXP.ESP.!$C$27:$N$226,11,0),"")</f>
        <v>#N/A</v>
      </c>
      <c r="I207" s="351" t="str">
        <f t="shared" si="4"/>
        <v>HÁBIL</v>
      </c>
      <c r="K207" s="516" t="str">
        <f t="shared" si="5"/>
        <v>HÁBIL</v>
      </c>
    </row>
    <row r="208" spans="2:11" ht="13.5" hidden="1">
      <c r="B208" s="231">
        <v>190</v>
      </c>
      <c r="C208" s="129" t="e">
        <f>IF(VLOOKUP(B208,PROPONENTES!$B$19:$E$219,2,0)="","",VLOOKUP(B208,PROPONENTES!$B$19:$E$219,2,0))</f>
        <v>#N/A</v>
      </c>
      <c r="D208" s="130" t="e">
        <f>IF(VLOOKUP(B208,PROPONENTES!$B$19:$E$218,3,0)="","",VLOOKUP(B208,PROPONENTES!$B$19:$E$218,3,0))</f>
        <v>#N/A</v>
      </c>
      <c r="E208" s="135" t="s">
        <v>45</v>
      </c>
      <c r="F208" s="135" t="s">
        <v>45</v>
      </c>
      <c r="G208" s="135" t="s">
        <v>45</v>
      </c>
      <c r="H208" s="135" t="e">
        <f>IF(C208&lt;&gt;"",VLOOKUP(C208,HAB.EXP.ESP.!$C$27:$N$226,11,0),"")</f>
        <v>#N/A</v>
      </c>
      <c r="I208" s="351" t="str">
        <f>IF(OR(COUNTIF(E208:H208,"")=4,COUNTIF(E208:H208,"")&gt;0),"",IF(COUNTIF(E208:H208,"RECHAZO")&gt;0,"RECHAZO",IF(COUNTIF(E208:H208,"NO HÁBIL")=0,"HÁBIL","NO HÁBIL")))</f>
        <v>HÁBIL</v>
      </c>
      <c r="K208" s="516" t="str">
        <f t="shared" si="5"/>
        <v>HÁBIL</v>
      </c>
    </row>
    <row r="209" spans="2:11" ht="13.5" hidden="1">
      <c r="B209" s="231">
        <v>191</v>
      </c>
      <c r="C209" s="129" t="e">
        <f>IF(VLOOKUP(B209,PROPONENTES!$B$19:$E$219,2,0)="","",VLOOKUP(B209,PROPONENTES!$B$19:$E$219,2,0))</f>
        <v>#N/A</v>
      </c>
      <c r="D209" s="130" t="e">
        <f>IF(VLOOKUP(B209,PROPONENTES!$B$19:$E$218,3,0)="","",VLOOKUP(B209,PROPONENTES!$B$19:$E$218,3,0))</f>
        <v>#N/A</v>
      </c>
      <c r="E209" s="135" t="s">
        <v>45</v>
      </c>
      <c r="F209" s="135" t="s">
        <v>45</v>
      </c>
      <c r="G209" s="135" t="s">
        <v>45</v>
      </c>
      <c r="H209" s="135" t="e">
        <f>IF(C209&lt;&gt;"",VLOOKUP(C209,HAB.EXP.ESP.!$C$27:$N$226,11,0),"")</f>
        <v>#N/A</v>
      </c>
      <c r="I209" s="351" t="str">
        <f t="shared" si="4"/>
        <v>HÁBIL</v>
      </c>
      <c r="K209" s="516" t="str">
        <f t="shared" si="5"/>
        <v>HÁBIL</v>
      </c>
    </row>
    <row r="210" spans="2:11" ht="13.5" hidden="1">
      <c r="B210" s="230">
        <v>192</v>
      </c>
      <c r="C210" s="129" t="e">
        <f>IF(VLOOKUP(B210,PROPONENTES!$B$19:$E$219,2,0)="","",VLOOKUP(B210,PROPONENTES!$B$19:$E$219,2,0))</f>
        <v>#N/A</v>
      </c>
      <c r="D210" s="130" t="e">
        <f>IF(VLOOKUP(B210,PROPONENTES!$B$19:$E$218,3,0)="","",VLOOKUP(B210,PROPONENTES!$B$19:$E$218,3,0))</f>
        <v>#N/A</v>
      </c>
      <c r="E210" s="135" t="s">
        <v>45</v>
      </c>
      <c r="F210" s="135" t="s">
        <v>45</v>
      </c>
      <c r="G210" s="135" t="s">
        <v>45</v>
      </c>
      <c r="H210" s="135" t="e">
        <f>IF(C210&lt;&gt;"",VLOOKUP(C210,HAB.EXP.ESP.!$C$27:$N$226,11,0),"")</f>
        <v>#N/A</v>
      </c>
      <c r="I210" s="351" t="str">
        <f t="shared" si="4"/>
        <v>HÁBIL</v>
      </c>
      <c r="K210" s="516" t="str">
        <f t="shared" si="5"/>
        <v>HÁBIL</v>
      </c>
    </row>
    <row r="211" spans="2:11" ht="13.5" hidden="1">
      <c r="B211" s="231">
        <v>193</v>
      </c>
      <c r="C211" s="129" t="e">
        <f>IF(VLOOKUP(B211,PROPONENTES!$B$19:$E$219,2,0)="","",VLOOKUP(B211,PROPONENTES!$B$19:$E$219,2,0))</f>
        <v>#N/A</v>
      </c>
      <c r="D211" s="130" t="e">
        <f>IF(VLOOKUP(B211,PROPONENTES!$B$19:$E$218,3,0)="","",VLOOKUP(B211,PROPONENTES!$B$19:$E$218,3,0))</f>
        <v>#N/A</v>
      </c>
      <c r="E211" s="135" t="s">
        <v>45</v>
      </c>
      <c r="F211" s="135" t="s">
        <v>45</v>
      </c>
      <c r="G211" s="135" t="s">
        <v>45</v>
      </c>
      <c r="H211" s="135" t="e">
        <f>IF(C211&lt;&gt;"",VLOOKUP(C211,HAB.EXP.ESP.!$C$27:$N$226,11,0),"")</f>
        <v>#N/A</v>
      </c>
      <c r="I211" s="351" t="str">
        <f t="shared" si="4"/>
        <v>HÁBIL</v>
      </c>
      <c r="K211" s="516" t="str">
        <f t="shared" si="5"/>
        <v>HÁBIL</v>
      </c>
    </row>
    <row r="212" spans="2:11" ht="13.5" hidden="1">
      <c r="B212" s="231">
        <v>194</v>
      </c>
      <c r="C212" s="129" t="e">
        <f>IF(VLOOKUP(B212,PROPONENTES!$B$19:$E$219,2,0)="","",VLOOKUP(B212,PROPONENTES!$B$19:$E$219,2,0))</f>
        <v>#N/A</v>
      </c>
      <c r="D212" s="130" t="e">
        <f>IF(VLOOKUP(B212,PROPONENTES!$B$19:$E$218,3,0)="","",VLOOKUP(B212,PROPONENTES!$B$19:$E$218,3,0))</f>
        <v>#N/A</v>
      </c>
      <c r="E212" s="135" t="s">
        <v>45</v>
      </c>
      <c r="F212" s="135" t="s">
        <v>45</v>
      </c>
      <c r="G212" s="135" t="s">
        <v>45</v>
      </c>
      <c r="H212" s="135" t="e">
        <f>IF(C212&lt;&gt;"",VLOOKUP(C212,HAB.EXP.ESP.!$C$27:$N$226,11,0),"")</f>
        <v>#N/A</v>
      </c>
      <c r="I212" s="351" t="str">
        <f t="shared" ref="I212:I218" si="6">IF(OR(COUNTIF(E212:H212,"")=4,COUNTIF(E212:H212,"")&gt;0),"",IF(COUNTIF(E212:H212,"RECHAZO")&gt;0,"RECHAZO",IF(COUNTIF(E212:H212,"NO HÁBIL")=0,"HÁBIL","NO HÁBIL")))</f>
        <v>HÁBIL</v>
      </c>
      <c r="K212" s="516" t="str">
        <f t="shared" ref="K212:K218" si="7">IF(OR(COUNTIF(E212:G212,"")=3,COUNTIF(E212:G212,"")&gt;0),"",IF(COUNTIF(E212:G212,"RECHAZO")&gt;0,"RECHAZO",IF(COUNTIF(E212:G212,"NO HÁBIL")&gt;0,"NO HÁBIL","HÁBIL")))</f>
        <v>HÁBIL</v>
      </c>
    </row>
    <row r="213" spans="2:11" ht="13.5" hidden="1">
      <c r="B213" s="231">
        <v>195</v>
      </c>
      <c r="C213" s="129" t="e">
        <f>IF(VLOOKUP(B213,PROPONENTES!$B$19:$E$219,2,0)="","",VLOOKUP(B213,PROPONENTES!$B$19:$E$219,2,0))</f>
        <v>#N/A</v>
      </c>
      <c r="D213" s="130" t="e">
        <f>IF(VLOOKUP(B213,PROPONENTES!$B$19:$E$218,3,0)="","",VLOOKUP(B213,PROPONENTES!$B$19:$E$218,3,0))</f>
        <v>#N/A</v>
      </c>
      <c r="E213" s="135" t="s">
        <v>45</v>
      </c>
      <c r="F213" s="135" t="s">
        <v>45</v>
      </c>
      <c r="G213" s="135" t="s">
        <v>45</v>
      </c>
      <c r="H213" s="135" t="e">
        <f>IF(C213&lt;&gt;"",VLOOKUP(C213,HAB.EXP.ESP.!$C$27:$N$226,11,0),"")</f>
        <v>#N/A</v>
      </c>
      <c r="I213" s="351" t="str">
        <f t="shared" si="6"/>
        <v>HÁBIL</v>
      </c>
      <c r="K213" s="516" t="str">
        <f t="shared" si="7"/>
        <v>HÁBIL</v>
      </c>
    </row>
    <row r="214" spans="2:11" ht="13.5" hidden="1">
      <c r="B214" s="231">
        <v>196</v>
      </c>
      <c r="C214" s="129" t="e">
        <f>IF(VLOOKUP(B214,PROPONENTES!$B$19:$E$219,2,0)="","",VLOOKUP(B214,PROPONENTES!$B$19:$E$219,2,0))</f>
        <v>#N/A</v>
      </c>
      <c r="D214" s="130" t="e">
        <f>IF(VLOOKUP(B214,PROPONENTES!$B$19:$E$218,3,0)="","",VLOOKUP(B214,PROPONENTES!$B$19:$E$218,3,0))</f>
        <v>#N/A</v>
      </c>
      <c r="E214" s="135" t="s">
        <v>45</v>
      </c>
      <c r="F214" s="135" t="s">
        <v>45</v>
      </c>
      <c r="G214" s="135" t="s">
        <v>45</v>
      </c>
      <c r="H214" s="135" t="e">
        <f>IF(C214&lt;&gt;"",VLOOKUP(C214,HAB.EXP.ESP.!$C$27:$N$226,11,0),"")</f>
        <v>#N/A</v>
      </c>
      <c r="I214" s="351" t="str">
        <f t="shared" si="6"/>
        <v>HÁBIL</v>
      </c>
      <c r="K214" s="516" t="str">
        <f t="shared" si="7"/>
        <v>HÁBIL</v>
      </c>
    </row>
    <row r="215" spans="2:11" ht="13.5" hidden="1">
      <c r="B215" s="230">
        <v>197</v>
      </c>
      <c r="C215" s="129" t="e">
        <f>IF(VLOOKUP(B215,PROPONENTES!$B$19:$E$219,2,0)="","",VLOOKUP(B215,PROPONENTES!$B$19:$E$219,2,0))</f>
        <v>#N/A</v>
      </c>
      <c r="D215" s="130" t="e">
        <f>IF(VLOOKUP(B215,PROPONENTES!$B$19:$E$218,3,0)="","",VLOOKUP(B215,PROPONENTES!$B$19:$E$218,3,0))</f>
        <v>#N/A</v>
      </c>
      <c r="E215" s="135" t="s">
        <v>45</v>
      </c>
      <c r="F215" s="135" t="s">
        <v>45</v>
      </c>
      <c r="G215" s="135" t="s">
        <v>45</v>
      </c>
      <c r="H215" s="135" t="e">
        <f>IF(C215&lt;&gt;"",VLOOKUP(C215,HAB.EXP.ESP.!$C$27:$N$226,11,0),"")</f>
        <v>#N/A</v>
      </c>
      <c r="I215" s="351" t="str">
        <f t="shared" si="6"/>
        <v>HÁBIL</v>
      </c>
      <c r="K215" s="516" t="str">
        <f t="shared" si="7"/>
        <v>HÁBIL</v>
      </c>
    </row>
    <row r="216" spans="2:11" ht="13.5" hidden="1">
      <c r="B216" s="231">
        <v>198</v>
      </c>
      <c r="C216" s="129" t="e">
        <f>IF(VLOOKUP(B216,PROPONENTES!$B$19:$E$219,2,0)="","",VLOOKUP(B216,PROPONENTES!$B$19:$E$219,2,0))</f>
        <v>#N/A</v>
      </c>
      <c r="D216" s="130" t="e">
        <f>IF(VLOOKUP(B216,PROPONENTES!$B$19:$E$218,3,0)="","",VLOOKUP(B216,PROPONENTES!$B$19:$E$218,3,0))</f>
        <v>#N/A</v>
      </c>
      <c r="E216" s="135" t="s">
        <v>45</v>
      </c>
      <c r="F216" s="135" t="s">
        <v>45</v>
      </c>
      <c r="G216" s="135" t="s">
        <v>45</v>
      </c>
      <c r="H216" s="135" t="e">
        <f>IF(C216&lt;&gt;"",VLOOKUP(C216,HAB.EXP.ESP.!$C$27:$N$226,11,0),"")</f>
        <v>#N/A</v>
      </c>
      <c r="I216" s="351" t="str">
        <f t="shared" si="6"/>
        <v>HÁBIL</v>
      </c>
      <c r="K216" s="516" t="str">
        <f t="shared" si="7"/>
        <v>HÁBIL</v>
      </c>
    </row>
    <row r="217" spans="2:11" ht="13.5" hidden="1">
      <c r="B217" s="231">
        <v>199</v>
      </c>
      <c r="C217" s="129" t="e">
        <f>IF(VLOOKUP(B217,PROPONENTES!$B$19:$E$219,2,0)="","",VLOOKUP(B217,PROPONENTES!$B$19:$E$219,2,0))</f>
        <v>#N/A</v>
      </c>
      <c r="D217" s="130" t="e">
        <f>IF(VLOOKUP(B217,PROPONENTES!$B$19:$E$218,3,0)="","",VLOOKUP(B217,PROPONENTES!$B$19:$E$218,3,0))</f>
        <v>#N/A</v>
      </c>
      <c r="E217" s="135" t="s">
        <v>45</v>
      </c>
      <c r="F217" s="135" t="s">
        <v>45</v>
      </c>
      <c r="G217" s="135" t="s">
        <v>45</v>
      </c>
      <c r="H217" s="135" t="e">
        <f>IF(C217&lt;&gt;"",VLOOKUP(C217,HAB.EXP.ESP.!$C$27:$N$226,11,0),"")</f>
        <v>#N/A</v>
      </c>
      <c r="I217" s="351" t="str">
        <f t="shared" si="6"/>
        <v>HÁBIL</v>
      </c>
      <c r="K217" s="516" t="str">
        <f t="shared" si="7"/>
        <v>HÁBIL</v>
      </c>
    </row>
    <row r="218" spans="2:11" ht="13.5" hidden="1">
      <c r="B218" s="231">
        <v>200</v>
      </c>
      <c r="C218" s="129" t="e">
        <f>IF(VLOOKUP(B218,PROPONENTES!$B$19:$E$219,2,0)="","",VLOOKUP(B218,PROPONENTES!$B$19:$E$219,2,0))</f>
        <v>#N/A</v>
      </c>
      <c r="D218" s="130" t="e">
        <f>IF(VLOOKUP(B218,PROPONENTES!$B$19:$E$218,3,0)="","",VLOOKUP(B218,PROPONENTES!$B$19:$E$218,3,0))</f>
        <v>#N/A</v>
      </c>
      <c r="E218" s="135" t="s">
        <v>45</v>
      </c>
      <c r="F218" s="135" t="s">
        <v>45</v>
      </c>
      <c r="G218" s="135" t="s">
        <v>45</v>
      </c>
      <c r="H218" s="135" t="e">
        <f>IF(C218&lt;&gt;"",VLOOKUP(C218,HAB.EXP.ESP.!$C$27:$N$226,11,0),"")</f>
        <v>#N/A</v>
      </c>
      <c r="I218" s="351" t="str">
        <f t="shared" si="6"/>
        <v>HÁBIL</v>
      </c>
      <c r="K218" s="516" t="str">
        <f t="shared" si="7"/>
        <v>HÁBIL</v>
      </c>
    </row>
    <row r="219" spans="2:11" ht="6.75" customHeight="1" thickBot="1">
      <c r="B219" s="232"/>
      <c r="C219" s="233"/>
      <c r="D219" s="234"/>
      <c r="E219" s="235"/>
      <c r="F219" s="235"/>
      <c r="G219" s="235"/>
      <c r="H219" s="348"/>
      <c r="I219" s="349"/>
    </row>
    <row r="220" spans="2:11" ht="18" customHeight="1">
      <c r="B220" s="131"/>
      <c r="C220" s="131"/>
      <c r="D220" s="132"/>
      <c r="E220" s="133"/>
      <c r="F220" s="133"/>
      <c r="G220" s="133"/>
      <c r="H220" s="133"/>
    </row>
  </sheetData>
  <sheetProtection insertRows="0" deleteRows="0" selectLockedCells="1"/>
  <mergeCells count="18">
    <mergeCell ref="B14:I14"/>
    <mergeCell ref="B15:B17"/>
    <mergeCell ref="C15:C17"/>
    <mergeCell ref="D15:D17"/>
    <mergeCell ref="E15:E17"/>
    <mergeCell ref="F15:F17"/>
    <mergeCell ref="H15:H17"/>
    <mergeCell ref="I15:I16"/>
    <mergeCell ref="G15:G17"/>
    <mergeCell ref="B9:I9"/>
    <mergeCell ref="B11:I11"/>
    <mergeCell ref="B12:I12"/>
    <mergeCell ref="B1:I1"/>
    <mergeCell ref="B2:I2"/>
    <mergeCell ref="B3:I3"/>
    <mergeCell ref="B4:I4"/>
    <mergeCell ref="B6:I6"/>
    <mergeCell ref="B7:I7"/>
  </mergeCells>
  <conditionalFormatting sqref="B19:D218">
    <cfRule type="expression" dxfId="27" priority="34" stopIfTrue="1">
      <formula>MOD(ROW(),2)</formula>
    </cfRule>
  </conditionalFormatting>
  <conditionalFormatting sqref="E19:G218">
    <cfRule type="cellIs" dxfId="26" priority="16" stopIfTrue="1" operator="equal">
      <formula>"CUMPLE"</formula>
    </cfRule>
    <cfRule type="cellIs" dxfId="25" priority="17" stopIfTrue="1" operator="equal">
      <formula>"NO CUMPLE"</formula>
    </cfRule>
    <cfRule type="cellIs" dxfId="24" priority="18" stopIfTrue="1" operator="equal">
      <formula>"HÁBIL"</formula>
    </cfRule>
    <cfRule type="cellIs" dxfId="23" priority="19" stopIfTrue="1" operator="equal">
      <formula>"NO HÁBIL"</formula>
    </cfRule>
    <cfRule type="cellIs" dxfId="22" priority="20" stopIfTrue="1" operator="equal">
      <formula>"NO APLICA"</formula>
    </cfRule>
  </conditionalFormatting>
  <conditionalFormatting sqref="I19:I218">
    <cfRule type="cellIs" dxfId="21" priority="9" stopIfTrue="1" operator="equal">
      <formula>"CUMPLE"</formula>
    </cfRule>
    <cfRule type="cellIs" dxfId="20" priority="10" stopIfTrue="1" operator="equal">
      <formula>"NO CUMPLE"</formula>
    </cfRule>
    <cfRule type="cellIs" dxfId="19" priority="11" stopIfTrue="1" operator="equal">
      <formula>"HÁBIL"</formula>
    </cfRule>
    <cfRule type="cellIs" dxfId="18" priority="12" stopIfTrue="1" operator="equal">
      <formula>"NO HÁBIL"</formula>
    </cfRule>
    <cfRule type="cellIs" dxfId="17" priority="13" stopIfTrue="1" operator="equal">
      <formula>"NO APLICA"</formula>
    </cfRule>
  </conditionalFormatting>
  <conditionalFormatting sqref="H19:H218">
    <cfRule type="cellIs" dxfId="16" priority="2" stopIfTrue="1" operator="equal">
      <formula>"CUMPLE"</formula>
    </cfRule>
    <cfRule type="cellIs" dxfId="15" priority="3" stopIfTrue="1" operator="equal">
      <formula>"NO CUMPLE"</formula>
    </cfRule>
    <cfRule type="cellIs" dxfId="14" priority="4" stopIfTrue="1" operator="equal">
      <formula>"HÁBIL"</formula>
    </cfRule>
    <cfRule type="cellIs" dxfId="13" priority="5" stopIfTrue="1" operator="equal">
      <formula>"NO HÁBIL"</formula>
    </cfRule>
    <cfRule type="cellIs" dxfId="12" priority="6" stopIfTrue="1" operator="equal">
      <formula>"NO APLICA"</formula>
    </cfRule>
  </conditionalFormatting>
  <dataValidations count="1">
    <dataValidation type="list" allowBlank="1" showInputMessage="1" showErrorMessage="1" sqref="E19:G218">
      <formula1>HABILIDAD</formula1>
    </dataValidation>
  </dataValidations>
  <printOptions horizontalCentered="1"/>
  <pageMargins left="0.39370078740157483" right="0.39370078740157483" top="0.39370078740157483" bottom="1.5748031496062993" header="0" footer="0"/>
  <pageSetup scale="75" fitToHeight="0" orientation="portrait" horizontalDpi="1200" verticalDpi="12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>
    <tabColor theme="9" tint="0.39997558519241921"/>
    <pageSetUpPr fitToPage="1"/>
  </sheetPr>
  <dimension ref="A1:L221"/>
  <sheetViews>
    <sheetView showGridLines="0" view="pageBreakPreview" topLeftCell="A13" zoomScaleNormal="90" zoomScaleSheetLayoutView="100" workbookViewId="0">
      <selection activeCell="E21" sqref="E21"/>
    </sheetView>
  </sheetViews>
  <sheetFormatPr baseColWidth="10" defaultRowHeight="15"/>
  <cols>
    <col min="1" max="1" width="1.42578125" style="258" customWidth="1"/>
    <col min="2" max="2" width="16.42578125" style="258" customWidth="1"/>
    <col min="3" max="3" width="15.42578125" style="258" hidden="1" customWidth="1"/>
    <col min="4" max="4" width="45.7109375" style="258" customWidth="1"/>
    <col min="5" max="5" width="16" style="258" customWidth="1"/>
    <col min="6" max="6" width="14.140625" style="258" customWidth="1"/>
    <col min="7" max="7" width="14.28515625" style="258" customWidth="1"/>
    <col min="8" max="8" width="18.140625" style="258" customWidth="1"/>
    <col min="9" max="9" width="15.28515625" style="258" customWidth="1"/>
    <col min="10" max="10" width="13.140625" style="258" customWidth="1"/>
    <col min="11" max="11" width="41.28515625" style="258" customWidth="1"/>
    <col min="12" max="12" width="11.42578125" style="258" hidden="1" customWidth="1"/>
    <col min="13" max="16384" width="11.42578125" style="258"/>
  </cols>
  <sheetData>
    <row r="1" spans="1:11" s="4" customFormat="1" ht="15" customHeight="1">
      <c r="A1" s="248"/>
      <c r="B1" s="867" t="str">
        <f>PROPONENTES!B1</f>
        <v>INSTITUTO NACIONAL DE VÍAS</v>
      </c>
      <c r="C1" s="867"/>
      <c r="D1" s="867"/>
      <c r="E1" s="867"/>
      <c r="F1" s="867"/>
      <c r="G1" s="867"/>
      <c r="H1" s="867"/>
      <c r="I1" s="867"/>
      <c r="J1" s="867"/>
      <c r="K1" s="867"/>
    </row>
    <row r="2" spans="1:11" s="2" customFormat="1" ht="15" customHeight="1">
      <c r="A2" s="251"/>
      <c r="B2" s="867" t="str">
        <f>PROPONENTES!B2</f>
        <v>DIRECCIÓN TERRITORIAL HUILA</v>
      </c>
      <c r="C2" s="867"/>
      <c r="D2" s="867"/>
      <c r="E2" s="867"/>
      <c r="F2" s="867"/>
      <c r="G2" s="867"/>
      <c r="H2" s="867"/>
      <c r="I2" s="867"/>
      <c r="J2" s="867"/>
      <c r="K2" s="867"/>
    </row>
    <row r="3" spans="1:11" s="2" customFormat="1" ht="15" customHeight="1">
      <c r="A3" s="251"/>
      <c r="B3" s="867"/>
      <c r="C3" s="867"/>
      <c r="D3" s="867"/>
      <c r="E3" s="867"/>
      <c r="F3" s="867"/>
      <c r="G3" s="867"/>
      <c r="H3" s="867"/>
      <c r="I3" s="867"/>
      <c r="J3" s="867"/>
      <c r="K3" s="867"/>
    </row>
    <row r="4" spans="1:11" s="2" customFormat="1" ht="12.75" customHeight="1">
      <c r="A4" s="251"/>
      <c r="B4" s="867"/>
      <c r="C4" s="867"/>
      <c r="D4" s="867"/>
      <c r="E4" s="867"/>
      <c r="F4" s="867"/>
      <c r="G4" s="867"/>
      <c r="H4" s="867"/>
      <c r="I4" s="867"/>
      <c r="J4" s="867"/>
      <c r="K4" s="867"/>
    </row>
    <row r="5" spans="1:11" s="2" customFormat="1" ht="12.75">
      <c r="A5" s="251"/>
      <c r="B5" s="249"/>
      <c r="C5" s="3"/>
      <c r="D5" s="252"/>
      <c r="E5" s="252"/>
      <c r="F5" s="252"/>
      <c r="G5" s="252"/>
      <c r="H5" s="252"/>
      <c r="I5" s="252"/>
      <c r="J5" s="252"/>
      <c r="K5" s="252"/>
    </row>
    <row r="6" spans="1:11" s="2" customFormat="1" ht="12.75">
      <c r="A6" s="251"/>
      <c r="B6" s="867" t="str">
        <f>+PROPONENTES!B6</f>
        <v>CONCURSO DE MÉRITOS ABIERTO</v>
      </c>
      <c r="C6" s="867"/>
      <c r="D6" s="867"/>
      <c r="E6" s="867"/>
      <c r="F6" s="867"/>
      <c r="G6" s="867"/>
      <c r="H6" s="867"/>
      <c r="I6" s="867"/>
      <c r="J6" s="867"/>
      <c r="K6" s="867"/>
    </row>
    <row r="7" spans="1:11" s="6" customFormat="1" ht="12.75" customHeight="1">
      <c r="A7" s="251"/>
      <c r="B7" s="867" t="str">
        <f>PROPONENTES!B7</f>
        <v>CMA-DT-HUI-002-2019</v>
      </c>
      <c r="C7" s="867"/>
      <c r="D7" s="867"/>
      <c r="E7" s="867"/>
      <c r="F7" s="867"/>
      <c r="G7" s="867"/>
      <c r="H7" s="867"/>
      <c r="I7" s="867"/>
      <c r="J7" s="867"/>
      <c r="K7" s="867"/>
    </row>
    <row r="8" spans="1:11" s="6" customFormat="1" ht="15.75">
      <c r="A8" s="251"/>
      <c r="B8" s="249"/>
      <c r="C8" s="255"/>
      <c r="D8" s="253"/>
      <c r="E8" s="253"/>
      <c r="F8" s="253"/>
      <c r="G8" s="253"/>
      <c r="H8" s="253"/>
      <c r="I8" s="253"/>
      <c r="J8" s="253"/>
      <c r="K8" s="253"/>
    </row>
    <row r="9" spans="1:11" s="6" customFormat="1" ht="51" customHeight="1">
      <c r="A9" s="251"/>
      <c r="B9" s="867" t="str">
        <f>PROPONENTES!B9</f>
        <v>OBJETO: "INTERVENTORIA TECNICA, ADMINISTRATIVA, FINANCIERA, AMBIENTAL , ATENCIÓN SITIOS CRITICOS CONSTRUCCIÓN PUENTE QUEBRADA PÌEDRAS NEGRAS MUNICIPIO DE SALADOBLANCO CARRETERA LA CABAÑA-MORELIA, CÓDIGO 19787 (PRODUCTO SITIO CRÍTICO DE RED TERCIARIA ESTABILIZADA).”</v>
      </c>
      <c r="C9" s="867"/>
      <c r="D9" s="867"/>
      <c r="E9" s="867"/>
      <c r="F9" s="867"/>
      <c r="G9" s="867"/>
      <c r="H9" s="867"/>
      <c r="I9" s="867"/>
      <c r="J9" s="867"/>
      <c r="K9" s="867"/>
    </row>
    <row r="10" spans="1:11" s="6" customFormat="1" ht="15.75">
      <c r="A10" s="251"/>
      <c r="B10" s="249"/>
      <c r="C10" s="255"/>
      <c r="D10" s="253"/>
      <c r="E10" s="253"/>
      <c r="F10" s="253"/>
      <c r="G10" s="253"/>
      <c r="H10" s="253"/>
      <c r="I10" s="253"/>
      <c r="J10" s="253"/>
      <c r="K10" s="253"/>
    </row>
    <row r="11" spans="1:11" s="6" customFormat="1" ht="15.75" customHeight="1">
      <c r="A11" s="251"/>
      <c r="B11" s="867" t="str">
        <f>PROPONENTES!B11</f>
        <v>MÓDULO No. 1</v>
      </c>
      <c r="C11" s="867"/>
      <c r="D11" s="867"/>
      <c r="E11" s="867"/>
      <c r="F11" s="867"/>
      <c r="G11" s="867"/>
      <c r="H11" s="867"/>
      <c r="I11" s="867"/>
      <c r="J11" s="867"/>
      <c r="K11" s="867"/>
    </row>
    <row r="12" spans="1:11" s="6" customFormat="1" ht="15.75">
      <c r="A12" s="251"/>
      <c r="B12" s="249"/>
      <c r="C12" s="255"/>
      <c r="D12" s="253"/>
      <c r="E12" s="253"/>
      <c r="F12" s="253"/>
      <c r="G12" s="253"/>
      <c r="H12" s="253"/>
      <c r="I12" s="253"/>
      <c r="J12" s="253"/>
      <c r="K12" s="253"/>
    </row>
    <row r="13" spans="1:11" s="6" customFormat="1" ht="12.75">
      <c r="A13" s="251"/>
      <c r="B13" s="641" t="s">
        <v>350</v>
      </c>
      <c r="C13" s="641"/>
      <c r="D13" s="641"/>
      <c r="E13" s="641"/>
      <c r="F13" s="641"/>
      <c r="G13" s="641"/>
      <c r="H13" s="641"/>
      <c r="I13" s="641"/>
      <c r="J13" s="641"/>
      <c r="K13" s="641"/>
    </row>
    <row r="14" spans="1:11">
      <c r="A14" s="256"/>
      <c r="B14" s="641" t="s">
        <v>250</v>
      </c>
      <c r="C14" s="641"/>
      <c r="D14" s="641"/>
      <c r="E14" s="641"/>
      <c r="F14" s="641"/>
      <c r="G14" s="641"/>
      <c r="H14" s="641"/>
      <c r="I14" s="641"/>
      <c r="J14" s="641"/>
      <c r="K14" s="641"/>
    </row>
    <row r="15" spans="1:11" ht="15.75" thickBot="1"/>
    <row r="16" spans="1:11" s="290" customFormat="1" ht="15.75" customHeight="1" thickTop="1">
      <c r="B16" s="880" t="s">
        <v>38</v>
      </c>
      <c r="C16" s="883" t="s">
        <v>159</v>
      </c>
      <c r="D16" s="883" t="s">
        <v>16</v>
      </c>
      <c r="E16" s="890" t="s">
        <v>197</v>
      </c>
      <c r="F16" s="884" t="s">
        <v>160</v>
      </c>
      <c r="G16" s="885"/>
      <c r="H16" s="885"/>
      <c r="I16" s="886"/>
      <c r="J16" s="887" t="s">
        <v>161</v>
      </c>
      <c r="K16" s="875" t="s">
        <v>162</v>
      </c>
    </row>
    <row r="17" spans="2:12" s="290" customFormat="1" ht="15" customHeight="1">
      <c r="B17" s="881"/>
      <c r="C17" s="878"/>
      <c r="D17" s="878"/>
      <c r="E17" s="891"/>
      <c r="F17" s="878" t="s">
        <v>163</v>
      </c>
      <c r="G17" s="878"/>
      <c r="H17" s="878" t="s">
        <v>338</v>
      </c>
      <c r="I17" s="878" t="s">
        <v>164</v>
      </c>
      <c r="J17" s="888"/>
      <c r="K17" s="876"/>
    </row>
    <row r="18" spans="2:12" s="290" customFormat="1" ht="70.5" customHeight="1" thickBot="1">
      <c r="B18" s="882"/>
      <c r="C18" s="879"/>
      <c r="D18" s="879"/>
      <c r="E18" s="892"/>
      <c r="F18" s="408" t="s">
        <v>166</v>
      </c>
      <c r="G18" s="408" t="s">
        <v>165</v>
      </c>
      <c r="H18" s="879"/>
      <c r="I18" s="879"/>
      <c r="J18" s="889"/>
      <c r="K18" s="877"/>
    </row>
    <row r="19" spans="2:12" s="292" customFormat="1" ht="8.25" customHeight="1">
      <c r="B19" s="293"/>
      <c r="C19" s="294"/>
      <c r="D19" s="295"/>
      <c r="E19" s="295"/>
      <c r="F19" s="295"/>
      <c r="G19" s="295"/>
      <c r="H19" s="295"/>
      <c r="I19" s="296"/>
      <c r="J19" s="296"/>
      <c r="K19" s="297"/>
    </row>
    <row r="20" spans="2:12" s="292" customFormat="1" ht="13.5">
      <c r="B20" s="298">
        <f>PROPONENTES!C19</f>
        <v>1</v>
      </c>
      <c r="C20" s="299">
        <v>1</v>
      </c>
      <c r="D20" s="300" t="str">
        <f>VLOOKUP(B20,PROPONENTES!$C$19:$E$218,2,FALSE)</f>
        <v>CONSORCIO JC 2019</v>
      </c>
      <c r="E20" s="135" t="str">
        <f>VLOOKUP(B20,HAB.GEN.!$C$19:$I$218,7,FALSE)</f>
        <v>NO HÁBIL</v>
      </c>
      <c r="F20" s="385">
        <f>VLOOKUP(B20,PON.EXP.ESP.!$C$30:$J$229,6,FALSE)</f>
        <v>0</v>
      </c>
      <c r="G20" s="383">
        <f>VLOOKUP(B20,PON.EXP.ESP.!$C$30:$J$229,8,FALSE)</f>
        <v>0</v>
      </c>
      <c r="H20" s="383">
        <f>VLOOKUP(B20,VIN.PERS.DISC.!$B$19:$D$218,3,FALSE)</f>
        <v>10</v>
      </c>
      <c r="I20" s="384">
        <f>VLOOKUP(B20,'APOYO A IND. NAL.'!$B$19:$D$218,3,FALSE)</f>
        <v>100</v>
      </c>
      <c r="J20" s="384">
        <f>IF(E20&lt;&gt;"HÁBIL",0,SUM(F20:I20))</f>
        <v>0</v>
      </c>
      <c r="K20" s="301"/>
      <c r="L20" s="411">
        <f>B20</f>
        <v>1</v>
      </c>
    </row>
    <row r="21" spans="2:12" s="292" customFormat="1" ht="13.5">
      <c r="B21" s="298">
        <f>PROPONENTES!C20</f>
        <v>2</v>
      </c>
      <c r="C21" s="299">
        <v>2</v>
      </c>
      <c r="D21" s="300" t="str">
        <f>VLOOKUP(B21,PROPONENTES!$C$19:$E$218,2,FALSE)</f>
        <v>CONSORCIO MORELIA JPD</v>
      </c>
      <c r="E21" s="135" t="str">
        <f>VLOOKUP(B21,HAB.GEN.!$C$19:$I$218,7,FALSE)</f>
        <v>HÁBIL</v>
      </c>
      <c r="F21" s="385">
        <f>VLOOKUP(B21,PON.EXP.ESP.!$C$30:$J$229,6,FALSE)</f>
        <v>225.98699999999999</v>
      </c>
      <c r="G21" s="383">
        <f>VLOOKUP(B21,PON.EXP.ESP.!$C$30:$J$229,8,FALSE)</f>
        <v>468.976</v>
      </c>
      <c r="H21" s="383">
        <f>VLOOKUP(B21,VIN.PERS.DISC.!$B$19:$D$218,3,FALSE)</f>
        <v>10</v>
      </c>
      <c r="I21" s="384">
        <f>VLOOKUP(B21,'APOYO A IND. NAL.'!$B$19:$D$218,3,FALSE)</f>
        <v>100</v>
      </c>
      <c r="J21" s="384">
        <f t="shared" ref="J21:J84" si="0">IF(E21&lt;&gt;"HÁBIL",0,SUM(F21:I21))</f>
        <v>804.96299999999997</v>
      </c>
      <c r="K21" s="301"/>
      <c r="L21" s="411">
        <f t="shared" ref="L21:L84" si="1">B21</f>
        <v>2</v>
      </c>
    </row>
    <row r="22" spans="2:12" s="292" customFormat="1" ht="13.5">
      <c r="B22" s="298">
        <f>PROPONENTES!C21</f>
        <v>3</v>
      </c>
      <c r="C22" s="299">
        <v>3</v>
      </c>
      <c r="D22" s="300" t="str">
        <f>VLOOKUP(B22,PROPONENTES!$C$19:$E$218,2,FALSE)</f>
        <v>UCING LTDA</v>
      </c>
      <c r="E22" s="135" t="str">
        <f>VLOOKUP(B22,HAB.GEN.!$C$19:$I$218,7,FALSE)</f>
        <v>HÁBIL</v>
      </c>
      <c r="F22" s="385">
        <f>VLOOKUP(B22,PON.EXP.ESP.!$C$30:$J$229,6,FALSE)</f>
        <v>262.07299999999998</v>
      </c>
      <c r="G22" s="383">
        <f>VLOOKUP(B22,PON.EXP.ESP.!$C$30:$J$229,8,FALSE)</f>
        <v>594.63699999999994</v>
      </c>
      <c r="H22" s="383">
        <f>VLOOKUP(B22,VIN.PERS.DISC.!$B$19:$D$218,3,FALSE)</f>
        <v>0</v>
      </c>
      <c r="I22" s="384">
        <f>VLOOKUP(B22,'APOYO A IND. NAL.'!$B$19:$D$218,3,FALSE)</f>
        <v>100</v>
      </c>
      <c r="J22" s="384">
        <f t="shared" si="0"/>
        <v>956.70999999999992</v>
      </c>
      <c r="K22" s="301"/>
      <c r="L22" s="411">
        <f t="shared" si="1"/>
        <v>3</v>
      </c>
    </row>
    <row r="23" spans="2:12" s="292" customFormat="1" ht="13.5">
      <c r="B23" s="298">
        <f>PROPONENTES!C22</f>
        <v>4</v>
      </c>
      <c r="C23" s="299">
        <v>4</v>
      </c>
      <c r="D23" s="300" t="str">
        <f>VLOOKUP(B23,PROPONENTES!$C$19:$E$218,2,FALSE)</f>
        <v>SOTA</v>
      </c>
      <c r="E23" s="135" t="str">
        <f>VLOOKUP(B23,HAB.GEN.!$C$19:$I$218,7,FALSE)</f>
        <v>NO HÁBIL</v>
      </c>
      <c r="F23" s="385">
        <f>VLOOKUP(B23,PON.EXP.ESP.!$C$30:$J$229,6,FALSE)</f>
        <v>0</v>
      </c>
      <c r="G23" s="383">
        <f>VLOOKUP(B23,PON.EXP.ESP.!$C$30:$J$229,8,FALSE)</f>
        <v>0</v>
      </c>
      <c r="H23" s="383">
        <f>VLOOKUP(B23,VIN.PERS.DISC.!$B$19:$D$218,3,FALSE)</f>
        <v>10</v>
      </c>
      <c r="I23" s="384">
        <f>VLOOKUP(B23,'APOYO A IND. NAL.'!$B$19:$D$218,3,FALSE)</f>
        <v>100</v>
      </c>
      <c r="J23" s="384">
        <f t="shared" si="0"/>
        <v>0</v>
      </c>
      <c r="K23" s="301"/>
      <c r="L23" s="411">
        <f t="shared" si="1"/>
        <v>4</v>
      </c>
    </row>
    <row r="24" spans="2:12" s="292" customFormat="1" ht="13.5">
      <c r="B24" s="298"/>
      <c r="C24" s="299"/>
      <c r="D24" s="300"/>
      <c r="E24" s="135"/>
      <c r="F24" s="385"/>
      <c r="G24" s="383"/>
      <c r="H24" s="383"/>
      <c r="I24" s="384"/>
      <c r="J24" s="384"/>
      <c r="K24" s="301"/>
      <c r="L24" s="411">
        <f t="shared" si="1"/>
        <v>0</v>
      </c>
    </row>
    <row r="25" spans="2:12" s="292" customFormat="1" ht="13.5">
      <c r="B25" s="298"/>
      <c r="C25" s="299"/>
      <c r="D25" s="300"/>
      <c r="E25" s="135"/>
      <c r="F25" s="385"/>
      <c r="G25" s="383"/>
      <c r="H25" s="383"/>
      <c r="I25" s="384"/>
      <c r="J25" s="384"/>
      <c r="K25" s="301"/>
      <c r="L25" s="411">
        <f t="shared" si="1"/>
        <v>0</v>
      </c>
    </row>
    <row r="26" spans="2:12" s="292" customFormat="1" ht="13.5">
      <c r="B26" s="298"/>
      <c r="C26" s="299"/>
      <c r="D26" s="300"/>
      <c r="E26" s="135"/>
      <c r="F26" s="385"/>
      <c r="G26" s="383"/>
      <c r="H26" s="383"/>
      <c r="I26" s="384"/>
      <c r="J26" s="384"/>
      <c r="K26" s="301"/>
      <c r="L26" s="411">
        <f t="shared" si="1"/>
        <v>0</v>
      </c>
    </row>
    <row r="27" spans="2:12" s="292" customFormat="1" ht="13.5">
      <c r="B27" s="298"/>
      <c r="C27" s="299"/>
      <c r="D27" s="300"/>
      <c r="E27" s="135"/>
      <c r="F27" s="385"/>
      <c r="G27" s="383"/>
      <c r="H27" s="383"/>
      <c r="I27" s="384"/>
      <c r="J27" s="384"/>
      <c r="K27" s="301"/>
      <c r="L27" s="411">
        <f t="shared" si="1"/>
        <v>0</v>
      </c>
    </row>
    <row r="28" spans="2:12" s="292" customFormat="1" ht="13.5">
      <c r="B28" s="298"/>
      <c r="C28" s="299"/>
      <c r="D28" s="300"/>
      <c r="E28" s="135"/>
      <c r="F28" s="385"/>
      <c r="G28" s="383"/>
      <c r="H28" s="383"/>
      <c r="I28" s="384"/>
      <c r="J28" s="384"/>
      <c r="K28" s="301"/>
      <c r="L28" s="411">
        <f t="shared" si="1"/>
        <v>0</v>
      </c>
    </row>
    <row r="29" spans="2:12" s="292" customFormat="1" ht="13.5">
      <c r="B29" s="298"/>
      <c r="C29" s="299"/>
      <c r="D29" s="300"/>
      <c r="E29" s="135"/>
      <c r="F29" s="385"/>
      <c r="G29" s="383"/>
      <c r="H29" s="383"/>
      <c r="I29" s="384"/>
      <c r="J29" s="384"/>
      <c r="K29" s="301"/>
      <c r="L29" s="411">
        <f t="shared" si="1"/>
        <v>0</v>
      </c>
    </row>
    <row r="30" spans="2:12" s="292" customFormat="1" ht="13.5">
      <c r="B30" s="298"/>
      <c r="C30" s="299"/>
      <c r="D30" s="300"/>
      <c r="E30" s="135"/>
      <c r="F30" s="385"/>
      <c r="G30" s="383"/>
      <c r="H30" s="383"/>
      <c r="I30" s="384"/>
      <c r="J30" s="384"/>
      <c r="K30" s="301"/>
      <c r="L30" s="411">
        <f t="shared" si="1"/>
        <v>0</v>
      </c>
    </row>
    <row r="31" spans="2:12" s="292" customFormat="1" ht="13.5">
      <c r="B31" s="298"/>
      <c r="C31" s="299"/>
      <c r="D31" s="300"/>
      <c r="E31" s="135"/>
      <c r="F31" s="385"/>
      <c r="G31" s="383"/>
      <c r="H31" s="383"/>
      <c r="I31" s="384"/>
      <c r="J31" s="384"/>
      <c r="K31" s="301"/>
      <c r="L31" s="411">
        <f t="shared" si="1"/>
        <v>0</v>
      </c>
    </row>
    <row r="32" spans="2:12" s="292" customFormat="1" ht="13.5">
      <c r="B32" s="298"/>
      <c r="C32" s="299"/>
      <c r="D32" s="300"/>
      <c r="E32" s="135"/>
      <c r="F32" s="385"/>
      <c r="G32" s="383"/>
      <c r="H32" s="383"/>
      <c r="I32" s="384"/>
      <c r="J32" s="384"/>
      <c r="K32" s="301"/>
      <c r="L32" s="411">
        <f t="shared" si="1"/>
        <v>0</v>
      </c>
    </row>
    <row r="33" spans="2:12" s="292" customFormat="1" ht="13.5">
      <c r="B33" s="298"/>
      <c r="C33" s="299"/>
      <c r="D33" s="300"/>
      <c r="E33" s="135"/>
      <c r="F33" s="385"/>
      <c r="G33" s="383"/>
      <c r="H33" s="383"/>
      <c r="I33" s="384"/>
      <c r="J33" s="384"/>
      <c r="K33" s="301"/>
      <c r="L33" s="411">
        <f t="shared" si="1"/>
        <v>0</v>
      </c>
    </row>
    <row r="34" spans="2:12" s="292" customFormat="1" ht="13.5" hidden="1">
      <c r="B34" s="298">
        <f>PROPONENTES!C33</f>
        <v>0</v>
      </c>
      <c r="C34" s="299">
        <v>15</v>
      </c>
      <c r="D34" s="300" t="e">
        <f>VLOOKUP(B34,PROPONENTES!$C$19:$E$218,2,FALSE)</f>
        <v>#N/A</v>
      </c>
      <c r="E34" s="135" t="e">
        <f>VLOOKUP(B34,HAB.GEN.!$C$19:$I$218,7,FALSE)</f>
        <v>#N/A</v>
      </c>
      <c r="F34" s="385" t="e">
        <f>VLOOKUP(B34,PON.EXP.ESP.!$C$30:$J$229,6,FALSE)</f>
        <v>#N/A</v>
      </c>
      <c r="G34" s="383" t="e">
        <f>VLOOKUP(B34,PON.EXP.ESP.!$C$30:$J$229,8,FALSE)</f>
        <v>#N/A</v>
      </c>
      <c r="H34" s="383">
        <f>VLOOKUP(B34,VIN.PERS.DISC.!$B$19:$D$218,3,FALSE)</f>
        <v>0</v>
      </c>
      <c r="I34" s="384">
        <f>VLOOKUP(B34,'APOYO A IND. NAL.'!$B$19:$D$218,3,FALSE)</f>
        <v>0</v>
      </c>
      <c r="J34" s="384" t="e">
        <f t="shared" si="0"/>
        <v>#N/A</v>
      </c>
      <c r="K34" s="301"/>
      <c r="L34" s="411">
        <f t="shared" si="1"/>
        <v>0</v>
      </c>
    </row>
    <row r="35" spans="2:12" s="292" customFormat="1" ht="13.5" hidden="1">
      <c r="B35" s="298">
        <f>PROPONENTES!C34</f>
        <v>0</v>
      </c>
      <c r="C35" s="299">
        <v>16</v>
      </c>
      <c r="D35" s="300" t="e">
        <f>VLOOKUP(B35,PROPONENTES!$C$19:$E$218,2,FALSE)</f>
        <v>#N/A</v>
      </c>
      <c r="E35" s="135" t="e">
        <f>VLOOKUP(B35,HAB.GEN.!$C$19:$I$218,7,FALSE)</f>
        <v>#N/A</v>
      </c>
      <c r="F35" s="385" t="e">
        <f>VLOOKUP(B35,PON.EXP.ESP.!$C$30:$J$229,6,FALSE)</f>
        <v>#N/A</v>
      </c>
      <c r="G35" s="383" t="e">
        <f>VLOOKUP(B35,PON.EXP.ESP.!$C$30:$J$229,8,FALSE)</f>
        <v>#N/A</v>
      </c>
      <c r="H35" s="383">
        <f>VLOOKUP(B35,VIN.PERS.DISC.!$B$19:$D$218,3,FALSE)</f>
        <v>0</v>
      </c>
      <c r="I35" s="384">
        <f>VLOOKUP(B35,'APOYO A IND. NAL.'!$B$19:$D$218,3,FALSE)</f>
        <v>0</v>
      </c>
      <c r="J35" s="384" t="e">
        <f t="shared" si="0"/>
        <v>#N/A</v>
      </c>
      <c r="K35" s="301"/>
      <c r="L35" s="411">
        <f t="shared" si="1"/>
        <v>0</v>
      </c>
    </row>
    <row r="36" spans="2:12" s="292" customFormat="1" ht="13.5" hidden="1">
      <c r="B36" s="298">
        <f>PROPONENTES!C35</f>
        <v>0</v>
      </c>
      <c r="C36" s="299">
        <v>17</v>
      </c>
      <c r="D36" s="300" t="e">
        <f>VLOOKUP(B36,PROPONENTES!$C$19:$E$218,2,FALSE)</f>
        <v>#N/A</v>
      </c>
      <c r="E36" s="135" t="e">
        <f>VLOOKUP(B36,HAB.GEN.!$C$19:$I$218,7,FALSE)</f>
        <v>#N/A</v>
      </c>
      <c r="F36" s="385" t="e">
        <f>VLOOKUP(B36,PON.EXP.ESP.!$C$30:$J$229,6,FALSE)</f>
        <v>#N/A</v>
      </c>
      <c r="G36" s="383" t="e">
        <f>VLOOKUP(B36,PON.EXP.ESP.!$C$30:$J$229,8,FALSE)</f>
        <v>#N/A</v>
      </c>
      <c r="H36" s="383">
        <f>VLOOKUP(B36,VIN.PERS.DISC.!$B$19:$D$218,3,FALSE)</f>
        <v>0</v>
      </c>
      <c r="I36" s="384">
        <f>VLOOKUP(B36,'APOYO A IND. NAL.'!$B$19:$D$218,3,FALSE)</f>
        <v>0</v>
      </c>
      <c r="J36" s="384" t="e">
        <f t="shared" si="0"/>
        <v>#N/A</v>
      </c>
      <c r="K36" s="301"/>
      <c r="L36" s="411">
        <f t="shared" si="1"/>
        <v>0</v>
      </c>
    </row>
    <row r="37" spans="2:12" s="292" customFormat="1" ht="13.5" hidden="1">
      <c r="B37" s="298">
        <f>PROPONENTES!C36</f>
        <v>0</v>
      </c>
      <c r="C37" s="299">
        <v>18</v>
      </c>
      <c r="D37" s="300" t="e">
        <f>VLOOKUP(B37,PROPONENTES!$C$19:$E$218,2,FALSE)</f>
        <v>#N/A</v>
      </c>
      <c r="E37" s="135" t="e">
        <f>VLOOKUP(B37,HAB.GEN.!$C$19:$I$218,7,FALSE)</f>
        <v>#N/A</v>
      </c>
      <c r="F37" s="385" t="e">
        <f>VLOOKUP(B37,PON.EXP.ESP.!$C$30:$J$229,6,FALSE)</f>
        <v>#N/A</v>
      </c>
      <c r="G37" s="383" t="e">
        <f>VLOOKUP(B37,PON.EXP.ESP.!$C$30:$J$229,8,FALSE)</f>
        <v>#N/A</v>
      </c>
      <c r="H37" s="383">
        <f>VLOOKUP(B37,VIN.PERS.DISC.!$B$19:$D$218,3,FALSE)</f>
        <v>0</v>
      </c>
      <c r="I37" s="384">
        <f>VLOOKUP(B37,'APOYO A IND. NAL.'!$B$19:$D$218,3,FALSE)</f>
        <v>0</v>
      </c>
      <c r="J37" s="384" t="e">
        <f t="shared" si="0"/>
        <v>#N/A</v>
      </c>
      <c r="K37" s="301"/>
      <c r="L37" s="411">
        <f t="shared" si="1"/>
        <v>0</v>
      </c>
    </row>
    <row r="38" spans="2:12" s="292" customFormat="1" ht="13.5" hidden="1">
      <c r="B38" s="298">
        <f>PROPONENTES!C37</f>
        <v>0</v>
      </c>
      <c r="C38" s="299">
        <v>19</v>
      </c>
      <c r="D38" s="300" t="e">
        <f>VLOOKUP(B38,PROPONENTES!$C$19:$E$218,2,FALSE)</f>
        <v>#N/A</v>
      </c>
      <c r="E38" s="135" t="e">
        <f>VLOOKUP(B38,HAB.GEN.!$C$19:$I$218,7,FALSE)</f>
        <v>#N/A</v>
      </c>
      <c r="F38" s="385" t="e">
        <f>VLOOKUP(B38,PON.EXP.ESP.!$C$30:$J$229,6,FALSE)</f>
        <v>#N/A</v>
      </c>
      <c r="G38" s="383" t="e">
        <f>VLOOKUP(B38,PON.EXP.ESP.!$C$30:$J$229,8,FALSE)</f>
        <v>#N/A</v>
      </c>
      <c r="H38" s="383">
        <f>VLOOKUP(B38,VIN.PERS.DISC.!$B$19:$D$218,3,FALSE)</f>
        <v>0</v>
      </c>
      <c r="I38" s="384">
        <f>VLOOKUP(B38,'APOYO A IND. NAL.'!$B$19:$D$218,3,FALSE)</f>
        <v>0</v>
      </c>
      <c r="J38" s="384" t="e">
        <f t="shared" si="0"/>
        <v>#N/A</v>
      </c>
      <c r="K38" s="301"/>
      <c r="L38" s="411">
        <f t="shared" si="1"/>
        <v>0</v>
      </c>
    </row>
    <row r="39" spans="2:12" s="292" customFormat="1" ht="13.5" hidden="1">
      <c r="B39" s="298">
        <f>PROPONENTES!C38</f>
        <v>0</v>
      </c>
      <c r="C39" s="299">
        <v>20</v>
      </c>
      <c r="D39" s="300" t="e">
        <f>VLOOKUP(B39,PROPONENTES!$C$19:$E$218,2,FALSE)</f>
        <v>#N/A</v>
      </c>
      <c r="E39" s="135" t="e">
        <f>VLOOKUP(B39,HAB.GEN.!$C$19:$I$218,7,FALSE)</f>
        <v>#N/A</v>
      </c>
      <c r="F39" s="385" t="e">
        <f>VLOOKUP(B39,PON.EXP.ESP.!$C$30:$J$229,6,FALSE)</f>
        <v>#N/A</v>
      </c>
      <c r="G39" s="383" t="e">
        <f>VLOOKUP(B39,PON.EXP.ESP.!$C$30:$J$229,8,FALSE)</f>
        <v>#N/A</v>
      </c>
      <c r="H39" s="383">
        <f>VLOOKUP(B39,VIN.PERS.DISC.!$B$19:$D$218,3,FALSE)</f>
        <v>0</v>
      </c>
      <c r="I39" s="384">
        <f>VLOOKUP(B39,'APOYO A IND. NAL.'!$B$19:$D$218,3,FALSE)</f>
        <v>0</v>
      </c>
      <c r="J39" s="384" t="e">
        <f t="shared" si="0"/>
        <v>#N/A</v>
      </c>
      <c r="K39" s="301"/>
      <c r="L39" s="411">
        <f t="shared" si="1"/>
        <v>0</v>
      </c>
    </row>
    <row r="40" spans="2:12" s="292" customFormat="1" ht="13.5" hidden="1">
      <c r="B40" s="298">
        <f>PROPONENTES!C39</f>
        <v>0</v>
      </c>
      <c r="C40" s="299">
        <v>21</v>
      </c>
      <c r="D40" s="300" t="e">
        <f>VLOOKUP(B40,PROPONENTES!$C$19:$E$218,2,FALSE)</f>
        <v>#N/A</v>
      </c>
      <c r="E40" s="135" t="e">
        <f>VLOOKUP(B40,HAB.GEN.!$C$19:$I$218,7,FALSE)</f>
        <v>#N/A</v>
      </c>
      <c r="F40" s="385" t="e">
        <f>VLOOKUP(B40,PON.EXP.ESP.!$C$30:$J$229,6,FALSE)</f>
        <v>#N/A</v>
      </c>
      <c r="G40" s="383" t="e">
        <f>VLOOKUP(B40,PON.EXP.ESP.!$C$30:$J$229,8,FALSE)</f>
        <v>#N/A</v>
      </c>
      <c r="H40" s="383">
        <f>VLOOKUP(B40,VIN.PERS.DISC.!$B$19:$D$218,3,FALSE)</f>
        <v>0</v>
      </c>
      <c r="I40" s="384">
        <f>VLOOKUP(B40,'APOYO A IND. NAL.'!$B$19:$D$218,3,FALSE)</f>
        <v>0</v>
      </c>
      <c r="J40" s="384" t="e">
        <f t="shared" si="0"/>
        <v>#N/A</v>
      </c>
      <c r="K40" s="301"/>
      <c r="L40" s="411">
        <f t="shared" si="1"/>
        <v>0</v>
      </c>
    </row>
    <row r="41" spans="2:12" s="292" customFormat="1" ht="13.5" hidden="1">
      <c r="B41" s="298">
        <f>PROPONENTES!C40</f>
        <v>0</v>
      </c>
      <c r="C41" s="299">
        <v>22</v>
      </c>
      <c r="D41" s="300" t="e">
        <f>VLOOKUP(B41,PROPONENTES!$C$19:$E$218,2,FALSE)</f>
        <v>#N/A</v>
      </c>
      <c r="E41" s="135" t="e">
        <f>VLOOKUP(B41,HAB.GEN.!$C$19:$I$218,7,FALSE)</f>
        <v>#N/A</v>
      </c>
      <c r="F41" s="385" t="e">
        <f>VLOOKUP(B41,PON.EXP.ESP.!$C$30:$J$229,6,FALSE)</f>
        <v>#N/A</v>
      </c>
      <c r="G41" s="383" t="e">
        <f>VLOOKUP(B41,PON.EXP.ESP.!$C$30:$J$229,8,FALSE)</f>
        <v>#N/A</v>
      </c>
      <c r="H41" s="383">
        <f>VLOOKUP(B41,VIN.PERS.DISC.!$B$19:$D$218,3,FALSE)</f>
        <v>0</v>
      </c>
      <c r="I41" s="384">
        <f>VLOOKUP(B41,'APOYO A IND. NAL.'!$B$19:$D$218,3,FALSE)</f>
        <v>0</v>
      </c>
      <c r="J41" s="384" t="e">
        <f t="shared" si="0"/>
        <v>#N/A</v>
      </c>
      <c r="K41" s="301"/>
      <c r="L41" s="411">
        <f t="shared" si="1"/>
        <v>0</v>
      </c>
    </row>
    <row r="42" spans="2:12" s="292" customFormat="1" ht="13.5" hidden="1">
      <c r="B42" s="298">
        <f>PROPONENTES!C41</f>
        <v>0</v>
      </c>
      <c r="C42" s="299">
        <v>23</v>
      </c>
      <c r="D42" s="300" t="e">
        <f>VLOOKUP(B42,PROPONENTES!$C$19:$E$218,2,FALSE)</f>
        <v>#N/A</v>
      </c>
      <c r="E42" s="135" t="e">
        <f>VLOOKUP(B42,HAB.GEN.!$C$19:$I$218,7,FALSE)</f>
        <v>#N/A</v>
      </c>
      <c r="F42" s="385" t="e">
        <f>VLOOKUP(B42,PON.EXP.ESP.!$C$30:$J$229,6,FALSE)</f>
        <v>#N/A</v>
      </c>
      <c r="G42" s="383" t="e">
        <f>VLOOKUP(B42,PON.EXP.ESP.!$C$30:$J$229,8,FALSE)</f>
        <v>#N/A</v>
      </c>
      <c r="H42" s="383">
        <f>VLOOKUP(B42,VIN.PERS.DISC.!$B$19:$D$218,3,FALSE)</f>
        <v>0</v>
      </c>
      <c r="I42" s="384">
        <f>VLOOKUP(B42,'APOYO A IND. NAL.'!$B$19:$D$218,3,FALSE)</f>
        <v>0</v>
      </c>
      <c r="J42" s="384" t="e">
        <f t="shared" si="0"/>
        <v>#N/A</v>
      </c>
      <c r="K42" s="301"/>
      <c r="L42" s="411">
        <f t="shared" si="1"/>
        <v>0</v>
      </c>
    </row>
    <row r="43" spans="2:12" s="292" customFormat="1" ht="13.5" hidden="1">
      <c r="B43" s="298">
        <f>PROPONENTES!C42</f>
        <v>0</v>
      </c>
      <c r="C43" s="299">
        <v>24</v>
      </c>
      <c r="D43" s="300" t="e">
        <f>VLOOKUP(B43,PROPONENTES!$C$19:$E$218,2,FALSE)</f>
        <v>#N/A</v>
      </c>
      <c r="E43" s="135" t="e">
        <f>VLOOKUP(B43,HAB.GEN.!$C$19:$I$218,7,FALSE)</f>
        <v>#N/A</v>
      </c>
      <c r="F43" s="385" t="e">
        <f>VLOOKUP(B43,PON.EXP.ESP.!$C$30:$J$229,6,FALSE)</f>
        <v>#N/A</v>
      </c>
      <c r="G43" s="383" t="e">
        <f>VLOOKUP(B43,PON.EXP.ESP.!$C$30:$J$229,8,FALSE)</f>
        <v>#N/A</v>
      </c>
      <c r="H43" s="383">
        <f>VLOOKUP(B43,VIN.PERS.DISC.!$B$19:$D$218,3,FALSE)</f>
        <v>0</v>
      </c>
      <c r="I43" s="384">
        <f>VLOOKUP(B43,'APOYO A IND. NAL.'!$B$19:$D$218,3,FALSE)</f>
        <v>0</v>
      </c>
      <c r="J43" s="384" t="e">
        <f t="shared" si="0"/>
        <v>#N/A</v>
      </c>
      <c r="K43" s="301"/>
      <c r="L43" s="411">
        <f t="shared" si="1"/>
        <v>0</v>
      </c>
    </row>
    <row r="44" spans="2:12" s="292" customFormat="1" ht="13.5" hidden="1">
      <c r="B44" s="298">
        <f>PROPONENTES!C43</f>
        <v>0</v>
      </c>
      <c r="C44" s="299">
        <v>25</v>
      </c>
      <c r="D44" s="300" t="e">
        <f>VLOOKUP(B44,PROPONENTES!$C$19:$E$218,2,FALSE)</f>
        <v>#N/A</v>
      </c>
      <c r="E44" s="135" t="e">
        <f>VLOOKUP(B44,HAB.GEN.!$C$19:$I$218,7,FALSE)</f>
        <v>#N/A</v>
      </c>
      <c r="F44" s="385" t="e">
        <f>VLOOKUP(B44,PON.EXP.ESP.!$C$30:$J$229,6,FALSE)</f>
        <v>#N/A</v>
      </c>
      <c r="G44" s="383" t="e">
        <f>VLOOKUP(B44,PON.EXP.ESP.!$C$30:$J$229,8,FALSE)</f>
        <v>#N/A</v>
      </c>
      <c r="H44" s="383">
        <f>VLOOKUP(B44,VIN.PERS.DISC.!$B$19:$D$218,3,FALSE)</f>
        <v>0</v>
      </c>
      <c r="I44" s="384">
        <f>VLOOKUP(B44,'APOYO A IND. NAL.'!$B$19:$D$218,3,FALSE)</f>
        <v>0</v>
      </c>
      <c r="J44" s="384" t="e">
        <f t="shared" si="0"/>
        <v>#N/A</v>
      </c>
      <c r="K44" s="301"/>
      <c r="L44" s="411">
        <f t="shared" si="1"/>
        <v>0</v>
      </c>
    </row>
    <row r="45" spans="2:12" s="292" customFormat="1" ht="13.5" hidden="1">
      <c r="B45" s="298">
        <f>PROPONENTES!C44</f>
        <v>0</v>
      </c>
      <c r="C45" s="299">
        <v>26</v>
      </c>
      <c r="D45" s="300" t="e">
        <f>VLOOKUP(B45,PROPONENTES!$C$19:$E$218,2,FALSE)</f>
        <v>#N/A</v>
      </c>
      <c r="E45" s="135" t="e">
        <f>VLOOKUP(B45,HAB.GEN.!$C$19:$I$218,7,FALSE)</f>
        <v>#N/A</v>
      </c>
      <c r="F45" s="385" t="e">
        <f>VLOOKUP(B45,PON.EXP.ESP.!$C$30:$J$229,6,FALSE)</f>
        <v>#N/A</v>
      </c>
      <c r="G45" s="383" t="e">
        <f>VLOOKUP(B45,PON.EXP.ESP.!$C$30:$J$229,8,FALSE)</f>
        <v>#N/A</v>
      </c>
      <c r="H45" s="383">
        <f>VLOOKUP(B45,VIN.PERS.DISC.!$B$19:$D$218,3,FALSE)</f>
        <v>0</v>
      </c>
      <c r="I45" s="384">
        <f>VLOOKUP(B45,'APOYO A IND. NAL.'!$B$19:$D$218,3,FALSE)</f>
        <v>0</v>
      </c>
      <c r="J45" s="384" t="e">
        <f t="shared" si="0"/>
        <v>#N/A</v>
      </c>
      <c r="K45" s="301"/>
      <c r="L45" s="411">
        <f t="shared" si="1"/>
        <v>0</v>
      </c>
    </row>
    <row r="46" spans="2:12" s="292" customFormat="1" ht="13.5" hidden="1">
      <c r="B46" s="298">
        <f>PROPONENTES!C45</f>
        <v>0</v>
      </c>
      <c r="C46" s="299">
        <v>27</v>
      </c>
      <c r="D46" s="300" t="e">
        <f>VLOOKUP(B46,PROPONENTES!$C$19:$E$218,2,FALSE)</f>
        <v>#N/A</v>
      </c>
      <c r="E46" s="135" t="e">
        <f>VLOOKUP(B46,HAB.GEN.!$C$19:$I$218,7,FALSE)</f>
        <v>#N/A</v>
      </c>
      <c r="F46" s="385" t="e">
        <f>VLOOKUP(B46,PON.EXP.ESP.!$C$30:$J$229,6,FALSE)</f>
        <v>#N/A</v>
      </c>
      <c r="G46" s="383" t="e">
        <f>VLOOKUP(B46,PON.EXP.ESP.!$C$30:$J$229,8,FALSE)</f>
        <v>#N/A</v>
      </c>
      <c r="H46" s="383">
        <f>VLOOKUP(B46,VIN.PERS.DISC.!$B$19:$D$218,3,FALSE)</f>
        <v>0</v>
      </c>
      <c r="I46" s="384">
        <f>VLOOKUP(B46,'APOYO A IND. NAL.'!$B$19:$D$218,3,FALSE)</f>
        <v>0</v>
      </c>
      <c r="J46" s="384" t="e">
        <f t="shared" si="0"/>
        <v>#N/A</v>
      </c>
      <c r="K46" s="301"/>
      <c r="L46" s="411">
        <f t="shared" si="1"/>
        <v>0</v>
      </c>
    </row>
    <row r="47" spans="2:12" s="292" customFormat="1" ht="13.5" hidden="1">
      <c r="B47" s="298">
        <f>PROPONENTES!C46</f>
        <v>0</v>
      </c>
      <c r="C47" s="299">
        <v>28</v>
      </c>
      <c r="D47" s="300" t="e">
        <f>VLOOKUP(B47,PROPONENTES!$C$19:$E$218,2,FALSE)</f>
        <v>#N/A</v>
      </c>
      <c r="E47" s="135" t="e">
        <f>VLOOKUP(B47,HAB.GEN.!$C$19:$I$218,7,FALSE)</f>
        <v>#N/A</v>
      </c>
      <c r="F47" s="385" t="e">
        <f>VLOOKUP(B47,PON.EXP.ESP.!$C$30:$J$229,6,FALSE)</f>
        <v>#N/A</v>
      </c>
      <c r="G47" s="383" t="e">
        <f>VLOOKUP(B47,PON.EXP.ESP.!$C$30:$J$229,8,FALSE)</f>
        <v>#N/A</v>
      </c>
      <c r="H47" s="383">
        <f>VLOOKUP(B47,VIN.PERS.DISC.!$B$19:$D$218,3,FALSE)</f>
        <v>0</v>
      </c>
      <c r="I47" s="384">
        <f>VLOOKUP(B47,'APOYO A IND. NAL.'!$B$19:$D$218,3,FALSE)</f>
        <v>0</v>
      </c>
      <c r="J47" s="384" t="e">
        <f t="shared" si="0"/>
        <v>#N/A</v>
      </c>
      <c r="K47" s="301"/>
      <c r="L47" s="411">
        <f t="shared" si="1"/>
        <v>0</v>
      </c>
    </row>
    <row r="48" spans="2:12" s="292" customFormat="1" ht="13.5" hidden="1">
      <c r="B48" s="298">
        <f>PROPONENTES!C47</f>
        <v>0</v>
      </c>
      <c r="C48" s="299">
        <v>29</v>
      </c>
      <c r="D48" s="300" t="e">
        <f>VLOOKUP(B48,PROPONENTES!$C$19:$E$218,2,FALSE)</f>
        <v>#N/A</v>
      </c>
      <c r="E48" s="135" t="e">
        <f>VLOOKUP(B48,HAB.GEN.!$C$19:$I$218,7,FALSE)</f>
        <v>#N/A</v>
      </c>
      <c r="F48" s="385" t="e">
        <f>VLOOKUP(B48,PON.EXP.ESP.!$C$30:$J$229,6,FALSE)</f>
        <v>#N/A</v>
      </c>
      <c r="G48" s="383" t="e">
        <f>VLOOKUP(B48,PON.EXP.ESP.!$C$30:$J$229,8,FALSE)</f>
        <v>#N/A</v>
      </c>
      <c r="H48" s="383">
        <f>VLOOKUP(B48,VIN.PERS.DISC.!$B$19:$D$218,3,FALSE)</f>
        <v>0</v>
      </c>
      <c r="I48" s="384">
        <f>VLOOKUP(B48,'APOYO A IND. NAL.'!$B$19:$D$218,3,FALSE)</f>
        <v>0</v>
      </c>
      <c r="J48" s="384" t="e">
        <f t="shared" si="0"/>
        <v>#N/A</v>
      </c>
      <c r="K48" s="301"/>
      <c r="L48" s="411">
        <f t="shared" si="1"/>
        <v>0</v>
      </c>
    </row>
    <row r="49" spans="2:12" s="292" customFormat="1" ht="13.5" hidden="1">
      <c r="B49" s="298">
        <f>PROPONENTES!C48</f>
        <v>0</v>
      </c>
      <c r="C49" s="299">
        <v>30</v>
      </c>
      <c r="D49" s="300" t="e">
        <f>VLOOKUP(B49,PROPONENTES!$C$19:$E$218,2,FALSE)</f>
        <v>#N/A</v>
      </c>
      <c r="E49" s="135" t="e">
        <f>VLOOKUP(B49,HAB.GEN.!$C$19:$I$218,7,FALSE)</f>
        <v>#N/A</v>
      </c>
      <c r="F49" s="385" t="e">
        <f>VLOOKUP(B49,PON.EXP.ESP.!$C$30:$J$229,6,FALSE)</f>
        <v>#N/A</v>
      </c>
      <c r="G49" s="383" t="e">
        <f>VLOOKUP(B49,PON.EXP.ESP.!$C$30:$J$229,8,FALSE)</f>
        <v>#N/A</v>
      </c>
      <c r="H49" s="383">
        <f>VLOOKUP(B49,VIN.PERS.DISC.!$B$19:$D$218,3,FALSE)</f>
        <v>0</v>
      </c>
      <c r="I49" s="384">
        <f>VLOOKUP(B49,'APOYO A IND. NAL.'!$B$19:$D$218,3,FALSE)</f>
        <v>0</v>
      </c>
      <c r="J49" s="384" t="e">
        <f t="shared" si="0"/>
        <v>#N/A</v>
      </c>
      <c r="K49" s="301"/>
      <c r="L49" s="411">
        <f t="shared" si="1"/>
        <v>0</v>
      </c>
    </row>
    <row r="50" spans="2:12" s="292" customFormat="1" ht="13.5" hidden="1">
      <c r="B50" s="298">
        <f>PROPONENTES!C49</f>
        <v>0</v>
      </c>
      <c r="C50" s="299">
        <v>31</v>
      </c>
      <c r="D50" s="300" t="e">
        <f>VLOOKUP(B50,PROPONENTES!$C$19:$E$218,2,FALSE)</f>
        <v>#N/A</v>
      </c>
      <c r="E50" s="135" t="e">
        <f>VLOOKUP(B50,HAB.GEN.!$C$19:$I$218,7,FALSE)</f>
        <v>#N/A</v>
      </c>
      <c r="F50" s="385" t="e">
        <f>VLOOKUP(B50,PON.EXP.ESP.!$C$30:$J$229,6,FALSE)</f>
        <v>#N/A</v>
      </c>
      <c r="G50" s="383" t="e">
        <f>VLOOKUP(B50,PON.EXP.ESP.!$C$30:$J$229,8,FALSE)</f>
        <v>#N/A</v>
      </c>
      <c r="H50" s="383">
        <f>VLOOKUP(B50,VIN.PERS.DISC.!$B$19:$D$218,3,FALSE)</f>
        <v>0</v>
      </c>
      <c r="I50" s="384">
        <f>VLOOKUP(B50,'APOYO A IND. NAL.'!$B$19:$D$218,3,FALSE)</f>
        <v>0</v>
      </c>
      <c r="J50" s="384" t="e">
        <f t="shared" si="0"/>
        <v>#N/A</v>
      </c>
      <c r="K50" s="301"/>
      <c r="L50" s="411">
        <f t="shared" si="1"/>
        <v>0</v>
      </c>
    </row>
    <row r="51" spans="2:12" s="292" customFormat="1" ht="13.5" hidden="1">
      <c r="B51" s="298">
        <f>PROPONENTES!C50</f>
        <v>0</v>
      </c>
      <c r="C51" s="299">
        <v>32</v>
      </c>
      <c r="D51" s="300" t="e">
        <f>VLOOKUP(B51,PROPONENTES!$C$19:$E$218,2,FALSE)</f>
        <v>#N/A</v>
      </c>
      <c r="E51" s="135" t="e">
        <f>VLOOKUP(B51,HAB.GEN.!$C$19:$I$218,7,FALSE)</f>
        <v>#N/A</v>
      </c>
      <c r="F51" s="385" t="e">
        <f>VLOOKUP(B51,PON.EXP.ESP.!$C$30:$J$229,6,FALSE)</f>
        <v>#N/A</v>
      </c>
      <c r="G51" s="383" t="e">
        <f>VLOOKUP(B51,PON.EXP.ESP.!$C$30:$J$229,8,FALSE)</f>
        <v>#N/A</v>
      </c>
      <c r="H51" s="383">
        <f>VLOOKUP(B51,VIN.PERS.DISC.!$B$19:$D$218,3,FALSE)</f>
        <v>0</v>
      </c>
      <c r="I51" s="384">
        <f>VLOOKUP(B51,'APOYO A IND. NAL.'!$B$19:$D$218,3,FALSE)</f>
        <v>0</v>
      </c>
      <c r="J51" s="384" t="e">
        <f t="shared" si="0"/>
        <v>#N/A</v>
      </c>
      <c r="K51" s="301"/>
      <c r="L51" s="411">
        <f t="shared" si="1"/>
        <v>0</v>
      </c>
    </row>
    <row r="52" spans="2:12" s="292" customFormat="1" ht="13.5" hidden="1">
      <c r="B52" s="298">
        <f>PROPONENTES!C51</f>
        <v>0</v>
      </c>
      <c r="C52" s="299">
        <v>33</v>
      </c>
      <c r="D52" s="300" t="e">
        <f>VLOOKUP(B52,PROPONENTES!$C$19:$E$218,2,FALSE)</f>
        <v>#N/A</v>
      </c>
      <c r="E52" s="135" t="e">
        <f>VLOOKUP(B52,HAB.GEN.!$C$19:$I$218,7,FALSE)</f>
        <v>#N/A</v>
      </c>
      <c r="F52" s="385" t="e">
        <f>VLOOKUP(B52,PON.EXP.ESP.!$C$30:$J$229,6,FALSE)</f>
        <v>#N/A</v>
      </c>
      <c r="G52" s="383" t="e">
        <f>VLOOKUP(B52,PON.EXP.ESP.!$C$30:$J$229,8,FALSE)</f>
        <v>#N/A</v>
      </c>
      <c r="H52" s="383">
        <f>VLOOKUP(B52,VIN.PERS.DISC.!$B$19:$D$218,3,FALSE)</f>
        <v>0</v>
      </c>
      <c r="I52" s="384">
        <f>VLOOKUP(B52,'APOYO A IND. NAL.'!$B$19:$D$218,3,FALSE)</f>
        <v>0</v>
      </c>
      <c r="J52" s="384" t="e">
        <f t="shared" si="0"/>
        <v>#N/A</v>
      </c>
      <c r="K52" s="301"/>
      <c r="L52" s="411">
        <f t="shared" si="1"/>
        <v>0</v>
      </c>
    </row>
    <row r="53" spans="2:12" s="292" customFormat="1" ht="13.5" hidden="1">
      <c r="B53" s="298">
        <f>PROPONENTES!C52</f>
        <v>0</v>
      </c>
      <c r="C53" s="299">
        <v>34</v>
      </c>
      <c r="D53" s="300" t="e">
        <f>VLOOKUP(B53,PROPONENTES!$C$19:$E$218,2,FALSE)</f>
        <v>#N/A</v>
      </c>
      <c r="E53" s="135" t="e">
        <f>VLOOKUP(B53,HAB.GEN.!$C$19:$I$218,7,FALSE)</f>
        <v>#N/A</v>
      </c>
      <c r="F53" s="385" t="e">
        <f>VLOOKUP(B53,PON.EXP.ESP.!$C$30:$J$229,6,FALSE)</f>
        <v>#N/A</v>
      </c>
      <c r="G53" s="383" t="e">
        <f>VLOOKUP(B53,PON.EXP.ESP.!$C$30:$J$229,8,FALSE)</f>
        <v>#N/A</v>
      </c>
      <c r="H53" s="383">
        <f>VLOOKUP(B53,VIN.PERS.DISC.!$B$19:$D$218,3,FALSE)</f>
        <v>0</v>
      </c>
      <c r="I53" s="384">
        <f>VLOOKUP(B53,'APOYO A IND. NAL.'!$B$19:$D$218,3,FALSE)</f>
        <v>0</v>
      </c>
      <c r="J53" s="384" t="e">
        <f t="shared" si="0"/>
        <v>#N/A</v>
      </c>
      <c r="K53" s="301"/>
      <c r="L53" s="411">
        <f t="shared" si="1"/>
        <v>0</v>
      </c>
    </row>
    <row r="54" spans="2:12" s="292" customFormat="1" ht="13.5" hidden="1">
      <c r="B54" s="298">
        <f>PROPONENTES!C53</f>
        <v>0</v>
      </c>
      <c r="C54" s="299">
        <v>35</v>
      </c>
      <c r="D54" s="300" t="e">
        <f>VLOOKUP(B54,PROPONENTES!$C$19:$E$218,2,FALSE)</f>
        <v>#N/A</v>
      </c>
      <c r="E54" s="135" t="e">
        <f>VLOOKUP(B54,HAB.GEN.!$C$19:$I$218,7,FALSE)</f>
        <v>#N/A</v>
      </c>
      <c r="F54" s="385" t="e">
        <f>VLOOKUP(B54,PON.EXP.ESP.!$C$30:$J$229,6,FALSE)</f>
        <v>#N/A</v>
      </c>
      <c r="G54" s="383" t="e">
        <f>VLOOKUP(B54,PON.EXP.ESP.!$C$30:$J$229,8,FALSE)</f>
        <v>#N/A</v>
      </c>
      <c r="H54" s="383">
        <f>VLOOKUP(B54,VIN.PERS.DISC.!$B$19:$D$218,3,FALSE)</f>
        <v>0</v>
      </c>
      <c r="I54" s="384">
        <f>VLOOKUP(B54,'APOYO A IND. NAL.'!$B$19:$D$218,3,FALSE)</f>
        <v>0</v>
      </c>
      <c r="J54" s="384" t="e">
        <f t="shared" si="0"/>
        <v>#N/A</v>
      </c>
      <c r="K54" s="301"/>
      <c r="L54" s="411">
        <f t="shared" si="1"/>
        <v>0</v>
      </c>
    </row>
    <row r="55" spans="2:12" s="292" customFormat="1" ht="13.5" hidden="1">
      <c r="B55" s="298">
        <f>PROPONENTES!C54</f>
        <v>0</v>
      </c>
      <c r="C55" s="299">
        <v>36</v>
      </c>
      <c r="D55" s="300" t="e">
        <f>VLOOKUP(B55,PROPONENTES!$C$19:$E$218,2,FALSE)</f>
        <v>#N/A</v>
      </c>
      <c r="E55" s="135" t="e">
        <f>VLOOKUP(B55,HAB.GEN.!$C$19:$I$218,7,FALSE)</f>
        <v>#N/A</v>
      </c>
      <c r="F55" s="385" t="e">
        <f>VLOOKUP(B55,PON.EXP.ESP.!$C$30:$J$229,6,FALSE)</f>
        <v>#N/A</v>
      </c>
      <c r="G55" s="383" t="e">
        <f>VLOOKUP(B55,PON.EXP.ESP.!$C$30:$J$229,8,FALSE)</f>
        <v>#N/A</v>
      </c>
      <c r="H55" s="383">
        <f>VLOOKUP(B55,VIN.PERS.DISC.!$B$19:$D$218,3,FALSE)</f>
        <v>0</v>
      </c>
      <c r="I55" s="384">
        <f>VLOOKUP(B55,'APOYO A IND. NAL.'!$B$19:$D$218,3,FALSE)</f>
        <v>0</v>
      </c>
      <c r="J55" s="384" t="e">
        <f t="shared" si="0"/>
        <v>#N/A</v>
      </c>
      <c r="K55" s="301"/>
      <c r="L55" s="411">
        <f t="shared" si="1"/>
        <v>0</v>
      </c>
    </row>
    <row r="56" spans="2:12" s="292" customFormat="1" ht="13.5" hidden="1">
      <c r="B56" s="298">
        <f>PROPONENTES!C55</f>
        <v>0</v>
      </c>
      <c r="C56" s="299">
        <v>37</v>
      </c>
      <c r="D56" s="300" t="e">
        <f>VLOOKUP(B56,PROPONENTES!$C$19:$E$218,2,FALSE)</f>
        <v>#N/A</v>
      </c>
      <c r="E56" s="135" t="e">
        <f>VLOOKUP(B56,HAB.GEN.!$C$19:$I$218,7,FALSE)</f>
        <v>#N/A</v>
      </c>
      <c r="F56" s="385" t="e">
        <f>VLOOKUP(B56,PON.EXP.ESP.!$C$30:$J$229,6,FALSE)</f>
        <v>#N/A</v>
      </c>
      <c r="G56" s="383" t="e">
        <f>VLOOKUP(B56,PON.EXP.ESP.!$C$30:$J$229,8,FALSE)</f>
        <v>#N/A</v>
      </c>
      <c r="H56" s="383">
        <f>VLOOKUP(B56,VIN.PERS.DISC.!$B$19:$D$218,3,FALSE)</f>
        <v>0</v>
      </c>
      <c r="I56" s="384">
        <f>VLOOKUP(B56,'APOYO A IND. NAL.'!$B$19:$D$218,3,FALSE)</f>
        <v>0</v>
      </c>
      <c r="J56" s="384" t="e">
        <f t="shared" si="0"/>
        <v>#N/A</v>
      </c>
      <c r="K56" s="301"/>
      <c r="L56" s="411">
        <f t="shared" si="1"/>
        <v>0</v>
      </c>
    </row>
    <row r="57" spans="2:12" s="292" customFormat="1" ht="13.5" hidden="1">
      <c r="B57" s="298">
        <f>PROPONENTES!C56</f>
        <v>0</v>
      </c>
      <c r="C57" s="299">
        <v>38</v>
      </c>
      <c r="D57" s="300" t="e">
        <f>VLOOKUP(B57,PROPONENTES!$C$19:$E$218,2,FALSE)</f>
        <v>#N/A</v>
      </c>
      <c r="E57" s="135" t="e">
        <f>VLOOKUP(B57,HAB.GEN.!$C$19:$I$218,7,FALSE)</f>
        <v>#N/A</v>
      </c>
      <c r="F57" s="385" t="e">
        <f>VLOOKUP(B57,PON.EXP.ESP.!$C$30:$J$229,6,FALSE)</f>
        <v>#N/A</v>
      </c>
      <c r="G57" s="383" t="e">
        <f>VLOOKUP(B57,PON.EXP.ESP.!$C$30:$J$229,8,FALSE)</f>
        <v>#N/A</v>
      </c>
      <c r="H57" s="383">
        <f>VLOOKUP(B57,VIN.PERS.DISC.!$B$19:$D$218,3,FALSE)</f>
        <v>0</v>
      </c>
      <c r="I57" s="384">
        <f>VLOOKUP(B57,'APOYO A IND. NAL.'!$B$19:$D$218,3,FALSE)</f>
        <v>0</v>
      </c>
      <c r="J57" s="384" t="e">
        <f t="shared" si="0"/>
        <v>#N/A</v>
      </c>
      <c r="K57" s="301"/>
      <c r="L57" s="411">
        <f t="shared" si="1"/>
        <v>0</v>
      </c>
    </row>
    <row r="58" spans="2:12" s="292" customFormat="1" ht="13.5" hidden="1">
      <c r="B58" s="298">
        <f>PROPONENTES!C57</f>
        <v>0</v>
      </c>
      <c r="C58" s="299">
        <v>39</v>
      </c>
      <c r="D58" s="300" t="e">
        <f>VLOOKUP(B58,PROPONENTES!$C$19:$E$218,2,FALSE)</f>
        <v>#N/A</v>
      </c>
      <c r="E58" s="135" t="e">
        <f>VLOOKUP(B58,HAB.GEN.!$C$19:$I$218,7,FALSE)</f>
        <v>#N/A</v>
      </c>
      <c r="F58" s="385" t="e">
        <f>VLOOKUP(B58,PON.EXP.ESP.!$C$30:$J$229,6,FALSE)</f>
        <v>#N/A</v>
      </c>
      <c r="G58" s="383" t="e">
        <f>VLOOKUP(B58,PON.EXP.ESP.!$C$30:$J$229,8,FALSE)</f>
        <v>#N/A</v>
      </c>
      <c r="H58" s="383">
        <f>VLOOKUP(B58,VIN.PERS.DISC.!$B$19:$D$218,3,FALSE)</f>
        <v>0</v>
      </c>
      <c r="I58" s="384">
        <f>VLOOKUP(B58,'APOYO A IND. NAL.'!$B$19:$D$218,3,FALSE)</f>
        <v>0</v>
      </c>
      <c r="J58" s="384" t="e">
        <f t="shared" si="0"/>
        <v>#N/A</v>
      </c>
      <c r="K58" s="301"/>
      <c r="L58" s="411">
        <f t="shared" si="1"/>
        <v>0</v>
      </c>
    </row>
    <row r="59" spans="2:12" s="292" customFormat="1" ht="13.5" hidden="1">
      <c r="B59" s="298">
        <f>PROPONENTES!C58</f>
        <v>0</v>
      </c>
      <c r="C59" s="299">
        <v>40</v>
      </c>
      <c r="D59" s="300" t="e">
        <f>VLOOKUP(B59,PROPONENTES!$C$19:$E$218,2,FALSE)</f>
        <v>#N/A</v>
      </c>
      <c r="E59" s="135" t="e">
        <f>VLOOKUP(B59,HAB.GEN.!$C$19:$I$218,7,FALSE)</f>
        <v>#N/A</v>
      </c>
      <c r="F59" s="385" t="e">
        <f>VLOOKUP(B59,PON.EXP.ESP.!$C$30:$J$229,6,FALSE)</f>
        <v>#N/A</v>
      </c>
      <c r="G59" s="383" t="e">
        <f>VLOOKUP(B59,PON.EXP.ESP.!$C$30:$J$229,8,FALSE)</f>
        <v>#N/A</v>
      </c>
      <c r="H59" s="383">
        <f>VLOOKUP(B59,VIN.PERS.DISC.!$B$19:$D$218,3,FALSE)</f>
        <v>0</v>
      </c>
      <c r="I59" s="384">
        <f>VLOOKUP(B59,'APOYO A IND. NAL.'!$B$19:$D$218,3,FALSE)</f>
        <v>0</v>
      </c>
      <c r="J59" s="384" t="e">
        <f t="shared" si="0"/>
        <v>#N/A</v>
      </c>
      <c r="K59" s="301"/>
      <c r="L59" s="411">
        <f t="shared" si="1"/>
        <v>0</v>
      </c>
    </row>
    <row r="60" spans="2:12" s="292" customFormat="1" ht="13.5" hidden="1">
      <c r="B60" s="298">
        <f>PROPONENTES!C59</f>
        <v>0</v>
      </c>
      <c r="C60" s="299">
        <v>41</v>
      </c>
      <c r="D60" s="300" t="e">
        <f>VLOOKUP(B60,PROPONENTES!$C$19:$E$218,2,FALSE)</f>
        <v>#N/A</v>
      </c>
      <c r="E60" s="135" t="e">
        <f>VLOOKUP(B60,HAB.GEN.!$C$19:$I$218,7,FALSE)</f>
        <v>#N/A</v>
      </c>
      <c r="F60" s="385" t="e">
        <f>VLOOKUP(B60,PON.EXP.ESP.!$C$30:$J$229,6,FALSE)</f>
        <v>#N/A</v>
      </c>
      <c r="G60" s="383" t="e">
        <f>VLOOKUP(B60,PON.EXP.ESP.!$C$30:$J$229,8,FALSE)</f>
        <v>#N/A</v>
      </c>
      <c r="H60" s="383">
        <f>VLOOKUP(B60,VIN.PERS.DISC.!$B$19:$D$218,3,FALSE)</f>
        <v>0</v>
      </c>
      <c r="I60" s="384">
        <f>VLOOKUP(B60,'APOYO A IND. NAL.'!$B$19:$D$218,3,FALSE)</f>
        <v>0</v>
      </c>
      <c r="J60" s="384" t="e">
        <f t="shared" si="0"/>
        <v>#N/A</v>
      </c>
      <c r="K60" s="301"/>
      <c r="L60" s="411">
        <f t="shared" si="1"/>
        <v>0</v>
      </c>
    </row>
    <row r="61" spans="2:12" s="292" customFormat="1" ht="13.5" hidden="1">
      <c r="B61" s="298">
        <f>PROPONENTES!C60</f>
        <v>0</v>
      </c>
      <c r="C61" s="299">
        <v>42</v>
      </c>
      <c r="D61" s="300" t="e">
        <f>VLOOKUP(B61,PROPONENTES!$C$19:$E$218,2,FALSE)</f>
        <v>#N/A</v>
      </c>
      <c r="E61" s="135" t="e">
        <f>VLOOKUP(B61,HAB.GEN.!$C$19:$I$218,7,FALSE)</f>
        <v>#N/A</v>
      </c>
      <c r="F61" s="385" t="e">
        <f>VLOOKUP(B61,PON.EXP.ESP.!$C$30:$J$229,6,FALSE)</f>
        <v>#N/A</v>
      </c>
      <c r="G61" s="383" t="e">
        <f>VLOOKUP(B61,PON.EXP.ESP.!$C$30:$J$229,8,FALSE)</f>
        <v>#N/A</v>
      </c>
      <c r="H61" s="383">
        <f>VLOOKUP(B61,VIN.PERS.DISC.!$B$19:$D$218,3,FALSE)</f>
        <v>0</v>
      </c>
      <c r="I61" s="384">
        <f>VLOOKUP(B61,'APOYO A IND. NAL.'!$B$19:$D$218,3,FALSE)</f>
        <v>0</v>
      </c>
      <c r="J61" s="384" t="e">
        <f t="shared" si="0"/>
        <v>#N/A</v>
      </c>
      <c r="K61" s="301"/>
      <c r="L61" s="411">
        <f t="shared" si="1"/>
        <v>0</v>
      </c>
    </row>
    <row r="62" spans="2:12" s="292" customFormat="1" ht="13.5" hidden="1">
      <c r="B62" s="298">
        <f>PROPONENTES!C61</f>
        <v>0</v>
      </c>
      <c r="C62" s="299">
        <v>43</v>
      </c>
      <c r="D62" s="300" t="e">
        <f>VLOOKUP(B62,PROPONENTES!$C$19:$E$218,2,FALSE)</f>
        <v>#N/A</v>
      </c>
      <c r="E62" s="135" t="e">
        <f>VLOOKUP(B62,HAB.GEN.!$C$19:$I$218,7,FALSE)</f>
        <v>#N/A</v>
      </c>
      <c r="F62" s="385" t="e">
        <f>VLOOKUP(B62,PON.EXP.ESP.!$C$30:$J$229,6,FALSE)</f>
        <v>#N/A</v>
      </c>
      <c r="G62" s="383" t="e">
        <f>VLOOKUP(B62,PON.EXP.ESP.!$C$30:$J$229,8,FALSE)</f>
        <v>#N/A</v>
      </c>
      <c r="H62" s="383">
        <f>VLOOKUP(B62,VIN.PERS.DISC.!$B$19:$D$218,3,FALSE)</f>
        <v>0</v>
      </c>
      <c r="I62" s="384">
        <f>VLOOKUP(B62,'APOYO A IND. NAL.'!$B$19:$D$218,3,FALSE)</f>
        <v>0</v>
      </c>
      <c r="J62" s="384" t="e">
        <f t="shared" si="0"/>
        <v>#N/A</v>
      </c>
      <c r="K62" s="301"/>
      <c r="L62" s="411">
        <f t="shared" si="1"/>
        <v>0</v>
      </c>
    </row>
    <row r="63" spans="2:12" s="292" customFormat="1" ht="13.5" hidden="1">
      <c r="B63" s="298">
        <f>PROPONENTES!C62</f>
        <v>0</v>
      </c>
      <c r="C63" s="299">
        <v>44</v>
      </c>
      <c r="D63" s="300" t="e">
        <f>VLOOKUP(B63,PROPONENTES!$C$19:$E$218,2,FALSE)</f>
        <v>#N/A</v>
      </c>
      <c r="E63" s="135" t="e">
        <f>VLOOKUP(B63,HAB.GEN.!$C$19:$I$218,7,FALSE)</f>
        <v>#N/A</v>
      </c>
      <c r="F63" s="385" t="e">
        <f>VLOOKUP(B63,PON.EXP.ESP.!$C$30:$J$229,6,FALSE)</f>
        <v>#N/A</v>
      </c>
      <c r="G63" s="383" t="e">
        <f>VLOOKUP(B63,PON.EXP.ESP.!$C$30:$J$229,8,FALSE)</f>
        <v>#N/A</v>
      </c>
      <c r="H63" s="383">
        <f>VLOOKUP(B63,VIN.PERS.DISC.!$B$19:$D$218,3,FALSE)</f>
        <v>0</v>
      </c>
      <c r="I63" s="384">
        <f>VLOOKUP(B63,'APOYO A IND. NAL.'!$B$19:$D$218,3,FALSE)</f>
        <v>0</v>
      </c>
      <c r="J63" s="384" t="e">
        <f t="shared" si="0"/>
        <v>#N/A</v>
      </c>
      <c r="K63" s="301"/>
      <c r="L63" s="411">
        <f t="shared" si="1"/>
        <v>0</v>
      </c>
    </row>
    <row r="64" spans="2:12" s="292" customFormat="1" ht="13.5" hidden="1">
      <c r="B64" s="298">
        <f>PROPONENTES!C63</f>
        <v>0</v>
      </c>
      <c r="C64" s="299">
        <v>45</v>
      </c>
      <c r="D64" s="300" t="e">
        <f>VLOOKUP(B64,PROPONENTES!$C$19:$E$218,2,FALSE)</f>
        <v>#N/A</v>
      </c>
      <c r="E64" s="135" t="e">
        <f>VLOOKUP(B64,HAB.GEN.!$C$19:$I$218,7,FALSE)</f>
        <v>#N/A</v>
      </c>
      <c r="F64" s="385" t="e">
        <f>VLOOKUP(B64,PON.EXP.ESP.!$C$30:$J$229,6,FALSE)</f>
        <v>#N/A</v>
      </c>
      <c r="G64" s="383" t="e">
        <f>VLOOKUP(B64,PON.EXP.ESP.!$C$30:$J$229,8,FALSE)</f>
        <v>#N/A</v>
      </c>
      <c r="H64" s="383">
        <f>VLOOKUP(B64,VIN.PERS.DISC.!$B$19:$D$218,3,FALSE)</f>
        <v>0</v>
      </c>
      <c r="I64" s="384">
        <f>VLOOKUP(B64,'APOYO A IND. NAL.'!$B$19:$D$218,3,FALSE)</f>
        <v>0</v>
      </c>
      <c r="J64" s="384" t="e">
        <f t="shared" si="0"/>
        <v>#N/A</v>
      </c>
      <c r="K64" s="301"/>
      <c r="L64" s="411">
        <f t="shared" si="1"/>
        <v>0</v>
      </c>
    </row>
    <row r="65" spans="2:12" s="292" customFormat="1" ht="13.5" hidden="1">
      <c r="B65" s="298">
        <f>PROPONENTES!C64</f>
        <v>0</v>
      </c>
      <c r="C65" s="299">
        <v>46</v>
      </c>
      <c r="D65" s="300" t="e">
        <f>VLOOKUP(B65,PROPONENTES!$C$19:$E$218,2,FALSE)</f>
        <v>#N/A</v>
      </c>
      <c r="E65" s="135" t="e">
        <f>VLOOKUP(B65,HAB.GEN.!$C$19:$I$218,7,FALSE)</f>
        <v>#N/A</v>
      </c>
      <c r="F65" s="385" t="e">
        <f>VLOOKUP(B65,PON.EXP.ESP.!$C$30:$J$229,6,FALSE)</f>
        <v>#N/A</v>
      </c>
      <c r="G65" s="383" t="e">
        <f>VLOOKUP(B65,PON.EXP.ESP.!$C$30:$J$229,8,FALSE)</f>
        <v>#N/A</v>
      </c>
      <c r="H65" s="383">
        <f>VLOOKUP(B65,VIN.PERS.DISC.!$B$19:$D$218,3,FALSE)</f>
        <v>0</v>
      </c>
      <c r="I65" s="384">
        <f>VLOOKUP(B65,'APOYO A IND. NAL.'!$B$19:$D$218,3,FALSE)</f>
        <v>0</v>
      </c>
      <c r="J65" s="384" t="e">
        <f t="shared" si="0"/>
        <v>#N/A</v>
      </c>
      <c r="K65" s="301"/>
      <c r="L65" s="411">
        <f t="shared" si="1"/>
        <v>0</v>
      </c>
    </row>
    <row r="66" spans="2:12" s="292" customFormat="1" ht="13.5" hidden="1">
      <c r="B66" s="298">
        <f>PROPONENTES!C65</f>
        <v>0</v>
      </c>
      <c r="C66" s="299">
        <v>47</v>
      </c>
      <c r="D66" s="300" t="e">
        <f>VLOOKUP(B66,PROPONENTES!$C$19:$E$218,2,FALSE)</f>
        <v>#N/A</v>
      </c>
      <c r="E66" s="135" t="e">
        <f>VLOOKUP(B66,HAB.GEN.!$C$19:$I$218,7,FALSE)</f>
        <v>#N/A</v>
      </c>
      <c r="F66" s="385" t="e">
        <f>VLOOKUP(B66,PON.EXP.ESP.!$C$30:$J$229,6,FALSE)</f>
        <v>#N/A</v>
      </c>
      <c r="G66" s="383" t="e">
        <f>VLOOKUP(B66,PON.EXP.ESP.!$C$30:$J$229,8,FALSE)</f>
        <v>#N/A</v>
      </c>
      <c r="H66" s="383">
        <f>VLOOKUP(B66,VIN.PERS.DISC.!$B$19:$D$218,3,FALSE)</f>
        <v>0</v>
      </c>
      <c r="I66" s="384">
        <f>VLOOKUP(B66,'APOYO A IND. NAL.'!$B$19:$D$218,3,FALSE)</f>
        <v>0</v>
      </c>
      <c r="J66" s="384" t="e">
        <f t="shared" si="0"/>
        <v>#N/A</v>
      </c>
      <c r="K66" s="301"/>
      <c r="L66" s="411">
        <f t="shared" si="1"/>
        <v>0</v>
      </c>
    </row>
    <row r="67" spans="2:12" s="292" customFormat="1" ht="13.5" hidden="1">
      <c r="B67" s="298">
        <f>PROPONENTES!C66</f>
        <v>0</v>
      </c>
      <c r="C67" s="299">
        <v>48</v>
      </c>
      <c r="D67" s="300" t="e">
        <f>VLOOKUP(B67,PROPONENTES!$C$19:$E$218,2,FALSE)</f>
        <v>#N/A</v>
      </c>
      <c r="E67" s="135" t="e">
        <f>VLOOKUP(B67,HAB.GEN.!$C$19:$I$218,7,FALSE)</f>
        <v>#N/A</v>
      </c>
      <c r="F67" s="385" t="e">
        <f>VLOOKUP(B67,PON.EXP.ESP.!$C$30:$J$229,6,FALSE)</f>
        <v>#N/A</v>
      </c>
      <c r="G67" s="383" t="e">
        <f>VLOOKUP(B67,PON.EXP.ESP.!$C$30:$J$229,8,FALSE)</f>
        <v>#N/A</v>
      </c>
      <c r="H67" s="383">
        <f>VLOOKUP(B67,VIN.PERS.DISC.!$B$19:$D$218,3,FALSE)</f>
        <v>0</v>
      </c>
      <c r="I67" s="384">
        <f>VLOOKUP(B67,'APOYO A IND. NAL.'!$B$19:$D$218,3,FALSE)</f>
        <v>0</v>
      </c>
      <c r="J67" s="384" t="e">
        <f t="shared" si="0"/>
        <v>#N/A</v>
      </c>
      <c r="K67" s="301"/>
      <c r="L67" s="411">
        <f t="shared" si="1"/>
        <v>0</v>
      </c>
    </row>
    <row r="68" spans="2:12" s="292" customFormat="1" ht="13.5" hidden="1">
      <c r="B68" s="298">
        <f>PROPONENTES!C67</f>
        <v>0</v>
      </c>
      <c r="C68" s="299">
        <v>49</v>
      </c>
      <c r="D68" s="300" t="e">
        <f>VLOOKUP(B68,PROPONENTES!$C$19:$E$218,2,FALSE)</f>
        <v>#N/A</v>
      </c>
      <c r="E68" s="135" t="e">
        <f>VLOOKUP(B68,HAB.GEN.!$C$19:$I$218,7,FALSE)</f>
        <v>#N/A</v>
      </c>
      <c r="F68" s="385" t="e">
        <f>VLOOKUP(B68,PON.EXP.ESP.!$C$30:$J$229,6,FALSE)</f>
        <v>#N/A</v>
      </c>
      <c r="G68" s="383" t="e">
        <f>VLOOKUP(B68,PON.EXP.ESP.!$C$30:$J$229,8,FALSE)</f>
        <v>#N/A</v>
      </c>
      <c r="H68" s="383">
        <f>VLOOKUP(B68,VIN.PERS.DISC.!$B$19:$D$218,3,FALSE)</f>
        <v>0</v>
      </c>
      <c r="I68" s="384">
        <f>VLOOKUP(B68,'APOYO A IND. NAL.'!$B$19:$D$218,3,FALSE)</f>
        <v>0</v>
      </c>
      <c r="J68" s="384" t="e">
        <f t="shared" si="0"/>
        <v>#N/A</v>
      </c>
      <c r="K68" s="301"/>
      <c r="L68" s="411">
        <f t="shared" si="1"/>
        <v>0</v>
      </c>
    </row>
    <row r="69" spans="2:12" s="292" customFormat="1" ht="13.5" hidden="1">
      <c r="B69" s="298">
        <f>PROPONENTES!C68</f>
        <v>0</v>
      </c>
      <c r="C69" s="299">
        <v>50</v>
      </c>
      <c r="D69" s="300" t="e">
        <f>VLOOKUP(B69,PROPONENTES!$C$19:$E$218,2,FALSE)</f>
        <v>#N/A</v>
      </c>
      <c r="E69" s="135" t="e">
        <f>VLOOKUP(B69,HAB.GEN.!$C$19:$I$218,7,FALSE)</f>
        <v>#N/A</v>
      </c>
      <c r="F69" s="385" t="e">
        <f>VLOOKUP(B69,PON.EXP.ESP.!$C$30:$J$229,6,FALSE)</f>
        <v>#N/A</v>
      </c>
      <c r="G69" s="383" t="e">
        <f>VLOOKUP(B69,PON.EXP.ESP.!$C$30:$J$229,8,FALSE)</f>
        <v>#N/A</v>
      </c>
      <c r="H69" s="383">
        <f>VLOOKUP(B69,VIN.PERS.DISC.!$B$19:$D$218,3,FALSE)</f>
        <v>0</v>
      </c>
      <c r="I69" s="384">
        <f>VLOOKUP(B69,'APOYO A IND. NAL.'!$B$19:$D$218,3,FALSE)</f>
        <v>0</v>
      </c>
      <c r="J69" s="384" t="e">
        <f t="shared" si="0"/>
        <v>#N/A</v>
      </c>
      <c r="K69" s="301"/>
      <c r="L69" s="411">
        <f t="shared" si="1"/>
        <v>0</v>
      </c>
    </row>
    <row r="70" spans="2:12" s="292" customFormat="1" ht="13.5" hidden="1">
      <c r="B70" s="298">
        <f>PROPONENTES!C69</f>
        <v>0</v>
      </c>
      <c r="C70" s="299">
        <v>51</v>
      </c>
      <c r="D70" s="300" t="e">
        <f>VLOOKUP(B70,PROPONENTES!$C$19:$E$218,2,FALSE)</f>
        <v>#N/A</v>
      </c>
      <c r="E70" s="135" t="e">
        <f>VLOOKUP(B70,HAB.GEN.!$C$19:$I$218,7,FALSE)</f>
        <v>#N/A</v>
      </c>
      <c r="F70" s="385" t="e">
        <f>VLOOKUP(B70,PON.EXP.ESP.!$C$30:$J$229,6,FALSE)</f>
        <v>#N/A</v>
      </c>
      <c r="G70" s="383" t="e">
        <f>VLOOKUP(B70,PON.EXP.ESP.!$C$30:$J$229,8,FALSE)</f>
        <v>#N/A</v>
      </c>
      <c r="H70" s="383">
        <f>VLOOKUP(B70,VIN.PERS.DISC.!$B$19:$D$218,3,FALSE)</f>
        <v>0</v>
      </c>
      <c r="I70" s="384">
        <f>VLOOKUP(B70,'APOYO A IND. NAL.'!$B$19:$D$218,3,FALSE)</f>
        <v>0</v>
      </c>
      <c r="J70" s="384" t="e">
        <f t="shared" si="0"/>
        <v>#N/A</v>
      </c>
      <c r="K70" s="301"/>
      <c r="L70" s="411">
        <f t="shared" si="1"/>
        <v>0</v>
      </c>
    </row>
    <row r="71" spans="2:12" s="292" customFormat="1" ht="13.5" hidden="1">
      <c r="B71" s="298">
        <f>PROPONENTES!C70</f>
        <v>0</v>
      </c>
      <c r="C71" s="299">
        <v>52</v>
      </c>
      <c r="D71" s="300" t="e">
        <f>VLOOKUP(B71,PROPONENTES!$C$19:$E$218,2,FALSE)</f>
        <v>#N/A</v>
      </c>
      <c r="E71" s="135" t="e">
        <f>VLOOKUP(B71,HAB.GEN.!$C$19:$I$218,7,FALSE)</f>
        <v>#N/A</v>
      </c>
      <c r="F71" s="385" t="e">
        <f>VLOOKUP(B71,PON.EXP.ESP.!$C$30:$J$229,6,FALSE)</f>
        <v>#N/A</v>
      </c>
      <c r="G71" s="383" t="e">
        <f>VLOOKUP(B71,PON.EXP.ESP.!$C$30:$J$229,8,FALSE)</f>
        <v>#N/A</v>
      </c>
      <c r="H71" s="383">
        <f>VLOOKUP(B71,VIN.PERS.DISC.!$B$19:$D$218,3,FALSE)</f>
        <v>0</v>
      </c>
      <c r="I71" s="384">
        <f>VLOOKUP(B71,'APOYO A IND. NAL.'!$B$19:$D$218,3,FALSE)</f>
        <v>0</v>
      </c>
      <c r="J71" s="384" t="e">
        <f t="shared" si="0"/>
        <v>#N/A</v>
      </c>
      <c r="K71" s="301"/>
      <c r="L71" s="411">
        <f t="shared" si="1"/>
        <v>0</v>
      </c>
    </row>
    <row r="72" spans="2:12" s="292" customFormat="1" ht="13.5" hidden="1">
      <c r="B72" s="298">
        <f>PROPONENTES!C71</f>
        <v>0</v>
      </c>
      <c r="C72" s="299">
        <v>53</v>
      </c>
      <c r="D72" s="300" t="e">
        <f>VLOOKUP(B72,PROPONENTES!$C$19:$E$218,2,FALSE)</f>
        <v>#N/A</v>
      </c>
      <c r="E72" s="135" t="e">
        <f>VLOOKUP(B72,HAB.GEN.!$C$19:$I$218,7,FALSE)</f>
        <v>#N/A</v>
      </c>
      <c r="F72" s="385" t="e">
        <f>VLOOKUP(B72,PON.EXP.ESP.!$C$30:$J$229,6,FALSE)</f>
        <v>#N/A</v>
      </c>
      <c r="G72" s="383" t="e">
        <f>VLOOKUP(B72,PON.EXP.ESP.!$C$30:$J$229,8,FALSE)</f>
        <v>#N/A</v>
      </c>
      <c r="H72" s="383">
        <f>VLOOKUP(B72,VIN.PERS.DISC.!$B$19:$D$218,3,FALSE)</f>
        <v>0</v>
      </c>
      <c r="I72" s="384">
        <f>VLOOKUP(B72,'APOYO A IND. NAL.'!$B$19:$D$218,3,FALSE)</f>
        <v>0</v>
      </c>
      <c r="J72" s="384" t="e">
        <f t="shared" si="0"/>
        <v>#N/A</v>
      </c>
      <c r="K72" s="301"/>
      <c r="L72" s="411">
        <f t="shared" si="1"/>
        <v>0</v>
      </c>
    </row>
    <row r="73" spans="2:12" s="292" customFormat="1" ht="13.5" hidden="1">
      <c r="B73" s="298">
        <f>PROPONENTES!C72</f>
        <v>0</v>
      </c>
      <c r="C73" s="299">
        <v>54</v>
      </c>
      <c r="D73" s="300" t="e">
        <f>VLOOKUP(B73,PROPONENTES!$C$19:$E$218,2,FALSE)</f>
        <v>#N/A</v>
      </c>
      <c r="E73" s="135" t="e">
        <f>VLOOKUP(B73,HAB.GEN.!$C$19:$I$218,7,FALSE)</f>
        <v>#N/A</v>
      </c>
      <c r="F73" s="385" t="e">
        <f>VLOOKUP(B73,PON.EXP.ESP.!$C$30:$J$229,6,FALSE)</f>
        <v>#N/A</v>
      </c>
      <c r="G73" s="383" t="e">
        <f>VLOOKUP(B73,PON.EXP.ESP.!$C$30:$J$229,8,FALSE)</f>
        <v>#N/A</v>
      </c>
      <c r="H73" s="383">
        <f>VLOOKUP(B73,VIN.PERS.DISC.!$B$19:$D$218,3,FALSE)</f>
        <v>0</v>
      </c>
      <c r="I73" s="384">
        <f>VLOOKUP(B73,'APOYO A IND. NAL.'!$B$19:$D$218,3,FALSE)</f>
        <v>0</v>
      </c>
      <c r="J73" s="384" t="e">
        <f t="shared" si="0"/>
        <v>#N/A</v>
      </c>
      <c r="K73" s="301"/>
      <c r="L73" s="411">
        <f t="shared" si="1"/>
        <v>0</v>
      </c>
    </row>
    <row r="74" spans="2:12" s="292" customFormat="1" ht="13.5" hidden="1">
      <c r="B74" s="298">
        <f>PROPONENTES!C73</f>
        <v>0</v>
      </c>
      <c r="C74" s="299">
        <v>55</v>
      </c>
      <c r="D74" s="300" t="e">
        <f>VLOOKUP(B74,PROPONENTES!$C$19:$E$218,2,FALSE)</f>
        <v>#N/A</v>
      </c>
      <c r="E74" s="135" t="e">
        <f>VLOOKUP(B74,HAB.GEN.!$C$19:$I$218,7,FALSE)</f>
        <v>#N/A</v>
      </c>
      <c r="F74" s="385" t="e">
        <f>VLOOKUP(B74,PON.EXP.ESP.!$C$30:$J$229,6,FALSE)</f>
        <v>#N/A</v>
      </c>
      <c r="G74" s="383" t="e">
        <f>VLOOKUP(B74,PON.EXP.ESP.!$C$30:$J$229,8,FALSE)</f>
        <v>#N/A</v>
      </c>
      <c r="H74" s="383">
        <f>VLOOKUP(B74,VIN.PERS.DISC.!$B$19:$D$218,3,FALSE)</f>
        <v>0</v>
      </c>
      <c r="I74" s="384">
        <f>VLOOKUP(B74,'APOYO A IND. NAL.'!$B$19:$D$218,3,FALSE)</f>
        <v>0</v>
      </c>
      <c r="J74" s="384" t="e">
        <f t="shared" si="0"/>
        <v>#N/A</v>
      </c>
      <c r="K74" s="301"/>
      <c r="L74" s="411">
        <f t="shared" si="1"/>
        <v>0</v>
      </c>
    </row>
    <row r="75" spans="2:12" s="292" customFormat="1" ht="13.5" hidden="1">
      <c r="B75" s="298">
        <f>PROPONENTES!C74</f>
        <v>0</v>
      </c>
      <c r="C75" s="299">
        <v>56</v>
      </c>
      <c r="D75" s="300" t="e">
        <f>VLOOKUP(B75,PROPONENTES!$C$19:$E$218,2,FALSE)</f>
        <v>#N/A</v>
      </c>
      <c r="E75" s="135" t="e">
        <f>VLOOKUP(B75,HAB.GEN.!$C$19:$I$218,7,FALSE)</f>
        <v>#N/A</v>
      </c>
      <c r="F75" s="385" t="e">
        <f>VLOOKUP(B75,PON.EXP.ESP.!$C$30:$J$229,6,FALSE)</f>
        <v>#N/A</v>
      </c>
      <c r="G75" s="383" t="e">
        <f>VLOOKUP(B75,PON.EXP.ESP.!$C$30:$J$229,8,FALSE)</f>
        <v>#N/A</v>
      </c>
      <c r="H75" s="383">
        <f>VLOOKUP(B75,VIN.PERS.DISC.!$B$19:$D$218,3,FALSE)</f>
        <v>0</v>
      </c>
      <c r="I75" s="384">
        <f>VLOOKUP(B75,'APOYO A IND. NAL.'!$B$19:$D$218,3,FALSE)</f>
        <v>0</v>
      </c>
      <c r="J75" s="384" t="e">
        <f t="shared" si="0"/>
        <v>#N/A</v>
      </c>
      <c r="K75" s="301"/>
      <c r="L75" s="411">
        <f t="shared" si="1"/>
        <v>0</v>
      </c>
    </row>
    <row r="76" spans="2:12" s="292" customFormat="1" ht="13.5" hidden="1">
      <c r="B76" s="298">
        <f>PROPONENTES!C75</f>
        <v>0</v>
      </c>
      <c r="C76" s="299">
        <v>57</v>
      </c>
      <c r="D76" s="300" t="e">
        <f>VLOOKUP(B76,PROPONENTES!$C$19:$E$218,2,FALSE)</f>
        <v>#N/A</v>
      </c>
      <c r="E76" s="135" t="e">
        <f>VLOOKUP(B76,HAB.GEN.!$C$19:$I$218,7,FALSE)</f>
        <v>#N/A</v>
      </c>
      <c r="F76" s="385" t="e">
        <f>VLOOKUP(B76,PON.EXP.ESP.!$C$30:$J$229,6,FALSE)</f>
        <v>#N/A</v>
      </c>
      <c r="G76" s="383" t="e">
        <f>VLOOKUP(B76,PON.EXP.ESP.!$C$30:$J$229,8,FALSE)</f>
        <v>#N/A</v>
      </c>
      <c r="H76" s="383">
        <f>VLOOKUP(B76,VIN.PERS.DISC.!$B$19:$D$218,3,FALSE)</f>
        <v>0</v>
      </c>
      <c r="I76" s="384">
        <f>VLOOKUP(B76,'APOYO A IND. NAL.'!$B$19:$D$218,3,FALSE)</f>
        <v>0</v>
      </c>
      <c r="J76" s="384" t="e">
        <f t="shared" si="0"/>
        <v>#N/A</v>
      </c>
      <c r="K76" s="301"/>
      <c r="L76" s="411">
        <f t="shared" si="1"/>
        <v>0</v>
      </c>
    </row>
    <row r="77" spans="2:12" s="292" customFormat="1" ht="13.5" hidden="1">
      <c r="B77" s="298">
        <f>PROPONENTES!C76</f>
        <v>0</v>
      </c>
      <c r="C77" s="299">
        <v>58</v>
      </c>
      <c r="D77" s="300" t="e">
        <f>VLOOKUP(B77,PROPONENTES!$C$19:$E$218,2,FALSE)</f>
        <v>#N/A</v>
      </c>
      <c r="E77" s="135" t="e">
        <f>VLOOKUP(B77,HAB.GEN.!$C$19:$I$218,7,FALSE)</f>
        <v>#N/A</v>
      </c>
      <c r="F77" s="385" t="e">
        <f>VLOOKUP(B77,PON.EXP.ESP.!$C$30:$J$229,6,FALSE)</f>
        <v>#N/A</v>
      </c>
      <c r="G77" s="383" t="e">
        <f>VLOOKUP(B77,PON.EXP.ESP.!$C$30:$J$229,8,FALSE)</f>
        <v>#N/A</v>
      </c>
      <c r="H77" s="383">
        <f>VLOOKUP(B77,VIN.PERS.DISC.!$B$19:$D$218,3,FALSE)</f>
        <v>0</v>
      </c>
      <c r="I77" s="384">
        <f>VLOOKUP(B77,'APOYO A IND. NAL.'!$B$19:$D$218,3,FALSE)</f>
        <v>0</v>
      </c>
      <c r="J77" s="384" t="e">
        <f t="shared" si="0"/>
        <v>#N/A</v>
      </c>
      <c r="K77" s="301"/>
      <c r="L77" s="411">
        <f t="shared" si="1"/>
        <v>0</v>
      </c>
    </row>
    <row r="78" spans="2:12" s="292" customFormat="1" ht="13.5" hidden="1">
      <c r="B78" s="298">
        <f>PROPONENTES!C77</f>
        <v>0</v>
      </c>
      <c r="C78" s="299">
        <v>59</v>
      </c>
      <c r="D78" s="300" t="e">
        <f>VLOOKUP(B78,PROPONENTES!$C$19:$E$218,2,FALSE)</f>
        <v>#N/A</v>
      </c>
      <c r="E78" s="135" t="e">
        <f>VLOOKUP(B78,HAB.GEN.!$C$19:$I$218,7,FALSE)</f>
        <v>#N/A</v>
      </c>
      <c r="F78" s="385" t="e">
        <f>VLOOKUP(B78,PON.EXP.ESP.!$C$30:$J$229,6,FALSE)</f>
        <v>#N/A</v>
      </c>
      <c r="G78" s="383" t="e">
        <f>VLOOKUP(B78,PON.EXP.ESP.!$C$30:$J$229,8,FALSE)</f>
        <v>#N/A</v>
      </c>
      <c r="H78" s="383">
        <f>VLOOKUP(B78,VIN.PERS.DISC.!$B$19:$D$218,3,FALSE)</f>
        <v>0</v>
      </c>
      <c r="I78" s="384">
        <f>VLOOKUP(B78,'APOYO A IND. NAL.'!$B$19:$D$218,3,FALSE)</f>
        <v>0</v>
      </c>
      <c r="J78" s="384" t="e">
        <f t="shared" si="0"/>
        <v>#N/A</v>
      </c>
      <c r="K78" s="301"/>
      <c r="L78" s="411">
        <f t="shared" si="1"/>
        <v>0</v>
      </c>
    </row>
    <row r="79" spans="2:12" s="292" customFormat="1" ht="13.5" hidden="1">
      <c r="B79" s="298">
        <f>PROPONENTES!C78</f>
        <v>0</v>
      </c>
      <c r="C79" s="299">
        <v>60</v>
      </c>
      <c r="D79" s="300" t="e">
        <f>VLOOKUP(B79,PROPONENTES!$C$19:$E$218,2,FALSE)</f>
        <v>#N/A</v>
      </c>
      <c r="E79" s="135" t="e">
        <f>VLOOKUP(B79,HAB.GEN.!$C$19:$I$218,7,FALSE)</f>
        <v>#N/A</v>
      </c>
      <c r="F79" s="385" t="e">
        <f>VLOOKUP(B79,PON.EXP.ESP.!$C$30:$J$229,6,FALSE)</f>
        <v>#N/A</v>
      </c>
      <c r="G79" s="383" t="e">
        <f>VLOOKUP(B79,PON.EXP.ESP.!$C$30:$J$229,8,FALSE)</f>
        <v>#N/A</v>
      </c>
      <c r="H79" s="383">
        <f>VLOOKUP(B79,VIN.PERS.DISC.!$B$19:$D$218,3,FALSE)</f>
        <v>0</v>
      </c>
      <c r="I79" s="384">
        <f>VLOOKUP(B79,'APOYO A IND. NAL.'!$B$19:$D$218,3,FALSE)</f>
        <v>0</v>
      </c>
      <c r="J79" s="384" t="e">
        <f t="shared" si="0"/>
        <v>#N/A</v>
      </c>
      <c r="K79" s="301"/>
      <c r="L79" s="411">
        <f t="shared" si="1"/>
        <v>0</v>
      </c>
    </row>
    <row r="80" spans="2:12" s="292" customFormat="1" ht="13.5" hidden="1">
      <c r="B80" s="298">
        <f>PROPONENTES!C79</f>
        <v>0</v>
      </c>
      <c r="C80" s="299">
        <v>61</v>
      </c>
      <c r="D80" s="300" t="e">
        <f>VLOOKUP(B80,PROPONENTES!$C$19:$E$218,2,FALSE)</f>
        <v>#N/A</v>
      </c>
      <c r="E80" s="135" t="e">
        <f>VLOOKUP(B80,HAB.GEN.!$C$19:$I$218,7,FALSE)</f>
        <v>#N/A</v>
      </c>
      <c r="F80" s="385" t="e">
        <f>VLOOKUP(B80,PON.EXP.ESP.!$C$30:$J$229,6,FALSE)</f>
        <v>#N/A</v>
      </c>
      <c r="G80" s="383" t="e">
        <f>VLOOKUP(B80,PON.EXP.ESP.!$C$30:$J$229,8,FALSE)</f>
        <v>#N/A</v>
      </c>
      <c r="H80" s="383">
        <f>VLOOKUP(B80,VIN.PERS.DISC.!$B$19:$D$218,3,FALSE)</f>
        <v>0</v>
      </c>
      <c r="I80" s="384">
        <f>VLOOKUP(B80,'APOYO A IND. NAL.'!$B$19:$D$218,3,FALSE)</f>
        <v>0</v>
      </c>
      <c r="J80" s="384" t="e">
        <f t="shared" si="0"/>
        <v>#N/A</v>
      </c>
      <c r="K80" s="301"/>
      <c r="L80" s="411">
        <f t="shared" si="1"/>
        <v>0</v>
      </c>
    </row>
    <row r="81" spans="2:12" s="292" customFormat="1" ht="13.5" hidden="1">
      <c r="B81" s="298">
        <f>PROPONENTES!C80</f>
        <v>0</v>
      </c>
      <c r="C81" s="299">
        <v>62</v>
      </c>
      <c r="D81" s="300" t="e">
        <f>VLOOKUP(B81,PROPONENTES!$C$19:$E$218,2,FALSE)</f>
        <v>#N/A</v>
      </c>
      <c r="E81" s="135" t="e">
        <f>VLOOKUP(B81,HAB.GEN.!$C$19:$I$218,7,FALSE)</f>
        <v>#N/A</v>
      </c>
      <c r="F81" s="385" t="e">
        <f>VLOOKUP(B81,PON.EXP.ESP.!$C$30:$J$229,6,FALSE)</f>
        <v>#N/A</v>
      </c>
      <c r="G81" s="383" t="e">
        <f>VLOOKUP(B81,PON.EXP.ESP.!$C$30:$J$229,8,FALSE)</f>
        <v>#N/A</v>
      </c>
      <c r="H81" s="383">
        <f>VLOOKUP(B81,VIN.PERS.DISC.!$B$19:$D$218,3,FALSE)</f>
        <v>0</v>
      </c>
      <c r="I81" s="384">
        <f>VLOOKUP(B81,'APOYO A IND. NAL.'!$B$19:$D$218,3,FALSE)</f>
        <v>0</v>
      </c>
      <c r="J81" s="384" t="e">
        <f t="shared" si="0"/>
        <v>#N/A</v>
      </c>
      <c r="K81" s="301"/>
      <c r="L81" s="411">
        <f t="shared" si="1"/>
        <v>0</v>
      </c>
    </row>
    <row r="82" spans="2:12" s="292" customFormat="1" ht="13.5" hidden="1">
      <c r="B82" s="298">
        <f>PROPONENTES!C81</f>
        <v>0</v>
      </c>
      <c r="C82" s="299">
        <v>63</v>
      </c>
      <c r="D82" s="300" t="e">
        <f>VLOOKUP(B82,PROPONENTES!$C$19:$E$218,2,FALSE)</f>
        <v>#N/A</v>
      </c>
      <c r="E82" s="135" t="e">
        <f>VLOOKUP(B82,HAB.GEN.!$C$19:$I$218,7,FALSE)</f>
        <v>#N/A</v>
      </c>
      <c r="F82" s="385" t="e">
        <f>VLOOKUP(B82,PON.EXP.ESP.!$C$30:$J$229,6,FALSE)</f>
        <v>#N/A</v>
      </c>
      <c r="G82" s="383" t="e">
        <f>VLOOKUP(B82,PON.EXP.ESP.!$C$30:$J$229,8,FALSE)</f>
        <v>#N/A</v>
      </c>
      <c r="H82" s="383">
        <f>VLOOKUP(B82,VIN.PERS.DISC.!$B$19:$D$218,3,FALSE)</f>
        <v>0</v>
      </c>
      <c r="I82" s="384">
        <f>VLOOKUP(B82,'APOYO A IND. NAL.'!$B$19:$D$218,3,FALSE)</f>
        <v>0</v>
      </c>
      <c r="J82" s="384" t="e">
        <f t="shared" si="0"/>
        <v>#N/A</v>
      </c>
      <c r="K82" s="301"/>
      <c r="L82" s="411">
        <f t="shared" si="1"/>
        <v>0</v>
      </c>
    </row>
    <row r="83" spans="2:12" s="292" customFormat="1" ht="13.5" hidden="1">
      <c r="B83" s="298">
        <f>PROPONENTES!C82</f>
        <v>0</v>
      </c>
      <c r="C83" s="299">
        <v>64</v>
      </c>
      <c r="D83" s="300" t="e">
        <f>VLOOKUP(B83,PROPONENTES!$C$19:$E$218,2,FALSE)</f>
        <v>#N/A</v>
      </c>
      <c r="E83" s="135" t="e">
        <f>VLOOKUP(B83,HAB.GEN.!$C$19:$I$218,7,FALSE)</f>
        <v>#N/A</v>
      </c>
      <c r="F83" s="385" t="e">
        <f>VLOOKUP(B83,PON.EXP.ESP.!$C$30:$J$229,6,FALSE)</f>
        <v>#N/A</v>
      </c>
      <c r="G83" s="383" t="e">
        <f>VLOOKUP(B83,PON.EXP.ESP.!$C$30:$J$229,8,FALSE)</f>
        <v>#N/A</v>
      </c>
      <c r="H83" s="383">
        <f>VLOOKUP(B83,VIN.PERS.DISC.!$B$19:$D$218,3,FALSE)</f>
        <v>0</v>
      </c>
      <c r="I83" s="384">
        <f>VLOOKUP(B83,'APOYO A IND. NAL.'!$B$19:$D$218,3,FALSE)</f>
        <v>0</v>
      </c>
      <c r="J83" s="384" t="e">
        <f t="shared" si="0"/>
        <v>#N/A</v>
      </c>
      <c r="K83" s="301"/>
      <c r="L83" s="411">
        <f t="shared" si="1"/>
        <v>0</v>
      </c>
    </row>
    <row r="84" spans="2:12" s="292" customFormat="1" ht="13.5" hidden="1">
      <c r="B84" s="298">
        <f>PROPONENTES!C83</f>
        <v>0</v>
      </c>
      <c r="C84" s="299">
        <v>65</v>
      </c>
      <c r="D84" s="300" t="e">
        <f>VLOOKUP(B84,PROPONENTES!$C$19:$E$218,2,FALSE)</f>
        <v>#N/A</v>
      </c>
      <c r="E84" s="135" t="e">
        <f>VLOOKUP(B84,HAB.GEN.!$C$19:$I$218,7,FALSE)</f>
        <v>#N/A</v>
      </c>
      <c r="F84" s="385" t="e">
        <f>VLOOKUP(B84,PON.EXP.ESP.!$C$30:$J$229,6,FALSE)</f>
        <v>#N/A</v>
      </c>
      <c r="G84" s="383" t="e">
        <f>VLOOKUP(B84,PON.EXP.ESP.!$C$30:$J$229,8,FALSE)</f>
        <v>#N/A</v>
      </c>
      <c r="H84" s="383">
        <f>VLOOKUP(B84,VIN.PERS.DISC.!$B$19:$D$218,3,FALSE)</f>
        <v>0</v>
      </c>
      <c r="I84" s="384">
        <f>VLOOKUP(B84,'APOYO A IND. NAL.'!$B$19:$D$218,3,FALSE)</f>
        <v>0</v>
      </c>
      <c r="J84" s="384" t="e">
        <f t="shared" si="0"/>
        <v>#N/A</v>
      </c>
      <c r="K84" s="301"/>
      <c r="L84" s="411">
        <f t="shared" si="1"/>
        <v>0</v>
      </c>
    </row>
    <row r="85" spans="2:12" s="292" customFormat="1" ht="13.5" hidden="1">
      <c r="B85" s="298">
        <f>PROPONENTES!C84</f>
        <v>0</v>
      </c>
      <c r="C85" s="299">
        <v>66</v>
      </c>
      <c r="D85" s="300" t="e">
        <f>VLOOKUP(B85,PROPONENTES!$C$19:$E$218,2,FALSE)</f>
        <v>#N/A</v>
      </c>
      <c r="E85" s="135" t="e">
        <f>VLOOKUP(B85,HAB.GEN.!$C$19:$I$218,7,FALSE)</f>
        <v>#N/A</v>
      </c>
      <c r="F85" s="385" t="e">
        <f>VLOOKUP(B85,PON.EXP.ESP.!$C$30:$J$229,6,FALSE)</f>
        <v>#N/A</v>
      </c>
      <c r="G85" s="383" t="e">
        <f>VLOOKUP(B85,PON.EXP.ESP.!$C$30:$J$229,8,FALSE)</f>
        <v>#N/A</v>
      </c>
      <c r="H85" s="383">
        <f>VLOOKUP(B85,VIN.PERS.DISC.!$B$19:$D$218,3,FALSE)</f>
        <v>0</v>
      </c>
      <c r="I85" s="384">
        <f>VLOOKUP(B85,'APOYO A IND. NAL.'!$B$19:$D$218,3,FALSE)</f>
        <v>0</v>
      </c>
      <c r="J85" s="384" t="e">
        <f t="shared" ref="J85:J148" si="2">IF(E85&lt;&gt;"HÁBIL",0,SUM(F85:I85))</f>
        <v>#N/A</v>
      </c>
      <c r="K85" s="301"/>
      <c r="L85" s="411">
        <f t="shared" ref="L85:L148" si="3">B85</f>
        <v>0</v>
      </c>
    </row>
    <row r="86" spans="2:12" s="292" customFormat="1" ht="13.5" hidden="1">
      <c r="B86" s="298">
        <f>PROPONENTES!C85</f>
        <v>0</v>
      </c>
      <c r="C86" s="299">
        <v>67</v>
      </c>
      <c r="D86" s="300" t="e">
        <f>VLOOKUP(B86,PROPONENTES!$C$19:$E$218,2,FALSE)</f>
        <v>#N/A</v>
      </c>
      <c r="E86" s="135" t="e">
        <f>VLOOKUP(B86,HAB.GEN.!$C$19:$I$218,7,FALSE)</f>
        <v>#N/A</v>
      </c>
      <c r="F86" s="385" t="e">
        <f>VLOOKUP(B86,PON.EXP.ESP.!$C$30:$J$229,6,FALSE)</f>
        <v>#N/A</v>
      </c>
      <c r="G86" s="383" t="e">
        <f>VLOOKUP(B86,PON.EXP.ESP.!$C$30:$J$229,8,FALSE)</f>
        <v>#N/A</v>
      </c>
      <c r="H86" s="383">
        <f>VLOOKUP(B86,VIN.PERS.DISC.!$B$19:$D$218,3,FALSE)</f>
        <v>0</v>
      </c>
      <c r="I86" s="384">
        <f>VLOOKUP(B86,'APOYO A IND. NAL.'!$B$19:$D$218,3,FALSE)</f>
        <v>0</v>
      </c>
      <c r="J86" s="384" t="e">
        <f t="shared" si="2"/>
        <v>#N/A</v>
      </c>
      <c r="K86" s="301"/>
      <c r="L86" s="411">
        <f t="shared" si="3"/>
        <v>0</v>
      </c>
    </row>
    <row r="87" spans="2:12" s="292" customFormat="1" ht="13.5" hidden="1">
      <c r="B87" s="298">
        <f>PROPONENTES!C86</f>
        <v>0</v>
      </c>
      <c r="C87" s="299">
        <v>68</v>
      </c>
      <c r="D87" s="300" t="e">
        <f>VLOOKUP(B87,PROPONENTES!$C$19:$E$218,2,FALSE)</f>
        <v>#N/A</v>
      </c>
      <c r="E87" s="135" t="e">
        <f>VLOOKUP(B87,HAB.GEN.!$C$19:$I$218,7,FALSE)</f>
        <v>#N/A</v>
      </c>
      <c r="F87" s="385" t="e">
        <f>VLOOKUP(B87,PON.EXP.ESP.!$C$30:$J$229,6,FALSE)</f>
        <v>#N/A</v>
      </c>
      <c r="G87" s="383" t="e">
        <f>VLOOKUP(B87,PON.EXP.ESP.!$C$30:$J$229,8,FALSE)</f>
        <v>#N/A</v>
      </c>
      <c r="H87" s="383">
        <f>VLOOKUP(B87,VIN.PERS.DISC.!$B$19:$D$218,3,FALSE)</f>
        <v>0</v>
      </c>
      <c r="I87" s="384">
        <f>VLOOKUP(B87,'APOYO A IND. NAL.'!$B$19:$D$218,3,FALSE)</f>
        <v>0</v>
      </c>
      <c r="J87" s="384" t="e">
        <f t="shared" si="2"/>
        <v>#N/A</v>
      </c>
      <c r="K87" s="301"/>
      <c r="L87" s="411">
        <f t="shared" si="3"/>
        <v>0</v>
      </c>
    </row>
    <row r="88" spans="2:12" s="292" customFormat="1" ht="13.5" hidden="1">
      <c r="B88" s="298">
        <f>PROPONENTES!C87</f>
        <v>0</v>
      </c>
      <c r="C88" s="299">
        <v>69</v>
      </c>
      <c r="D88" s="300" t="e">
        <f>VLOOKUP(B88,PROPONENTES!$C$19:$E$218,2,FALSE)</f>
        <v>#N/A</v>
      </c>
      <c r="E88" s="135" t="e">
        <f>VLOOKUP(B88,HAB.GEN.!$C$19:$I$218,7,FALSE)</f>
        <v>#N/A</v>
      </c>
      <c r="F88" s="385" t="e">
        <f>VLOOKUP(B88,PON.EXP.ESP.!$C$30:$J$229,6,FALSE)</f>
        <v>#N/A</v>
      </c>
      <c r="G88" s="383" t="e">
        <f>VLOOKUP(B88,PON.EXP.ESP.!$C$30:$J$229,8,FALSE)</f>
        <v>#N/A</v>
      </c>
      <c r="H88" s="383">
        <f>VLOOKUP(B88,VIN.PERS.DISC.!$B$19:$D$218,3,FALSE)</f>
        <v>0</v>
      </c>
      <c r="I88" s="384">
        <f>VLOOKUP(B88,'APOYO A IND. NAL.'!$B$19:$D$218,3,FALSE)</f>
        <v>0</v>
      </c>
      <c r="J88" s="384" t="e">
        <f t="shared" si="2"/>
        <v>#N/A</v>
      </c>
      <c r="K88" s="301"/>
      <c r="L88" s="411">
        <f t="shared" si="3"/>
        <v>0</v>
      </c>
    </row>
    <row r="89" spans="2:12" s="292" customFormat="1" ht="13.5" hidden="1">
      <c r="B89" s="298">
        <f>PROPONENTES!C88</f>
        <v>0</v>
      </c>
      <c r="C89" s="299">
        <v>70</v>
      </c>
      <c r="D89" s="300" t="e">
        <f>VLOOKUP(B89,PROPONENTES!$C$19:$E$218,2,FALSE)</f>
        <v>#N/A</v>
      </c>
      <c r="E89" s="135" t="e">
        <f>VLOOKUP(B89,HAB.GEN.!$C$19:$I$218,7,FALSE)</f>
        <v>#N/A</v>
      </c>
      <c r="F89" s="385" t="e">
        <f>VLOOKUP(B89,PON.EXP.ESP.!$C$30:$J$229,6,FALSE)</f>
        <v>#N/A</v>
      </c>
      <c r="G89" s="383" t="e">
        <f>VLOOKUP(B89,PON.EXP.ESP.!$C$30:$J$229,8,FALSE)</f>
        <v>#N/A</v>
      </c>
      <c r="H89" s="383">
        <f>VLOOKUP(B89,VIN.PERS.DISC.!$B$19:$D$218,3,FALSE)</f>
        <v>0</v>
      </c>
      <c r="I89" s="384">
        <f>VLOOKUP(B89,'APOYO A IND. NAL.'!$B$19:$D$218,3,FALSE)</f>
        <v>0</v>
      </c>
      <c r="J89" s="384" t="e">
        <f t="shared" si="2"/>
        <v>#N/A</v>
      </c>
      <c r="K89" s="301"/>
      <c r="L89" s="411">
        <f t="shared" si="3"/>
        <v>0</v>
      </c>
    </row>
    <row r="90" spans="2:12" s="292" customFormat="1" ht="13.5" hidden="1">
      <c r="B90" s="298">
        <f>PROPONENTES!C89</f>
        <v>0</v>
      </c>
      <c r="C90" s="299">
        <v>71</v>
      </c>
      <c r="D90" s="300" t="e">
        <f>VLOOKUP(B90,PROPONENTES!$C$19:$E$218,2,FALSE)</f>
        <v>#N/A</v>
      </c>
      <c r="E90" s="135" t="e">
        <f>VLOOKUP(B90,HAB.GEN.!$C$19:$I$218,7,FALSE)</f>
        <v>#N/A</v>
      </c>
      <c r="F90" s="385" t="e">
        <f>VLOOKUP(B90,PON.EXP.ESP.!$C$30:$J$229,6,FALSE)</f>
        <v>#N/A</v>
      </c>
      <c r="G90" s="383" t="e">
        <f>VLOOKUP(B90,PON.EXP.ESP.!$C$30:$J$229,8,FALSE)</f>
        <v>#N/A</v>
      </c>
      <c r="H90" s="383">
        <f>VLOOKUP(B90,VIN.PERS.DISC.!$B$19:$D$218,3,FALSE)</f>
        <v>0</v>
      </c>
      <c r="I90" s="384">
        <f>VLOOKUP(B90,'APOYO A IND. NAL.'!$B$19:$D$218,3,FALSE)</f>
        <v>0</v>
      </c>
      <c r="J90" s="384" t="e">
        <f t="shared" si="2"/>
        <v>#N/A</v>
      </c>
      <c r="K90" s="301"/>
      <c r="L90" s="411">
        <f t="shared" si="3"/>
        <v>0</v>
      </c>
    </row>
    <row r="91" spans="2:12" s="292" customFormat="1" ht="13.5" hidden="1">
      <c r="B91" s="298">
        <f>PROPONENTES!C90</f>
        <v>0</v>
      </c>
      <c r="C91" s="299">
        <v>72</v>
      </c>
      <c r="D91" s="300" t="e">
        <f>VLOOKUP(B91,PROPONENTES!$C$19:$E$218,2,FALSE)</f>
        <v>#N/A</v>
      </c>
      <c r="E91" s="135" t="e">
        <f>VLOOKUP(B91,HAB.GEN.!$C$19:$I$218,7,FALSE)</f>
        <v>#N/A</v>
      </c>
      <c r="F91" s="385" t="e">
        <f>VLOOKUP(B91,PON.EXP.ESP.!$C$30:$J$229,6,FALSE)</f>
        <v>#N/A</v>
      </c>
      <c r="G91" s="383" t="e">
        <f>VLOOKUP(B91,PON.EXP.ESP.!$C$30:$J$229,8,FALSE)</f>
        <v>#N/A</v>
      </c>
      <c r="H91" s="383">
        <f>VLOOKUP(B91,VIN.PERS.DISC.!$B$19:$D$218,3,FALSE)</f>
        <v>0</v>
      </c>
      <c r="I91" s="384">
        <f>VLOOKUP(B91,'APOYO A IND. NAL.'!$B$19:$D$218,3,FALSE)</f>
        <v>0</v>
      </c>
      <c r="J91" s="384" t="e">
        <f t="shared" si="2"/>
        <v>#N/A</v>
      </c>
      <c r="K91" s="301"/>
      <c r="L91" s="411">
        <f t="shared" si="3"/>
        <v>0</v>
      </c>
    </row>
    <row r="92" spans="2:12" s="292" customFormat="1" ht="13.5" hidden="1">
      <c r="B92" s="298">
        <f>PROPONENTES!C91</f>
        <v>0</v>
      </c>
      <c r="C92" s="299">
        <v>73</v>
      </c>
      <c r="D92" s="300" t="e">
        <f>VLOOKUP(B92,PROPONENTES!$C$19:$E$218,2,FALSE)</f>
        <v>#N/A</v>
      </c>
      <c r="E92" s="135" t="e">
        <f>VLOOKUP(B92,HAB.GEN.!$C$19:$I$218,7,FALSE)</f>
        <v>#N/A</v>
      </c>
      <c r="F92" s="385" t="e">
        <f>VLOOKUP(B92,PON.EXP.ESP.!$C$30:$J$229,6,FALSE)</f>
        <v>#N/A</v>
      </c>
      <c r="G92" s="383" t="e">
        <f>VLOOKUP(B92,PON.EXP.ESP.!$C$30:$J$229,8,FALSE)</f>
        <v>#N/A</v>
      </c>
      <c r="H92" s="383">
        <f>VLOOKUP(B92,VIN.PERS.DISC.!$B$19:$D$218,3,FALSE)</f>
        <v>0</v>
      </c>
      <c r="I92" s="384">
        <f>VLOOKUP(B92,'APOYO A IND. NAL.'!$B$19:$D$218,3,FALSE)</f>
        <v>0</v>
      </c>
      <c r="J92" s="384" t="e">
        <f t="shared" si="2"/>
        <v>#N/A</v>
      </c>
      <c r="K92" s="301"/>
      <c r="L92" s="411">
        <f t="shared" si="3"/>
        <v>0</v>
      </c>
    </row>
    <row r="93" spans="2:12" s="292" customFormat="1" ht="13.5" hidden="1">
      <c r="B93" s="298">
        <f>PROPONENTES!C92</f>
        <v>0</v>
      </c>
      <c r="C93" s="299">
        <v>74</v>
      </c>
      <c r="D93" s="300" t="e">
        <f>VLOOKUP(B93,PROPONENTES!$C$19:$E$218,2,FALSE)</f>
        <v>#N/A</v>
      </c>
      <c r="E93" s="135" t="e">
        <f>VLOOKUP(B93,HAB.GEN.!$C$19:$I$218,7,FALSE)</f>
        <v>#N/A</v>
      </c>
      <c r="F93" s="385" t="e">
        <f>VLOOKUP(B93,PON.EXP.ESP.!$C$30:$J$229,6,FALSE)</f>
        <v>#N/A</v>
      </c>
      <c r="G93" s="383" t="e">
        <f>VLOOKUP(B93,PON.EXP.ESP.!$C$30:$J$229,8,FALSE)</f>
        <v>#N/A</v>
      </c>
      <c r="H93" s="383">
        <f>VLOOKUP(B93,VIN.PERS.DISC.!$B$19:$D$218,3,FALSE)</f>
        <v>0</v>
      </c>
      <c r="I93" s="384">
        <f>VLOOKUP(B93,'APOYO A IND. NAL.'!$B$19:$D$218,3,FALSE)</f>
        <v>0</v>
      </c>
      <c r="J93" s="384" t="e">
        <f t="shared" si="2"/>
        <v>#N/A</v>
      </c>
      <c r="K93" s="301"/>
      <c r="L93" s="411">
        <f t="shared" si="3"/>
        <v>0</v>
      </c>
    </row>
    <row r="94" spans="2:12" s="292" customFormat="1" ht="13.5" hidden="1">
      <c r="B94" s="298">
        <f>PROPONENTES!C93</f>
        <v>0</v>
      </c>
      <c r="C94" s="299">
        <v>75</v>
      </c>
      <c r="D94" s="300" t="e">
        <f>VLOOKUP(B94,PROPONENTES!$C$19:$E$218,2,FALSE)</f>
        <v>#N/A</v>
      </c>
      <c r="E94" s="135" t="e">
        <f>VLOOKUP(B94,HAB.GEN.!$C$19:$I$218,7,FALSE)</f>
        <v>#N/A</v>
      </c>
      <c r="F94" s="385" t="e">
        <f>VLOOKUP(B94,PON.EXP.ESP.!$C$30:$J$229,6,FALSE)</f>
        <v>#N/A</v>
      </c>
      <c r="G94" s="383" t="e">
        <f>VLOOKUP(B94,PON.EXP.ESP.!$C$30:$J$229,8,FALSE)</f>
        <v>#N/A</v>
      </c>
      <c r="H94" s="383">
        <f>VLOOKUP(B94,VIN.PERS.DISC.!$B$19:$D$218,3,FALSE)</f>
        <v>0</v>
      </c>
      <c r="I94" s="384">
        <f>VLOOKUP(B94,'APOYO A IND. NAL.'!$B$19:$D$218,3,FALSE)</f>
        <v>0</v>
      </c>
      <c r="J94" s="384" t="e">
        <f t="shared" si="2"/>
        <v>#N/A</v>
      </c>
      <c r="K94" s="301"/>
      <c r="L94" s="411">
        <f t="shared" si="3"/>
        <v>0</v>
      </c>
    </row>
    <row r="95" spans="2:12" s="292" customFormat="1" ht="13.5" hidden="1">
      <c r="B95" s="298">
        <f>PROPONENTES!C94</f>
        <v>0</v>
      </c>
      <c r="C95" s="299">
        <v>76</v>
      </c>
      <c r="D95" s="300" t="e">
        <f>VLOOKUP(B95,PROPONENTES!$C$19:$E$218,2,FALSE)</f>
        <v>#N/A</v>
      </c>
      <c r="E95" s="135" t="e">
        <f>VLOOKUP(B95,HAB.GEN.!$C$19:$I$218,7,FALSE)</f>
        <v>#N/A</v>
      </c>
      <c r="F95" s="385" t="e">
        <f>VLOOKUP(B95,PON.EXP.ESP.!$C$30:$J$229,6,FALSE)</f>
        <v>#N/A</v>
      </c>
      <c r="G95" s="383" t="e">
        <f>VLOOKUP(B95,PON.EXP.ESP.!$C$30:$J$229,8,FALSE)</f>
        <v>#N/A</v>
      </c>
      <c r="H95" s="383">
        <f>VLOOKUP(B95,VIN.PERS.DISC.!$B$19:$D$218,3,FALSE)</f>
        <v>0</v>
      </c>
      <c r="I95" s="384">
        <f>VLOOKUP(B95,'APOYO A IND. NAL.'!$B$19:$D$218,3,FALSE)</f>
        <v>0</v>
      </c>
      <c r="J95" s="384" t="e">
        <f t="shared" si="2"/>
        <v>#N/A</v>
      </c>
      <c r="K95" s="301"/>
      <c r="L95" s="411">
        <f t="shared" si="3"/>
        <v>0</v>
      </c>
    </row>
    <row r="96" spans="2:12" s="292" customFormat="1" ht="13.5" hidden="1">
      <c r="B96" s="298">
        <f>PROPONENTES!C95</f>
        <v>0</v>
      </c>
      <c r="C96" s="299">
        <v>77</v>
      </c>
      <c r="D96" s="300" t="e">
        <f>VLOOKUP(B96,PROPONENTES!$C$19:$E$218,2,FALSE)</f>
        <v>#N/A</v>
      </c>
      <c r="E96" s="135" t="e">
        <f>VLOOKUP(B96,HAB.GEN.!$C$19:$I$218,7,FALSE)</f>
        <v>#N/A</v>
      </c>
      <c r="F96" s="385" t="e">
        <f>VLOOKUP(B96,PON.EXP.ESP.!$C$30:$J$229,6,FALSE)</f>
        <v>#N/A</v>
      </c>
      <c r="G96" s="383" t="e">
        <f>VLOOKUP(B96,PON.EXP.ESP.!$C$30:$J$229,8,FALSE)</f>
        <v>#N/A</v>
      </c>
      <c r="H96" s="383">
        <f>VLOOKUP(B96,VIN.PERS.DISC.!$B$19:$D$218,3,FALSE)</f>
        <v>0</v>
      </c>
      <c r="I96" s="384">
        <f>VLOOKUP(B96,'APOYO A IND. NAL.'!$B$19:$D$218,3,FALSE)</f>
        <v>0</v>
      </c>
      <c r="J96" s="384" t="e">
        <f t="shared" si="2"/>
        <v>#N/A</v>
      </c>
      <c r="K96" s="301"/>
      <c r="L96" s="411">
        <f t="shared" si="3"/>
        <v>0</v>
      </c>
    </row>
    <row r="97" spans="2:12" s="292" customFormat="1" ht="13.5" hidden="1">
      <c r="B97" s="298">
        <f>PROPONENTES!C96</f>
        <v>0</v>
      </c>
      <c r="C97" s="299">
        <v>78</v>
      </c>
      <c r="D97" s="300" t="e">
        <f>VLOOKUP(B97,PROPONENTES!$C$19:$E$218,2,FALSE)</f>
        <v>#N/A</v>
      </c>
      <c r="E97" s="135" t="e">
        <f>VLOOKUP(B97,HAB.GEN.!$C$19:$I$218,7,FALSE)</f>
        <v>#N/A</v>
      </c>
      <c r="F97" s="385" t="e">
        <f>VLOOKUP(B97,PON.EXP.ESP.!$C$30:$J$229,6,FALSE)</f>
        <v>#N/A</v>
      </c>
      <c r="G97" s="383" t="e">
        <f>VLOOKUP(B97,PON.EXP.ESP.!$C$30:$J$229,8,FALSE)</f>
        <v>#N/A</v>
      </c>
      <c r="H97" s="383">
        <f>VLOOKUP(B97,VIN.PERS.DISC.!$B$19:$D$218,3,FALSE)</f>
        <v>0</v>
      </c>
      <c r="I97" s="384">
        <f>VLOOKUP(B97,'APOYO A IND. NAL.'!$B$19:$D$218,3,FALSE)</f>
        <v>0</v>
      </c>
      <c r="J97" s="384" t="e">
        <f t="shared" si="2"/>
        <v>#N/A</v>
      </c>
      <c r="K97" s="301"/>
      <c r="L97" s="411">
        <f t="shared" si="3"/>
        <v>0</v>
      </c>
    </row>
    <row r="98" spans="2:12" s="292" customFormat="1" ht="13.5" hidden="1">
      <c r="B98" s="298">
        <f>PROPONENTES!C97</f>
        <v>0</v>
      </c>
      <c r="C98" s="299">
        <v>79</v>
      </c>
      <c r="D98" s="300" t="e">
        <f>VLOOKUP(B98,PROPONENTES!$C$19:$E$218,2,FALSE)</f>
        <v>#N/A</v>
      </c>
      <c r="E98" s="135" t="e">
        <f>VLOOKUP(B98,HAB.GEN.!$C$19:$I$218,7,FALSE)</f>
        <v>#N/A</v>
      </c>
      <c r="F98" s="385" t="e">
        <f>VLOOKUP(B98,PON.EXP.ESP.!$C$30:$J$229,6,FALSE)</f>
        <v>#N/A</v>
      </c>
      <c r="G98" s="383" t="e">
        <f>VLOOKUP(B98,PON.EXP.ESP.!$C$30:$J$229,8,FALSE)</f>
        <v>#N/A</v>
      </c>
      <c r="H98" s="383">
        <f>VLOOKUP(B98,VIN.PERS.DISC.!$B$19:$D$218,3,FALSE)</f>
        <v>0</v>
      </c>
      <c r="I98" s="384">
        <f>VLOOKUP(B98,'APOYO A IND. NAL.'!$B$19:$D$218,3,FALSE)</f>
        <v>0</v>
      </c>
      <c r="J98" s="384" t="e">
        <f t="shared" si="2"/>
        <v>#N/A</v>
      </c>
      <c r="K98" s="301"/>
      <c r="L98" s="411">
        <f t="shared" si="3"/>
        <v>0</v>
      </c>
    </row>
    <row r="99" spans="2:12" s="292" customFormat="1" ht="13.5" hidden="1">
      <c r="B99" s="298">
        <f>PROPONENTES!C98</f>
        <v>0</v>
      </c>
      <c r="C99" s="299">
        <v>80</v>
      </c>
      <c r="D99" s="300" t="e">
        <f>VLOOKUP(B99,PROPONENTES!$C$19:$E$218,2,FALSE)</f>
        <v>#N/A</v>
      </c>
      <c r="E99" s="135" t="e">
        <f>VLOOKUP(B99,HAB.GEN.!$C$19:$I$218,7,FALSE)</f>
        <v>#N/A</v>
      </c>
      <c r="F99" s="385" t="e">
        <f>VLOOKUP(B99,PON.EXP.ESP.!$C$30:$J$229,6,FALSE)</f>
        <v>#N/A</v>
      </c>
      <c r="G99" s="383" t="e">
        <f>VLOOKUP(B99,PON.EXP.ESP.!$C$30:$J$229,8,FALSE)</f>
        <v>#N/A</v>
      </c>
      <c r="H99" s="383">
        <f>VLOOKUP(B99,VIN.PERS.DISC.!$B$19:$D$218,3,FALSE)</f>
        <v>0</v>
      </c>
      <c r="I99" s="384">
        <f>VLOOKUP(B99,'APOYO A IND. NAL.'!$B$19:$D$218,3,FALSE)</f>
        <v>0</v>
      </c>
      <c r="J99" s="384" t="e">
        <f t="shared" si="2"/>
        <v>#N/A</v>
      </c>
      <c r="K99" s="301"/>
      <c r="L99" s="411">
        <f t="shared" si="3"/>
        <v>0</v>
      </c>
    </row>
    <row r="100" spans="2:12" s="292" customFormat="1" ht="13.5" hidden="1">
      <c r="B100" s="298">
        <f>PROPONENTES!C99</f>
        <v>0</v>
      </c>
      <c r="C100" s="299">
        <v>81</v>
      </c>
      <c r="D100" s="300" t="e">
        <f>VLOOKUP(B100,PROPONENTES!$C$19:$E$218,2,FALSE)</f>
        <v>#N/A</v>
      </c>
      <c r="E100" s="135" t="e">
        <f>VLOOKUP(B100,HAB.GEN.!$C$19:$I$218,7,FALSE)</f>
        <v>#N/A</v>
      </c>
      <c r="F100" s="385" t="e">
        <f>VLOOKUP(B100,PON.EXP.ESP.!$C$30:$J$229,6,FALSE)</f>
        <v>#N/A</v>
      </c>
      <c r="G100" s="383" t="e">
        <f>VLOOKUP(B100,PON.EXP.ESP.!$C$30:$J$229,8,FALSE)</f>
        <v>#N/A</v>
      </c>
      <c r="H100" s="383">
        <f>VLOOKUP(B100,VIN.PERS.DISC.!$B$19:$D$218,3,FALSE)</f>
        <v>0</v>
      </c>
      <c r="I100" s="384">
        <f>VLOOKUP(B100,'APOYO A IND. NAL.'!$B$19:$D$218,3,FALSE)</f>
        <v>0</v>
      </c>
      <c r="J100" s="384" t="e">
        <f t="shared" si="2"/>
        <v>#N/A</v>
      </c>
      <c r="K100" s="301"/>
      <c r="L100" s="411">
        <f t="shared" si="3"/>
        <v>0</v>
      </c>
    </row>
    <row r="101" spans="2:12" s="292" customFormat="1" ht="13.5" hidden="1">
      <c r="B101" s="298">
        <f>PROPONENTES!C100</f>
        <v>0</v>
      </c>
      <c r="C101" s="299">
        <v>82</v>
      </c>
      <c r="D101" s="300" t="e">
        <f>VLOOKUP(B101,PROPONENTES!$C$19:$E$218,2,FALSE)</f>
        <v>#N/A</v>
      </c>
      <c r="E101" s="135" t="e">
        <f>VLOOKUP(B101,HAB.GEN.!$C$19:$I$218,7,FALSE)</f>
        <v>#N/A</v>
      </c>
      <c r="F101" s="385" t="e">
        <f>VLOOKUP(B101,PON.EXP.ESP.!$C$30:$J$229,6,FALSE)</f>
        <v>#N/A</v>
      </c>
      <c r="G101" s="383" t="e">
        <f>VLOOKUP(B101,PON.EXP.ESP.!$C$30:$J$229,8,FALSE)</f>
        <v>#N/A</v>
      </c>
      <c r="H101" s="383">
        <f>VLOOKUP(B101,VIN.PERS.DISC.!$B$19:$D$218,3,FALSE)</f>
        <v>0</v>
      </c>
      <c r="I101" s="384">
        <f>VLOOKUP(B101,'APOYO A IND. NAL.'!$B$19:$D$218,3,FALSE)</f>
        <v>0</v>
      </c>
      <c r="J101" s="384" t="e">
        <f t="shared" si="2"/>
        <v>#N/A</v>
      </c>
      <c r="K101" s="301"/>
      <c r="L101" s="411">
        <f t="shared" si="3"/>
        <v>0</v>
      </c>
    </row>
    <row r="102" spans="2:12" s="292" customFormat="1" ht="13.5" hidden="1">
      <c r="B102" s="298">
        <f>PROPONENTES!C101</f>
        <v>0</v>
      </c>
      <c r="C102" s="299">
        <v>83</v>
      </c>
      <c r="D102" s="300" t="e">
        <f>VLOOKUP(B102,PROPONENTES!$C$19:$E$218,2,FALSE)</f>
        <v>#N/A</v>
      </c>
      <c r="E102" s="135" t="e">
        <f>VLOOKUP(B102,HAB.GEN.!$C$19:$I$218,7,FALSE)</f>
        <v>#N/A</v>
      </c>
      <c r="F102" s="385" t="e">
        <f>VLOOKUP(B102,PON.EXP.ESP.!$C$30:$J$229,6,FALSE)</f>
        <v>#N/A</v>
      </c>
      <c r="G102" s="383" t="e">
        <f>VLOOKUP(B102,PON.EXP.ESP.!$C$30:$J$229,8,FALSE)</f>
        <v>#N/A</v>
      </c>
      <c r="H102" s="383">
        <f>VLOOKUP(B102,VIN.PERS.DISC.!$B$19:$D$218,3,FALSE)</f>
        <v>0</v>
      </c>
      <c r="I102" s="384">
        <f>VLOOKUP(B102,'APOYO A IND. NAL.'!$B$19:$D$218,3,FALSE)</f>
        <v>0</v>
      </c>
      <c r="J102" s="384" t="e">
        <f t="shared" si="2"/>
        <v>#N/A</v>
      </c>
      <c r="K102" s="301"/>
      <c r="L102" s="411">
        <f t="shared" si="3"/>
        <v>0</v>
      </c>
    </row>
    <row r="103" spans="2:12" s="292" customFormat="1" ht="13.5" hidden="1">
      <c r="B103" s="298">
        <f>PROPONENTES!C102</f>
        <v>0</v>
      </c>
      <c r="C103" s="299">
        <v>84</v>
      </c>
      <c r="D103" s="300" t="e">
        <f>VLOOKUP(B103,PROPONENTES!$C$19:$E$218,2,FALSE)</f>
        <v>#N/A</v>
      </c>
      <c r="E103" s="135" t="e">
        <f>VLOOKUP(B103,HAB.GEN.!$C$19:$I$218,7,FALSE)</f>
        <v>#N/A</v>
      </c>
      <c r="F103" s="385" t="e">
        <f>VLOOKUP(B103,PON.EXP.ESP.!$C$30:$J$229,6,FALSE)</f>
        <v>#N/A</v>
      </c>
      <c r="G103" s="383" t="e">
        <f>VLOOKUP(B103,PON.EXP.ESP.!$C$30:$J$229,8,FALSE)</f>
        <v>#N/A</v>
      </c>
      <c r="H103" s="383">
        <f>VLOOKUP(B103,VIN.PERS.DISC.!$B$19:$D$218,3,FALSE)</f>
        <v>0</v>
      </c>
      <c r="I103" s="384">
        <f>VLOOKUP(B103,'APOYO A IND. NAL.'!$B$19:$D$218,3,FALSE)</f>
        <v>0</v>
      </c>
      <c r="J103" s="384" t="e">
        <f t="shared" si="2"/>
        <v>#N/A</v>
      </c>
      <c r="K103" s="301"/>
      <c r="L103" s="411">
        <f t="shared" si="3"/>
        <v>0</v>
      </c>
    </row>
    <row r="104" spans="2:12" s="292" customFormat="1" ht="13.5" hidden="1">
      <c r="B104" s="298">
        <f>PROPONENTES!C103</f>
        <v>0</v>
      </c>
      <c r="C104" s="299">
        <v>85</v>
      </c>
      <c r="D104" s="300" t="e">
        <f>VLOOKUP(B104,PROPONENTES!$C$19:$E$218,2,FALSE)</f>
        <v>#N/A</v>
      </c>
      <c r="E104" s="135" t="e">
        <f>VLOOKUP(B104,HAB.GEN.!$C$19:$I$218,7,FALSE)</f>
        <v>#N/A</v>
      </c>
      <c r="F104" s="385" t="e">
        <f>VLOOKUP(B104,PON.EXP.ESP.!$C$30:$J$229,6,FALSE)</f>
        <v>#N/A</v>
      </c>
      <c r="G104" s="383" t="e">
        <f>VLOOKUP(B104,PON.EXP.ESP.!$C$30:$J$229,8,FALSE)</f>
        <v>#N/A</v>
      </c>
      <c r="H104" s="383">
        <f>VLOOKUP(B104,VIN.PERS.DISC.!$B$19:$D$218,3,FALSE)</f>
        <v>0</v>
      </c>
      <c r="I104" s="384">
        <f>VLOOKUP(B104,'APOYO A IND. NAL.'!$B$19:$D$218,3,FALSE)</f>
        <v>0</v>
      </c>
      <c r="J104" s="384" t="e">
        <f t="shared" si="2"/>
        <v>#N/A</v>
      </c>
      <c r="K104" s="301"/>
      <c r="L104" s="411">
        <f t="shared" si="3"/>
        <v>0</v>
      </c>
    </row>
    <row r="105" spans="2:12" s="292" customFormat="1" ht="13.5" hidden="1">
      <c r="B105" s="298">
        <f>PROPONENTES!C104</f>
        <v>0</v>
      </c>
      <c r="C105" s="299">
        <v>86</v>
      </c>
      <c r="D105" s="300" t="e">
        <f>VLOOKUP(B105,PROPONENTES!$C$19:$E$218,2,FALSE)</f>
        <v>#N/A</v>
      </c>
      <c r="E105" s="135" t="e">
        <f>VLOOKUP(B105,HAB.GEN.!$C$19:$I$218,7,FALSE)</f>
        <v>#N/A</v>
      </c>
      <c r="F105" s="385" t="e">
        <f>VLOOKUP(B105,PON.EXP.ESP.!$C$30:$J$229,6,FALSE)</f>
        <v>#N/A</v>
      </c>
      <c r="G105" s="383" t="e">
        <f>VLOOKUP(B105,PON.EXP.ESP.!$C$30:$J$229,8,FALSE)</f>
        <v>#N/A</v>
      </c>
      <c r="H105" s="383">
        <f>VLOOKUP(B105,VIN.PERS.DISC.!$B$19:$D$218,3,FALSE)</f>
        <v>0</v>
      </c>
      <c r="I105" s="384">
        <f>VLOOKUP(B105,'APOYO A IND. NAL.'!$B$19:$D$218,3,FALSE)</f>
        <v>0</v>
      </c>
      <c r="J105" s="384" t="e">
        <f t="shared" si="2"/>
        <v>#N/A</v>
      </c>
      <c r="K105" s="301"/>
      <c r="L105" s="411">
        <f t="shared" si="3"/>
        <v>0</v>
      </c>
    </row>
    <row r="106" spans="2:12" s="292" customFormat="1" ht="13.5" hidden="1">
      <c r="B106" s="298">
        <f>PROPONENTES!C105</f>
        <v>0</v>
      </c>
      <c r="C106" s="299">
        <v>87</v>
      </c>
      <c r="D106" s="300" t="e">
        <f>VLOOKUP(B106,PROPONENTES!$C$19:$E$218,2,FALSE)</f>
        <v>#N/A</v>
      </c>
      <c r="E106" s="135" t="e">
        <f>VLOOKUP(B106,HAB.GEN.!$C$19:$I$218,7,FALSE)</f>
        <v>#N/A</v>
      </c>
      <c r="F106" s="385" t="e">
        <f>VLOOKUP(B106,PON.EXP.ESP.!$C$30:$J$229,6,FALSE)</f>
        <v>#N/A</v>
      </c>
      <c r="G106" s="383" t="e">
        <f>VLOOKUP(B106,PON.EXP.ESP.!$C$30:$J$229,8,FALSE)</f>
        <v>#N/A</v>
      </c>
      <c r="H106" s="383">
        <f>VLOOKUP(B106,VIN.PERS.DISC.!$B$19:$D$218,3,FALSE)</f>
        <v>0</v>
      </c>
      <c r="I106" s="384">
        <f>VLOOKUP(B106,'APOYO A IND. NAL.'!$B$19:$D$218,3,FALSE)</f>
        <v>0</v>
      </c>
      <c r="J106" s="384" t="e">
        <f t="shared" si="2"/>
        <v>#N/A</v>
      </c>
      <c r="K106" s="301"/>
      <c r="L106" s="411">
        <f t="shared" si="3"/>
        <v>0</v>
      </c>
    </row>
    <row r="107" spans="2:12" s="292" customFormat="1" ht="13.5" hidden="1">
      <c r="B107" s="298">
        <f>PROPONENTES!C106</f>
        <v>0</v>
      </c>
      <c r="C107" s="299">
        <v>88</v>
      </c>
      <c r="D107" s="300" t="e">
        <f>VLOOKUP(B107,PROPONENTES!$C$19:$E$218,2,FALSE)</f>
        <v>#N/A</v>
      </c>
      <c r="E107" s="135" t="e">
        <f>VLOOKUP(B107,HAB.GEN.!$C$19:$I$218,7,FALSE)</f>
        <v>#N/A</v>
      </c>
      <c r="F107" s="385" t="e">
        <f>VLOOKUP(B107,PON.EXP.ESP.!$C$30:$J$229,6,FALSE)</f>
        <v>#N/A</v>
      </c>
      <c r="G107" s="383" t="e">
        <f>VLOOKUP(B107,PON.EXP.ESP.!$C$30:$J$229,8,FALSE)</f>
        <v>#N/A</v>
      </c>
      <c r="H107" s="383">
        <f>VLOOKUP(B107,VIN.PERS.DISC.!$B$19:$D$218,3,FALSE)</f>
        <v>0</v>
      </c>
      <c r="I107" s="384">
        <f>VLOOKUP(B107,'APOYO A IND. NAL.'!$B$19:$D$218,3,FALSE)</f>
        <v>0</v>
      </c>
      <c r="J107" s="384" t="e">
        <f t="shared" si="2"/>
        <v>#N/A</v>
      </c>
      <c r="K107" s="301"/>
      <c r="L107" s="411">
        <f t="shared" si="3"/>
        <v>0</v>
      </c>
    </row>
    <row r="108" spans="2:12" s="292" customFormat="1" ht="13.5" hidden="1">
      <c r="B108" s="298">
        <f>PROPONENTES!C107</f>
        <v>0</v>
      </c>
      <c r="C108" s="299">
        <v>89</v>
      </c>
      <c r="D108" s="300" t="e">
        <f>VLOOKUP(B108,PROPONENTES!$C$19:$E$218,2,FALSE)</f>
        <v>#N/A</v>
      </c>
      <c r="E108" s="135" t="e">
        <f>VLOOKUP(B108,HAB.GEN.!$C$19:$I$218,7,FALSE)</f>
        <v>#N/A</v>
      </c>
      <c r="F108" s="385" t="e">
        <f>VLOOKUP(B108,PON.EXP.ESP.!$C$30:$J$229,6,FALSE)</f>
        <v>#N/A</v>
      </c>
      <c r="G108" s="383" t="e">
        <f>VLOOKUP(B108,PON.EXP.ESP.!$C$30:$J$229,8,FALSE)</f>
        <v>#N/A</v>
      </c>
      <c r="H108" s="383">
        <f>VLOOKUP(B108,VIN.PERS.DISC.!$B$19:$D$218,3,FALSE)</f>
        <v>0</v>
      </c>
      <c r="I108" s="384">
        <f>VLOOKUP(B108,'APOYO A IND. NAL.'!$B$19:$D$218,3,FALSE)</f>
        <v>0</v>
      </c>
      <c r="J108" s="384" t="e">
        <f t="shared" si="2"/>
        <v>#N/A</v>
      </c>
      <c r="K108" s="301"/>
      <c r="L108" s="411">
        <f t="shared" si="3"/>
        <v>0</v>
      </c>
    </row>
    <row r="109" spans="2:12" s="292" customFormat="1" ht="13.5" hidden="1">
      <c r="B109" s="298">
        <f>PROPONENTES!C108</f>
        <v>0</v>
      </c>
      <c r="C109" s="299">
        <v>90</v>
      </c>
      <c r="D109" s="300" t="e">
        <f>VLOOKUP(B109,PROPONENTES!$C$19:$E$218,2,FALSE)</f>
        <v>#N/A</v>
      </c>
      <c r="E109" s="135" t="e">
        <f>VLOOKUP(B109,HAB.GEN.!$C$19:$I$218,7,FALSE)</f>
        <v>#N/A</v>
      </c>
      <c r="F109" s="385" t="e">
        <f>VLOOKUP(B109,PON.EXP.ESP.!$C$30:$J$229,6,FALSE)</f>
        <v>#N/A</v>
      </c>
      <c r="G109" s="383" t="e">
        <f>VLOOKUP(B109,PON.EXP.ESP.!$C$30:$J$229,8,FALSE)</f>
        <v>#N/A</v>
      </c>
      <c r="H109" s="383">
        <f>VLOOKUP(B109,VIN.PERS.DISC.!$B$19:$D$218,3,FALSE)</f>
        <v>0</v>
      </c>
      <c r="I109" s="384">
        <f>VLOOKUP(B109,'APOYO A IND. NAL.'!$B$19:$D$218,3,FALSE)</f>
        <v>0</v>
      </c>
      <c r="J109" s="384" t="e">
        <f t="shared" si="2"/>
        <v>#N/A</v>
      </c>
      <c r="K109" s="301"/>
      <c r="L109" s="411">
        <f t="shared" si="3"/>
        <v>0</v>
      </c>
    </row>
    <row r="110" spans="2:12" s="292" customFormat="1" ht="13.5" hidden="1">
      <c r="B110" s="298">
        <f>PROPONENTES!C109</f>
        <v>0</v>
      </c>
      <c r="C110" s="299">
        <v>91</v>
      </c>
      <c r="D110" s="300" t="e">
        <f>VLOOKUP(B110,PROPONENTES!$C$19:$E$218,2,FALSE)</f>
        <v>#N/A</v>
      </c>
      <c r="E110" s="135" t="e">
        <f>VLOOKUP(B110,HAB.GEN.!$C$19:$I$218,7,FALSE)</f>
        <v>#N/A</v>
      </c>
      <c r="F110" s="385" t="e">
        <f>VLOOKUP(B110,PON.EXP.ESP.!$C$30:$J$229,6,FALSE)</f>
        <v>#N/A</v>
      </c>
      <c r="G110" s="383" t="e">
        <f>VLOOKUP(B110,PON.EXP.ESP.!$C$30:$J$229,8,FALSE)</f>
        <v>#N/A</v>
      </c>
      <c r="H110" s="383">
        <f>VLOOKUP(B110,VIN.PERS.DISC.!$B$19:$D$218,3,FALSE)</f>
        <v>0</v>
      </c>
      <c r="I110" s="384">
        <f>VLOOKUP(B110,'APOYO A IND. NAL.'!$B$19:$D$218,3,FALSE)</f>
        <v>0</v>
      </c>
      <c r="J110" s="384" t="e">
        <f t="shared" si="2"/>
        <v>#N/A</v>
      </c>
      <c r="K110" s="301"/>
      <c r="L110" s="411">
        <f t="shared" si="3"/>
        <v>0</v>
      </c>
    </row>
    <row r="111" spans="2:12" s="292" customFormat="1" ht="13.5" hidden="1">
      <c r="B111" s="298">
        <f>PROPONENTES!C110</f>
        <v>0</v>
      </c>
      <c r="C111" s="299">
        <v>92</v>
      </c>
      <c r="D111" s="300" t="e">
        <f>VLOOKUP(B111,PROPONENTES!$C$19:$E$218,2,FALSE)</f>
        <v>#N/A</v>
      </c>
      <c r="E111" s="135" t="e">
        <f>VLOOKUP(B111,HAB.GEN.!$C$19:$I$218,7,FALSE)</f>
        <v>#N/A</v>
      </c>
      <c r="F111" s="385" t="e">
        <f>VLOOKUP(B111,PON.EXP.ESP.!$C$30:$J$229,6,FALSE)</f>
        <v>#N/A</v>
      </c>
      <c r="G111" s="383" t="e">
        <f>VLOOKUP(B111,PON.EXP.ESP.!$C$30:$J$229,8,FALSE)</f>
        <v>#N/A</v>
      </c>
      <c r="H111" s="383">
        <f>VLOOKUP(B111,VIN.PERS.DISC.!$B$19:$D$218,3,FALSE)</f>
        <v>0</v>
      </c>
      <c r="I111" s="384">
        <f>VLOOKUP(B111,'APOYO A IND. NAL.'!$B$19:$D$218,3,FALSE)</f>
        <v>0</v>
      </c>
      <c r="J111" s="384" t="e">
        <f t="shared" si="2"/>
        <v>#N/A</v>
      </c>
      <c r="K111" s="301"/>
      <c r="L111" s="411">
        <f t="shared" si="3"/>
        <v>0</v>
      </c>
    </row>
    <row r="112" spans="2:12" s="292" customFormat="1" ht="13.5" hidden="1">
      <c r="B112" s="298">
        <f>PROPONENTES!C111</f>
        <v>0</v>
      </c>
      <c r="C112" s="299">
        <v>93</v>
      </c>
      <c r="D112" s="300" t="e">
        <f>VLOOKUP(B112,PROPONENTES!$C$19:$E$218,2,FALSE)</f>
        <v>#N/A</v>
      </c>
      <c r="E112" s="135" t="e">
        <f>VLOOKUP(B112,HAB.GEN.!$C$19:$I$218,7,FALSE)</f>
        <v>#N/A</v>
      </c>
      <c r="F112" s="385" t="e">
        <f>VLOOKUP(B112,PON.EXP.ESP.!$C$30:$J$229,6,FALSE)</f>
        <v>#N/A</v>
      </c>
      <c r="G112" s="383" t="e">
        <f>VLOOKUP(B112,PON.EXP.ESP.!$C$30:$J$229,8,FALSE)</f>
        <v>#N/A</v>
      </c>
      <c r="H112" s="383">
        <f>VLOOKUP(B112,VIN.PERS.DISC.!$B$19:$D$218,3,FALSE)</f>
        <v>0</v>
      </c>
      <c r="I112" s="384">
        <f>VLOOKUP(B112,'APOYO A IND. NAL.'!$B$19:$D$218,3,FALSE)</f>
        <v>0</v>
      </c>
      <c r="J112" s="384" t="e">
        <f t="shared" si="2"/>
        <v>#N/A</v>
      </c>
      <c r="K112" s="301"/>
      <c r="L112" s="411">
        <f t="shared" si="3"/>
        <v>0</v>
      </c>
    </row>
    <row r="113" spans="2:12" s="292" customFormat="1" ht="13.5" hidden="1">
      <c r="B113" s="298">
        <f>PROPONENTES!C112</f>
        <v>0</v>
      </c>
      <c r="C113" s="299">
        <v>94</v>
      </c>
      <c r="D113" s="300" t="e">
        <f>VLOOKUP(B113,PROPONENTES!$C$19:$E$218,2,FALSE)</f>
        <v>#N/A</v>
      </c>
      <c r="E113" s="135" t="e">
        <f>VLOOKUP(B113,HAB.GEN.!$C$19:$I$218,7,FALSE)</f>
        <v>#N/A</v>
      </c>
      <c r="F113" s="385" t="e">
        <f>VLOOKUP(B113,PON.EXP.ESP.!$C$30:$J$229,6,FALSE)</f>
        <v>#N/A</v>
      </c>
      <c r="G113" s="383" t="e">
        <f>VLOOKUP(B113,PON.EXP.ESP.!$C$30:$J$229,8,FALSE)</f>
        <v>#N/A</v>
      </c>
      <c r="H113" s="383">
        <f>VLOOKUP(B113,VIN.PERS.DISC.!$B$19:$D$218,3,FALSE)</f>
        <v>0</v>
      </c>
      <c r="I113" s="384">
        <f>VLOOKUP(B113,'APOYO A IND. NAL.'!$B$19:$D$218,3,FALSE)</f>
        <v>0</v>
      </c>
      <c r="J113" s="384" t="e">
        <f t="shared" si="2"/>
        <v>#N/A</v>
      </c>
      <c r="K113" s="301"/>
      <c r="L113" s="411">
        <f t="shared" si="3"/>
        <v>0</v>
      </c>
    </row>
    <row r="114" spans="2:12" s="292" customFormat="1" ht="13.5" hidden="1">
      <c r="B114" s="298">
        <f>PROPONENTES!C113</f>
        <v>0</v>
      </c>
      <c r="C114" s="299">
        <v>95</v>
      </c>
      <c r="D114" s="300" t="e">
        <f>VLOOKUP(B114,PROPONENTES!$C$19:$E$218,2,FALSE)</f>
        <v>#N/A</v>
      </c>
      <c r="E114" s="135" t="e">
        <f>VLOOKUP(B114,HAB.GEN.!$C$19:$I$218,7,FALSE)</f>
        <v>#N/A</v>
      </c>
      <c r="F114" s="385" t="e">
        <f>VLOOKUP(B114,PON.EXP.ESP.!$C$30:$J$229,6,FALSE)</f>
        <v>#N/A</v>
      </c>
      <c r="G114" s="383" t="e">
        <f>VLOOKUP(B114,PON.EXP.ESP.!$C$30:$J$229,8,FALSE)</f>
        <v>#N/A</v>
      </c>
      <c r="H114" s="383">
        <f>VLOOKUP(B114,VIN.PERS.DISC.!$B$19:$D$218,3,FALSE)</f>
        <v>0</v>
      </c>
      <c r="I114" s="384">
        <f>VLOOKUP(B114,'APOYO A IND. NAL.'!$B$19:$D$218,3,FALSE)</f>
        <v>0</v>
      </c>
      <c r="J114" s="384" t="e">
        <f t="shared" si="2"/>
        <v>#N/A</v>
      </c>
      <c r="K114" s="301"/>
      <c r="L114" s="411">
        <f t="shared" si="3"/>
        <v>0</v>
      </c>
    </row>
    <row r="115" spans="2:12" s="292" customFormat="1" ht="13.5" hidden="1">
      <c r="B115" s="298">
        <f>PROPONENTES!C114</f>
        <v>0</v>
      </c>
      <c r="C115" s="299">
        <v>96</v>
      </c>
      <c r="D115" s="300" t="e">
        <f>VLOOKUP(B115,PROPONENTES!$C$19:$E$218,2,FALSE)</f>
        <v>#N/A</v>
      </c>
      <c r="E115" s="135" t="e">
        <f>VLOOKUP(B115,HAB.GEN.!$C$19:$I$218,7,FALSE)</f>
        <v>#N/A</v>
      </c>
      <c r="F115" s="385" t="e">
        <f>VLOOKUP(B115,PON.EXP.ESP.!$C$30:$J$229,6,FALSE)</f>
        <v>#N/A</v>
      </c>
      <c r="G115" s="383" t="e">
        <f>VLOOKUP(B115,PON.EXP.ESP.!$C$30:$J$229,8,FALSE)</f>
        <v>#N/A</v>
      </c>
      <c r="H115" s="383">
        <f>VLOOKUP(B115,VIN.PERS.DISC.!$B$19:$D$218,3,FALSE)</f>
        <v>0</v>
      </c>
      <c r="I115" s="384">
        <f>VLOOKUP(B115,'APOYO A IND. NAL.'!$B$19:$D$218,3,FALSE)</f>
        <v>0</v>
      </c>
      <c r="J115" s="384" t="e">
        <f t="shared" si="2"/>
        <v>#N/A</v>
      </c>
      <c r="K115" s="301"/>
      <c r="L115" s="411">
        <f t="shared" si="3"/>
        <v>0</v>
      </c>
    </row>
    <row r="116" spans="2:12" s="292" customFormat="1" ht="13.5" hidden="1">
      <c r="B116" s="298">
        <f>PROPONENTES!C115</f>
        <v>0</v>
      </c>
      <c r="C116" s="299">
        <v>97</v>
      </c>
      <c r="D116" s="300" t="e">
        <f>VLOOKUP(B116,PROPONENTES!$C$19:$E$218,2,FALSE)</f>
        <v>#N/A</v>
      </c>
      <c r="E116" s="135" t="e">
        <f>VLOOKUP(B116,HAB.GEN.!$C$19:$I$218,7,FALSE)</f>
        <v>#N/A</v>
      </c>
      <c r="F116" s="385" t="e">
        <f>VLOOKUP(B116,PON.EXP.ESP.!$C$30:$J$229,6,FALSE)</f>
        <v>#N/A</v>
      </c>
      <c r="G116" s="383" t="e">
        <f>VLOOKUP(B116,PON.EXP.ESP.!$C$30:$J$229,8,FALSE)</f>
        <v>#N/A</v>
      </c>
      <c r="H116" s="383">
        <f>VLOOKUP(B116,VIN.PERS.DISC.!$B$19:$D$218,3,FALSE)</f>
        <v>0</v>
      </c>
      <c r="I116" s="384">
        <f>VLOOKUP(B116,'APOYO A IND. NAL.'!$B$19:$D$218,3,FALSE)</f>
        <v>0</v>
      </c>
      <c r="J116" s="384" t="e">
        <f t="shared" si="2"/>
        <v>#N/A</v>
      </c>
      <c r="K116" s="301"/>
      <c r="L116" s="411">
        <f t="shared" si="3"/>
        <v>0</v>
      </c>
    </row>
    <row r="117" spans="2:12" s="292" customFormat="1" ht="13.5" hidden="1">
      <c r="B117" s="298">
        <f>PROPONENTES!C116</f>
        <v>0</v>
      </c>
      <c r="C117" s="299">
        <v>98</v>
      </c>
      <c r="D117" s="300" t="e">
        <f>VLOOKUP(B117,PROPONENTES!$C$19:$E$218,2,FALSE)</f>
        <v>#N/A</v>
      </c>
      <c r="E117" s="135" t="e">
        <f>VLOOKUP(B117,HAB.GEN.!$C$19:$I$218,7,FALSE)</f>
        <v>#N/A</v>
      </c>
      <c r="F117" s="385" t="e">
        <f>VLOOKUP(B117,PON.EXP.ESP.!$C$30:$J$229,6,FALSE)</f>
        <v>#N/A</v>
      </c>
      <c r="G117" s="383" t="e">
        <f>VLOOKUP(B117,PON.EXP.ESP.!$C$30:$J$229,8,FALSE)</f>
        <v>#N/A</v>
      </c>
      <c r="H117" s="383">
        <f>VLOOKUP(B117,VIN.PERS.DISC.!$B$19:$D$218,3,FALSE)</f>
        <v>0</v>
      </c>
      <c r="I117" s="384">
        <f>VLOOKUP(B117,'APOYO A IND. NAL.'!$B$19:$D$218,3,FALSE)</f>
        <v>0</v>
      </c>
      <c r="J117" s="384" t="e">
        <f t="shared" si="2"/>
        <v>#N/A</v>
      </c>
      <c r="K117" s="301"/>
      <c r="L117" s="411">
        <f t="shared" si="3"/>
        <v>0</v>
      </c>
    </row>
    <row r="118" spans="2:12" s="292" customFormat="1" ht="13.5" hidden="1">
      <c r="B118" s="298">
        <f>PROPONENTES!C117</f>
        <v>0</v>
      </c>
      <c r="C118" s="299">
        <v>99</v>
      </c>
      <c r="D118" s="300" t="e">
        <f>VLOOKUP(B118,PROPONENTES!$C$19:$E$218,2,FALSE)</f>
        <v>#N/A</v>
      </c>
      <c r="E118" s="135" t="e">
        <f>VLOOKUP(B118,HAB.GEN.!$C$19:$I$218,7,FALSE)</f>
        <v>#N/A</v>
      </c>
      <c r="F118" s="385" t="e">
        <f>VLOOKUP(B118,PON.EXP.ESP.!$C$30:$J$229,6,FALSE)</f>
        <v>#N/A</v>
      </c>
      <c r="G118" s="383" t="e">
        <f>VLOOKUP(B118,PON.EXP.ESP.!$C$30:$J$229,8,FALSE)</f>
        <v>#N/A</v>
      </c>
      <c r="H118" s="383">
        <f>VLOOKUP(B118,VIN.PERS.DISC.!$B$19:$D$218,3,FALSE)</f>
        <v>0</v>
      </c>
      <c r="I118" s="384">
        <f>VLOOKUP(B118,'APOYO A IND. NAL.'!$B$19:$D$218,3,FALSE)</f>
        <v>0</v>
      </c>
      <c r="J118" s="384" t="e">
        <f t="shared" si="2"/>
        <v>#N/A</v>
      </c>
      <c r="K118" s="301"/>
      <c r="L118" s="411">
        <f t="shared" si="3"/>
        <v>0</v>
      </c>
    </row>
    <row r="119" spans="2:12" s="292" customFormat="1" ht="13.5" hidden="1">
      <c r="B119" s="298">
        <f>PROPONENTES!C118</f>
        <v>0</v>
      </c>
      <c r="C119" s="299">
        <v>100</v>
      </c>
      <c r="D119" s="300" t="e">
        <f>VLOOKUP(B119,PROPONENTES!$C$19:$E$218,2,FALSE)</f>
        <v>#N/A</v>
      </c>
      <c r="E119" s="135" t="e">
        <f>VLOOKUP(B119,HAB.GEN.!$C$19:$I$218,7,FALSE)</f>
        <v>#N/A</v>
      </c>
      <c r="F119" s="385" t="e">
        <f>VLOOKUP(B119,PON.EXP.ESP.!$C$30:$J$229,6,FALSE)</f>
        <v>#N/A</v>
      </c>
      <c r="G119" s="383" t="e">
        <f>VLOOKUP(B119,PON.EXP.ESP.!$C$30:$J$229,8,FALSE)</f>
        <v>#N/A</v>
      </c>
      <c r="H119" s="383">
        <f>VLOOKUP(B119,VIN.PERS.DISC.!$B$19:$D$218,3,FALSE)</f>
        <v>0</v>
      </c>
      <c r="I119" s="384">
        <f>VLOOKUP(B119,'APOYO A IND. NAL.'!$B$19:$D$218,3,FALSE)</f>
        <v>0</v>
      </c>
      <c r="J119" s="384" t="e">
        <f t="shared" si="2"/>
        <v>#N/A</v>
      </c>
      <c r="K119" s="301"/>
      <c r="L119" s="411">
        <f t="shared" si="3"/>
        <v>0</v>
      </c>
    </row>
    <row r="120" spans="2:12" s="292" customFormat="1" ht="13.5" hidden="1">
      <c r="B120" s="298">
        <f>PROPONENTES!C119</f>
        <v>0</v>
      </c>
      <c r="C120" s="299">
        <v>101</v>
      </c>
      <c r="D120" s="300" t="e">
        <f>VLOOKUP(B120,PROPONENTES!$C$19:$E$218,2,FALSE)</f>
        <v>#N/A</v>
      </c>
      <c r="E120" s="135" t="e">
        <f>VLOOKUP(B120,HAB.GEN.!$C$19:$I$218,7,FALSE)</f>
        <v>#N/A</v>
      </c>
      <c r="F120" s="385" t="e">
        <f>VLOOKUP(B120,PON.EXP.ESP.!$C$30:$J$229,6,FALSE)</f>
        <v>#N/A</v>
      </c>
      <c r="G120" s="383" t="e">
        <f>VLOOKUP(B120,PON.EXP.ESP.!$C$30:$J$229,8,FALSE)</f>
        <v>#N/A</v>
      </c>
      <c r="H120" s="383">
        <f>VLOOKUP(B120,VIN.PERS.DISC.!$B$19:$D$218,3,FALSE)</f>
        <v>0</v>
      </c>
      <c r="I120" s="384">
        <f>VLOOKUP(B120,'APOYO A IND. NAL.'!$B$19:$D$218,3,FALSE)</f>
        <v>0</v>
      </c>
      <c r="J120" s="384" t="e">
        <f t="shared" si="2"/>
        <v>#N/A</v>
      </c>
      <c r="K120" s="301"/>
      <c r="L120" s="411">
        <f t="shared" si="3"/>
        <v>0</v>
      </c>
    </row>
    <row r="121" spans="2:12" s="292" customFormat="1" ht="13.5" hidden="1">
      <c r="B121" s="298">
        <f>PROPONENTES!C120</f>
        <v>0</v>
      </c>
      <c r="C121" s="299">
        <v>102</v>
      </c>
      <c r="D121" s="300" t="e">
        <f>VLOOKUP(B121,PROPONENTES!$C$19:$E$218,2,FALSE)</f>
        <v>#N/A</v>
      </c>
      <c r="E121" s="135" t="e">
        <f>VLOOKUP(B121,HAB.GEN.!$C$19:$I$218,7,FALSE)</f>
        <v>#N/A</v>
      </c>
      <c r="F121" s="385" t="e">
        <f>VLOOKUP(B121,PON.EXP.ESP.!$C$30:$J$229,6,FALSE)</f>
        <v>#N/A</v>
      </c>
      <c r="G121" s="383" t="e">
        <f>VLOOKUP(B121,PON.EXP.ESP.!$C$30:$J$229,8,FALSE)</f>
        <v>#N/A</v>
      </c>
      <c r="H121" s="383">
        <f>VLOOKUP(B121,VIN.PERS.DISC.!$B$19:$D$218,3,FALSE)</f>
        <v>0</v>
      </c>
      <c r="I121" s="384">
        <f>VLOOKUP(B121,'APOYO A IND. NAL.'!$B$19:$D$218,3,FALSE)</f>
        <v>0</v>
      </c>
      <c r="J121" s="384" t="e">
        <f t="shared" si="2"/>
        <v>#N/A</v>
      </c>
      <c r="K121" s="301"/>
      <c r="L121" s="411">
        <f t="shared" si="3"/>
        <v>0</v>
      </c>
    </row>
    <row r="122" spans="2:12" s="292" customFormat="1" ht="13.5" hidden="1">
      <c r="B122" s="298">
        <f>PROPONENTES!C121</f>
        <v>0</v>
      </c>
      <c r="C122" s="299">
        <v>103</v>
      </c>
      <c r="D122" s="300" t="e">
        <f>VLOOKUP(B122,PROPONENTES!$C$19:$E$218,2,FALSE)</f>
        <v>#N/A</v>
      </c>
      <c r="E122" s="135" t="e">
        <f>VLOOKUP(B122,HAB.GEN.!$C$19:$I$218,7,FALSE)</f>
        <v>#N/A</v>
      </c>
      <c r="F122" s="385" t="e">
        <f>VLOOKUP(B122,PON.EXP.ESP.!$C$30:$J$229,6,FALSE)</f>
        <v>#N/A</v>
      </c>
      <c r="G122" s="383" t="e">
        <f>VLOOKUP(B122,PON.EXP.ESP.!$C$30:$J$229,8,FALSE)</f>
        <v>#N/A</v>
      </c>
      <c r="H122" s="383">
        <f>VLOOKUP(B122,VIN.PERS.DISC.!$B$19:$D$218,3,FALSE)</f>
        <v>0</v>
      </c>
      <c r="I122" s="384">
        <f>VLOOKUP(B122,'APOYO A IND. NAL.'!$B$19:$D$218,3,FALSE)</f>
        <v>0</v>
      </c>
      <c r="J122" s="384" t="e">
        <f t="shared" si="2"/>
        <v>#N/A</v>
      </c>
      <c r="K122" s="301"/>
      <c r="L122" s="411">
        <f t="shared" si="3"/>
        <v>0</v>
      </c>
    </row>
    <row r="123" spans="2:12" s="292" customFormat="1" ht="13.5" hidden="1">
      <c r="B123" s="298">
        <f>PROPONENTES!C122</f>
        <v>0</v>
      </c>
      <c r="C123" s="299">
        <v>104</v>
      </c>
      <c r="D123" s="300" t="e">
        <f>VLOOKUP(B123,PROPONENTES!$C$19:$E$218,2,FALSE)</f>
        <v>#N/A</v>
      </c>
      <c r="E123" s="135" t="e">
        <f>VLOOKUP(B123,HAB.GEN.!$C$19:$I$218,7,FALSE)</f>
        <v>#N/A</v>
      </c>
      <c r="F123" s="385" t="e">
        <f>VLOOKUP(B123,PON.EXP.ESP.!$C$30:$J$229,6,FALSE)</f>
        <v>#N/A</v>
      </c>
      <c r="G123" s="383" t="e">
        <f>VLOOKUP(B123,PON.EXP.ESP.!$C$30:$J$229,8,FALSE)</f>
        <v>#N/A</v>
      </c>
      <c r="H123" s="383">
        <f>VLOOKUP(B123,VIN.PERS.DISC.!$B$19:$D$218,3,FALSE)</f>
        <v>0</v>
      </c>
      <c r="I123" s="384">
        <f>VLOOKUP(B123,'APOYO A IND. NAL.'!$B$19:$D$218,3,FALSE)</f>
        <v>0</v>
      </c>
      <c r="J123" s="384" t="e">
        <f t="shared" si="2"/>
        <v>#N/A</v>
      </c>
      <c r="K123" s="301"/>
      <c r="L123" s="411">
        <f t="shared" si="3"/>
        <v>0</v>
      </c>
    </row>
    <row r="124" spans="2:12" s="292" customFormat="1" ht="13.5" hidden="1">
      <c r="B124" s="298">
        <f>PROPONENTES!C123</f>
        <v>0</v>
      </c>
      <c r="C124" s="299">
        <v>105</v>
      </c>
      <c r="D124" s="300" t="e">
        <f>VLOOKUP(B124,PROPONENTES!$C$19:$E$218,2,FALSE)</f>
        <v>#N/A</v>
      </c>
      <c r="E124" s="135" t="e">
        <f>VLOOKUP(B124,HAB.GEN.!$C$19:$I$218,7,FALSE)</f>
        <v>#N/A</v>
      </c>
      <c r="F124" s="385" t="e">
        <f>VLOOKUP(B124,PON.EXP.ESP.!$C$30:$J$229,6,FALSE)</f>
        <v>#N/A</v>
      </c>
      <c r="G124" s="383" t="e">
        <f>VLOOKUP(B124,PON.EXP.ESP.!$C$30:$J$229,8,FALSE)</f>
        <v>#N/A</v>
      </c>
      <c r="H124" s="383">
        <f>VLOOKUP(B124,VIN.PERS.DISC.!$B$19:$D$218,3,FALSE)</f>
        <v>0</v>
      </c>
      <c r="I124" s="384">
        <f>VLOOKUP(B124,'APOYO A IND. NAL.'!$B$19:$D$218,3,FALSE)</f>
        <v>0</v>
      </c>
      <c r="J124" s="384" t="e">
        <f t="shared" si="2"/>
        <v>#N/A</v>
      </c>
      <c r="K124" s="301"/>
      <c r="L124" s="411">
        <f t="shared" si="3"/>
        <v>0</v>
      </c>
    </row>
    <row r="125" spans="2:12" s="292" customFormat="1" ht="13.5" hidden="1">
      <c r="B125" s="298">
        <f>PROPONENTES!C124</f>
        <v>0</v>
      </c>
      <c r="C125" s="299">
        <v>106</v>
      </c>
      <c r="D125" s="300" t="e">
        <f>VLOOKUP(B125,PROPONENTES!$C$19:$E$218,2,FALSE)</f>
        <v>#N/A</v>
      </c>
      <c r="E125" s="135" t="e">
        <f>VLOOKUP(B125,HAB.GEN.!$C$19:$I$218,7,FALSE)</f>
        <v>#N/A</v>
      </c>
      <c r="F125" s="385" t="e">
        <f>VLOOKUP(B125,PON.EXP.ESP.!$C$30:$J$229,6,FALSE)</f>
        <v>#N/A</v>
      </c>
      <c r="G125" s="383" t="e">
        <f>VLOOKUP(B125,PON.EXP.ESP.!$C$30:$J$229,8,FALSE)</f>
        <v>#N/A</v>
      </c>
      <c r="H125" s="383">
        <f>VLOOKUP(B125,VIN.PERS.DISC.!$B$19:$D$218,3,FALSE)</f>
        <v>0</v>
      </c>
      <c r="I125" s="384">
        <f>VLOOKUP(B125,'APOYO A IND. NAL.'!$B$19:$D$218,3,FALSE)</f>
        <v>0</v>
      </c>
      <c r="J125" s="384" t="e">
        <f t="shared" si="2"/>
        <v>#N/A</v>
      </c>
      <c r="K125" s="301"/>
      <c r="L125" s="411">
        <f t="shared" si="3"/>
        <v>0</v>
      </c>
    </row>
    <row r="126" spans="2:12" s="292" customFormat="1" ht="13.5" hidden="1">
      <c r="B126" s="298">
        <f>PROPONENTES!C125</f>
        <v>0</v>
      </c>
      <c r="C126" s="299">
        <v>107</v>
      </c>
      <c r="D126" s="300" t="e">
        <f>VLOOKUP(B126,PROPONENTES!$C$19:$E$218,2,FALSE)</f>
        <v>#N/A</v>
      </c>
      <c r="E126" s="135" t="e">
        <f>VLOOKUP(B126,HAB.GEN.!$C$19:$I$218,7,FALSE)</f>
        <v>#N/A</v>
      </c>
      <c r="F126" s="385" t="e">
        <f>VLOOKUP(B126,PON.EXP.ESP.!$C$30:$J$229,6,FALSE)</f>
        <v>#N/A</v>
      </c>
      <c r="G126" s="383" t="e">
        <f>VLOOKUP(B126,PON.EXP.ESP.!$C$30:$J$229,8,FALSE)</f>
        <v>#N/A</v>
      </c>
      <c r="H126" s="383">
        <f>VLOOKUP(B126,VIN.PERS.DISC.!$B$19:$D$218,3,FALSE)</f>
        <v>0</v>
      </c>
      <c r="I126" s="384">
        <f>VLOOKUP(B126,'APOYO A IND. NAL.'!$B$19:$D$218,3,FALSE)</f>
        <v>0</v>
      </c>
      <c r="J126" s="384" t="e">
        <f t="shared" si="2"/>
        <v>#N/A</v>
      </c>
      <c r="K126" s="301"/>
      <c r="L126" s="411">
        <f t="shared" si="3"/>
        <v>0</v>
      </c>
    </row>
    <row r="127" spans="2:12" s="292" customFormat="1" ht="13.5" hidden="1">
      <c r="B127" s="298">
        <f>PROPONENTES!C126</f>
        <v>0</v>
      </c>
      <c r="C127" s="299">
        <v>108</v>
      </c>
      <c r="D127" s="300" t="e">
        <f>VLOOKUP(B127,PROPONENTES!$C$19:$E$218,2,FALSE)</f>
        <v>#N/A</v>
      </c>
      <c r="E127" s="135" t="e">
        <f>VLOOKUP(B127,HAB.GEN.!$C$19:$I$218,7,FALSE)</f>
        <v>#N/A</v>
      </c>
      <c r="F127" s="385" t="e">
        <f>VLOOKUP(B127,PON.EXP.ESP.!$C$30:$J$229,6,FALSE)</f>
        <v>#N/A</v>
      </c>
      <c r="G127" s="383" t="e">
        <f>VLOOKUP(B127,PON.EXP.ESP.!$C$30:$J$229,8,FALSE)</f>
        <v>#N/A</v>
      </c>
      <c r="H127" s="383">
        <f>VLOOKUP(B127,VIN.PERS.DISC.!$B$19:$D$218,3,FALSE)</f>
        <v>0</v>
      </c>
      <c r="I127" s="384">
        <f>VLOOKUP(B127,'APOYO A IND. NAL.'!$B$19:$D$218,3,FALSE)</f>
        <v>0</v>
      </c>
      <c r="J127" s="384" t="e">
        <f t="shared" si="2"/>
        <v>#N/A</v>
      </c>
      <c r="K127" s="301"/>
      <c r="L127" s="411">
        <f t="shared" si="3"/>
        <v>0</v>
      </c>
    </row>
    <row r="128" spans="2:12" s="292" customFormat="1" ht="13.5" hidden="1">
      <c r="B128" s="298">
        <f>PROPONENTES!C127</f>
        <v>0</v>
      </c>
      <c r="C128" s="299">
        <v>109</v>
      </c>
      <c r="D128" s="300" t="e">
        <f>VLOOKUP(B128,PROPONENTES!$C$19:$E$218,2,FALSE)</f>
        <v>#N/A</v>
      </c>
      <c r="E128" s="135" t="e">
        <f>VLOOKUP(B128,HAB.GEN.!$C$19:$I$218,7,FALSE)</f>
        <v>#N/A</v>
      </c>
      <c r="F128" s="385" t="e">
        <f>VLOOKUP(B128,PON.EXP.ESP.!$C$30:$J$229,6,FALSE)</f>
        <v>#N/A</v>
      </c>
      <c r="G128" s="383" t="e">
        <f>VLOOKUP(B128,PON.EXP.ESP.!$C$30:$J$229,8,FALSE)</f>
        <v>#N/A</v>
      </c>
      <c r="H128" s="383">
        <f>VLOOKUP(B128,VIN.PERS.DISC.!$B$19:$D$218,3,FALSE)</f>
        <v>0</v>
      </c>
      <c r="I128" s="384">
        <f>VLOOKUP(B128,'APOYO A IND. NAL.'!$B$19:$D$218,3,FALSE)</f>
        <v>0</v>
      </c>
      <c r="J128" s="384" t="e">
        <f t="shared" si="2"/>
        <v>#N/A</v>
      </c>
      <c r="K128" s="301"/>
      <c r="L128" s="411">
        <f t="shared" si="3"/>
        <v>0</v>
      </c>
    </row>
    <row r="129" spans="2:12" s="292" customFormat="1" ht="13.5" hidden="1">
      <c r="B129" s="298">
        <f>PROPONENTES!C128</f>
        <v>0</v>
      </c>
      <c r="C129" s="299">
        <v>110</v>
      </c>
      <c r="D129" s="300" t="e">
        <f>VLOOKUP(B129,PROPONENTES!$C$19:$E$218,2,FALSE)</f>
        <v>#N/A</v>
      </c>
      <c r="E129" s="135" t="e">
        <f>VLOOKUP(B129,HAB.GEN.!$C$19:$I$218,7,FALSE)</f>
        <v>#N/A</v>
      </c>
      <c r="F129" s="385" t="e">
        <f>VLOOKUP(B129,PON.EXP.ESP.!$C$30:$J$229,6,FALSE)</f>
        <v>#N/A</v>
      </c>
      <c r="G129" s="383" t="e">
        <f>VLOOKUP(B129,PON.EXP.ESP.!$C$30:$J$229,8,FALSE)</f>
        <v>#N/A</v>
      </c>
      <c r="H129" s="383">
        <f>VLOOKUP(B129,VIN.PERS.DISC.!$B$19:$D$218,3,FALSE)</f>
        <v>0</v>
      </c>
      <c r="I129" s="384">
        <f>VLOOKUP(B129,'APOYO A IND. NAL.'!$B$19:$D$218,3,FALSE)</f>
        <v>0</v>
      </c>
      <c r="J129" s="384" t="e">
        <f t="shared" si="2"/>
        <v>#N/A</v>
      </c>
      <c r="K129" s="301"/>
      <c r="L129" s="411">
        <f t="shared" si="3"/>
        <v>0</v>
      </c>
    </row>
    <row r="130" spans="2:12" s="292" customFormat="1" ht="13.5" hidden="1">
      <c r="B130" s="298">
        <f>PROPONENTES!C129</f>
        <v>0</v>
      </c>
      <c r="C130" s="299">
        <v>111</v>
      </c>
      <c r="D130" s="300" t="e">
        <f>VLOOKUP(B130,PROPONENTES!$C$19:$E$218,2,FALSE)</f>
        <v>#N/A</v>
      </c>
      <c r="E130" s="135" t="e">
        <f>VLOOKUP(B130,HAB.GEN.!$C$19:$I$218,7,FALSE)</f>
        <v>#N/A</v>
      </c>
      <c r="F130" s="385" t="e">
        <f>VLOOKUP(B130,PON.EXP.ESP.!$C$30:$J$229,6,FALSE)</f>
        <v>#N/A</v>
      </c>
      <c r="G130" s="383" t="e">
        <f>VLOOKUP(B130,PON.EXP.ESP.!$C$30:$J$229,8,FALSE)</f>
        <v>#N/A</v>
      </c>
      <c r="H130" s="383">
        <f>VLOOKUP(B130,VIN.PERS.DISC.!$B$19:$D$218,3,FALSE)</f>
        <v>0</v>
      </c>
      <c r="I130" s="384">
        <f>VLOOKUP(B130,'APOYO A IND. NAL.'!$B$19:$D$218,3,FALSE)</f>
        <v>0</v>
      </c>
      <c r="J130" s="384" t="e">
        <f t="shared" si="2"/>
        <v>#N/A</v>
      </c>
      <c r="K130" s="301"/>
      <c r="L130" s="411">
        <f t="shared" si="3"/>
        <v>0</v>
      </c>
    </row>
    <row r="131" spans="2:12" s="292" customFormat="1" ht="13.5" hidden="1">
      <c r="B131" s="298">
        <f>PROPONENTES!C130</f>
        <v>0</v>
      </c>
      <c r="C131" s="299">
        <v>112</v>
      </c>
      <c r="D131" s="300" t="e">
        <f>VLOOKUP(B131,PROPONENTES!$C$19:$E$218,2,FALSE)</f>
        <v>#N/A</v>
      </c>
      <c r="E131" s="135" t="e">
        <f>VLOOKUP(B131,HAB.GEN.!$C$19:$I$218,7,FALSE)</f>
        <v>#N/A</v>
      </c>
      <c r="F131" s="385" t="e">
        <f>VLOOKUP(B131,PON.EXP.ESP.!$C$30:$J$229,6,FALSE)</f>
        <v>#N/A</v>
      </c>
      <c r="G131" s="383" t="e">
        <f>VLOOKUP(B131,PON.EXP.ESP.!$C$30:$J$229,8,FALSE)</f>
        <v>#N/A</v>
      </c>
      <c r="H131" s="383">
        <f>VLOOKUP(B131,VIN.PERS.DISC.!$B$19:$D$218,3,FALSE)</f>
        <v>0</v>
      </c>
      <c r="I131" s="384">
        <f>VLOOKUP(B131,'APOYO A IND. NAL.'!$B$19:$D$218,3,FALSE)</f>
        <v>0</v>
      </c>
      <c r="J131" s="384" t="e">
        <f t="shared" si="2"/>
        <v>#N/A</v>
      </c>
      <c r="K131" s="301"/>
      <c r="L131" s="411">
        <f t="shared" si="3"/>
        <v>0</v>
      </c>
    </row>
    <row r="132" spans="2:12" s="292" customFormat="1" ht="13.5" hidden="1">
      <c r="B132" s="298">
        <f>PROPONENTES!C131</f>
        <v>0</v>
      </c>
      <c r="C132" s="299">
        <v>113</v>
      </c>
      <c r="D132" s="300" t="e">
        <f>VLOOKUP(B132,PROPONENTES!$C$19:$E$218,2,FALSE)</f>
        <v>#N/A</v>
      </c>
      <c r="E132" s="135" t="e">
        <f>VLOOKUP(B132,HAB.GEN.!$C$19:$I$218,7,FALSE)</f>
        <v>#N/A</v>
      </c>
      <c r="F132" s="385" t="e">
        <f>VLOOKUP(B132,PON.EXP.ESP.!$C$30:$J$229,6,FALSE)</f>
        <v>#N/A</v>
      </c>
      <c r="G132" s="383" t="e">
        <f>VLOOKUP(B132,PON.EXP.ESP.!$C$30:$J$229,8,FALSE)</f>
        <v>#N/A</v>
      </c>
      <c r="H132" s="383">
        <f>VLOOKUP(B132,VIN.PERS.DISC.!$B$19:$D$218,3,FALSE)</f>
        <v>0</v>
      </c>
      <c r="I132" s="384">
        <f>VLOOKUP(B132,'APOYO A IND. NAL.'!$B$19:$D$218,3,FALSE)</f>
        <v>0</v>
      </c>
      <c r="J132" s="384" t="e">
        <f t="shared" si="2"/>
        <v>#N/A</v>
      </c>
      <c r="K132" s="301"/>
      <c r="L132" s="411">
        <f t="shared" si="3"/>
        <v>0</v>
      </c>
    </row>
    <row r="133" spans="2:12" s="292" customFormat="1" ht="13.5" hidden="1">
      <c r="B133" s="298">
        <f>PROPONENTES!C132</f>
        <v>0</v>
      </c>
      <c r="C133" s="299">
        <v>114</v>
      </c>
      <c r="D133" s="300" t="e">
        <f>VLOOKUP(B133,PROPONENTES!$C$19:$E$218,2,FALSE)</f>
        <v>#N/A</v>
      </c>
      <c r="E133" s="135" t="e">
        <f>VLOOKUP(B133,HAB.GEN.!$C$19:$I$218,7,FALSE)</f>
        <v>#N/A</v>
      </c>
      <c r="F133" s="385" t="e">
        <f>VLOOKUP(B133,PON.EXP.ESP.!$C$30:$J$229,6,FALSE)</f>
        <v>#N/A</v>
      </c>
      <c r="G133" s="383" t="e">
        <f>VLOOKUP(B133,PON.EXP.ESP.!$C$30:$J$229,8,FALSE)</f>
        <v>#N/A</v>
      </c>
      <c r="H133" s="383">
        <f>VLOOKUP(B133,VIN.PERS.DISC.!$B$19:$D$218,3,FALSE)</f>
        <v>0</v>
      </c>
      <c r="I133" s="384">
        <f>VLOOKUP(B133,'APOYO A IND. NAL.'!$B$19:$D$218,3,FALSE)</f>
        <v>0</v>
      </c>
      <c r="J133" s="384" t="e">
        <f t="shared" si="2"/>
        <v>#N/A</v>
      </c>
      <c r="K133" s="301"/>
      <c r="L133" s="411">
        <f t="shared" si="3"/>
        <v>0</v>
      </c>
    </row>
    <row r="134" spans="2:12" s="292" customFormat="1" ht="13.5" hidden="1">
      <c r="B134" s="298">
        <f>PROPONENTES!C133</f>
        <v>0</v>
      </c>
      <c r="C134" s="299">
        <v>115</v>
      </c>
      <c r="D134" s="300" t="e">
        <f>VLOOKUP(B134,PROPONENTES!$C$19:$E$218,2,FALSE)</f>
        <v>#N/A</v>
      </c>
      <c r="E134" s="135" t="e">
        <f>VLOOKUP(B134,HAB.GEN.!$C$19:$I$218,7,FALSE)</f>
        <v>#N/A</v>
      </c>
      <c r="F134" s="385" t="e">
        <f>VLOOKUP(B134,PON.EXP.ESP.!$C$30:$J$229,6,FALSE)</f>
        <v>#N/A</v>
      </c>
      <c r="G134" s="383" t="e">
        <f>VLOOKUP(B134,PON.EXP.ESP.!$C$30:$J$229,8,FALSE)</f>
        <v>#N/A</v>
      </c>
      <c r="H134" s="383">
        <f>VLOOKUP(B134,VIN.PERS.DISC.!$B$19:$D$218,3,FALSE)</f>
        <v>0</v>
      </c>
      <c r="I134" s="384">
        <f>VLOOKUP(B134,'APOYO A IND. NAL.'!$B$19:$D$218,3,FALSE)</f>
        <v>0</v>
      </c>
      <c r="J134" s="384" t="e">
        <f t="shared" si="2"/>
        <v>#N/A</v>
      </c>
      <c r="K134" s="301"/>
      <c r="L134" s="411">
        <f t="shared" si="3"/>
        <v>0</v>
      </c>
    </row>
    <row r="135" spans="2:12" s="292" customFormat="1" ht="13.5" hidden="1">
      <c r="B135" s="298">
        <f>PROPONENTES!C134</f>
        <v>0</v>
      </c>
      <c r="C135" s="299">
        <v>116</v>
      </c>
      <c r="D135" s="300" t="e">
        <f>VLOOKUP(B135,PROPONENTES!$C$19:$E$218,2,FALSE)</f>
        <v>#N/A</v>
      </c>
      <c r="E135" s="135" t="e">
        <f>VLOOKUP(B135,HAB.GEN.!$C$19:$I$218,7,FALSE)</f>
        <v>#N/A</v>
      </c>
      <c r="F135" s="385" t="e">
        <f>VLOOKUP(B135,PON.EXP.ESP.!$C$30:$J$229,6,FALSE)</f>
        <v>#N/A</v>
      </c>
      <c r="G135" s="383" t="e">
        <f>VLOOKUP(B135,PON.EXP.ESP.!$C$30:$J$229,8,FALSE)</f>
        <v>#N/A</v>
      </c>
      <c r="H135" s="383">
        <f>VLOOKUP(B135,VIN.PERS.DISC.!$B$19:$D$218,3,FALSE)</f>
        <v>0</v>
      </c>
      <c r="I135" s="384">
        <f>VLOOKUP(B135,'APOYO A IND. NAL.'!$B$19:$D$218,3,FALSE)</f>
        <v>0</v>
      </c>
      <c r="J135" s="384" t="e">
        <f t="shared" si="2"/>
        <v>#N/A</v>
      </c>
      <c r="K135" s="301"/>
      <c r="L135" s="411">
        <f t="shared" si="3"/>
        <v>0</v>
      </c>
    </row>
    <row r="136" spans="2:12" s="292" customFormat="1" ht="13.5" hidden="1">
      <c r="B136" s="298">
        <f>PROPONENTES!C135</f>
        <v>0</v>
      </c>
      <c r="C136" s="299">
        <v>117</v>
      </c>
      <c r="D136" s="300" t="e">
        <f>VLOOKUP(B136,PROPONENTES!$C$19:$E$218,2,FALSE)</f>
        <v>#N/A</v>
      </c>
      <c r="E136" s="135" t="e">
        <f>VLOOKUP(B136,HAB.GEN.!$C$19:$I$218,7,FALSE)</f>
        <v>#N/A</v>
      </c>
      <c r="F136" s="385" t="e">
        <f>VLOOKUP(B136,PON.EXP.ESP.!$C$30:$J$229,6,FALSE)</f>
        <v>#N/A</v>
      </c>
      <c r="G136" s="383" t="e">
        <f>VLOOKUP(B136,PON.EXP.ESP.!$C$30:$J$229,8,FALSE)</f>
        <v>#N/A</v>
      </c>
      <c r="H136" s="383">
        <f>VLOOKUP(B136,VIN.PERS.DISC.!$B$19:$D$218,3,FALSE)</f>
        <v>0</v>
      </c>
      <c r="I136" s="384">
        <f>VLOOKUP(B136,'APOYO A IND. NAL.'!$B$19:$D$218,3,FALSE)</f>
        <v>0</v>
      </c>
      <c r="J136" s="384" t="e">
        <f t="shared" si="2"/>
        <v>#N/A</v>
      </c>
      <c r="K136" s="301"/>
      <c r="L136" s="411">
        <f t="shared" si="3"/>
        <v>0</v>
      </c>
    </row>
    <row r="137" spans="2:12" s="292" customFormat="1" ht="13.5" hidden="1">
      <c r="B137" s="298">
        <f>PROPONENTES!C136</f>
        <v>0</v>
      </c>
      <c r="C137" s="299">
        <v>118</v>
      </c>
      <c r="D137" s="300" t="e">
        <f>VLOOKUP(B137,PROPONENTES!$C$19:$E$218,2,FALSE)</f>
        <v>#N/A</v>
      </c>
      <c r="E137" s="135" t="e">
        <f>VLOOKUP(B137,HAB.GEN.!$C$19:$I$218,7,FALSE)</f>
        <v>#N/A</v>
      </c>
      <c r="F137" s="385" t="e">
        <f>VLOOKUP(B137,PON.EXP.ESP.!$C$30:$J$229,6,FALSE)</f>
        <v>#N/A</v>
      </c>
      <c r="G137" s="383" t="e">
        <f>VLOOKUP(B137,PON.EXP.ESP.!$C$30:$J$229,8,FALSE)</f>
        <v>#N/A</v>
      </c>
      <c r="H137" s="383">
        <f>VLOOKUP(B137,VIN.PERS.DISC.!$B$19:$D$218,3,FALSE)</f>
        <v>0</v>
      </c>
      <c r="I137" s="384">
        <f>VLOOKUP(B137,'APOYO A IND. NAL.'!$B$19:$D$218,3,FALSE)</f>
        <v>0</v>
      </c>
      <c r="J137" s="384" t="e">
        <f t="shared" si="2"/>
        <v>#N/A</v>
      </c>
      <c r="K137" s="301"/>
      <c r="L137" s="411">
        <f t="shared" si="3"/>
        <v>0</v>
      </c>
    </row>
    <row r="138" spans="2:12" s="292" customFormat="1" ht="13.5" hidden="1">
      <c r="B138" s="298">
        <f>PROPONENTES!C137</f>
        <v>0</v>
      </c>
      <c r="C138" s="299">
        <v>119</v>
      </c>
      <c r="D138" s="300" t="e">
        <f>VLOOKUP(B138,PROPONENTES!$C$19:$E$218,2,FALSE)</f>
        <v>#N/A</v>
      </c>
      <c r="E138" s="135" t="e">
        <f>VLOOKUP(B138,HAB.GEN.!$C$19:$I$218,7,FALSE)</f>
        <v>#N/A</v>
      </c>
      <c r="F138" s="385" t="e">
        <f>VLOOKUP(B138,PON.EXP.ESP.!$C$30:$J$229,6,FALSE)</f>
        <v>#N/A</v>
      </c>
      <c r="G138" s="383" t="e">
        <f>VLOOKUP(B138,PON.EXP.ESP.!$C$30:$J$229,8,FALSE)</f>
        <v>#N/A</v>
      </c>
      <c r="H138" s="383">
        <f>VLOOKUP(B138,VIN.PERS.DISC.!$B$19:$D$218,3,FALSE)</f>
        <v>0</v>
      </c>
      <c r="I138" s="384">
        <f>VLOOKUP(B138,'APOYO A IND. NAL.'!$B$19:$D$218,3,FALSE)</f>
        <v>0</v>
      </c>
      <c r="J138" s="384" t="e">
        <f t="shared" si="2"/>
        <v>#N/A</v>
      </c>
      <c r="K138" s="301"/>
      <c r="L138" s="411">
        <f t="shared" si="3"/>
        <v>0</v>
      </c>
    </row>
    <row r="139" spans="2:12" s="292" customFormat="1" ht="13.5" hidden="1">
      <c r="B139" s="298">
        <f>PROPONENTES!C138</f>
        <v>0</v>
      </c>
      <c r="C139" s="299">
        <v>120</v>
      </c>
      <c r="D139" s="300" t="e">
        <f>VLOOKUP(B139,PROPONENTES!$C$19:$E$218,2,FALSE)</f>
        <v>#N/A</v>
      </c>
      <c r="E139" s="135" t="e">
        <f>VLOOKUP(B139,HAB.GEN.!$C$19:$I$218,7,FALSE)</f>
        <v>#N/A</v>
      </c>
      <c r="F139" s="385" t="e">
        <f>VLOOKUP(B139,PON.EXP.ESP.!$C$30:$J$229,6,FALSE)</f>
        <v>#N/A</v>
      </c>
      <c r="G139" s="383" t="e">
        <f>VLOOKUP(B139,PON.EXP.ESP.!$C$30:$J$229,8,FALSE)</f>
        <v>#N/A</v>
      </c>
      <c r="H139" s="383">
        <f>VLOOKUP(B139,VIN.PERS.DISC.!$B$19:$D$218,3,FALSE)</f>
        <v>0</v>
      </c>
      <c r="I139" s="384">
        <f>VLOOKUP(B139,'APOYO A IND. NAL.'!$B$19:$D$218,3,FALSE)</f>
        <v>0</v>
      </c>
      <c r="J139" s="384" t="e">
        <f t="shared" si="2"/>
        <v>#N/A</v>
      </c>
      <c r="K139" s="301"/>
      <c r="L139" s="411">
        <f t="shared" si="3"/>
        <v>0</v>
      </c>
    </row>
    <row r="140" spans="2:12" s="292" customFormat="1" ht="13.5" hidden="1">
      <c r="B140" s="298">
        <f>PROPONENTES!C139</f>
        <v>0</v>
      </c>
      <c r="C140" s="299">
        <v>121</v>
      </c>
      <c r="D140" s="300" t="e">
        <f>VLOOKUP(B140,PROPONENTES!$C$19:$E$218,2,FALSE)</f>
        <v>#N/A</v>
      </c>
      <c r="E140" s="135" t="e">
        <f>VLOOKUP(B140,HAB.GEN.!$C$19:$I$218,7,FALSE)</f>
        <v>#N/A</v>
      </c>
      <c r="F140" s="385" t="e">
        <f>VLOOKUP(B140,PON.EXP.ESP.!$C$30:$J$229,6,FALSE)</f>
        <v>#N/A</v>
      </c>
      <c r="G140" s="383" t="e">
        <f>VLOOKUP(B140,PON.EXP.ESP.!$C$30:$J$229,8,FALSE)</f>
        <v>#N/A</v>
      </c>
      <c r="H140" s="383">
        <f>VLOOKUP(B140,VIN.PERS.DISC.!$B$19:$D$218,3,FALSE)</f>
        <v>0</v>
      </c>
      <c r="I140" s="384">
        <f>VLOOKUP(B140,'APOYO A IND. NAL.'!$B$19:$D$218,3,FALSE)</f>
        <v>0</v>
      </c>
      <c r="J140" s="384" t="e">
        <f t="shared" si="2"/>
        <v>#N/A</v>
      </c>
      <c r="K140" s="301"/>
      <c r="L140" s="411">
        <f t="shared" si="3"/>
        <v>0</v>
      </c>
    </row>
    <row r="141" spans="2:12" s="292" customFormat="1" ht="13.5" hidden="1">
      <c r="B141" s="298">
        <f>PROPONENTES!C140</f>
        <v>0</v>
      </c>
      <c r="C141" s="299">
        <v>122</v>
      </c>
      <c r="D141" s="300" t="e">
        <f>VLOOKUP(B141,PROPONENTES!$C$19:$E$218,2,FALSE)</f>
        <v>#N/A</v>
      </c>
      <c r="E141" s="135" t="e">
        <f>VLOOKUP(B141,HAB.GEN.!$C$19:$I$218,7,FALSE)</f>
        <v>#N/A</v>
      </c>
      <c r="F141" s="385" t="e">
        <f>VLOOKUP(B141,PON.EXP.ESP.!$C$30:$J$229,6,FALSE)</f>
        <v>#N/A</v>
      </c>
      <c r="G141" s="383" t="e">
        <f>VLOOKUP(B141,PON.EXP.ESP.!$C$30:$J$229,8,FALSE)</f>
        <v>#N/A</v>
      </c>
      <c r="H141" s="383">
        <f>VLOOKUP(B141,VIN.PERS.DISC.!$B$19:$D$218,3,FALSE)</f>
        <v>0</v>
      </c>
      <c r="I141" s="384">
        <f>VLOOKUP(B141,'APOYO A IND. NAL.'!$B$19:$D$218,3,FALSE)</f>
        <v>0</v>
      </c>
      <c r="J141" s="384" t="e">
        <f t="shared" si="2"/>
        <v>#N/A</v>
      </c>
      <c r="K141" s="301"/>
      <c r="L141" s="411">
        <f t="shared" si="3"/>
        <v>0</v>
      </c>
    </row>
    <row r="142" spans="2:12" s="292" customFormat="1" ht="13.5" hidden="1">
      <c r="B142" s="298">
        <f>PROPONENTES!C141</f>
        <v>0</v>
      </c>
      <c r="C142" s="299">
        <v>123</v>
      </c>
      <c r="D142" s="300" t="e">
        <f>VLOOKUP(B142,PROPONENTES!$C$19:$E$218,2,FALSE)</f>
        <v>#N/A</v>
      </c>
      <c r="E142" s="135" t="e">
        <f>VLOOKUP(B142,HAB.GEN.!$C$19:$I$218,7,FALSE)</f>
        <v>#N/A</v>
      </c>
      <c r="F142" s="385" t="e">
        <f>VLOOKUP(B142,PON.EXP.ESP.!$C$30:$J$229,6,FALSE)</f>
        <v>#N/A</v>
      </c>
      <c r="G142" s="383" t="e">
        <f>VLOOKUP(B142,PON.EXP.ESP.!$C$30:$J$229,8,FALSE)</f>
        <v>#N/A</v>
      </c>
      <c r="H142" s="383">
        <f>VLOOKUP(B142,VIN.PERS.DISC.!$B$19:$D$218,3,FALSE)</f>
        <v>0</v>
      </c>
      <c r="I142" s="384">
        <f>VLOOKUP(B142,'APOYO A IND. NAL.'!$B$19:$D$218,3,FALSE)</f>
        <v>0</v>
      </c>
      <c r="J142" s="384" t="e">
        <f t="shared" si="2"/>
        <v>#N/A</v>
      </c>
      <c r="K142" s="301"/>
      <c r="L142" s="411">
        <f t="shared" si="3"/>
        <v>0</v>
      </c>
    </row>
    <row r="143" spans="2:12" s="292" customFormat="1" ht="13.5" hidden="1">
      <c r="B143" s="298">
        <f>PROPONENTES!C142</f>
        <v>0</v>
      </c>
      <c r="C143" s="299">
        <v>124</v>
      </c>
      <c r="D143" s="300" t="e">
        <f>VLOOKUP(B143,PROPONENTES!$C$19:$E$218,2,FALSE)</f>
        <v>#N/A</v>
      </c>
      <c r="E143" s="135" t="e">
        <f>VLOOKUP(B143,HAB.GEN.!$C$19:$I$218,7,FALSE)</f>
        <v>#N/A</v>
      </c>
      <c r="F143" s="385" t="e">
        <f>VLOOKUP(B143,PON.EXP.ESP.!$C$30:$J$229,6,FALSE)</f>
        <v>#N/A</v>
      </c>
      <c r="G143" s="383" t="e">
        <f>VLOOKUP(B143,PON.EXP.ESP.!$C$30:$J$229,8,FALSE)</f>
        <v>#N/A</v>
      </c>
      <c r="H143" s="383">
        <f>VLOOKUP(B143,VIN.PERS.DISC.!$B$19:$D$218,3,FALSE)</f>
        <v>0</v>
      </c>
      <c r="I143" s="384">
        <f>VLOOKUP(B143,'APOYO A IND. NAL.'!$B$19:$D$218,3,FALSE)</f>
        <v>0</v>
      </c>
      <c r="J143" s="384" t="e">
        <f t="shared" si="2"/>
        <v>#N/A</v>
      </c>
      <c r="K143" s="301"/>
      <c r="L143" s="411">
        <f t="shared" si="3"/>
        <v>0</v>
      </c>
    </row>
    <row r="144" spans="2:12" s="292" customFormat="1" ht="13.5" hidden="1">
      <c r="B144" s="298">
        <f>PROPONENTES!C143</f>
        <v>0</v>
      </c>
      <c r="C144" s="299">
        <v>125</v>
      </c>
      <c r="D144" s="300" t="e">
        <f>VLOOKUP(B144,PROPONENTES!$C$19:$E$218,2,FALSE)</f>
        <v>#N/A</v>
      </c>
      <c r="E144" s="135" t="e">
        <f>VLOOKUP(B144,HAB.GEN.!$C$19:$I$218,7,FALSE)</f>
        <v>#N/A</v>
      </c>
      <c r="F144" s="385" t="e">
        <f>VLOOKUP(B144,PON.EXP.ESP.!$C$30:$J$229,6,FALSE)</f>
        <v>#N/A</v>
      </c>
      <c r="G144" s="383" t="e">
        <f>VLOOKUP(B144,PON.EXP.ESP.!$C$30:$J$229,8,FALSE)</f>
        <v>#N/A</v>
      </c>
      <c r="H144" s="383">
        <f>VLOOKUP(B144,VIN.PERS.DISC.!$B$19:$D$218,3,FALSE)</f>
        <v>0</v>
      </c>
      <c r="I144" s="384">
        <f>VLOOKUP(B144,'APOYO A IND. NAL.'!$B$19:$D$218,3,FALSE)</f>
        <v>0</v>
      </c>
      <c r="J144" s="384" t="e">
        <f t="shared" si="2"/>
        <v>#N/A</v>
      </c>
      <c r="K144" s="301"/>
      <c r="L144" s="411">
        <f t="shared" si="3"/>
        <v>0</v>
      </c>
    </row>
    <row r="145" spans="2:12" s="292" customFormat="1" ht="13.5" hidden="1">
      <c r="B145" s="298">
        <f>PROPONENTES!C144</f>
        <v>0</v>
      </c>
      <c r="C145" s="299">
        <v>126</v>
      </c>
      <c r="D145" s="300" t="e">
        <f>VLOOKUP(B145,PROPONENTES!$C$19:$E$218,2,FALSE)</f>
        <v>#N/A</v>
      </c>
      <c r="E145" s="135" t="e">
        <f>VLOOKUP(B145,HAB.GEN.!$C$19:$I$218,7,FALSE)</f>
        <v>#N/A</v>
      </c>
      <c r="F145" s="385" t="e">
        <f>VLOOKUP(B145,PON.EXP.ESP.!$C$30:$J$229,6,FALSE)</f>
        <v>#N/A</v>
      </c>
      <c r="G145" s="383" t="e">
        <f>VLOOKUP(B145,PON.EXP.ESP.!$C$30:$J$229,8,FALSE)</f>
        <v>#N/A</v>
      </c>
      <c r="H145" s="383">
        <f>VLOOKUP(B145,VIN.PERS.DISC.!$B$19:$D$218,3,FALSE)</f>
        <v>0</v>
      </c>
      <c r="I145" s="384">
        <f>VLOOKUP(B145,'APOYO A IND. NAL.'!$B$19:$D$218,3,FALSE)</f>
        <v>0</v>
      </c>
      <c r="J145" s="384" t="e">
        <f t="shared" si="2"/>
        <v>#N/A</v>
      </c>
      <c r="K145" s="301"/>
      <c r="L145" s="411">
        <f t="shared" si="3"/>
        <v>0</v>
      </c>
    </row>
    <row r="146" spans="2:12" s="292" customFormat="1" ht="13.5" hidden="1">
      <c r="B146" s="298">
        <f>PROPONENTES!C145</f>
        <v>0</v>
      </c>
      <c r="C146" s="299">
        <v>127</v>
      </c>
      <c r="D146" s="300" t="e">
        <f>VLOOKUP(B146,PROPONENTES!$C$19:$E$218,2,FALSE)</f>
        <v>#N/A</v>
      </c>
      <c r="E146" s="135" t="e">
        <f>VLOOKUP(B146,HAB.GEN.!$C$19:$I$218,7,FALSE)</f>
        <v>#N/A</v>
      </c>
      <c r="F146" s="385" t="e">
        <f>VLOOKUP(B146,PON.EXP.ESP.!$C$30:$J$229,6,FALSE)</f>
        <v>#N/A</v>
      </c>
      <c r="G146" s="383" t="e">
        <f>VLOOKUP(B146,PON.EXP.ESP.!$C$30:$J$229,8,FALSE)</f>
        <v>#N/A</v>
      </c>
      <c r="H146" s="383">
        <f>VLOOKUP(B146,VIN.PERS.DISC.!$B$19:$D$218,3,FALSE)</f>
        <v>0</v>
      </c>
      <c r="I146" s="384">
        <f>VLOOKUP(B146,'APOYO A IND. NAL.'!$B$19:$D$218,3,FALSE)</f>
        <v>0</v>
      </c>
      <c r="J146" s="384" t="e">
        <f t="shared" si="2"/>
        <v>#N/A</v>
      </c>
      <c r="K146" s="301"/>
      <c r="L146" s="411">
        <f t="shared" si="3"/>
        <v>0</v>
      </c>
    </row>
    <row r="147" spans="2:12" s="292" customFormat="1" ht="13.5" hidden="1">
      <c r="B147" s="298">
        <f>PROPONENTES!C146</f>
        <v>0</v>
      </c>
      <c r="C147" s="299">
        <v>128</v>
      </c>
      <c r="D147" s="300" t="e">
        <f>VLOOKUP(B147,PROPONENTES!$C$19:$E$218,2,FALSE)</f>
        <v>#N/A</v>
      </c>
      <c r="E147" s="135" t="e">
        <f>VLOOKUP(B147,HAB.GEN.!$C$19:$I$218,7,FALSE)</f>
        <v>#N/A</v>
      </c>
      <c r="F147" s="385" t="e">
        <f>VLOOKUP(B147,PON.EXP.ESP.!$C$30:$J$229,6,FALSE)</f>
        <v>#N/A</v>
      </c>
      <c r="G147" s="383" t="e">
        <f>VLOOKUP(B147,PON.EXP.ESP.!$C$30:$J$229,8,FALSE)</f>
        <v>#N/A</v>
      </c>
      <c r="H147" s="383">
        <f>VLOOKUP(B147,VIN.PERS.DISC.!$B$19:$D$218,3,FALSE)</f>
        <v>0</v>
      </c>
      <c r="I147" s="384">
        <f>VLOOKUP(B147,'APOYO A IND. NAL.'!$B$19:$D$218,3,FALSE)</f>
        <v>0</v>
      </c>
      <c r="J147" s="384" t="e">
        <f t="shared" si="2"/>
        <v>#N/A</v>
      </c>
      <c r="K147" s="301"/>
      <c r="L147" s="411">
        <f t="shared" si="3"/>
        <v>0</v>
      </c>
    </row>
    <row r="148" spans="2:12" s="292" customFormat="1" ht="13.5" hidden="1">
      <c r="B148" s="298">
        <f>PROPONENTES!C147</f>
        <v>0</v>
      </c>
      <c r="C148" s="299">
        <v>129</v>
      </c>
      <c r="D148" s="300" t="e">
        <f>VLOOKUP(B148,PROPONENTES!$C$19:$E$218,2,FALSE)</f>
        <v>#N/A</v>
      </c>
      <c r="E148" s="135" t="e">
        <f>VLOOKUP(B148,HAB.GEN.!$C$19:$I$218,7,FALSE)</f>
        <v>#N/A</v>
      </c>
      <c r="F148" s="385" t="e">
        <f>VLOOKUP(B148,PON.EXP.ESP.!$C$30:$J$229,6,FALSE)</f>
        <v>#N/A</v>
      </c>
      <c r="G148" s="383" t="e">
        <f>VLOOKUP(B148,PON.EXP.ESP.!$C$30:$J$229,8,FALSE)</f>
        <v>#N/A</v>
      </c>
      <c r="H148" s="383">
        <f>VLOOKUP(B148,VIN.PERS.DISC.!$B$19:$D$218,3,FALSE)</f>
        <v>0</v>
      </c>
      <c r="I148" s="384">
        <f>VLOOKUP(B148,'APOYO A IND. NAL.'!$B$19:$D$218,3,FALSE)</f>
        <v>0</v>
      </c>
      <c r="J148" s="384" t="e">
        <f t="shared" si="2"/>
        <v>#N/A</v>
      </c>
      <c r="K148" s="301"/>
      <c r="L148" s="411">
        <f t="shared" si="3"/>
        <v>0</v>
      </c>
    </row>
    <row r="149" spans="2:12" s="292" customFormat="1" ht="13.5" hidden="1">
      <c r="B149" s="298">
        <f>PROPONENTES!C148</f>
        <v>0</v>
      </c>
      <c r="C149" s="299">
        <v>130</v>
      </c>
      <c r="D149" s="300" t="e">
        <f>VLOOKUP(B149,PROPONENTES!$C$19:$E$218,2,FALSE)</f>
        <v>#N/A</v>
      </c>
      <c r="E149" s="135" t="e">
        <f>VLOOKUP(B149,HAB.GEN.!$C$19:$I$218,7,FALSE)</f>
        <v>#N/A</v>
      </c>
      <c r="F149" s="385" t="e">
        <f>VLOOKUP(B149,PON.EXP.ESP.!$C$30:$J$229,6,FALSE)</f>
        <v>#N/A</v>
      </c>
      <c r="G149" s="383" t="e">
        <f>VLOOKUP(B149,PON.EXP.ESP.!$C$30:$J$229,8,FALSE)</f>
        <v>#N/A</v>
      </c>
      <c r="H149" s="383">
        <f>VLOOKUP(B149,VIN.PERS.DISC.!$B$19:$D$218,3,FALSE)</f>
        <v>0</v>
      </c>
      <c r="I149" s="384">
        <f>VLOOKUP(B149,'APOYO A IND. NAL.'!$B$19:$D$218,3,FALSE)</f>
        <v>0</v>
      </c>
      <c r="J149" s="384" t="e">
        <f t="shared" ref="J149:J212" si="4">IF(E149&lt;&gt;"HÁBIL",0,SUM(F149:I149))</f>
        <v>#N/A</v>
      </c>
      <c r="K149" s="301"/>
      <c r="L149" s="411">
        <f t="shared" ref="L149:L212" si="5">B149</f>
        <v>0</v>
      </c>
    </row>
    <row r="150" spans="2:12" s="292" customFormat="1" ht="13.5" hidden="1">
      <c r="B150" s="298">
        <f>PROPONENTES!C149</f>
        <v>0</v>
      </c>
      <c r="C150" s="299">
        <v>131</v>
      </c>
      <c r="D150" s="300" t="e">
        <f>VLOOKUP(B150,PROPONENTES!$C$19:$E$218,2,FALSE)</f>
        <v>#N/A</v>
      </c>
      <c r="E150" s="135" t="e">
        <f>VLOOKUP(B150,HAB.GEN.!$C$19:$I$218,7,FALSE)</f>
        <v>#N/A</v>
      </c>
      <c r="F150" s="385" t="e">
        <f>VLOOKUP(B150,PON.EXP.ESP.!$C$30:$J$229,6,FALSE)</f>
        <v>#N/A</v>
      </c>
      <c r="G150" s="383" t="e">
        <f>VLOOKUP(B150,PON.EXP.ESP.!$C$30:$J$229,8,FALSE)</f>
        <v>#N/A</v>
      </c>
      <c r="H150" s="383">
        <f>VLOOKUP(B150,VIN.PERS.DISC.!$B$19:$D$218,3,FALSE)</f>
        <v>0</v>
      </c>
      <c r="I150" s="384">
        <f>VLOOKUP(B150,'APOYO A IND. NAL.'!$B$19:$D$218,3,FALSE)</f>
        <v>0</v>
      </c>
      <c r="J150" s="384" t="e">
        <f t="shared" si="4"/>
        <v>#N/A</v>
      </c>
      <c r="K150" s="301"/>
      <c r="L150" s="411">
        <f t="shared" si="5"/>
        <v>0</v>
      </c>
    </row>
    <row r="151" spans="2:12" s="292" customFormat="1" ht="13.5" hidden="1">
      <c r="B151" s="298">
        <f>PROPONENTES!C150</f>
        <v>0</v>
      </c>
      <c r="C151" s="299">
        <v>132</v>
      </c>
      <c r="D151" s="300" t="e">
        <f>VLOOKUP(B151,PROPONENTES!$C$19:$E$218,2,FALSE)</f>
        <v>#N/A</v>
      </c>
      <c r="E151" s="135" t="e">
        <f>VLOOKUP(B151,HAB.GEN.!$C$19:$I$218,7,FALSE)</f>
        <v>#N/A</v>
      </c>
      <c r="F151" s="385" t="e">
        <f>VLOOKUP(B151,PON.EXP.ESP.!$C$30:$J$229,6,FALSE)</f>
        <v>#N/A</v>
      </c>
      <c r="G151" s="383" t="e">
        <f>VLOOKUP(B151,PON.EXP.ESP.!$C$30:$J$229,8,FALSE)</f>
        <v>#N/A</v>
      </c>
      <c r="H151" s="383">
        <f>VLOOKUP(B151,VIN.PERS.DISC.!$B$19:$D$218,3,FALSE)</f>
        <v>0</v>
      </c>
      <c r="I151" s="384">
        <f>VLOOKUP(B151,'APOYO A IND. NAL.'!$B$19:$D$218,3,FALSE)</f>
        <v>0</v>
      </c>
      <c r="J151" s="384" t="e">
        <f t="shared" si="4"/>
        <v>#N/A</v>
      </c>
      <c r="K151" s="301"/>
      <c r="L151" s="411">
        <f t="shared" si="5"/>
        <v>0</v>
      </c>
    </row>
    <row r="152" spans="2:12" s="292" customFormat="1" ht="13.5" hidden="1">
      <c r="B152" s="298">
        <f>PROPONENTES!C151</f>
        <v>0</v>
      </c>
      <c r="C152" s="299">
        <v>133</v>
      </c>
      <c r="D152" s="300" t="e">
        <f>VLOOKUP(B152,PROPONENTES!$C$19:$E$218,2,FALSE)</f>
        <v>#N/A</v>
      </c>
      <c r="E152" s="135" t="e">
        <f>VLOOKUP(B152,HAB.GEN.!$C$19:$I$218,7,FALSE)</f>
        <v>#N/A</v>
      </c>
      <c r="F152" s="385" t="e">
        <f>VLOOKUP(B152,PON.EXP.ESP.!$C$30:$J$229,6,FALSE)</f>
        <v>#N/A</v>
      </c>
      <c r="G152" s="383" t="e">
        <f>VLOOKUP(B152,PON.EXP.ESP.!$C$30:$J$229,8,FALSE)</f>
        <v>#N/A</v>
      </c>
      <c r="H152" s="383">
        <f>VLOOKUP(B152,VIN.PERS.DISC.!$B$19:$D$218,3,FALSE)</f>
        <v>0</v>
      </c>
      <c r="I152" s="384">
        <f>VLOOKUP(B152,'APOYO A IND. NAL.'!$B$19:$D$218,3,FALSE)</f>
        <v>0</v>
      </c>
      <c r="J152" s="384" t="e">
        <f t="shared" si="4"/>
        <v>#N/A</v>
      </c>
      <c r="K152" s="301"/>
      <c r="L152" s="411">
        <f t="shared" si="5"/>
        <v>0</v>
      </c>
    </row>
    <row r="153" spans="2:12" s="292" customFormat="1" ht="13.5" hidden="1">
      <c r="B153" s="298">
        <f>PROPONENTES!C152</f>
        <v>0</v>
      </c>
      <c r="C153" s="299">
        <v>134</v>
      </c>
      <c r="D153" s="300" t="e">
        <f>VLOOKUP(B153,PROPONENTES!$C$19:$E$218,2,FALSE)</f>
        <v>#N/A</v>
      </c>
      <c r="E153" s="135" t="e">
        <f>VLOOKUP(B153,HAB.GEN.!$C$19:$I$218,7,FALSE)</f>
        <v>#N/A</v>
      </c>
      <c r="F153" s="385" t="e">
        <f>VLOOKUP(B153,PON.EXP.ESP.!$C$30:$J$229,6,FALSE)</f>
        <v>#N/A</v>
      </c>
      <c r="G153" s="383" t="e">
        <f>VLOOKUP(B153,PON.EXP.ESP.!$C$30:$J$229,8,FALSE)</f>
        <v>#N/A</v>
      </c>
      <c r="H153" s="383">
        <f>VLOOKUP(B153,VIN.PERS.DISC.!$B$19:$D$218,3,FALSE)</f>
        <v>0</v>
      </c>
      <c r="I153" s="384">
        <f>VLOOKUP(B153,'APOYO A IND. NAL.'!$B$19:$D$218,3,FALSE)</f>
        <v>0</v>
      </c>
      <c r="J153" s="384" t="e">
        <f t="shared" si="4"/>
        <v>#N/A</v>
      </c>
      <c r="K153" s="301"/>
      <c r="L153" s="411">
        <f t="shared" si="5"/>
        <v>0</v>
      </c>
    </row>
    <row r="154" spans="2:12" s="292" customFormat="1" ht="13.5" hidden="1">
      <c r="B154" s="298">
        <f>PROPONENTES!C153</f>
        <v>0</v>
      </c>
      <c r="C154" s="299">
        <v>135</v>
      </c>
      <c r="D154" s="300" t="e">
        <f>VLOOKUP(B154,PROPONENTES!$C$19:$E$218,2,FALSE)</f>
        <v>#N/A</v>
      </c>
      <c r="E154" s="135" t="e">
        <f>VLOOKUP(B154,HAB.GEN.!$C$19:$I$218,7,FALSE)</f>
        <v>#N/A</v>
      </c>
      <c r="F154" s="385" t="e">
        <f>VLOOKUP(B154,PON.EXP.ESP.!$C$30:$J$229,6,FALSE)</f>
        <v>#N/A</v>
      </c>
      <c r="G154" s="383" t="e">
        <f>VLOOKUP(B154,PON.EXP.ESP.!$C$30:$J$229,8,FALSE)</f>
        <v>#N/A</v>
      </c>
      <c r="H154" s="383">
        <f>VLOOKUP(B154,VIN.PERS.DISC.!$B$19:$D$218,3,FALSE)</f>
        <v>0</v>
      </c>
      <c r="I154" s="384">
        <f>VLOOKUP(B154,'APOYO A IND. NAL.'!$B$19:$D$218,3,FALSE)</f>
        <v>0</v>
      </c>
      <c r="J154" s="384" t="e">
        <f t="shared" si="4"/>
        <v>#N/A</v>
      </c>
      <c r="K154" s="301"/>
      <c r="L154" s="411">
        <f t="shared" si="5"/>
        <v>0</v>
      </c>
    </row>
    <row r="155" spans="2:12" s="292" customFormat="1" ht="13.5" hidden="1">
      <c r="B155" s="298">
        <f>PROPONENTES!C154</f>
        <v>0</v>
      </c>
      <c r="C155" s="299">
        <v>136</v>
      </c>
      <c r="D155" s="300" t="e">
        <f>VLOOKUP(B155,PROPONENTES!$C$19:$E$218,2,FALSE)</f>
        <v>#N/A</v>
      </c>
      <c r="E155" s="135" t="e">
        <f>VLOOKUP(B155,HAB.GEN.!$C$19:$I$218,7,FALSE)</f>
        <v>#N/A</v>
      </c>
      <c r="F155" s="385" t="e">
        <f>VLOOKUP(B155,PON.EXP.ESP.!$C$30:$J$229,6,FALSE)</f>
        <v>#N/A</v>
      </c>
      <c r="G155" s="383" t="e">
        <f>VLOOKUP(B155,PON.EXP.ESP.!$C$30:$J$229,8,FALSE)</f>
        <v>#N/A</v>
      </c>
      <c r="H155" s="383">
        <f>VLOOKUP(B155,VIN.PERS.DISC.!$B$19:$D$218,3,FALSE)</f>
        <v>0</v>
      </c>
      <c r="I155" s="384">
        <f>VLOOKUP(B155,'APOYO A IND. NAL.'!$B$19:$D$218,3,FALSE)</f>
        <v>0</v>
      </c>
      <c r="J155" s="384" t="e">
        <f t="shared" si="4"/>
        <v>#N/A</v>
      </c>
      <c r="K155" s="301"/>
      <c r="L155" s="411">
        <f t="shared" si="5"/>
        <v>0</v>
      </c>
    </row>
    <row r="156" spans="2:12" s="292" customFormat="1" ht="13.5" hidden="1">
      <c r="B156" s="298">
        <f>PROPONENTES!C155</f>
        <v>0</v>
      </c>
      <c r="C156" s="299">
        <v>137</v>
      </c>
      <c r="D156" s="300" t="e">
        <f>VLOOKUP(B156,PROPONENTES!$C$19:$E$218,2,FALSE)</f>
        <v>#N/A</v>
      </c>
      <c r="E156" s="135" t="e">
        <f>VLOOKUP(B156,HAB.GEN.!$C$19:$I$218,7,FALSE)</f>
        <v>#N/A</v>
      </c>
      <c r="F156" s="385" t="e">
        <f>VLOOKUP(B156,PON.EXP.ESP.!$C$30:$J$229,6,FALSE)</f>
        <v>#N/A</v>
      </c>
      <c r="G156" s="383" t="e">
        <f>VLOOKUP(B156,PON.EXP.ESP.!$C$30:$J$229,8,FALSE)</f>
        <v>#N/A</v>
      </c>
      <c r="H156" s="383">
        <f>VLOOKUP(B156,VIN.PERS.DISC.!$B$19:$D$218,3,FALSE)</f>
        <v>0</v>
      </c>
      <c r="I156" s="384">
        <f>VLOOKUP(B156,'APOYO A IND. NAL.'!$B$19:$D$218,3,FALSE)</f>
        <v>0</v>
      </c>
      <c r="J156" s="384" t="e">
        <f t="shared" si="4"/>
        <v>#N/A</v>
      </c>
      <c r="K156" s="301"/>
      <c r="L156" s="411">
        <f t="shared" si="5"/>
        <v>0</v>
      </c>
    </row>
    <row r="157" spans="2:12" s="292" customFormat="1" ht="13.5" hidden="1">
      <c r="B157" s="298">
        <f>PROPONENTES!C156</f>
        <v>0</v>
      </c>
      <c r="C157" s="299">
        <v>138</v>
      </c>
      <c r="D157" s="300" t="e">
        <f>VLOOKUP(B157,PROPONENTES!$C$19:$E$218,2,FALSE)</f>
        <v>#N/A</v>
      </c>
      <c r="E157" s="135" t="e">
        <f>VLOOKUP(B157,HAB.GEN.!$C$19:$I$218,7,FALSE)</f>
        <v>#N/A</v>
      </c>
      <c r="F157" s="385" t="e">
        <f>VLOOKUP(B157,PON.EXP.ESP.!$C$30:$J$229,6,FALSE)</f>
        <v>#N/A</v>
      </c>
      <c r="G157" s="383" t="e">
        <f>VLOOKUP(B157,PON.EXP.ESP.!$C$30:$J$229,8,FALSE)</f>
        <v>#N/A</v>
      </c>
      <c r="H157" s="383">
        <f>VLOOKUP(B157,VIN.PERS.DISC.!$B$19:$D$218,3,FALSE)</f>
        <v>0</v>
      </c>
      <c r="I157" s="384">
        <f>VLOOKUP(B157,'APOYO A IND. NAL.'!$B$19:$D$218,3,FALSE)</f>
        <v>0</v>
      </c>
      <c r="J157" s="384" t="e">
        <f t="shared" si="4"/>
        <v>#N/A</v>
      </c>
      <c r="K157" s="301"/>
      <c r="L157" s="411">
        <f t="shared" si="5"/>
        <v>0</v>
      </c>
    </row>
    <row r="158" spans="2:12" s="292" customFormat="1" ht="13.5" hidden="1">
      <c r="B158" s="298">
        <f>PROPONENTES!C157</f>
        <v>0</v>
      </c>
      <c r="C158" s="299">
        <v>139</v>
      </c>
      <c r="D158" s="300" t="e">
        <f>VLOOKUP(B158,PROPONENTES!$C$19:$E$218,2,FALSE)</f>
        <v>#N/A</v>
      </c>
      <c r="E158" s="135" t="e">
        <f>VLOOKUP(B158,HAB.GEN.!$C$19:$I$218,7,FALSE)</f>
        <v>#N/A</v>
      </c>
      <c r="F158" s="385" t="e">
        <f>VLOOKUP(B158,PON.EXP.ESP.!$C$30:$J$229,6,FALSE)</f>
        <v>#N/A</v>
      </c>
      <c r="G158" s="383" t="e">
        <f>VLOOKUP(B158,PON.EXP.ESP.!$C$30:$J$229,8,FALSE)</f>
        <v>#N/A</v>
      </c>
      <c r="H158" s="383">
        <f>VLOOKUP(B158,VIN.PERS.DISC.!$B$19:$D$218,3,FALSE)</f>
        <v>0</v>
      </c>
      <c r="I158" s="384">
        <f>VLOOKUP(B158,'APOYO A IND. NAL.'!$B$19:$D$218,3,FALSE)</f>
        <v>0</v>
      </c>
      <c r="J158" s="384" t="e">
        <f t="shared" si="4"/>
        <v>#N/A</v>
      </c>
      <c r="K158" s="301"/>
      <c r="L158" s="411">
        <f t="shared" si="5"/>
        <v>0</v>
      </c>
    </row>
    <row r="159" spans="2:12" s="292" customFormat="1" ht="13.5" hidden="1">
      <c r="B159" s="298">
        <f>PROPONENTES!C158</f>
        <v>0</v>
      </c>
      <c r="C159" s="299">
        <v>140</v>
      </c>
      <c r="D159" s="300" t="e">
        <f>VLOOKUP(B159,PROPONENTES!$C$19:$E$218,2,FALSE)</f>
        <v>#N/A</v>
      </c>
      <c r="E159" s="135" t="e">
        <f>VLOOKUP(B159,HAB.GEN.!$C$19:$I$218,7,FALSE)</f>
        <v>#N/A</v>
      </c>
      <c r="F159" s="385" t="e">
        <f>VLOOKUP(B159,PON.EXP.ESP.!$C$30:$J$229,6,FALSE)</f>
        <v>#N/A</v>
      </c>
      <c r="G159" s="383" t="e">
        <f>VLOOKUP(B159,PON.EXP.ESP.!$C$30:$J$229,8,FALSE)</f>
        <v>#N/A</v>
      </c>
      <c r="H159" s="383">
        <f>VLOOKUP(B159,VIN.PERS.DISC.!$B$19:$D$218,3,FALSE)</f>
        <v>0</v>
      </c>
      <c r="I159" s="384">
        <f>VLOOKUP(B159,'APOYO A IND. NAL.'!$B$19:$D$218,3,FALSE)</f>
        <v>0</v>
      </c>
      <c r="J159" s="384" t="e">
        <f t="shared" si="4"/>
        <v>#N/A</v>
      </c>
      <c r="K159" s="301"/>
      <c r="L159" s="411">
        <f t="shared" si="5"/>
        <v>0</v>
      </c>
    </row>
    <row r="160" spans="2:12" s="292" customFormat="1" ht="13.5" hidden="1">
      <c r="B160" s="298">
        <f>PROPONENTES!C159</f>
        <v>0</v>
      </c>
      <c r="C160" s="299">
        <v>141</v>
      </c>
      <c r="D160" s="300" t="e">
        <f>VLOOKUP(B160,PROPONENTES!$C$19:$E$218,2,FALSE)</f>
        <v>#N/A</v>
      </c>
      <c r="E160" s="135" t="e">
        <f>VLOOKUP(B160,HAB.GEN.!$C$19:$I$218,7,FALSE)</f>
        <v>#N/A</v>
      </c>
      <c r="F160" s="385" t="e">
        <f>VLOOKUP(B160,PON.EXP.ESP.!$C$30:$J$229,6,FALSE)</f>
        <v>#N/A</v>
      </c>
      <c r="G160" s="383" t="e">
        <f>VLOOKUP(B160,PON.EXP.ESP.!$C$30:$J$229,8,FALSE)</f>
        <v>#N/A</v>
      </c>
      <c r="H160" s="383">
        <f>VLOOKUP(B160,VIN.PERS.DISC.!$B$19:$D$218,3,FALSE)</f>
        <v>0</v>
      </c>
      <c r="I160" s="384">
        <f>VLOOKUP(B160,'APOYO A IND. NAL.'!$B$19:$D$218,3,FALSE)</f>
        <v>0</v>
      </c>
      <c r="J160" s="384" t="e">
        <f t="shared" si="4"/>
        <v>#N/A</v>
      </c>
      <c r="K160" s="301"/>
      <c r="L160" s="411">
        <f t="shared" si="5"/>
        <v>0</v>
      </c>
    </row>
    <row r="161" spans="2:12" s="292" customFormat="1" ht="13.5" hidden="1">
      <c r="B161" s="298">
        <f>PROPONENTES!C160</f>
        <v>0</v>
      </c>
      <c r="C161" s="299">
        <v>142</v>
      </c>
      <c r="D161" s="300" t="e">
        <f>VLOOKUP(B161,PROPONENTES!$C$19:$E$218,2,FALSE)</f>
        <v>#N/A</v>
      </c>
      <c r="E161" s="135" t="e">
        <f>VLOOKUP(B161,HAB.GEN.!$C$19:$I$218,7,FALSE)</f>
        <v>#N/A</v>
      </c>
      <c r="F161" s="385" t="e">
        <f>VLOOKUP(B161,PON.EXP.ESP.!$C$30:$J$229,6,FALSE)</f>
        <v>#N/A</v>
      </c>
      <c r="G161" s="383" t="e">
        <f>VLOOKUP(B161,PON.EXP.ESP.!$C$30:$J$229,8,FALSE)</f>
        <v>#N/A</v>
      </c>
      <c r="H161" s="383">
        <f>VLOOKUP(B161,VIN.PERS.DISC.!$B$19:$D$218,3,FALSE)</f>
        <v>0</v>
      </c>
      <c r="I161" s="384">
        <f>VLOOKUP(B161,'APOYO A IND. NAL.'!$B$19:$D$218,3,FALSE)</f>
        <v>0</v>
      </c>
      <c r="J161" s="384" t="e">
        <f t="shared" si="4"/>
        <v>#N/A</v>
      </c>
      <c r="K161" s="301"/>
      <c r="L161" s="411">
        <f t="shared" si="5"/>
        <v>0</v>
      </c>
    </row>
    <row r="162" spans="2:12" s="292" customFormat="1" ht="13.5" hidden="1">
      <c r="B162" s="298">
        <f>PROPONENTES!C161</f>
        <v>0</v>
      </c>
      <c r="C162" s="299">
        <v>143</v>
      </c>
      <c r="D162" s="300" t="e">
        <f>VLOOKUP(B162,PROPONENTES!$C$19:$E$218,2,FALSE)</f>
        <v>#N/A</v>
      </c>
      <c r="E162" s="135" t="e">
        <f>VLOOKUP(B162,HAB.GEN.!$C$19:$I$218,7,FALSE)</f>
        <v>#N/A</v>
      </c>
      <c r="F162" s="385" t="e">
        <f>VLOOKUP(B162,PON.EXP.ESP.!$C$30:$J$229,6,FALSE)</f>
        <v>#N/A</v>
      </c>
      <c r="G162" s="383" t="e">
        <f>VLOOKUP(B162,PON.EXP.ESP.!$C$30:$J$229,8,FALSE)</f>
        <v>#N/A</v>
      </c>
      <c r="H162" s="383">
        <f>VLOOKUP(B162,VIN.PERS.DISC.!$B$19:$D$218,3,FALSE)</f>
        <v>0</v>
      </c>
      <c r="I162" s="384">
        <f>VLOOKUP(B162,'APOYO A IND. NAL.'!$B$19:$D$218,3,FALSE)</f>
        <v>0</v>
      </c>
      <c r="J162" s="384" t="e">
        <f t="shared" si="4"/>
        <v>#N/A</v>
      </c>
      <c r="K162" s="301"/>
      <c r="L162" s="411">
        <f t="shared" si="5"/>
        <v>0</v>
      </c>
    </row>
    <row r="163" spans="2:12" s="292" customFormat="1" ht="13.5" hidden="1">
      <c r="B163" s="298">
        <f>PROPONENTES!C162</f>
        <v>0</v>
      </c>
      <c r="C163" s="299">
        <v>144</v>
      </c>
      <c r="D163" s="300" t="e">
        <f>VLOOKUP(B163,PROPONENTES!$C$19:$E$218,2,FALSE)</f>
        <v>#N/A</v>
      </c>
      <c r="E163" s="135" t="e">
        <f>VLOOKUP(B163,HAB.GEN.!$C$19:$I$218,7,FALSE)</f>
        <v>#N/A</v>
      </c>
      <c r="F163" s="385" t="e">
        <f>VLOOKUP(B163,PON.EXP.ESP.!$C$30:$J$229,6,FALSE)</f>
        <v>#N/A</v>
      </c>
      <c r="G163" s="383" t="e">
        <f>VLOOKUP(B163,PON.EXP.ESP.!$C$30:$J$229,8,FALSE)</f>
        <v>#N/A</v>
      </c>
      <c r="H163" s="383">
        <f>VLOOKUP(B163,VIN.PERS.DISC.!$B$19:$D$218,3,FALSE)</f>
        <v>0</v>
      </c>
      <c r="I163" s="384">
        <f>VLOOKUP(B163,'APOYO A IND. NAL.'!$B$19:$D$218,3,FALSE)</f>
        <v>0</v>
      </c>
      <c r="J163" s="384" t="e">
        <f t="shared" si="4"/>
        <v>#N/A</v>
      </c>
      <c r="K163" s="301"/>
      <c r="L163" s="411">
        <f t="shared" si="5"/>
        <v>0</v>
      </c>
    </row>
    <row r="164" spans="2:12" s="292" customFormat="1" ht="13.5" hidden="1">
      <c r="B164" s="298">
        <f>PROPONENTES!C163</f>
        <v>0</v>
      </c>
      <c r="C164" s="299">
        <v>145</v>
      </c>
      <c r="D164" s="300" t="e">
        <f>VLOOKUP(B164,PROPONENTES!$C$19:$E$218,2,FALSE)</f>
        <v>#N/A</v>
      </c>
      <c r="E164" s="135" t="e">
        <f>VLOOKUP(B164,HAB.GEN.!$C$19:$I$218,7,FALSE)</f>
        <v>#N/A</v>
      </c>
      <c r="F164" s="385" t="e">
        <f>VLOOKUP(B164,PON.EXP.ESP.!$C$30:$J$229,6,FALSE)</f>
        <v>#N/A</v>
      </c>
      <c r="G164" s="383" t="e">
        <f>VLOOKUP(B164,PON.EXP.ESP.!$C$30:$J$229,8,FALSE)</f>
        <v>#N/A</v>
      </c>
      <c r="H164" s="383">
        <f>VLOOKUP(B164,VIN.PERS.DISC.!$B$19:$D$218,3,FALSE)</f>
        <v>0</v>
      </c>
      <c r="I164" s="384">
        <f>VLOOKUP(B164,'APOYO A IND. NAL.'!$B$19:$D$218,3,FALSE)</f>
        <v>0</v>
      </c>
      <c r="J164" s="384" t="e">
        <f t="shared" si="4"/>
        <v>#N/A</v>
      </c>
      <c r="K164" s="301"/>
      <c r="L164" s="411">
        <f t="shared" si="5"/>
        <v>0</v>
      </c>
    </row>
    <row r="165" spans="2:12" s="292" customFormat="1" ht="13.5" hidden="1">
      <c r="B165" s="298">
        <f>PROPONENTES!C164</f>
        <v>0</v>
      </c>
      <c r="C165" s="299">
        <v>146</v>
      </c>
      <c r="D165" s="300" t="e">
        <f>VLOOKUP(B165,PROPONENTES!$C$19:$E$218,2,FALSE)</f>
        <v>#N/A</v>
      </c>
      <c r="E165" s="135" t="e">
        <f>VLOOKUP(B165,HAB.GEN.!$C$19:$I$218,7,FALSE)</f>
        <v>#N/A</v>
      </c>
      <c r="F165" s="385" t="e">
        <f>VLOOKUP(B165,PON.EXP.ESP.!$C$30:$J$229,6,FALSE)</f>
        <v>#N/A</v>
      </c>
      <c r="G165" s="383" t="e">
        <f>VLOOKUP(B165,PON.EXP.ESP.!$C$30:$J$229,8,FALSE)</f>
        <v>#N/A</v>
      </c>
      <c r="H165" s="383">
        <f>VLOOKUP(B165,VIN.PERS.DISC.!$B$19:$D$218,3,FALSE)</f>
        <v>0</v>
      </c>
      <c r="I165" s="384">
        <f>VLOOKUP(B165,'APOYO A IND. NAL.'!$B$19:$D$218,3,FALSE)</f>
        <v>0</v>
      </c>
      <c r="J165" s="384" t="e">
        <f t="shared" si="4"/>
        <v>#N/A</v>
      </c>
      <c r="K165" s="301"/>
      <c r="L165" s="411">
        <f t="shared" si="5"/>
        <v>0</v>
      </c>
    </row>
    <row r="166" spans="2:12" s="292" customFormat="1" ht="13.5" hidden="1">
      <c r="B166" s="298">
        <f>PROPONENTES!C165</f>
        <v>0</v>
      </c>
      <c r="C166" s="299">
        <v>147</v>
      </c>
      <c r="D166" s="300" t="e">
        <f>VLOOKUP(B166,PROPONENTES!$C$19:$E$218,2,FALSE)</f>
        <v>#N/A</v>
      </c>
      <c r="E166" s="135" t="e">
        <f>VLOOKUP(B166,HAB.GEN.!$C$19:$I$218,7,FALSE)</f>
        <v>#N/A</v>
      </c>
      <c r="F166" s="385" t="e">
        <f>VLOOKUP(B166,PON.EXP.ESP.!$C$30:$J$229,6,FALSE)</f>
        <v>#N/A</v>
      </c>
      <c r="G166" s="383" t="e">
        <f>VLOOKUP(B166,PON.EXP.ESP.!$C$30:$J$229,8,FALSE)</f>
        <v>#N/A</v>
      </c>
      <c r="H166" s="383">
        <f>VLOOKUP(B166,VIN.PERS.DISC.!$B$19:$D$218,3,FALSE)</f>
        <v>0</v>
      </c>
      <c r="I166" s="384">
        <f>VLOOKUP(B166,'APOYO A IND. NAL.'!$B$19:$D$218,3,FALSE)</f>
        <v>0</v>
      </c>
      <c r="J166" s="384" t="e">
        <f t="shared" si="4"/>
        <v>#N/A</v>
      </c>
      <c r="K166" s="301"/>
      <c r="L166" s="411">
        <f t="shared" si="5"/>
        <v>0</v>
      </c>
    </row>
    <row r="167" spans="2:12" s="292" customFormat="1" ht="13.5" hidden="1">
      <c r="B167" s="298">
        <f>PROPONENTES!C166</f>
        <v>0</v>
      </c>
      <c r="C167" s="299">
        <v>148</v>
      </c>
      <c r="D167" s="300" t="e">
        <f>VLOOKUP(B167,PROPONENTES!$C$19:$E$218,2,FALSE)</f>
        <v>#N/A</v>
      </c>
      <c r="E167" s="135" t="e">
        <f>VLOOKUP(B167,HAB.GEN.!$C$19:$I$218,7,FALSE)</f>
        <v>#N/A</v>
      </c>
      <c r="F167" s="385" t="e">
        <f>VLOOKUP(B167,PON.EXP.ESP.!$C$30:$J$229,6,FALSE)</f>
        <v>#N/A</v>
      </c>
      <c r="G167" s="383" t="e">
        <f>VLOOKUP(B167,PON.EXP.ESP.!$C$30:$J$229,8,FALSE)</f>
        <v>#N/A</v>
      </c>
      <c r="H167" s="383">
        <f>VLOOKUP(B167,VIN.PERS.DISC.!$B$19:$D$218,3,FALSE)</f>
        <v>0</v>
      </c>
      <c r="I167" s="384">
        <f>VLOOKUP(B167,'APOYO A IND. NAL.'!$B$19:$D$218,3,FALSE)</f>
        <v>0</v>
      </c>
      <c r="J167" s="384" t="e">
        <f t="shared" si="4"/>
        <v>#N/A</v>
      </c>
      <c r="K167" s="301"/>
      <c r="L167" s="411">
        <f t="shared" si="5"/>
        <v>0</v>
      </c>
    </row>
    <row r="168" spans="2:12" s="292" customFormat="1" ht="13.5" hidden="1">
      <c r="B168" s="298">
        <f>PROPONENTES!C167</f>
        <v>0</v>
      </c>
      <c r="C168" s="299">
        <v>149</v>
      </c>
      <c r="D168" s="300" t="e">
        <f>VLOOKUP(B168,PROPONENTES!$C$19:$E$218,2,FALSE)</f>
        <v>#N/A</v>
      </c>
      <c r="E168" s="135" t="e">
        <f>VLOOKUP(B168,HAB.GEN.!$C$19:$I$218,7,FALSE)</f>
        <v>#N/A</v>
      </c>
      <c r="F168" s="385" t="e">
        <f>VLOOKUP(B168,PON.EXP.ESP.!$C$30:$J$229,6,FALSE)</f>
        <v>#N/A</v>
      </c>
      <c r="G168" s="383" t="e">
        <f>VLOOKUP(B168,PON.EXP.ESP.!$C$30:$J$229,8,FALSE)</f>
        <v>#N/A</v>
      </c>
      <c r="H168" s="383">
        <f>VLOOKUP(B168,VIN.PERS.DISC.!$B$19:$D$218,3,FALSE)</f>
        <v>0</v>
      </c>
      <c r="I168" s="384">
        <f>VLOOKUP(B168,'APOYO A IND. NAL.'!$B$19:$D$218,3,FALSE)</f>
        <v>0</v>
      </c>
      <c r="J168" s="384" t="e">
        <f t="shared" si="4"/>
        <v>#N/A</v>
      </c>
      <c r="K168" s="301"/>
      <c r="L168" s="411">
        <f t="shared" si="5"/>
        <v>0</v>
      </c>
    </row>
    <row r="169" spans="2:12" s="292" customFormat="1" ht="13.5" hidden="1">
      <c r="B169" s="298">
        <f>PROPONENTES!C168</f>
        <v>0</v>
      </c>
      <c r="C169" s="299">
        <v>150</v>
      </c>
      <c r="D169" s="300" t="e">
        <f>VLOOKUP(B169,PROPONENTES!$C$19:$E$218,2,FALSE)</f>
        <v>#N/A</v>
      </c>
      <c r="E169" s="135" t="e">
        <f>VLOOKUP(B169,HAB.GEN.!$C$19:$I$218,7,FALSE)</f>
        <v>#N/A</v>
      </c>
      <c r="F169" s="385" t="e">
        <f>VLOOKUP(B169,PON.EXP.ESP.!$C$30:$J$229,6,FALSE)</f>
        <v>#N/A</v>
      </c>
      <c r="G169" s="383" t="e">
        <f>VLOOKUP(B169,PON.EXP.ESP.!$C$30:$J$229,8,FALSE)</f>
        <v>#N/A</v>
      </c>
      <c r="H169" s="383">
        <f>VLOOKUP(B169,VIN.PERS.DISC.!$B$19:$D$218,3,FALSE)</f>
        <v>0</v>
      </c>
      <c r="I169" s="384">
        <f>VLOOKUP(B169,'APOYO A IND. NAL.'!$B$19:$D$218,3,FALSE)</f>
        <v>0</v>
      </c>
      <c r="J169" s="384" t="e">
        <f t="shared" si="4"/>
        <v>#N/A</v>
      </c>
      <c r="K169" s="301"/>
      <c r="L169" s="411">
        <f t="shared" si="5"/>
        <v>0</v>
      </c>
    </row>
    <row r="170" spans="2:12" s="292" customFormat="1" ht="13.5" hidden="1">
      <c r="B170" s="298">
        <f>PROPONENTES!C169</f>
        <v>0</v>
      </c>
      <c r="C170" s="299">
        <v>151</v>
      </c>
      <c r="D170" s="300" t="e">
        <f>VLOOKUP(B170,PROPONENTES!$C$19:$E$218,2,FALSE)</f>
        <v>#N/A</v>
      </c>
      <c r="E170" s="135" t="e">
        <f>VLOOKUP(B170,HAB.GEN.!$C$19:$I$218,7,FALSE)</f>
        <v>#N/A</v>
      </c>
      <c r="F170" s="385" t="e">
        <f>VLOOKUP(B170,PON.EXP.ESP.!$C$30:$J$229,6,FALSE)</f>
        <v>#N/A</v>
      </c>
      <c r="G170" s="383" t="e">
        <f>VLOOKUP(B170,PON.EXP.ESP.!$C$30:$J$229,8,FALSE)</f>
        <v>#N/A</v>
      </c>
      <c r="H170" s="383">
        <f>VLOOKUP(B170,VIN.PERS.DISC.!$B$19:$D$218,3,FALSE)</f>
        <v>0</v>
      </c>
      <c r="I170" s="384">
        <f>VLOOKUP(B170,'APOYO A IND. NAL.'!$B$19:$D$218,3,FALSE)</f>
        <v>0</v>
      </c>
      <c r="J170" s="384" t="e">
        <f t="shared" si="4"/>
        <v>#N/A</v>
      </c>
      <c r="K170" s="301"/>
      <c r="L170" s="411">
        <f t="shared" si="5"/>
        <v>0</v>
      </c>
    </row>
    <row r="171" spans="2:12" s="292" customFormat="1" ht="13.5" hidden="1">
      <c r="B171" s="298">
        <f>PROPONENTES!C170</f>
        <v>0</v>
      </c>
      <c r="C171" s="299">
        <v>152</v>
      </c>
      <c r="D171" s="300" t="e">
        <f>VLOOKUP(B171,PROPONENTES!$C$19:$E$218,2,FALSE)</f>
        <v>#N/A</v>
      </c>
      <c r="E171" s="135" t="e">
        <f>VLOOKUP(B171,HAB.GEN.!$C$19:$I$218,7,FALSE)</f>
        <v>#N/A</v>
      </c>
      <c r="F171" s="385" t="e">
        <f>VLOOKUP(B171,PON.EXP.ESP.!$C$30:$J$229,6,FALSE)</f>
        <v>#N/A</v>
      </c>
      <c r="G171" s="383" t="e">
        <f>VLOOKUP(B171,PON.EXP.ESP.!$C$30:$J$229,8,FALSE)</f>
        <v>#N/A</v>
      </c>
      <c r="H171" s="383">
        <f>VLOOKUP(B171,VIN.PERS.DISC.!$B$19:$D$218,3,FALSE)</f>
        <v>0</v>
      </c>
      <c r="I171" s="384">
        <f>VLOOKUP(B171,'APOYO A IND. NAL.'!$B$19:$D$218,3,FALSE)</f>
        <v>0</v>
      </c>
      <c r="J171" s="384" t="e">
        <f t="shared" si="4"/>
        <v>#N/A</v>
      </c>
      <c r="K171" s="301"/>
      <c r="L171" s="411">
        <f t="shared" si="5"/>
        <v>0</v>
      </c>
    </row>
    <row r="172" spans="2:12" s="292" customFormat="1" ht="13.5" hidden="1">
      <c r="B172" s="298">
        <f>PROPONENTES!C171</f>
        <v>0</v>
      </c>
      <c r="C172" s="299">
        <v>153</v>
      </c>
      <c r="D172" s="300" t="e">
        <f>VLOOKUP(B172,PROPONENTES!$C$19:$E$218,2,FALSE)</f>
        <v>#N/A</v>
      </c>
      <c r="E172" s="135" t="e">
        <f>VLOOKUP(B172,HAB.GEN.!$C$19:$I$218,7,FALSE)</f>
        <v>#N/A</v>
      </c>
      <c r="F172" s="385" t="e">
        <f>VLOOKUP(B172,PON.EXP.ESP.!$C$30:$J$229,6,FALSE)</f>
        <v>#N/A</v>
      </c>
      <c r="G172" s="383" t="e">
        <f>VLOOKUP(B172,PON.EXP.ESP.!$C$30:$J$229,8,FALSE)</f>
        <v>#N/A</v>
      </c>
      <c r="H172" s="383">
        <f>VLOOKUP(B172,VIN.PERS.DISC.!$B$19:$D$218,3,FALSE)</f>
        <v>0</v>
      </c>
      <c r="I172" s="384">
        <f>VLOOKUP(B172,'APOYO A IND. NAL.'!$B$19:$D$218,3,FALSE)</f>
        <v>0</v>
      </c>
      <c r="J172" s="384" t="e">
        <f t="shared" si="4"/>
        <v>#N/A</v>
      </c>
      <c r="K172" s="301"/>
      <c r="L172" s="411">
        <f t="shared" si="5"/>
        <v>0</v>
      </c>
    </row>
    <row r="173" spans="2:12" s="292" customFormat="1" ht="13.5" hidden="1">
      <c r="B173" s="298">
        <f>PROPONENTES!C172</f>
        <v>0</v>
      </c>
      <c r="C173" s="299">
        <v>154</v>
      </c>
      <c r="D173" s="300" t="e">
        <f>VLOOKUP(B173,PROPONENTES!$C$19:$E$218,2,FALSE)</f>
        <v>#N/A</v>
      </c>
      <c r="E173" s="135" t="e">
        <f>VLOOKUP(B173,HAB.GEN.!$C$19:$I$218,7,FALSE)</f>
        <v>#N/A</v>
      </c>
      <c r="F173" s="385" t="e">
        <f>VLOOKUP(B173,PON.EXP.ESP.!$C$30:$J$229,6,FALSE)</f>
        <v>#N/A</v>
      </c>
      <c r="G173" s="383" t="e">
        <f>VLOOKUP(B173,PON.EXP.ESP.!$C$30:$J$229,8,FALSE)</f>
        <v>#N/A</v>
      </c>
      <c r="H173" s="383">
        <f>VLOOKUP(B173,VIN.PERS.DISC.!$B$19:$D$218,3,FALSE)</f>
        <v>0</v>
      </c>
      <c r="I173" s="384">
        <f>VLOOKUP(B173,'APOYO A IND. NAL.'!$B$19:$D$218,3,FALSE)</f>
        <v>0</v>
      </c>
      <c r="J173" s="384" t="e">
        <f t="shared" si="4"/>
        <v>#N/A</v>
      </c>
      <c r="K173" s="301"/>
      <c r="L173" s="411">
        <f t="shared" si="5"/>
        <v>0</v>
      </c>
    </row>
    <row r="174" spans="2:12" s="292" customFormat="1" ht="13.5" hidden="1">
      <c r="B174" s="298">
        <f>PROPONENTES!C173</f>
        <v>0</v>
      </c>
      <c r="C174" s="299">
        <v>155</v>
      </c>
      <c r="D174" s="300" t="e">
        <f>VLOOKUP(B174,PROPONENTES!$C$19:$E$218,2,FALSE)</f>
        <v>#N/A</v>
      </c>
      <c r="E174" s="135" t="e">
        <f>VLOOKUP(B174,HAB.GEN.!$C$19:$I$218,7,FALSE)</f>
        <v>#N/A</v>
      </c>
      <c r="F174" s="385" t="e">
        <f>VLOOKUP(B174,PON.EXP.ESP.!$C$30:$J$229,6,FALSE)</f>
        <v>#N/A</v>
      </c>
      <c r="G174" s="383" t="e">
        <f>VLOOKUP(B174,PON.EXP.ESP.!$C$30:$J$229,8,FALSE)</f>
        <v>#N/A</v>
      </c>
      <c r="H174" s="383">
        <f>VLOOKUP(B174,VIN.PERS.DISC.!$B$19:$D$218,3,FALSE)</f>
        <v>0</v>
      </c>
      <c r="I174" s="384">
        <f>VLOOKUP(B174,'APOYO A IND. NAL.'!$B$19:$D$218,3,FALSE)</f>
        <v>0</v>
      </c>
      <c r="J174" s="384" t="e">
        <f t="shared" si="4"/>
        <v>#N/A</v>
      </c>
      <c r="K174" s="301"/>
      <c r="L174" s="411">
        <f t="shared" si="5"/>
        <v>0</v>
      </c>
    </row>
    <row r="175" spans="2:12" s="292" customFormat="1" ht="13.5" hidden="1">
      <c r="B175" s="298">
        <f>PROPONENTES!C174</f>
        <v>0</v>
      </c>
      <c r="C175" s="299">
        <v>156</v>
      </c>
      <c r="D175" s="300" t="e">
        <f>VLOOKUP(B175,PROPONENTES!$C$19:$E$218,2,FALSE)</f>
        <v>#N/A</v>
      </c>
      <c r="E175" s="135" t="e">
        <f>VLOOKUP(B175,HAB.GEN.!$C$19:$I$218,7,FALSE)</f>
        <v>#N/A</v>
      </c>
      <c r="F175" s="385" t="e">
        <f>VLOOKUP(B175,PON.EXP.ESP.!$C$30:$J$229,6,FALSE)</f>
        <v>#N/A</v>
      </c>
      <c r="G175" s="383" t="e">
        <f>VLOOKUP(B175,PON.EXP.ESP.!$C$30:$J$229,8,FALSE)</f>
        <v>#N/A</v>
      </c>
      <c r="H175" s="383">
        <f>VLOOKUP(B175,VIN.PERS.DISC.!$B$19:$D$218,3,FALSE)</f>
        <v>0</v>
      </c>
      <c r="I175" s="384">
        <f>VLOOKUP(B175,'APOYO A IND. NAL.'!$B$19:$D$218,3,FALSE)</f>
        <v>0</v>
      </c>
      <c r="J175" s="384" t="e">
        <f t="shared" si="4"/>
        <v>#N/A</v>
      </c>
      <c r="K175" s="301"/>
      <c r="L175" s="411">
        <f t="shared" si="5"/>
        <v>0</v>
      </c>
    </row>
    <row r="176" spans="2:12" s="292" customFormat="1" ht="13.5" hidden="1">
      <c r="B176" s="298">
        <f>PROPONENTES!C175</f>
        <v>0</v>
      </c>
      <c r="C176" s="299">
        <v>157</v>
      </c>
      <c r="D176" s="300" t="e">
        <f>VLOOKUP(B176,PROPONENTES!$C$19:$E$218,2,FALSE)</f>
        <v>#N/A</v>
      </c>
      <c r="E176" s="135" t="e">
        <f>VLOOKUP(B176,HAB.GEN.!$C$19:$I$218,7,FALSE)</f>
        <v>#N/A</v>
      </c>
      <c r="F176" s="385" t="e">
        <f>VLOOKUP(B176,PON.EXP.ESP.!$C$30:$J$229,6,FALSE)</f>
        <v>#N/A</v>
      </c>
      <c r="G176" s="383" t="e">
        <f>VLOOKUP(B176,PON.EXP.ESP.!$C$30:$J$229,8,FALSE)</f>
        <v>#N/A</v>
      </c>
      <c r="H176" s="383">
        <f>VLOOKUP(B176,VIN.PERS.DISC.!$B$19:$D$218,3,FALSE)</f>
        <v>0</v>
      </c>
      <c r="I176" s="384">
        <f>VLOOKUP(B176,'APOYO A IND. NAL.'!$B$19:$D$218,3,FALSE)</f>
        <v>0</v>
      </c>
      <c r="J176" s="384" t="e">
        <f t="shared" si="4"/>
        <v>#N/A</v>
      </c>
      <c r="K176" s="301"/>
      <c r="L176" s="411">
        <f t="shared" si="5"/>
        <v>0</v>
      </c>
    </row>
    <row r="177" spans="2:12" s="292" customFormat="1" ht="13.5" hidden="1">
      <c r="B177" s="298">
        <f>PROPONENTES!C176</f>
        <v>0</v>
      </c>
      <c r="C177" s="299">
        <v>158</v>
      </c>
      <c r="D177" s="300" t="e">
        <f>VLOOKUP(B177,PROPONENTES!$C$19:$E$218,2,FALSE)</f>
        <v>#N/A</v>
      </c>
      <c r="E177" s="135" t="e">
        <f>VLOOKUP(B177,HAB.GEN.!$C$19:$I$218,7,FALSE)</f>
        <v>#N/A</v>
      </c>
      <c r="F177" s="385" t="e">
        <f>VLOOKUP(B177,PON.EXP.ESP.!$C$30:$J$229,6,FALSE)</f>
        <v>#N/A</v>
      </c>
      <c r="G177" s="383" t="e">
        <f>VLOOKUP(B177,PON.EXP.ESP.!$C$30:$J$229,8,FALSE)</f>
        <v>#N/A</v>
      </c>
      <c r="H177" s="383">
        <f>VLOOKUP(B177,VIN.PERS.DISC.!$B$19:$D$218,3,FALSE)</f>
        <v>0</v>
      </c>
      <c r="I177" s="384">
        <f>VLOOKUP(B177,'APOYO A IND. NAL.'!$B$19:$D$218,3,FALSE)</f>
        <v>0</v>
      </c>
      <c r="J177" s="384" t="e">
        <f t="shared" si="4"/>
        <v>#N/A</v>
      </c>
      <c r="K177" s="301"/>
      <c r="L177" s="411">
        <f t="shared" si="5"/>
        <v>0</v>
      </c>
    </row>
    <row r="178" spans="2:12" s="292" customFormat="1" ht="13.5" hidden="1">
      <c r="B178" s="298">
        <f>PROPONENTES!C177</f>
        <v>0</v>
      </c>
      <c r="C178" s="299">
        <v>159</v>
      </c>
      <c r="D178" s="300" t="e">
        <f>VLOOKUP(B178,PROPONENTES!$C$19:$E$218,2,FALSE)</f>
        <v>#N/A</v>
      </c>
      <c r="E178" s="135" t="e">
        <f>VLOOKUP(B178,HAB.GEN.!$C$19:$I$218,7,FALSE)</f>
        <v>#N/A</v>
      </c>
      <c r="F178" s="385" t="e">
        <f>VLOOKUP(B178,PON.EXP.ESP.!$C$30:$J$229,6,FALSE)</f>
        <v>#N/A</v>
      </c>
      <c r="G178" s="383" t="e">
        <f>VLOOKUP(B178,PON.EXP.ESP.!$C$30:$J$229,8,FALSE)</f>
        <v>#N/A</v>
      </c>
      <c r="H178" s="383">
        <f>VLOOKUP(B178,VIN.PERS.DISC.!$B$19:$D$218,3,FALSE)</f>
        <v>0</v>
      </c>
      <c r="I178" s="384">
        <f>VLOOKUP(B178,'APOYO A IND. NAL.'!$B$19:$D$218,3,FALSE)</f>
        <v>0</v>
      </c>
      <c r="J178" s="384" t="e">
        <f t="shared" si="4"/>
        <v>#N/A</v>
      </c>
      <c r="K178" s="301"/>
      <c r="L178" s="411">
        <f t="shared" si="5"/>
        <v>0</v>
      </c>
    </row>
    <row r="179" spans="2:12" s="292" customFormat="1" ht="13.5" hidden="1">
      <c r="B179" s="298">
        <f>PROPONENTES!C178</f>
        <v>0</v>
      </c>
      <c r="C179" s="299">
        <v>160</v>
      </c>
      <c r="D179" s="300" t="e">
        <f>VLOOKUP(B179,PROPONENTES!$C$19:$E$218,2,FALSE)</f>
        <v>#N/A</v>
      </c>
      <c r="E179" s="135" t="e">
        <f>VLOOKUP(B179,HAB.GEN.!$C$19:$I$218,7,FALSE)</f>
        <v>#N/A</v>
      </c>
      <c r="F179" s="385" t="e">
        <f>VLOOKUP(B179,PON.EXP.ESP.!$C$30:$J$229,6,FALSE)</f>
        <v>#N/A</v>
      </c>
      <c r="G179" s="383" t="e">
        <f>VLOOKUP(B179,PON.EXP.ESP.!$C$30:$J$229,8,FALSE)</f>
        <v>#N/A</v>
      </c>
      <c r="H179" s="383">
        <f>VLOOKUP(B179,VIN.PERS.DISC.!$B$19:$D$218,3,FALSE)</f>
        <v>0</v>
      </c>
      <c r="I179" s="384">
        <f>VLOOKUP(B179,'APOYO A IND. NAL.'!$B$19:$D$218,3,FALSE)</f>
        <v>0</v>
      </c>
      <c r="J179" s="384" t="e">
        <f t="shared" si="4"/>
        <v>#N/A</v>
      </c>
      <c r="K179" s="301"/>
      <c r="L179" s="411">
        <f t="shared" si="5"/>
        <v>0</v>
      </c>
    </row>
    <row r="180" spans="2:12" s="292" customFormat="1" ht="13.5" hidden="1">
      <c r="B180" s="298">
        <f>PROPONENTES!C179</f>
        <v>0</v>
      </c>
      <c r="C180" s="299">
        <v>161</v>
      </c>
      <c r="D180" s="300" t="e">
        <f>VLOOKUP(B180,PROPONENTES!$C$19:$E$218,2,FALSE)</f>
        <v>#N/A</v>
      </c>
      <c r="E180" s="135" t="e">
        <f>VLOOKUP(B180,HAB.GEN.!$C$19:$I$218,7,FALSE)</f>
        <v>#N/A</v>
      </c>
      <c r="F180" s="385" t="e">
        <f>VLOOKUP(B180,PON.EXP.ESP.!$C$30:$J$229,6,FALSE)</f>
        <v>#N/A</v>
      </c>
      <c r="G180" s="383" t="e">
        <f>VLOOKUP(B180,PON.EXP.ESP.!$C$30:$J$229,8,FALSE)</f>
        <v>#N/A</v>
      </c>
      <c r="H180" s="383">
        <f>VLOOKUP(B180,VIN.PERS.DISC.!$B$19:$D$218,3,FALSE)</f>
        <v>0</v>
      </c>
      <c r="I180" s="384">
        <f>VLOOKUP(B180,'APOYO A IND. NAL.'!$B$19:$D$218,3,FALSE)</f>
        <v>0</v>
      </c>
      <c r="J180" s="384" t="e">
        <f t="shared" si="4"/>
        <v>#N/A</v>
      </c>
      <c r="K180" s="301"/>
      <c r="L180" s="411">
        <f t="shared" si="5"/>
        <v>0</v>
      </c>
    </row>
    <row r="181" spans="2:12" s="292" customFormat="1" ht="13.5" hidden="1">
      <c r="B181" s="298">
        <f>PROPONENTES!C180</f>
        <v>0</v>
      </c>
      <c r="C181" s="299">
        <v>162</v>
      </c>
      <c r="D181" s="300" t="e">
        <f>VLOOKUP(B181,PROPONENTES!$C$19:$E$218,2,FALSE)</f>
        <v>#N/A</v>
      </c>
      <c r="E181" s="135" t="e">
        <f>VLOOKUP(B181,HAB.GEN.!$C$19:$I$218,7,FALSE)</f>
        <v>#N/A</v>
      </c>
      <c r="F181" s="385" t="e">
        <f>VLOOKUP(B181,PON.EXP.ESP.!$C$30:$J$229,6,FALSE)</f>
        <v>#N/A</v>
      </c>
      <c r="G181" s="383" t="e">
        <f>VLOOKUP(B181,PON.EXP.ESP.!$C$30:$J$229,8,FALSE)</f>
        <v>#N/A</v>
      </c>
      <c r="H181" s="383">
        <f>VLOOKUP(B181,VIN.PERS.DISC.!$B$19:$D$218,3,FALSE)</f>
        <v>0</v>
      </c>
      <c r="I181" s="384">
        <f>VLOOKUP(B181,'APOYO A IND. NAL.'!$B$19:$D$218,3,FALSE)</f>
        <v>0</v>
      </c>
      <c r="J181" s="384" t="e">
        <f t="shared" si="4"/>
        <v>#N/A</v>
      </c>
      <c r="K181" s="301"/>
      <c r="L181" s="411">
        <f t="shared" si="5"/>
        <v>0</v>
      </c>
    </row>
    <row r="182" spans="2:12" s="292" customFormat="1" ht="13.5" hidden="1">
      <c r="B182" s="298">
        <f>PROPONENTES!C181</f>
        <v>0</v>
      </c>
      <c r="C182" s="299">
        <v>163</v>
      </c>
      <c r="D182" s="300" t="e">
        <f>VLOOKUP(B182,PROPONENTES!$C$19:$E$218,2,FALSE)</f>
        <v>#N/A</v>
      </c>
      <c r="E182" s="135" t="e">
        <f>VLOOKUP(B182,HAB.GEN.!$C$19:$I$218,7,FALSE)</f>
        <v>#N/A</v>
      </c>
      <c r="F182" s="385" t="e">
        <f>VLOOKUP(B182,PON.EXP.ESP.!$C$30:$J$229,6,FALSE)</f>
        <v>#N/A</v>
      </c>
      <c r="G182" s="383" t="e">
        <f>VLOOKUP(B182,PON.EXP.ESP.!$C$30:$J$229,8,FALSE)</f>
        <v>#N/A</v>
      </c>
      <c r="H182" s="383">
        <f>VLOOKUP(B182,VIN.PERS.DISC.!$B$19:$D$218,3,FALSE)</f>
        <v>0</v>
      </c>
      <c r="I182" s="384">
        <f>VLOOKUP(B182,'APOYO A IND. NAL.'!$B$19:$D$218,3,FALSE)</f>
        <v>0</v>
      </c>
      <c r="J182" s="384" t="e">
        <f t="shared" si="4"/>
        <v>#N/A</v>
      </c>
      <c r="K182" s="301"/>
      <c r="L182" s="411">
        <f t="shared" si="5"/>
        <v>0</v>
      </c>
    </row>
    <row r="183" spans="2:12" s="292" customFormat="1" ht="13.5" hidden="1">
      <c r="B183" s="298">
        <f>PROPONENTES!C182</f>
        <v>0</v>
      </c>
      <c r="C183" s="299">
        <v>164</v>
      </c>
      <c r="D183" s="300" t="e">
        <f>VLOOKUP(B183,PROPONENTES!$C$19:$E$218,2,FALSE)</f>
        <v>#N/A</v>
      </c>
      <c r="E183" s="135" t="e">
        <f>VLOOKUP(B183,HAB.GEN.!$C$19:$I$218,7,FALSE)</f>
        <v>#N/A</v>
      </c>
      <c r="F183" s="385" t="e">
        <f>VLOOKUP(B183,PON.EXP.ESP.!$C$30:$J$229,6,FALSE)</f>
        <v>#N/A</v>
      </c>
      <c r="G183" s="383" t="e">
        <f>VLOOKUP(B183,PON.EXP.ESP.!$C$30:$J$229,8,FALSE)</f>
        <v>#N/A</v>
      </c>
      <c r="H183" s="383">
        <f>VLOOKUP(B183,VIN.PERS.DISC.!$B$19:$D$218,3,FALSE)</f>
        <v>0</v>
      </c>
      <c r="I183" s="384">
        <f>VLOOKUP(B183,'APOYO A IND. NAL.'!$B$19:$D$218,3,FALSE)</f>
        <v>0</v>
      </c>
      <c r="J183" s="384" t="e">
        <f t="shared" si="4"/>
        <v>#N/A</v>
      </c>
      <c r="K183" s="301"/>
      <c r="L183" s="411">
        <f t="shared" si="5"/>
        <v>0</v>
      </c>
    </row>
    <row r="184" spans="2:12" s="292" customFormat="1" ht="13.5" hidden="1">
      <c r="B184" s="298">
        <f>PROPONENTES!C183</f>
        <v>0</v>
      </c>
      <c r="C184" s="299">
        <v>165</v>
      </c>
      <c r="D184" s="300" t="e">
        <f>VLOOKUP(B184,PROPONENTES!$C$19:$E$218,2,FALSE)</f>
        <v>#N/A</v>
      </c>
      <c r="E184" s="135" t="e">
        <f>VLOOKUP(B184,HAB.GEN.!$C$19:$I$218,7,FALSE)</f>
        <v>#N/A</v>
      </c>
      <c r="F184" s="385" t="e">
        <f>VLOOKUP(B184,PON.EXP.ESP.!$C$30:$J$229,6,FALSE)</f>
        <v>#N/A</v>
      </c>
      <c r="G184" s="383" t="e">
        <f>VLOOKUP(B184,PON.EXP.ESP.!$C$30:$J$229,8,FALSE)</f>
        <v>#N/A</v>
      </c>
      <c r="H184" s="383">
        <f>VLOOKUP(B184,VIN.PERS.DISC.!$B$19:$D$218,3,FALSE)</f>
        <v>0</v>
      </c>
      <c r="I184" s="384">
        <f>VLOOKUP(B184,'APOYO A IND. NAL.'!$B$19:$D$218,3,FALSE)</f>
        <v>0</v>
      </c>
      <c r="J184" s="384" t="e">
        <f t="shared" si="4"/>
        <v>#N/A</v>
      </c>
      <c r="K184" s="301"/>
      <c r="L184" s="411">
        <f t="shared" si="5"/>
        <v>0</v>
      </c>
    </row>
    <row r="185" spans="2:12" s="292" customFormat="1" ht="13.5" hidden="1">
      <c r="B185" s="298">
        <f>PROPONENTES!C184</f>
        <v>0</v>
      </c>
      <c r="C185" s="299">
        <v>166</v>
      </c>
      <c r="D185" s="300" t="e">
        <f>VLOOKUP(B185,PROPONENTES!$C$19:$E$218,2,FALSE)</f>
        <v>#N/A</v>
      </c>
      <c r="E185" s="135" t="e">
        <f>VLOOKUP(B185,HAB.GEN.!$C$19:$I$218,7,FALSE)</f>
        <v>#N/A</v>
      </c>
      <c r="F185" s="385" t="e">
        <f>VLOOKUP(B185,PON.EXP.ESP.!$C$30:$J$229,6,FALSE)</f>
        <v>#N/A</v>
      </c>
      <c r="G185" s="383" t="e">
        <f>VLOOKUP(B185,PON.EXP.ESP.!$C$30:$J$229,8,FALSE)</f>
        <v>#N/A</v>
      </c>
      <c r="H185" s="383">
        <f>VLOOKUP(B185,VIN.PERS.DISC.!$B$19:$D$218,3,FALSE)</f>
        <v>0</v>
      </c>
      <c r="I185" s="384">
        <f>VLOOKUP(B185,'APOYO A IND. NAL.'!$B$19:$D$218,3,FALSE)</f>
        <v>0</v>
      </c>
      <c r="J185" s="384" t="e">
        <f t="shared" si="4"/>
        <v>#N/A</v>
      </c>
      <c r="K185" s="301"/>
      <c r="L185" s="411">
        <f t="shared" si="5"/>
        <v>0</v>
      </c>
    </row>
    <row r="186" spans="2:12" s="292" customFormat="1" ht="13.5" hidden="1">
      <c r="B186" s="298">
        <f>PROPONENTES!C185</f>
        <v>0</v>
      </c>
      <c r="C186" s="299">
        <v>167</v>
      </c>
      <c r="D186" s="300" t="e">
        <f>VLOOKUP(B186,PROPONENTES!$C$19:$E$218,2,FALSE)</f>
        <v>#N/A</v>
      </c>
      <c r="E186" s="135" t="e">
        <f>VLOOKUP(B186,HAB.GEN.!$C$19:$I$218,7,FALSE)</f>
        <v>#N/A</v>
      </c>
      <c r="F186" s="385" t="e">
        <f>VLOOKUP(B186,PON.EXP.ESP.!$C$30:$J$229,6,FALSE)</f>
        <v>#N/A</v>
      </c>
      <c r="G186" s="383" t="e">
        <f>VLOOKUP(B186,PON.EXP.ESP.!$C$30:$J$229,8,FALSE)</f>
        <v>#N/A</v>
      </c>
      <c r="H186" s="383">
        <f>VLOOKUP(B186,VIN.PERS.DISC.!$B$19:$D$218,3,FALSE)</f>
        <v>0</v>
      </c>
      <c r="I186" s="384">
        <f>VLOOKUP(B186,'APOYO A IND. NAL.'!$B$19:$D$218,3,FALSE)</f>
        <v>0</v>
      </c>
      <c r="J186" s="384" t="e">
        <f t="shared" si="4"/>
        <v>#N/A</v>
      </c>
      <c r="K186" s="301"/>
      <c r="L186" s="411">
        <f t="shared" si="5"/>
        <v>0</v>
      </c>
    </row>
    <row r="187" spans="2:12" s="292" customFormat="1" ht="13.5" hidden="1">
      <c r="B187" s="298">
        <f>PROPONENTES!C186</f>
        <v>0</v>
      </c>
      <c r="C187" s="299">
        <v>168</v>
      </c>
      <c r="D187" s="300" t="e">
        <f>VLOOKUP(B187,PROPONENTES!$C$19:$E$218,2,FALSE)</f>
        <v>#N/A</v>
      </c>
      <c r="E187" s="135" t="e">
        <f>VLOOKUP(B187,HAB.GEN.!$C$19:$I$218,7,FALSE)</f>
        <v>#N/A</v>
      </c>
      <c r="F187" s="385" t="e">
        <f>VLOOKUP(B187,PON.EXP.ESP.!$C$30:$J$229,6,FALSE)</f>
        <v>#N/A</v>
      </c>
      <c r="G187" s="383" t="e">
        <f>VLOOKUP(B187,PON.EXP.ESP.!$C$30:$J$229,8,FALSE)</f>
        <v>#N/A</v>
      </c>
      <c r="H187" s="383">
        <f>VLOOKUP(B187,VIN.PERS.DISC.!$B$19:$D$218,3,FALSE)</f>
        <v>0</v>
      </c>
      <c r="I187" s="384">
        <f>VLOOKUP(B187,'APOYO A IND. NAL.'!$B$19:$D$218,3,FALSE)</f>
        <v>0</v>
      </c>
      <c r="J187" s="384" t="e">
        <f t="shared" si="4"/>
        <v>#N/A</v>
      </c>
      <c r="K187" s="301"/>
      <c r="L187" s="411">
        <f t="shared" si="5"/>
        <v>0</v>
      </c>
    </row>
    <row r="188" spans="2:12" s="292" customFormat="1" ht="13.5" hidden="1">
      <c r="B188" s="298">
        <f>PROPONENTES!C187</f>
        <v>0</v>
      </c>
      <c r="C188" s="299">
        <v>169</v>
      </c>
      <c r="D188" s="300" t="e">
        <f>VLOOKUP(B188,PROPONENTES!$C$19:$E$218,2,FALSE)</f>
        <v>#N/A</v>
      </c>
      <c r="E188" s="135" t="e">
        <f>VLOOKUP(B188,HAB.GEN.!$C$19:$I$218,7,FALSE)</f>
        <v>#N/A</v>
      </c>
      <c r="F188" s="385" t="e">
        <f>VLOOKUP(B188,PON.EXP.ESP.!$C$30:$J$229,6,FALSE)</f>
        <v>#N/A</v>
      </c>
      <c r="G188" s="383" t="e">
        <f>VLOOKUP(B188,PON.EXP.ESP.!$C$30:$J$229,8,FALSE)</f>
        <v>#N/A</v>
      </c>
      <c r="H188" s="383">
        <f>VLOOKUP(B188,VIN.PERS.DISC.!$B$19:$D$218,3,FALSE)</f>
        <v>0</v>
      </c>
      <c r="I188" s="384">
        <f>VLOOKUP(B188,'APOYO A IND. NAL.'!$B$19:$D$218,3,FALSE)</f>
        <v>0</v>
      </c>
      <c r="J188" s="384" t="e">
        <f t="shared" si="4"/>
        <v>#N/A</v>
      </c>
      <c r="K188" s="301"/>
      <c r="L188" s="411">
        <f t="shared" si="5"/>
        <v>0</v>
      </c>
    </row>
    <row r="189" spans="2:12" s="292" customFormat="1" ht="13.5" hidden="1">
      <c r="B189" s="298">
        <f>PROPONENTES!C188</f>
        <v>0</v>
      </c>
      <c r="C189" s="299">
        <v>170</v>
      </c>
      <c r="D189" s="300" t="e">
        <f>VLOOKUP(B189,PROPONENTES!$C$19:$E$218,2,FALSE)</f>
        <v>#N/A</v>
      </c>
      <c r="E189" s="135" t="e">
        <f>VLOOKUP(B189,HAB.GEN.!$C$19:$I$218,7,FALSE)</f>
        <v>#N/A</v>
      </c>
      <c r="F189" s="385" t="e">
        <f>VLOOKUP(B189,PON.EXP.ESP.!$C$30:$J$229,6,FALSE)</f>
        <v>#N/A</v>
      </c>
      <c r="G189" s="383" t="e">
        <f>VLOOKUP(B189,PON.EXP.ESP.!$C$30:$J$229,8,FALSE)</f>
        <v>#N/A</v>
      </c>
      <c r="H189" s="383">
        <f>VLOOKUP(B189,VIN.PERS.DISC.!$B$19:$D$218,3,FALSE)</f>
        <v>0</v>
      </c>
      <c r="I189" s="384">
        <f>VLOOKUP(B189,'APOYO A IND. NAL.'!$B$19:$D$218,3,FALSE)</f>
        <v>0</v>
      </c>
      <c r="J189" s="384" t="e">
        <f t="shared" si="4"/>
        <v>#N/A</v>
      </c>
      <c r="K189" s="301"/>
      <c r="L189" s="411">
        <f t="shared" si="5"/>
        <v>0</v>
      </c>
    </row>
    <row r="190" spans="2:12" s="292" customFormat="1" ht="13.5" hidden="1">
      <c r="B190" s="298">
        <f>PROPONENTES!C189</f>
        <v>0</v>
      </c>
      <c r="C190" s="299">
        <v>171</v>
      </c>
      <c r="D190" s="300" t="e">
        <f>VLOOKUP(B190,PROPONENTES!$C$19:$E$218,2,FALSE)</f>
        <v>#N/A</v>
      </c>
      <c r="E190" s="135" t="e">
        <f>VLOOKUP(B190,HAB.GEN.!$C$19:$I$218,7,FALSE)</f>
        <v>#N/A</v>
      </c>
      <c r="F190" s="385" t="e">
        <f>VLOOKUP(B190,PON.EXP.ESP.!$C$30:$J$229,6,FALSE)</f>
        <v>#N/A</v>
      </c>
      <c r="G190" s="383" t="e">
        <f>VLOOKUP(B190,PON.EXP.ESP.!$C$30:$J$229,8,FALSE)</f>
        <v>#N/A</v>
      </c>
      <c r="H190" s="383">
        <f>VLOOKUP(B190,VIN.PERS.DISC.!$B$19:$D$218,3,FALSE)</f>
        <v>0</v>
      </c>
      <c r="I190" s="384">
        <f>VLOOKUP(B190,'APOYO A IND. NAL.'!$B$19:$D$218,3,FALSE)</f>
        <v>0</v>
      </c>
      <c r="J190" s="384" t="e">
        <f t="shared" si="4"/>
        <v>#N/A</v>
      </c>
      <c r="K190" s="301"/>
      <c r="L190" s="411">
        <f t="shared" si="5"/>
        <v>0</v>
      </c>
    </row>
    <row r="191" spans="2:12" s="292" customFormat="1" ht="13.5" hidden="1">
      <c r="B191" s="298">
        <f>PROPONENTES!C190</f>
        <v>0</v>
      </c>
      <c r="C191" s="299">
        <v>172</v>
      </c>
      <c r="D191" s="300" t="e">
        <f>VLOOKUP(B191,PROPONENTES!$C$19:$E$218,2,FALSE)</f>
        <v>#N/A</v>
      </c>
      <c r="E191" s="135" t="e">
        <f>VLOOKUP(B191,HAB.GEN.!$C$19:$I$218,7,FALSE)</f>
        <v>#N/A</v>
      </c>
      <c r="F191" s="385" t="e">
        <f>VLOOKUP(B191,PON.EXP.ESP.!$C$30:$J$229,6,FALSE)</f>
        <v>#N/A</v>
      </c>
      <c r="G191" s="383" t="e">
        <f>VLOOKUP(B191,PON.EXP.ESP.!$C$30:$J$229,8,FALSE)</f>
        <v>#N/A</v>
      </c>
      <c r="H191" s="383">
        <f>VLOOKUP(B191,VIN.PERS.DISC.!$B$19:$D$218,3,FALSE)</f>
        <v>0</v>
      </c>
      <c r="I191" s="384">
        <f>VLOOKUP(B191,'APOYO A IND. NAL.'!$B$19:$D$218,3,FALSE)</f>
        <v>0</v>
      </c>
      <c r="J191" s="384" t="e">
        <f t="shared" si="4"/>
        <v>#N/A</v>
      </c>
      <c r="K191" s="301"/>
      <c r="L191" s="411">
        <f t="shared" si="5"/>
        <v>0</v>
      </c>
    </row>
    <row r="192" spans="2:12" s="292" customFormat="1" ht="13.5" hidden="1">
      <c r="B192" s="298">
        <f>PROPONENTES!C191</f>
        <v>0</v>
      </c>
      <c r="C192" s="299">
        <v>173</v>
      </c>
      <c r="D192" s="300" t="e">
        <f>VLOOKUP(B192,PROPONENTES!$C$19:$E$218,2,FALSE)</f>
        <v>#N/A</v>
      </c>
      <c r="E192" s="135" t="e">
        <f>VLOOKUP(B192,HAB.GEN.!$C$19:$I$218,7,FALSE)</f>
        <v>#N/A</v>
      </c>
      <c r="F192" s="385" t="e">
        <f>VLOOKUP(B192,PON.EXP.ESP.!$C$30:$J$229,6,FALSE)</f>
        <v>#N/A</v>
      </c>
      <c r="G192" s="383" t="e">
        <f>VLOOKUP(B192,PON.EXP.ESP.!$C$30:$J$229,8,FALSE)</f>
        <v>#N/A</v>
      </c>
      <c r="H192" s="383">
        <f>VLOOKUP(B192,VIN.PERS.DISC.!$B$19:$D$218,3,FALSE)</f>
        <v>0</v>
      </c>
      <c r="I192" s="384">
        <f>VLOOKUP(B192,'APOYO A IND. NAL.'!$B$19:$D$218,3,FALSE)</f>
        <v>0</v>
      </c>
      <c r="J192" s="384" t="e">
        <f t="shared" si="4"/>
        <v>#N/A</v>
      </c>
      <c r="K192" s="301"/>
      <c r="L192" s="411">
        <f t="shared" si="5"/>
        <v>0</v>
      </c>
    </row>
    <row r="193" spans="2:12" s="292" customFormat="1" ht="13.5" hidden="1">
      <c r="B193" s="298">
        <f>PROPONENTES!C192</f>
        <v>0</v>
      </c>
      <c r="C193" s="299">
        <v>174</v>
      </c>
      <c r="D193" s="300" t="e">
        <f>VLOOKUP(B193,PROPONENTES!$C$19:$E$218,2,FALSE)</f>
        <v>#N/A</v>
      </c>
      <c r="E193" s="135" t="e">
        <f>VLOOKUP(B193,HAB.GEN.!$C$19:$I$218,7,FALSE)</f>
        <v>#N/A</v>
      </c>
      <c r="F193" s="385" t="e">
        <f>VLOOKUP(B193,PON.EXP.ESP.!$C$30:$J$229,6,FALSE)</f>
        <v>#N/A</v>
      </c>
      <c r="G193" s="383" t="e">
        <f>VLOOKUP(B193,PON.EXP.ESP.!$C$30:$J$229,8,FALSE)</f>
        <v>#N/A</v>
      </c>
      <c r="H193" s="383">
        <f>VLOOKUP(B193,VIN.PERS.DISC.!$B$19:$D$218,3,FALSE)</f>
        <v>0</v>
      </c>
      <c r="I193" s="384">
        <f>VLOOKUP(B193,'APOYO A IND. NAL.'!$B$19:$D$218,3,FALSE)</f>
        <v>0</v>
      </c>
      <c r="J193" s="384" t="e">
        <f t="shared" si="4"/>
        <v>#N/A</v>
      </c>
      <c r="K193" s="301"/>
      <c r="L193" s="411">
        <f t="shared" si="5"/>
        <v>0</v>
      </c>
    </row>
    <row r="194" spans="2:12" s="292" customFormat="1" ht="13.5" hidden="1">
      <c r="B194" s="298">
        <f>PROPONENTES!C193</f>
        <v>0</v>
      </c>
      <c r="C194" s="299">
        <v>175</v>
      </c>
      <c r="D194" s="300" t="e">
        <f>VLOOKUP(B194,PROPONENTES!$C$19:$E$218,2,FALSE)</f>
        <v>#N/A</v>
      </c>
      <c r="E194" s="135" t="e">
        <f>VLOOKUP(B194,HAB.GEN.!$C$19:$I$218,7,FALSE)</f>
        <v>#N/A</v>
      </c>
      <c r="F194" s="385" t="e">
        <f>VLOOKUP(B194,PON.EXP.ESP.!$C$30:$J$229,6,FALSE)</f>
        <v>#N/A</v>
      </c>
      <c r="G194" s="383" t="e">
        <f>VLOOKUP(B194,PON.EXP.ESP.!$C$30:$J$229,8,FALSE)</f>
        <v>#N/A</v>
      </c>
      <c r="H194" s="383">
        <f>VLOOKUP(B194,VIN.PERS.DISC.!$B$19:$D$218,3,FALSE)</f>
        <v>0</v>
      </c>
      <c r="I194" s="384">
        <f>VLOOKUP(B194,'APOYO A IND. NAL.'!$B$19:$D$218,3,FALSE)</f>
        <v>0</v>
      </c>
      <c r="J194" s="384" t="e">
        <f t="shared" si="4"/>
        <v>#N/A</v>
      </c>
      <c r="K194" s="301"/>
      <c r="L194" s="411">
        <f t="shared" si="5"/>
        <v>0</v>
      </c>
    </row>
    <row r="195" spans="2:12" s="292" customFormat="1" ht="13.5" hidden="1">
      <c r="B195" s="298">
        <f>PROPONENTES!C194</f>
        <v>0</v>
      </c>
      <c r="C195" s="299">
        <v>176</v>
      </c>
      <c r="D195" s="300" t="e">
        <f>VLOOKUP(B195,PROPONENTES!$C$19:$E$218,2,FALSE)</f>
        <v>#N/A</v>
      </c>
      <c r="E195" s="135" t="e">
        <f>VLOOKUP(B195,HAB.GEN.!$C$19:$I$218,7,FALSE)</f>
        <v>#N/A</v>
      </c>
      <c r="F195" s="385" t="e">
        <f>VLOOKUP(B195,PON.EXP.ESP.!$C$30:$J$229,6,FALSE)</f>
        <v>#N/A</v>
      </c>
      <c r="G195" s="383" t="e">
        <f>VLOOKUP(B195,PON.EXP.ESP.!$C$30:$J$229,8,FALSE)</f>
        <v>#N/A</v>
      </c>
      <c r="H195" s="383">
        <f>VLOOKUP(B195,VIN.PERS.DISC.!$B$19:$D$218,3,FALSE)</f>
        <v>0</v>
      </c>
      <c r="I195" s="384">
        <f>VLOOKUP(B195,'APOYO A IND. NAL.'!$B$19:$D$218,3,FALSE)</f>
        <v>0</v>
      </c>
      <c r="J195" s="384" t="e">
        <f t="shared" si="4"/>
        <v>#N/A</v>
      </c>
      <c r="K195" s="301"/>
      <c r="L195" s="411">
        <f t="shared" si="5"/>
        <v>0</v>
      </c>
    </row>
    <row r="196" spans="2:12" s="292" customFormat="1" ht="13.5" hidden="1">
      <c r="B196" s="298">
        <f>PROPONENTES!C195</f>
        <v>0</v>
      </c>
      <c r="C196" s="299">
        <v>177</v>
      </c>
      <c r="D196" s="300" t="e">
        <f>VLOOKUP(B196,PROPONENTES!$C$19:$E$218,2,FALSE)</f>
        <v>#N/A</v>
      </c>
      <c r="E196" s="135" t="e">
        <f>VLOOKUP(B196,HAB.GEN.!$C$19:$I$218,7,FALSE)</f>
        <v>#N/A</v>
      </c>
      <c r="F196" s="385" t="e">
        <f>VLOOKUP(B196,PON.EXP.ESP.!$C$30:$J$229,6,FALSE)</f>
        <v>#N/A</v>
      </c>
      <c r="G196" s="383" t="e">
        <f>VLOOKUP(B196,PON.EXP.ESP.!$C$30:$J$229,8,FALSE)</f>
        <v>#N/A</v>
      </c>
      <c r="H196" s="383">
        <f>VLOOKUP(B196,VIN.PERS.DISC.!$B$19:$D$218,3,FALSE)</f>
        <v>0</v>
      </c>
      <c r="I196" s="384">
        <f>VLOOKUP(B196,'APOYO A IND. NAL.'!$B$19:$D$218,3,FALSE)</f>
        <v>0</v>
      </c>
      <c r="J196" s="384" t="e">
        <f t="shared" si="4"/>
        <v>#N/A</v>
      </c>
      <c r="K196" s="301"/>
      <c r="L196" s="411">
        <f t="shared" si="5"/>
        <v>0</v>
      </c>
    </row>
    <row r="197" spans="2:12" s="292" customFormat="1" ht="13.5" hidden="1">
      <c r="B197" s="298">
        <f>PROPONENTES!C196</f>
        <v>0</v>
      </c>
      <c r="C197" s="299">
        <v>178</v>
      </c>
      <c r="D197" s="300" t="e">
        <f>VLOOKUP(B197,PROPONENTES!$C$19:$E$218,2,FALSE)</f>
        <v>#N/A</v>
      </c>
      <c r="E197" s="135" t="e">
        <f>VLOOKUP(B197,HAB.GEN.!$C$19:$I$218,7,FALSE)</f>
        <v>#N/A</v>
      </c>
      <c r="F197" s="385" t="e">
        <f>VLOOKUP(B197,PON.EXP.ESP.!$C$30:$J$229,6,FALSE)</f>
        <v>#N/A</v>
      </c>
      <c r="G197" s="383" t="e">
        <f>VLOOKUP(B197,PON.EXP.ESP.!$C$30:$J$229,8,FALSE)</f>
        <v>#N/A</v>
      </c>
      <c r="H197" s="383">
        <f>VLOOKUP(B197,VIN.PERS.DISC.!$B$19:$D$218,3,FALSE)</f>
        <v>0</v>
      </c>
      <c r="I197" s="384">
        <f>VLOOKUP(B197,'APOYO A IND. NAL.'!$B$19:$D$218,3,FALSE)</f>
        <v>0</v>
      </c>
      <c r="J197" s="384" t="e">
        <f t="shared" si="4"/>
        <v>#N/A</v>
      </c>
      <c r="K197" s="301"/>
      <c r="L197" s="411">
        <f t="shared" si="5"/>
        <v>0</v>
      </c>
    </row>
    <row r="198" spans="2:12" s="292" customFormat="1" ht="13.5" hidden="1">
      <c r="B198" s="298">
        <f>PROPONENTES!C197</f>
        <v>0</v>
      </c>
      <c r="C198" s="299">
        <v>179</v>
      </c>
      <c r="D198" s="300" t="e">
        <f>VLOOKUP(B198,PROPONENTES!$C$19:$E$218,2,FALSE)</f>
        <v>#N/A</v>
      </c>
      <c r="E198" s="135" t="e">
        <f>VLOOKUP(B198,HAB.GEN.!$C$19:$I$218,7,FALSE)</f>
        <v>#N/A</v>
      </c>
      <c r="F198" s="385" t="e">
        <f>VLOOKUP(B198,PON.EXP.ESP.!$C$30:$J$229,6,FALSE)</f>
        <v>#N/A</v>
      </c>
      <c r="G198" s="383" t="e">
        <f>VLOOKUP(B198,PON.EXP.ESP.!$C$30:$J$229,8,FALSE)</f>
        <v>#N/A</v>
      </c>
      <c r="H198" s="383">
        <f>VLOOKUP(B198,VIN.PERS.DISC.!$B$19:$D$218,3,FALSE)</f>
        <v>0</v>
      </c>
      <c r="I198" s="384">
        <f>VLOOKUP(B198,'APOYO A IND. NAL.'!$B$19:$D$218,3,FALSE)</f>
        <v>0</v>
      </c>
      <c r="J198" s="384" t="e">
        <f t="shared" si="4"/>
        <v>#N/A</v>
      </c>
      <c r="K198" s="301"/>
      <c r="L198" s="411">
        <f t="shared" si="5"/>
        <v>0</v>
      </c>
    </row>
    <row r="199" spans="2:12" s="292" customFormat="1" ht="13.5" hidden="1">
      <c r="B199" s="298">
        <f>PROPONENTES!C198</f>
        <v>0</v>
      </c>
      <c r="C199" s="299">
        <v>180</v>
      </c>
      <c r="D199" s="300" t="e">
        <f>VLOOKUP(B199,PROPONENTES!$C$19:$E$218,2,FALSE)</f>
        <v>#N/A</v>
      </c>
      <c r="E199" s="135" t="e">
        <f>VLOOKUP(B199,HAB.GEN.!$C$19:$I$218,7,FALSE)</f>
        <v>#N/A</v>
      </c>
      <c r="F199" s="385" t="e">
        <f>VLOOKUP(B199,PON.EXP.ESP.!$C$30:$J$229,6,FALSE)</f>
        <v>#N/A</v>
      </c>
      <c r="G199" s="383" t="e">
        <f>VLOOKUP(B199,PON.EXP.ESP.!$C$30:$J$229,8,FALSE)</f>
        <v>#N/A</v>
      </c>
      <c r="H199" s="383">
        <f>VLOOKUP(B199,VIN.PERS.DISC.!$B$19:$D$218,3,FALSE)</f>
        <v>0</v>
      </c>
      <c r="I199" s="384">
        <f>VLOOKUP(B199,'APOYO A IND. NAL.'!$B$19:$D$218,3,FALSE)</f>
        <v>0</v>
      </c>
      <c r="J199" s="384" t="e">
        <f t="shared" si="4"/>
        <v>#N/A</v>
      </c>
      <c r="K199" s="301"/>
      <c r="L199" s="411">
        <f t="shared" si="5"/>
        <v>0</v>
      </c>
    </row>
    <row r="200" spans="2:12" s="292" customFormat="1" ht="13.5" hidden="1">
      <c r="B200" s="298">
        <f>PROPONENTES!C199</f>
        <v>0</v>
      </c>
      <c r="C200" s="299">
        <v>181</v>
      </c>
      <c r="D200" s="300" t="e">
        <f>VLOOKUP(B200,PROPONENTES!$C$19:$E$218,2,FALSE)</f>
        <v>#N/A</v>
      </c>
      <c r="E200" s="135" t="e">
        <f>VLOOKUP(B200,HAB.GEN.!$C$19:$I$218,7,FALSE)</f>
        <v>#N/A</v>
      </c>
      <c r="F200" s="385" t="e">
        <f>VLOOKUP(B200,PON.EXP.ESP.!$C$30:$J$229,6,FALSE)</f>
        <v>#N/A</v>
      </c>
      <c r="G200" s="383" t="e">
        <f>VLOOKUP(B200,PON.EXP.ESP.!$C$30:$J$229,8,FALSE)</f>
        <v>#N/A</v>
      </c>
      <c r="H200" s="383">
        <f>VLOOKUP(B200,VIN.PERS.DISC.!$B$19:$D$218,3,FALSE)</f>
        <v>0</v>
      </c>
      <c r="I200" s="384">
        <f>VLOOKUP(B200,'APOYO A IND. NAL.'!$B$19:$D$218,3,FALSE)</f>
        <v>0</v>
      </c>
      <c r="J200" s="384" t="e">
        <f t="shared" si="4"/>
        <v>#N/A</v>
      </c>
      <c r="K200" s="301"/>
      <c r="L200" s="411">
        <f t="shared" si="5"/>
        <v>0</v>
      </c>
    </row>
    <row r="201" spans="2:12" s="292" customFormat="1" ht="13.5" hidden="1">
      <c r="B201" s="298">
        <f>PROPONENTES!C200</f>
        <v>0</v>
      </c>
      <c r="C201" s="299">
        <v>182</v>
      </c>
      <c r="D201" s="300" t="e">
        <f>VLOOKUP(B201,PROPONENTES!$C$19:$E$218,2,FALSE)</f>
        <v>#N/A</v>
      </c>
      <c r="E201" s="135" t="e">
        <f>VLOOKUP(B201,HAB.GEN.!$C$19:$I$218,7,FALSE)</f>
        <v>#N/A</v>
      </c>
      <c r="F201" s="385" t="e">
        <f>VLOOKUP(B201,PON.EXP.ESP.!$C$30:$J$229,6,FALSE)</f>
        <v>#N/A</v>
      </c>
      <c r="G201" s="383" t="e">
        <f>VLOOKUP(B201,PON.EXP.ESP.!$C$30:$J$229,8,FALSE)</f>
        <v>#N/A</v>
      </c>
      <c r="H201" s="383">
        <f>VLOOKUP(B201,VIN.PERS.DISC.!$B$19:$D$218,3,FALSE)</f>
        <v>0</v>
      </c>
      <c r="I201" s="384">
        <f>VLOOKUP(B201,'APOYO A IND. NAL.'!$B$19:$D$218,3,FALSE)</f>
        <v>0</v>
      </c>
      <c r="J201" s="384" t="e">
        <f t="shared" si="4"/>
        <v>#N/A</v>
      </c>
      <c r="K201" s="301"/>
      <c r="L201" s="411">
        <f t="shared" si="5"/>
        <v>0</v>
      </c>
    </row>
    <row r="202" spans="2:12" s="292" customFormat="1" ht="13.5" hidden="1">
      <c r="B202" s="298">
        <f>PROPONENTES!C201</f>
        <v>0</v>
      </c>
      <c r="C202" s="299">
        <v>183</v>
      </c>
      <c r="D202" s="300" t="e">
        <f>VLOOKUP(B202,PROPONENTES!$C$19:$E$218,2,FALSE)</f>
        <v>#N/A</v>
      </c>
      <c r="E202" s="135" t="e">
        <f>VLOOKUP(B202,HAB.GEN.!$C$19:$I$218,7,FALSE)</f>
        <v>#N/A</v>
      </c>
      <c r="F202" s="385" t="e">
        <f>VLOOKUP(B202,PON.EXP.ESP.!$C$30:$J$229,6,FALSE)</f>
        <v>#N/A</v>
      </c>
      <c r="G202" s="383" t="e">
        <f>VLOOKUP(B202,PON.EXP.ESP.!$C$30:$J$229,8,FALSE)</f>
        <v>#N/A</v>
      </c>
      <c r="H202" s="383">
        <f>VLOOKUP(B202,VIN.PERS.DISC.!$B$19:$D$218,3,FALSE)</f>
        <v>0</v>
      </c>
      <c r="I202" s="384">
        <f>VLOOKUP(B202,'APOYO A IND. NAL.'!$B$19:$D$218,3,FALSE)</f>
        <v>0</v>
      </c>
      <c r="J202" s="384" t="e">
        <f t="shared" si="4"/>
        <v>#N/A</v>
      </c>
      <c r="K202" s="301"/>
      <c r="L202" s="411">
        <f t="shared" si="5"/>
        <v>0</v>
      </c>
    </row>
    <row r="203" spans="2:12" s="292" customFormat="1" ht="13.5" hidden="1">
      <c r="B203" s="298">
        <f>PROPONENTES!C202</f>
        <v>0</v>
      </c>
      <c r="C203" s="299">
        <v>184</v>
      </c>
      <c r="D203" s="300" t="e">
        <f>VLOOKUP(B203,PROPONENTES!$C$19:$E$218,2,FALSE)</f>
        <v>#N/A</v>
      </c>
      <c r="E203" s="135" t="e">
        <f>VLOOKUP(B203,HAB.GEN.!$C$19:$I$218,7,FALSE)</f>
        <v>#N/A</v>
      </c>
      <c r="F203" s="385" t="e">
        <f>VLOOKUP(B203,PON.EXP.ESP.!$C$30:$J$229,6,FALSE)</f>
        <v>#N/A</v>
      </c>
      <c r="G203" s="383" t="e">
        <f>VLOOKUP(B203,PON.EXP.ESP.!$C$30:$J$229,8,FALSE)</f>
        <v>#N/A</v>
      </c>
      <c r="H203" s="383">
        <f>VLOOKUP(B203,VIN.PERS.DISC.!$B$19:$D$218,3,FALSE)</f>
        <v>0</v>
      </c>
      <c r="I203" s="384">
        <f>VLOOKUP(B203,'APOYO A IND. NAL.'!$B$19:$D$218,3,FALSE)</f>
        <v>0</v>
      </c>
      <c r="J203" s="384" t="e">
        <f t="shared" si="4"/>
        <v>#N/A</v>
      </c>
      <c r="K203" s="301"/>
      <c r="L203" s="411">
        <f t="shared" si="5"/>
        <v>0</v>
      </c>
    </row>
    <row r="204" spans="2:12" s="292" customFormat="1" ht="13.5" hidden="1">
      <c r="B204" s="298">
        <f>PROPONENTES!C203</f>
        <v>0</v>
      </c>
      <c r="C204" s="299">
        <v>185</v>
      </c>
      <c r="D204" s="300" t="e">
        <f>VLOOKUP(B204,PROPONENTES!$C$19:$E$218,2,FALSE)</f>
        <v>#N/A</v>
      </c>
      <c r="E204" s="135" t="e">
        <f>VLOOKUP(B204,HAB.GEN.!$C$19:$I$218,7,FALSE)</f>
        <v>#N/A</v>
      </c>
      <c r="F204" s="385" t="e">
        <f>VLOOKUP(B204,PON.EXP.ESP.!$C$30:$J$229,6,FALSE)</f>
        <v>#N/A</v>
      </c>
      <c r="G204" s="383" t="e">
        <f>VLOOKUP(B204,PON.EXP.ESP.!$C$30:$J$229,8,FALSE)</f>
        <v>#N/A</v>
      </c>
      <c r="H204" s="383">
        <f>VLOOKUP(B204,VIN.PERS.DISC.!$B$19:$D$218,3,FALSE)</f>
        <v>0</v>
      </c>
      <c r="I204" s="384">
        <f>VLOOKUP(B204,'APOYO A IND. NAL.'!$B$19:$D$218,3,FALSE)</f>
        <v>0</v>
      </c>
      <c r="J204" s="384" t="e">
        <f t="shared" si="4"/>
        <v>#N/A</v>
      </c>
      <c r="K204" s="301"/>
      <c r="L204" s="411">
        <f t="shared" si="5"/>
        <v>0</v>
      </c>
    </row>
    <row r="205" spans="2:12" s="292" customFormat="1" ht="13.5" hidden="1">
      <c r="B205" s="298">
        <f>PROPONENTES!C204</f>
        <v>0</v>
      </c>
      <c r="C205" s="299">
        <v>186</v>
      </c>
      <c r="D205" s="300" t="e">
        <f>VLOOKUP(B205,PROPONENTES!$C$19:$E$218,2,FALSE)</f>
        <v>#N/A</v>
      </c>
      <c r="E205" s="135" t="e">
        <f>VLOOKUP(B205,HAB.GEN.!$C$19:$I$218,7,FALSE)</f>
        <v>#N/A</v>
      </c>
      <c r="F205" s="385" t="e">
        <f>VLOOKUP(B205,PON.EXP.ESP.!$C$30:$J$229,6,FALSE)</f>
        <v>#N/A</v>
      </c>
      <c r="G205" s="383" t="e">
        <f>VLOOKUP(B205,PON.EXP.ESP.!$C$30:$J$229,8,FALSE)</f>
        <v>#N/A</v>
      </c>
      <c r="H205" s="383">
        <f>VLOOKUP(B205,VIN.PERS.DISC.!$B$19:$D$218,3,FALSE)</f>
        <v>0</v>
      </c>
      <c r="I205" s="384">
        <f>VLOOKUP(B205,'APOYO A IND. NAL.'!$B$19:$D$218,3,FALSE)</f>
        <v>0</v>
      </c>
      <c r="J205" s="384" t="e">
        <f t="shared" si="4"/>
        <v>#N/A</v>
      </c>
      <c r="K205" s="301"/>
      <c r="L205" s="411">
        <f t="shared" si="5"/>
        <v>0</v>
      </c>
    </row>
    <row r="206" spans="2:12" s="292" customFormat="1" ht="13.5" hidden="1">
      <c r="B206" s="298">
        <f>PROPONENTES!C205</f>
        <v>0</v>
      </c>
      <c r="C206" s="299">
        <v>187</v>
      </c>
      <c r="D206" s="300" t="e">
        <f>VLOOKUP(B206,PROPONENTES!$C$19:$E$218,2,FALSE)</f>
        <v>#N/A</v>
      </c>
      <c r="E206" s="135" t="e">
        <f>VLOOKUP(B206,HAB.GEN.!$C$19:$I$218,7,FALSE)</f>
        <v>#N/A</v>
      </c>
      <c r="F206" s="385" t="e">
        <f>VLOOKUP(B206,PON.EXP.ESP.!$C$30:$J$229,6,FALSE)</f>
        <v>#N/A</v>
      </c>
      <c r="G206" s="383" t="e">
        <f>VLOOKUP(B206,PON.EXP.ESP.!$C$30:$J$229,8,FALSE)</f>
        <v>#N/A</v>
      </c>
      <c r="H206" s="383">
        <f>VLOOKUP(B206,VIN.PERS.DISC.!$B$19:$D$218,3,FALSE)</f>
        <v>0</v>
      </c>
      <c r="I206" s="384">
        <f>VLOOKUP(B206,'APOYO A IND. NAL.'!$B$19:$D$218,3,FALSE)</f>
        <v>0</v>
      </c>
      <c r="J206" s="384" t="e">
        <f t="shared" si="4"/>
        <v>#N/A</v>
      </c>
      <c r="K206" s="301"/>
      <c r="L206" s="411">
        <f t="shared" si="5"/>
        <v>0</v>
      </c>
    </row>
    <row r="207" spans="2:12" s="292" customFormat="1" ht="13.5" hidden="1">
      <c r="B207" s="298">
        <f>PROPONENTES!C206</f>
        <v>0</v>
      </c>
      <c r="C207" s="299">
        <v>188</v>
      </c>
      <c r="D207" s="300" t="e">
        <f>VLOOKUP(B207,PROPONENTES!$C$19:$E$218,2,FALSE)</f>
        <v>#N/A</v>
      </c>
      <c r="E207" s="135" t="e">
        <f>VLOOKUP(B207,HAB.GEN.!$C$19:$I$218,7,FALSE)</f>
        <v>#N/A</v>
      </c>
      <c r="F207" s="385" t="e">
        <f>VLOOKUP(B207,PON.EXP.ESP.!$C$30:$J$229,6,FALSE)</f>
        <v>#N/A</v>
      </c>
      <c r="G207" s="383" t="e">
        <f>VLOOKUP(B207,PON.EXP.ESP.!$C$30:$J$229,8,FALSE)</f>
        <v>#N/A</v>
      </c>
      <c r="H207" s="383">
        <f>VLOOKUP(B207,VIN.PERS.DISC.!$B$19:$D$218,3,FALSE)</f>
        <v>0</v>
      </c>
      <c r="I207" s="384">
        <f>VLOOKUP(B207,'APOYO A IND. NAL.'!$B$19:$D$218,3,FALSE)</f>
        <v>0</v>
      </c>
      <c r="J207" s="384" t="e">
        <f t="shared" si="4"/>
        <v>#N/A</v>
      </c>
      <c r="K207" s="301"/>
      <c r="L207" s="411">
        <f t="shared" si="5"/>
        <v>0</v>
      </c>
    </row>
    <row r="208" spans="2:12" s="292" customFormat="1" ht="13.5" hidden="1">
      <c r="B208" s="298">
        <f>PROPONENTES!C207</f>
        <v>0</v>
      </c>
      <c r="C208" s="299">
        <v>189</v>
      </c>
      <c r="D208" s="300" t="e">
        <f>VLOOKUP(B208,PROPONENTES!$C$19:$E$218,2,FALSE)</f>
        <v>#N/A</v>
      </c>
      <c r="E208" s="135" t="e">
        <f>VLOOKUP(B208,HAB.GEN.!$C$19:$I$218,7,FALSE)</f>
        <v>#N/A</v>
      </c>
      <c r="F208" s="385" t="e">
        <f>VLOOKUP(B208,PON.EXP.ESP.!$C$30:$J$229,6,FALSE)</f>
        <v>#N/A</v>
      </c>
      <c r="G208" s="383" t="e">
        <f>VLOOKUP(B208,PON.EXP.ESP.!$C$30:$J$229,8,FALSE)</f>
        <v>#N/A</v>
      </c>
      <c r="H208" s="383">
        <f>VLOOKUP(B208,VIN.PERS.DISC.!$B$19:$D$218,3,FALSE)</f>
        <v>0</v>
      </c>
      <c r="I208" s="384">
        <f>VLOOKUP(B208,'APOYO A IND. NAL.'!$B$19:$D$218,3,FALSE)</f>
        <v>0</v>
      </c>
      <c r="J208" s="384" t="e">
        <f t="shared" si="4"/>
        <v>#N/A</v>
      </c>
      <c r="K208" s="301"/>
      <c r="L208" s="411">
        <f t="shared" si="5"/>
        <v>0</v>
      </c>
    </row>
    <row r="209" spans="2:12" s="292" customFormat="1" ht="13.5" hidden="1">
      <c r="B209" s="298">
        <f>PROPONENTES!C208</f>
        <v>0</v>
      </c>
      <c r="C209" s="299">
        <v>190</v>
      </c>
      <c r="D209" s="300" t="e">
        <f>VLOOKUP(B209,PROPONENTES!$C$19:$E$218,2,FALSE)</f>
        <v>#N/A</v>
      </c>
      <c r="E209" s="135" t="e">
        <f>VLOOKUP(B209,HAB.GEN.!$C$19:$I$218,7,FALSE)</f>
        <v>#N/A</v>
      </c>
      <c r="F209" s="385" t="e">
        <f>VLOOKUP(B209,PON.EXP.ESP.!$C$30:$J$229,6,FALSE)</f>
        <v>#N/A</v>
      </c>
      <c r="G209" s="383" t="e">
        <f>VLOOKUP(B209,PON.EXP.ESP.!$C$30:$J$229,8,FALSE)</f>
        <v>#N/A</v>
      </c>
      <c r="H209" s="383">
        <f>VLOOKUP(B209,VIN.PERS.DISC.!$B$19:$D$218,3,FALSE)</f>
        <v>0</v>
      </c>
      <c r="I209" s="384">
        <f>VLOOKUP(B209,'APOYO A IND. NAL.'!$B$19:$D$218,3,FALSE)</f>
        <v>0</v>
      </c>
      <c r="J209" s="384" t="e">
        <f t="shared" si="4"/>
        <v>#N/A</v>
      </c>
      <c r="K209" s="301"/>
      <c r="L209" s="411">
        <f t="shared" si="5"/>
        <v>0</v>
      </c>
    </row>
    <row r="210" spans="2:12" s="292" customFormat="1" ht="13.5" hidden="1">
      <c r="B210" s="298">
        <f>PROPONENTES!C209</f>
        <v>0</v>
      </c>
      <c r="C210" s="299">
        <v>191</v>
      </c>
      <c r="D210" s="300" t="e">
        <f>VLOOKUP(B210,PROPONENTES!$C$19:$E$218,2,FALSE)</f>
        <v>#N/A</v>
      </c>
      <c r="E210" s="135" t="e">
        <f>VLOOKUP(B210,HAB.GEN.!$C$19:$I$218,7,FALSE)</f>
        <v>#N/A</v>
      </c>
      <c r="F210" s="385" t="e">
        <f>VLOOKUP(B210,PON.EXP.ESP.!$C$30:$J$229,6,FALSE)</f>
        <v>#N/A</v>
      </c>
      <c r="G210" s="383" t="e">
        <f>VLOOKUP(B210,PON.EXP.ESP.!$C$30:$J$229,8,FALSE)</f>
        <v>#N/A</v>
      </c>
      <c r="H210" s="383">
        <f>VLOOKUP(B210,VIN.PERS.DISC.!$B$19:$D$218,3,FALSE)</f>
        <v>0</v>
      </c>
      <c r="I210" s="384">
        <f>VLOOKUP(B210,'APOYO A IND. NAL.'!$B$19:$D$218,3,FALSE)</f>
        <v>0</v>
      </c>
      <c r="J210" s="384" t="e">
        <f t="shared" si="4"/>
        <v>#N/A</v>
      </c>
      <c r="K210" s="301"/>
      <c r="L210" s="411">
        <f t="shared" si="5"/>
        <v>0</v>
      </c>
    </row>
    <row r="211" spans="2:12" s="292" customFormat="1" ht="13.5" hidden="1">
      <c r="B211" s="298">
        <f>PROPONENTES!C210</f>
        <v>0</v>
      </c>
      <c r="C211" s="299">
        <v>192</v>
      </c>
      <c r="D211" s="300" t="e">
        <f>VLOOKUP(B211,PROPONENTES!$C$19:$E$218,2,FALSE)</f>
        <v>#N/A</v>
      </c>
      <c r="E211" s="135" t="e">
        <f>VLOOKUP(B211,HAB.GEN.!$C$19:$I$218,7,FALSE)</f>
        <v>#N/A</v>
      </c>
      <c r="F211" s="385" t="e">
        <f>VLOOKUP(B211,PON.EXP.ESP.!$C$30:$J$229,6,FALSE)</f>
        <v>#N/A</v>
      </c>
      <c r="G211" s="383" t="e">
        <f>VLOOKUP(B211,PON.EXP.ESP.!$C$30:$J$229,8,FALSE)</f>
        <v>#N/A</v>
      </c>
      <c r="H211" s="383">
        <f>VLOOKUP(B211,VIN.PERS.DISC.!$B$19:$D$218,3,FALSE)</f>
        <v>0</v>
      </c>
      <c r="I211" s="384">
        <f>VLOOKUP(B211,'APOYO A IND. NAL.'!$B$19:$D$218,3,FALSE)</f>
        <v>0</v>
      </c>
      <c r="J211" s="384" t="e">
        <f t="shared" si="4"/>
        <v>#N/A</v>
      </c>
      <c r="K211" s="301"/>
      <c r="L211" s="411">
        <f t="shared" si="5"/>
        <v>0</v>
      </c>
    </row>
    <row r="212" spans="2:12" s="292" customFormat="1" ht="13.5" hidden="1">
      <c r="B212" s="298">
        <f>PROPONENTES!C211</f>
        <v>0</v>
      </c>
      <c r="C212" s="299">
        <v>193</v>
      </c>
      <c r="D212" s="300" t="e">
        <f>VLOOKUP(B212,PROPONENTES!$C$19:$E$218,2,FALSE)</f>
        <v>#N/A</v>
      </c>
      <c r="E212" s="135" t="e">
        <f>VLOOKUP(B212,HAB.GEN.!$C$19:$I$218,7,FALSE)</f>
        <v>#N/A</v>
      </c>
      <c r="F212" s="385" t="e">
        <f>VLOOKUP(B212,PON.EXP.ESP.!$C$30:$J$229,6,FALSE)</f>
        <v>#N/A</v>
      </c>
      <c r="G212" s="383" t="e">
        <f>VLOOKUP(B212,PON.EXP.ESP.!$C$30:$J$229,8,FALSE)</f>
        <v>#N/A</v>
      </c>
      <c r="H212" s="383">
        <f>VLOOKUP(B212,VIN.PERS.DISC.!$B$19:$D$218,3,FALSE)</f>
        <v>0</v>
      </c>
      <c r="I212" s="384">
        <f>VLOOKUP(B212,'APOYO A IND. NAL.'!$B$19:$D$218,3,FALSE)</f>
        <v>0</v>
      </c>
      <c r="J212" s="384" t="e">
        <f t="shared" si="4"/>
        <v>#N/A</v>
      </c>
      <c r="K212" s="301"/>
      <c r="L212" s="411">
        <f t="shared" si="5"/>
        <v>0</v>
      </c>
    </row>
    <row r="213" spans="2:12" s="292" customFormat="1" ht="13.5" hidden="1">
      <c r="B213" s="298">
        <f>PROPONENTES!C212</f>
        <v>0</v>
      </c>
      <c r="C213" s="299">
        <v>194</v>
      </c>
      <c r="D213" s="300" t="e">
        <f>VLOOKUP(B213,PROPONENTES!$C$19:$E$218,2,FALSE)</f>
        <v>#N/A</v>
      </c>
      <c r="E213" s="135" t="e">
        <f>VLOOKUP(B213,HAB.GEN.!$C$19:$I$218,7,FALSE)</f>
        <v>#N/A</v>
      </c>
      <c r="F213" s="385" t="e">
        <f>VLOOKUP(B213,PON.EXP.ESP.!$C$30:$J$229,6,FALSE)</f>
        <v>#N/A</v>
      </c>
      <c r="G213" s="383" t="e">
        <f>VLOOKUP(B213,PON.EXP.ESP.!$C$30:$J$229,8,FALSE)</f>
        <v>#N/A</v>
      </c>
      <c r="H213" s="383">
        <f>VLOOKUP(B213,VIN.PERS.DISC.!$B$19:$D$218,3,FALSE)</f>
        <v>0</v>
      </c>
      <c r="I213" s="384">
        <f>VLOOKUP(B213,'APOYO A IND. NAL.'!$B$19:$D$218,3,FALSE)</f>
        <v>0</v>
      </c>
      <c r="J213" s="384" t="e">
        <f t="shared" ref="J213:J219" si="6">IF(E213&lt;&gt;"HÁBIL",0,SUM(F213:I213))</f>
        <v>#N/A</v>
      </c>
      <c r="K213" s="301"/>
      <c r="L213" s="411">
        <f t="shared" ref="L213:L219" si="7">B213</f>
        <v>0</v>
      </c>
    </row>
    <row r="214" spans="2:12" s="292" customFormat="1" ht="13.5" hidden="1">
      <c r="B214" s="298">
        <f>PROPONENTES!C213</f>
        <v>0</v>
      </c>
      <c r="C214" s="299">
        <v>195</v>
      </c>
      <c r="D214" s="300" t="e">
        <f>VLOOKUP(B214,PROPONENTES!$C$19:$E$218,2,FALSE)</f>
        <v>#N/A</v>
      </c>
      <c r="E214" s="135" t="e">
        <f>VLOOKUP(B214,HAB.GEN.!$C$19:$I$218,7,FALSE)</f>
        <v>#N/A</v>
      </c>
      <c r="F214" s="385" t="e">
        <f>VLOOKUP(B214,PON.EXP.ESP.!$C$30:$J$229,6,FALSE)</f>
        <v>#N/A</v>
      </c>
      <c r="G214" s="383" t="e">
        <f>VLOOKUP(B214,PON.EXP.ESP.!$C$30:$J$229,8,FALSE)</f>
        <v>#N/A</v>
      </c>
      <c r="H214" s="383">
        <f>VLOOKUP(B214,VIN.PERS.DISC.!$B$19:$D$218,3,FALSE)</f>
        <v>0</v>
      </c>
      <c r="I214" s="384">
        <f>VLOOKUP(B214,'APOYO A IND. NAL.'!$B$19:$D$218,3,FALSE)</f>
        <v>0</v>
      </c>
      <c r="J214" s="384" t="e">
        <f t="shared" si="6"/>
        <v>#N/A</v>
      </c>
      <c r="K214" s="301"/>
      <c r="L214" s="411">
        <f t="shared" si="7"/>
        <v>0</v>
      </c>
    </row>
    <row r="215" spans="2:12" s="292" customFormat="1" ht="13.5" hidden="1">
      <c r="B215" s="298">
        <f>PROPONENTES!C214</f>
        <v>0</v>
      </c>
      <c r="C215" s="299">
        <v>196</v>
      </c>
      <c r="D215" s="300" t="e">
        <f>VLOOKUP(B215,PROPONENTES!$C$19:$E$218,2,FALSE)</f>
        <v>#N/A</v>
      </c>
      <c r="E215" s="135" t="e">
        <f>VLOOKUP(B215,HAB.GEN.!$C$19:$I$218,7,FALSE)</f>
        <v>#N/A</v>
      </c>
      <c r="F215" s="385" t="e">
        <f>VLOOKUP(B215,PON.EXP.ESP.!$C$30:$J$229,6,FALSE)</f>
        <v>#N/A</v>
      </c>
      <c r="G215" s="383" t="e">
        <f>VLOOKUP(B215,PON.EXP.ESP.!$C$30:$J$229,8,FALSE)</f>
        <v>#N/A</v>
      </c>
      <c r="H215" s="383">
        <f>VLOOKUP(B215,VIN.PERS.DISC.!$B$19:$D$218,3,FALSE)</f>
        <v>0</v>
      </c>
      <c r="I215" s="384">
        <f>VLOOKUP(B215,'APOYO A IND. NAL.'!$B$19:$D$218,3,FALSE)</f>
        <v>0</v>
      </c>
      <c r="J215" s="384" t="e">
        <f t="shared" si="6"/>
        <v>#N/A</v>
      </c>
      <c r="K215" s="301"/>
      <c r="L215" s="411">
        <f t="shared" si="7"/>
        <v>0</v>
      </c>
    </row>
    <row r="216" spans="2:12" s="292" customFormat="1" ht="13.5" hidden="1">
      <c r="B216" s="298">
        <f>PROPONENTES!C215</f>
        <v>0</v>
      </c>
      <c r="C216" s="299">
        <v>197</v>
      </c>
      <c r="D216" s="300" t="e">
        <f>VLOOKUP(B216,PROPONENTES!$C$19:$E$218,2,FALSE)</f>
        <v>#N/A</v>
      </c>
      <c r="E216" s="135" t="e">
        <f>VLOOKUP(B216,HAB.GEN.!$C$19:$I$218,7,FALSE)</f>
        <v>#N/A</v>
      </c>
      <c r="F216" s="385" t="e">
        <f>VLOOKUP(B216,PON.EXP.ESP.!$C$30:$J$229,6,FALSE)</f>
        <v>#N/A</v>
      </c>
      <c r="G216" s="383" t="e">
        <f>VLOOKUP(B216,PON.EXP.ESP.!$C$30:$J$229,8,FALSE)</f>
        <v>#N/A</v>
      </c>
      <c r="H216" s="383">
        <f>VLOOKUP(B216,VIN.PERS.DISC.!$B$19:$D$218,3,FALSE)</f>
        <v>0</v>
      </c>
      <c r="I216" s="384">
        <f>VLOOKUP(B216,'APOYO A IND. NAL.'!$B$19:$D$218,3,FALSE)</f>
        <v>0</v>
      </c>
      <c r="J216" s="384" t="e">
        <f t="shared" si="6"/>
        <v>#N/A</v>
      </c>
      <c r="K216" s="301"/>
      <c r="L216" s="411">
        <f t="shared" si="7"/>
        <v>0</v>
      </c>
    </row>
    <row r="217" spans="2:12" s="292" customFormat="1" ht="13.5" hidden="1">
      <c r="B217" s="298">
        <f>PROPONENTES!C216</f>
        <v>0</v>
      </c>
      <c r="C217" s="299">
        <v>198</v>
      </c>
      <c r="D217" s="300" t="e">
        <f>VLOOKUP(B217,PROPONENTES!$C$19:$E$218,2,FALSE)</f>
        <v>#N/A</v>
      </c>
      <c r="E217" s="135" t="e">
        <f>VLOOKUP(B217,HAB.GEN.!$C$19:$I$218,7,FALSE)</f>
        <v>#N/A</v>
      </c>
      <c r="F217" s="385" t="e">
        <f>VLOOKUP(B217,PON.EXP.ESP.!$C$30:$J$229,6,FALSE)</f>
        <v>#N/A</v>
      </c>
      <c r="G217" s="383" t="e">
        <f>VLOOKUP(B217,PON.EXP.ESP.!$C$30:$J$229,8,FALSE)</f>
        <v>#N/A</v>
      </c>
      <c r="H217" s="383">
        <f>VLOOKUP(B217,VIN.PERS.DISC.!$B$19:$D$218,3,FALSE)</f>
        <v>0</v>
      </c>
      <c r="I217" s="384">
        <f>VLOOKUP(B217,'APOYO A IND. NAL.'!$B$19:$D$218,3,FALSE)</f>
        <v>0</v>
      </c>
      <c r="J217" s="384" t="e">
        <f t="shared" si="6"/>
        <v>#N/A</v>
      </c>
      <c r="K217" s="301"/>
      <c r="L217" s="411">
        <f t="shared" si="7"/>
        <v>0</v>
      </c>
    </row>
    <row r="218" spans="2:12" s="292" customFormat="1" ht="13.5" hidden="1">
      <c r="B218" s="298">
        <f>PROPONENTES!C217</f>
        <v>0</v>
      </c>
      <c r="C218" s="299">
        <v>199</v>
      </c>
      <c r="D218" s="300" t="e">
        <f>VLOOKUP(B218,PROPONENTES!$C$19:$E$218,2,FALSE)</f>
        <v>#N/A</v>
      </c>
      <c r="E218" s="135" t="e">
        <f>VLOOKUP(B218,HAB.GEN.!$C$19:$I$218,7,FALSE)</f>
        <v>#N/A</v>
      </c>
      <c r="F218" s="385" t="e">
        <f>VLOOKUP(B218,PON.EXP.ESP.!$C$30:$J$229,6,FALSE)</f>
        <v>#N/A</v>
      </c>
      <c r="G218" s="383" t="e">
        <f>VLOOKUP(B218,PON.EXP.ESP.!$C$30:$J$229,8,FALSE)</f>
        <v>#N/A</v>
      </c>
      <c r="H218" s="383">
        <f>VLOOKUP(B218,VIN.PERS.DISC.!$B$19:$D$218,3,FALSE)</f>
        <v>0</v>
      </c>
      <c r="I218" s="384">
        <f>VLOOKUP(B218,'APOYO A IND. NAL.'!$B$19:$D$218,3,FALSE)</f>
        <v>0</v>
      </c>
      <c r="J218" s="384" t="e">
        <f t="shared" si="6"/>
        <v>#N/A</v>
      </c>
      <c r="K218" s="301"/>
      <c r="L218" s="411">
        <f t="shared" si="7"/>
        <v>0</v>
      </c>
    </row>
    <row r="219" spans="2:12" s="292" customFormat="1" ht="13.5" hidden="1">
      <c r="B219" s="298">
        <f>PROPONENTES!C218</f>
        <v>0</v>
      </c>
      <c r="C219" s="299">
        <v>200</v>
      </c>
      <c r="D219" s="300" t="e">
        <f>VLOOKUP(B219,PROPONENTES!$C$19:$E$218,2,FALSE)</f>
        <v>#N/A</v>
      </c>
      <c r="E219" s="135" t="e">
        <f>VLOOKUP(B219,HAB.GEN.!$C$19:$I$218,7,FALSE)</f>
        <v>#N/A</v>
      </c>
      <c r="F219" s="385" t="e">
        <f>VLOOKUP(B219,PON.EXP.ESP.!$C$30:$J$229,6,FALSE)</f>
        <v>#N/A</v>
      </c>
      <c r="G219" s="383" t="e">
        <f>VLOOKUP(B219,PON.EXP.ESP.!$C$30:$J$229,8,FALSE)</f>
        <v>#N/A</v>
      </c>
      <c r="H219" s="383">
        <f>VLOOKUP(B219,VIN.PERS.DISC.!$B$19:$D$218,3,FALSE)</f>
        <v>0</v>
      </c>
      <c r="I219" s="384">
        <f>VLOOKUP(B219,'APOYO A IND. NAL.'!$B$19:$D$218,3,FALSE)</f>
        <v>0</v>
      </c>
      <c r="J219" s="384" t="e">
        <f t="shared" si="6"/>
        <v>#N/A</v>
      </c>
      <c r="K219" s="301"/>
      <c r="L219" s="411">
        <f t="shared" si="7"/>
        <v>0</v>
      </c>
    </row>
    <row r="220" spans="2:12" ht="6" customHeight="1" thickBot="1">
      <c r="B220" s="302"/>
      <c r="C220" s="303"/>
      <c r="D220" s="303"/>
      <c r="E220" s="303"/>
      <c r="F220" s="303"/>
      <c r="G220" s="303"/>
      <c r="H220" s="303"/>
      <c r="I220" s="303"/>
      <c r="J220" s="303"/>
      <c r="K220" s="304"/>
    </row>
    <row r="221" spans="2:12" ht="15.75" thickTop="1"/>
  </sheetData>
  <mergeCells count="20">
    <mergeCell ref="K16:K18"/>
    <mergeCell ref="F17:G17"/>
    <mergeCell ref="I17:I18"/>
    <mergeCell ref="B16:B18"/>
    <mergeCell ref="C16:C18"/>
    <mergeCell ref="D16:D18"/>
    <mergeCell ref="E16:E18"/>
    <mergeCell ref="F16:I16"/>
    <mergeCell ref="J16:J18"/>
    <mergeCell ref="H17:H18"/>
    <mergeCell ref="B9:K9"/>
    <mergeCell ref="B11:K11"/>
    <mergeCell ref="B13:K13"/>
    <mergeCell ref="B14:K14"/>
    <mergeCell ref="B1:K1"/>
    <mergeCell ref="B2:K2"/>
    <mergeCell ref="B3:K3"/>
    <mergeCell ref="B4:K4"/>
    <mergeCell ref="B6:K6"/>
    <mergeCell ref="B7:K7"/>
  </mergeCells>
  <conditionalFormatting sqref="B20:D219 F20:K219">
    <cfRule type="expression" dxfId="11" priority="14" stopIfTrue="1">
      <formula>MOD(ROW(),2)</formula>
    </cfRule>
  </conditionalFormatting>
  <conditionalFormatting sqref="E20:E219">
    <cfRule type="cellIs" dxfId="10" priority="2" stopIfTrue="1" operator="equal">
      <formula>"CUMPLE"</formula>
    </cfRule>
    <cfRule type="cellIs" dxfId="9" priority="3" stopIfTrue="1" operator="equal">
      <formula>"NO CUMPLE"</formula>
    </cfRule>
    <cfRule type="cellIs" dxfId="8" priority="4" stopIfTrue="1" operator="equal">
      <formula>"HÁBIL"</formula>
    </cfRule>
    <cfRule type="cellIs" dxfId="7" priority="5" stopIfTrue="1" operator="equal">
      <formula>"NO HÁBIL"</formula>
    </cfRule>
    <cfRule type="cellIs" dxfId="6" priority="6" stopIfTrue="1" operator="equal">
      <formula>"NO APLICA"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62" fitToHeight="0" orientation="landscape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>
    <tabColor theme="9" tint="0.39997558519241921"/>
    <pageSetUpPr fitToPage="1"/>
  </sheetPr>
  <dimension ref="A1:K220"/>
  <sheetViews>
    <sheetView showGridLines="0" view="pageBreakPreview" zoomScale="85" zoomScaleNormal="90" zoomScaleSheetLayoutView="85" workbookViewId="0">
      <selection activeCell="G19" sqref="G19"/>
    </sheetView>
  </sheetViews>
  <sheetFormatPr baseColWidth="10" defaultRowHeight="15"/>
  <cols>
    <col min="1" max="1" width="1.42578125" style="258" customWidth="1"/>
    <col min="2" max="2" width="14.140625" style="258" customWidth="1"/>
    <col min="3" max="3" width="13.7109375" style="258" hidden="1" customWidth="1"/>
    <col min="4" max="4" width="14.42578125" style="258" hidden="1" customWidth="1"/>
    <col min="5" max="5" width="17.28515625" style="258" hidden="1" customWidth="1"/>
    <col min="6" max="6" width="14.140625" style="258" hidden="1" customWidth="1"/>
    <col min="7" max="7" width="41.5703125" style="258" customWidth="1"/>
    <col min="8" max="8" width="14.28515625" style="258" customWidth="1"/>
    <col min="9" max="9" width="15.28515625" style="258" customWidth="1"/>
    <col min="10" max="10" width="16.28515625" style="258" customWidth="1"/>
    <col min="11" max="11" width="12.42578125" style="258" customWidth="1"/>
    <col min="12" max="16384" width="11.42578125" style="258"/>
  </cols>
  <sheetData>
    <row r="1" spans="1:11" s="4" customFormat="1" ht="15" customHeight="1">
      <c r="A1" s="248"/>
      <c r="B1" s="867" t="str">
        <f>PROPONENTES!B1</f>
        <v>INSTITUTO NACIONAL DE VÍAS</v>
      </c>
      <c r="C1" s="867"/>
      <c r="D1" s="867"/>
      <c r="E1" s="867"/>
      <c r="F1" s="867"/>
      <c r="G1" s="867"/>
      <c r="H1" s="867"/>
      <c r="I1" s="867"/>
      <c r="J1" s="867"/>
      <c r="K1" s="250"/>
    </row>
    <row r="2" spans="1:11" s="2" customFormat="1" ht="15" customHeight="1">
      <c r="A2" s="251"/>
      <c r="B2" s="867" t="str">
        <f>PROPONENTES!B2</f>
        <v>DIRECCIÓN TERRITORIAL HUILA</v>
      </c>
      <c r="C2" s="867"/>
      <c r="D2" s="867"/>
      <c r="E2" s="867"/>
      <c r="F2" s="867"/>
      <c r="G2" s="867"/>
      <c r="H2" s="867"/>
      <c r="I2" s="867"/>
      <c r="J2" s="867"/>
      <c r="K2" s="252"/>
    </row>
    <row r="3" spans="1:11" s="2" customFormat="1" ht="15" customHeight="1">
      <c r="A3" s="251"/>
      <c r="B3" s="867"/>
      <c r="C3" s="867"/>
      <c r="D3" s="867"/>
      <c r="E3" s="867"/>
      <c r="F3" s="867"/>
      <c r="G3" s="867"/>
      <c r="H3" s="867"/>
      <c r="I3" s="867"/>
      <c r="J3" s="867"/>
      <c r="K3" s="252"/>
    </row>
    <row r="4" spans="1:11" s="2" customFormat="1" ht="12.75" customHeight="1">
      <c r="A4" s="251"/>
      <c r="B4" s="867"/>
      <c r="C4" s="867"/>
      <c r="D4" s="867"/>
      <c r="E4" s="867"/>
      <c r="F4" s="867"/>
      <c r="G4" s="867"/>
      <c r="H4" s="867"/>
      <c r="I4" s="867"/>
      <c r="J4" s="867"/>
      <c r="K4" s="252"/>
    </row>
    <row r="5" spans="1:11" s="2" customFormat="1" ht="12.75">
      <c r="A5" s="251"/>
      <c r="B5" s="249"/>
      <c r="C5" s="249"/>
      <c r="D5" s="3"/>
      <c r="E5" s="252"/>
      <c r="F5" s="252"/>
      <c r="G5" s="252"/>
      <c r="H5" s="252"/>
      <c r="I5" s="252"/>
      <c r="J5" s="252"/>
      <c r="K5" s="252"/>
    </row>
    <row r="6" spans="1:11" s="2" customFormat="1" ht="12.75">
      <c r="A6" s="251"/>
      <c r="B6" s="867" t="str">
        <f>+PROPONENTES!B6</f>
        <v>CONCURSO DE MÉRITOS ABIERTO</v>
      </c>
      <c r="C6" s="867"/>
      <c r="D6" s="867"/>
      <c r="E6" s="867"/>
      <c r="F6" s="867"/>
      <c r="G6" s="867"/>
      <c r="H6" s="867"/>
      <c r="I6" s="867"/>
      <c r="J6" s="867"/>
      <c r="K6" s="252"/>
    </row>
    <row r="7" spans="1:11" s="6" customFormat="1" ht="12.75" customHeight="1">
      <c r="A7" s="251"/>
      <c r="B7" s="867" t="str">
        <f>PROPONENTES!B7</f>
        <v>CMA-DT-HUI-002-2019</v>
      </c>
      <c r="C7" s="867"/>
      <c r="D7" s="867"/>
      <c r="E7" s="867"/>
      <c r="F7" s="867"/>
      <c r="G7" s="867"/>
      <c r="H7" s="867"/>
      <c r="I7" s="867"/>
      <c r="J7" s="867"/>
      <c r="K7" s="253"/>
    </row>
    <row r="8" spans="1:11" s="6" customFormat="1" ht="15.75">
      <c r="A8" s="251"/>
      <c r="B8" s="249"/>
      <c r="C8" s="249"/>
      <c r="D8" s="255"/>
      <c r="E8" s="253"/>
      <c r="F8" s="253"/>
      <c r="G8" s="253"/>
      <c r="H8" s="253"/>
      <c r="I8" s="253"/>
      <c r="J8" s="253"/>
      <c r="K8" s="253"/>
    </row>
    <row r="9" spans="1:11" s="6" customFormat="1" ht="41.25" customHeight="1">
      <c r="A9" s="251"/>
      <c r="B9" s="867" t="str">
        <f>PROPONENTES!B9</f>
        <v>OBJETO: "INTERVENTORIA TECNICA, ADMINISTRATIVA, FINANCIERA, AMBIENTAL , ATENCIÓN SITIOS CRITICOS CONSTRUCCIÓN PUENTE QUEBRADA PÌEDRAS NEGRAS MUNICIPIO DE SALADOBLANCO CARRETERA LA CABAÑA-MORELIA, CÓDIGO 19787 (PRODUCTO SITIO CRÍTICO DE RED TERCIARIA ESTABILIZADA).”</v>
      </c>
      <c r="C9" s="867"/>
      <c r="D9" s="867"/>
      <c r="E9" s="867"/>
      <c r="F9" s="867"/>
      <c r="G9" s="867"/>
      <c r="H9" s="867"/>
      <c r="I9" s="867"/>
      <c r="J9" s="867"/>
      <c r="K9" s="253"/>
    </row>
    <row r="10" spans="1:11" s="6" customFormat="1" ht="15.75">
      <c r="A10" s="251"/>
      <c r="B10" s="249"/>
      <c r="C10" s="249"/>
      <c r="D10" s="255"/>
      <c r="E10" s="253"/>
      <c r="F10" s="253"/>
      <c r="G10" s="253"/>
      <c r="H10" s="253"/>
      <c r="I10" s="253"/>
      <c r="J10" s="253"/>
      <c r="K10" s="253"/>
    </row>
    <row r="11" spans="1:11" s="6" customFormat="1" ht="12.75">
      <c r="A11" s="251"/>
      <c r="B11" s="867" t="str">
        <f>PROPONENTES!B11</f>
        <v>MÓDULO No. 1</v>
      </c>
      <c r="C11" s="867"/>
      <c r="D11" s="867"/>
      <c r="E11" s="867"/>
      <c r="F11" s="867"/>
      <c r="G11" s="867"/>
      <c r="H11" s="867"/>
      <c r="I11" s="867"/>
      <c r="J11" s="867"/>
      <c r="K11" s="253"/>
    </row>
    <row r="12" spans="1:11" s="6" customFormat="1" ht="15.75">
      <c r="A12" s="251"/>
      <c r="B12" s="249"/>
      <c r="C12" s="249"/>
      <c r="D12" s="255"/>
      <c r="E12" s="253"/>
      <c r="F12" s="253"/>
      <c r="G12" s="253"/>
      <c r="H12" s="253"/>
      <c r="I12" s="253"/>
      <c r="J12" s="253"/>
      <c r="K12" s="253"/>
    </row>
    <row r="13" spans="1:11" s="6" customFormat="1" ht="12.75">
      <c r="A13" s="251"/>
      <c r="B13" s="641" t="s">
        <v>284</v>
      </c>
      <c r="C13" s="641"/>
      <c r="D13" s="641"/>
      <c r="E13" s="641"/>
      <c r="F13" s="641"/>
      <c r="G13" s="641"/>
      <c r="H13" s="641"/>
      <c r="I13" s="641"/>
      <c r="J13" s="641"/>
      <c r="K13" s="253"/>
    </row>
    <row r="14" spans="1:11">
      <c r="A14" s="256"/>
      <c r="B14" s="641" t="s">
        <v>234</v>
      </c>
      <c r="C14" s="641"/>
      <c r="D14" s="641"/>
      <c r="E14" s="641"/>
      <c r="F14" s="641"/>
      <c r="G14" s="641"/>
      <c r="H14" s="641"/>
      <c r="I14" s="641"/>
      <c r="J14" s="641"/>
      <c r="K14" s="257"/>
    </row>
    <row r="15" spans="1:11" ht="15.75" thickBot="1"/>
    <row r="16" spans="1:11" ht="32.25" thickTop="1">
      <c r="B16" s="900" t="s">
        <v>227</v>
      </c>
      <c r="C16" s="898" t="s">
        <v>232</v>
      </c>
      <c r="D16" s="898" t="s">
        <v>228</v>
      </c>
      <c r="E16" s="898" t="s">
        <v>229</v>
      </c>
      <c r="F16" s="898" t="s">
        <v>230</v>
      </c>
      <c r="G16" s="365" t="s">
        <v>226</v>
      </c>
      <c r="H16" s="365" t="s">
        <v>231</v>
      </c>
      <c r="I16" s="898" t="s">
        <v>232</v>
      </c>
      <c r="J16" s="896" t="s">
        <v>143</v>
      </c>
    </row>
    <row r="17" spans="2:10" ht="30" customHeight="1" thickBot="1">
      <c r="B17" s="901"/>
      <c r="C17" s="899"/>
      <c r="D17" s="899"/>
      <c r="E17" s="899"/>
      <c r="F17" s="899"/>
      <c r="G17" s="366" t="s">
        <v>233</v>
      </c>
      <c r="H17" s="366" t="s">
        <v>135</v>
      </c>
      <c r="I17" s="899"/>
      <c r="J17" s="897"/>
    </row>
    <row r="18" spans="2:10" ht="12" customHeight="1" thickTop="1">
      <c r="B18" s="368"/>
      <c r="C18" s="369"/>
      <c r="D18" s="369"/>
      <c r="E18" s="369"/>
      <c r="F18" s="369"/>
      <c r="G18" s="367"/>
      <c r="H18" s="367"/>
      <c r="I18" s="367"/>
      <c r="J18" s="370"/>
    </row>
    <row r="19" spans="2:10">
      <c r="B19" s="371">
        <v>1</v>
      </c>
      <c r="C19" s="376">
        <f>IF(VLOOKUP(B19,RESUMENGEN!$C$20:$M$219,10,FALSE)="","",VLOOKUP(B19,RESUMENGEN!$C$20:$M$219,10,FALSE))</f>
        <v>1</v>
      </c>
      <c r="D19" s="372">
        <v>1.0000000000000001E-9</v>
      </c>
      <c r="E19" s="377">
        <f>IF(VLOOKUP(C19,RESUMENGEN!$B$20:$J$219,4,FALSE)="HÁBIL",VLOOKUP(C19,RESUMENGEN!$B$20:$J$219,9,FALSE)-D19,-D19)</f>
        <v>-1.0000000000000001E-9</v>
      </c>
      <c r="F19" s="373" t="e">
        <f t="shared" ref="F19:F32" si="0">RANK(E19,$E$19:$E$32)</f>
        <v>#N/A</v>
      </c>
      <c r="G19" s="531" t="e">
        <f ca="1">VLOOKUP(I19,RESUMENGEN!$B$20:$J$219,3,FALSE)</f>
        <v>#N/A</v>
      </c>
      <c r="H19" s="377" t="e">
        <f ca="1">VLOOKUP(I19,RESUMENGEN!$B$20:$J$219,9,FALSE)</f>
        <v>#N/A</v>
      </c>
      <c r="I19" s="374" t="e">
        <f ca="1">IF(C19="","",OFFSET($C$18,MATCH(B19,$F$19:$F$218,0),0))</f>
        <v>#N/A</v>
      </c>
      <c r="J19" s="375" t="e">
        <f ca="1">IF(AND(VLOOKUP(I19,RESUMENGEN!$B$20:$J$219,4,0)="HÁBIL"),"ELEGIBLE","NO ELEGIBLE")</f>
        <v>#N/A</v>
      </c>
    </row>
    <row r="20" spans="2:10">
      <c r="B20" s="371">
        <v>2</v>
      </c>
      <c r="C20" s="376">
        <f>IF(VLOOKUP(B20,RESUMENGEN!$C$20:$M$219,10,FALSE)="","",VLOOKUP(B20,RESUMENGEN!$C$20:$M$219,10,FALSE))</f>
        <v>2</v>
      </c>
      <c r="D20" s="372">
        <f>D19+0.0000000001</f>
        <v>1.1000000000000001E-9</v>
      </c>
      <c r="E20" s="377">
        <f>IF(VLOOKUP(C20,RESUMENGEN!$B$20:$J$219,4,FALSE)="HÁBIL",VLOOKUP(C20,RESUMENGEN!$B$20:$J$219,9,FALSE)-D20,-D20)</f>
        <v>804.96299999889993</v>
      </c>
      <c r="F20" s="373" t="e">
        <f t="shared" si="0"/>
        <v>#N/A</v>
      </c>
      <c r="G20" s="531" t="e">
        <f ca="1">VLOOKUP(I20,RESUMENGEN!$B$20:$J$219,3,FALSE)</f>
        <v>#N/A</v>
      </c>
      <c r="H20" s="377" t="e">
        <f ca="1">VLOOKUP(I20,RESUMENGEN!$B$20:$J$219,9,FALSE)</f>
        <v>#N/A</v>
      </c>
      <c r="I20" s="374" t="e">
        <f t="shared" ref="I20:I50" ca="1" si="1">IF(C20="","",OFFSET($C$18,MATCH(B20,$F$19:$F$218,0),0))</f>
        <v>#N/A</v>
      </c>
      <c r="J20" s="375" t="e">
        <f ca="1">IF(AND(VLOOKUP(I20,RESUMENGEN!$B$20:$J$219,4,0)="HÁBIL"),"ELEGIBLE","NO ELEGIBLE")</f>
        <v>#N/A</v>
      </c>
    </row>
    <row r="21" spans="2:10">
      <c r="B21" s="371">
        <v>3</v>
      </c>
      <c r="C21" s="376">
        <f>IF(VLOOKUP(B21,RESUMENGEN!$C$20:$M$219,10,FALSE)="","",VLOOKUP(B21,RESUMENGEN!$C$20:$M$219,10,FALSE))</f>
        <v>3</v>
      </c>
      <c r="D21" s="372">
        <f>D20+0.0000000001</f>
        <v>1.2000000000000002E-9</v>
      </c>
      <c r="E21" s="377">
        <f>IF(VLOOKUP(C21,RESUMENGEN!$B$20:$J$219,4,FALSE)="HÁBIL",VLOOKUP(C21,RESUMENGEN!$B$20:$J$219,9,FALSE)-D21,-D21)</f>
        <v>956.70999999879996</v>
      </c>
      <c r="F21" s="373" t="e">
        <f t="shared" si="0"/>
        <v>#N/A</v>
      </c>
      <c r="G21" s="531" t="e">
        <f ca="1">VLOOKUP(I21,RESUMENGEN!$B$20:$J$219,3,FALSE)</f>
        <v>#N/A</v>
      </c>
      <c r="H21" s="377" t="e">
        <f ca="1">VLOOKUP(I21,RESUMENGEN!$B$20:$J$219,9,FALSE)</f>
        <v>#N/A</v>
      </c>
      <c r="I21" s="374" t="e">
        <f t="shared" ca="1" si="1"/>
        <v>#N/A</v>
      </c>
      <c r="J21" s="375" t="e">
        <f ca="1">IF(AND(VLOOKUP(I21,RESUMENGEN!$B$20:$J$219,4,0)="HÁBIL"),"ELEGIBLE","NO ELEGIBLE")</f>
        <v>#N/A</v>
      </c>
    </row>
    <row r="22" spans="2:10">
      <c r="B22" s="371">
        <v>4</v>
      </c>
      <c r="C22" s="376">
        <f>IF(VLOOKUP(B22,RESUMENGEN!$C$20:$M$219,10,FALSE)="","",VLOOKUP(B22,RESUMENGEN!$C$20:$M$219,10,FALSE))</f>
        <v>4</v>
      </c>
      <c r="D22" s="372">
        <f t="shared" ref="D22:D85" si="2">D21+0.0000000001</f>
        <v>1.3000000000000003E-9</v>
      </c>
      <c r="E22" s="377">
        <f>IF(VLOOKUP(C22,RESUMENGEN!$B$20:$J$219,4,FALSE)="HÁBIL",VLOOKUP(C22,RESUMENGEN!$B$20:$J$219,9,FALSE)-D22,-D22)</f>
        <v>-1.3000000000000003E-9</v>
      </c>
      <c r="F22" s="373" t="e">
        <f t="shared" si="0"/>
        <v>#N/A</v>
      </c>
      <c r="G22" s="531" t="e">
        <f ca="1">VLOOKUP(I22,RESUMENGEN!$B$20:$J$219,3,FALSE)</f>
        <v>#N/A</v>
      </c>
      <c r="H22" s="377" t="e">
        <f ca="1">VLOOKUP(I22,RESUMENGEN!$B$20:$J$219,9,FALSE)</f>
        <v>#N/A</v>
      </c>
      <c r="I22" s="374" t="e">
        <f t="shared" ca="1" si="1"/>
        <v>#N/A</v>
      </c>
      <c r="J22" s="375" t="e">
        <f ca="1">IF(AND(VLOOKUP(I22,RESUMENGEN!$B$20:$J$219,4,0)="HÁBIL"),"ELEGIBLE","NO ELEGIBLE")</f>
        <v>#N/A</v>
      </c>
    </row>
    <row r="23" spans="2:10">
      <c r="B23" s="371">
        <v>5</v>
      </c>
      <c r="C23" s="376" t="e">
        <f>IF(VLOOKUP(B23,RESUMENGEN!$C$20:$M$219,10,FALSE)="","",VLOOKUP(B23,RESUMENGEN!$C$20:$M$219,10,FALSE))</f>
        <v>#N/A</v>
      </c>
      <c r="D23" s="372">
        <f t="shared" si="2"/>
        <v>1.4000000000000003E-9</v>
      </c>
      <c r="E23" s="377" t="e">
        <f>IF(VLOOKUP(C23,RESUMENGEN!$B$20:$J$219,4,FALSE)="HÁBIL",VLOOKUP(C23,RESUMENGEN!$B$20:$J$219,9,FALSE)-D23,-D23)</f>
        <v>#N/A</v>
      </c>
      <c r="F23" s="373" t="e">
        <f t="shared" si="0"/>
        <v>#N/A</v>
      </c>
      <c r="G23" s="531" t="e">
        <f ca="1">VLOOKUP(I23,RESUMENGEN!$B$20:$J$219,3,FALSE)</f>
        <v>#N/A</v>
      </c>
      <c r="H23" s="377" t="e">
        <f ca="1">VLOOKUP(I23,RESUMENGEN!$B$20:$J$219,9,FALSE)</f>
        <v>#N/A</v>
      </c>
      <c r="I23" s="374" t="e">
        <f t="shared" ca="1" si="1"/>
        <v>#N/A</v>
      </c>
      <c r="J23" s="375" t="e">
        <f ca="1">IF(AND(VLOOKUP(I23,RESUMENGEN!$B$20:$J$219,4,0)="HÁBIL"),"ELEGIBLE","NO ELEGIBLE")</f>
        <v>#N/A</v>
      </c>
    </row>
    <row r="24" spans="2:10">
      <c r="B24" s="371">
        <v>6</v>
      </c>
      <c r="C24" s="376" t="e">
        <f>IF(VLOOKUP(B24,RESUMENGEN!$C$20:$M$219,10,FALSE)="","",VLOOKUP(B24,RESUMENGEN!$C$20:$M$219,10,FALSE))</f>
        <v>#N/A</v>
      </c>
      <c r="D24" s="372">
        <f t="shared" si="2"/>
        <v>1.5000000000000004E-9</v>
      </c>
      <c r="E24" s="377" t="e">
        <f>IF(VLOOKUP(C24,RESUMENGEN!$B$20:$J$219,4,FALSE)="HÁBIL",VLOOKUP(C24,RESUMENGEN!$B$20:$J$219,9,FALSE)-D24,-D24)</f>
        <v>#N/A</v>
      </c>
      <c r="F24" s="373" t="e">
        <f t="shared" si="0"/>
        <v>#N/A</v>
      </c>
      <c r="G24" s="531" t="e">
        <f ca="1">VLOOKUP(I24,RESUMENGEN!$B$20:$J$219,3,FALSE)</f>
        <v>#N/A</v>
      </c>
      <c r="H24" s="377" t="e">
        <f ca="1">VLOOKUP(I24,RESUMENGEN!$B$20:$J$219,9,FALSE)</f>
        <v>#N/A</v>
      </c>
      <c r="I24" s="374" t="e">
        <f t="shared" ca="1" si="1"/>
        <v>#N/A</v>
      </c>
      <c r="J24" s="375" t="e">
        <f ca="1">IF(AND(VLOOKUP(I24,RESUMENGEN!$B$20:$J$219,4,0)="HÁBIL"),"ELEGIBLE","NO ELEGIBLE")</f>
        <v>#N/A</v>
      </c>
    </row>
    <row r="25" spans="2:10">
      <c r="B25" s="371">
        <v>7</v>
      </c>
      <c r="C25" s="376" t="e">
        <f>IF(VLOOKUP(B25,RESUMENGEN!$C$20:$M$219,10,FALSE)="","",VLOOKUP(B25,RESUMENGEN!$C$20:$M$219,10,FALSE))</f>
        <v>#N/A</v>
      </c>
      <c r="D25" s="372">
        <f t="shared" si="2"/>
        <v>1.6000000000000005E-9</v>
      </c>
      <c r="E25" s="377" t="e">
        <f>IF(VLOOKUP(C25,RESUMENGEN!$B$20:$J$219,4,FALSE)="HÁBIL",VLOOKUP(C25,RESUMENGEN!$B$20:$J$219,9,FALSE)-D25,-D25)</f>
        <v>#N/A</v>
      </c>
      <c r="F25" s="373" t="e">
        <f t="shared" si="0"/>
        <v>#N/A</v>
      </c>
      <c r="G25" s="531" t="e">
        <f ca="1">VLOOKUP(I25,RESUMENGEN!$B$20:$J$219,3,FALSE)</f>
        <v>#N/A</v>
      </c>
      <c r="H25" s="377" t="e">
        <f ca="1">VLOOKUP(I25,RESUMENGEN!$B$20:$J$219,9,FALSE)</f>
        <v>#N/A</v>
      </c>
      <c r="I25" s="374" t="e">
        <f t="shared" ca="1" si="1"/>
        <v>#N/A</v>
      </c>
      <c r="J25" s="375" t="e">
        <f ca="1">IF(AND(VLOOKUP(I25,RESUMENGEN!$B$20:$J$219,4,0)="HÁBIL"),"ELEGIBLE","NO ELEGIBLE")</f>
        <v>#N/A</v>
      </c>
    </row>
    <row r="26" spans="2:10">
      <c r="B26" s="371">
        <v>8</v>
      </c>
      <c r="C26" s="376" t="e">
        <f>IF(VLOOKUP(B26,RESUMENGEN!$C$20:$M$219,10,FALSE)="","",VLOOKUP(B26,RESUMENGEN!$C$20:$M$219,10,FALSE))</f>
        <v>#N/A</v>
      </c>
      <c r="D26" s="372">
        <f t="shared" si="2"/>
        <v>1.7000000000000005E-9</v>
      </c>
      <c r="E26" s="377" t="e">
        <f>IF(VLOOKUP(C26,RESUMENGEN!$B$20:$J$219,4,FALSE)="HÁBIL",VLOOKUP(C26,RESUMENGEN!$B$20:$J$219,9,FALSE)-D26,-D26)</f>
        <v>#N/A</v>
      </c>
      <c r="F26" s="373" t="e">
        <f t="shared" si="0"/>
        <v>#N/A</v>
      </c>
      <c r="G26" s="531" t="e">
        <f ca="1">VLOOKUP(I26,RESUMENGEN!$B$20:$J$219,3,FALSE)</f>
        <v>#N/A</v>
      </c>
      <c r="H26" s="377" t="e">
        <f ca="1">VLOOKUP(I26,RESUMENGEN!$B$20:$J$219,9,FALSE)</f>
        <v>#N/A</v>
      </c>
      <c r="I26" s="374" t="e">
        <f t="shared" ca="1" si="1"/>
        <v>#N/A</v>
      </c>
      <c r="J26" s="375" t="e">
        <f ca="1">IF(AND(VLOOKUP(I26,RESUMENGEN!$B$20:$J$219,4,0)="HÁBIL"),"ELEGIBLE","NO ELEGIBLE")</f>
        <v>#N/A</v>
      </c>
    </row>
    <row r="27" spans="2:10">
      <c r="B27" s="371">
        <v>9</v>
      </c>
      <c r="C27" s="376" t="e">
        <f>IF(VLOOKUP(B27,RESUMENGEN!$C$20:$M$219,10,FALSE)="","",VLOOKUP(B27,RESUMENGEN!$C$20:$M$219,10,FALSE))</f>
        <v>#N/A</v>
      </c>
      <c r="D27" s="372">
        <f t="shared" si="2"/>
        <v>1.8000000000000006E-9</v>
      </c>
      <c r="E27" s="377" t="e">
        <f>IF(VLOOKUP(C27,RESUMENGEN!$B$20:$J$219,4,FALSE)="HÁBIL",VLOOKUP(C27,RESUMENGEN!$B$20:$J$219,9,FALSE)-D27,-D27)</f>
        <v>#N/A</v>
      </c>
      <c r="F27" s="373" t="e">
        <f t="shared" si="0"/>
        <v>#N/A</v>
      </c>
      <c r="G27" s="531" t="e">
        <f ca="1">VLOOKUP(I27,RESUMENGEN!$B$20:$J$219,3,FALSE)</f>
        <v>#N/A</v>
      </c>
      <c r="H27" s="377" t="e">
        <f ca="1">VLOOKUP(I27,RESUMENGEN!$B$20:$J$219,9,FALSE)</f>
        <v>#N/A</v>
      </c>
      <c r="I27" s="374" t="e">
        <f t="shared" ca="1" si="1"/>
        <v>#N/A</v>
      </c>
      <c r="J27" s="375" t="e">
        <f ca="1">IF(AND(VLOOKUP(I27,RESUMENGEN!$B$20:$J$219,4,0)="HÁBIL"),"ELEGIBLE","NO ELEGIBLE")</f>
        <v>#N/A</v>
      </c>
    </row>
    <row r="28" spans="2:10">
      <c r="B28" s="371">
        <v>10</v>
      </c>
      <c r="C28" s="376" t="e">
        <f>IF(VLOOKUP(B28,RESUMENGEN!$C$20:$M$219,10,FALSE)="","",VLOOKUP(B28,RESUMENGEN!$C$20:$M$219,10,FALSE))</f>
        <v>#N/A</v>
      </c>
      <c r="D28" s="372">
        <f t="shared" si="2"/>
        <v>1.9000000000000005E-9</v>
      </c>
      <c r="E28" s="377" t="e">
        <f>IF(VLOOKUP(C28,RESUMENGEN!$B$20:$J$219,4,FALSE)="HÁBIL",VLOOKUP(C28,RESUMENGEN!$B$20:$J$219,9,FALSE)-D28,-D28)</f>
        <v>#N/A</v>
      </c>
      <c r="F28" s="373" t="e">
        <f t="shared" si="0"/>
        <v>#N/A</v>
      </c>
      <c r="G28" s="531" t="e">
        <f ca="1">VLOOKUP(I28,RESUMENGEN!$B$20:$J$219,3,FALSE)</f>
        <v>#N/A</v>
      </c>
      <c r="H28" s="377" t="e">
        <f ca="1">VLOOKUP(I28,RESUMENGEN!$B$20:$J$219,9,FALSE)</f>
        <v>#N/A</v>
      </c>
      <c r="I28" s="374" t="e">
        <f t="shared" ca="1" si="1"/>
        <v>#N/A</v>
      </c>
      <c r="J28" s="375" t="e">
        <f ca="1">IF(AND(VLOOKUP(I28,RESUMENGEN!$B$20:$J$219,4,0)="HÁBIL"),"ELEGIBLE","NO ELEGIBLE")</f>
        <v>#N/A</v>
      </c>
    </row>
    <row r="29" spans="2:10">
      <c r="B29" s="371">
        <v>11</v>
      </c>
      <c r="C29" s="376" t="e">
        <f>IF(VLOOKUP(B29,RESUMENGEN!$C$20:$M$219,10,FALSE)="","",VLOOKUP(B29,RESUMENGEN!$C$20:$M$219,10,FALSE))</f>
        <v>#N/A</v>
      </c>
      <c r="D29" s="372">
        <f t="shared" si="2"/>
        <v>2.0000000000000005E-9</v>
      </c>
      <c r="E29" s="377" t="e">
        <f>IF(VLOOKUP(C29,RESUMENGEN!$B$20:$J$219,4,FALSE)="HÁBIL",VLOOKUP(C29,RESUMENGEN!$B$20:$J$219,9,FALSE)-D29,-D29)</f>
        <v>#N/A</v>
      </c>
      <c r="F29" s="373" t="e">
        <f t="shared" si="0"/>
        <v>#N/A</v>
      </c>
      <c r="G29" s="531" t="e">
        <f ca="1">VLOOKUP(I29,RESUMENGEN!$B$20:$J$219,3,FALSE)</f>
        <v>#N/A</v>
      </c>
      <c r="H29" s="377" t="e">
        <f ca="1">VLOOKUP(I29,RESUMENGEN!$B$20:$J$219,9,FALSE)</f>
        <v>#N/A</v>
      </c>
      <c r="I29" s="374" t="e">
        <f t="shared" ca="1" si="1"/>
        <v>#N/A</v>
      </c>
      <c r="J29" s="375" t="e">
        <f ca="1">IF(AND(VLOOKUP(I29,RESUMENGEN!$B$20:$J$219,4,0)="HÁBIL"),"ELEGIBLE","NO ELEGIBLE")</f>
        <v>#N/A</v>
      </c>
    </row>
    <row r="30" spans="2:10">
      <c r="B30" s="371">
        <v>12</v>
      </c>
      <c r="C30" s="376" t="e">
        <f>IF(VLOOKUP(B30,RESUMENGEN!$C$20:$M$219,10,FALSE)="","",VLOOKUP(B30,RESUMENGEN!$C$20:$M$219,10,FALSE))</f>
        <v>#N/A</v>
      </c>
      <c r="D30" s="372">
        <f t="shared" si="2"/>
        <v>2.1000000000000006E-9</v>
      </c>
      <c r="E30" s="377" t="e">
        <f>IF(VLOOKUP(C30,RESUMENGEN!$B$20:$J$219,4,FALSE)="HÁBIL",VLOOKUP(C30,RESUMENGEN!$B$20:$J$219,9,FALSE)-D30,-D30)</f>
        <v>#N/A</v>
      </c>
      <c r="F30" s="373" t="e">
        <f t="shared" si="0"/>
        <v>#N/A</v>
      </c>
      <c r="G30" s="531" t="e">
        <f ca="1">VLOOKUP(I30,RESUMENGEN!$B$20:$J$219,3,FALSE)</f>
        <v>#N/A</v>
      </c>
      <c r="H30" s="377" t="e">
        <f ca="1">VLOOKUP(I30,RESUMENGEN!$B$20:$J$219,9,FALSE)</f>
        <v>#N/A</v>
      </c>
      <c r="I30" s="374" t="e">
        <f t="shared" ca="1" si="1"/>
        <v>#N/A</v>
      </c>
      <c r="J30" s="375" t="e">
        <f ca="1">IF(AND(VLOOKUP(I30,RESUMENGEN!$B$20:$J$219,4,0)="HÁBIL"),"ELEGIBLE","NO ELEGIBLE")</f>
        <v>#N/A</v>
      </c>
    </row>
    <row r="31" spans="2:10">
      <c r="B31" s="371">
        <v>13</v>
      </c>
      <c r="C31" s="376" t="e">
        <f>IF(VLOOKUP(B31,RESUMENGEN!$C$20:$M$219,10,FALSE)="","",VLOOKUP(B31,RESUMENGEN!$C$20:$M$219,10,FALSE))</f>
        <v>#N/A</v>
      </c>
      <c r="D31" s="372">
        <f t="shared" si="2"/>
        <v>2.2000000000000007E-9</v>
      </c>
      <c r="E31" s="377" t="e">
        <f>IF(VLOOKUP(C31,RESUMENGEN!$B$20:$J$219,4,FALSE)="HÁBIL",VLOOKUP(C31,RESUMENGEN!$B$20:$J$219,9,FALSE)-D31,-D31)</f>
        <v>#N/A</v>
      </c>
      <c r="F31" s="373" t="e">
        <f t="shared" si="0"/>
        <v>#N/A</v>
      </c>
      <c r="G31" s="531" t="e">
        <f ca="1">VLOOKUP(I31,RESUMENGEN!$B$20:$J$219,3,FALSE)</f>
        <v>#N/A</v>
      </c>
      <c r="H31" s="377" t="e">
        <f ca="1">VLOOKUP(I31,RESUMENGEN!$B$20:$J$219,9,FALSE)</f>
        <v>#N/A</v>
      </c>
      <c r="I31" s="374" t="e">
        <f t="shared" ca="1" si="1"/>
        <v>#N/A</v>
      </c>
      <c r="J31" s="375" t="e">
        <f ca="1">IF(AND(VLOOKUP(I31,RESUMENGEN!$B$20:$J$219,4,0)="HÁBIL"),"ELEGIBLE","NO ELEGIBLE")</f>
        <v>#N/A</v>
      </c>
    </row>
    <row r="32" spans="2:10">
      <c r="B32" s="371">
        <v>14</v>
      </c>
      <c r="C32" s="376" t="e">
        <f>IF(VLOOKUP(B32,RESUMENGEN!$C$20:$M$219,10,FALSE)="","",VLOOKUP(B32,RESUMENGEN!$C$20:$M$219,10,FALSE))</f>
        <v>#N/A</v>
      </c>
      <c r="D32" s="372">
        <f t="shared" si="2"/>
        <v>2.3000000000000007E-9</v>
      </c>
      <c r="E32" s="377" t="e">
        <f>IF(VLOOKUP(C32,RESUMENGEN!$B$20:$J$219,4,FALSE)="HÁBIL",VLOOKUP(C32,RESUMENGEN!$B$20:$J$219,9,FALSE)-D32,-D32)</f>
        <v>#N/A</v>
      </c>
      <c r="F32" s="373" t="e">
        <f t="shared" si="0"/>
        <v>#N/A</v>
      </c>
      <c r="G32" s="531" t="e">
        <f ca="1">VLOOKUP(I32,RESUMENGEN!$B$20:$J$219,3,FALSE)</f>
        <v>#N/A</v>
      </c>
      <c r="H32" s="377" t="e">
        <f ca="1">VLOOKUP(I32,RESUMENGEN!$B$20:$J$219,9,FALSE)</f>
        <v>#N/A</v>
      </c>
      <c r="I32" s="374" t="e">
        <f t="shared" ca="1" si="1"/>
        <v>#N/A</v>
      </c>
      <c r="J32" s="375" t="e">
        <f ca="1">IF(AND(VLOOKUP(I32,RESUMENGEN!$B$20:$J$219,4,0)="HÁBIL"),"ELEGIBLE","NO ELEGIBLE")</f>
        <v>#N/A</v>
      </c>
    </row>
    <row r="33" spans="2:10" hidden="1">
      <c r="B33" s="371">
        <v>15</v>
      </c>
      <c r="C33" s="376">
        <f>IF(VLOOKUP(B33,RESUMENGEN!$C$20:$M$219,10,FALSE)="","",VLOOKUP(B33,RESUMENGEN!$C$20:$M$219,10,FALSE))</f>
        <v>0</v>
      </c>
      <c r="D33" s="372">
        <f t="shared" si="2"/>
        <v>2.4000000000000008E-9</v>
      </c>
      <c r="E33" s="377" t="e">
        <f>IF(VLOOKUP(C33,RESUMENGEN!$B$20:$J$219,4,FALSE)="HÁBIL",VLOOKUP(C33,RESUMENGEN!$B$20:$J$219,9,FALSE)-D33,-D33)</f>
        <v>#N/A</v>
      </c>
      <c r="F33" s="373" t="e">
        <f t="shared" ref="F33:F50" si="3">RANK(E33,$E$19:$E$218)</f>
        <v>#N/A</v>
      </c>
      <c r="G33" s="531" t="e">
        <f ca="1">VLOOKUP(I33,RESUMENGEN!$B$20:$J$219,3,FALSE)</f>
        <v>#N/A</v>
      </c>
      <c r="H33" s="377" t="e">
        <f ca="1">VLOOKUP(I33,RESUMENGEN!$B$20:$J$219,9,FALSE)</f>
        <v>#N/A</v>
      </c>
      <c r="I33" s="374" t="e">
        <f t="shared" ca="1" si="1"/>
        <v>#N/A</v>
      </c>
      <c r="J33" s="375" t="e">
        <f ca="1">IF(AND(VLOOKUP(I33,RESUMENGEN!$B$20:$J$219,4,0)="HÁBIL"),"ELEGIBLE","NO ELEGIBLE")</f>
        <v>#N/A</v>
      </c>
    </row>
    <row r="34" spans="2:10" hidden="1">
      <c r="B34" s="371">
        <v>16</v>
      </c>
      <c r="C34" s="376">
        <f>IF(VLOOKUP(B34,RESUMENGEN!$C$20:$M$219,10,FALSE)="","",VLOOKUP(B34,RESUMENGEN!$C$20:$M$219,10,FALSE))</f>
        <v>0</v>
      </c>
      <c r="D34" s="372">
        <f t="shared" si="2"/>
        <v>2.5000000000000009E-9</v>
      </c>
      <c r="E34" s="377" t="e">
        <f>IF(VLOOKUP(C34,RESUMENGEN!$B$20:$J$219,4,FALSE)="HÁBIL",VLOOKUP(C34,RESUMENGEN!$B$20:$J$219,9,FALSE)-D34,-D34)</f>
        <v>#N/A</v>
      </c>
      <c r="F34" s="373" t="e">
        <f t="shared" si="3"/>
        <v>#N/A</v>
      </c>
      <c r="G34" s="531" t="e">
        <f ca="1">VLOOKUP(I34,RESUMENGEN!$B$20:$J$219,3,FALSE)</f>
        <v>#N/A</v>
      </c>
      <c r="H34" s="377" t="e">
        <f ca="1">VLOOKUP(I34,RESUMENGEN!$B$20:$J$219,9,FALSE)</f>
        <v>#N/A</v>
      </c>
      <c r="I34" s="374" t="e">
        <f t="shared" ca="1" si="1"/>
        <v>#N/A</v>
      </c>
      <c r="J34" s="375" t="e">
        <f ca="1">IF(AND(VLOOKUP(I34,RESUMENGEN!$B$20:$J$219,4,0)="HÁBIL"),"ELEGIBLE","NO ELEGIBLE")</f>
        <v>#N/A</v>
      </c>
    </row>
    <row r="35" spans="2:10" hidden="1">
      <c r="B35" s="371">
        <v>17</v>
      </c>
      <c r="C35" s="376">
        <f>IF(VLOOKUP(B35,RESUMENGEN!$C$20:$M$219,10,FALSE)="","",VLOOKUP(B35,RESUMENGEN!$C$20:$M$219,10,FALSE))</f>
        <v>0</v>
      </c>
      <c r="D35" s="372">
        <f t="shared" si="2"/>
        <v>2.6000000000000009E-9</v>
      </c>
      <c r="E35" s="377" t="e">
        <f>IF(VLOOKUP(C35,RESUMENGEN!$B$20:$J$219,4,FALSE)="HÁBIL",VLOOKUP(C35,RESUMENGEN!$B$20:$J$219,9,FALSE)-D35,-D35)</f>
        <v>#N/A</v>
      </c>
      <c r="F35" s="373" t="e">
        <f t="shared" si="3"/>
        <v>#N/A</v>
      </c>
      <c r="G35" s="531" t="e">
        <f ca="1">VLOOKUP(I35,RESUMENGEN!$B$20:$J$219,3,FALSE)</f>
        <v>#N/A</v>
      </c>
      <c r="H35" s="377" t="e">
        <f ca="1">VLOOKUP(I35,RESUMENGEN!$B$20:$J$219,9,FALSE)</f>
        <v>#N/A</v>
      </c>
      <c r="I35" s="374" t="e">
        <f t="shared" ca="1" si="1"/>
        <v>#N/A</v>
      </c>
      <c r="J35" s="375" t="e">
        <f ca="1">IF(AND(VLOOKUP(I35,RESUMENGEN!$B$20:$J$219,4,0)="HÁBIL"),"ELEGIBLE","NO ELEGIBLE")</f>
        <v>#N/A</v>
      </c>
    </row>
    <row r="36" spans="2:10" hidden="1">
      <c r="B36" s="371">
        <v>18</v>
      </c>
      <c r="C36" s="376">
        <f>IF(VLOOKUP(B36,RESUMENGEN!$C$20:$M$219,10,FALSE)="","",VLOOKUP(B36,RESUMENGEN!$C$20:$M$219,10,FALSE))</f>
        <v>0</v>
      </c>
      <c r="D36" s="372">
        <f t="shared" si="2"/>
        <v>2.700000000000001E-9</v>
      </c>
      <c r="E36" s="377" t="e">
        <f>IF(VLOOKUP(C36,RESUMENGEN!$B$20:$J$219,4,FALSE)="HÁBIL",VLOOKUP(C36,RESUMENGEN!$B$20:$J$219,9,FALSE)-D36,-D36)</f>
        <v>#N/A</v>
      </c>
      <c r="F36" s="373" t="e">
        <f t="shared" si="3"/>
        <v>#N/A</v>
      </c>
      <c r="G36" s="531" t="e">
        <f ca="1">VLOOKUP(I36,RESUMENGEN!$B$20:$J$219,3,FALSE)</f>
        <v>#N/A</v>
      </c>
      <c r="H36" s="377" t="e">
        <f ca="1">VLOOKUP(I36,RESUMENGEN!$B$20:$J$219,9,FALSE)</f>
        <v>#N/A</v>
      </c>
      <c r="I36" s="374" t="e">
        <f t="shared" ca="1" si="1"/>
        <v>#N/A</v>
      </c>
      <c r="J36" s="375" t="e">
        <f ca="1">IF(AND(VLOOKUP(I36,RESUMENGEN!$B$20:$J$219,4,0)="HÁBIL"),"ELEGIBLE","NO ELEGIBLE")</f>
        <v>#N/A</v>
      </c>
    </row>
    <row r="37" spans="2:10" hidden="1">
      <c r="B37" s="371">
        <v>19</v>
      </c>
      <c r="C37" s="376">
        <f>IF(VLOOKUP(B37,RESUMENGEN!$C$20:$M$219,10,FALSE)="","",VLOOKUP(B37,RESUMENGEN!$C$20:$M$219,10,FALSE))</f>
        <v>0</v>
      </c>
      <c r="D37" s="372">
        <f t="shared" si="2"/>
        <v>2.8000000000000011E-9</v>
      </c>
      <c r="E37" s="377" t="e">
        <f>IF(VLOOKUP(C37,RESUMENGEN!$B$20:$J$219,4,FALSE)="HÁBIL",VLOOKUP(C37,RESUMENGEN!$B$20:$J$219,9,FALSE)-D37,-D37)</f>
        <v>#N/A</v>
      </c>
      <c r="F37" s="373" t="e">
        <f t="shared" si="3"/>
        <v>#N/A</v>
      </c>
      <c r="G37" s="531" t="e">
        <f ca="1">VLOOKUP(I37,RESUMENGEN!$B$20:$J$219,3,FALSE)</f>
        <v>#N/A</v>
      </c>
      <c r="H37" s="377" t="e">
        <f ca="1">VLOOKUP(I37,RESUMENGEN!$B$20:$J$219,9,FALSE)</f>
        <v>#N/A</v>
      </c>
      <c r="I37" s="374" t="e">
        <f t="shared" ca="1" si="1"/>
        <v>#N/A</v>
      </c>
      <c r="J37" s="375" t="e">
        <f ca="1">IF(AND(VLOOKUP(I37,RESUMENGEN!$B$20:$J$219,4,0)="HÁBIL"),"ELEGIBLE","NO ELEGIBLE")</f>
        <v>#N/A</v>
      </c>
    </row>
    <row r="38" spans="2:10" hidden="1">
      <c r="B38" s="371">
        <v>20</v>
      </c>
      <c r="C38" s="376">
        <f>IF(VLOOKUP(B38,RESUMENGEN!$C$20:$M$219,10,FALSE)="","",VLOOKUP(B38,RESUMENGEN!$C$20:$M$219,10,FALSE))</f>
        <v>0</v>
      </c>
      <c r="D38" s="372">
        <f t="shared" si="2"/>
        <v>2.9000000000000012E-9</v>
      </c>
      <c r="E38" s="377" t="e">
        <f>IF(VLOOKUP(C38,RESUMENGEN!$B$20:$J$219,4,FALSE)="HÁBIL",VLOOKUP(C38,RESUMENGEN!$B$20:$J$219,9,FALSE)-D38,-D38)</f>
        <v>#N/A</v>
      </c>
      <c r="F38" s="373" t="e">
        <f t="shared" si="3"/>
        <v>#N/A</v>
      </c>
      <c r="G38" s="531" t="e">
        <f ca="1">VLOOKUP(I38,RESUMENGEN!$B$20:$J$219,3,FALSE)</f>
        <v>#N/A</v>
      </c>
      <c r="H38" s="377" t="e">
        <f ca="1">VLOOKUP(I38,RESUMENGEN!$B$20:$J$219,9,FALSE)</f>
        <v>#N/A</v>
      </c>
      <c r="I38" s="374" t="e">
        <f t="shared" ca="1" si="1"/>
        <v>#N/A</v>
      </c>
      <c r="J38" s="375" t="e">
        <f ca="1">IF(AND(VLOOKUP(I38,RESUMENGEN!$B$20:$J$219,4,0)="HÁBIL"),"ELEGIBLE","NO ELEGIBLE")</f>
        <v>#N/A</v>
      </c>
    </row>
    <row r="39" spans="2:10" hidden="1">
      <c r="B39" s="371">
        <v>21</v>
      </c>
      <c r="C39" s="376">
        <f>IF(VLOOKUP(B39,RESUMENGEN!$C$20:$M$219,10,FALSE)="","",VLOOKUP(B39,RESUMENGEN!$C$20:$M$219,10,FALSE))</f>
        <v>0</v>
      </c>
      <c r="D39" s="372">
        <f t="shared" si="2"/>
        <v>3.0000000000000012E-9</v>
      </c>
      <c r="E39" s="377" t="e">
        <f>IF(VLOOKUP(C39,RESUMENGEN!$B$20:$J$219,4,FALSE)="HÁBIL",VLOOKUP(C39,RESUMENGEN!$B$20:$J$219,9,FALSE)-D39,-D39)</f>
        <v>#N/A</v>
      </c>
      <c r="F39" s="373" t="e">
        <f t="shared" si="3"/>
        <v>#N/A</v>
      </c>
      <c r="G39" s="531" t="e">
        <f ca="1">VLOOKUP(I39,RESUMENGEN!$B$20:$J$219,3,FALSE)</f>
        <v>#N/A</v>
      </c>
      <c r="H39" s="377" t="e">
        <f ca="1">VLOOKUP(I39,RESUMENGEN!$B$20:$J$219,9,FALSE)</f>
        <v>#N/A</v>
      </c>
      <c r="I39" s="374" t="e">
        <f t="shared" ca="1" si="1"/>
        <v>#N/A</v>
      </c>
      <c r="J39" s="375" t="e">
        <f ca="1">IF(AND(VLOOKUP(I39,RESUMENGEN!$B$20:$J$219,4,0)="HÁBIL"),"ELEGIBLE","NO ELEGIBLE")</f>
        <v>#N/A</v>
      </c>
    </row>
    <row r="40" spans="2:10" hidden="1">
      <c r="B40" s="371">
        <v>22</v>
      </c>
      <c r="C40" s="376">
        <f>IF(VLOOKUP(B40,RESUMENGEN!$C$20:$M$219,10,FALSE)="","",VLOOKUP(B40,RESUMENGEN!$C$20:$M$219,10,FALSE))</f>
        <v>0</v>
      </c>
      <c r="D40" s="372">
        <f t="shared" si="2"/>
        <v>3.1000000000000013E-9</v>
      </c>
      <c r="E40" s="377" t="e">
        <f>IF(VLOOKUP(C40,RESUMENGEN!$B$20:$J$219,4,FALSE)="HÁBIL",VLOOKUP(C40,RESUMENGEN!$B$20:$J$219,9,FALSE)-D40,-D40)</f>
        <v>#N/A</v>
      </c>
      <c r="F40" s="373" t="e">
        <f t="shared" si="3"/>
        <v>#N/A</v>
      </c>
      <c r="G40" s="531" t="e">
        <f ca="1">VLOOKUP(I40,RESUMENGEN!$B$20:$J$219,3,FALSE)</f>
        <v>#N/A</v>
      </c>
      <c r="H40" s="377" t="e">
        <f ca="1">VLOOKUP(I40,RESUMENGEN!$B$20:$J$219,9,FALSE)</f>
        <v>#N/A</v>
      </c>
      <c r="I40" s="374" t="e">
        <f t="shared" ca="1" si="1"/>
        <v>#N/A</v>
      </c>
      <c r="J40" s="375" t="e">
        <f ca="1">IF(AND(VLOOKUP(I40,RESUMENGEN!$B$20:$J$219,4,0)="HÁBIL"),"ELEGIBLE","NO ELEGIBLE")</f>
        <v>#N/A</v>
      </c>
    </row>
    <row r="41" spans="2:10" hidden="1">
      <c r="B41" s="371">
        <v>23</v>
      </c>
      <c r="C41" s="376">
        <f>IF(VLOOKUP(B41,RESUMENGEN!$C$20:$M$219,10,FALSE)="","",VLOOKUP(B41,RESUMENGEN!$C$20:$M$219,10,FALSE))</f>
        <v>0</v>
      </c>
      <c r="D41" s="372">
        <f t="shared" si="2"/>
        <v>3.2000000000000014E-9</v>
      </c>
      <c r="E41" s="377" t="e">
        <f>IF(VLOOKUP(C41,RESUMENGEN!$B$20:$J$219,4,FALSE)="HÁBIL",VLOOKUP(C41,RESUMENGEN!$B$20:$J$219,9,FALSE)-D41,-D41)</f>
        <v>#N/A</v>
      </c>
      <c r="F41" s="373" t="e">
        <f t="shared" si="3"/>
        <v>#N/A</v>
      </c>
      <c r="G41" s="531" t="e">
        <f ca="1">VLOOKUP(I41,RESUMENGEN!$B$20:$J$219,3,FALSE)</f>
        <v>#N/A</v>
      </c>
      <c r="H41" s="377" t="e">
        <f ca="1">VLOOKUP(I41,RESUMENGEN!$B$20:$J$219,9,FALSE)</f>
        <v>#N/A</v>
      </c>
      <c r="I41" s="374" t="e">
        <f t="shared" ca="1" si="1"/>
        <v>#N/A</v>
      </c>
      <c r="J41" s="375" t="e">
        <f ca="1">IF(AND(VLOOKUP(I41,RESUMENGEN!$B$20:$J$219,4,0)="HÁBIL"),"ELEGIBLE","NO ELEGIBLE")</f>
        <v>#N/A</v>
      </c>
    </row>
    <row r="42" spans="2:10" hidden="1">
      <c r="B42" s="371">
        <v>24</v>
      </c>
      <c r="C42" s="376">
        <f>IF(VLOOKUP(B42,RESUMENGEN!$C$20:$M$219,10,FALSE)="","",VLOOKUP(B42,RESUMENGEN!$C$20:$M$219,10,FALSE))</f>
        <v>0</v>
      </c>
      <c r="D42" s="372">
        <f t="shared" si="2"/>
        <v>3.3000000000000014E-9</v>
      </c>
      <c r="E42" s="377" t="e">
        <f>IF(VLOOKUP(C42,RESUMENGEN!$B$20:$J$219,4,FALSE)="HÁBIL",VLOOKUP(C42,RESUMENGEN!$B$20:$J$219,9,FALSE)-D42,-D42)</f>
        <v>#N/A</v>
      </c>
      <c r="F42" s="373" t="e">
        <f t="shared" si="3"/>
        <v>#N/A</v>
      </c>
      <c r="G42" s="531" t="e">
        <f ca="1">VLOOKUP(I42,RESUMENGEN!$B$20:$J$219,3,FALSE)</f>
        <v>#N/A</v>
      </c>
      <c r="H42" s="377" t="e">
        <f ca="1">VLOOKUP(I42,RESUMENGEN!$B$20:$J$219,9,FALSE)</f>
        <v>#N/A</v>
      </c>
      <c r="I42" s="374" t="e">
        <f t="shared" ca="1" si="1"/>
        <v>#N/A</v>
      </c>
      <c r="J42" s="375" t="e">
        <f ca="1">IF(AND(VLOOKUP(I42,RESUMENGEN!$B$20:$J$219,4,0)="HÁBIL"),"ELEGIBLE","NO ELEGIBLE")</f>
        <v>#N/A</v>
      </c>
    </row>
    <row r="43" spans="2:10" hidden="1">
      <c r="B43" s="371">
        <v>25</v>
      </c>
      <c r="C43" s="376">
        <f>IF(VLOOKUP(B43,RESUMENGEN!$C$20:$M$219,10,FALSE)="","",VLOOKUP(B43,RESUMENGEN!$C$20:$M$219,10,FALSE))</f>
        <v>0</v>
      </c>
      <c r="D43" s="372">
        <f t="shared" si="2"/>
        <v>3.4000000000000015E-9</v>
      </c>
      <c r="E43" s="377" t="e">
        <f>IF(VLOOKUP(C43,RESUMENGEN!$B$20:$J$219,4,FALSE)="HÁBIL",VLOOKUP(C43,RESUMENGEN!$B$20:$J$219,9,FALSE)-D43,-D43)</f>
        <v>#N/A</v>
      </c>
      <c r="F43" s="373" t="e">
        <f t="shared" si="3"/>
        <v>#N/A</v>
      </c>
      <c r="G43" s="531" t="e">
        <f ca="1">VLOOKUP(I43,RESUMENGEN!$B$20:$J$219,3,FALSE)</f>
        <v>#N/A</v>
      </c>
      <c r="H43" s="377" t="e">
        <f ca="1">VLOOKUP(I43,RESUMENGEN!$B$20:$J$219,9,FALSE)</f>
        <v>#N/A</v>
      </c>
      <c r="I43" s="374" t="e">
        <f t="shared" ca="1" si="1"/>
        <v>#N/A</v>
      </c>
      <c r="J43" s="375" t="e">
        <f ca="1">IF(AND(VLOOKUP(I43,RESUMENGEN!$B$20:$J$219,4,0)="HÁBIL"),"ELEGIBLE","NO ELEGIBLE")</f>
        <v>#N/A</v>
      </c>
    </row>
    <row r="44" spans="2:10" hidden="1">
      <c r="B44" s="371">
        <v>26</v>
      </c>
      <c r="C44" s="376">
        <f>IF(VLOOKUP(B44,RESUMENGEN!$C$20:$M$219,10,FALSE)="","",VLOOKUP(B44,RESUMENGEN!$C$20:$M$219,10,FALSE))</f>
        <v>0</v>
      </c>
      <c r="D44" s="372">
        <f t="shared" si="2"/>
        <v>3.5000000000000016E-9</v>
      </c>
      <c r="E44" s="377" t="e">
        <f>IF(VLOOKUP(C44,RESUMENGEN!$B$20:$J$219,4,FALSE)="HÁBIL",VLOOKUP(C44,RESUMENGEN!$B$20:$J$219,9,FALSE)-D44,-D44)</f>
        <v>#N/A</v>
      </c>
      <c r="F44" s="373" t="e">
        <f t="shared" si="3"/>
        <v>#N/A</v>
      </c>
      <c r="G44" s="531" t="e">
        <f ca="1">VLOOKUP(I44,RESUMENGEN!$B$20:$J$219,3,FALSE)</f>
        <v>#N/A</v>
      </c>
      <c r="H44" s="377" t="e">
        <f ca="1">VLOOKUP(I44,RESUMENGEN!$B$20:$J$219,9,FALSE)</f>
        <v>#N/A</v>
      </c>
      <c r="I44" s="374" t="e">
        <f t="shared" ca="1" si="1"/>
        <v>#N/A</v>
      </c>
      <c r="J44" s="375" t="e">
        <f ca="1">IF(AND(VLOOKUP(I44,RESUMENGEN!$B$20:$J$219,4,0)="HÁBIL"),"ELEGIBLE","NO ELEGIBLE")</f>
        <v>#N/A</v>
      </c>
    </row>
    <row r="45" spans="2:10" hidden="1">
      <c r="B45" s="371">
        <v>27</v>
      </c>
      <c r="C45" s="376">
        <f>IF(VLOOKUP(B45,RESUMENGEN!$C$20:$M$219,10,FALSE)="","",VLOOKUP(B45,RESUMENGEN!$C$20:$M$219,10,FALSE))</f>
        <v>0</v>
      </c>
      <c r="D45" s="372">
        <f t="shared" si="2"/>
        <v>3.6000000000000016E-9</v>
      </c>
      <c r="E45" s="377" t="e">
        <f>IF(VLOOKUP(C45,RESUMENGEN!$B$20:$J$219,4,FALSE)="HÁBIL",VLOOKUP(C45,RESUMENGEN!$B$20:$J$219,9,FALSE)-D45,-D45)</f>
        <v>#N/A</v>
      </c>
      <c r="F45" s="373" t="e">
        <f t="shared" si="3"/>
        <v>#N/A</v>
      </c>
      <c r="G45" s="531" t="e">
        <f ca="1">VLOOKUP(I45,RESUMENGEN!$B$20:$J$219,3,FALSE)</f>
        <v>#N/A</v>
      </c>
      <c r="H45" s="377" t="e">
        <f ca="1">VLOOKUP(I45,RESUMENGEN!$B$20:$J$219,9,FALSE)</f>
        <v>#N/A</v>
      </c>
      <c r="I45" s="374" t="e">
        <f t="shared" ca="1" si="1"/>
        <v>#N/A</v>
      </c>
      <c r="J45" s="375" t="e">
        <f ca="1">IF(AND(VLOOKUP(I45,RESUMENGEN!$B$20:$J$219,4,0)="HÁBIL"),"ELEGIBLE","NO ELEGIBLE")</f>
        <v>#N/A</v>
      </c>
    </row>
    <row r="46" spans="2:10" hidden="1">
      <c r="B46" s="371">
        <v>28</v>
      </c>
      <c r="C46" s="376">
        <f>IF(VLOOKUP(B46,RESUMENGEN!$C$20:$M$219,10,FALSE)="","",VLOOKUP(B46,RESUMENGEN!$C$20:$M$219,10,FALSE))</f>
        <v>0</v>
      </c>
      <c r="D46" s="372">
        <f t="shared" si="2"/>
        <v>3.7000000000000017E-9</v>
      </c>
      <c r="E46" s="377" t="e">
        <f>IF(VLOOKUP(C46,RESUMENGEN!$B$20:$J$219,4,FALSE)="HÁBIL",VLOOKUP(C46,RESUMENGEN!$B$20:$J$219,9,FALSE)-D46,-D46)</f>
        <v>#N/A</v>
      </c>
      <c r="F46" s="373" t="e">
        <f t="shared" si="3"/>
        <v>#N/A</v>
      </c>
      <c r="G46" s="531" t="e">
        <f ca="1">VLOOKUP(I46,RESUMENGEN!$B$20:$J$219,3,FALSE)</f>
        <v>#N/A</v>
      </c>
      <c r="H46" s="377" t="e">
        <f ca="1">VLOOKUP(I46,RESUMENGEN!$B$20:$J$219,9,FALSE)</f>
        <v>#N/A</v>
      </c>
      <c r="I46" s="374" t="e">
        <f t="shared" ca="1" si="1"/>
        <v>#N/A</v>
      </c>
      <c r="J46" s="375" t="e">
        <f ca="1">IF(AND(VLOOKUP(I46,RESUMENGEN!$B$20:$J$219,4,0)="HÁBIL"),"ELEGIBLE","NO ELEGIBLE")</f>
        <v>#N/A</v>
      </c>
    </row>
    <row r="47" spans="2:10" hidden="1">
      <c r="B47" s="371">
        <v>29</v>
      </c>
      <c r="C47" s="376">
        <f>IF(VLOOKUP(B47,RESUMENGEN!$C$20:$M$219,10,FALSE)="","",VLOOKUP(B47,RESUMENGEN!$C$20:$M$219,10,FALSE))</f>
        <v>0</v>
      </c>
      <c r="D47" s="372">
        <f t="shared" si="2"/>
        <v>3.8000000000000018E-9</v>
      </c>
      <c r="E47" s="377" t="e">
        <f>IF(VLOOKUP(C47,RESUMENGEN!$B$20:$J$219,4,FALSE)="HÁBIL",VLOOKUP(C47,RESUMENGEN!$B$20:$J$219,9,FALSE)-D47,-D47)</f>
        <v>#N/A</v>
      </c>
      <c r="F47" s="373" t="e">
        <f t="shared" si="3"/>
        <v>#N/A</v>
      </c>
      <c r="G47" s="531" t="e">
        <f ca="1">VLOOKUP(I47,RESUMENGEN!$B$20:$J$219,3,FALSE)</f>
        <v>#N/A</v>
      </c>
      <c r="H47" s="377" t="e">
        <f ca="1">VLOOKUP(I47,RESUMENGEN!$B$20:$J$219,9,FALSE)</f>
        <v>#N/A</v>
      </c>
      <c r="I47" s="374" t="e">
        <f t="shared" ca="1" si="1"/>
        <v>#N/A</v>
      </c>
      <c r="J47" s="375" t="e">
        <f ca="1">IF(AND(VLOOKUP(I47,RESUMENGEN!$B$20:$J$219,4,0)="HÁBIL"),"ELEGIBLE","NO ELEGIBLE")</f>
        <v>#N/A</v>
      </c>
    </row>
    <row r="48" spans="2:10" hidden="1">
      <c r="B48" s="371">
        <v>30</v>
      </c>
      <c r="C48" s="376">
        <f>IF(VLOOKUP(B48,RESUMENGEN!$C$20:$M$219,10,FALSE)="","",VLOOKUP(B48,RESUMENGEN!$C$20:$M$219,10,FALSE))</f>
        <v>0</v>
      </c>
      <c r="D48" s="372">
        <f t="shared" si="2"/>
        <v>3.9000000000000018E-9</v>
      </c>
      <c r="E48" s="377" t="e">
        <f>IF(VLOOKUP(C48,RESUMENGEN!$B$20:$J$219,4,FALSE)="HÁBIL",VLOOKUP(C48,RESUMENGEN!$B$20:$J$219,9,FALSE)-D48,-D48)</f>
        <v>#N/A</v>
      </c>
      <c r="F48" s="373" t="e">
        <f t="shared" si="3"/>
        <v>#N/A</v>
      </c>
      <c r="G48" s="531" t="e">
        <f ca="1">VLOOKUP(I48,RESUMENGEN!$B$20:$J$219,3,FALSE)</f>
        <v>#N/A</v>
      </c>
      <c r="H48" s="377" t="e">
        <f ca="1">VLOOKUP(I48,RESUMENGEN!$B$20:$J$219,9,FALSE)</f>
        <v>#N/A</v>
      </c>
      <c r="I48" s="374" t="e">
        <f t="shared" ca="1" si="1"/>
        <v>#N/A</v>
      </c>
      <c r="J48" s="375" t="e">
        <f ca="1">IF(AND(VLOOKUP(I48,RESUMENGEN!$B$20:$J$219,4,0)="HÁBIL"),"ELEGIBLE","NO ELEGIBLE")</f>
        <v>#N/A</v>
      </c>
    </row>
    <row r="49" spans="2:10" hidden="1">
      <c r="B49" s="371">
        <v>31</v>
      </c>
      <c r="C49" s="376">
        <f>IF(VLOOKUP(B49,RESUMENGEN!$C$20:$M$219,10,FALSE)="","",VLOOKUP(B49,RESUMENGEN!$C$20:$M$219,10,FALSE))</f>
        <v>0</v>
      </c>
      <c r="D49" s="372">
        <f t="shared" si="2"/>
        <v>4.0000000000000019E-9</v>
      </c>
      <c r="E49" s="377" t="e">
        <f>IF(VLOOKUP(C49,RESUMENGEN!$B$20:$J$219,4,FALSE)="HÁBIL",VLOOKUP(C49,RESUMENGEN!$B$20:$J$219,9,FALSE)-D49,-D49)</f>
        <v>#N/A</v>
      </c>
      <c r="F49" s="373" t="e">
        <f t="shared" si="3"/>
        <v>#N/A</v>
      </c>
      <c r="G49" s="531" t="e">
        <f ca="1">VLOOKUP(I49,RESUMENGEN!$B$20:$J$219,3,FALSE)</f>
        <v>#N/A</v>
      </c>
      <c r="H49" s="377" t="e">
        <f ca="1">VLOOKUP(I49,RESUMENGEN!$B$20:$J$219,9,FALSE)</f>
        <v>#N/A</v>
      </c>
      <c r="I49" s="374" t="e">
        <f t="shared" ca="1" si="1"/>
        <v>#N/A</v>
      </c>
      <c r="J49" s="375" t="e">
        <f ca="1">IF(AND(VLOOKUP(I49,RESUMENGEN!$B$20:$J$219,4,0)="HÁBIL"),"ELEGIBLE","NO ELEGIBLE")</f>
        <v>#N/A</v>
      </c>
    </row>
    <row r="50" spans="2:10" hidden="1">
      <c r="B50" s="371">
        <v>32</v>
      </c>
      <c r="C50" s="376">
        <f>IF(VLOOKUP(B50,RESUMENGEN!$C$20:$M$219,10,FALSE)="","",VLOOKUP(B50,RESUMENGEN!$C$20:$M$219,10,FALSE))</f>
        <v>0</v>
      </c>
      <c r="D50" s="372">
        <f t="shared" si="2"/>
        <v>4.100000000000002E-9</v>
      </c>
      <c r="E50" s="377" t="e">
        <f>IF(VLOOKUP(C50,RESUMENGEN!$B$20:$J$219,4,FALSE)="HÁBIL",VLOOKUP(C50,RESUMENGEN!$B$20:$J$219,9,FALSE)-D50,-D50)</f>
        <v>#N/A</v>
      </c>
      <c r="F50" s="373" t="e">
        <f t="shared" si="3"/>
        <v>#N/A</v>
      </c>
      <c r="G50" s="531" t="e">
        <f ca="1">VLOOKUP(I50,RESUMENGEN!$B$20:$J$219,3,FALSE)</f>
        <v>#N/A</v>
      </c>
      <c r="H50" s="377" t="e">
        <f ca="1">VLOOKUP(I50,RESUMENGEN!$B$20:$J$219,9,FALSE)</f>
        <v>#N/A</v>
      </c>
      <c r="I50" s="374" t="e">
        <f t="shared" ca="1" si="1"/>
        <v>#N/A</v>
      </c>
      <c r="J50" s="375" t="e">
        <f ca="1">IF(AND(VLOOKUP(I50,RESUMENGEN!$B$20:$J$219,4,0)="HÁBIL"),"ELEGIBLE","NO ELEGIBLE")</f>
        <v>#N/A</v>
      </c>
    </row>
    <row r="51" spans="2:10" hidden="1">
      <c r="B51" s="371">
        <v>33</v>
      </c>
      <c r="C51" s="376">
        <f>IF(VLOOKUP(B51,RESUMENGEN!$C$20:$M$219,10,FALSE)="","",VLOOKUP(B51,RESUMENGEN!$C$20:$M$219,10,FALSE))</f>
        <v>0</v>
      </c>
      <c r="D51" s="372">
        <f t="shared" si="2"/>
        <v>4.200000000000002E-9</v>
      </c>
      <c r="E51" s="377" t="e">
        <f>IF(VLOOKUP(C51,RESUMENGEN!$B$20:$J$219,4,FALSE)="HÁBIL",VLOOKUP(C51,RESUMENGEN!$B$20:$J$219,9,FALSE)-D51,-D51)</f>
        <v>#N/A</v>
      </c>
      <c r="F51" s="373" t="e">
        <f t="shared" ref="F51:F82" si="4">RANK(E51,$E$19:$E$218)</f>
        <v>#N/A</v>
      </c>
      <c r="G51" s="531" t="e">
        <f ca="1">VLOOKUP(I51,RESUMENGEN!$B$20:$J$219,3,FALSE)</f>
        <v>#N/A</v>
      </c>
      <c r="H51" s="377" t="e">
        <f ca="1">VLOOKUP(I51,RESUMENGEN!$B$20:$J$219,9,FALSE)</f>
        <v>#N/A</v>
      </c>
      <c r="I51" s="374" t="e">
        <f t="shared" ref="I51:I82" ca="1" si="5">IF(C51="","",OFFSET($C$18,MATCH(B51,$F$19:$F$218,0),0))</f>
        <v>#N/A</v>
      </c>
      <c r="J51" s="375" t="e">
        <f ca="1">IF(AND(VLOOKUP(I51,RESUMENGEN!$B$20:$J$219,4,0)="HÁBIL"),"ELEGIBLE","NO ELEGIBLE")</f>
        <v>#N/A</v>
      </c>
    </row>
    <row r="52" spans="2:10" hidden="1">
      <c r="B52" s="371">
        <v>34</v>
      </c>
      <c r="C52" s="376">
        <f>IF(VLOOKUP(B52,RESUMENGEN!$C$20:$M$219,10,FALSE)="","",VLOOKUP(B52,RESUMENGEN!$C$20:$M$219,10,FALSE))</f>
        <v>0</v>
      </c>
      <c r="D52" s="372">
        <f t="shared" si="2"/>
        <v>4.3000000000000021E-9</v>
      </c>
      <c r="E52" s="377" t="e">
        <f>IF(VLOOKUP(C52,RESUMENGEN!$B$20:$J$219,4,FALSE)="HÁBIL",VLOOKUP(C52,RESUMENGEN!$B$20:$J$219,9,FALSE)-D52,-D52)</f>
        <v>#N/A</v>
      </c>
      <c r="F52" s="373" t="e">
        <f t="shared" si="4"/>
        <v>#N/A</v>
      </c>
      <c r="G52" s="531" t="e">
        <f ca="1">VLOOKUP(I52,RESUMENGEN!$B$20:$J$219,3,FALSE)</f>
        <v>#N/A</v>
      </c>
      <c r="H52" s="377" t="e">
        <f ca="1">VLOOKUP(I52,RESUMENGEN!$B$20:$J$219,9,FALSE)</f>
        <v>#N/A</v>
      </c>
      <c r="I52" s="374" t="e">
        <f t="shared" ca="1" si="5"/>
        <v>#N/A</v>
      </c>
      <c r="J52" s="375" t="e">
        <f ca="1">IF(AND(VLOOKUP(I52,RESUMENGEN!$B$20:$J$219,4,0)="HÁBIL"),"ELEGIBLE","NO ELEGIBLE")</f>
        <v>#N/A</v>
      </c>
    </row>
    <row r="53" spans="2:10" hidden="1">
      <c r="B53" s="371">
        <v>35</v>
      </c>
      <c r="C53" s="376">
        <f>IF(VLOOKUP(B53,RESUMENGEN!$C$20:$M$219,10,FALSE)="","",VLOOKUP(B53,RESUMENGEN!$C$20:$M$219,10,FALSE))</f>
        <v>0</v>
      </c>
      <c r="D53" s="372">
        <f t="shared" si="2"/>
        <v>4.4000000000000022E-9</v>
      </c>
      <c r="E53" s="377" t="e">
        <f>IF(VLOOKUP(C53,RESUMENGEN!$B$20:$J$219,4,FALSE)="HÁBIL",VLOOKUP(C53,RESUMENGEN!$B$20:$J$219,9,FALSE)-D53,-D53)</f>
        <v>#N/A</v>
      </c>
      <c r="F53" s="373" t="e">
        <f t="shared" si="4"/>
        <v>#N/A</v>
      </c>
      <c r="G53" s="531" t="e">
        <f ca="1">VLOOKUP(I53,RESUMENGEN!$B$20:$J$219,3,FALSE)</f>
        <v>#N/A</v>
      </c>
      <c r="H53" s="377" t="e">
        <f ca="1">VLOOKUP(I53,RESUMENGEN!$B$20:$J$219,9,FALSE)</f>
        <v>#N/A</v>
      </c>
      <c r="I53" s="374" t="e">
        <f t="shared" ca="1" si="5"/>
        <v>#N/A</v>
      </c>
      <c r="J53" s="375" t="e">
        <f ca="1">IF(AND(VLOOKUP(I53,RESUMENGEN!$B$20:$J$219,4,0)="HÁBIL"),"ELEGIBLE","NO ELEGIBLE")</f>
        <v>#N/A</v>
      </c>
    </row>
    <row r="54" spans="2:10" hidden="1">
      <c r="B54" s="371">
        <v>36</v>
      </c>
      <c r="C54" s="376">
        <f>IF(VLOOKUP(B54,RESUMENGEN!$C$20:$M$219,10,FALSE)="","",VLOOKUP(B54,RESUMENGEN!$C$20:$M$219,10,FALSE))</f>
        <v>0</v>
      </c>
      <c r="D54" s="372">
        <f t="shared" si="2"/>
        <v>4.5000000000000022E-9</v>
      </c>
      <c r="E54" s="377" t="e">
        <f>IF(VLOOKUP(C54,RESUMENGEN!$B$20:$J$219,4,FALSE)="HÁBIL",VLOOKUP(C54,RESUMENGEN!$B$20:$J$219,9,FALSE)-D54,-D54)</f>
        <v>#N/A</v>
      </c>
      <c r="F54" s="373" t="e">
        <f t="shared" si="4"/>
        <v>#N/A</v>
      </c>
      <c r="G54" s="531" t="e">
        <f ca="1">VLOOKUP(I54,RESUMENGEN!$B$20:$J$219,3,FALSE)</f>
        <v>#N/A</v>
      </c>
      <c r="H54" s="377" t="e">
        <f ca="1">VLOOKUP(I54,RESUMENGEN!$B$20:$J$219,9,FALSE)</f>
        <v>#N/A</v>
      </c>
      <c r="I54" s="374" t="e">
        <f t="shared" ca="1" si="5"/>
        <v>#N/A</v>
      </c>
      <c r="J54" s="375" t="e">
        <f ca="1">IF(AND(VLOOKUP(I54,RESUMENGEN!$B$20:$J$219,4,0)="HÁBIL"),"ELEGIBLE","NO ELEGIBLE")</f>
        <v>#N/A</v>
      </c>
    </row>
    <row r="55" spans="2:10" hidden="1">
      <c r="B55" s="371">
        <v>37</v>
      </c>
      <c r="C55" s="376">
        <f>IF(VLOOKUP(B55,RESUMENGEN!$C$20:$M$219,10,FALSE)="","",VLOOKUP(B55,RESUMENGEN!$C$20:$M$219,10,FALSE))</f>
        <v>0</v>
      </c>
      <c r="D55" s="372">
        <f t="shared" si="2"/>
        <v>4.6000000000000023E-9</v>
      </c>
      <c r="E55" s="377" t="e">
        <f>IF(VLOOKUP(C55,RESUMENGEN!$B$20:$J$219,4,FALSE)="HÁBIL",VLOOKUP(C55,RESUMENGEN!$B$20:$J$219,9,FALSE)-D55,-D55)</f>
        <v>#N/A</v>
      </c>
      <c r="F55" s="373" t="e">
        <f t="shared" si="4"/>
        <v>#N/A</v>
      </c>
      <c r="G55" s="531" t="e">
        <f ca="1">VLOOKUP(I55,RESUMENGEN!$B$20:$J$219,3,FALSE)</f>
        <v>#N/A</v>
      </c>
      <c r="H55" s="377" t="e">
        <f ca="1">VLOOKUP(I55,RESUMENGEN!$B$20:$J$219,9,FALSE)</f>
        <v>#N/A</v>
      </c>
      <c r="I55" s="374" t="e">
        <f t="shared" ca="1" si="5"/>
        <v>#N/A</v>
      </c>
      <c r="J55" s="375" t="e">
        <f ca="1">IF(AND(VLOOKUP(I55,RESUMENGEN!$B$20:$J$219,4,0)="HÁBIL"),"ELEGIBLE","NO ELEGIBLE")</f>
        <v>#N/A</v>
      </c>
    </row>
    <row r="56" spans="2:10" hidden="1">
      <c r="B56" s="371">
        <v>38</v>
      </c>
      <c r="C56" s="376">
        <f>IF(VLOOKUP(B56,RESUMENGEN!$C$20:$M$219,10,FALSE)="","",VLOOKUP(B56,RESUMENGEN!$C$20:$M$219,10,FALSE))</f>
        <v>0</v>
      </c>
      <c r="D56" s="372">
        <f t="shared" si="2"/>
        <v>4.7000000000000024E-9</v>
      </c>
      <c r="E56" s="377" t="e">
        <f>IF(VLOOKUP(C56,RESUMENGEN!$B$20:$J$219,4,FALSE)="HÁBIL",VLOOKUP(C56,RESUMENGEN!$B$20:$J$219,9,FALSE)-D56,-D56)</f>
        <v>#N/A</v>
      </c>
      <c r="F56" s="373" t="e">
        <f t="shared" si="4"/>
        <v>#N/A</v>
      </c>
      <c r="G56" s="531" t="e">
        <f ca="1">VLOOKUP(I56,RESUMENGEN!$B$20:$J$219,3,FALSE)</f>
        <v>#N/A</v>
      </c>
      <c r="H56" s="377" t="e">
        <f ca="1">VLOOKUP(I56,RESUMENGEN!$B$20:$J$219,9,FALSE)</f>
        <v>#N/A</v>
      </c>
      <c r="I56" s="374" t="e">
        <f t="shared" ca="1" si="5"/>
        <v>#N/A</v>
      </c>
      <c r="J56" s="375" t="e">
        <f ca="1">IF(AND(VLOOKUP(I56,RESUMENGEN!$B$20:$J$219,4,0)="HÁBIL"),"ELEGIBLE","NO ELEGIBLE")</f>
        <v>#N/A</v>
      </c>
    </row>
    <row r="57" spans="2:10" hidden="1">
      <c r="B57" s="371">
        <v>39</v>
      </c>
      <c r="C57" s="376">
        <f>IF(VLOOKUP(B57,RESUMENGEN!$C$20:$M$219,10,FALSE)="","",VLOOKUP(B57,RESUMENGEN!$C$20:$M$219,10,FALSE))</f>
        <v>0</v>
      </c>
      <c r="D57" s="372">
        <f t="shared" si="2"/>
        <v>4.8000000000000024E-9</v>
      </c>
      <c r="E57" s="377" t="e">
        <f>IF(VLOOKUP(C57,RESUMENGEN!$B$20:$J$219,4,FALSE)="HÁBIL",VLOOKUP(C57,RESUMENGEN!$B$20:$J$219,9,FALSE)-D57,-D57)</f>
        <v>#N/A</v>
      </c>
      <c r="F57" s="373" t="e">
        <f t="shared" si="4"/>
        <v>#N/A</v>
      </c>
      <c r="G57" s="531" t="e">
        <f ca="1">VLOOKUP(I57,RESUMENGEN!$B$20:$J$219,3,FALSE)</f>
        <v>#N/A</v>
      </c>
      <c r="H57" s="377" t="e">
        <f ca="1">VLOOKUP(I57,RESUMENGEN!$B$20:$J$219,9,FALSE)</f>
        <v>#N/A</v>
      </c>
      <c r="I57" s="374" t="e">
        <f t="shared" ca="1" si="5"/>
        <v>#N/A</v>
      </c>
      <c r="J57" s="375" t="e">
        <f ca="1">IF(AND(VLOOKUP(I57,RESUMENGEN!$B$20:$J$219,4,0)="HÁBIL"),"ELEGIBLE","NO ELEGIBLE")</f>
        <v>#N/A</v>
      </c>
    </row>
    <row r="58" spans="2:10" hidden="1">
      <c r="B58" s="371">
        <v>40</v>
      </c>
      <c r="C58" s="376">
        <f>IF(VLOOKUP(B58,RESUMENGEN!$C$20:$M$219,10,FALSE)="","",VLOOKUP(B58,RESUMENGEN!$C$20:$M$219,10,FALSE))</f>
        <v>0</v>
      </c>
      <c r="D58" s="372">
        <f t="shared" si="2"/>
        <v>4.9000000000000025E-9</v>
      </c>
      <c r="E58" s="377" t="e">
        <f>IF(VLOOKUP(C58,RESUMENGEN!$B$20:$J$219,4,FALSE)="HÁBIL",VLOOKUP(C58,RESUMENGEN!$B$20:$J$219,9,FALSE)-D58,-D58)</f>
        <v>#N/A</v>
      </c>
      <c r="F58" s="373" t="e">
        <f t="shared" si="4"/>
        <v>#N/A</v>
      </c>
      <c r="G58" s="531" t="e">
        <f ca="1">VLOOKUP(I58,RESUMENGEN!$B$20:$J$219,3,FALSE)</f>
        <v>#N/A</v>
      </c>
      <c r="H58" s="377" t="e">
        <f ca="1">VLOOKUP(I58,RESUMENGEN!$B$20:$J$219,9,FALSE)</f>
        <v>#N/A</v>
      </c>
      <c r="I58" s="374" t="e">
        <f t="shared" ca="1" si="5"/>
        <v>#N/A</v>
      </c>
      <c r="J58" s="375" t="e">
        <f ca="1">IF(AND(VLOOKUP(I58,RESUMENGEN!$B$20:$J$219,4,0)="HÁBIL"),"ELEGIBLE","NO ELEGIBLE")</f>
        <v>#N/A</v>
      </c>
    </row>
    <row r="59" spans="2:10" hidden="1">
      <c r="B59" s="371">
        <v>41</v>
      </c>
      <c r="C59" s="376">
        <f>IF(VLOOKUP(B59,RESUMENGEN!$C$20:$M$219,10,FALSE)="","",VLOOKUP(B59,RESUMENGEN!$C$20:$M$219,10,FALSE))</f>
        <v>0</v>
      </c>
      <c r="D59" s="372">
        <f t="shared" si="2"/>
        <v>5.0000000000000026E-9</v>
      </c>
      <c r="E59" s="377" t="e">
        <f>IF(VLOOKUP(C59,RESUMENGEN!$B$20:$J$219,4,FALSE)="HÁBIL",VLOOKUP(C59,RESUMENGEN!$B$20:$J$219,9,FALSE)-D59,-D59)</f>
        <v>#N/A</v>
      </c>
      <c r="F59" s="373" t="e">
        <f t="shared" si="4"/>
        <v>#N/A</v>
      </c>
      <c r="G59" s="531" t="e">
        <f ca="1">VLOOKUP(I59,RESUMENGEN!$B$20:$J$219,3,FALSE)</f>
        <v>#N/A</v>
      </c>
      <c r="H59" s="377" t="e">
        <f ca="1">VLOOKUP(I59,RESUMENGEN!$B$20:$J$219,9,FALSE)</f>
        <v>#N/A</v>
      </c>
      <c r="I59" s="374" t="e">
        <f t="shared" ca="1" si="5"/>
        <v>#N/A</v>
      </c>
      <c r="J59" s="375" t="e">
        <f ca="1">IF(AND(VLOOKUP(I59,RESUMENGEN!$B$20:$J$219,4,0)="HÁBIL"),"ELEGIBLE","NO ELEGIBLE")</f>
        <v>#N/A</v>
      </c>
    </row>
    <row r="60" spans="2:10" hidden="1">
      <c r="B60" s="371">
        <v>42</v>
      </c>
      <c r="C60" s="376">
        <f>IF(VLOOKUP(B60,RESUMENGEN!$C$20:$M$219,10,FALSE)="","",VLOOKUP(B60,RESUMENGEN!$C$20:$M$219,10,FALSE))</f>
        <v>0</v>
      </c>
      <c r="D60" s="372">
        <f t="shared" si="2"/>
        <v>5.1000000000000027E-9</v>
      </c>
      <c r="E60" s="377" t="e">
        <f>IF(VLOOKUP(C60,RESUMENGEN!$B$20:$J$219,4,FALSE)="HÁBIL",VLOOKUP(C60,RESUMENGEN!$B$20:$J$219,9,FALSE)-D60,-D60)</f>
        <v>#N/A</v>
      </c>
      <c r="F60" s="373" t="e">
        <f t="shared" si="4"/>
        <v>#N/A</v>
      </c>
      <c r="G60" s="531" t="e">
        <f ca="1">VLOOKUP(I60,RESUMENGEN!$B$20:$J$219,3,FALSE)</f>
        <v>#N/A</v>
      </c>
      <c r="H60" s="377" t="e">
        <f ca="1">VLOOKUP(I60,RESUMENGEN!$B$20:$J$219,9,FALSE)</f>
        <v>#N/A</v>
      </c>
      <c r="I60" s="374" t="e">
        <f t="shared" ca="1" si="5"/>
        <v>#N/A</v>
      </c>
      <c r="J60" s="375" t="e">
        <f ca="1">IF(AND(VLOOKUP(I60,RESUMENGEN!$B$20:$J$219,4,0)="HÁBIL"),"ELEGIBLE","NO ELEGIBLE")</f>
        <v>#N/A</v>
      </c>
    </row>
    <row r="61" spans="2:10" hidden="1">
      <c r="B61" s="371">
        <v>43</v>
      </c>
      <c r="C61" s="376">
        <f>IF(VLOOKUP(B61,RESUMENGEN!$C$20:$M$219,10,FALSE)="","",VLOOKUP(B61,RESUMENGEN!$C$20:$M$219,10,FALSE))</f>
        <v>0</v>
      </c>
      <c r="D61" s="372">
        <f t="shared" si="2"/>
        <v>5.2000000000000027E-9</v>
      </c>
      <c r="E61" s="377" t="e">
        <f>IF(VLOOKUP(C61,RESUMENGEN!$B$20:$J$219,4,FALSE)="HÁBIL",VLOOKUP(C61,RESUMENGEN!$B$20:$J$219,9,FALSE)-D61,-D61)</f>
        <v>#N/A</v>
      </c>
      <c r="F61" s="373" t="e">
        <f t="shared" si="4"/>
        <v>#N/A</v>
      </c>
      <c r="G61" s="531" t="e">
        <f ca="1">VLOOKUP(I61,RESUMENGEN!$B$20:$J$219,3,FALSE)</f>
        <v>#N/A</v>
      </c>
      <c r="H61" s="377" t="e">
        <f ca="1">VLOOKUP(I61,RESUMENGEN!$B$20:$J$219,9,FALSE)</f>
        <v>#N/A</v>
      </c>
      <c r="I61" s="374" t="e">
        <f t="shared" ca="1" si="5"/>
        <v>#N/A</v>
      </c>
      <c r="J61" s="375" t="e">
        <f ca="1">IF(AND(VLOOKUP(I61,RESUMENGEN!$B$20:$J$219,4,0)="HÁBIL"),"ELEGIBLE","NO ELEGIBLE")</f>
        <v>#N/A</v>
      </c>
    </row>
    <row r="62" spans="2:10" hidden="1">
      <c r="B62" s="371">
        <v>44</v>
      </c>
      <c r="C62" s="376">
        <f>IF(VLOOKUP(B62,RESUMENGEN!$C$20:$M$219,10,FALSE)="","",VLOOKUP(B62,RESUMENGEN!$C$20:$M$219,10,FALSE))</f>
        <v>0</v>
      </c>
      <c r="D62" s="372">
        <f t="shared" si="2"/>
        <v>5.3000000000000028E-9</v>
      </c>
      <c r="E62" s="377" t="e">
        <f>IF(VLOOKUP(C62,RESUMENGEN!$B$20:$J$219,4,FALSE)="HÁBIL",VLOOKUP(C62,RESUMENGEN!$B$20:$J$219,9,FALSE)-D62,-D62)</f>
        <v>#N/A</v>
      </c>
      <c r="F62" s="373" t="e">
        <f t="shared" si="4"/>
        <v>#N/A</v>
      </c>
      <c r="G62" s="531" t="e">
        <f ca="1">VLOOKUP(I62,RESUMENGEN!$B$20:$J$219,3,FALSE)</f>
        <v>#N/A</v>
      </c>
      <c r="H62" s="377" t="e">
        <f ca="1">VLOOKUP(I62,RESUMENGEN!$B$20:$J$219,9,FALSE)</f>
        <v>#N/A</v>
      </c>
      <c r="I62" s="374" t="e">
        <f t="shared" ca="1" si="5"/>
        <v>#N/A</v>
      </c>
      <c r="J62" s="375" t="e">
        <f ca="1">IF(AND(VLOOKUP(I62,RESUMENGEN!$B$20:$J$219,4,0)="HÁBIL"),"ELEGIBLE","NO ELEGIBLE")</f>
        <v>#N/A</v>
      </c>
    </row>
    <row r="63" spans="2:10" hidden="1">
      <c r="B63" s="371">
        <v>45</v>
      </c>
      <c r="C63" s="376">
        <f>IF(VLOOKUP(B63,RESUMENGEN!$C$20:$M$219,10,FALSE)="","",VLOOKUP(B63,RESUMENGEN!$C$20:$M$219,10,FALSE))</f>
        <v>0</v>
      </c>
      <c r="D63" s="372">
        <f t="shared" si="2"/>
        <v>5.4000000000000029E-9</v>
      </c>
      <c r="E63" s="377" t="e">
        <f>IF(VLOOKUP(C63,RESUMENGEN!$B$20:$J$219,4,FALSE)="HÁBIL",VLOOKUP(C63,RESUMENGEN!$B$20:$J$219,9,FALSE)-D63,-D63)</f>
        <v>#N/A</v>
      </c>
      <c r="F63" s="373" t="e">
        <f t="shared" si="4"/>
        <v>#N/A</v>
      </c>
      <c r="G63" s="531" t="e">
        <f ca="1">VLOOKUP(I63,RESUMENGEN!$B$20:$J$219,3,FALSE)</f>
        <v>#N/A</v>
      </c>
      <c r="H63" s="377" t="e">
        <f ca="1">VLOOKUP(I63,RESUMENGEN!$B$20:$J$219,9,FALSE)</f>
        <v>#N/A</v>
      </c>
      <c r="I63" s="374" t="e">
        <f t="shared" ca="1" si="5"/>
        <v>#N/A</v>
      </c>
      <c r="J63" s="375" t="e">
        <f ca="1">IF(AND(VLOOKUP(I63,RESUMENGEN!$B$20:$J$219,4,0)="HÁBIL"),"ELEGIBLE","NO ELEGIBLE")</f>
        <v>#N/A</v>
      </c>
    </row>
    <row r="64" spans="2:10" hidden="1">
      <c r="B64" s="371">
        <v>46</v>
      </c>
      <c r="C64" s="376">
        <f>IF(VLOOKUP(B64,RESUMENGEN!$C$20:$M$219,10,FALSE)="","",VLOOKUP(B64,RESUMENGEN!$C$20:$M$219,10,FALSE))</f>
        <v>0</v>
      </c>
      <c r="D64" s="372">
        <f t="shared" si="2"/>
        <v>5.5000000000000029E-9</v>
      </c>
      <c r="E64" s="377" t="e">
        <f>IF(VLOOKUP(C64,RESUMENGEN!$B$20:$J$219,4,FALSE)="HÁBIL",VLOOKUP(C64,RESUMENGEN!$B$20:$J$219,9,FALSE)-D64,-D64)</f>
        <v>#N/A</v>
      </c>
      <c r="F64" s="373" t="e">
        <f t="shared" si="4"/>
        <v>#N/A</v>
      </c>
      <c r="G64" s="531" t="e">
        <f ca="1">VLOOKUP(I64,RESUMENGEN!$B$20:$J$219,3,FALSE)</f>
        <v>#N/A</v>
      </c>
      <c r="H64" s="377" t="e">
        <f ca="1">VLOOKUP(I64,RESUMENGEN!$B$20:$J$219,9,FALSE)</f>
        <v>#N/A</v>
      </c>
      <c r="I64" s="374" t="e">
        <f t="shared" ca="1" si="5"/>
        <v>#N/A</v>
      </c>
      <c r="J64" s="375" t="e">
        <f ca="1">IF(AND(VLOOKUP(I64,RESUMENGEN!$B$20:$J$219,4,0)="HÁBIL"),"ELEGIBLE","NO ELEGIBLE")</f>
        <v>#N/A</v>
      </c>
    </row>
    <row r="65" spans="2:10" hidden="1">
      <c r="B65" s="371">
        <v>47</v>
      </c>
      <c r="C65" s="376">
        <f>IF(VLOOKUP(B65,RESUMENGEN!$C$20:$M$219,10,FALSE)="","",VLOOKUP(B65,RESUMENGEN!$C$20:$M$219,10,FALSE))</f>
        <v>0</v>
      </c>
      <c r="D65" s="372">
        <f t="shared" si="2"/>
        <v>5.600000000000003E-9</v>
      </c>
      <c r="E65" s="377" t="e">
        <f>IF(VLOOKUP(C65,RESUMENGEN!$B$20:$J$219,4,FALSE)="HÁBIL",VLOOKUP(C65,RESUMENGEN!$B$20:$J$219,9,FALSE)-D65,-D65)</f>
        <v>#N/A</v>
      </c>
      <c r="F65" s="373" t="e">
        <f t="shared" si="4"/>
        <v>#N/A</v>
      </c>
      <c r="G65" s="531" t="e">
        <f ca="1">VLOOKUP(I65,RESUMENGEN!$B$20:$J$219,3,FALSE)</f>
        <v>#N/A</v>
      </c>
      <c r="H65" s="377" t="e">
        <f ca="1">VLOOKUP(I65,RESUMENGEN!$B$20:$J$219,9,FALSE)</f>
        <v>#N/A</v>
      </c>
      <c r="I65" s="374" t="e">
        <f t="shared" ca="1" si="5"/>
        <v>#N/A</v>
      </c>
      <c r="J65" s="375" t="e">
        <f ca="1">IF(AND(VLOOKUP(I65,RESUMENGEN!$B$20:$J$219,4,0)="HÁBIL"),"ELEGIBLE","NO ELEGIBLE")</f>
        <v>#N/A</v>
      </c>
    </row>
    <row r="66" spans="2:10" hidden="1">
      <c r="B66" s="371">
        <v>48</v>
      </c>
      <c r="C66" s="376">
        <f>IF(VLOOKUP(B66,RESUMENGEN!$C$20:$M$219,10,FALSE)="","",VLOOKUP(B66,RESUMENGEN!$C$20:$M$219,10,FALSE))</f>
        <v>0</v>
      </c>
      <c r="D66" s="372">
        <f t="shared" si="2"/>
        <v>5.7000000000000031E-9</v>
      </c>
      <c r="E66" s="377" t="e">
        <f>IF(VLOOKUP(C66,RESUMENGEN!$B$20:$J$219,4,FALSE)="HÁBIL",VLOOKUP(C66,RESUMENGEN!$B$20:$J$219,9,FALSE)-D66,-D66)</f>
        <v>#N/A</v>
      </c>
      <c r="F66" s="373" t="e">
        <f t="shared" si="4"/>
        <v>#N/A</v>
      </c>
      <c r="G66" s="531" t="e">
        <f ca="1">VLOOKUP(I66,RESUMENGEN!$B$20:$J$219,3,FALSE)</f>
        <v>#N/A</v>
      </c>
      <c r="H66" s="377" t="e">
        <f ca="1">VLOOKUP(I66,RESUMENGEN!$B$20:$J$219,9,FALSE)</f>
        <v>#N/A</v>
      </c>
      <c r="I66" s="374" t="e">
        <f t="shared" ca="1" si="5"/>
        <v>#N/A</v>
      </c>
      <c r="J66" s="375" t="e">
        <f ca="1">IF(AND(VLOOKUP(I66,RESUMENGEN!$B$20:$J$219,4,0)="HÁBIL"),"ELEGIBLE","NO ELEGIBLE")</f>
        <v>#N/A</v>
      </c>
    </row>
    <row r="67" spans="2:10" hidden="1">
      <c r="B67" s="371">
        <v>49</v>
      </c>
      <c r="C67" s="376">
        <f>IF(VLOOKUP(B67,RESUMENGEN!$C$20:$M$219,10,FALSE)="","",VLOOKUP(B67,RESUMENGEN!$C$20:$M$219,10,FALSE))</f>
        <v>0</v>
      </c>
      <c r="D67" s="372">
        <f t="shared" si="2"/>
        <v>5.8000000000000031E-9</v>
      </c>
      <c r="E67" s="377" t="e">
        <f>IF(VLOOKUP(C67,RESUMENGEN!$B$20:$J$219,4,FALSE)="HÁBIL",VLOOKUP(C67,RESUMENGEN!$B$20:$J$219,9,FALSE)-D67,-D67)</f>
        <v>#N/A</v>
      </c>
      <c r="F67" s="373" t="e">
        <f t="shared" si="4"/>
        <v>#N/A</v>
      </c>
      <c r="G67" s="531" t="e">
        <f ca="1">VLOOKUP(I67,RESUMENGEN!$B$20:$J$219,3,FALSE)</f>
        <v>#N/A</v>
      </c>
      <c r="H67" s="377" t="e">
        <f ca="1">VLOOKUP(I67,RESUMENGEN!$B$20:$J$219,9,FALSE)</f>
        <v>#N/A</v>
      </c>
      <c r="I67" s="374" t="e">
        <f t="shared" ca="1" si="5"/>
        <v>#N/A</v>
      </c>
      <c r="J67" s="375" t="e">
        <f ca="1">IF(AND(VLOOKUP(I67,RESUMENGEN!$B$20:$J$219,4,0)="HÁBIL"),"ELEGIBLE","NO ELEGIBLE")</f>
        <v>#N/A</v>
      </c>
    </row>
    <row r="68" spans="2:10" hidden="1">
      <c r="B68" s="371">
        <v>50</v>
      </c>
      <c r="C68" s="376">
        <f>IF(VLOOKUP(B68,RESUMENGEN!$C$20:$M$219,10,FALSE)="","",VLOOKUP(B68,RESUMENGEN!$C$20:$M$219,10,FALSE))</f>
        <v>0</v>
      </c>
      <c r="D68" s="372">
        <f t="shared" si="2"/>
        <v>5.9000000000000032E-9</v>
      </c>
      <c r="E68" s="377" t="e">
        <f>IF(VLOOKUP(C68,RESUMENGEN!$B$20:$J$219,4,FALSE)="HÁBIL",VLOOKUP(C68,RESUMENGEN!$B$20:$J$219,9,FALSE)-D68,-D68)</f>
        <v>#N/A</v>
      </c>
      <c r="F68" s="373" t="e">
        <f t="shared" si="4"/>
        <v>#N/A</v>
      </c>
      <c r="G68" s="531" t="e">
        <f ca="1">VLOOKUP(I68,RESUMENGEN!$B$20:$J$219,3,FALSE)</f>
        <v>#N/A</v>
      </c>
      <c r="H68" s="377" t="e">
        <f ca="1">VLOOKUP(I68,RESUMENGEN!$B$20:$J$219,9,FALSE)</f>
        <v>#N/A</v>
      </c>
      <c r="I68" s="374" t="e">
        <f t="shared" ca="1" si="5"/>
        <v>#N/A</v>
      </c>
      <c r="J68" s="375" t="e">
        <f ca="1">IF(AND(VLOOKUP(I68,RESUMENGEN!$B$20:$J$219,4,0)="HÁBIL"),"ELEGIBLE","NO ELEGIBLE")</f>
        <v>#N/A</v>
      </c>
    </row>
    <row r="69" spans="2:10" hidden="1">
      <c r="B69" s="371">
        <v>51</v>
      </c>
      <c r="C69" s="376">
        <f>IF(VLOOKUP(B69,RESUMENGEN!$C$20:$M$219,10,FALSE)="","",VLOOKUP(B69,RESUMENGEN!$C$20:$M$219,10,FALSE))</f>
        <v>0</v>
      </c>
      <c r="D69" s="372">
        <f t="shared" si="2"/>
        <v>6.0000000000000033E-9</v>
      </c>
      <c r="E69" s="377" t="e">
        <f>IF(VLOOKUP(C69,RESUMENGEN!$B$20:$J$219,4,FALSE)="HÁBIL",VLOOKUP(C69,RESUMENGEN!$B$20:$J$219,9,FALSE)-D69,-D69)</f>
        <v>#N/A</v>
      </c>
      <c r="F69" s="373" t="e">
        <f t="shared" si="4"/>
        <v>#N/A</v>
      </c>
      <c r="G69" s="531" t="e">
        <f ca="1">VLOOKUP(I69,RESUMENGEN!$B$20:$J$219,3,FALSE)</f>
        <v>#N/A</v>
      </c>
      <c r="H69" s="377" t="e">
        <f ca="1">VLOOKUP(I69,RESUMENGEN!$B$20:$J$219,9,FALSE)</f>
        <v>#N/A</v>
      </c>
      <c r="I69" s="374" t="e">
        <f t="shared" ca="1" si="5"/>
        <v>#N/A</v>
      </c>
      <c r="J69" s="375" t="e">
        <f ca="1">IF(AND(VLOOKUP(I69,RESUMENGEN!$B$20:$J$219,4,0)="HÁBIL"),"ELEGIBLE","NO ELEGIBLE")</f>
        <v>#N/A</v>
      </c>
    </row>
    <row r="70" spans="2:10" hidden="1">
      <c r="B70" s="371">
        <v>52</v>
      </c>
      <c r="C70" s="376">
        <f>IF(VLOOKUP(B70,RESUMENGEN!$C$20:$M$219,10,FALSE)="","",VLOOKUP(B70,RESUMENGEN!$C$20:$M$219,10,FALSE))</f>
        <v>0</v>
      </c>
      <c r="D70" s="372">
        <f t="shared" si="2"/>
        <v>6.1000000000000033E-9</v>
      </c>
      <c r="E70" s="377" t="e">
        <f>IF(VLOOKUP(C70,RESUMENGEN!$B$20:$J$219,4,FALSE)="HÁBIL",VLOOKUP(C70,RESUMENGEN!$B$20:$J$219,9,FALSE)-D70,-D70)</f>
        <v>#N/A</v>
      </c>
      <c r="F70" s="373" t="e">
        <f t="shared" si="4"/>
        <v>#N/A</v>
      </c>
      <c r="G70" s="531" t="e">
        <f ca="1">VLOOKUP(I70,RESUMENGEN!$B$20:$J$219,3,FALSE)</f>
        <v>#N/A</v>
      </c>
      <c r="H70" s="377" t="e">
        <f ca="1">VLOOKUP(I70,RESUMENGEN!$B$20:$J$219,9,FALSE)</f>
        <v>#N/A</v>
      </c>
      <c r="I70" s="374" t="e">
        <f t="shared" ca="1" si="5"/>
        <v>#N/A</v>
      </c>
      <c r="J70" s="375" t="e">
        <f ca="1">IF(AND(VLOOKUP(I70,RESUMENGEN!$B$20:$J$219,4,0)="HÁBIL"),"ELEGIBLE","NO ELEGIBLE")</f>
        <v>#N/A</v>
      </c>
    </row>
    <row r="71" spans="2:10" hidden="1">
      <c r="B71" s="371">
        <v>53</v>
      </c>
      <c r="C71" s="376">
        <f>IF(VLOOKUP(B71,RESUMENGEN!$C$20:$M$219,10,FALSE)="","",VLOOKUP(B71,RESUMENGEN!$C$20:$M$219,10,FALSE))</f>
        <v>0</v>
      </c>
      <c r="D71" s="372">
        <f t="shared" si="2"/>
        <v>6.2000000000000034E-9</v>
      </c>
      <c r="E71" s="377" t="e">
        <f>IF(VLOOKUP(C71,RESUMENGEN!$B$20:$J$219,4,FALSE)="HÁBIL",VLOOKUP(C71,RESUMENGEN!$B$20:$J$219,9,FALSE)-D71,-D71)</f>
        <v>#N/A</v>
      </c>
      <c r="F71" s="373" t="e">
        <f t="shared" si="4"/>
        <v>#N/A</v>
      </c>
      <c r="G71" s="531" t="e">
        <f ca="1">VLOOKUP(I71,RESUMENGEN!$B$20:$J$219,3,FALSE)</f>
        <v>#N/A</v>
      </c>
      <c r="H71" s="377" t="e">
        <f ca="1">VLOOKUP(I71,RESUMENGEN!$B$20:$J$219,9,FALSE)</f>
        <v>#N/A</v>
      </c>
      <c r="I71" s="374" t="e">
        <f t="shared" ca="1" si="5"/>
        <v>#N/A</v>
      </c>
      <c r="J71" s="375" t="e">
        <f ca="1">IF(AND(VLOOKUP(I71,RESUMENGEN!$B$20:$J$219,4,0)="HÁBIL"),"ELEGIBLE","NO ELEGIBLE")</f>
        <v>#N/A</v>
      </c>
    </row>
    <row r="72" spans="2:10" hidden="1">
      <c r="B72" s="371">
        <v>54</v>
      </c>
      <c r="C72" s="376">
        <f>IF(VLOOKUP(B72,RESUMENGEN!$C$20:$M$219,10,FALSE)="","",VLOOKUP(B72,RESUMENGEN!$C$20:$M$219,10,FALSE))</f>
        <v>0</v>
      </c>
      <c r="D72" s="372">
        <f t="shared" si="2"/>
        <v>6.3000000000000035E-9</v>
      </c>
      <c r="E72" s="377" t="e">
        <f>IF(VLOOKUP(C72,RESUMENGEN!$B$20:$J$219,4,FALSE)="HÁBIL",VLOOKUP(C72,RESUMENGEN!$B$20:$J$219,9,FALSE)-D72,-D72)</f>
        <v>#N/A</v>
      </c>
      <c r="F72" s="373" t="e">
        <f t="shared" si="4"/>
        <v>#N/A</v>
      </c>
      <c r="G72" s="531" t="e">
        <f ca="1">VLOOKUP(I72,RESUMENGEN!$B$20:$J$219,3,FALSE)</f>
        <v>#N/A</v>
      </c>
      <c r="H72" s="377" t="e">
        <f ca="1">VLOOKUP(I72,RESUMENGEN!$B$20:$J$219,9,FALSE)</f>
        <v>#N/A</v>
      </c>
      <c r="I72" s="374" t="e">
        <f t="shared" ca="1" si="5"/>
        <v>#N/A</v>
      </c>
      <c r="J72" s="375" t="e">
        <f ca="1">IF(AND(VLOOKUP(I72,RESUMENGEN!$B$20:$J$219,4,0)="HÁBIL"),"ELEGIBLE","NO ELEGIBLE")</f>
        <v>#N/A</v>
      </c>
    </row>
    <row r="73" spans="2:10" hidden="1">
      <c r="B73" s="371">
        <v>55</v>
      </c>
      <c r="C73" s="376">
        <f>IF(VLOOKUP(B73,RESUMENGEN!$C$20:$M$219,10,FALSE)="","",VLOOKUP(B73,RESUMENGEN!$C$20:$M$219,10,FALSE))</f>
        <v>0</v>
      </c>
      <c r="D73" s="372">
        <f t="shared" si="2"/>
        <v>6.4000000000000035E-9</v>
      </c>
      <c r="E73" s="377" t="e">
        <f>IF(VLOOKUP(C73,RESUMENGEN!$B$20:$J$219,4,FALSE)="HÁBIL",VLOOKUP(C73,RESUMENGEN!$B$20:$J$219,9,FALSE)-D73,-D73)</f>
        <v>#N/A</v>
      </c>
      <c r="F73" s="373" t="e">
        <f t="shared" si="4"/>
        <v>#N/A</v>
      </c>
      <c r="G73" s="531" t="e">
        <f ca="1">VLOOKUP(I73,RESUMENGEN!$B$20:$J$219,3,FALSE)</f>
        <v>#N/A</v>
      </c>
      <c r="H73" s="377" t="e">
        <f ca="1">VLOOKUP(I73,RESUMENGEN!$B$20:$J$219,9,FALSE)</f>
        <v>#N/A</v>
      </c>
      <c r="I73" s="374" t="e">
        <f t="shared" ca="1" si="5"/>
        <v>#N/A</v>
      </c>
      <c r="J73" s="375" t="e">
        <f ca="1">IF(AND(VLOOKUP(I73,RESUMENGEN!$B$20:$J$219,4,0)="HÁBIL"),"ELEGIBLE","NO ELEGIBLE")</f>
        <v>#N/A</v>
      </c>
    </row>
    <row r="74" spans="2:10" hidden="1">
      <c r="B74" s="371">
        <v>56</v>
      </c>
      <c r="C74" s="376">
        <f>IF(VLOOKUP(B74,RESUMENGEN!$C$20:$M$219,10,FALSE)="","",VLOOKUP(B74,RESUMENGEN!$C$20:$M$219,10,FALSE))</f>
        <v>0</v>
      </c>
      <c r="D74" s="372">
        <f t="shared" si="2"/>
        <v>6.5000000000000036E-9</v>
      </c>
      <c r="E74" s="377" t="e">
        <f>IF(VLOOKUP(C74,RESUMENGEN!$B$20:$J$219,4,FALSE)="HÁBIL",VLOOKUP(C74,RESUMENGEN!$B$20:$J$219,9,FALSE)-D74,-D74)</f>
        <v>#N/A</v>
      </c>
      <c r="F74" s="373" t="e">
        <f t="shared" si="4"/>
        <v>#N/A</v>
      </c>
      <c r="G74" s="531" t="e">
        <f ca="1">VLOOKUP(I74,RESUMENGEN!$B$20:$J$219,3,FALSE)</f>
        <v>#N/A</v>
      </c>
      <c r="H74" s="377" t="e">
        <f ca="1">VLOOKUP(I74,RESUMENGEN!$B$20:$J$219,9,FALSE)</f>
        <v>#N/A</v>
      </c>
      <c r="I74" s="374" t="e">
        <f t="shared" ca="1" si="5"/>
        <v>#N/A</v>
      </c>
      <c r="J74" s="375" t="e">
        <f ca="1">IF(AND(VLOOKUP(I74,RESUMENGEN!$B$20:$J$219,4,0)="HÁBIL"),"ELEGIBLE","NO ELEGIBLE")</f>
        <v>#N/A</v>
      </c>
    </row>
    <row r="75" spans="2:10" hidden="1">
      <c r="B75" s="371">
        <v>57</v>
      </c>
      <c r="C75" s="376">
        <f>IF(VLOOKUP(B75,RESUMENGEN!$C$20:$M$219,10,FALSE)="","",VLOOKUP(B75,RESUMENGEN!$C$20:$M$219,10,FALSE))</f>
        <v>0</v>
      </c>
      <c r="D75" s="372">
        <f t="shared" si="2"/>
        <v>6.6000000000000037E-9</v>
      </c>
      <c r="E75" s="377" t="e">
        <f>IF(VLOOKUP(C75,RESUMENGEN!$B$20:$J$219,4,FALSE)="HÁBIL",VLOOKUP(C75,RESUMENGEN!$B$20:$J$219,9,FALSE)-D75,-D75)</f>
        <v>#N/A</v>
      </c>
      <c r="F75" s="373" t="e">
        <f t="shared" si="4"/>
        <v>#N/A</v>
      </c>
      <c r="G75" s="531" t="e">
        <f ca="1">VLOOKUP(I75,RESUMENGEN!$B$20:$J$219,3,FALSE)</f>
        <v>#N/A</v>
      </c>
      <c r="H75" s="377" t="e">
        <f ca="1">VLOOKUP(I75,RESUMENGEN!$B$20:$J$219,9,FALSE)</f>
        <v>#N/A</v>
      </c>
      <c r="I75" s="374" t="e">
        <f t="shared" ca="1" si="5"/>
        <v>#N/A</v>
      </c>
      <c r="J75" s="375" t="e">
        <f ca="1">IF(AND(VLOOKUP(I75,RESUMENGEN!$B$20:$J$219,4,0)="HÁBIL"),"ELEGIBLE","NO ELEGIBLE")</f>
        <v>#N/A</v>
      </c>
    </row>
    <row r="76" spans="2:10" hidden="1">
      <c r="B76" s="371">
        <v>58</v>
      </c>
      <c r="C76" s="376">
        <f>IF(VLOOKUP(B76,RESUMENGEN!$C$20:$M$219,10,FALSE)="","",VLOOKUP(B76,RESUMENGEN!$C$20:$M$219,10,FALSE))</f>
        <v>0</v>
      </c>
      <c r="D76" s="372">
        <f t="shared" si="2"/>
        <v>6.7000000000000037E-9</v>
      </c>
      <c r="E76" s="377" t="e">
        <f>IF(VLOOKUP(C76,RESUMENGEN!$B$20:$J$219,4,FALSE)="HÁBIL",VLOOKUP(C76,RESUMENGEN!$B$20:$J$219,9,FALSE)-D76,-D76)</f>
        <v>#N/A</v>
      </c>
      <c r="F76" s="373" t="e">
        <f t="shared" si="4"/>
        <v>#N/A</v>
      </c>
      <c r="G76" s="531" t="e">
        <f ca="1">VLOOKUP(I76,RESUMENGEN!$B$20:$J$219,3,FALSE)</f>
        <v>#N/A</v>
      </c>
      <c r="H76" s="377" t="e">
        <f ca="1">VLOOKUP(I76,RESUMENGEN!$B$20:$J$219,9,FALSE)</f>
        <v>#N/A</v>
      </c>
      <c r="I76" s="374" t="e">
        <f t="shared" ca="1" si="5"/>
        <v>#N/A</v>
      </c>
      <c r="J76" s="375" t="e">
        <f ca="1">IF(AND(VLOOKUP(I76,RESUMENGEN!$B$20:$J$219,4,0)="HÁBIL"),"ELEGIBLE","NO ELEGIBLE")</f>
        <v>#N/A</v>
      </c>
    </row>
    <row r="77" spans="2:10" hidden="1">
      <c r="B77" s="371">
        <v>59</v>
      </c>
      <c r="C77" s="376">
        <f>IF(VLOOKUP(B77,RESUMENGEN!$C$20:$M$219,10,FALSE)="","",VLOOKUP(B77,RESUMENGEN!$C$20:$M$219,10,FALSE))</f>
        <v>0</v>
      </c>
      <c r="D77" s="372">
        <f t="shared" si="2"/>
        <v>6.8000000000000038E-9</v>
      </c>
      <c r="E77" s="377" t="e">
        <f>IF(VLOOKUP(C77,RESUMENGEN!$B$20:$J$219,4,FALSE)="HÁBIL",VLOOKUP(C77,RESUMENGEN!$B$20:$J$219,9,FALSE)-D77,-D77)</f>
        <v>#N/A</v>
      </c>
      <c r="F77" s="373" t="e">
        <f t="shared" si="4"/>
        <v>#N/A</v>
      </c>
      <c r="G77" s="531" t="e">
        <f ca="1">VLOOKUP(I77,RESUMENGEN!$B$20:$J$219,3,FALSE)</f>
        <v>#N/A</v>
      </c>
      <c r="H77" s="377" t="e">
        <f ca="1">VLOOKUP(I77,RESUMENGEN!$B$20:$J$219,9,FALSE)</f>
        <v>#N/A</v>
      </c>
      <c r="I77" s="374" t="e">
        <f t="shared" ca="1" si="5"/>
        <v>#N/A</v>
      </c>
      <c r="J77" s="375" t="e">
        <f ca="1">IF(AND(VLOOKUP(I77,RESUMENGEN!$B$20:$J$219,4,0)="HÁBIL"),"ELEGIBLE","NO ELEGIBLE")</f>
        <v>#N/A</v>
      </c>
    </row>
    <row r="78" spans="2:10" hidden="1">
      <c r="B78" s="371">
        <v>60</v>
      </c>
      <c r="C78" s="376">
        <f>IF(VLOOKUP(B78,RESUMENGEN!$C$20:$M$219,10,FALSE)="","",VLOOKUP(B78,RESUMENGEN!$C$20:$M$219,10,FALSE))</f>
        <v>0</v>
      </c>
      <c r="D78" s="372">
        <f t="shared" si="2"/>
        <v>6.9000000000000039E-9</v>
      </c>
      <c r="E78" s="377" t="e">
        <f>IF(VLOOKUP(C78,RESUMENGEN!$B$20:$J$219,4,FALSE)="HÁBIL",VLOOKUP(C78,RESUMENGEN!$B$20:$J$219,9,FALSE)-D78,-D78)</f>
        <v>#N/A</v>
      </c>
      <c r="F78" s="373" t="e">
        <f t="shared" si="4"/>
        <v>#N/A</v>
      </c>
      <c r="G78" s="531" t="e">
        <f ca="1">VLOOKUP(I78,RESUMENGEN!$B$20:$J$219,3,FALSE)</f>
        <v>#N/A</v>
      </c>
      <c r="H78" s="377" t="e">
        <f ca="1">VLOOKUP(I78,RESUMENGEN!$B$20:$J$219,9,FALSE)</f>
        <v>#N/A</v>
      </c>
      <c r="I78" s="374" t="e">
        <f t="shared" ca="1" si="5"/>
        <v>#N/A</v>
      </c>
      <c r="J78" s="375" t="e">
        <f ca="1">IF(AND(VLOOKUP(I78,RESUMENGEN!$B$20:$J$219,4,0)="HÁBIL"),"ELEGIBLE","NO ELEGIBLE")</f>
        <v>#N/A</v>
      </c>
    </row>
    <row r="79" spans="2:10" hidden="1">
      <c r="B79" s="371">
        <v>61</v>
      </c>
      <c r="C79" s="376">
        <f>IF(VLOOKUP(B79,RESUMENGEN!$C$20:$M$219,10,FALSE)="","",VLOOKUP(B79,RESUMENGEN!$C$20:$M$219,10,FALSE))</f>
        <v>0</v>
      </c>
      <c r="D79" s="372">
        <f t="shared" si="2"/>
        <v>7.000000000000004E-9</v>
      </c>
      <c r="E79" s="377" t="e">
        <f>IF(VLOOKUP(C79,RESUMENGEN!$B$20:$J$219,4,FALSE)="HÁBIL",VLOOKUP(C79,RESUMENGEN!$B$20:$J$219,9,FALSE)-D79,-D79)</f>
        <v>#N/A</v>
      </c>
      <c r="F79" s="373" t="e">
        <f t="shared" si="4"/>
        <v>#N/A</v>
      </c>
      <c r="G79" s="531" t="e">
        <f ca="1">VLOOKUP(I79,RESUMENGEN!$B$20:$J$219,3,FALSE)</f>
        <v>#N/A</v>
      </c>
      <c r="H79" s="377" t="e">
        <f ca="1">VLOOKUP(I79,RESUMENGEN!$B$20:$J$219,9,FALSE)</f>
        <v>#N/A</v>
      </c>
      <c r="I79" s="374" t="e">
        <f t="shared" ca="1" si="5"/>
        <v>#N/A</v>
      </c>
      <c r="J79" s="375" t="e">
        <f ca="1">IF(AND(VLOOKUP(I79,RESUMENGEN!$B$20:$J$219,4,0)="HÁBIL"),"ELEGIBLE","NO ELEGIBLE")</f>
        <v>#N/A</v>
      </c>
    </row>
    <row r="80" spans="2:10" hidden="1">
      <c r="B80" s="371">
        <v>62</v>
      </c>
      <c r="C80" s="376">
        <f>IF(VLOOKUP(B80,RESUMENGEN!$C$20:$M$219,10,FALSE)="","",VLOOKUP(B80,RESUMENGEN!$C$20:$M$219,10,FALSE))</f>
        <v>0</v>
      </c>
      <c r="D80" s="372">
        <f t="shared" si="2"/>
        <v>7.100000000000004E-9</v>
      </c>
      <c r="E80" s="377" t="e">
        <f>IF(VLOOKUP(C80,RESUMENGEN!$B$20:$J$219,4,FALSE)="HÁBIL",VLOOKUP(C80,RESUMENGEN!$B$20:$J$219,9,FALSE)-D80,-D80)</f>
        <v>#N/A</v>
      </c>
      <c r="F80" s="373" t="e">
        <f t="shared" si="4"/>
        <v>#N/A</v>
      </c>
      <c r="G80" s="531" t="e">
        <f ca="1">VLOOKUP(I80,RESUMENGEN!$B$20:$J$219,3,FALSE)</f>
        <v>#N/A</v>
      </c>
      <c r="H80" s="377" t="e">
        <f ca="1">VLOOKUP(I80,RESUMENGEN!$B$20:$J$219,9,FALSE)</f>
        <v>#N/A</v>
      </c>
      <c r="I80" s="374" t="e">
        <f t="shared" ca="1" si="5"/>
        <v>#N/A</v>
      </c>
      <c r="J80" s="375" t="e">
        <f ca="1">IF(AND(VLOOKUP(I80,RESUMENGEN!$B$20:$J$219,4,0)="HÁBIL"),"ELEGIBLE","NO ELEGIBLE")</f>
        <v>#N/A</v>
      </c>
    </row>
    <row r="81" spans="2:10" hidden="1">
      <c r="B81" s="371">
        <v>63</v>
      </c>
      <c r="C81" s="376">
        <f>IF(VLOOKUP(B81,RESUMENGEN!$C$20:$M$219,10,FALSE)="","",VLOOKUP(B81,RESUMENGEN!$C$20:$M$219,10,FALSE))</f>
        <v>0</v>
      </c>
      <c r="D81" s="372">
        <f t="shared" si="2"/>
        <v>7.2000000000000041E-9</v>
      </c>
      <c r="E81" s="377" t="e">
        <f>IF(VLOOKUP(C81,RESUMENGEN!$B$20:$J$219,4,FALSE)="HÁBIL",VLOOKUP(C81,RESUMENGEN!$B$20:$J$219,9,FALSE)-D81,-D81)</f>
        <v>#N/A</v>
      </c>
      <c r="F81" s="373" t="e">
        <f t="shared" si="4"/>
        <v>#N/A</v>
      </c>
      <c r="G81" s="531" t="e">
        <f ca="1">VLOOKUP(I81,RESUMENGEN!$B$20:$J$219,3,FALSE)</f>
        <v>#N/A</v>
      </c>
      <c r="H81" s="377" t="e">
        <f ca="1">VLOOKUP(I81,RESUMENGEN!$B$20:$J$219,9,FALSE)</f>
        <v>#N/A</v>
      </c>
      <c r="I81" s="374" t="e">
        <f t="shared" ca="1" si="5"/>
        <v>#N/A</v>
      </c>
      <c r="J81" s="375" t="e">
        <f ca="1">IF(AND(VLOOKUP(I81,RESUMENGEN!$B$20:$J$219,4,0)="HÁBIL"),"ELEGIBLE","NO ELEGIBLE")</f>
        <v>#N/A</v>
      </c>
    </row>
    <row r="82" spans="2:10" hidden="1">
      <c r="B82" s="371">
        <v>64</v>
      </c>
      <c r="C82" s="376">
        <f>IF(VLOOKUP(B82,RESUMENGEN!$C$20:$M$219,10,FALSE)="","",VLOOKUP(B82,RESUMENGEN!$C$20:$M$219,10,FALSE))</f>
        <v>0</v>
      </c>
      <c r="D82" s="372">
        <f t="shared" si="2"/>
        <v>7.3000000000000042E-9</v>
      </c>
      <c r="E82" s="377" t="e">
        <f>IF(VLOOKUP(C82,RESUMENGEN!$B$20:$J$219,4,FALSE)="HÁBIL",VLOOKUP(C82,RESUMENGEN!$B$20:$J$219,9,FALSE)-D82,-D82)</f>
        <v>#N/A</v>
      </c>
      <c r="F82" s="373" t="e">
        <f t="shared" si="4"/>
        <v>#N/A</v>
      </c>
      <c r="G82" s="531" t="e">
        <f ca="1">VLOOKUP(I82,RESUMENGEN!$B$20:$J$219,3,FALSE)</f>
        <v>#N/A</v>
      </c>
      <c r="H82" s="377" t="e">
        <f ca="1">VLOOKUP(I82,RESUMENGEN!$B$20:$J$219,9,FALSE)</f>
        <v>#N/A</v>
      </c>
      <c r="I82" s="374" t="e">
        <f t="shared" ca="1" si="5"/>
        <v>#N/A</v>
      </c>
      <c r="J82" s="375" t="e">
        <f ca="1">IF(AND(VLOOKUP(I82,RESUMENGEN!$B$20:$J$219,4,0)="HÁBIL"),"ELEGIBLE","NO ELEGIBLE")</f>
        <v>#N/A</v>
      </c>
    </row>
    <row r="83" spans="2:10" hidden="1">
      <c r="B83" s="371">
        <v>65</v>
      </c>
      <c r="C83" s="376">
        <f>IF(VLOOKUP(B83,RESUMENGEN!$C$20:$M$219,10,FALSE)="","",VLOOKUP(B83,RESUMENGEN!$C$20:$M$219,10,FALSE))</f>
        <v>0</v>
      </c>
      <c r="D83" s="372">
        <f t="shared" si="2"/>
        <v>7.4000000000000042E-9</v>
      </c>
      <c r="E83" s="377" t="e">
        <f>IF(VLOOKUP(C83,RESUMENGEN!$B$20:$J$219,4,FALSE)="HÁBIL",VLOOKUP(C83,RESUMENGEN!$B$20:$J$219,9,FALSE)-D83,-D83)</f>
        <v>#N/A</v>
      </c>
      <c r="F83" s="373" t="e">
        <f t="shared" ref="F83:F114" si="6">RANK(E83,$E$19:$E$218)</f>
        <v>#N/A</v>
      </c>
      <c r="G83" s="531" t="e">
        <f ca="1">VLOOKUP(I83,RESUMENGEN!$B$20:$J$219,3,FALSE)</f>
        <v>#N/A</v>
      </c>
      <c r="H83" s="377" t="e">
        <f ca="1">VLOOKUP(I83,RESUMENGEN!$B$20:$J$219,9,FALSE)</f>
        <v>#N/A</v>
      </c>
      <c r="I83" s="374" t="e">
        <f t="shared" ref="I83:I117" ca="1" si="7">IF(C83="","",OFFSET($C$18,MATCH(B83,$F$19:$F$218,0),0))</f>
        <v>#N/A</v>
      </c>
      <c r="J83" s="375" t="e">
        <f ca="1">IF(AND(VLOOKUP(I83,RESUMENGEN!$B$20:$J$219,4,0)="HÁBIL"),"ELEGIBLE","NO ELEGIBLE")</f>
        <v>#N/A</v>
      </c>
    </row>
    <row r="84" spans="2:10" hidden="1">
      <c r="B84" s="371">
        <v>66</v>
      </c>
      <c r="C84" s="376">
        <f>IF(VLOOKUP(B84,RESUMENGEN!$C$20:$M$219,10,FALSE)="","",VLOOKUP(B84,RESUMENGEN!$C$20:$M$219,10,FALSE))</f>
        <v>0</v>
      </c>
      <c r="D84" s="372">
        <f t="shared" si="2"/>
        <v>7.5000000000000043E-9</v>
      </c>
      <c r="E84" s="377" t="e">
        <f>IF(VLOOKUP(C84,RESUMENGEN!$B$20:$J$219,4,FALSE)="HÁBIL",VLOOKUP(C84,RESUMENGEN!$B$20:$J$219,9,FALSE)-D84,-D84)</f>
        <v>#N/A</v>
      </c>
      <c r="F84" s="373" t="e">
        <f t="shared" si="6"/>
        <v>#N/A</v>
      </c>
      <c r="G84" s="531" t="e">
        <f ca="1">VLOOKUP(I84,RESUMENGEN!$B$20:$J$219,3,FALSE)</f>
        <v>#N/A</v>
      </c>
      <c r="H84" s="377" t="e">
        <f ca="1">VLOOKUP(I84,RESUMENGEN!$B$20:$J$219,9,FALSE)</f>
        <v>#N/A</v>
      </c>
      <c r="I84" s="374" t="e">
        <f t="shared" ca="1" si="7"/>
        <v>#N/A</v>
      </c>
      <c r="J84" s="375" t="e">
        <f ca="1">IF(AND(VLOOKUP(I84,RESUMENGEN!$B$20:$J$219,4,0)="HÁBIL"),"ELEGIBLE","NO ELEGIBLE")</f>
        <v>#N/A</v>
      </c>
    </row>
    <row r="85" spans="2:10" hidden="1">
      <c r="B85" s="371">
        <v>67</v>
      </c>
      <c r="C85" s="376">
        <f>IF(VLOOKUP(B85,RESUMENGEN!$C$20:$M$219,10,FALSE)="","",VLOOKUP(B85,RESUMENGEN!$C$20:$M$219,10,FALSE))</f>
        <v>0</v>
      </c>
      <c r="D85" s="372">
        <f t="shared" si="2"/>
        <v>7.6000000000000035E-9</v>
      </c>
      <c r="E85" s="377" t="e">
        <f>IF(VLOOKUP(C85,RESUMENGEN!$B$20:$J$219,4,FALSE)="HÁBIL",VLOOKUP(C85,RESUMENGEN!$B$20:$J$219,9,FALSE)-D85,-D85)</f>
        <v>#N/A</v>
      </c>
      <c r="F85" s="373" t="e">
        <f t="shared" si="6"/>
        <v>#N/A</v>
      </c>
      <c r="G85" s="531" t="e">
        <f ca="1">VLOOKUP(I85,RESUMENGEN!$B$20:$J$219,3,FALSE)</f>
        <v>#N/A</v>
      </c>
      <c r="H85" s="377" t="e">
        <f ca="1">VLOOKUP(I85,RESUMENGEN!$B$20:$J$219,9,FALSE)</f>
        <v>#N/A</v>
      </c>
      <c r="I85" s="374" t="e">
        <f t="shared" ca="1" si="7"/>
        <v>#N/A</v>
      </c>
      <c r="J85" s="375" t="e">
        <f ca="1">IF(AND(VLOOKUP(I85,RESUMENGEN!$B$20:$J$219,4,0)="HÁBIL"),"ELEGIBLE","NO ELEGIBLE")</f>
        <v>#N/A</v>
      </c>
    </row>
    <row r="86" spans="2:10" hidden="1">
      <c r="B86" s="371">
        <v>68</v>
      </c>
      <c r="C86" s="376">
        <f>IF(VLOOKUP(B86,RESUMENGEN!$C$20:$M$219,10,FALSE)="","",VLOOKUP(B86,RESUMENGEN!$C$20:$M$219,10,FALSE))</f>
        <v>0</v>
      </c>
      <c r="D86" s="372">
        <f t="shared" ref="D86:D149" si="8">D85+0.0000000001</f>
        <v>7.7000000000000028E-9</v>
      </c>
      <c r="E86" s="377" t="e">
        <f>IF(VLOOKUP(C86,RESUMENGEN!$B$20:$J$219,4,FALSE)="HÁBIL",VLOOKUP(C86,RESUMENGEN!$B$20:$J$219,9,FALSE)-D86,-D86)</f>
        <v>#N/A</v>
      </c>
      <c r="F86" s="373" t="e">
        <f t="shared" si="6"/>
        <v>#N/A</v>
      </c>
      <c r="G86" s="531" t="e">
        <f ca="1">VLOOKUP(I86,RESUMENGEN!$B$20:$J$219,3,FALSE)</f>
        <v>#N/A</v>
      </c>
      <c r="H86" s="377" t="e">
        <f ca="1">VLOOKUP(I86,RESUMENGEN!$B$20:$J$219,9,FALSE)</f>
        <v>#N/A</v>
      </c>
      <c r="I86" s="374" t="e">
        <f t="shared" ca="1" si="7"/>
        <v>#N/A</v>
      </c>
      <c r="J86" s="375" t="e">
        <f ca="1">IF(AND(VLOOKUP(I86,RESUMENGEN!$B$20:$J$219,4,0)="HÁBIL"),"ELEGIBLE","NO ELEGIBLE")</f>
        <v>#N/A</v>
      </c>
    </row>
    <row r="87" spans="2:10" hidden="1">
      <c r="B87" s="371">
        <v>69</v>
      </c>
      <c r="C87" s="376">
        <f>IF(VLOOKUP(B87,RESUMENGEN!$C$20:$M$219,10,FALSE)="","",VLOOKUP(B87,RESUMENGEN!$C$20:$M$219,10,FALSE))</f>
        <v>0</v>
      </c>
      <c r="D87" s="372">
        <f t="shared" si="8"/>
        <v>7.800000000000002E-9</v>
      </c>
      <c r="E87" s="377" t="e">
        <f>IF(VLOOKUP(C87,RESUMENGEN!$B$20:$J$219,4,FALSE)="HÁBIL",VLOOKUP(C87,RESUMENGEN!$B$20:$J$219,9,FALSE)-D87,-D87)</f>
        <v>#N/A</v>
      </c>
      <c r="F87" s="373" t="e">
        <f t="shared" si="6"/>
        <v>#N/A</v>
      </c>
      <c r="G87" s="531" t="e">
        <f ca="1">VLOOKUP(I87,RESUMENGEN!$B$20:$J$219,3,FALSE)</f>
        <v>#N/A</v>
      </c>
      <c r="H87" s="377" t="e">
        <f ca="1">VLOOKUP(I87,RESUMENGEN!$B$20:$J$219,9,FALSE)</f>
        <v>#N/A</v>
      </c>
      <c r="I87" s="374" t="e">
        <f t="shared" ca="1" si="7"/>
        <v>#N/A</v>
      </c>
      <c r="J87" s="375" t="e">
        <f ca="1">IF(AND(VLOOKUP(I87,RESUMENGEN!$B$20:$J$219,4,0)="HÁBIL"),"ELEGIBLE","NO ELEGIBLE")</f>
        <v>#N/A</v>
      </c>
    </row>
    <row r="88" spans="2:10" hidden="1">
      <c r="B88" s="371">
        <v>70</v>
      </c>
      <c r="C88" s="376">
        <f>IF(VLOOKUP(B88,RESUMENGEN!$C$20:$M$219,10,FALSE)="","",VLOOKUP(B88,RESUMENGEN!$C$20:$M$219,10,FALSE))</f>
        <v>0</v>
      </c>
      <c r="D88" s="372">
        <f t="shared" si="8"/>
        <v>7.9000000000000013E-9</v>
      </c>
      <c r="E88" s="377" t="e">
        <f>IF(VLOOKUP(C88,RESUMENGEN!$B$20:$J$219,4,FALSE)="HÁBIL",VLOOKUP(C88,RESUMENGEN!$B$20:$J$219,9,FALSE)-D88,-D88)</f>
        <v>#N/A</v>
      </c>
      <c r="F88" s="373" t="e">
        <f t="shared" si="6"/>
        <v>#N/A</v>
      </c>
      <c r="G88" s="531" t="e">
        <f ca="1">VLOOKUP(I88,RESUMENGEN!$B$20:$J$219,3,FALSE)</f>
        <v>#N/A</v>
      </c>
      <c r="H88" s="377" t="e">
        <f ca="1">VLOOKUP(I88,RESUMENGEN!$B$20:$J$219,9,FALSE)</f>
        <v>#N/A</v>
      </c>
      <c r="I88" s="374" t="e">
        <f t="shared" ca="1" si="7"/>
        <v>#N/A</v>
      </c>
      <c r="J88" s="375" t="e">
        <f ca="1">IF(AND(VLOOKUP(I88,RESUMENGEN!$B$20:$J$219,4,0)="HÁBIL"),"ELEGIBLE","NO ELEGIBLE")</f>
        <v>#N/A</v>
      </c>
    </row>
    <row r="89" spans="2:10" hidden="1">
      <c r="B89" s="371">
        <v>71</v>
      </c>
      <c r="C89" s="376">
        <f>IF(VLOOKUP(B89,RESUMENGEN!$C$20:$M$219,10,FALSE)="","",VLOOKUP(B89,RESUMENGEN!$C$20:$M$219,10,FALSE))</f>
        <v>0</v>
      </c>
      <c r="D89" s="372">
        <f t="shared" si="8"/>
        <v>8.0000000000000005E-9</v>
      </c>
      <c r="E89" s="377" t="e">
        <f>IF(VLOOKUP(C89,RESUMENGEN!$B$20:$J$219,4,FALSE)="HÁBIL",VLOOKUP(C89,RESUMENGEN!$B$20:$J$219,9,FALSE)-D89,-D89)</f>
        <v>#N/A</v>
      </c>
      <c r="F89" s="373" t="e">
        <f t="shared" si="6"/>
        <v>#N/A</v>
      </c>
      <c r="G89" s="531" t="e">
        <f ca="1">VLOOKUP(I89,RESUMENGEN!$B$20:$J$219,3,FALSE)</f>
        <v>#N/A</v>
      </c>
      <c r="H89" s="377" t="e">
        <f ca="1">VLOOKUP(I89,RESUMENGEN!$B$20:$J$219,9,FALSE)</f>
        <v>#N/A</v>
      </c>
      <c r="I89" s="374" t="e">
        <f t="shared" ca="1" si="7"/>
        <v>#N/A</v>
      </c>
      <c r="J89" s="375" t="e">
        <f ca="1">IF(AND(VLOOKUP(I89,RESUMENGEN!$B$20:$J$219,4,0)="HÁBIL"),"ELEGIBLE","NO ELEGIBLE")</f>
        <v>#N/A</v>
      </c>
    </row>
    <row r="90" spans="2:10" hidden="1">
      <c r="B90" s="371">
        <v>72</v>
      </c>
      <c r="C90" s="376">
        <f>IF(VLOOKUP(B90,RESUMENGEN!$C$20:$M$219,10,FALSE)="","",VLOOKUP(B90,RESUMENGEN!$C$20:$M$219,10,FALSE))</f>
        <v>0</v>
      </c>
      <c r="D90" s="372">
        <f t="shared" si="8"/>
        <v>8.0999999999999997E-9</v>
      </c>
      <c r="E90" s="377" t="e">
        <f>IF(VLOOKUP(C90,RESUMENGEN!$B$20:$J$219,4,FALSE)="HÁBIL",VLOOKUP(C90,RESUMENGEN!$B$20:$J$219,9,FALSE)-D90,-D90)</f>
        <v>#N/A</v>
      </c>
      <c r="F90" s="373" t="e">
        <f t="shared" si="6"/>
        <v>#N/A</v>
      </c>
      <c r="G90" s="531" t="e">
        <f ca="1">VLOOKUP(I90,RESUMENGEN!$B$20:$J$219,3,FALSE)</f>
        <v>#N/A</v>
      </c>
      <c r="H90" s="377" t="e">
        <f ca="1">VLOOKUP(I90,RESUMENGEN!$B$20:$J$219,9,FALSE)</f>
        <v>#N/A</v>
      </c>
      <c r="I90" s="374" t="e">
        <f t="shared" ca="1" si="7"/>
        <v>#N/A</v>
      </c>
      <c r="J90" s="375" t="e">
        <f ca="1">IF(AND(VLOOKUP(I90,RESUMENGEN!$B$20:$J$219,4,0)="HÁBIL"),"ELEGIBLE","NO ELEGIBLE")</f>
        <v>#N/A</v>
      </c>
    </row>
    <row r="91" spans="2:10" hidden="1">
      <c r="B91" s="371">
        <v>73</v>
      </c>
      <c r="C91" s="376">
        <f>IF(VLOOKUP(B91,RESUMENGEN!$C$20:$M$219,10,FALSE)="","",VLOOKUP(B91,RESUMENGEN!$C$20:$M$219,10,FALSE))</f>
        <v>0</v>
      </c>
      <c r="D91" s="372">
        <f t="shared" si="8"/>
        <v>8.199999999999999E-9</v>
      </c>
      <c r="E91" s="377" t="e">
        <f>IF(VLOOKUP(C91,RESUMENGEN!$B$20:$J$219,4,FALSE)="HÁBIL",VLOOKUP(C91,RESUMENGEN!$B$20:$J$219,9,FALSE)-D91,-D91)</f>
        <v>#N/A</v>
      </c>
      <c r="F91" s="373" t="e">
        <f t="shared" si="6"/>
        <v>#N/A</v>
      </c>
      <c r="G91" s="531" t="e">
        <f ca="1">VLOOKUP(I91,RESUMENGEN!$B$20:$J$219,3,FALSE)</f>
        <v>#N/A</v>
      </c>
      <c r="H91" s="377" t="e">
        <f ca="1">VLOOKUP(I91,RESUMENGEN!$B$20:$J$219,9,FALSE)</f>
        <v>#N/A</v>
      </c>
      <c r="I91" s="374" t="e">
        <f t="shared" ca="1" si="7"/>
        <v>#N/A</v>
      </c>
      <c r="J91" s="375" t="e">
        <f ca="1">IF(AND(VLOOKUP(I91,RESUMENGEN!$B$20:$J$219,4,0)="HÁBIL"),"ELEGIBLE","NO ELEGIBLE")</f>
        <v>#N/A</v>
      </c>
    </row>
    <row r="92" spans="2:10" hidden="1">
      <c r="B92" s="371">
        <v>74</v>
      </c>
      <c r="C92" s="376">
        <f>IF(VLOOKUP(B92,RESUMENGEN!$C$20:$M$219,10,FALSE)="","",VLOOKUP(B92,RESUMENGEN!$C$20:$M$219,10,FALSE))</f>
        <v>0</v>
      </c>
      <c r="D92" s="372">
        <f t="shared" si="8"/>
        <v>8.2999999999999982E-9</v>
      </c>
      <c r="E92" s="377" t="e">
        <f>IF(VLOOKUP(C92,RESUMENGEN!$B$20:$J$219,4,FALSE)="HÁBIL",VLOOKUP(C92,RESUMENGEN!$B$20:$J$219,9,FALSE)-D92,-D92)</f>
        <v>#N/A</v>
      </c>
      <c r="F92" s="373" t="e">
        <f t="shared" si="6"/>
        <v>#N/A</v>
      </c>
      <c r="G92" s="531" t="e">
        <f ca="1">VLOOKUP(I92,RESUMENGEN!$B$20:$J$219,3,FALSE)</f>
        <v>#N/A</v>
      </c>
      <c r="H92" s="377" t="e">
        <f ca="1">VLOOKUP(I92,RESUMENGEN!$B$20:$J$219,9,FALSE)</f>
        <v>#N/A</v>
      </c>
      <c r="I92" s="374" t="e">
        <f t="shared" ca="1" si="7"/>
        <v>#N/A</v>
      </c>
      <c r="J92" s="375" t="e">
        <f ca="1">IF(AND(VLOOKUP(I92,RESUMENGEN!$B$20:$J$219,4,0)="HÁBIL"),"ELEGIBLE","NO ELEGIBLE")</f>
        <v>#N/A</v>
      </c>
    </row>
    <row r="93" spans="2:10" hidden="1">
      <c r="B93" s="371">
        <v>75</v>
      </c>
      <c r="C93" s="376">
        <f>IF(VLOOKUP(B93,RESUMENGEN!$C$20:$M$219,10,FALSE)="","",VLOOKUP(B93,RESUMENGEN!$C$20:$M$219,10,FALSE))</f>
        <v>0</v>
      </c>
      <c r="D93" s="372">
        <f t="shared" si="8"/>
        <v>8.3999999999999975E-9</v>
      </c>
      <c r="E93" s="377" t="e">
        <f>IF(VLOOKUP(C93,RESUMENGEN!$B$20:$J$219,4,FALSE)="HÁBIL",VLOOKUP(C93,RESUMENGEN!$B$20:$J$219,9,FALSE)-D93,-D93)</f>
        <v>#N/A</v>
      </c>
      <c r="F93" s="373" t="e">
        <f t="shared" si="6"/>
        <v>#N/A</v>
      </c>
      <c r="G93" s="531" t="e">
        <f ca="1">VLOOKUP(I93,RESUMENGEN!$B$20:$J$219,3,FALSE)</f>
        <v>#N/A</v>
      </c>
      <c r="H93" s="377" t="e">
        <f ca="1">VLOOKUP(I93,RESUMENGEN!$B$20:$J$219,9,FALSE)</f>
        <v>#N/A</v>
      </c>
      <c r="I93" s="374" t="e">
        <f t="shared" ca="1" si="7"/>
        <v>#N/A</v>
      </c>
      <c r="J93" s="375" t="e">
        <f ca="1">IF(AND(VLOOKUP(I93,RESUMENGEN!$B$20:$J$219,4,0)="HÁBIL"),"ELEGIBLE","NO ELEGIBLE")</f>
        <v>#N/A</v>
      </c>
    </row>
    <row r="94" spans="2:10" hidden="1">
      <c r="B94" s="371">
        <v>76</v>
      </c>
      <c r="C94" s="376">
        <f>IF(VLOOKUP(B94,RESUMENGEN!$C$20:$M$219,10,FALSE)="","",VLOOKUP(B94,RESUMENGEN!$C$20:$M$219,10,FALSE))</f>
        <v>0</v>
      </c>
      <c r="D94" s="372">
        <f t="shared" si="8"/>
        <v>8.4999999999999967E-9</v>
      </c>
      <c r="E94" s="377" t="e">
        <f>IF(VLOOKUP(C94,RESUMENGEN!$B$20:$J$219,4,FALSE)="HÁBIL",VLOOKUP(C94,RESUMENGEN!$B$20:$J$219,9,FALSE)-D94,-D94)</f>
        <v>#N/A</v>
      </c>
      <c r="F94" s="373" t="e">
        <f t="shared" si="6"/>
        <v>#N/A</v>
      </c>
      <c r="G94" s="531" t="e">
        <f ca="1">VLOOKUP(I94,RESUMENGEN!$B$20:$J$219,3,FALSE)</f>
        <v>#N/A</v>
      </c>
      <c r="H94" s="377" t="e">
        <f ca="1">VLOOKUP(I94,RESUMENGEN!$B$20:$J$219,9,FALSE)</f>
        <v>#N/A</v>
      </c>
      <c r="I94" s="374" t="e">
        <f t="shared" ca="1" si="7"/>
        <v>#N/A</v>
      </c>
      <c r="J94" s="375" t="e">
        <f ca="1">IF(AND(VLOOKUP(I94,RESUMENGEN!$B$20:$J$219,4,0)="HÁBIL"),"ELEGIBLE","NO ELEGIBLE")</f>
        <v>#N/A</v>
      </c>
    </row>
    <row r="95" spans="2:10" hidden="1">
      <c r="B95" s="371">
        <v>77</v>
      </c>
      <c r="C95" s="376">
        <f>IF(VLOOKUP(B95,RESUMENGEN!$C$20:$M$219,10,FALSE)="","",VLOOKUP(B95,RESUMENGEN!$C$20:$M$219,10,FALSE))</f>
        <v>0</v>
      </c>
      <c r="D95" s="372">
        <f t="shared" si="8"/>
        <v>8.5999999999999959E-9</v>
      </c>
      <c r="E95" s="377" t="e">
        <f>IF(VLOOKUP(C95,RESUMENGEN!$B$20:$J$219,4,FALSE)="HÁBIL",VLOOKUP(C95,RESUMENGEN!$B$20:$J$219,9,FALSE)-D95,-D95)</f>
        <v>#N/A</v>
      </c>
      <c r="F95" s="373" t="e">
        <f t="shared" si="6"/>
        <v>#N/A</v>
      </c>
      <c r="G95" s="531" t="e">
        <f ca="1">VLOOKUP(I95,RESUMENGEN!$B$20:$J$219,3,FALSE)</f>
        <v>#N/A</v>
      </c>
      <c r="H95" s="377" t="e">
        <f ca="1">VLOOKUP(I95,RESUMENGEN!$B$20:$J$219,9,FALSE)</f>
        <v>#N/A</v>
      </c>
      <c r="I95" s="374" t="e">
        <f t="shared" ca="1" si="7"/>
        <v>#N/A</v>
      </c>
      <c r="J95" s="375" t="e">
        <f ca="1">IF(AND(VLOOKUP(I95,RESUMENGEN!$B$20:$J$219,4,0)="HÁBIL"),"ELEGIBLE","NO ELEGIBLE")</f>
        <v>#N/A</v>
      </c>
    </row>
    <row r="96" spans="2:10" hidden="1">
      <c r="B96" s="371">
        <v>78</v>
      </c>
      <c r="C96" s="376">
        <f>IF(VLOOKUP(B96,RESUMENGEN!$C$20:$M$219,10,FALSE)="","",VLOOKUP(B96,RESUMENGEN!$C$20:$M$219,10,FALSE))</f>
        <v>0</v>
      </c>
      <c r="D96" s="372">
        <f t="shared" si="8"/>
        <v>8.6999999999999952E-9</v>
      </c>
      <c r="E96" s="377" t="e">
        <f>IF(VLOOKUP(C96,RESUMENGEN!$B$20:$J$219,4,FALSE)="HÁBIL",VLOOKUP(C96,RESUMENGEN!$B$20:$J$219,9,FALSE)-D96,-D96)</f>
        <v>#N/A</v>
      </c>
      <c r="F96" s="373" t="e">
        <f t="shared" si="6"/>
        <v>#N/A</v>
      </c>
      <c r="G96" s="531" t="e">
        <f ca="1">VLOOKUP(I96,RESUMENGEN!$B$20:$J$219,3,FALSE)</f>
        <v>#N/A</v>
      </c>
      <c r="H96" s="377" t="e">
        <f ca="1">VLOOKUP(I96,RESUMENGEN!$B$20:$J$219,9,FALSE)</f>
        <v>#N/A</v>
      </c>
      <c r="I96" s="374" t="e">
        <f t="shared" ca="1" si="7"/>
        <v>#N/A</v>
      </c>
      <c r="J96" s="375" t="e">
        <f ca="1">IF(AND(VLOOKUP(I96,RESUMENGEN!$B$20:$J$219,4,0)="HÁBIL"),"ELEGIBLE","NO ELEGIBLE")</f>
        <v>#N/A</v>
      </c>
    </row>
    <row r="97" spans="2:10" hidden="1">
      <c r="B97" s="371">
        <v>79</v>
      </c>
      <c r="C97" s="376">
        <f>IF(VLOOKUP(B97,RESUMENGEN!$C$20:$M$219,10,FALSE)="","",VLOOKUP(B97,RESUMENGEN!$C$20:$M$219,10,FALSE))</f>
        <v>0</v>
      </c>
      <c r="D97" s="372">
        <f t="shared" si="8"/>
        <v>8.7999999999999944E-9</v>
      </c>
      <c r="E97" s="377" t="e">
        <f>IF(VLOOKUP(C97,RESUMENGEN!$B$20:$J$219,4,FALSE)="HÁBIL",VLOOKUP(C97,RESUMENGEN!$B$20:$J$219,9,FALSE)-D97,-D97)</f>
        <v>#N/A</v>
      </c>
      <c r="F97" s="373" t="e">
        <f t="shared" si="6"/>
        <v>#N/A</v>
      </c>
      <c r="G97" s="531" t="e">
        <f ca="1">VLOOKUP(I97,RESUMENGEN!$B$20:$J$219,3,FALSE)</f>
        <v>#N/A</v>
      </c>
      <c r="H97" s="377" t="e">
        <f ca="1">VLOOKUP(I97,RESUMENGEN!$B$20:$J$219,9,FALSE)</f>
        <v>#N/A</v>
      </c>
      <c r="I97" s="374" t="e">
        <f t="shared" ca="1" si="7"/>
        <v>#N/A</v>
      </c>
      <c r="J97" s="375" t="e">
        <f ca="1">IF(AND(VLOOKUP(I97,RESUMENGEN!$B$20:$J$219,4,0)="HÁBIL"),"ELEGIBLE","NO ELEGIBLE")</f>
        <v>#N/A</v>
      </c>
    </row>
    <row r="98" spans="2:10" hidden="1">
      <c r="B98" s="371">
        <v>80</v>
      </c>
      <c r="C98" s="376">
        <f>IF(VLOOKUP(B98,RESUMENGEN!$C$20:$M$219,10,FALSE)="","",VLOOKUP(B98,RESUMENGEN!$C$20:$M$219,10,FALSE))</f>
        <v>0</v>
      </c>
      <c r="D98" s="372">
        <f t="shared" si="8"/>
        <v>8.8999999999999937E-9</v>
      </c>
      <c r="E98" s="377" t="e">
        <f>IF(VLOOKUP(C98,RESUMENGEN!$B$20:$J$219,4,FALSE)="HÁBIL",VLOOKUP(C98,RESUMENGEN!$B$20:$J$219,9,FALSE)-D98,-D98)</f>
        <v>#N/A</v>
      </c>
      <c r="F98" s="373" t="e">
        <f t="shared" si="6"/>
        <v>#N/A</v>
      </c>
      <c r="G98" s="531" t="e">
        <f ca="1">VLOOKUP(I98,RESUMENGEN!$B$20:$J$219,3,FALSE)</f>
        <v>#N/A</v>
      </c>
      <c r="H98" s="377" t="e">
        <f ca="1">VLOOKUP(I98,RESUMENGEN!$B$20:$J$219,9,FALSE)</f>
        <v>#N/A</v>
      </c>
      <c r="I98" s="374" t="e">
        <f t="shared" ca="1" si="7"/>
        <v>#N/A</v>
      </c>
      <c r="J98" s="375" t="e">
        <f ca="1">IF(AND(VLOOKUP(I98,RESUMENGEN!$B$20:$J$219,4,0)="HÁBIL"),"ELEGIBLE","NO ELEGIBLE")</f>
        <v>#N/A</v>
      </c>
    </row>
    <row r="99" spans="2:10" hidden="1">
      <c r="B99" s="371">
        <v>81</v>
      </c>
      <c r="C99" s="376">
        <f>IF(VLOOKUP(B99,RESUMENGEN!$C$20:$M$219,10,FALSE)="","",VLOOKUP(B99,RESUMENGEN!$C$20:$M$219,10,FALSE))</f>
        <v>0</v>
      </c>
      <c r="D99" s="372">
        <f t="shared" si="8"/>
        <v>8.9999999999999929E-9</v>
      </c>
      <c r="E99" s="377" t="e">
        <f>IF(VLOOKUP(C99,RESUMENGEN!$B$20:$J$219,4,FALSE)="HÁBIL",VLOOKUP(C99,RESUMENGEN!$B$20:$J$219,9,FALSE)-D99,-D99)</f>
        <v>#N/A</v>
      </c>
      <c r="F99" s="373" t="e">
        <f t="shared" si="6"/>
        <v>#N/A</v>
      </c>
      <c r="G99" s="531" t="e">
        <f ca="1">VLOOKUP(I99,RESUMENGEN!$B$20:$J$219,3,FALSE)</f>
        <v>#N/A</v>
      </c>
      <c r="H99" s="377" t="e">
        <f ca="1">VLOOKUP(I99,RESUMENGEN!$B$20:$J$219,9,FALSE)</f>
        <v>#N/A</v>
      </c>
      <c r="I99" s="374" t="e">
        <f t="shared" ca="1" si="7"/>
        <v>#N/A</v>
      </c>
      <c r="J99" s="375" t="e">
        <f ca="1">IF(AND(VLOOKUP(I99,RESUMENGEN!$B$20:$J$219,4,0)="HÁBIL"),"ELEGIBLE","NO ELEGIBLE")</f>
        <v>#N/A</v>
      </c>
    </row>
    <row r="100" spans="2:10" hidden="1">
      <c r="B100" s="371">
        <v>82</v>
      </c>
      <c r="C100" s="376">
        <f>IF(VLOOKUP(B100,RESUMENGEN!$C$20:$M$219,10,FALSE)="","",VLOOKUP(B100,RESUMENGEN!$C$20:$M$219,10,FALSE))</f>
        <v>0</v>
      </c>
      <c r="D100" s="372">
        <f t="shared" si="8"/>
        <v>9.0999999999999922E-9</v>
      </c>
      <c r="E100" s="377" t="e">
        <f>IF(VLOOKUP(C100,RESUMENGEN!$B$20:$J$219,4,FALSE)="HÁBIL",VLOOKUP(C100,RESUMENGEN!$B$20:$J$219,9,FALSE)-D100,-D100)</f>
        <v>#N/A</v>
      </c>
      <c r="F100" s="373" t="e">
        <f t="shared" si="6"/>
        <v>#N/A</v>
      </c>
      <c r="G100" s="531" t="e">
        <f ca="1">VLOOKUP(I100,RESUMENGEN!$B$20:$J$219,3,FALSE)</f>
        <v>#N/A</v>
      </c>
      <c r="H100" s="377" t="e">
        <f ca="1">VLOOKUP(I100,RESUMENGEN!$B$20:$J$219,9,FALSE)</f>
        <v>#N/A</v>
      </c>
      <c r="I100" s="374" t="e">
        <f t="shared" ca="1" si="7"/>
        <v>#N/A</v>
      </c>
      <c r="J100" s="375" t="e">
        <f ca="1">IF(AND(VLOOKUP(I100,RESUMENGEN!$B$20:$J$219,4,0)="HÁBIL"),"ELEGIBLE","NO ELEGIBLE")</f>
        <v>#N/A</v>
      </c>
    </row>
    <row r="101" spans="2:10" hidden="1">
      <c r="B101" s="371">
        <v>83</v>
      </c>
      <c r="C101" s="376">
        <f>IF(VLOOKUP(B101,RESUMENGEN!$C$20:$M$219,10,FALSE)="","",VLOOKUP(B101,RESUMENGEN!$C$20:$M$219,10,FALSE))</f>
        <v>0</v>
      </c>
      <c r="D101" s="372">
        <f t="shared" si="8"/>
        <v>9.1999999999999914E-9</v>
      </c>
      <c r="E101" s="377" t="e">
        <f>IF(VLOOKUP(C101,RESUMENGEN!$B$20:$J$219,4,FALSE)="HÁBIL",VLOOKUP(C101,RESUMENGEN!$B$20:$J$219,9,FALSE)-D101,-D101)</f>
        <v>#N/A</v>
      </c>
      <c r="F101" s="373" t="e">
        <f t="shared" si="6"/>
        <v>#N/A</v>
      </c>
      <c r="G101" s="531" t="e">
        <f ca="1">VLOOKUP(I101,RESUMENGEN!$B$20:$J$219,3,FALSE)</f>
        <v>#N/A</v>
      </c>
      <c r="H101" s="377" t="e">
        <f ca="1">VLOOKUP(I101,RESUMENGEN!$B$20:$J$219,9,FALSE)</f>
        <v>#N/A</v>
      </c>
      <c r="I101" s="374" t="e">
        <f t="shared" ca="1" si="7"/>
        <v>#N/A</v>
      </c>
      <c r="J101" s="375" t="e">
        <f ca="1">IF(AND(VLOOKUP(I101,RESUMENGEN!$B$20:$J$219,4,0)="HÁBIL"),"ELEGIBLE","NO ELEGIBLE")</f>
        <v>#N/A</v>
      </c>
    </row>
    <row r="102" spans="2:10" hidden="1">
      <c r="B102" s="371">
        <v>84</v>
      </c>
      <c r="C102" s="376">
        <f>IF(VLOOKUP(B102,RESUMENGEN!$C$20:$M$219,10,FALSE)="","",VLOOKUP(B102,RESUMENGEN!$C$20:$M$219,10,FALSE))</f>
        <v>0</v>
      </c>
      <c r="D102" s="372">
        <f t="shared" si="8"/>
        <v>9.2999999999999906E-9</v>
      </c>
      <c r="E102" s="377" t="e">
        <f>IF(VLOOKUP(C102,RESUMENGEN!$B$20:$J$219,4,FALSE)="HÁBIL",VLOOKUP(C102,RESUMENGEN!$B$20:$J$219,9,FALSE)-D102,-D102)</f>
        <v>#N/A</v>
      </c>
      <c r="F102" s="373" t="e">
        <f t="shared" si="6"/>
        <v>#N/A</v>
      </c>
      <c r="G102" s="531" t="e">
        <f ca="1">VLOOKUP(I102,RESUMENGEN!$B$20:$J$219,3,FALSE)</f>
        <v>#N/A</v>
      </c>
      <c r="H102" s="377" t="e">
        <f ca="1">VLOOKUP(I102,RESUMENGEN!$B$20:$J$219,9,FALSE)</f>
        <v>#N/A</v>
      </c>
      <c r="I102" s="374" t="e">
        <f t="shared" ca="1" si="7"/>
        <v>#N/A</v>
      </c>
      <c r="J102" s="375" t="e">
        <f ca="1">IF(AND(VLOOKUP(I102,RESUMENGEN!$B$20:$J$219,4,0)="HÁBIL"),"ELEGIBLE","NO ELEGIBLE")</f>
        <v>#N/A</v>
      </c>
    </row>
    <row r="103" spans="2:10" hidden="1">
      <c r="B103" s="371">
        <v>85</v>
      </c>
      <c r="C103" s="376">
        <f>IF(VLOOKUP(B103,RESUMENGEN!$C$20:$M$219,10,FALSE)="","",VLOOKUP(B103,RESUMENGEN!$C$20:$M$219,10,FALSE))</f>
        <v>0</v>
      </c>
      <c r="D103" s="372">
        <f t="shared" si="8"/>
        <v>9.3999999999999899E-9</v>
      </c>
      <c r="E103" s="377" t="e">
        <f>IF(VLOOKUP(C103,RESUMENGEN!$B$20:$J$219,4,FALSE)="HÁBIL",VLOOKUP(C103,RESUMENGEN!$B$20:$J$219,9,FALSE)-D103,-D103)</f>
        <v>#N/A</v>
      </c>
      <c r="F103" s="373" t="e">
        <f t="shared" si="6"/>
        <v>#N/A</v>
      </c>
      <c r="G103" s="531" t="e">
        <f ca="1">VLOOKUP(I103,RESUMENGEN!$B$20:$J$219,3,FALSE)</f>
        <v>#N/A</v>
      </c>
      <c r="H103" s="377" t="e">
        <f ca="1">VLOOKUP(I103,RESUMENGEN!$B$20:$J$219,9,FALSE)</f>
        <v>#N/A</v>
      </c>
      <c r="I103" s="374" t="e">
        <f t="shared" ca="1" si="7"/>
        <v>#N/A</v>
      </c>
      <c r="J103" s="375" t="e">
        <f ca="1">IF(AND(VLOOKUP(I103,RESUMENGEN!$B$20:$J$219,4,0)="HÁBIL"),"ELEGIBLE","NO ELEGIBLE")</f>
        <v>#N/A</v>
      </c>
    </row>
    <row r="104" spans="2:10" hidden="1">
      <c r="B104" s="371">
        <v>86</v>
      </c>
      <c r="C104" s="376">
        <f>IF(VLOOKUP(B104,RESUMENGEN!$C$20:$M$219,10,FALSE)="","",VLOOKUP(B104,RESUMENGEN!$C$20:$M$219,10,FALSE))</f>
        <v>0</v>
      </c>
      <c r="D104" s="372">
        <f t="shared" si="8"/>
        <v>9.4999999999999891E-9</v>
      </c>
      <c r="E104" s="377" t="e">
        <f>IF(VLOOKUP(C104,RESUMENGEN!$B$20:$J$219,4,FALSE)="HÁBIL",VLOOKUP(C104,RESUMENGEN!$B$20:$J$219,9,FALSE)-D104,-D104)</f>
        <v>#N/A</v>
      </c>
      <c r="F104" s="373" t="e">
        <f t="shared" si="6"/>
        <v>#N/A</v>
      </c>
      <c r="G104" s="531" t="e">
        <f ca="1">VLOOKUP(I104,RESUMENGEN!$B$20:$J$219,3,FALSE)</f>
        <v>#N/A</v>
      </c>
      <c r="H104" s="377" t="e">
        <f ca="1">VLOOKUP(I104,RESUMENGEN!$B$20:$J$219,9,FALSE)</f>
        <v>#N/A</v>
      </c>
      <c r="I104" s="374" t="e">
        <f t="shared" ca="1" si="7"/>
        <v>#N/A</v>
      </c>
      <c r="J104" s="375" t="e">
        <f ca="1">IF(AND(VLOOKUP(I104,RESUMENGEN!$B$20:$J$219,4,0)="HÁBIL"),"ELEGIBLE","NO ELEGIBLE")</f>
        <v>#N/A</v>
      </c>
    </row>
    <row r="105" spans="2:10" hidden="1">
      <c r="B105" s="371">
        <v>87</v>
      </c>
      <c r="C105" s="376">
        <f>IF(VLOOKUP(B105,RESUMENGEN!$C$20:$M$219,10,FALSE)="","",VLOOKUP(B105,RESUMENGEN!$C$20:$M$219,10,FALSE))</f>
        <v>0</v>
      </c>
      <c r="D105" s="372">
        <f t="shared" si="8"/>
        <v>9.5999999999999884E-9</v>
      </c>
      <c r="E105" s="377" t="e">
        <f>IF(VLOOKUP(C105,RESUMENGEN!$B$20:$J$219,4,FALSE)="HÁBIL",VLOOKUP(C105,RESUMENGEN!$B$20:$J$219,9,FALSE)-D105,-D105)</f>
        <v>#N/A</v>
      </c>
      <c r="F105" s="373" t="e">
        <f t="shared" si="6"/>
        <v>#N/A</v>
      </c>
      <c r="G105" s="531" t="e">
        <f ca="1">VLOOKUP(I105,RESUMENGEN!$B$20:$J$219,3,FALSE)</f>
        <v>#N/A</v>
      </c>
      <c r="H105" s="377" t="e">
        <f ca="1">VLOOKUP(I105,RESUMENGEN!$B$20:$J$219,9,FALSE)</f>
        <v>#N/A</v>
      </c>
      <c r="I105" s="374" t="e">
        <f t="shared" ca="1" si="7"/>
        <v>#N/A</v>
      </c>
      <c r="J105" s="375" t="e">
        <f ca="1">IF(AND(VLOOKUP(I105,RESUMENGEN!$B$20:$J$219,4,0)="HÁBIL"),"ELEGIBLE","NO ELEGIBLE")</f>
        <v>#N/A</v>
      </c>
    </row>
    <row r="106" spans="2:10" hidden="1">
      <c r="B106" s="371">
        <v>88</v>
      </c>
      <c r="C106" s="376">
        <f>IF(VLOOKUP(B106,RESUMENGEN!$C$20:$M$219,10,FALSE)="","",VLOOKUP(B106,RESUMENGEN!$C$20:$M$219,10,FALSE))</f>
        <v>0</v>
      </c>
      <c r="D106" s="372">
        <f t="shared" si="8"/>
        <v>9.6999999999999876E-9</v>
      </c>
      <c r="E106" s="377" t="e">
        <f>IF(VLOOKUP(C106,RESUMENGEN!$B$20:$J$219,4,FALSE)="HÁBIL",VLOOKUP(C106,RESUMENGEN!$B$20:$J$219,9,FALSE)-D106,-D106)</f>
        <v>#N/A</v>
      </c>
      <c r="F106" s="373" t="e">
        <f t="shared" si="6"/>
        <v>#N/A</v>
      </c>
      <c r="G106" s="531" t="e">
        <f ca="1">VLOOKUP(I106,RESUMENGEN!$B$20:$J$219,3,FALSE)</f>
        <v>#N/A</v>
      </c>
      <c r="H106" s="377" t="e">
        <f ca="1">VLOOKUP(I106,RESUMENGEN!$B$20:$J$219,9,FALSE)</f>
        <v>#N/A</v>
      </c>
      <c r="I106" s="374" t="e">
        <f t="shared" ca="1" si="7"/>
        <v>#N/A</v>
      </c>
      <c r="J106" s="375" t="e">
        <f ca="1">IF(AND(VLOOKUP(I106,RESUMENGEN!$B$20:$J$219,4,0)="HÁBIL"),"ELEGIBLE","NO ELEGIBLE")</f>
        <v>#N/A</v>
      </c>
    </row>
    <row r="107" spans="2:10" hidden="1">
      <c r="B107" s="371">
        <v>89</v>
      </c>
      <c r="C107" s="376">
        <f>IF(VLOOKUP(B107,RESUMENGEN!$C$20:$M$219,10,FALSE)="","",VLOOKUP(B107,RESUMENGEN!$C$20:$M$219,10,FALSE))</f>
        <v>0</v>
      </c>
      <c r="D107" s="372">
        <f t="shared" si="8"/>
        <v>9.7999999999999868E-9</v>
      </c>
      <c r="E107" s="377" t="e">
        <f>IF(VLOOKUP(C107,RESUMENGEN!$B$20:$J$219,4,FALSE)="HÁBIL",VLOOKUP(C107,RESUMENGEN!$B$20:$J$219,9,FALSE)-D107,-D107)</f>
        <v>#N/A</v>
      </c>
      <c r="F107" s="373" t="e">
        <f t="shared" si="6"/>
        <v>#N/A</v>
      </c>
      <c r="G107" s="531" t="e">
        <f ca="1">VLOOKUP(I107,RESUMENGEN!$B$20:$J$219,3,FALSE)</f>
        <v>#N/A</v>
      </c>
      <c r="H107" s="377" t="e">
        <f ca="1">VLOOKUP(I107,RESUMENGEN!$B$20:$J$219,9,FALSE)</f>
        <v>#N/A</v>
      </c>
      <c r="I107" s="374" t="e">
        <f t="shared" ca="1" si="7"/>
        <v>#N/A</v>
      </c>
      <c r="J107" s="375" t="e">
        <f ca="1">IF(AND(VLOOKUP(I107,RESUMENGEN!$B$20:$J$219,4,0)="HÁBIL"),"ELEGIBLE","NO ELEGIBLE")</f>
        <v>#N/A</v>
      </c>
    </row>
    <row r="108" spans="2:10" hidden="1">
      <c r="B108" s="371">
        <v>90</v>
      </c>
      <c r="C108" s="376">
        <f>IF(VLOOKUP(B108,RESUMENGEN!$C$20:$M$219,10,FALSE)="","",VLOOKUP(B108,RESUMENGEN!$C$20:$M$219,10,FALSE))</f>
        <v>0</v>
      </c>
      <c r="D108" s="372">
        <f t="shared" si="8"/>
        <v>9.8999999999999861E-9</v>
      </c>
      <c r="E108" s="377" t="e">
        <f>IF(VLOOKUP(C108,RESUMENGEN!$B$20:$J$219,4,FALSE)="HÁBIL",VLOOKUP(C108,RESUMENGEN!$B$20:$J$219,9,FALSE)-D108,-D108)</f>
        <v>#N/A</v>
      </c>
      <c r="F108" s="373" t="e">
        <f t="shared" si="6"/>
        <v>#N/A</v>
      </c>
      <c r="G108" s="531" t="e">
        <f ca="1">VLOOKUP(I108,RESUMENGEN!$B$20:$J$219,3,FALSE)</f>
        <v>#N/A</v>
      </c>
      <c r="H108" s="377" t="e">
        <f ca="1">VLOOKUP(I108,RESUMENGEN!$B$20:$J$219,9,FALSE)</f>
        <v>#N/A</v>
      </c>
      <c r="I108" s="374" t="e">
        <f t="shared" ca="1" si="7"/>
        <v>#N/A</v>
      </c>
      <c r="J108" s="375" t="e">
        <f ca="1">IF(AND(VLOOKUP(I108,RESUMENGEN!$B$20:$J$219,4,0)="HÁBIL"),"ELEGIBLE","NO ELEGIBLE")</f>
        <v>#N/A</v>
      </c>
    </row>
    <row r="109" spans="2:10" hidden="1">
      <c r="B109" s="371">
        <v>91</v>
      </c>
      <c r="C109" s="376">
        <f>IF(VLOOKUP(B109,RESUMENGEN!$C$20:$M$219,10,FALSE)="","",VLOOKUP(B109,RESUMENGEN!$C$20:$M$219,10,FALSE))</f>
        <v>0</v>
      </c>
      <c r="D109" s="372">
        <f t="shared" si="8"/>
        <v>9.9999999999999853E-9</v>
      </c>
      <c r="E109" s="377" t="e">
        <f>IF(VLOOKUP(C109,RESUMENGEN!$B$20:$J$219,4,FALSE)="HÁBIL",VLOOKUP(C109,RESUMENGEN!$B$20:$J$219,9,FALSE)-D109,-D109)</f>
        <v>#N/A</v>
      </c>
      <c r="F109" s="373" t="e">
        <f t="shared" si="6"/>
        <v>#N/A</v>
      </c>
      <c r="G109" s="531" t="e">
        <f ca="1">VLOOKUP(I109,RESUMENGEN!$B$20:$J$219,3,FALSE)</f>
        <v>#N/A</v>
      </c>
      <c r="H109" s="377" t="e">
        <f ca="1">VLOOKUP(I109,RESUMENGEN!$B$20:$J$219,9,FALSE)</f>
        <v>#N/A</v>
      </c>
      <c r="I109" s="374" t="e">
        <f t="shared" ca="1" si="7"/>
        <v>#N/A</v>
      </c>
      <c r="J109" s="375" t="e">
        <f ca="1">IF(AND(VLOOKUP(I109,RESUMENGEN!$B$20:$J$219,4,0)="HÁBIL"),"ELEGIBLE","NO ELEGIBLE")</f>
        <v>#N/A</v>
      </c>
    </row>
    <row r="110" spans="2:10" hidden="1">
      <c r="B110" s="371">
        <v>92</v>
      </c>
      <c r="C110" s="376">
        <f>IF(VLOOKUP(B110,RESUMENGEN!$C$20:$M$219,10,FALSE)="","",VLOOKUP(B110,RESUMENGEN!$C$20:$M$219,10,FALSE))</f>
        <v>0</v>
      </c>
      <c r="D110" s="372">
        <f t="shared" si="8"/>
        <v>1.0099999999999985E-8</v>
      </c>
      <c r="E110" s="377" t="e">
        <f>IF(VLOOKUP(C110,RESUMENGEN!$B$20:$J$219,4,FALSE)="HÁBIL",VLOOKUP(C110,RESUMENGEN!$B$20:$J$219,9,FALSE)-D110,-D110)</f>
        <v>#N/A</v>
      </c>
      <c r="F110" s="373" t="e">
        <f t="shared" si="6"/>
        <v>#N/A</v>
      </c>
      <c r="G110" s="531" t="e">
        <f ca="1">VLOOKUP(I110,RESUMENGEN!$B$20:$J$219,3,FALSE)</f>
        <v>#N/A</v>
      </c>
      <c r="H110" s="377" t="e">
        <f ca="1">VLOOKUP(I110,RESUMENGEN!$B$20:$J$219,9,FALSE)</f>
        <v>#N/A</v>
      </c>
      <c r="I110" s="374" t="e">
        <f t="shared" ca="1" si="7"/>
        <v>#N/A</v>
      </c>
      <c r="J110" s="375" t="e">
        <f ca="1">IF(AND(VLOOKUP(I110,RESUMENGEN!$B$20:$J$219,4,0)="HÁBIL"),"ELEGIBLE","NO ELEGIBLE")</f>
        <v>#N/A</v>
      </c>
    </row>
    <row r="111" spans="2:10" hidden="1">
      <c r="B111" s="371">
        <v>93</v>
      </c>
      <c r="C111" s="376">
        <f>IF(VLOOKUP(B111,RESUMENGEN!$C$20:$M$219,10,FALSE)="","",VLOOKUP(B111,RESUMENGEN!$C$20:$M$219,10,FALSE))</f>
        <v>0</v>
      </c>
      <c r="D111" s="372">
        <f t="shared" si="8"/>
        <v>1.0199999999999984E-8</v>
      </c>
      <c r="E111" s="377" t="e">
        <f>IF(VLOOKUP(C111,RESUMENGEN!$B$20:$J$219,4,FALSE)="HÁBIL",VLOOKUP(C111,RESUMENGEN!$B$20:$J$219,9,FALSE)-D111,-D111)</f>
        <v>#N/A</v>
      </c>
      <c r="F111" s="373" t="e">
        <f t="shared" si="6"/>
        <v>#N/A</v>
      </c>
      <c r="G111" s="531" t="e">
        <f ca="1">VLOOKUP(I111,RESUMENGEN!$B$20:$J$219,3,FALSE)</f>
        <v>#N/A</v>
      </c>
      <c r="H111" s="377" t="e">
        <f ca="1">VLOOKUP(I111,RESUMENGEN!$B$20:$J$219,9,FALSE)</f>
        <v>#N/A</v>
      </c>
      <c r="I111" s="374" t="e">
        <f t="shared" ca="1" si="7"/>
        <v>#N/A</v>
      </c>
      <c r="J111" s="375" t="e">
        <f ca="1">IF(AND(VLOOKUP(I111,RESUMENGEN!$B$20:$J$219,4,0)="HÁBIL"),"ELEGIBLE","NO ELEGIBLE")</f>
        <v>#N/A</v>
      </c>
    </row>
    <row r="112" spans="2:10" hidden="1">
      <c r="B112" s="371">
        <v>94</v>
      </c>
      <c r="C112" s="376">
        <f>IF(VLOOKUP(B112,RESUMENGEN!$C$20:$M$219,10,FALSE)="","",VLOOKUP(B112,RESUMENGEN!$C$20:$M$219,10,FALSE))</f>
        <v>0</v>
      </c>
      <c r="D112" s="372">
        <f t="shared" si="8"/>
        <v>1.0299999999999983E-8</v>
      </c>
      <c r="E112" s="377" t="e">
        <f>IF(VLOOKUP(C112,RESUMENGEN!$B$20:$J$219,4,FALSE)="HÁBIL",VLOOKUP(C112,RESUMENGEN!$B$20:$J$219,9,FALSE)-D112,-D112)</f>
        <v>#N/A</v>
      </c>
      <c r="F112" s="373" t="e">
        <f t="shared" si="6"/>
        <v>#N/A</v>
      </c>
      <c r="G112" s="531" t="e">
        <f ca="1">VLOOKUP(I112,RESUMENGEN!$B$20:$J$219,3,FALSE)</f>
        <v>#N/A</v>
      </c>
      <c r="H112" s="377" t="e">
        <f ca="1">VLOOKUP(I112,RESUMENGEN!$B$20:$J$219,9,FALSE)</f>
        <v>#N/A</v>
      </c>
      <c r="I112" s="374" t="e">
        <f t="shared" ca="1" si="7"/>
        <v>#N/A</v>
      </c>
      <c r="J112" s="375" t="e">
        <f ca="1">IF(AND(VLOOKUP(I112,RESUMENGEN!$B$20:$J$219,4,0)="HÁBIL"),"ELEGIBLE","NO ELEGIBLE")</f>
        <v>#N/A</v>
      </c>
    </row>
    <row r="113" spans="2:10" hidden="1">
      <c r="B113" s="371">
        <v>95</v>
      </c>
      <c r="C113" s="376">
        <f>IF(VLOOKUP(B113,RESUMENGEN!$C$20:$M$219,10,FALSE)="","",VLOOKUP(B113,RESUMENGEN!$C$20:$M$219,10,FALSE))</f>
        <v>0</v>
      </c>
      <c r="D113" s="372">
        <f t="shared" si="8"/>
        <v>1.0399999999999982E-8</v>
      </c>
      <c r="E113" s="377" t="e">
        <f>IF(VLOOKUP(C113,RESUMENGEN!$B$20:$J$219,4,FALSE)="HÁBIL",VLOOKUP(C113,RESUMENGEN!$B$20:$J$219,9,FALSE)-D113,-D113)</f>
        <v>#N/A</v>
      </c>
      <c r="F113" s="373" t="e">
        <f t="shared" si="6"/>
        <v>#N/A</v>
      </c>
      <c r="G113" s="531" t="e">
        <f ca="1">VLOOKUP(I113,RESUMENGEN!$B$20:$J$219,3,FALSE)</f>
        <v>#N/A</v>
      </c>
      <c r="H113" s="377" t="e">
        <f ca="1">VLOOKUP(I113,RESUMENGEN!$B$20:$J$219,9,FALSE)</f>
        <v>#N/A</v>
      </c>
      <c r="I113" s="374" t="e">
        <f t="shared" ca="1" si="7"/>
        <v>#N/A</v>
      </c>
      <c r="J113" s="375" t="e">
        <f ca="1">IF(AND(VLOOKUP(I113,RESUMENGEN!$B$20:$J$219,4,0)="HÁBIL"),"ELEGIBLE","NO ELEGIBLE")</f>
        <v>#N/A</v>
      </c>
    </row>
    <row r="114" spans="2:10" hidden="1">
      <c r="B114" s="371">
        <v>96</v>
      </c>
      <c r="C114" s="376">
        <f>IF(VLOOKUP(B114,RESUMENGEN!$C$20:$M$219,10,FALSE)="","",VLOOKUP(B114,RESUMENGEN!$C$20:$M$219,10,FALSE))</f>
        <v>0</v>
      </c>
      <c r="D114" s="372">
        <f t="shared" si="8"/>
        <v>1.0499999999999982E-8</v>
      </c>
      <c r="E114" s="377" t="e">
        <f>IF(VLOOKUP(C114,RESUMENGEN!$B$20:$J$219,4,FALSE)="HÁBIL",VLOOKUP(C114,RESUMENGEN!$B$20:$J$219,9,FALSE)-D114,-D114)</f>
        <v>#N/A</v>
      </c>
      <c r="F114" s="373" t="e">
        <f t="shared" si="6"/>
        <v>#N/A</v>
      </c>
      <c r="G114" s="531" t="e">
        <f ca="1">VLOOKUP(I114,RESUMENGEN!$B$20:$J$219,3,FALSE)</f>
        <v>#N/A</v>
      </c>
      <c r="H114" s="377" t="e">
        <f ca="1">VLOOKUP(I114,RESUMENGEN!$B$20:$J$219,9,FALSE)</f>
        <v>#N/A</v>
      </c>
      <c r="I114" s="374" t="e">
        <f t="shared" ca="1" si="7"/>
        <v>#N/A</v>
      </c>
      <c r="J114" s="375" t="e">
        <f ca="1">IF(AND(VLOOKUP(I114,RESUMENGEN!$B$20:$J$219,4,0)="HÁBIL"),"ELEGIBLE","NO ELEGIBLE")</f>
        <v>#N/A</v>
      </c>
    </row>
    <row r="115" spans="2:10" hidden="1">
      <c r="B115" s="371">
        <v>97</v>
      </c>
      <c r="C115" s="376">
        <f>IF(VLOOKUP(B115,RESUMENGEN!$C$20:$M$219,10,FALSE)="","",VLOOKUP(B115,RESUMENGEN!$C$20:$M$219,10,FALSE))</f>
        <v>0</v>
      </c>
      <c r="D115" s="372">
        <f t="shared" si="8"/>
        <v>1.0599999999999981E-8</v>
      </c>
      <c r="E115" s="377" t="e">
        <f>IF(VLOOKUP(C115,RESUMENGEN!$B$20:$J$219,4,FALSE)="HÁBIL",VLOOKUP(C115,RESUMENGEN!$B$20:$J$219,9,FALSE)-D115,-D115)</f>
        <v>#N/A</v>
      </c>
      <c r="F115" s="373" t="e">
        <f>RANK(E115,$E$19:$E$218)</f>
        <v>#N/A</v>
      </c>
      <c r="G115" s="531" t="e">
        <f ca="1">VLOOKUP(I115,RESUMENGEN!$B$20:$J$219,3,FALSE)</f>
        <v>#N/A</v>
      </c>
      <c r="H115" s="377" t="e">
        <f ca="1">VLOOKUP(I115,RESUMENGEN!$B$20:$J$219,9,FALSE)</f>
        <v>#N/A</v>
      </c>
      <c r="I115" s="374" t="e">
        <f t="shared" ca="1" si="7"/>
        <v>#N/A</v>
      </c>
      <c r="J115" s="375" t="e">
        <f ca="1">IF(AND(VLOOKUP(I115,RESUMENGEN!$B$20:$J$219,4,0)="HÁBIL"),"ELEGIBLE","NO ELEGIBLE")</f>
        <v>#N/A</v>
      </c>
    </row>
    <row r="116" spans="2:10" hidden="1">
      <c r="B116" s="371">
        <v>98</v>
      </c>
      <c r="C116" s="376">
        <f>IF(VLOOKUP(B116,RESUMENGEN!$C$20:$M$219,10,FALSE)="","",VLOOKUP(B116,RESUMENGEN!$C$20:$M$219,10,FALSE))</f>
        <v>0</v>
      </c>
      <c r="D116" s="372">
        <f t="shared" si="8"/>
        <v>1.069999999999998E-8</v>
      </c>
      <c r="E116" s="377" t="e">
        <f>IF(VLOOKUP(C116,RESUMENGEN!$B$20:$J$219,4,FALSE)="HÁBIL",VLOOKUP(C116,RESUMENGEN!$B$20:$J$219,9,FALSE)-D116,-D116)</f>
        <v>#N/A</v>
      </c>
      <c r="F116" s="373" t="e">
        <f>RANK(E116,$E$19:$E$218)</f>
        <v>#N/A</v>
      </c>
      <c r="G116" s="531" t="e">
        <f ca="1">VLOOKUP(I116,RESUMENGEN!$B$20:$J$219,3,FALSE)</f>
        <v>#N/A</v>
      </c>
      <c r="H116" s="377" t="e">
        <f ca="1">VLOOKUP(I116,RESUMENGEN!$B$20:$J$219,9,FALSE)</f>
        <v>#N/A</v>
      </c>
      <c r="I116" s="374" t="e">
        <f t="shared" ca="1" si="7"/>
        <v>#N/A</v>
      </c>
      <c r="J116" s="375" t="e">
        <f ca="1">IF(AND(VLOOKUP(I116,RESUMENGEN!$B$20:$J$219,4,0)="HÁBIL"),"ELEGIBLE","NO ELEGIBLE")</f>
        <v>#N/A</v>
      </c>
    </row>
    <row r="117" spans="2:10" hidden="1">
      <c r="B117" s="371">
        <v>99</v>
      </c>
      <c r="C117" s="376">
        <f>IF(VLOOKUP(B117,RESUMENGEN!$C$20:$M$219,10,FALSE)="","",VLOOKUP(B117,RESUMENGEN!$C$20:$M$219,10,FALSE))</f>
        <v>0</v>
      </c>
      <c r="D117" s="372">
        <f t="shared" si="8"/>
        <v>1.0799999999999979E-8</v>
      </c>
      <c r="E117" s="377" t="e">
        <f>IF(VLOOKUP(C117,RESUMENGEN!$B$20:$J$219,4,FALSE)="HÁBIL",VLOOKUP(C117,RESUMENGEN!$B$20:$J$219,9,FALSE)-D117,-D117)</f>
        <v>#N/A</v>
      </c>
      <c r="F117" s="373" t="e">
        <f>RANK(E117,$E$19:$E$218)</f>
        <v>#N/A</v>
      </c>
      <c r="G117" s="531" t="e">
        <f ca="1">VLOOKUP(I117,RESUMENGEN!$B$20:$J$219,3,FALSE)</f>
        <v>#N/A</v>
      </c>
      <c r="H117" s="377" t="e">
        <f ca="1">VLOOKUP(I117,RESUMENGEN!$B$20:$J$219,9,FALSE)</f>
        <v>#N/A</v>
      </c>
      <c r="I117" s="374" t="e">
        <f t="shared" ca="1" si="7"/>
        <v>#N/A</v>
      </c>
      <c r="J117" s="375" t="e">
        <f ca="1">IF(AND(VLOOKUP(I117,RESUMENGEN!$B$20:$J$219,4,0)="HÁBIL"),"ELEGIBLE","NO ELEGIBLE")</f>
        <v>#N/A</v>
      </c>
    </row>
    <row r="118" spans="2:10" hidden="1">
      <c r="B118" s="371">
        <v>100</v>
      </c>
      <c r="C118" s="376">
        <f>IF(VLOOKUP(B118,RESUMENGEN!$C$20:$M$219,10,FALSE)="","",VLOOKUP(B118,RESUMENGEN!$C$20:$M$219,10,FALSE))</f>
        <v>0</v>
      </c>
      <c r="D118" s="372">
        <f t="shared" si="8"/>
        <v>1.0899999999999978E-8</v>
      </c>
      <c r="E118" s="377" t="e">
        <f>IF(VLOOKUP(C118,RESUMENGEN!$B$20:$J$219,4,FALSE)="HÁBIL",VLOOKUP(C118,RESUMENGEN!$B$20:$J$219,9,FALSE)-D118,-D118)</f>
        <v>#N/A</v>
      </c>
      <c r="F118" s="373" t="e">
        <f t="shared" ref="F118:F181" si="9">RANK(E118,$E$19:$E$218)</f>
        <v>#N/A</v>
      </c>
      <c r="G118" s="531" t="e">
        <f ca="1">VLOOKUP(I118,RESUMENGEN!$B$20:$J$219,3,FALSE)</f>
        <v>#N/A</v>
      </c>
      <c r="H118" s="377" t="e">
        <f ca="1">VLOOKUP(I118,RESUMENGEN!$B$20:$J$219,9,FALSE)</f>
        <v>#N/A</v>
      </c>
      <c r="I118" s="374" t="e">
        <f t="shared" ref="I118:I181" ca="1" si="10">IF(C118="","",OFFSET($C$18,MATCH(B118,$F$19:$F$218,0),0))</f>
        <v>#N/A</v>
      </c>
      <c r="J118" s="375" t="e">
        <f ca="1">IF(AND(VLOOKUP(I118,RESUMENGEN!$B$20:$J$219,4,0)="HÁBIL"),"ELEGIBLE","NO ELEGIBLE")</f>
        <v>#N/A</v>
      </c>
    </row>
    <row r="119" spans="2:10" hidden="1">
      <c r="B119" s="371">
        <v>101</v>
      </c>
      <c r="C119" s="376">
        <f>IF(VLOOKUP(B119,RESUMENGEN!$C$20:$M$219,10,FALSE)="","",VLOOKUP(B119,RESUMENGEN!$C$20:$M$219,10,FALSE))</f>
        <v>0</v>
      </c>
      <c r="D119" s="372">
        <f t="shared" si="8"/>
        <v>1.0999999999999978E-8</v>
      </c>
      <c r="E119" s="377" t="e">
        <f>IF(VLOOKUP(C119,RESUMENGEN!$B$20:$J$219,4,FALSE)="HÁBIL",VLOOKUP(C119,RESUMENGEN!$B$20:$J$219,9,FALSE)-D119,-D119)</f>
        <v>#N/A</v>
      </c>
      <c r="F119" s="373" t="e">
        <f t="shared" si="9"/>
        <v>#N/A</v>
      </c>
      <c r="G119" s="531" t="e">
        <f ca="1">VLOOKUP(I119,RESUMENGEN!$B$20:$J$219,3,FALSE)</f>
        <v>#N/A</v>
      </c>
      <c r="H119" s="377" t="e">
        <f ca="1">VLOOKUP(I119,RESUMENGEN!$B$20:$J$219,9,FALSE)</f>
        <v>#N/A</v>
      </c>
      <c r="I119" s="374" t="e">
        <f t="shared" ca="1" si="10"/>
        <v>#N/A</v>
      </c>
      <c r="J119" s="375" t="e">
        <f ca="1">IF(AND(VLOOKUP(I119,RESUMENGEN!$B$20:$J$219,4,0)="HÁBIL"),"ELEGIBLE","NO ELEGIBLE")</f>
        <v>#N/A</v>
      </c>
    </row>
    <row r="120" spans="2:10" hidden="1">
      <c r="B120" s="371">
        <v>102</v>
      </c>
      <c r="C120" s="376">
        <f>IF(VLOOKUP(B120,RESUMENGEN!$C$20:$M$219,10,FALSE)="","",VLOOKUP(B120,RESUMENGEN!$C$20:$M$219,10,FALSE))</f>
        <v>0</v>
      </c>
      <c r="D120" s="372">
        <f t="shared" si="8"/>
        <v>1.1099999999999977E-8</v>
      </c>
      <c r="E120" s="377" t="e">
        <f>IF(VLOOKUP(C120,RESUMENGEN!$B$20:$J$219,4,FALSE)="HÁBIL",VLOOKUP(C120,RESUMENGEN!$B$20:$J$219,9,FALSE)-D120,-D120)</f>
        <v>#N/A</v>
      </c>
      <c r="F120" s="373" t="e">
        <f t="shared" si="9"/>
        <v>#N/A</v>
      </c>
      <c r="G120" s="531" t="e">
        <f ca="1">VLOOKUP(I120,RESUMENGEN!$B$20:$J$219,3,FALSE)</f>
        <v>#N/A</v>
      </c>
      <c r="H120" s="377" t="e">
        <f ca="1">VLOOKUP(I120,RESUMENGEN!$B$20:$J$219,9,FALSE)</f>
        <v>#N/A</v>
      </c>
      <c r="I120" s="374" t="e">
        <f t="shared" ca="1" si="10"/>
        <v>#N/A</v>
      </c>
      <c r="J120" s="375" t="e">
        <f ca="1">IF(AND(VLOOKUP(I120,RESUMENGEN!$B$20:$J$219,4,0)="HÁBIL"),"ELEGIBLE","NO ELEGIBLE")</f>
        <v>#N/A</v>
      </c>
    </row>
    <row r="121" spans="2:10" hidden="1">
      <c r="B121" s="371">
        <v>103</v>
      </c>
      <c r="C121" s="376">
        <f>IF(VLOOKUP(B121,RESUMENGEN!$C$20:$M$219,10,FALSE)="","",VLOOKUP(B121,RESUMENGEN!$C$20:$M$219,10,FALSE))</f>
        <v>0</v>
      </c>
      <c r="D121" s="372">
        <f t="shared" si="8"/>
        <v>1.1199999999999976E-8</v>
      </c>
      <c r="E121" s="377" t="e">
        <f>IF(VLOOKUP(C121,RESUMENGEN!$B$20:$J$219,4,FALSE)="HÁBIL",VLOOKUP(C121,RESUMENGEN!$B$20:$J$219,9,FALSE)-D121,-D121)</f>
        <v>#N/A</v>
      </c>
      <c r="F121" s="373" t="e">
        <f t="shared" si="9"/>
        <v>#N/A</v>
      </c>
      <c r="G121" s="531" t="e">
        <f ca="1">VLOOKUP(I121,RESUMENGEN!$B$20:$J$219,3,FALSE)</f>
        <v>#N/A</v>
      </c>
      <c r="H121" s="377" t="e">
        <f ca="1">VLOOKUP(I121,RESUMENGEN!$B$20:$J$219,9,FALSE)</f>
        <v>#N/A</v>
      </c>
      <c r="I121" s="374" t="e">
        <f t="shared" ca="1" si="10"/>
        <v>#N/A</v>
      </c>
      <c r="J121" s="375" t="e">
        <f ca="1">IF(AND(VLOOKUP(I121,RESUMENGEN!$B$20:$J$219,4,0)="HÁBIL"),"ELEGIBLE","NO ELEGIBLE")</f>
        <v>#N/A</v>
      </c>
    </row>
    <row r="122" spans="2:10" hidden="1">
      <c r="B122" s="371">
        <v>104</v>
      </c>
      <c r="C122" s="376">
        <f>IF(VLOOKUP(B122,RESUMENGEN!$C$20:$M$219,10,FALSE)="","",VLOOKUP(B122,RESUMENGEN!$C$20:$M$219,10,FALSE))</f>
        <v>0</v>
      </c>
      <c r="D122" s="372">
        <f t="shared" si="8"/>
        <v>1.1299999999999975E-8</v>
      </c>
      <c r="E122" s="377" t="e">
        <f>IF(VLOOKUP(C122,RESUMENGEN!$B$20:$J$219,4,FALSE)="HÁBIL",VLOOKUP(C122,RESUMENGEN!$B$20:$J$219,9,FALSE)-D122,-D122)</f>
        <v>#N/A</v>
      </c>
      <c r="F122" s="373" t="e">
        <f t="shared" si="9"/>
        <v>#N/A</v>
      </c>
      <c r="G122" s="531" t="e">
        <f ca="1">VLOOKUP(I122,RESUMENGEN!$B$20:$J$219,3,FALSE)</f>
        <v>#N/A</v>
      </c>
      <c r="H122" s="377" t="e">
        <f ca="1">VLOOKUP(I122,RESUMENGEN!$B$20:$J$219,9,FALSE)</f>
        <v>#N/A</v>
      </c>
      <c r="I122" s="374" t="e">
        <f t="shared" ca="1" si="10"/>
        <v>#N/A</v>
      </c>
      <c r="J122" s="375" t="e">
        <f ca="1">IF(AND(VLOOKUP(I122,RESUMENGEN!$B$20:$J$219,4,0)="HÁBIL"),"ELEGIBLE","NO ELEGIBLE")</f>
        <v>#N/A</v>
      </c>
    </row>
    <row r="123" spans="2:10" hidden="1">
      <c r="B123" s="371">
        <v>105</v>
      </c>
      <c r="C123" s="376">
        <f>IF(VLOOKUP(B123,RESUMENGEN!$C$20:$M$219,10,FALSE)="","",VLOOKUP(B123,RESUMENGEN!$C$20:$M$219,10,FALSE))</f>
        <v>0</v>
      </c>
      <c r="D123" s="372">
        <f t="shared" si="8"/>
        <v>1.1399999999999975E-8</v>
      </c>
      <c r="E123" s="377" t="e">
        <f>IF(VLOOKUP(C123,RESUMENGEN!$B$20:$J$219,4,FALSE)="HÁBIL",VLOOKUP(C123,RESUMENGEN!$B$20:$J$219,9,FALSE)-D123,-D123)</f>
        <v>#N/A</v>
      </c>
      <c r="F123" s="373" t="e">
        <f t="shared" si="9"/>
        <v>#N/A</v>
      </c>
      <c r="G123" s="531" t="e">
        <f ca="1">VLOOKUP(I123,RESUMENGEN!$B$20:$J$219,3,FALSE)</f>
        <v>#N/A</v>
      </c>
      <c r="H123" s="377" t="e">
        <f ca="1">VLOOKUP(I123,RESUMENGEN!$B$20:$J$219,9,FALSE)</f>
        <v>#N/A</v>
      </c>
      <c r="I123" s="374" t="e">
        <f t="shared" ca="1" si="10"/>
        <v>#N/A</v>
      </c>
      <c r="J123" s="375" t="e">
        <f ca="1">IF(AND(VLOOKUP(I123,RESUMENGEN!$B$20:$J$219,4,0)="HÁBIL"),"ELEGIBLE","NO ELEGIBLE")</f>
        <v>#N/A</v>
      </c>
    </row>
    <row r="124" spans="2:10" hidden="1">
      <c r="B124" s="371">
        <v>106</v>
      </c>
      <c r="C124" s="376">
        <f>IF(VLOOKUP(B124,RESUMENGEN!$C$20:$M$219,10,FALSE)="","",VLOOKUP(B124,RESUMENGEN!$C$20:$M$219,10,FALSE))</f>
        <v>0</v>
      </c>
      <c r="D124" s="372">
        <f t="shared" si="8"/>
        <v>1.1499999999999974E-8</v>
      </c>
      <c r="E124" s="377" t="e">
        <f>IF(VLOOKUP(C124,RESUMENGEN!$B$20:$J$219,4,FALSE)="HÁBIL",VLOOKUP(C124,RESUMENGEN!$B$20:$J$219,9,FALSE)-D124,-D124)</f>
        <v>#N/A</v>
      </c>
      <c r="F124" s="373" t="e">
        <f t="shared" si="9"/>
        <v>#N/A</v>
      </c>
      <c r="G124" s="531" t="e">
        <f ca="1">VLOOKUP(I124,RESUMENGEN!$B$20:$J$219,3,FALSE)</f>
        <v>#N/A</v>
      </c>
      <c r="H124" s="377" t="e">
        <f ca="1">VLOOKUP(I124,RESUMENGEN!$B$20:$J$219,9,FALSE)</f>
        <v>#N/A</v>
      </c>
      <c r="I124" s="374" t="e">
        <f t="shared" ca="1" si="10"/>
        <v>#N/A</v>
      </c>
      <c r="J124" s="375" t="e">
        <f ca="1">IF(AND(VLOOKUP(I124,RESUMENGEN!$B$20:$J$219,4,0)="HÁBIL"),"ELEGIBLE","NO ELEGIBLE")</f>
        <v>#N/A</v>
      </c>
    </row>
    <row r="125" spans="2:10" hidden="1">
      <c r="B125" s="371">
        <v>107</v>
      </c>
      <c r="C125" s="376">
        <f>IF(VLOOKUP(B125,RESUMENGEN!$C$20:$M$219,10,FALSE)="","",VLOOKUP(B125,RESUMENGEN!$C$20:$M$219,10,FALSE))</f>
        <v>0</v>
      </c>
      <c r="D125" s="372">
        <f t="shared" si="8"/>
        <v>1.1599999999999973E-8</v>
      </c>
      <c r="E125" s="377" t="e">
        <f>IF(VLOOKUP(C125,RESUMENGEN!$B$20:$J$219,4,FALSE)="HÁBIL",VLOOKUP(C125,RESUMENGEN!$B$20:$J$219,9,FALSE)-D125,-D125)</f>
        <v>#N/A</v>
      </c>
      <c r="F125" s="373" t="e">
        <f t="shared" si="9"/>
        <v>#N/A</v>
      </c>
      <c r="G125" s="531" t="e">
        <f ca="1">VLOOKUP(I125,RESUMENGEN!$B$20:$J$219,3,FALSE)</f>
        <v>#N/A</v>
      </c>
      <c r="H125" s="377" t="e">
        <f ca="1">VLOOKUP(I125,RESUMENGEN!$B$20:$J$219,9,FALSE)</f>
        <v>#N/A</v>
      </c>
      <c r="I125" s="374" t="e">
        <f t="shared" ca="1" si="10"/>
        <v>#N/A</v>
      </c>
      <c r="J125" s="375" t="e">
        <f ca="1">IF(AND(VLOOKUP(I125,RESUMENGEN!$B$20:$J$219,4,0)="HÁBIL"),"ELEGIBLE","NO ELEGIBLE")</f>
        <v>#N/A</v>
      </c>
    </row>
    <row r="126" spans="2:10" hidden="1">
      <c r="B126" s="371">
        <v>108</v>
      </c>
      <c r="C126" s="376">
        <f>IF(VLOOKUP(B126,RESUMENGEN!$C$20:$M$219,10,FALSE)="","",VLOOKUP(B126,RESUMENGEN!$C$20:$M$219,10,FALSE))</f>
        <v>0</v>
      </c>
      <c r="D126" s="372">
        <f t="shared" si="8"/>
        <v>1.1699999999999972E-8</v>
      </c>
      <c r="E126" s="377" t="e">
        <f>IF(VLOOKUP(C126,RESUMENGEN!$B$20:$J$219,4,FALSE)="HÁBIL",VLOOKUP(C126,RESUMENGEN!$B$20:$J$219,9,FALSE)-D126,-D126)</f>
        <v>#N/A</v>
      </c>
      <c r="F126" s="373" t="e">
        <f t="shared" si="9"/>
        <v>#N/A</v>
      </c>
      <c r="G126" s="531" t="e">
        <f ca="1">VLOOKUP(I126,RESUMENGEN!$B$20:$J$219,3,FALSE)</f>
        <v>#N/A</v>
      </c>
      <c r="H126" s="377" t="e">
        <f ca="1">VLOOKUP(I126,RESUMENGEN!$B$20:$J$219,9,FALSE)</f>
        <v>#N/A</v>
      </c>
      <c r="I126" s="374" t="e">
        <f t="shared" ca="1" si="10"/>
        <v>#N/A</v>
      </c>
      <c r="J126" s="375" t="e">
        <f ca="1">IF(AND(VLOOKUP(I126,RESUMENGEN!$B$20:$J$219,4,0)="HÁBIL"),"ELEGIBLE","NO ELEGIBLE")</f>
        <v>#N/A</v>
      </c>
    </row>
    <row r="127" spans="2:10" hidden="1">
      <c r="B127" s="371">
        <v>109</v>
      </c>
      <c r="C127" s="376">
        <f>IF(VLOOKUP(B127,RESUMENGEN!$C$20:$M$219,10,FALSE)="","",VLOOKUP(B127,RESUMENGEN!$C$20:$M$219,10,FALSE))</f>
        <v>0</v>
      </c>
      <c r="D127" s="372">
        <f t="shared" si="8"/>
        <v>1.1799999999999972E-8</v>
      </c>
      <c r="E127" s="377" t="e">
        <f>IF(VLOOKUP(C127,RESUMENGEN!$B$20:$J$219,4,FALSE)="HÁBIL",VLOOKUP(C127,RESUMENGEN!$B$20:$J$219,9,FALSE)-D127,-D127)</f>
        <v>#N/A</v>
      </c>
      <c r="F127" s="373" t="e">
        <f t="shared" si="9"/>
        <v>#N/A</v>
      </c>
      <c r="G127" s="531" t="e">
        <f ca="1">VLOOKUP(I127,RESUMENGEN!$B$20:$J$219,3,FALSE)</f>
        <v>#N/A</v>
      </c>
      <c r="H127" s="377" t="e">
        <f ca="1">VLOOKUP(I127,RESUMENGEN!$B$20:$J$219,9,FALSE)</f>
        <v>#N/A</v>
      </c>
      <c r="I127" s="374" t="e">
        <f t="shared" ca="1" si="10"/>
        <v>#N/A</v>
      </c>
      <c r="J127" s="375" t="e">
        <f ca="1">IF(AND(VLOOKUP(I127,RESUMENGEN!$B$20:$J$219,4,0)="HÁBIL"),"ELEGIBLE","NO ELEGIBLE")</f>
        <v>#N/A</v>
      </c>
    </row>
    <row r="128" spans="2:10" hidden="1">
      <c r="B128" s="371">
        <v>110</v>
      </c>
      <c r="C128" s="376">
        <f>IF(VLOOKUP(B128,RESUMENGEN!$C$20:$M$219,10,FALSE)="","",VLOOKUP(B128,RESUMENGEN!$C$20:$M$219,10,FALSE))</f>
        <v>0</v>
      </c>
      <c r="D128" s="372">
        <f t="shared" si="8"/>
        <v>1.1899999999999971E-8</v>
      </c>
      <c r="E128" s="377" t="e">
        <f>IF(VLOOKUP(C128,RESUMENGEN!$B$20:$J$219,4,FALSE)="HÁBIL",VLOOKUP(C128,RESUMENGEN!$B$20:$J$219,9,FALSE)-D128,-D128)</f>
        <v>#N/A</v>
      </c>
      <c r="F128" s="373" t="e">
        <f t="shared" si="9"/>
        <v>#N/A</v>
      </c>
      <c r="G128" s="531" t="e">
        <f ca="1">VLOOKUP(I128,RESUMENGEN!$B$20:$J$219,3,FALSE)</f>
        <v>#N/A</v>
      </c>
      <c r="H128" s="377" t="e">
        <f ca="1">VLOOKUP(I128,RESUMENGEN!$B$20:$J$219,9,FALSE)</f>
        <v>#N/A</v>
      </c>
      <c r="I128" s="374" t="e">
        <f t="shared" ca="1" si="10"/>
        <v>#N/A</v>
      </c>
      <c r="J128" s="375" t="e">
        <f ca="1">IF(AND(VLOOKUP(I128,RESUMENGEN!$B$20:$J$219,4,0)="HÁBIL"),"ELEGIBLE","NO ELEGIBLE")</f>
        <v>#N/A</v>
      </c>
    </row>
    <row r="129" spans="2:10" hidden="1">
      <c r="B129" s="371">
        <v>111</v>
      </c>
      <c r="C129" s="376">
        <f>IF(VLOOKUP(B129,RESUMENGEN!$C$20:$M$219,10,FALSE)="","",VLOOKUP(B129,RESUMENGEN!$C$20:$M$219,10,FALSE))</f>
        <v>0</v>
      </c>
      <c r="D129" s="372">
        <f t="shared" si="8"/>
        <v>1.199999999999997E-8</v>
      </c>
      <c r="E129" s="377" t="e">
        <f>IF(VLOOKUP(C129,RESUMENGEN!$B$20:$J$219,4,FALSE)="HÁBIL",VLOOKUP(C129,RESUMENGEN!$B$20:$J$219,9,FALSE)-D129,-D129)</f>
        <v>#N/A</v>
      </c>
      <c r="F129" s="373" t="e">
        <f t="shared" si="9"/>
        <v>#N/A</v>
      </c>
      <c r="G129" s="531" t="e">
        <f ca="1">VLOOKUP(I129,RESUMENGEN!$B$20:$J$219,3,FALSE)</f>
        <v>#N/A</v>
      </c>
      <c r="H129" s="377" t="e">
        <f ca="1">VLOOKUP(I129,RESUMENGEN!$B$20:$J$219,9,FALSE)</f>
        <v>#N/A</v>
      </c>
      <c r="I129" s="374" t="e">
        <f t="shared" ca="1" si="10"/>
        <v>#N/A</v>
      </c>
      <c r="J129" s="375" t="e">
        <f ca="1">IF(AND(VLOOKUP(I129,RESUMENGEN!$B$20:$J$219,4,0)="HÁBIL"),"ELEGIBLE","NO ELEGIBLE")</f>
        <v>#N/A</v>
      </c>
    </row>
    <row r="130" spans="2:10" hidden="1">
      <c r="B130" s="371">
        <v>112</v>
      </c>
      <c r="C130" s="376">
        <f>IF(VLOOKUP(B130,RESUMENGEN!$C$20:$M$219,10,FALSE)="","",VLOOKUP(B130,RESUMENGEN!$C$20:$M$219,10,FALSE))</f>
        <v>0</v>
      </c>
      <c r="D130" s="372">
        <f t="shared" si="8"/>
        <v>1.2099999999999969E-8</v>
      </c>
      <c r="E130" s="377" t="e">
        <f>IF(VLOOKUP(C130,RESUMENGEN!$B$20:$J$219,4,FALSE)="HÁBIL",VLOOKUP(C130,RESUMENGEN!$B$20:$J$219,9,FALSE)-D130,-D130)</f>
        <v>#N/A</v>
      </c>
      <c r="F130" s="373" t="e">
        <f t="shared" si="9"/>
        <v>#N/A</v>
      </c>
      <c r="G130" s="531" t="e">
        <f ca="1">VLOOKUP(I130,RESUMENGEN!$B$20:$J$219,3,FALSE)</f>
        <v>#N/A</v>
      </c>
      <c r="H130" s="377" t="e">
        <f ca="1">VLOOKUP(I130,RESUMENGEN!$B$20:$J$219,9,FALSE)</f>
        <v>#N/A</v>
      </c>
      <c r="I130" s="374" t="e">
        <f t="shared" ca="1" si="10"/>
        <v>#N/A</v>
      </c>
      <c r="J130" s="375" t="e">
        <f ca="1">IF(AND(VLOOKUP(I130,RESUMENGEN!$B$20:$J$219,4,0)="HÁBIL"),"ELEGIBLE","NO ELEGIBLE")</f>
        <v>#N/A</v>
      </c>
    </row>
    <row r="131" spans="2:10" hidden="1">
      <c r="B131" s="371">
        <v>113</v>
      </c>
      <c r="C131" s="376">
        <f>IF(VLOOKUP(B131,RESUMENGEN!$C$20:$M$219,10,FALSE)="","",VLOOKUP(B131,RESUMENGEN!$C$20:$M$219,10,FALSE))</f>
        <v>0</v>
      </c>
      <c r="D131" s="372">
        <f t="shared" si="8"/>
        <v>1.2199999999999969E-8</v>
      </c>
      <c r="E131" s="377" t="e">
        <f>IF(VLOOKUP(C131,RESUMENGEN!$B$20:$J$219,4,FALSE)="HÁBIL",VLOOKUP(C131,RESUMENGEN!$B$20:$J$219,9,FALSE)-D131,-D131)</f>
        <v>#N/A</v>
      </c>
      <c r="F131" s="373" t="e">
        <f t="shared" si="9"/>
        <v>#N/A</v>
      </c>
      <c r="G131" s="531" t="e">
        <f ca="1">VLOOKUP(I131,RESUMENGEN!$B$20:$J$219,3,FALSE)</f>
        <v>#N/A</v>
      </c>
      <c r="H131" s="377" t="e">
        <f ca="1">VLOOKUP(I131,RESUMENGEN!$B$20:$J$219,9,FALSE)</f>
        <v>#N/A</v>
      </c>
      <c r="I131" s="374" t="e">
        <f t="shared" ca="1" si="10"/>
        <v>#N/A</v>
      </c>
      <c r="J131" s="375" t="e">
        <f ca="1">IF(AND(VLOOKUP(I131,RESUMENGEN!$B$20:$J$219,4,0)="HÁBIL"),"ELEGIBLE","NO ELEGIBLE")</f>
        <v>#N/A</v>
      </c>
    </row>
    <row r="132" spans="2:10" hidden="1">
      <c r="B132" s="371">
        <v>114</v>
      </c>
      <c r="C132" s="376">
        <f>IF(VLOOKUP(B132,RESUMENGEN!$C$20:$M$219,10,FALSE)="","",VLOOKUP(B132,RESUMENGEN!$C$20:$M$219,10,FALSE))</f>
        <v>0</v>
      </c>
      <c r="D132" s="372">
        <f t="shared" si="8"/>
        <v>1.2299999999999968E-8</v>
      </c>
      <c r="E132" s="377" t="e">
        <f>IF(VLOOKUP(C132,RESUMENGEN!$B$20:$J$219,4,FALSE)="HÁBIL",VLOOKUP(C132,RESUMENGEN!$B$20:$J$219,9,FALSE)-D132,-D132)</f>
        <v>#N/A</v>
      </c>
      <c r="F132" s="373" t="e">
        <f t="shared" si="9"/>
        <v>#N/A</v>
      </c>
      <c r="G132" s="531" t="e">
        <f ca="1">VLOOKUP(I132,RESUMENGEN!$B$20:$J$219,3,FALSE)</f>
        <v>#N/A</v>
      </c>
      <c r="H132" s="377" t="e">
        <f ca="1">VLOOKUP(I132,RESUMENGEN!$B$20:$J$219,9,FALSE)</f>
        <v>#N/A</v>
      </c>
      <c r="I132" s="374" t="e">
        <f t="shared" ca="1" si="10"/>
        <v>#N/A</v>
      </c>
      <c r="J132" s="375" t="e">
        <f ca="1">IF(AND(VLOOKUP(I132,RESUMENGEN!$B$20:$J$219,4,0)="HÁBIL"),"ELEGIBLE","NO ELEGIBLE")</f>
        <v>#N/A</v>
      </c>
    </row>
    <row r="133" spans="2:10" hidden="1">
      <c r="B133" s="371">
        <v>115</v>
      </c>
      <c r="C133" s="376">
        <f>IF(VLOOKUP(B133,RESUMENGEN!$C$20:$M$219,10,FALSE)="","",VLOOKUP(B133,RESUMENGEN!$C$20:$M$219,10,FALSE))</f>
        <v>0</v>
      </c>
      <c r="D133" s="372">
        <f t="shared" si="8"/>
        <v>1.2399999999999967E-8</v>
      </c>
      <c r="E133" s="377" t="e">
        <f>IF(VLOOKUP(C133,RESUMENGEN!$B$20:$J$219,4,FALSE)="HÁBIL",VLOOKUP(C133,RESUMENGEN!$B$20:$J$219,9,FALSE)-D133,-D133)</f>
        <v>#N/A</v>
      </c>
      <c r="F133" s="373" t="e">
        <f t="shared" si="9"/>
        <v>#N/A</v>
      </c>
      <c r="G133" s="531" t="e">
        <f ca="1">VLOOKUP(I133,RESUMENGEN!$B$20:$J$219,3,FALSE)</f>
        <v>#N/A</v>
      </c>
      <c r="H133" s="377" t="e">
        <f ca="1">VLOOKUP(I133,RESUMENGEN!$B$20:$J$219,9,FALSE)</f>
        <v>#N/A</v>
      </c>
      <c r="I133" s="374" t="e">
        <f t="shared" ca="1" si="10"/>
        <v>#N/A</v>
      </c>
      <c r="J133" s="375" t="e">
        <f ca="1">IF(AND(VLOOKUP(I133,RESUMENGEN!$B$20:$J$219,4,0)="HÁBIL"),"ELEGIBLE","NO ELEGIBLE")</f>
        <v>#N/A</v>
      </c>
    </row>
    <row r="134" spans="2:10" hidden="1">
      <c r="B134" s="371">
        <v>116</v>
      </c>
      <c r="C134" s="376">
        <f>IF(VLOOKUP(B134,RESUMENGEN!$C$20:$M$219,10,FALSE)="","",VLOOKUP(B134,RESUMENGEN!$C$20:$M$219,10,FALSE))</f>
        <v>0</v>
      </c>
      <c r="D134" s="372">
        <f t="shared" si="8"/>
        <v>1.2499999999999966E-8</v>
      </c>
      <c r="E134" s="377" t="e">
        <f>IF(VLOOKUP(C134,RESUMENGEN!$B$20:$J$219,4,FALSE)="HÁBIL",VLOOKUP(C134,RESUMENGEN!$B$20:$J$219,9,FALSE)-D134,-D134)</f>
        <v>#N/A</v>
      </c>
      <c r="F134" s="373" t="e">
        <f t="shared" si="9"/>
        <v>#N/A</v>
      </c>
      <c r="G134" s="531" t="e">
        <f ca="1">VLOOKUP(I134,RESUMENGEN!$B$20:$J$219,3,FALSE)</f>
        <v>#N/A</v>
      </c>
      <c r="H134" s="377" t="e">
        <f ca="1">VLOOKUP(I134,RESUMENGEN!$B$20:$J$219,9,FALSE)</f>
        <v>#N/A</v>
      </c>
      <c r="I134" s="374" t="e">
        <f t="shared" ca="1" si="10"/>
        <v>#N/A</v>
      </c>
      <c r="J134" s="375" t="e">
        <f ca="1">IF(AND(VLOOKUP(I134,RESUMENGEN!$B$20:$J$219,4,0)="HÁBIL"),"ELEGIBLE","NO ELEGIBLE")</f>
        <v>#N/A</v>
      </c>
    </row>
    <row r="135" spans="2:10" hidden="1">
      <c r="B135" s="371">
        <v>117</v>
      </c>
      <c r="C135" s="376">
        <f>IF(VLOOKUP(B135,RESUMENGEN!$C$20:$M$219,10,FALSE)="","",VLOOKUP(B135,RESUMENGEN!$C$20:$M$219,10,FALSE))</f>
        <v>0</v>
      </c>
      <c r="D135" s="372">
        <f t="shared" si="8"/>
        <v>1.2599999999999966E-8</v>
      </c>
      <c r="E135" s="377" t="e">
        <f>IF(VLOOKUP(C135,RESUMENGEN!$B$20:$J$219,4,FALSE)="HÁBIL",VLOOKUP(C135,RESUMENGEN!$B$20:$J$219,9,FALSE)-D135,-D135)</f>
        <v>#N/A</v>
      </c>
      <c r="F135" s="373" t="e">
        <f t="shared" si="9"/>
        <v>#N/A</v>
      </c>
      <c r="G135" s="531" t="e">
        <f ca="1">VLOOKUP(I135,RESUMENGEN!$B$20:$J$219,3,FALSE)</f>
        <v>#N/A</v>
      </c>
      <c r="H135" s="377" t="e">
        <f ca="1">VLOOKUP(I135,RESUMENGEN!$B$20:$J$219,9,FALSE)</f>
        <v>#N/A</v>
      </c>
      <c r="I135" s="374" t="e">
        <f t="shared" ca="1" si="10"/>
        <v>#N/A</v>
      </c>
      <c r="J135" s="375" t="e">
        <f ca="1">IF(AND(VLOOKUP(I135,RESUMENGEN!$B$20:$J$219,4,0)="HÁBIL"),"ELEGIBLE","NO ELEGIBLE")</f>
        <v>#N/A</v>
      </c>
    </row>
    <row r="136" spans="2:10" hidden="1">
      <c r="B136" s="371">
        <v>118</v>
      </c>
      <c r="C136" s="376">
        <f>IF(VLOOKUP(B136,RESUMENGEN!$C$20:$M$219,10,FALSE)="","",VLOOKUP(B136,RESUMENGEN!$C$20:$M$219,10,FALSE))</f>
        <v>0</v>
      </c>
      <c r="D136" s="372">
        <f t="shared" si="8"/>
        <v>1.2699999999999965E-8</v>
      </c>
      <c r="E136" s="377" t="e">
        <f>IF(VLOOKUP(C136,RESUMENGEN!$B$20:$J$219,4,FALSE)="HÁBIL",VLOOKUP(C136,RESUMENGEN!$B$20:$J$219,9,FALSE)-D136,-D136)</f>
        <v>#N/A</v>
      </c>
      <c r="F136" s="373" t="e">
        <f t="shared" si="9"/>
        <v>#N/A</v>
      </c>
      <c r="G136" s="531" t="e">
        <f ca="1">VLOOKUP(I136,RESUMENGEN!$B$20:$J$219,3,FALSE)</f>
        <v>#N/A</v>
      </c>
      <c r="H136" s="377" t="e">
        <f ca="1">VLOOKUP(I136,RESUMENGEN!$B$20:$J$219,9,FALSE)</f>
        <v>#N/A</v>
      </c>
      <c r="I136" s="374" t="e">
        <f t="shared" ca="1" si="10"/>
        <v>#N/A</v>
      </c>
      <c r="J136" s="375" t="e">
        <f ca="1">IF(AND(VLOOKUP(I136,RESUMENGEN!$B$20:$J$219,4,0)="HÁBIL"),"ELEGIBLE","NO ELEGIBLE")</f>
        <v>#N/A</v>
      </c>
    </row>
    <row r="137" spans="2:10" hidden="1">
      <c r="B137" s="371">
        <v>119</v>
      </c>
      <c r="C137" s="376">
        <f>IF(VLOOKUP(B137,RESUMENGEN!$C$20:$M$219,10,FALSE)="","",VLOOKUP(B137,RESUMENGEN!$C$20:$M$219,10,FALSE))</f>
        <v>0</v>
      </c>
      <c r="D137" s="372">
        <f t="shared" si="8"/>
        <v>1.2799999999999964E-8</v>
      </c>
      <c r="E137" s="377" t="e">
        <f>IF(VLOOKUP(C137,RESUMENGEN!$B$20:$J$219,4,FALSE)="HÁBIL",VLOOKUP(C137,RESUMENGEN!$B$20:$J$219,9,FALSE)-D137,-D137)</f>
        <v>#N/A</v>
      </c>
      <c r="F137" s="373" t="e">
        <f t="shared" si="9"/>
        <v>#N/A</v>
      </c>
      <c r="G137" s="531" t="e">
        <f ca="1">VLOOKUP(I137,RESUMENGEN!$B$20:$J$219,3,FALSE)</f>
        <v>#N/A</v>
      </c>
      <c r="H137" s="377" t="e">
        <f ca="1">VLOOKUP(I137,RESUMENGEN!$B$20:$J$219,9,FALSE)</f>
        <v>#N/A</v>
      </c>
      <c r="I137" s="374" t="e">
        <f t="shared" ca="1" si="10"/>
        <v>#N/A</v>
      </c>
      <c r="J137" s="375" t="e">
        <f ca="1">IF(AND(VLOOKUP(I137,RESUMENGEN!$B$20:$J$219,4,0)="HÁBIL"),"ELEGIBLE","NO ELEGIBLE")</f>
        <v>#N/A</v>
      </c>
    </row>
    <row r="138" spans="2:10" hidden="1">
      <c r="B138" s="371">
        <v>120</v>
      </c>
      <c r="C138" s="376">
        <f>IF(VLOOKUP(B138,RESUMENGEN!$C$20:$M$219,10,FALSE)="","",VLOOKUP(B138,RESUMENGEN!$C$20:$M$219,10,FALSE))</f>
        <v>0</v>
      </c>
      <c r="D138" s="372">
        <f t="shared" si="8"/>
        <v>1.2899999999999963E-8</v>
      </c>
      <c r="E138" s="377" t="e">
        <f>IF(VLOOKUP(C138,RESUMENGEN!$B$20:$J$219,4,FALSE)="HÁBIL",VLOOKUP(C138,RESUMENGEN!$B$20:$J$219,9,FALSE)-D138,-D138)</f>
        <v>#N/A</v>
      </c>
      <c r="F138" s="373" t="e">
        <f t="shared" si="9"/>
        <v>#N/A</v>
      </c>
      <c r="G138" s="531" t="e">
        <f ca="1">VLOOKUP(I138,RESUMENGEN!$B$20:$J$219,3,FALSE)</f>
        <v>#N/A</v>
      </c>
      <c r="H138" s="377" t="e">
        <f ca="1">VLOOKUP(I138,RESUMENGEN!$B$20:$J$219,9,FALSE)</f>
        <v>#N/A</v>
      </c>
      <c r="I138" s="374" t="e">
        <f t="shared" ca="1" si="10"/>
        <v>#N/A</v>
      </c>
      <c r="J138" s="375" t="e">
        <f ca="1">IF(AND(VLOOKUP(I138,RESUMENGEN!$B$20:$J$219,4,0)="HÁBIL"),"ELEGIBLE","NO ELEGIBLE")</f>
        <v>#N/A</v>
      </c>
    </row>
    <row r="139" spans="2:10" hidden="1">
      <c r="B139" s="371">
        <v>121</v>
      </c>
      <c r="C139" s="376">
        <f>IF(VLOOKUP(B139,RESUMENGEN!$C$20:$M$219,10,FALSE)="","",VLOOKUP(B139,RESUMENGEN!$C$20:$M$219,10,FALSE))</f>
        <v>0</v>
      </c>
      <c r="D139" s="372">
        <f t="shared" si="8"/>
        <v>1.2999999999999963E-8</v>
      </c>
      <c r="E139" s="377" t="e">
        <f>IF(VLOOKUP(C139,RESUMENGEN!$B$20:$J$219,4,FALSE)="HÁBIL",VLOOKUP(C139,RESUMENGEN!$B$20:$J$219,9,FALSE)-D139,-D139)</f>
        <v>#N/A</v>
      </c>
      <c r="F139" s="373" t="e">
        <f t="shared" si="9"/>
        <v>#N/A</v>
      </c>
      <c r="G139" s="531" t="e">
        <f ca="1">VLOOKUP(I139,RESUMENGEN!$B$20:$J$219,3,FALSE)</f>
        <v>#N/A</v>
      </c>
      <c r="H139" s="377" t="e">
        <f ca="1">VLOOKUP(I139,RESUMENGEN!$B$20:$J$219,9,FALSE)</f>
        <v>#N/A</v>
      </c>
      <c r="I139" s="374" t="e">
        <f t="shared" ca="1" si="10"/>
        <v>#N/A</v>
      </c>
      <c r="J139" s="375" t="e">
        <f ca="1">IF(AND(VLOOKUP(I139,RESUMENGEN!$B$20:$J$219,4,0)="HÁBIL"),"ELEGIBLE","NO ELEGIBLE")</f>
        <v>#N/A</v>
      </c>
    </row>
    <row r="140" spans="2:10" hidden="1">
      <c r="B140" s="371">
        <v>122</v>
      </c>
      <c r="C140" s="376">
        <f>IF(VLOOKUP(B140,RESUMENGEN!$C$20:$M$219,10,FALSE)="","",VLOOKUP(B140,RESUMENGEN!$C$20:$M$219,10,FALSE))</f>
        <v>0</v>
      </c>
      <c r="D140" s="372">
        <f t="shared" si="8"/>
        <v>1.3099999999999962E-8</v>
      </c>
      <c r="E140" s="377" t="e">
        <f>IF(VLOOKUP(C140,RESUMENGEN!$B$20:$J$219,4,FALSE)="HÁBIL",VLOOKUP(C140,RESUMENGEN!$B$20:$J$219,9,FALSE)-D140,-D140)</f>
        <v>#N/A</v>
      </c>
      <c r="F140" s="373" t="e">
        <f t="shared" si="9"/>
        <v>#N/A</v>
      </c>
      <c r="G140" s="531" t="e">
        <f ca="1">VLOOKUP(I140,RESUMENGEN!$B$20:$J$219,3,FALSE)</f>
        <v>#N/A</v>
      </c>
      <c r="H140" s="377" t="e">
        <f ca="1">VLOOKUP(I140,RESUMENGEN!$B$20:$J$219,9,FALSE)</f>
        <v>#N/A</v>
      </c>
      <c r="I140" s="374" t="e">
        <f t="shared" ca="1" si="10"/>
        <v>#N/A</v>
      </c>
      <c r="J140" s="375" t="e">
        <f ca="1">IF(AND(VLOOKUP(I140,RESUMENGEN!$B$20:$J$219,4,0)="HÁBIL"),"ELEGIBLE","NO ELEGIBLE")</f>
        <v>#N/A</v>
      </c>
    </row>
    <row r="141" spans="2:10" hidden="1">
      <c r="B141" s="371">
        <v>123</v>
      </c>
      <c r="C141" s="376">
        <f>IF(VLOOKUP(B141,RESUMENGEN!$C$20:$M$219,10,FALSE)="","",VLOOKUP(B141,RESUMENGEN!$C$20:$M$219,10,FALSE))</f>
        <v>0</v>
      </c>
      <c r="D141" s="372">
        <f t="shared" si="8"/>
        <v>1.3199999999999961E-8</v>
      </c>
      <c r="E141" s="377" t="e">
        <f>IF(VLOOKUP(C141,RESUMENGEN!$B$20:$J$219,4,FALSE)="HÁBIL",VLOOKUP(C141,RESUMENGEN!$B$20:$J$219,9,FALSE)-D141,-D141)</f>
        <v>#N/A</v>
      </c>
      <c r="F141" s="373" t="e">
        <f t="shared" si="9"/>
        <v>#N/A</v>
      </c>
      <c r="G141" s="531" t="e">
        <f ca="1">VLOOKUP(I141,RESUMENGEN!$B$20:$J$219,3,FALSE)</f>
        <v>#N/A</v>
      </c>
      <c r="H141" s="377" t="e">
        <f ca="1">VLOOKUP(I141,RESUMENGEN!$B$20:$J$219,9,FALSE)</f>
        <v>#N/A</v>
      </c>
      <c r="I141" s="374" t="e">
        <f t="shared" ca="1" si="10"/>
        <v>#N/A</v>
      </c>
      <c r="J141" s="375" t="e">
        <f ca="1">IF(AND(VLOOKUP(I141,RESUMENGEN!$B$20:$J$219,4,0)="HÁBIL"),"ELEGIBLE","NO ELEGIBLE")</f>
        <v>#N/A</v>
      </c>
    </row>
    <row r="142" spans="2:10" hidden="1">
      <c r="B142" s="371">
        <v>124</v>
      </c>
      <c r="C142" s="376">
        <f>IF(VLOOKUP(B142,RESUMENGEN!$C$20:$M$219,10,FALSE)="","",VLOOKUP(B142,RESUMENGEN!$C$20:$M$219,10,FALSE))</f>
        <v>0</v>
      </c>
      <c r="D142" s="372">
        <f t="shared" si="8"/>
        <v>1.329999999999996E-8</v>
      </c>
      <c r="E142" s="377" t="e">
        <f>IF(VLOOKUP(C142,RESUMENGEN!$B$20:$J$219,4,FALSE)="HÁBIL",VLOOKUP(C142,RESUMENGEN!$B$20:$J$219,9,FALSE)-D142,-D142)</f>
        <v>#N/A</v>
      </c>
      <c r="F142" s="373" t="e">
        <f t="shared" si="9"/>
        <v>#N/A</v>
      </c>
      <c r="G142" s="531" t="e">
        <f ca="1">VLOOKUP(I142,RESUMENGEN!$B$20:$J$219,3,FALSE)</f>
        <v>#N/A</v>
      </c>
      <c r="H142" s="377" t="e">
        <f ca="1">VLOOKUP(I142,RESUMENGEN!$B$20:$J$219,9,FALSE)</f>
        <v>#N/A</v>
      </c>
      <c r="I142" s="374" t="e">
        <f t="shared" ca="1" si="10"/>
        <v>#N/A</v>
      </c>
      <c r="J142" s="375" t="e">
        <f ca="1">IF(AND(VLOOKUP(I142,RESUMENGEN!$B$20:$J$219,4,0)="HÁBIL"),"ELEGIBLE","NO ELEGIBLE")</f>
        <v>#N/A</v>
      </c>
    </row>
    <row r="143" spans="2:10" hidden="1">
      <c r="B143" s="371">
        <v>125</v>
      </c>
      <c r="C143" s="376">
        <f>IF(VLOOKUP(B143,RESUMENGEN!$C$20:$M$219,10,FALSE)="","",VLOOKUP(B143,RESUMENGEN!$C$20:$M$219,10,FALSE))</f>
        <v>0</v>
      </c>
      <c r="D143" s="372">
        <f t="shared" si="8"/>
        <v>1.339999999999996E-8</v>
      </c>
      <c r="E143" s="377" t="e">
        <f>IF(VLOOKUP(C143,RESUMENGEN!$B$20:$J$219,4,FALSE)="HÁBIL",VLOOKUP(C143,RESUMENGEN!$B$20:$J$219,9,FALSE)-D143,-D143)</f>
        <v>#N/A</v>
      </c>
      <c r="F143" s="373" t="e">
        <f t="shared" si="9"/>
        <v>#N/A</v>
      </c>
      <c r="G143" s="531" t="e">
        <f ca="1">VLOOKUP(I143,RESUMENGEN!$B$20:$J$219,3,FALSE)</f>
        <v>#N/A</v>
      </c>
      <c r="H143" s="377" t="e">
        <f ca="1">VLOOKUP(I143,RESUMENGEN!$B$20:$J$219,9,FALSE)</f>
        <v>#N/A</v>
      </c>
      <c r="I143" s="374" t="e">
        <f t="shared" ca="1" si="10"/>
        <v>#N/A</v>
      </c>
      <c r="J143" s="375" t="e">
        <f ca="1">IF(AND(VLOOKUP(I143,RESUMENGEN!$B$20:$J$219,4,0)="HÁBIL"),"ELEGIBLE","NO ELEGIBLE")</f>
        <v>#N/A</v>
      </c>
    </row>
    <row r="144" spans="2:10" hidden="1">
      <c r="B144" s="371">
        <v>126</v>
      </c>
      <c r="C144" s="376">
        <f>IF(VLOOKUP(B144,RESUMENGEN!$C$20:$M$219,10,FALSE)="","",VLOOKUP(B144,RESUMENGEN!$C$20:$M$219,10,FALSE))</f>
        <v>0</v>
      </c>
      <c r="D144" s="372">
        <f t="shared" si="8"/>
        <v>1.3499999999999959E-8</v>
      </c>
      <c r="E144" s="377" t="e">
        <f>IF(VLOOKUP(C144,RESUMENGEN!$B$20:$J$219,4,FALSE)="HÁBIL",VLOOKUP(C144,RESUMENGEN!$B$20:$J$219,9,FALSE)-D144,-D144)</f>
        <v>#N/A</v>
      </c>
      <c r="F144" s="373" t="e">
        <f t="shared" si="9"/>
        <v>#N/A</v>
      </c>
      <c r="G144" s="531" t="e">
        <f ca="1">VLOOKUP(I144,RESUMENGEN!$B$20:$J$219,3,FALSE)</f>
        <v>#N/A</v>
      </c>
      <c r="H144" s="377" t="e">
        <f ca="1">VLOOKUP(I144,RESUMENGEN!$B$20:$J$219,9,FALSE)</f>
        <v>#N/A</v>
      </c>
      <c r="I144" s="374" t="e">
        <f t="shared" ca="1" si="10"/>
        <v>#N/A</v>
      </c>
      <c r="J144" s="375" t="e">
        <f ca="1">IF(AND(VLOOKUP(I144,RESUMENGEN!$B$20:$J$219,4,0)="HÁBIL"),"ELEGIBLE","NO ELEGIBLE")</f>
        <v>#N/A</v>
      </c>
    </row>
    <row r="145" spans="2:10" hidden="1">
      <c r="B145" s="371">
        <v>127</v>
      </c>
      <c r="C145" s="376">
        <f>IF(VLOOKUP(B145,RESUMENGEN!$C$20:$M$219,10,FALSE)="","",VLOOKUP(B145,RESUMENGEN!$C$20:$M$219,10,FALSE))</f>
        <v>0</v>
      </c>
      <c r="D145" s="372">
        <f t="shared" si="8"/>
        <v>1.3599999999999958E-8</v>
      </c>
      <c r="E145" s="377" t="e">
        <f>IF(VLOOKUP(C145,RESUMENGEN!$B$20:$J$219,4,FALSE)="HÁBIL",VLOOKUP(C145,RESUMENGEN!$B$20:$J$219,9,FALSE)-D145,-D145)</f>
        <v>#N/A</v>
      </c>
      <c r="F145" s="373" t="e">
        <f t="shared" si="9"/>
        <v>#N/A</v>
      </c>
      <c r="G145" s="531" t="e">
        <f ca="1">VLOOKUP(I145,RESUMENGEN!$B$20:$J$219,3,FALSE)</f>
        <v>#N/A</v>
      </c>
      <c r="H145" s="377" t="e">
        <f ca="1">VLOOKUP(I145,RESUMENGEN!$B$20:$J$219,9,FALSE)</f>
        <v>#N/A</v>
      </c>
      <c r="I145" s="374" t="e">
        <f t="shared" ca="1" si="10"/>
        <v>#N/A</v>
      </c>
      <c r="J145" s="375" t="e">
        <f ca="1">IF(AND(VLOOKUP(I145,RESUMENGEN!$B$20:$J$219,4,0)="HÁBIL"),"ELEGIBLE","NO ELEGIBLE")</f>
        <v>#N/A</v>
      </c>
    </row>
    <row r="146" spans="2:10" hidden="1">
      <c r="B146" s="371">
        <v>128</v>
      </c>
      <c r="C146" s="376">
        <f>IF(VLOOKUP(B146,RESUMENGEN!$C$20:$M$219,10,FALSE)="","",VLOOKUP(B146,RESUMENGEN!$C$20:$M$219,10,FALSE))</f>
        <v>0</v>
      </c>
      <c r="D146" s="372">
        <f t="shared" si="8"/>
        <v>1.3699999999999957E-8</v>
      </c>
      <c r="E146" s="377" t="e">
        <f>IF(VLOOKUP(C146,RESUMENGEN!$B$20:$J$219,4,FALSE)="HÁBIL",VLOOKUP(C146,RESUMENGEN!$B$20:$J$219,9,FALSE)-D146,-D146)</f>
        <v>#N/A</v>
      </c>
      <c r="F146" s="373" t="e">
        <f t="shared" si="9"/>
        <v>#N/A</v>
      </c>
      <c r="G146" s="531" t="e">
        <f ca="1">VLOOKUP(I146,RESUMENGEN!$B$20:$J$219,3,FALSE)</f>
        <v>#N/A</v>
      </c>
      <c r="H146" s="377" t="e">
        <f ca="1">VLOOKUP(I146,RESUMENGEN!$B$20:$J$219,9,FALSE)</f>
        <v>#N/A</v>
      </c>
      <c r="I146" s="374" t="e">
        <f t="shared" ca="1" si="10"/>
        <v>#N/A</v>
      </c>
      <c r="J146" s="375" t="e">
        <f ca="1">IF(AND(VLOOKUP(I146,RESUMENGEN!$B$20:$J$219,4,0)="HÁBIL"),"ELEGIBLE","NO ELEGIBLE")</f>
        <v>#N/A</v>
      </c>
    </row>
    <row r="147" spans="2:10" hidden="1">
      <c r="B147" s="371">
        <v>129</v>
      </c>
      <c r="C147" s="376">
        <f>IF(VLOOKUP(B147,RESUMENGEN!$C$20:$M$219,10,FALSE)="","",VLOOKUP(B147,RESUMENGEN!$C$20:$M$219,10,FALSE))</f>
        <v>0</v>
      </c>
      <c r="D147" s="372">
        <f t="shared" si="8"/>
        <v>1.3799999999999956E-8</v>
      </c>
      <c r="E147" s="377" t="e">
        <f>IF(VLOOKUP(C147,RESUMENGEN!$B$20:$J$219,4,FALSE)="HÁBIL",VLOOKUP(C147,RESUMENGEN!$B$20:$J$219,9,FALSE)-D147,-D147)</f>
        <v>#N/A</v>
      </c>
      <c r="F147" s="373" t="e">
        <f t="shared" si="9"/>
        <v>#N/A</v>
      </c>
      <c r="G147" s="531" t="e">
        <f ca="1">VLOOKUP(I147,RESUMENGEN!$B$20:$J$219,3,FALSE)</f>
        <v>#N/A</v>
      </c>
      <c r="H147" s="377" t="e">
        <f ca="1">VLOOKUP(I147,RESUMENGEN!$B$20:$J$219,9,FALSE)</f>
        <v>#N/A</v>
      </c>
      <c r="I147" s="374" t="e">
        <f t="shared" ca="1" si="10"/>
        <v>#N/A</v>
      </c>
      <c r="J147" s="375" t="e">
        <f ca="1">IF(AND(VLOOKUP(I147,RESUMENGEN!$B$20:$J$219,4,0)="HÁBIL"),"ELEGIBLE","NO ELEGIBLE")</f>
        <v>#N/A</v>
      </c>
    </row>
    <row r="148" spans="2:10" hidden="1">
      <c r="B148" s="371">
        <v>130</v>
      </c>
      <c r="C148" s="376">
        <f>IF(VLOOKUP(B148,RESUMENGEN!$C$20:$M$219,10,FALSE)="","",VLOOKUP(B148,RESUMENGEN!$C$20:$M$219,10,FALSE))</f>
        <v>0</v>
      </c>
      <c r="D148" s="372">
        <f t="shared" si="8"/>
        <v>1.3899999999999956E-8</v>
      </c>
      <c r="E148" s="377" t="e">
        <f>IF(VLOOKUP(C148,RESUMENGEN!$B$20:$J$219,4,FALSE)="HÁBIL",VLOOKUP(C148,RESUMENGEN!$B$20:$J$219,9,FALSE)-D148,-D148)</f>
        <v>#N/A</v>
      </c>
      <c r="F148" s="373" t="e">
        <f t="shared" si="9"/>
        <v>#N/A</v>
      </c>
      <c r="G148" s="531" t="e">
        <f ca="1">VLOOKUP(I148,RESUMENGEN!$B$20:$J$219,3,FALSE)</f>
        <v>#N/A</v>
      </c>
      <c r="H148" s="377" t="e">
        <f ca="1">VLOOKUP(I148,RESUMENGEN!$B$20:$J$219,9,FALSE)</f>
        <v>#N/A</v>
      </c>
      <c r="I148" s="374" t="e">
        <f t="shared" ca="1" si="10"/>
        <v>#N/A</v>
      </c>
      <c r="J148" s="375" t="e">
        <f ca="1">IF(AND(VLOOKUP(I148,RESUMENGEN!$B$20:$J$219,4,0)="HÁBIL"),"ELEGIBLE","NO ELEGIBLE")</f>
        <v>#N/A</v>
      </c>
    </row>
    <row r="149" spans="2:10" hidden="1">
      <c r="B149" s="371">
        <v>131</v>
      </c>
      <c r="C149" s="376">
        <f>IF(VLOOKUP(B149,RESUMENGEN!$C$20:$M$219,10,FALSE)="","",VLOOKUP(B149,RESUMENGEN!$C$20:$M$219,10,FALSE))</f>
        <v>0</v>
      </c>
      <c r="D149" s="372">
        <f t="shared" si="8"/>
        <v>1.3999999999999955E-8</v>
      </c>
      <c r="E149" s="377" t="e">
        <f>IF(VLOOKUP(C149,RESUMENGEN!$B$20:$J$219,4,FALSE)="HÁBIL",VLOOKUP(C149,RESUMENGEN!$B$20:$J$219,9,FALSE)-D149,-D149)</f>
        <v>#N/A</v>
      </c>
      <c r="F149" s="373" t="e">
        <f t="shared" si="9"/>
        <v>#N/A</v>
      </c>
      <c r="G149" s="531" t="e">
        <f ca="1">VLOOKUP(I149,RESUMENGEN!$B$20:$J$219,3,FALSE)</f>
        <v>#N/A</v>
      </c>
      <c r="H149" s="377" t="e">
        <f ca="1">VLOOKUP(I149,RESUMENGEN!$B$20:$J$219,9,FALSE)</f>
        <v>#N/A</v>
      </c>
      <c r="I149" s="374" t="e">
        <f t="shared" ca="1" si="10"/>
        <v>#N/A</v>
      </c>
      <c r="J149" s="375" t="e">
        <f ca="1">IF(AND(VLOOKUP(I149,RESUMENGEN!$B$20:$J$219,4,0)="HÁBIL"),"ELEGIBLE","NO ELEGIBLE")</f>
        <v>#N/A</v>
      </c>
    </row>
    <row r="150" spans="2:10" hidden="1">
      <c r="B150" s="371">
        <v>132</v>
      </c>
      <c r="C150" s="376">
        <f>IF(VLOOKUP(B150,RESUMENGEN!$C$20:$M$219,10,FALSE)="","",VLOOKUP(B150,RESUMENGEN!$C$20:$M$219,10,FALSE))</f>
        <v>0</v>
      </c>
      <c r="D150" s="372">
        <f t="shared" ref="D150:D213" si="11">D149+0.0000000001</f>
        <v>1.4099999999999954E-8</v>
      </c>
      <c r="E150" s="377" t="e">
        <f>IF(VLOOKUP(C150,RESUMENGEN!$B$20:$J$219,4,FALSE)="HÁBIL",VLOOKUP(C150,RESUMENGEN!$B$20:$J$219,9,FALSE)-D150,-D150)</f>
        <v>#N/A</v>
      </c>
      <c r="F150" s="373" t="e">
        <f t="shared" si="9"/>
        <v>#N/A</v>
      </c>
      <c r="G150" s="531" t="e">
        <f ca="1">VLOOKUP(I150,RESUMENGEN!$B$20:$J$219,3,FALSE)</f>
        <v>#N/A</v>
      </c>
      <c r="H150" s="377" t="e">
        <f ca="1">VLOOKUP(I150,RESUMENGEN!$B$20:$J$219,9,FALSE)</f>
        <v>#N/A</v>
      </c>
      <c r="I150" s="374" t="e">
        <f t="shared" ca="1" si="10"/>
        <v>#N/A</v>
      </c>
      <c r="J150" s="375" t="e">
        <f ca="1">IF(AND(VLOOKUP(I150,RESUMENGEN!$B$20:$J$219,4,0)="HÁBIL"),"ELEGIBLE","NO ELEGIBLE")</f>
        <v>#N/A</v>
      </c>
    </row>
    <row r="151" spans="2:10" hidden="1">
      <c r="B151" s="371">
        <v>133</v>
      </c>
      <c r="C151" s="376">
        <f>IF(VLOOKUP(B151,RESUMENGEN!$C$20:$M$219,10,FALSE)="","",VLOOKUP(B151,RESUMENGEN!$C$20:$M$219,10,FALSE))</f>
        <v>0</v>
      </c>
      <c r="D151" s="372">
        <f t="shared" si="11"/>
        <v>1.4199999999999953E-8</v>
      </c>
      <c r="E151" s="377" t="e">
        <f>IF(VLOOKUP(C151,RESUMENGEN!$B$20:$J$219,4,FALSE)="HÁBIL",VLOOKUP(C151,RESUMENGEN!$B$20:$J$219,9,FALSE)-D151,-D151)</f>
        <v>#N/A</v>
      </c>
      <c r="F151" s="373" t="e">
        <f t="shared" si="9"/>
        <v>#N/A</v>
      </c>
      <c r="G151" s="531" t="e">
        <f ca="1">VLOOKUP(I151,RESUMENGEN!$B$20:$J$219,3,FALSE)</f>
        <v>#N/A</v>
      </c>
      <c r="H151" s="377" t="e">
        <f ca="1">VLOOKUP(I151,RESUMENGEN!$B$20:$J$219,9,FALSE)</f>
        <v>#N/A</v>
      </c>
      <c r="I151" s="374" t="e">
        <f t="shared" ca="1" si="10"/>
        <v>#N/A</v>
      </c>
      <c r="J151" s="375" t="e">
        <f ca="1">IF(AND(VLOOKUP(I151,RESUMENGEN!$B$20:$J$219,4,0)="HÁBIL"),"ELEGIBLE","NO ELEGIBLE")</f>
        <v>#N/A</v>
      </c>
    </row>
    <row r="152" spans="2:10" hidden="1">
      <c r="B152" s="371">
        <v>134</v>
      </c>
      <c r="C152" s="376">
        <f>IF(VLOOKUP(B152,RESUMENGEN!$C$20:$M$219,10,FALSE)="","",VLOOKUP(B152,RESUMENGEN!$C$20:$M$219,10,FALSE))</f>
        <v>0</v>
      </c>
      <c r="D152" s="372">
        <f t="shared" si="11"/>
        <v>1.4299999999999953E-8</v>
      </c>
      <c r="E152" s="377" t="e">
        <f>IF(VLOOKUP(C152,RESUMENGEN!$B$20:$J$219,4,FALSE)="HÁBIL",VLOOKUP(C152,RESUMENGEN!$B$20:$J$219,9,FALSE)-D152,-D152)</f>
        <v>#N/A</v>
      </c>
      <c r="F152" s="373" t="e">
        <f t="shared" si="9"/>
        <v>#N/A</v>
      </c>
      <c r="G152" s="531" t="e">
        <f ca="1">VLOOKUP(I152,RESUMENGEN!$B$20:$J$219,3,FALSE)</f>
        <v>#N/A</v>
      </c>
      <c r="H152" s="377" t="e">
        <f ca="1">VLOOKUP(I152,RESUMENGEN!$B$20:$J$219,9,FALSE)</f>
        <v>#N/A</v>
      </c>
      <c r="I152" s="374" t="e">
        <f t="shared" ca="1" si="10"/>
        <v>#N/A</v>
      </c>
      <c r="J152" s="375" t="e">
        <f ca="1">IF(AND(VLOOKUP(I152,RESUMENGEN!$B$20:$J$219,4,0)="HÁBIL"),"ELEGIBLE","NO ELEGIBLE")</f>
        <v>#N/A</v>
      </c>
    </row>
    <row r="153" spans="2:10" hidden="1">
      <c r="B153" s="371">
        <v>135</v>
      </c>
      <c r="C153" s="376">
        <f>IF(VLOOKUP(B153,RESUMENGEN!$C$20:$M$219,10,FALSE)="","",VLOOKUP(B153,RESUMENGEN!$C$20:$M$219,10,FALSE))</f>
        <v>0</v>
      </c>
      <c r="D153" s="372">
        <f t="shared" si="11"/>
        <v>1.4399999999999952E-8</v>
      </c>
      <c r="E153" s="377" t="e">
        <f>IF(VLOOKUP(C153,RESUMENGEN!$B$20:$J$219,4,FALSE)="HÁBIL",VLOOKUP(C153,RESUMENGEN!$B$20:$J$219,9,FALSE)-D153,-D153)</f>
        <v>#N/A</v>
      </c>
      <c r="F153" s="373" t="e">
        <f t="shared" si="9"/>
        <v>#N/A</v>
      </c>
      <c r="G153" s="531" t="e">
        <f ca="1">VLOOKUP(I153,RESUMENGEN!$B$20:$J$219,3,FALSE)</f>
        <v>#N/A</v>
      </c>
      <c r="H153" s="377" t="e">
        <f ca="1">VLOOKUP(I153,RESUMENGEN!$B$20:$J$219,9,FALSE)</f>
        <v>#N/A</v>
      </c>
      <c r="I153" s="374" t="e">
        <f t="shared" ca="1" si="10"/>
        <v>#N/A</v>
      </c>
      <c r="J153" s="375" t="e">
        <f ca="1">IF(AND(VLOOKUP(I153,RESUMENGEN!$B$20:$J$219,4,0)="HÁBIL"),"ELEGIBLE","NO ELEGIBLE")</f>
        <v>#N/A</v>
      </c>
    </row>
    <row r="154" spans="2:10" hidden="1">
      <c r="B154" s="371">
        <v>136</v>
      </c>
      <c r="C154" s="376">
        <f>IF(VLOOKUP(B154,RESUMENGEN!$C$20:$M$219,10,FALSE)="","",VLOOKUP(B154,RESUMENGEN!$C$20:$M$219,10,FALSE))</f>
        <v>0</v>
      </c>
      <c r="D154" s="372">
        <f t="shared" si="11"/>
        <v>1.4499999999999951E-8</v>
      </c>
      <c r="E154" s="377" t="e">
        <f>IF(VLOOKUP(C154,RESUMENGEN!$B$20:$J$219,4,FALSE)="HÁBIL",VLOOKUP(C154,RESUMENGEN!$B$20:$J$219,9,FALSE)-D154,-D154)</f>
        <v>#N/A</v>
      </c>
      <c r="F154" s="373" t="e">
        <f t="shared" si="9"/>
        <v>#N/A</v>
      </c>
      <c r="G154" s="531" t="e">
        <f ca="1">VLOOKUP(I154,RESUMENGEN!$B$20:$J$219,3,FALSE)</f>
        <v>#N/A</v>
      </c>
      <c r="H154" s="377" t="e">
        <f ca="1">VLOOKUP(I154,RESUMENGEN!$B$20:$J$219,9,FALSE)</f>
        <v>#N/A</v>
      </c>
      <c r="I154" s="374" t="e">
        <f t="shared" ca="1" si="10"/>
        <v>#N/A</v>
      </c>
      <c r="J154" s="375" t="e">
        <f ca="1">IF(AND(VLOOKUP(I154,RESUMENGEN!$B$20:$J$219,4,0)="HÁBIL"),"ELEGIBLE","NO ELEGIBLE")</f>
        <v>#N/A</v>
      </c>
    </row>
    <row r="155" spans="2:10" hidden="1">
      <c r="B155" s="371">
        <v>137</v>
      </c>
      <c r="C155" s="376">
        <f>IF(VLOOKUP(B155,RESUMENGEN!$C$20:$M$219,10,FALSE)="","",VLOOKUP(B155,RESUMENGEN!$C$20:$M$219,10,FALSE))</f>
        <v>0</v>
      </c>
      <c r="D155" s="372">
        <f t="shared" si="11"/>
        <v>1.459999999999995E-8</v>
      </c>
      <c r="E155" s="377" t="e">
        <f>IF(VLOOKUP(C155,RESUMENGEN!$B$20:$J$219,4,FALSE)="HÁBIL",VLOOKUP(C155,RESUMENGEN!$B$20:$J$219,9,FALSE)-D155,-D155)</f>
        <v>#N/A</v>
      </c>
      <c r="F155" s="373" t="e">
        <f t="shared" si="9"/>
        <v>#N/A</v>
      </c>
      <c r="G155" s="531" t="e">
        <f ca="1">VLOOKUP(I155,RESUMENGEN!$B$20:$J$219,3,FALSE)</f>
        <v>#N/A</v>
      </c>
      <c r="H155" s="377" t="e">
        <f ca="1">VLOOKUP(I155,RESUMENGEN!$B$20:$J$219,9,FALSE)</f>
        <v>#N/A</v>
      </c>
      <c r="I155" s="374" t="e">
        <f t="shared" ca="1" si="10"/>
        <v>#N/A</v>
      </c>
      <c r="J155" s="375" t="e">
        <f ca="1">IF(AND(VLOOKUP(I155,RESUMENGEN!$B$20:$J$219,4,0)="HÁBIL"),"ELEGIBLE","NO ELEGIBLE")</f>
        <v>#N/A</v>
      </c>
    </row>
    <row r="156" spans="2:10" hidden="1">
      <c r="B156" s="371">
        <v>138</v>
      </c>
      <c r="C156" s="376">
        <f>IF(VLOOKUP(B156,RESUMENGEN!$C$20:$M$219,10,FALSE)="","",VLOOKUP(B156,RESUMENGEN!$C$20:$M$219,10,FALSE))</f>
        <v>0</v>
      </c>
      <c r="D156" s="372">
        <f t="shared" si="11"/>
        <v>1.469999999999995E-8</v>
      </c>
      <c r="E156" s="377" t="e">
        <f>IF(VLOOKUP(C156,RESUMENGEN!$B$20:$J$219,4,FALSE)="HÁBIL",VLOOKUP(C156,RESUMENGEN!$B$20:$J$219,9,FALSE)-D156,-D156)</f>
        <v>#N/A</v>
      </c>
      <c r="F156" s="373" t="e">
        <f t="shared" si="9"/>
        <v>#N/A</v>
      </c>
      <c r="G156" s="531" t="e">
        <f ca="1">VLOOKUP(I156,RESUMENGEN!$B$20:$J$219,3,FALSE)</f>
        <v>#N/A</v>
      </c>
      <c r="H156" s="377" t="e">
        <f ca="1">VLOOKUP(I156,RESUMENGEN!$B$20:$J$219,9,FALSE)</f>
        <v>#N/A</v>
      </c>
      <c r="I156" s="374" t="e">
        <f t="shared" ca="1" si="10"/>
        <v>#N/A</v>
      </c>
      <c r="J156" s="375" t="e">
        <f ca="1">IF(AND(VLOOKUP(I156,RESUMENGEN!$B$20:$J$219,4,0)="HÁBIL"),"ELEGIBLE","NO ELEGIBLE")</f>
        <v>#N/A</v>
      </c>
    </row>
    <row r="157" spans="2:10" hidden="1">
      <c r="B157" s="371">
        <v>139</v>
      </c>
      <c r="C157" s="376">
        <f>IF(VLOOKUP(B157,RESUMENGEN!$C$20:$M$219,10,FALSE)="","",VLOOKUP(B157,RESUMENGEN!$C$20:$M$219,10,FALSE))</f>
        <v>0</v>
      </c>
      <c r="D157" s="372">
        <f t="shared" si="11"/>
        <v>1.4799999999999949E-8</v>
      </c>
      <c r="E157" s="377" t="e">
        <f>IF(VLOOKUP(C157,RESUMENGEN!$B$20:$J$219,4,FALSE)="HÁBIL",VLOOKUP(C157,RESUMENGEN!$B$20:$J$219,9,FALSE)-D157,-D157)</f>
        <v>#N/A</v>
      </c>
      <c r="F157" s="373" t="e">
        <f t="shared" si="9"/>
        <v>#N/A</v>
      </c>
      <c r="G157" s="531" t="e">
        <f ca="1">VLOOKUP(I157,RESUMENGEN!$B$20:$J$219,3,FALSE)</f>
        <v>#N/A</v>
      </c>
      <c r="H157" s="377" t="e">
        <f ca="1">VLOOKUP(I157,RESUMENGEN!$B$20:$J$219,9,FALSE)</f>
        <v>#N/A</v>
      </c>
      <c r="I157" s="374" t="e">
        <f t="shared" ca="1" si="10"/>
        <v>#N/A</v>
      </c>
      <c r="J157" s="375" t="e">
        <f ca="1">IF(AND(VLOOKUP(I157,RESUMENGEN!$B$20:$J$219,4,0)="HÁBIL"),"ELEGIBLE","NO ELEGIBLE")</f>
        <v>#N/A</v>
      </c>
    </row>
    <row r="158" spans="2:10" hidden="1">
      <c r="B158" s="371">
        <v>140</v>
      </c>
      <c r="C158" s="376">
        <f>IF(VLOOKUP(B158,RESUMENGEN!$C$20:$M$219,10,FALSE)="","",VLOOKUP(B158,RESUMENGEN!$C$20:$M$219,10,FALSE))</f>
        <v>0</v>
      </c>
      <c r="D158" s="372">
        <f t="shared" si="11"/>
        <v>1.4899999999999948E-8</v>
      </c>
      <c r="E158" s="377" t="e">
        <f>IF(VLOOKUP(C158,RESUMENGEN!$B$20:$J$219,4,FALSE)="HÁBIL",VLOOKUP(C158,RESUMENGEN!$B$20:$J$219,9,FALSE)-D158,-D158)</f>
        <v>#N/A</v>
      </c>
      <c r="F158" s="373" t="e">
        <f t="shared" si="9"/>
        <v>#N/A</v>
      </c>
      <c r="G158" s="531" t="e">
        <f ca="1">VLOOKUP(I158,RESUMENGEN!$B$20:$J$219,3,FALSE)</f>
        <v>#N/A</v>
      </c>
      <c r="H158" s="377" t="e">
        <f ca="1">VLOOKUP(I158,RESUMENGEN!$B$20:$J$219,9,FALSE)</f>
        <v>#N/A</v>
      </c>
      <c r="I158" s="374" t="e">
        <f t="shared" ca="1" si="10"/>
        <v>#N/A</v>
      </c>
      <c r="J158" s="375" t="e">
        <f ca="1">IF(AND(VLOOKUP(I158,RESUMENGEN!$B$20:$J$219,4,0)="HÁBIL"),"ELEGIBLE","NO ELEGIBLE")</f>
        <v>#N/A</v>
      </c>
    </row>
    <row r="159" spans="2:10" hidden="1">
      <c r="B159" s="371">
        <v>141</v>
      </c>
      <c r="C159" s="376">
        <f>IF(VLOOKUP(B159,RESUMENGEN!$C$20:$M$219,10,FALSE)="","",VLOOKUP(B159,RESUMENGEN!$C$20:$M$219,10,FALSE))</f>
        <v>0</v>
      </c>
      <c r="D159" s="372">
        <f t="shared" si="11"/>
        <v>1.4999999999999949E-8</v>
      </c>
      <c r="E159" s="377" t="e">
        <f>IF(VLOOKUP(C159,RESUMENGEN!$B$20:$J$219,4,FALSE)="HÁBIL",VLOOKUP(C159,RESUMENGEN!$B$20:$J$219,9,FALSE)-D159,-D159)</f>
        <v>#N/A</v>
      </c>
      <c r="F159" s="373" t="e">
        <f t="shared" si="9"/>
        <v>#N/A</v>
      </c>
      <c r="G159" s="531" t="e">
        <f ca="1">VLOOKUP(I159,RESUMENGEN!$B$20:$J$219,3,FALSE)</f>
        <v>#N/A</v>
      </c>
      <c r="H159" s="377" t="e">
        <f ca="1">VLOOKUP(I159,RESUMENGEN!$B$20:$J$219,9,FALSE)</f>
        <v>#N/A</v>
      </c>
      <c r="I159" s="374" t="e">
        <f t="shared" ca="1" si="10"/>
        <v>#N/A</v>
      </c>
      <c r="J159" s="375" t="e">
        <f ca="1">IF(AND(VLOOKUP(I159,RESUMENGEN!$B$20:$J$219,4,0)="HÁBIL"),"ELEGIBLE","NO ELEGIBLE")</f>
        <v>#N/A</v>
      </c>
    </row>
    <row r="160" spans="2:10" hidden="1">
      <c r="B160" s="371">
        <v>142</v>
      </c>
      <c r="C160" s="376">
        <f>IF(VLOOKUP(B160,RESUMENGEN!$C$20:$M$219,10,FALSE)="","",VLOOKUP(B160,RESUMENGEN!$C$20:$M$219,10,FALSE))</f>
        <v>0</v>
      </c>
      <c r="D160" s="372">
        <f t="shared" si="11"/>
        <v>1.509999999999995E-8</v>
      </c>
      <c r="E160" s="377" t="e">
        <f>IF(VLOOKUP(C160,RESUMENGEN!$B$20:$J$219,4,FALSE)="HÁBIL",VLOOKUP(C160,RESUMENGEN!$B$20:$J$219,9,FALSE)-D160,-D160)</f>
        <v>#N/A</v>
      </c>
      <c r="F160" s="373" t="e">
        <f t="shared" si="9"/>
        <v>#N/A</v>
      </c>
      <c r="G160" s="531" t="e">
        <f ca="1">VLOOKUP(I160,RESUMENGEN!$B$20:$J$219,3,FALSE)</f>
        <v>#N/A</v>
      </c>
      <c r="H160" s="377" t="e">
        <f ca="1">VLOOKUP(I160,RESUMENGEN!$B$20:$J$219,9,FALSE)</f>
        <v>#N/A</v>
      </c>
      <c r="I160" s="374" t="e">
        <f t="shared" ca="1" si="10"/>
        <v>#N/A</v>
      </c>
      <c r="J160" s="375" t="e">
        <f ca="1">IF(AND(VLOOKUP(I160,RESUMENGEN!$B$20:$J$219,4,0)="HÁBIL"),"ELEGIBLE","NO ELEGIBLE")</f>
        <v>#N/A</v>
      </c>
    </row>
    <row r="161" spans="2:10" hidden="1">
      <c r="B161" s="371">
        <v>143</v>
      </c>
      <c r="C161" s="376">
        <f>IF(VLOOKUP(B161,RESUMENGEN!$C$20:$M$219,10,FALSE)="","",VLOOKUP(B161,RESUMENGEN!$C$20:$M$219,10,FALSE))</f>
        <v>0</v>
      </c>
      <c r="D161" s="372">
        <f t="shared" si="11"/>
        <v>1.5199999999999951E-8</v>
      </c>
      <c r="E161" s="377" t="e">
        <f>IF(VLOOKUP(C161,RESUMENGEN!$B$20:$J$219,4,FALSE)="HÁBIL",VLOOKUP(C161,RESUMENGEN!$B$20:$J$219,9,FALSE)-D161,-D161)</f>
        <v>#N/A</v>
      </c>
      <c r="F161" s="373" t="e">
        <f t="shared" si="9"/>
        <v>#N/A</v>
      </c>
      <c r="G161" s="531" t="e">
        <f ca="1">VLOOKUP(I161,RESUMENGEN!$B$20:$J$219,3,FALSE)</f>
        <v>#N/A</v>
      </c>
      <c r="H161" s="377" t="e">
        <f ca="1">VLOOKUP(I161,RESUMENGEN!$B$20:$J$219,9,FALSE)</f>
        <v>#N/A</v>
      </c>
      <c r="I161" s="374" t="e">
        <f t="shared" ca="1" si="10"/>
        <v>#N/A</v>
      </c>
      <c r="J161" s="375" t="e">
        <f ca="1">IF(AND(VLOOKUP(I161,RESUMENGEN!$B$20:$J$219,4,0)="HÁBIL"),"ELEGIBLE","NO ELEGIBLE")</f>
        <v>#N/A</v>
      </c>
    </row>
    <row r="162" spans="2:10" hidden="1">
      <c r="B162" s="371">
        <v>144</v>
      </c>
      <c r="C162" s="376">
        <f>IF(VLOOKUP(B162,RESUMENGEN!$C$20:$M$219,10,FALSE)="","",VLOOKUP(B162,RESUMENGEN!$C$20:$M$219,10,FALSE))</f>
        <v>0</v>
      </c>
      <c r="D162" s="372">
        <f t="shared" si="11"/>
        <v>1.5299999999999952E-8</v>
      </c>
      <c r="E162" s="377" t="e">
        <f>IF(VLOOKUP(C162,RESUMENGEN!$B$20:$J$219,4,FALSE)="HÁBIL",VLOOKUP(C162,RESUMENGEN!$B$20:$J$219,9,FALSE)-D162,-D162)</f>
        <v>#N/A</v>
      </c>
      <c r="F162" s="373" t="e">
        <f t="shared" si="9"/>
        <v>#N/A</v>
      </c>
      <c r="G162" s="531" t="e">
        <f ca="1">VLOOKUP(I162,RESUMENGEN!$B$20:$J$219,3,FALSE)</f>
        <v>#N/A</v>
      </c>
      <c r="H162" s="377" t="e">
        <f ca="1">VLOOKUP(I162,RESUMENGEN!$B$20:$J$219,9,FALSE)</f>
        <v>#N/A</v>
      </c>
      <c r="I162" s="374" t="e">
        <f t="shared" ca="1" si="10"/>
        <v>#N/A</v>
      </c>
      <c r="J162" s="375" t="e">
        <f ca="1">IF(AND(VLOOKUP(I162,RESUMENGEN!$B$20:$J$219,4,0)="HÁBIL"),"ELEGIBLE","NO ELEGIBLE")</f>
        <v>#N/A</v>
      </c>
    </row>
    <row r="163" spans="2:10" hidden="1">
      <c r="B163" s="371">
        <v>145</v>
      </c>
      <c r="C163" s="376">
        <f>IF(VLOOKUP(B163,RESUMENGEN!$C$20:$M$219,10,FALSE)="","",VLOOKUP(B163,RESUMENGEN!$C$20:$M$219,10,FALSE))</f>
        <v>0</v>
      </c>
      <c r="D163" s="372">
        <f t="shared" si="11"/>
        <v>1.5399999999999953E-8</v>
      </c>
      <c r="E163" s="377" t="e">
        <f>IF(VLOOKUP(C163,RESUMENGEN!$B$20:$J$219,4,FALSE)="HÁBIL",VLOOKUP(C163,RESUMENGEN!$B$20:$J$219,9,FALSE)-D163,-D163)</f>
        <v>#N/A</v>
      </c>
      <c r="F163" s="373" t="e">
        <f t="shared" si="9"/>
        <v>#N/A</v>
      </c>
      <c r="G163" s="531" t="e">
        <f ca="1">VLOOKUP(I163,RESUMENGEN!$B$20:$J$219,3,FALSE)</f>
        <v>#N/A</v>
      </c>
      <c r="H163" s="377" t="e">
        <f ca="1">VLOOKUP(I163,RESUMENGEN!$B$20:$J$219,9,FALSE)</f>
        <v>#N/A</v>
      </c>
      <c r="I163" s="374" t="e">
        <f t="shared" ca="1" si="10"/>
        <v>#N/A</v>
      </c>
      <c r="J163" s="375" t="e">
        <f ca="1">IF(AND(VLOOKUP(I163,RESUMENGEN!$B$20:$J$219,4,0)="HÁBIL"),"ELEGIBLE","NO ELEGIBLE")</f>
        <v>#N/A</v>
      </c>
    </row>
    <row r="164" spans="2:10" hidden="1">
      <c r="B164" s="371">
        <v>146</v>
      </c>
      <c r="C164" s="376">
        <f>IF(VLOOKUP(B164,RESUMENGEN!$C$20:$M$219,10,FALSE)="","",VLOOKUP(B164,RESUMENGEN!$C$20:$M$219,10,FALSE))</f>
        <v>0</v>
      </c>
      <c r="D164" s="372">
        <f t="shared" si="11"/>
        <v>1.5499999999999954E-8</v>
      </c>
      <c r="E164" s="377" t="e">
        <f>IF(VLOOKUP(C164,RESUMENGEN!$B$20:$J$219,4,FALSE)="HÁBIL",VLOOKUP(C164,RESUMENGEN!$B$20:$J$219,9,FALSE)-D164,-D164)</f>
        <v>#N/A</v>
      </c>
      <c r="F164" s="373" t="e">
        <f t="shared" si="9"/>
        <v>#N/A</v>
      </c>
      <c r="G164" s="531" t="e">
        <f ca="1">VLOOKUP(I164,RESUMENGEN!$B$20:$J$219,3,FALSE)</f>
        <v>#N/A</v>
      </c>
      <c r="H164" s="377" t="e">
        <f ca="1">VLOOKUP(I164,RESUMENGEN!$B$20:$J$219,9,FALSE)</f>
        <v>#N/A</v>
      </c>
      <c r="I164" s="374" t="e">
        <f t="shared" ca="1" si="10"/>
        <v>#N/A</v>
      </c>
      <c r="J164" s="375" t="e">
        <f ca="1">IF(AND(VLOOKUP(I164,RESUMENGEN!$B$20:$J$219,4,0)="HÁBIL"),"ELEGIBLE","NO ELEGIBLE")</f>
        <v>#N/A</v>
      </c>
    </row>
    <row r="165" spans="2:10" hidden="1">
      <c r="B165" s="371">
        <v>147</v>
      </c>
      <c r="C165" s="376">
        <f>IF(VLOOKUP(B165,RESUMENGEN!$C$20:$M$219,10,FALSE)="","",VLOOKUP(B165,RESUMENGEN!$C$20:$M$219,10,FALSE))</f>
        <v>0</v>
      </c>
      <c r="D165" s="372">
        <f t="shared" si="11"/>
        <v>1.5599999999999954E-8</v>
      </c>
      <c r="E165" s="377" t="e">
        <f>IF(VLOOKUP(C165,RESUMENGEN!$B$20:$J$219,4,FALSE)="HÁBIL",VLOOKUP(C165,RESUMENGEN!$B$20:$J$219,9,FALSE)-D165,-D165)</f>
        <v>#N/A</v>
      </c>
      <c r="F165" s="373" t="e">
        <f t="shared" si="9"/>
        <v>#N/A</v>
      </c>
      <c r="G165" s="531" t="e">
        <f ca="1">VLOOKUP(I165,RESUMENGEN!$B$20:$J$219,3,FALSE)</f>
        <v>#N/A</v>
      </c>
      <c r="H165" s="377" t="e">
        <f ca="1">VLOOKUP(I165,RESUMENGEN!$B$20:$J$219,9,FALSE)</f>
        <v>#N/A</v>
      </c>
      <c r="I165" s="374" t="e">
        <f t="shared" ca="1" si="10"/>
        <v>#N/A</v>
      </c>
      <c r="J165" s="375" t="e">
        <f ca="1">IF(AND(VLOOKUP(I165,RESUMENGEN!$B$20:$J$219,4,0)="HÁBIL"),"ELEGIBLE","NO ELEGIBLE")</f>
        <v>#N/A</v>
      </c>
    </row>
    <row r="166" spans="2:10" hidden="1">
      <c r="B166" s="371">
        <v>148</v>
      </c>
      <c r="C166" s="376">
        <f>IF(VLOOKUP(B166,RESUMENGEN!$C$20:$M$219,10,FALSE)="","",VLOOKUP(B166,RESUMENGEN!$C$20:$M$219,10,FALSE))</f>
        <v>0</v>
      </c>
      <c r="D166" s="372">
        <f t="shared" si="11"/>
        <v>1.5699999999999955E-8</v>
      </c>
      <c r="E166" s="377" t="e">
        <f>IF(VLOOKUP(C166,RESUMENGEN!$B$20:$J$219,4,FALSE)="HÁBIL",VLOOKUP(C166,RESUMENGEN!$B$20:$J$219,9,FALSE)-D166,-D166)</f>
        <v>#N/A</v>
      </c>
      <c r="F166" s="373" t="e">
        <f t="shared" si="9"/>
        <v>#N/A</v>
      </c>
      <c r="G166" s="531" t="e">
        <f ca="1">VLOOKUP(I166,RESUMENGEN!$B$20:$J$219,3,FALSE)</f>
        <v>#N/A</v>
      </c>
      <c r="H166" s="377" t="e">
        <f ca="1">VLOOKUP(I166,RESUMENGEN!$B$20:$J$219,9,FALSE)</f>
        <v>#N/A</v>
      </c>
      <c r="I166" s="374" t="e">
        <f t="shared" ca="1" si="10"/>
        <v>#N/A</v>
      </c>
      <c r="J166" s="375" t="e">
        <f ca="1">IF(AND(VLOOKUP(I166,RESUMENGEN!$B$20:$J$219,4,0)="HÁBIL"),"ELEGIBLE","NO ELEGIBLE")</f>
        <v>#N/A</v>
      </c>
    </row>
    <row r="167" spans="2:10" hidden="1">
      <c r="B167" s="371">
        <v>149</v>
      </c>
      <c r="C167" s="376">
        <f>IF(VLOOKUP(B167,RESUMENGEN!$C$20:$M$219,10,FALSE)="","",VLOOKUP(B167,RESUMENGEN!$C$20:$M$219,10,FALSE))</f>
        <v>0</v>
      </c>
      <c r="D167" s="372">
        <f t="shared" si="11"/>
        <v>1.5799999999999956E-8</v>
      </c>
      <c r="E167" s="377" t="e">
        <f>IF(VLOOKUP(C167,RESUMENGEN!$B$20:$J$219,4,FALSE)="HÁBIL",VLOOKUP(C167,RESUMENGEN!$B$20:$J$219,9,FALSE)-D167,-D167)</f>
        <v>#N/A</v>
      </c>
      <c r="F167" s="373" t="e">
        <f t="shared" si="9"/>
        <v>#N/A</v>
      </c>
      <c r="G167" s="531" t="e">
        <f ca="1">VLOOKUP(I167,RESUMENGEN!$B$20:$J$219,3,FALSE)</f>
        <v>#N/A</v>
      </c>
      <c r="H167" s="377" t="e">
        <f ca="1">VLOOKUP(I167,RESUMENGEN!$B$20:$J$219,9,FALSE)</f>
        <v>#N/A</v>
      </c>
      <c r="I167" s="374" t="e">
        <f t="shared" ca="1" si="10"/>
        <v>#N/A</v>
      </c>
      <c r="J167" s="375" t="e">
        <f ca="1">IF(AND(VLOOKUP(I167,RESUMENGEN!$B$20:$J$219,4,0)="HÁBIL"),"ELEGIBLE","NO ELEGIBLE")</f>
        <v>#N/A</v>
      </c>
    </row>
    <row r="168" spans="2:10" hidden="1">
      <c r="B168" s="371">
        <v>150</v>
      </c>
      <c r="C168" s="376">
        <f>IF(VLOOKUP(B168,RESUMENGEN!$C$20:$M$219,10,FALSE)="","",VLOOKUP(B168,RESUMENGEN!$C$20:$M$219,10,FALSE))</f>
        <v>0</v>
      </c>
      <c r="D168" s="372">
        <f t="shared" si="11"/>
        <v>1.5899999999999957E-8</v>
      </c>
      <c r="E168" s="377" t="e">
        <f>IF(VLOOKUP(C168,RESUMENGEN!$B$20:$J$219,4,FALSE)="HÁBIL",VLOOKUP(C168,RESUMENGEN!$B$20:$J$219,9,FALSE)-D168,-D168)</f>
        <v>#N/A</v>
      </c>
      <c r="F168" s="373" t="e">
        <f t="shared" si="9"/>
        <v>#N/A</v>
      </c>
      <c r="G168" s="531" t="e">
        <f ca="1">VLOOKUP(I168,RESUMENGEN!$B$20:$J$219,3,FALSE)</f>
        <v>#N/A</v>
      </c>
      <c r="H168" s="377" t="e">
        <f ca="1">VLOOKUP(I168,RESUMENGEN!$B$20:$J$219,9,FALSE)</f>
        <v>#N/A</v>
      </c>
      <c r="I168" s="374" t="e">
        <f t="shared" ca="1" si="10"/>
        <v>#N/A</v>
      </c>
      <c r="J168" s="375" t="e">
        <f ca="1">IF(AND(VLOOKUP(I168,RESUMENGEN!$B$20:$J$219,4,0)="HÁBIL"),"ELEGIBLE","NO ELEGIBLE")</f>
        <v>#N/A</v>
      </c>
    </row>
    <row r="169" spans="2:10" hidden="1">
      <c r="B169" s="371">
        <v>151</v>
      </c>
      <c r="C169" s="376">
        <f>IF(VLOOKUP(B169,RESUMENGEN!$C$20:$M$219,10,FALSE)="","",VLOOKUP(B169,RESUMENGEN!$C$20:$M$219,10,FALSE))</f>
        <v>0</v>
      </c>
      <c r="D169" s="372">
        <f t="shared" si="11"/>
        <v>1.5999999999999958E-8</v>
      </c>
      <c r="E169" s="377" t="e">
        <f>IF(VLOOKUP(C169,RESUMENGEN!$B$20:$J$219,4,FALSE)="HÁBIL",VLOOKUP(C169,RESUMENGEN!$B$20:$J$219,9,FALSE)-D169,-D169)</f>
        <v>#N/A</v>
      </c>
      <c r="F169" s="373" t="e">
        <f t="shared" si="9"/>
        <v>#N/A</v>
      </c>
      <c r="G169" s="531" t="e">
        <f ca="1">VLOOKUP(I169,RESUMENGEN!$B$20:$J$219,3,FALSE)</f>
        <v>#N/A</v>
      </c>
      <c r="H169" s="377" t="e">
        <f ca="1">VLOOKUP(I169,RESUMENGEN!$B$20:$J$219,9,FALSE)</f>
        <v>#N/A</v>
      </c>
      <c r="I169" s="374" t="e">
        <f t="shared" ca="1" si="10"/>
        <v>#N/A</v>
      </c>
      <c r="J169" s="375" t="e">
        <f ca="1">IF(AND(VLOOKUP(I169,RESUMENGEN!$B$20:$J$219,4,0)="HÁBIL"),"ELEGIBLE","NO ELEGIBLE")</f>
        <v>#N/A</v>
      </c>
    </row>
    <row r="170" spans="2:10" hidden="1">
      <c r="B170" s="371">
        <v>152</v>
      </c>
      <c r="C170" s="376">
        <f>IF(VLOOKUP(B170,RESUMENGEN!$C$20:$M$219,10,FALSE)="","",VLOOKUP(B170,RESUMENGEN!$C$20:$M$219,10,FALSE))</f>
        <v>0</v>
      </c>
      <c r="D170" s="372">
        <f t="shared" si="11"/>
        <v>1.6099999999999959E-8</v>
      </c>
      <c r="E170" s="377" t="e">
        <f>IF(VLOOKUP(C170,RESUMENGEN!$B$20:$J$219,4,FALSE)="HÁBIL",VLOOKUP(C170,RESUMENGEN!$B$20:$J$219,9,FALSE)-D170,-D170)</f>
        <v>#N/A</v>
      </c>
      <c r="F170" s="373" t="e">
        <f t="shared" si="9"/>
        <v>#N/A</v>
      </c>
      <c r="G170" s="531" t="e">
        <f ca="1">VLOOKUP(I170,RESUMENGEN!$B$20:$J$219,3,FALSE)</f>
        <v>#N/A</v>
      </c>
      <c r="H170" s="377" t="e">
        <f ca="1">VLOOKUP(I170,RESUMENGEN!$B$20:$J$219,9,FALSE)</f>
        <v>#N/A</v>
      </c>
      <c r="I170" s="374" t="e">
        <f t="shared" ca="1" si="10"/>
        <v>#N/A</v>
      </c>
      <c r="J170" s="375" t="e">
        <f ca="1">IF(AND(VLOOKUP(I170,RESUMENGEN!$B$20:$J$219,4,0)="HÁBIL"),"ELEGIBLE","NO ELEGIBLE")</f>
        <v>#N/A</v>
      </c>
    </row>
    <row r="171" spans="2:10" hidden="1">
      <c r="B171" s="371">
        <v>153</v>
      </c>
      <c r="C171" s="376">
        <f>IF(VLOOKUP(B171,RESUMENGEN!$C$20:$M$219,10,FALSE)="","",VLOOKUP(B171,RESUMENGEN!$C$20:$M$219,10,FALSE))</f>
        <v>0</v>
      </c>
      <c r="D171" s="372">
        <f t="shared" si="11"/>
        <v>1.619999999999996E-8</v>
      </c>
      <c r="E171" s="377" t="e">
        <f>IF(VLOOKUP(C171,RESUMENGEN!$B$20:$J$219,4,FALSE)="HÁBIL",VLOOKUP(C171,RESUMENGEN!$B$20:$J$219,9,FALSE)-D171,-D171)</f>
        <v>#N/A</v>
      </c>
      <c r="F171" s="373" t="e">
        <f t="shared" si="9"/>
        <v>#N/A</v>
      </c>
      <c r="G171" s="531" t="e">
        <f ca="1">VLOOKUP(I171,RESUMENGEN!$B$20:$J$219,3,FALSE)</f>
        <v>#N/A</v>
      </c>
      <c r="H171" s="377" t="e">
        <f ca="1">VLOOKUP(I171,RESUMENGEN!$B$20:$J$219,9,FALSE)</f>
        <v>#N/A</v>
      </c>
      <c r="I171" s="374" t="e">
        <f t="shared" ca="1" si="10"/>
        <v>#N/A</v>
      </c>
      <c r="J171" s="375" t="e">
        <f ca="1">IF(AND(VLOOKUP(I171,RESUMENGEN!$B$20:$J$219,4,0)="HÁBIL"),"ELEGIBLE","NO ELEGIBLE")</f>
        <v>#N/A</v>
      </c>
    </row>
    <row r="172" spans="2:10" hidden="1">
      <c r="B172" s="371">
        <v>154</v>
      </c>
      <c r="C172" s="376">
        <f>IF(VLOOKUP(B172,RESUMENGEN!$C$20:$M$219,10,FALSE)="","",VLOOKUP(B172,RESUMENGEN!$C$20:$M$219,10,FALSE))</f>
        <v>0</v>
      </c>
      <c r="D172" s="372">
        <f t="shared" si="11"/>
        <v>1.6299999999999961E-8</v>
      </c>
      <c r="E172" s="377" t="e">
        <f>IF(VLOOKUP(C172,RESUMENGEN!$B$20:$J$219,4,FALSE)="HÁBIL",VLOOKUP(C172,RESUMENGEN!$B$20:$J$219,9,FALSE)-D172,-D172)</f>
        <v>#N/A</v>
      </c>
      <c r="F172" s="373" t="e">
        <f t="shared" si="9"/>
        <v>#N/A</v>
      </c>
      <c r="G172" s="531" t="e">
        <f ca="1">VLOOKUP(I172,RESUMENGEN!$B$20:$J$219,3,FALSE)</f>
        <v>#N/A</v>
      </c>
      <c r="H172" s="377" t="e">
        <f ca="1">VLOOKUP(I172,RESUMENGEN!$B$20:$J$219,9,FALSE)</f>
        <v>#N/A</v>
      </c>
      <c r="I172" s="374" t="e">
        <f t="shared" ca="1" si="10"/>
        <v>#N/A</v>
      </c>
      <c r="J172" s="375" t="e">
        <f ca="1">IF(AND(VLOOKUP(I172,RESUMENGEN!$B$20:$J$219,4,0)="HÁBIL"),"ELEGIBLE","NO ELEGIBLE")</f>
        <v>#N/A</v>
      </c>
    </row>
    <row r="173" spans="2:10" hidden="1">
      <c r="B173" s="371">
        <v>155</v>
      </c>
      <c r="C173" s="376">
        <f>IF(VLOOKUP(B173,RESUMENGEN!$C$20:$M$219,10,FALSE)="","",VLOOKUP(B173,RESUMENGEN!$C$20:$M$219,10,FALSE))</f>
        <v>0</v>
      </c>
      <c r="D173" s="372">
        <f t="shared" si="11"/>
        <v>1.6399999999999962E-8</v>
      </c>
      <c r="E173" s="377" t="e">
        <f>IF(VLOOKUP(C173,RESUMENGEN!$B$20:$J$219,4,FALSE)="HÁBIL",VLOOKUP(C173,RESUMENGEN!$B$20:$J$219,9,FALSE)-D173,-D173)</f>
        <v>#N/A</v>
      </c>
      <c r="F173" s="373" t="e">
        <f t="shared" si="9"/>
        <v>#N/A</v>
      </c>
      <c r="G173" s="531" t="e">
        <f ca="1">VLOOKUP(I173,RESUMENGEN!$B$20:$J$219,3,FALSE)</f>
        <v>#N/A</v>
      </c>
      <c r="H173" s="377" t="e">
        <f ca="1">VLOOKUP(I173,RESUMENGEN!$B$20:$J$219,9,FALSE)</f>
        <v>#N/A</v>
      </c>
      <c r="I173" s="374" t="e">
        <f t="shared" ca="1" si="10"/>
        <v>#N/A</v>
      </c>
      <c r="J173" s="375" t="e">
        <f ca="1">IF(AND(VLOOKUP(I173,RESUMENGEN!$B$20:$J$219,4,0)="HÁBIL"),"ELEGIBLE","NO ELEGIBLE")</f>
        <v>#N/A</v>
      </c>
    </row>
    <row r="174" spans="2:10" hidden="1">
      <c r="B174" s="371">
        <v>156</v>
      </c>
      <c r="C174" s="376">
        <f>IF(VLOOKUP(B174,RESUMENGEN!$C$20:$M$219,10,FALSE)="","",VLOOKUP(B174,RESUMENGEN!$C$20:$M$219,10,FALSE))</f>
        <v>0</v>
      </c>
      <c r="D174" s="372">
        <f t="shared" si="11"/>
        <v>1.6499999999999962E-8</v>
      </c>
      <c r="E174" s="377" t="e">
        <f>IF(VLOOKUP(C174,RESUMENGEN!$B$20:$J$219,4,FALSE)="HÁBIL",VLOOKUP(C174,RESUMENGEN!$B$20:$J$219,9,FALSE)-D174,-D174)</f>
        <v>#N/A</v>
      </c>
      <c r="F174" s="373" t="e">
        <f t="shared" si="9"/>
        <v>#N/A</v>
      </c>
      <c r="G174" s="531" t="e">
        <f ca="1">VLOOKUP(I174,RESUMENGEN!$B$20:$J$219,3,FALSE)</f>
        <v>#N/A</v>
      </c>
      <c r="H174" s="377" t="e">
        <f ca="1">VLOOKUP(I174,RESUMENGEN!$B$20:$J$219,9,FALSE)</f>
        <v>#N/A</v>
      </c>
      <c r="I174" s="374" t="e">
        <f t="shared" ca="1" si="10"/>
        <v>#N/A</v>
      </c>
      <c r="J174" s="375" t="e">
        <f ca="1">IF(AND(VLOOKUP(I174,RESUMENGEN!$B$20:$J$219,4,0)="HÁBIL"),"ELEGIBLE","NO ELEGIBLE")</f>
        <v>#N/A</v>
      </c>
    </row>
    <row r="175" spans="2:10" hidden="1">
      <c r="B175" s="371">
        <v>157</v>
      </c>
      <c r="C175" s="376">
        <f>IF(VLOOKUP(B175,RESUMENGEN!$C$20:$M$219,10,FALSE)="","",VLOOKUP(B175,RESUMENGEN!$C$20:$M$219,10,FALSE))</f>
        <v>0</v>
      </c>
      <c r="D175" s="372">
        <f t="shared" si="11"/>
        <v>1.6599999999999963E-8</v>
      </c>
      <c r="E175" s="377" t="e">
        <f>IF(VLOOKUP(C175,RESUMENGEN!$B$20:$J$219,4,FALSE)="HÁBIL",VLOOKUP(C175,RESUMENGEN!$B$20:$J$219,9,FALSE)-D175,-D175)</f>
        <v>#N/A</v>
      </c>
      <c r="F175" s="373" t="e">
        <f t="shared" si="9"/>
        <v>#N/A</v>
      </c>
      <c r="G175" s="531" t="e">
        <f ca="1">VLOOKUP(I175,RESUMENGEN!$B$20:$J$219,3,FALSE)</f>
        <v>#N/A</v>
      </c>
      <c r="H175" s="377" t="e">
        <f ca="1">VLOOKUP(I175,RESUMENGEN!$B$20:$J$219,9,FALSE)</f>
        <v>#N/A</v>
      </c>
      <c r="I175" s="374" t="e">
        <f t="shared" ca="1" si="10"/>
        <v>#N/A</v>
      </c>
      <c r="J175" s="375" t="e">
        <f ca="1">IF(AND(VLOOKUP(I175,RESUMENGEN!$B$20:$J$219,4,0)="HÁBIL"),"ELEGIBLE","NO ELEGIBLE")</f>
        <v>#N/A</v>
      </c>
    </row>
    <row r="176" spans="2:10" hidden="1">
      <c r="B176" s="371">
        <v>158</v>
      </c>
      <c r="C176" s="376">
        <f>IF(VLOOKUP(B176,RESUMENGEN!$C$20:$M$219,10,FALSE)="","",VLOOKUP(B176,RESUMENGEN!$C$20:$M$219,10,FALSE))</f>
        <v>0</v>
      </c>
      <c r="D176" s="372">
        <f t="shared" si="11"/>
        <v>1.6699999999999964E-8</v>
      </c>
      <c r="E176" s="377" t="e">
        <f>IF(VLOOKUP(C176,RESUMENGEN!$B$20:$J$219,4,FALSE)="HÁBIL",VLOOKUP(C176,RESUMENGEN!$B$20:$J$219,9,FALSE)-D176,-D176)</f>
        <v>#N/A</v>
      </c>
      <c r="F176" s="373" t="e">
        <f t="shared" si="9"/>
        <v>#N/A</v>
      </c>
      <c r="G176" s="531" t="e">
        <f ca="1">VLOOKUP(I176,RESUMENGEN!$B$20:$J$219,3,FALSE)</f>
        <v>#N/A</v>
      </c>
      <c r="H176" s="377" t="e">
        <f ca="1">VLOOKUP(I176,RESUMENGEN!$B$20:$J$219,9,FALSE)</f>
        <v>#N/A</v>
      </c>
      <c r="I176" s="374" t="e">
        <f t="shared" ca="1" si="10"/>
        <v>#N/A</v>
      </c>
      <c r="J176" s="375" t="e">
        <f ca="1">IF(AND(VLOOKUP(I176,RESUMENGEN!$B$20:$J$219,4,0)="HÁBIL"),"ELEGIBLE","NO ELEGIBLE")</f>
        <v>#N/A</v>
      </c>
    </row>
    <row r="177" spans="2:10" hidden="1">
      <c r="B177" s="371">
        <v>159</v>
      </c>
      <c r="C177" s="376">
        <f>IF(VLOOKUP(B177,RESUMENGEN!$C$20:$M$219,10,FALSE)="","",VLOOKUP(B177,RESUMENGEN!$C$20:$M$219,10,FALSE))</f>
        <v>0</v>
      </c>
      <c r="D177" s="372">
        <f t="shared" si="11"/>
        <v>1.6799999999999965E-8</v>
      </c>
      <c r="E177" s="377" t="e">
        <f>IF(VLOOKUP(C177,RESUMENGEN!$B$20:$J$219,4,FALSE)="HÁBIL",VLOOKUP(C177,RESUMENGEN!$B$20:$J$219,9,FALSE)-D177,-D177)</f>
        <v>#N/A</v>
      </c>
      <c r="F177" s="373" t="e">
        <f t="shared" si="9"/>
        <v>#N/A</v>
      </c>
      <c r="G177" s="531" t="e">
        <f ca="1">VLOOKUP(I177,RESUMENGEN!$B$20:$J$219,3,FALSE)</f>
        <v>#N/A</v>
      </c>
      <c r="H177" s="377" t="e">
        <f ca="1">VLOOKUP(I177,RESUMENGEN!$B$20:$J$219,9,FALSE)</f>
        <v>#N/A</v>
      </c>
      <c r="I177" s="374" t="e">
        <f t="shared" ca="1" si="10"/>
        <v>#N/A</v>
      </c>
      <c r="J177" s="375" t="e">
        <f ca="1">IF(AND(VLOOKUP(I177,RESUMENGEN!$B$20:$J$219,4,0)="HÁBIL"),"ELEGIBLE","NO ELEGIBLE")</f>
        <v>#N/A</v>
      </c>
    </row>
    <row r="178" spans="2:10" hidden="1">
      <c r="B178" s="371">
        <v>160</v>
      </c>
      <c r="C178" s="376">
        <f>IF(VLOOKUP(B178,RESUMENGEN!$C$20:$M$219,10,FALSE)="","",VLOOKUP(B178,RESUMENGEN!$C$20:$M$219,10,FALSE))</f>
        <v>0</v>
      </c>
      <c r="D178" s="372">
        <f t="shared" si="11"/>
        <v>1.6899999999999966E-8</v>
      </c>
      <c r="E178" s="377" t="e">
        <f>IF(VLOOKUP(C178,RESUMENGEN!$B$20:$J$219,4,FALSE)="HÁBIL",VLOOKUP(C178,RESUMENGEN!$B$20:$J$219,9,FALSE)-D178,-D178)</f>
        <v>#N/A</v>
      </c>
      <c r="F178" s="373" t="e">
        <f t="shared" si="9"/>
        <v>#N/A</v>
      </c>
      <c r="G178" s="531" t="e">
        <f ca="1">VLOOKUP(I178,RESUMENGEN!$B$20:$J$219,3,FALSE)</f>
        <v>#N/A</v>
      </c>
      <c r="H178" s="377" t="e">
        <f ca="1">VLOOKUP(I178,RESUMENGEN!$B$20:$J$219,9,FALSE)</f>
        <v>#N/A</v>
      </c>
      <c r="I178" s="374" t="e">
        <f t="shared" ca="1" si="10"/>
        <v>#N/A</v>
      </c>
      <c r="J178" s="375" t="e">
        <f ca="1">IF(AND(VLOOKUP(I178,RESUMENGEN!$B$20:$J$219,4,0)="HÁBIL"),"ELEGIBLE","NO ELEGIBLE")</f>
        <v>#N/A</v>
      </c>
    </row>
    <row r="179" spans="2:10" hidden="1">
      <c r="B179" s="371">
        <v>161</v>
      </c>
      <c r="C179" s="376">
        <f>IF(VLOOKUP(B179,RESUMENGEN!$C$20:$M$219,10,FALSE)="","",VLOOKUP(B179,RESUMENGEN!$C$20:$M$219,10,FALSE))</f>
        <v>0</v>
      </c>
      <c r="D179" s="372">
        <f t="shared" si="11"/>
        <v>1.6999999999999967E-8</v>
      </c>
      <c r="E179" s="377" t="e">
        <f>IF(VLOOKUP(C179,RESUMENGEN!$B$20:$J$219,4,FALSE)="HÁBIL",VLOOKUP(C179,RESUMENGEN!$B$20:$J$219,9,FALSE)-D179,-D179)</f>
        <v>#N/A</v>
      </c>
      <c r="F179" s="373" t="e">
        <f t="shared" si="9"/>
        <v>#N/A</v>
      </c>
      <c r="G179" s="531" t="e">
        <f ca="1">VLOOKUP(I179,RESUMENGEN!$B$20:$J$219,3,FALSE)</f>
        <v>#N/A</v>
      </c>
      <c r="H179" s="377" t="e">
        <f ca="1">VLOOKUP(I179,RESUMENGEN!$B$20:$J$219,9,FALSE)</f>
        <v>#N/A</v>
      </c>
      <c r="I179" s="374" t="e">
        <f t="shared" ca="1" si="10"/>
        <v>#N/A</v>
      </c>
      <c r="J179" s="375" t="e">
        <f ca="1">IF(AND(VLOOKUP(I179,RESUMENGEN!$B$20:$J$219,4,0)="HÁBIL"),"ELEGIBLE","NO ELEGIBLE")</f>
        <v>#N/A</v>
      </c>
    </row>
    <row r="180" spans="2:10" hidden="1">
      <c r="B180" s="371">
        <v>162</v>
      </c>
      <c r="C180" s="376">
        <f>IF(VLOOKUP(B180,RESUMENGEN!$C$20:$M$219,10,FALSE)="","",VLOOKUP(B180,RESUMENGEN!$C$20:$M$219,10,FALSE))</f>
        <v>0</v>
      </c>
      <c r="D180" s="372">
        <f t="shared" si="11"/>
        <v>1.7099999999999968E-8</v>
      </c>
      <c r="E180" s="377" t="e">
        <f>IF(VLOOKUP(C180,RESUMENGEN!$B$20:$J$219,4,FALSE)="HÁBIL",VLOOKUP(C180,RESUMENGEN!$B$20:$J$219,9,FALSE)-D180,-D180)</f>
        <v>#N/A</v>
      </c>
      <c r="F180" s="373" t="e">
        <f t="shared" si="9"/>
        <v>#N/A</v>
      </c>
      <c r="G180" s="531" t="e">
        <f ca="1">VLOOKUP(I180,RESUMENGEN!$B$20:$J$219,3,FALSE)</f>
        <v>#N/A</v>
      </c>
      <c r="H180" s="377" t="e">
        <f ca="1">VLOOKUP(I180,RESUMENGEN!$B$20:$J$219,9,FALSE)</f>
        <v>#N/A</v>
      </c>
      <c r="I180" s="374" t="e">
        <f t="shared" ca="1" si="10"/>
        <v>#N/A</v>
      </c>
      <c r="J180" s="375" t="e">
        <f ca="1">IF(AND(VLOOKUP(I180,RESUMENGEN!$B$20:$J$219,4,0)="HÁBIL"),"ELEGIBLE","NO ELEGIBLE")</f>
        <v>#N/A</v>
      </c>
    </row>
    <row r="181" spans="2:10" hidden="1">
      <c r="B181" s="371">
        <v>163</v>
      </c>
      <c r="C181" s="376">
        <f>IF(VLOOKUP(B181,RESUMENGEN!$C$20:$M$219,10,FALSE)="","",VLOOKUP(B181,RESUMENGEN!$C$20:$M$219,10,FALSE))</f>
        <v>0</v>
      </c>
      <c r="D181" s="372">
        <f t="shared" si="11"/>
        <v>1.7199999999999969E-8</v>
      </c>
      <c r="E181" s="377" t="e">
        <f>IF(VLOOKUP(C181,RESUMENGEN!$B$20:$J$219,4,FALSE)="HÁBIL",VLOOKUP(C181,RESUMENGEN!$B$20:$J$219,9,FALSE)-D181,-D181)</f>
        <v>#N/A</v>
      </c>
      <c r="F181" s="373" t="e">
        <f t="shared" si="9"/>
        <v>#N/A</v>
      </c>
      <c r="G181" s="531" t="e">
        <f ca="1">VLOOKUP(I181,RESUMENGEN!$B$20:$J$219,3,FALSE)</f>
        <v>#N/A</v>
      </c>
      <c r="H181" s="377" t="e">
        <f ca="1">VLOOKUP(I181,RESUMENGEN!$B$20:$J$219,9,FALSE)</f>
        <v>#N/A</v>
      </c>
      <c r="I181" s="374" t="e">
        <f t="shared" ca="1" si="10"/>
        <v>#N/A</v>
      </c>
      <c r="J181" s="375" t="e">
        <f ca="1">IF(AND(VLOOKUP(I181,RESUMENGEN!$B$20:$J$219,4,0)="HÁBIL"),"ELEGIBLE","NO ELEGIBLE")</f>
        <v>#N/A</v>
      </c>
    </row>
    <row r="182" spans="2:10" hidden="1">
      <c r="B182" s="371">
        <v>164</v>
      </c>
      <c r="C182" s="376">
        <f>IF(VLOOKUP(B182,RESUMENGEN!$C$20:$M$219,10,FALSE)="","",VLOOKUP(B182,RESUMENGEN!$C$20:$M$219,10,FALSE))</f>
        <v>0</v>
      </c>
      <c r="D182" s="372">
        <f t="shared" si="11"/>
        <v>1.729999999999997E-8</v>
      </c>
      <c r="E182" s="377" t="e">
        <f>IF(VLOOKUP(C182,RESUMENGEN!$B$20:$J$219,4,FALSE)="HÁBIL",VLOOKUP(C182,RESUMENGEN!$B$20:$J$219,9,FALSE)-D182,-D182)</f>
        <v>#N/A</v>
      </c>
      <c r="F182" s="373" t="e">
        <f t="shared" ref="F182:F218" si="12">RANK(E182,$E$19:$E$218)</f>
        <v>#N/A</v>
      </c>
      <c r="G182" s="531" t="e">
        <f ca="1">VLOOKUP(I182,RESUMENGEN!$B$20:$J$219,3,FALSE)</f>
        <v>#N/A</v>
      </c>
      <c r="H182" s="377" t="e">
        <f ca="1">VLOOKUP(I182,RESUMENGEN!$B$20:$J$219,9,FALSE)</f>
        <v>#N/A</v>
      </c>
      <c r="I182" s="374" t="e">
        <f t="shared" ref="I182:I218" ca="1" si="13">IF(C182="","",OFFSET($C$18,MATCH(B182,$F$19:$F$218,0),0))</f>
        <v>#N/A</v>
      </c>
      <c r="J182" s="375" t="e">
        <f ca="1">IF(AND(VLOOKUP(I182,RESUMENGEN!$B$20:$J$219,4,0)="HÁBIL"),"ELEGIBLE","NO ELEGIBLE")</f>
        <v>#N/A</v>
      </c>
    </row>
    <row r="183" spans="2:10" hidden="1">
      <c r="B183" s="371">
        <v>165</v>
      </c>
      <c r="C183" s="376">
        <f>IF(VLOOKUP(B183,RESUMENGEN!$C$20:$M$219,10,FALSE)="","",VLOOKUP(B183,RESUMENGEN!$C$20:$M$219,10,FALSE))</f>
        <v>0</v>
      </c>
      <c r="D183" s="372">
        <f t="shared" si="11"/>
        <v>1.7399999999999971E-8</v>
      </c>
      <c r="E183" s="377" t="e">
        <f>IF(VLOOKUP(C183,RESUMENGEN!$B$20:$J$219,4,FALSE)="HÁBIL",VLOOKUP(C183,RESUMENGEN!$B$20:$J$219,9,FALSE)-D183,-D183)</f>
        <v>#N/A</v>
      </c>
      <c r="F183" s="373" t="e">
        <f t="shared" si="12"/>
        <v>#N/A</v>
      </c>
      <c r="G183" s="531" t="e">
        <f ca="1">VLOOKUP(I183,RESUMENGEN!$B$20:$J$219,3,FALSE)</f>
        <v>#N/A</v>
      </c>
      <c r="H183" s="377" t="e">
        <f ca="1">VLOOKUP(I183,RESUMENGEN!$B$20:$J$219,9,FALSE)</f>
        <v>#N/A</v>
      </c>
      <c r="I183" s="374" t="e">
        <f t="shared" ca="1" si="13"/>
        <v>#N/A</v>
      </c>
      <c r="J183" s="375" t="e">
        <f ca="1">IF(AND(VLOOKUP(I183,RESUMENGEN!$B$20:$J$219,4,0)="HÁBIL"),"ELEGIBLE","NO ELEGIBLE")</f>
        <v>#N/A</v>
      </c>
    </row>
    <row r="184" spans="2:10" hidden="1">
      <c r="B184" s="371">
        <v>166</v>
      </c>
      <c r="C184" s="376">
        <f>IF(VLOOKUP(B184,RESUMENGEN!$C$20:$M$219,10,FALSE)="","",VLOOKUP(B184,RESUMENGEN!$C$20:$M$219,10,FALSE))</f>
        <v>0</v>
      </c>
      <c r="D184" s="372">
        <f t="shared" si="11"/>
        <v>1.7499999999999971E-8</v>
      </c>
      <c r="E184" s="377" t="e">
        <f>IF(VLOOKUP(C184,RESUMENGEN!$B$20:$J$219,4,FALSE)="HÁBIL",VLOOKUP(C184,RESUMENGEN!$B$20:$J$219,9,FALSE)-D184,-D184)</f>
        <v>#N/A</v>
      </c>
      <c r="F184" s="373" t="e">
        <f t="shared" si="12"/>
        <v>#N/A</v>
      </c>
      <c r="G184" s="531" t="e">
        <f ca="1">VLOOKUP(I184,RESUMENGEN!$B$20:$J$219,3,FALSE)</f>
        <v>#N/A</v>
      </c>
      <c r="H184" s="377" t="e">
        <f ca="1">VLOOKUP(I184,RESUMENGEN!$B$20:$J$219,9,FALSE)</f>
        <v>#N/A</v>
      </c>
      <c r="I184" s="374" t="e">
        <f t="shared" ca="1" si="13"/>
        <v>#N/A</v>
      </c>
      <c r="J184" s="375" t="e">
        <f ca="1">IF(AND(VLOOKUP(I184,RESUMENGEN!$B$20:$J$219,4,0)="HÁBIL"),"ELEGIBLE","NO ELEGIBLE")</f>
        <v>#N/A</v>
      </c>
    </row>
    <row r="185" spans="2:10" hidden="1">
      <c r="B185" s="371">
        <v>167</v>
      </c>
      <c r="C185" s="376">
        <f>IF(VLOOKUP(B185,RESUMENGEN!$C$20:$M$219,10,FALSE)="","",VLOOKUP(B185,RESUMENGEN!$C$20:$M$219,10,FALSE))</f>
        <v>0</v>
      </c>
      <c r="D185" s="372">
        <f t="shared" si="11"/>
        <v>1.7599999999999972E-8</v>
      </c>
      <c r="E185" s="377" t="e">
        <f>IF(VLOOKUP(C185,RESUMENGEN!$B$20:$J$219,4,FALSE)="HÁBIL",VLOOKUP(C185,RESUMENGEN!$B$20:$J$219,9,FALSE)-D185,-D185)</f>
        <v>#N/A</v>
      </c>
      <c r="F185" s="373" t="e">
        <f t="shared" si="12"/>
        <v>#N/A</v>
      </c>
      <c r="G185" s="531" t="e">
        <f ca="1">VLOOKUP(I185,RESUMENGEN!$B$20:$J$219,3,FALSE)</f>
        <v>#N/A</v>
      </c>
      <c r="H185" s="377" t="e">
        <f ca="1">VLOOKUP(I185,RESUMENGEN!$B$20:$J$219,9,FALSE)</f>
        <v>#N/A</v>
      </c>
      <c r="I185" s="374" t="e">
        <f t="shared" ca="1" si="13"/>
        <v>#N/A</v>
      </c>
      <c r="J185" s="375" t="e">
        <f ca="1">IF(AND(VLOOKUP(I185,RESUMENGEN!$B$20:$J$219,4,0)="HÁBIL"),"ELEGIBLE","NO ELEGIBLE")</f>
        <v>#N/A</v>
      </c>
    </row>
    <row r="186" spans="2:10" hidden="1">
      <c r="B186" s="371">
        <v>168</v>
      </c>
      <c r="C186" s="376">
        <f>IF(VLOOKUP(B186,RESUMENGEN!$C$20:$M$219,10,FALSE)="","",VLOOKUP(B186,RESUMENGEN!$C$20:$M$219,10,FALSE))</f>
        <v>0</v>
      </c>
      <c r="D186" s="372">
        <f t="shared" si="11"/>
        <v>1.7699999999999973E-8</v>
      </c>
      <c r="E186" s="377" t="e">
        <f>IF(VLOOKUP(C186,RESUMENGEN!$B$20:$J$219,4,FALSE)="HÁBIL",VLOOKUP(C186,RESUMENGEN!$B$20:$J$219,9,FALSE)-D186,-D186)</f>
        <v>#N/A</v>
      </c>
      <c r="F186" s="373" t="e">
        <f t="shared" si="12"/>
        <v>#N/A</v>
      </c>
      <c r="G186" s="531" t="e">
        <f ca="1">VLOOKUP(I186,RESUMENGEN!$B$20:$J$219,3,FALSE)</f>
        <v>#N/A</v>
      </c>
      <c r="H186" s="377" t="e">
        <f ca="1">VLOOKUP(I186,RESUMENGEN!$B$20:$J$219,9,FALSE)</f>
        <v>#N/A</v>
      </c>
      <c r="I186" s="374" t="e">
        <f t="shared" ca="1" si="13"/>
        <v>#N/A</v>
      </c>
      <c r="J186" s="375" t="e">
        <f ca="1">IF(AND(VLOOKUP(I186,RESUMENGEN!$B$20:$J$219,4,0)="HÁBIL"),"ELEGIBLE","NO ELEGIBLE")</f>
        <v>#N/A</v>
      </c>
    </row>
    <row r="187" spans="2:10" hidden="1">
      <c r="B187" s="371">
        <v>169</v>
      </c>
      <c r="C187" s="376">
        <f>IF(VLOOKUP(B187,RESUMENGEN!$C$20:$M$219,10,FALSE)="","",VLOOKUP(B187,RESUMENGEN!$C$20:$M$219,10,FALSE))</f>
        <v>0</v>
      </c>
      <c r="D187" s="372">
        <f t="shared" si="11"/>
        <v>1.7799999999999974E-8</v>
      </c>
      <c r="E187" s="377" t="e">
        <f>IF(VLOOKUP(C187,RESUMENGEN!$B$20:$J$219,4,FALSE)="HÁBIL",VLOOKUP(C187,RESUMENGEN!$B$20:$J$219,9,FALSE)-D187,-D187)</f>
        <v>#N/A</v>
      </c>
      <c r="F187" s="373" t="e">
        <f t="shared" si="12"/>
        <v>#N/A</v>
      </c>
      <c r="G187" s="531" t="e">
        <f ca="1">VLOOKUP(I187,RESUMENGEN!$B$20:$J$219,3,FALSE)</f>
        <v>#N/A</v>
      </c>
      <c r="H187" s="377" t="e">
        <f ca="1">VLOOKUP(I187,RESUMENGEN!$B$20:$J$219,9,FALSE)</f>
        <v>#N/A</v>
      </c>
      <c r="I187" s="374" t="e">
        <f t="shared" ca="1" si="13"/>
        <v>#N/A</v>
      </c>
      <c r="J187" s="375" t="e">
        <f ca="1">IF(AND(VLOOKUP(I187,RESUMENGEN!$B$20:$J$219,4,0)="HÁBIL"),"ELEGIBLE","NO ELEGIBLE")</f>
        <v>#N/A</v>
      </c>
    </row>
    <row r="188" spans="2:10" hidden="1">
      <c r="B188" s="371">
        <v>170</v>
      </c>
      <c r="C188" s="376">
        <f>IF(VLOOKUP(B188,RESUMENGEN!$C$20:$M$219,10,FALSE)="","",VLOOKUP(B188,RESUMENGEN!$C$20:$M$219,10,FALSE))</f>
        <v>0</v>
      </c>
      <c r="D188" s="372">
        <f t="shared" si="11"/>
        <v>1.7899999999999975E-8</v>
      </c>
      <c r="E188" s="377" t="e">
        <f>IF(VLOOKUP(C188,RESUMENGEN!$B$20:$J$219,4,FALSE)="HÁBIL",VLOOKUP(C188,RESUMENGEN!$B$20:$J$219,9,FALSE)-D188,-D188)</f>
        <v>#N/A</v>
      </c>
      <c r="F188" s="373" t="e">
        <f t="shared" si="12"/>
        <v>#N/A</v>
      </c>
      <c r="G188" s="531" t="e">
        <f ca="1">VLOOKUP(I188,RESUMENGEN!$B$20:$J$219,3,FALSE)</f>
        <v>#N/A</v>
      </c>
      <c r="H188" s="377" t="e">
        <f ca="1">VLOOKUP(I188,RESUMENGEN!$B$20:$J$219,9,FALSE)</f>
        <v>#N/A</v>
      </c>
      <c r="I188" s="374" t="e">
        <f t="shared" ca="1" si="13"/>
        <v>#N/A</v>
      </c>
      <c r="J188" s="375" t="e">
        <f ca="1">IF(AND(VLOOKUP(I188,RESUMENGEN!$B$20:$J$219,4,0)="HÁBIL"),"ELEGIBLE","NO ELEGIBLE")</f>
        <v>#N/A</v>
      </c>
    </row>
    <row r="189" spans="2:10" hidden="1">
      <c r="B189" s="371">
        <v>171</v>
      </c>
      <c r="C189" s="376">
        <f>IF(VLOOKUP(B189,RESUMENGEN!$C$20:$M$219,10,FALSE)="","",VLOOKUP(B189,RESUMENGEN!$C$20:$M$219,10,FALSE))</f>
        <v>0</v>
      </c>
      <c r="D189" s="372">
        <f t="shared" si="11"/>
        <v>1.7999999999999976E-8</v>
      </c>
      <c r="E189" s="377" t="e">
        <f>IF(VLOOKUP(C189,RESUMENGEN!$B$20:$J$219,4,FALSE)="HÁBIL",VLOOKUP(C189,RESUMENGEN!$B$20:$J$219,9,FALSE)-D189,-D189)</f>
        <v>#N/A</v>
      </c>
      <c r="F189" s="373" t="e">
        <f t="shared" si="12"/>
        <v>#N/A</v>
      </c>
      <c r="G189" s="531" t="e">
        <f ca="1">VLOOKUP(I189,RESUMENGEN!$B$20:$J$219,3,FALSE)</f>
        <v>#N/A</v>
      </c>
      <c r="H189" s="377" t="e">
        <f ca="1">VLOOKUP(I189,RESUMENGEN!$B$20:$J$219,9,FALSE)</f>
        <v>#N/A</v>
      </c>
      <c r="I189" s="374" t="e">
        <f t="shared" ca="1" si="13"/>
        <v>#N/A</v>
      </c>
      <c r="J189" s="375" t="e">
        <f ca="1">IF(AND(VLOOKUP(I189,RESUMENGEN!$B$20:$J$219,4,0)="HÁBIL"),"ELEGIBLE","NO ELEGIBLE")</f>
        <v>#N/A</v>
      </c>
    </row>
    <row r="190" spans="2:10" hidden="1">
      <c r="B190" s="371">
        <v>172</v>
      </c>
      <c r="C190" s="376">
        <f>IF(VLOOKUP(B190,RESUMENGEN!$C$20:$M$219,10,FALSE)="","",VLOOKUP(B190,RESUMENGEN!$C$20:$M$219,10,FALSE))</f>
        <v>0</v>
      </c>
      <c r="D190" s="372">
        <f t="shared" si="11"/>
        <v>1.8099999999999977E-8</v>
      </c>
      <c r="E190" s="377" t="e">
        <f>IF(VLOOKUP(C190,RESUMENGEN!$B$20:$J$219,4,FALSE)="HÁBIL",VLOOKUP(C190,RESUMENGEN!$B$20:$J$219,9,FALSE)-D190,-D190)</f>
        <v>#N/A</v>
      </c>
      <c r="F190" s="373" t="e">
        <f t="shared" si="12"/>
        <v>#N/A</v>
      </c>
      <c r="G190" s="531" t="e">
        <f ca="1">VLOOKUP(I190,RESUMENGEN!$B$20:$J$219,3,FALSE)</f>
        <v>#N/A</v>
      </c>
      <c r="H190" s="377" t="e">
        <f ca="1">VLOOKUP(I190,RESUMENGEN!$B$20:$J$219,9,FALSE)</f>
        <v>#N/A</v>
      </c>
      <c r="I190" s="374" t="e">
        <f t="shared" ca="1" si="13"/>
        <v>#N/A</v>
      </c>
      <c r="J190" s="375" t="e">
        <f ca="1">IF(AND(VLOOKUP(I190,RESUMENGEN!$B$20:$J$219,4,0)="HÁBIL"),"ELEGIBLE","NO ELEGIBLE")</f>
        <v>#N/A</v>
      </c>
    </row>
    <row r="191" spans="2:10" hidden="1">
      <c r="B191" s="371">
        <v>173</v>
      </c>
      <c r="C191" s="376">
        <f>IF(VLOOKUP(B191,RESUMENGEN!$C$20:$M$219,10,FALSE)="","",VLOOKUP(B191,RESUMENGEN!$C$20:$M$219,10,FALSE))</f>
        <v>0</v>
      </c>
      <c r="D191" s="372">
        <f t="shared" si="11"/>
        <v>1.8199999999999978E-8</v>
      </c>
      <c r="E191" s="377" t="e">
        <f>IF(VLOOKUP(C191,RESUMENGEN!$B$20:$J$219,4,FALSE)="HÁBIL",VLOOKUP(C191,RESUMENGEN!$B$20:$J$219,9,FALSE)-D191,-D191)</f>
        <v>#N/A</v>
      </c>
      <c r="F191" s="373" t="e">
        <f t="shared" si="12"/>
        <v>#N/A</v>
      </c>
      <c r="G191" s="531" t="e">
        <f ca="1">VLOOKUP(I191,RESUMENGEN!$B$20:$J$219,3,FALSE)</f>
        <v>#N/A</v>
      </c>
      <c r="H191" s="377" t="e">
        <f ca="1">VLOOKUP(I191,RESUMENGEN!$B$20:$J$219,9,FALSE)</f>
        <v>#N/A</v>
      </c>
      <c r="I191" s="374" t="e">
        <f t="shared" ca="1" si="13"/>
        <v>#N/A</v>
      </c>
      <c r="J191" s="375" t="e">
        <f ca="1">IF(AND(VLOOKUP(I191,RESUMENGEN!$B$20:$J$219,4,0)="HÁBIL"),"ELEGIBLE","NO ELEGIBLE")</f>
        <v>#N/A</v>
      </c>
    </row>
    <row r="192" spans="2:10" hidden="1">
      <c r="B192" s="371">
        <v>174</v>
      </c>
      <c r="C192" s="376">
        <f>IF(VLOOKUP(B192,RESUMENGEN!$C$20:$M$219,10,FALSE)="","",VLOOKUP(B192,RESUMENGEN!$C$20:$M$219,10,FALSE))</f>
        <v>0</v>
      </c>
      <c r="D192" s="372">
        <f t="shared" si="11"/>
        <v>1.8299999999999979E-8</v>
      </c>
      <c r="E192" s="377" t="e">
        <f>IF(VLOOKUP(C192,RESUMENGEN!$B$20:$J$219,4,FALSE)="HÁBIL",VLOOKUP(C192,RESUMENGEN!$B$20:$J$219,9,FALSE)-D192,-D192)</f>
        <v>#N/A</v>
      </c>
      <c r="F192" s="373" t="e">
        <f t="shared" si="12"/>
        <v>#N/A</v>
      </c>
      <c r="G192" s="531" t="e">
        <f ca="1">VLOOKUP(I192,RESUMENGEN!$B$20:$J$219,3,FALSE)</f>
        <v>#N/A</v>
      </c>
      <c r="H192" s="377" t="e">
        <f ca="1">VLOOKUP(I192,RESUMENGEN!$B$20:$J$219,9,FALSE)</f>
        <v>#N/A</v>
      </c>
      <c r="I192" s="374" t="e">
        <f t="shared" ca="1" si="13"/>
        <v>#N/A</v>
      </c>
      <c r="J192" s="375" t="e">
        <f ca="1">IF(AND(VLOOKUP(I192,RESUMENGEN!$B$20:$J$219,4,0)="HÁBIL"),"ELEGIBLE","NO ELEGIBLE")</f>
        <v>#N/A</v>
      </c>
    </row>
    <row r="193" spans="2:10" hidden="1">
      <c r="B193" s="371">
        <v>175</v>
      </c>
      <c r="C193" s="376">
        <f>IF(VLOOKUP(B193,RESUMENGEN!$C$20:$M$219,10,FALSE)="","",VLOOKUP(B193,RESUMENGEN!$C$20:$M$219,10,FALSE))</f>
        <v>0</v>
      </c>
      <c r="D193" s="372">
        <f t="shared" si="11"/>
        <v>1.8399999999999979E-8</v>
      </c>
      <c r="E193" s="377" t="e">
        <f>IF(VLOOKUP(C193,RESUMENGEN!$B$20:$J$219,4,FALSE)="HÁBIL",VLOOKUP(C193,RESUMENGEN!$B$20:$J$219,9,FALSE)-D193,-D193)</f>
        <v>#N/A</v>
      </c>
      <c r="F193" s="373" t="e">
        <f t="shared" si="12"/>
        <v>#N/A</v>
      </c>
      <c r="G193" s="531" t="e">
        <f ca="1">VLOOKUP(I193,RESUMENGEN!$B$20:$J$219,3,FALSE)</f>
        <v>#N/A</v>
      </c>
      <c r="H193" s="377" t="e">
        <f ca="1">VLOOKUP(I193,RESUMENGEN!$B$20:$J$219,9,FALSE)</f>
        <v>#N/A</v>
      </c>
      <c r="I193" s="374" t="e">
        <f t="shared" ca="1" si="13"/>
        <v>#N/A</v>
      </c>
      <c r="J193" s="375" t="e">
        <f ca="1">IF(AND(VLOOKUP(I193,RESUMENGEN!$B$20:$J$219,4,0)="HÁBIL"),"ELEGIBLE","NO ELEGIBLE")</f>
        <v>#N/A</v>
      </c>
    </row>
    <row r="194" spans="2:10" hidden="1">
      <c r="B194" s="371">
        <v>176</v>
      </c>
      <c r="C194" s="376">
        <f>IF(VLOOKUP(B194,RESUMENGEN!$C$20:$M$219,10,FALSE)="","",VLOOKUP(B194,RESUMENGEN!$C$20:$M$219,10,FALSE))</f>
        <v>0</v>
      </c>
      <c r="D194" s="372">
        <f t="shared" si="11"/>
        <v>1.849999999999998E-8</v>
      </c>
      <c r="E194" s="377" t="e">
        <f>IF(VLOOKUP(C194,RESUMENGEN!$B$20:$J$219,4,FALSE)="HÁBIL",VLOOKUP(C194,RESUMENGEN!$B$20:$J$219,9,FALSE)-D194,-D194)</f>
        <v>#N/A</v>
      </c>
      <c r="F194" s="373" t="e">
        <f t="shared" si="12"/>
        <v>#N/A</v>
      </c>
      <c r="G194" s="531" t="e">
        <f ca="1">VLOOKUP(I194,RESUMENGEN!$B$20:$J$219,3,FALSE)</f>
        <v>#N/A</v>
      </c>
      <c r="H194" s="377" t="e">
        <f ca="1">VLOOKUP(I194,RESUMENGEN!$B$20:$J$219,9,FALSE)</f>
        <v>#N/A</v>
      </c>
      <c r="I194" s="374" t="e">
        <f t="shared" ca="1" si="13"/>
        <v>#N/A</v>
      </c>
      <c r="J194" s="375" t="e">
        <f ca="1">IF(AND(VLOOKUP(I194,RESUMENGEN!$B$20:$J$219,4,0)="HÁBIL"),"ELEGIBLE","NO ELEGIBLE")</f>
        <v>#N/A</v>
      </c>
    </row>
    <row r="195" spans="2:10" hidden="1">
      <c r="B195" s="371">
        <v>177</v>
      </c>
      <c r="C195" s="376">
        <f>IF(VLOOKUP(B195,RESUMENGEN!$C$20:$M$219,10,FALSE)="","",VLOOKUP(B195,RESUMENGEN!$C$20:$M$219,10,FALSE))</f>
        <v>0</v>
      </c>
      <c r="D195" s="372">
        <f t="shared" si="11"/>
        <v>1.8599999999999981E-8</v>
      </c>
      <c r="E195" s="377" t="e">
        <f>IF(VLOOKUP(C195,RESUMENGEN!$B$20:$J$219,4,FALSE)="HÁBIL",VLOOKUP(C195,RESUMENGEN!$B$20:$J$219,9,FALSE)-D195,-D195)</f>
        <v>#N/A</v>
      </c>
      <c r="F195" s="373" t="e">
        <f t="shared" si="12"/>
        <v>#N/A</v>
      </c>
      <c r="G195" s="531" t="e">
        <f ca="1">VLOOKUP(I195,RESUMENGEN!$B$20:$J$219,3,FALSE)</f>
        <v>#N/A</v>
      </c>
      <c r="H195" s="377" t="e">
        <f ca="1">VLOOKUP(I195,RESUMENGEN!$B$20:$J$219,9,FALSE)</f>
        <v>#N/A</v>
      </c>
      <c r="I195" s="374" t="e">
        <f t="shared" ca="1" si="13"/>
        <v>#N/A</v>
      </c>
      <c r="J195" s="375" t="e">
        <f ca="1">IF(AND(VLOOKUP(I195,RESUMENGEN!$B$20:$J$219,4,0)="HÁBIL"),"ELEGIBLE","NO ELEGIBLE")</f>
        <v>#N/A</v>
      </c>
    </row>
    <row r="196" spans="2:10" hidden="1">
      <c r="B196" s="371">
        <v>178</v>
      </c>
      <c r="C196" s="376">
        <f>IF(VLOOKUP(B196,RESUMENGEN!$C$20:$M$219,10,FALSE)="","",VLOOKUP(B196,RESUMENGEN!$C$20:$M$219,10,FALSE))</f>
        <v>0</v>
      </c>
      <c r="D196" s="372">
        <f t="shared" si="11"/>
        <v>1.8699999999999982E-8</v>
      </c>
      <c r="E196" s="377" t="e">
        <f>IF(VLOOKUP(C196,RESUMENGEN!$B$20:$J$219,4,FALSE)="HÁBIL",VLOOKUP(C196,RESUMENGEN!$B$20:$J$219,9,FALSE)-D196,-D196)</f>
        <v>#N/A</v>
      </c>
      <c r="F196" s="373" t="e">
        <f t="shared" si="12"/>
        <v>#N/A</v>
      </c>
      <c r="G196" s="531" t="e">
        <f ca="1">VLOOKUP(I196,RESUMENGEN!$B$20:$J$219,3,FALSE)</f>
        <v>#N/A</v>
      </c>
      <c r="H196" s="377" t="e">
        <f ca="1">VLOOKUP(I196,RESUMENGEN!$B$20:$J$219,9,FALSE)</f>
        <v>#N/A</v>
      </c>
      <c r="I196" s="374" t="e">
        <f t="shared" ca="1" si="13"/>
        <v>#N/A</v>
      </c>
      <c r="J196" s="375" t="e">
        <f ca="1">IF(AND(VLOOKUP(I196,RESUMENGEN!$B$20:$J$219,4,0)="HÁBIL"),"ELEGIBLE","NO ELEGIBLE")</f>
        <v>#N/A</v>
      </c>
    </row>
    <row r="197" spans="2:10" hidden="1">
      <c r="B197" s="371">
        <v>179</v>
      </c>
      <c r="C197" s="376">
        <f>IF(VLOOKUP(B197,RESUMENGEN!$C$20:$M$219,10,FALSE)="","",VLOOKUP(B197,RESUMENGEN!$C$20:$M$219,10,FALSE))</f>
        <v>0</v>
      </c>
      <c r="D197" s="372">
        <f t="shared" si="11"/>
        <v>1.8799999999999983E-8</v>
      </c>
      <c r="E197" s="377" t="e">
        <f>IF(VLOOKUP(C197,RESUMENGEN!$B$20:$J$219,4,FALSE)="HÁBIL",VLOOKUP(C197,RESUMENGEN!$B$20:$J$219,9,FALSE)-D197,-D197)</f>
        <v>#N/A</v>
      </c>
      <c r="F197" s="373" t="e">
        <f t="shared" si="12"/>
        <v>#N/A</v>
      </c>
      <c r="G197" s="531" t="e">
        <f ca="1">VLOOKUP(I197,RESUMENGEN!$B$20:$J$219,3,FALSE)</f>
        <v>#N/A</v>
      </c>
      <c r="H197" s="377" t="e">
        <f ca="1">VLOOKUP(I197,RESUMENGEN!$B$20:$J$219,9,FALSE)</f>
        <v>#N/A</v>
      </c>
      <c r="I197" s="374" t="e">
        <f t="shared" ca="1" si="13"/>
        <v>#N/A</v>
      </c>
      <c r="J197" s="375" t="e">
        <f ca="1">IF(AND(VLOOKUP(I197,RESUMENGEN!$B$20:$J$219,4,0)="HÁBIL"),"ELEGIBLE","NO ELEGIBLE")</f>
        <v>#N/A</v>
      </c>
    </row>
    <row r="198" spans="2:10" hidden="1">
      <c r="B198" s="371">
        <v>180</v>
      </c>
      <c r="C198" s="376">
        <f>IF(VLOOKUP(B198,RESUMENGEN!$C$20:$M$219,10,FALSE)="","",VLOOKUP(B198,RESUMENGEN!$C$20:$M$219,10,FALSE))</f>
        <v>0</v>
      </c>
      <c r="D198" s="372">
        <f t="shared" si="11"/>
        <v>1.8899999999999984E-8</v>
      </c>
      <c r="E198" s="377" t="e">
        <f>IF(VLOOKUP(C198,RESUMENGEN!$B$20:$J$219,4,FALSE)="HÁBIL",VLOOKUP(C198,RESUMENGEN!$B$20:$J$219,9,FALSE)-D198,-D198)</f>
        <v>#N/A</v>
      </c>
      <c r="F198" s="373" t="e">
        <f t="shared" si="12"/>
        <v>#N/A</v>
      </c>
      <c r="G198" s="531" t="e">
        <f ca="1">VLOOKUP(I198,RESUMENGEN!$B$20:$J$219,3,FALSE)</f>
        <v>#N/A</v>
      </c>
      <c r="H198" s="377" t="e">
        <f ca="1">VLOOKUP(I198,RESUMENGEN!$B$20:$J$219,9,FALSE)</f>
        <v>#N/A</v>
      </c>
      <c r="I198" s="374" t="e">
        <f t="shared" ca="1" si="13"/>
        <v>#N/A</v>
      </c>
      <c r="J198" s="375" t="e">
        <f ca="1">IF(AND(VLOOKUP(I198,RESUMENGEN!$B$20:$J$219,4,0)="HÁBIL"),"ELEGIBLE","NO ELEGIBLE")</f>
        <v>#N/A</v>
      </c>
    </row>
    <row r="199" spans="2:10" hidden="1">
      <c r="B199" s="371">
        <v>181</v>
      </c>
      <c r="C199" s="376">
        <f>IF(VLOOKUP(B199,RESUMENGEN!$C$20:$M$219,10,FALSE)="","",VLOOKUP(B199,RESUMENGEN!$C$20:$M$219,10,FALSE))</f>
        <v>0</v>
      </c>
      <c r="D199" s="372">
        <f t="shared" si="11"/>
        <v>1.8999999999999985E-8</v>
      </c>
      <c r="E199" s="377" t="e">
        <f>IF(VLOOKUP(C199,RESUMENGEN!$B$20:$J$219,4,FALSE)="HÁBIL",VLOOKUP(C199,RESUMENGEN!$B$20:$J$219,9,FALSE)-D199,-D199)</f>
        <v>#N/A</v>
      </c>
      <c r="F199" s="373" t="e">
        <f t="shared" si="12"/>
        <v>#N/A</v>
      </c>
      <c r="G199" s="531" t="e">
        <f ca="1">VLOOKUP(I199,RESUMENGEN!$B$20:$J$219,3,FALSE)</f>
        <v>#N/A</v>
      </c>
      <c r="H199" s="377" t="e">
        <f ca="1">VLOOKUP(I199,RESUMENGEN!$B$20:$J$219,9,FALSE)</f>
        <v>#N/A</v>
      </c>
      <c r="I199" s="374" t="e">
        <f t="shared" ca="1" si="13"/>
        <v>#N/A</v>
      </c>
      <c r="J199" s="375" t="e">
        <f ca="1">IF(AND(VLOOKUP(I199,RESUMENGEN!$B$20:$J$219,4,0)="HÁBIL"),"ELEGIBLE","NO ELEGIBLE")</f>
        <v>#N/A</v>
      </c>
    </row>
    <row r="200" spans="2:10" hidden="1">
      <c r="B200" s="371">
        <v>182</v>
      </c>
      <c r="C200" s="376">
        <f>IF(VLOOKUP(B200,RESUMENGEN!$C$20:$M$219,10,FALSE)="","",VLOOKUP(B200,RESUMENGEN!$C$20:$M$219,10,FALSE))</f>
        <v>0</v>
      </c>
      <c r="D200" s="372">
        <f t="shared" si="11"/>
        <v>1.9099999999999986E-8</v>
      </c>
      <c r="E200" s="377" t="e">
        <f>IF(VLOOKUP(C200,RESUMENGEN!$B$20:$J$219,4,FALSE)="HÁBIL",VLOOKUP(C200,RESUMENGEN!$B$20:$J$219,9,FALSE)-D200,-D200)</f>
        <v>#N/A</v>
      </c>
      <c r="F200" s="373" t="e">
        <f t="shared" si="12"/>
        <v>#N/A</v>
      </c>
      <c r="G200" s="531" t="e">
        <f ca="1">VLOOKUP(I200,RESUMENGEN!$B$20:$J$219,3,FALSE)</f>
        <v>#N/A</v>
      </c>
      <c r="H200" s="377" t="e">
        <f ca="1">VLOOKUP(I200,RESUMENGEN!$B$20:$J$219,9,FALSE)</f>
        <v>#N/A</v>
      </c>
      <c r="I200" s="374" t="e">
        <f t="shared" ca="1" si="13"/>
        <v>#N/A</v>
      </c>
      <c r="J200" s="375" t="e">
        <f ca="1">IF(AND(VLOOKUP(I200,RESUMENGEN!$B$20:$J$219,4,0)="HÁBIL"),"ELEGIBLE","NO ELEGIBLE")</f>
        <v>#N/A</v>
      </c>
    </row>
    <row r="201" spans="2:10" hidden="1">
      <c r="B201" s="371">
        <v>183</v>
      </c>
      <c r="C201" s="376">
        <f>IF(VLOOKUP(B201,RESUMENGEN!$C$20:$M$219,10,FALSE)="","",VLOOKUP(B201,RESUMENGEN!$C$20:$M$219,10,FALSE))</f>
        <v>0</v>
      </c>
      <c r="D201" s="372">
        <f t="shared" si="11"/>
        <v>1.9199999999999987E-8</v>
      </c>
      <c r="E201" s="377" t="e">
        <f>IF(VLOOKUP(C201,RESUMENGEN!$B$20:$J$219,4,FALSE)="HÁBIL",VLOOKUP(C201,RESUMENGEN!$B$20:$J$219,9,FALSE)-D201,-D201)</f>
        <v>#N/A</v>
      </c>
      <c r="F201" s="373" t="e">
        <f t="shared" si="12"/>
        <v>#N/A</v>
      </c>
      <c r="G201" s="531" t="e">
        <f ca="1">VLOOKUP(I201,RESUMENGEN!$B$20:$J$219,3,FALSE)</f>
        <v>#N/A</v>
      </c>
      <c r="H201" s="377" t="e">
        <f ca="1">VLOOKUP(I201,RESUMENGEN!$B$20:$J$219,9,FALSE)</f>
        <v>#N/A</v>
      </c>
      <c r="I201" s="374" t="e">
        <f t="shared" ca="1" si="13"/>
        <v>#N/A</v>
      </c>
      <c r="J201" s="375" t="e">
        <f ca="1">IF(AND(VLOOKUP(I201,RESUMENGEN!$B$20:$J$219,4,0)="HÁBIL"),"ELEGIBLE","NO ELEGIBLE")</f>
        <v>#N/A</v>
      </c>
    </row>
    <row r="202" spans="2:10" hidden="1">
      <c r="B202" s="371">
        <v>184</v>
      </c>
      <c r="C202" s="376">
        <f>IF(VLOOKUP(B202,RESUMENGEN!$C$20:$M$219,10,FALSE)="","",VLOOKUP(B202,RESUMENGEN!$C$20:$M$219,10,FALSE))</f>
        <v>0</v>
      </c>
      <c r="D202" s="372">
        <f t="shared" si="11"/>
        <v>1.9299999999999988E-8</v>
      </c>
      <c r="E202" s="377" t="e">
        <f>IF(VLOOKUP(C202,RESUMENGEN!$B$20:$J$219,4,FALSE)="HÁBIL",VLOOKUP(C202,RESUMENGEN!$B$20:$J$219,9,FALSE)-D202,-D202)</f>
        <v>#N/A</v>
      </c>
      <c r="F202" s="373" t="e">
        <f t="shared" si="12"/>
        <v>#N/A</v>
      </c>
      <c r="G202" s="531" t="e">
        <f ca="1">VLOOKUP(I202,RESUMENGEN!$B$20:$J$219,3,FALSE)</f>
        <v>#N/A</v>
      </c>
      <c r="H202" s="377" t="e">
        <f ca="1">VLOOKUP(I202,RESUMENGEN!$B$20:$J$219,9,FALSE)</f>
        <v>#N/A</v>
      </c>
      <c r="I202" s="374" t="e">
        <f t="shared" ca="1" si="13"/>
        <v>#N/A</v>
      </c>
      <c r="J202" s="375" t="e">
        <f ca="1">IF(AND(VLOOKUP(I202,RESUMENGEN!$B$20:$J$219,4,0)="HÁBIL"),"ELEGIBLE","NO ELEGIBLE")</f>
        <v>#N/A</v>
      </c>
    </row>
    <row r="203" spans="2:10" hidden="1">
      <c r="B203" s="371">
        <v>185</v>
      </c>
      <c r="C203" s="376">
        <f>IF(VLOOKUP(B203,RESUMENGEN!$C$20:$M$219,10,FALSE)="","",VLOOKUP(B203,RESUMENGEN!$C$20:$M$219,10,FALSE))</f>
        <v>0</v>
      </c>
      <c r="D203" s="372">
        <f t="shared" si="11"/>
        <v>1.9399999999999988E-8</v>
      </c>
      <c r="E203" s="377" t="e">
        <f>IF(VLOOKUP(C203,RESUMENGEN!$B$20:$J$219,4,FALSE)="HÁBIL",VLOOKUP(C203,RESUMENGEN!$B$20:$J$219,9,FALSE)-D203,-D203)</f>
        <v>#N/A</v>
      </c>
      <c r="F203" s="373" t="e">
        <f t="shared" si="12"/>
        <v>#N/A</v>
      </c>
      <c r="G203" s="531" t="e">
        <f ca="1">VLOOKUP(I203,RESUMENGEN!$B$20:$J$219,3,FALSE)</f>
        <v>#N/A</v>
      </c>
      <c r="H203" s="377" t="e">
        <f ca="1">VLOOKUP(I203,RESUMENGEN!$B$20:$J$219,9,FALSE)</f>
        <v>#N/A</v>
      </c>
      <c r="I203" s="374" t="e">
        <f t="shared" ca="1" si="13"/>
        <v>#N/A</v>
      </c>
      <c r="J203" s="375" t="e">
        <f ca="1">IF(AND(VLOOKUP(I203,RESUMENGEN!$B$20:$J$219,4,0)="HÁBIL"),"ELEGIBLE","NO ELEGIBLE")</f>
        <v>#N/A</v>
      </c>
    </row>
    <row r="204" spans="2:10" hidden="1">
      <c r="B204" s="371">
        <v>186</v>
      </c>
      <c r="C204" s="376">
        <f>IF(VLOOKUP(B204,RESUMENGEN!$C$20:$M$219,10,FALSE)="","",VLOOKUP(B204,RESUMENGEN!$C$20:$M$219,10,FALSE))</f>
        <v>0</v>
      </c>
      <c r="D204" s="372">
        <f t="shared" si="11"/>
        <v>1.9499999999999989E-8</v>
      </c>
      <c r="E204" s="377" t="e">
        <f>IF(VLOOKUP(C204,RESUMENGEN!$B$20:$J$219,4,FALSE)="HÁBIL",VLOOKUP(C204,RESUMENGEN!$B$20:$J$219,9,FALSE)-D204,-D204)</f>
        <v>#N/A</v>
      </c>
      <c r="F204" s="373" t="e">
        <f t="shared" si="12"/>
        <v>#N/A</v>
      </c>
      <c r="G204" s="531" t="e">
        <f ca="1">VLOOKUP(I204,RESUMENGEN!$B$20:$J$219,3,FALSE)</f>
        <v>#N/A</v>
      </c>
      <c r="H204" s="377" t="e">
        <f ca="1">VLOOKUP(I204,RESUMENGEN!$B$20:$J$219,9,FALSE)</f>
        <v>#N/A</v>
      </c>
      <c r="I204" s="374" t="e">
        <f t="shared" ca="1" si="13"/>
        <v>#N/A</v>
      </c>
      <c r="J204" s="375" t="e">
        <f ca="1">IF(AND(VLOOKUP(I204,RESUMENGEN!$B$20:$J$219,4,0)="HÁBIL"),"ELEGIBLE","NO ELEGIBLE")</f>
        <v>#N/A</v>
      </c>
    </row>
    <row r="205" spans="2:10" hidden="1">
      <c r="B205" s="371">
        <v>187</v>
      </c>
      <c r="C205" s="376">
        <f>IF(VLOOKUP(B205,RESUMENGEN!$C$20:$M$219,10,FALSE)="","",VLOOKUP(B205,RESUMENGEN!$C$20:$M$219,10,FALSE))</f>
        <v>0</v>
      </c>
      <c r="D205" s="372">
        <f t="shared" si="11"/>
        <v>1.959999999999999E-8</v>
      </c>
      <c r="E205" s="377" t="e">
        <f>IF(VLOOKUP(C205,RESUMENGEN!$B$20:$J$219,4,FALSE)="HÁBIL",VLOOKUP(C205,RESUMENGEN!$B$20:$J$219,9,FALSE)-D205,-D205)</f>
        <v>#N/A</v>
      </c>
      <c r="F205" s="373" t="e">
        <f t="shared" si="12"/>
        <v>#N/A</v>
      </c>
      <c r="G205" s="531" t="e">
        <f ca="1">VLOOKUP(I205,RESUMENGEN!$B$20:$J$219,3,FALSE)</f>
        <v>#N/A</v>
      </c>
      <c r="H205" s="377" t="e">
        <f ca="1">VLOOKUP(I205,RESUMENGEN!$B$20:$J$219,9,FALSE)</f>
        <v>#N/A</v>
      </c>
      <c r="I205" s="374" t="e">
        <f t="shared" ca="1" si="13"/>
        <v>#N/A</v>
      </c>
      <c r="J205" s="375" t="e">
        <f ca="1">IF(AND(VLOOKUP(I205,RESUMENGEN!$B$20:$J$219,4,0)="HÁBIL"),"ELEGIBLE","NO ELEGIBLE")</f>
        <v>#N/A</v>
      </c>
    </row>
    <row r="206" spans="2:10" hidden="1">
      <c r="B206" s="371">
        <v>188</v>
      </c>
      <c r="C206" s="376">
        <f>IF(VLOOKUP(B206,RESUMENGEN!$C$20:$M$219,10,FALSE)="","",VLOOKUP(B206,RESUMENGEN!$C$20:$M$219,10,FALSE))</f>
        <v>0</v>
      </c>
      <c r="D206" s="372">
        <f t="shared" si="11"/>
        <v>1.9699999999999991E-8</v>
      </c>
      <c r="E206" s="377" t="e">
        <f>IF(VLOOKUP(C206,RESUMENGEN!$B$20:$J$219,4,FALSE)="HÁBIL",VLOOKUP(C206,RESUMENGEN!$B$20:$J$219,9,FALSE)-D206,-D206)</f>
        <v>#N/A</v>
      </c>
      <c r="F206" s="373" t="e">
        <f t="shared" si="12"/>
        <v>#N/A</v>
      </c>
      <c r="G206" s="531" t="e">
        <f ca="1">VLOOKUP(I206,RESUMENGEN!$B$20:$J$219,3,FALSE)</f>
        <v>#N/A</v>
      </c>
      <c r="H206" s="377" t="e">
        <f ca="1">VLOOKUP(I206,RESUMENGEN!$B$20:$J$219,9,FALSE)</f>
        <v>#N/A</v>
      </c>
      <c r="I206" s="374" t="e">
        <f t="shared" ca="1" si="13"/>
        <v>#N/A</v>
      </c>
      <c r="J206" s="375" t="e">
        <f ca="1">IF(AND(VLOOKUP(I206,RESUMENGEN!$B$20:$J$219,4,0)="HÁBIL"),"ELEGIBLE","NO ELEGIBLE")</f>
        <v>#N/A</v>
      </c>
    </row>
    <row r="207" spans="2:10" hidden="1">
      <c r="B207" s="371">
        <v>189</v>
      </c>
      <c r="C207" s="376">
        <f>IF(VLOOKUP(B207,RESUMENGEN!$C$20:$M$219,10,FALSE)="","",VLOOKUP(B207,RESUMENGEN!$C$20:$M$219,10,FALSE))</f>
        <v>0</v>
      </c>
      <c r="D207" s="372">
        <f t="shared" si="11"/>
        <v>1.9799999999999992E-8</v>
      </c>
      <c r="E207" s="377" t="e">
        <f>IF(VLOOKUP(C207,RESUMENGEN!$B$20:$J$219,4,FALSE)="HÁBIL",VLOOKUP(C207,RESUMENGEN!$B$20:$J$219,9,FALSE)-D207,-D207)</f>
        <v>#N/A</v>
      </c>
      <c r="F207" s="373" t="e">
        <f t="shared" si="12"/>
        <v>#N/A</v>
      </c>
      <c r="G207" s="531" t="e">
        <f ca="1">VLOOKUP(I207,RESUMENGEN!$B$20:$J$219,3,FALSE)</f>
        <v>#N/A</v>
      </c>
      <c r="H207" s="377" t="e">
        <f ca="1">VLOOKUP(I207,RESUMENGEN!$B$20:$J$219,9,FALSE)</f>
        <v>#N/A</v>
      </c>
      <c r="I207" s="374" t="e">
        <f t="shared" ca="1" si="13"/>
        <v>#N/A</v>
      </c>
      <c r="J207" s="375" t="e">
        <f ca="1">IF(AND(VLOOKUP(I207,RESUMENGEN!$B$20:$J$219,4,0)="HÁBIL"),"ELEGIBLE","NO ELEGIBLE")</f>
        <v>#N/A</v>
      </c>
    </row>
    <row r="208" spans="2:10" hidden="1">
      <c r="B208" s="371">
        <v>190</v>
      </c>
      <c r="C208" s="376">
        <f>IF(VLOOKUP(B208,RESUMENGEN!$C$20:$M$219,10,FALSE)="","",VLOOKUP(B208,RESUMENGEN!$C$20:$M$219,10,FALSE))</f>
        <v>0</v>
      </c>
      <c r="D208" s="372">
        <f t="shared" si="11"/>
        <v>1.9899999999999993E-8</v>
      </c>
      <c r="E208" s="377" t="e">
        <f>IF(VLOOKUP(C208,RESUMENGEN!$B$20:$J$219,4,FALSE)="HÁBIL",VLOOKUP(C208,RESUMENGEN!$B$20:$J$219,9,FALSE)-D208,-D208)</f>
        <v>#N/A</v>
      </c>
      <c r="F208" s="373" t="e">
        <f t="shared" si="12"/>
        <v>#N/A</v>
      </c>
      <c r="G208" s="531" t="e">
        <f ca="1">VLOOKUP(I208,RESUMENGEN!$B$20:$J$219,3,FALSE)</f>
        <v>#N/A</v>
      </c>
      <c r="H208" s="377" t="e">
        <f ca="1">VLOOKUP(I208,RESUMENGEN!$B$20:$J$219,9,FALSE)</f>
        <v>#N/A</v>
      </c>
      <c r="I208" s="374" t="e">
        <f t="shared" ca="1" si="13"/>
        <v>#N/A</v>
      </c>
      <c r="J208" s="375" t="e">
        <f ca="1">IF(AND(VLOOKUP(I208,RESUMENGEN!$B$20:$J$219,4,0)="HÁBIL"),"ELEGIBLE","NO ELEGIBLE")</f>
        <v>#N/A</v>
      </c>
    </row>
    <row r="209" spans="2:11" hidden="1">
      <c r="B209" s="371">
        <v>191</v>
      </c>
      <c r="C209" s="376">
        <f>IF(VLOOKUP(B209,RESUMENGEN!$C$20:$M$219,10,FALSE)="","",VLOOKUP(B209,RESUMENGEN!$C$20:$M$219,10,FALSE))</f>
        <v>0</v>
      </c>
      <c r="D209" s="372">
        <f t="shared" si="11"/>
        <v>1.9999999999999994E-8</v>
      </c>
      <c r="E209" s="377" t="e">
        <f>IF(VLOOKUP(C209,RESUMENGEN!$B$20:$J$219,4,FALSE)="HÁBIL",VLOOKUP(C209,RESUMENGEN!$B$20:$J$219,9,FALSE)-D209,-D209)</f>
        <v>#N/A</v>
      </c>
      <c r="F209" s="373" t="e">
        <f t="shared" si="12"/>
        <v>#N/A</v>
      </c>
      <c r="G209" s="531" t="e">
        <f ca="1">VLOOKUP(I209,RESUMENGEN!$B$20:$J$219,3,FALSE)</f>
        <v>#N/A</v>
      </c>
      <c r="H209" s="377" t="e">
        <f ca="1">VLOOKUP(I209,RESUMENGEN!$B$20:$J$219,9,FALSE)</f>
        <v>#N/A</v>
      </c>
      <c r="I209" s="374" t="e">
        <f t="shared" ca="1" si="13"/>
        <v>#N/A</v>
      </c>
      <c r="J209" s="375" t="e">
        <f ca="1">IF(AND(VLOOKUP(I209,RESUMENGEN!$B$20:$J$219,4,0)="HÁBIL"),"ELEGIBLE","NO ELEGIBLE")</f>
        <v>#N/A</v>
      </c>
    </row>
    <row r="210" spans="2:11" hidden="1">
      <c r="B210" s="371">
        <v>192</v>
      </c>
      <c r="C210" s="376">
        <f>IF(VLOOKUP(B210,RESUMENGEN!$C$20:$M$219,10,FALSE)="","",VLOOKUP(B210,RESUMENGEN!$C$20:$M$219,10,FALSE))</f>
        <v>0</v>
      </c>
      <c r="D210" s="372">
        <f t="shared" si="11"/>
        <v>2.0099999999999995E-8</v>
      </c>
      <c r="E210" s="377" t="e">
        <f>IF(VLOOKUP(C210,RESUMENGEN!$B$20:$J$219,4,FALSE)="HÁBIL",VLOOKUP(C210,RESUMENGEN!$B$20:$J$219,9,FALSE)-D210,-D210)</f>
        <v>#N/A</v>
      </c>
      <c r="F210" s="373" t="e">
        <f t="shared" si="12"/>
        <v>#N/A</v>
      </c>
      <c r="G210" s="531" t="e">
        <f ca="1">VLOOKUP(I210,RESUMENGEN!$B$20:$J$219,3,FALSE)</f>
        <v>#N/A</v>
      </c>
      <c r="H210" s="377" t="e">
        <f ca="1">VLOOKUP(I210,RESUMENGEN!$B$20:$J$219,9,FALSE)</f>
        <v>#N/A</v>
      </c>
      <c r="I210" s="374" t="e">
        <f t="shared" ca="1" si="13"/>
        <v>#N/A</v>
      </c>
      <c r="J210" s="375" t="e">
        <f ca="1">IF(AND(VLOOKUP(I210,RESUMENGEN!$B$20:$J$219,4,0)="HÁBIL"),"ELEGIBLE","NO ELEGIBLE")</f>
        <v>#N/A</v>
      </c>
    </row>
    <row r="211" spans="2:11" hidden="1">
      <c r="B211" s="371">
        <v>193</v>
      </c>
      <c r="C211" s="376">
        <f>IF(VLOOKUP(B211,RESUMENGEN!$C$20:$M$219,10,FALSE)="","",VLOOKUP(B211,RESUMENGEN!$C$20:$M$219,10,FALSE))</f>
        <v>0</v>
      </c>
      <c r="D211" s="372">
        <f t="shared" si="11"/>
        <v>2.0199999999999996E-8</v>
      </c>
      <c r="E211" s="377" t="e">
        <f>IF(VLOOKUP(C211,RESUMENGEN!$B$20:$J$219,4,FALSE)="HÁBIL",VLOOKUP(C211,RESUMENGEN!$B$20:$J$219,9,FALSE)-D211,-D211)</f>
        <v>#N/A</v>
      </c>
      <c r="F211" s="373" t="e">
        <f t="shared" si="12"/>
        <v>#N/A</v>
      </c>
      <c r="G211" s="531" t="e">
        <f ca="1">VLOOKUP(I211,RESUMENGEN!$B$20:$J$219,3,FALSE)</f>
        <v>#N/A</v>
      </c>
      <c r="H211" s="377" t="e">
        <f ca="1">VLOOKUP(I211,RESUMENGEN!$B$20:$J$219,9,FALSE)</f>
        <v>#N/A</v>
      </c>
      <c r="I211" s="374" t="e">
        <f t="shared" ca="1" si="13"/>
        <v>#N/A</v>
      </c>
      <c r="J211" s="375" t="e">
        <f ca="1">IF(AND(VLOOKUP(I211,RESUMENGEN!$B$20:$J$219,4,0)="HÁBIL"),"ELEGIBLE","NO ELEGIBLE")</f>
        <v>#N/A</v>
      </c>
    </row>
    <row r="212" spans="2:11" hidden="1">
      <c r="B212" s="371">
        <v>194</v>
      </c>
      <c r="C212" s="376">
        <f>IF(VLOOKUP(B212,RESUMENGEN!$C$20:$M$219,10,FALSE)="","",VLOOKUP(B212,RESUMENGEN!$C$20:$M$219,10,FALSE))</f>
        <v>0</v>
      </c>
      <c r="D212" s="372">
        <f t="shared" si="11"/>
        <v>2.0299999999999996E-8</v>
      </c>
      <c r="E212" s="377" t="e">
        <f>IF(VLOOKUP(C212,RESUMENGEN!$B$20:$J$219,4,FALSE)="HÁBIL",VLOOKUP(C212,RESUMENGEN!$B$20:$J$219,9,FALSE)-D212,-D212)</f>
        <v>#N/A</v>
      </c>
      <c r="F212" s="373" t="e">
        <f t="shared" si="12"/>
        <v>#N/A</v>
      </c>
      <c r="G212" s="531" t="e">
        <f ca="1">VLOOKUP(I212,RESUMENGEN!$B$20:$J$219,3,FALSE)</f>
        <v>#N/A</v>
      </c>
      <c r="H212" s="377" t="e">
        <f ca="1">VLOOKUP(I212,RESUMENGEN!$B$20:$J$219,9,FALSE)</f>
        <v>#N/A</v>
      </c>
      <c r="I212" s="374" t="e">
        <f t="shared" ca="1" si="13"/>
        <v>#N/A</v>
      </c>
      <c r="J212" s="375" t="e">
        <f ca="1">IF(AND(VLOOKUP(I212,RESUMENGEN!$B$20:$J$219,4,0)="HÁBIL"),"ELEGIBLE","NO ELEGIBLE")</f>
        <v>#N/A</v>
      </c>
    </row>
    <row r="213" spans="2:11" hidden="1">
      <c r="B213" s="371">
        <v>195</v>
      </c>
      <c r="C213" s="376">
        <f>IF(VLOOKUP(B213,RESUMENGEN!$C$20:$M$219,10,FALSE)="","",VLOOKUP(B213,RESUMENGEN!$C$20:$M$219,10,FALSE))</f>
        <v>0</v>
      </c>
      <c r="D213" s="372">
        <f t="shared" si="11"/>
        <v>2.0399999999999997E-8</v>
      </c>
      <c r="E213" s="377" t="e">
        <f>IF(VLOOKUP(C213,RESUMENGEN!$B$20:$J$219,4,FALSE)="HÁBIL",VLOOKUP(C213,RESUMENGEN!$B$20:$J$219,9,FALSE)-D213,-D213)</f>
        <v>#N/A</v>
      </c>
      <c r="F213" s="373" t="e">
        <f t="shared" si="12"/>
        <v>#N/A</v>
      </c>
      <c r="G213" s="531" t="e">
        <f ca="1">VLOOKUP(I213,RESUMENGEN!$B$20:$J$219,3,FALSE)</f>
        <v>#N/A</v>
      </c>
      <c r="H213" s="377" t="e">
        <f ca="1">VLOOKUP(I213,RESUMENGEN!$B$20:$J$219,9,FALSE)</f>
        <v>#N/A</v>
      </c>
      <c r="I213" s="374" t="e">
        <f t="shared" ca="1" si="13"/>
        <v>#N/A</v>
      </c>
      <c r="J213" s="375" t="e">
        <f ca="1">IF(AND(VLOOKUP(I213,RESUMENGEN!$B$20:$J$219,4,0)="HÁBIL"),"ELEGIBLE","NO ELEGIBLE")</f>
        <v>#N/A</v>
      </c>
    </row>
    <row r="214" spans="2:11" hidden="1">
      <c r="B214" s="371">
        <v>196</v>
      </c>
      <c r="C214" s="376">
        <f>IF(VLOOKUP(B214,RESUMENGEN!$C$20:$M$219,10,FALSE)="","",VLOOKUP(B214,RESUMENGEN!$C$20:$M$219,10,FALSE))</f>
        <v>0</v>
      </c>
      <c r="D214" s="372">
        <f>D213+0.0000000001</f>
        <v>2.0499999999999998E-8</v>
      </c>
      <c r="E214" s="377" t="e">
        <f>IF(VLOOKUP(C214,RESUMENGEN!$B$20:$J$219,4,FALSE)="HÁBIL",VLOOKUP(C214,RESUMENGEN!$B$20:$J$219,9,FALSE)-D214,-D214)</f>
        <v>#N/A</v>
      </c>
      <c r="F214" s="373" t="e">
        <f t="shared" si="12"/>
        <v>#N/A</v>
      </c>
      <c r="G214" s="531" t="e">
        <f ca="1">VLOOKUP(I214,RESUMENGEN!$B$20:$J$219,3,FALSE)</f>
        <v>#N/A</v>
      </c>
      <c r="H214" s="377" t="e">
        <f ca="1">VLOOKUP(I214,RESUMENGEN!$B$20:$J$219,9,FALSE)</f>
        <v>#N/A</v>
      </c>
      <c r="I214" s="374" t="e">
        <f t="shared" ca="1" si="13"/>
        <v>#N/A</v>
      </c>
      <c r="J214" s="375" t="e">
        <f ca="1">IF(AND(VLOOKUP(I214,RESUMENGEN!$B$20:$J$219,4,0)="HÁBIL"),"ELEGIBLE","NO ELEGIBLE")</f>
        <v>#N/A</v>
      </c>
    </row>
    <row r="215" spans="2:11" hidden="1">
      <c r="B215" s="371">
        <v>197</v>
      </c>
      <c r="C215" s="376">
        <f>IF(VLOOKUP(B215,RESUMENGEN!$C$20:$M$219,10,FALSE)="","",VLOOKUP(B215,RESUMENGEN!$C$20:$M$219,10,FALSE))</f>
        <v>0</v>
      </c>
      <c r="D215" s="372">
        <f>D214+0.0000000001</f>
        <v>2.0599999999999999E-8</v>
      </c>
      <c r="E215" s="377" t="e">
        <f>IF(VLOOKUP(C215,RESUMENGEN!$B$20:$J$219,4,FALSE)="HÁBIL",VLOOKUP(C215,RESUMENGEN!$B$20:$J$219,9,FALSE)-D215,-D215)</f>
        <v>#N/A</v>
      </c>
      <c r="F215" s="373" t="e">
        <f t="shared" si="12"/>
        <v>#N/A</v>
      </c>
      <c r="G215" s="531" t="e">
        <f ca="1">VLOOKUP(I215,RESUMENGEN!$B$20:$J$219,3,FALSE)</f>
        <v>#N/A</v>
      </c>
      <c r="H215" s="377" t="e">
        <f ca="1">VLOOKUP(I215,RESUMENGEN!$B$20:$J$219,9,FALSE)</f>
        <v>#N/A</v>
      </c>
      <c r="I215" s="374" t="e">
        <f t="shared" ca="1" si="13"/>
        <v>#N/A</v>
      </c>
      <c r="J215" s="375" t="e">
        <f ca="1">IF(AND(VLOOKUP(I215,RESUMENGEN!$B$20:$J$219,4,0)="HÁBIL"),"ELEGIBLE","NO ELEGIBLE")</f>
        <v>#N/A</v>
      </c>
    </row>
    <row r="216" spans="2:11" hidden="1">
      <c r="B216" s="371">
        <v>198</v>
      </c>
      <c r="C216" s="376">
        <f>IF(VLOOKUP(B216,RESUMENGEN!$C$20:$M$219,10,FALSE)="","",VLOOKUP(B216,RESUMENGEN!$C$20:$M$219,10,FALSE))</f>
        <v>0</v>
      </c>
      <c r="D216" s="372">
        <f>D215+0.0000000001</f>
        <v>2.07E-8</v>
      </c>
      <c r="E216" s="377" t="e">
        <f>IF(VLOOKUP(C216,RESUMENGEN!$B$20:$J$219,4,FALSE)="HÁBIL",VLOOKUP(C216,RESUMENGEN!$B$20:$J$219,9,FALSE)-D216,-D216)</f>
        <v>#N/A</v>
      </c>
      <c r="F216" s="373" t="e">
        <f t="shared" si="12"/>
        <v>#N/A</v>
      </c>
      <c r="G216" s="531" t="e">
        <f ca="1">VLOOKUP(I216,RESUMENGEN!$B$20:$J$219,3,FALSE)</f>
        <v>#N/A</v>
      </c>
      <c r="H216" s="377" t="e">
        <f ca="1">VLOOKUP(I216,RESUMENGEN!$B$20:$J$219,9,FALSE)</f>
        <v>#N/A</v>
      </c>
      <c r="I216" s="374" t="e">
        <f t="shared" ca="1" si="13"/>
        <v>#N/A</v>
      </c>
      <c r="J216" s="375" t="e">
        <f ca="1">IF(AND(VLOOKUP(I216,RESUMENGEN!$B$20:$J$219,4,0)="HÁBIL"),"ELEGIBLE","NO ELEGIBLE")</f>
        <v>#N/A</v>
      </c>
    </row>
    <row r="217" spans="2:11" hidden="1">
      <c r="B217" s="371">
        <v>199</v>
      </c>
      <c r="C217" s="376">
        <f>IF(VLOOKUP(B217,RESUMENGEN!$C$20:$M$219,10,FALSE)="","",VLOOKUP(B217,RESUMENGEN!$C$20:$M$219,10,FALSE))</f>
        <v>0</v>
      </c>
      <c r="D217" s="372">
        <f>D216+0.0000000001</f>
        <v>2.0800000000000001E-8</v>
      </c>
      <c r="E217" s="377" t="e">
        <f>IF(VLOOKUP(C217,RESUMENGEN!$B$20:$J$219,4,FALSE)="HÁBIL",VLOOKUP(C217,RESUMENGEN!$B$20:$J$219,9,FALSE)-D217,-D217)</f>
        <v>#N/A</v>
      </c>
      <c r="F217" s="373" t="e">
        <f t="shared" si="12"/>
        <v>#N/A</v>
      </c>
      <c r="G217" s="531" t="e">
        <f ca="1">VLOOKUP(I217,RESUMENGEN!$B$20:$J$219,3,FALSE)</f>
        <v>#N/A</v>
      </c>
      <c r="H217" s="377" t="e">
        <f ca="1">VLOOKUP(I217,RESUMENGEN!$B$20:$J$219,9,FALSE)</f>
        <v>#N/A</v>
      </c>
      <c r="I217" s="374" t="e">
        <f ca="1">IF(C217="","",OFFSET($C$18,MATCH(B217,$F$19:$F$218,0),0))</f>
        <v>#N/A</v>
      </c>
      <c r="J217" s="375" t="e">
        <f ca="1">IF(AND(VLOOKUP(I217,RESUMENGEN!$B$20:$J$219,4,0)="HÁBIL"),"ELEGIBLE","NO ELEGIBLE")</f>
        <v>#N/A</v>
      </c>
    </row>
    <row r="218" spans="2:11" hidden="1">
      <c r="B218" s="371">
        <v>200</v>
      </c>
      <c r="C218" s="376">
        <f>IF(VLOOKUP(B218,RESUMENGEN!$C$20:$M$219,10,FALSE)="","",VLOOKUP(B218,RESUMENGEN!$C$20:$M$219,10,FALSE))</f>
        <v>0</v>
      </c>
      <c r="D218" s="372">
        <f>D217+0.0000000001</f>
        <v>2.0900000000000002E-8</v>
      </c>
      <c r="E218" s="377" t="e">
        <f>IF(VLOOKUP(C218,RESUMENGEN!$B$20:$J$219,4,FALSE)="HÁBIL",VLOOKUP(C218,RESUMENGEN!$B$20:$J$219,9,FALSE)-D218,-D218)</f>
        <v>#N/A</v>
      </c>
      <c r="F218" s="373" t="e">
        <f t="shared" si="12"/>
        <v>#N/A</v>
      </c>
      <c r="G218" s="531" t="e">
        <f ca="1">VLOOKUP(I218,RESUMENGEN!$B$20:$J$219,3,FALSE)</f>
        <v>#N/A</v>
      </c>
      <c r="H218" s="377" t="e">
        <f ca="1">VLOOKUP(I218,RESUMENGEN!$B$20:$J$219,9,FALSE)</f>
        <v>#N/A</v>
      </c>
      <c r="I218" s="374" t="e">
        <f t="shared" ca="1" si="13"/>
        <v>#N/A</v>
      </c>
      <c r="J218" s="375" t="e">
        <f ca="1">IF(AND(VLOOKUP(I218,RESUMENGEN!$B$20:$J$219,4,0)="HÁBIL"),"ELEGIBLE","NO ELEGIBLE")</f>
        <v>#N/A</v>
      </c>
    </row>
    <row r="219" spans="2:11" ht="4.5" customHeight="1" thickBot="1">
      <c r="B219" s="302"/>
      <c r="C219" s="376"/>
      <c r="D219" s="303"/>
      <c r="E219" s="303"/>
      <c r="F219" s="303"/>
      <c r="G219" s="303"/>
      <c r="H219" s="303"/>
      <c r="I219" s="303"/>
      <c r="J219" s="303"/>
      <c r="K219" s="379"/>
    </row>
    <row r="220" spans="2:11" ht="15.75" thickTop="1">
      <c r="K220" s="378"/>
    </row>
  </sheetData>
  <mergeCells count="17">
    <mergeCell ref="J16:J17"/>
    <mergeCell ref="C16:C17"/>
    <mergeCell ref="B16:B17"/>
    <mergeCell ref="D16:D17"/>
    <mergeCell ref="E16:E17"/>
    <mergeCell ref="F16:F17"/>
    <mergeCell ref="I16:I17"/>
    <mergeCell ref="B9:J9"/>
    <mergeCell ref="B11:J11"/>
    <mergeCell ref="B13:J13"/>
    <mergeCell ref="B14:J14"/>
    <mergeCell ref="B1:J1"/>
    <mergeCell ref="B2:J2"/>
    <mergeCell ref="B3:J3"/>
    <mergeCell ref="B4:J4"/>
    <mergeCell ref="B6:J6"/>
    <mergeCell ref="B7:J7"/>
  </mergeCells>
  <conditionalFormatting sqref="B19:C19 C20:C219 F19:J218">
    <cfRule type="expression" dxfId="5" priority="7">
      <formula>MOD(ROW(),2)</formula>
    </cfRule>
  </conditionalFormatting>
  <conditionalFormatting sqref="B20:B218">
    <cfRule type="expression" dxfId="4" priority="6">
      <formula>MOD(ROW(),2)</formula>
    </cfRule>
  </conditionalFormatting>
  <conditionalFormatting sqref="J19:J218">
    <cfRule type="cellIs" dxfId="3" priority="4" operator="equal">
      <formula>"no elegible"</formula>
    </cfRule>
    <cfRule type="cellIs" dxfId="2" priority="5" operator="equal">
      <formula>"elegible"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fitToHeight="0" orientation="landscape" r:id="rId1"/>
  <headerFooter alignWithMargins="0">
    <oddFooter>&amp;L&amp;"Arial,Normal"&amp;9&amp;F
&amp;A&amp;C&amp;"Arial,Normal"&amp;10&amp;P de &amp;N&amp;R&amp;"Arial,Normal"&amp;9INSTITUTO NACIONAL DE VIAS
&amp;D</oddFooter>
  </headerFooter>
  <rowBreaks count="1" manualBreakCount="1">
    <brk id="220" min="1" max="10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00B050"/>
  </sheetPr>
  <dimension ref="B2:S204"/>
  <sheetViews>
    <sheetView workbookViewId="0">
      <selection activeCell="P6" sqref="P6"/>
    </sheetView>
  </sheetViews>
  <sheetFormatPr baseColWidth="10" defaultRowHeight="15"/>
  <cols>
    <col min="1" max="1" width="4.42578125" style="316" customWidth="1"/>
    <col min="2" max="2" width="11.42578125" style="316"/>
    <col min="3" max="3" width="28.85546875" style="316" customWidth="1"/>
    <col min="4" max="5" width="11.42578125" style="316"/>
    <col min="6" max="6" width="13.42578125" style="316" customWidth="1"/>
    <col min="7" max="16" width="11.42578125" style="316"/>
    <col min="17" max="17" width="8.5703125" style="316" customWidth="1"/>
    <col min="18" max="16384" width="11.42578125" style="316"/>
  </cols>
  <sheetData>
    <row r="2" spans="2:19">
      <c r="B2" s="903" t="s">
        <v>124</v>
      </c>
      <c r="C2" s="903" t="s">
        <v>16</v>
      </c>
      <c r="D2" s="903" t="s">
        <v>304</v>
      </c>
      <c r="E2" s="903" t="s">
        <v>305</v>
      </c>
      <c r="F2" s="903" t="s">
        <v>306</v>
      </c>
      <c r="G2" s="903" t="s">
        <v>246</v>
      </c>
      <c r="H2" s="906" t="s">
        <v>197</v>
      </c>
      <c r="I2" s="906" t="s">
        <v>129</v>
      </c>
      <c r="J2" s="907" t="s">
        <v>130</v>
      </c>
      <c r="K2" s="908"/>
      <c r="L2" s="907" t="s">
        <v>121</v>
      </c>
      <c r="M2" s="908"/>
      <c r="N2" s="903" t="s">
        <v>338</v>
      </c>
      <c r="O2" s="903" t="s">
        <v>164</v>
      </c>
      <c r="P2" s="903" t="s">
        <v>161</v>
      </c>
      <c r="Q2" s="478"/>
      <c r="R2" s="902" t="s">
        <v>307</v>
      </c>
      <c r="S2" s="902" t="s">
        <v>308</v>
      </c>
    </row>
    <row r="3" spans="2:19" ht="43.5" customHeight="1">
      <c r="B3" s="904"/>
      <c r="C3" s="904"/>
      <c r="D3" s="904"/>
      <c r="E3" s="904"/>
      <c r="F3" s="904"/>
      <c r="G3" s="904"/>
      <c r="H3" s="906"/>
      <c r="I3" s="906"/>
      <c r="J3" s="479" t="s">
        <v>131</v>
      </c>
      <c r="K3" s="479" t="s">
        <v>134</v>
      </c>
      <c r="L3" s="479" t="s">
        <v>136</v>
      </c>
      <c r="M3" s="479" t="s">
        <v>134</v>
      </c>
      <c r="N3" s="904"/>
      <c r="O3" s="904"/>
      <c r="P3" s="904"/>
      <c r="Q3" s="478"/>
      <c r="R3" s="902"/>
      <c r="S3" s="902"/>
    </row>
    <row r="4" spans="2:19" ht="25.5">
      <c r="B4" s="905"/>
      <c r="C4" s="905"/>
      <c r="D4" s="905"/>
      <c r="E4" s="905"/>
      <c r="F4" s="905"/>
      <c r="G4" s="905"/>
      <c r="H4" s="479" t="s">
        <v>194</v>
      </c>
      <c r="I4" s="479" t="s">
        <v>132</v>
      </c>
      <c r="J4" s="479" t="s">
        <v>133</v>
      </c>
      <c r="K4" s="479" t="s">
        <v>135</v>
      </c>
      <c r="L4" s="479" t="s">
        <v>137</v>
      </c>
      <c r="M4" s="479" t="s">
        <v>135</v>
      </c>
      <c r="N4" s="905"/>
      <c r="O4" s="905"/>
      <c r="P4" s="905"/>
      <c r="Q4" s="478"/>
      <c r="R4" s="902"/>
      <c r="S4" s="902"/>
    </row>
    <row r="5" spans="2:19">
      <c r="B5" s="479">
        <v>1</v>
      </c>
      <c r="C5" s="479" t="str">
        <f>VLOOKUP(B5,RESUMENGEN!B20:E219,3,FALSE)</f>
        <v>CONSORCIO JC 2019</v>
      </c>
      <c r="D5" s="480" t="str">
        <f>VLOOKUP(B5,HAB.GEN.!$C$19:$I$218,3,FALSE)</f>
        <v>HÁBIL</v>
      </c>
      <c r="E5" s="480" t="str">
        <f>VLOOKUP(B5,HAB.GEN.!$C$19:$I$218,4,FALSE)</f>
        <v>HÁBIL</v>
      </c>
      <c r="F5" s="480" t="str">
        <f>VLOOKUP(B5,HAB.GEN.!$C$19:$I$218,5,FALSE)</f>
        <v>HÁBIL</v>
      </c>
      <c r="G5" s="480" t="str">
        <f>VLOOKUP(B5,HAB.GEN.!$C$19:$I$218,6,FALSE)</f>
        <v>NO HÁBIL</v>
      </c>
      <c r="H5" s="480" t="str">
        <f>IF(OR(COUNTIF(D5:G5,"")=4,COUNTIF(D5:G5,"")&gt;0),"",IF(COUNTIF(D5:G5,"RECHAZO")&gt;0,"RECHAZO",IF(COUNTIF(D5:G5,"NO HÁBIL")=0,"HÁBIL","NO HÁBIL")))</f>
        <v>NO HÁBIL</v>
      </c>
      <c r="I5" s="480">
        <f>VLOOKUP(C5,PON.EXP.ESP.!$D$30:$J$229,3,FALSE)</f>
        <v>1</v>
      </c>
      <c r="J5" s="481">
        <f>VLOOKUP(C5,PON.EXP.ESP.!$D$30:$J$229,4,FALSE)</f>
        <v>0</v>
      </c>
      <c r="K5" s="482">
        <f>VLOOKUP(C5,PON.EXP.ESP.!$D$30:$J$229,5,FALSE)</f>
        <v>0</v>
      </c>
      <c r="L5" s="481">
        <f>VLOOKUP(C5,PON.EXP.ESP.!$D$30:$J$229,6,FALSE)</f>
        <v>0</v>
      </c>
      <c r="M5" s="482">
        <f>VLOOKUP(C5,PON.EXP.ESP.!$D$30:$J$229,7,FALSE)</f>
        <v>0</v>
      </c>
      <c r="N5" s="481">
        <f>VLOOKUP(C5,VIN.PERS.DISC.!$C$19:$D$218,2,FALSE)</f>
        <v>10</v>
      </c>
      <c r="O5" s="483">
        <f>VLOOKUP(C5,'APOYO A IND. NAL.'!$C$19:$D$218,2,FALSE)</f>
        <v>100</v>
      </c>
      <c r="P5" s="484">
        <f>VLOOKUP(C5,RESUMENGEN!$D$20:$J$219,7,FALSE)</f>
        <v>0</v>
      </c>
      <c r="Q5" s="478"/>
      <c r="R5" s="484">
        <f>+K5+M5+N5+O5</f>
        <v>110</v>
      </c>
      <c r="S5" s="485" t="str">
        <f>IF(P5=R5,"SI","NO")</f>
        <v>NO</v>
      </c>
    </row>
    <row r="6" spans="2:19">
      <c r="B6" s="479">
        <v>2</v>
      </c>
      <c r="C6" s="479" t="str">
        <f>VLOOKUP(B6,RESUMENGEN!B21:E220,3,FALSE)</f>
        <v>CONSORCIO MORELIA JPD</v>
      </c>
      <c r="D6" s="480" t="str">
        <f>VLOOKUP(B6,HAB.GEN.!$C$19:$I$218,3,FALSE)</f>
        <v>HÁBIL</v>
      </c>
      <c r="E6" s="480" t="str">
        <f>VLOOKUP(B6,HAB.GEN.!$C$19:$I$218,4,FALSE)</f>
        <v>HÁBIL</v>
      </c>
      <c r="F6" s="480" t="str">
        <f>VLOOKUP(B6,HAB.GEN.!$C$19:$I$218,5,FALSE)</f>
        <v>HÁBIL</v>
      </c>
      <c r="G6" s="480" t="str">
        <f>VLOOKUP(B6,HAB.GEN.!$C$19:$I$218,6,FALSE)</f>
        <v>HÁBIL</v>
      </c>
      <c r="H6" s="480" t="str">
        <f t="shared" ref="H6:H69" si="0">IF(OR(COUNTIF(D6:G6,"")=4,COUNTIF(D6:G6,"")&gt;0),"",IF(COUNTIF(D6:G6,"RECHAZO")&gt;0,"RECHAZO",IF(COUNTIF(D6:G6,"NO HÁBIL")=0,"HÁBIL","NO HÁBIL")))</f>
        <v>HÁBIL</v>
      </c>
      <c r="I6" s="480">
        <f>VLOOKUP(C6,PON.EXP.ESP.!$D$30:$J$229,3,FALSE)</f>
        <v>4</v>
      </c>
      <c r="J6" s="481">
        <f>VLOOKUP(C6,PON.EXP.ESP.!$D$30:$J$229,4,FALSE)</f>
        <v>3.222</v>
      </c>
      <c r="K6" s="482">
        <f>VLOOKUP(C6,PON.EXP.ESP.!$D$30:$J$229,5,FALSE)</f>
        <v>225.98699999999999</v>
      </c>
      <c r="L6" s="481">
        <f>VLOOKUP(C6,PON.EXP.ESP.!$D$30:$J$229,6,FALSE)</f>
        <v>13.916</v>
      </c>
      <c r="M6" s="482">
        <f>VLOOKUP(C6,PON.EXP.ESP.!$D$30:$J$229,7,FALSE)</f>
        <v>468.976</v>
      </c>
      <c r="N6" s="481">
        <f>VLOOKUP(C6,VIN.PERS.DISC.!$C$19:$D$218,2,FALSE)</f>
        <v>10</v>
      </c>
      <c r="O6" s="483">
        <f>VLOOKUP(C6,'APOYO A IND. NAL.'!$C$19:$D$218,2,FALSE)</f>
        <v>100</v>
      </c>
      <c r="P6" s="484">
        <f>VLOOKUP(C6,RESUMENGEN!$D$20:$J$219,7,FALSE)</f>
        <v>804.96299999999997</v>
      </c>
      <c r="Q6" s="478"/>
      <c r="R6" s="484">
        <f t="shared" ref="R6:R69" si="1">+K6+M6+N6+O6</f>
        <v>804.96299999999997</v>
      </c>
      <c r="S6" s="485" t="str">
        <f>IF(P6=R6,"SI","NO")</f>
        <v>SI</v>
      </c>
    </row>
    <row r="7" spans="2:19">
      <c r="B7" s="479">
        <v>3</v>
      </c>
      <c r="C7" s="479" t="str">
        <f>VLOOKUP(B7,RESUMENGEN!B22:E221,3,FALSE)</f>
        <v>UCING LTDA</v>
      </c>
      <c r="D7" s="480" t="str">
        <f>VLOOKUP(B7,HAB.GEN.!$C$19:$I$218,3,FALSE)</f>
        <v>HÁBIL</v>
      </c>
      <c r="E7" s="480" t="str">
        <f>VLOOKUP(B7,HAB.GEN.!$C$19:$I$218,4,FALSE)</f>
        <v>HÁBIL</v>
      </c>
      <c r="F7" s="480" t="str">
        <f>VLOOKUP(B7,HAB.GEN.!$C$19:$I$218,5,FALSE)</f>
        <v>HÁBIL</v>
      </c>
      <c r="G7" s="480" t="str">
        <f>VLOOKUP(B7,HAB.GEN.!$C$19:$I$218,6,FALSE)</f>
        <v>HÁBIL</v>
      </c>
      <c r="H7" s="480" t="str">
        <f t="shared" si="0"/>
        <v>HÁBIL</v>
      </c>
      <c r="I7" s="480">
        <f>VLOOKUP(C7,PON.EXP.ESP.!$D$30:$J$229,3,FALSE)</f>
        <v>6</v>
      </c>
      <c r="J7" s="481">
        <f>VLOOKUP(C7,PON.EXP.ESP.!$D$30:$J$229,4,FALSE)</f>
        <v>1.95</v>
      </c>
      <c r="K7" s="482">
        <f>VLOOKUP(C7,PON.EXP.ESP.!$D$30:$J$229,5,FALSE)</f>
        <v>262.07299999999998</v>
      </c>
      <c r="L7" s="481">
        <f>VLOOKUP(C7,PON.EXP.ESP.!$D$30:$J$229,6,FALSE)</f>
        <v>25.143999999999998</v>
      </c>
      <c r="M7" s="482">
        <f>VLOOKUP(C7,PON.EXP.ESP.!$D$30:$J$229,7,FALSE)</f>
        <v>594.63699999999994</v>
      </c>
      <c r="N7" s="481">
        <f>VLOOKUP(C7,VIN.PERS.DISC.!$C$19:$D$218,2,FALSE)</f>
        <v>0</v>
      </c>
      <c r="O7" s="483">
        <f>VLOOKUP(C7,'APOYO A IND. NAL.'!$C$19:$D$218,2,FALSE)</f>
        <v>100</v>
      </c>
      <c r="P7" s="484">
        <f>VLOOKUP(C7,RESUMENGEN!$D$20:$J$219,7,FALSE)</f>
        <v>956.70999999999992</v>
      </c>
      <c r="Q7" s="478"/>
      <c r="R7" s="484">
        <f t="shared" si="1"/>
        <v>956.70999999999992</v>
      </c>
      <c r="S7" s="485" t="str">
        <f>IF(P7=R7,"SI","NO")</f>
        <v>SI</v>
      </c>
    </row>
    <row r="8" spans="2:19">
      <c r="B8" s="479">
        <v>4</v>
      </c>
      <c r="C8" s="479" t="str">
        <f>VLOOKUP(B8,RESUMENGEN!B23:E222,3,FALSE)</f>
        <v>SOTA</v>
      </c>
      <c r="D8" s="480" t="str">
        <f>VLOOKUP(B8,HAB.GEN.!$C$19:$I$218,3,FALSE)</f>
        <v>HÁBIL</v>
      </c>
      <c r="E8" s="480" t="str">
        <f>VLOOKUP(B8,HAB.GEN.!$C$19:$I$218,4,FALSE)</f>
        <v>HÁBIL</v>
      </c>
      <c r="F8" s="480" t="str">
        <f>VLOOKUP(B8,HAB.GEN.!$C$19:$I$218,5,FALSE)</f>
        <v>HÁBIL</v>
      </c>
      <c r="G8" s="480" t="str">
        <f>VLOOKUP(B8,HAB.GEN.!$C$19:$I$218,6,FALSE)</f>
        <v>NO HÁBIL</v>
      </c>
      <c r="H8" s="480" t="str">
        <f t="shared" si="0"/>
        <v>NO HÁBIL</v>
      </c>
      <c r="I8" s="480">
        <f>VLOOKUP(C8,PON.EXP.ESP.!$D$30:$J$229,3,FALSE)</f>
        <v>5</v>
      </c>
      <c r="J8" s="481">
        <f>VLOOKUP(C8,PON.EXP.ESP.!$D$30:$J$229,4,FALSE)</f>
        <v>6.2329999999999997</v>
      </c>
      <c r="K8" s="482">
        <f>VLOOKUP(C8,PON.EXP.ESP.!$D$30:$J$229,5,FALSE)</f>
        <v>0</v>
      </c>
      <c r="L8" s="481">
        <f>VLOOKUP(C8,PON.EXP.ESP.!$D$30:$J$229,6,FALSE)</f>
        <v>28.895</v>
      </c>
      <c r="M8" s="482">
        <f>VLOOKUP(C8,PON.EXP.ESP.!$D$30:$J$229,7,FALSE)</f>
        <v>0</v>
      </c>
      <c r="N8" s="481">
        <f>VLOOKUP(C8,VIN.PERS.DISC.!$C$19:$D$218,2,FALSE)</f>
        <v>10</v>
      </c>
      <c r="O8" s="483">
        <f>VLOOKUP(C8,'APOYO A IND. NAL.'!$C$19:$D$218,2,FALSE)</f>
        <v>100</v>
      </c>
      <c r="P8" s="484">
        <f>VLOOKUP(C8,RESUMENGEN!$D$20:$J$219,7,FALSE)</f>
        <v>0</v>
      </c>
      <c r="Q8" s="478"/>
      <c r="R8" s="484">
        <f t="shared" si="1"/>
        <v>110</v>
      </c>
      <c r="S8" s="485" t="str">
        <f>IF(P8=R8,"SI","NO")</f>
        <v>NO</v>
      </c>
    </row>
    <row r="9" spans="2:19">
      <c r="B9" s="479"/>
      <c r="C9" s="479"/>
      <c r="D9" s="480"/>
      <c r="E9" s="480"/>
      <c r="F9" s="480"/>
      <c r="G9" s="480"/>
      <c r="H9" s="480"/>
      <c r="I9" s="480"/>
      <c r="J9" s="481"/>
      <c r="K9" s="482"/>
      <c r="L9" s="481"/>
      <c r="M9" s="482"/>
      <c r="N9" s="481"/>
      <c r="O9" s="483"/>
      <c r="P9" s="484"/>
      <c r="Q9" s="478"/>
      <c r="R9" s="484"/>
      <c r="S9" s="485"/>
    </row>
    <row r="10" spans="2:19">
      <c r="B10" s="479"/>
      <c r="C10" s="479"/>
      <c r="D10" s="480"/>
      <c r="E10" s="480"/>
      <c r="F10" s="480"/>
      <c r="G10" s="480"/>
      <c r="H10" s="480"/>
      <c r="I10" s="480"/>
      <c r="J10" s="481"/>
      <c r="K10" s="482"/>
      <c r="L10" s="481"/>
      <c r="M10" s="482"/>
      <c r="N10" s="481"/>
      <c r="O10" s="483"/>
      <c r="P10" s="484"/>
      <c r="Q10" s="478"/>
      <c r="R10" s="484"/>
      <c r="S10" s="485"/>
    </row>
    <row r="11" spans="2:19">
      <c r="B11" s="479"/>
      <c r="C11" s="479"/>
      <c r="D11" s="480"/>
      <c r="E11" s="480"/>
      <c r="F11" s="480"/>
      <c r="G11" s="480"/>
      <c r="H11" s="480"/>
      <c r="I11" s="480"/>
      <c r="J11" s="481"/>
      <c r="K11" s="482"/>
      <c r="L11" s="481"/>
      <c r="M11" s="482"/>
      <c r="N11" s="481"/>
      <c r="O11" s="483"/>
      <c r="P11" s="484"/>
      <c r="Q11" s="478"/>
      <c r="R11" s="484"/>
      <c r="S11" s="485"/>
    </row>
    <row r="12" spans="2:19">
      <c r="B12" s="479"/>
      <c r="C12" s="479"/>
      <c r="D12" s="480"/>
      <c r="E12" s="480"/>
      <c r="F12" s="480"/>
      <c r="G12" s="480"/>
      <c r="H12" s="480"/>
      <c r="I12" s="480"/>
      <c r="J12" s="481"/>
      <c r="K12" s="482"/>
      <c r="L12" s="481"/>
      <c r="M12" s="482"/>
      <c r="N12" s="481"/>
      <c r="O12" s="483"/>
      <c r="P12" s="484"/>
      <c r="Q12" s="478"/>
      <c r="R12" s="484"/>
      <c r="S12" s="485"/>
    </row>
    <row r="13" spans="2:19">
      <c r="B13" s="479"/>
      <c r="C13" s="479"/>
      <c r="D13" s="480"/>
      <c r="E13" s="480"/>
      <c r="F13" s="480"/>
      <c r="G13" s="480"/>
      <c r="H13" s="480"/>
      <c r="I13" s="480"/>
      <c r="J13" s="481"/>
      <c r="K13" s="482"/>
      <c r="L13" s="481"/>
      <c r="M13" s="482"/>
      <c r="N13" s="481"/>
      <c r="O13" s="483"/>
      <c r="P13" s="484"/>
      <c r="Q13" s="478"/>
      <c r="R13" s="484"/>
      <c r="S13" s="485"/>
    </row>
    <row r="14" spans="2:19">
      <c r="B14" s="479"/>
      <c r="C14" s="479"/>
      <c r="D14" s="480"/>
      <c r="E14" s="480"/>
      <c r="F14" s="480"/>
      <c r="G14" s="480"/>
      <c r="H14" s="480"/>
      <c r="I14" s="480"/>
      <c r="J14" s="481"/>
      <c r="K14" s="482"/>
      <c r="L14" s="481"/>
      <c r="M14" s="482"/>
      <c r="N14" s="481"/>
      <c r="O14" s="483"/>
      <c r="P14" s="484"/>
      <c r="Q14" s="478"/>
      <c r="R14" s="484"/>
      <c r="S14" s="485"/>
    </row>
    <row r="15" spans="2:19">
      <c r="B15" s="479"/>
      <c r="C15" s="479"/>
      <c r="D15" s="480"/>
      <c r="E15" s="480"/>
      <c r="F15" s="480"/>
      <c r="G15" s="480"/>
      <c r="H15" s="480"/>
      <c r="I15" s="480"/>
      <c r="J15" s="481"/>
      <c r="K15" s="482"/>
      <c r="L15" s="481"/>
      <c r="M15" s="482"/>
      <c r="N15" s="481"/>
      <c r="O15" s="483"/>
      <c r="P15" s="484"/>
      <c r="Q15" s="478"/>
      <c r="R15" s="484"/>
      <c r="S15" s="485"/>
    </row>
    <row r="16" spans="2:19">
      <c r="B16" s="479"/>
      <c r="C16" s="479"/>
      <c r="D16" s="480"/>
      <c r="E16" s="480"/>
      <c r="F16" s="480"/>
      <c r="G16" s="480"/>
      <c r="H16" s="480"/>
      <c r="I16" s="480"/>
      <c r="J16" s="481"/>
      <c r="K16" s="482"/>
      <c r="L16" s="481"/>
      <c r="M16" s="482"/>
      <c r="N16" s="481"/>
      <c r="O16" s="483"/>
      <c r="P16" s="484"/>
      <c r="Q16" s="478"/>
      <c r="R16" s="484"/>
      <c r="S16" s="485"/>
    </row>
    <row r="17" spans="2:19">
      <c r="B17" s="479"/>
      <c r="C17" s="479"/>
      <c r="D17" s="480"/>
      <c r="E17" s="480"/>
      <c r="F17" s="480"/>
      <c r="G17" s="480"/>
      <c r="H17" s="480"/>
      <c r="I17" s="480"/>
      <c r="J17" s="481"/>
      <c r="K17" s="482"/>
      <c r="L17" s="481"/>
      <c r="M17" s="482"/>
      <c r="N17" s="481"/>
      <c r="O17" s="483"/>
      <c r="P17" s="484"/>
      <c r="Q17" s="478"/>
      <c r="R17" s="484"/>
      <c r="S17" s="485"/>
    </row>
    <row r="18" spans="2:19">
      <c r="B18" s="479"/>
      <c r="C18" s="479"/>
      <c r="D18" s="480"/>
      <c r="E18" s="480"/>
      <c r="F18" s="480"/>
      <c r="G18" s="480"/>
      <c r="H18" s="480"/>
      <c r="I18" s="480"/>
      <c r="J18" s="481"/>
      <c r="K18" s="482"/>
      <c r="L18" s="481"/>
      <c r="M18" s="482"/>
      <c r="N18" s="481"/>
      <c r="O18" s="483"/>
      <c r="P18" s="484"/>
      <c r="Q18" s="478"/>
      <c r="R18" s="484"/>
      <c r="S18" s="485"/>
    </row>
    <row r="19" spans="2:19" hidden="1">
      <c r="B19" s="479">
        <v>15</v>
      </c>
      <c r="C19" s="479" t="e">
        <f>VLOOKUP(B19,RESUMENGEN!B34:E233,3,FALSE)</f>
        <v>#N/A</v>
      </c>
      <c r="D19" s="480" t="e">
        <f>VLOOKUP(B19,HAB.GEN.!$C$19:$I$218,3,FALSE)</f>
        <v>#N/A</v>
      </c>
      <c r="E19" s="480" t="e">
        <f>VLOOKUP(B19,HAB.GEN.!$C$19:$I$218,4,FALSE)</f>
        <v>#N/A</v>
      </c>
      <c r="F19" s="480" t="e">
        <f>VLOOKUP(B19,HAB.GEN.!$C$19:$I$218,5,FALSE)</f>
        <v>#N/A</v>
      </c>
      <c r="G19" s="480" t="e">
        <f>VLOOKUP(B19,HAB.GEN.!$C$19:$I$218,6,FALSE)</f>
        <v>#N/A</v>
      </c>
      <c r="H19" s="480" t="str">
        <f t="shared" si="0"/>
        <v>HÁBIL</v>
      </c>
      <c r="I19" s="480" t="e">
        <f>VLOOKUP(C19,PON.EXP.ESP.!$D$30:$J$229,3,FALSE)</f>
        <v>#N/A</v>
      </c>
      <c r="J19" s="481" t="e">
        <f>VLOOKUP(C19,PON.EXP.ESP.!$D$30:$J$229,4,FALSE)</f>
        <v>#N/A</v>
      </c>
      <c r="K19" s="482" t="e">
        <f>VLOOKUP(C19,PON.EXP.ESP.!$D$30:$J$229,5,FALSE)</f>
        <v>#N/A</v>
      </c>
      <c r="L19" s="481" t="e">
        <f>VLOOKUP(C19,PON.EXP.ESP.!$D$30:$J$229,6,FALSE)</f>
        <v>#N/A</v>
      </c>
      <c r="M19" s="482" t="e">
        <f>VLOOKUP(C19,PON.EXP.ESP.!$D$30:$J$229,7,FALSE)</f>
        <v>#N/A</v>
      </c>
      <c r="N19" s="481" t="e">
        <f>VLOOKUP(C19,VIN.PERS.DISC.!$C$19:$D$218,2,FALSE)</f>
        <v>#N/A</v>
      </c>
      <c r="O19" s="483" t="e">
        <f>VLOOKUP(C19,'APOYO A IND. NAL.'!$C$19:$D$218,2,FALSE)</f>
        <v>#N/A</v>
      </c>
      <c r="P19" s="484" t="e">
        <f>VLOOKUP(C19,RESUMENGEN!$D$20:$J$219,7,FALSE)</f>
        <v>#N/A</v>
      </c>
      <c r="Q19" s="478"/>
      <c r="R19" s="484" t="e">
        <f t="shared" si="1"/>
        <v>#N/A</v>
      </c>
      <c r="S19" s="485" t="e">
        <f t="shared" ref="S19:S79" si="2">IF(P19=R19,"SI","NO")</f>
        <v>#N/A</v>
      </c>
    </row>
    <row r="20" spans="2:19" hidden="1">
      <c r="B20" s="479">
        <v>16</v>
      </c>
      <c r="C20" s="479" t="e">
        <f>VLOOKUP(B20,RESUMENGEN!B35:E234,3,FALSE)</f>
        <v>#N/A</v>
      </c>
      <c r="D20" s="480" t="e">
        <f>VLOOKUP(B20,HAB.GEN.!$C$19:$I$218,3,FALSE)</f>
        <v>#N/A</v>
      </c>
      <c r="E20" s="480" t="e">
        <f>VLOOKUP(B20,HAB.GEN.!$C$19:$I$218,4,FALSE)</f>
        <v>#N/A</v>
      </c>
      <c r="F20" s="480" t="e">
        <f>VLOOKUP(B20,HAB.GEN.!$C$19:$I$218,5,FALSE)</f>
        <v>#N/A</v>
      </c>
      <c r="G20" s="480" t="e">
        <f>VLOOKUP(B20,HAB.GEN.!$C$19:$I$218,6,FALSE)</f>
        <v>#N/A</v>
      </c>
      <c r="H20" s="480" t="str">
        <f t="shared" si="0"/>
        <v>HÁBIL</v>
      </c>
      <c r="I20" s="480" t="e">
        <f>VLOOKUP(C20,PON.EXP.ESP.!$D$30:$J$229,3,FALSE)</f>
        <v>#N/A</v>
      </c>
      <c r="J20" s="481" t="e">
        <f>VLOOKUP(C20,PON.EXP.ESP.!$D$30:$J$229,4,FALSE)</f>
        <v>#N/A</v>
      </c>
      <c r="K20" s="482" t="e">
        <f>VLOOKUP(C20,PON.EXP.ESP.!$D$30:$J$229,5,FALSE)</f>
        <v>#N/A</v>
      </c>
      <c r="L20" s="481" t="e">
        <f>VLOOKUP(C20,PON.EXP.ESP.!$D$30:$J$229,6,FALSE)</f>
        <v>#N/A</v>
      </c>
      <c r="M20" s="482" t="e">
        <f>VLOOKUP(C20,PON.EXP.ESP.!$D$30:$J$229,7,FALSE)</f>
        <v>#N/A</v>
      </c>
      <c r="N20" s="481" t="e">
        <f>VLOOKUP(C20,VIN.PERS.DISC.!$C$19:$D$218,2,FALSE)</f>
        <v>#N/A</v>
      </c>
      <c r="O20" s="483" t="e">
        <f>VLOOKUP(C20,'APOYO A IND. NAL.'!$C$19:$D$218,2,FALSE)</f>
        <v>#N/A</v>
      </c>
      <c r="P20" s="484" t="e">
        <f>VLOOKUP(C20,RESUMENGEN!$D$20:$J$219,7,FALSE)</f>
        <v>#N/A</v>
      </c>
      <c r="Q20" s="478"/>
      <c r="R20" s="484" t="e">
        <f t="shared" si="1"/>
        <v>#N/A</v>
      </c>
      <c r="S20" s="485" t="e">
        <f t="shared" si="2"/>
        <v>#N/A</v>
      </c>
    </row>
    <row r="21" spans="2:19" hidden="1">
      <c r="B21" s="479">
        <v>17</v>
      </c>
      <c r="C21" s="479" t="e">
        <f>VLOOKUP(B21,RESUMENGEN!B36:E235,3,FALSE)</f>
        <v>#N/A</v>
      </c>
      <c r="D21" s="480" t="e">
        <f>VLOOKUP(B21,HAB.GEN.!$C$19:$I$218,3,FALSE)</f>
        <v>#N/A</v>
      </c>
      <c r="E21" s="480" t="e">
        <f>VLOOKUP(B21,HAB.GEN.!$C$19:$I$218,4,FALSE)</f>
        <v>#N/A</v>
      </c>
      <c r="F21" s="480" t="e">
        <f>VLOOKUP(B21,HAB.GEN.!$C$19:$I$218,5,FALSE)</f>
        <v>#N/A</v>
      </c>
      <c r="G21" s="480" t="e">
        <f>VLOOKUP(B21,HAB.GEN.!$C$19:$I$218,6,FALSE)</f>
        <v>#N/A</v>
      </c>
      <c r="H21" s="480" t="str">
        <f t="shared" si="0"/>
        <v>HÁBIL</v>
      </c>
      <c r="I21" s="480" t="e">
        <f>VLOOKUP(C21,PON.EXP.ESP.!$D$30:$J$229,3,FALSE)</f>
        <v>#N/A</v>
      </c>
      <c r="J21" s="481" t="e">
        <f>VLOOKUP(C21,PON.EXP.ESP.!$D$30:$J$229,4,FALSE)</f>
        <v>#N/A</v>
      </c>
      <c r="K21" s="482" t="e">
        <f>VLOOKUP(C21,PON.EXP.ESP.!$D$30:$J$229,5,FALSE)</f>
        <v>#N/A</v>
      </c>
      <c r="L21" s="481" t="e">
        <f>VLOOKUP(C21,PON.EXP.ESP.!$D$30:$J$229,6,FALSE)</f>
        <v>#N/A</v>
      </c>
      <c r="M21" s="482" t="e">
        <f>VLOOKUP(C21,PON.EXP.ESP.!$D$30:$J$229,7,FALSE)</f>
        <v>#N/A</v>
      </c>
      <c r="N21" s="481" t="e">
        <f>VLOOKUP(C21,VIN.PERS.DISC.!$C$19:$D$218,2,FALSE)</f>
        <v>#N/A</v>
      </c>
      <c r="O21" s="483" t="e">
        <f>VLOOKUP(C21,'APOYO A IND. NAL.'!$C$19:$D$218,2,FALSE)</f>
        <v>#N/A</v>
      </c>
      <c r="P21" s="484" t="e">
        <f>VLOOKUP(C21,RESUMENGEN!$D$20:$J$219,7,FALSE)</f>
        <v>#N/A</v>
      </c>
      <c r="Q21" s="478"/>
      <c r="R21" s="484" t="e">
        <f t="shared" si="1"/>
        <v>#N/A</v>
      </c>
      <c r="S21" s="485" t="e">
        <f t="shared" si="2"/>
        <v>#N/A</v>
      </c>
    </row>
    <row r="22" spans="2:19" hidden="1">
      <c r="B22" s="479">
        <v>18</v>
      </c>
      <c r="C22" s="479" t="e">
        <f>VLOOKUP(B22,RESUMENGEN!B37:E236,3,FALSE)</f>
        <v>#N/A</v>
      </c>
      <c r="D22" s="480" t="e">
        <f>VLOOKUP(B22,HAB.GEN.!$C$19:$I$218,3,FALSE)</f>
        <v>#N/A</v>
      </c>
      <c r="E22" s="480" t="e">
        <f>VLOOKUP(B22,HAB.GEN.!$C$19:$I$218,4,FALSE)</f>
        <v>#N/A</v>
      </c>
      <c r="F22" s="480" t="e">
        <f>VLOOKUP(B22,HAB.GEN.!$C$19:$I$218,5,FALSE)</f>
        <v>#N/A</v>
      </c>
      <c r="G22" s="480" t="e">
        <f>VLOOKUP(B22,HAB.GEN.!$C$19:$I$218,6,FALSE)</f>
        <v>#N/A</v>
      </c>
      <c r="H22" s="480" t="str">
        <f t="shared" si="0"/>
        <v>HÁBIL</v>
      </c>
      <c r="I22" s="480" t="e">
        <f>VLOOKUP(C22,PON.EXP.ESP.!$D$30:$J$229,3,FALSE)</f>
        <v>#N/A</v>
      </c>
      <c r="J22" s="481" t="e">
        <f>VLOOKUP(C22,PON.EXP.ESP.!$D$30:$J$229,4,FALSE)</f>
        <v>#N/A</v>
      </c>
      <c r="K22" s="482" t="e">
        <f>VLOOKUP(C22,PON.EXP.ESP.!$D$30:$J$229,5,FALSE)</f>
        <v>#N/A</v>
      </c>
      <c r="L22" s="481" t="e">
        <f>VLOOKUP(C22,PON.EXP.ESP.!$D$30:$J$229,6,FALSE)</f>
        <v>#N/A</v>
      </c>
      <c r="M22" s="482" t="e">
        <f>VLOOKUP(C22,PON.EXP.ESP.!$D$30:$J$229,7,FALSE)</f>
        <v>#N/A</v>
      </c>
      <c r="N22" s="481" t="e">
        <f>VLOOKUP(C22,VIN.PERS.DISC.!$C$19:$D$218,2,FALSE)</f>
        <v>#N/A</v>
      </c>
      <c r="O22" s="483" t="e">
        <f>VLOOKUP(C22,'APOYO A IND. NAL.'!$C$19:$D$218,2,FALSE)</f>
        <v>#N/A</v>
      </c>
      <c r="P22" s="484" t="e">
        <f>VLOOKUP(C22,RESUMENGEN!$D$20:$J$219,7,FALSE)</f>
        <v>#N/A</v>
      </c>
      <c r="Q22" s="478"/>
      <c r="R22" s="484" t="e">
        <f t="shared" si="1"/>
        <v>#N/A</v>
      </c>
      <c r="S22" s="485" t="e">
        <f t="shared" si="2"/>
        <v>#N/A</v>
      </c>
    </row>
    <row r="23" spans="2:19" hidden="1">
      <c r="B23" s="479">
        <v>19</v>
      </c>
      <c r="C23" s="479" t="e">
        <f>VLOOKUP(B23,RESUMENGEN!B38:E237,3,FALSE)</f>
        <v>#N/A</v>
      </c>
      <c r="D23" s="480" t="e">
        <f>VLOOKUP(B23,HAB.GEN.!$C$19:$I$218,3,FALSE)</f>
        <v>#N/A</v>
      </c>
      <c r="E23" s="480" t="e">
        <f>VLOOKUP(B23,HAB.GEN.!$C$19:$I$218,4,FALSE)</f>
        <v>#N/A</v>
      </c>
      <c r="F23" s="480" t="e">
        <f>VLOOKUP(B23,HAB.GEN.!$C$19:$I$218,5,FALSE)</f>
        <v>#N/A</v>
      </c>
      <c r="G23" s="480" t="e">
        <f>VLOOKUP(B23,HAB.GEN.!$C$19:$I$218,6,FALSE)</f>
        <v>#N/A</v>
      </c>
      <c r="H23" s="480" t="str">
        <f t="shared" si="0"/>
        <v>HÁBIL</v>
      </c>
      <c r="I23" s="480" t="e">
        <f>VLOOKUP(C23,PON.EXP.ESP.!$D$30:$J$229,3,FALSE)</f>
        <v>#N/A</v>
      </c>
      <c r="J23" s="481" t="e">
        <f>VLOOKUP(C23,PON.EXP.ESP.!$D$30:$J$229,4,FALSE)</f>
        <v>#N/A</v>
      </c>
      <c r="K23" s="482" t="e">
        <f>VLOOKUP(C23,PON.EXP.ESP.!$D$30:$J$229,5,FALSE)</f>
        <v>#N/A</v>
      </c>
      <c r="L23" s="481" t="e">
        <f>VLOOKUP(C23,PON.EXP.ESP.!$D$30:$J$229,6,FALSE)</f>
        <v>#N/A</v>
      </c>
      <c r="M23" s="482" t="e">
        <f>VLOOKUP(C23,PON.EXP.ESP.!$D$30:$J$229,7,FALSE)</f>
        <v>#N/A</v>
      </c>
      <c r="N23" s="481" t="e">
        <f>VLOOKUP(C23,VIN.PERS.DISC.!$C$19:$D$218,2,FALSE)</f>
        <v>#N/A</v>
      </c>
      <c r="O23" s="483" t="e">
        <f>VLOOKUP(C23,'APOYO A IND. NAL.'!$C$19:$D$218,2,FALSE)</f>
        <v>#N/A</v>
      </c>
      <c r="P23" s="484" t="e">
        <f>VLOOKUP(C23,RESUMENGEN!$D$20:$J$219,7,FALSE)</f>
        <v>#N/A</v>
      </c>
      <c r="Q23" s="478"/>
      <c r="R23" s="484" t="e">
        <f t="shared" si="1"/>
        <v>#N/A</v>
      </c>
      <c r="S23" s="485" t="e">
        <f t="shared" si="2"/>
        <v>#N/A</v>
      </c>
    </row>
    <row r="24" spans="2:19" hidden="1">
      <c r="B24" s="479">
        <v>20</v>
      </c>
      <c r="C24" s="479" t="e">
        <f>VLOOKUP(B24,RESUMENGEN!B39:E238,3,FALSE)</f>
        <v>#N/A</v>
      </c>
      <c r="D24" s="480" t="e">
        <f>VLOOKUP(B24,HAB.GEN.!$C$19:$I$218,3,FALSE)</f>
        <v>#N/A</v>
      </c>
      <c r="E24" s="480" t="e">
        <f>VLOOKUP(B24,HAB.GEN.!$C$19:$I$218,4,FALSE)</f>
        <v>#N/A</v>
      </c>
      <c r="F24" s="480" t="e">
        <f>VLOOKUP(B24,HAB.GEN.!$C$19:$I$218,5,FALSE)</f>
        <v>#N/A</v>
      </c>
      <c r="G24" s="480" t="e">
        <f>VLOOKUP(B24,HAB.GEN.!$C$19:$I$218,6,FALSE)</f>
        <v>#N/A</v>
      </c>
      <c r="H24" s="480" t="str">
        <f t="shared" si="0"/>
        <v>HÁBIL</v>
      </c>
      <c r="I24" s="480" t="e">
        <f>VLOOKUP(C24,PON.EXP.ESP.!$D$30:$J$229,3,FALSE)</f>
        <v>#N/A</v>
      </c>
      <c r="J24" s="481" t="e">
        <f>VLOOKUP(C24,PON.EXP.ESP.!$D$30:$J$229,4,FALSE)</f>
        <v>#N/A</v>
      </c>
      <c r="K24" s="482" t="e">
        <f>VLOOKUP(C24,PON.EXP.ESP.!$D$30:$J$229,5,FALSE)</f>
        <v>#N/A</v>
      </c>
      <c r="L24" s="481" t="e">
        <f>VLOOKUP(C24,PON.EXP.ESP.!$D$30:$J$229,6,FALSE)</f>
        <v>#N/A</v>
      </c>
      <c r="M24" s="482" t="e">
        <f>VLOOKUP(C24,PON.EXP.ESP.!$D$30:$J$229,7,FALSE)</f>
        <v>#N/A</v>
      </c>
      <c r="N24" s="481" t="e">
        <f>VLOOKUP(C24,VIN.PERS.DISC.!$C$19:$D$218,2,FALSE)</f>
        <v>#N/A</v>
      </c>
      <c r="O24" s="483" t="e">
        <f>VLOOKUP(C24,'APOYO A IND. NAL.'!$C$19:$D$218,2,FALSE)</f>
        <v>#N/A</v>
      </c>
      <c r="P24" s="484" t="e">
        <f>VLOOKUP(C24,RESUMENGEN!$D$20:$J$219,7,FALSE)</f>
        <v>#N/A</v>
      </c>
      <c r="Q24" s="478"/>
      <c r="R24" s="484" t="e">
        <f t="shared" si="1"/>
        <v>#N/A</v>
      </c>
      <c r="S24" s="485" t="e">
        <f t="shared" si="2"/>
        <v>#N/A</v>
      </c>
    </row>
    <row r="25" spans="2:19" hidden="1">
      <c r="B25" s="479">
        <v>21</v>
      </c>
      <c r="C25" s="479" t="e">
        <f>VLOOKUP(B25,RESUMENGEN!B40:E239,3,FALSE)</f>
        <v>#N/A</v>
      </c>
      <c r="D25" s="480" t="e">
        <f>VLOOKUP(B25,HAB.GEN.!$C$19:$I$218,3,FALSE)</f>
        <v>#N/A</v>
      </c>
      <c r="E25" s="480" t="e">
        <f>VLOOKUP(B25,HAB.GEN.!$C$19:$I$218,4,FALSE)</f>
        <v>#N/A</v>
      </c>
      <c r="F25" s="480" t="e">
        <f>VLOOKUP(B25,HAB.GEN.!$C$19:$I$218,5,FALSE)</f>
        <v>#N/A</v>
      </c>
      <c r="G25" s="480" t="e">
        <f>VLOOKUP(B25,HAB.GEN.!$C$19:$I$218,6,FALSE)</f>
        <v>#N/A</v>
      </c>
      <c r="H25" s="480" t="str">
        <f t="shared" si="0"/>
        <v>HÁBIL</v>
      </c>
      <c r="I25" s="480" t="e">
        <f>VLOOKUP(C25,PON.EXP.ESP.!$D$30:$J$229,3,FALSE)</f>
        <v>#N/A</v>
      </c>
      <c r="J25" s="481" t="e">
        <f>VLOOKUP(C25,PON.EXP.ESP.!$D$30:$J$229,4,FALSE)</f>
        <v>#N/A</v>
      </c>
      <c r="K25" s="482" t="e">
        <f>VLOOKUP(C25,PON.EXP.ESP.!$D$30:$J$229,5,FALSE)</f>
        <v>#N/A</v>
      </c>
      <c r="L25" s="481" t="e">
        <f>VLOOKUP(C25,PON.EXP.ESP.!$D$30:$J$229,6,FALSE)</f>
        <v>#N/A</v>
      </c>
      <c r="M25" s="482" t="e">
        <f>VLOOKUP(C25,PON.EXP.ESP.!$D$30:$J$229,7,FALSE)</f>
        <v>#N/A</v>
      </c>
      <c r="N25" s="481" t="e">
        <f>VLOOKUP(C25,VIN.PERS.DISC.!$C$19:$D$218,2,FALSE)</f>
        <v>#N/A</v>
      </c>
      <c r="O25" s="483" t="e">
        <f>VLOOKUP(C25,'APOYO A IND. NAL.'!$C$19:$D$218,2,FALSE)</f>
        <v>#N/A</v>
      </c>
      <c r="P25" s="484" t="e">
        <f>VLOOKUP(C25,RESUMENGEN!$D$20:$J$219,7,FALSE)</f>
        <v>#N/A</v>
      </c>
      <c r="Q25" s="478"/>
      <c r="R25" s="484" t="e">
        <f t="shared" si="1"/>
        <v>#N/A</v>
      </c>
      <c r="S25" s="485" t="e">
        <f t="shared" si="2"/>
        <v>#N/A</v>
      </c>
    </row>
    <row r="26" spans="2:19" hidden="1">
      <c r="B26" s="479">
        <v>22</v>
      </c>
      <c r="C26" s="479" t="e">
        <f>VLOOKUP(B26,RESUMENGEN!B41:E240,3,FALSE)</f>
        <v>#N/A</v>
      </c>
      <c r="D26" s="480" t="e">
        <f>VLOOKUP(B26,HAB.GEN.!$C$19:$I$218,3,FALSE)</f>
        <v>#N/A</v>
      </c>
      <c r="E26" s="480" t="e">
        <f>VLOOKUP(B26,HAB.GEN.!$C$19:$I$218,4,FALSE)</f>
        <v>#N/A</v>
      </c>
      <c r="F26" s="480" t="e">
        <f>VLOOKUP(B26,HAB.GEN.!$C$19:$I$218,5,FALSE)</f>
        <v>#N/A</v>
      </c>
      <c r="G26" s="480" t="e">
        <f>VLOOKUP(B26,HAB.GEN.!$C$19:$I$218,6,FALSE)</f>
        <v>#N/A</v>
      </c>
      <c r="H26" s="480" t="str">
        <f t="shared" si="0"/>
        <v>HÁBIL</v>
      </c>
      <c r="I26" s="480" t="e">
        <f>VLOOKUP(C26,PON.EXP.ESP.!$D$30:$J$229,3,FALSE)</f>
        <v>#N/A</v>
      </c>
      <c r="J26" s="481" t="e">
        <f>VLOOKUP(C26,PON.EXP.ESP.!$D$30:$J$229,4,FALSE)</f>
        <v>#N/A</v>
      </c>
      <c r="K26" s="482" t="e">
        <f>VLOOKUP(C26,PON.EXP.ESP.!$D$30:$J$229,5,FALSE)</f>
        <v>#N/A</v>
      </c>
      <c r="L26" s="481" t="e">
        <f>VLOOKUP(C26,PON.EXP.ESP.!$D$30:$J$229,6,FALSE)</f>
        <v>#N/A</v>
      </c>
      <c r="M26" s="482" t="e">
        <f>VLOOKUP(C26,PON.EXP.ESP.!$D$30:$J$229,7,FALSE)</f>
        <v>#N/A</v>
      </c>
      <c r="N26" s="481" t="e">
        <f>VLOOKUP(C26,VIN.PERS.DISC.!$C$19:$D$218,2,FALSE)</f>
        <v>#N/A</v>
      </c>
      <c r="O26" s="483" t="e">
        <f>VLOOKUP(C26,'APOYO A IND. NAL.'!$C$19:$D$218,2,FALSE)</f>
        <v>#N/A</v>
      </c>
      <c r="P26" s="484" t="e">
        <f>VLOOKUP(C26,RESUMENGEN!$D$20:$J$219,7,FALSE)</f>
        <v>#N/A</v>
      </c>
      <c r="Q26" s="478"/>
      <c r="R26" s="484" t="e">
        <f t="shared" si="1"/>
        <v>#N/A</v>
      </c>
      <c r="S26" s="485" t="e">
        <f t="shared" si="2"/>
        <v>#N/A</v>
      </c>
    </row>
    <row r="27" spans="2:19" hidden="1">
      <c r="B27" s="479">
        <v>23</v>
      </c>
      <c r="C27" s="479" t="e">
        <f>VLOOKUP(B27,RESUMENGEN!B42:E241,3,FALSE)</f>
        <v>#N/A</v>
      </c>
      <c r="D27" s="480" t="e">
        <f>VLOOKUP(B27,HAB.GEN.!$C$19:$I$218,3,FALSE)</f>
        <v>#N/A</v>
      </c>
      <c r="E27" s="480" t="e">
        <f>VLOOKUP(B27,HAB.GEN.!$C$19:$I$218,4,FALSE)</f>
        <v>#N/A</v>
      </c>
      <c r="F27" s="480" t="e">
        <f>VLOOKUP(B27,HAB.GEN.!$C$19:$I$218,5,FALSE)</f>
        <v>#N/A</v>
      </c>
      <c r="G27" s="480" t="e">
        <f>VLOOKUP(B27,HAB.GEN.!$C$19:$I$218,6,FALSE)</f>
        <v>#N/A</v>
      </c>
      <c r="H27" s="480" t="str">
        <f t="shared" si="0"/>
        <v>HÁBIL</v>
      </c>
      <c r="I27" s="480" t="e">
        <f>VLOOKUP(C27,PON.EXP.ESP.!$D$30:$J$229,3,FALSE)</f>
        <v>#N/A</v>
      </c>
      <c r="J27" s="481" t="e">
        <f>VLOOKUP(C27,PON.EXP.ESP.!$D$30:$J$229,4,FALSE)</f>
        <v>#N/A</v>
      </c>
      <c r="K27" s="482" t="e">
        <f>VLOOKUP(C27,PON.EXP.ESP.!$D$30:$J$229,5,FALSE)</f>
        <v>#N/A</v>
      </c>
      <c r="L27" s="481" t="e">
        <f>VLOOKUP(C27,PON.EXP.ESP.!$D$30:$J$229,6,FALSE)</f>
        <v>#N/A</v>
      </c>
      <c r="M27" s="482" t="e">
        <f>VLOOKUP(C27,PON.EXP.ESP.!$D$30:$J$229,7,FALSE)</f>
        <v>#N/A</v>
      </c>
      <c r="N27" s="481" t="e">
        <f>VLOOKUP(C27,VIN.PERS.DISC.!$C$19:$D$218,2,FALSE)</f>
        <v>#N/A</v>
      </c>
      <c r="O27" s="483" t="e">
        <f>VLOOKUP(C27,'APOYO A IND. NAL.'!$C$19:$D$218,2,FALSE)</f>
        <v>#N/A</v>
      </c>
      <c r="P27" s="484" t="e">
        <f>VLOOKUP(C27,RESUMENGEN!$D$20:$J$219,7,FALSE)</f>
        <v>#N/A</v>
      </c>
      <c r="Q27" s="478"/>
      <c r="R27" s="484" t="e">
        <f t="shared" si="1"/>
        <v>#N/A</v>
      </c>
      <c r="S27" s="485" t="e">
        <f t="shared" si="2"/>
        <v>#N/A</v>
      </c>
    </row>
    <row r="28" spans="2:19" hidden="1">
      <c r="B28" s="479">
        <v>24</v>
      </c>
      <c r="C28" s="479" t="e">
        <f>VLOOKUP(B28,RESUMENGEN!B43:E242,3,FALSE)</f>
        <v>#N/A</v>
      </c>
      <c r="D28" s="480" t="e">
        <f>VLOOKUP(B28,HAB.GEN.!$C$19:$I$218,3,FALSE)</f>
        <v>#N/A</v>
      </c>
      <c r="E28" s="480" t="e">
        <f>VLOOKUP(B28,HAB.GEN.!$C$19:$I$218,4,FALSE)</f>
        <v>#N/A</v>
      </c>
      <c r="F28" s="480" t="e">
        <f>VLOOKUP(B28,HAB.GEN.!$C$19:$I$218,5,FALSE)</f>
        <v>#N/A</v>
      </c>
      <c r="G28" s="480" t="e">
        <f>VLOOKUP(B28,HAB.GEN.!$C$19:$I$218,6,FALSE)</f>
        <v>#N/A</v>
      </c>
      <c r="H28" s="480" t="str">
        <f t="shared" si="0"/>
        <v>HÁBIL</v>
      </c>
      <c r="I28" s="480" t="e">
        <f>VLOOKUP(C28,PON.EXP.ESP.!$D$30:$J$229,3,FALSE)</f>
        <v>#N/A</v>
      </c>
      <c r="J28" s="481" t="e">
        <f>VLOOKUP(C28,PON.EXP.ESP.!$D$30:$J$229,4,FALSE)</f>
        <v>#N/A</v>
      </c>
      <c r="K28" s="482" t="e">
        <f>VLOOKUP(C28,PON.EXP.ESP.!$D$30:$J$229,5,FALSE)</f>
        <v>#N/A</v>
      </c>
      <c r="L28" s="481" t="e">
        <f>VLOOKUP(C28,PON.EXP.ESP.!$D$30:$J$229,6,FALSE)</f>
        <v>#N/A</v>
      </c>
      <c r="M28" s="482" t="e">
        <f>VLOOKUP(C28,PON.EXP.ESP.!$D$30:$J$229,7,FALSE)</f>
        <v>#N/A</v>
      </c>
      <c r="N28" s="481" t="e">
        <f>VLOOKUP(C28,VIN.PERS.DISC.!$C$19:$D$218,2,FALSE)</f>
        <v>#N/A</v>
      </c>
      <c r="O28" s="483" t="e">
        <f>VLOOKUP(C28,'APOYO A IND. NAL.'!$C$19:$D$218,2,FALSE)</f>
        <v>#N/A</v>
      </c>
      <c r="P28" s="484" t="e">
        <f>VLOOKUP(C28,RESUMENGEN!$D$20:$J$219,7,FALSE)</f>
        <v>#N/A</v>
      </c>
      <c r="Q28" s="478"/>
      <c r="R28" s="484" t="e">
        <f t="shared" si="1"/>
        <v>#N/A</v>
      </c>
      <c r="S28" s="485" t="e">
        <f t="shared" si="2"/>
        <v>#N/A</v>
      </c>
    </row>
    <row r="29" spans="2:19" hidden="1">
      <c r="B29" s="479">
        <v>25</v>
      </c>
      <c r="C29" s="479" t="e">
        <f>VLOOKUP(B29,RESUMENGEN!B44:E243,3,FALSE)</f>
        <v>#N/A</v>
      </c>
      <c r="D29" s="480" t="e">
        <f>VLOOKUP(B29,HAB.GEN.!$C$19:$I$218,3,FALSE)</f>
        <v>#N/A</v>
      </c>
      <c r="E29" s="480" t="e">
        <f>VLOOKUP(B29,HAB.GEN.!$C$19:$I$218,4,FALSE)</f>
        <v>#N/A</v>
      </c>
      <c r="F29" s="480" t="e">
        <f>VLOOKUP(B29,HAB.GEN.!$C$19:$I$218,5,FALSE)</f>
        <v>#N/A</v>
      </c>
      <c r="G29" s="480" t="e">
        <f>VLOOKUP(B29,HAB.GEN.!$C$19:$I$218,6,FALSE)</f>
        <v>#N/A</v>
      </c>
      <c r="H29" s="480" t="str">
        <f t="shared" si="0"/>
        <v>HÁBIL</v>
      </c>
      <c r="I29" s="480" t="e">
        <f>VLOOKUP(C29,PON.EXP.ESP.!$D$30:$J$229,3,FALSE)</f>
        <v>#N/A</v>
      </c>
      <c r="J29" s="481" t="e">
        <f>VLOOKUP(C29,PON.EXP.ESP.!$D$30:$J$229,4,FALSE)</f>
        <v>#N/A</v>
      </c>
      <c r="K29" s="482" t="e">
        <f>VLOOKUP(C29,PON.EXP.ESP.!$D$30:$J$229,5,FALSE)</f>
        <v>#N/A</v>
      </c>
      <c r="L29" s="481" t="e">
        <f>VLOOKUP(C29,PON.EXP.ESP.!$D$30:$J$229,6,FALSE)</f>
        <v>#N/A</v>
      </c>
      <c r="M29" s="482" t="e">
        <f>VLOOKUP(C29,PON.EXP.ESP.!$D$30:$J$229,7,FALSE)</f>
        <v>#N/A</v>
      </c>
      <c r="N29" s="481" t="e">
        <f>VLOOKUP(C29,VIN.PERS.DISC.!$C$19:$D$218,2,FALSE)</f>
        <v>#N/A</v>
      </c>
      <c r="O29" s="483" t="e">
        <f>VLOOKUP(C29,'APOYO A IND. NAL.'!$C$19:$D$218,2,FALSE)</f>
        <v>#N/A</v>
      </c>
      <c r="P29" s="484" t="e">
        <f>VLOOKUP(C29,RESUMENGEN!$D$20:$J$219,7,FALSE)</f>
        <v>#N/A</v>
      </c>
      <c r="Q29" s="478"/>
      <c r="R29" s="484" t="e">
        <f t="shared" si="1"/>
        <v>#N/A</v>
      </c>
      <c r="S29" s="485" t="e">
        <f t="shared" si="2"/>
        <v>#N/A</v>
      </c>
    </row>
    <row r="30" spans="2:19" hidden="1">
      <c r="B30" s="479">
        <v>26</v>
      </c>
      <c r="C30" s="479" t="e">
        <f>VLOOKUP(B30,RESUMENGEN!B45:E244,3,FALSE)</f>
        <v>#N/A</v>
      </c>
      <c r="D30" s="480" t="e">
        <f>VLOOKUP(B30,HAB.GEN.!$C$19:$I$218,3,FALSE)</f>
        <v>#N/A</v>
      </c>
      <c r="E30" s="480" t="e">
        <f>VLOOKUP(B30,HAB.GEN.!$C$19:$I$218,4,FALSE)</f>
        <v>#N/A</v>
      </c>
      <c r="F30" s="480" t="e">
        <f>VLOOKUP(B30,HAB.GEN.!$C$19:$I$218,5,FALSE)</f>
        <v>#N/A</v>
      </c>
      <c r="G30" s="480" t="e">
        <f>VLOOKUP(B30,HAB.GEN.!$C$19:$I$218,6,FALSE)</f>
        <v>#N/A</v>
      </c>
      <c r="H30" s="480" t="str">
        <f t="shared" si="0"/>
        <v>HÁBIL</v>
      </c>
      <c r="I30" s="480" t="e">
        <f>VLOOKUP(C30,PON.EXP.ESP.!$D$30:$J$229,3,FALSE)</f>
        <v>#N/A</v>
      </c>
      <c r="J30" s="481" t="e">
        <f>VLOOKUP(C30,PON.EXP.ESP.!$D$30:$J$229,4,FALSE)</f>
        <v>#N/A</v>
      </c>
      <c r="K30" s="482" t="e">
        <f>VLOOKUP(C30,PON.EXP.ESP.!$D$30:$J$229,5,FALSE)</f>
        <v>#N/A</v>
      </c>
      <c r="L30" s="481" t="e">
        <f>VLOOKUP(C30,PON.EXP.ESP.!$D$30:$J$229,6,FALSE)</f>
        <v>#N/A</v>
      </c>
      <c r="M30" s="482" t="e">
        <f>VLOOKUP(C30,PON.EXP.ESP.!$D$30:$J$229,7,FALSE)</f>
        <v>#N/A</v>
      </c>
      <c r="N30" s="481" t="e">
        <f>VLOOKUP(C30,VIN.PERS.DISC.!$C$19:$D$218,2,FALSE)</f>
        <v>#N/A</v>
      </c>
      <c r="O30" s="483" t="e">
        <f>VLOOKUP(C30,'APOYO A IND. NAL.'!$C$19:$D$218,2,FALSE)</f>
        <v>#N/A</v>
      </c>
      <c r="P30" s="484" t="e">
        <f>VLOOKUP(C30,RESUMENGEN!$D$20:$J$219,7,FALSE)</f>
        <v>#N/A</v>
      </c>
      <c r="Q30" s="478"/>
      <c r="R30" s="484" t="e">
        <f t="shared" si="1"/>
        <v>#N/A</v>
      </c>
      <c r="S30" s="485" t="e">
        <f t="shared" si="2"/>
        <v>#N/A</v>
      </c>
    </row>
    <row r="31" spans="2:19" hidden="1">
      <c r="B31" s="479">
        <v>27</v>
      </c>
      <c r="C31" s="479" t="e">
        <f>VLOOKUP(B31,RESUMENGEN!B46:E245,3,FALSE)</f>
        <v>#N/A</v>
      </c>
      <c r="D31" s="480" t="e">
        <f>VLOOKUP(B31,HAB.GEN.!$C$19:$I$218,3,FALSE)</f>
        <v>#N/A</v>
      </c>
      <c r="E31" s="480" t="e">
        <f>VLOOKUP(B31,HAB.GEN.!$C$19:$I$218,4,FALSE)</f>
        <v>#N/A</v>
      </c>
      <c r="F31" s="480" t="e">
        <f>VLOOKUP(B31,HAB.GEN.!$C$19:$I$218,5,FALSE)</f>
        <v>#N/A</v>
      </c>
      <c r="G31" s="480" t="e">
        <f>VLOOKUP(B31,HAB.GEN.!$C$19:$I$218,6,FALSE)</f>
        <v>#N/A</v>
      </c>
      <c r="H31" s="480" t="str">
        <f t="shared" si="0"/>
        <v>HÁBIL</v>
      </c>
      <c r="I31" s="480" t="e">
        <f>VLOOKUP(C31,PON.EXP.ESP.!$D$30:$J$229,3,FALSE)</f>
        <v>#N/A</v>
      </c>
      <c r="J31" s="481" t="e">
        <f>VLOOKUP(C31,PON.EXP.ESP.!$D$30:$J$229,4,FALSE)</f>
        <v>#N/A</v>
      </c>
      <c r="K31" s="482" t="e">
        <f>VLOOKUP(C31,PON.EXP.ESP.!$D$30:$J$229,5,FALSE)</f>
        <v>#N/A</v>
      </c>
      <c r="L31" s="481" t="e">
        <f>VLOOKUP(C31,PON.EXP.ESP.!$D$30:$J$229,6,FALSE)</f>
        <v>#N/A</v>
      </c>
      <c r="M31" s="482" t="e">
        <f>VLOOKUP(C31,PON.EXP.ESP.!$D$30:$J$229,7,FALSE)</f>
        <v>#N/A</v>
      </c>
      <c r="N31" s="481" t="e">
        <f>VLOOKUP(C31,VIN.PERS.DISC.!$C$19:$D$218,2,FALSE)</f>
        <v>#N/A</v>
      </c>
      <c r="O31" s="483" t="e">
        <f>VLOOKUP(C31,'APOYO A IND. NAL.'!$C$19:$D$218,2,FALSE)</f>
        <v>#N/A</v>
      </c>
      <c r="P31" s="484" t="e">
        <f>VLOOKUP(C31,RESUMENGEN!$D$20:$J$219,7,FALSE)</f>
        <v>#N/A</v>
      </c>
      <c r="Q31" s="478"/>
      <c r="R31" s="484" t="e">
        <f t="shared" si="1"/>
        <v>#N/A</v>
      </c>
      <c r="S31" s="485" t="e">
        <f t="shared" si="2"/>
        <v>#N/A</v>
      </c>
    </row>
    <row r="32" spans="2:19" hidden="1">
      <c r="B32" s="479">
        <v>28</v>
      </c>
      <c r="C32" s="479" t="e">
        <f>VLOOKUP(B32,RESUMENGEN!B47:E246,3,FALSE)</f>
        <v>#N/A</v>
      </c>
      <c r="D32" s="480" t="e">
        <f>VLOOKUP(B32,HAB.GEN.!$C$19:$I$218,3,FALSE)</f>
        <v>#N/A</v>
      </c>
      <c r="E32" s="480" t="e">
        <f>VLOOKUP(B32,HAB.GEN.!$C$19:$I$218,4,FALSE)</f>
        <v>#N/A</v>
      </c>
      <c r="F32" s="480" t="e">
        <f>VLOOKUP(B32,HAB.GEN.!$C$19:$I$218,5,FALSE)</f>
        <v>#N/A</v>
      </c>
      <c r="G32" s="480" t="e">
        <f>VLOOKUP(B32,HAB.GEN.!$C$19:$I$218,6,FALSE)</f>
        <v>#N/A</v>
      </c>
      <c r="H32" s="480" t="str">
        <f t="shared" si="0"/>
        <v>HÁBIL</v>
      </c>
      <c r="I32" s="480" t="e">
        <f>VLOOKUP(C32,PON.EXP.ESP.!$D$30:$J$229,3,FALSE)</f>
        <v>#N/A</v>
      </c>
      <c r="J32" s="481" t="e">
        <f>VLOOKUP(C32,PON.EXP.ESP.!$D$30:$J$229,4,FALSE)</f>
        <v>#N/A</v>
      </c>
      <c r="K32" s="482" t="e">
        <f>VLOOKUP(C32,PON.EXP.ESP.!$D$30:$J$229,5,FALSE)</f>
        <v>#N/A</v>
      </c>
      <c r="L32" s="481" t="e">
        <f>VLOOKUP(C32,PON.EXP.ESP.!$D$30:$J$229,6,FALSE)</f>
        <v>#N/A</v>
      </c>
      <c r="M32" s="482" t="e">
        <f>VLOOKUP(C32,PON.EXP.ESP.!$D$30:$J$229,7,FALSE)</f>
        <v>#N/A</v>
      </c>
      <c r="N32" s="481" t="e">
        <f>VLOOKUP(C32,VIN.PERS.DISC.!$C$19:$D$218,2,FALSE)</f>
        <v>#N/A</v>
      </c>
      <c r="O32" s="483" t="e">
        <f>VLOOKUP(C32,'APOYO A IND. NAL.'!$C$19:$D$218,2,FALSE)</f>
        <v>#N/A</v>
      </c>
      <c r="P32" s="484" t="e">
        <f>VLOOKUP(C32,RESUMENGEN!$D$20:$J$219,7,FALSE)</f>
        <v>#N/A</v>
      </c>
      <c r="Q32" s="478"/>
      <c r="R32" s="484" t="e">
        <f t="shared" si="1"/>
        <v>#N/A</v>
      </c>
      <c r="S32" s="485" t="e">
        <f t="shared" si="2"/>
        <v>#N/A</v>
      </c>
    </row>
    <row r="33" spans="2:19" hidden="1">
      <c r="B33" s="479">
        <v>29</v>
      </c>
      <c r="C33" s="479" t="e">
        <f>VLOOKUP(B33,RESUMENGEN!B48:E247,3,FALSE)</f>
        <v>#N/A</v>
      </c>
      <c r="D33" s="480" t="e">
        <f>VLOOKUP(B33,HAB.GEN.!$C$19:$I$218,3,FALSE)</f>
        <v>#N/A</v>
      </c>
      <c r="E33" s="480" t="e">
        <f>VLOOKUP(B33,HAB.GEN.!$C$19:$I$218,4,FALSE)</f>
        <v>#N/A</v>
      </c>
      <c r="F33" s="480" t="e">
        <f>VLOOKUP(B33,HAB.GEN.!$C$19:$I$218,5,FALSE)</f>
        <v>#N/A</v>
      </c>
      <c r="G33" s="480" t="e">
        <f>VLOOKUP(B33,HAB.GEN.!$C$19:$I$218,6,FALSE)</f>
        <v>#N/A</v>
      </c>
      <c r="H33" s="480" t="str">
        <f t="shared" si="0"/>
        <v>HÁBIL</v>
      </c>
      <c r="I33" s="480" t="e">
        <f>VLOOKUP(C33,PON.EXP.ESP.!$D$30:$J$229,3,FALSE)</f>
        <v>#N/A</v>
      </c>
      <c r="J33" s="481" t="e">
        <f>VLOOKUP(C33,PON.EXP.ESP.!$D$30:$J$229,4,FALSE)</f>
        <v>#N/A</v>
      </c>
      <c r="K33" s="482" t="e">
        <f>VLOOKUP(C33,PON.EXP.ESP.!$D$30:$J$229,5,FALSE)</f>
        <v>#N/A</v>
      </c>
      <c r="L33" s="481" t="e">
        <f>VLOOKUP(C33,PON.EXP.ESP.!$D$30:$J$229,6,FALSE)</f>
        <v>#N/A</v>
      </c>
      <c r="M33" s="482" t="e">
        <f>VLOOKUP(C33,PON.EXP.ESP.!$D$30:$J$229,7,FALSE)</f>
        <v>#N/A</v>
      </c>
      <c r="N33" s="481" t="e">
        <f>VLOOKUP(C33,VIN.PERS.DISC.!$C$19:$D$218,2,FALSE)</f>
        <v>#N/A</v>
      </c>
      <c r="O33" s="483" t="e">
        <f>VLOOKUP(C33,'APOYO A IND. NAL.'!$C$19:$D$218,2,FALSE)</f>
        <v>#N/A</v>
      </c>
      <c r="P33" s="484" t="e">
        <f>VLOOKUP(C33,RESUMENGEN!$D$20:$J$219,7,FALSE)</f>
        <v>#N/A</v>
      </c>
      <c r="Q33" s="478"/>
      <c r="R33" s="484" t="e">
        <f t="shared" si="1"/>
        <v>#N/A</v>
      </c>
      <c r="S33" s="485" t="e">
        <f t="shared" si="2"/>
        <v>#N/A</v>
      </c>
    </row>
    <row r="34" spans="2:19" hidden="1">
      <c r="B34" s="479">
        <v>30</v>
      </c>
      <c r="C34" s="479" t="e">
        <f>VLOOKUP(B34,RESUMENGEN!B49:E248,3,FALSE)</f>
        <v>#N/A</v>
      </c>
      <c r="D34" s="480" t="e">
        <f>VLOOKUP(B34,HAB.GEN.!$C$19:$I$218,3,FALSE)</f>
        <v>#N/A</v>
      </c>
      <c r="E34" s="480" t="e">
        <f>VLOOKUP(B34,HAB.GEN.!$C$19:$I$218,4,FALSE)</f>
        <v>#N/A</v>
      </c>
      <c r="F34" s="480" t="e">
        <f>VLOOKUP(B34,HAB.GEN.!$C$19:$I$218,5,FALSE)</f>
        <v>#N/A</v>
      </c>
      <c r="G34" s="480" t="e">
        <f>VLOOKUP(B34,HAB.GEN.!$C$19:$I$218,6,FALSE)</f>
        <v>#N/A</v>
      </c>
      <c r="H34" s="480" t="str">
        <f t="shared" si="0"/>
        <v>HÁBIL</v>
      </c>
      <c r="I34" s="480" t="e">
        <f>VLOOKUP(C34,PON.EXP.ESP.!$D$30:$J$229,3,FALSE)</f>
        <v>#N/A</v>
      </c>
      <c r="J34" s="481" t="e">
        <f>VLOOKUP(C34,PON.EXP.ESP.!$D$30:$J$229,4,FALSE)</f>
        <v>#N/A</v>
      </c>
      <c r="K34" s="482" t="e">
        <f>VLOOKUP(C34,PON.EXP.ESP.!$D$30:$J$229,5,FALSE)</f>
        <v>#N/A</v>
      </c>
      <c r="L34" s="481" t="e">
        <f>VLOOKUP(C34,PON.EXP.ESP.!$D$30:$J$229,6,FALSE)</f>
        <v>#N/A</v>
      </c>
      <c r="M34" s="482" t="e">
        <f>VLOOKUP(C34,PON.EXP.ESP.!$D$30:$J$229,7,FALSE)</f>
        <v>#N/A</v>
      </c>
      <c r="N34" s="481" t="e">
        <f>VLOOKUP(C34,VIN.PERS.DISC.!$C$19:$D$218,2,FALSE)</f>
        <v>#N/A</v>
      </c>
      <c r="O34" s="483" t="e">
        <f>VLOOKUP(C34,'APOYO A IND. NAL.'!$C$19:$D$218,2,FALSE)</f>
        <v>#N/A</v>
      </c>
      <c r="P34" s="484" t="e">
        <f>VLOOKUP(C34,RESUMENGEN!$D$20:$J$219,7,FALSE)</f>
        <v>#N/A</v>
      </c>
      <c r="Q34" s="478"/>
      <c r="R34" s="484" t="e">
        <f t="shared" si="1"/>
        <v>#N/A</v>
      </c>
      <c r="S34" s="485" t="e">
        <f t="shared" si="2"/>
        <v>#N/A</v>
      </c>
    </row>
    <row r="35" spans="2:19" hidden="1">
      <c r="B35" s="479">
        <v>31</v>
      </c>
      <c r="C35" s="479" t="e">
        <f>VLOOKUP(B35,RESUMENGEN!B50:E249,3,FALSE)</f>
        <v>#N/A</v>
      </c>
      <c r="D35" s="480" t="e">
        <f>VLOOKUP(B35,HAB.GEN.!$C$19:$I$218,3,FALSE)</f>
        <v>#N/A</v>
      </c>
      <c r="E35" s="480" t="e">
        <f>VLOOKUP(B35,HAB.GEN.!$C$19:$I$218,4,FALSE)</f>
        <v>#N/A</v>
      </c>
      <c r="F35" s="480" t="e">
        <f>VLOOKUP(B35,HAB.GEN.!$C$19:$I$218,5,FALSE)</f>
        <v>#N/A</v>
      </c>
      <c r="G35" s="480" t="e">
        <f>VLOOKUP(B35,HAB.GEN.!$C$19:$I$218,6,FALSE)</f>
        <v>#N/A</v>
      </c>
      <c r="H35" s="480" t="str">
        <f t="shared" si="0"/>
        <v>HÁBIL</v>
      </c>
      <c r="I35" s="480" t="e">
        <f>VLOOKUP(C35,PON.EXP.ESP.!$D$30:$J$229,3,FALSE)</f>
        <v>#N/A</v>
      </c>
      <c r="J35" s="481" t="e">
        <f>VLOOKUP(C35,PON.EXP.ESP.!$D$30:$J$229,4,FALSE)</f>
        <v>#N/A</v>
      </c>
      <c r="K35" s="482" t="e">
        <f>VLOOKUP(C35,PON.EXP.ESP.!$D$30:$J$229,5,FALSE)</f>
        <v>#N/A</v>
      </c>
      <c r="L35" s="481" t="e">
        <f>VLOOKUP(C35,PON.EXP.ESP.!$D$30:$J$229,6,FALSE)</f>
        <v>#N/A</v>
      </c>
      <c r="M35" s="482" t="e">
        <f>VLOOKUP(C35,PON.EXP.ESP.!$D$30:$J$229,7,FALSE)</f>
        <v>#N/A</v>
      </c>
      <c r="N35" s="481" t="e">
        <f>VLOOKUP(C35,VIN.PERS.DISC.!$C$19:$D$218,2,FALSE)</f>
        <v>#N/A</v>
      </c>
      <c r="O35" s="483" t="e">
        <f>VLOOKUP(C35,'APOYO A IND. NAL.'!$C$19:$D$218,2,FALSE)</f>
        <v>#N/A</v>
      </c>
      <c r="P35" s="484" t="e">
        <f>VLOOKUP(C35,RESUMENGEN!$D$20:$J$219,7,FALSE)</f>
        <v>#N/A</v>
      </c>
      <c r="Q35" s="478"/>
      <c r="R35" s="484" t="e">
        <f t="shared" si="1"/>
        <v>#N/A</v>
      </c>
      <c r="S35" s="485" t="e">
        <f t="shared" si="2"/>
        <v>#N/A</v>
      </c>
    </row>
    <row r="36" spans="2:19" hidden="1">
      <c r="B36" s="479">
        <v>32</v>
      </c>
      <c r="C36" s="479" t="e">
        <f>VLOOKUP(B36,RESUMENGEN!B51:E250,3,FALSE)</f>
        <v>#N/A</v>
      </c>
      <c r="D36" s="480" t="e">
        <f>VLOOKUP(B36,HAB.GEN.!$C$19:$I$218,3,FALSE)</f>
        <v>#N/A</v>
      </c>
      <c r="E36" s="480" t="e">
        <f>VLOOKUP(B36,HAB.GEN.!$C$19:$I$218,4,FALSE)</f>
        <v>#N/A</v>
      </c>
      <c r="F36" s="480" t="e">
        <f>VLOOKUP(B36,HAB.GEN.!$C$19:$I$218,5,FALSE)</f>
        <v>#N/A</v>
      </c>
      <c r="G36" s="480" t="e">
        <f>VLOOKUP(B36,HAB.GEN.!$C$19:$I$218,6,FALSE)</f>
        <v>#N/A</v>
      </c>
      <c r="H36" s="480" t="str">
        <f t="shared" si="0"/>
        <v>HÁBIL</v>
      </c>
      <c r="I36" s="480" t="e">
        <f>VLOOKUP(C36,PON.EXP.ESP.!$D$30:$J$229,3,FALSE)</f>
        <v>#N/A</v>
      </c>
      <c r="J36" s="481" t="e">
        <f>VLOOKUP(C36,PON.EXP.ESP.!$D$30:$J$229,4,FALSE)</f>
        <v>#N/A</v>
      </c>
      <c r="K36" s="482" t="e">
        <f>VLOOKUP(C36,PON.EXP.ESP.!$D$30:$J$229,5,FALSE)</f>
        <v>#N/A</v>
      </c>
      <c r="L36" s="481" t="e">
        <f>VLOOKUP(C36,PON.EXP.ESP.!$D$30:$J$229,6,FALSE)</f>
        <v>#N/A</v>
      </c>
      <c r="M36" s="482" t="e">
        <f>VLOOKUP(C36,PON.EXP.ESP.!$D$30:$J$229,7,FALSE)</f>
        <v>#N/A</v>
      </c>
      <c r="N36" s="481" t="e">
        <f>VLOOKUP(C36,VIN.PERS.DISC.!$C$19:$D$218,2,FALSE)</f>
        <v>#N/A</v>
      </c>
      <c r="O36" s="483" t="e">
        <f>VLOOKUP(C36,'APOYO A IND. NAL.'!$C$19:$D$218,2,FALSE)</f>
        <v>#N/A</v>
      </c>
      <c r="P36" s="484" t="e">
        <f>VLOOKUP(C36,RESUMENGEN!$D$20:$J$219,7,FALSE)</f>
        <v>#N/A</v>
      </c>
      <c r="Q36" s="478"/>
      <c r="R36" s="484" t="e">
        <f t="shared" si="1"/>
        <v>#N/A</v>
      </c>
      <c r="S36" s="485" t="e">
        <f t="shared" si="2"/>
        <v>#N/A</v>
      </c>
    </row>
    <row r="37" spans="2:19" hidden="1">
      <c r="B37" s="479">
        <v>33</v>
      </c>
      <c r="C37" s="479" t="e">
        <f>VLOOKUP(B37,RESUMENGEN!B52:E251,3,FALSE)</f>
        <v>#N/A</v>
      </c>
      <c r="D37" s="480" t="e">
        <f>VLOOKUP(B37,HAB.GEN.!$C$19:$I$218,3,FALSE)</f>
        <v>#N/A</v>
      </c>
      <c r="E37" s="480" t="e">
        <f>VLOOKUP(B37,HAB.GEN.!$C$19:$I$218,4,FALSE)</f>
        <v>#N/A</v>
      </c>
      <c r="F37" s="480" t="e">
        <f>VLOOKUP(B37,HAB.GEN.!$C$19:$I$218,5,FALSE)</f>
        <v>#N/A</v>
      </c>
      <c r="G37" s="480" t="e">
        <f>VLOOKUP(B37,HAB.GEN.!$C$19:$I$218,6,FALSE)</f>
        <v>#N/A</v>
      </c>
      <c r="H37" s="480" t="str">
        <f t="shared" si="0"/>
        <v>HÁBIL</v>
      </c>
      <c r="I37" s="480" t="e">
        <f>VLOOKUP(C37,PON.EXP.ESP.!$D$30:$J$229,3,FALSE)</f>
        <v>#N/A</v>
      </c>
      <c r="J37" s="481" t="e">
        <f>VLOOKUP(C37,PON.EXP.ESP.!$D$30:$J$229,4,FALSE)</f>
        <v>#N/A</v>
      </c>
      <c r="K37" s="482" t="e">
        <f>VLOOKUP(C37,PON.EXP.ESP.!$D$30:$J$229,5,FALSE)</f>
        <v>#N/A</v>
      </c>
      <c r="L37" s="481" t="e">
        <f>VLOOKUP(C37,PON.EXP.ESP.!$D$30:$J$229,6,FALSE)</f>
        <v>#N/A</v>
      </c>
      <c r="M37" s="482" t="e">
        <f>VLOOKUP(C37,PON.EXP.ESP.!$D$30:$J$229,7,FALSE)</f>
        <v>#N/A</v>
      </c>
      <c r="N37" s="481" t="e">
        <f>VLOOKUP(C37,VIN.PERS.DISC.!$C$19:$D$218,2,FALSE)</f>
        <v>#N/A</v>
      </c>
      <c r="O37" s="483" t="e">
        <f>VLOOKUP(C37,'APOYO A IND. NAL.'!$C$19:$D$218,2,FALSE)</f>
        <v>#N/A</v>
      </c>
      <c r="P37" s="484" t="e">
        <f>VLOOKUP(C37,RESUMENGEN!$D$20:$J$219,7,FALSE)</f>
        <v>#N/A</v>
      </c>
      <c r="Q37" s="478"/>
      <c r="R37" s="484" t="e">
        <f t="shared" si="1"/>
        <v>#N/A</v>
      </c>
      <c r="S37" s="485" t="e">
        <f t="shared" si="2"/>
        <v>#N/A</v>
      </c>
    </row>
    <row r="38" spans="2:19" hidden="1">
      <c r="B38" s="479">
        <v>34</v>
      </c>
      <c r="C38" s="479" t="e">
        <f>VLOOKUP(B38,RESUMENGEN!B53:E252,3,FALSE)</f>
        <v>#N/A</v>
      </c>
      <c r="D38" s="480" t="e">
        <f>VLOOKUP(B38,HAB.GEN.!$C$19:$I$218,3,FALSE)</f>
        <v>#N/A</v>
      </c>
      <c r="E38" s="480" t="e">
        <f>VLOOKUP(B38,HAB.GEN.!$C$19:$I$218,4,FALSE)</f>
        <v>#N/A</v>
      </c>
      <c r="F38" s="480" t="e">
        <f>VLOOKUP(B38,HAB.GEN.!$C$19:$I$218,5,FALSE)</f>
        <v>#N/A</v>
      </c>
      <c r="G38" s="480" t="e">
        <f>VLOOKUP(B38,HAB.GEN.!$C$19:$I$218,6,FALSE)</f>
        <v>#N/A</v>
      </c>
      <c r="H38" s="480" t="str">
        <f t="shared" si="0"/>
        <v>HÁBIL</v>
      </c>
      <c r="I38" s="480" t="e">
        <f>VLOOKUP(C38,PON.EXP.ESP.!$D$30:$J$229,3,FALSE)</f>
        <v>#N/A</v>
      </c>
      <c r="J38" s="481" t="e">
        <f>VLOOKUP(C38,PON.EXP.ESP.!$D$30:$J$229,4,FALSE)</f>
        <v>#N/A</v>
      </c>
      <c r="K38" s="482" t="e">
        <f>VLOOKUP(C38,PON.EXP.ESP.!$D$30:$J$229,5,FALSE)</f>
        <v>#N/A</v>
      </c>
      <c r="L38" s="481" t="e">
        <f>VLOOKUP(C38,PON.EXP.ESP.!$D$30:$J$229,6,FALSE)</f>
        <v>#N/A</v>
      </c>
      <c r="M38" s="482" t="e">
        <f>VLOOKUP(C38,PON.EXP.ESP.!$D$30:$J$229,7,FALSE)</f>
        <v>#N/A</v>
      </c>
      <c r="N38" s="481" t="e">
        <f>VLOOKUP(C38,VIN.PERS.DISC.!$C$19:$D$218,2,FALSE)</f>
        <v>#N/A</v>
      </c>
      <c r="O38" s="483" t="e">
        <f>VLOOKUP(C38,'APOYO A IND. NAL.'!$C$19:$D$218,2,FALSE)</f>
        <v>#N/A</v>
      </c>
      <c r="P38" s="484" t="e">
        <f>VLOOKUP(C38,RESUMENGEN!$D$20:$J$219,7,FALSE)</f>
        <v>#N/A</v>
      </c>
      <c r="Q38" s="478"/>
      <c r="R38" s="484" t="e">
        <f t="shared" si="1"/>
        <v>#N/A</v>
      </c>
      <c r="S38" s="485" t="e">
        <f t="shared" si="2"/>
        <v>#N/A</v>
      </c>
    </row>
    <row r="39" spans="2:19" hidden="1">
      <c r="B39" s="479">
        <v>35</v>
      </c>
      <c r="C39" s="479" t="e">
        <f>VLOOKUP(B39,RESUMENGEN!B54:E253,3,FALSE)</f>
        <v>#N/A</v>
      </c>
      <c r="D39" s="480" t="e">
        <f>VLOOKUP(B39,HAB.GEN.!$C$19:$I$218,3,FALSE)</f>
        <v>#N/A</v>
      </c>
      <c r="E39" s="480" t="e">
        <f>VLOOKUP(B39,HAB.GEN.!$C$19:$I$218,4,FALSE)</f>
        <v>#N/A</v>
      </c>
      <c r="F39" s="480" t="e">
        <f>VLOOKUP(B39,HAB.GEN.!$C$19:$I$218,5,FALSE)</f>
        <v>#N/A</v>
      </c>
      <c r="G39" s="480" t="e">
        <f>VLOOKUP(B39,HAB.GEN.!$C$19:$I$218,6,FALSE)</f>
        <v>#N/A</v>
      </c>
      <c r="H39" s="480" t="str">
        <f t="shared" si="0"/>
        <v>HÁBIL</v>
      </c>
      <c r="I39" s="480" t="e">
        <f>VLOOKUP(C39,PON.EXP.ESP.!$D$30:$J$229,3,FALSE)</f>
        <v>#N/A</v>
      </c>
      <c r="J39" s="481" t="e">
        <f>VLOOKUP(C39,PON.EXP.ESP.!$D$30:$J$229,4,FALSE)</f>
        <v>#N/A</v>
      </c>
      <c r="K39" s="482" t="e">
        <f>VLOOKUP(C39,PON.EXP.ESP.!$D$30:$J$229,5,FALSE)</f>
        <v>#N/A</v>
      </c>
      <c r="L39" s="481" t="e">
        <f>VLOOKUP(C39,PON.EXP.ESP.!$D$30:$J$229,6,FALSE)</f>
        <v>#N/A</v>
      </c>
      <c r="M39" s="482" t="e">
        <f>VLOOKUP(C39,PON.EXP.ESP.!$D$30:$J$229,7,FALSE)</f>
        <v>#N/A</v>
      </c>
      <c r="N39" s="481" t="e">
        <f>VLOOKUP(C39,VIN.PERS.DISC.!$C$19:$D$218,2,FALSE)</f>
        <v>#N/A</v>
      </c>
      <c r="O39" s="483" t="e">
        <f>VLOOKUP(C39,'APOYO A IND. NAL.'!$C$19:$D$218,2,FALSE)</f>
        <v>#N/A</v>
      </c>
      <c r="P39" s="484" t="e">
        <f>VLOOKUP(C39,RESUMENGEN!$D$20:$J$219,7,FALSE)</f>
        <v>#N/A</v>
      </c>
      <c r="Q39" s="478"/>
      <c r="R39" s="484" t="e">
        <f t="shared" si="1"/>
        <v>#N/A</v>
      </c>
      <c r="S39" s="485" t="e">
        <f t="shared" si="2"/>
        <v>#N/A</v>
      </c>
    </row>
    <row r="40" spans="2:19" hidden="1">
      <c r="B40" s="479">
        <v>36</v>
      </c>
      <c r="C40" s="479" t="e">
        <f>VLOOKUP(B40,RESUMENGEN!B55:E254,3,FALSE)</f>
        <v>#N/A</v>
      </c>
      <c r="D40" s="480" t="e">
        <f>VLOOKUP(B40,HAB.GEN.!$C$19:$I$218,3,FALSE)</f>
        <v>#N/A</v>
      </c>
      <c r="E40" s="480" t="e">
        <f>VLOOKUP(B40,HAB.GEN.!$C$19:$I$218,4,FALSE)</f>
        <v>#N/A</v>
      </c>
      <c r="F40" s="480" t="e">
        <f>VLOOKUP(B40,HAB.GEN.!$C$19:$I$218,5,FALSE)</f>
        <v>#N/A</v>
      </c>
      <c r="G40" s="480" t="e">
        <f>VLOOKUP(B40,HAB.GEN.!$C$19:$I$218,6,FALSE)</f>
        <v>#N/A</v>
      </c>
      <c r="H40" s="480" t="str">
        <f t="shared" si="0"/>
        <v>HÁBIL</v>
      </c>
      <c r="I40" s="480" t="e">
        <f>VLOOKUP(C40,PON.EXP.ESP.!$D$30:$J$229,3,FALSE)</f>
        <v>#N/A</v>
      </c>
      <c r="J40" s="481" t="e">
        <f>VLOOKUP(C40,PON.EXP.ESP.!$D$30:$J$229,4,FALSE)</f>
        <v>#N/A</v>
      </c>
      <c r="K40" s="482" t="e">
        <f>VLOOKUP(C40,PON.EXP.ESP.!$D$30:$J$229,5,FALSE)</f>
        <v>#N/A</v>
      </c>
      <c r="L40" s="481" t="e">
        <f>VLOOKUP(C40,PON.EXP.ESP.!$D$30:$J$229,6,FALSE)</f>
        <v>#N/A</v>
      </c>
      <c r="M40" s="482" t="e">
        <f>VLOOKUP(C40,PON.EXP.ESP.!$D$30:$J$229,7,FALSE)</f>
        <v>#N/A</v>
      </c>
      <c r="N40" s="481" t="e">
        <f>VLOOKUP(C40,VIN.PERS.DISC.!$C$19:$D$218,2,FALSE)</f>
        <v>#N/A</v>
      </c>
      <c r="O40" s="483" t="e">
        <f>VLOOKUP(C40,'APOYO A IND. NAL.'!$C$19:$D$218,2,FALSE)</f>
        <v>#N/A</v>
      </c>
      <c r="P40" s="484" t="e">
        <f>VLOOKUP(C40,RESUMENGEN!$D$20:$J$219,7,FALSE)</f>
        <v>#N/A</v>
      </c>
      <c r="Q40" s="478"/>
      <c r="R40" s="484" t="e">
        <f t="shared" si="1"/>
        <v>#N/A</v>
      </c>
      <c r="S40" s="485" t="e">
        <f t="shared" si="2"/>
        <v>#N/A</v>
      </c>
    </row>
    <row r="41" spans="2:19" hidden="1">
      <c r="B41" s="479">
        <v>37</v>
      </c>
      <c r="C41" s="479" t="e">
        <f>VLOOKUP(B41,RESUMENGEN!B56:E255,3,FALSE)</f>
        <v>#N/A</v>
      </c>
      <c r="D41" s="480" t="e">
        <f>VLOOKUP(B41,HAB.GEN.!$C$19:$I$218,3,FALSE)</f>
        <v>#N/A</v>
      </c>
      <c r="E41" s="480" t="e">
        <f>VLOOKUP(B41,HAB.GEN.!$C$19:$I$218,4,FALSE)</f>
        <v>#N/A</v>
      </c>
      <c r="F41" s="480" t="e">
        <f>VLOOKUP(B41,HAB.GEN.!$C$19:$I$218,5,FALSE)</f>
        <v>#N/A</v>
      </c>
      <c r="G41" s="480" t="e">
        <f>VLOOKUP(B41,HAB.GEN.!$C$19:$I$218,6,FALSE)</f>
        <v>#N/A</v>
      </c>
      <c r="H41" s="480" t="str">
        <f t="shared" si="0"/>
        <v>HÁBIL</v>
      </c>
      <c r="I41" s="480" t="e">
        <f>VLOOKUP(C41,PON.EXP.ESP.!$D$30:$J$229,3,FALSE)</f>
        <v>#N/A</v>
      </c>
      <c r="J41" s="481" t="e">
        <f>VLOOKUP(C41,PON.EXP.ESP.!$D$30:$J$229,4,FALSE)</f>
        <v>#N/A</v>
      </c>
      <c r="K41" s="482" t="e">
        <f>VLOOKUP(C41,PON.EXP.ESP.!$D$30:$J$229,5,FALSE)</f>
        <v>#N/A</v>
      </c>
      <c r="L41" s="481" t="e">
        <f>VLOOKUP(C41,PON.EXP.ESP.!$D$30:$J$229,6,FALSE)</f>
        <v>#N/A</v>
      </c>
      <c r="M41" s="482" t="e">
        <f>VLOOKUP(C41,PON.EXP.ESP.!$D$30:$J$229,7,FALSE)</f>
        <v>#N/A</v>
      </c>
      <c r="N41" s="481" t="e">
        <f>VLOOKUP(C41,VIN.PERS.DISC.!$C$19:$D$218,2,FALSE)</f>
        <v>#N/A</v>
      </c>
      <c r="O41" s="483" t="e">
        <f>VLOOKUP(C41,'APOYO A IND. NAL.'!$C$19:$D$218,2,FALSE)</f>
        <v>#N/A</v>
      </c>
      <c r="P41" s="484" t="e">
        <f>VLOOKUP(C41,RESUMENGEN!$D$20:$J$219,7,FALSE)</f>
        <v>#N/A</v>
      </c>
      <c r="Q41" s="478"/>
      <c r="R41" s="484" t="e">
        <f t="shared" si="1"/>
        <v>#N/A</v>
      </c>
      <c r="S41" s="485" t="e">
        <f t="shared" si="2"/>
        <v>#N/A</v>
      </c>
    </row>
    <row r="42" spans="2:19" hidden="1">
      <c r="B42" s="479">
        <v>38</v>
      </c>
      <c r="C42" s="479" t="e">
        <f>VLOOKUP(B42,RESUMENGEN!B57:E256,3,FALSE)</f>
        <v>#N/A</v>
      </c>
      <c r="D42" s="480" t="e">
        <f>VLOOKUP(B42,HAB.GEN.!$C$19:$I$218,3,FALSE)</f>
        <v>#N/A</v>
      </c>
      <c r="E42" s="480" t="e">
        <f>VLOOKUP(B42,HAB.GEN.!$C$19:$I$218,4,FALSE)</f>
        <v>#N/A</v>
      </c>
      <c r="F42" s="480" t="e">
        <f>VLOOKUP(B42,HAB.GEN.!$C$19:$I$218,5,FALSE)</f>
        <v>#N/A</v>
      </c>
      <c r="G42" s="480" t="e">
        <f>VLOOKUP(B42,HAB.GEN.!$C$19:$I$218,6,FALSE)</f>
        <v>#N/A</v>
      </c>
      <c r="H42" s="480" t="str">
        <f t="shared" si="0"/>
        <v>HÁBIL</v>
      </c>
      <c r="I42" s="480" t="e">
        <f>VLOOKUP(C42,PON.EXP.ESP.!$D$30:$J$229,3,FALSE)</f>
        <v>#N/A</v>
      </c>
      <c r="J42" s="481" t="e">
        <f>VLOOKUP(C42,PON.EXP.ESP.!$D$30:$J$229,4,FALSE)</f>
        <v>#N/A</v>
      </c>
      <c r="K42" s="482" t="e">
        <f>VLOOKUP(C42,PON.EXP.ESP.!$D$30:$J$229,5,FALSE)</f>
        <v>#N/A</v>
      </c>
      <c r="L42" s="481" t="e">
        <f>VLOOKUP(C42,PON.EXP.ESP.!$D$30:$J$229,6,FALSE)</f>
        <v>#N/A</v>
      </c>
      <c r="M42" s="482" t="e">
        <f>VLOOKUP(C42,PON.EXP.ESP.!$D$30:$J$229,7,FALSE)</f>
        <v>#N/A</v>
      </c>
      <c r="N42" s="481" t="e">
        <f>VLOOKUP(C42,VIN.PERS.DISC.!$C$19:$D$218,2,FALSE)</f>
        <v>#N/A</v>
      </c>
      <c r="O42" s="483" t="e">
        <f>VLOOKUP(C42,'APOYO A IND. NAL.'!$C$19:$D$218,2,FALSE)</f>
        <v>#N/A</v>
      </c>
      <c r="P42" s="484" t="e">
        <f>VLOOKUP(C42,RESUMENGEN!$D$20:$J$219,7,FALSE)</f>
        <v>#N/A</v>
      </c>
      <c r="Q42" s="478"/>
      <c r="R42" s="484" t="e">
        <f t="shared" si="1"/>
        <v>#N/A</v>
      </c>
      <c r="S42" s="485" t="e">
        <f t="shared" si="2"/>
        <v>#N/A</v>
      </c>
    </row>
    <row r="43" spans="2:19" hidden="1">
      <c r="B43" s="479">
        <v>39</v>
      </c>
      <c r="C43" s="479" t="e">
        <f>VLOOKUP(B43,RESUMENGEN!B58:E257,3,FALSE)</f>
        <v>#N/A</v>
      </c>
      <c r="D43" s="480" t="e">
        <f>VLOOKUP(B43,HAB.GEN.!$C$19:$I$218,3,FALSE)</f>
        <v>#N/A</v>
      </c>
      <c r="E43" s="480" t="e">
        <f>VLOOKUP(B43,HAB.GEN.!$C$19:$I$218,4,FALSE)</f>
        <v>#N/A</v>
      </c>
      <c r="F43" s="480" t="e">
        <f>VLOOKUP(B43,HAB.GEN.!$C$19:$I$218,5,FALSE)</f>
        <v>#N/A</v>
      </c>
      <c r="G43" s="480" t="e">
        <f>VLOOKUP(B43,HAB.GEN.!$C$19:$I$218,6,FALSE)</f>
        <v>#N/A</v>
      </c>
      <c r="H43" s="480" t="str">
        <f t="shared" si="0"/>
        <v>HÁBIL</v>
      </c>
      <c r="I43" s="480" t="e">
        <f>VLOOKUP(C43,PON.EXP.ESP.!$D$30:$J$229,3,FALSE)</f>
        <v>#N/A</v>
      </c>
      <c r="J43" s="481" t="e">
        <f>VLOOKUP(C43,PON.EXP.ESP.!$D$30:$J$229,4,FALSE)</f>
        <v>#N/A</v>
      </c>
      <c r="K43" s="482" t="e">
        <f>VLOOKUP(C43,PON.EXP.ESP.!$D$30:$J$229,5,FALSE)</f>
        <v>#N/A</v>
      </c>
      <c r="L43" s="481" t="e">
        <f>VLOOKUP(C43,PON.EXP.ESP.!$D$30:$J$229,6,FALSE)</f>
        <v>#N/A</v>
      </c>
      <c r="M43" s="482" t="e">
        <f>VLOOKUP(C43,PON.EXP.ESP.!$D$30:$J$229,7,FALSE)</f>
        <v>#N/A</v>
      </c>
      <c r="N43" s="481" t="e">
        <f>VLOOKUP(C43,VIN.PERS.DISC.!$C$19:$D$218,2,FALSE)</f>
        <v>#N/A</v>
      </c>
      <c r="O43" s="483" t="e">
        <f>VLOOKUP(C43,'APOYO A IND. NAL.'!$C$19:$D$218,2,FALSE)</f>
        <v>#N/A</v>
      </c>
      <c r="P43" s="484" t="e">
        <f>VLOOKUP(C43,RESUMENGEN!$D$20:$J$219,7,FALSE)</f>
        <v>#N/A</v>
      </c>
      <c r="Q43" s="478"/>
      <c r="R43" s="484" t="e">
        <f t="shared" si="1"/>
        <v>#N/A</v>
      </c>
      <c r="S43" s="485" t="e">
        <f t="shared" si="2"/>
        <v>#N/A</v>
      </c>
    </row>
    <row r="44" spans="2:19" hidden="1">
      <c r="B44" s="479">
        <v>40</v>
      </c>
      <c r="C44" s="479" t="e">
        <f>VLOOKUP(B44,RESUMENGEN!B59:E258,3,FALSE)</f>
        <v>#N/A</v>
      </c>
      <c r="D44" s="480" t="e">
        <f>VLOOKUP(B44,HAB.GEN.!$C$19:$I$218,3,FALSE)</f>
        <v>#N/A</v>
      </c>
      <c r="E44" s="480" t="e">
        <f>VLOOKUP(B44,HAB.GEN.!$C$19:$I$218,4,FALSE)</f>
        <v>#N/A</v>
      </c>
      <c r="F44" s="480" t="e">
        <f>VLOOKUP(B44,HAB.GEN.!$C$19:$I$218,5,FALSE)</f>
        <v>#N/A</v>
      </c>
      <c r="G44" s="480" t="e">
        <f>VLOOKUP(B44,HAB.GEN.!$C$19:$I$218,6,FALSE)</f>
        <v>#N/A</v>
      </c>
      <c r="H44" s="480" t="str">
        <f t="shared" si="0"/>
        <v>HÁBIL</v>
      </c>
      <c r="I44" s="480" t="e">
        <f>VLOOKUP(C44,PON.EXP.ESP.!$D$30:$J$229,3,FALSE)</f>
        <v>#N/A</v>
      </c>
      <c r="J44" s="481" t="e">
        <f>VLOOKUP(C44,PON.EXP.ESP.!$D$30:$J$229,4,FALSE)</f>
        <v>#N/A</v>
      </c>
      <c r="K44" s="482" t="e">
        <f>VLOOKUP(C44,PON.EXP.ESP.!$D$30:$J$229,5,FALSE)</f>
        <v>#N/A</v>
      </c>
      <c r="L44" s="481" t="e">
        <f>VLOOKUP(C44,PON.EXP.ESP.!$D$30:$J$229,6,FALSE)</f>
        <v>#N/A</v>
      </c>
      <c r="M44" s="482" t="e">
        <f>VLOOKUP(C44,PON.EXP.ESP.!$D$30:$J$229,7,FALSE)</f>
        <v>#N/A</v>
      </c>
      <c r="N44" s="481" t="e">
        <f>VLOOKUP(C44,VIN.PERS.DISC.!$C$19:$D$218,2,FALSE)</f>
        <v>#N/A</v>
      </c>
      <c r="O44" s="483" t="e">
        <f>VLOOKUP(C44,'APOYO A IND. NAL.'!$C$19:$D$218,2,FALSE)</f>
        <v>#N/A</v>
      </c>
      <c r="P44" s="484" t="e">
        <f>VLOOKUP(C44,RESUMENGEN!$D$20:$J$219,7,FALSE)</f>
        <v>#N/A</v>
      </c>
      <c r="Q44" s="478"/>
      <c r="R44" s="484" t="e">
        <f t="shared" si="1"/>
        <v>#N/A</v>
      </c>
      <c r="S44" s="485" t="e">
        <f t="shared" si="2"/>
        <v>#N/A</v>
      </c>
    </row>
    <row r="45" spans="2:19" hidden="1">
      <c r="B45" s="479">
        <v>41</v>
      </c>
      <c r="C45" s="479" t="e">
        <f>VLOOKUP(B45,RESUMENGEN!B60:E259,3,FALSE)</f>
        <v>#N/A</v>
      </c>
      <c r="D45" s="480" t="e">
        <f>VLOOKUP(B45,HAB.GEN.!$C$19:$I$218,3,FALSE)</f>
        <v>#N/A</v>
      </c>
      <c r="E45" s="480" t="e">
        <f>VLOOKUP(B45,HAB.GEN.!$C$19:$I$218,4,FALSE)</f>
        <v>#N/A</v>
      </c>
      <c r="F45" s="480" t="e">
        <f>VLOOKUP(B45,HAB.GEN.!$C$19:$I$218,5,FALSE)</f>
        <v>#N/A</v>
      </c>
      <c r="G45" s="480" t="e">
        <f>VLOOKUP(B45,HAB.GEN.!$C$19:$I$218,6,FALSE)</f>
        <v>#N/A</v>
      </c>
      <c r="H45" s="480" t="str">
        <f t="shared" si="0"/>
        <v>HÁBIL</v>
      </c>
      <c r="I45" s="480" t="e">
        <f>VLOOKUP(C45,PON.EXP.ESP.!$D$30:$J$229,3,FALSE)</f>
        <v>#N/A</v>
      </c>
      <c r="J45" s="481" t="e">
        <f>VLOOKUP(C45,PON.EXP.ESP.!$D$30:$J$229,4,FALSE)</f>
        <v>#N/A</v>
      </c>
      <c r="K45" s="482" t="e">
        <f>VLOOKUP(C45,PON.EXP.ESP.!$D$30:$J$229,5,FALSE)</f>
        <v>#N/A</v>
      </c>
      <c r="L45" s="481" t="e">
        <f>VLOOKUP(C45,PON.EXP.ESP.!$D$30:$J$229,6,FALSE)</f>
        <v>#N/A</v>
      </c>
      <c r="M45" s="482" t="e">
        <f>VLOOKUP(C45,PON.EXP.ESP.!$D$30:$J$229,7,FALSE)</f>
        <v>#N/A</v>
      </c>
      <c r="N45" s="481" t="e">
        <f>VLOOKUP(C45,VIN.PERS.DISC.!$C$19:$D$218,2,FALSE)</f>
        <v>#N/A</v>
      </c>
      <c r="O45" s="483" t="e">
        <f>VLOOKUP(C45,'APOYO A IND. NAL.'!$C$19:$D$218,2,FALSE)</f>
        <v>#N/A</v>
      </c>
      <c r="P45" s="484" t="e">
        <f>VLOOKUP(C45,RESUMENGEN!$D$20:$J$219,7,FALSE)</f>
        <v>#N/A</v>
      </c>
      <c r="Q45" s="478"/>
      <c r="R45" s="484" t="e">
        <f t="shared" si="1"/>
        <v>#N/A</v>
      </c>
      <c r="S45" s="485" t="e">
        <f t="shared" si="2"/>
        <v>#N/A</v>
      </c>
    </row>
    <row r="46" spans="2:19" hidden="1">
      <c r="B46" s="479">
        <v>42</v>
      </c>
      <c r="C46" s="479" t="e">
        <f>VLOOKUP(B46,RESUMENGEN!B61:E260,3,FALSE)</f>
        <v>#N/A</v>
      </c>
      <c r="D46" s="480" t="e">
        <f>VLOOKUP(B46,HAB.GEN.!$C$19:$I$218,3,FALSE)</f>
        <v>#N/A</v>
      </c>
      <c r="E46" s="480" t="e">
        <f>VLOOKUP(B46,HAB.GEN.!$C$19:$I$218,4,FALSE)</f>
        <v>#N/A</v>
      </c>
      <c r="F46" s="480" t="e">
        <f>VLOOKUP(B46,HAB.GEN.!$C$19:$I$218,5,FALSE)</f>
        <v>#N/A</v>
      </c>
      <c r="G46" s="480" t="e">
        <f>VLOOKUP(B46,HAB.GEN.!$C$19:$I$218,6,FALSE)</f>
        <v>#N/A</v>
      </c>
      <c r="H46" s="480" t="str">
        <f t="shared" si="0"/>
        <v>HÁBIL</v>
      </c>
      <c r="I46" s="480" t="e">
        <f>VLOOKUP(C46,PON.EXP.ESP.!$D$30:$J$229,3,FALSE)</f>
        <v>#N/A</v>
      </c>
      <c r="J46" s="481" t="e">
        <f>VLOOKUP(C46,PON.EXP.ESP.!$D$30:$J$229,4,FALSE)</f>
        <v>#N/A</v>
      </c>
      <c r="K46" s="482" t="e">
        <f>VLOOKUP(C46,PON.EXP.ESP.!$D$30:$J$229,5,FALSE)</f>
        <v>#N/A</v>
      </c>
      <c r="L46" s="481" t="e">
        <f>VLOOKUP(C46,PON.EXP.ESP.!$D$30:$J$229,6,FALSE)</f>
        <v>#N/A</v>
      </c>
      <c r="M46" s="482" t="e">
        <f>VLOOKUP(C46,PON.EXP.ESP.!$D$30:$J$229,7,FALSE)</f>
        <v>#N/A</v>
      </c>
      <c r="N46" s="481" t="e">
        <f>VLOOKUP(C46,VIN.PERS.DISC.!$C$19:$D$218,2,FALSE)</f>
        <v>#N/A</v>
      </c>
      <c r="O46" s="483" t="e">
        <f>VLOOKUP(C46,'APOYO A IND. NAL.'!$C$19:$D$218,2,FALSE)</f>
        <v>#N/A</v>
      </c>
      <c r="P46" s="484" t="e">
        <f>VLOOKUP(C46,RESUMENGEN!$D$20:$J$219,7,FALSE)</f>
        <v>#N/A</v>
      </c>
      <c r="Q46" s="478"/>
      <c r="R46" s="484" t="e">
        <f t="shared" si="1"/>
        <v>#N/A</v>
      </c>
      <c r="S46" s="485" t="e">
        <f t="shared" si="2"/>
        <v>#N/A</v>
      </c>
    </row>
    <row r="47" spans="2:19" hidden="1">
      <c r="B47" s="479">
        <v>43</v>
      </c>
      <c r="C47" s="479" t="e">
        <f>VLOOKUP(B47,RESUMENGEN!B62:E261,3,FALSE)</f>
        <v>#N/A</v>
      </c>
      <c r="D47" s="480" t="e">
        <f>VLOOKUP(B47,HAB.GEN.!$C$19:$I$218,3,FALSE)</f>
        <v>#N/A</v>
      </c>
      <c r="E47" s="480" t="e">
        <f>VLOOKUP(B47,HAB.GEN.!$C$19:$I$218,4,FALSE)</f>
        <v>#N/A</v>
      </c>
      <c r="F47" s="480" t="e">
        <f>VLOOKUP(B47,HAB.GEN.!$C$19:$I$218,5,FALSE)</f>
        <v>#N/A</v>
      </c>
      <c r="G47" s="480" t="e">
        <f>VLOOKUP(B47,HAB.GEN.!$C$19:$I$218,6,FALSE)</f>
        <v>#N/A</v>
      </c>
      <c r="H47" s="480" t="str">
        <f t="shared" si="0"/>
        <v>HÁBIL</v>
      </c>
      <c r="I47" s="480" t="e">
        <f>VLOOKUP(C47,PON.EXP.ESP.!$D$30:$J$229,3,FALSE)</f>
        <v>#N/A</v>
      </c>
      <c r="J47" s="481" t="e">
        <f>VLOOKUP(C47,PON.EXP.ESP.!$D$30:$J$229,4,FALSE)</f>
        <v>#N/A</v>
      </c>
      <c r="K47" s="482" t="e">
        <f>VLOOKUP(C47,PON.EXP.ESP.!$D$30:$J$229,5,FALSE)</f>
        <v>#N/A</v>
      </c>
      <c r="L47" s="481" t="e">
        <f>VLOOKUP(C47,PON.EXP.ESP.!$D$30:$J$229,6,FALSE)</f>
        <v>#N/A</v>
      </c>
      <c r="M47" s="482" t="e">
        <f>VLOOKUP(C47,PON.EXP.ESP.!$D$30:$J$229,7,FALSE)</f>
        <v>#N/A</v>
      </c>
      <c r="N47" s="481" t="e">
        <f>VLOOKUP(C47,VIN.PERS.DISC.!$C$19:$D$218,2,FALSE)</f>
        <v>#N/A</v>
      </c>
      <c r="O47" s="483" t="e">
        <f>VLOOKUP(C47,'APOYO A IND. NAL.'!$C$19:$D$218,2,FALSE)</f>
        <v>#N/A</v>
      </c>
      <c r="P47" s="484" t="e">
        <f>VLOOKUP(C47,RESUMENGEN!$D$20:$J$219,7,FALSE)</f>
        <v>#N/A</v>
      </c>
      <c r="Q47" s="478"/>
      <c r="R47" s="484" t="e">
        <f t="shared" si="1"/>
        <v>#N/A</v>
      </c>
      <c r="S47" s="485" t="e">
        <f t="shared" si="2"/>
        <v>#N/A</v>
      </c>
    </row>
    <row r="48" spans="2:19" hidden="1">
      <c r="B48" s="479">
        <v>44</v>
      </c>
      <c r="C48" s="479" t="e">
        <f>VLOOKUP(B48,RESUMENGEN!B63:E262,3,FALSE)</f>
        <v>#N/A</v>
      </c>
      <c r="D48" s="480" t="e">
        <f>VLOOKUP(B48,HAB.GEN.!$C$19:$I$218,3,FALSE)</f>
        <v>#N/A</v>
      </c>
      <c r="E48" s="480" t="e">
        <f>VLOOKUP(B48,HAB.GEN.!$C$19:$I$218,4,FALSE)</f>
        <v>#N/A</v>
      </c>
      <c r="F48" s="480" t="e">
        <f>VLOOKUP(B48,HAB.GEN.!$C$19:$I$218,5,FALSE)</f>
        <v>#N/A</v>
      </c>
      <c r="G48" s="480" t="e">
        <f>VLOOKUP(B48,HAB.GEN.!$C$19:$I$218,6,FALSE)</f>
        <v>#N/A</v>
      </c>
      <c r="H48" s="480" t="str">
        <f t="shared" si="0"/>
        <v>HÁBIL</v>
      </c>
      <c r="I48" s="480" t="e">
        <f>VLOOKUP(C48,PON.EXP.ESP.!$D$30:$J$229,3,FALSE)</f>
        <v>#N/A</v>
      </c>
      <c r="J48" s="481" t="e">
        <f>VLOOKUP(C48,PON.EXP.ESP.!$D$30:$J$229,4,FALSE)</f>
        <v>#N/A</v>
      </c>
      <c r="K48" s="482" t="e">
        <f>VLOOKUP(C48,PON.EXP.ESP.!$D$30:$J$229,5,FALSE)</f>
        <v>#N/A</v>
      </c>
      <c r="L48" s="481" t="e">
        <f>VLOOKUP(C48,PON.EXP.ESP.!$D$30:$J$229,6,FALSE)</f>
        <v>#N/A</v>
      </c>
      <c r="M48" s="482" t="e">
        <f>VLOOKUP(C48,PON.EXP.ESP.!$D$30:$J$229,7,FALSE)</f>
        <v>#N/A</v>
      </c>
      <c r="N48" s="481" t="e">
        <f>VLOOKUP(C48,VIN.PERS.DISC.!$C$19:$D$218,2,FALSE)</f>
        <v>#N/A</v>
      </c>
      <c r="O48" s="483" t="e">
        <f>VLOOKUP(C48,'APOYO A IND. NAL.'!$C$19:$D$218,2,FALSE)</f>
        <v>#N/A</v>
      </c>
      <c r="P48" s="484" t="e">
        <f>VLOOKUP(C48,RESUMENGEN!$D$20:$J$219,7,FALSE)</f>
        <v>#N/A</v>
      </c>
      <c r="Q48" s="478"/>
      <c r="R48" s="484" t="e">
        <f t="shared" si="1"/>
        <v>#N/A</v>
      </c>
      <c r="S48" s="485" t="e">
        <f t="shared" si="2"/>
        <v>#N/A</v>
      </c>
    </row>
    <row r="49" spans="2:19" hidden="1">
      <c r="B49" s="479">
        <v>45</v>
      </c>
      <c r="C49" s="479" t="e">
        <f>VLOOKUP(B49,RESUMENGEN!B64:E263,3,FALSE)</f>
        <v>#N/A</v>
      </c>
      <c r="D49" s="480" t="e">
        <f>VLOOKUP(B49,HAB.GEN.!$C$19:$I$218,3,FALSE)</f>
        <v>#N/A</v>
      </c>
      <c r="E49" s="480" t="e">
        <f>VLOOKUP(B49,HAB.GEN.!$C$19:$I$218,4,FALSE)</f>
        <v>#N/A</v>
      </c>
      <c r="F49" s="480" t="e">
        <f>VLOOKUP(B49,HAB.GEN.!$C$19:$I$218,5,FALSE)</f>
        <v>#N/A</v>
      </c>
      <c r="G49" s="480" t="e">
        <f>VLOOKUP(B49,HAB.GEN.!$C$19:$I$218,6,FALSE)</f>
        <v>#N/A</v>
      </c>
      <c r="H49" s="480" t="str">
        <f t="shared" si="0"/>
        <v>HÁBIL</v>
      </c>
      <c r="I49" s="480" t="e">
        <f>VLOOKUP(C49,PON.EXP.ESP.!$D$30:$J$229,3,FALSE)</f>
        <v>#N/A</v>
      </c>
      <c r="J49" s="481" t="e">
        <f>VLOOKUP(C49,PON.EXP.ESP.!$D$30:$J$229,4,FALSE)</f>
        <v>#N/A</v>
      </c>
      <c r="K49" s="482" t="e">
        <f>VLOOKUP(C49,PON.EXP.ESP.!$D$30:$J$229,5,FALSE)</f>
        <v>#N/A</v>
      </c>
      <c r="L49" s="481" t="e">
        <f>VLOOKUP(C49,PON.EXP.ESP.!$D$30:$J$229,6,FALSE)</f>
        <v>#N/A</v>
      </c>
      <c r="M49" s="482" t="e">
        <f>VLOOKUP(C49,PON.EXP.ESP.!$D$30:$J$229,7,FALSE)</f>
        <v>#N/A</v>
      </c>
      <c r="N49" s="481" t="e">
        <f>VLOOKUP(C49,VIN.PERS.DISC.!$C$19:$D$218,2,FALSE)</f>
        <v>#N/A</v>
      </c>
      <c r="O49" s="483" t="e">
        <f>VLOOKUP(C49,'APOYO A IND. NAL.'!$C$19:$D$218,2,FALSE)</f>
        <v>#N/A</v>
      </c>
      <c r="P49" s="484" t="e">
        <f>VLOOKUP(C49,RESUMENGEN!$D$20:$J$219,7,FALSE)</f>
        <v>#N/A</v>
      </c>
      <c r="Q49" s="478"/>
      <c r="R49" s="484" t="e">
        <f t="shared" si="1"/>
        <v>#N/A</v>
      </c>
      <c r="S49" s="485" t="e">
        <f t="shared" si="2"/>
        <v>#N/A</v>
      </c>
    </row>
    <row r="50" spans="2:19" hidden="1">
      <c r="B50" s="479">
        <v>46</v>
      </c>
      <c r="C50" s="479" t="e">
        <f>VLOOKUP(B50,RESUMENGEN!B65:E264,3,FALSE)</f>
        <v>#N/A</v>
      </c>
      <c r="D50" s="480" t="e">
        <f>VLOOKUP(B50,HAB.GEN.!$C$19:$I$218,3,FALSE)</f>
        <v>#N/A</v>
      </c>
      <c r="E50" s="480" t="e">
        <f>VLOOKUP(B50,HAB.GEN.!$C$19:$I$218,4,FALSE)</f>
        <v>#N/A</v>
      </c>
      <c r="F50" s="480" t="e">
        <f>VLOOKUP(B50,HAB.GEN.!$C$19:$I$218,5,FALSE)</f>
        <v>#N/A</v>
      </c>
      <c r="G50" s="480" t="e">
        <f>VLOOKUP(B50,HAB.GEN.!$C$19:$I$218,6,FALSE)</f>
        <v>#N/A</v>
      </c>
      <c r="H50" s="480" t="str">
        <f t="shared" si="0"/>
        <v>HÁBIL</v>
      </c>
      <c r="I50" s="480" t="e">
        <f>VLOOKUP(C50,PON.EXP.ESP.!$D$30:$J$229,3,FALSE)</f>
        <v>#N/A</v>
      </c>
      <c r="J50" s="481" t="e">
        <f>VLOOKUP(C50,PON.EXP.ESP.!$D$30:$J$229,4,FALSE)</f>
        <v>#N/A</v>
      </c>
      <c r="K50" s="482" t="e">
        <f>VLOOKUP(C50,PON.EXP.ESP.!$D$30:$J$229,5,FALSE)</f>
        <v>#N/A</v>
      </c>
      <c r="L50" s="481" t="e">
        <f>VLOOKUP(C50,PON.EXP.ESP.!$D$30:$J$229,6,FALSE)</f>
        <v>#N/A</v>
      </c>
      <c r="M50" s="482" t="e">
        <f>VLOOKUP(C50,PON.EXP.ESP.!$D$30:$J$229,7,FALSE)</f>
        <v>#N/A</v>
      </c>
      <c r="N50" s="481" t="e">
        <f>VLOOKUP(C50,VIN.PERS.DISC.!$C$19:$D$218,2,FALSE)</f>
        <v>#N/A</v>
      </c>
      <c r="O50" s="483" t="e">
        <f>VLOOKUP(C50,'APOYO A IND. NAL.'!$C$19:$D$218,2,FALSE)</f>
        <v>#N/A</v>
      </c>
      <c r="P50" s="484" t="e">
        <f>VLOOKUP(C50,RESUMENGEN!$D$20:$J$219,7,FALSE)</f>
        <v>#N/A</v>
      </c>
      <c r="Q50" s="478"/>
      <c r="R50" s="484" t="e">
        <f t="shared" si="1"/>
        <v>#N/A</v>
      </c>
      <c r="S50" s="485" t="e">
        <f t="shared" si="2"/>
        <v>#N/A</v>
      </c>
    </row>
    <row r="51" spans="2:19" hidden="1">
      <c r="B51" s="479">
        <v>47</v>
      </c>
      <c r="C51" s="479" t="e">
        <f>VLOOKUP(B51,RESUMENGEN!B66:E265,3,FALSE)</f>
        <v>#N/A</v>
      </c>
      <c r="D51" s="480" t="e">
        <f>VLOOKUP(B51,HAB.GEN.!$C$19:$I$218,3,FALSE)</f>
        <v>#N/A</v>
      </c>
      <c r="E51" s="480" t="e">
        <f>VLOOKUP(B51,HAB.GEN.!$C$19:$I$218,4,FALSE)</f>
        <v>#N/A</v>
      </c>
      <c r="F51" s="480" t="e">
        <f>VLOOKUP(B51,HAB.GEN.!$C$19:$I$218,5,FALSE)</f>
        <v>#N/A</v>
      </c>
      <c r="G51" s="480" t="e">
        <f>VLOOKUP(B51,HAB.GEN.!$C$19:$I$218,6,FALSE)</f>
        <v>#N/A</v>
      </c>
      <c r="H51" s="480" t="str">
        <f t="shared" si="0"/>
        <v>HÁBIL</v>
      </c>
      <c r="I51" s="480" t="e">
        <f>VLOOKUP(C51,PON.EXP.ESP.!$D$30:$J$229,3,FALSE)</f>
        <v>#N/A</v>
      </c>
      <c r="J51" s="481" t="e">
        <f>VLOOKUP(C51,PON.EXP.ESP.!$D$30:$J$229,4,FALSE)</f>
        <v>#N/A</v>
      </c>
      <c r="K51" s="482" t="e">
        <f>VLOOKUP(C51,PON.EXP.ESP.!$D$30:$J$229,5,FALSE)</f>
        <v>#N/A</v>
      </c>
      <c r="L51" s="481" t="e">
        <f>VLOOKUP(C51,PON.EXP.ESP.!$D$30:$J$229,6,FALSE)</f>
        <v>#N/A</v>
      </c>
      <c r="M51" s="482" t="e">
        <f>VLOOKUP(C51,PON.EXP.ESP.!$D$30:$J$229,7,FALSE)</f>
        <v>#N/A</v>
      </c>
      <c r="N51" s="481" t="e">
        <f>VLOOKUP(C51,VIN.PERS.DISC.!$C$19:$D$218,2,FALSE)</f>
        <v>#N/A</v>
      </c>
      <c r="O51" s="483" t="e">
        <f>VLOOKUP(C51,'APOYO A IND. NAL.'!$C$19:$D$218,2,FALSE)</f>
        <v>#N/A</v>
      </c>
      <c r="P51" s="484" t="e">
        <f>VLOOKUP(C51,RESUMENGEN!$D$20:$J$219,7,FALSE)</f>
        <v>#N/A</v>
      </c>
      <c r="Q51" s="478"/>
      <c r="R51" s="484" t="e">
        <f t="shared" si="1"/>
        <v>#N/A</v>
      </c>
      <c r="S51" s="485" t="e">
        <f t="shared" si="2"/>
        <v>#N/A</v>
      </c>
    </row>
    <row r="52" spans="2:19" hidden="1">
      <c r="B52" s="479">
        <v>48</v>
      </c>
      <c r="C52" s="479" t="e">
        <f>VLOOKUP(B52,RESUMENGEN!B67:E266,3,FALSE)</f>
        <v>#N/A</v>
      </c>
      <c r="D52" s="480" t="e">
        <f>VLOOKUP(B52,HAB.GEN.!$C$19:$I$218,3,FALSE)</f>
        <v>#N/A</v>
      </c>
      <c r="E52" s="480" t="e">
        <f>VLOOKUP(B52,HAB.GEN.!$C$19:$I$218,4,FALSE)</f>
        <v>#N/A</v>
      </c>
      <c r="F52" s="480" t="e">
        <f>VLOOKUP(B52,HAB.GEN.!$C$19:$I$218,5,FALSE)</f>
        <v>#N/A</v>
      </c>
      <c r="G52" s="480" t="e">
        <f>VLOOKUP(B52,HAB.GEN.!$C$19:$I$218,6,FALSE)</f>
        <v>#N/A</v>
      </c>
      <c r="H52" s="480" t="str">
        <f t="shared" si="0"/>
        <v>HÁBIL</v>
      </c>
      <c r="I52" s="480" t="e">
        <f>VLOOKUP(C52,PON.EXP.ESP.!$D$30:$J$229,3,FALSE)</f>
        <v>#N/A</v>
      </c>
      <c r="J52" s="481" t="e">
        <f>VLOOKUP(C52,PON.EXP.ESP.!$D$30:$J$229,4,FALSE)</f>
        <v>#N/A</v>
      </c>
      <c r="K52" s="482" t="e">
        <f>VLOOKUP(C52,PON.EXP.ESP.!$D$30:$J$229,5,FALSE)</f>
        <v>#N/A</v>
      </c>
      <c r="L52" s="481" t="e">
        <f>VLOOKUP(C52,PON.EXP.ESP.!$D$30:$J$229,6,FALSE)</f>
        <v>#N/A</v>
      </c>
      <c r="M52" s="482" t="e">
        <f>VLOOKUP(C52,PON.EXP.ESP.!$D$30:$J$229,7,FALSE)</f>
        <v>#N/A</v>
      </c>
      <c r="N52" s="481" t="e">
        <f>VLOOKUP(C52,VIN.PERS.DISC.!$C$19:$D$218,2,FALSE)</f>
        <v>#N/A</v>
      </c>
      <c r="O52" s="483" t="e">
        <f>VLOOKUP(C52,'APOYO A IND. NAL.'!$C$19:$D$218,2,FALSE)</f>
        <v>#N/A</v>
      </c>
      <c r="P52" s="484" t="e">
        <f>VLOOKUP(C52,RESUMENGEN!$D$20:$J$219,7,FALSE)</f>
        <v>#N/A</v>
      </c>
      <c r="Q52" s="478"/>
      <c r="R52" s="484" t="e">
        <f t="shared" si="1"/>
        <v>#N/A</v>
      </c>
      <c r="S52" s="485" t="e">
        <f t="shared" si="2"/>
        <v>#N/A</v>
      </c>
    </row>
    <row r="53" spans="2:19" hidden="1">
      <c r="B53" s="479">
        <v>49</v>
      </c>
      <c r="C53" s="479" t="e">
        <f>VLOOKUP(B53,RESUMENGEN!B68:E267,3,FALSE)</f>
        <v>#N/A</v>
      </c>
      <c r="D53" s="480" t="e">
        <f>VLOOKUP(B53,HAB.GEN.!$C$19:$I$218,3,FALSE)</f>
        <v>#N/A</v>
      </c>
      <c r="E53" s="480" t="e">
        <f>VLOOKUP(B53,HAB.GEN.!$C$19:$I$218,4,FALSE)</f>
        <v>#N/A</v>
      </c>
      <c r="F53" s="480" t="e">
        <f>VLOOKUP(B53,HAB.GEN.!$C$19:$I$218,5,FALSE)</f>
        <v>#N/A</v>
      </c>
      <c r="G53" s="480" t="e">
        <f>VLOOKUP(B53,HAB.GEN.!$C$19:$I$218,6,FALSE)</f>
        <v>#N/A</v>
      </c>
      <c r="H53" s="480" t="str">
        <f t="shared" si="0"/>
        <v>HÁBIL</v>
      </c>
      <c r="I53" s="480" t="e">
        <f>VLOOKUP(C53,PON.EXP.ESP.!$D$30:$J$229,3,FALSE)</f>
        <v>#N/A</v>
      </c>
      <c r="J53" s="481" t="e">
        <f>VLOOKUP(C53,PON.EXP.ESP.!$D$30:$J$229,4,FALSE)</f>
        <v>#N/A</v>
      </c>
      <c r="K53" s="482" t="e">
        <f>VLOOKUP(C53,PON.EXP.ESP.!$D$30:$J$229,5,FALSE)</f>
        <v>#N/A</v>
      </c>
      <c r="L53" s="481" t="e">
        <f>VLOOKUP(C53,PON.EXP.ESP.!$D$30:$J$229,6,FALSE)</f>
        <v>#N/A</v>
      </c>
      <c r="M53" s="482" t="e">
        <f>VLOOKUP(C53,PON.EXP.ESP.!$D$30:$J$229,7,FALSE)</f>
        <v>#N/A</v>
      </c>
      <c r="N53" s="481" t="e">
        <f>VLOOKUP(C53,VIN.PERS.DISC.!$C$19:$D$218,2,FALSE)</f>
        <v>#N/A</v>
      </c>
      <c r="O53" s="483" t="e">
        <f>VLOOKUP(C53,'APOYO A IND. NAL.'!$C$19:$D$218,2,FALSE)</f>
        <v>#N/A</v>
      </c>
      <c r="P53" s="484" t="e">
        <f>VLOOKUP(C53,RESUMENGEN!$D$20:$J$219,7,FALSE)</f>
        <v>#N/A</v>
      </c>
      <c r="Q53" s="478"/>
      <c r="R53" s="484" t="e">
        <f t="shared" si="1"/>
        <v>#N/A</v>
      </c>
      <c r="S53" s="485" t="e">
        <f t="shared" si="2"/>
        <v>#N/A</v>
      </c>
    </row>
    <row r="54" spans="2:19" hidden="1">
      <c r="B54" s="479">
        <v>50</v>
      </c>
      <c r="C54" s="479" t="e">
        <f>VLOOKUP(B54,RESUMENGEN!B69:E268,3,FALSE)</f>
        <v>#N/A</v>
      </c>
      <c r="D54" s="480" t="e">
        <f>VLOOKUP(B54,HAB.GEN.!$C$19:$I$218,3,FALSE)</f>
        <v>#N/A</v>
      </c>
      <c r="E54" s="480" t="e">
        <f>VLOOKUP(B54,HAB.GEN.!$C$19:$I$218,4,FALSE)</f>
        <v>#N/A</v>
      </c>
      <c r="F54" s="480" t="e">
        <f>VLOOKUP(B54,HAB.GEN.!$C$19:$I$218,5,FALSE)</f>
        <v>#N/A</v>
      </c>
      <c r="G54" s="480" t="e">
        <f>VLOOKUP(B54,HAB.GEN.!$C$19:$I$218,6,FALSE)</f>
        <v>#N/A</v>
      </c>
      <c r="H54" s="480" t="str">
        <f t="shared" si="0"/>
        <v>HÁBIL</v>
      </c>
      <c r="I54" s="480" t="e">
        <f>VLOOKUP(C54,PON.EXP.ESP.!$D$30:$J$229,3,FALSE)</f>
        <v>#N/A</v>
      </c>
      <c r="J54" s="481" t="e">
        <f>VLOOKUP(C54,PON.EXP.ESP.!$D$30:$J$229,4,FALSE)</f>
        <v>#N/A</v>
      </c>
      <c r="K54" s="482" t="e">
        <f>VLOOKUP(C54,PON.EXP.ESP.!$D$30:$J$229,5,FALSE)</f>
        <v>#N/A</v>
      </c>
      <c r="L54" s="481" t="e">
        <f>VLOOKUP(C54,PON.EXP.ESP.!$D$30:$J$229,6,FALSE)</f>
        <v>#N/A</v>
      </c>
      <c r="M54" s="482" t="e">
        <f>VLOOKUP(C54,PON.EXP.ESP.!$D$30:$J$229,7,FALSE)</f>
        <v>#N/A</v>
      </c>
      <c r="N54" s="481" t="e">
        <f>VLOOKUP(C54,VIN.PERS.DISC.!$C$19:$D$218,2,FALSE)</f>
        <v>#N/A</v>
      </c>
      <c r="O54" s="483" t="e">
        <f>VLOOKUP(C54,'APOYO A IND. NAL.'!$C$19:$D$218,2,FALSE)</f>
        <v>#N/A</v>
      </c>
      <c r="P54" s="484" t="e">
        <f>VLOOKUP(C54,RESUMENGEN!$D$20:$J$219,7,FALSE)</f>
        <v>#N/A</v>
      </c>
      <c r="Q54" s="478"/>
      <c r="R54" s="484" t="e">
        <f t="shared" si="1"/>
        <v>#N/A</v>
      </c>
      <c r="S54" s="485" t="e">
        <f t="shared" si="2"/>
        <v>#N/A</v>
      </c>
    </row>
    <row r="55" spans="2:19" hidden="1">
      <c r="B55" s="479">
        <v>51</v>
      </c>
      <c r="C55" s="479" t="e">
        <f>VLOOKUP(B55,RESUMENGEN!B70:E269,3,FALSE)</f>
        <v>#N/A</v>
      </c>
      <c r="D55" s="480" t="e">
        <f>VLOOKUP(B55,HAB.GEN.!$C$19:$I$218,3,FALSE)</f>
        <v>#N/A</v>
      </c>
      <c r="E55" s="480" t="e">
        <f>VLOOKUP(B55,HAB.GEN.!$C$19:$I$218,4,FALSE)</f>
        <v>#N/A</v>
      </c>
      <c r="F55" s="480" t="e">
        <f>VLOOKUP(B55,HAB.GEN.!$C$19:$I$218,5,FALSE)</f>
        <v>#N/A</v>
      </c>
      <c r="G55" s="480" t="e">
        <f>VLOOKUP(B55,HAB.GEN.!$C$19:$I$218,6,FALSE)</f>
        <v>#N/A</v>
      </c>
      <c r="H55" s="480" t="str">
        <f t="shared" si="0"/>
        <v>HÁBIL</v>
      </c>
      <c r="I55" s="480" t="e">
        <f>VLOOKUP(C55,PON.EXP.ESP.!$D$30:$J$229,3,FALSE)</f>
        <v>#N/A</v>
      </c>
      <c r="J55" s="481" t="e">
        <f>VLOOKUP(C55,PON.EXP.ESP.!$D$30:$J$229,4,FALSE)</f>
        <v>#N/A</v>
      </c>
      <c r="K55" s="482" t="e">
        <f>VLOOKUP(C55,PON.EXP.ESP.!$D$30:$J$229,5,FALSE)</f>
        <v>#N/A</v>
      </c>
      <c r="L55" s="481" t="e">
        <f>VLOOKUP(C55,PON.EXP.ESP.!$D$30:$J$229,6,FALSE)</f>
        <v>#N/A</v>
      </c>
      <c r="M55" s="482" t="e">
        <f>VLOOKUP(C55,PON.EXP.ESP.!$D$30:$J$229,7,FALSE)</f>
        <v>#N/A</v>
      </c>
      <c r="N55" s="481" t="e">
        <f>VLOOKUP(C55,VIN.PERS.DISC.!$C$19:$D$218,2,FALSE)</f>
        <v>#N/A</v>
      </c>
      <c r="O55" s="483" t="e">
        <f>VLOOKUP(C55,'APOYO A IND. NAL.'!$C$19:$D$218,2,FALSE)</f>
        <v>#N/A</v>
      </c>
      <c r="P55" s="484" t="e">
        <f>VLOOKUP(C55,RESUMENGEN!$D$20:$J$219,7,FALSE)</f>
        <v>#N/A</v>
      </c>
      <c r="Q55" s="478"/>
      <c r="R55" s="484" t="e">
        <f t="shared" si="1"/>
        <v>#N/A</v>
      </c>
      <c r="S55" s="485" t="e">
        <f t="shared" si="2"/>
        <v>#N/A</v>
      </c>
    </row>
    <row r="56" spans="2:19" hidden="1">
      <c r="B56" s="479">
        <v>52</v>
      </c>
      <c r="C56" s="479" t="e">
        <f>VLOOKUP(B56,RESUMENGEN!B71:E270,3,FALSE)</f>
        <v>#N/A</v>
      </c>
      <c r="D56" s="480" t="e">
        <f>VLOOKUP(B56,HAB.GEN.!$C$19:$I$218,3,FALSE)</f>
        <v>#N/A</v>
      </c>
      <c r="E56" s="480" t="e">
        <f>VLOOKUP(B56,HAB.GEN.!$C$19:$I$218,4,FALSE)</f>
        <v>#N/A</v>
      </c>
      <c r="F56" s="480" t="e">
        <f>VLOOKUP(B56,HAB.GEN.!$C$19:$I$218,5,FALSE)</f>
        <v>#N/A</v>
      </c>
      <c r="G56" s="480" t="e">
        <f>VLOOKUP(B56,HAB.GEN.!$C$19:$I$218,6,FALSE)</f>
        <v>#N/A</v>
      </c>
      <c r="H56" s="480" t="str">
        <f t="shared" si="0"/>
        <v>HÁBIL</v>
      </c>
      <c r="I56" s="480" t="e">
        <f>VLOOKUP(C56,PON.EXP.ESP.!$D$30:$J$229,3,FALSE)</f>
        <v>#N/A</v>
      </c>
      <c r="J56" s="481" t="e">
        <f>VLOOKUP(C56,PON.EXP.ESP.!$D$30:$J$229,4,FALSE)</f>
        <v>#N/A</v>
      </c>
      <c r="K56" s="482" t="e">
        <f>VLOOKUP(C56,PON.EXP.ESP.!$D$30:$J$229,5,FALSE)</f>
        <v>#N/A</v>
      </c>
      <c r="L56" s="481" t="e">
        <f>VLOOKUP(C56,PON.EXP.ESP.!$D$30:$J$229,6,FALSE)</f>
        <v>#N/A</v>
      </c>
      <c r="M56" s="482" t="e">
        <f>VLOOKUP(C56,PON.EXP.ESP.!$D$30:$J$229,7,FALSE)</f>
        <v>#N/A</v>
      </c>
      <c r="N56" s="481" t="e">
        <f>VLOOKUP(C56,VIN.PERS.DISC.!$C$19:$D$218,2,FALSE)</f>
        <v>#N/A</v>
      </c>
      <c r="O56" s="483" t="e">
        <f>VLOOKUP(C56,'APOYO A IND. NAL.'!$C$19:$D$218,2,FALSE)</f>
        <v>#N/A</v>
      </c>
      <c r="P56" s="484" t="e">
        <f>VLOOKUP(C56,RESUMENGEN!$D$20:$J$219,7,FALSE)</f>
        <v>#N/A</v>
      </c>
      <c r="Q56" s="478"/>
      <c r="R56" s="484" t="e">
        <f t="shared" si="1"/>
        <v>#N/A</v>
      </c>
      <c r="S56" s="485" t="e">
        <f t="shared" si="2"/>
        <v>#N/A</v>
      </c>
    </row>
    <row r="57" spans="2:19" hidden="1">
      <c r="B57" s="479">
        <v>53</v>
      </c>
      <c r="C57" s="479" t="e">
        <f>VLOOKUP(B57,RESUMENGEN!B72:E271,3,FALSE)</f>
        <v>#N/A</v>
      </c>
      <c r="D57" s="480" t="e">
        <f>VLOOKUP(B57,HAB.GEN.!$C$19:$I$218,3,FALSE)</f>
        <v>#N/A</v>
      </c>
      <c r="E57" s="480" t="e">
        <f>VLOOKUP(B57,HAB.GEN.!$C$19:$I$218,4,FALSE)</f>
        <v>#N/A</v>
      </c>
      <c r="F57" s="480" t="e">
        <f>VLOOKUP(B57,HAB.GEN.!$C$19:$I$218,5,FALSE)</f>
        <v>#N/A</v>
      </c>
      <c r="G57" s="480" t="e">
        <f>VLOOKUP(B57,HAB.GEN.!$C$19:$I$218,6,FALSE)</f>
        <v>#N/A</v>
      </c>
      <c r="H57" s="480" t="str">
        <f t="shared" si="0"/>
        <v>HÁBIL</v>
      </c>
      <c r="I57" s="480" t="e">
        <f>VLOOKUP(C57,PON.EXP.ESP.!$D$30:$J$229,3,FALSE)</f>
        <v>#N/A</v>
      </c>
      <c r="J57" s="481" t="e">
        <f>VLOOKUP(C57,PON.EXP.ESP.!$D$30:$J$229,4,FALSE)</f>
        <v>#N/A</v>
      </c>
      <c r="K57" s="482" t="e">
        <f>VLOOKUP(C57,PON.EXP.ESP.!$D$30:$J$229,5,FALSE)</f>
        <v>#N/A</v>
      </c>
      <c r="L57" s="481" t="e">
        <f>VLOOKUP(C57,PON.EXP.ESP.!$D$30:$J$229,6,FALSE)</f>
        <v>#N/A</v>
      </c>
      <c r="M57" s="482" t="e">
        <f>VLOOKUP(C57,PON.EXP.ESP.!$D$30:$J$229,7,FALSE)</f>
        <v>#N/A</v>
      </c>
      <c r="N57" s="481" t="e">
        <f>VLOOKUP(C57,VIN.PERS.DISC.!$C$19:$D$218,2,FALSE)</f>
        <v>#N/A</v>
      </c>
      <c r="O57" s="483" t="e">
        <f>VLOOKUP(C57,'APOYO A IND. NAL.'!$C$19:$D$218,2,FALSE)</f>
        <v>#N/A</v>
      </c>
      <c r="P57" s="484" t="e">
        <f>VLOOKUP(C57,RESUMENGEN!$D$20:$J$219,7,FALSE)</f>
        <v>#N/A</v>
      </c>
      <c r="Q57" s="478"/>
      <c r="R57" s="484" t="e">
        <f t="shared" si="1"/>
        <v>#N/A</v>
      </c>
      <c r="S57" s="485" t="e">
        <f t="shared" si="2"/>
        <v>#N/A</v>
      </c>
    </row>
    <row r="58" spans="2:19" hidden="1">
      <c r="B58" s="479">
        <v>54</v>
      </c>
      <c r="C58" s="479" t="e">
        <f>VLOOKUP(B58,RESUMENGEN!B73:E272,3,FALSE)</f>
        <v>#N/A</v>
      </c>
      <c r="D58" s="480" t="e">
        <f>VLOOKUP(B58,HAB.GEN.!$C$19:$I$218,3,FALSE)</f>
        <v>#N/A</v>
      </c>
      <c r="E58" s="480" t="e">
        <f>VLOOKUP(B58,HAB.GEN.!$C$19:$I$218,4,FALSE)</f>
        <v>#N/A</v>
      </c>
      <c r="F58" s="480" t="e">
        <f>VLOOKUP(B58,HAB.GEN.!$C$19:$I$218,5,FALSE)</f>
        <v>#N/A</v>
      </c>
      <c r="G58" s="480" t="e">
        <f>VLOOKUP(B58,HAB.GEN.!$C$19:$I$218,6,FALSE)</f>
        <v>#N/A</v>
      </c>
      <c r="H58" s="480" t="str">
        <f t="shared" si="0"/>
        <v>HÁBIL</v>
      </c>
      <c r="I58" s="480" t="e">
        <f>VLOOKUP(C58,PON.EXP.ESP.!$D$30:$J$229,3,FALSE)</f>
        <v>#N/A</v>
      </c>
      <c r="J58" s="481" t="e">
        <f>VLOOKUP(C58,PON.EXP.ESP.!$D$30:$J$229,4,FALSE)</f>
        <v>#N/A</v>
      </c>
      <c r="K58" s="482" t="e">
        <f>VLOOKUP(C58,PON.EXP.ESP.!$D$30:$J$229,5,FALSE)</f>
        <v>#N/A</v>
      </c>
      <c r="L58" s="481" t="e">
        <f>VLOOKUP(C58,PON.EXP.ESP.!$D$30:$J$229,6,FALSE)</f>
        <v>#N/A</v>
      </c>
      <c r="M58" s="482" t="e">
        <f>VLOOKUP(C58,PON.EXP.ESP.!$D$30:$J$229,7,FALSE)</f>
        <v>#N/A</v>
      </c>
      <c r="N58" s="481" t="e">
        <f>VLOOKUP(C58,VIN.PERS.DISC.!$C$19:$D$218,2,FALSE)</f>
        <v>#N/A</v>
      </c>
      <c r="O58" s="483" t="e">
        <f>VLOOKUP(C58,'APOYO A IND. NAL.'!$C$19:$D$218,2,FALSE)</f>
        <v>#N/A</v>
      </c>
      <c r="P58" s="484" t="e">
        <f>VLOOKUP(C58,RESUMENGEN!$D$20:$J$219,7,FALSE)</f>
        <v>#N/A</v>
      </c>
      <c r="Q58" s="478"/>
      <c r="R58" s="484" t="e">
        <f t="shared" si="1"/>
        <v>#N/A</v>
      </c>
      <c r="S58" s="485" t="e">
        <f t="shared" si="2"/>
        <v>#N/A</v>
      </c>
    </row>
    <row r="59" spans="2:19" hidden="1">
      <c r="B59" s="479">
        <v>55</v>
      </c>
      <c r="C59" s="479" t="e">
        <f>VLOOKUP(B59,RESUMENGEN!B74:E273,3,FALSE)</f>
        <v>#N/A</v>
      </c>
      <c r="D59" s="480" t="e">
        <f>VLOOKUP(B59,HAB.GEN.!$C$19:$I$218,3,FALSE)</f>
        <v>#N/A</v>
      </c>
      <c r="E59" s="480" t="e">
        <f>VLOOKUP(B59,HAB.GEN.!$C$19:$I$218,4,FALSE)</f>
        <v>#N/A</v>
      </c>
      <c r="F59" s="480" t="e">
        <f>VLOOKUP(B59,HAB.GEN.!$C$19:$I$218,5,FALSE)</f>
        <v>#N/A</v>
      </c>
      <c r="G59" s="480" t="e">
        <f>VLOOKUP(B59,HAB.GEN.!$C$19:$I$218,6,FALSE)</f>
        <v>#N/A</v>
      </c>
      <c r="H59" s="480" t="str">
        <f t="shared" si="0"/>
        <v>HÁBIL</v>
      </c>
      <c r="I59" s="480" t="e">
        <f>VLOOKUP(C59,PON.EXP.ESP.!$D$30:$J$229,3,FALSE)</f>
        <v>#N/A</v>
      </c>
      <c r="J59" s="481" t="e">
        <f>VLOOKUP(C59,PON.EXP.ESP.!$D$30:$J$229,4,FALSE)</f>
        <v>#N/A</v>
      </c>
      <c r="K59" s="482" t="e">
        <f>VLOOKUP(C59,PON.EXP.ESP.!$D$30:$J$229,5,FALSE)</f>
        <v>#N/A</v>
      </c>
      <c r="L59" s="481" t="e">
        <f>VLOOKUP(C59,PON.EXP.ESP.!$D$30:$J$229,6,FALSE)</f>
        <v>#N/A</v>
      </c>
      <c r="M59" s="482" t="e">
        <f>VLOOKUP(C59,PON.EXP.ESP.!$D$30:$J$229,7,FALSE)</f>
        <v>#N/A</v>
      </c>
      <c r="N59" s="481" t="e">
        <f>VLOOKUP(C59,VIN.PERS.DISC.!$C$19:$D$218,2,FALSE)</f>
        <v>#N/A</v>
      </c>
      <c r="O59" s="483" t="e">
        <f>VLOOKUP(C59,'APOYO A IND. NAL.'!$C$19:$D$218,2,FALSE)</f>
        <v>#N/A</v>
      </c>
      <c r="P59" s="484" t="e">
        <f>VLOOKUP(C59,RESUMENGEN!$D$20:$J$219,7,FALSE)</f>
        <v>#N/A</v>
      </c>
      <c r="Q59" s="478"/>
      <c r="R59" s="484" t="e">
        <f t="shared" si="1"/>
        <v>#N/A</v>
      </c>
      <c r="S59" s="485" t="e">
        <f t="shared" si="2"/>
        <v>#N/A</v>
      </c>
    </row>
    <row r="60" spans="2:19" hidden="1">
      <c r="B60" s="479">
        <v>56</v>
      </c>
      <c r="C60" s="479" t="e">
        <f>VLOOKUP(B60,RESUMENGEN!B75:E274,3,FALSE)</f>
        <v>#N/A</v>
      </c>
      <c r="D60" s="480" t="e">
        <f>VLOOKUP(B60,HAB.GEN.!$C$19:$I$218,3,FALSE)</f>
        <v>#N/A</v>
      </c>
      <c r="E60" s="480" t="e">
        <f>VLOOKUP(B60,HAB.GEN.!$C$19:$I$218,4,FALSE)</f>
        <v>#N/A</v>
      </c>
      <c r="F60" s="480" t="e">
        <f>VLOOKUP(B60,HAB.GEN.!$C$19:$I$218,5,FALSE)</f>
        <v>#N/A</v>
      </c>
      <c r="G60" s="480" t="e">
        <f>VLOOKUP(B60,HAB.GEN.!$C$19:$I$218,6,FALSE)</f>
        <v>#N/A</v>
      </c>
      <c r="H60" s="480" t="str">
        <f t="shared" si="0"/>
        <v>HÁBIL</v>
      </c>
      <c r="I60" s="480" t="e">
        <f>VLOOKUP(C60,PON.EXP.ESP.!$D$30:$J$229,3,FALSE)</f>
        <v>#N/A</v>
      </c>
      <c r="J60" s="481" t="e">
        <f>VLOOKUP(C60,PON.EXP.ESP.!$D$30:$J$229,4,FALSE)</f>
        <v>#N/A</v>
      </c>
      <c r="K60" s="482" t="e">
        <f>VLOOKUP(C60,PON.EXP.ESP.!$D$30:$J$229,5,FALSE)</f>
        <v>#N/A</v>
      </c>
      <c r="L60" s="481" t="e">
        <f>VLOOKUP(C60,PON.EXP.ESP.!$D$30:$J$229,6,FALSE)</f>
        <v>#N/A</v>
      </c>
      <c r="M60" s="482" t="e">
        <f>VLOOKUP(C60,PON.EXP.ESP.!$D$30:$J$229,7,FALSE)</f>
        <v>#N/A</v>
      </c>
      <c r="N60" s="481" t="e">
        <f>VLOOKUP(C60,VIN.PERS.DISC.!$C$19:$D$218,2,FALSE)</f>
        <v>#N/A</v>
      </c>
      <c r="O60" s="483" t="e">
        <f>VLOOKUP(C60,'APOYO A IND. NAL.'!$C$19:$D$218,2,FALSE)</f>
        <v>#N/A</v>
      </c>
      <c r="P60" s="484" t="e">
        <f>VLOOKUP(C60,RESUMENGEN!$D$20:$J$219,7,FALSE)</f>
        <v>#N/A</v>
      </c>
      <c r="Q60" s="478"/>
      <c r="R60" s="484" t="e">
        <f t="shared" si="1"/>
        <v>#N/A</v>
      </c>
      <c r="S60" s="485" t="e">
        <f t="shared" si="2"/>
        <v>#N/A</v>
      </c>
    </row>
    <row r="61" spans="2:19" hidden="1">
      <c r="B61" s="479">
        <v>57</v>
      </c>
      <c r="C61" s="479" t="e">
        <f>VLOOKUP(B61,RESUMENGEN!B76:E275,3,FALSE)</f>
        <v>#N/A</v>
      </c>
      <c r="D61" s="480" t="e">
        <f>VLOOKUP(B61,HAB.GEN.!$C$19:$I$218,3,FALSE)</f>
        <v>#N/A</v>
      </c>
      <c r="E61" s="480" t="e">
        <f>VLOOKUP(B61,HAB.GEN.!$C$19:$I$218,4,FALSE)</f>
        <v>#N/A</v>
      </c>
      <c r="F61" s="480" t="e">
        <f>VLOOKUP(B61,HAB.GEN.!$C$19:$I$218,5,FALSE)</f>
        <v>#N/A</v>
      </c>
      <c r="G61" s="480" t="e">
        <f>VLOOKUP(B61,HAB.GEN.!$C$19:$I$218,6,FALSE)</f>
        <v>#N/A</v>
      </c>
      <c r="H61" s="480" t="str">
        <f t="shared" si="0"/>
        <v>HÁBIL</v>
      </c>
      <c r="I61" s="480" t="e">
        <f>VLOOKUP(C61,PON.EXP.ESP.!$D$30:$J$229,3,FALSE)</f>
        <v>#N/A</v>
      </c>
      <c r="J61" s="481" t="e">
        <f>VLOOKUP(C61,PON.EXP.ESP.!$D$30:$J$229,4,FALSE)</f>
        <v>#N/A</v>
      </c>
      <c r="K61" s="482" t="e">
        <f>VLOOKUP(C61,PON.EXP.ESP.!$D$30:$J$229,5,FALSE)</f>
        <v>#N/A</v>
      </c>
      <c r="L61" s="481" t="e">
        <f>VLOOKUP(C61,PON.EXP.ESP.!$D$30:$J$229,6,FALSE)</f>
        <v>#N/A</v>
      </c>
      <c r="M61" s="482" t="e">
        <f>VLOOKUP(C61,PON.EXP.ESP.!$D$30:$J$229,7,FALSE)</f>
        <v>#N/A</v>
      </c>
      <c r="N61" s="481" t="e">
        <f>VLOOKUP(C61,VIN.PERS.DISC.!$C$19:$D$218,2,FALSE)</f>
        <v>#N/A</v>
      </c>
      <c r="O61" s="483" t="e">
        <f>VLOOKUP(C61,'APOYO A IND. NAL.'!$C$19:$D$218,2,FALSE)</f>
        <v>#N/A</v>
      </c>
      <c r="P61" s="484" t="e">
        <f>VLOOKUP(C61,RESUMENGEN!$D$20:$J$219,7,FALSE)</f>
        <v>#N/A</v>
      </c>
      <c r="Q61" s="478"/>
      <c r="R61" s="484" t="e">
        <f t="shared" si="1"/>
        <v>#N/A</v>
      </c>
      <c r="S61" s="485" t="e">
        <f t="shared" si="2"/>
        <v>#N/A</v>
      </c>
    </row>
    <row r="62" spans="2:19" hidden="1">
      <c r="B62" s="479">
        <v>58</v>
      </c>
      <c r="C62" s="479" t="e">
        <f>VLOOKUP(B62,RESUMENGEN!B77:E276,3,FALSE)</f>
        <v>#N/A</v>
      </c>
      <c r="D62" s="480" t="e">
        <f>VLOOKUP(B62,HAB.GEN.!$C$19:$I$218,3,FALSE)</f>
        <v>#N/A</v>
      </c>
      <c r="E62" s="480" t="e">
        <f>VLOOKUP(B62,HAB.GEN.!$C$19:$I$218,4,FALSE)</f>
        <v>#N/A</v>
      </c>
      <c r="F62" s="480" t="e">
        <f>VLOOKUP(B62,HAB.GEN.!$C$19:$I$218,5,FALSE)</f>
        <v>#N/A</v>
      </c>
      <c r="G62" s="480" t="e">
        <f>VLOOKUP(B62,HAB.GEN.!$C$19:$I$218,6,FALSE)</f>
        <v>#N/A</v>
      </c>
      <c r="H62" s="480" t="str">
        <f t="shared" si="0"/>
        <v>HÁBIL</v>
      </c>
      <c r="I62" s="480" t="e">
        <f>VLOOKUP(C62,PON.EXP.ESP.!$D$30:$J$229,3,FALSE)</f>
        <v>#N/A</v>
      </c>
      <c r="J62" s="481" t="e">
        <f>VLOOKUP(C62,PON.EXP.ESP.!$D$30:$J$229,4,FALSE)</f>
        <v>#N/A</v>
      </c>
      <c r="K62" s="482" t="e">
        <f>VLOOKUP(C62,PON.EXP.ESP.!$D$30:$J$229,5,FALSE)</f>
        <v>#N/A</v>
      </c>
      <c r="L62" s="481" t="e">
        <f>VLOOKUP(C62,PON.EXP.ESP.!$D$30:$J$229,6,FALSE)</f>
        <v>#N/A</v>
      </c>
      <c r="M62" s="482" t="e">
        <f>VLOOKUP(C62,PON.EXP.ESP.!$D$30:$J$229,7,FALSE)</f>
        <v>#N/A</v>
      </c>
      <c r="N62" s="481" t="e">
        <f>VLOOKUP(C62,VIN.PERS.DISC.!$C$19:$D$218,2,FALSE)</f>
        <v>#N/A</v>
      </c>
      <c r="O62" s="483" t="e">
        <f>VLOOKUP(C62,'APOYO A IND. NAL.'!$C$19:$D$218,2,FALSE)</f>
        <v>#N/A</v>
      </c>
      <c r="P62" s="484" t="e">
        <f>VLOOKUP(C62,RESUMENGEN!$D$20:$J$219,7,FALSE)</f>
        <v>#N/A</v>
      </c>
      <c r="Q62" s="478"/>
      <c r="R62" s="484" t="e">
        <f t="shared" si="1"/>
        <v>#N/A</v>
      </c>
      <c r="S62" s="485" t="e">
        <f t="shared" si="2"/>
        <v>#N/A</v>
      </c>
    </row>
    <row r="63" spans="2:19" hidden="1">
      <c r="B63" s="479">
        <v>59</v>
      </c>
      <c r="C63" s="479" t="e">
        <f>VLOOKUP(B63,RESUMENGEN!B78:E277,3,FALSE)</f>
        <v>#N/A</v>
      </c>
      <c r="D63" s="480" t="e">
        <f>VLOOKUP(B63,HAB.GEN.!$C$19:$I$218,3,FALSE)</f>
        <v>#N/A</v>
      </c>
      <c r="E63" s="480" t="e">
        <f>VLOOKUP(B63,HAB.GEN.!$C$19:$I$218,4,FALSE)</f>
        <v>#N/A</v>
      </c>
      <c r="F63" s="480" t="e">
        <f>VLOOKUP(B63,HAB.GEN.!$C$19:$I$218,5,FALSE)</f>
        <v>#N/A</v>
      </c>
      <c r="G63" s="480" t="e">
        <f>VLOOKUP(B63,HAB.GEN.!$C$19:$I$218,6,FALSE)</f>
        <v>#N/A</v>
      </c>
      <c r="H63" s="480" t="str">
        <f t="shared" si="0"/>
        <v>HÁBIL</v>
      </c>
      <c r="I63" s="480" t="e">
        <f>VLOOKUP(C63,PON.EXP.ESP.!$D$30:$J$229,3,FALSE)</f>
        <v>#N/A</v>
      </c>
      <c r="J63" s="481" t="e">
        <f>VLOOKUP(C63,PON.EXP.ESP.!$D$30:$J$229,4,FALSE)</f>
        <v>#N/A</v>
      </c>
      <c r="K63" s="482" t="e">
        <f>VLOOKUP(C63,PON.EXP.ESP.!$D$30:$J$229,5,FALSE)</f>
        <v>#N/A</v>
      </c>
      <c r="L63" s="481" t="e">
        <f>VLOOKUP(C63,PON.EXP.ESP.!$D$30:$J$229,6,FALSE)</f>
        <v>#N/A</v>
      </c>
      <c r="M63" s="482" t="e">
        <f>VLOOKUP(C63,PON.EXP.ESP.!$D$30:$J$229,7,FALSE)</f>
        <v>#N/A</v>
      </c>
      <c r="N63" s="481" t="e">
        <f>VLOOKUP(C63,VIN.PERS.DISC.!$C$19:$D$218,2,FALSE)</f>
        <v>#N/A</v>
      </c>
      <c r="O63" s="483" t="e">
        <f>VLOOKUP(C63,'APOYO A IND. NAL.'!$C$19:$D$218,2,FALSE)</f>
        <v>#N/A</v>
      </c>
      <c r="P63" s="484" t="e">
        <f>VLOOKUP(C63,RESUMENGEN!$D$20:$J$219,7,FALSE)</f>
        <v>#N/A</v>
      </c>
      <c r="Q63" s="478"/>
      <c r="R63" s="484" t="e">
        <f t="shared" si="1"/>
        <v>#N/A</v>
      </c>
      <c r="S63" s="485" t="e">
        <f t="shared" si="2"/>
        <v>#N/A</v>
      </c>
    </row>
    <row r="64" spans="2:19" hidden="1">
      <c r="B64" s="479">
        <v>60</v>
      </c>
      <c r="C64" s="479" t="e">
        <f>VLOOKUP(B64,RESUMENGEN!B79:E278,3,FALSE)</f>
        <v>#N/A</v>
      </c>
      <c r="D64" s="480" t="e">
        <f>VLOOKUP(B64,HAB.GEN.!$C$19:$I$218,3,FALSE)</f>
        <v>#N/A</v>
      </c>
      <c r="E64" s="480" t="e">
        <f>VLOOKUP(B64,HAB.GEN.!$C$19:$I$218,4,FALSE)</f>
        <v>#N/A</v>
      </c>
      <c r="F64" s="480" t="e">
        <f>VLOOKUP(B64,HAB.GEN.!$C$19:$I$218,5,FALSE)</f>
        <v>#N/A</v>
      </c>
      <c r="G64" s="480" t="e">
        <f>VLOOKUP(B64,HAB.GEN.!$C$19:$I$218,6,FALSE)</f>
        <v>#N/A</v>
      </c>
      <c r="H64" s="480" t="str">
        <f t="shared" si="0"/>
        <v>HÁBIL</v>
      </c>
      <c r="I64" s="480" t="e">
        <f>VLOOKUP(C64,PON.EXP.ESP.!$D$30:$J$229,3,FALSE)</f>
        <v>#N/A</v>
      </c>
      <c r="J64" s="481" t="e">
        <f>VLOOKUP(C64,PON.EXP.ESP.!$D$30:$J$229,4,FALSE)</f>
        <v>#N/A</v>
      </c>
      <c r="K64" s="482" t="e">
        <f>VLOOKUP(C64,PON.EXP.ESP.!$D$30:$J$229,5,FALSE)</f>
        <v>#N/A</v>
      </c>
      <c r="L64" s="481" t="e">
        <f>VLOOKUP(C64,PON.EXP.ESP.!$D$30:$J$229,6,FALSE)</f>
        <v>#N/A</v>
      </c>
      <c r="M64" s="482" t="e">
        <f>VLOOKUP(C64,PON.EXP.ESP.!$D$30:$J$229,7,FALSE)</f>
        <v>#N/A</v>
      </c>
      <c r="N64" s="481" t="e">
        <f>VLOOKUP(C64,VIN.PERS.DISC.!$C$19:$D$218,2,FALSE)</f>
        <v>#N/A</v>
      </c>
      <c r="O64" s="483" t="e">
        <f>VLOOKUP(C64,'APOYO A IND. NAL.'!$C$19:$D$218,2,FALSE)</f>
        <v>#N/A</v>
      </c>
      <c r="P64" s="484" t="e">
        <f>VLOOKUP(C64,RESUMENGEN!$D$20:$J$219,7,FALSE)</f>
        <v>#N/A</v>
      </c>
      <c r="Q64" s="478"/>
      <c r="R64" s="484" t="e">
        <f t="shared" si="1"/>
        <v>#N/A</v>
      </c>
      <c r="S64" s="485" t="e">
        <f t="shared" si="2"/>
        <v>#N/A</v>
      </c>
    </row>
    <row r="65" spans="2:19" hidden="1">
      <c r="B65" s="479">
        <v>61</v>
      </c>
      <c r="C65" s="479" t="e">
        <f>VLOOKUP(B65,RESUMENGEN!B80:E279,3,FALSE)</f>
        <v>#N/A</v>
      </c>
      <c r="D65" s="480" t="e">
        <f>VLOOKUP(B65,HAB.GEN.!$C$19:$I$218,3,FALSE)</f>
        <v>#N/A</v>
      </c>
      <c r="E65" s="480" t="e">
        <f>VLOOKUP(B65,HAB.GEN.!$C$19:$I$218,4,FALSE)</f>
        <v>#N/A</v>
      </c>
      <c r="F65" s="480" t="e">
        <f>VLOOKUP(B65,HAB.GEN.!$C$19:$I$218,5,FALSE)</f>
        <v>#N/A</v>
      </c>
      <c r="G65" s="480" t="e">
        <f>VLOOKUP(B65,HAB.GEN.!$C$19:$I$218,6,FALSE)</f>
        <v>#N/A</v>
      </c>
      <c r="H65" s="480" t="str">
        <f t="shared" si="0"/>
        <v>HÁBIL</v>
      </c>
      <c r="I65" s="480" t="e">
        <f>VLOOKUP(C65,PON.EXP.ESP.!$D$30:$J$229,3,FALSE)</f>
        <v>#N/A</v>
      </c>
      <c r="J65" s="481" t="e">
        <f>VLOOKUP(C65,PON.EXP.ESP.!$D$30:$J$229,4,FALSE)</f>
        <v>#N/A</v>
      </c>
      <c r="K65" s="482" t="e">
        <f>VLOOKUP(C65,PON.EXP.ESP.!$D$30:$J$229,5,FALSE)</f>
        <v>#N/A</v>
      </c>
      <c r="L65" s="481" t="e">
        <f>VLOOKUP(C65,PON.EXP.ESP.!$D$30:$J$229,6,FALSE)</f>
        <v>#N/A</v>
      </c>
      <c r="M65" s="482" t="e">
        <f>VLOOKUP(C65,PON.EXP.ESP.!$D$30:$J$229,7,FALSE)</f>
        <v>#N/A</v>
      </c>
      <c r="N65" s="481" t="e">
        <f>VLOOKUP(C65,VIN.PERS.DISC.!$C$19:$D$218,2,FALSE)</f>
        <v>#N/A</v>
      </c>
      <c r="O65" s="483" t="e">
        <f>VLOOKUP(C65,'APOYO A IND. NAL.'!$C$19:$D$218,2,FALSE)</f>
        <v>#N/A</v>
      </c>
      <c r="P65" s="484" t="e">
        <f>VLOOKUP(C65,RESUMENGEN!$D$20:$J$219,7,FALSE)</f>
        <v>#N/A</v>
      </c>
      <c r="Q65" s="478"/>
      <c r="R65" s="484" t="e">
        <f t="shared" si="1"/>
        <v>#N/A</v>
      </c>
      <c r="S65" s="485" t="e">
        <f t="shared" si="2"/>
        <v>#N/A</v>
      </c>
    </row>
    <row r="66" spans="2:19" hidden="1">
      <c r="B66" s="479">
        <v>62</v>
      </c>
      <c r="C66" s="479" t="e">
        <f>VLOOKUP(B66,RESUMENGEN!B81:E280,3,FALSE)</f>
        <v>#N/A</v>
      </c>
      <c r="D66" s="480" t="e">
        <f>VLOOKUP(B66,HAB.GEN.!$C$19:$I$218,3,FALSE)</f>
        <v>#N/A</v>
      </c>
      <c r="E66" s="480" t="e">
        <f>VLOOKUP(B66,HAB.GEN.!$C$19:$I$218,4,FALSE)</f>
        <v>#N/A</v>
      </c>
      <c r="F66" s="480" t="e">
        <f>VLOOKUP(B66,HAB.GEN.!$C$19:$I$218,5,FALSE)</f>
        <v>#N/A</v>
      </c>
      <c r="G66" s="480" t="e">
        <f>VLOOKUP(B66,HAB.GEN.!$C$19:$I$218,6,FALSE)</f>
        <v>#N/A</v>
      </c>
      <c r="H66" s="480" t="str">
        <f t="shared" si="0"/>
        <v>HÁBIL</v>
      </c>
      <c r="I66" s="480" t="e">
        <f>VLOOKUP(C66,PON.EXP.ESP.!$D$30:$J$229,3,FALSE)</f>
        <v>#N/A</v>
      </c>
      <c r="J66" s="481" t="e">
        <f>VLOOKUP(C66,PON.EXP.ESP.!$D$30:$J$229,4,FALSE)</f>
        <v>#N/A</v>
      </c>
      <c r="K66" s="482" t="e">
        <f>VLOOKUP(C66,PON.EXP.ESP.!$D$30:$J$229,5,FALSE)</f>
        <v>#N/A</v>
      </c>
      <c r="L66" s="481" t="e">
        <f>VLOOKUP(C66,PON.EXP.ESP.!$D$30:$J$229,6,FALSE)</f>
        <v>#N/A</v>
      </c>
      <c r="M66" s="482" t="e">
        <f>VLOOKUP(C66,PON.EXP.ESP.!$D$30:$J$229,7,FALSE)</f>
        <v>#N/A</v>
      </c>
      <c r="N66" s="481" t="e">
        <f>VLOOKUP(C66,VIN.PERS.DISC.!$C$19:$D$218,2,FALSE)</f>
        <v>#N/A</v>
      </c>
      <c r="O66" s="483" t="e">
        <f>VLOOKUP(C66,'APOYO A IND. NAL.'!$C$19:$D$218,2,FALSE)</f>
        <v>#N/A</v>
      </c>
      <c r="P66" s="484" t="e">
        <f>VLOOKUP(C66,RESUMENGEN!$D$20:$J$219,7,FALSE)</f>
        <v>#N/A</v>
      </c>
      <c r="Q66" s="478"/>
      <c r="R66" s="484" t="e">
        <f t="shared" si="1"/>
        <v>#N/A</v>
      </c>
      <c r="S66" s="485" t="e">
        <f t="shared" si="2"/>
        <v>#N/A</v>
      </c>
    </row>
    <row r="67" spans="2:19" hidden="1">
      <c r="B67" s="479">
        <v>63</v>
      </c>
      <c r="C67" s="479" t="e">
        <f>VLOOKUP(B67,RESUMENGEN!B82:E281,3,FALSE)</f>
        <v>#N/A</v>
      </c>
      <c r="D67" s="480" t="e">
        <f>VLOOKUP(B67,HAB.GEN.!$C$19:$I$218,3,FALSE)</f>
        <v>#N/A</v>
      </c>
      <c r="E67" s="480" t="e">
        <f>VLOOKUP(B67,HAB.GEN.!$C$19:$I$218,4,FALSE)</f>
        <v>#N/A</v>
      </c>
      <c r="F67" s="480" t="e">
        <f>VLOOKUP(B67,HAB.GEN.!$C$19:$I$218,5,FALSE)</f>
        <v>#N/A</v>
      </c>
      <c r="G67" s="480" t="e">
        <f>VLOOKUP(B67,HAB.GEN.!$C$19:$I$218,6,FALSE)</f>
        <v>#N/A</v>
      </c>
      <c r="H67" s="480" t="str">
        <f t="shared" si="0"/>
        <v>HÁBIL</v>
      </c>
      <c r="I67" s="480" t="e">
        <f>VLOOKUP(C67,PON.EXP.ESP.!$D$30:$J$229,3,FALSE)</f>
        <v>#N/A</v>
      </c>
      <c r="J67" s="481" t="e">
        <f>VLOOKUP(C67,PON.EXP.ESP.!$D$30:$J$229,4,FALSE)</f>
        <v>#N/A</v>
      </c>
      <c r="K67" s="482" t="e">
        <f>VLOOKUP(C67,PON.EXP.ESP.!$D$30:$J$229,5,FALSE)</f>
        <v>#N/A</v>
      </c>
      <c r="L67" s="481" t="e">
        <f>VLOOKUP(C67,PON.EXP.ESP.!$D$30:$J$229,6,FALSE)</f>
        <v>#N/A</v>
      </c>
      <c r="M67" s="482" t="e">
        <f>VLOOKUP(C67,PON.EXP.ESP.!$D$30:$J$229,7,FALSE)</f>
        <v>#N/A</v>
      </c>
      <c r="N67" s="481" t="e">
        <f>VLOOKUP(C67,VIN.PERS.DISC.!$C$19:$D$218,2,FALSE)</f>
        <v>#N/A</v>
      </c>
      <c r="O67" s="483" t="e">
        <f>VLOOKUP(C67,'APOYO A IND. NAL.'!$C$19:$D$218,2,FALSE)</f>
        <v>#N/A</v>
      </c>
      <c r="P67" s="484" t="e">
        <f>VLOOKUP(C67,RESUMENGEN!$D$20:$J$219,7,FALSE)</f>
        <v>#N/A</v>
      </c>
      <c r="Q67" s="478"/>
      <c r="R67" s="484" t="e">
        <f t="shared" si="1"/>
        <v>#N/A</v>
      </c>
      <c r="S67" s="485" t="e">
        <f t="shared" si="2"/>
        <v>#N/A</v>
      </c>
    </row>
    <row r="68" spans="2:19" hidden="1">
      <c r="B68" s="479">
        <v>64</v>
      </c>
      <c r="C68" s="479" t="e">
        <f>VLOOKUP(B68,RESUMENGEN!B83:E282,3,FALSE)</f>
        <v>#N/A</v>
      </c>
      <c r="D68" s="480" t="e">
        <f>VLOOKUP(B68,HAB.GEN.!$C$19:$I$218,3,FALSE)</f>
        <v>#N/A</v>
      </c>
      <c r="E68" s="480" t="e">
        <f>VLOOKUP(B68,HAB.GEN.!$C$19:$I$218,4,FALSE)</f>
        <v>#N/A</v>
      </c>
      <c r="F68" s="480" t="e">
        <f>VLOOKUP(B68,HAB.GEN.!$C$19:$I$218,5,FALSE)</f>
        <v>#N/A</v>
      </c>
      <c r="G68" s="480" t="e">
        <f>VLOOKUP(B68,HAB.GEN.!$C$19:$I$218,6,FALSE)</f>
        <v>#N/A</v>
      </c>
      <c r="H68" s="480" t="str">
        <f t="shared" si="0"/>
        <v>HÁBIL</v>
      </c>
      <c r="I68" s="480" t="e">
        <f>VLOOKUP(C68,PON.EXP.ESP.!$D$30:$J$229,3,FALSE)</f>
        <v>#N/A</v>
      </c>
      <c r="J68" s="481" t="e">
        <f>VLOOKUP(C68,PON.EXP.ESP.!$D$30:$J$229,4,FALSE)</f>
        <v>#N/A</v>
      </c>
      <c r="K68" s="482" t="e">
        <f>VLOOKUP(C68,PON.EXP.ESP.!$D$30:$J$229,5,FALSE)</f>
        <v>#N/A</v>
      </c>
      <c r="L68" s="481" t="e">
        <f>VLOOKUP(C68,PON.EXP.ESP.!$D$30:$J$229,6,FALSE)</f>
        <v>#N/A</v>
      </c>
      <c r="M68" s="482" t="e">
        <f>VLOOKUP(C68,PON.EXP.ESP.!$D$30:$J$229,7,FALSE)</f>
        <v>#N/A</v>
      </c>
      <c r="N68" s="481" t="e">
        <f>VLOOKUP(C68,VIN.PERS.DISC.!$C$19:$D$218,2,FALSE)</f>
        <v>#N/A</v>
      </c>
      <c r="O68" s="483" t="e">
        <f>VLOOKUP(C68,'APOYO A IND. NAL.'!$C$19:$D$218,2,FALSE)</f>
        <v>#N/A</v>
      </c>
      <c r="P68" s="484" t="e">
        <f>VLOOKUP(C68,RESUMENGEN!$D$20:$J$219,7,FALSE)</f>
        <v>#N/A</v>
      </c>
      <c r="Q68" s="478"/>
      <c r="R68" s="484" t="e">
        <f t="shared" si="1"/>
        <v>#N/A</v>
      </c>
      <c r="S68" s="485" t="e">
        <f t="shared" si="2"/>
        <v>#N/A</v>
      </c>
    </row>
    <row r="69" spans="2:19" hidden="1">
      <c r="B69" s="479">
        <v>65</v>
      </c>
      <c r="C69" s="479" t="e">
        <f>VLOOKUP(B69,RESUMENGEN!B84:E283,3,FALSE)</f>
        <v>#N/A</v>
      </c>
      <c r="D69" s="480" t="e">
        <f>VLOOKUP(B69,HAB.GEN.!$C$19:$I$218,3,FALSE)</f>
        <v>#N/A</v>
      </c>
      <c r="E69" s="480" t="e">
        <f>VLOOKUP(B69,HAB.GEN.!$C$19:$I$218,4,FALSE)</f>
        <v>#N/A</v>
      </c>
      <c r="F69" s="480" t="e">
        <f>VLOOKUP(B69,HAB.GEN.!$C$19:$I$218,5,FALSE)</f>
        <v>#N/A</v>
      </c>
      <c r="G69" s="480" t="e">
        <f>VLOOKUP(B69,HAB.GEN.!$C$19:$I$218,6,FALSE)</f>
        <v>#N/A</v>
      </c>
      <c r="H69" s="480" t="str">
        <f t="shared" si="0"/>
        <v>HÁBIL</v>
      </c>
      <c r="I69" s="480" t="e">
        <f>VLOOKUP(C69,PON.EXP.ESP.!$D$30:$J$229,3,FALSE)</f>
        <v>#N/A</v>
      </c>
      <c r="J69" s="481" t="e">
        <f>VLOOKUP(C69,PON.EXP.ESP.!$D$30:$J$229,4,FALSE)</f>
        <v>#N/A</v>
      </c>
      <c r="K69" s="482" t="e">
        <f>VLOOKUP(C69,PON.EXP.ESP.!$D$30:$J$229,5,FALSE)</f>
        <v>#N/A</v>
      </c>
      <c r="L69" s="481" t="e">
        <f>VLOOKUP(C69,PON.EXP.ESP.!$D$30:$J$229,6,FALSE)</f>
        <v>#N/A</v>
      </c>
      <c r="M69" s="482" t="e">
        <f>VLOOKUP(C69,PON.EXP.ESP.!$D$30:$J$229,7,FALSE)</f>
        <v>#N/A</v>
      </c>
      <c r="N69" s="481" t="e">
        <f>VLOOKUP(C69,VIN.PERS.DISC.!$C$19:$D$218,2,FALSE)</f>
        <v>#N/A</v>
      </c>
      <c r="O69" s="483" t="e">
        <f>VLOOKUP(C69,'APOYO A IND. NAL.'!$C$19:$D$218,2,FALSE)</f>
        <v>#N/A</v>
      </c>
      <c r="P69" s="484" t="e">
        <f>VLOOKUP(C69,RESUMENGEN!$D$20:$J$219,7,FALSE)</f>
        <v>#N/A</v>
      </c>
      <c r="Q69" s="478"/>
      <c r="R69" s="484" t="e">
        <f t="shared" si="1"/>
        <v>#N/A</v>
      </c>
      <c r="S69" s="485" t="e">
        <f t="shared" si="2"/>
        <v>#N/A</v>
      </c>
    </row>
    <row r="70" spans="2:19" hidden="1">
      <c r="B70" s="479">
        <v>66</v>
      </c>
      <c r="C70" s="479" t="e">
        <f>VLOOKUP(B70,RESUMENGEN!B85:E284,3,FALSE)</f>
        <v>#N/A</v>
      </c>
      <c r="D70" s="480" t="e">
        <f>VLOOKUP(B70,HAB.GEN.!$C$19:$I$218,3,FALSE)</f>
        <v>#N/A</v>
      </c>
      <c r="E70" s="480" t="e">
        <f>VLOOKUP(B70,HAB.GEN.!$C$19:$I$218,4,FALSE)</f>
        <v>#N/A</v>
      </c>
      <c r="F70" s="480" t="e">
        <f>VLOOKUP(B70,HAB.GEN.!$C$19:$I$218,5,FALSE)</f>
        <v>#N/A</v>
      </c>
      <c r="G70" s="480" t="e">
        <f>VLOOKUP(B70,HAB.GEN.!$C$19:$I$218,6,FALSE)</f>
        <v>#N/A</v>
      </c>
      <c r="H70" s="480" t="str">
        <f t="shared" ref="H70:H204" si="3">IF(OR(COUNTIF(D70:G70,"")=4,COUNTIF(D70:G70,"")&gt;0),"",IF(COUNTIF(D70:G70,"RECHAZO")&gt;0,"RECHAZO",IF(COUNTIF(D70:G70,"NO HÁBIL")=0,"HÁBIL","NO HÁBIL")))</f>
        <v>HÁBIL</v>
      </c>
      <c r="I70" s="480" t="e">
        <f>VLOOKUP(C70,PON.EXP.ESP.!$D$30:$J$229,3,FALSE)</f>
        <v>#N/A</v>
      </c>
      <c r="J70" s="481" t="e">
        <f>VLOOKUP(C70,PON.EXP.ESP.!$D$30:$J$229,4,FALSE)</f>
        <v>#N/A</v>
      </c>
      <c r="K70" s="482" t="e">
        <f>VLOOKUP(C70,PON.EXP.ESP.!$D$30:$J$229,5,FALSE)</f>
        <v>#N/A</v>
      </c>
      <c r="L70" s="481" t="e">
        <f>VLOOKUP(C70,PON.EXP.ESP.!$D$30:$J$229,6,FALSE)</f>
        <v>#N/A</v>
      </c>
      <c r="M70" s="482" t="e">
        <f>VLOOKUP(C70,PON.EXP.ESP.!$D$30:$J$229,7,FALSE)</f>
        <v>#N/A</v>
      </c>
      <c r="N70" s="481" t="e">
        <f>VLOOKUP(C70,VIN.PERS.DISC.!$C$19:$D$218,2,FALSE)</f>
        <v>#N/A</v>
      </c>
      <c r="O70" s="483" t="e">
        <f>VLOOKUP(C70,'APOYO A IND. NAL.'!$C$19:$D$218,2,FALSE)</f>
        <v>#N/A</v>
      </c>
      <c r="P70" s="484" t="e">
        <f>VLOOKUP(C70,RESUMENGEN!$D$20:$J$219,7,FALSE)</f>
        <v>#N/A</v>
      </c>
      <c r="Q70" s="478"/>
      <c r="R70" s="484" t="e">
        <f t="shared" ref="R70:R133" si="4">+K70+M70+N70+O70</f>
        <v>#N/A</v>
      </c>
      <c r="S70" s="485" t="e">
        <f t="shared" si="2"/>
        <v>#N/A</v>
      </c>
    </row>
    <row r="71" spans="2:19" hidden="1">
      <c r="B71" s="479">
        <v>67</v>
      </c>
      <c r="C71" s="479" t="e">
        <f>VLOOKUP(B71,RESUMENGEN!B86:E285,3,FALSE)</f>
        <v>#N/A</v>
      </c>
      <c r="D71" s="480" t="e">
        <f>VLOOKUP(B71,HAB.GEN.!$C$19:$I$218,3,FALSE)</f>
        <v>#N/A</v>
      </c>
      <c r="E71" s="480" t="e">
        <f>VLOOKUP(B71,HAB.GEN.!$C$19:$I$218,4,FALSE)</f>
        <v>#N/A</v>
      </c>
      <c r="F71" s="480" t="e">
        <f>VLOOKUP(B71,HAB.GEN.!$C$19:$I$218,5,FALSE)</f>
        <v>#N/A</v>
      </c>
      <c r="G71" s="480" t="e">
        <f>VLOOKUP(B71,HAB.GEN.!$C$19:$I$218,6,FALSE)</f>
        <v>#N/A</v>
      </c>
      <c r="H71" s="480" t="str">
        <f t="shared" si="3"/>
        <v>HÁBIL</v>
      </c>
      <c r="I71" s="480" t="e">
        <f>VLOOKUP(C71,PON.EXP.ESP.!$D$30:$J$229,3,FALSE)</f>
        <v>#N/A</v>
      </c>
      <c r="J71" s="481" t="e">
        <f>VLOOKUP(C71,PON.EXP.ESP.!$D$30:$J$229,4,FALSE)</f>
        <v>#N/A</v>
      </c>
      <c r="K71" s="482" t="e">
        <f>VLOOKUP(C71,PON.EXP.ESP.!$D$30:$J$229,5,FALSE)</f>
        <v>#N/A</v>
      </c>
      <c r="L71" s="481" t="e">
        <f>VLOOKUP(C71,PON.EXP.ESP.!$D$30:$J$229,6,FALSE)</f>
        <v>#N/A</v>
      </c>
      <c r="M71" s="482" t="e">
        <f>VLOOKUP(C71,PON.EXP.ESP.!$D$30:$J$229,7,FALSE)</f>
        <v>#N/A</v>
      </c>
      <c r="N71" s="481" t="e">
        <f>VLOOKUP(C71,VIN.PERS.DISC.!$C$19:$D$218,2,FALSE)</f>
        <v>#N/A</v>
      </c>
      <c r="O71" s="483" t="e">
        <f>VLOOKUP(C71,'APOYO A IND. NAL.'!$C$19:$D$218,2,FALSE)</f>
        <v>#N/A</v>
      </c>
      <c r="P71" s="484" t="e">
        <f>VLOOKUP(C71,RESUMENGEN!$D$20:$J$219,7,FALSE)</f>
        <v>#N/A</v>
      </c>
      <c r="Q71" s="478"/>
      <c r="R71" s="484" t="e">
        <f t="shared" si="4"/>
        <v>#N/A</v>
      </c>
      <c r="S71" s="485" t="e">
        <f t="shared" si="2"/>
        <v>#N/A</v>
      </c>
    </row>
    <row r="72" spans="2:19" hidden="1">
      <c r="B72" s="479">
        <v>68</v>
      </c>
      <c r="C72" s="479" t="e">
        <f>VLOOKUP(B72,RESUMENGEN!B87:E286,3,FALSE)</f>
        <v>#N/A</v>
      </c>
      <c r="D72" s="480" t="e">
        <f>VLOOKUP(B72,HAB.GEN.!$C$19:$I$218,3,FALSE)</f>
        <v>#N/A</v>
      </c>
      <c r="E72" s="480" t="e">
        <f>VLOOKUP(B72,HAB.GEN.!$C$19:$I$218,4,FALSE)</f>
        <v>#N/A</v>
      </c>
      <c r="F72" s="480" t="e">
        <f>VLOOKUP(B72,HAB.GEN.!$C$19:$I$218,5,FALSE)</f>
        <v>#N/A</v>
      </c>
      <c r="G72" s="480" t="e">
        <f>VLOOKUP(B72,HAB.GEN.!$C$19:$I$218,6,FALSE)</f>
        <v>#N/A</v>
      </c>
      <c r="H72" s="480" t="str">
        <f t="shared" si="3"/>
        <v>HÁBIL</v>
      </c>
      <c r="I72" s="480" t="e">
        <f>VLOOKUP(C72,PON.EXP.ESP.!$D$30:$J$229,3,FALSE)</f>
        <v>#N/A</v>
      </c>
      <c r="J72" s="481" t="e">
        <f>VLOOKUP(C72,PON.EXP.ESP.!$D$30:$J$229,4,FALSE)</f>
        <v>#N/A</v>
      </c>
      <c r="K72" s="482" t="e">
        <f>VLOOKUP(C72,PON.EXP.ESP.!$D$30:$J$229,5,FALSE)</f>
        <v>#N/A</v>
      </c>
      <c r="L72" s="481" t="e">
        <f>VLOOKUP(C72,PON.EXP.ESP.!$D$30:$J$229,6,FALSE)</f>
        <v>#N/A</v>
      </c>
      <c r="M72" s="482" t="e">
        <f>VLOOKUP(C72,PON.EXP.ESP.!$D$30:$J$229,7,FALSE)</f>
        <v>#N/A</v>
      </c>
      <c r="N72" s="481" t="e">
        <f>VLOOKUP(C72,VIN.PERS.DISC.!$C$19:$D$218,2,FALSE)</f>
        <v>#N/A</v>
      </c>
      <c r="O72" s="483" t="e">
        <f>VLOOKUP(C72,'APOYO A IND. NAL.'!$C$19:$D$218,2,FALSE)</f>
        <v>#N/A</v>
      </c>
      <c r="P72" s="484" t="e">
        <f>VLOOKUP(C72,RESUMENGEN!$D$20:$J$219,7,FALSE)</f>
        <v>#N/A</v>
      </c>
      <c r="Q72" s="478"/>
      <c r="R72" s="484" t="e">
        <f t="shared" si="4"/>
        <v>#N/A</v>
      </c>
      <c r="S72" s="485" t="e">
        <f t="shared" si="2"/>
        <v>#N/A</v>
      </c>
    </row>
    <row r="73" spans="2:19" hidden="1">
      <c r="B73" s="479">
        <v>69</v>
      </c>
      <c r="C73" s="479" t="e">
        <f>VLOOKUP(B73,RESUMENGEN!B88:E287,3,FALSE)</f>
        <v>#N/A</v>
      </c>
      <c r="D73" s="480" t="e">
        <f>VLOOKUP(B73,HAB.GEN.!$C$19:$I$218,3,FALSE)</f>
        <v>#N/A</v>
      </c>
      <c r="E73" s="480" t="e">
        <f>VLOOKUP(B73,HAB.GEN.!$C$19:$I$218,4,FALSE)</f>
        <v>#N/A</v>
      </c>
      <c r="F73" s="480" t="e">
        <f>VLOOKUP(B73,HAB.GEN.!$C$19:$I$218,5,FALSE)</f>
        <v>#N/A</v>
      </c>
      <c r="G73" s="480" t="e">
        <f>VLOOKUP(B73,HAB.GEN.!$C$19:$I$218,6,FALSE)</f>
        <v>#N/A</v>
      </c>
      <c r="H73" s="480" t="str">
        <f t="shared" si="3"/>
        <v>HÁBIL</v>
      </c>
      <c r="I73" s="480" t="e">
        <f>VLOOKUP(C73,PON.EXP.ESP.!$D$30:$J$229,3,FALSE)</f>
        <v>#N/A</v>
      </c>
      <c r="J73" s="481" t="e">
        <f>VLOOKUP(C73,PON.EXP.ESP.!$D$30:$J$229,4,FALSE)</f>
        <v>#N/A</v>
      </c>
      <c r="K73" s="482" t="e">
        <f>VLOOKUP(C73,PON.EXP.ESP.!$D$30:$J$229,5,FALSE)</f>
        <v>#N/A</v>
      </c>
      <c r="L73" s="481" t="e">
        <f>VLOOKUP(C73,PON.EXP.ESP.!$D$30:$J$229,6,FALSE)</f>
        <v>#N/A</v>
      </c>
      <c r="M73" s="482" t="e">
        <f>VLOOKUP(C73,PON.EXP.ESP.!$D$30:$J$229,7,FALSE)</f>
        <v>#N/A</v>
      </c>
      <c r="N73" s="481" t="e">
        <f>VLOOKUP(C73,VIN.PERS.DISC.!$C$19:$D$218,2,FALSE)</f>
        <v>#N/A</v>
      </c>
      <c r="O73" s="483" t="e">
        <f>VLOOKUP(C73,'APOYO A IND. NAL.'!$C$19:$D$218,2,FALSE)</f>
        <v>#N/A</v>
      </c>
      <c r="P73" s="484" t="e">
        <f>VLOOKUP(C73,RESUMENGEN!$D$20:$J$219,7,FALSE)</f>
        <v>#N/A</v>
      </c>
      <c r="Q73" s="478"/>
      <c r="R73" s="484" t="e">
        <f t="shared" si="4"/>
        <v>#N/A</v>
      </c>
      <c r="S73" s="485" t="e">
        <f t="shared" si="2"/>
        <v>#N/A</v>
      </c>
    </row>
    <row r="74" spans="2:19" hidden="1">
      <c r="B74" s="479">
        <v>70</v>
      </c>
      <c r="C74" s="479" t="e">
        <f>VLOOKUP(B74,RESUMENGEN!B89:E288,3,FALSE)</f>
        <v>#N/A</v>
      </c>
      <c r="D74" s="480" t="e">
        <f>VLOOKUP(B74,HAB.GEN.!$C$19:$I$218,3,FALSE)</f>
        <v>#N/A</v>
      </c>
      <c r="E74" s="480" t="e">
        <f>VLOOKUP(B74,HAB.GEN.!$C$19:$I$218,4,FALSE)</f>
        <v>#N/A</v>
      </c>
      <c r="F74" s="480" t="e">
        <f>VLOOKUP(B74,HAB.GEN.!$C$19:$I$218,5,FALSE)</f>
        <v>#N/A</v>
      </c>
      <c r="G74" s="480" t="e">
        <f>VLOOKUP(B74,HAB.GEN.!$C$19:$I$218,6,FALSE)</f>
        <v>#N/A</v>
      </c>
      <c r="H74" s="480" t="str">
        <f t="shared" si="3"/>
        <v>HÁBIL</v>
      </c>
      <c r="I74" s="480" t="e">
        <f>VLOOKUP(C74,PON.EXP.ESP.!$D$30:$J$229,3,FALSE)</f>
        <v>#N/A</v>
      </c>
      <c r="J74" s="481" t="e">
        <f>VLOOKUP(C74,PON.EXP.ESP.!$D$30:$J$229,4,FALSE)</f>
        <v>#N/A</v>
      </c>
      <c r="K74" s="482" t="e">
        <f>VLOOKUP(C74,PON.EXP.ESP.!$D$30:$J$229,5,FALSE)</f>
        <v>#N/A</v>
      </c>
      <c r="L74" s="481" t="e">
        <f>VLOOKUP(C74,PON.EXP.ESP.!$D$30:$J$229,6,FALSE)</f>
        <v>#N/A</v>
      </c>
      <c r="M74" s="482" t="e">
        <f>VLOOKUP(C74,PON.EXP.ESP.!$D$30:$J$229,7,FALSE)</f>
        <v>#N/A</v>
      </c>
      <c r="N74" s="481" t="e">
        <f>VLOOKUP(C74,VIN.PERS.DISC.!$C$19:$D$218,2,FALSE)</f>
        <v>#N/A</v>
      </c>
      <c r="O74" s="483" t="e">
        <f>VLOOKUP(C74,'APOYO A IND. NAL.'!$C$19:$D$218,2,FALSE)</f>
        <v>#N/A</v>
      </c>
      <c r="P74" s="484" t="e">
        <f>VLOOKUP(C74,RESUMENGEN!$D$20:$J$219,7,FALSE)</f>
        <v>#N/A</v>
      </c>
      <c r="Q74" s="478"/>
      <c r="R74" s="484" t="e">
        <f t="shared" si="4"/>
        <v>#N/A</v>
      </c>
      <c r="S74" s="485" t="e">
        <f t="shared" si="2"/>
        <v>#N/A</v>
      </c>
    </row>
    <row r="75" spans="2:19" hidden="1">
      <c r="B75" s="479">
        <v>71</v>
      </c>
      <c r="C75" s="479" t="e">
        <f>VLOOKUP(B75,RESUMENGEN!B90:E289,3,FALSE)</f>
        <v>#N/A</v>
      </c>
      <c r="D75" s="480" t="e">
        <f>VLOOKUP(B75,HAB.GEN.!$C$19:$I$218,3,FALSE)</f>
        <v>#N/A</v>
      </c>
      <c r="E75" s="480" t="e">
        <f>VLOOKUP(B75,HAB.GEN.!$C$19:$I$218,4,FALSE)</f>
        <v>#N/A</v>
      </c>
      <c r="F75" s="480" t="e">
        <f>VLOOKUP(B75,HAB.GEN.!$C$19:$I$218,5,FALSE)</f>
        <v>#N/A</v>
      </c>
      <c r="G75" s="480" t="e">
        <f>VLOOKUP(B75,HAB.GEN.!$C$19:$I$218,6,FALSE)</f>
        <v>#N/A</v>
      </c>
      <c r="H75" s="480" t="str">
        <f t="shared" si="3"/>
        <v>HÁBIL</v>
      </c>
      <c r="I75" s="480" t="e">
        <f>VLOOKUP(C75,PON.EXP.ESP.!$D$30:$J$229,3,FALSE)</f>
        <v>#N/A</v>
      </c>
      <c r="J75" s="481" t="e">
        <f>VLOOKUP(C75,PON.EXP.ESP.!$D$30:$J$229,4,FALSE)</f>
        <v>#N/A</v>
      </c>
      <c r="K75" s="482" t="e">
        <f>VLOOKUP(C75,PON.EXP.ESP.!$D$30:$J$229,5,FALSE)</f>
        <v>#N/A</v>
      </c>
      <c r="L75" s="481" t="e">
        <f>VLOOKUP(C75,PON.EXP.ESP.!$D$30:$J$229,6,FALSE)</f>
        <v>#N/A</v>
      </c>
      <c r="M75" s="482" t="e">
        <f>VLOOKUP(C75,PON.EXP.ESP.!$D$30:$J$229,7,FALSE)</f>
        <v>#N/A</v>
      </c>
      <c r="N75" s="481" t="e">
        <f>VLOOKUP(C75,VIN.PERS.DISC.!$C$19:$D$218,2,FALSE)</f>
        <v>#N/A</v>
      </c>
      <c r="O75" s="483" t="e">
        <f>VLOOKUP(C75,'APOYO A IND. NAL.'!$C$19:$D$218,2,FALSE)</f>
        <v>#N/A</v>
      </c>
      <c r="P75" s="484" t="e">
        <f>VLOOKUP(C75,RESUMENGEN!$D$20:$J$219,7,FALSE)</f>
        <v>#N/A</v>
      </c>
      <c r="Q75" s="478"/>
      <c r="R75" s="484" t="e">
        <f t="shared" si="4"/>
        <v>#N/A</v>
      </c>
      <c r="S75" s="485" t="e">
        <f t="shared" si="2"/>
        <v>#N/A</v>
      </c>
    </row>
    <row r="76" spans="2:19" hidden="1">
      <c r="B76" s="479">
        <v>72</v>
      </c>
      <c r="C76" s="479" t="e">
        <f>VLOOKUP(B76,RESUMENGEN!B91:E290,3,FALSE)</f>
        <v>#N/A</v>
      </c>
      <c r="D76" s="480" t="e">
        <f>VLOOKUP(B76,HAB.GEN.!$C$19:$I$218,3,FALSE)</f>
        <v>#N/A</v>
      </c>
      <c r="E76" s="480" t="e">
        <f>VLOOKUP(B76,HAB.GEN.!$C$19:$I$218,4,FALSE)</f>
        <v>#N/A</v>
      </c>
      <c r="F76" s="480" t="e">
        <f>VLOOKUP(B76,HAB.GEN.!$C$19:$I$218,5,FALSE)</f>
        <v>#N/A</v>
      </c>
      <c r="G76" s="480" t="e">
        <f>VLOOKUP(B76,HAB.GEN.!$C$19:$I$218,6,FALSE)</f>
        <v>#N/A</v>
      </c>
      <c r="H76" s="480" t="str">
        <f t="shared" si="3"/>
        <v>HÁBIL</v>
      </c>
      <c r="I76" s="480" t="e">
        <f>VLOOKUP(C76,PON.EXP.ESP.!$D$30:$J$229,3,FALSE)</f>
        <v>#N/A</v>
      </c>
      <c r="J76" s="481" t="e">
        <f>VLOOKUP(C76,PON.EXP.ESP.!$D$30:$J$229,4,FALSE)</f>
        <v>#N/A</v>
      </c>
      <c r="K76" s="482" t="e">
        <f>VLOOKUP(C76,PON.EXP.ESP.!$D$30:$J$229,5,FALSE)</f>
        <v>#N/A</v>
      </c>
      <c r="L76" s="481" t="e">
        <f>VLOOKUP(C76,PON.EXP.ESP.!$D$30:$J$229,6,FALSE)</f>
        <v>#N/A</v>
      </c>
      <c r="M76" s="482" t="e">
        <f>VLOOKUP(C76,PON.EXP.ESP.!$D$30:$J$229,7,FALSE)</f>
        <v>#N/A</v>
      </c>
      <c r="N76" s="481" t="e">
        <f>VLOOKUP(C76,VIN.PERS.DISC.!$C$19:$D$218,2,FALSE)</f>
        <v>#N/A</v>
      </c>
      <c r="O76" s="483" t="e">
        <f>VLOOKUP(C76,'APOYO A IND. NAL.'!$C$19:$D$218,2,FALSE)</f>
        <v>#N/A</v>
      </c>
      <c r="P76" s="484" t="e">
        <f>VLOOKUP(C76,RESUMENGEN!$D$20:$J$219,7,FALSE)</f>
        <v>#N/A</v>
      </c>
      <c r="Q76" s="478"/>
      <c r="R76" s="484" t="e">
        <f t="shared" si="4"/>
        <v>#N/A</v>
      </c>
      <c r="S76" s="485" t="e">
        <f t="shared" si="2"/>
        <v>#N/A</v>
      </c>
    </row>
    <row r="77" spans="2:19" hidden="1">
      <c r="B77" s="479">
        <v>73</v>
      </c>
      <c r="C77" s="479" t="e">
        <f>VLOOKUP(B77,RESUMENGEN!B92:E291,3,FALSE)</f>
        <v>#N/A</v>
      </c>
      <c r="D77" s="480" t="e">
        <f>VLOOKUP(B77,HAB.GEN.!$C$19:$I$218,3,FALSE)</f>
        <v>#N/A</v>
      </c>
      <c r="E77" s="480" t="e">
        <f>VLOOKUP(B77,HAB.GEN.!$C$19:$I$218,4,FALSE)</f>
        <v>#N/A</v>
      </c>
      <c r="F77" s="480" t="e">
        <f>VLOOKUP(B77,HAB.GEN.!$C$19:$I$218,5,FALSE)</f>
        <v>#N/A</v>
      </c>
      <c r="G77" s="480" t="e">
        <f>VLOOKUP(B77,HAB.GEN.!$C$19:$I$218,6,FALSE)</f>
        <v>#N/A</v>
      </c>
      <c r="H77" s="480" t="str">
        <f t="shared" si="3"/>
        <v>HÁBIL</v>
      </c>
      <c r="I77" s="480" t="e">
        <f>VLOOKUP(C77,PON.EXP.ESP.!$D$30:$J$229,3,FALSE)</f>
        <v>#N/A</v>
      </c>
      <c r="J77" s="481" t="e">
        <f>VLOOKUP(C77,PON.EXP.ESP.!$D$30:$J$229,4,FALSE)</f>
        <v>#N/A</v>
      </c>
      <c r="K77" s="482" t="e">
        <f>VLOOKUP(C77,PON.EXP.ESP.!$D$30:$J$229,5,FALSE)</f>
        <v>#N/A</v>
      </c>
      <c r="L77" s="481" t="e">
        <f>VLOOKUP(C77,PON.EXP.ESP.!$D$30:$J$229,6,FALSE)</f>
        <v>#N/A</v>
      </c>
      <c r="M77" s="482" t="e">
        <f>VLOOKUP(C77,PON.EXP.ESP.!$D$30:$J$229,7,FALSE)</f>
        <v>#N/A</v>
      </c>
      <c r="N77" s="481" t="e">
        <f>VLOOKUP(C77,VIN.PERS.DISC.!$C$19:$D$218,2,FALSE)</f>
        <v>#N/A</v>
      </c>
      <c r="O77" s="483" t="e">
        <f>VLOOKUP(C77,'APOYO A IND. NAL.'!$C$19:$D$218,2,FALSE)</f>
        <v>#N/A</v>
      </c>
      <c r="P77" s="484" t="e">
        <f>VLOOKUP(C77,RESUMENGEN!$D$20:$J$219,7,FALSE)</f>
        <v>#N/A</v>
      </c>
      <c r="Q77" s="478"/>
      <c r="R77" s="484" t="e">
        <f t="shared" si="4"/>
        <v>#N/A</v>
      </c>
      <c r="S77" s="485" t="e">
        <f t="shared" si="2"/>
        <v>#N/A</v>
      </c>
    </row>
    <row r="78" spans="2:19" hidden="1">
      <c r="B78" s="479">
        <v>74</v>
      </c>
      <c r="C78" s="479" t="e">
        <f>VLOOKUP(B78,RESUMENGEN!B93:E292,3,FALSE)</f>
        <v>#N/A</v>
      </c>
      <c r="D78" s="480" t="e">
        <f>VLOOKUP(B78,HAB.GEN.!$C$19:$I$218,3,FALSE)</f>
        <v>#N/A</v>
      </c>
      <c r="E78" s="480" t="e">
        <f>VLOOKUP(B78,HAB.GEN.!$C$19:$I$218,4,FALSE)</f>
        <v>#N/A</v>
      </c>
      <c r="F78" s="480" t="e">
        <f>VLOOKUP(B78,HAB.GEN.!$C$19:$I$218,5,FALSE)</f>
        <v>#N/A</v>
      </c>
      <c r="G78" s="480" t="e">
        <f>VLOOKUP(B78,HAB.GEN.!$C$19:$I$218,6,FALSE)</f>
        <v>#N/A</v>
      </c>
      <c r="H78" s="480" t="str">
        <f t="shared" si="3"/>
        <v>HÁBIL</v>
      </c>
      <c r="I78" s="480" t="e">
        <f>VLOOKUP(C78,PON.EXP.ESP.!$D$30:$J$229,3,FALSE)</f>
        <v>#N/A</v>
      </c>
      <c r="J78" s="481" t="e">
        <f>VLOOKUP(C78,PON.EXP.ESP.!$D$30:$J$229,4,FALSE)</f>
        <v>#N/A</v>
      </c>
      <c r="K78" s="482" t="e">
        <f>VLOOKUP(C78,PON.EXP.ESP.!$D$30:$J$229,5,FALSE)</f>
        <v>#N/A</v>
      </c>
      <c r="L78" s="481" t="e">
        <f>VLOOKUP(C78,PON.EXP.ESP.!$D$30:$J$229,6,FALSE)</f>
        <v>#N/A</v>
      </c>
      <c r="M78" s="482" t="e">
        <f>VLOOKUP(C78,PON.EXP.ESP.!$D$30:$J$229,7,FALSE)</f>
        <v>#N/A</v>
      </c>
      <c r="N78" s="481" t="e">
        <f>VLOOKUP(C78,VIN.PERS.DISC.!$C$19:$D$218,2,FALSE)</f>
        <v>#N/A</v>
      </c>
      <c r="O78" s="483" t="e">
        <f>VLOOKUP(C78,'APOYO A IND. NAL.'!$C$19:$D$218,2,FALSE)</f>
        <v>#N/A</v>
      </c>
      <c r="P78" s="484" t="e">
        <f>VLOOKUP(C78,RESUMENGEN!$D$20:$J$219,7,FALSE)</f>
        <v>#N/A</v>
      </c>
      <c r="Q78" s="478"/>
      <c r="R78" s="484" t="e">
        <f t="shared" si="4"/>
        <v>#N/A</v>
      </c>
      <c r="S78" s="485" t="e">
        <f t="shared" si="2"/>
        <v>#N/A</v>
      </c>
    </row>
    <row r="79" spans="2:19" hidden="1">
      <c r="B79" s="479">
        <v>75</v>
      </c>
      <c r="C79" s="479" t="e">
        <f>VLOOKUP(B79,RESUMENGEN!B94:E293,3,FALSE)</f>
        <v>#N/A</v>
      </c>
      <c r="D79" s="480" t="e">
        <f>VLOOKUP(B79,HAB.GEN.!$C$19:$I$218,3,FALSE)</f>
        <v>#N/A</v>
      </c>
      <c r="E79" s="480" t="e">
        <f>VLOOKUP(B79,HAB.GEN.!$C$19:$I$218,4,FALSE)</f>
        <v>#N/A</v>
      </c>
      <c r="F79" s="480" t="e">
        <f>VLOOKUP(B79,HAB.GEN.!$C$19:$I$218,5,FALSE)</f>
        <v>#N/A</v>
      </c>
      <c r="G79" s="480" t="e">
        <f>VLOOKUP(B79,HAB.GEN.!$C$19:$I$218,6,FALSE)</f>
        <v>#N/A</v>
      </c>
      <c r="H79" s="480" t="str">
        <f t="shared" si="3"/>
        <v>HÁBIL</v>
      </c>
      <c r="I79" s="480" t="e">
        <f>VLOOKUP(C79,PON.EXP.ESP.!$D$30:$J$229,3,FALSE)</f>
        <v>#N/A</v>
      </c>
      <c r="J79" s="481" t="e">
        <f>VLOOKUP(C79,PON.EXP.ESP.!$D$30:$J$229,4,FALSE)</f>
        <v>#N/A</v>
      </c>
      <c r="K79" s="482" t="e">
        <f>VLOOKUP(C79,PON.EXP.ESP.!$D$30:$J$229,5,FALSE)</f>
        <v>#N/A</v>
      </c>
      <c r="L79" s="481" t="e">
        <f>VLOOKUP(C79,PON.EXP.ESP.!$D$30:$J$229,6,FALSE)</f>
        <v>#N/A</v>
      </c>
      <c r="M79" s="482" t="e">
        <f>VLOOKUP(C79,PON.EXP.ESP.!$D$30:$J$229,7,FALSE)</f>
        <v>#N/A</v>
      </c>
      <c r="N79" s="481" t="e">
        <f>VLOOKUP(C79,VIN.PERS.DISC.!$C$19:$D$218,2,FALSE)</f>
        <v>#N/A</v>
      </c>
      <c r="O79" s="483" t="e">
        <f>VLOOKUP(C79,'APOYO A IND. NAL.'!$C$19:$D$218,2,FALSE)</f>
        <v>#N/A</v>
      </c>
      <c r="P79" s="484" t="e">
        <f>VLOOKUP(C79,RESUMENGEN!$D$20:$J$219,7,FALSE)</f>
        <v>#N/A</v>
      </c>
      <c r="Q79" s="478"/>
      <c r="R79" s="484" t="e">
        <f t="shared" si="4"/>
        <v>#N/A</v>
      </c>
      <c r="S79" s="485" t="e">
        <f t="shared" si="2"/>
        <v>#N/A</v>
      </c>
    </row>
    <row r="80" spans="2:19" hidden="1">
      <c r="B80" s="479">
        <v>76</v>
      </c>
      <c r="C80" s="479" t="e">
        <f>VLOOKUP(B80,RESUMENGEN!B95:E294,3,FALSE)</f>
        <v>#N/A</v>
      </c>
      <c r="D80" s="480" t="e">
        <f>VLOOKUP(B80,HAB.GEN.!$C$19:$I$218,3,FALSE)</f>
        <v>#N/A</v>
      </c>
      <c r="E80" s="480" t="e">
        <f>VLOOKUP(B80,HAB.GEN.!$C$19:$I$218,4,FALSE)</f>
        <v>#N/A</v>
      </c>
      <c r="F80" s="480" t="e">
        <f>VLOOKUP(B80,HAB.GEN.!$C$19:$I$218,5,FALSE)</f>
        <v>#N/A</v>
      </c>
      <c r="G80" s="480" t="e">
        <f>VLOOKUP(B80,HAB.GEN.!$C$19:$I$218,6,FALSE)</f>
        <v>#N/A</v>
      </c>
      <c r="H80" s="480" t="str">
        <f t="shared" si="3"/>
        <v>HÁBIL</v>
      </c>
      <c r="I80" s="480" t="e">
        <f>VLOOKUP(C80,PON.EXP.ESP.!$D$30:$J$229,3,FALSE)</f>
        <v>#N/A</v>
      </c>
      <c r="J80" s="481" t="e">
        <f>VLOOKUP(C80,PON.EXP.ESP.!$D$30:$J$229,4,FALSE)</f>
        <v>#N/A</v>
      </c>
      <c r="K80" s="482" t="e">
        <f>VLOOKUP(C80,PON.EXP.ESP.!$D$30:$J$229,5,FALSE)</f>
        <v>#N/A</v>
      </c>
      <c r="L80" s="481" t="e">
        <f>VLOOKUP(C80,PON.EXP.ESP.!$D$30:$J$229,6,FALSE)</f>
        <v>#N/A</v>
      </c>
      <c r="M80" s="482" t="e">
        <f>VLOOKUP(C80,PON.EXP.ESP.!$D$30:$J$229,7,FALSE)</f>
        <v>#N/A</v>
      </c>
      <c r="N80" s="481" t="e">
        <f>VLOOKUP(C80,VIN.PERS.DISC.!$C$19:$D$218,2,FALSE)</f>
        <v>#N/A</v>
      </c>
      <c r="O80" s="483" t="e">
        <f>VLOOKUP(C80,'APOYO A IND. NAL.'!$C$19:$D$218,2,FALSE)</f>
        <v>#N/A</v>
      </c>
      <c r="P80" s="484" t="e">
        <f>VLOOKUP(C80,RESUMENGEN!$D$20:$J$219,7,FALSE)</f>
        <v>#N/A</v>
      </c>
      <c r="Q80" s="478"/>
      <c r="R80" s="484" t="e">
        <f t="shared" si="4"/>
        <v>#N/A</v>
      </c>
      <c r="S80" s="485" t="e">
        <f t="shared" ref="S80:S103" si="5">IF(P80=R80,"SI","NO")</f>
        <v>#N/A</v>
      </c>
    </row>
    <row r="81" spans="2:19" hidden="1">
      <c r="B81" s="479">
        <v>77</v>
      </c>
      <c r="C81" s="479" t="e">
        <f>VLOOKUP(B81,RESUMENGEN!B96:E295,3,FALSE)</f>
        <v>#N/A</v>
      </c>
      <c r="D81" s="480" t="e">
        <f>VLOOKUP(B81,HAB.GEN.!$C$19:$I$218,3,FALSE)</f>
        <v>#N/A</v>
      </c>
      <c r="E81" s="480" t="e">
        <f>VLOOKUP(B81,HAB.GEN.!$C$19:$I$218,4,FALSE)</f>
        <v>#N/A</v>
      </c>
      <c r="F81" s="480" t="e">
        <f>VLOOKUP(B81,HAB.GEN.!$C$19:$I$218,5,FALSE)</f>
        <v>#N/A</v>
      </c>
      <c r="G81" s="480" t="e">
        <f>VLOOKUP(B81,HAB.GEN.!$C$19:$I$218,6,FALSE)</f>
        <v>#N/A</v>
      </c>
      <c r="H81" s="480" t="str">
        <f t="shared" si="3"/>
        <v>HÁBIL</v>
      </c>
      <c r="I81" s="480" t="e">
        <f>VLOOKUP(C81,PON.EXP.ESP.!$D$30:$J$229,3,FALSE)</f>
        <v>#N/A</v>
      </c>
      <c r="J81" s="481" t="e">
        <f>VLOOKUP(C81,PON.EXP.ESP.!$D$30:$J$229,4,FALSE)</f>
        <v>#N/A</v>
      </c>
      <c r="K81" s="482" t="e">
        <f>VLOOKUP(C81,PON.EXP.ESP.!$D$30:$J$229,5,FALSE)</f>
        <v>#N/A</v>
      </c>
      <c r="L81" s="481" t="e">
        <f>VLOOKUP(C81,PON.EXP.ESP.!$D$30:$J$229,6,FALSE)</f>
        <v>#N/A</v>
      </c>
      <c r="M81" s="482" t="e">
        <f>VLOOKUP(C81,PON.EXP.ESP.!$D$30:$J$229,7,FALSE)</f>
        <v>#N/A</v>
      </c>
      <c r="N81" s="481" t="e">
        <f>VLOOKUP(C81,VIN.PERS.DISC.!$C$19:$D$218,2,FALSE)</f>
        <v>#N/A</v>
      </c>
      <c r="O81" s="483" t="e">
        <f>VLOOKUP(C81,'APOYO A IND. NAL.'!$C$19:$D$218,2,FALSE)</f>
        <v>#N/A</v>
      </c>
      <c r="P81" s="484" t="e">
        <f>VLOOKUP(C81,RESUMENGEN!$D$20:$J$219,7,FALSE)</f>
        <v>#N/A</v>
      </c>
      <c r="Q81" s="478"/>
      <c r="R81" s="484" t="e">
        <f t="shared" si="4"/>
        <v>#N/A</v>
      </c>
      <c r="S81" s="485" t="e">
        <f t="shared" si="5"/>
        <v>#N/A</v>
      </c>
    </row>
    <row r="82" spans="2:19" hidden="1">
      <c r="B82" s="479">
        <v>78</v>
      </c>
      <c r="C82" s="479" t="e">
        <f>VLOOKUP(B82,RESUMENGEN!B97:E296,3,FALSE)</f>
        <v>#N/A</v>
      </c>
      <c r="D82" s="480" t="e">
        <f>VLOOKUP(B82,HAB.GEN.!$C$19:$I$218,3,FALSE)</f>
        <v>#N/A</v>
      </c>
      <c r="E82" s="480" t="e">
        <f>VLOOKUP(B82,HAB.GEN.!$C$19:$I$218,4,FALSE)</f>
        <v>#N/A</v>
      </c>
      <c r="F82" s="480" t="e">
        <f>VLOOKUP(B82,HAB.GEN.!$C$19:$I$218,5,FALSE)</f>
        <v>#N/A</v>
      </c>
      <c r="G82" s="480" t="e">
        <f>VLOOKUP(B82,HAB.GEN.!$C$19:$I$218,6,FALSE)</f>
        <v>#N/A</v>
      </c>
      <c r="H82" s="480" t="str">
        <f t="shared" si="3"/>
        <v>HÁBIL</v>
      </c>
      <c r="I82" s="480" t="e">
        <f>VLOOKUP(C82,PON.EXP.ESP.!$D$30:$J$229,3,FALSE)</f>
        <v>#N/A</v>
      </c>
      <c r="J82" s="481" t="e">
        <f>VLOOKUP(C82,PON.EXP.ESP.!$D$30:$J$229,4,FALSE)</f>
        <v>#N/A</v>
      </c>
      <c r="K82" s="482" t="e">
        <f>VLOOKUP(C82,PON.EXP.ESP.!$D$30:$J$229,5,FALSE)</f>
        <v>#N/A</v>
      </c>
      <c r="L82" s="481" t="e">
        <f>VLOOKUP(C82,PON.EXP.ESP.!$D$30:$J$229,6,FALSE)</f>
        <v>#N/A</v>
      </c>
      <c r="M82" s="482" t="e">
        <f>VLOOKUP(C82,PON.EXP.ESP.!$D$30:$J$229,7,FALSE)</f>
        <v>#N/A</v>
      </c>
      <c r="N82" s="481" t="e">
        <f>VLOOKUP(C82,VIN.PERS.DISC.!$C$19:$D$218,2,FALSE)</f>
        <v>#N/A</v>
      </c>
      <c r="O82" s="483" t="e">
        <f>VLOOKUP(C82,'APOYO A IND. NAL.'!$C$19:$D$218,2,FALSE)</f>
        <v>#N/A</v>
      </c>
      <c r="P82" s="484" t="e">
        <f>VLOOKUP(C82,RESUMENGEN!$D$20:$J$219,7,FALSE)</f>
        <v>#N/A</v>
      </c>
      <c r="Q82" s="478"/>
      <c r="R82" s="484" t="e">
        <f t="shared" si="4"/>
        <v>#N/A</v>
      </c>
      <c r="S82" s="485" t="e">
        <f t="shared" si="5"/>
        <v>#N/A</v>
      </c>
    </row>
    <row r="83" spans="2:19" hidden="1">
      <c r="B83" s="479">
        <v>79</v>
      </c>
      <c r="C83" s="479" t="e">
        <f>VLOOKUP(B83,RESUMENGEN!B98:E297,3,FALSE)</f>
        <v>#N/A</v>
      </c>
      <c r="D83" s="480" t="e">
        <f>VLOOKUP(B83,HAB.GEN.!$C$19:$I$218,3,FALSE)</f>
        <v>#N/A</v>
      </c>
      <c r="E83" s="480" t="e">
        <f>VLOOKUP(B83,HAB.GEN.!$C$19:$I$218,4,FALSE)</f>
        <v>#N/A</v>
      </c>
      <c r="F83" s="480" t="e">
        <f>VLOOKUP(B83,HAB.GEN.!$C$19:$I$218,5,FALSE)</f>
        <v>#N/A</v>
      </c>
      <c r="G83" s="480" t="e">
        <f>VLOOKUP(B83,HAB.GEN.!$C$19:$I$218,6,FALSE)</f>
        <v>#N/A</v>
      </c>
      <c r="H83" s="480" t="str">
        <f t="shared" si="3"/>
        <v>HÁBIL</v>
      </c>
      <c r="I83" s="480" t="e">
        <f>VLOOKUP(C83,PON.EXP.ESP.!$D$30:$J$229,3,FALSE)</f>
        <v>#N/A</v>
      </c>
      <c r="J83" s="481" t="e">
        <f>VLOOKUP(C83,PON.EXP.ESP.!$D$30:$J$229,4,FALSE)</f>
        <v>#N/A</v>
      </c>
      <c r="K83" s="482" t="e">
        <f>VLOOKUP(C83,PON.EXP.ESP.!$D$30:$J$229,5,FALSE)</f>
        <v>#N/A</v>
      </c>
      <c r="L83" s="481" t="e">
        <f>VLOOKUP(C83,PON.EXP.ESP.!$D$30:$J$229,6,FALSE)</f>
        <v>#N/A</v>
      </c>
      <c r="M83" s="482" t="e">
        <f>VLOOKUP(C83,PON.EXP.ESP.!$D$30:$J$229,7,FALSE)</f>
        <v>#N/A</v>
      </c>
      <c r="N83" s="481" t="e">
        <f>VLOOKUP(C83,VIN.PERS.DISC.!$C$19:$D$218,2,FALSE)</f>
        <v>#N/A</v>
      </c>
      <c r="O83" s="483" t="e">
        <f>VLOOKUP(C83,'APOYO A IND. NAL.'!$C$19:$D$218,2,FALSE)</f>
        <v>#N/A</v>
      </c>
      <c r="P83" s="484" t="e">
        <f>VLOOKUP(C83,RESUMENGEN!$D$20:$J$219,7,FALSE)</f>
        <v>#N/A</v>
      </c>
      <c r="Q83" s="478"/>
      <c r="R83" s="484" t="e">
        <f t="shared" si="4"/>
        <v>#N/A</v>
      </c>
      <c r="S83" s="485" t="e">
        <f t="shared" si="5"/>
        <v>#N/A</v>
      </c>
    </row>
    <row r="84" spans="2:19" hidden="1">
      <c r="B84" s="479">
        <v>80</v>
      </c>
      <c r="C84" s="479" t="e">
        <f>VLOOKUP(B84,RESUMENGEN!B99:E298,3,FALSE)</f>
        <v>#N/A</v>
      </c>
      <c r="D84" s="480" t="e">
        <f>VLOOKUP(B84,HAB.GEN.!$C$19:$I$218,3,FALSE)</f>
        <v>#N/A</v>
      </c>
      <c r="E84" s="480" t="e">
        <f>VLOOKUP(B84,HAB.GEN.!$C$19:$I$218,4,FALSE)</f>
        <v>#N/A</v>
      </c>
      <c r="F84" s="480" t="e">
        <f>VLOOKUP(B84,HAB.GEN.!$C$19:$I$218,5,FALSE)</f>
        <v>#N/A</v>
      </c>
      <c r="G84" s="480" t="e">
        <f>VLOOKUP(B84,HAB.GEN.!$C$19:$I$218,6,FALSE)</f>
        <v>#N/A</v>
      </c>
      <c r="H84" s="480" t="str">
        <f t="shared" si="3"/>
        <v>HÁBIL</v>
      </c>
      <c r="I84" s="480" t="e">
        <f>VLOOKUP(C84,PON.EXP.ESP.!$D$30:$J$229,3,FALSE)</f>
        <v>#N/A</v>
      </c>
      <c r="J84" s="481" t="e">
        <f>VLOOKUP(C84,PON.EXP.ESP.!$D$30:$J$229,4,FALSE)</f>
        <v>#N/A</v>
      </c>
      <c r="K84" s="482" t="e">
        <f>VLOOKUP(C84,PON.EXP.ESP.!$D$30:$J$229,5,FALSE)</f>
        <v>#N/A</v>
      </c>
      <c r="L84" s="481" t="e">
        <f>VLOOKUP(C84,PON.EXP.ESP.!$D$30:$J$229,6,FALSE)</f>
        <v>#N/A</v>
      </c>
      <c r="M84" s="482" t="e">
        <f>VLOOKUP(C84,PON.EXP.ESP.!$D$30:$J$229,7,FALSE)</f>
        <v>#N/A</v>
      </c>
      <c r="N84" s="481" t="e">
        <f>VLOOKUP(C84,VIN.PERS.DISC.!$C$19:$D$218,2,FALSE)</f>
        <v>#N/A</v>
      </c>
      <c r="O84" s="483" t="e">
        <f>VLOOKUP(C84,'APOYO A IND. NAL.'!$C$19:$D$218,2,FALSE)</f>
        <v>#N/A</v>
      </c>
      <c r="P84" s="484" t="e">
        <f>VLOOKUP(C84,RESUMENGEN!$D$20:$J$219,7,FALSE)</f>
        <v>#N/A</v>
      </c>
      <c r="Q84" s="478"/>
      <c r="R84" s="484" t="e">
        <f t="shared" si="4"/>
        <v>#N/A</v>
      </c>
      <c r="S84" s="485" t="e">
        <f t="shared" si="5"/>
        <v>#N/A</v>
      </c>
    </row>
    <row r="85" spans="2:19" hidden="1">
      <c r="B85" s="479">
        <v>81</v>
      </c>
      <c r="C85" s="479" t="e">
        <f>VLOOKUP(B85,RESUMENGEN!B100:E299,3,FALSE)</f>
        <v>#N/A</v>
      </c>
      <c r="D85" s="480" t="e">
        <f>VLOOKUP(B85,HAB.GEN.!$C$19:$I$218,3,FALSE)</f>
        <v>#N/A</v>
      </c>
      <c r="E85" s="480" t="e">
        <f>VLOOKUP(B85,HAB.GEN.!$C$19:$I$218,4,FALSE)</f>
        <v>#N/A</v>
      </c>
      <c r="F85" s="480" t="e">
        <f>VLOOKUP(B85,HAB.GEN.!$C$19:$I$218,5,FALSE)</f>
        <v>#N/A</v>
      </c>
      <c r="G85" s="480" t="e">
        <f>VLOOKUP(B85,HAB.GEN.!$C$19:$I$218,6,FALSE)</f>
        <v>#N/A</v>
      </c>
      <c r="H85" s="480" t="str">
        <f t="shared" si="3"/>
        <v>HÁBIL</v>
      </c>
      <c r="I85" s="480" t="e">
        <f>VLOOKUP(C85,PON.EXP.ESP.!$D$30:$J$229,3,FALSE)</f>
        <v>#N/A</v>
      </c>
      <c r="J85" s="481" t="e">
        <f>VLOOKUP(C85,PON.EXP.ESP.!$D$30:$J$229,4,FALSE)</f>
        <v>#N/A</v>
      </c>
      <c r="K85" s="482" t="e">
        <f>VLOOKUP(C85,PON.EXP.ESP.!$D$30:$J$229,5,FALSE)</f>
        <v>#N/A</v>
      </c>
      <c r="L85" s="481" t="e">
        <f>VLOOKUP(C85,PON.EXP.ESP.!$D$30:$J$229,6,FALSE)</f>
        <v>#N/A</v>
      </c>
      <c r="M85" s="482" t="e">
        <f>VLOOKUP(C85,PON.EXP.ESP.!$D$30:$J$229,7,FALSE)</f>
        <v>#N/A</v>
      </c>
      <c r="N85" s="481" t="e">
        <f>VLOOKUP(C85,VIN.PERS.DISC.!$C$19:$D$218,2,FALSE)</f>
        <v>#N/A</v>
      </c>
      <c r="O85" s="483" t="e">
        <f>VLOOKUP(C85,'APOYO A IND. NAL.'!$C$19:$D$218,2,FALSE)</f>
        <v>#N/A</v>
      </c>
      <c r="P85" s="484" t="e">
        <f>VLOOKUP(C85,RESUMENGEN!$D$20:$J$219,7,FALSE)</f>
        <v>#N/A</v>
      </c>
      <c r="Q85" s="478"/>
      <c r="R85" s="484" t="e">
        <f t="shared" si="4"/>
        <v>#N/A</v>
      </c>
      <c r="S85" s="485" t="e">
        <f t="shared" si="5"/>
        <v>#N/A</v>
      </c>
    </row>
    <row r="86" spans="2:19" hidden="1">
      <c r="B86" s="479">
        <v>82</v>
      </c>
      <c r="C86" s="479" t="e">
        <f>VLOOKUP(B86,RESUMENGEN!B101:E300,3,FALSE)</f>
        <v>#N/A</v>
      </c>
      <c r="D86" s="480" t="e">
        <f>VLOOKUP(B86,HAB.GEN.!$C$19:$I$218,3,FALSE)</f>
        <v>#N/A</v>
      </c>
      <c r="E86" s="480" t="e">
        <f>VLOOKUP(B86,HAB.GEN.!$C$19:$I$218,4,FALSE)</f>
        <v>#N/A</v>
      </c>
      <c r="F86" s="480" t="e">
        <f>VLOOKUP(B86,HAB.GEN.!$C$19:$I$218,5,FALSE)</f>
        <v>#N/A</v>
      </c>
      <c r="G86" s="480" t="e">
        <f>VLOOKUP(B86,HAB.GEN.!$C$19:$I$218,6,FALSE)</f>
        <v>#N/A</v>
      </c>
      <c r="H86" s="480" t="str">
        <f t="shared" si="3"/>
        <v>HÁBIL</v>
      </c>
      <c r="I86" s="480" t="e">
        <f>VLOOKUP(C86,PON.EXP.ESP.!$D$30:$J$229,3,FALSE)</f>
        <v>#N/A</v>
      </c>
      <c r="J86" s="481" t="e">
        <f>VLOOKUP(C86,PON.EXP.ESP.!$D$30:$J$229,4,FALSE)</f>
        <v>#N/A</v>
      </c>
      <c r="K86" s="482" t="e">
        <f>VLOOKUP(C86,PON.EXP.ESP.!$D$30:$J$229,5,FALSE)</f>
        <v>#N/A</v>
      </c>
      <c r="L86" s="481" t="e">
        <f>VLOOKUP(C86,PON.EXP.ESP.!$D$30:$J$229,6,FALSE)</f>
        <v>#N/A</v>
      </c>
      <c r="M86" s="482" t="e">
        <f>VLOOKUP(C86,PON.EXP.ESP.!$D$30:$J$229,7,FALSE)</f>
        <v>#N/A</v>
      </c>
      <c r="N86" s="481" t="e">
        <f>VLOOKUP(C86,VIN.PERS.DISC.!$C$19:$D$218,2,FALSE)</f>
        <v>#N/A</v>
      </c>
      <c r="O86" s="483" t="e">
        <f>VLOOKUP(C86,'APOYO A IND. NAL.'!$C$19:$D$218,2,FALSE)</f>
        <v>#N/A</v>
      </c>
      <c r="P86" s="484" t="e">
        <f>VLOOKUP(C86,RESUMENGEN!$D$20:$J$219,7,FALSE)</f>
        <v>#N/A</v>
      </c>
      <c r="Q86" s="478"/>
      <c r="R86" s="484" t="e">
        <f t="shared" si="4"/>
        <v>#N/A</v>
      </c>
      <c r="S86" s="485" t="e">
        <f t="shared" si="5"/>
        <v>#N/A</v>
      </c>
    </row>
    <row r="87" spans="2:19" hidden="1">
      <c r="B87" s="479">
        <v>83</v>
      </c>
      <c r="C87" s="479" t="e">
        <f>VLOOKUP(B87,RESUMENGEN!B102:E301,3,FALSE)</f>
        <v>#N/A</v>
      </c>
      <c r="D87" s="480" t="e">
        <f>VLOOKUP(B87,HAB.GEN.!$C$19:$I$218,3,FALSE)</f>
        <v>#N/A</v>
      </c>
      <c r="E87" s="480" t="e">
        <f>VLOOKUP(B87,HAB.GEN.!$C$19:$I$218,4,FALSE)</f>
        <v>#N/A</v>
      </c>
      <c r="F87" s="480" t="e">
        <f>VLOOKUP(B87,HAB.GEN.!$C$19:$I$218,5,FALSE)</f>
        <v>#N/A</v>
      </c>
      <c r="G87" s="480" t="e">
        <f>VLOOKUP(B87,HAB.GEN.!$C$19:$I$218,6,FALSE)</f>
        <v>#N/A</v>
      </c>
      <c r="H87" s="480" t="str">
        <f t="shared" si="3"/>
        <v>HÁBIL</v>
      </c>
      <c r="I87" s="480" t="e">
        <f>VLOOKUP(C87,PON.EXP.ESP.!$D$30:$J$229,3,FALSE)</f>
        <v>#N/A</v>
      </c>
      <c r="J87" s="481" t="e">
        <f>VLOOKUP(C87,PON.EXP.ESP.!$D$30:$J$229,4,FALSE)</f>
        <v>#N/A</v>
      </c>
      <c r="K87" s="482" t="e">
        <f>VLOOKUP(C87,PON.EXP.ESP.!$D$30:$J$229,5,FALSE)</f>
        <v>#N/A</v>
      </c>
      <c r="L87" s="481" t="e">
        <f>VLOOKUP(C87,PON.EXP.ESP.!$D$30:$J$229,6,FALSE)</f>
        <v>#N/A</v>
      </c>
      <c r="M87" s="482" t="e">
        <f>VLOOKUP(C87,PON.EXP.ESP.!$D$30:$J$229,7,FALSE)</f>
        <v>#N/A</v>
      </c>
      <c r="N87" s="481" t="e">
        <f>VLOOKUP(C87,VIN.PERS.DISC.!$C$19:$D$218,2,FALSE)</f>
        <v>#N/A</v>
      </c>
      <c r="O87" s="483" t="e">
        <f>VLOOKUP(C87,'APOYO A IND. NAL.'!$C$19:$D$218,2,FALSE)</f>
        <v>#N/A</v>
      </c>
      <c r="P87" s="484" t="e">
        <f>VLOOKUP(C87,RESUMENGEN!$D$20:$J$219,7,FALSE)</f>
        <v>#N/A</v>
      </c>
      <c r="Q87" s="478"/>
      <c r="R87" s="484" t="e">
        <f t="shared" si="4"/>
        <v>#N/A</v>
      </c>
      <c r="S87" s="485" t="e">
        <f t="shared" si="5"/>
        <v>#N/A</v>
      </c>
    </row>
    <row r="88" spans="2:19" hidden="1">
      <c r="B88" s="479">
        <v>84</v>
      </c>
      <c r="C88" s="479" t="e">
        <f>VLOOKUP(B88,RESUMENGEN!B103:E302,3,FALSE)</f>
        <v>#N/A</v>
      </c>
      <c r="D88" s="480" t="e">
        <f>VLOOKUP(B88,HAB.GEN.!$C$19:$I$218,3,FALSE)</f>
        <v>#N/A</v>
      </c>
      <c r="E88" s="480" t="e">
        <f>VLOOKUP(B88,HAB.GEN.!$C$19:$I$218,4,FALSE)</f>
        <v>#N/A</v>
      </c>
      <c r="F88" s="480" t="e">
        <f>VLOOKUP(B88,HAB.GEN.!$C$19:$I$218,5,FALSE)</f>
        <v>#N/A</v>
      </c>
      <c r="G88" s="480" t="e">
        <f>VLOOKUP(B88,HAB.GEN.!$C$19:$I$218,6,FALSE)</f>
        <v>#N/A</v>
      </c>
      <c r="H88" s="480" t="str">
        <f t="shared" si="3"/>
        <v>HÁBIL</v>
      </c>
      <c r="I88" s="480" t="e">
        <f>VLOOKUP(C88,PON.EXP.ESP.!$D$30:$J$229,3,FALSE)</f>
        <v>#N/A</v>
      </c>
      <c r="J88" s="481" t="e">
        <f>VLOOKUP(C88,PON.EXP.ESP.!$D$30:$J$229,4,FALSE)</f>
        <v>#N/A</v>
      </c>
      <c r="K88" s="482" t="e">
        <f>VLOOKUP(C88,PON.EXP.ESP.!$D$30:$J$229,5,FALSE)</f>
        <v>#N/A</v>
      </c>
      <c r="L88" s="481" t="e">
        <f>VLOOKUP(C88,PON.EXP.ESP.!$D$30:$J$229,6,FALSE)</f>
        <v>#N/A</v>
      </c>
      <c r="M88" s="482" t="e">
        <f>VLOOKUP(C88,PON.EXP.ESP.!$D$30:$J$229,7,FALSE)</f>
        <v>#N/A</v>
      </c>
      <c r="N88" s="481" t="e">
        <f>VLOOKUP(C88,VIN.PERS.DISC.!$C$19:$D$218,2,FALSE)</f>
        <v>#N/A</v>
      </c>
      <c r="O88" s="483" t="e">
        <f>VLOOKUP(C88,'APOYO A IND. NAL.'!$C$19:$D$218,2,FALSE)</f>
        <v>#N/A</v>
      </c>
      <c r="P88" s="484" t="e">
        <f>VLOOKUP(C88,RESUMENGEN!$D$20:$J$219,7,FALSE)</f>
        <v>#N/A</v>
      </c>
      <c r="Q88" s="478"/>
      <c r="R88" s="484" t="e">
        <f t="shared" si="4"/>
        <v>#N/A</v>
      </c>
      <c r="S88" s="485" t="e">
        <f t="shared" si="5"/>
        <v>#N/A</v>
      </c>
    </row>
    <row r="89" spans="2:19" hidden="1">
      <c r="B89" s="479">
        <v>85</v>
      </c>
      <c r="C89" s="479" t="e">
        <f>VLOOKUP(B89,RESUMENGEN!B104:E303,3,FALSE)</f>
        <v>#N/A</v>
      </c>
      <c r="D89" s="480" t="e">
        <f>VLOOKUP(B89,HAB.GEN.!$C$19:$I$218,3,FALSE)</f>
        <v>#N/A</v>
      </c>
      <c r="E89" s="480" t="e">
        <f>VLOOKUP(B89,HAB.GEN.!$C$19:$I$218,4,FALSE)</f>
        <v>#N/A</v>
      </c>
      <c r="F89" s="480" t="e">
        <f>VLOOKUP(B89,HAB.GEN.!$C$19:$I$218,5,FALSE)</f>
        <v>#N/A</v>
      </c>
      <c r="G89" s="480" t="e">
        <f>VLOOKUP(B89,HAB.GEN.!$C$19:$I$218,6,FALSE)</f>
        <v>#N/A</v>
      </c>
      <c r="H89" s="480" t="str">
        <f t="shared" si="3"/>
        <v>HÁBIL</v>
      </c>
      <c r="I89" s="480" t="e">
        <f>VLOOKUP(C89,PON.EXP.ESP.!$D$30:$J$229,3,FALSE)</f>
        <v>#N/A</v>
      </c>
      <c r="J89" s="481" t="e">
        <f>VLOOKUP(C89,PON.EXP.ESP.!$D$30:$J$229,4,FALSE)</f>
        <v>#N/A</v>
      </c>
      <c r="K89" s="482" t="e">
        <f>VLOOKUP(C89,PON.EXP.ESP.!$D$30:$J$229,5,FALSE)</f>
        <v>#N/A</v>
      </c>
      <c r="L89" s="481" t="e">
        <f>VLOOKUP(C89,PON.EXP.ESP.!$D$30:$J$229,6,FALSE)</f>
        <v>#N/A</v>
      </c>
      <c r="M89" s="482" t="e">
        <f>VLOOKUP(C89,PON.EXP.ESP.!$D$30:$J$229,7,FALSE)</f>
        <v>#N/A</v>
      </c>
      <c r="N89" s="481" t="e">
        <f>VLOOKUP(C89,VIN.PERS.DISC.!$C$19:$D$218,2,FALSE)</f>
        <v>#N/A</v>
      </c>
      <c r="O89" s="483" t="e">
        <f>VLOOKUP(C89,'APOYO A IND. NAL.'!$C$19:$D$218,2,FALSE)</f>
        <v>#N/A</v>
      </c>
      <c r="P89" s="484" t="e">
        <f>VLOOKUP(C89,RESUMENGEN!$D$20:$J$219,7,FALSE)</f>
        <v>#N/A</v>
      </c>
      <c r="Q89" s="478"/>
      <c r="R89" s="484" t="e">
        <f t="shared" si="4"/>
        <v>#N/A</v>
      </c>
      <c r="S89" s="485" t="e">
        <f t="shared" si="5"/>
        <v>#N/A</v>
      </c>
    </row>
    <row r="90" spans="2:19" hidden="1">
      <c r="B90" s="479">
        <v>86</v>
      </c>
      <c r="C90" s="479" t="e">
        <f>VLOOKUP(B90,RESUMENGEN!B105:E304,3,FALSE)</f>
        <v>#N/A</v>
      </c>
      <c r="D90" s="480" t="e">
        <f>VLOOKUP(B90,HAB.GEN.!$C$19:$I$218,3,FALSE)</f>
        <v>#N/A</v>
      </c>
      <c r="E90" s="480" t="e">
        <f>VLOOKUP(B90,HAB.GEN.!$C$19:$I$218,4,FALSE)</f>
        <v>#N/A</v>
      </c>
      <c r="F90" s="480" t="e">
        <f>VLOOKUP(B90,HAB.GEN.!$C$19:$I$218,5,FALSE)</f>
        <v>#N/A</v>
      </c>
      <c r="G90" s="480" t="e">
        <f>VLOOKUP(B90,HAB.GEN.!$C$19:$I$218,6,FALSE)</f>
        <v>#N/A</v>
      </c>
      <c r="H90" s="480" t="str">
        <f t="shared" si="3"/>
        <v>HÁBIL</v>
      </c>
      <c r="I90" s="480" t="e">
        <f>VLOOKUP(C90,PON.EXP.ESP.!$D$30:$J$229,3,FALSE)</f>
        <v>#N/A</v>
      </c>
      <c r="J90" s="481" t="e">
        <f>VLOOKUP(C90,PON.EXP.ESP.!$D$30:$J$229,4,FALSE)</f>
        <v>#N/A</v>
      </c>
      <c r="K90" s="482" t="e">
        <f>VLOOKUP(C90,PON.EXP.ESP.!$D$30:$J$229,5,FALSE)</f>
        <v>#N/A</v>
      </c>
      <c r="L90" s="481" t="e">
        <f>VLOOKUP(C90,PON.EXP.ESP.!$D$30:$J$229,6,FALSE)</f>
        <v>#N/A</v>
      </c>
      <c r="M90" s="482" t="e">
        <f>VLOOKUP(C90,PON.EXP.ESP.!$D$30:$J$229,7,FALSE)</f>
        <v>#N/A</v>
      </c>
      <c r="N90" s="481" t="e">
        <f>VLOOKUP(C90,VIN.PERS.DISC.!$C$19:$D$218,2,FALSE)</f>
        <v>#N/A</v>
      </c>
      <c r="O90" s="483" t="e">
        <f>VLOOKUP(C90,'APOYO A IND. NAL.'!$C$19:$D$218,2,FALSE)</f>
        <v>#N/A</v>
      </c>
      <c r="P90" s="484" t="e">
        <f>VLOOKUP(C90,RESUMENGEN!$D$20:$J$219,7,FALSE)</f>
        <v>#N/A</v>
      </c>
      <c r="Q90" s="478"/>
      <c r="R90" s="484" t="e">
        <f t="shared" si="4"/>
        <v>#N/A</v>
      </c>
      <c r="S90" s="485" t="e">
        <f t="shared" si="5"/>
        <v>#N/A</v>
      </c>
    </row>
    <row r="91" spans="2:19" hidden="1">
      <c r="B91" s="479">
        <v>87</v>
      </c>
      <c r="C91" s="479" t="e">
        <f>VLOOKUP(B91,RESUMENGEN!B106:E305,3,FALSE)</f>
        <v>#N/A</v>
      </c>
      <c r="D91" s="480" t="e">
        <f>VLOOKUP(B91,HAB.GEN.!$C$19:$I$218,3,FALSE)</f>
        <v>#N/A</v>
      </c>
      <c r="E91" s="480" t="e">
        <f>VLOOKUP(B91,HAB.GEN.!$C$19:$I$218,4,FALSE)</f>
        <v>#N/A</v>
      </c>
      <c r="F91" s="480" t="e">
        <f>VLOOKUP(B91,HAB.GEN.!$C$19:$I$218,5,FALSE)</f>
        <v>#N/A</v>
      </c>
      <c r="G91" s="480" t="e">
        <f>VLOOKUP(B91,HAB.GEN.!$C$19:$I$218,6,FALSE)</f>
        <v>#N/A</v>
      </c>
      <c r="H91" s="480" t="str">
        <f t="shared" si="3"/>
        <v>HÁBIL</v>
      </c>
      <c r="I91" s="480" t="e">
        <f>VLOOKUP(C91,PON.EXP.ESP.!$D$30:$J$229,3,FALSE)</f>
        <v>#N/A</v>
      </c>
      <c r="J91" s="481" t="e">
        <f>VLOOKUP(C91,PON.EXP.ESP.!$D$30:$J$229,4,FALSE)</f>
        <v>#N/A</v>
      </c>
      <c r="K91" s="482" t="e">
        <f>VLOOKUP(C91,PON.EXP.ESP.!$D$30:$J$229,5,FALSE)</f>
        <v>#N/A</v>
      </c>
      <c r="L91" s="481" t="e">
        <f>VLOOKUP(C91,PON.EXP.ESP.!$D$30:$J$229,6,FALSE)</f>
        <v>#N/A</v>
      </c>
      <c r="M91" s="482" t="e">
        <f>VLOOKUP(C91,PON.EXP.ESP.!$D$30:$J$229,7,FALSE)</f>
        <v>#N/A</v>
      </c>
      <c r="N91" s="481" t="e">
        <f>VLOOKUP(C91,VIN.PERS.DISC.!$C$19:$D$218,2,FALSE)</f>
        <v>#N/A</v>
      </c>
      <c r="O91" s="483" t="e">
        <f>VLOOKUP(C91,'APOYO A IND. NAL.'!$C$19:$D$218,2,FALSE)</f>
        <v>#N/A</v>
      </c>
      <c r="P91" s="484" t="e">
        <f>VLOOKUP(C91,RESUMENGEN!$D$20:$J$219,7,FALSE)</f>
        <v>#N/A</v>
      </c>
      <c r="Q91" s="478"/>
      <c r="R91" s="484" t="e">
        <f t="shared" si="4"/>
        <v>#N/A</v>
      </c>
      <c r="S91" s="485" t="e">
        <f t="shared" si="5"/>
        <v>#N/A</v>
      </c>
    </row>
    <row r="92" spans="2:19" hidden="1">
      <c r="B92" s="479">
        <v>88</v>
      </c>
      <c r="C92" s="479" t="e">
        <f>VLOOKUP(B92,RESUMENGEN!B107:E306,3,FALSE)</f>
        <v>#N/A</v>
      </c>
      <c r="D92" s="480" t="e">
        <f>VLOOKUP(B92,HAB.GEN.!$C$19:$I$218,3,FALSE)</f>
        <v>#N/A</v>
      </c>
      <c r="E92" s="480" t="e">
        <f>VLOOKUP(B92,HAB.GEN.!$C$19:$I$218,4,FALSE)</f>
        <v>#N/A</v>
      </c>
      <c r="F92" s="480" t="e">
        <f>VLOOKUP(B92,HAB.GEN.!$C$19:$I$218,5,FALSE)</f>
        <v>#N/A</v>
      </c>
      <c r="G92" s="480" t="e">
        <f>VLOOKUP(B92,HAB.GEN.!$C$19:$I$218,6,FALSE)</f>
        <v>#N/A</v>
      </c>
      <c r="H92" s="480" t="str">
        <f t="shared" si="3"/>
        <v>HÁBIL</v>
      </c>
      <c r="I92" s="480" t="e">
        <f>VLOOKUP(C92,PON.EXP.ESP.!$D$30:$J$229,3,FALSE)</f>
        <v>#N/A</v>
      </c>
      <c r="J92" s="481" t="e">
        <f>VLOOKUP(C92,PON.EXP.ESP.!$D$30:$J$229,4,FALSE)</f>
        <v>#N/A</v>
      </c>
      <c r="K92" s="482" t="e">
        <f>VLOOKUP(C92,PON.EXP.ESP.!$D$30:$J$229,5,FALSE)</f>
        <v>#N/A</v>
      </c>
      <c r="L92" s="481" t="e">
        <f>VLOOKUP(C92,PON.EXP.ESP.!$D$30:$J$229,6,FALSE)</f>
        <v>#N/A</v>
      </c>
      <c r="M92" s="482" t="e">
        <f>VLOOKUP(C92,PON.EXP.ESP.!$D$30:$J$229,7,FALSE)</f>
        <v>#N/A</v>
      </c>
      <c r="N92" s="481" t="e">
        <f>VLOOKUP(C92,VIN.PERS.DISC.!$C$19:$D$218,2,FALSE)</f>
        <v>#N/A</v>
      </c>
      <c r="O92" s="483" t="e">
        <f>VLOOKUP(C92,'APOYO A IND. NAL.'!$C$19:$D$218,2,FALSE)</f>
        <v>#N/A</v>
      </c>
      <c r="P92" s="484" t="e">
        <f>VLOOKUP(C92,RESUMENGEN!$D$20:$J$219,7,FALSE)</f>
        <v>#N/A</v>
      </c>
      <c r="Q92" s="478"/>
      <c r="R92" s="484" t="e">
        <f t="shared" si="4"/>
        <v>#N/A</v>
      </c>
      <c r="S92" s="485" t="e">
        <f t="shared" si="5"/>
        <v>#N/A</v>
      </c>
    </row>
    <row r="93" spans="2:19" hidden="1">
      <c r="B93" s="479">
        <v>89</v>
      </c>
      <c r="C93" s="479" t="e">
        <f>VLOOKUP(B93,RESUMENGEN!B108:E307,3,FALSE)</f>
        <v>#N/A</v>
      </c>
      <c r="D93" s="480" t="e">
        <f>VLOOKUP(B93,HAB.GEN.!$C$19:$I$218,3,FALSE)</f>
        <v>#N/A</v>
      </c>
      <c r="E93" s="480" t="e">
        <f>VLOOKUP(B93,HAB.GEN.!$C$19:$I$218,4,FALSE)</f>
        <v>#N/A</v>
      </c>
      <c r="F93" s="480" t="e">
        <f>VLOOKUP(B93,HAB.GEN.!$C$19:$I$218,5,FALSE)</f>
        <v>#N/A</v>
      </c>
      <c r="G93" s="480" t="e">
        <f>VLOOKUP(B93,HAB.GEN.!$C$19:$I$218,6,FALSE)</f>
        <v>#N/A</v>
      </c>
      <c r="H93" s="480" t="str">
        <f t="shared" si="3"/>
        <v>HÁBIL</v>
      </c>
      <c r="I93" s="480" t="e">
        <f>VLOOKUP(C93,PON.EXP.ESP.!$D$30:$J$229,3,FALSE)</f>
        <v>#N/A</v>
      </c>
      <c r="J93" s="481" t="e">
        <f>VLOOKUP(C93,PON.EXP.ESP.!$D$30:$J$229,4,FALSE)</f>
        <v>#N/A</v>
      </c>
      <c r="K93" s="482" t="e">
        <f>VLOOKUP(C93,PON.EXP.ESP.!$D$30:$J$229,5,FALSE)</f>
        <v>#N/A</v>
      </c>
      <c r="L93" s="481" t="e">
        <f>VLOOKUP(C93,PON.EXP.ESP.!$D$30:$J$229,6,FALSE)</f>
        <v>#N/A</v>
      </c>
      <c r="M93" s="482" t="e">
        <f>VLOOKUP(C93,PON.EXP.ESP.!$D$30:$J$229,7,FALSE)</f>
        <v>#N/A</v>
      </c>
      <c r="N93" s="481" t="e">
        <f>VLOOKUP(C93,VIN.PERS.DISC.!$C$19:$D$218,2,FALSE)</f>
        <v>#N/A</v>
      </c>
      <c r="O93" s="483" t="e">
        <f>VLOOKUP(C93,'APOYO A IND. NAL.'!$C$19:$D$218,2,FALSE)</f>
        <v>#N/A</v>
      </c>
      <c r="P93" s="484" t="e">
        <f>VLOOKUP(C93,RESUMENGEN!$D$20:$J$219,7,FALSE)</f>
        <v>#N/A</v>
      </c>
      <c r="Q93" s="478"/>
      <c r="R93" s="484" t="e">
        <f t="shared" si="4"/>
        <v>#N/A</v>
      </c>
      <c r="S93" s="485" t="e">
        <f t="shared" si="5"/>
        <v>#N/A</v>
      </c>
    </row>
    <row r="94" spans="2:19" hidden="1">
      <c r="B94" s="479">
        <v>90</v>
      </c>
      <c r="C94" s="479" t="e">
        <f>VLOOKUP(B94,RESUMENGEN!B109:E308,3,FALSE)</f>
        <v>#N/A</v>
      </c>
      <c r="D94" s="480" t="e">
        <f>VLOOKUP(B94,HAB.GEN.!$C$19:$I$218,3,FALSE)</f>
        <v>#N/A</v>
      </c>
      <c r="E94" s="480" t="e">
        <f>VLOOKUP(B94,HAB.GEN.!$C$19:$I$218,4,FALSE)</f>
        <v>#N/A</v>
      </c>
      <c r="F94" s="480" t="e">
        <f>VLOOKUP(B94,HAB.GEN.!$C$19:$I$218,5,FALSE)</f>
        <v>#N/A</v>
      </c>
      <c r="G94" s="480" t="e">
        <f>VLOOKUP(B94,HAB.GEN.!$C$19:$I$218,6,FALSE)</f>
        <v>#N/A</v>
      </c>
      <c r="H94" s="480" t="str">
        <f t="shared" si="3"/>
        <v>HÁBIL</v>
      </c>
      <c r="I94" s="480" t="e">
        <f>VLOOKUP(C94,PON.EXP.ESP.!$D$30:$J$229,3,FALSE)</f>
        <v>#N/A</v>
      </c>
      <c r="J94" s="481" t="e">
        <f>VLOOKUP(C94,PON.EXP.ESP.!$D$30:$J$229,4,FALSE)</f>
        <v>#N/A</v>
      </c>
      <c r="K94" s="482" t="e">
        <f>VLOOKUP(C94,PON.EXP.ESP.!$D$30:$J$229,5,FALSE)</f>
        <v>#N/A</v>
      </c>
      <c r="L94" s="481" t="e">
        <f>VLOOKUP(C94,PON.EXP.ESP.!$D$30:$J$229,6,FALSE)</f>
        <v>#N/A</v>
      </c>
      <c r="M94" s="482" t="e">
        <f>VLOOKUP(C94,PON.EXP.ESP.!$D$30:$J$229,7,FALSE)</f>
        <v>#N/A</v>
      </c>
      <c r="N94" s="481" t="e">
        <f>VLOOKUP(C94,VIN.PERS.DISC.!$C$19:$D$218,2,FALSE)</f>
        <v>#N/A</v>
      </c>
      <c r="O94" s="483" t="e">
        <f>VLOOKUP(C94,'APOYO A IND. NAL.'!$C$19:$D$218,2,FALSE)</f>
        <v>#N/A</v>
      </c>
      <c r="P94" s="484" t="e">
        <f>VLOOKUP(C94,RESUMENGEN!$D$20:$J$219,7,FALSE)</f>
        <v>#N/A</v>
      </c>
      <c r="Q94" s="478"/>
      <c r="R94" s="484" t="e">
        <f t="shared" si="4"/>
        <v>#N/A</v>
      </c>
      <c r="S94" s="485" t="e">
        <f t="shared" si="5"/>
        <v>#N/A</v>
      </c>
    </row>
    <row r="95" spans="2:19" hidden="1">
      <c r="B95" s="479">
        <v>91</v>
      </c>
      <c r="C95" s="479" t="e">
        <f>VLOOKUP(B95,RESUMENGEN!B110:E309,3,FALSE)</f>
        <v>#N/A</v>
      </c>
      <c r="D95" s="480" t="e">
        <f>VLOOKUP(B95,HAB.GEN.!$C$19:$I$218,3,FALSE)</f>
        <v>#N/A</v>
      </c>
      <c r="E95" s="480" t="e">
        <f>VLOOKUP(B95,HAB.GEN.!$C$19:$I$218,4,FALSE)</f>
        <v>#N/A</v>
      </c>
      <c r="F95" s="480" t="e">
        <f>VLOOKUP(B95,HAB.GEN.!$C$19:$I$218,5,FALSE)</f>
        <v>#N/A</v>
      </c>
      <c r="G95" s="480" t="e">
        <f>VLOOKUP(B95,HAB.GEN.!$C$19:$I$218,6,FALSE)</f>
        <v>#N/A</v>
      </c>
      <c r="H95" s="480" t="str">
        <f t="shared" si="3"/>
        <v>HÁBIL</v>
      </c>
      <c r="I95" s="480" t="e">
        <f>VLOOKUP(C95,PON.EXP.ESP.!$D$30:$J$229,3,FALSE)</f>
        <v>#N/A</v>
      </c>
      <c r="J95" s="481" t="e">
        <f>VLOOKUP(C95,PON.EXP.ESP.!$D$30:$J$229,4,FALSE)</f>
        <v>#N/A</v>
      </c>
      <c r="K95" s="482" t="e">
        <f>VLOOKUP(C95,PON.EXP.ESP.!$D$30:$J$229,5,FALSE)</f>
        <v>#N/A</v>
      </c>
      <c r="L95" s="481" t="e">
        <f>VLOOKUP(C95,PON.EXP.ESP.!$D$30:$J$229,6,FALSE)</f>
        <v>#N/A</v>
      </c>
      <c r="M95" s="482" t="e">
        <f>VLOOKUP(C95,PON.EXP.ESP.!$D$30:$J$229,7,FALSE)</f>
        <v>#N/A</v>
      </c>
      <c r="N95" s="481" t="e">
        <f>VLOOKUP(C95,VIN.PERS.DISC.!$C$19:$D$218,2,FALSE)</f>
        <v>#N/A</v>
      </c>
      <c r="O95" s="483" t="e">
        <f>VLOOKUP(C95,'APOYO A IND. NAL.'!$C$19:$D$218,2,FALSE)</f>
        <v>#N/A</v>
      </c>
      <c r="P95" s="484" t="e">
        <f>VLOOKUP(C95,RESUMENGEN!$D$20:$J$219,7,FALSE)</f>
        <v>#N/A</v>
      </c>
      <c r="Q95" s="478"/>
      <c r="R95" s="484" t="e">
        <f t="shared" si="4"/>
        <v>#N/A</v>
      </c>
      <c r="S95" s="485" t="e">
        <f t="shared" si="5"/>
        <v>#N/A</v>
      </c>
    </row>
    <row r="96" spans="2:19" hidden="1">
      <c r="B96" s="479">
        <v>92</v>
      </c>
      <c r="C96" s="479" t="e">
        <f>VLOOKUP(B96,RESUMENGEN!B111:E310,3,FALSE)</f>
        <v>#N/A</v>
      </c>
      <c r="D96" s="480" t="e">
        <f>VLOOKUP(B96,HAB.GEN.!$C$19:$I$218,3,FALSE)</f>
        <v>#N/A</v>
      </c>
      <c r="E96" s="480" t="e">
        <f>VLOOKUP(B96,HAB.GEN.!$C$19:$I$218,4,FALSE)</f>
        <v>#N/A</v>
      </c>
      <c r="F96" s="480" t="e">
        <f>VLOOKUP(B96,HAB.GEN.!$C$19:$I$218,5,FALSE)</f>
        <v>#N/A</v>
      </c>
      <c r="G96" s="480" t="e">
        <f>VLOOKUP(B96,HAB.GEN.!$C$19:$I$218,6,FALSE)</f>
        <v>#N/A</v>
      </c>
      <c r="H96" s="480" t="str">
        <f t="shared" si="3"/>
        <v>HÁBIL</v>
      </c>
      <c r="I96" s="480" t="e">
        <f>VLOOKUP(C96,PON.EXP.ESP.!$D$30:$J$229,3,FALSE)</f>
        <v>#N/A</v>
      </c>
      <c r="J96" s="481" t="e">
        <f>VLOOKUP(C96,PON.EXP.ESP.!$D$30:$J$229,4,FALSE)</f>
        <v>#N/A</v>
      </c>
      <c r="K96" s="482" t="e">
        <f>VLOOKUP(C96,PON.EXP.ESP.!$D$30:$J$229,5,FALSE)</f>
        <v>#N/A</v>
      </c>
      <c r="L96" s="481" t="e">
        <f>VLOOKUP(C96,PON.EXP.ESP.!$D$30:$J$229,6,FALSE)</f>
        <v>#N/A</v>
      </c>
      <c r="M96" s="482" t="e">
        <f>VLOOKUP(C96,PON.EXP.ESP.!$D$30:$J$229,7,FALSE)</f>
        <v>#N/A</v>
      </c>
      <c r="N96" s="481" t="e">
        <f>VLOOKUP(C96,VIN.PERS.DISC.!$C$19:$D$218,2,FALSE)</f>
        <v>#N/A</v>
      </c>
      <c r="O96" s="483" t="e">
        <f>VLOOKUP(C96,'APOYO A IND. NAL.'!$C$19:$D$218,2,FALSE)</f>
        <v>#N/A</v>
      </c>
      <c r="P96" s="484" t="e">
        <f>VLOOKUP(C96,RESUMENGEN!$D$20:$J$219,7,FALSE)</f>
        <v>#N/A</v>
      </c>
      <c r="Q96" s="478"/>
      <c r="R96" s="484" t="e">
        <f t="shared" si="4"/>
        <v>#N/A</v>
      </c>
      <c r="S96" s="485" t="e">
        <f t="shared" si="5"/>
        <v>#N/A</v>
      </c>
    </row>
    <row r="97" spans="2:19" hidden="1">
      <c r="B97" s="479">
        <v>93</v>
      </c>
      <c r="C97" s="479" t="e">
        <f>VLOOKUP(B97,RESUMENGEN!B112:E311,3,FALSE)</f>
        <v>#N/A</v>
      </c>
      <c r="D97" s="480" t="e">
        <f>VLOOKUP(B97,HAB.GEN.!$C$19:$I$218,3,FALSE)</f>
        <v>#N/A</v>
      </c>
      <c r="E97" s="480" t="e">
        <f>VLOOKUP(B97,HAB.GEN.!$C$19:$I$218,4,FALSE)</f>
        <v>#N/A</v>
      </c>
      <c r="F97" s="480" t="e">
        <f>VLOOKUP(B97,HAB.GEN.!$C$19:$I$218,5,FALSE)</f>
        <v>#N/A</v>
      </c>
      <c r="G97" s="480" t="e">
        <f>VLOOKUP(B97,HAB.GEN.!$C$19:$I$218,6,FALSE)</f>
        <v>#N/A</v>
      </c>
      <c r="H97" s="480" t="str">
        <f t="shared" si="3"/>
        <v>HÁBIL</v>
      </c>
      <c r="I97" s="480" t="e">
        <f>VLOOKUP(C97,PON.EXP.ESP.!$D$30:$J$229,3,FALSE)</f>
        <v>#N/A</v>
      </c>
      <c r="J97" s="481" t="e">
        <f>VLOOKUP(C97,PON.EXP.ESP.!$D$30:$J$229,4,FALSE)</f>
        <v>#N/A</v>
      </c>
      <c r="K97" s="482" t="e">
        <f>VLOOKUP(C97,PON.EXP.ESP.!$D$30:$J$229,5,FALSE)</f>
        <v>#N/A</v>
      </c>
      <c r="L97" s="481" t="e">
        <f>VLOOKUP(C97,PON.EXP.ESP.!$D$30:$J$229,6,FALSE)</f>
        <v>#N/A</v>
      </c>
      <c r="M97" s="482" t="e">
        <f>VLOOKUP(C97,PON.EXP.ESP.!$D$30:$J$229,7,FALSE)</f>
        <v>#N/A</v>
      </c>
      <c r="N97" s="481" t="e">
        <f>VLOOKUP(C97,VIN.PERS.DISC.!$C$19:$D$218,2,FALSE)</f>
        <v>#N/A</v>
      </c>
      <c r="O97" s="483" t="e">
        <f>VLOOKUP(C97,'APOYO A IND. NAL.'!$C$19:$D$218,2,FALSE)</f>
        <v>#N/A</v>
      </c>
      <c r="P97" s="484" t="e">
        <f>VLOOKUP(C97,RESUMENGEN!$D$20:$J$219,7,FALSE)</f>
        <v>#N/A</v>
      </c>
      <c r="Q97" s="478"/>
      <c r="R97" s="484" t="e">
        <f t="shared" si="4"/>
        <v>#N/A</v>
      </c>
      <c r="S97" s="485" t="e">
        <f t="shared" si="5"/>
        <v>#N/A</v>
      </c>
    </row>
    <row r="98" spans="2:19" hidden="1">
      <c r="B98" s="479">
        <v>94</v>
      </c>
      <c r="C98" s="479" t="e">
        <f>VLOOKUP(B98,RESUMENGEN!B113:E312,3,FALSE)</f>
        <v>#N/A</v>
      </c>
      <c r="D98" s="480" t="e">
        <f>VLOOKUP(B98,HAB.GEN.!$C$19:$I$218,3,FALSE)</f>
        <v>#N/A</v>
      </c>
      <c r="E98" s="480" t="e">
        <f>VLOOKUP(B98,HAB.GEN.!$C$19:$I$218,4,FALSE)</f>
        <v>#N/A</v>
      </c>
      <c r="F98" s="480" t="e">
        <f>VLOOKUP(B98,HAB.GEN.!$C$19:$I$218,5,FALSE)</f>
        <v>#N/A</v>
      </c>
      <c r="G98" s="480" t="e">
        <f>VLOOKUP(B98,HAB.GEN.!$C$19:$I$218,6,FALSE)</f>
        <v>#N/A</v>
      </c>
      <c r="H98" s="480" t="str">
        <f t="shared" si="3"/>
        <v>HÁBIL</v>
      </c>
      <c r="I98" s="480" t="e">
        <f>VLOOKUP(C98,PON.EXP.ESP.!$D$30:$J$229,3,FALSE)</f>
        <v>#N/A</v>
      </c>
      <c r="J98" s="481" t="e">
        <f>VLOOKUP(C98,PON.EXP.ESP.!$D$30:$J$229,4,FALSE)</f>
        <v>#N/A</v>
      </c>
      <c r="K98" s="482" t="e">
        <f>VLOOKUP(C98,PON.EXP.ESP.!$D$30:$J$229,5,FALSE)</f>
        <v>#N/A</v>
      </c>
      <c r="L98" s="481" t="e">
        <f>VLOOKUP(C98,PON.EXP.ESP.!$D$30:$J$229,6,FALSE)</f>
        <v>#N/A</v>
      </c>
      <c r="M98" s="482" t="e">
        <f>VLOOKUP(C98,PON.EXP.ESP.!$D$30:$J$229,7,FALSE)</f>
        <v>#N/A</v>
      </c>
      <c r="N98" s="481" t="e">
        <f>VLOOKUP(C98,VIN.PERS.DISC.!$C$19:$D$218,2,FALSE)</f>
        <v>#N/A</v>
      </c>
      <c r="O98" s="483" t="e">
        <f>VLOOKUP(C98,'APOYO A IND. NAL.'!$C$19:$D$218,2,FALSE)</f>
        <v>#N/A</v>
      </c>
      <c r="P98" s="484" t="e">
        <f>VLOOKUP(C98,RESUMENGEN!$D$20:$J$219,7,FALSE)</f>
        <v>#N/A</v>
      </c>
      <c r="Q98" s="478"/>
      <c r="R98" s="484" t="e">
        <f t="shared" si="4"/>
        <v>#N/A</v>
      </c>
      <c r="S98" s="485" t="e">
        <f t="shared" si="5"/>
        <v>#N/A</v>
      </c>
    </row>
    <row r="99" spans="2:19" hidden="1">
      <c r="B99" s="479">
        <v>95</v>
      </c>
      <c r="C99" s="479" t="e">
        <f>VLOOKUP(B99,RESUMENGEN!B114:E313,3,FALSE)</f>
        <v>#N/A</v>
      </c>
      <c r="D99" s="480" t="e">
        <f>VLOOKUP(B99,HAB.GEN.!$C$19:$I$218,3,FALSE)</f>
        <v>#N/A</v>
      </c>
      <c r="E99" s="480" t="e">
        <f>VLOOKUP(B99,HAB.GEN.!$C$19:$I$218,4,FALSE)</f>
        <v>#N/A</v>
      </c>
      <c r="F99" s="480" t="e">
        <f>VLOOKUP(B99,HAB.GEN.!$C$19:$I$218,5,FALSE)</f>
        <v>#N/A</v>
      </c>
      <c r="G99" s="480" t="e">
        <f>VLOOKUP(B99,HAB.GEN.!$C$19:$I$218,6,FALSE)</f>
        <v>#N/A</v>
      </c>
      <c r="H99" s="480" t="str">
        <f t="shared" si="3"/>
        <v>HÁBIL</v>
      </c>
      <c r="I99" s="480" t="e">
        <f>VLOOKUP(C99,PON.EXP.ESP.!$D$30:$J$229,3,FALSE)</f>
        <v>#N/A</v>
      </c>
      <c r="J99" s="481" t="e">
        <f>VLOOKUP(C99,PON.EXP.ESP.!$D$30:$J$229,4,FALSE)</f>
        <v>#N/A</v>
      </c>
      <c r="K99" s="482" t="e">
        <f>VLOOKUP(C99,PON.EXP.ESP.!$D$30:$J$229,5,FALSE)</f>
        <v>#N/A</v>
      </c>
      <c r="L99" s="481" t="e">
        <f>VLOOKUP(C99,PON.EXP.ESP.!$D$30:$J$229,6,FALSE)</f>
        <v>#N/A</v>
      </c>
      <c r="M99" s="482" t="e">
        <f>VLOOKUP(C99,PON.EXP.ESP.!$D$30:$J$229,7,FALSE)</f>
        <v>#N/A</v>
      </c>
      <c r="N99" s="481" t="e">
        <f>VLOOKUP(C99,VIN.PERS.DISC.!$C$19:$D$218,2,FALSE)</f>
        <v>#N/A</v>
      </c>
      <c r="O99" s="483" t="e">
        <f>VLOOKUP(C99,'APOYO A IND. NAL.'!$C$19:$D$218,2,FALSE)</f>
        <v>#N/A</v>
      </c>
      <c r="P99" s="484" t="e">
        <f>VLOOKUP(C99,RESUMENGEN!$D$20:$J$219,7,FALSE)</f>
        <v>#N/A</v>
      </c>
      <c r="Q99" s="478"/>
      <c r="R99" s="484" t="e">
        <f t="shared" si="4"/>
        <v>#N/A</v>
      </c>
      <c r="S99" s="485" t="e">
        <f t="shared" si="5"/>
        <v>#N/A</v>
      </c>
    </row>
    <row r="100" spans="2:19" hidden="1">
      <c r="B100" s="479">
        <v>96</v>
      </c>
      <c r="C100" s="479" t="e">
        <f>VLOOKUP(B100,RESUMENGEN!B115:E314,3,FALSE)</f>
        <v>#N/A</v>
      </c>
      <c r="D100" s="480" t="e">
        <f>VLOOKUP(B100,HAB.GEN.!$C$19:$I$218,3,FALSE)</f>
        <v>#N/A</v>
      </c>
      <c r="E100" s="480" t="e">
        <f>VLOOKUP(B100,HAB.GEN.!$C$19:$I$218,4,FALSE)</f>
        <v>#N/A</v>
      </c>
      <c r="F100" s="480" t="e">
        <f>VLOOKUP(B100,HAB.GEN.!$C$19:$I$218,5,FALSE)</f>
        <v>#N/A</v>
      </c>
      <c r="G100" s="480" t="e">
        <f>VLOOKUP(B100,HAB.GEN.!$C$19:$I$218,6,FALSE)</f>
        <v>#N/A</v>
      </c>
      <c r="H100" s="480" t="str">
        <f t="shared" si="3"/>
        <v>HÁBIL</v>
      </c>
      <c r="I100" s="480" t="e">
        <f>VLOOKUP(C100,PON.EXP.ESP.!$D$30:$J$229,3,FALSE)</f>
        <v>#N/A</v>
      </c>
      <c r="J100" s="481" t="e">
        <f>VLOOKUP(C100,PON.EXP.ESP.!$D$30:$J$229,4,FALSE)</f>
        <v>#N/A</v>
      </c>
      <c r="K100" s="482" t="e">
        <f>VLOOKUP(C100,PON.EXP.ESP.!$D$30:$J$229,5,FALSE)</f>
        <v>#N/A</v>
      </c>
      <c r="L100" s="481" t="e">
        <f>VLOOKUP(C100,PON.EXP.ESP.!$D$30:$J$229,6,FALSE)</f>
        <v>#N/A</v>
      </c>
      <c r="M100" s="482" t="e">
        <f>VLOOKUP(C100,PON.EXP.ESP.!$D$30:$J$229,7,FALSE)</f>
        <v>#N/A</v>
      </c>
      <c r="N100" s="481" t="e">
        <f>VLOOKUP(C100,VIN.PERS.DISC.!$C$19:$D$218,2,FALSE)</f>
        <v>#N/A</v>
      </c>
      <c r="O100" s="483" t="e">
        <f>VLOOKUP(C100,'APOYO A IND. NAL.'!$C$19:$D$218,2,FALSE)</f>
        <v>#N/A</v>
      </c>
      <c r="P100" s="484" t="e">
        <f>VLOOKUP(C100,RESUMENGEN!$D$20:$J$219,7,FALSE)</f>
        <v>#N/A</v>
      </c>
      <c r="Q100" s="478"/>
      <c r="R100" s="484" t="e">
        <f t="shared" si="4"/>
        <v>#N/A</v>
      </c>
      <c r="S100" s="485" t="e">
        <f t="shared" si="5"/>
        <v>#N/A</v>
      </c>
    </row>
    <row r="101" spans="2:19" hidden="1">
      <c r="B101" s="479">
        <v>97</v>
      </c>
      <c r="C101" s="479" t="e">
        <f>VLOOKUP(B101,RESUMENGEN!B116:E315,3,FALSE)</f>
        <v>#N/A</v>
      </c>
      <c r="D101" s="480" t="e">
        <f>VLOOKUP(B101,HAB.GEN.!$C$19:$I$218,3,FALSE)</f>
        <v>#N/A</v>
      </c>
      <c r="E101" s="480" t="e">
        <f>VLOOKUP(B101,HAB.GEN.!$C$19:$I$218,4,FALSE)</f>
        <v>#N/A</v>
      </c>
      <c r="F101" s="480" t="e">
        <f>VLOOKUP(B101,HAB.GEN.!$C$19:$I$218,5,FALSE)</f>
        <v>#N/A</v>
      </c>
      <c r="G101" s="480" t="e">
        <f>VLOOKUP(B101,HAB.GEN.!$C$19:$I$218,6,FALSE)</f>
        <v>#N/A</v>
      </c>
      <c r="H101" s="480" t="str">
        <f t="shared" si="3"/>
        <v>HÁBIL</v>
      </c>
      <c r="I101" s="480" t="e">
        <f>VLOOKUP(C101,PON.EXP.ESP.!$D$30:$J$229,3,FALSE)</f>
        <v>#N/A</v>
      </c>
      <c r="J101" s="481" t="e">
        <f>VLOOKUP(C101,PON.EXP.ESP.!$D$30:$J$229,4,FALSE)</f>
        <v>#N/A</v>
      </c>
      <c r="K101" s="482" t="e">
        <f>VLOOKUP(C101,PON.EXP.ESP.!$D$30:$J$229,5,FALSE)</f>
        <v>#N/A</v>
      </c>
      <c r="L101" s="481" t="e">
        <f>VLOOKUP(C101,PON.EXP.ESP.!$D$30:$J$229,6,FALSE)</f>
        <v>#N/A</v>
      </c>
      <c r="M101" s="482" t="e">
        <f>VLOOKUP(C101,PON.EXP.ESP.!$D$30:$J$229,7,FALSE)</f>
        <v>#N/A</v>
      </c>
      <c r="N101" s="481" t="e">
        <f>VLOOKUP(C101,VIN.PERS.DISC.!$C$19:$D$218,2,FALSE)</f>
        <v>#N/A</v>
      </c>
      <c r="O101" s="483" t="e">
        <f>VLOOKUP(C101,'APOYO A IND. NAL.'!$C$19:$D$218,2,FALSE)</f>
        <v>#N/A</v>
      </c>
      <c r="P101" s="484" t="e">
        <f>VLOOKUP(C101,RESUMENGEN!$D$20:$J$219,7,FALSE)</f>
        <v>#N/A</v>
      </c>
      <c r="Q101" s="478"/>
      <c r="R101" s="484" t="e">
        <f t="shared" si="4"/>
        <v>#N/A</v>
      </c>
      <c r="S101" s="485" t="e">
        <f t="shared" si="5"/>
        <v>#N/A</v>
      </c>
    </row>
    <row r="102" spans="2:19" hidden="1">
      <c r="B102" s="479">
        <v>98</v>
      </c>
      <c r="C102" s="479" t="e">
        <f>VLOOKUP(B102,RESUMENGEN!B117:E316,3,FALSE)</f>
        <v>#N/A</v>
      </c>
      <c r="D102" s="480" t="e">
        <f>VLOOKUP(B102,HAB.GEN.!$C$19:$I$218,3,FALSE)</f>
        <v>#N/A</v>
      </c>
      <c r="E102" s="480" t="e">
        <f>VLOOKUP(B102,HAB.GEN.!$C$19:$I$218,4,FALSE)</f>
        <v>#N/A</v>
      </c>
      <c r="F102" s="480" t="e">
        <f>VLOOKUP(B102,HAB.GEN.!$C$19:$I$218,5,FALSE)</f>
        <v>#N/A</v>
      </c>
      <c r="G102" s="480" t="e">
        <f>VLOOKUP(B102,HAB.GEN.!$C$19:$I$218,6,FALSE)</f>
        <v>#N/A</v>
      </c>
      <c r="H102" s="480" t="str">
        <f t="shared" si="3"/>
        <v>HÁBIL</v>
      </c>
      <c r="I102" s="480" t="e">
        <f>VLOOKUP(C102,PON.EXP.ESP.!$D$30:$J$229,3,FALSE)</f>
        <v>#N/A</v>
      </c>
      <c r="J102" s="481" t="e">
        <f>VLOOKUP(C102,PON.EXP.ESP.!$D$30:$J$229,4,FALSE)</f>
        <v>#N/A</v>
      </c>
      <c r="K102" s="482" t="e">
        <f>VLOOKUP(C102,PON.EXP.ESP.!$D$30:$J$229,5,FALSE)</f>
        <v>#N/A</v>
      </c>
      <c r="L102" s="481" t="e">
        <f>VLOOKUP(C102,PON.EXP.ESP.!$D$30:$J$229,6,FALSE)</f>
        <v>#N/A</v>
      </c>
      <c r="M102" s="482" t="e">
        <f>VLOOKUP(C102,PON.EXP.ESP.!$D$30:$J$229,7,FALSE)</f>
        <v>#N/A</v>
      </c>
      <c r="N102" s="481" t="e">
        <f>VLOOKUP(C102,VIN.PERS.DISC.!$C$19:$D$218,2,FALSE)</f>
        <v>#N/A</v>
      </c>
      <c r="O102" s="483" t="e">
        <f>VLOOKUP(C102,'APOYO A IND. NAL.'!$C$19:$D$218,2,FALSE)</f>
        <v>#N/A</v>
      </c>
      <c r="P102" s="484" t="e">
        <f>VLOOKUP(C102,RESUMENGEN!$D$20:$J$219,7,FALSE)</f>
        <v>#N/A</v>
      </c>
      <c r="Q102" s="478"/>
      <c r="R102" s="484" t="e">
        <f t="shared" si="4"/>
        <v>#N/A</v>
      </c>
      <c r="S102" s="485" t="e">
        <f t="shared" si="5"/>
        <v>#N/A</v>
      </c>
    </row>
    <row r="103" spans="2:19" hidden="1">
      <c r="B103" s="479">
        <v>99</v>
      </c>
      <c r="C103" s="479" t="e">
        <f>VLOOKUP(B103,RESUMENGEN!B118:E317,3,FALSE)</f>
        <v>#N/A</v>
      </c>
      <c r="D103" s="480" t="e">
        <f>VLOOKUP(B103,HAB.GEN.!$C$19:$I$218,3,FALSE)</f>
        <v>#N/A</v>
      </c>
      <c r="E103" s="480" t="e">
        <f>VLOOKUP(B103,HAB.GEN.!$C$19:$I$218,4,FALSE)</f>
        <v>#N/A</v>
      </c>
      <c r="F103" s="480" t="e">
        <f>VLOOKUP(B103,HAB.GEN.!$C$19:$I$218,5,FALSE)</f>
        <v>#N/A</v>
      </c>
      <c r="G103" s="480" t="e">
        <f>VLOOKUP(B103,HAB.GEN.!$C$19:$I$218,6,FALSE)</f>
        <v>#N/A</v>
      </c>
      <c r="H103" s="480" t="str">
        <f t="shared" si="3"/>
        <v>HÁBIL</v>
      </c>
      <c r="I103" s="480" t="e">
        <f>VLOOKUP(C103,PON.EXP.ESP.!$D$30:$J$229,3,FALSE)</f>
        <v>#N/A</v>
      </c>
      <c r="J103" s="481" t="e">
        <f>VLOOKUP(C103,PON.EXP.ESP.!$D$30:$J$229,4,FALSE)</f>
        <v>#N/A</v>
      </c>
      <c r="K103" s="482" t="e">
        <f>VLOOKUP(C103,PON.EXP.ESP.!$D$30:$J$229,5,FALSE)</f>
        <v>#N/A</v>
      </c>
      <c r="L103" s="481" t="e">
        <f>VLOOKUP(C103,PON.EXP.ESP.!$D$30:$J$229,6,FALSE)</f>
        <v>#N/A</v>
      </c>
      <c r="M103" s="482" t="e">
        <f>VLOOKUP(C103,PON.EXP.ESP.!$D$30:$J$229,7,FALSE)</f>
        <v>#N/A</v>
      </c>
      <c r="N103" s="481" t="e">
        <f>VLOOKUP(C103,VIN.PERS.DISC.!$C$19:$D$218,2,FALSE)</f>
        <v>#N/A</v>
      </c>
      <c r="O103" s="483" t="e">
        <f>VLOOKUP(C103,'APOYO A IND. NAL.'!$C$19:$D$218,2,FALSE)</f>
        <v>#N/A</v>
      </c>
      <c r="P103" s="484" t="e">
        <f>VLOOKUP(C103,RESUMENGEN!$D$20:$J$219,7,FALSE)</f>
        <v>#N/A</v>
      </c>
      <c r="Q103" s="478"/>
      <c r="R103" s="484" t="e">
        <f t="shared" si="4"/>
        <v>#N/A</v>
      </c>
      <c r="S103" s="485" t="e">
        <f t="shared" si="5"/>
        <v>#N/A</v>
      </c>
    </row>
    <row r="104" spans="2:19" hidden="1">
      <c r="B104" s="491">
        <v>100</v>
      </c>
      <c r="C104" s="491" t="e">
        <f>VLOOKUP(B104,RESUMENGEN!B119:E318,3,FALSE)</f>
        <v>#N/A</v>
      </c>
      <c r="D104" s="480" t="e">
        <f>VLOOKUP(B104,HAB.GEN.!$C$19:$I$218,3,FALSE)</f>
        <v>#N/A</v>
      </c>
      <c r="E104" s="480" t="e">
        <f>VLOOKUP(B104,HAB.GEN.!$C$19:$I$218,4,FALSE)</f>
        <v>#N/A</v>
      </c>
      <c r="F104" s="480" t="e">
        <f>VLOOKUP(B104,HAB.GEN.!$C$19:$I$218,5,FALSE)</f>
        <v>#N/A</v>
      </c>
      <c r="G104" s="480" t="e">
        <f>VLOOKUP(B104,HAB.GEN.!$C$19:$I$218,6,FALSE)</f>
        <v>#N/A</v>
      </c>
      <c r="H104" s="480" t="str">
        <f t="shared" si="3"/>
        <v>HÁBIL</v>
      </c>
      <c r="I104" s="480" t="e">
        <f>VLOOKUP(C104,PON.EXP.ESP.!$D$30:$J$229,3,FALSE)</f>
        <v>#N/A</v>
      </c>
      <c r="J104" s="481" t="e">
        <f>VLOOKUP(C104,PON.EXP.ESP.!$D$30:$J$229,4,FALSE)</f>
        <v>#N/A</v>
      </c>
      <c r="K104" s="482" t="e">
        <f>VLOOKUP(C104,PON.EXP.ESP.!$D$30:$J$229,5,FALSE)</f>
        <v>#N/A</v>
      </c>
      <c r="L104" s="481" t="e">
        <f>VLOOKUP(C104,PON.EXP.ESP.!$D$30:$J$229,6,FALSE)</f>
        <v>#N/A</v>
      </c>
      <c r="M104" s="482" t="e">
        <f>VLOOKUP(C104,PON.EXP.ESP.!$D$30:$J$229,7,FALSE)</f>
        <v>#N/A</v>
      </c>
      <c r="N104" s="481" t="e">
        <f>VLOOKUP(C104,VIN.PERS.DISC.!$C$19:$D$218,2,FALSE)</f>
        <v>#N/A</v>
      </c>
      <c r="O104" s="483" t="e">
        <f>VLOOKUP(C104,'APOYO A IND. NAL.'!$C$19:$D$218,2,FALSE)</f>
        <v>#N/A</v>
      </c>
      <c r="P104" s="484" t="e">
        <f>VLOOKUP(C104,RESUMENGEN!$D$20:$J$219,7,FALSE)</f>
        <v>#N/A</v>
      </c>
      <c r="Q104" s="478"/>
      <c r="R104" s="484" t="e">
        <f t="shared" si="4"/>
        <v>#N/A</v>
      </c>
      <c r="S104" s="492" t="e">
        <f t="shared" ref="S104:S167" si="6">IF(P104=R104,"SI","NO")</f>
        <v>#N/A</v>
      </c>
    </row>
    <row r="105" spans="2:19" hidden="1">
      <c r="B105" s="491">
        <v>101</v>
      </c>
      <c r="C105" s="491" t="e">
        <f>VLOOKUP(B105,RESUMENGEN!B120:E319,3,FALSE)</f>
        <v>#N/A</v>
      </c>
      <c r="D105" s="480" t="e">
        <f>VLOOKUP(B105,HAB.GEN.!$C$19:$I$218,3,FALSE)</f>
        <v>#N/A</v>
      </c>
      <c r="E105" s="480" t="e">
        <f>VLOOKUP(B105,HAB.GEN.!$C$19:$I$218,4,FALSE)</f>
        <v>#N/A</v>
      </c>
      <c r="F105" s="480" t="e">
        <f>VLOOKUP(B105,HAB.GEN.!$C$19:$I$218,5,FALSE)</f>
        <v>#N/A</v>
      </c>
      <c r="G105" s="480" t="e">
        <f>VLOOKUP(B105,HAB.GEN.!$C$19:$I$218,6,FALSE)</f>
        <v>#N/A</v>
      </c>
      <c r="H105" s="480" t="str">
        <f t="shared" si="3"/>
        <v>HÁBIL</v>
      </c>
      <c r="I105" s="480" t="e">
        <f>VLOOKUP(C105,PON.EXP.ESP.!$D$30:$J$229,3,FALSE)</f>
        <v>#N/A</v>
      </c>
      <c r="J105" s="481" t="e">
        <f>VLOOKUP(C105,PON.EXP.ESP.!$D$30:$J$229,4,FALSE)</f>
        <v>#N/A</v>
      </c>
      <c r="K105" s="482" t="e">
        <f>VLOOKUP(C105,PON.EXP.ESP.!$D$30:$J$229,5,FALSE)</f>
        <v>#N/A</v>
      </c>
      <c r="L105" s="481" t="e">
        <f>VLOOKUP(C105,PON.EXP.ESP.!$D$30:$J$229,6,FALSE)</f>
        <v>#N/A</v>
      </c>
      <c r="M105" s="482" t="e">
        <f>VLOOKUP(C105,PON.EXP.ESP.!$D$30:$J$229,7,FALSE)</f>
        <v>#N/A</v>
      </c>
      <c r="N105" s="481" t="e">
        <f>VLOOKUP(C105,VIN.PERS.DISC.!$C$19:$D$218,2,FALSE)</f>
        <v>#N/A</v>
      </c>
      <c r="O105" s="483" t="e">
        <f>VLOOKUP(C105,'APOYO A IND. NAL.'!$C$19:$D$218,2,FALSE)</f>
        <v>#N/A</v>
      </c>
      <c r="P105" s="484" t="e">
        <f>VLOOKUP(C105,RESUMENGEN!$D$20:$J$219,7,FALSE)</f>
        <v>#N/A</v>
      </c>
      <c r="Q105" s="478"/>
      <c r="R105" s="484" t="e">
        <f t="shared" si="4"/>
        <v>#N/A</v>
      </c>
      <c r="S105" s="492" t="e">
        <f t="shared" si="6"/>
        <v>#N/A</v>
      </c>
    </row>
    <row r="106" spans="2:19" hidden="1">
      <c r="B106" s="491">
        <v>102</v>
      </c>
      <c r="C106" s="491" t="e">
        <f>VLOOKUP(B106,RESUMENGEN!B121:E320,3,FALSE)</f>
        <v>#N/A</v>
      </c>
      <c r="D106" s="480" t="e">
        <f>VLOOKUP(B106,HAB.GEN.!$C$19:$I$218,3,FALSE)</f>
        <v>#N/A</v>
      </c>
      <c r="E106" s="480" t="e">
        <f>VLOOKUP(B106,HAB.GEN.!$C$19:$I$218,4,FALSE)</f>
        <v>#N/A</v>
      </c>
      <c r="F106" s="480" t="e">
        <f>VLOOKUP(B106,HAB.GEN.!$C$19:$I$218,5,FALSE)</f>
        <v>#N/A</v>
      </c>
      <c r="G106" s="480" t="e">
        <f>VLOOKUP(B106,HAB.GEN.!$C$19:$I$218,6,FALSE)</f>
        <v>#N/A</v>
      </c>
      <c r="H106" s="480" t="str">
        <f t="shared" si="3"/>
        <v>HÁBIL</v>
      </c>
      <c r="I106" s="480" t="e">
        <f>VLOOKUP(C106,PON.EXP.ESP.!$D$30:$J$229,3,FALSE)</f>
        <v>#N/A</v>
      </c>
      <c r="J106" s="481" t="e">
        <f>VLOOKUP(C106,PON.EXP.ESP.!$D$30:$J$229,4,FALSE)</f>
        <v>#N/A</v>
      </c>
      <c r="K106" s="482" t="e">
        <f>VLOOKUP(C106,PON.EXP.ESP.!$D$30:$J$229,5,FALSE)</f>
        <v>#N/A</v>
      </c>
      <c r="L106" s="481" t="e">
        <f>VLOOKUP(C106,PON.EXP.ESP.!$D$30:$J$229,6,FALSE)</f>
        <v>#N/A</v>
      </c>
      <c r="M106" s="482" t="e">
        <f>VLOOKUP(C106,PON.EXP.ESP.!$D$30:$J$229,7,FALSE)</f>
        <v>#N/A</v>
      </c>
      <c r="N106" s="481" t="e">
        <f>VLOOKUP(C106,VIN.PERS.DISC.!$C$19:$D$218,2,FALSE)</f>
        <v>#N/A</v>
      </c>
      <c r="O106" s="483" t="e">
        <f>VLOOKUP(C106,'APOYO A IND. NAL.'!$C$19:$D$218,2,FALSE)</f>
        <v>#N/A</v>
      </c>
      <c r="P106" s="484" t="e">
        <f>VLOOKUP(C106,RESUMENGEN!$D$20:$J$219,7,FALSE)</f>
        <v>#N/A</v>
      </c>
      <c r="Q106" s="478"/>
      <c r="R106" s="484" t="e">
        <f t="shared" si="4"/>
        <v>#N/A</v>
      </c>
      <c r="S106" s="492" t="e">
        <f t="shared" si="6"/>
        <v>#N/A</v>
      </c>
    </row>
    <row r="107" spans="2:19" hidden="1">
      <c r="B107" s="491">
        <v>103</v>
      </c>
      <c r="C107" s="491" t="e">
        <f>VLOOKUP(B107,RESUMENGEN!B122:E321,3,FALSE)</f>
        <v>#N/A</v>
      </c>
      <c r="D107" s="480" t="e">
        <f>VLOOKUP(B107,HAB.GEN.!$C$19:$I$218,3,FALSE)</f>
        <v>#N/A</v>
      </c>
      <c r="E107" s="480" t="e">
        <f>VLOOKUP(B107,HAB.GEN.!$C$19:$I$218,4,FALSE)</f>
        <v>#N/A</v>
      </c>
      <c r="F107" s="480" t="e">
        <f>VLOOKUP(B107,HAB.GEN.!$C$19:$I$218,5,FALSE)</f>
        <v>#N/A</v>
      </c>
      <c r="G107" s="480" t="e">
        <f>VLOOKUP(B107,HAB.GEN.!$C$19:$I$218,6,FALSE)</f>
        <v>#N/A</v>
      </c>
      <c r="H107" s="480" t="str">
        <f t="shared" si="3"/>
        <v>HÁBIL</v>
      </c>
      <c r="I107" s="480" t="e">
        <f>VLOOKUP(C107,PON.EXP.ESP.!$D$30:$J$229,3,FALSE)</f>
        <v>#N/A</v>
      </c>
      <c r="J107" s="481" t="e">
        <f>VLOOKUP(C107,PON.EXP.ESP.!$D$30:$J$229,4,FALSE)</f>
        <v>#N/A</v>
      </c>
      <c r="K107" s="482" t="e">
        <f>VLOOKUP(C107,PON.EXP.ESP.!$D$30:$J$229,5,FALSE)</f>
        <v>#N/A</v>
      </c>
      <c r="L107" s="481" t="e">
        <f>VLOOKUP(C107,PON.EXP.ESP.!$D$30:$J$229,6,FALSE)</f>
        <v>#N/A</v>
      </c>
      <c r="M107" s="482" t="e">
        <f>VLOOKUP(C107,PON.EXP.ESP.!$D$30:$J$229,7,FALSE)</f>
        <v>#N/A</v>
      </c>
      <c r="N107" s="481" t="e">
        <f>VLOOKUP(C107,VIN.PERS.DISC.!$C$19:$D$218,2,FALSE)</f>
        <v>#N/A</v>
      </c>
      <c r="O107" s="483" t="e">
        <f>VLOOKUP(C107,'APOYO A IND. NAL.'!$C$19:$D$218,2,FALSE)</f>
        <v>#N/A</v>
      </c>
      <c r="P107" s="484" t="e">
        <f>VLOOKUP(C107,RESUMENGEN!$D$20:$J$219,7,FALSE)</f>
        <v>#N/A</v>
      </c>
      <c r="Q107" s="478"/>
      <c r="R107" s="484" t="e">
        <f t="shared" si="4"/>
        <v>#N/A</v>
      </c>
      <c r="S107" s="492" t="e">
        <f t="shared" si="6"/>
        <v>#N/A</v>
      </c>
    </row>
    <row r="108" spans="2:19" hidden="1">
      <c r="B108" s="491">
        <v>104</v>
      </c>
      <c r="C108" s="491" t="e">
        <f>VLOOKUP(B108,RESUMENGEN!B123:E322,3,FALSE)</f>
        <v>#N/A</v>
      </c>
      <c r="D108" s="480" t="e">
        <f>VLOOKUP(B108,HAB.GEN.!$C$19:$I$218,3,FALSE)</f>
        <v>#N/A</v>
      </c>
      <c r="E108" s="480" t="e">
        <f>VLOOKUP(B108,HAB.GEN.!$C$19:$I$218,4,FALSE)</f>
        <v>#N/A</v>
      </c>
      <c r="F108" s="480" t="e">
        <f>VLOOKUP(B108,HAB.GEN.!$C$19:$I$218,5,FALSE)</f>
        <v>#N/A</v>
      </c>
      <c r="G108" s="480" t="e">
        <f>VLOOKUP(B108,HAB.GEN.!$C$19:$I$218,6,FALSE)</f>
        <v>#N/A</v>
      </c>
      <c r="H108" s="480" t="str">
        <f t="shared" si="3"/>
        <v>HÁBIL</v>
      </c>
      <c r="I108" s="480" t="e">
        <f>VLOOKUP(C108,PON.EXP.ESP.!$D$30:$J$229,3,FALSE)</f>
        <v>#N/A</v>
      </c>
      <c r="J108" s="481" t="e">
        <f>VLOOKUP(C108,PON.EXP.ESP.!$D$30:$J$229,4,FALSE)</f>
        <v>#N/A</v>
      </c>
      <c r="K108" s="482" t="e">
        <f>VLOOKUP(C108,PON.EXP.ESP.!$D$30:$J$229,5,FALSE)</f>
        <v>#N/A</v>
      </c>
      <c r="L108" s="481" t="e">
        <f>VLOOKUP(C108,PON.EXP.ESP.!$D$30:$J$229,6,FALSE)</f>
        <v>#N/A</v>
      </c>
      <c r="M108" s="482" t="e">
        <f>VLOOKUP(C108,PON.EXP.ESP.!$D$30:$J$229,7,FALSE)</f>
        <v>#N/A</v>
      </c>
      <c r="N108" s="481" t="e">
        <f>VLOOKUP(C108,VIN.PERS.DISC.!$C$19:$D$218,2,FALSE)</f>
        <v>#N/A</v>
      </c>
      <c r="O108" s="483" t="e">
        <f>VLOOKUP(C108,'APOYO A IND. NAL.'!$C$19:$D$218,2,FALSE)</f>
        <v>#N/A</v>
      </c>
      <c r="P108" s="484" t="e">
        <f>VLOOKUP(C108,RESUMENGEN!$D$20:$J$219,7,FALSE)</f>
        <v>#N/A</v>
      </c>
      <c r="Q108" s="478"/>
      <c r="R108" s="484" t="e">
        <f t="shared" si="4"/>
        <v>#N/A</v>
      </c>
      <c r="S108" s="492" t="e">
        <f t="shared" si="6"/>
        <v>#N/A</v>
      </c>
    </row>
    <row r="109" spans="2:19" hidden="1">
      <c r="B109" s="491">
        <v>105</v>
      </c>
      <c r="C109" s="491" t="e">
        <f>VLOOKUP(B109,RESUMENGEN!B124:E323,3,FALSE)</f>
        <v>#N/A</v>
      </c>
      <c r="D109" s="480" t="e">
        <f>VLOOKUP(B109,HAB.GEN.!$C$19:$I$218,3,FALSE)</f>
        <v>#N/A</v>
      </c>
      <c r="E109" s="480" t="e">
        <f>VLOOKUP(B109,HAB.GEN.!$C$19:$I$218,4,FALSE)</f>
        <v>#N/A</v>
      </c>
      <c r="F109" s="480" t="e">
        <f>VLOOKUP(B109,HAB.GEN.!$C$19:$I$218,5,FALSE)</f>
        <v>#N/A</v>
      </c>
      <c r="G109" s="480" t="e">
        <f>VLOOKUP(B109,HAB.GEN.!$C$19:$I$218,6,FALSE)</f>
        <v>#N/A</v>
      </c>
      <c r="H109" s="480" t="str">
        <f t="shared" si="3"/>
        <v>HÁBIL</v>
      </c>
      <c r="I109" s="480" t="e">
        <f>VLOOKUP(C109,PON.EXP.ESP.!$D$30:$J$229,3,FALSE)</f>
        <v>#N/A</v>
      </c>
      <c r="J109" s="481" t="e">
        <f>VLOOKUP(C109,PON.EXP.ESP.!$D$30:$J$229,4,FALSE)</f>
        <v>#N/A</v>
      </c>
      <c r="K109" s="482" t="e">
        <f>VLOOKUP(C109,PON.EXP.ESP.!$D$30:$J$229,5,FALSE)</f>
        <v>#N/A</v>
      </c>
      <c r="L109" s="481" t="e">
        <f>VLOOKUP(C109,PON.EXP.ESP.!$D$30:$J$229,6,FALSE)</f>
        <v>#N/A</v>
      </c>
      <c r="M109" s="482" t="e">
        <f>VLOOKUP(C109,PON.EXP.ESP.!$D$30:$J$229,7,FALSE)</f>
        <v>#N/A</v>
      </c>
      <c r="N109" s="481" t="e">
        <f>VLOOKUP(C109,VIN.PERS.DISC.!$C$19:$D$218,2,FALSE)</f>
        <v>#N/A</v>
      </c>
      <c r="O109" s="483" t="e">
        <f>VLOOKUP(C109,'APOYO A IND. NAL.'!$C$19:$D$218,2,FALSE)</f>
        <v>#N/A</v>
      </c>
      <c r="P109" s="484" t="e">
        <f>VLOOKUP(C109,RESUMENGEN!$D$20:$J$219,7,FALSE)</f>
        <v>#N/A</v>
      </c>
      <c r="Q109" s="478"/>
      <c r="R109" s="484" t="e">
        <f t="shared" si="4"/>
        <v>#N/A</v>
      </c>
      <c r="S109" s="492" t="e">
        <f t="shared" si="6"/>
        <v>#N/A</v>
      </c>
    </row>
    <row r="110" spans="2:19" hidden="1">
      <c r="B110" s="491">
        <v>106</v>
      </c>
      <c r="C110" s="491" t="e">
        <f>VLOOKUP(B110,RESUMENGEN!B125:E324,3,FALSE)</f>
        <v>#N/A</v>
      </c>
      <c r="D110" s="480" t="e">
        <f>VLOOKUP(B110,HAB.GEN.!$C$19:$I$218,3,FALSE)</f>
        <v>#N/A</v>
      </c>
      <c r="E110" s="480" t="e">
        <f>VLOOKUP(B110,HAB.GEN.!$C$19:$I$218,4,FALSE)</f>
        <v>#N/A</v>
      </c>
      <c r="F110" s="480" t="e">
        <f>VLOOKUP(B110,HAB.GEN.!$C$19:$I$218,5,FALSE)</f>
        <v>#N/A</v>
      </c>
      <c r="G110" s="480" t="e">
        <f>VLOOKUP(B110,HAB.GEN.!$C$19:$I$218,6,FALSE)</f>
        <v>#N/A</v>
      </c>
      <c r="H110" s="480" t="str">
        <f t="shared" si="3"/>
        <v>HÁBIL</v>
      </c>
      <c r="I110" s="480" t="e">
        <f>VLOOKUP(C110,PON.EXP.ESP.!$D$30:$J$229,3,FALSE)</f>
        <v>#N/A</v>
      </c>
      <c r="J110" s="481" t="e">
        <f>VLOOKUP(C110,PON.EXP.ESP.!$D$30:$J$229,4,FALSE)</f>
        <v>#N/A</v>
      </c>
      <c r="K110" s="482" t="e">
        <f>VLOOKUP(C110,PON.EXP.ESP.!$D$30:$J$229,5,FALSE)</f>
        <v>#N/A</v>
      </c>
      <c r="L110" s="481" t="e">
        <f>VLOOKUP(C110,PON.EXP.ESP.!$D$30:$J$229,6,FALSE)</f>
        <v>#N/A</v>
      </c>
      <c r="M110" s="482" t="e">
        <f>VLOOKUP(C110,PON.EXP.ESP.!$D$30:$J$229,7,FALSE)</f>
        <v>#N/A</v>
      </c>
      <c r="N110" s="481" t="e">
        <f>VLOOKUP(C110,VIN.PERS.DISC.!$C$19:$D$218,2,FALSE)</f>
        <v>#N/A</v>
      </c>
      <c r="O110" s="483" t="e">
        <f>VLOOKUP(C110,'APOYO A IND. NAL.'!$C$19:$D$218,2,FALSE)</f>
        <v>#N/A</v>
      </c>
      <c r="P110" s="484" t="e">
        <f>VLOOKUP(C110,RESUMENGEN!$D$20:$J$219,7,FALSE)</f>
        <v>#N/A</v>
      </c>
      <c r="Q110" s="478"/>
      <c r="R110" s="484" t="e">
        <f t="shared" si="4"/>
        <v>#N/A</v>
      </c>
      <c r="S110" s="492" t="e">
        <f t="shared" si="6"/>
        <v>#N/A</v>
      </c>
    </row>
    <row r="111" spans="2:19" hidden="1">
      <c r="B111" s="491">
        <v>107</v>
      </c>
      <c r="C111" s="491" t="e">
        <f>VLOOKUP(B111,RESUMENGEN!B126:E325,3,FALSE)</f>
        <v>#N/A</v>
      </c>
      <c r="D111" s="480" t="e">
        <f>VLOOKUP(B111,HAB.GEN.!$C$19:$I$218,3,FALSE)</f>
        <v>#N/A</v>
      </c>
      <c r="E111" s="480" t="e">
        <f>VLOOKUP(B111,HAB.GEN.!$C$19:$I$218,4,FALSE)</f>
        <v>#N/A</v>
      </c>
      <c r="F111" s="480" t="e">
        <f>VLOOKUP(B111,HAB.GEN.!$C$19:$I$218,5,FALSE)</f>
        <v>#N/A</v>
      </c>
      <c r="G111" s="480" t="e">
        <f>VLOOKUP(B111,HAB.GEN.!$C$19:$I$218,6,FALSE)</f>
        <v>#N/A</v>
      </c>
      <c r="H111" s="480" t="str">
        <f t="shared" si="3"/>
        <v>HÁBIL</v>
      </c>
      <c r="I111" s="480" t="e">
        <f>VLOOKUP(C111,PON.EXP.ESP.!$D$30:$J$229,3,FALSE)</f>
        <v>#N/A</v>
      </c>
      <c r="J111" s="481" t="e">
        <f>VLOOKUP(C111,PON.EXP.ESP.!$D$30:$J$229,4,FALSE)</f>
        <v>#N/A</v>
      </c>
      <c r="K111" s="482" t="e">
        <f>VLOOKUP(C111,PON.EXP.ESP.!$D$30:$J$229,5,FALSE)</f>
        <v>#N/A</v>
      </c>
      <c r="L111" s="481" t="e">
        <f>VLOOKUP(C111,PON.EXP.ESP.!$D$30:$J$229,6,FALSE)</f>
        <v>#N/A</v>
      </c>
      <c r="M111" s="482" t="e">
        <f>VLOOKUP(C111,PON.EXP.ESP.!$D$30:$J$229,7,FALSE)</f>
        <v>#N/A</v>
      </c>
      <c r="N111" s="481" t="e">
        <f>VLOOKUP(C111,VIN.PERS.DISC.!$C$19:$D$218,2,FALSE)</f>
        <v>#N/A</v>
      </c>
      <c r="O111" s="483" t="e">
        <f>VLOOKUP(C111,'APOYO A IND. NAL.'!$C$19:$D$218,2,FALSE)</f>
        <v>#N/A</v>
      </c>
      <c r="P111" s="484" t="e">
        <f>VLOOKUP(C111,RESUMENGEN!$D$20:$J$219,7,FALSE)</f>
        <v>#N/A</v>
      </c>
      <c r="Q111" s="478"/>
      <c r="R111" s="484" t="e">
        <f t="shared" si="4"/>
        <v>#N/A</v>
      </c>
      <c r="S111" s="492" t="e">
        <f t="shared" si="6"/>
        <v>#N/A</v>
      </c>
    </row>
    <row r="112" spans="2:19" hidden="1">
      <c r="B112" s="491">
        <v>108</v>
      </c>
      <c r="C112" s="491" t="e">
        <f>VLOOKUP(B112,RESUMENGEN!B127:E326,3,FALSE)</f>
        <v>#N/A</v>
      </c>
      <c r="D112" s="480" t="e">
        <f>VLOOKUP(B112,HAB.GEN.!$C$19:$I$218,3,FALSE)</f>
        <v>#N/A</v>
      </c>
      <c r="E112" s="480" t="e">
        <f>VLOOKUP(B112,HAB.GEN.!$C$19:$I$218,4,FALSE)</f>
        <v>#N/A</v>
      </c>
      <c r="F112" s="480" t="e">
        <f>VLOOKUP(B112,HAB.GEN.!$C$19:$I$218,5,FALSE)</f>
        <v>#N/A</v>
      </c>
      <c r="G112" s="480" t="e">
        <f>VLOOKUP(B112,HAB.GEN.!$C$19:$I$218,6,FALSE)</f>
        <v>#N/A</v>
      </c>
      <c r="H112" s="480" t="str">
        <f t="shared" si="3"/>
        <v>HÁBIL</v>
      </c>
      <c r="I112" s="480" t="e">
        <f>VLOOKUP(C112,PON.EXP.ESP.!$D$30:$J$229,3,FALSE)</f>
        <v>#N/A</v>
      </c>
      <c r="J112" s="481" t="e">
        <f>VLOOKUP(C112,PON.EXP.ESP.!$D$30:$J$229,4,FALSE)</f>
        <v>#N/A</v>
      </c>
      <c r="K112" s="482" t="e">
        <f>VLOOKUP(C112,PON.EXP.ESP.!$D$30:$J$229,5,FALSE)</f>
        <v>#N/A</v>
      </c>
      <c r="L112" s="481" t="e">
        <f>VLOOKUP(C112,PON.EXP.ESP.!$D$30:$J$229,6,FALSE)</f>
        <v>#N/A</v>
      </c>
      <c r="M112" s="482" t="e">
        <f>VLOOKUP(C112,PON.EXP.ESP.!$D$30:$J$229,7,FALSE)</f>
        <v>#N/A</v>
      </c>
      <c r="N112" s="481" t="e">
        <f>VLOOKUP(C112,VIN.PERS.DISC.!$C$19:$D$218,2,FALSE)</f>
        <v>#N/A</v>
      </c>
      <c r="O112" s="483" t="e">
        <f>VLOOKUP(C112,'APOYO A IND. NAL.'!$C$19:$D$218,2,FALSE)</f>
        <v>#N/A</v>
      </c>
      <c r="P112" s="484" t="e">
        <f>VLOOKUP(C112,RESUMENGEN!$D$20:$J$219,7,FALSE)</f>
        <v>#N/A</v>
      </c>
      <c r="Q112" s="478"/>
      <c r="R112" s="484" t="e">
        <f t="shared" si="4"/>
        <v>#N/A</v>
      </c>
      <c r="S112" s="492" t="e">
        <f t="shared" si="6"/>
        <v>#N/A</v>
      </c>
    </row>
    <row r="113" spans="2:19" hidden="1">
      <c r="B113" s="491">
        <v>109</v>
      </c>
      <c r="C113" s="491" t="e">
        <f>VLOOKUP(B113,RESUMENGEN!B128:E327,3,FALSE)</f>
        <v>#N/A</v>
      </c>
      <c r="D113" s="480" t="e">
        <f>VLOOKUP(B113,HAB.GEN.!$C$19:$I$218,3,FALSE)</f>
        <v>#N/A</v>
      </c>
      <c r="E113" s="480" t="e">
        <f>VLOOKUP(B113,HAB.GEN.!$C$19:$I$218,4,FALSE)</f>
        <v>#N/A</v>
      </c>
      <c r="F113" s="480" t="e">
        <f>VLOOKUP(B113,HAB.GEN.!$C$19:$I$218,5,FALSE)</f>
        <v>#N/A</v>
      </c>
      <c r="G113" s="480" t="e">
        <f>VLOOKUP(B113,HAB.GEN.!$C$19:$I$218,6,FALSE)</f>
        <v>#N/A</v>
      </c>
      <c r="H113" s="480" t="str">
        <f t="shared" si="3"/>
        <v>HÁBIL</v>
      </c>
      <c r="I113" s="480" t="e">
        <f>VLOOKUP(C113,PON.EXP.ESP.!$D$30:$J$229,3,FALSE)</f>
        <v>#N/A</v>
      </c>
      <c r="J113" s="481" t="e">
        <f>VLOOKUP(C113,PON.EXP.ESP.!$D$30:$J$229,4,FALSE)</f>
        <v>#N/A</v>
      </c>
      <c r="K113" s="482" t="e">
        <f>VLOOKUP(C113,PON.EXP.ESP.!$D$30:$J$229,5,FALSE)</f>
        <v>#N/A</v>
      </c>
      <c r="L113" s="481" t="e">
        <f>VLOOKUP(C113,PON.EXP.ESP.!$D$30:$J$229,6,FALSE)</f>
        <v>#N/A</v>
      </c>
      <c r="M113" s="482" t="e">
        <f>VLOOKUP(C113,PON.EXP.ESP.!$D$30:$J$229,7,FALSE)</f>
        <v>#N/A</v>
      </c>
      <c r="N113" s="481" t="e">
        <f>VLOOKUP(C113,VIN.PERS.DISC.!$C$19:$D$218,2,FALSE)</f>
        <v>#N/A</v>
      </c>
      <c r="O113" s="483" t="e">
        <f>VLOOKUP(C113,'APOYO A IND. NAL.'!$C$19:$D$218,2,FALSE)</f>
        <v>#N/A</v>
      </c>
      <c r="P113" s="484" t="e">
        <f>VLOOKUP(C113,RESUMENGEN!$D$20:$J$219,7,FALSE)</f>
        <v>#N/A</v>
      </c>
      <c r="Q113" s="478"/>
      <c r="R113" s="484" t="e">
        <f t="shared" si="4"/>
        <v>#N/A</v>
      </c>
      <c r="S113" s="492" t="e">
        <f t="shared" si="6"/>
        <v>#N/A</v>
      </c>
    </row>
    <row r="114" spans="2:19" hidden="1">
      <c r="B114" s="491">
        <v>110</v>
      </c>
      <c r="C114" s="491" t="e">
        <f>VLOOKUP(B114,RESUMENGEN!B129:E328,3,FALSE)</f>
        <v>#N/A</v>
      </c>
      <c r="D114" s="480" t="e">
        <f>VLOOKUP(B114,HAB.GEN.!$C$19:$I$218,3,FALSE)</f>
        <v>#N/A</v>
      </c>
      <c r="E114" s="480" t="e">
        <f>VLOOKUP(B114,HAB.GEN.!$C$19:$I$218,4,FALSE)</f>
        <v>#N/A</v>
      </c>
      <c r="F114" s="480" t="e">
        <f>VLOOKUP(B114,HAB.GEN.!$C$19:$I$218,5,FALSE)</f>
        <v>#N/A</v>
      </c>
      <c r="G114" s="480" t="e">
        <f>VLOOKUP(B114,HAB.GEN.!$C$19:$I$218,6,FALSE)</f>
        <v>#N/A</v>
      </c>
      <c r="H114" s="480" t="str">
        <f t="shared" si="3"/>
        <v>HÁBIL</v>
      </c>
      <c r="I114" s="480" t="e">
        <f>VLOOKUP(C114,PON.EXP.ESP.!$D$30:$J$229,3,FALSE)</f>
        <v>#N/A</v>
      </c>
      <c r="J114" s="481" t="e">
        <f>VLOOKUP(C114,PON.EXP.ESP.!$D$30:$J$229,4,FALSE)</f>
        <v>#N/A</v>
      </c>
      <c r="K114" s="482" t="e">
        <f>VLOOKUP(C114,PON.EXP.ESP.!$D$30:$J$229,5,FALSE)</f>
        <v>#N/A</v>
      </c>
      <c r="L114" s="481" t="e">
        <f>VLOOKUP(C114,PON.EXP.ESP.!$D$30:$J$229,6,FALSE)</f>
        <v>#N/A</v>
      </c>
      <c r="M114" s="482" t="e">
        <f>VLOOKUP(C114,PON.EXP.ESP.!$D$30:$J$229,7,FALSE)</f>
        <v>#N/A</v>
      </c>
      <c r="N114" s="481" t="e">
        <f>VLOOKUP(C114,VIN.PERS.DISC.!$C$19:$D$218,2,FALSE)</f>
        <v>#N/A</v>
      </c>
      <c r="O114" s="483" t="e">
        <f>VLOOKUP(C114,'APOYO A IND. NAL.'!$C$19:$D$218,2,FALSE)</f>
        <v>#N/A</v>
      </c>
      <c r="P114" s="484" t="e">
        <f>VLOOKUP(C114,RESUMENGEN!$D$20:$J$219,7,FALSE)</f>
        <v>#N/A</v>
      </c>
      <c r="Q114" s="478"/>
      <c r="R114" s="484" t="e">
        <f t="shared" si="4"/>
        <v>#N/A</v>
      </c>
      <c r="S114" s="492" t="e">
        <f t="shared" si="6"/>
        <v>#N/A</v>
      </c>
    </row>
    <row r="115" spans="2:19" hidden="1">
      <c r="B115" s="491">
        <v>111</v>
      </c>
      <c r="C115" s="491" t="e">
        <f>VLOOKUP(B115,RESUMENGEN!B130:E329,3,FALSE)</f>
        <v>#N/A</v>
      </c>
      <c r="D115" s="480" t="e">
        <f>VLOOKUP(B115,HAB.GEN.!$C$19:$I$218,3,FALSE)</f>
        <v>#N/A</v>
      </c>
      <c r="E115" s="480" t="e">
        <f>VLOOKUP(B115,HAB.GEN.!$C$19:$I$218,4,FALSE)</f>
        <v>#N/A</v>
      </c>
      <c r="F115" s="480" t="e">
        <f>VLOOKUP(B115,HAB.GEN.!$C$19:$I$218,5,FALSE)</f>
        <v>#N/A</v>
      </c>
      <c r="G115" s="480" t="e">
        <f>VLOOKUP(B115,HAB.GEN.!$C$19:$I$218,6,FALSE)</f>
        <v>#N/A</v>
      </c>
      <c r="H115" s="480" t="str">
        <f t="shared" si="3"/>
        <v>HÁBIL</v>
      </c>
      <c r="I115" s="480" t="e">
        <f>VLOOKUP(C115,PON.EXP.ESP.!$D$30:$J$229,3,FALSE)</f>
        <v>#N/A</v>
      </c>
      <c r="J115" s="481" t="e">
        <f>VLOOKUP(C115,PON.EXP.ESP.!$D$30:$J$229,4,FALSE)</f>
        <v>#N/A</v>
      </c>
      <c r="K115" s="482" t="e">
        <f>VLOOKUP(C115,PON.EXP.ESP.!$D$30:$J$229,5,FALSE)</f>
        <v>#N/A</v>
      </c>
      <c r="L115" s="481" t="e">
        <f>VLOOKUP(C115,PON.EXP.ESP.!$D$30:$J$229,6,FALSE)</f>
        <v>#N/A</v>
      </c>
      <c r="M115" s="482" t="e">
        <f>VLOOKUP(C115,PON.EXP.ESP.!$D$30:$J$229,7,FALSE)</f>
        <v>#N/A</v>
      </c>
      <c r="N115" s="481" t="e">
        <f>VLOOKUP(C115,VIN.PERS.DISC.!$C$19:$D$218,2,FALSE)</f>
        <v>#N/A</v>
      </c>
      <c r="O115" s="483" t="e">
        <f>VLOOKUP(C115,'APOYO A IND. NAL.'!$C$19:$D$218,2,FALSE)</f>
        <v>#N/A</v>
      </c>
      <c r="P115" s="484" t="e">
        <f>VLOOKUP(C115,RESUMENGEN!$D$20:$J$219,7,FALSE)</f>
        <v>#N/A</v>
      </c>
      <c r="Q115" s="478"/>
      <c r="R115" s="484" t="e">
        <f t="shared" si="4"/>
        <v>#N/A</v>
      </c>
      <c r="S115" s="492" t="e">
        <f t="shared" si="6"/>
        <v>#N/A</v>
      </c>
    </row>
    <row r="116" spans="2:19" hidden="1">
      <c r="B116" s="491">
        <v>112</v>
      </c>
      <c r="C116" s="491" t="e">
        <f>VLOOKUP(B116,RESUMENGEN!B131:E330,3,FALSE)</f>
        <v>#N/A</v>
      </c>
      <c r="D116" s="480" t="e">
        <f>VLOOKUP(B116,HAB.GEN.!$C$19:$I$218,3,FALSE)</f>
        <v>#N/A</v>
      </c>
      <c r="E116" s="480" t="e">
        <f>VLOOKUP(B116,HAB.GEN.!$C$19:$I$218,4,FALSE)</f>
        <v>#N/A</v>
      </c>
      <c r="F116" s="480" t="e">
        <f>VLOOKUP(B116,HAB.GEN.!$C$19:$I$218,5,FALSE)</f>
        <v>#N/A</v>
      </c>
      <c r="G116" s="480" t="e">
        <f>VLOOKUP(B116,HAB.GEN.!$C$19:$I$218,6,FALSE)</f>
        <v>#N/A</v>
      </c>
      <c r="H116" s="480" t="str">
        <f t="shared" si="3"/>
        <v>HÁBIL</v>
      </c>
      <c r="I116" s="480" t="e">
        <f>VLOOKUP(C116,PON.EXP.ESP.!$D$30:$J$229,3,FALSE)</f>
        <v>#N/A</v>
      </c>
      <c r="J116" s="481" t="e">
        <f>VLOOKUP(C116,PON.EXP.ESP.!$D$30:$J$229,4,FALSE)</f>
        <v>#N/A</v>
      </c>
      <c r="K116" s="482" t="e">
        <f>VLOOKUP(C116,PON.EXP.ESP.!$D$30:$J$229,5,FALSE)</f>
        <v>#N/A</v>
      </c>
      <c r="L116" s="481" t="e">
        <f>VLOOKUP(C116,PON.EXP.ESP.!$D$30:$J$229,6,FALSE)</f>
        <v>#N/A</v>
      </c>
      <c r="M116" s="482" t="e">
        <f>VLOOKUP(C116,PON.EXP.ESP.!$D$30:$J$229,7,FALSE)</f>
        <v>#N/A</v>
      </c>
      <c r="N116" s="481" t="e">
        <f>VLOOKUP(C116,VIN.PERS.DISC.!$C$19:$D$218,2,FALSE)</f>
        <v>#N/A</v>
      </c>
      <c r="O116" s="483" t="e">
        <f>VLOOKUP(C116,'APOYO A IND. NAL.'!$C$19:$D$218,2,FALSE)</f>
        <v>#N/A</v>
      </c>
      <c r="P116" s="484" t="e">
        <f>VLOOKUP(C116,RESUMENGEN!$D$20:$J$219,7,FALSE)</f>
        <v>#N/A</v>
      </c>
      <c r="Q116" s="478"/>
      <c r="R116" s="484" t="e">
        <f t="shared" si="4"/>
        <v>#N/A</v>
      </c>
      <c r="S116" s="492" t="e">
        <f t="shared" si="6"/>
        <v>#N/A</v>
      </c>
    </row>
    <row r="117" spans="2:19" hidden="1">
      <c r="B117" s="491">
        <v>113</v>
      </c>
      <c r="C117" s="491" t="e">
        <f>VLOOKUP(B117,RESUMENGEN!B132:E331,3,FALSE)</f>
        <v>#N/A</v>
      </c>
      <c r="D117" s="480" t="e">
        <f>VLOOKUP(B117,HAB.GEN.!$C$19:$I$218,3,FALSE)</f>
        <v>#N/A</v>
      </c>
      <c r="E117" s="480" t="e">
        <f>VLOOKUP(B117,HAB.GEN.!$C$19:$I$218,4,FALSE)</f>
        <v>#N/A</v>
      </c>
      <c r="F117" s="480" t="e">
        <f>VLOOKUP(B117,HAB.GEN.!$C$19:$I$218,5,FALSE)</f>
        <v>#N/A</v>
      </c>
      <c r="G117" s="480" t="e">
        <f>VLOOKUP(B117,HAB.GEN.!$C$19:$I$218,6,FALSE)</f>
        <v>#N/A</v>
      </c>
      <c r="H117" s="480" t="str">
        <f t="shared" si="3"/>
        <v>HÁBIL</v>
      </c>
      <c r="I117" s="480" t="e">
        <f>VLOOKUP(C117,PON.EXP.ESP.!$D$30:$J$229,3,FALSE)</f>
        <v>#N/A</v>
      </c>
      <c r="J117" s="481" t="e">
        <f>VLOOKUP(C117,PON.EXP.ESP.!$D$30:$J$229,4,FALSE)</f>
        <v>#N/A</v>
      </c>
      <c r="K117" s="482" t="e">
        <f>VLOOKUP(C117,PON.EXP.ESP.!$D$30:$J$229,5,FALSE)</f>
        <v>#N/A</v>
      </c>
      <c r="L117" s="481" t="e">
        <f>VLOOKUP(C117,PON.EXP.ESP.!$D$30:$J$229,6,FALSE)</f>
        <v>#N/A</v>
      </c>
      <c r="M117" s="482" t="e">
        <f>VLOOKUP(C117,PON.EXP.ESP.!$D$30:$J$229,7,FALSE)</f>
        <v>#N/A</v>
      </c>
      <c r="N117" s="481" t="e">
        <f>VLOOKUP(C117,VIN.PERS.DISC.!$C$19:$D$218,2,FALSE)</f>
        <v>#N/A</v>
      </c>
      <c r="O117" s="483" t="e">
        <f>VLOOKUP(C117,'APOYO A IND. NAL.'!$C$19:$D$218,2,FALSE)</f>
        <v>#N/A</v>
      </c>
      <c r="P117" s="484" t="e">
        <f>VLOOKUP(C117,RESUMENGEN!$D$20:$J$219,7,FALSE)</f>
        <v>#N/A</v>
      </c>
      <c r="Q117" s="478"/>
      <c r="R117" s="484" t="e">
        <f t="shared" si="4"/>
        <v>#N/A</v>
      </c>
      <c r="S117" s="492" t="e">
        <f t="shared" si="6"/>
        <v>#N/A</v>
      </c>
    </row>
    <row r="118" spans="2:19" hidden="1">
      <c r="B118" s="491">
        <v>114</v>
      </c>
      <c r="C118" s="491" t="e">
        <f>VLOOKUP(B118,RESUMENGEN!B133:E332,3,FALSE)</f>
        <v>#N/A</v>
      </c>
      <c r="D118" s="480" t="e">
        <f>VLOOKUP(B118,HAB.GEN.!$C$19:$I$218,3,FALSE)</f>
        <v>#N/A</v>
      </c>
      <c r="E118" s="480" t="e">
        <f>VLOOKUP(B118,HAB.GEN.!$C$19:$I$218,4,FALSE)</f>
        <v>#N/A</v>
      </c>
      <c r="F118" s="480" t="e">
        <f>VLOOKUP(B118,HAB.GEN.!$C$19:$I$218,5,FALSE)</f>
        <v>#N/A</v>
      </c>
      <c r="G118" s="480" t="e">
        <f>VLOOKUP(B118,HAB.GEN.!$C$19:$I$218,6,FALSE)</f>
        <v>#N/A</v>
      </c>
      <c r="H118" s="480" t="str">
        <f t="shared" si="3"/>
        <v>HÁBIL</v>
      </c>
      <c r="I118" s="480" t="e">
        <f>VLOOKUP(C118,PON.EXP.ESP.!$D$30:$J$229,3,FALSE)</f>
        <v>#N/A</v>
      </c>
      <c r="J118" s="481" t="e">
        <f>VLOOKUP(C118,PON.EXP.ESP.!$D$30:$J$229,4,FALSE)</f>
        <v>#N/A</v>
      </c>
      <c r="K118" s="482" t="e">
        <f>VLOOKUP(C118,PON.EXP.ESP.!$D$30:$J$229,5,FALSE)</f>
        <v>#N/A</v>
      </c>
      <c r="L118" s="481" t="e">
        <f>VLOOKUP(C118,PON.EXP.ESP.!$D$30:$J$229,6,FALSE)</f>
        <v>#N/A</v>
      </c>
      <c r="M118" s="482" t="e">
        <f>VLOOKUP(C118,PON.EXP.ESP.!$D$30:$J$229,7,FALSE)</f>
        <v>#N/A</v>
      </c>
      <c r="N118" s="481" t="e">
        <f>VLOOKUP(C118,VIN.PERS.DISC.!$C$19:$D$218,2,FALSE)</f>
        <v>#N/A</v>
      </c>
      <c r="O118" s="483" t="e">
        <f>VLOOKUP(C118,'APOYO A IND. NAL.'!$C$19:$D$218,2,FALSE)</f>
        <v>#N/A</v>
      </c>
      <c r="P118" s="484" t="e">
        <f>VLOOKUP(C118,RESUMENGEN!$D$20:$J$219,7,FALSE)</f>
        <v>#N/A</v>
      </c>
      <c r="Q118" s="478"/>
      <c r="R118" s="484" t="e">
        <f t="shared" si="4"/>
        <v>#N/A</v>
      </c>
      <c r="S118" s="492" t="e">
        <f t="shared" si="6"/>
        <v>#N/A</v>
      </c>
    </row>
    <row r="119" spans="2:19" hidden="1">
      <c r="B119" s="491">
        <v>115</v>
      </c>
      <c r="C119" s="491" t="e">
        <f>VLOOKUP(B119,RESUMENGEN!B134:E333,3,FALSE)</f>
        <v>#N/A</v>
      </c>
      <c r="D119" s="480" t="e">
        <f>VLOOKUP(B119,HAB.GEN.!$C$19:$I$218,3,FALSE)</f>
        <v>#N/A</v>
      </c>
      <c r="E119" s="480" t="e">
        <f>VLOOKUP(B119,HAB.GEN.!$C$19:$I$218,4,FALSE)</f>
        <v>#N/A</v>
      </c>
      <c r="F119" s="480" t="e">
        <f>VLOOKUP(B119,HAB.GEN.!$C$19:$I$218,5,FALSE)</f>
        <v>#N/A</v>
      </c>
      <c r="G119" s="480" t="e">
        <f>VLOOKUP(B119,HAB.GEN.!$C$19:$I$218,6,FALSE)</f>
        <v>#N/A</v>
      </c>
      <c r="H119" s="480" t="str">
        <f t="shared" si="3"/>
        <v>HÁBIL</v>
      </c>
      <c r="I119" s="480" t="e">
        <f>VLOOKUP(C119,PON.EXP.ESP.!$D$30:$J$229,3,FALSE)</f>
        <v>#N/A</v>
      </c>
      <c r="J119" s="481" t="e">
        <f>VLOOKUP(C119,PON.EXP.ESP.!$D$30:$J$229,4,FALSE)</f>
        <v>#N/A</v>
      </c>
      <c r="K119" s="482" t="e">
        <f>VLOOKUP(C119,PON.EXP.ESP.!$D$30:$J$229,5,FALSE)</f>
        <v>#N/A</v>
      </c>
      <c r="L119" s="481" t="e">
        <f>VLOOKUP(C119,PON.EXP.ESP.!$D$30:$J$229,6,FALSE)</f>
        <v>#N/A</v>
      </c>
      <c r="M119" s="482" t="e">
        <f>VLOOKUP(C119,PON.EXP.ESP.!$D$30:$J$229,7,FALSE)</f>
        <v>#N/A</v>
      </c>
      <c r="N119" s="481" t="e">
        <f>VLOOKUP(C119,VIN.PERS.DISC.!$C$19:$D$218,2,FALSE)</f>
        <v>#N/A</v>
      </c>
      <c r="O119" s="483" t="e">
        <f>VLOOKUP(C119,'APOYO A IND. NAL.'!$C$19:$D$218,2,FALSE)</f>
        <v>#N/A</v>
      </c>
      <c r="P119" s="484" t="e">
        <f>VLOOKUP(C119,RESUMENGEN!$D$20:$J$219,7,FALSE)</f>
        <v>#N/A</v>
      </c>
      <c r="Q119" s="478"/>
      <c r="R119" s="484" t="e">
        <f t="shared" si="4"/>
        <v>#N/A</v>
      </c>
      <c r="S119" s="492" t="e">
        <f t="shared" si="6"/>
        <v>#N/A</v>
      </c>
    </row>
    <row r="120" spans="2:19" hidden="1">
      <c r="B120" s="491">
        <v>116</v>
      </c>
      <c r="C120" s="491" t="e">
        <f>VLOOKUP(B120,RESUMENGEN!B135:E334,3,FALSE)</f>
        <v>#N/A</v>
      </c>
      <c r="D120" s="480" t="e">
        <f>VLOOKUP(B120,HAB.GEN.!$C$19:$I$218,3,FALSE)</f>
        <v>#N/A</v>
      </c>
      <c r="E120" s="480" t="e">
        <f>VLOOKUP(B120,HAB.GEN.!$C$19:$I$218,4,FALSE)</f>
        <v>#N/A</v>
      </c>
      <c r="F120" s="480" t="e">
        <f>VLOOKUP(B120,HAB.GEN.!$C$19:$I$218,5,FALSE)</f>
        <v>#N/A</v>
      </c>
      <c r="G120" s="480" t="e">
        <f>VLOOKUP(B120,HAB.GEN.!$C$19:$I$218,6,FALSE)</f>
        <v>#N/A</v>
      </c>
      <c r="H120" s="480" t="str">
        <f t="shared" si="3"/>
        <v>HÁBIL</v>
      </c>
      <c r="I120" s="480" t="e">
        <f>VLOOKUP(C120,PON.EXP.ESP.!$D$30:$J$229,3,FALSE)</f>
        <v>#N/A</v>
      </c>
      <c r="J120" s="481" t="e">
        <f>VLOOKUP(C120,PON.EXP.ESP.!$D$30:$J$229,4,FALSE)</f>
        <v>#N/A</v>
      </c>
      <c r="K120" s="482" t="e">
        <f>VLOOKUP(C120,PON.EXP.ESP.!$D$30:$J$229,5,FALSE)</f>
        <v>#N/A</v>
      </c>
      <c r="L120" s="481" t="e">
        <f>VLOOKUP(C120,PON.EXP.ESP.!$D$30:$J$229,6,FALSE)</f>
        <v>#N/A</v>
      </c>
      <c r="M120" s="482" t="e">
        <f>VLOOKUP(C120,PON.EXP.ESP.!$D$30:$J$229,7,FALSE)</f>
        <v>#N/A</v>
      </c>
      <c r="N120" s="481" t="e">
        <f>VLOOKUP(C120,VIN.PERS.DISC.!$C$19:$D$218,2,FALSE)</f>
        <v>#N/A</v>
      </c>
      <c r="O120" s="483" t="e">
        <f>VLOOKUP(C120,'APOYO A IND. NAL.'!$C$19:$D$218,2,FALSE)</f>
        <v>#N/A</v>
      </c>
      <c r="P120" s="484" t="e">
        <f>VLOOKUP(C120,RESUMENGEN!$D$20:$J$219,7,FALSE)</f>
        <v>#N/A</v>
      </c>
      <c r="Q120" s="478"/>
      <c r="R120" s="484" t="e">
        <f t="shared" si="4"/>
        <v>#N/A</v>
      </c>
      <c r="S120" s="492" t="e">
        <f t="shared" si="6"/>
        <v>#N/A</v>
      </c>
    </row>
    <row r="121" spans="2:19" hidden="1">
      <c r="B121" s="491">
        <v>117</v>
      </c>
      <c r="C121" s="491" t="e">
        <f>VLOOKUP(B121,RESUMENGEN!B136:E335,3,FALSE)</f>
        <v>#N/A</v>
      </c>
      <c r="D121" s="480" t="e">
        <f>VLOOKUP(B121,HAB.GEN.!$C$19:$I$218,3,FALSE)</f>
        <v>#N/A</v>
      </c>
      <c r="E121" s="480" t="e">
        <f>VLOOKUP(B121,HAB.GEN.!$C$19:$I$218,4,FALSE)</f>
        <v>#N/A</v>
      </c>
      <c r="F121" s="480" t="e">
        <f>VLOOKUP(B121,HAB.GEN.!$C$19:$I$218,5,FALSE)</f>
        <v>#N/A</v>
      </c>
      <c r="G121" s="480" t="e">
        <f>VLOOKUP(B121,HAB.GEN.!$C$19:$I$218,6,FALSE)</f>
        <v>#N/A</v>
      </c>
      <c r="H121" s="480" t="str">
        <f t="shared" si="3"/>
        <v>HÁBIL</v>
      </c>
      <c r="I121" s="480" t="e">
        <f>VLOOKUP(C121,PON.EXP.ESP.!$D$30:$J$229,3,FALSE)</f>
        <v>#N/A</v>
      </c>
      <c r="J121" s="481" t="e">
        <f>VLOOKUP(C121,PON.EXP.ESP.!$D$30:$J$229,4,FALSE)</f>
        <v>#N/A</v>
      </c>
      <c r="K121" s="482" t="e">
        <f>VLOOKUP(C121,PON.EXP.ESP.!$D$30:$J$229,5,FALSE)</f>
        <v>#N/A</v>
      </c>
      <c r="L121" s="481" t="e">
        <f>VLOOKUP(C121,PON.EXP.ESP.!$D$30:$J$229,6,FALSE)</f>
        <v>#N/A</v>
      </c>
      <c r="M121" s="482" t="e">
        <f>VLOOKUP(C121,PON.EXP.ESP.!$D$30:$J$229,7,FALSE)</f>
        <v>#N/A</v>
      </c>
      <c r="N121" s="481" t="e">
        <f>VLOOKUP(C121,VIN.PERS.DISC.!$C$19:$D$218,2,FALSE)</f>
        <v>#N/A</v>
      </c>
      <c r="O121" s="483" t="e">
        <f>VLOOKUP(C121,'APOYO A IND. NAL.'!$C$19:$D$218,2,FALSE)</f>
        <v>#N/A</v>
      </c>
      <c r="P121" s="484" t="e">
        <f>VLOOKUP(C121,RESUMENGEN!$D$20:$J$219,7,FALSE)</f>
        <v>#N/A</v>
      </c>
      <c r="Q121" s="478"/>
      <c r="R121" s="484" t="e">
        <f t="shared" si="4"/>
        <v>#N/A</v>
      </c>
      <c r="S121" s="492" t="e">
        <f t="shared" si="6"/>
        <v>#N/A</v>
      </c>
    </row>
    <row r="122" spans="2:19" hidden="1">
      <c r="B122" s="491">
        <v>118</v>
      </c>
      <c r="C122" s="491" t="e">
        <f>VLOOKUP(B122,RESUMENGEN!B137:E336,3,FALSE)</f>
        <v>#N/A</v>
      </c>
      <c r="D122" s="480" t="e">
        <f>VLOOKUP(B122,HAB.GEN.!$C$19:$I$218,3,FALSE)</f>
        <v>#N/A</v>
      </c>
      <c r="E122" s="480" t="e">
        <f>VLOOKUP(B122,HAB.GEN.!$C$19:$I$218,4,FALSE)</f>
        <v>#N/A</v>
      </c>
      <c r="F122" s="480" t="e">
        <f>VLOOKUP(B122,HAB.GEN.!$C$19:$I$218,5,FALSE)</f>
        <v>#N/A</v>
      </c>
      <c r="G122" s="480" t="e">
        <f>VLOOKUP(B122,HAB.GEN.!$C$19:$I$218,6,FALSE)</f>
        <v>#N/A</v>
      </c>
      <c r="H122" s="480" t="str">
        <f t="shared" si="3"/>
        <v>HÁBIL</v>
      </c>
      <c r="I122" s="480" t="e">
        <f>VLOOKUP(C122,PON.EXP.ESP.!$D$30:$J$229,3,FALSE)</f>
        <v>#N/A</v>
      </c>
      <c r="J122" s="481" t="e">
        <f>VLOOKUP(C122,PON.EXP.ESP.!$D$30:$J$229,4,FALSE)</f>
        <v>#N/A</v>
      </c>
      <c r="K122" s="482" t="e">
        <f>VLOOKUP(C122,PON.EXP.ESP.!$D$30:$J$229,5,FALSE)</f>
        <v>#N/A</v>
      </c>
      <c r="L122" s="481" t="e">
        <f>VLOOKUP(C122,PON.EXP.ESP.!$D$30:$J$229,6,FALSE)</f>
        <v>#N/A</v>
      </c>
      <c r="M122" s="482" t="e">
        <f>VLOOKUP(C122,PON.EXP.ESP.!$D$30:$J$229,7,FALSE)</f>
        <v>#N/A</v>
      </c>
      <c r="N122" s="481" t="e">
        <f>VLOOKUP(C122,VIN.PERS.DISC.!$C$19:$D$218,2,FALSE)</f>
        <v>#N/A</v>
      </c>
      <c r="O122" s="483" t="e">
        <f>VLOOKUP(C122,'APOYO A IND. NAL.'!$C$19:$D$218,2,FALSE)</f>
        <v>#N/A</v>
      </c>
      <c r="P122" s="484" t="e">
        <f>VLOOKUP(C122,RESUMENGEN!$D$20:$J$219,7,FALSE)</f>
        <v>#N/A</v>
      </c>
      <c r="Q122" s="478"/>
      <c r="R122" s="484" t="e">
        <f t="shared" si="4"/>
        <v>#N/A</v>
      </c>
      <c r="S122" s="492" t="e">
        <f t="shared" si="6"/>
        <v>#N/A</v>
      </c>
    </row>
    <row r="123" spans="2:19" hidden="1">
      <c r="B123" s="491">
        <v>119</v>
      </c>
      <c r="C123" s="491" t="e">
        <f>VLOOKUP(B123,RESUMENGEN!B138:E337,3,FALSE)</f>
        <v>#N/A</v>
      </c>
      <c r="D123" s="480" t="e">
        <f>VLOOKUP(B123,HAB.GEN.!$C$19:$I$218,3,FALSE)</f>
        <v>#N/A</v>
      </c>
      <c r="E123" s="480" t="e">
        <f>VLOOKUP(B123,HAB.GEN.!$C$19:$I$218,4,FALSE)</f>
        <v>#N/A</v>
      </c>
      <c r="F123" s="480" t="e">
        <f>VLOOKUP(B123,HAB.GEN.!$C$19:$I$218,5,FALSE)</f>
        <v>#N/A</v>
      </c>
      <c r="G123" s="480" t="e">
        <f>VLOOKUP(B123,HAB.GEN.!$C$19:$I$218,6,FALSE)</f>
        <v>#N/A</v>
      </c>
      <c r="H123" s="480" t="str">
        <f t="shared" si="3"/>
        <v>HÁBIL</v>
      </c>
      <c r="I123" s="480" t="e">
        <f>VLOOKUP(C123,PON.EXP.ESP.!$D$30:$J$229,3,FALSE)</f>
        <v>#N/A</v>
      </c>
      <c r="J123" s="481" t="e">
        <f>VLOOKUP(C123,PON.EXP.ESP.!$D$30:$J$229,4,FALSE)</f>
        <v>#N/A</v>
      </c>
      <c r="K123" s="482" t="e">
        <f>VLOOKUP(C123,PON.EXP.ESP.!$D$30:$J$229,5,FALSE)</f>
        <v>#N/A</v>
      </c>
      <c r="L123" s="481" t="e">
        <f>VLOOKUP(C123,PON.EXP.ESP.!$D$30:$J$229,6,FALSE)</f>
        <v>#N/A</v>
      </c>
      <c r="M123" s="482" t="e">
        <f>VLOOKUP(C123,PON.EXP.ESP.!$D$30:$J$229,7,FALSE)</f>
        <v>#N/A</v>
      </c>
      <c r="N123" s="481" t="e">
        <f>VLOOKUP(C123,VIN.PERS.DISC.!$C$19:$D$218,2,FALSE)</f>
        <v>#N/A</v>
      </c>
      <c r="O123" s="483" t="e">
        <f>VLOOKUP(C123,'APOYO A IND. NAL.'!$C$19:$D$218,2,FALSE)</f>
        <v>#N/A</v>
      </c>
      <c r="P123" s="484" t="e">
        <f>VLOOKUP(C123,RESUMENGEN!$D$20:$J$219,7,FALSE)</f>
        <v>#N/A</v>
      </c>
      <c r="Q123" s="478"/>
      <c r="R123" s="484" t="e">
        <f t="shared" si="4"/>
        <v>#N/A</v>
      </c>
      <c r="S123" s="492" t="e">
        <f t="shared" si="6"/>
        <v>#N/A</v>
      </c>
    </row>
    <row r="124" spans="2:19" hidden="1">
      <c r="B124" s="491">
        <v>120</v>
      </c>
      <c r="C124" s="491" t="e">
        <f>VLOOKUP(B124,RESUMENGEN!B139:E338,3,FALSE)</f>
        <v>#N/A</v>
      </c>
      <c r="D124" s="480" t="e">
        <f>VLOOKUP(B124,HAB.GEN.!$C$19:$I$218,3,FALSE)</f>
        <v>#N/A</v>
      </c>
      <c r="E124" s="480" t="e">
        <f>VLOOKUP(B124,HAB.GEN.!$C$19:$I$218,4,FALSE)</f>
        <v>#N/A</v>
      </c>
      <c r="F124" s="480" t="e">
        <f>VLOOKUP(B124,HAB.GEN.!$C$19:$I$218,5,FALSE)</f>
        <v>#N/A</v>
      </c>
      <c r="G124" s="480" t="e">
        <f>VLOOKUP(B124,HAB.GEN.!$C$19:$I$218,6,FALSE)</f>
        <v>#N/A</v>
      </c>
      <c r="H124" s="480" t="str">
        <f t="shared" si="3"/>
        <v>HÁBIL</v>
      </c>
      <c r="I124" s="480" t="e">
        <f>VLOOKUP(C124,PON.EXP.ESP.!$D$30:$J$229,3,FALSE)</f>
        <v>#N/A</v>
      </c>
      <c r="J124" s="481" t="e">
        <f>VLOOKUP(C124,PON.EXP.ESP.!$D$30:$J$229,4,FALSE)</f>
        <v>#N/A</v>
      </c>
      <c r="K124" s="482" t="e">
        <f>VLOOKUP(C124,PON.EXP.ESP.!$D$30:$J$229,5,FALSE)</f>
        <v>#N/A</v>
      </c>
      <c r="L124" s="481" t="e">
        <f>VLOOKUP(C124,PON.EXP.ESP.!$D$30:$J$229,6,FALSE)</f>
        <v>#N/A</v>
      </c>
      <c r="M124" s="482" t="e">
        <f>VLOOKUP(C124,PON.EXP.ESP.!$D$30:$J$229,7,FALSE)</f>
        <v>#N/A</v>
      </c>
      <c r="N124" s="481" t="e">
        <f>VLOOKUP(C124,VIN.PERS.DISC.!$C$19:$D$218,2,FALSE)</f>
        <v>#N/A</v>
      </c>
      <c r="O124" s="483" t="e">
        <f>VLOOKUP(C124,'APOYO A IND. NAL.'!$C$19:$D$218,2,FALSE)</f>
        <v>#N/A</v>
      </c>
      <c r="P124" s="484" t="e">
        <f>VLOOKUP(C124,RESUMENGEN!$D$20:$J$219,7,FALSE)</f>
        <v>#N/A</v>
      </c>
      <c r="Q124" s="478"/>
      <c r="R124" s="484" t="e">
        <f t="shared" si="4"/>
        <v>#N/A</v>
      </c>
      <c r="S124" s="492" t="e">
        <f t="shared" si="6"/>
        <v>#N/A</v>
      </c>
    </row>
    <row r="125" spans="2:19" hidden="1">
      <c r="B125" s="491">
        <v>121</v>
      </c>
      <c r="C125" s="491" t="e">
        <f>VLOOKUP(B125,RESUMENGEN!B140:E339,3,FALSE)</f>
        <v>#N/A</v>
      </c>
      <c r="D125" s="480" t="e">
        <f>VLOOKUP(B125,HAB.GEN.!$C$19:$I$218,3,FALSE)</f>
        <v>#N/A</v>
      </c>
      <c r="E125" s="480" t="e">
        <f>VLOOKUP(B125,HAB.GEN.!$C$19:$I$218,4,FALSE)</f>
        <v>#N/A</v>
      </c>
      <c r="F125" s="480" t="e">
        <f>VLOOKUP(B125,HAB.GEN.!$C$19:$I$218,5,FALSE)</f>
        <v>#N/A</v>
      </c>
      <c r="G125" s="480" t="e">
        <f>VLOOKUP(B125,HAB.GEN.!$C$19:$I$218,6,FALSE)</f>
        <v>#N/A</v>
      </c>
      <c r="H125" s="480" t="str">
        <f t="shared" si="3"/>
        <v>HÁBIL</v>
      </c>
      <c r="I125" s="480" t="e">
        <f>VLOOKUP(C125,PON.EXP.ESP.!$D$30:$J$229,3,FALSE)</f>
        <v>#N/A</v>
      </c>
      <c r="J125" s="481" t="e">
        <f>VLOOKUP(C125,PON.EXP.ESP.!$D$30:$J$229,4,FALSE)</f>
        <v>#N/A</v>
      </c>
      <c r="K125" s="482" t="e">
        <f>VLOOKUP(C125,PON.EXP.ESP.!$D$30:$J$229,5,FALSE)</f>
        <v>#N/A</v>
      </c>
      <c r="L125" s="481" t="e">
        <f>VLOOKUP(C125,PON.EXP.ESP.!$D$30:$J$229,6,FALSE)</f>
        <v>#N/A</v>
      </c>
      <c r="M125" s="482" t="e">
        <f>VLOOKUP(C125,PON.EXP.ESP.!$D$30:$J$229,7,FALSE)</f>
        <v>#N/A</v>
      </c>
      <c r="N125" s="481" t="e">
        <f>VLOOKUP(C125,VIN.PERS.DISC.!$C$19:$D$218,2,FALSE)</f>
        <v>#N/A</v>
      </c>
      <c r="O125" s="483" t="e">
        <f>VLOOKUP(C125,'APOYO A IND. NAL.'!$C$19:$D$218,2,FALSE)</f>
        <v>#N/A</v>
      </c>
      <c r="P125" s="484" t="e">
        <f>VLOOKUP(C125,RESUMENGEN!$D$20:$J$219,7,FALSE)</f>
        <v>#N/A</v>
      </c>
      <c r="Q125" s="478"/>
      <c r="R125" s="484" t="e">
        <f t="shared" si="4"/>
        <v>#N/A</v>
      </c>
      <c r="S125" s="492" t="e">
        <f t="shared" si="6"/>
        <v>#N/A</v>
      </c>
    </row>
    <row r="126" spans="2:19" hidden="1">
      <c r="B126" s="491">
        <v>122</v>
      </c>
      <c r="C126" s="491" t="e">
        <f>VLOOKUP(B126,RESUMENGEN!B141:E340,3,FALSE)</f>
        <v>#N/A</v>
      </c>
      <c r="D126" s="480" t="e">
        <f>VLOOKUP(B126,HAB.GEN.!$C$19:$I$218,3,FALSE)</f>
        <v>#N/A</v>
      </c>
      <c r="E126" s="480" t="e">
        <f>VLOOKUP(B126,HAB.GEN.!$C$19:$I$218,4,FALSE)</f>
        <v>#N/A</v>
      </c>
      <c r="F126" s="480" t="e">
        <f>VLOOKUP(B126,HAB.GEN.!$C$19:$I$218,5,FALSE)</f>
        <v>#N/A</v>
      </c>
      <c r="G126" s="480" t="e">
        <f>VLOOKUP(B126,HAB.GEN.!$C$19:$I$218,6,FALSE)</f>
        <v>#N/A</v>
      </c>
      <c r="H126" s="480" t="str">
        <f t="shared" si="3"/>
        <v>HÁBIL</v>
      </c>
      <c r="I126" s="480" t="e">
        <f>VLOOKUP(C126,PON.EXP.ESP.!$D$30:$J$229,3,FALSE)</f>
        <v>#N/A</v>
      </c>
      <c r="J126" s="481" t="e">
        <f>VLOOKUP(C126,PON.EXP.ESP.!$D$30:$J$229,4,FALSE)</f>
        <v>#N/A</v>
      </c>
      <c r="K126" s="482" t="e">
        <f>VLOOKUP(C126,PON.EXP.ESP.!$D$30:$J$229,5,FALSE)</f>
        <v>#N/A</v>
      </c>
      <c r="L126" s="481" t="e">
        <f>VLOOKUP(C126,PON.EXP.ESP.!$D$30:$J$229,6,FALSE)</f>
        <v>#N/A</v>
      </c>
      <c r="M126" s="482" t="e">
        <f>VLOOKUP(C126,PON.EXP.ESP.!$D$30:$J$229,7,FALSE)</f>
        <v>#N/A</v>
      </c>
      <c r="N126" s="481" t="e">
        <f>VLOOKUP(C126,VIN.PERS.DISC.!$C$19:$D$218,2,FALSE)</f>
        <v>#N/A</v>
      </c>
      <c r="O126" s="483" t="e">
        <f>VLOOKUP(C126,'APOYO A IND. NAL.'!$C$19:$D$218,2,FALSE)</f>
        <v>#N/A</v>
      </c>
      <c r="P126" s="484" t="e">
        <f>VLOOKUP(C126,RESUMENGEN!$D$20:$J$219,7,FALSE)</f>
        <v>#N/A</v>
      </c>
      <c r="Q126" s="478"/>
      <c r="R126" s="484" t="e">
        <f t="shared" si="4"/>
        <v>#N/A</v>
      </c>
      <c r="S126" s="492" t="e">
        <f t="shared" si="6"/>
        <v>#N/A</v>
      </c>
    </row>
    <row r="127" spans="2:19" hidden="1">
      <c r="B127" s="491">
        <v>123</v>
      </c>
      <c r="C127" s="491" t="e">
        <f>VLOOKUP(B127,RESUMENGEN!B142:E341,3,FALSE)</f>
        <v>#N/A</v>
      </c>
      <c r="D127" s="480" t="e">
        <f>VLOOKUP(B127,HAB.GEN.!$C$19:$I$218,3,FALSE)</f>
        <v>#N/A</v>
      </c>
      <c r="E127" s="480" t="e">
        <f>VLOOKUP(B127,HAB.GEN.!$C$19:$I$218,4,FALSE)</f>
        <v>#N/A</v>
      </c>
      <c r="F127" s="480" t="e">
        <f>VLOOKUP(B127,HAB.GEN.!$C$19:$I$218,5,FALSE)</f>
        <v>#N/A</v>
      </c>
      <c r="G127" s="480" t="e">
        <f>VLOOKUP(B127,HAB.GEN.!$C$19:$I$218,6,FALSE)</f>
        <v>#N/A</v>
      </c>
      <c r="H127" s="480" t="str">
        <f t="shared" si="3"/>
        <v>HÁBIL</v>
      </c>
      <c r="I127" s="480" t="e">
        <f>VLOOKUP(C127,PON.EXP.ESP.!$D$30:$J$229,3,FALSE)</f>
        <v>#N/A</v>
      </c>
      <c r="J127" s="481" t="e">
        <f>VLOOKUP(C127,PON.EXP.ESP.!$D$30:$J$229,4,FALSE)</f>
        <v>#N/A</v>
      </c>
      <c r="K127" s="482" t="e">
        <f>VLOOKUP(C127,PON.EXP.ESP.!$D$30:$J$229,5,FALSE)</f>
        <v>#N/A</v>
      </c>
      <c r="L127" s="481" t="e">
        <f>VLOOKUP(C127,PON.EXP.ESP.!$D$30:$J$229,6,FALSE)</f>
        <v>#N/A</v>
      </c>
      <c r="M127" s="482" t="e">
        <f>VLOOKUP(C127,PON.EXP.ESP.!$D$30:$J$229,7,FALSE)</f>
        <v>#N/A</v>
      </c>
      <c r="N127" s="481" t="e">
        <f>VLOOKUP(C127,VIN.PERS.DISC.!$C$19:$D$218,2,FALSE)</f>
        <v>#N/A</v>
      </c>
      <c r="O127" s="483" t="e">
        <f>VLOOKUP(C127,'APOYO A IND. NAL.'!$C$19:$D$218,2,FALSE)</f>
        <v>#N/A</v>
      </c>
      <c r="P127" s="484" t="e">
        <f>VLOOKUP(C127,RESUMENGEN!$D$20:$J$219,7,FALSE)</f>
        <v>#N/A</v>
      </c>
      <c r="Q127" s="478"/>
      <c r="R127" s="484" t="e">
        <f t="shared" si="4"/>
        <v>#N/A</v>
      </c>
      <c r="S127" s="492" t="e">
        <f t="shared" si="6"/>
        <v>#N/A</v>
      </c>
    </row>
    <row r="128" spans="2:19" hidden="1">
      <c r="B128" s="491">
        <v>124</v>
      </c>
      <c r="C128" s="491" t="e">
        <f>VLOOKUP(B128,RESUMENGEN!B143:E342,3,FALSE)</f>
        <v>#N/A</v>
      </c>
      <c r="D128" s="480" t="e">
        <f>VLOOKUP(B128,HAB.GEN.!$C$19:$I$218,3,FALSE)</f>
        <v>#N/A</v>
      </c>
      <c r="E128" s="480" t="e">
        <f>VLOOKUP(B128,HAB.GEN.!$C$19:$I$218,4,FALSE)</f>
        <v>#N/A</v>
      </c>
      <c r="F128" s="480" t="e">
        <f>VLOOKUP(B128,HAB.GEN.!$C$19:$I$218,5,FALSE)</f>
        <v>#N/A</v>
      </c>
      <c r="G128" s="480" t="e">
        <f>VLOOKUP(B128,HAB.GEN.!$C$19:$I$218,6,FALSE)</f>
        <v>#N/A</v>
      </c>
      <c r="H128" s="480" t="str">
        <f t="shared" si="3"/>
        <v>HÁBIL</v>
      </c>
      <c r="I128" s="480" t="e">
        <f>VLOOKUP(C128,PON.EXP.ESP.!$D$30:$J$229,3,FALSE)</f>
        <v>#N/A</v>
      </c>
      <c r="J128" s="481" t="e">
        <f>VLOOKUP(C128,PON.EXP.ESP.!$D$30:$J$229,4,FALSE)</f>
        <v>#N/A</v>
      </c>
      <c r="K128" s="482" t="e">
        <f>VLOOKUP(C128,PON.EXP.ESP.!$D$30:$J$229,5,FALSE)</f>
        <v>#N/A</v>
      </c>
      <c r="L128" s="481" t="e">
        <f>VLOOKUP(C128,PON.EXP.ESP.!$D$30:$J$229,6,FALSE)</f>
        <v>#N/A</v>
      </c>
      <c r="M128" s="482" t="e">
        <f>VLOOKUP(C128,PON.EXP.ESP.!$D$30:$J$229,7,FALSE)</f>
        <v>#N/A</v>
      </c>
      <c r="N128" s="481" t="e">
        <f>VLOOKUP(C128,VIN.PERS.DISC.!$C$19:$D$218,2,FALSE)</f>
        <v>#N/A</v>
      </c>
      <c r="O128" s="483" t="e">
        <f>VLOOKUP(C128,'APOYO A IND. NAL.'!$C$19:$D$218,2,FALSE)</f>
        <v>#N/A</v>
      </c>
      <c r="P128" s="484" t="e">
        <f>VLOOKUP(C128,RESUMENGEN!$D$20:$J$219,7,FALSE)</f>
        <v>#N/A</v>
      </c>
      <c r="Q128" s="478"/>
      <c r="R128" s="484" t="e">
        <f t="shared" si="4"/>
        <v>#N/A</v>
      </c>
      <c r="S128" s="492" t="e">
        <f t="shared" si="6"/>
        <v>#N/A</v>
      </c>
    </row>
    <row r="129" spans="2:19" hidden="1">
      <c r="B129" s="491">
        <v>125</v>
      </c>
      <c r="C129" s="491" t="e">
        <f>VLOOKUP(B129,RESUMENGEN!B144:E343,3,FALSE)</f>
        <v>#N/A</v>
      </c>
      <c r="D129" s="480" t="e">
        <f>VLOOKUP(B129,HAB.GEN.!$C$19:$I$218,3,FALSE)</f>
        <v>#N/A</v>
      </c>
      <c r="E129" s="480" t="e">
        <f>VLOOKUP(B129,HAB.GEN.!$C$19:$I$218,4,FALSE)</f>
        <v>#N/A</v>
      </c>
      <c r="F129" s="480" t="e">
        <f>VLOOKUP(B129,HAB.GEN.!$C$19:$I$218,5,FALSE)</f>
        <v>#N/A</v>
      </c>
      <c r="G129" s="480" t="e">
        <f>VLOOKUP(B129,HAB.GEN.!$C$19:$I$218,6,FALSE)</f>
        <v>#N/A</v>
      </c>
      <c r="H129" s="480" t="str">
        <f t="shared" si="3"/>
        <v>HÁBIL</v>
      </c>
      <c r="I129" s="480" t="e">
        <f>VLOOKUP(C129,PON.EXP.ESP.!$D$30:$J$229,3,FALSE)</f>
        <v>#N/A</v>
      </c>
      <c r="J129" s="481" t="e">
        <f>VLOOKUP(C129,PON.EXP.ESP.!$D$30:$J$229,4,FALSE)</f>
        <v>#N/A</v>
      </c>
      <c r="K129" s="482" t="e">
        <f>VLOOKUP(C129,PON.EXP.ESP.!$D$30:$J$229,5,FALSE)</f>
        <v>#N/A</v>
      </c>
      <c r="L129" s="481" t="e">
        <f>VLOOKUP(C129,PON.EXP.ESP.!$D$30:$J$229,6,FALSE)</f>
        <v>#N/A</v>
      </c>
      <c r="M129" s="482" t="e">
        <f>VLOOKUP(C129,PON.EXP.ESP.!$D$30:$J$229,7,FALSE)</f>
        <v>#N/A</v>
      </c>
      <c r="N129" s="481" t="e">
        <f>VLOOKUP(C129,VIN.PERS.DISC.!$C$19:$D$218,2,FALSE)</f>
        <v>#N/A</v>
      </c>
      <c r="O129" s="483" t="e">
        <f>VLOOKUP(C129,'APOYO A IND. NAL.'!$C$19:$D$218,2,FALSE)</f>
        <v>#N/A</v>
      </c>
      <c r="P129" s="484" t="e">
        <f>VLOOKUP(C129,RESUMENGEN!$D$20:$J$219,7,FALSE)</f>
        <v>#N/A</v>
      </c>
      <c r="Q129" s="478"/>
      <c r="R129" s="484" t="e">
        <f t="shared" si="4"/>
        <v>#N/A</v>
      </c>
      <c r="S129" s="492" t="e">
        <f t="shared" si="6"/>
        <v>#N/A</v>
      </c>
    </row>
    <row r="130" spans="2:19" hidden="1">
      <c r="B130" s="491">
        <v>126</v>
      </c>
      <c r="C130" s="491" t="e">
        <f>VLOOKUP(B130,RESUMENGEN!B145:E344,3,FALSE)</f>
        <v>#N/A</v>
      </c>
      <c r="D130" s="480" t="e">
        <f>VLOOKUP(B130,HAB.GEN.!$C$19:$I$218,3,FALSE)</f>
        <v>#N/A</v>
      </c>
      <c r="E130" s="480" t="e">
        <f>VLOOKUP(B130,HAB.GEN.!$C$19:$I$218,4,FALSE)</f>
        <v>#N/A</v>
      </c>
      <c r="F130" s="480" t="e">
        <f>VLOOKUP(B130,HAB.GEN.!$C$19:$I$218,5,FALSE)</f>
        <v>#N/A</v>
      </c>
      <c r="G130" s="480" t="e">
        <f>VLOOKUP(B130,HAB.GEN.!$C$19:$I$218,6,FALSE)</f>
        <v>#N/A</v>
      </c>
      <c r="H130" s="480" t="str">
        <f t="shared" si="3"/>
        <v>HÁBIL</v>
      </c>
      <c r="I130" s="480" t="e">
        <f>VLOOKUP(C130,PON.EXP.ESP.!$D$30:$J$229,3,FALSE)</f>
        <v>#N/A</v>
      </c>
      <c r="J130" s="481" t="e">
        <f>VLOOKUP(C130,PON.EXP.ESP.!$D$30:$J$229,4,FALSE)</f>
        <v>#N/A</v>
      </c>
      <c r="K130" s="482" t="e">
        <f>VLOOKUP(C130,PON.EXP.ESP.!$D$30:$J$229,5,FALSE)</f>
        <v>#N/A</v>
      </c>
      <c r="L130" s="481" t="e">
        <f>VLOOKUP(C130,PON.EXP.ESP.!$D$30:$J$229,6,FALSE)</f>
        <v>#N/A</v>
      </c>
      <c r="M130" s="482" t="e">
        <f>VLOOKUP(C130,PON.EXP.ESP.!$D$30:$J$229,7,FALSE)</f>
        <v>#N/A</v>
      </c>
      <c r="N130" s="481" t="e">
        <f>VLOOKUP(C130,VIN.PERS.DISC.!$C$19:$D$218,2,FALSE)</f>
        <v>#N/A</v>
      </c>
      <c r="O130" s="483" t="e">
        <f>VLOOKUP(C130,'APOYO A IND. NAL.'!$C$19:$D$218,2,FALSE)</f>
        <v>#N/A</v>
      </c>
      <c r="P130" s="484" t="e">
        <f>VLOOKUP(C130,RESUMENGEN!$D$20:$J$219,7,FALSE)</f>
        <v>#N/A</v>
      </c>
      <c r="Q130" s="478"/>
      <c r="R130" s="484" t="e">
        <f t="shared" si="4"/>
        <v>#N/A</v>
      </c>
      <c r="S130" s="492" t="e">
        <f t="shared" si="6"/>
        <v>#N/A</v>
      </c>
    </row>
    <row r="131" spans="2:19" hidden="1">
      <c r="B131" s="491">
        <v>127</v>
      </c>
      <c r="C131" s="491" t="e">
        <f>VLOOKUP(B131,RESUMENGEN!B146:E345,3,FALSE)</f>
        <v>#N/A</v>
      </c>
      <c r="D131" s="480" t="e">
        <f>VLOOKUP(B131,HAB.GEN.!$C$19:$I$218,3,FALSE)</f>
        <v>#N/A</v>
      </c>
      <c r="E131" s="480" t="e">
        <f>VLOOKUP(B131,HAB.GEN.!$C$19:$I$218,4,FALSE)</f>
        <v>#N/A</v>
      </c>
      <c r="F131" s="480" t="e">
        <f>VLOOKUP(B131,HAB.GEN.!$C$19:$I$218,5,FALSE)</f>
        <v>#N/A</v>
      </c>
      <c r="G131" s="480" t="e">
        <f>VLOOKUP(B131,HAB.GEN.!$C$19:$I$218,6,FALSE)</f>
        <v>#N/A</v>
      </c>
      <c r="H131" s="480" t="str">
        <f t="shared" si="3"/>
        <v>HÁBIL</v>
      </c>
      <c r="I131" s="480" t="e">
        <f>VLOOKUP(C131,PON.EXP.ESP.!$D$30:$J$229,3,FALSE)</f>
        <v>#N/A</v>
      </c>
      <c r="J131" s="481" t="e">
        <f>VLOOKUP(C131,PON.EXP.ESP.!$D$30:$J$229,4,FALSE)</f>
        <v>#N/A</v>
      </c>
      <c r="K131" s="482" t="e">
        <f>VLOOKUP(C131,PON.EXP.ESP.!$D$30:$J$229,5,FALSE)</f>
        <v>#N/A</v>
      </c>
      <c r="L131" s="481" t="e">
        <f>VLOOKUP(C131,PON.EXP.ESP.!$D$30:$J$229,6,FALSE)</f>
        <v>#N/A</v>
      </c>
      <c r="M131" s="482" t="e">
        <f>VLOOKUP(C131,PON.EXP.ESP.!$D$30:$J$229,7,FALSE)</f>
        <v>#N/A</v>
      </c>
      <c r="N131" s="481" t="e">
        <f>VLOOKUP(C131,VIN.PERS.DISC.!$C$19:$D$218,2,FALSE)</f>
        <v>#N/A</v>
      </c>
      <c r="O131" s="483" t="e">
        <f>VLOOKUP(C131,'APOYO A IND. NAL.'!$C$19:$D$218,2,FALSE)</f>
        <v>#N/A</v>
      </c>
      <c r="P131" s="484" t="e">
        <f>VLOOKUP(C131,RESUMENGEN!$D$20:$J$219,7,FALSE)</f>
        <v>#N/A</v>
      </c>
      <c r="Q131" s="478"/>
      <c r="R131" s="484" t="e">
        <f t="shared" si="4"/>
        <v>#N/A</v>
      </c>
      <c r="S131" s="492" t="e">
        <f t="shared" si="6"/>
        <v>#N/A</v>
      </c>
    </row>
    <row r="132" spans="2:19" hidden="1">
      <c r="B132" s="491">
        <v>128</v>
      </c>
      <c r="C132" s="491" t="e">
        <f>VLOOKUP(B132,RESUMENGEN!B147:E346,3,FALSE)</f>
        <v>#N/A</v>
      </c>
      <c r="D132" s="480" t="e">
        <f>VLOOKUP(B132,HAB.GEN.!$C$19:$I$218,3,FALSE)</f>
        <v>#N/A</v>
      </c>
      <c r="E132" s="480" t="e">
        <f>VLOOKUP(B132,HAB.GEN.!$C$19:$I$218,4,FALSE)</f>
        <v>#N/A</v>
      </c>
      <c r="F132" s="480" t="e">
        <f>VLOOKUP(B132,HAB.GEN.!$C$19:$I$218,5,FALSE)</f>
        <v>#N/A</v>
      </c>
      <c r="G132" s="480" t="e">
        <f>VLOOKUP(B132,HAB.GEN.!$C$19:$I$218,6,FALSE)</f>
        <v>#N/A</v>
      </c>
      <c r="H132" s="480" t="str">
        <f t="shared" si="3"/>
        <v>HÁBIL</v>
      </c>
      <c r="I132" s="480" t="e">
        <f>VLOOKUP(C132,PON.EXP.ESP.!$D$30:$J$229,3,FALSE)</f>
        <v>#N/A</v>
      </c>
      <c r="J132" s="481" t="e">
        <f>VLOOKUP(C132,PON.EXP.ESP.!$D$30:$J$229,4,FALSE)</f>
        <v>#N/A</v>
      </c>
      <c r="K132" s="482" t="e">
        <f>VLOOKUP(C132,PON.EXP.ESP.!$D$30:$J$229,5,FALSE)</f>
        <v>#N/A</v>
      </c>
      <c r="L132" s="481" t="e">
        <f>VLOOKUP(C132,PON.EXP.ESP.!$D$30:$J$229,6,FALSE)</f>
        <v>#N/A</v>
      </c>
      <c r="M132" s="482" t="e">
        <f>VLOOKUP(C132,PON.EXP.ESP.!$D$30:$J$229,7,FALSE)</f>
        <v>#N/A</v>
      </c>
      <c r="N132" s="481" t="e">
        <f>VLOOKUP(C132,VIN.PERS.DISC.!$C$19:$D$218,2,FALSE)</f>
        <v>#N/A</v>
      </c>
      <c r="O132" s="483" t="e">
        <f>VLOOKUP(C132,'APOYO A IND. NAL.'!$C$19:$D$218,2,FALSE)</f>
        <v>#N/A</v>
      </c>
      <c r="P132" s="484" t="e">
        <f>VLOOKUP(C132,RESUMENGEN!$D$20:$J$219,7,FALSE)</f>
        <v>#N/A</v>
      </c>
      <c r="Q132" s="478"/>
      <c r="R132" s="484" t="e">
        <f t="shared" si="4"/>
        <v>#N/A</v>
      </c>
      <c r="S132" s="492" t="e">
        <f t="shared" si="6"/>
        <v>#N/A</v>
      </c>
    </row>
    <row r="133" spans="2:19" hidden="1">
      <c r="B133" s="491">
        <v>129</v>
      </c>
      <c r="C133" s="491" t="e">
        <f>VLOOKUP(B133,RESUMENGEN!B148:E347,3,FALSE)</f>
        <v>#N/A</v>
      </c>
      <c r="D133" s="480" t="e">
        <f>VLOOKUP(B133,HAB.GEN.!$C$19:$I$218,3,FALSE)</f>
        <v>#N/A</v>
      </c>
      <c r="E133" s="480" t="e">
        <f>VLOOKUP(B133,HAB.GEN.!$C$19:$I$218,4,FALSE)</f>
        <v>#N/A</v>
      </c>
      <c r="F133" s="480" t="e">
        <f>VLOOKUP(B133,HAB.GEN.!$C$19:$I$218,5,FALSE)</f>
        <v>#N/A</v>
      </c>
      <c r="G133" s="480" t="e">
        <f>VLOOKUP(B133,HAB.GEN.!$C$19:$I$218,6,FALSE)</f>
        <v>#N/A</v>
      </c>
      <c r="H133" s="480" t="str">
        <f t="shared" si="3"/>
        <v>HÁBIL</v>
      </c>
      <c r="I133" s="480" t="e">
        <f>VLOOKUP(C133,PON.EXP.ESP.!$D$30:$J$229,3,FALSE)</f>
        <v>#N/A</v>
      </c>
      <c r="J133" s="481" t="e">
        <f>VLOOKUP(C133,PON.EXP.ESP.!$D$30:$J$229,4,FALSE)</f>
        <v>#N/A</v>
      </c>
      <c r="K133" s="482" t="e">
        <f>VLOOKUP(C133,PON.EXP.ESP.!$D$30:$J$229,5,FALSE)</f>
        <v>#N/A</v>
      </c>
      <c r="L133" s="481" t="e">
        <f>VLOOKUP(C133,PON.EXP.ESP.!$D$30:$J$229,6,FALSE)</f>
        <v>#N/A</v>
      </c>
      <c r="M133" s="482" t="e">
        <f>VLOOKUP(C133,PON.EXP.ESP.!$D$30:$J$229,7,FALSE)</f>
        <v>#N/A</v>
      </c>
      <c r="N133" s="481" t="e">
        <f>VLOOKUP(C133,VIN.PERS.DISC.!$C$19:$D$218,2,FALSE)</f>
        <v>#N/A</v>
      </c>
      <c r="O133" s="483" t="e">
        <f>VLOOKUP(C133,'APOYO A IND. NAL.'!$C$19:$D$218,2,FALSE)</f>
        <v>#N/A</v>
      </c>
      <c r="P133" s="484" t="e">
        <f>VLOOKUP(C133,RESUMENGEN!$D$20:$J$219,7,FALSE)</f>
        <v>#N/A</v>
      </c>
      <c r="Q133" s="478"/>
      <c r="R133" s="484" t="e">
        <f t="shared" si="4"/>
        <v>#N/A</v>
      </c>
      <c r="S133" s="492" t="e">
        <f t="shared" si="6"/>
        <v>#N/A</v>
      </c>
    </row>
    <row r="134" spans="2:19" hidden="1">
      <c r="B134" s="491">
        <v>130</v>
      </c>
      <c r="C134" s="491" t="e">
        <f>VLOOKUP(B134,RESUMENGEN!B149:E348,3,FALSE)</f>
        <v>#N/A</v>
      </c>
      <c r="D134" s="480" t="e">
        <f>VLOOKUP(B134,HAB.GEN.!$C$19:$I$218,3,FALSE)</f>
        <v>#N/A</v>
      </c>
      <c r="E134" s="480" t="e">
        <f>VLOOKUP(B134,HAB.GEN.!$C$19:$I$218,4,FALSE)</f>
        <v>#N/A</v>
      </c>
      <c r="F134" s="480" t="e">
        <f>VLOOKUP(B134,HAB.GEN.!$C$19:$I$218,5,FALSE)</f>
        <v>#N/A</v>
      </c>
      <c r="G134" s="480" t="e">
        <f>VLOOKUP(B134,HAB.GEN.!$C$19:$I$218,6,FALSE)</f>
        <v>#N/A</v>
      </c>
      <c r="H134" s="480" t="str">
        <f t="shared" si="3"/>
        <v>HÁBIL</v>
      </c>
      <c r="I134" s="480" t="e">
        <f>VLOOKUP(C134,PON.EXP.ESP.!$D$30:$J$229,3,FALSE)</f>
        <v>#N/A</v>
      </c>
      <c r="J134" s="481" t="e">
        <f>VLOOKUP(C134,PON.EXP.ESP.!$D$30:$J$229,4,FALSE)</f>
        <v>#N/A</v>
      </c>
      <c r="K134" s="482" t="e">
        <f>VLOOKUP(C134,PON.EXP.ESP.!$D$30:$J$229,5,FALSE)</f>
        <v>#N/A</v>
      </c>
      <c r="L134" s="481" t="e">
        <f>VLOOKUP(C134,PON.EXP.ESP.!$D$30:$J$229,6,FALSE)</f>
        <v>#N/A</v>
      </c>
      <c r="M134" s="482" t="e">
        <f>VLOOKUP(C134,PON.EXP.ESP.!$D$30:$J$229,7,FALSE)</f>
        <v>#N/A</v>
      </c>
      <c r="N134" s="481" t="e">
        <f>VLOOKUP(C134,VIN.PERS.DISC.!$C$19:$D$218,2,FALSE)</f>
        <v>#N/A</v>
      </c>
      <c r="O134" s="483" t="e">
        <f>VLOOKUP(C134,'APOYO A IND. NAL.'!$C$19:$D$218,2,FALSE)</f>
        <v>#N/A</v>
      </c>
      <c r="P134" s="484" t="e">
        <f>VLOOKUP(C134,RESUMENGEN!$D$20:$J$219,7,FALSE)</f>
        <v>#N/A</v>
      </c>
      <c r="Q134" s="478"/>
      <c r="R134" s="484" t="e">
        <f t="shared" ref="R134:R197" si="7">+K134+M134+N134+O134</f>
        <v>#N/A</v>
      </c>
      <c r="S134" s="492" t="e">
        <f t="shared" si="6"/>
        <v>#N/A</v>
      </c>
    </row>
    <row r="135" spans="2:19" hidden="1">
      <c r="B135" s="491">
        <v>131</v>
      </c>
      <c r="C135" s="491" t="e">
        <f>VLOOKUP(B135,RESUMENGEN!B150:E349,3,FALSE)</f>
        <v>#N/A</v>
      </c>
      <c r="D135" s="480" t="e">
        <f>VLOOKUP(B135,HAB.GEN.!$C$19:$I$218,3,FALSE)</f>
        <v>#N/A</v>
      </c>
      <c r="E135" s="480" t="e">
        <f>VLOOKUP(B135,HAB.GEN.!$C$19:$I$218,4,FALSE)</f>
        <v>#N/A</v>
      </c>
      <c r="F135" s="480" t="e">
        <f>VLOOKUP(B135,HAB.GEN.!$C$19:$I$218,5,FALSE)</f>
        <v>#N/A</v>
      </c>
      <c r="G135" s="480" t="e">
        <f>VLOOKUP(B135,HAB.GEN.!$C$19:$I$218,6,FALSE)</f>
        <v>#N/A</v>
      </c>
      <c r="H135" s="480" t="str">
        <f t="shared" si="3"/>
        <v>HÁBIL</v>
      </c>
      <c r="I135" s="480" t="e">
        <f>VLOOKUP(C135,PON.EXP.ESP.!$D$30:$J$229,3,FALSE)</f>
        <v>#N/A</v>
      </c>
      <c r="J135" s="481" t="e">
        <f>VLOOKUP(C135,PON.EXP.ESP.!$D$30:$J$229,4,FALSE)</f>
        <v>#N/A</v>
      </c>
      <c r="K135" s="482" t="e">
        <f>VLOOKUP(C135,PON.EXP.ESP.!$D$30:$J$229,5,FALSE)</f>
        <v>#N/A</v>
      </c>
      <c r="L135" s="481" t="e">
        <f>VLOOKUP(C135,PON.EXP.ESP.!$D$30:$J$229,6,FALSE)</f>
        <v>#N/A</v>
      </c>
      <c r="M135" s="482" t="e">
        <f>VLOOKUP(C135,PON.EXP.ESP.!$D$30:$J$229,7,FALSE)</f>
        <v>#N/A</v>
      </c>
      <c r="N135" s="481" t="e">
        <f>VLOOKUP(C135,VIN.PERS.DISC.!$C$19:$D$218,2,FALSE)</f>
        <v>#N/A</v>
      </c>
      <c r="O135" s="483" t="e">
        <f>VLOOKUP(C135,'APOYO A IND. NAL.'!$C$19:$D$218,2,FALSE)</f>
        <v>#N/A</v>
      </c>
      <c r="P135" s="484" t="e">
        <f>VLOOKUP(C135,RESUMENGEN!$D$20:$J$219,7,FALSE)</f>
        <v>#N/A</v>
      </c>
      <c r="Q135" s="478"/>
      <c r="R135" s="484" t="e">
        <f t="shared" si="7"/>
        <v>#N/A</v>
      </c>
      <c r="S135" s="492" t="e">
        <f t="shared" si="6"/>
        <v>#N/A</v>
      </c>
    </row>
    <row r="136" spans="2:19" hidden="1">
      <c r="B136" s="491">
        <v>132</v>
      </c>
      <c r="C136" s="491" t="e">
        <f>VLOOKUP(B136,RESUMENGEN!B151:E350,3,FALSE)</f>
        <v>#N/A</v>
      </c>
      <c r="D136" s="480" t="e">
        <f>VLOOKUP(B136,HAB.GEN.!$C$19:$I$218,3,FALSE)</f>
        <v>#N/A</v>
      </c>
      <c r="E136" s="480" t="e">
        <f>VLOOKUP(B136,HAB.GEN.!$C$19:$I$218,4,FALSE)</f>
        <v>#N/A</v>
      </c>
      <c r="F136" s="480" t="e">
        <f>VLOOKUP(B136,HAB.GEN.!$C$19:$I$218,5,FALSE)</f>
        <v>#N/A</v>
      </c>
      <c r="G136" s="480" t="e">
        <f>VLOOKUP(B136,HAB.GEN.!$C$19:$I$218,6,FALSE)</f>
        <v>#N/A</v>
      </c>
      <c r="H136" s="480" t="str">
        <f t="shared" si="3"/>
        <v>HÁBIL</v>
      </c>
      <c r="I136" s="480" t="e">
        <f>VLOOKUP(C136,PON.EXP.ESP.!$D$30:$J$229,3,FALSE)</f>
        <v>#N/A</v>
      </c>
      <c r="J136" s="481" t="e">
        <f>VLOOKUP(C136,PON.EXP.ESP.!$D$30:$J$229,4,FALSE)</f>
        <v>#N/A</v>
      </c>
      <c r="K136" s="482" t="e">
        <f>VLOOKUP(C136,PON.EXP.ESP.!$D$30:$J$229,5,FALSE)</f>
        <v>#N/A</v>
      </c>
      <c r="L136" s="481" t="e">
        <f>VLOOKUP(C136,PON.EXP.ESP.!$D$30:$J$229,6,FALSE)</f>
        <v>#N/A</v>
      </c>
      <c r="M136" s="482" t="e">
        <f>VLOOKUP(C136,PON.EXP.ESP.!$D$30:$J$229,7,FALSE)</f>
        <v>#N/A</v>
      </c>
      <c r="N136" s="481" t="e">
        <f>VLOOKUP(C136,VIN.PERS.DISC.!$C$19:$D$218,2,FALSE)</f>
        <v>#N/A</v>
      </c>
      <c r="O136" s="483" t="e">
        <f>VLOOKUP(C136,'APOYO A IND. NAL.'!$C$19:$D$218,2,FALSE)</f>
        <v>#N/A</v>
      </c>
      <c r="P136" s="484" t="e">
        <f>VLOOKUP(C136,RESUMENGEN!$D$20:$J$219,7,FALSE)</f>
        <v>#N/A</v>
      </c>
      <c r="Q136" s="478"/>
      <c r="R136" s="484" t="e">
        <f t="shared" si="7"/>
        <v>#N/A</v>
      </c>
      <c r="S136" s="492" t="e">
        <f t="shared" si="6"/>
        <v>#N/A</v>
      </c>
    </row>
    <row r="137" spans="2:19" hidden="1">
      <c r="B137" s="491">
        <v>133</v>
      </c>
      <c r="C137" s="491" t="e">
        <f>VLOOKUP(B137,RESUMENGEN!B152:E351,3,FALSE)</f>
        <v>#N/A</v>
      </c>
      <c r="D137" s="480" t="e">
        <f>VLOOKUP(B137,HAB.GEN.!$C$19:$I$218,3,FALSE)</f>
        <v>#N/A</v>
      </c>
      <c r="E137" s="480" t="e">
        <f>VLOOKUP(B137,HAB.GEN.!$C$19:$I$218,4,FALSE)</f>
        <v>#N/A</v>
      </c>
      <c r="F137" s="480" t="e">
        <f>VLOOKUP(B137,HAB.GEN.!$C$19:$I$218,5,FALSE)</f>
        <v>#N/A</v>
      </c>
      <c r="G137" s="480" t="e">
        <f>VLOOKUP(B137,HAB.GEN.!$C$19:$I$218,6,FALSE)</f>
        <v>#N/A</v>
      </c>
      <c r="H137" s="480" t="str">
        <f t="shared" si="3"/>
        <v>HÁBIL</v>
      </c>
      <c r="I137" s="480" t="e">
        <f>VLOOKUP(C137,PON.EXP.ESP.!$D$30:$J$229,3,FALSE)</f>
        <v>#N/A</v>
      </c>
      <c r="J137" s="481" t="e">
        <f>VLOOKUP(C137,PON.EXP.ESP.!$D$30:$J$229,4,FALSE)</f>
        <v>#N/A</v>
      </c>
      <c r="K137" s="482" t="e">
        <f>VLOOKUP(C137,PON.EXP.ESP.!$D$30:$J$229,5,FALSE)</f>
        <v>#N/A</v>
      </c>
      <c r="L137" s="481" t="e">
        <f>VLOOKUP(C137,PON.EXP.ESP.!$D$30:$J$229,6,FALSE)</f>
        <v>#N/A</v>
      </c>
      <c r="M137" s="482" t="e">
        <f>VLOOKUP(C137,PON.EXP.ESP.!$D$30:$J$229,7,FALSE)</f>
        <v>#N/A</v>
      </c>
      <c r="N137" s="481" t="e">
        <f>VLOOKUP(C137,VIN.PERS.DISC.!$C$19:$D$218,2,FALSE)</f>
        <v>#N/A</v>
      </c>
      <c r="O137" s="483" t="e">
        <f>VLOOKUP(C137,'APOYO A IND. NAL.'!$C$19:$D$218,2,FALSE)</f>
        <v>#N/A</v>
      </c>
      <c r="P137" s="484" t="e">
        <f>VLOOKUP(C137,RESUMENGEN!$D$20:$J$219,7,FALSE)</f>
        <v>#N/A</v>
      </c>
      <c r="Q137" s="478"/>
      <c r="R137" s="484" t="e">
        <f t="shared" si="7"/>
        <v>#N/A</v>
      </c>
      <c r="S137" s="492" t="e">
        <f t="shared" si="6"/>
        <v>#N/A</v>
      </c>
    </row>
    <row r="138" spans="2:19" hidden="1">
      <c r="B138" s="491">
        <v>134</v>
      </c>
      <c r="C138" s="491" t="e">
        <f>VLOOKUP(B138,RESUMENGEN!B153:E352,3,FALSE)</f>
        <v>#N/A</v>
      </c>
      <c r="D138" s="480" t="e">
        <f>VLOOKUP(B138,HAB.GEN.!$C$19:$I$218,3,FALSE)</f>
        <v>#N/A</v>
      </c>
      <c r="E138" s="480" t="e">
        <f>VLOOKUP(B138,HAB.GEN.!$C$19:$I$218,4,FALSE)</f>
        <v>#N/A</v>
      </c>
      <c r="F138" s="480" t="e">
        <f>VLOOKUP(B138,HAB.GEN.!$C$19:$I$218,5,FALSE)</f>
        <v>#N/A</v>
      </c>
      <c r="G138" s="480" t="e">
        <f>VLOOKUP(B138,HAB.GEN.!$C$19:$I$218,6,FALSE)</f>
        <v>#N/A</v>
      </c>
      <c r="H138" s="480" t="str">
        <f t="shared" si="3"/>
        <v>HÁBIL</v>
      </c>
      <c r="I138" s="480" t="e">
        <f>VLOOKUP(C138,PON.EXP.ESP.!$D$30:$J$229,3,FALSE)</f>
        <v>#N/A</v>
      </c>
      <c r="J138" s="481" t="e">
        <f>VLOOKUP(C138,PON.EXP.ESP.!$D$30:$J$229,4,FALSE)</f>
        <v>#N/A</v>
      </c>
      <c r="K138" s="482" t="e">
        <f>VLOOKUP(C138,PON.EXP.ESP.!$D$30:$J$229,5,FALSE)</f>
        <v>#N/A</v>
      </c>
      <c r="L138" s="481" t="e">
        <f>VLOOKUP(C138,PON.EXP.ESP.!$D$30:$J$229,6,FALSE)</f>
        <v>#N/A</v>
      </c>
      <c r="M138" s="482" t="e">
        <f>VLOOKUP(C138,PON.EXP.ESP.!$D$30:$J$229,7,FALSE)</f>
        <v>#N/A</v>
      </c>
      <c r="N138" s="481" t="e">
        <f>VLOOKUP(C138,VIN.PERS.DISC.!$C$19:$D$218,2,FALSE)</f>
        <v>#N/A</v>
      </c>
      <c r="O138" s="483" t="e">
        <f>VLOOKUP(C138,'APOYO A IND. NAL.'!$C$19:$D$218,2,FALSE)</f>
        <v>#N/A</v>
      </c>
      <c r="P138" s="484" t="e">
        <f>VLOOKUP(C138,RESUMENGEN!$D$20:$J$219,7,FALSE)</f>
        <v>#N/A</v>
      </c>
      <c r="Q138" s="478"/>
      <c r="R138" s="484" t="e">
        <f t="shared" si="7"/>
        <v>#N/A</v>
      </c>
      <c r="S138" s="492" t="e">
        <f t="shared" si="6"/>
        <v>#N/A</v>
      </c>
    </row>
    <row r="139" spans="2:19" hidden="1">
      <c r="B139" s="491">
        <v>135</v>
      </c>
      <c r="C139" s="491" t="e">
        <f>VLOOKUP(B139,RESUMENGEN!B154:E353,3,FALSE)</f>
        <v>#N/A</v>
      </c>
      <c r="D139" s="480" t="e">
        <f>VLOOKUP(B139,HAB.GEN.!$C$19:$I$218,3,FALSE)</f>
        <v>#N/A</v>
      </c>
      <c r="E139" s="480" t="e">
        <f>VLOOKUP(B139,HAB.GEN.!$C$19:$I$218,4,FALSE)</f>
        <v>#N/A</v>
      </c>
      <c r="F139" s="480" t="e">
        <f>VLOOKUP(B139,HAB.GEN.!$C$19:$I$218,5,FALSE)</f>
        <v>#N/A</v>
      </c>
      <c r="G139" s="480" t="e">
        <f>VLOOKUP(B139,HAB.GEN.!$C$19:$I$218,6,FALSE)</f>
        <v>#N/A</v>
      </c>
      <c r="H139" s="480" t="str">
        <f t="shared" si="3"/>
        <v>HÁBIL</v>
      </c>
      <c r="I139" s="480" t="e">
        <f>VLOOKUP(C139,PON.EXP.ESP.!$D$30:$J$229,3,FALSE)</f>
        <v>#N/A</v>
      </c>
      <c r="J139" s="481" t="e">
        <f>VLOOKUP(C139,PON.EXP.ESP.!$D$30:$J$229,4,FALSE)</f>
        <v>#N/A</v>
      </c>
      <c r="K139" s="482" t="e">
        <f>VLOOKUP(C139,PON.EXP.ESP.!$D$30:$J$229,5,FALSE)</f>
        <v>#N/A</v>
      </c>
      <c r="L139" s="481" t="e">
        <f>VLOOKUP(C139,PON.EXP.ESP.!$D$30:$J$229,6,FALSE)</f>
        <v>#N/A</v>
      </c>
      <c r="M139" s="482" t="e">
        <f>VLOOKUP(C139,PON.EXP.ESP.!$D$30:$J$229,7,FALSE)</f>
        <v>#N/A</v>
      </c>
      <c r="N139" s="481" t="e">
        <f>VLOOKUP(C139,VIN.PERS.DISC.!$C$19:$D$218,2,FALSE)</f>
        <v>#N/A</v>
      </c>
      <c r="O139" s="483" t="e">
        <f>VLOOKUP(C139,'APOYO A IND. NAL.'!$C$19:$D$218,2,FALSE)</f>
        <v>#N/A</v>
      </c>
      <c r="P139" s="484" t="e">
        <f>VLOOKUP(C139,RESUMENGEN!$D$20:$J$219,7,FALSE)</f>
        <v>#N/A</v>
      </c>
      <c r="Q139" s="478"/>
      <c r="R139" s="484" t="e">
        <f t="shared" si="7"/>
        <v>#N/A</v>
      </c>
      <c r="S139" s="492" t="e">
        <f t="shared" si="6"/>
        <v>#N/A</v>
      </c>
    </row>
    <row r="140" spans="2:19" hidden="1">
      <c r="B140" s="491">
        <v>136</v>
      </c>
      <c r="C140" s="491" t="e">
        <f>VLOOKUP(B140,RESUMENGEN!B155:E354,3,FALSE)</f>
        <v>#N/A</v>
      </c>
      <c r="D140" s="480" t="e">
        <f>VLOOKUP(B140,HAB.GEN.!$C$19:$I$218,3,FALSE)</f>
        <v>#N/A</v>
      </c>
      <c r="E140" s="480" t="e">
        <f>VLOOKUP(B140,HAB.GEN.!$C$19:$I$218,4,FALSE)</f>
        <v>#N/A</v>
      </c>
      <c r="F140" s="480" t="e">
        <f>VLOOKUP(B140,HAB.GEN.!$C$19:$I$218,5,FALSE)</f>
        <v>#N/A</v>
      </c>
      <c r="G140" s="480" t="e">
        <f>VLOOKUP(B140,HAB.GEN.!$C$19:$I$218,6,FALSE)</f>
        <v>#N/A</v>
      </c>
      <c r="H140" s="480" t="str">
        <f t="shared" si="3"/>
        <v>HÁBIL</v>
      </c>
      <c r="I140" s="480" t="e">
        <f>VLOOKUP(C140,PON.EXP.ESP.!$D$30:$J$229,3,FALSE)</f>
        <v>#N/A</v>
      </c>
      <c r="J140" s="481" t="e">
        <f>VLOOKUP(C140,PON.EXP.ESP.!$D$30:$J$229,4,FALSE)</f>
        <v>#N/A</v>
      </c>
      <c r="K140" s="482" t="e">
        <f>VLOOKUP(C140,PON.EXP.ESP.!$D$30:$J$229,5,FALSE)</f>
        <v>#N/A</v>
      </c>
      <c r="L140" s="481" t="e">
        <f>VLOOKUP(C140,PON.EXP.ESP.!$D$30:$J$229,6,FALSE)</f>
        <v>#N/A</v>
      </c>
      <c r="M140" s="482" t="e">
        <f>VLOOKUP(C140,PON.EXP.ESP.!$D$30:$J$229,7,FALSE)</f>
        <v>#N/A</v>
      </c>
      <c r="N140" s="481" t="e">
        <f>VLOOKUP(C140,VIN.PERS.DISC.!$C$19:$D$218,2,FALSE)</f>
        <v>#N/A</v>
      </c>
      <c r="O140" s="483" t="e">
        <f>VLOOKUP(C140,'APOYO A IND. NAL.'!$C$19:$D$218,2,FALSE)</f>
        <v>#N/A</v>
      </c>
      <c r="P140" s="484" t="e">
        <f>VLOOKUP(C140,RESUMENGEN!$D$20:$J$219,7,FALSE)</f>
        <v>#N/A</v>
      </c>
      <c r="Q140" s="478"/>
      <c r="R140" s="484" t="e">
        <f t="shared" si="7"/>
        <v>#N/A</v>
      </c>
      <c r="S140" s="492" t="e">
        <f t="shared" si="6"/>
        <v>#N/A</v>
      </c>
    </row>
    <row r="141" spans="2:19" hidden="1">
      <c r="B141" s="491">
        <v>137</v>
      </c>
      <c r="C141" s="491" t="e">
        <f>VLOOKUP(B141,RESUMENGEN!B156:E355,3,FALSE)</f>
        <v>#N/A</v>
      </c>
      <c r="D141" s="480" t="e">
        <f>VLOOKUP(B141,HAB.GEN.!$C$19:$I$218,3,FALSE)</f>
        <v>#N/A</v>
      </c>
      <c r="E141" s="480" t="e">
        <f>VLOOKUP(B141,HAB.GEN.!$C$19:$I$218,4,FALSE)</f>
        <v>#N/A</v>
      </c>
      <c r="F141" s="480" t="e">
        <f>VLOOKUP(B141,HAB.GEN.!$C$19:$I$218,5,FALSE)</f>
        <v>#N/A</v>
      </c>
      <c r="G141" s="480" t="e">
        <f>VLOOKUP(B141,HAB.GEN.!$C$19:$I$218,6,FALSE)</f>
        <v>#N/A</v>
      </c>
      <c r="H141" s="480" t="str">
        <f t="shared" si="3"/>
        <v>HÁBIL</v>
      </c>
      <c r="I141" s="480" t="e">
        <f>VLOOKUP(C141,PON.EXP.ESP.!$D$30:$J$229,3,FALSE)</f>
        <v>#N/A</v>
      </c>
      <c r="J141" s="481" t="e">
        <f>VLOOKUP(C141,PON.EXP.ESP.!$D$30:$J$229,4,FALSE)</f>
        <v>#N/A</v>
      </c>
      <c r="K141" s="482" t="e">
        <f>VLOOKUP(C141,PON.EXP.ESP.!$D$30:$J$229,5,FALSE)</f>
        <v>#N/A</v>
      </c>
      <c r="L141" s="481" t="e">
        <f>VLOOKUP(C141,PON.EXP.ESP.!$D$30:$J$229,6,FALSE)</f>
        <v>#N/A</v>
      </c>
      <c r="M141" s="482" t="e">
        <f>VLOOKUP(C141,PON.EXP.ESP.!$D$30:$J$229,7,FALSE)</f>
        <v>#N/A</v>
      </c>
      <c r="N141" s="481" t="e">
        <f>VLOOKUP(C141,VIN.PERS.DISC.!$C$19:$D$218,2,FALSE)</f>
        <v>#N/A</v>
      </c>
      <c r="O141" s="483" t="e">
        <f>VLOOKUP(C141,'APOYO A IND. NAL.'!$C$19:$D$218,2,FALSE)</f>
        <v>#N/A</v>
      </c>
      <c r="P141" s="484" t="e">
        <f>VLOOKUP(C141,RESUMENGEN!$D$20:$J$219,7,FALSE)</f>
        <v>#N/A</v>
      </c>
      <c r="Q141" s="478"/>
      <c r="R141" s="484" t="e">
        <f t="shared" si="7"/>
        <v>#N/A</v>
      </c>
      <c r="S141" s="492" t="e">
        <f t="shared" si="6"/>
        <v>#N/A</v>
      </c>
    </row>
    <row r="142" spans="2:19" hidden="1">
      <c r="B142" s="491">
        <v>138</v>
      </c>
      <c r="C142" s="491" t="e">
        <f>VLOOKUP(B142,RESUMENGEN!B157:E356,3,FALSE)</f>
        <v>#N/A</v>
      </c>
      <c r="D142" s="480" t="e">
        <f>VLOOKUP(B142,HAB.GEN.!$C$19:$I$218,3,FALSE)</f>
        <v>#N/A</v>
      </c>
      <c r="E142" s="480" t="e">
        <f>VLOOKUP(B142,HAB.GEN.!$C$19:$I$218,4,FALSE)</f>
        <v>#N/A</v>
      </c>
      <c r="F142" s="480" t="e">
        <f>VLOOKUP(B142,HAB.GEN.!$C$19:$I$218,5,FALSE)</f>
        <v>#N/A</v>
      </c>
      <c r="G142" s="480" t="e">
        <f>VLOOKUP(B142,HAB.GEN.!$C$19:$I$218,6,FALSE)</f>
        <v>#N/A</v>
      </c>
      <c r="H142" s="480" t="str">
        <f t="shared" si="3"/>
        <v>HÁBIL</v>
      </c>
      <c r="I142" s="480" t="e">
        <f>VLOOKUP(C142,PON.EXP.ESP.!$D$30:$J$229,3,FALSE)</f>
        <v>#N/A</v>
      </c>
      <c r="J142" s="481" t="e">
        <f>VLOOKUP(C142,PON.EXP.ESP.!$D$30:$J$229,4,FALSE)</f>
        <v>#N/A</v>
      </c>
      <c r="K142" s="482" t="e">
        <f>VLOOKUP(C142,PON.EXP.ESP.!$D$30:$J$229,5,FALSE)</f>
        <v>#N/A</v>
      </c>
      <c r="L142" s="481" t="e">
        <f>VLOOKUP(C142,PON.EXP.ESP.!$D$30:$J$229,6,FALSE)</f>
        <v>#N/A</v>
      </c>
      <c r="M142" s="482" t="e">
        <f>VLOOKUP(C142,PON.EXP.ESP.!$D$30:$J$229,7,FALSE)</f>
        <v>#N/A</v>
      </c>
      <c r="N142" s="481" t="e">
        <f>VLOOKUP(C142,VIN.PERS.DISC.!$C$19:$D$218,2,FALSE)</f>
        <v>#N/A</v>
      </c>
      <c r="O142" s="483" t="e">
        <f>VLOOKUP(C142,'APOYO A IND. NAL.'!$C$19:$D$218,2,FALSE)</f>
        <v>#N/A</v>
      </c>
      <c r="P142" s="484" t="e">
        <f>VLOOKUP(C142,RESUMENGEN!$D$20:$J$219,7,FALSE)</f>
        <v>#N/A</v>
      </c>
      <c r="Q142" s="478"/>
      <c r="R142" s="484" t="e">
        <f t="shared" si="7"/>
        <v>#N/A</v>
      </c>
      <c r="S142" s="492" t="e">
        <f t="shared" si="6"/>
        <v>#N/A</v>
      </c>
    </row>
    <row r="143" spans="2:19" hidden="1">
      <c r="B143" s="491">
        <v>139</v>
      </c>
      <c r="C143" s="491" t="e">
        <f>VLOOKUP(B143,RESUMENGEN!B158:E357,3,FALSE)</f>
        <v>#N/A</v>
      </c>
      <c r="D143" s="480" t="e">
        <f>VLOOKUP(B143,HAB.GEN.!$C$19:$I$218,3,FALSE)</f>
        <v>#N/A</v>
      </c>
      <c r="E143" s="480" t="e">
        <f>VLOOKUP(B143,HAB.GEN.!$C$19:$I$218,4,FALSE)</f>
        <v>#N/A</v>
      </c>
      <c r="F143" s="480" t="e">
        <f>VLOOKUP(B143,HAB.GEN.!$C$19:$I$218,5,FALSE)</f>
        <v>#N/A</v>
      </c>
      <c r="G143" s="480" t="e">
        <f>VLOOKUP(B143,HAB.GEN.!$C$19:$I$218,6,FALSE)</f>
        <v>#N/A</v>
      </c>
      <c r="H143" s="480" t="str">
        <f t="shared" si="3"/>
        <v>HÁBIL</v>
      </c>
      <c r="I143" s="480" t="e">
        <f>VLOOKUP(C143,PON.EXP.ESP.!$D$30:$J$229,3,FALSE)</f>
        <v>#N/A</v>
      </c>
      <c r="J143" s="481" t="e">
        <f>VLOOKUP(C143,PON.EXP.ESP.!$D$30:$J$229,4,FALSE)</f>
        <v>#N/A</v>
      </c>
      <c r="K143" s="482" t="e">
        <f>VLOOKUP(C143,PON.EXP.ESP.!$D$30:$J$229,5,FALSE)</f>
        <v>#N/A</v>
      </c>
      <c r="L143" s="481" t="e">
        <f>VLOOKUP(C143,PON.EXP.ESP.!$D$30:$J$229,6,FALSE)</f>
        <v>#N/A</v>
      </c>
      <c r="M143" s="482" t="e">
        <f>VLOOKUP(C143,PON.EXP.ESP.!$D$30:$J$229,7,FALSE)</f>
        <v>#N/A</v>
      </c>
      <c r="N143" s="481" t="e">
        <f>VLOOKUP(C143,VIN.PERS.DISC.!$C$19:$D$218,2,FALSE)</f>
        <v>#N/A</v>
      </c>
      <c r="O143" s="483" t="e">
        <f>VLOOKUP(C143,'APOYO A IND. NAL.'!$C$19:$D$218,2,FALSE)</f>
        <v>#N/A</v>
      </c>
      <c r="P143" s="484" t="e">
        <f>VLOOKUP(C143,RESUMENGEN!$D$20:$J$219,7,FALSE)</f>
        <v>#N/A</v>
      </c>
      <c r="Q143" s="478"/>
      <c r="R143" s="484" t="e">
        <f t="shared" si="7"/>
        <v>#N/A</v>
      </c>
      <c r="S143" s="492" t="e">
        <f t="shared" si="6"/>
        <v>#N/A</v>
      </c>
    </row>
    <row r="144" spans="2:19" hidden="1">
      <c r="B144" s="491">
        <v>140</v>
      </c>
      <c r="C144" s="491" t="e">
        <f>VLOOKUP(B144,RESUMENGEN!B159:E358,3,FALSE)</f>
        <v>#N/A</v>
      </c>
      <c r="D144" s="480" t="e">
        <f>VLOOKUP(B144,HAB.GEN.!$C$19:$I$218,3,FALSE)</f>
        <v>#N/A</v>
      </c>
      <c r="E144" s="480" t="e">
        <f>VLOOKUP(B144,HAB.GEN.!$C$19:$I$218,4,FALSE)</f>
        <v>#N/A</v>
      </c>
      <c r="F144" s="480" t="e">
        <f>VLOOKUP(B144,HAB.GEN.!$C$19:$I$218,5,FALSE)</f>
        <v>#N/A</v>
      </c>
      <c r="G144" s="480" t="e">
        <f>VLOOKUP(B144,HAB.GEN.!$C$19:$I$218,6,FALSE)</f>
        <v>#N/A</v>
      </c>
      <c r="H144" s="480" t="str">
        <f t="shared" si="3"/>
        <v>HÁBIL</v>
      </c>
      <c r="I144" s="480" t="e">
        <f>VLOOKUP(C144,PON.EXP.ESP.!$D$30:$J$229,3,FALSE)</f>
        <v>#N/A</v>
      </c>
      <c r="J144" s="481" t="e">
        <f>VLOOKUP(C144,PON.EXP.ESP.!$D$30:$J$229,4,FALSE)</f>
        <v>#N/A</v>
      </c>
      <c r="K144" s="482" t="e">
        <f>VLOOKUP(C144,PON.EXP.ESP.!$D$30:$J$229,5,FALSE)</f>
        <v>#N/A</v>
      </c>
      <c r="L144" s="481" t="e">
        <f>VLOOKUP(C144,PON.EXP.ESP.!$D$30:$J$229,6,FALSE)</f>
        <v>#N/A</v>
      </c>
      <c r="M144" s="482" t="e">
        <f>VLOOKUP(C144,PON.EXP.ESP.!$D$30:$J$229,7,FALSE)</f>
        <v>#N/A</v>
      </c>
      <c r="N144" s="481" t="e">
        <f>VLOOKUP(C144,VIN.PERS.DISC.!$C$19:$D$218,2,FALSE)</f>
        <v>#N/A</v>
      </c>
      <c r="O144" s="483" t="e">
        <f>VLOOKUP(C144,'APOYO A IND. NAL.'!$C$19:$D$218,2,FALSE)</f>
        <v>#N/A</v>
      </c>
      <c r="P144" s="484" t="e">
        <f>VLOOKUP(C144,RESUMENGEN!$D$20:$J$219,7,FALSE)</f>
        <v>#N/A</v>
      </c>
      <c r="Q144" s="478"/>
      <c r="R144" s="484" t="e">
        <f t="shared" si="7"/>
        <v>#N/A</v>
      </c>
      <c r="S144" s="492" t="e">
        <f t="shared" si="6"/>
        <v>#N/A</v>
      </c>
    </row>
    <row r="145" spans="2:19" hidden="1">
      <c r="B145" s="491">
        <v>141</v>
      </c>
      <c r="C145" s="491" t="e">
        <f>VLOOKUP(B145,RESUMENGEN!B160:E359,3,FALSE)</f>
        <v>#N/A</v>
      </c>
      <c r="D145" s="480" t="e">
        <f>VLOOKUP(B145,HAB.GEN.!$C$19:$I$218,3,FALSE)</f>
        <v>#N/A</v>
      </c>
      <c r="E145" s="480" t="e">
        <f>VLOOKUP(B145,HAB.GEN.!$C$19:$I$218,4,FALSE)</f>
        <v>#N/A</v>
      </c>
      <c r="F145" s="480" t="e">
        <f>VLOOKUP(B145,HAB.GEN.!$C$19:$I$218,5,FALSE)</f>
        <v>#N/A</v>
      </c>
      <c r="G145" s="480" t="e">
        <f>VLOOKUP(B145,HAB.GEN.!$C$19:$I$218,6,FALSE)</f>
        <v>#N/A</v>
      </c>
      <c r="H145" s="480" t="str">
        <f t="shared" si="3"/>
        <v>HÁBIL</v>
      </c>
      <c r="I145" s="480" t="e">
        <f>VLOOKUP(C145,PON.EXP.ESP.!$D$30:$J$229,3,FALSE)</f>
        <v>#N/A</v>
      </c>
      <c r="J145" s="481" t="e">
        <f>VLOOKUP(C145,PON.EXP.ESP.!$D$30:$J$229,4,FALSE)</f>
        <v>#N/A</v>
      </c>
      <c r="K145" s="482" t="e">
        <f>VLOOKUP(C145,PON.EXP.ESP.!$D$30:$J$229,5,FALSE)</f>
        <v>#N/A</v>
      </c>
      <c r="L145" s="481" t="e">
        <f>VLOOKUP(C145,PON.EXP.ESP.!$D$30:$J$229,6,FALSE)</f>
        <v>#N/A</v>
      </c>
      <c r="M145" s="482" t="e">
        <f>VLOOKUP(C145,PON.EXP.ESP.!$D$30:$J$229,7,FALSE)</f>
        <v>#N/A</v>
      </c>
      <c r="N145" s="481" t="e">
        <f>VLOOKUP(C145,VIN.PERS.DISC.!$C$19:$D$218,2,FALSE)</f>
        <v>#N/A</v>
      </c>
      <c r="O145" s="483" t="e">
        <f>VLOOKUP(C145,'APOYO A IND. NAL.'!$C$19:$D$218,2,FALSE)</f>
        <v>#N/A</v>
      </c>
      <c r="P145" s="484" t="e">
        <f>VLOOKUP(C145,RESUMENGEN!$D$20:$J$219,7,FALSE)</f>
        <v>#N/A</v>
      </c>
      <c r="Q145" s="478"/>
      <c r="R145" s="484" t="e">
        <f t="shared" si="7"/>
        <v>#N/A</v>
      </c>
      <c r="S145" s="492" t="e">
        <f t="shared" si="6"/>
        <v>#N/A</v>
      </c>
    </row>
    <row r="146" spans="2:19" hidden="1">
      <c r="B146" s="491">
        <v>142</v>
      </c>
      <c r="C146" s="491" t="e">
        <f>VLOOKUP(B146,RESUMENGEN!B161:E360,3,FALSE)</f>
        <v>#N/A</v>
      </c>
      <c r="D146" s="480" t="e">
        <f>VLOOKUP(B146,HAB.GEN.!$C$19:$I$218,3,FALSE)</f>
        <v>#N/A</v>
      </c>
      <c r="E146" s="480" t="e">
        <f>VLOOKUP(B146,HAB.GEN.!$C$19:$I$218,4,FALSE)</f>
        <v>#N/A</v>
      </c>
      <c r="F146" s="480" t="e">
        <f>VLOOKUP(B146,HAB.GEN.!$C$19:$I$218,5,FALSE)</f>
        <v>#N/A</v>
      </c>
      <c r="G146" s="480" t="e">
        <f>VLOOKUP(B146,HAB.GEN.!$C$19:$I$218,6,FALSE)</f>
        <v>#N/A</v>
      </c>
      <c r="H146" s="480" t="str">
        <f t="shared" si="3"/>
        <v>HÁBIL</v>
      </c>
      <c r="I146" s="480" t="e">
        <f>VLOOKUP(C146,PON.EXP.ESP.!$D$30:$J$229,3,FALSE)</f>
        <v>#N/A</v>
      </c>
      <c r="J146" s="481" t="e">
        <f>VLOOKUP(C146,PON.EXP.ESP.!$D$30:$J$229,4,FALSE)</f>
        <v>#N/A</v>
      </c>
      <c r="K146" s="482" t="e">
        <f>VLOOKUP(C146,PON.EXP.ESP.!$D$30:$J$229,5,FALSE)</f>
        <v>#N/A</v>
      </c>
      <c r="L146" s="481" t="e">
        <f>VLOOKUP(C146,PON.EXP.ESP.!$D$30:$J$229,6,FALSE)</f>
        <v>#N/A</v>
      </c>
      <c r="M146" s="482" t="e">
        <f>VLOOKUP(C146,PON.EXP.ESP.!$D$30:$J$229,7,FALSE)</f>
        <v>#N/A</v>
      </c>
      <c r="N146" s="481" t="e">
        <f>VLOOKUP(C146,VIN.PERS.DISC.!$C$19:$D$218,2,FALSE)</f>
        <v>#N/A</v>
      </c>
      <c r="O146" s="483" t="e">
        <f>VLOOKUP(C146,'APOYO A IND. NAL.'!$C$19:$D$218,2,FALSE)</f>
        <v>#N/A</v>
      </c>
      <c r="P146" s="484" t="e">
        <f>VLOOKUP(C146,RESUMENGEN!$D$20:$J$219,7,FALSE)</f>
        <v>#N/A</v>
      </c>
      <c r="Q146" s="478"/>
      <c r="R146" s="484" t="e">
        <f t="shared" si="7"/>
        <v>#N/A</v>
      </c>
      <c r="S146" s="492" t="e">
        <f t="shared" si="6"/>
        <v>#N/A</v>
      </c>
    </row>
    <row r="147" spans="2:19" hidden="1">
      <c r="B147" s="491">
        <v>143</v>
      </c>
      <c r="C147" s="491" t="e">
        <f>VLOOKUP(B147,RESUMENGEN!B162:E361,3,FALSE)</f>
        <v>#N/A</v>
      </c>
      <c r="D147" s="480" t="e">
        <f>VLOOKUP(B147,HAB.GEN.!$C$19:$I$218,3,FALSE)</f>
        <v>#N/A</v>
      </c>
      <c r="E147" s="480" t="e">
        <f>VLOOKUP(B147,HAB.GEN.!$C$19:$I$218,4,FALSE)</f>
        <v>#N/A</v>
      </c>
      <c r="F147" s="480" t="e">
        <f>VLOOKUP(B147,HAB.GEN.!$C$19:$I$218,5,FALSE)</f>
        <v>#N/A</v>
      </c>
      <c r="G147" s="480" t="e">
        <f>VLOOKUP(B147,HAB.GEN.!$C$19:$I$218,6,FALSE)</f>
        <v>#N/A</v>
      </c>
      <c r="H147" s="480" t="str">
        <f t="shared" si="3"/>
        <v>HÁBIL</v>
      </c>
      <c r="I147" s="480" t="e">
        <f>VLOOKUP(C147,PON.EXP.ESP.!$D$30:$J$229,3,FALSE)</f>
        <v>#N/A</v>
      </c>
      <c r="J147" s="481" t="e">
        <f>VLOOKUP(C147,PON.EXP.ESP.!$D$30:$J$229,4,FALSE)</f>
        <v>#N/A</v>
      </c>
      <c r="K147" s="482" t="e">
        <f>VLOOKUP(C147,PON.EXP.ESP.!$D$30:$J$229,5,FALSE)</f>
        <v>#N/A</v>
      </c>
      <c r="L147" s="481" t="e">
        <f>VLOOKUP(C147,PON.EXP.ESP.!$D$30:$J$229,6,FALSE)</f>
        <v>#N/A</v>
      </c>
      <c r="M147" s="482" t="e">
        <f>VLOOKUP(C147,PON.EXP.ESP.!$D$30:$J$229,7,FALSE)</f>
        <v>#N/A</v>
      </c>
      <c r="N147" s="481" t="e">
        <f>VLOOKUP(C147,VIN.PERS.DISC.!$C$19:$D$218,2,FALSE)</f>
        <v>#N/A</v>
      </c>
      <c r="O147" s="483" t="e">
        <f>VLOOKUP(C147,'APOYO A IND. NAL.'!$C$19:$D$218,2,FALSE)</f>
        <v>#N/A</v>
      </c>
      <c r="P147" s="484" t="e">
        <f>VLOOKUP(C147,RESUMENGEN!$D$20:$J$219,7,FALSE)</f>
        <v>#N/A</v>
      </c>
      <c r="Q147" s="478"/>
      <c r="R147" s="484" t="e">
        <f t="shared" si="7"/>
        <v>#N/A</v>
      </c>
      <c r="S147" s="492" t="e">
        <f t="shared" si="6"/>
        <v>#N/A</v>
      </c>
    </row>
    <row r="148" spans="2:19" hidden="1">
      <c r="B148" s="491">
        <v>144</v>
      </c>
      <c r="C148" s="491" t="e">
        <f>VLOOKUP(B148,RESUMENGEN!B163:E362,3,FALSE)</f>
        <v>#N/A</v>
      </c>
      <c r="D148" s="480" t="e">
        <f>VLOOKUP(B148,HAB.GEN.!$C$19:$I$218,3,FALSE)</f>
        <v>#N/A</v>
      </c>
      <c r="E148" s="480" t="e">
        <f>VLOOKUP(B148,HAB.GEN.!$C$19:$I$218,4,FALSE)</f>
        <v>#N/A</v>
      </c>
      <c r="F148" s="480" t="e">
        <f>VLOOKUP(B148,HAB.GEN.!$C$19:$I$218,5,FALSE)</f>
        <v>#N/A</v>
      </c>
      <c r="G148" s="480" t="e">
        <f>VLOOKUP(B148,HAB.GEN.!$C$19:$I$218,6,FALSE)</f>
        <v>#N/A</v>
      </c>
      <c r="H148" s="480" t="str">
        <f t="shared" si="3"/>
        <v>HÁBIL</v>
      </c>
      <c r="I148" s="480" t="e">
        <f>VLOOKUP(C148,PON.EXP.ESP.!$D$30:$J$229,3,FALSE)</f>
        <v>#N/A</v>
      </c>
      <c r="J148" s="481" t="e">
        <f>VLOOKUP(C148,PON.EXP.ESP.!$D$30:$J$229,4,FALSE)</f>
        <v>#N/A</v>
      </c>
      <c r="K148" s="482" t="e">
        <f>VLOOKUP(C148,PON.EXP.ESP.!$D$30:$J$229,5,FALSE)</f>
        <v>#N/A</v>
      </c>
      <c r="L148" s="481" t="e">
        <f>VLOOKUP(C148,PON.EXP.ESP.!$D$30:$J$229,6,FALSE)</f>
        <v>#N/A</v>
      </c>
      <c r="M148" s="482" t="e">
        <f>VLOOKUP(C148,PON.EXP.ESP.!$D$30:$J$229,7,FALSE)</f>
        <v>#N/A</v>
      </c>
      <c r="N148" s="481" t="e">
        <f>VLOOKUP(C148,VIN.PERS.DISC.!$C$19:$D$218,2,FALSE)</f>
        <v>#N/A</v>
      </c>
      <c r="O148" s="483" t="e">
        <f>VLOOKUP(C148,'APOYO A IND. NAL.'!$C$19:$D$218,2,FALSE)</f>
        <v>#N/A</v>
      </c>
      <c r="P148" s="484" t="e">
        <f>VLOOKUP(C148,RESUMENGEN!$D$20:$J$219,7,FALSE)</f>
        <v>#N/A</v>
      </c>
      <c r="Q148" s="478"/>
      <c r="R148" s="484" t="e">
        <f t="shared" si="7"/>
        <v>#N/A</v>
      </c>
      <c r="S148" s="492" t="e">
        <f t="shared" si="6"/>
        <v>#N/A</v>
      </c>
    </row>
    <row r="149" spans="2:19" hidden="1">
      <c r="B149" s="491">
        <v>145</v>
      </c>
      <c r="C149" s="491" t="e">
        <f>VLOOKUP(B149,RESUMENGEN!B164:E363,3,FALSE)</f>
        <v>#N/A</v>
      </c>
      <c r="D149" s="480" t="e">
        <f>VLOOKUP(B149,HAB.GEN.!$C$19:$I$218,3,FALSE)</f>
        <v>#N/A</v>
      </c>
      <c r="E149" s="480" t="e">
        <f>VLOOKUP(B149,HAB.GEN.!$C$19:$I$218,4,FALSE)</f>
        <v>#N/A</v>
      </c>
      <c r="F149" s="480" t="e">
        <f>VLOOKUP(B149,HAB.GEN.!$C$19:$I$218,5,FALSE)</f>
        <v>#N/A</v>
      </c>
      <c r="G149" s="480" t="e">
        <f>VLOOKUP(B149,HAB.GEN.!$C$19:$I$218,6,FALSE)</f>
        <v>#N/A</v>
      </c>
      <c r="H149" s="480" t="str">
        <f t="shared" si="3"/>
        <v>HÁBIL</v>
      </c>
      <c r="I149" s="480" t="e">
        <f>VLOOKUP(C149,PON.EXP.ESP.!$D$30:$J$229,3,FALSE)</f>
        <v>#N/A</v>
      </c>
      <c r="J149" s="481" t="e">
        <f>VLOOKUP(C149,PON.EXP.ESP.!$D$30:$J$229,4,FALSE)</f>
        <v>#N/A</v>
      </c>
      <c r="K149" s="482" t="e">
        <f>VLOOKUP(C149,PON.EXP.ESP.!$D$30:$J$229,5,FALSE)</f>
        <v>#N/A</v>
      </c>
      <c r="L149" s="481" t="e">
        <f>VLOOKUP(C149,PON.EXP.ESP.!$D$30:$J$229,6,FALSE)</f>
        <v>#N/A</v>
      </c>
      <c r="M149" s="482" t="e">
        <f>VLOOKUP(C149,PON.EXP.ESP.!$D$30:$J$229,7,FALSE)</f>
        <v>#N/A</v>
      </c>
      <c r="N149" s="481" t="e">
        <f>VLOOKUP(C149,VIN.PERS.DISC.!$C$19:$D$218,2,FALSE)</f>
        <v>#N/A</v>
      </c>
      <c r="O149" s="483" t="e">
        <f>VLOOKUP(C149,'APOYO A IND. NAL.'!$C$19:$D$218,2,FALSE)</f>
        <v>#N/A</v>
      </c>
      <c r="P149" s="484" t="e">
        <f>VLOOKUP(C149,RESUMENGEN!$D$20:$J$219,7,FALSE)</f>
        <v>#N/A</v>
      </c>
      <c r="Q149" s="478"/>
      <c r="R149" s="484" t="e">
        <f t="shared" si="7"/>
        <v>#N/A</v>
      </c>
      <c r="S149" s="492" t="e">
        <f t="shared" si="6"/>
        <v>#N/A</v>
      </c>
    </row>
    <row r="150" spans="2:19" hidden="1">
      <c r="B150" s="491">
        <v>146</v>
      </c>
      <c r="C150" s="491" t="e">
        <f>VLOOKUP(B150,RESUMENGEN!B165:E364,3,FALSE)</f>
        <v>#N/A</v>
      </c>
      <c r="D150" s="480" t="e">
        <f>VLOOKUP(B150,HAB.GEN.!$C$19:$I$218,3,FALSE)</f>
        <v>#N/A</v>
      </c>
      <c r="E150" s="480" t="e">
        <f>VLOOKUP(B150,HAB.GEN.!$C$19:$I$218,4,FALSE)</f>
        <v>#N/A</v>
      </c>
      <c r="F150" s="480" t="e">
        <f>VLOOKUP(B150,HAB.GEN.!$C$19:$I$218,5,FALSE)</f>
        <v>#N/A</v>
      </c>
      <c r="G150" s="480" t="e">
        <f>VLOOKUP(B150,HAB.GEN.!$C$19:$I$218,6,FALSE)</f>
        <v>#N/A</v>
      </c>
      <c r="H150" s="480" t="str">
        <f t="shared" si="3"/>
        <v>HÁBIL</v>
      </c>
      <c r="I150" s="480" t="e">
        <f>VLOOKUP(C150,PON.EXP.ESP.!$D$30:$J$229,3,FALSE)</f>
        <v>#N/A</v>
      </c>
      <c r="J150" s="481" t="e">
        <f>VLOOKUP(C150,PON.EXP.ESP.!$D$30:$J$229,4,FALSE)</f>
        <v>#N/A</v>
      </c>
      <c r="K150" s="482" t="e">
        <f>VLOOKUP(C150,PON.EXP.ESP.!$D$30:$J$229,5,FALSE)</f>
        <v>#N/A</v>
      </c>
      <c r="L150" s="481" t="e">
        <f>VLOOKUP(C150,PON.EXP.ESP.!$D$30:$J$229,6,FALSE)</f>
        <v>#N/A</v>
      </c>
      <c r="M150" s="482" t="e">
        <f>VLOOKUP(C150,PON.EXP.ESP.!$D$30:$J$229,7,FALSE)</f>
        <v>#N/A</v>
      </c>
      <c r="N150" s="481" t="e">
        <f>VLOOKUP(C150,VIN.PERS.DISC.!$C$19:$D$218,2,FALSE)</f>
        <v>#N/A</v>
      </c>
      <c r="O150" s="483" t="e">
        <f>VLOOKUP(C150,'APOYO A IND. NAL.'!$C$19:$D$218,2,FALSE)</f>
        <v>#N/A</v>
      </c>
      <c r="P150" s="484" t="e">
        <f>VLOOKUP(C150,RESUMENGEN!$D$20:$J$219,7,FALSE)</f>
        <v>#N/A</v>
      </c>
      <c r="Q150" s="478"/>
      <c r="R150" s="484" t="e">
        <f t="shared" si="7"/>
        <v>#N/A</v>
      </c>
      <c r="S150" s="492" t="e">
        <f t="shared" si="6"/>
        <v>#N/A</v>
      </c>
    </row>
    <row r="151" spans="2:19" hidden="1">
      <c r="B151" s="491">
        <v>147</v>
      </c>
      <c r="C151" s="491" t="e">
        <f>VLOOKUP(B151,RESUMENGEN!B166:E365,3,FALSE)</f>
        <v>#N/A</v>
      </c>
      <c r="D151" s="480" t="e">
        <f>VLOOKUP(B151,HAB.GEN.!$C$19:$I$218,3,FALSE)</f>
        <v>#N/A</v>
      </c>
      <c r="E151" s="480" t="e">
        <f>VLOOKUP(B151,HAB.GEN.!$C$19:$I$218,4,FALSE)</f>
        <v>#N/A</v>
      </c>
      <c r="F151" s="480" t="e">
        <f>VLOOKUP(B151,HAB.GEN.!$C$19:$I$218,5,FALSE)</f>
        <v>#N/A</v>
      </c>
      <c r="G151" s="480" t="e">
        <f>VLOOKUP(B151,HAB.GEN.!$C$19:$I$218,6,FALSE)</f>
        <v>#N/A</v>
      </c>
      <c r="H151" s="480" t="str">
        <f t="shared" si="3"/>
        <v>HÁBIL</v>
      </c>
      <c r="I151" s="480" t="e">
        <f>VLOOKUP(C151,PON.EXP.ESP.!$D$30:$J$229,3,FALSE)</f>
        <v>#N/A</v>
      </c>
      <c r="J151" s="481" t="e">
        <f>VLOOKUP(C151,PON.EXP.ESP.!$D$30:$J$229,4,FALSE)</f>
        <v>#N/A</v>
      </c>
      <c r="K151" s="482" t="e">
        <f>VLOOKUP(C151,PON.EXP.ESP.!$D$30:$J$229,5,FALSE)</f>
        <v>#N/A</v>
      </c>
      <c r="L151" s="481" t="e">
        <f>VLOOKUP(C151,PON.EXP.ESP.!$D$30:$J$229,6,FALSE)</f>
        <v>#N/A</v>
      </c>
      <c r="M151" s="482" t="e">
        <f>VLOOKUP(C151,PON.EXP.ESP.!$D$30:$J$229,7,FALSE)</f>
        <v>#N/A</v>
      </c>
      <c r="N151" s="481" t="e">
        <f>VLOOKUP(C151,VIN.PERS.DISC.!$C$19:$D$218,2,FALSE)</f>
        <v>#N/A</v>
      </c>
      <c r="O151" s="483" t="e">
        <f>VLOOKUP(C151,'APOYO A IND. NAL.'!$C$19:$D$218,2,FALSE)</f>
        <v>#N/A</v>
      </c>
      <c r="P151" s="484" t="e">
        <f>VLOOKUP(C151,RESUMENGEN!$D$20:$J$219,7,FALSE)</f>
        <v>#N/A</v>
      </c>
      <c r="Q151" s="478"/>
      <c r="R151" s="484" t="e">
        <f t="shared" si="7"/>
        <v>#N/A</v>
      </c>
      <c r="S151" s="492" t="e">
        <f t="shared" si="6"/>
        <v>#N/A</v>
      </c>
    </row>
    <row r="152" spans="2:19" hidden="1">
      <c r="B152" s="491">
        <v>148</v>
      </c>
      <c r="C152" s="491" t="e">
        <f>VLOOKUP(B152,RESUMENGEN!B167:E366,3,FALSE)</f>
        <v>#N/A</v>
      </c>
      <c r="D152" s="480" t="e">
        <f>VLOOKUP(B152,HAB.GEN.!$C$19:$I$218,3,FALSE)</f>
        <v>#N/A</v>
      </c>
      <c r="E152" s="480" t="e">
        <f>VLOOKUP(B152,HAB.GEN.!$C$19:$I$218,4,FALSE)</f>
        <v>#N/A</v>
      </c>
      <c r="F152" s="480" t="e">
        <f>VLOOKUP(B152,HAB.GEN.!$C$19:$I$218,5,FALSE)</f>
        <v>#N/A</v>
      </c>
      <c r="G152" s="480" t="e">
        <f>VLOOKUP(B152,HAB.GEN.!$C$19:$I$218,6,FALSE)</f>
        <v>#N/A</v>
      </c>
      <c r="H152" s="480" t="str">
        <f t="shared" si="3"/>
        <v>HÁBIL</v>
      </c>
      <c r="I152" s="480" t="e">
        <f>VLOOKUP(C152,PON.EXP.ESP.!$D$30:$J$229,3,FALSE)</f>
        <v>#N/A</v>
      </c>
      <c r="J152" s="481" t="e">
        <f>VLOOKUP(C152,PON.EXP.ESP.!$D$30:$J$229,4,FALSE)</f>
        <v>#N/A</v>
      </c>
      <c r="K152" s="482" t="e">
        <f>VLOOKUP(C152,PON.EXP.ESP.!$D$30:$J$229,5,FALSE)</f>
        <v>#N/A</v>
      </c>
      <c r="L152" s="481" t="e">
        <f>VLOOKUP(C152,PON.EXP.ESP.!$D$30:$J$229,6,FALSE)</f>
        <v>#N/A</v>
      </c>
      <c r="M152" s="482" t="e">
        <f>VLOOKUP(C152,PON.EXP.ESP.!$D$30:$J$229,7,FALSE)</f>
        <v>#N/A</v>
      </c>
      <c r="N152" s="481" t="e">
        <f>VLOOKUP(C152,VIN.PERS.DISC.!$C$19:$D$218,2,FALSE)</f>
        <v>#N/A</v>
      </c>
      <c r="O152" s="483" t="e">
        <f>VLOOKUP(C152,'APOYO A IND. NAL.'!$C$19:$D$218,2,FALSE)</f>
        <v>#N/A</v>
      </c>
      <c r="P152" s="484" t="e">
        <f>VLOOKUP(C152,RESUMENGEN!$D$20:$J$219,7,FALSE)</f>
        <v>#N/A</v>
      </c>
      <c r="Q152" s="478"/>
      <c r="R152" s="484" t="e">
        <f t="shared" si="7"/>
        <v>#N/A</v>
      </c>
      <c r="S152" s="492" t="e">
        <f t="shared" si="6"/>
        <v>#N/A</v>
      </c>
    </row>
    <row r="153" spans="2:19" hidden="1">
      <c r="B153" s="491">
        <v>149</v>
      </c>
      <c r="C153" s="491" t="e">
        <f>VLOOKUP(B153,RESUMENGEN!B168:E367,3,FALSE)</f>
        <v>#N/A</v>
      </c>
      <c r="D153" s="480" t="e">
        <f>VLOOKUP(B153,HAB.GEN.!$C$19:$I$218,3,FALSE)</f>
        <v>#N/A</v>
      </c>
      <c r="E153" s="480" t="e">
        <f>VLOOKUP(B153,HAB.GEN.!$C$19:$I$218,4,FALSE)</f>
        <v>#N/A</v>
      </c>
      <c r="F153" s="480" t="e">
        <f>VLOOKUP(B153,HAB.GEN.!$C$19:$I$218,5,FALSE)</f>
        <v>#N/A</v>
      </c>
      <c r="G153" s="480" t="e">
        <f>VLOOKUP(B153,HAB.GEN.!$C$19:$I$218,6,FALSE)</f>
        <v>#N/A</v>
      </c>
      <c r="H153" s="480" t="str">
        <f t="shared" si="3"/>
        <v>HÁBIL</v>
      </c>
      <c r="I153" s="480" t="e">
        <f>VLOOKUP(C153,PON.EXP.ESP.!$D$30:$J$229,3,FALSE)</f>
        <v>#N/A</v>
      </c>
      <c r="J153" s="481" t="e">
        <f>VLOOKUP(C153,PON.EXP.ESP.!$D$30:$J$229,4,FALSE)</f>
        <v>#N/A</v>
      </c>
      <c r="K153" s="482" t="e">
        <f>VLOOKUP(C153,PON.EXP.ESP.!$D$30:$J$229,5,FALSE)</f>
        <v>#N/A</v>
      </c>
      <c r="L153" s="481" t="e">
        <f>VLOOKUP(C153,PON.EXP.ESP.!$D$30:$J$229,6,FALSE)</f>
        <v>#N/A</v>
      </c>
      <c r="M153" s="482" t="e">
        <f>VLOOKUP(C153,PON.EXP.ESP.!$D$30:$J$229,7,FALSE)</f>
        <v>#N/A</v>
      </c>
      <c r="N153" s="481" t="e">
        <f>VLOOKUP(C153,VIN.PERS.DISC.!$C$19:$D$218,2,FALSE)</f>
        <v>#N/A</v>
      </c>
      <c r="O153" s="483" t="e">
        <f>VLOOKUP(C153,'APOYO A IND. NAL.'!$C$19:$D$218,2,FALSE)</f>
        <v>#N/A</v>
      </c>
      <c r="P153" s="484" t="e">
        <f>VLOOKUP(C153,RESUMENGEN!$D$20:$J$219,7,FALSE)</f>
        <v>#N/A</v>
      </c>
      <c r="Q153" s="478"/>
      <c r="R153" s="484" t="e">
        <f t="shared" si="7"/>
        <v>#N/A</v>
      </c>
      <c r="S153" s="492" t="e">
        <f t="shared" si="6"/>
        <v>#N/A</v>
      </c>
    </row>
    <row r="154" spans="2:19" hidden="1">
      <c r="B154" s="491">
        <v>150</v>
      </c>
      <c r="C154" s="491" t="e">
        <f>VLOOKUP(B154,RESUMENGEN!B169:E368,3,FALSE)</f>
        <v>#N/A</v>
      </c>
      <c r="D154" s="480" t="e">
        <f>VLOOKUP(B154,HAB.GEN.!$C$19:$I$218,3,FALSE)</f>
        <v>#N/A</v>
      </c>
      <c r="E154" s="480" t="e">
        <f>VLOOKUP(B154,HAB.GEN.!$C$19:$I$218,4,FALSE)</f>
        <v>#N/A</v>
      </c>
      <c r="F154" s="480" t="e">
        <f>VLOOKUP(B154,HAB.GEN.!$C$19:$I$218,5,FALSE)</f>
        <v>#N/A</v>
      </c>
      <c r="G154" s="480" t="e">
        <f>VLOOKUP(B154,HAB.GEN.!$C$19:$I$218,6,FALSE)</f>
        <v>#N/A</v>
      </c>
      <c r="H154" s="480" t="str">
        <f t="shared" si="3"/>
        <v>HÁBIL</v>
      </c>
      <c r="I154" s="480" t="e">
        <f>VLOOKUP(C154,PON.EXP.ESP.!$D$30:$J$229,3,FALSE)</f>
        <v>#N/A</v>
      </c>
      <c r="J154" s="481" t="e">
        <f>VLOOKUP(C154,PON.EXP.ESP.!$D$30:$J$229,4,FALSE)</f>
        <v>#N/A</v>
      </c>
      <c r="K154" s="482" t="e">
        <f>VLOOKUP(C154,PON.EXP.ESP.!$D$30:$J$229,5,FALSE)</f>
        <v>#N/A</v>
      </c>
      <c r="L154" s="481" t="e">
        <f>VLOOKUP(C154,PON.EXP.ESP.!$D$30:$J$229,6,FALSE)</f>
        <v>#N/A</v>
      </c>
      <c r="M154" s="482" t="e">
        <f>VLOOKUP(C154,PON.EXP.ESP.!$D$30:$J$229,7,FALSE)</f>
        <v>#N/A</v>
      </c>
      <c r="N154" s="481" t="e">
        <f>VLOOKUP(C154,VIN.PERS.DISC.!$C$19:$D$218,2,FALSE)</f>
        <v>#N/A</v>
      </c>
      <c r="O154" s="483" t="e">
        <f>VLOOKUP(C154,'APOYO A IND. NAL.'!$C$19:$D$218,2,FALSE)</f>
        <v>#N/A</v>
      </c>
      <c r="P154" s="484" t="e">
        <f>VLOOKUP(C154,RESUMENGEN!$D$20:$J$219,7,FALSE)</f>
        <v>#N/A</v>
      </c>
      <c r="Q154" s="478"/>
      <c r="R154" s="484" t="e">
        <f t="shared" si="7"/>
        <v>#N/A</v>
      </c>
      <c r="S154" s="492" t="e">
        <f t="shared" si="6"/>
        <v>#N/A</v>
      </c>
    </row>
    <row r="155" spans="2:19" hidden="1">
      <c r="B155" s="491">
        <v>151</v>
      </c>
      <c r="C155" s="491" t="e">
        <f>VLOOKUP(B155,RESUMENGEN!B170:E369,3,FALSE)</f>
        <v>#N/A</v>
      </c>
      <c r="D155" s="480" t="e">
        <f>VLOOKUP(B155,HAB.GEN.!$C$19:$I$218,3,FALSE)</f>
        <v>#N/A</v>
      </c>
      <c r="E155" s="480" t="e">
        <f>VLOOKUP(B155,HAB.GEN.!$C$19:$I$218,4,FALSE)</f>
        <v>#N/A</v>
      </c>
      <c r="F155" s="480" t="e">
        <f>VLOOKUP(B155,HAB.GEN.!$C$19:$I$218,5,FALSE)</f>
        <v>#N/A</v>
      </c>
      <c r="G155" s="480" t="e">
        <f>VLOOKUP(B155,HAB.GEN.!$C$19:$I$218,6,FALSE)</f>
        <v>#N/A</v>
      </c>
      <c r="H155" s="480" t="str">
        <f t="shared" si="3"/>
        <v>HÁBIL</v>
      </c>
      <c r="I155" s="480" t="e">
        <f>VLOOKUP(C155,PON.EXP.ESP.!$D$30:$J$229,3,FALSE)</f>
        <v>#N/A</v>
      </c>
      <c r="J155" s="481" t="e">
        <f>VLOOKUP(C155,PON.EXP.ESP.!$D$30:$J$229,4,FALSE)</f>
        <v>#N/A</v>
      </c>
      <c r="K155" s="482" t="e">
        <f>VLOOKUP(C155,PON.EXP.ESP.!$D$30:$J$229,5,FALSE)</f>
        <v>#N/A</v>
      </c>
      <c r="L155" s="481" t="e">
        <f>VLOOKUP(C155,PON.EXP.ESP.!$D$30:$J$229,6,FALSE)</f>
        <v>#N/A</v>
      </c>
      <c r="M155" s="482" t="e">
        <f>VLOOKUP(C155,PON.EXP.ESP.!$D$30:$J$229,7,FALSE)</f>
        <v>#N/A</v>
      </c>
      <c r="N155" s="481" t="e">
        <f>VLOOKUP(C155,VIN.PERS.DISC.!$C$19:$D$218,2,FALSE)</f>
        <v>#N/A</v>
      </c>
      <c r="O155" s="483" t="e">
        <f>VLOOKUP(C155,'APOYO A IND. NAL.'!$C$19:$D$218,2,FALSE)</f>
        <v>#N/A</v>
      </c>
      <c r="P155" s="484" t="e">
        <f>VLOOKUP(C155,RESUMENGEN!$D$20:$J$219,7,FALSE)</f>
        <v>#N/A</v>
      </c>
      <c r="Q155" s="478"/>
      <c r="R155" s="484" t="e">
        <f t="shared" si="7"/>
        <v>#N/A</v>
      </c>
      <c r="S155" s="492" t="e">
        <f t="shared" si="6"/>
        <v>#N/A</v>
      </c>
    </row>
    <row r="156" spans="2:19" hidden="1">
      <c r="B156" s="491">
        <v>152</v>
      </c>
      <c r="C156" s="491" t="e">
        <f>VLOOKUP(B156,RESUMENGEN!B171:E370,3,FALSE)</f>
        <v>#N/A</v>
      </c>
      <c r="D156" s="480" t="e">
        <f>VLOOKUP(B156,HAB.GEN.!$C$19:$I$218,3,FALSE)</f>
        <v>#N/A</v>
      </c>
      <c r="E156" s="480" t="e">
        <f>VLOOKUP(B156,HAB.GEN.!$C$19:$I$218,4,FALSE)</f>
        <v>#N/A</v>
      </c>
      <c r="F156" s="480" t="e">
        <f>VLOOKUP(B156,HAB.GEN.!$C$19:$I$218,5,FALSE)</f>
        <v>#N/A</v>
      </c>
      <c r="G156" s="480" t="e">
        <f>VLOOKUP(B156,HAB.GEN.!$C$19:$I$218,6,FALSE)</f>
        <v>#N/A</v>
      </c>
      <c r="H156" s="480" t="str">
        <f t="shared" si="3"/>
        <v>HÁBIL</v>
      </c>
      <c r="I156" s="480" t="e">
        <f>VLOOKUP(C156,PON.EXP.ESP.!$D$30:$J$229,3,FALSE)</f>
        <v>#N/A</v>
      </c>
      <c r="J156" s="481" t="e">
        <f>VLOOKUP(C156,PON.EXP.ESP.!$D$30:$J$229,4,FALSE)</f>
        <v>#N/A</v>
      </c>
      <c r="K156" s="482" t="e">
        <f>VLOOKUP(C156,PON.EXP.ESP.!$D$30:$J$229,5,FALSE)</f>
        <v>#N/A</v>
      </c>
      <c r="L156" s="481" t="e">
        <f>VLOOKUP(C156,PON.EXP.ESP.!$D$30:$J$229,6,FALSE)</f>
        <v>#N/A</v>
      </c>
      <c r="M156" s="482" t="e">
        <f>VLOOKUP(C156,PON.EXP.ESP.!$D$30:$J$229,7,FALSE)</f>
        <v>#N/A</v>
      </c>
      <c r="N156" s="481" t="e">
        <f>VLOOKUP(C156,VIN.PERS.DISC.!$C$19:$D$218,2,FALSE)</f>
        <v>#N/A</v>
      </c>
      <c r="O156" s="483" t="e">
        <f>VLOOKUP(C156,'APOYO A IND. NAL.'!$C$19:$D$218,2,FALSE)</f>
        <v>#N/A</v>
      </c>
      <c r="P156" s="484" t="e">
        <f>VLOOKUP(C156,RESUMENGEN!$D$20:$J$219,7,FALSE)</f>
        <v>#N/A</v>
      </c>
      <c r="Q156" s="478"/>
      <c r="R156" s="484" t="e">
        <f t="shared" si="7"/>
        <v>#N/A</v>
      </c>
      <c r="S156" s="492" t="e">
        <f t="shared" si="6"/>
        <v>#N/A</v>
      </c>
    </row>
    <row r="157" spans="2:19" hidden="1">
      <c r="B157" s="491">
        <v>153</v>
      </c>
      <c r="C157" s="491" t="e">
        <f>VLOOKUP(B157,RESUMENGEN!B172:E371,3,FALSE)</f>
        <v>#N/A</v>
      </c>
      <c r="D157" s="480" t="e">
        <f>VLOOKUP(B157,HAB.GEN.!$C$19:$I$218,3,FALSE)</f>
        <v>#N/A</v>
      </c>
      <c r="E157" s="480" t="e">
        <f>VLOOKUP(B157,HAB.GEN.!$C$19:$I$218,4,FALSE)</f>
        <v>#N/A</v>
      </c>
      <c r="F157" s="480" t="e">
        <f>VLOOKUP(B157,HAB.GEN.!$C$19:$I$218,5,FALSE)</f>
        <v>#N/A</v>
      </c>
      <c r="G157" s="480" t="e">
        <f>VLOOKUP(B157,HAB.GEN.!$C$19:$I$218,6,FALSE)</f>
        <v>#N/A</v>
      </c>
      <c r="H157" s="480" t="str">
        <f t="shared" si="3"/>
        <v>HÁBIL</v>
      </c>
      <c r="I157" s="480" t="e">
        <f>VLOOKUP(C157,PON.EXP.ESP.!$D$30:$J$229,3,FALSE)</f>
        <v>#N/A</v>
      </c>
      <c r="J157" s="481" t="e">
        <f>VLOOKUP(C157,PON.EXP.ESP.!$D$30:$J$229,4,FALSE)</f>
        <v>#N/A</v>
      </c>
      <c r="K157" s="482" t="e">
        <f>VLOOKUP(C157,PON.EXP.ESP.!$D$30:$J$229,5,FALSE)</f>
        <v>#N/A</v>
      </c>
      <c r="L157" s="481" t="e">
        <f>VLOOKUP(C157,PON.EXP.ESP.!$D$30:$J$229,6,FALSE)</f>
        <v>#N/A</v>
      </c>
      <c r="M157" s="482" t="e">
        <f>VLOOKUP(C157,PON.EXP.ESP.!$D$30:$J$229,7,FALSE)</f>
        <v>#N/A</v>
      </c>
      <c r="N157" s="481" t="e">
        <f>VLOOKUP(C157,VIN.PERS.DISC.!$C$19:$D$218,2,FALSE)</f>
        <v>#N/A</v>
      </c>
      <c r="O157" s="483" t="e">
        <f>VLOOKUP(C157,'APOYO A IND. NAL.'!$C$19:$D$218,2,FALSE)</f>
        <v>#N/A</v>
      </c>
      <c r="P157" s="484" t="e">
        <f>VLOOKUP(C157,RESUMENGEN!$D$20:$J$219,7,FALSE)</f>
        <v>#N/A</v>
      </c>
      <c r="Q157" s="478"/>
      <c r="R157" s="484" t="e">
        <f t="shared" si="7"/>
        <v>#N/A</v>
      </c>
      <c r="S157" s="492" t="e">
        <f t="shared" si="6"/>
        <v>#N/A</v>
      </c>
    </row>
    <row r="158" spans="2:19" hidden="1">
      <c r="B158" s="491">
        <v>154</v>
      </c>
      <c r="C158" s="491" t="e">
        <f>VLOOKUP(B158,RESUMENGEN!B173:E372,3,FALSE)</f>
        <v>#N/A</v>
      </c>
      <c r="D158" s="480" t="e">
        <f>VLOOKUP(B158,HAB.GEN.!$C$19:$I$218,3,FALSE)</f>
        <v>#N/A</v>
      </c>
      <c r="E158" s="480" t="e">
        <f>VLOOKUP(B158,HAB.GEN.!$C$19:$I$218,4,FALSE)</f>
        <v>#N/A</v>
      </c>
      <c r="F158" s="480" t="e">
        <f>VLOOKUP(B158,HAB.GEN.!$C$19:$I$218,5,FALSE)</f>
        <v>#N/A</v>
      </c>
      <c r="G158" s="480" t="e">
        <f>VLOOKUP(B158,HAB.GEN.!$C$19:$I$218,6,FALSE)</f>
        <v>#N/A</v>
      </c>
      <c r="H158" s="480" t="str">
        <f t="shared" si="3"/>
        <v>HÁBIL</v>
      </c>
      <c r="I158" s="480" t="e">
        <f>VLOOKUP(C158,PON.EXP.ESP.!$D$30:$J$229,3,FALSE)</f>
        <v>#N/A</v>
      </c>
      <c r="J158" s="481" t="e">
        <f>VLOOKUP(C158,PON.EXP.ESP.!$D$30:$J$229,4,FALSE)</f>
        <v>#N/A</v>
      </c>
      <c r="K158" s="482" t="e">
        <f>VLOOKUP(C158,PON.EXP.ESP.!$D$30:$J$229,5,FALSE)</f>
        <v>#N/A</v>
      </c>
      <c r="L158" s="481" t="e">
        <f>VLOOKUP(C158,PON.EXP.ESP.!$D$30:$J$229,6,FALSE)</f>
        <v>#N/A</v>
      </c>
      <c r="M158" s="482" t="e">
        <f>VLOOKUP(C158,PON.EXP.ESP.!$D$30:$J$229,7,FALSE)</f>
        <v>#N/A</v>
      </c>
      <c r="N158" s="481" t="e">
        <f>VLOOKUP(C158,VIN.PERS.DISC.!$C$19:$D$218,2,FALSE)</f>
        <v>#N/A</v>
      </c>
      <c r="O158" s="483" t="e">
        <f>VLOOKUP(C158,'APOYO A IND. NAL.'!$C$19:$D$218,2,FALSE)</f>
        <v>#N/A</v>
      </c>
      <c r="P158" s="484" t="e">
        <f>VLOOKUP(C158,RESUMENGEN!$D$20:$J$219,7,FALSE)</f>
        <v>#N/A</v>
      </c>
      <c r="Q158" s="478"/>
      <c r="R158" s="484" t="e">
        <f t="shared" si="7"/>
        <v>#N/A</v>
      </c>
      <c r="S158" s="492" t="e">
        <f t="shared" si="6"/>
        <v>#N/A</v>
      </c>
    </row>
    <row r="159" spans="2:19" hidden="1">
      <c r="B159" s="491">
        <v>155</v>
      </c>
      <c r="C159" s="491" t="e">
        <f>VLOOKUP(B159,RESUMENGEN!B174:E373,3,FALSE)</f>
        <v>#N/A</v>
      </c>
      <c r="D159" s="480" t="e">
        <f>VLOOKUP(B159,HAB.GEN.!$C$19:$I$218,3,FALSE)</f>
        <v>#N/A</v>
      </c>
      <c r="E159" s="480" t="e">
        <f>VLOOKUP(B159,HAB.GEN.!$C$19:$I$218,4,FALSE)</f>
        <v>#N/A</v>
      </c>
      <c r="F159" s="480" t="e">
        <f>VLOOKUP(B159,HAB.GEN.!$C$19:$I$218,5,FALSE)</f>
        <v>#N/A</v>
      </c>
      <c r="G159" s="480" t="e">
        <f>VLOOKUP(B159,HAB.GEN.!$C$19:$I$218,6,FALSE)</f>
        <v>#N/A</v>
      </c>
      <c r="H159" s="480" t="str">
        <f t="shared" si="3"/>
        <v>HÁBIL</v>
      </c>
      <c r="I159" s="480" t="e">
        <f>VLOOKUP(C159,PON.EXP.ESP.!$D$30:$J$229,3,FALSE)</f>
        <v>#N/A</v>
      </c>
      <c r="J159" s="481" t="e">
        <f>VLOOKUP(C159,PON.EXP.ESP.!$D$30:$J$229,4,FALSE)</f>
        <v>#N/A</v>
      </c>
      <c r="K159" s="482" t="e">
        <f>VLOOKUP(C159,PON.EXP.ESP.!$D$30:$J$229,5,FALSE)</f>
        <v>#N/A</v>
      </c>
      <c r="L159" s="481" t="e">
        <f>VLOOKUP(C159,PON.EXP.ESP.!$D$30:$J$229,6,FALSE)</f>
        <v>#N/A</v>
      </c>
      <c r="M159" s="482" t="e">
        <f>VLOOKUP(C159,PON.EXP.ESP.!$D$30:$J$229,7,FALSE)</f>
        <v>#N/A</v>
      </c>
      <c r="N159" s="481" t="e">
        <f>VLOOKUP(C159,VIN.PERS.DISC.!$C$19:$D$218,2,FALSE)</f>
        <v>#N/A</v>
      </c>
      <c r="O159" s="483" t="e">
        <f>VLOOKUP(C159,'APOYO A IND. NAL.'!$C$19:$D$218,2,FALSE)</f>
        <v>#N/A</v>
      </c>
      <c r="P159" s="484" t="e">
        <f>VLOOKUP(C159,RESUMENGEN!$D$20:$J$219,7,FALSE)</f>
        <v>#N/A</v>
      </c>
      <c r="Q159" s="478"/>
      <c r="R159" s="484" t="e">
        <f t="shared" si="7"/>
        <v>#N/A</v>
      </c>
      <c r="S159" s="492" t="e">
        <f t="shared" si="6"/>
        <v>#N/A</v>
      </c>
    </row>
    <row r="160" spans="2:19" hidden="1">
      <c r="B160" s="491">
        <v>156</v>
      </c>
      <c r="C160" s="491" t="e">
        <f>VLOOKUP(B160,RESUMENGEN!B175:E374,3,FALSE)</f>
        <v>#N/A</v>
      </c>
      <c r="D160" s="480" t="e">
        <f>VLOOKUP(B160,HAB.GEN.!$C$19:$I$218,3,FALSE)</f>
        <v>#N/A</v>
      </c>
      <c r="E160" s="480" t="e">
        <f>VLOOKUP(B160,HAB.GEN.!$C$19:$I$218,4,FALSE)</f>
        <v>#N/A</v>
      </c>
      <c r="F160" s="480" t="e">
        <f>VLOOKUP(B160,HAB.GEN.!$C$19:$I$218,5,FALSE)</f>
        <v>#N/A</v>
      </c>
      <c r="G160" s="480" t="e">
        <f>VLOOKUP(B160,HAB.GEN.!$C$19:$I$218,6,FALSE)</f>
        <v>#N/A</v>
      </c>
      <c r="H160" s="480" t="str">
        <f t="shared" si="3"/>
        <v>HÁBIL</v>
      </c>
      <c r="I160" s="480" t="e">
        <f>VLOOKUP(C160,PON.EXP.ESP.!$D$30:$J$229,3,FALSE)</f>
        <v>#N/A</v>
      </c>
      <c r="J160" s="481" t="e">
        <f>VLOOKUP(C160,PON.EXP.ESP.!$D$30:$J$229,4,FALSE)</f>
        <v>#N/A</v>
      </c>
      <c r="K160" s="482" t="e">
        <f>VLOOKUP(C160,PON.EXP.ESP.!$D$30:$J$229,5,FALSE)</f>
        <v>#N/A</v>
      </c>
      <c r="L160" s="481" t="e">
        <f>VLOOKUP(C160,PON.EXP.ESP.!$D$30:$J$229,6,FALSE)</f>
        <v>#N/A</v>
      </c>
      <c r="M160" s="482" t="e">
        <f>VLOOKUP(C160,PON.EXP.ESP.!$D$30:$J$229,7,FALSE)</f>
        <v>#N/A</v>
      </c>
      <c r="N160" s="481" t="e">
        <f>VLOOKUP(C160,VIN.PERS.DISC.!$C$19:$D$218,2,FALSE)</f>
        <v>#N/A</v>
      </c>
      <c r="O160" s="483" t="e">
        <f>VLOOKUP(C160,'APOYO A IND. NAL.'!$C$19:$D$218,2,FALSE)</f>
        <v>#N/A</v>
      </c>
      <c r="P160" s="484" t="e">
        <f>VLOOKUP(C160,RESUMENGEN!$D$20:$J$219,7,FALSE)</f>
        <v>#N/A</v>
      </c>
      <c r="Q160" s="478"/>
      <c r="R160" s="484" t="e">
        <f t="shared" si="7"/>
        <v>#N/A</v>
      </c>
      <c r="S160" s="492" t="e">
        <f t="shared" si="6"/>
        <v>#N/A</v>
      </c>
    </row>
    <row r="161" spans="2:19" hidden="1">
      <c r="B161" s="491">
        <v>157</v>
      </c>
      <c r="C161" s="491" t="e">
        <f>VLOOKUP(B161,RESUMENGEN!B176:E375,3,FALSE)</f>
        <v>#N/A</v>
      </c>
      <c r="D161" s="480" t="e">
        <f>VLOOKUP(B161,HAB.GEN.!$C$19:$I$218,3,FALSE)</f>
        <v>#N/A</v>
      </c>
      <c r="E161" s="480" t="e">
        <f>VLOOKUP(B161,HAB.GEN.!$C$19:$I$218,4,FALSE)</f>
        <v>#N/A</v>
      </c>
      <c r="F161" s="480" t="e">
        <f>VLOOKUP(B161,HAB.GEN.!$C$19:$I$218,5,FALSE)</f>
        <v>#N/A</v>
      </c>
      <c r="G161" s="480" t="e">
        <f>VLOOKUP(B161,HAB.GEN.!$C$19:$I$218,6,FALSE)</f>
        <v>#N/A</v>
      </c>
      <c r="H161" s="480" t="str">
        <f t="shared" si="3"/>
        <v>HÁBIL</v>
      </c>
      <c r="I161" s="480" t="e">
        <f>VLOOKUP(C161,PON.EXP.ESP.!$D$30:$J$229,3,FALSE)</f>
        <v>#N/A</v>
      </c>
      <c r="J161" s="481" t="e">
        <f>VLOOKUP(C161,PON.EXP.ESP.!$D$30:$J$229,4,FALSE)</f>
        <v>#N/A</v>
      </c>
      <c r="K161" s="482" t="e">
        <f>VLOOKUP(C161,PON.EXP.ESP.!$D$30:$J$229,5,FALSE)</f>
        <v>#N/A</v>
      </c>
      <c r="L161" s="481" t="e">
        <f>VLOOKUP(C161,PON.EXP.ESP.!$D$30:$J$229,6,FALSE)</f>
        <v>#N/A</v>
      </c>
      <c r="M161" s="482" t="e">
        <f>VLOOKUP(C161,PON.EXP.ESP.!$D$30:$J$229,7,FALSE)</f>
        <v>#N/A</v>
      </c>
      <c r="N161" s="481" t="e">
        <f>VLOOKUP(C161,VIN.PERS.DISC.!$C$19:$D$218,2,FALSE)</f>
        <v>#N/A</v>
      </c>
      <c r="O161" s="483" t="e">
        <f>VLOOKUP(C161,'APOYO A IND. NAL.'!$C$19:$D$218,2,FALSE)</f>
        <v>#N/A</v>
      </c>
      <c r="P161" s="484" t="e">
        <f>VLOOKUP(C161,RESUMENGEN!$D$20:$J$219,7,FALSE)</f>
        <v>#N/A</v>
      </c>
      <c r="Q161" s="478"/>
      <c r="R161" s="484" t="e">
        <f t="shared" si="7"/>
        <v>#N/A</v>
      </c>
      <c r="S161" s="492" t="e">
        <f t="shared" si="6"/>
        <v>#N/A</v>
      </c>
    </row>
    <row r="162" spans="2:19" hidden="1">
      <c r="B162" s="491">
        <v>158</v>
      </c>
      <c r="C162" s="491" t="e">
        <f>VLOOKUP(B162,RESUMENGEN!B177:E376,3,FALSE)</f>
        <v>#N/A</v>
      </c>
      <c r="D162" s="480" t="e">
        <f>VLOOKUP(B162,HAB.GEN.!$C$19:$I$218,3,FALSE)</f>
        <v>#N/A</v>
      </c>
      <c r="E162" s="480" t="e">
        <f>VLOOKUP(B162,HAB.GEN.!$C$19:$I$218,4,FALSE)</f>
        <v>#N/A</v>
      </c>
      <c r="F162" s="480" t="e">
        <f>VLOOKUP(B162,HAB.GEN.!$C$19:$I$218,5,FALSE)</f>
        <v>#N/A</v>
      </c>
      <c r="G162" s="480" t="e">
        <f>VLOOKUP(B162,HAB.GEN.!$C$19:$I$218,6,FALSE)</f>
        <v>#N/A</v>
      </c>
      <c r="H162" s="480" t="str">
        <f t="shared" si="3"/>
        <v>HÁBIL</v>
      </c>
      <c r="I162" s="480" t="e">
        <f>VLOOKUP(C162,PON.EXP.ESP.!$D$30:$J$229,3,FALSE)</f>
        <v>#N/A</v>
      </c>
      <c r="J162" s="481" t="e">
        <f>VLOOKUP(C162,PON.EXP.ESP.!$D$30:$J$229,4,FALSE)</f>
        <v>#N/A</v>
      </c>
      <c r="K162" s="482" t="e">
        <f>VLOOKUP(C162,PON.EXP.ESP.!$D$30:$J$229,5,FALSE)</f>
        <v>#N/A</v>
      </c>
      <c r="L162" s="481" t="e">
        <f>VLOOKUP(C162,PON.EXP.ESP.!$D$30:$J$229,6,FALSE)</f>
        <v>#N/A</v>
      </c>
      <c r="M162" s="482" t="e">
        <f>VLOOKUP(C162,PON.EXP.ESP.!$D$30:$J$229,7,FALSE)</f>
        <v>#N/A</v>
      </c>
      <c r="N162" s="481" t="e">
        <f>VLOOKUP(C162,VIN.PERS.DISC.!$C$19:$D$218,2,FALSE)</f>
        <v>#N/A</v>
      </c>
      <c r="O162" s="483" t="e">
        <f>VLOOKUP(C162,'APOYO A IND. NAL.'!$C$19:$D$218,2,FALSE)</f>
        <v>#N/A</v>
      </c>
      <c r="P162" s="484" t="e">
        <f>VLOOKUP(C162,RESUMENGEN!$D$20:$J$219,7,FALSE)</f>
        <v>#N/A</v>
      </c>
      <c r="Q162" s="478"/>
      <c r="R162" s="484" t="e">
        <f t="shared" si="7"/>
        <v>#N/A</v>
      </c>
      <c r="S162" s="492" t="e">
        <f t="shared" si="6"/>
        <v>#N/A</v>
      </c>
    </row>
    <row r="163" spans="2:19" hidden="1">
      <c r="B163" s="491">
        <v>159</v>
      </c>
      <c r="C163" s="491" t="e">
        <f>VLOOKUP(B163,RESUMENGEN!B178:E377,3,FALSE)</f>
        <v>#N/A</v>
      </c>
      <c r="D163" s="480" t="e">
        <f>VLOOKUP(B163,HAB.GEN.!$C$19:$I$218,3,FALSE)</f>
        <v>#N/A</v>
      </c>
      <c r="E163" s="480" t="e">
        <f>VLOOKUP(B163,HAB.GEN.!$C$19:$I$218,4,FALSE)</f>
        <v>#N/A</v>
      </c>
      <c r="F163" s="480" t="e">
        <f>VLOOKUP(B163,HAB.GEN.!$C$19:$I$218,5,FALSE)</f>
        <v>#N/A</v>
      </c>
      <c r="G163" s="480" t="e">
        <f>VLOOKUP(B163,HAB.GEN.!$C$19:$I$218,6,FALSE)</f>
        <v>#N/A</v>
      </c>
      <c r="H163" s="480" t="str">
        <f t="shared" si="3"/>
        <v>HÁBIL</v>
      </c>
      <c r="I163" s="480" t="e">
        <f>VLOOKUP(C163,PON.EXP.ESP.!$D$30:$J$229,3,FALSE)</f>
        <v>#N/A</v>
      </c>
      <c r="J163" s="481" t="e">
        <f>VLOOKUP(C163,PON.EXP.ESP.!$D$30:$J$229,4,FALSE)</f>
        <v>#N/A</v>
      </c>
      <c r="K163" s="482" t="e">
        <f>VLOOKUP(C163,PON.EXP.ESP.!$D$30:$J$229,5,FALSE)</f>
        <v>#N/A</v>
      </c>
      <c r="L163" s="481" t="e">
        <f>VLOOKUP(C163,PON.EXP.ESP.!$D$30:$J$229,6,FALSE)</f>
        <v>#N/A</v>
      </c>
      <c r="M163" s="482" t="e">
        <f>VLOOKUP(C163,PON.EXP.ESP.!$D$30:$J$229,7,FALSE)</f>
        <v>#N/A</v>
      </c>
      <c r="N163" s="481" t="e">
        <f>VLOOKUP(C163,VIN.PERS.DISC.!$C$19:$D$218,2,FALSE)</f>
        <v>#N/A</v>
      </c>
      <c r="O163" s="483" t="e">
        <f>VLOOKUP(C163,'APOYO A IND. NAL.'!$C$19:$D$218,2,FALSE)</f>
        <v>#N/A</v>
      </c>
      <c r="P163" s="484" t="e">
        <f>VLOOKUP(C163,RESUMENGEN!$D$20:$J$219,7,FALSE)</f>
        <v>#N/A</v>
      </c>
      <c r="Q163" s="478"/>
      <c r="R163" s="484" t="e">
        <f t="shared" si="7"/>
        <v>#N/A</v>
      </c>
      <c r="S163" s="492" t="e">
        <f t="shared" si="6"/>
        <v>#N/A</v>
      </c>
    </row>
    <row r="164" spans="2:19" hidden="1">
      <c r="B164" s="491">
        <v>160</v>
      </c>
      <c r="C164" s="491" t="e">
        <f>VLOOKUP(B164,RESUMENGEN!B179:E378,3,FALSE)</f>
        <v>#N/A</v>
      </c>
      <c r="D164" s="480" t="e">
        <f>VLOOKUP(B164,HAB.GEN.!$C$19:$I$218,3,FALSE)</f>
        <v>#N/A</v>
      </c>
      <c r="E164" s="480" t="e">
        <f>VLOOKUP(B164,HAB.GEN.!$C$19:$I$218,4,FALSE)</f>
        <v>#N/A</v>
      </c>
      <c r="F164" s="480" t="e">
        <f>VLOOKUP(B164,HAB.GEN.!$C$19:$I$218,5,FALSE)</f>
        <v>#N/A</v>
      </c>
      <c r="G164" s="480" t="e">
        <f>VLOOKUP(B164,HAB.GEN.!$C$19:$I$218,6,FALSE)</f>
        <v>#N/A</v>
      </c>
      <c r="H164" s="480" t="str">
        <f t="shared" si="3"/>
        <v>HÁBIL</v>
      </c>
      <c r="I164" s="480" t="e">
        <f>VLOOKUP(C164,PON.EXP.ESP.!$D$30:$J$229,3,FALSE)</f>
        <v>#N/A</v>
      </c>
      <c r="J164" s="481" t="e">
        <f>VLOOKUP(C164,PON.EXP.ESP.!$D$30:$J$229,4,FALSE)</f>
        <v>#N/A</v>
      </c>
      <c r="K164" s="482" t="e">
        <f>VLOOKUP(C164,PON.EXP.ESP.!$D$30:$J$229,5,FALSE)</f>
        <v>#N/A</v>
      </c>
      <c r="L164" s="481" t="e">
        <f>VLOOKUP(C164,PON.EXP.ESP.!$D$30:$J$229,6,FALSE)</f>
        <v>#N/A</v>
      </c>
      <c r="M164" s="482" t="e">
        <f>VLOOKUP(C164,PON.EXP.ESP.!$D$30:$J$229,7,FALSE)</f>
        <v>#N/A</v>
      </c>
      <c r="N164" s="481" t="e">
        <f>VLOOKUP(C164,VIN.PERS.DISC.!$C$19:$D$218,2,FALSE)</f>
        <v>#N/A</v>
      </c>
      <c r="O164" s="483" t="e">
        <f>VLOOKUP(C164,'APOYO A IND. NAL.'!$C$19:$D$218,2,FALSE)</f>
        <v>#N/A</v>
      </c>
      <c r="P164" s="484" t="e">
        <f>VLOOKUP(C164,RESUMENGEN!$D$20:$J$219,7,FALSE)</f>
        <v>#N/A</v>
      </c>
      <c r="Q164" s="478"/>
      <c r="R164" s="484" t="e">
        <f t="shared" si="7"/>
        <v>#N/A</v>
      </c>
      <c r="S164" s="492" t="e">
        <f t="shared" si="6"/>
        <v>#N/A</v>
      </c>
    </row>
    <row r="165" spans="2:19" hidden="1">
      <c r="B165" s="491">
        <v>161</v>
      </c>
      <c r="C165" s="491" t="e">
        <f>VLOOKUP(B165,RESUMENGEN!B180:E379,3,FALSE)</f>
        <v>#N/A</v>
      </c>
      <c r="D165" s="480" t="e">
        <f>VLOOKUP(B165,HAB.GEN.!$C$19:$I$218,3,FALSE)</f>
        <v>#N/A</v>
      </c>
      <c r="E165" s="480" t="e">
        <f>VLOOKUP(B165,HAB.GEN.!$C$19:$I$218,4,FALSE)</f>
        <v>#N/A</v>
      </c>
      <c r="F165" s="480" t="e">
        <f>VLOOKUP(B165,HAB.GEN.!$C$19:$I$218,5,FALSE)</f>
        <v>#N/A</v>
      </c>
      <c r="G165" s="480" t="e">
        <f>VLOOKUP(B165,HAB.GEN.!$C$19:$I$218,6,FALSE)</f>
        <v>#N/A</v>
      </c>
      <c r="H165" s="480" t="str">
        <f t="shared" si="3"/>
        <v>HÁBIL</v>
      </c>
      <c r="I165" s="480" t="e">
        <f>VLOOKUP(C165,PON.EXP.ESP.!$D$30:$J$229,3,FALSE)</f>
        <v>#N/A</v>
      </c>
      <c r="J165" s="481" t="e">
        <f>VLOOKUP(C165,PON.EXP.ESP.!$D$30:$J$229,4,FALSE)</f>
        <v>#N/A</v>
      </c>
      <c r="K165" s="482" t="e">
        <f>VLOOKUP(C165,PON.EXP.ESP.!$D$30:$J$229,5,FALSE)</f>
        <v>#N/A</v>
      </c>
      <c r="L165" s="481" t="e">
        <f>VLOOKUP(C165,PON.EXP.ESP.!$D$30:$J$229,6,FALSE)</f>
        <v>#N/A</v>
      </c>
      <c r="M165" s="482" t="e">
        <f>VLOOKUP(C165,PON.EXP.ESP.!$D$30:$J$229,7,FALSE)</f>
        <v>#N/A</v>
      </c>
      <c r="N165" s="481" t="e">
        <f>VLOOKUP(C165,VIN.PERS.DISC.!$C$19:$D$218,2,FALSE)</f>
        <v>#N/A</v>
      </c>
      <c r="O165" s="483" t="e">
        <f>VLOOKUP(C165,'APOYO A IND. NAL.'!$C$19:$D$218,2,FALSE)</f>
        <v>#N/A</v>
      </c>
      <c r="P165" s="484" t="e">
        <f>VLOOKUP(C165,RESUMENGEN!$D$20:$J$219,7,FALSE)</f>
        <v>#N/A</v>
      </c>
      <c r="Q165" s="478"/>
      <c r="R165" s="484" t="e">
        <f t="shared" si="7"/>
        <v>#N/A</v>
      </c>
      <c r="S165" s="492" t="e">
        <f t="shared" si="6"/>
        <v>#N/A</v>
      </c>
    </row>
    <row r="166" spans="2:19" hidden="1">
      <c r="B166" s="491">
        <v>162</v>
      </c>
      <c r="C166" s="491" t="e">
        <f>VLOOKUP(B166,RESUMENGEN!B181:E380,3,FALSE)</f>
        <v>#N/A</v>
      </c>
      <c r="D166" s="480" t="e">
        <f>VLOOKUP(B166,HAB.GEN.!$C$19:$I$218,3,FALSE)</f>
        <v>#N/A</v>
      </c>
      <c r="E166" s="480" t="e">
        <f>VLOOKUP(B166,HAB.GEN.!$C$19:$I$218,4,FALSE)</f>
        <v>#N/A</v>
      </c>
      <c r="F166" s="480" t="e">
        <f>VLOOKUP(B166,HAB.GEN.!$C$19:$I$218,5,FALSE)</f>
        <v>#N/A</v>
      </c>
      <c r="G166" s="480" t="e">
        <f>VLOOKUP(B166,HAB.GEN.!$C$19:$I$218,6,FALSE)</f>
        <v>#N/A</v>
      </c>
      <c r="H166" s="480" t="str">
        <f t="shared" si="3"/>
        <v>HÁBIL</v>
      </c>
      <c r="I166" s="480" t="e">
        <f>VLOOKUP(C166,PON.EXP.ESP.!$D$30:$J$229,3,FALSE)</f>
        <v>#N/A</v>
      </c>
      <c r="J166" s="481" t="e">
        <f>VLOOKUP(C166,PON.EXP.ESP.!$D$30:$J$229,4,FALSE)</f>
        <v>#N/A</v>
      </c>
      <c r="K166" s="482" t="e">
        <f>VLOOKUP(C166,PON.EXP.ESP.!$D$30:$J$229,5,FALSE)</f>
        <v>#N/A</v>
      </c>
      <c r="L166" s="481" t="e">
        <f>VLOOKUP(C166,PON.EXP.ESP.!$D$30:$J$229,6,FALSE)</f>
        <v>#N/A</v>
      </c>
      <c r="M166" s="482" t="e">
        <f>VLOOKUP(C166,PON.EXP.ESP.!$D$30:$J$229,7,FALSE)</f>
        <v>#N/A</v>
      </c>
      <c r="N166" s="481" t="e">
        <f>VLOOKUP(C166,VIN.PERS.DISC.!$C$19:$D$218,2,FALSE)</f>
        <v>#N/A</v>
      </c>
      <c r="O166" s="483" t="e">
        <f>VLOOKUP(C166,'APOYO A IND. NAL.'!$C$19:$D$218,2,FALSE)</f>
        <v>#N/A</v>
      </c>
      <c r="P166" s="484" t="e">
        <f>VLOOKUP(C166,RESUMENGEN!$D$20:$J$219,7,FALSE)</f>
        <v>#N/A</v>
      </c>
      <c r="Q166" s="478"/>
      <c r="R166" s="484" t="e">
        <f t="shared" si="7"/>
        <v>#N/A</v>
      </c>
      <c r="S166" s="492" t="e">
        <f t="shared" si="6"/>
        <v>#N/A</v>
      </c>
    </row>
    <row r="167" spans="2:19" hidden="1">
      <c r="B167" s="491">
        <v>163</v>
      </c>
      <c r="C167" s="491" t="e">
        <f>VLOOKUP(B167,RESUMENGEN!B182:E381,3,FALSE)</f>
        <v>#N/A</v>
      </c>
      <c r="D167" s="480" t="e">
        <f>VLOOKUP(B167,HAB.GEN.!$C$19:$I$218,3,FALSE)</f>
        <v>#N/A</v>
      </c>
      <c r="E167" s="480" t="e">
        <f>VLOOKUP(B167,HAB.GEN.!$C$19:$I$218,4,FALSE)</f>
        <v>#N/A</v>
      </c>
      <c r="F167" s="480" t="e">
        <f>VLOOKUP(B167,HAB.GEN.!$C$19:$I$218,5,FALSE)</f>
        <v>#N/A</v>
      </c>
      <c r="G167" s="480" t="e">
        <f>VLOOKUP(B167,HAB.GEN.!$C$19:$I$218,6,FALSE)</f>
        <v>#N/A</v>
      </c>
      <c r="H167" s="480" t="str">
        <f t="shared" si="3"/>
        <v>HÁBIL</v>
      </c>
      <c r="I167" s="480" t="e">
        <f>VLOOKUP(C167,PON.EXP.ESP.!$D$30:$J$229,3,FALSE)</f>
        <v>#N/A</v>
      </c>
      <c r="J167" s="481" t="e">
        <f>VLOOKUP(C167,PON.EXP.ESP.!$D$30:$J$229,4,FALSE)</f>
        <v>#N/A</v>
      </c>
      <c r="K167" s="482" t="e">
        <f>VLOOKUP(C167,PON.EXP.ESP.!$D$30:$J$229,5,FALSE)</f>
        <v>#N/A</v>
      </c>
      <c r="L167" s="481" t="e">
        <f>VLOOKUP(C167,PON.EXP.ESP.!$D$30:$J$229,6,FALSE)</f>
        <v>#N/A</v>
      </c>
      <c r="M167" s="482" t="e">
        <f>VLOOKUP(C167,PON.EXP.ESP.!$D$30:$J$229,7,FALSE)</f>
        <v>#N/A</v>
      </c>
      <c r="N167" s="481" t="e">
        <f>VLOOKUP(C167,VIN.PERS.DISC.!$C$19:$D$218,2,FALSE)</f>
        <v>#N/A</v>
      </c>
      <c r="O167" s="483" t="e">
        <f>VLOOKUP(C167,'APOYO A IND. NAL.'!$C$19:$D$218,2,FALSE)</f>
        <v>#N/A</v>
      </c>
      <c r="P167" s="484" t="e">
        <f>VLOOKUP(C167,RESUMENGEN!$D$20:$J$219,7,FALSE)</f>
        <v>#N/A</v>
      </c>
      <c r="Q167" s="478"/>
      <c r="R167" s="484" t="e">
        <f t="shared" si="7"/>
        <v>#N/A</v>
      </c>
      <c r="S167" s="492" t="e">
        <f t="shared" si="6"/>
        <v>#N/A</v>
      </c>
    </row>
    <row r="168" spans="2:19" hidden="1">
      <c r="B168" s="491">
        <v>164</v>
      </c>
      <c r="C168" s="491" t="e">
        <f>VLOOKUP(B168,RESUMENGEN!B183:E382,3,FALSE)</f>
        <v>#N/A</v>
      </c>
      <c r="D168" s="480" t="e">
        <f>VLOOKUP(B168,HAB.GEN.!$C$19:$I$218,3,FALSE)</f>
        <v>#N/A</v>
      </c>
      <c r="E168" s="480" t="e">
        <f>VLOOKUP(B168,HAB.GEN.!$C$19:$I$218,4,FALSE)</f>
        <v>#N/A</v>
      </c>
      <c r="F168" s="480" t="e">
        <f>VLOOKUP(B168,HAB.GEN.!$C$19:$I$218,5,FALSE)</f>
        <v>#N/A</v>
      </c>
      <c r="G168" s="480" t="e">
        <f>VLOOKUP(B168,HAB.GEN.!$C$19:$I$218,6,FALSE)</f>
        <v>#N/A</v>
      </c>
      <c r="H168" s="480" t="str">
        <f t="shared" si="3"/>
        <v>HÁBIL</v>
      </c>
      <c r="I168" s="480" t="e">
        <f>VLOOKUP(C168,PON.EXP.ESP.!$D$30:$J$229,3,FALSE)</f>
        <v>#N/A</v>
      </c>
      <c r="J168" s="481" t="e">
        <f>VLOOKUP(C168,PON.EXP.ESP.!$D$30:$J$229,4,FALSE)</f>
        <v>#N/A</v>
      </c>
      <c r="K168" s="482" t="e">
        <f>VLOOKUP(C168,PON.EXP.ESP.!$D$30:$J$229,5,FALSE)</f>
        <v>#N/A</v>
      </c>
      <c r="L168" s="481" t="e">
        <f>VLOOKUP(C168,PON.EXP.ESP.!$D$30:$J$229,6,FALSE)</f>
        <v>#N/A</v>
      </c>
      <c r="M168" s="482" t="e">
        <f>VLOOKUP(C168,PON.EXP.ESP.!$D$30:$J$229,7,FALSE)</f>
        <v>#N/A</v>
      </c>
      <c r="N168" s="481" t="e">
        <f>VLOOKUP(C168,VIN.PERS.DISC.!$C$19:$D$218,2,FALSE)</f>
        <v>#N/A</v>
      </c>
      <c r="O168" s="483" t="e">
        <f>VLOOKUP(C168,'APOYO A IND. NAL.'!$C$19:$D$218,2,FALSE)</f>
        <v>#N/A</v>
      </c>
      <c r="P168" s="484" t="e">
        <f>VLOOKUP(C168,RESUMENGEN!$D$20:$J$219,7,FALSE)</f>
        <v>#N/A</v>
      </c>
      <c r="Q168" s="478"/>
      <c r="R168" s="484" t="e">
        <f t="shared" si="7"/>
        <v>#N/A</v>
      </c>
      <c r="S168" s="492" t="e">
        <f t="shared" ref="S168:S204" si="8">IF(P168=R168,"SI","NO")</f>
        <v>#N/A</v>
      </c>
    </row>
    <row r="169" spans="2:19" hidden="1">
      <c r="B169" s="491">
        <v>165</v>
      </c>
      <c r="C169" s="491" t="e">
        <f>VLOOKUP(B169,RESUMENGEN!B184:E383,3,FALSE)</f>
        <v>#N/A</v>
      </c>
      <c r="D169" s="480" t="e">
        <f>VLOOKUP(B169,HAB.GEN.!$C$19:$I$218,3,FALSE)</f>
        <v>#N/A</v>
      </c>
      <c r="E169" s="480" t="e">
        <f>VLOOKUP(B169,HAB.GEN.!$C$19:$I$218,4,FALSE)</f>
        <v>#N/A</v>
      </c>
      <c r="F169" s="480" t="e">
        <f>VLOOKUP(B169,HAB.GEN.!$C$19:$I$218,5,FALSE)</f>
        <v>#N/A</v>
      </c>
      <c r="G169" s="480" t="e">
        <f>VLOOKUP(B169,HAB.GEN.!$C$19:$I$218,6,FALSE)</f>
        <v>#N/A</v>
      </c>
      <c r="H169" s="480" t="str">
        <f t="shared" si="3"/>
        <v>HÁBIL</v>
      </c>
      <c r="I169" s="480" t="e">
        <f>VLOOKUP(C169,PON.EXP.ESP.!$D$30:$J$229,3,FALSE)</f>
        <v>#N/A</v>
      </c>
      <c r="J169" s="481" t="e">
        <f>VLOOKUP(C169,PON.EXP.ESP.!$D$30:$J$229,4,FALSE)</f>
        <v>#N/A</v>
      </c>
      <c r="K169" s="482" t="e">
        <f>VLOOKUP(C169,PON.EXP.ESP.!$D$30:$J$229,5,FALSE)</f>
        <v>#N/A</v>
      </c>
      <c r="L169" s="481" t="e">
        <f>VLOOKUP(C169,PON.EXP.ESP.!$D$30:$J$229,6,FALSE)</f>
        <v>#N/A</v>
      </c>
      <c r="M169" s="482" t="e">
        <f>VLOOKUP(C169,PON.EXP.ESP.!$D$30:$J$229,7,FALSE)</f>
        <v>#N/A</v>
      </c>
      <c r="N169" s="481" t="e">
        <f>VLOOKUP(C169,VIN.PERS.DISC.!$C$19:$D$218,2,FALSE)</f>
        <v>#N/A</v>
      </c>
      <c r="O169" s="483" t="e">
        <f>VLOOKUP(C169,'APOYO A IND. NAL.'!$C$19:$D$218,2,FALSE)</f>
        <v>#N/A</v>
      </c>
      <c r="P169" s="484" t="e">
        <f>VLOOKUP(C169,RESUMENGEN!$D$20:$J$219,7,FALSE)</f>
        <v>#N/A</v>
      </c>
      <c r="Q169" s="478"/>
      <c r="R169" s="484" t="e">
        <f t="shared" si="7"/>
        <v>#N/A</v>
      </c>
      <c r="S169" s="492" t="e">
        <f t="shared" si="8"/>
        <v>#N/A</v>
      </c>
    </row>
    <row r="170" spans="2:19" hidden="1">
      <c r="B170" s="491">
        <v>166</v>
      </c>
      <c r="C170" s="491" t="e">
        <f>VLOOKUP(B170,RESUMENGEN!B185:E384,3,FALSE)</f>
        <v>#N/A</v>
      </c>
      <c r="D170" s="480" t="e">
        <f>VLOOKUP(B170,HAB.GEN.!$C$19:$I$218,3,FALSE)</f>
        <v>#N/A</v>
      </c>
      <c r="E170" s="480" t="e">
        <f>VLOOKUP(B170,HAB.GEN.!$C$19:$I$218,4,FALSE)</f>
        <v>#N/A</v>
      </c>
      <c r="F170" s="480" t="e">
        <f>VLOOKUP(B170,HAB.GEN.!$C$19:$I$218,5,FALSE)</f>
        <v>#N/A</v>
      </c>
      <c r="G170" s="480" t="e">
        <f>VLOOKUP(B170,HAB.GEN.!$C$19:$I$218,6,FALSE)</f>
        <v>#N/A</v>
      </c>
      <c r="H170" s="480" t="str">
        <f t="shared" si="3"/>
        <v>HÁBIL</v>
      </c>
      <c r="I170" s="480" t="e">
        <f>VLOOKUP(C170,PON.EXP.ESP.!$D$30:$J$229,3,FALSE)</f>
        <v>#N/A</v>
      </c>
      <c r="J170" s="481" t="e">
        <f>VLOOKUP(C170,PON.EXP.ESP.!$D$30:$J$229,4,FALSE)</f>
        <v>#N/A</v>
      </c>
      <c r="K170" s="482" t="e">
        <f>VLOOKUP(C170,PON.EXP.ESP.!$D$30:$J$229,5,FALSE)</f>
        <v>#N/A</v>
      </c>
      <c r="L170" s="481" t="e">
        <f>VLOOKUP(C170,PON.EXP.ESP.!$D$30:$J$229,6,FALSE)</f>
        <v>#N/A</v>
      </c>
      <c r="M170" s="482" t="e">
        <f>VLOOKUP(C170,PON.EXP.ESP.!$D$30:$J$229,7,FALSE)</f>
        <v>#N/A</v>
      </c>
      <c r="N170" s="481" t="e">
        <f>VLOOKUP(C170,VIN.PERS.DISC.!$C$19:$D$218,2,FALSE)</f>
        <v>#N/A</v>
      </c>
      <c r="O170" s="483" t="e">
        <f>VLOOKUP(C170,'APOYO A IND. NAL.'!$C$19:$D$218,2,FALSE)</f>
        <v>#N/A</v>
      </c>
      <c r="P170" s="484" t="e">
        <f>VLOOKUP(C170,RESUMENGEN!$D$20:$J$219,7,FALSE)</f>
        <v>#N/A</v>
      </c>
      <c r="Q170" s="478"/>
      <c r="R170" s="484" t="e">
        <f t="shared" si="7"/>
        <v>#N/A</v>
      </c>
      <c r="S170" s="492" t="e">
        <f t="shared" si="8"/>
        <v>#N/A</v>
      </c>
    </row>
    <row r="171" spans="2:19" hidden="1">
      <c r="B171" s="491">
        <v>167</v>
      </c>
      <c r="C171" s="491" t="e">
        <f>VLOOKUP(B171,RESUMENGEN!B186:E385,3,FALSE)</f>
        <v>#N/A</v>
      </c>
      <c r="D171" s="480" t="e">
        <f>VLOOKUP(B171,HAB.GEN.!$C$19:$I$218,3,FALSE)</f>
        <v>#N/A</v>
      </c>
      <c r="E171" s="480" t="e">
        <f>VLOOKUP(B171,HAB.GEN.!$C$19:$I$218,4,FALSE)</f>
        <v>#N/A</v>
      </c>
      <c r="F171" s="480" t="e">
        <f>VLOOKUP(B171,HAB.GEN.!$C$19:$I$218,5,FALSE)</f>
        <v>#N/A</v>
      </c>
      <c r="G171" s="480" t="e">
        <f>VLOOKUP(B171,HAB.GEN.!$C$19:$I$218,6,FALSE)</f>
        <v>#N/A</v>
      </c>
      <c r="H171" s="480" t="str">
        <f t="shared" si="3"/>
        <v>HÁBIL</v>
      </c>
      <c r="I171" s="480" t="e">
        <f>VLOOKUP(C171,PON.EXP.ESP.!$D$30:$J$229,3,FALSE)</f>
        <v>#N/A</v>
      </c>
      <c r="J171" s="481" t="e">
        <f>VLOOKUP(C171,PON.EXP.ESP.!$D$30:$J$229,4,FALSE)</f>
        <v>#N/A</v>
      </c>
      <c r="K171" s="482" t="e">
        <f>VLOOKUP(C171,PON.EXP.ESP.!$D$30:$J$229,5,FALSE)</f>
        <v>#N/A</v>
      </c>
      <c r="L171" s="481" t="e">
        <f>VLOOKUP(C171,PON.EXP.ESP.!$D$30:$J$229,6,FALSE)</f>
        <v>#N/A</v>
      </c>
      <c r="M171" s="482" t="e">
        <f>VLOOKUP(C171,PON.EXP.ESP.!$D$30:$J$229,7,FALSE)</f>
        <v>#N/A</v>
      </c>
      <c r="N171" s="481" t="e">
        <f>VLOOKUP(C171,VIN.PERS.DISC.!$C$19:$D$218,2,FALSE)</f>
        <v>#N/A</v>
      </c>
      <c r="O171" s="483" t="e">
        <f>VLOOKUP(C171,'APOYO A IND. NAL.'!$C$19:$D$218,2,FALSE)</f>
        <v>#N/A</v>
      </c>
      <c r="P171" s="484" t="e">
        <f>VLOOKUP(C171,RESUMENGEN!$D$20:$J$219,7,FALSE)</f>
        <v>#N/A</v>
      </c>
      <c r="Q171" s="478"/>
      <c r="R171" s="484" t="e">
        <f t="shared" si="7"/>
        <v>#N/A</v>
      </c>
      <c r="S171" s="492" t="e">
        <f t="shared" si="8"/>
        <v>#N/A</v>
      </c>
    </row>
    <row r="172" spans="2:19" hidden="1">
      <c r="B172" s="491">
        <v>168</v>
      </c>
      <c r="C172" s="491" t="e">
        <f>VLOOKUP(B172,RESUMENGEN!B187:E386,3,FALSE)</f>
        <v>#N/A</v>
      </c>
      <c r="D172" s="480" t="e">
        <f>VLOOKUP(B172,HAB.GEN.!$C$19:$I$218,3,FALSE)</f>
        <v>#N/A</v>
      </c>
      <c r="E172" s="480" t="e">
        <f>VLOOKUP(B172,HAB.GEN.!$C$19:$I$218,4,FALSE)</f>
        <v>#N/A</v>
      </c>
      <c r="F172" s="480" t="e">
        <f>VLOOKUP(B172,HAB.GEN.!$C$19:$I$218,5,FALSE)</f>
        <v>#N/A</v>
      </c>
      <c r="G172" s="480" t="e">
        <f>VLOOKUP(B172,HAB.GEN.!$C$19:$I$218,6,FALSE)</f>
        <v>#N/A</v>
      </c>
      <c r="H172" s="480" t="str">
        <f t="shared" si="3"/>
        <v>HÁBIL</v>
      </c>
      <c r="I172" s="480" t="e">
        <f>VLOOKUP(C172,PON.EXP.ESP.!$D$30:$J$229,3,FALSE)</f>
        <v>#N/A</v>
      </c>
      <c r="J172" s="481" t="e">
        <f>VLOOKUP(C172,PON.EXP.ESP.!$D$30:$J$229,4,FALSE)</f>
        <v>#N/A</v>
      </c>
      <c r="K172" s="482" t="e">
        <f>VLOOKUP(C172,PON.EXP.ESP.!$D$30:$J$229,5,FALSE)</f>
        <v>#N/A</v>
      </c>
      <c r="L172" s="481" t="e">
        <f>VLOOKUP(C172,PON.EXP.ESP.!$D$30:$J$229,6,FALSE)</f>
        <v>#N/A</v>
      </c>
      <c r="M172" s="482" t="e">
        <f>VLOOKUP(C172,PON.EXP.ESP.!$D$30:$J$229,7,FALSE)</f>
        <v>#N/A</v>
      </c>
      <c r="N172" s="481" t="e">
        <f>VLOOKUP(C172,VIN.PERS.DISC.!$C$19:$D$218,2,FALSE)</f>
        <v>#N/A</v>
      </c>
      <c r="O172" s="483" t="e">
        <f>VLOOKUP(C172,'APOYO A IND. NAL.'!$C$19:$D$218,2,FALSE)</f>
        <v>#N/A</v>
      </c>
      <c r="P172" s="484" t="e">
        <f>VLOOKUP(C172,RESUMENGEN!$D$20:$J$219,7,FALSE)</f>
        <v>#N/A</v>
      </c>
      <c r="Q172" s="478"/>
      <c r="R172" s="484" t="e">
        <f t="shared" si="7"/>
        <v>#N/A</v>
      </c>
      <c r="S172" s="492" t="e">
        <f t="shared" si="8"/>
        <v>#N/A</v>
      </c>
    </row>
    <row r="173" spans="2:19" hidden="1">
      <c r="B173" s="491">
        <v>169</v>
      </c>
      <c r="C173" s="491" t="e">
        <f>VLOOKUP(B173,RESUMENGEN!B188:E387,3,FALSE)</f>
        <v>#N/A</v>
      </c>
      <c r="D173" s="480" t="e">
        <f>VLOOKUP(B173,HAB.GEN.!$C$19:$I$218,3,FALSE)</f>
        <v>#N/A</v>
      </c>
      <c r="E173" s="480" t="e">
        <f>VLOOKUP(B173,HAB.GEN.!$C$19:$I$218,4,FALSE)</f>
        <v>#N/A</v>
      </c>
      <c r="F173" s="480" t="e">
        <f>VLOOKUP(B173,HAB.GEN.!$C$19:$I$218,5,FALSE)</f>
        <v>#N/A</v>
      </c>
      <c r="G173" s="480" t="e">
        <f>VLOOKUP(B173,HAB.GEN.!$C$19:$I$218,6,FALSE)</f>
        <v>#N/A</v>
      </c>
      <c r="H173" s="480" t="str">
        <f t="shared" si="3"/>
        <v>HÁBIL</v>
      </c>
      <c r="I173" s="480" t="e">
        <f>VLOOKUP(C173,PON.EXP.ESP.!$D$30:$J$229,3,FALSE)</f>
        <v>#N/A</v>
      </c>
      <c r="J173" s="481" t="e">
        <f>VLOOKUP(C173,PON.EXP.ESP.!$D$30:$J$229,4,FALSE)</f>
        <v>#N/A</v>
      </c>
      <c r="K173" s="482" t="e">
        <f>VLOOKUP(C173,PON.EXP.ESP.!$D$30:$J$229,5,FALSE)</f>
        <v>#N/A</v>
      </c>
      <c r="L173" s="481" t="e">
        <f>VLOOKUP(C173,PON.EXP.ESP.!$D$30:$J$229,6,FALSE)</f>
        <v>#N/A</v>
      </c>
      <c r="M173" s="482" t="e">
        <f>VLOOKUP(C173,PON.EXP.ESP.!$D$30:$J$229,7,FALSE)</f>
        <v>#N/A</v>
      </c>
      <c r="N173" s="481" t="e">
        <f>VLOOKUP(C173,VIN.PERS.DISC.!$C$19:$D$218,2,FALSE)</f>
        <v>#N/A</v>
      </c>
      <c r="O173" s="483" t="e">
        <f>VLOOKUP(C173,'APOYO A IND. NAL.'!$C$19:$D$218,2,FALSE)</f>
        <v>#N/A</v>
      </c>
      <c r="P173" s="484" t="e">
        <f>VLOOKUP(C173,RESUMENGEN!$D$20:$J$219,7,FALSE)</f>
        <v>#N/A</v>
      </c>
      <c r="Q173" s="478"/>
      <c r="R173" s="484" t="e">
        <f t="shared" si="7"/>
        <v>#N/A</v>
      </c>
      <c r="S173" s="492" t="e">
        <f t="shared" si="8"/>
        <v>#N/A</v>
      </c>
    </row>
    <row r="174" spans="2:19" hidden="1">
      <c r="B174" s="491">
        <v>170</v>
      </c>
      <c r="C174" s="491" t="e">
        <f>VLOOKUP(B174,RESUMENGEN!B189:E388,3,FALSE)</f>
        <v>#N/A</v>
      </c>
      <c r="D174" s="480" t="e">
        <f>VLOOKUP(B174,HAB.GEN.!$C$19:$I$218,3,FALSE)</f>
        <v>#N/A</v>
      </c>
      <c r="E174" s="480" t="e">
        <f>VLOOKUP(B174,HAB.GEN.!$C$19:$I$218,4,FALSE)</f>
        <v>#N/A</v>
      </c>
      <c r="F174" s="480" t="e">
        <f>VLOOKUP(B174,HAB.GEN.!$C$19:$I$218,5,FALSE)</f>
        <v>#N/A</v>
      </c>
      <c r="G174" s="480" t="e">
        <f>VLOOKUP(B174,HAB.GEN.!$C$19:$I$218,6,FALSE)</f>
        <v>#N/A</v>
      </c>
      <c r="H174" s="480" t="str">
        <f t="shared" si="3"/>
        <v>HÁBIL</v>
      </c>
      <c r="I174" s="480" t="e">
        <f>VLOOKUP(C174,PON.EXP.ESP.!$D$30:$J$229,3,FALSE)</f>
        <v>#N/A</v>
      </c>
      <c r="J174" s="481" t="e">
        <f>VLOOKUP(C174,PON.EXP.ESP.!$D$30:$J$229,4,FALSE)</f>
        <v>#N/A</v>
      </c>
      <c r="K174" s="482" t="e">
        <f>VLOOKUP(C174,PON.EXP.ESP.!$D$30:$J$229,5,FALSE)</f>
        <v>#N/A</v>
      </c>
      <c r="L174" s="481" t="e">
        <f>VLOOKUP(C174,PON.EXP.ESP.!$D$30:$J$229,6,FALSE)</f>
        <v>#N/A</v>
      </c>
      <c r="M174" s="482" t="e">
        <f>VLOOKUP(C174,PON.EXP.ESP.!$D$30:$J$229,7,FALSE)</f>
        <v>#N/A</v>
      </c>
      <c r="N174" s="481" t="e">
        <f>VLOOKUP(C174,VIN.PERS.DISC.!$C$19:$D$218,2,FALSE)</f>
        <v>#N/A</v>
      </c>
      <c r="O174" s="483" t="e">
        <f>VLOOKUP(C174,'APOYO A IND. NAL.'!$C$19:$D$218,2,FALSE)</f>
        <v>#N/A</v>
      </c>
      <c r="P174" s="484" t="e">
        <f>VLOOKUP(C174,RESUMENGEN!$D$20:$J$219,7,FALSE)</f>
        <v>#N/A</v>
      </c>
      <c r="Q174" s="478"/>
      <c r="R174" s="484" t="e">
        <f t="shared" si="7"/>
        <v>#N/A</v>
      </c>
      <c r="S174" s="492" t="e">
        <f t="shared" si="8"/>
        <v>#N/A</v>
      </c>
    </row>
    <row r="175" spans="2:19" hidden="1">
      <c r="B175" s="491">
        <v>171</v>
      </c>
      <c r="C175" s="491" t="e">
        <f>VLOOKUP(B175,RESUMENGEN!B190:E389,3,FALSE)</f>
        <v>#N/A</v>
      </c>
      <c r="D175" s="480" t="e">
        <f>VLOOKUP(B175,HAB.GEN.!$C$19:$I$218,3,FALSE)</f>
        <v>#N/A</v>
      </c>
      <c r="E175" s="480" t="e">
        <f>VLOOKUP(B175,HAB.GEN.!$C$19:$I$218,4,FALSE)</f>
        <v>#N/A</v>
      </c>
      <c r="F175" s="480" t="e">
        <f>VLOOKUP(B175,HAB.GEN.!$C$19:$I$218,5,FALSE)</f>
        <v>#N/A</v>
      </c>
      <c r="G175" s="480" t="e">
        <f>VLOOKUP(B175,HAB.GEN.!$C$19:$I$218,6,FALSE)</f>
        <v>#N/A</v>
      </c>
      <c r="H175" s="480" t="str">
        <f t="shared" si="3"/>
        <v>HÁBIL</v>
      </c>
      <c r="I175" s="480" t="e">
        <f>VLOOKUP(C175,PON.EXP.ESP.!$D$30:$J$229,3,FALSE)</f>
        <v>#N/A</v>
      </c>
      <c r="J175" s="481" t="e">
        <f>VLOOKUP(C175,PON.EXP.ESP.!$D$30:$J$229,4,FALSE)</f>
        <v>#N/A</v>
      </c>
      <c r="K175" s="482" t="e">
        <f>VLOOKUP(C175,PON.EXP.ESP.!$D$30:$J$229,5,FALSE)</f>
        <v>#N/A</v>
      </c>
      <c r="L175" s="481" t="e">
        <f>VLOOKUP(C175,PON.EXP.ESP.!$D$30:$J$229,6,FALSE)</f>
        <v>#N/A</v>
      </c>
      <c r="M175" s="482" t="e">
        <f>VLOOKUP(C175,PON.EXP.ESP.!$D$30:$J$229,7,FALSE)</f>
        <v>#N/A</v>
      </c>
      <c r="N175" s="481" t="e">
        <f>VLOOKUP(C175,VIN.PERS.DISC.!$C$19:$D$218,2,FALSE)</f>
        <v>#N/A</v>
      </c>
      <c r="O175" s="483" t="e">
        <f>VLOOKUP(C175,'APOYO A IND. NAL.'!$C$19:$D$218,2,FALSE)</f>
        <v>#N/A</v>
      </c>
      <c r="P175" s="484" t="e">
        <f>VLOOKUP(C175,RESUMENGEN!$D$20:$J$219,7,FALSE)</f>
        <v>#N/A</v>
      </c>
      <c r="Q175" s="478"/>
      <c r="R175" s="484" t="e">
        <f t="shared" si="7"/>
        <v>#N/A</v>
      </c>
      <c r="S175" s="492" t="e">
        <f t="shared" si="8"/>
        <v>#N/A</v>
      </c>
    </row>
    <row r="176" spans="2:19" hidden="1">
      <c r="B176" s="491">
        <v>172</v>
      </c>
      <c r="C176" s="491" t="e">
        <f>VLOOKUP(B176,RESUMENGEN!B191:E390,3,FALSE)</f>
        <v>#N/A</v>
      </c>
      <c r="D176" s="480" t="e">
        <f>VLOOKUP(B176,HAB.GEN.!$C$19:$I$218,3,FALSE)</f>
        <v>#N/A</v>
      </c>
      <c r="E176" s="480" t="e">
        <f>VLOOKUP(B176,HAB.GEN.!$C$19:$I$218,4,FALSE)</f>
        <v>#N/A</v>
      </c>
      <c r="F176" s="480" t="e">
        <f>VLOOKUP(B176,HAB.GEN.!$C$19:$I$218,5,FALSE)</f>
        <v>#N/A</v>
      </c>
      <c r="G176" s="480" t="e">
        <f>VLOOKUP(B176,HAB.GEN.!$C$19:$I$218,6,FALSE)</f>
        <v>#N/A</v>
      </c>
      <c r="H176" s="480" t="str">
        <f t="shared" si="3"/>
        <v>HÁBIL</v>
      </c>
      <c r="I176" s="480" t="e">
        <f>VLOOKUP(C176,PON.EXP.ESP.!$D$30:$J$229,3,FALSE)</f>
        <v>#N/A</v>
      </c>
      <c r="J176" s="481" t="e">
        <f>VLOOKUP(C176,PON.EXP.ESP.!$D$30:$J$229,4,FALSE)</f>
        <v>#N/A</v>
      </c>
      <c r="K176" s="482" t="e">
        <f>VLOOKUP(C176,PON.EXP.ESP.!$D$30:$J$229,5,FALSE)</f>
        <v>#N/A</v>
      </c>
      <c r="L176" s="481" t="e">
        <f>VLOOKUP(C176,PON.EXP.ESP.!$D$30:$J$229,6,FALSE)</f>
        <v>#N/A</v>
      </c>
      <c r="M176" s="482" t="e">
        <f>VLOOKUP(C176,PON.EXP.ESP.!$D$30:$J$229,7,FALSE)</f>
        <v>#N/A</v>
      </c>
      <c r="N176" s="481" t="e">
        <f>VLOOKUP(C176,VIN.PERS.DISC.!$C$19:$D$218,2,FALSE)</f>
        <v>#N/A</v>
      </c>
      <c r="O176" s="483" t="e">
        <f>VLOOKUP(C176,'APOYO A IND. NAL.'!$C$19:$D$218,2,FALSE)</f>
        <v>#N/A</v>
      </c>
      <c r="P176" s="484" t="e">
        <f>VLOOKUP(C176,RESUMENGEN!$D$20:$J$219,7,FALSE)</f>
        <v>#N/A</v>
      </c>
      <c r="Q176" s="478"/>
      <c r="R176" s="484" t="e">
        <f t="shared" si="7"/>
        <v>#N/A</v>
      </c>
      <c r="S176" s="492" t="e">
        <f t="shared" si="8"/>
        <v>#N/A</v>
      </c>
    </row>
    <row r="177" spans="2:19" hidden="1">
      <c r="B177" s="491">
        <v>173</v>
      </c>
      <c r="C177" s="491" t="e">
        <f>VLOOKUP(B177,RESUMENGEN!B192:E391,3,FALSE)</f>
        <v>#N/A</v>
      </c>
      <c r="D177" s="480" t="e">
        <f>VLOOKUP(B177,HAB.GEN.!$C$19:$I$218,3,FALSE)</f>
        <v>#N/A</v>
      </c>
      <c r="E177" s="480" t="e">
        <f>VLOOKUP(B177,HAB.GEN.!$C$19:$I$218,4,FALSE)</f>
        <v>#N/A</v>
      </c>
      <c r="F177" s="480" t="e">
        <f>VLOOKUP(B177,HAB.GEN.!$C$19:$I$218,5,FALSE)</f>
        <v>#N/A</v>
      </c>
      <c r="G177" s="480" t="e">
        <f>VLOOKUP(B177,HAB.GEN.!$C$19:$I$218,6,FALSE)</f>
        <v>#N/A</v>
      </c>
      <c r="H177" s="480" t="str">
        <f t="shared" si="3"/>
        <v>HÁBIL</v>
      </c>
      <c r="I177" s="480" t="e">
        <f>VLOOKUP(C177,PON.EXP.ESP.!$D$30:$J$229,3,FALSE)</f>
        <v>#N/A</v>
      </c>
      <c r="J177" s="481" t="e">
        <f>VLOOKUP(C177,PON.EXP.ESP.!$D$30:$J$229,4,FALSE)</f>
        <v>#N/A</v>
      </c>
      <c r="K177" s="482" t="e">
        <f>VLOOKUP(C177,PON.EXP.ESP.!$D$30:$J$229,5,FALSE)</f>
        <v>#N/A</v>
      </c>
      <c r="L177" s="481" t="e">
        <f>VLOOKUP(C177,PON.EXP.ESP.!$D$30:$J$229,6,FALSE)</f>
        <v>#N/A</v>
      </c>
      <c r="M177" s="482" t="e">
        <f>VLOOKUP(C177,PON.EXP.ESP.!$D$30:$J$229,7,FALSE)</f>
        <v>#N/A</v>
      </c>
      <c r="N177" s="481" t="e">
        <f>VLOOKUP(C177,VIN.PERS.DISC.!$C$19:$D$218,2,FALSE)</f>
        <v>#N/A</v>
      </c>
      <c r="O177" s="483" t="e">
        <f>VLOOKUP(C177,'APOYO A IND. NAL.'!$C$19:$D$218,2,FALSE)</f>
        <v>#N/A</v>
      </c>
      <c r="P177" s="484" t="e">
        <f>VLOOKUP(C177,RESUMENGEN!$D$20:$J$219,7,FALSE)</f>
        <v>#N/A</v>
      </c>
      <c r="Q177" s="478"/>
      <c r="R177" s="484" t="e">
        <f t="shared" si="7"/>
        <v>#N/A</v>
      </c>
      <c r="S177" s="492" t="e">
        <f t="shared" si="8"/>
        <v>#N/A</v>
      </c>
    </row>
    <row r="178" spans="2:19" hidden="1">
      <c r="B178" s="491">
        <v>174</v>
      </c>
      <c r="C178" s="491" t="e">
        <f>VLOOKUP(B178,RESUMENGEN!B193:E392,3,FALSE)</f>
        <v>#N/A</v>
      </c>
      <c r="D178" s="480" t="e">
        <f>VLOOKUP(B178,HAB.GEN.!$C$19:$I$218,3,FALSE)</f>
        <v>#N/A</v>
      </c>
      <c r="E178" s="480" t="e">
        <f>VLOOKUP(B178,HAB.GEN.!$C$19:$I$218,4,FALSE)</f>
        <v>#N/A</v>
      </c>
      <c r="F178" s="480" t="e">
        <f>VLOOKUP(B178,HAB.GEN.!$C$19:$I$218,5,FALSE)</f>
        <v>#N/A</v>
      </c>
      <c r="G178" s="480" t="e">
        <f>VLOOKUP(B178,HAB.GEN.!$C$19:$I$218,6,FALSE)</f>
        <v>#N/A</v>
      </c>
      <c r="H178" s="480" t="str">
        <f t="shared" si="3"/>
        <v>HÁBIL</v>
      </c>
      <c r="I178" s="480" t="e">
        <f>VLOOKUP(C178,PON.EXP.ESP.!$D$30:$J$229,3,FALSE)</f>
        <v>#N/A</v>
      </c>
      <c r="J178" s="481" t="e">
        <f>VLOOKUP(C178,PON.EXP.ESP.!$D$30:$J$229,4,FALSE)</f>
        <v>#N/A</v>
      </c>
      <c r="K178" s="482" t="e">
        <f>VLOOKUP(C178,PON.EXP.ESP.!$D$30:$J$229,5,FALSE)</f>
        <v>#N/A</v>
      </c>
      <c r="L178" s="481" t="e">
        <f>VLOOKUP(C178,PON.EXP.ESP.!$D$30:$J$229,6,FALSE)</f>
        <v>#N/A</v>
      </c>
      <c r="M178" s="482" t="e">
        <f>VLOOKUP(C178,PON.EXP.ESP.!$D$30:$J$229,7,FALSE)</f>
        <v>#N/A</v>
      </c>
      <c r="N178" s="481" t="e">
        <f>VLOOKUP(C178,VIN.PERS.DISC.!$C$19:$D$218,2,FALSE)</f>
        <v>#N/A</v>
      </c>
      <c r="O178" s="483" t="e">
        <f>VLOOKUP(C178,'APOYO A IND. NAL.'!$C$19:$D$218,2,FALSE)</f>
        <v>#N/A</v>
      </c>
      <c r="P178" s="484" t="e">
        <f>VLOOKUP(C178,RESUMENGEN!$D$20:$J$219,7,FALSE)</f>
        <v>#N/A</v>
      </c>
      <c r="Q178" s="478"/>
      <c r="R178" s="484" t="e">
        <f t="shared" si="7"/>
        <v>#N/A</v>
      </c>
      <c r="S178" s="492" t="e">
        <f t="shared" si="8"/>
        <v>#N/A</v>
      </c>
    </row>
    <row r="179" spans="2:19" hidden="1">
      <c r="B179" s="491">
        <v>175</v>
      </c>
      <c r="C179" s="491" t="e">
        <f>VLOOKUP(B179,RESUMENGEN!B194:E393,3,FALSE)</f>
        <v>#N/A</v>
      </c>
      <c r="D179" s="480" t="e">
        <f>VLOOKUP(B179,HAB.GEN.!$C$19:$I$218,3,FALSE)</f>
        <v>#N/A</v>
      </c>
      <c r="E179" s="480" t="e">
        <f>VLOOKUP(B179,HAB.GEN.!$C$19:$I$218,4,FALSE)</f>
        <v>#N/A</v>
      </c>
      <c r="F179" s="480" t="e">
        <f>VLOOKUP(B179,HAB.GEN.!$C$19:$I$218,5,FALSE)</f>
        <v>#N/A</v>
      </c>
      <c r="G179" s="480" t="e">
        <f>VLOOKUP(B179,HAB.GEN.!$C$19:$I$218,6,FALSE)</f>
        <v>#N/A</v>
      </c>
      <c r="H179" s="480" t="str">
        <f t="shared" si="3"/>
        <v>HÁBIL</v>
      </c>
      <c r="I179" s="480" t="e">
        <f>VLOOKUP(C179,PON.EXP.ESP.!$D$30:$J$229,3,FALSE)</f>
        <v>#N/A</v>
      </c>
      <c r="J179" s="481" t="e">
        <f>VLOOKUP(C179,PON.EXP.ESP.!$D$30:$J$229,4,FALSE)</f>
        <v>#N/A</v>
      </c>
      <c r="K179" s="482" t="e">
        <f>VLOOKUP(C179,PON.EXP.ESP.!$D$30:$J$229,5,FALSE)</f>
        <v>#N/A</v>
      </c>
      <c r="L179" s="481" t="e">
        <f>VLOOKUP(C179,PON.EXP.ESP.!$D$30:$J$229,6,FALSE)</f>
        <v>#N/A</v>
      </c>
      <c r="M179" s="482" t="e">
        <f>VLOOKUP(C179,PON.EXP.ESP.!$D$30:$J$229,7,FALSE)</f>
        <v>#N/A</v>
      </c>
      <c r="N179" s="481" t="e">
        <f>VLOOKUP(C179,VIN.PERS.DISC.!$C$19:$D$218,2,FALSE)</f>
        <v>#N/A</v>
      </c>
      <c r="O179" s="483" t="e">
        <f>VLOOKUP(C179,'APOYO A IND. NAL.'!$C$19:$D$218,2,FALSE)</f>
        <v>#N/A</v>
      </c>
      <c r="P179" s="484" t="e">
        <f>VLOOKUP(C179,RESUMENGEN!$D$20:$J$219,7,FALSE)</f>
        <v>#N/A</v>
      </c>
      <c r="Q179" s="478"/>
      <c r="R179" s="484" t="e">
        <f t="shared" si="7"/>
        <v>#N/A</v>
      </c>
      <c r="S179" s="492" t="e">
        <f t="shared" si="8"/>
        <v>#N/A</v>
      </c>
    </row>
    <row r="180" spans="2:19" hidden="1">
      <c r="B180" s="491">
        <v>176</v>
      </c>
      <c r="C180" s="491" t="e">
        <f>VLOOKUP(B180,RESUMENGEN!B195:E394,3,FALSE)</f>
        <v>#N/A</v>
      </c>
      <c r="D180" s="480" t="e">
        <f>VLOOKUP(B180,HAB.GEN.!$C$19:$I$218,3,FALSE)</f>
        <v>#N/A</v>
      </c>
      <c r="E180" s="480" t="e">
        <f>VLOOKUP(B180,HAB.GEN.!$C$19:$I$218,4,FALSE)</f>
        <v>#N/A</v>
      </c>
      <c r="F180" s="480" t="e">
        <f>VLOOKUP(B180,HAB.GEN.!$C$19:$I$218,5,FALSE)</f>
        <v>#N/A</v>
      </c>
      <c r="G180" s="480" t="e">
        <f>VLOOKUP(B180,HAB.GEN.!$C$19:$I$218,6,FALSE)</f>
        <v>#N/A</v>
      </c>
      <c r="H180" s="480" t="str">
        <f t="shared" si="3"/>
        <v>HÁBIL</v>
      </c>
      <c r="I180" s="480" t="e">
        <f>VLOOKUP(C180,PON.EXP.ESP.!$D$30:$J$229,3,FALSE)</f>
        <v>#N/A</v>
      </c>
      <c r="J180" s="481" t="e">
        <f>VLOOKUP(C180,PON.EXP.ESP.!$D$30:$J$229,4,FALSE)</f>
        <v>#N/A</v>
      </c>
      <c r="K180" s="482" t="e">
        <f>VLOOKUP(C180,PON.EXP.ESP.!$D$30:$J$229,5,FALSE)</f>
        <v>#N/A</v>
      </c>
      <c r="L180" s="481" t="e">
        <f>VLOOKUP(C180,PON.EXP.ESP.!$D$30:$J$229,6,FALSE)</f>
        <v>#N/A</v>
      </c>
      <c r="M180" s="482" t="e">
        <f>VLOOKUP(C180,PON.EXP.ESP.!$D$30:$J$229,7,FALSE)</f>
        <v>#N/A</v>
      </c>
      <c r="N180" s="481" t="e">
        <f>VLOOKUP(C180,VIN.PERS.DISC.!$C$19:$D$218,2,FALSE)</f>
        <v>#N/A</v>
      </c>
      <c r="O180" s="483" t="e">
        <f>VLOOKUP(C180,'APOYO A IND. NAL.'!$C$19:$D$218,2,FALSE)</f>
        <v>#N/A</v>
      </c>
      <c r="P180" s="484" t="e">
        <f>VLOOKUP(C180,RESUMENGEN!$D$20:$J$219,7,FALSE)</f>
        <v>#N/A</v>
      </c>
      <c r="Q180" s="478"/>
      <c r="R180" s="484" t="e">
        <f t="shared" si="7"/>
        <v>#N/A</v>
      </c>
      <c r="S180" s="492" t="e">
        <f t="shared" si="8"/>
        <v>#N/A</v>
      </c>
    </row>
    <row r="181" spans="2:19" hidden="1">
      <c r="B181" s="491">
        <v>177</v>
      </c>
      <c r="C181" s="491" t="e">
        <f>VLOOKUP(B181,RESUMENGEN!B196:E395,3,FALSE)</f>
        <v>#N/A</v>
      </c>
      <c r="D181" s="480" t="e">
        <f>VLOOKUP(B181,HAB.GEN.!$C$19:$I$218,3,FALSE)</f>
        <v>#N/A</v>
      </c>
      <c r="E181" s="480" t="e">
        <f>VLOOKUP(B181,HAB.GEN.!$C$19:$I$218,4,FALSE)</f>
        <v>#N/A</v>
      </c>
      <c r="F181" s="480" t="e">
        <f>VLOOKUP(B181,HAB.GEN.!$C$19:$I$218,5,FALSE)</f>
        <v>#N/A</v>
      </c>
      <c r="G181" s="480" t="e">
        <f>VLOOKUP(B181,HAB.GEN.!$C$19:$I$218,6,FALSE)</f>
        <v>#N/A</v>
      </c>
      <c r="H181" s="480" t="str">
        <f t="shared" si="3"/>
        <v>HÁBIL</v>
      </c>
      <c r="I181" s="480" t="e">
        <f>VLOOKUP(C181,PON.EXP.ESP.!$D$30:$J$229,3,FALSE)</f>
        <v>#N/A</v>
      </c>
      <c r="J181" s="481" t="e">
        <f>VLOOKUP(C181,PON.EXP.ESP.!$D$30:$J$229,4,FALSE)</f>
        <v>#N/A</v>
      </c>
      <c r="K181" s="482" t="e">
        <f>VLOOKUP(C181,PON.EXP.ESP.!$D$30:$J$229,5,FALSE)</f>
        <v>#N/A</v>
      </c>
      <c r="L181" s="481" t="e">
        <f>VLOOKUP(C181,PON.EXP.ESP.!$D$30:$J$229,6,FALSE)</f>
        <v>#N/A</v>
      </c>
      <c r="M181" s="482" t="e">
        <f>VLOOKUP(C181,PON.EXP.ESP.!$D$30:$J$229,7,FALSE)</f>
        <v>#N/A</v>
      </c>
      <c r="N181" s="481" t="e">
        <f>VLOOKUP(C181,VIN.PERS.DISC.!$C$19:$D$218,2,FALSE)</f>
        <v>#N/A</v>
      </c>
      <c r="O181" s="483" t="e">
        <f>VLOOKUP(C181,'APOYO A IND. NAL.'!$C$19:$D$218,2,FALSE)</f>
        <v>#N/A</v>
      </c>
      <c r="P181" s="484" t="e">
        <f>VLOOKUP(C181,RESUMENGEN!$D$20:$J$219,7,FALSE)</f>
        <v>#N/A</v>
      </c>
      <c r="Q181" s="478"/>
      <c r="R181" s="484" t="e">
        <f t="shared" si="7"/>
        <v>#N/A</v>
      </c>
      <c r="S181" s="492" t="e">
        <f t="shared" si="8"/>
        <v>#N/A</v>
      </c>
    </row>
    <row r="182" spans="2:19" hidden="1">
      <c r="B182" s="491">
        <v>178</v>
      </c>
      <c r="C182" s="491" t="e">
        <f>VLOOKUP(B182,RESUMENGEN!B197:E396,3,FALSE)</f>
        <v>#N/A</v>
      </c>
      <c r="D182" s="480" t="e">
        <f>VLOOKUP(B182,HAB.GEN.!$C$19:$I$218,3,FALSE)</f>
        <v>#N/A</v>
      </c>
      <c r="E182" s="480" t="e">
        <f>VLOOKUP(B182,HAB.GEN.!$C$19:$I$218,4,FALSE)</f>
        <v>#N/A</v>
      </c>
      <c r="F182" s="480" t="e">
        <f>VLOOKUP(B182,HAB.GEN.!$C$19:$I$218,5,FALSE)</f>
        <v>#N/A</v>
      </c>
      <c r="G182" s="480" t="e">
        <f>VLOOKUP(B182,HAB.GEN.!$C$19:$I$218,6,FALSE)</f>
        <v>#N/A</v>
      </c>
      <c r="H182" s="480" t="str">
        <f t="shared" si="3"/>
        <v>HÁBIL</v>
      </c>
      <c r="I182" s="480" t="e">
        <f>VLOOKUP(C182,PON.EXP.ESP.!$D$30:$J$229,3,FALSE)</f>
        <v>#N/A</v>
      </c>
      <c r="J182" s="481" t="e">
        <f>VLOOKUP(C182,PON.EXP.ESP.!$D$30:$J$229,4,FALSE)</f>
        <v>#N/A</v>
      </c>
      <c r="K182" s="482" t="e">
        <f>VLOOKUP(C182,PON.EXP.ESP.!$D$30:$J$229,5,FALSE)</f>
        <v>#N/A</v>
      </c>
      <c r="L182" s="481" t="e">
        <f>VLOOKUP(C182,PON.EXP.ESP.!$D$30:$J$229,6,FALSE)</f>
        <v>#N/A</v>
      </c>
      <c r="M182" s="482" t="e">
        <f>VLOOKUP(C182,PON.EXP.ESP.!$D$30:$J$229,7,FALSE)</f>
        <v>#N/A</v>
      </c>
      <c r="N182" s="481" t="e">
        <f>VLOOKUP(C182,VIN.PERS.DISC.!$C$19:$D$218,2,FALSE)</f>
        <v>#N/A</v>
      </c>
      <c r="O182" s="483" t="e">
        <f>VLOOKUP(C182,'APOYO A IND. NAL.'!$C$19:$D$218,2,FALSE)</f>
        <v>#N/A</v>
      </c>
      <c r="P182" s="484" t="e">
        <f>VLOOKUP(C182,RESUMENGEN!$D$20:$J$219,7,FALSE)</f>
        <v>#N/A</v>
      </c>
      <c r="Q182" s="478"/>
      <c r="R182" s="484" t="e">
        <f t="shared" si="7"/>
        <v>#N/A</v>
      </c>
      <c r="S182" s="492" t="e">
        <f t="shared" si="8"/>
        <v>#N/A</v>
      </c>
    </row>
    <row r="183" spans="2:19" hidden="1">
      <c r="B183" s="491">
        <v>179</v>
      </c>
      <c r="C183" s="491" t="e">
        <f>VLOOKUP(B183,RESUMENGEN!B198:E397,3,FALSE)</f>
        <v>#N/A</v>
      </c>
      <c r="D183" s="480" t="e">
        <f>VLOOKUP(B183,HAB.GEN.!$C$19:$I$218,3,FALSE)</f>
        <v>#N/A</v>
      </c>
      <c r="E183" s="480" t="e">
        <f>VLOOKUP(B183,HAB.GEN.!$C$19:$I$218,4,FALSE)</f>
        <v>#N/A</v>
      </c>
      <c r="F183" s="480" t="e">
        <f>VLOOKUP(B183,HAB.GEN.!$C$19:$I$218,5,FALSE)</f>
        <v>#N/A</v>
      </c>
      <c r="G183" s="480" t="e">
        <f>VLOOKUP(B183,HAB.GEN.!$C$19:$I$218,6,FALSE)</f>
        <v>#N/A</v>
      </c>
      <c r="H183" s="480" t="str">
        <f t="shared" si="3"/>
        <v>HÁBIL</v>
      </c>
      <c r="I183" s="480" t="e">
        <f>VLOOKUP(C183,PON.EXP.ESP.!$D$30:$J$229,3,FALSE)</f>
        <v>#N/A</v>
      </c>
      <c r="J183" s="481" t="e">
        <f>VLOOKUP(C183,PON.EXP.ESP.!$D$30:$J$229,4,FALSE)</f>
        <v>#N/A</v>
      </c>
      <c r="K183" s="482" t="e">
        <f>VLOOKUP(C183,PON.EXP.ESP.!$D$30:$J$229,5,FALSE)</f>
        <v>#N/A</v>
      </c>
      <c r="L183" s="481" t="e">
        <f>VLOOKUP(C183,PON.EXP.ESP.!$D$30:$J$229,6,FALSE)</f>
        <v>#N/A</v>
      </c>
      <c r="M183" s="482" t="e">
        <f>VLOOKUP(C183,PON.EXP.ESP.!$D$30:$J$229,7,FALSE)</f>
        <v>#N/A</v>
      </c>
      <c r="N183" s="481" t="e">
        <f>VLOOKUP(C183,VIN.PERS.DISC.!$C$19:$D$218,2,FALSE)</f>
        <v>#N/A</v>
      </c>
      <c r="O183" s="483" t="e">
        <f>VLOOKUP(C183,'APOYO A IND. NAL.'!$C$19:$D$218,2,FALSE)</f>
        <v>#N/A</v>
      </c>
      <c r="P183" s="484" t="e">
        <f>VLOOKUP(C183,RESUMENGEN!$D$20:$J$219,7,FALSE)</f>
        <v>#N/A</v>
      </c>
      <c r="Q183" s="478"/>
      <c r="R183" s="484" t="e">
        <f t="shared" si="7"/>
        <v>#N/A</v>
      </c>
      <c r="S183" s="492" t="e">
        <f t="shared" si="8"/>
        <v>#N/A</v>
      </c>
    </row>
    <row r="184" spans="2:19" hidden="1">
      <c r="B184" s="491">
        <v>180</v>
      </c>
      <c r="C184" s="491" t="e">
        <f>VLOOKUP(B184,RESUMENGEN!B199:E398,3,FALSE)</f>
        <v>#N/A</v>
      </c>
      <c r="D184" s="480" t="e">
        <f>VLOOKUP(B184,HAB.GEN.!$C$19:$I$218,3,FALSE)</f>
        <v>#N/A</v>
      </c>
      <c r="E184" s="480" t="e">
        <f>VLOOKUP(B184,HAB.GEN.!$C$19:$I$218,4,FALSE)</f>
        <v>#N/A</v>
      </c>
      <c r="F184" s="480" t="e">
        <f>VLOOKUP(B184,HAB.GEN.!$C$19:$I$218,5,FALSE)</f>
        <v>#N/A</v>
      </c>
      <c r="G184" s="480" t="e">
        <f>VLOOKUP(B184,HAB.GEN.!$C$19:$I$218,6,FALSE)</f>
        <v>#N/A</v>
      </c>
      <c r="H184" s="480" t="str">
        <f t="shared" si="3"/>
        <v>HÁBIL</v>
      </c>
      <c r="I184" s="480" t="e">
        <f>VLOOKUP(C184,PON.EXP.ESP.!$D$30:$J$229,3,FALSE)</f>
        <v>#N/A</v>
      </c>
      <c r="J184" s="481" t="e">
        <f>VLOOKUP(C184,PON.EXP.ESP.!$D$30:$J$229,4,FALSE)</f>
        <v>#N/A</v>
      </c>
      <c r="K184" s="482" t="e">
        <f>VLOOKUP(C184,PON.EXP.ESP.!$D$30:$J$229,5,FALSE)</f>
        <v>#N/A</v>
      </c>
      <c r="L184" s="481" t="e">
        <f>VLOOKUP(C184,PON.EXP.ESP.!$D$30:$J$229,6,FALSE)</f>
        <v>#N/A</v>
      </c>
      <c r="M184" s="482" t="e">
        <f>VLOOKUP(C184,PON.EXP.ESP.!$D$30:$J$229,7,FALSE)</f>
        <v>#N/A</v>
      </c>
      <c r="N184" s="481" t="e">
        <f>VLOOKUP(C184,VIN.PERS.DISC.!$C$19:$D$218,2,FALSE)</f>
        <v>#N/A</v>
      </c>
      <c r="O184" s="483" t="e">
        <f>VLOOKUP(C184,'APOYO A IND. NAL.'!$C$19:$D$218,2,FALSE)</f>
        <v>#N/A</v>
      </c>
      <c r="P184" s="484" t="e">
        <f>VLOOKUP(C184,RESUMENGEN!$D$20:$J$219,7,FALSE)</f>
        <v>#N/A</v>
      </c>
      <c r="Q184" s="478"/>
      <c r="R184" s="484" t="e">
        <f t="shared" si="7"/>
        <v>#N/A</v>
      </c>
      <c r="S184" s="492" t="e">
        <f t="shared" si="8"/>
        <v>#N/A</v>
      </c>
    </row>
    <row r="185" spans="2:19" hidden="1">
      <c r="B185" s="491">
        <v>181</v>
      </c>
      <c r="C185" s="491" t="e">
        <f>VLOOKUP(B185,RESUMENGEN!B200:E399,3,FALSE)</f>
        <v>#N/A</v>
      </c>
      <c r="D185" s="480" t="e">
        <f>VLOOKUP(B185,HAB.GEN.!$C$19:$I$218,3,FALSE)</f>
        <v>#N/A</v>
      </c>
      <c r="E185" s="480" t="e">
        <f>VLOOKUP(B185,HAB.GEN.!$C$19:$I$218,4,FALSE)</f>
        <v>#N/A</v>
      </c>
      <c r="F185" s="480" t="e">
        <f>VLOOKUP(B185,HAB.GEN.!$C$19:$I$218,5,FALSE)</f>
        <v>#N/A</v>
      </c>
      <c r="G185" s="480" t="e">
        <f>VLOOKUP(B185,HAB.GEN.!$C$19:$I$218,6,FALSE)</f>
        <v>#N/A</v>
      </c>
      <c r="H185" s="480" t="str">
        <f t="shared" si="3"/>
        <v>HÁBIL</v>
      </c>
      <c r="I185" s="480" t="e">
        <f>VLOOKUP(C185,PON.EXP.ESP.!$D$30:$J$229,3,FALSE)</f>
        <v>#N/A</v>
      </c>
      <c r="J185" s="481" t="e">
        <f>VLOOKUP(C185,PON.EXP.ESP.!$D$30:$J$229,4,FALSE)</f>
        <v>#N/A</v>
      </c>
      <c r="K185" s="482" t="e">
        <f>VLOOKUP(C185,PON.EXP.ESP.!$D$30:$J$229,5,FALSE)</f>
        <v>#N/A</v>
      </c>
      <c r="L185" s="481" t="e">
        <f>VLOOKUP(C185,PON.EXP.ESP.!$D$30:$J$229,6,FALSE)</f>
        <v>#N/A</v>
      </c>
      <c r="M185" s="482" t="e">
        <f>VLOOKUP(C185,PON.EXP.ESP.!$D$30:$J$229,7,FALSE)</f>
        <v>#N/A</v>
      </c>
      <c r="N185" s="481" t="e">
        <f>VLOOKUP(C185,VIN.PERS.DISC.!$C$19:$D$218,2,FALSE)</f>
        <v>#N/A</v>
      </c>
      <c r="O185" s="483" t="e">
        <f>VLOOKUP(C185,'APOYO A IND. NAL.'!$C$19:$D$218,2,FALSE)</f>
        <v>#N/A</v>
      </c>
      <c r="P185" s="484" t="e">
        <f>VLOOKUP(C185,RESUMENGEN!$D$20:$J$219,7,FALSE)</f>
        <v>#N/A</v>
      </c>
      <c r="Q185" s="478"/>
      <c r="R185" s="484" t="e">
        <f t="shared" si="7"/>
        <v>#N/A</v>
      </c>
      <c r="S185" s="492" t="e">
        <f t="shared" si="8"/>
        <v>#N/A</v>
      </c>
    </row>
    <row r="186" spans="2:19" hidden="1">
      <c r="B186" s="491">
        <v>182</v>
      </c>
      <c r="C186" s="491" t="e">
        <f>VLOOKUP(B186,RESUMENGEN!B201:E400,3,FALSE)</f>
        <v>#N/A</v>
      </c>
      <c r="D186" s="480" t="e">
        <f>VLOOKUP(B186,HAB.GEN.!$C$19:$I$218,3,FALSE)</f>
        <v>#N/A</v>
      </c>
      <c r="E186" s="480" t="e">
        <f>VLOOKUP(B186,HAB.GEN.!$C$19:$I$218,4,FALSE)</f>
        <v>#N/A</v>
      </c>
      <c r="F186" s="480" t="e">
        <f>VLOOKUP(B186,HAB.GEN.!$C$19:$I$218,5,FALSE)</f>
        <v>#N/A</v>
      </c>
      <c r="G186" s="480" t="e">
        <f>VLOOKUP(B186,HAB.GEN.!$C$19:$I$218,6,FALSE)</f>
        <v>#N/A</v>
      </c>
      <c r="H186" s="480" t="str">
        <f t="shared" si="3"/>
        <v>HÁBIL</v>
      </c>
      <c r="I186" s="480" t="e">
        <f>VLOOKUP(C186,PON.EXP.ESP.!$D$30:$J$229,3,FALSE)</f>
        <v>#N/A</v>
      </c>
      <c r="J186" s="481" t="e">
        <f>VLOOKUP(C186,PON.EXP.ESP.!$D$30:$J$229,4,FALSE)</f>
        <v>#N/A</v>
      </c>
      <c r="K186" s="482" t="e">
        <f>VLOOKUP(C186,PON.EXP.ESP.!$D$30:$J$229,5,FALSE)</f>
        <v>#N/A</v>
      </c>
      <c r="L186" s="481" t="e">
        <f>VLOOKUP(C186,PON.EXP.ESP.!$D$30:$J$229,6,FALSE)</f>
        <v>#N/A</v>
      </c>
      <c r="M186" s="482" t="e">
        <f>VLOOKUP(C186,PON.EXP.ESP.!$D$30:$J$229,7,FALSE)</f>
        <v>#N/A</v>
      </c>
      <c r="N186" s="481" t="e">
        <f>VLOOKUP(C186,VIN.PERS.DISC.!$C$19:$D$218,2,FALSE)</f>
        <v>#N/A</v>
      </c>
      <c r="O186" s="483" t="e">
        <f>VLOOKUP(C186,'APOYO A IND. NAL.'!$C$19:$D$218,2,FALSE)</f>
        <v>#N/A</v>
      </c>
      <c r="P186" s="484" t="e">
        <f>VLOOKUP(C186,RESUMENGEN!$D$20:$J$219,7,FALSE)</f>
        <v>#N/A</v>
      </c>
      <c r="Q186" s="478"/>
      <c r="R186" s="484" t="e">
        <f t="shared" si="7"/>
        <v>#N/A</v>
      </c>
      <c r="S186" s="492" t="e">
        <f t="shared" si="8"/>
        <v>#N/A</v>
      </c>
    </row>
    <row r="187" spans="2:19" hidden="1">
      <c r="B187" s="491">
        <v>183</v>
      </c>
      <c r="C187" s="491" t="e">
        <f>VLOOKUP(B187,RESUMENGEN!B202:E401,3,FALSE)</f>
        <v>#N/A</v>
      </c>
      <c r="D187" s="480" t="e">
        <f>VLOOKUP(B187,HAB.GEN.!$C$19:$I$218,3,FALSE)</f>
        <v>#N/A</v>
      </c>
      <c r="E187" s="480" t="e">
        <f>VLOOKUP(B187,HAB.GEN.!$C$19:$I$218,4,FALSE)</f>
        <v>#N/A</v>
      </c>
      <c r="F187" s="480" t="e">
        <f>VLOOKUP(B187,HAB.GEN.!$C$19:$I$218,5,FALSE)</f>
        <v>#N/A</v>
      </c>
      <c r="G187" s="480" t="e">
        <f>VLOOKUP(B187,HAB.GEN.!$C$19:$I$218,6,FALSE)</f>
        <v>#N/A</v>
      </c>
      <c r="H187" s="480" t="str">
        <f t="shared" si="3"/>
        <v>HÁBIL</v>
      </c>
      <c r="I187" s="480" t="e">
        <f>VLOOKUP(C187,PON.EXP.ESP.!$D$30:$J$229,3,FALSE)</f>
        <v>#N/A</v>
      </c>
      <c r="J187" s="481" t="e">
        <f>VLOOKUP(C187,PON.EXP.ESP.!$D$30:$J$229,4,FALSE)</f>
        <v>#N/A</v>
      </c>
      <c r="K187" s="482" t="e">
        <f>VLOOKUP(C187,PON.EXP.ESP.!$D$30:$J$229,5,FALSE)</f>
        <v>#N/A</v>
      </c>
      <c r="L187" s="481" t="e">
        <f>VLOOKUP(C187,PON.EXP.ESP.!$D$30:$J$229,6,FALSE)</f>
        <v>#N/A</v>
      </c>
      <c r="M187" s="482" t="e">
        <f>VLOOKUP(C187,PON.EXP.ESP.!$D$30:$J$229,7,FALSE)</f>
        <v>#N/A</v>
      </c>
      <c r="N187" s="481" t="e">
        <f>VLOOKUP(C187,VIN.PERS.DISC.!$C$19:$D$218,2,FALSE)</f>
        <v>#N/A</v>
      </c>
      <c r="O187" s="483" t="e">
        <f>VLOOKUP(C187,'APOYO A IND. NAL.'!$C$19:$D$218,2,FALSE)</f>
        <v>#N/A</v>
      </c>
      <c r="P187" s="484" t="e">
        <f>VLOOKUP(C187,RESUMENGEN!$D$20:$J$219,7,FALSE)</f>
        <v>#N/A</v>
      </c>
      <c r="Q187" s="478"/>
      <c r="R187" s="484" t="e">
        <f t="shared" si="7"/>
        <v>#N/A</v>
      </c>
      <c r="S187" s="492" t="e">
        <f t="shared" si="8"/>
        <v>#N/A</v>
      </c>
    </row>
    <row r="188" spans="2:19" hidden="1">
      <c r="B188" s="491">
        <v>184</v>
      </c>
      <c r="C188" s="491" t="e">
        <f>VLOOKUP(B188,RESUMENGEN!B203:E402,3,FALSE)</f>
        <v>#N/A</v>
      </c>
      <c r="D188" s="480" t="e">
        <f>VLOOKUP(B188,HAB.GEN.!$C$19:$I$218,3,FALSE)</f>
        <v>#N/A</v>
      </c>
      <c r="E188" s="480" t="e">
        <f>VLOOKUP(B188,HAB.GEN.!$C$19:$I$218,4,FALSE)</f>
        <v>#N/A</v>
      </c>
      <c r="F188" s="480" t="e">
        <f>VLOOKUP(B188,HAB.GEN.!$C$19:$I$218,5,FALSE)</f>
        <v>#N/A</v>
      </c>
      <c r="G188" s="480" t="e">
        <f>VLOOKUP(B188,HAB.GEN.!$C$19:$I$218,6,FALSE)</f>
        <v>#N/A</v>
      </c>
      <c r="H188" s="480" t="str">
        <f t="shared" si="3"/>
        <v>HÁBIL</v>
      </c>
      <c r="I188" s="480" t="e">
        <f>VLOOKUP(C188,PON.EXP.ESP.!$D$30:$J$229,3,FALSE)</f>
        <v>#N/A</v>
      </c>
      <c r="J188" s="481" t="e">
        <f>VLOOKUP(C188,PON.EXP.ESP.!$D$30:$J$229,4,FALSE)</f>
        <v>#N/A</v>
      </c>
      <c r="K188" s="482" t="e">
        <f>VLOOKUP(C188,PON.EXP.ESP.!$D$30:$J$229,5,FALSE)</f>
        <v>#N/A</v>
      </c>
      <c r="L188" s="481" t="e">
        <f>VLOOKUP(C188,PON.EXP.ESP.!$D$30:$J$229,6,FALSE)</f>
        <v>#N/A</v>
      </c>
      <c r="M188" s="482" t="e">
        <f>VLOOKUP(C188,PON.EXP.ESP.!$D$30:$J$229,7,FALSE)</f>
        <v>#N/A</v>
      </c>
      <c r="N188" s="481" t="e">
        <f>VLOOKUP(C188,VIN.PERS.DISC.!$C$19:$D$218,2,FALSE)</f>
        <v>#N/A</v>
      </c>
      <c r="O188" s="483" t="e">
        <f>VLOOKUP(C188,'APOYO A IND. NAL.'!$C$19:$D$218,2,FALSE)</f>
        <v>#N/A</v>
      </c>
      <c r="P188" s="484" t="e">
        <f>VLOOKUP(C188,RESUMENGEN!$D$20:$J$219,7,FALSE)</f>
        <v>#N/A</v>
      </c>
      <c r="Q188" s="478"/>
      <c r="R188" s="484" t="e">
        <f t="shared" si="7"/>
        <v>#N/A</v>
      </c>
      <c r="S188" s="492" t="e">
        <f t="shared" si="8"/>
        <v>#N/A</v>
      </c>
    </row>
    <row r="189" spans="2:19" hidden="1">
      <c r="B189" s="491">
        <v>185</v>
      </c>
      <c r="C189" s="491" t="e">
        <f>VLOOKUP(B189,RESUMENGEN!B204:E403,3,FALSE)</f>
        <v>#N/A</v>
      </c>
      <c r="D189" s="480" t="e">
        <f>VLOOKUP(B189,HAB.GEN.!$C$19:$I$218,3,FALSE)</f>
        <v>#N/A</v>
      </c>
      <c r="E189" s="480" t="e">
        <f>VLOOKUP(B189,HAB.GEN.!$C$19:$I$218,4,FALSE)</f>
        <v>#N/A</v>
      </c>
      <c r="F189" s="480" t="e">
        <f>VLOOKUP(B189,HAB.GEN.!$C$19:$I$218,5,FALSE)</f>
        <v>#N/A</v>
      </c>
      <c r="G189" s="480" t="e">
        <f>VLOOKUP(B189,HAB.GEN.!$C$19:$I$218,6,FALSE)</f>
        <v>#N/A</v>
      </c>
      <c r="H189" s="480" t="str">
        <f t="shared" si="3"/>
        <v>HÁBIL</v>
      </c>
      <c r="I189" s="480" t="e">
        <f>VLOOKUP(C189,PON.EXP.ESP.!$D$30:$J$229,3,FALSE)</f>
        <v>#N/A</v>
      </c>
      <c r="J189" s="481" t="e">
        <f>VLOOKUP(C189,PON.EXP.ESP.!$D$30:$J$229,4,FALSE)</f>
        <v>#N/A</v>
      </c>
      <c r="K189" s="482" t="e">
        <f>VLOOKUP(C189,PON.EXP.ESP.!$D$30:$J$229,5,FALSE)</f>
        <v>#N/A</v>
      </c>
      <c r="L189" s="481" t="e">
        <f>VLOOKUP(C189,PON.EXP.ESP.!$D$30:$J$229,6,FALSE)</f>
        <v>#N/A</v>
      </c>
      <c r="M189" s="482" t="e">
        <f>VLOOKUP(C189,PON.EXP.ESP.!$D$30:$J$229,7,FALSE)</f>
        <v>#N/A</v>
      </c>
      <c r="N189" s="481" t="e">
        <f>VLOOKUP(C189,VIN.PERS.DISC.!$C$19:$D$218,2,FALSE)</f>
        <v>#N/A</v>
      </c>
      <c r="O189" s="483" t="e">
        <f>VLOOKUP(C189,'APOYO A IND. NAL.'!$C$19:$D$218,2,FALSE)</f>
        <v>#N/A</v>
      </c>
      <c r="P189" s="484" t="e">
        <f>VLOOKUP(C189,RESUMENGEN!$D$20:$J$219,7,FALSE)</f>
        <v>#N/A</v>
      </c>
      <c r="Q189" s="478"/>
      <c r="R189" s="484" t="e">
        <f t="shared" si="7"/>
        <v>#N/A</v>
      </c>
      <c r="S189" s="492" t="e">
        <f t="shared" si="8"/>
        <v>#N/A</v>
      </c>
    </row>
    <row r="190" spans="2:19" hidden="1">
      <c r="B190" s="491">
        <v>186</v>
      </c>
      <c r="C190" s="491" t="e">
        <f>VLOOKUP(B190,RESUMENGEN!B205:E404,3,FALSE)</f>
        <v>#N/A</v>
      </c>
      <c r="D190" s="480" t="e">
        <f>VLOOKUP(B190,HAB.GEN.!$C$19:$I$218,3,FALSE)</f>
        <v>#N/A</v>
      </c>
      <c r="E190" s="480" t="e">
        <f>VLOOKUP(B190,HAB.GEN.!$C$19:$I$218,4,FALSE)</f>
        <v>#N/A</v>
      </c>
      <c r="F190" s="480" t="e">
        <f>VLOOKUP(B190,HAB.GEN.!$C$19:$I$218,5,FALSE)</f>
        <v>#N/A</v>
      </c>
      <c r="G190" s="480" t="e">
        <f>VLOOKUP(B190,HAB.GEN.!$C$19:$I$218,6,FALSE)</f>
        <v>#N/A</v>
      </c>
      <c r="H190" s="480" t="str">
        <f t="shared" si="3"/>
        <v>HÁBIL</v>
      </c>
      <c r="I190" s="480" t="e">
        <f>VLOOKUP(C190,PON.EXP.ESP.!$D$30:$J$229,3,FALSE)</f>
        <v>#N/A</v>
      </c>
      <c r="J190" s="481" t="e">
        <f>VLOOKUP(C190,PON.EXP.ESP.!$D$30:$J$229,4,FALSE)</f>
        <v>#N/A</v>
      </c>
      <c r="K190" s="482" t="e">
        <f>VLOOKUP(C190,PON.EXP.ESP.!$D$30:$J$229,5,FALSE)</f>
        <v>#N/A</v>
      </c>
      <c r="L190" s="481" t="e">
        <f>VLOOKUP(C190,PON.EXP.ESP.!$D$30:$J$229,6,FALSE)</f>
        <v>#N/A</v>
      </c>
      <c r="M190" s="482" t="e">
        <f>VLOOKUP(C190,PON.EXP.ESP.!$D$30:$J$229,7,FALSE)</f>
        <v>#N/A</v>
      </c>
      <c r="N190" s="481" t="e">
        <f>VLOOKUP(C190,VIN.PERS.DISC.!$C$19:$D$218,2,FALSE)</f>
        <v>#N/A</v>
      </c>
      <c r="O190" s="483" t="e">
        <f>VLOOKUP(C190,'APOYO A IND. NAL.'!$C$19:$D$218,2,FALSE)</f>
        <v>#N/A</v>
      </c>
      <c r="P190" s="484" t="e">
        <f>VLOOKUP(C190,RESUMENGEN!$D$20:$J$219,7,FALSE)</f>
        <v>#N/A</v>
      </c>
      <c r="Q190" s="478"/>
      <c r="R190" s="484" t="e">
        <f t="shared" si="7"/>
        <v>#N/A</v>
      </c>
      <c r="S190" s="492" t="e">
        <f t="shared" si="8"/>
        <v>#N/A</v>
      </c>
    </row>
    <row r="191" spans="2:19" hidden="1">
      <c r="B191" s="491">
        <v>187</v>
      </c>
      <c r="C191" s="491" t="e">
        <f>VLOOKUP(B191,RESUMENGEN!B206:E405,3,FALSE)</f>
        <v>#N/A</v>
      </c>
      <c r="D191" s="480" t="e">
        <f>VLOOKUP(B191,HAB.GEN.!$C$19:$I$218,3,FALSE)</f>
        <v>#N/A</v>
      </c>
      <c r="E191" s="480" t="e">
        <f>VLOOKUP(B191,HAB.GEN.!$C$19:$I$218,4,FALSE)</f>
        <v>#N/A</v>
      </c>
      <c r="F191" s="480" t="e">
        <f>VLOOKUP(B191,HAB.GEN.!$C$19:$I$218,5,FALSE)</f>
        <v>#N/A</v>
      </c>
      <c r="G191" s="480" t="e">
        <f>VLOOKUP(B191,HAB.GEN.!$C$19:$I$218,6,FALSE)</f>
        <v>#N/A</v>
      </c>
      <c r="H191" s="480" t="str">
        <f t="shared" si="3"/>
        <v>HÁBIL</v>
      </c>
      <c r="I191" s="480" t="e">
        <f>VLOOKUP(C191,PON.EXP.ESP.!$D$30:$J$229,3,FALSE)</f>
        <v>#N/A</v>
      </c>
      <c r="J191" s="481" t="e">
        <f>VLOOKUP(C191,PON.EXP.ESP.!$D$30:$J$229,4,FALSE)</f>
        <v>#N/A</v>
      </c>
      <c r="K191" s="482" t="e">
        <f>VLOOKUP(C191,PON.EXP.ESP.!$D$30:$J$229,5,FALSE)</f>
        <v>#N/A</v>
      </c>
      <c r="L191" s="481" t="e">
        <f>VLOOKUP(C191,PON.EXP.ESP.!$D$30:$J$229,6,FALSE)</f>
        <v>#N/A</v>
      </c>
      <c r="M191" s="482" t="e">
        <f>VLOOKUP(C191,PON.EXP.ESP.!$D$30:$J$229,7,FALSE)</f>
        <v>#N/A</v>
      </c>
      <c r="N191" s="481" t="e">
        <f>VLOOKUP(C191,VIN.PERS.DISC.!$C$19:$D$218,2,FALSE)</f>
        <v>#N/A</v>
      </c>
      <c r="O191" s="483" t="e">
        <f>VLOOKUP(C191,'APOYO A IND. NAL.'!$C$19:$D$218,2,FALSE)</f>
        <v>#N/A</v>
      </c>
      <c r="P191" s="484" t="e">
        <f>VLOOKUP(C191,RESUMENGEN!$D$20:$J$219,7,FALSE)</f>
        <v>#N/A</v>
      </c>
      <c r="Q191" s="478"/>
      <c r="R191" s="484" t="e">
        <f t="shared" si="7"/>
        <v>#N/A</v>
      </c>
      <c r="S191" s="492" t="e">
        <f t="shared" si="8"/>
        <v>#N/A</v>
      </c>
    </row>
    <row r="192" spans="2:19" hidden="1">
      <c r="B192" s="491">
        <v>188</v>
      </c>
      <c r="C192" s="491" t="e">
        <f>VLOOKUP(B192,RESUMENGEN!B207:E406,3,FALSE)</f>
        <v>#N/A</v>
      </c>
      <c r="D192" s="480" t="e">
        <f>VLOOKUP(B192,HAB.GEN.!$C$19:$I$218,3,FALSE)</f>
        <v>#N/A</v>
      </c>
      <c r="E192" s="480" t="e">
        <f>VLOOKUP(B192,HAB.GEN.!$C$19:$I$218,4,FALSE)</f>
        <v>#N/A</v>
      </c>
      <c r="F192" s="480" t="e">
        <f>VLOOKUP(B192,HAB.GEN.!$C$19:$I$218,5,FALSE)</f>
        <v>#N/A</v>
      </c>
      <c r="G192" s="480" t="e">
        <f>VLOOKUP(B192,HAB.GEN.!$C$19:$I$218,6,FALSE)</f>
        <v>#N/A</v>
      </c>
      <c r="H192" s="480" t="str">
        <f t="shared" si="3"/>
        <v>HÁBIL</v>
      </c>
      <c r="I192" s="480" t="e">
        <f>VLOOKUP(C192,PON.EXP.ESP.!$D$30:$J$229,3,FALSE)</f>
        <v>#N/A</v>
      </c>
      <c r="J192" s="481" t="e">
        <f>VLOOKUP(C192,PON.EXP.ESP.!$D$30:$J$229,4,FALSE)</f>
        <v>#N/A</v>
      </c>
      <c r="K192" s="482" t="e">
        <f>VLOOKUP(C192,PON.EXP.ESP.!$D$30:$J$229,5,FALSE)</f>
        <v>#N/A</v>
      </c>
      <c r="L192" s="481" t="e">
        <f>VLOOKUP(C192,PON.EXP.ESP.!$D$30:$J$229,6,FALSE)</f>
        <v>#N/A</v>
      </c>
      <c r="M192" s="482" t="e">
        <f>VLOOKUP(C192,PON.EXP.ESP.!$D$30:$J$229,7,FALSE)</f>
        <v>#N/A</v>
      </c>
      <c r="N192" s="481" t="e">
        <f>VLOOKUP(C192,VIN.PERS.DISC.!$C$19:$D$218,2,FALSE)</f>
        <v>#N/A</v>
      </c>
      <c r="O192" s="483" t="e">
        <f>VLOOKUP(C192,'APOYO A IND. NAL.'!$C$19:$D$218,2,FALSE)</f>
        <v>#N/A</v>
      </c>
      <c r="P192" s="484" t="e">
        <f>VLOOKUP(C192,RESUMENGEN!$D$20:$J$219,7,FALSE)</f>
        <v>#N/A</v>
      </c>
      <c r="Q192" s="478"/>
      <c r="R192" s="484" t="e">
        <f t="shared" si="7"/>
        <v>#N/A</v>
      </c>
      <c r="S192" s="492" t="e">
        <f t="shared" si="8"/>
        <v>#N/A</v>
      </c>
    </row>
    <row r="193" spans="2:19" hidden="1">
      <c r="B193" s="491">
        <v>189</v>
      </c>
      <c r="C193" s="491" t="e">
        <f>VLOOKUP(B193,RESUMENGEN!B208:E407,3,FALSE)</f>
        <v>#N/A</v>
      </c>
      <c r="D193" s="480" t="e">
        <f>VLOOKUP(B193,HAB.GEN.!$C$19:$I$218,3,FALSE)</f>
        <v>#N/A</v>
      </c>
      <c r="E193" s="480" t="e">
        <f>VLOOKUP(B193,HAB.GEN.!$C$19:$I$218,4,FALSE)</f>
        <v>#N/A</v>
      </c>
      <c r="F193" s="480" t="e">
        <f>VLOOKUP(B193,HAB.GEN.!$C$19:$I$218,5,FALSE)</f>
        <v>#N/A</v>
      </c>
      <c r="G193" s="480" t="e">
        <f>VLOOKUP(B193,HAB.GEN.!$C$19:$I$218,6,FALSE)</f>
        <v>#N/A</v>
      </c>
      <c r="H193" s="480" t="str">
        <f t="shared" si="3"/>
        <v>HÁBIL</v>
      </c>
      <c r="I193" s="480" t="e">
        <f>VLOOKUP(C193,PON.EXP.ESP.!$D$30:$J$229,3,FALSE)</f>
        <v>#N/A</v>
      </c>
      <c r="J193" s="481" t="e">
        <f>VLOOKUP(C193,PON.EXP.ESP.!$D$30:$J$229,4,FALSE)</f>
        <v>#N/A</v>
      </c>
      <c r="K193" s="482" t="e">
        <f>VLOOKUP(C193,PON.EXP.ESP.!$D$30:$J$229,5,FALSE)</f>
        <v>#N/A</v>
      </c>
      <c r="L193" s="481" t="e">
        <f>VLOOKUP(C193,PON.EXP.ESP.!$D$30:$J$229,6,FALSE)</f>
        <v>#N/A</v>
      </c>
      <c r="M193" s="482" t="e">
        <f>VLOOKUP(C193,PON.EXP.ESP.!$D$30:$J$229,7,FALSE)</f>
        <v>#N/A</v>
      </c>
      <c r="N193" s="481" t="e">
        <f>VLOOKUP(C193,VIN.PERS.DISC.!$C$19:$D$218,2,FALSE)</f>
        <v>#N/A</v>
      </c>
      <c r="O193" s="483" t="e">
        <f>VLOOKUP(C193,'APOYO A IND. NAL.'!$C$19:$D$218,2,FALSE)</f>
        <v>#N/A</v>
      </c>
      <c r="P193" s="484" t="e">
        <f>VLOOKUP(C193,RESUMENGEN!$D$20:$J$219,7,FALSE)</f>
        <v>#N/A</v>
      </c>
      <c r="Q193" s="478"/>
      <c r="R193" s="484" t="e">
        <f t="shared" si="7"/>
        <v>#N/A</v>
      </c>
      <c r="S193" s="492" t="e">
        <f t="shared" si="8"/>
        <v>#N/A</v>
      </c>
    </row>
    <row r="194" spans="2:19" hidden="1">
      <c r="B194" s="491">
        <v>190</v>
      </c>
      <c r="C194" s="491" t="e">
        <f>VLOOKUP(B194,RESUMENGEN!B209:E408,3,FALSE)</f>
        <v>#N/A</v>
      </c>
      <c r="D194" s="480" t="e">
        <f>VLOOKUP(B194,HAB.GEN.!$C$19:$I$218,3,FALSE)</f>
        <v>#N/A</v>
      </c>
      <c r="E194" s="480" t="e">
        <f>VLOOKUP(B194,HAB.GEN.!$C$19:$I$218,4,FALSE)</f>
        <v>#N/A</v>
      </c>
      <c r="F194" s="480" t="e">
        <f>VLOOKUP(B194,HAB.GEN.!$C$19:$I$218,5,FALSE)</f>
        <v>#N/A</v>
      </c>
      <c r="G194" s="480" t="e">
        <f>VLOOKUP(B194,HAB.GEN.!$C$19:$I$218,6,FALSE)</f>
        <v>#N/A</v>
      </c>
      <c r="H194" s="480" t="str">
        <f t="shared" si="3"/>
        <v>HÁBIL</v>
      </c>
      <c r="I194" s="480" t="e">
        <f>VLOOKUP(C194,PON.EXP.ESP.!$D$30:$J$229,3,FALSE)</f>
        <v>#N/A</v>
      </c>
      <c r="J194" s="481" t="e">
        <f>VLOOKUP(C194,PON.EXP.ESP.!$D$30:$J$229,4,FALSE)</f>
        <v>#N/A</v>
      </c>
      <c r="K194" s="482" t="e">
        <f>VLOOKUP(C194,PON.EXP.ESP.!$D$30:$J$229,5,FALSE)</f>
        <v>#N/A</v>
      </c>
      <c r="L194" s="481" t="e">
        <f>VLOOKUP(C194,PON.EXP.ESP.!$D$30:$J$229,6,FALSE)</f>
        <v>#N/A</v>
      </c>
      <c r="M194" s="482" t="e">
        <f>VLOOKUP(C194,PON.EXP.ESP.!$D$30:$J$229,7,FALSE)</f>
        <v>#N/A</v>
      </c>
      <c r="N194" s="481" t="e">
        <f>VLOOKUP(C194,VIN.PERS.DISC.!$C$19:$D$218,2,FALSE)</f>
        <v>#N/A</v>
      </c>
      <c r="O194" s="483" t="e">
        <f>VLOOKUP(C194,'APOYO A IND. NAL.'!$C$19:$D$218,2,FALSE)</f>
        <v>#N/A</v>
      </c>
      <c r="P194" s="484" t="e">
        <f>VLOOKUP(C194,RESUMENGEN!$D$20:$J$219,7,FALSE)</f>
        <v>#N/A</v>
      </c>
      <c r="Q194" s="478"/>
      <c r="R194" s="484" t="e">
        <f t="shared" si="7"/>
        <v>#N/A</v>
      </c>
      <c r="S194" s="492" t="e">
        <f t="shared" si="8"/>
        <v>#N/A</v>
      </c>
    </row>
    <row r="195" spans="2:19" hidden="1">
      <c r="B195" s="491">
        <v>191</v>
      </c>
      <c r="C195" s="491" t="e">
        <f>VLOOKUP(B195,RESUMENGEN!B210:E409,3,FALSE)</f>
        <v>#N/A</v>
      </c>
      <c r="D195" s="480" t="e">
        <f>VLOOKUP(B195,HAB.GEN.!$C$19:$I$218,3,FALSE)</f>
        <v>#N/A</v>
      </c>
      <c r="E195" s="480" t="e">
        <f>VLOOKUP(B195,HAB.GEN.!$C$19:$I$218,4,FALSE)</f>
        <v>#N/A</v>
      </c>
      <c r="F195" s="480" t="e">
        <f>VLOOKUP(B195,HAB.GEN.!$C$19:$I$218,5,FALSE)</f>
        <v>#N/A</v>
      </c>
      <c r="G195" s="480" t="e">
        <f>VLOOKUP(B195,HAB.GEN.!$C$19:$I$218,6,FALSE)</f>
        <v>#N/A</v>
      </c>
      <c r="H195" s="480" t="str">
        <f t="shared" si="3"/>
        <v>HÁBIL</v>
      </c>
      <c r="I195" s="480" t="e">
        <f>VLOOKUP(C195,PON.EXP.ESP.!$D$30:$J$229,3,FALSE)</f>
        <v>#N/A</v>
      </c>
      <c r="J195" s="481" t="e">
        <f>VLOOKUP(C195,PON.EXP.ESP.!$D$30:$J$229,4,FALSE)</f>
        <v>#N/A</v>
      </c>
      <c r="K195" s="482" t="e">
        <f>VLOOKUP(C195,PON.EXP.ESP.!$D$30:$J$229,5,FALSE)</f>
        <v>#N/A</v>
      </c>
      <c r="L195" s="481" t="e">
        <f>VLOOKUP(C195,PON.EXP.ESP.!$D$30:$J$229,6,FALSE)</f>
        <v>#N/A</v>
      </c>
      <c r="M195" s="482" t="e">
        <f>VLOOKUP(C195,PON.EXP.ESP.!$D$30:$J$229,7,FALSE)</f>
        <v>#N/A</v>
      </c>
      <c r="N195" s="481" t="e">
        <f>VLOOKUP(C195,VIN.PERS.DISC.!$C$19:$D$218,2,FALSE)</f>
        <v>#N/A</v>
      </c>
      <c r="O195" s="483" t="e">
        <f>VLOOKUP(C195,'APOYO A IND. NAL.'!$C$19:$D$218,2,FALSE)</f>
        <v>#N/A</v>
      </c>
      <c r="P195" s="484" t="e">
        <f>VLOOKUP(C195,RESUMENGEN!$D$20:$J$219,7,FALSE)</f>
        <v>#N/A</v>
      </c>
      <c r="Q195" s="478"/>
      <c r="R195" s="484" t="e">
        <f t="shared" si="7"/>
        <v>#N/A</v>
      </c>
      <c r="S195" s="492" t="e">
        <f t="shared" si="8"/>
        <v>#N/A</v>
      </c>
    </row>
    <row r="196" spans="2:19" hidden="1">
      <c r="B196" s="491">
        <v>192</v>
      </c>
      <c r="C196" s="491" t="e">
        <f>VLOOKUP(B196,RESUMENGEN!B211:E410,3,FALSE)</f>
        <v>#N/A</v>
      </c>
      <c r="D196" s="480" t="e">
        <f>VLOOKUP(B196,HAB.GEN.!$C$19:$I$218,3,FALSE)</f>
        <v>#N/A</v>
      </c>
      <c r="E196" s="480" t="e">
        <f>VLOOKUP(B196,HAB.GEN.!$C$19:$I$218,4,FALSE)</f>
        <v>#N/A</v>
      </c>
      <c r="F196" s="480" t="e">
        <f>VLOOKUP(B196,HAB.GEN.!$C$19:$I$218,5,FALSE)</f>
        <v>#N/A</v>
      </c>
      <c r="G196" s="480" t="e">
        <f>VLOOKUP(B196,HAB.GEN.!$C$19:$I$218,6,FALSE)</f>
        <v>#N/A</v>
      </c>
      <c r="H196" s="480" t="str">
        <f t="shared" si="3"/>
        <v>HÁBIL</v>
      </c>
      <c r="I196" s="480" t="e">
        <f>VLOOKUP(C196,PON.EXP.ESP.!$D$30:$J$229,3,FALSE)</f>
        <v>#N/A</v>
      </c>
      <c r="J196" s="481" t="e">
        <f>VLOOKUP(C196,PON.EXP.ESP.!$D$30:$J$229,4,FALSE)</f>
        <v>#N/A</v>
      </c>
      <c r="K196" s="482" t="e">
        <f>VLOOKUP(C196,PON.EXP.ESP.!$D$30:$J$229,5,FALSE)</f>
        <v>#N/A</v>
      </c>
      <c r="L196" s="481" t="e">
        <f>VLOOKUP(C196,PON.EXP.ESP.!$D$30:$J$229,6,FALSE)</f>
        <v>#N/A</v>
      </c>
      <c r="M196" s="482" t="e">
        <f>VLOOKUP(C196,PON.EXP.ESP.!$D$30:$J$229,7,FALSE)</f>
        <v>#N/A</v>
      </c>
      <c r="N196" s="481" t="e">
        <f>VLOOKUP(C196,VIN.PERS.DISC.!$C$19:$D$218,2,FALSE)</f>
        <v>#N/A</v>
      </c>
      <c r="O196" s="483" t="e">
        <f>VLOOKUP(C196,'APOYO A IND. NAL.'!$C$19:$D$218,2,FALSE)</f>
        <v>#N/A</v>
      </c>
      <c r="P196" s="484" t="e">
        <f>VLOOKUP(C196,RESUMENGEN!$D$20:$J$219,7,FALSE)</f>
        <v>#N/A</v>
      </c>
      <c r="Q196" s="478"/>
      <c r="R196" s="484" t="e">
        <f t="shared" si="7"/>
        <v>#N/A</v>
      </c>
      <c r="S196" s="492" t="e">
        <f t="shared" si="8"/>
        <v>#N/A</v>
      </c>
    </row>
    <row r="197" spans="2:19" hidden="1">
      <c r="B197" s="491">
        <v>193</v>
      </c>
      <c r="C197" s="491" t="e">
        <f>VLOOKUP(B197,RESUMENGEN!B212:E411,3,FALSE)</f>
        <v>#N/A</v>
      </c>
      <c r="D197" s="480" t="e">
        <f>VLOOKUP(B197,HAB.GEN.!$C$19:$I$218,3,FALSE)</f>
        <v>#N/A</v>
      </c>
      <c r="E197" s="480" t="e">
        <f>VLOOKUP(B197,HAB.GEN.!$C$19:$I$218,4,FALSE)</f>
        <v>#N/A</v>
      </c>
      <c r="F197" s="480" t="e">
        <f>VLOOKUP(B197,HAB.GEN.!$C$19:$I$218,5,FALSE)</f>
        <v>#N/A</v>
      </c>
      <c r="G197" s="480" t="e">
        <f>VLOOKUP(B197,HAB.GEN.!$C$19:$I$218,6,FALSE)</f>
        <v>#N/A</v>
      </c>
      <c r="H197" s="480" t="str">
        <f t="shared" si="3"/>
        <v>HÁBIL</v>
      </c>
      <c r="I197" s="480" t="e">
        <f>VLOOKUP(C197,PON.EXP.ESP.!$D$30:$J$229,3,FALSE)</f>
        <v>#N/A</v>
      </c>
      <c r="J197" s="481" t="e">
        <f>VLOOKUP(C197,PON.EXP.ESP.!$D$30:$J$229,4,FALSE)</f>
        <v>#N/A</v>
      </c>
      <c r="K197" s="482" t="e">
        <f>VLOOKUP(C197,PON.EXP.ESP.!$D$30:$J$229,5,FALSE)</f>
        <v>#N/A</v>
      </c>
      <c r="L197" s="481" t="e">
        <f>VLOOKUP(C197,PON.EXP.ESP.!$D$30:$J$229,6,FALSE)</f>
        <v>#N/A</v>
      </c>
      <c r="M197" s="482" t="e">
        <f>VLOOKUP(C197,PON.EXP.ESP.!$D$30:$J$229,7,FALSE)</f>
        <v>#N/A</v>
      </c>
      <c r="N197" s="481" t="e">
        <f>VLOOKUP(C197,VIN.PERS.DISC.!$C$19:$D$218,2,FALSE)</f>
        <v>#N/A</v>
      </c>
      <c r="O197" s="483" t="e">
        <f>VLOOKUP(C197,'APOYO A IND. NAL.'!$C$19:$D$218,2,FALSE)</f>
        <v>#N/A</v>
      </c>
      <c r="P197" s="484" t="e">
        <f>VLOOKUP(C197,RESUMENGEN!$D$20:$J$219,7,FALSE)</f>
        <v>#N/A</v>
      </c>
      <c r="Q197" s="478"/>
      <c r="R197" s="484" t="e">
        <f t="shared" si="7"/>
        <v>#N/A</v>
      </c>
      <c r="S197" s="492" t="e">
        <f t="shared" si="8"/>
        <v>#N/A</v>
      </c>
    </row>
    <row r="198" spans="2:19" hidden="1">
      <c r="B198" s="491">
        <v>194</v>
      </c>
      <c r="C198" s="491" t="e">
        <f>VLOOKUP(B198,RESUMENGEN!B213:E412,3,FALSE)</f>
        <v>#N/A</v>
      </c>
      <c r="D198" s="480" t="e">
        <f>VLOOKUP(B198,HAB.GEN.!$C$19:$I$218,3,FALSE)</f>
        <v>#N/A</v>
      </c>
      <c r="E198" s="480" t="e">
        <f>VLOOKUP(B198,HAB.GEN.!$C$19:$I$218,4,FALSE)</f>
        <v>#N/A</v>
      </c>
      <c r="F198" s="480" t="e">
        <f>VLOOKUP(B198,HAB.GEN.!$C$19:$I$218,5,FALSE)</f>
        <v>#N/A</v>
      </c>
      <c r="G198" s="480" t="e">
        <f>VLOOKUP(B198,HAB.GEN.!$C$19:$I$218,6,FALSE)</f>
        <v>#N/A</v>
      </c>
      <c r="H198" s="480" t="str">
        <f t="shared" si="3"/>
        <v>HÁBIL</v>
      </c>
      <c r="I198" s="480" t="e">
        <f>VLOOKUP(C198,PON.EXP.ESP.!$D$30:$J$229,3,FALSE)</f>
        <v>#N/A</v>
      </c>
      <c r="J198" s="481" t="e">
        <f>VLOOKUP(C198,PON.EXP.ESP.!$D$30:$J$229,4,FALSE)</f>
        <v>#N/A</v>
      </c>
      <c r="K198" s="482" t="e">
        <f>VLOOKUP(C198,PON.EXP.ESP.!$D$30:$J$229,5,FALSE)</f>
        <v>#N/A</v>
      </c>
      <c r="L198" s="481" t="e">
        <f>VLOOKUP(C198,PON.EXP.ESP.!$D$30:$J$229,6,FALSE)</f>
        <v>#N/A</v>
      </c>
      <c r="M198" s="482" t="e">
        <f>VLOOKUP(C198,PON.EXP.ESP.!$D$30:$J$229,7,FALSE)</f>
        <v>#N/A</v>
      </c>
      <c r="N198" s="481" t="e">
        <f>VLOOKUP(C198,VIN.PERS.DISC.!$C$19:$D$218,2,FALSE)</f>
        <v>#N/A</v>
      </c>
      <c r="O198" s="483" t="e">
        <f>VLOOKUP(C198,'APOYO A IND. NAL.'!$C$19:$D$218,2,FALSE)</f>
        <v>#N/A</v>
      </c>
      <c r="P198" s="484" t="e">
        <f>VLOOKUP(C198,RESUMENGEN!$D$20:$J$219,7,FALSE)</f>
        <v>#N/A</v>
      </c>
      <c r="Q198" s="478"/>
      <c r="R198" s="484" t="e">
        <f t="shared" ref="R198:R204" si="9">+K198+M198+N198+O198</f>
        <v>#N/A</v>
      </c>
      <c r="S198" s="492" t="e">
        <f t="shared" si="8"/>
        <v>#N/A</v>
      </c>
    </row>
    <row r="199" spans="2:19" hidden="1">
      <c r="B199" s="491">
        <v>195</v>
      </c>
      <c r="C199" s="491" t="e">
        <f>VLOOKUP(B199,RESUMENGEN!B214:E413,3,FALSE)</f>
        <v>#N/A</v>
      </c>
      <c r="D199" s="480" t="e">
        <f>VLOOKUP(B199,HAB.GEN.!$C$19:$I$218,3,FALSE)</f>
        <v>#N/A</v>
      </c>
      <c r="E199" s="480" t="e">
        <f>VLOOKUP(B199,HAB.GEN.!$C$19:$I$218,4,FALSE)</f>
        <v>#N/A</v>
      </c>
      <c r="F199" s="480" t="e">
        <f>VLOOKUP(B199,HAB.GEN.!$C$19:$I$218,5,FALSE)</f>
        <v>#N/A</v>
      </c>
      <c r="G199" s="480" t="e">
        <f>VLOOKUP(B199,HAB.GEN.!$C$19:$I$218,6,FALSE)</f>
        <v>#N/A</v>
      </c>
      <c r="H199" s="480" t="str">
        <f t="shared" si="3"/>
        <v>HÁBIL</v>
      </c>
      <c r="I199" s="480" t="e">
        <f>VLOOKUP(C199,PON.EXP.ESP.!$D$30:$J$229,3,FALSE)</f>
        <v>#N/A</v>
      </c>
      <c r="J199" s="481" t="e">
        <f>VLOOKUP(C199,PON.EXP.ESP.!$D$30:$J$229,4,FALSE)</f>
        <v>#N/A</v>
      </c>
      <c r="K199" s="482" t="e">
        <f>VLOOKUP(C199,PON.EXP.ESP.!$D$30:$J$229,5,FALSE)</f>
        <v>#N/A</v>
      </c>
      <c r="L199" s="481" t="e">
        <f>VLOOKUP(C199,PON.EXP.ESP.!$D$30:$J$229,6,FALSE)</f>
        <v>#N/A</v>
      </c>
      <c r="M199" s="482" t="e">
        <f>VLOOKUP(C199,PON.EXP.ESP.!$D$30:$J$229,7,FALSE)</f>
        <v>#N/A</v>
      </c>
      <c r="N199" s="481" t="e">
        <f>VLOOKUP(C199,VIN.PERS.DISC.!$C$19:$D$218,2,FALSE)</f>
        <v>#N/A</v>
      </c>
      <c r="O199" s="483" t="e">
        <f>VLOOKUP(C199,'APOYO A IND. NAL.'!$C$19:$D$218,2,FALSE)</f>
        <v>#N/A</v>
      </c>
      <c r="P199" s="484" t="e">
        <f>VLOOKUP(C199,RESUMENGEN!$D$20:$J$219,7,FALSE)</f>
        <v>#N/A</v>
      </c>
      <c r="Q199" s="478"/>
      <c r="R199" s="484" t="e">
        <f t="shared" si="9"/>
        <v>#N/A</v>
      </c>
      <c r="S199" s="492" t="e">
        <f t="shared" si="8"/>
        <v>#N/A</v>
      </c>
    </row>
    <row r="200" spans="2:19" hidden="1">
      <c r="B200" s="491">
        <v>196</v>
      </c>
      <c r="C200" s="491" t="e">
        <f>VLOOKUP(B200,RESUMENGEN!B215:E414,3,FALSE)</f>
        <v>#N/A</v>
      </c>
      <c r="D200" s="480" t="e">
        <f>VLOOKUP(B200,HAB.GEN.!$C$19:$I$218,3,FALSE)</f>
        <v>#N/A</v>
      </c>
      <c r="E200" s="480" t="e">
        <f>VLOOKUP(B200,HAB.GEN.!$C$19:$I$218,4,FALSE)</f>
        <v>#N/A</v>
      </c>
      <c r="F200" s="480" t="e">
        <f>VLOOKUP(B200,HAB.GEN.!$C$19:$I$218,5,FALSE)</f>
        <v>#N/A</v>
      </c>
      <c r="G200" s="480" t="e">
        <f>VLOOKUP(B200,HAB.GEN.!$C$19:$I$218,6,FALSE)</f>
        <v>#N/A</v>
      </c>
      <c r="H200" s="480" t="str">
        <f t="shared" si="3"/>
        <v>HÁBIL</v>
      </c>
      <c r="I200" s="480" t="e">
        <f>VLOOKUP(C200,PON.EXP.ESP.!$D$30:$J$229,3,FALSE)</f>
        <v>#N/A</v>
      </c>
      <c r="J200" s="481" t="e">
        <f>VLOOKUP(C200,PON.EXP.ESP.!$D$30:$J$229,4,FALSE)</f>
        <v>#N/A</v>
      </c>
      <c r="K200" s="482" t="e">
        <f>VLOOKUP(C200,PON.EXP.ESP.!$D$30:$J$229,5,FALSE)</f>
        <v>#N/A</v>
      </c>
      <c r="L200" s="481" t="e">
        <f>VLOOKUP(C200,PON.EXP.ESP.!$D$30:$J$229,6,FALSE)</f>
        <v>#N/A</v>
      </c>
      <c r="M200" s="482" t="e">
        <f>VLOOKUP(C200,PON.EXP.ESP.!$D$30:$J$229,7,FALSE)</f>
        <v>#N/A</v>
      </c>
      <c r="N200" s="481" t="e">
        <f>VLOOKUP(C200,VIN.PERS.DISC.!$C$19:$D$218,2,FALSE)</f>
        <v>#N/A</v>
      </c>
      <c r="O200" s="483" t="e">
        <f>VLOOKUP(C200,'APOYO A IND. NAL.'!$C$19:$D$218,2,FALSE)</f>
        <v>#N/A</v>
      </c>
      <c r="P200" s="484" t="e">
        <f>VLOOKUP(C200,RESUMENGEN!$D$20:$J$219,7,FALSE)</f>
        <v>#N/A</v>
      </c>
      <c r="Q200" s="478"/>
      <c r="R200" s="484" t="e">
        <f t="shared" si="9"/>
        <v>#N/A</v>
      </c>
      <c r="S200" s="492" t="e">
        <f t="shared" si="8"/>
        <v>#N/A</v>
      </c>
    </row>
    <row r="201" spans="2:19" hidden="1">
      <c r="B201" s="491">
        <v>197</v>
      </c>
      <c r="C201" s="491" t="e">
        <f>VLOOKUP(B201,RESUMENGEN!B216:E415,3,FALSE)</f>
        <v>#N/A</v>
      </c>
      <c r="D201" s="480" t="e">
        <f>VLOOKUP(B201,HAB.GEN.!$C$19:$I$218,3,FALSE)</f>
        <v>#N/A</v>
      </c>
      <c r="E201" s="480" t="e">
        <f>VLOOKUP(B201,HAB.GEN.!$C$19:$I$218,4,FALSE)</f>
        <v>#N/A</v>
      </c>
      <c r="F201" s="480" t="e">
        <f>VLOOKUP(B201,HAB.GEN.!$C$19:$I$218,5,FALSE)</f>
        <v>#N/A</v>
      </c>
      <c r="G201" s="480" t="e">
        <f>VLOOKUP(B201,HAB.GEN.!$C$19:$I$218,6,FALSE)</f>
        <v>#N/A</v>
      </c>
      <c r="H201" s="480" t="str">
        <f t="shared" si="3"/>
        <v>HÁBIL</v>
      </c>
      <c r="I201" s="480" t="e">
        <f>VLOOKUP(C201,PON.EXP.ESP.!$D$30:$J$229,3,FALSE)</f>
        <v>#N/A</v>
      </c>
      <c r="J201" s="481" t="e">
        <f>VLOOKUP(C201,PON.EXP.ESP.!$D$30:$J$229,4,FALSE)</f>
        <v>#N/A</v>
      </c>
      <c r="K201" s="482" t="e">
        <f>VLOOKUP(C201,PON.EXP.ESP.!$D$30:$J$229,5,FALSE)</f>
        <v>#N/A</v>
      </c>
      <c r="L201" s="481" t="e">
        <f>VLOOKUP(C201,PON.EXP.ESP.!$D$30:$J$229,6,FALSE)</f>
        <v>#N/A</v>
      </c>
      <c r="M201" s="482" t="e">
        <f>VLOOKUP(C201,PON.EXP.ESP.!$D$30:$J$229,7,FALSE)</f>
        <v>#N/A</v>
      </c>
      <c r="N201" s="481" t="e">
        <f>VLOOKUP(C201,VIN.PERS.DISC.!$C$19:$D$218,2,FALSE)</f>
        <v>#N/A</v>
      </c>
      <c r="O201" s="483" t="e">
        <f>VLOOKUP(C201,'APOYO A IND. NAL.'!$C$19:$D$218,2,FALSE)</f>
        <v>#N/A</v>
      </c>
      <c r="P201" s="484" t="e">
        <f>VLOOKUP(C201,RESUMENGEN!$D$20:$J$219,7,FALSE)</f>
        <v>#N/A</v>
      </c>
      <c r="Q201" s="478"/>
      <c r="R201" s="484" t="e">
        <f t="shared" si="9"/>
        <v>#N/A</v>
      </c>
      <c r="S201" s="492" t="e">
        <f t="shared" si="8"/>
        <v>#N/A</v>
      </c>
    </row>
    <row r="202" spans="2:19" hidden="1">
      <c r="B202" s="491">
        <v>198</v>
      </c>
      <c r="C202" s="491" t="e">
        <f>VLOOKUP(B202,RESUMENGEN!B217:E416,3,FALSE)</f>
        <v>#N/A</v>
      </c>
      <c r="D202" s="480" t="e">
        <f>VLOOKUP(B202,HAB.GEN.!$C$19:$I$218,3,FALSE)</f>
        <v>#N/A</v>
      </c>
      <c r="E202" s="480" t="e">
        <f>VLOOKUP(B202,HAB.GEN.!$C$19:$I$218,4,FALSE)</f>
        <v>#N/A</v>
      </c>
      <c r="F202" s="480" t="e">
        <f>VLOOKUP(B202,HAB.GEN.!$C$19:$I$218,5,FALSE)</f>
        <v>#N/A</v>
      </c>
      <c r="G202" s="480" t="e">
        <f>VLOOKUP(B202,HAB.GEN.!$C$19:$I$218,6,FALSE)</f>
        <v>#N/A</v>
      </c>
      <c r="H202" s="480" t="str">
        <f t="shared" si="3"/>
        <v>HÁBIL</v>
      </c>
      <c r="I202" s="480" t="e">
        <f>VLOOKUP(C202,PON.EXP.ESP.!$D$30:$J$229,3,FALSE)</f>
        <v>#N/A</v>
      </c>
      <c r="J202" s="481" t="e">
        <f>VLOOKUP(C202,PON.EXP.ESP.!$D$30:$J$229,4,FALSE)</f>
        <v>#N/A</v>
      </c>
      <c r="K202" s="482" t="e">
        <f>VLOOKUP(C202,PON.EXP.ESP.!$D$30:$J$229,5,FALSE)</f>
        <v>#N/A</v>
      </c>
      <c r="L202" s="481" t="e">
        <f>VLOOKUP(C202,PON.EXP.ESP.!$D$30:$J$229,6,FALSE)</f>
        <v>#N/A</v>
      </c>
      <c r="M202" s="482" t="e">
        <f>VLOOKUP(C202,PON.EXP.ESP.!$D$30:$J$229,7,FALSE)</f>
        <v>#N/A</v>
      </c>
      <c r="N202" s="481" t="e">
        <f>VLOOKUP(C202,VIN.PERS.DISC.!$C$19:$D$218,2,FALSE)</f>
        <v>#N/A</v>
      </c>
      <c r="O202" s="483" t="e">
        <f>VLOOKUP(C202,'APOYO A IND. NAL.'!$C$19:$D$218,2,FALSE)</f>
        <v>#N/A</v>
      </c>
      <c r="P202" s="484" t="e">
        <f>VLOOKUP(C202,RESUMENGEN!$D$20:$J$219,7,FALSE)</f>
        <v>#N/A</v>
      </c>
      <c r="Q202" s="478"/>
      <c r="R202" s="484" t="e">
        <f t="shared" si="9"/>
        <v>#N/A</v>
      </c>
      <c r="S202" s="492" t="e">
        <f t="shared" si="8"/>
        <v>#N/A</v>
      </c>
    </row>
    <row r="203" spans="2:19" hidden="1">
      <c r="B203" s="491">
        <v>199</v>
      </c>
      <c r="C203" s="491" t="e">
        <f>VLOOKUP(B203,RESUMENGEN!B218:E417,3,FALSE)</f>
        <v>#N/A</v>
      </c>
      <c r="D203" s="480" t="e">
        <f>VLOOKUP(B203,HAB.GEN.!$C$19:$I$218,3,FALSE)</f>
        <v>#N/A</v>
      </c>
      <c r="E203" s="480" t="e">
        <f>VLOOKUP(B203,HAB.GEN.!$C$19:$I$218,4,FALSE)</f>
        <v>#N/A</v>
      </c>
      <c r="F203" s="480" t="e">
        <f>VLOOKUP(B203,HAB.GEN.!$C$19:$I$218,5,FALSE)</f>
        <v>#N/A</v>
      </c>
      <c r="G203" s="480" t="e">
        <f>VLOOKUP(B203,HAB.GEN.!$C$19:$I$218,6,FALSE)</f>
        <v>#N/A</v>
      </c>
      <c r="H203" s="480" t="str">
        <f t="shared" si="3"/>
        <v>HÁBIL</v>
      </c>
      <c r="I203" s="480" t="e">
        <f>VLOOKUP(C203,PON.EXP.ESP.!$D$30:$J$229,3,FALSE)</f>
        <v>#N/A</v>
      </c>
      <c r="J203" s="481" t="e">
        <f>VLOOKUP(C203,PON.EXP.ESP.!$D$30:$J$229,4,FALSE)</f>
        <v>#N/A</v>
      </c>
      <c r="K203" s="482" t="e">
        <f>VLOOKUP(C203,PON.EXP.ESP.!$D$30:$J$229,5,FALSE)</f>
        <v>#N/A</v>
      </c>
      <c r="L203" s="481" t="e">
        <f>VLOOKUP(C203,PON.EXP.ESP.!$D$30:$J$229,6,FALSE)</f>
        <v>#N/A</v>
      </c>
      <c r="M203" s="482" t="e">
        <f>VLOOKUP(C203,PON.EXP.ESP.!$D$30:$J$229,7,FALSE)</f>
        <v>#N/A</v>
      </c>
      <c r="N203" s="481" t="e">
        <f>VLOOKUP(C203,VIN.PERS.DISC.!$C$19:$D$218,2,FALSE)</f>
        <v>#N/A</v>
      </c>
      <c r="O203" s="483" t="e">
        <f>VLOOKUP(C203,'APOYO A IND. NAL.'!$C$19:$D$218,2,FALSE)</f>
        <v>#N/A</v>
      </c>
      <c r="P203" s="484" t="e">
        <f>VLOOKUP(C203,RESUMENGEN!$D$20:$J$219,7,FALSE)</f>
        <v>#N/A</v>
      </c>
      <c r="Q203" s="478"/>
      <c r="R203" s="484" t="e">
        <f t="shared" si="9"/>
        <v>#N/A</v>
      </c>
      <c r="S203" s="492" t="e">
        <f t="shared" si="8"/>
        <v>#N/A</v>
      </c>
    </row>
    <row r="204" spans="2:19" hidden="1">
      <c r="B204" s="491">
        <v>200</v>
      </c>
      <c r="C204" s="491" t="e">
        <f>VLOOKUP(B204,RESUMENGEN!B219:E418,3,FALSE)</f>
        <v>#N/A</v>
      </c>
      <c r="D204" s="480" t="e">
        <f>VLOOKUP(B204,HAB.GEN.!$C$19:$I$218,3,FALSE)</f>
        <v>#N/A</v>
      </c>
      <c r="E204" s="480" t="e">
        <f>VLOOKUP(B204,HAB.GEN.!$C$19:$I$218,4,FALSE)</f>
        <v>#N/A</v>
      </c>
      <c r="F204" s="480" t="e">
        <f>VLOOKUP(B204,HAB.GEN.!$C$19:$I$218,5,FALSE)</f>
        <v>#N/A</v>
      </c>
      <c r="G204" s="480" t="e">
        <f>VLOOKUP(B204,HAB.GEN.!$C$19:$I$218,6,FALSE)</f>
        <v>#N/A</v>
      </c>
      <c r="H204" s="480" t="str">
        <f t="shared" si="3"/>
        <v>HÁBIL</v>
      </c>
      <c r="I204" s="480" t="e">
        <f>VLOOKUP(C204,PON.EXP.ESP.!$D$30:$J$229,3,FALSE)</f>
        <v>#N/A</v>
      </c>
      <c r="J204" s="481" t="e">
        <f>VLOOKUP(C204,PON.EXP.ESP.!$D$30:$J$229,4,FALSE)</f>
        <v>#N/A</v>
      </c>
      <c r="K204" s="482" t="e">
        <f>VLOOKUP(C204,PON.EXP.ESP.!$D$30:$J$229,5,FALSE)</f>
        <v>#N/A</v>
      </c>
      <c r="L204" s="481" t="e">
        <f>VLOOKUP(C204,PON.EXP.ESP.!$D$30:$J$229,6,FALSE)</f>
        <v>#N/A</v>
      </c>
      <c r="M204" s="482" t="e">
        <f>VLOOKUP(C204,PON.EXP.ESP.!$D$30:$J$229,7,FALSE)</f>
        <v>#N/A</v>
      </c>
      <c r="N204" s="481" t="e">
        <f>VLOOKUP(C204,VIN.PERS.DISC.!$C$19:$D$218,2,FALSE)</f>
        <v>#N/A</v>
      </c>
      <c r="O204" s="483" t="e">
        <f>VLOOKUP(C204,'APOYO A IND. NAL.'!$C$19:$D$218,2,FALSE)</f>
        <v>#N/A</v>
      </c>
      <c r="P204" s="484" t="e">
        <f>VLOOKUP(C204,RESUMENGEN!$D$20:$J$219,7,FALSE)</f>
        <v>#N/A</v>
      </c>
      <c r="Q204" s="478"/>
      <c r="R204" s="484" t="e">
        <f t="shared" si="9"/>
        <v>#N/A</v>
      </c>
      <c r="S204" s="492" t="e">
        <f t="shared" si="8"/>
        <v>#N/A</v>
      </c>
    </row>
  </sheetData>
  <mergeCells count="15">
    <mergeCell ref="B2:B4"/>
    <mergeCell ref="C2:C4"/>
    <mergeCell ref="D2:D4"/>
    <mergeCell ref="E2:E4"/>
    <mergeCell ref="G2:G4"/>
    <mergeCell ref="S2:S4"/>
    <mergeCell ref="F2:F4"/>
    <mergeCell ref="I2:I3"/>
    <mergeCell ref="J2:K2"/>
    <mergeCell ref="L2:M2"/>
    <mergeCell ref="O2:O4"/>
    <mergeCell ref="P2:P4"/>
    <mergeCell ref="R2:R4"/>
    <mergeCell ref="H2:H3"/>
    <mergeCell ref="N2:N4"/>
  </mergeCells>
  <conditionalFormatting sqref="D5:H204">
    <cfRule type="cellIs" dxfId="1" priority="3" operator="equal">
      <formula>"RECHAZO"</formula>
    </cfRule>
    <cfRule type="cellIs" dxfId="0" priority="4" operator="equal">
      <formula>"NO HÁBIL"</formula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>
    <tabColor rgb="FF0070C0"/>
  </sheetPr>
  <dimension ref="B2:L20"/>
  <sheetViews>
    <sheetView workbookViewId="0">
      <selection activeCell="G13" sqref="G13"/>
    </sheetView>
  </sheetViews>
  <sheetFormatPr baseColWidth="10" defaultRowHeight="15"/>
  <cols>
    <col min="2" max="2" width="17.42578125" style="137" bestFit="1" customWidth="1"/>
    <col min="3" max="3" width="15.140625" style="137" bestFit="1" customWidth="1"/>
    <col min="5" max="5" width="31.28515625" style="137" bestFit="1" customWidth="1"/>
    <col min="6" max="6" width="17" style="137" customWidth="1"/>
    <col min="8" max="8" width="31.28515625" customWidth="1"/>
    <col min="9" max="9" width="17" customWidth="1"/>
    <col min="11" max="11" width="17.42578125" bestFit="1" customWidth="1"/>
  </cols>
  <sheetData>
    <row r="2" spans="2:12">
      <c r="B2" s="315" t="s">
        <v>169</v>
      </c>
      <c r="C2" s="403">
        <v>800000000</v>
      </c>
      <c r="E2" s="315" t="s">
        <v>204</v>
      </c>
      <c r="F2" s="361">
        <f>ROUND(C2/589500,3)</f>
        <v>1357.0820000000001</v>
      </c>
      <c r="H2" s="315" t="s">
        <v>188</v>
      </c>
      <c r="I2" s="361">
        <f>ROUND((((F4)*(SQRT(C8)+1))/F3),3)</f>
        <v>2.081</v>
      </c>
    </row>
    <row r="3" spans="2:12">
      <c r="B3" s="315" t="s">
        <v>170</v>
      </c>
      <c r="C3" s="364">
        <v>10.5</v>
      </c>
      <c r="E3" s="315" t="s">
        <v>205</v>
      </c>
      <c r="F3" s="362">
        <f>ROUND($F$2/$C$3,3)</f>
        <v>129.24600000000001</v>
      </c>
      <c r="H3" s="315" t="s">
        <v>209</v>
      </c>
      <c r="I3" s="362">
        <f>3*C3</f>
        <v>31.5</v>
      </c>
    </row>
    <row r="4" spans="2:12">
      <c r="B4" s="315" t="s">
        <v>202</v>
      </c>
      <c r="C4" s="404">
        <v>0.5</v>
      </c>
      <c r="E4" s="315" t="s">
        <v>206</v>
      </c>
      <c r="F4" s="362">
        <f>ROUND($C$4*$F$3,3)</f>
        <v>64.623000000000005</v>
      </c>
    </row>
    <row r="5" spans="2:12" ht="15.75" thickBot="1"/>
    <row r="6" spans="2:12" ht="45.75" thickBot="1">
      <c r="B6" s="360" t="s">
        <v>192</v>
      </c>
      <c r="C6" s="364">
        <v>200</v>
      </c>
      <c r="E6" s="909" t="s">
        <v>211</v>
      </c>
      <c r="F6" s="910"/>
      <c r="H6" s="909" t="s">
        <v>215</v>
      </c>
      <c r="I6" s="910"/>
    </row>
    <row r="8" spans="2:12">
      <c r="B8" s="315" t="s">
        <v>203</v>
      </c>
      <c r="C8" s="329">
        <f>IF(AND(0&lt;$C$6,$C$6&lt;=10),2,IF($C$6&gt;=81,10,ROUNDUP($C$6/10,0)+1))</f>
        <v>10</v>
      </c>
      <c r="E8" s="315" t="s">
        <v>210</v>
      </c>
      <c r="F8" s="364">
        <v>4</v>
      </c>
    </row>
    <row r="10" spans="2:12" ht="45">
      <c r="B10" s="360" t="s">
        <v>207</v>
      </c>
      <c r="C10" s="364">
        <v>7</v>
      </c>
      <c r="E10" s="360" t="s">
        <v>212</v>
      </c>
      <c r="F10" s="405">
        <v>10</v>
      </c>
      <c r="H10" s="360" t="s">
        <v>216</v>
      </c>
      <c r="I10" s="364">
        <v>68.623000000000005</v>
      </c>
    </row>
    <row r="12" spans="2:12" ht="45">
      <c r="B12" s="360" t="s">
        <v>208</v>
      </c>
      <c r="C12" s="364">
        <v>10.9</v>
      </c>
      <c r="E12" s="360" t="s">
        <v>213</v>
      </c>
      <c r="F12" s="329" t="str">
        <f>IF(F10&gt;=I3,"SI","NO")</f>
        <v>NO</v>
      </c>
      <c r="H12" s="360" t="s">
        <v>217</v>
      </c>
      <c r="I12" s="329" t="str">
        <f>IF(ROUND(($I$10/$F$3),3)&gt;=$I$2,"SI","NO")</f>
        <v>NO</v>
      </c>
      <c r="K12" s="360" t="s">
        <v>195</v>
      </c>
      <c r="L12" s="335">
        <f>ROUND($I$10/$F$3,3)</f>
        <v>0.53100000000000003</v>
      </c>
    </row>
    <row r="14" spans="2:12">
      <c r="B14" s="315" t="s">
        <v>220</v>
      </c>
      <c r="C14" s="363">
        <f>ROUND((((C12)+(C6*C3))/(C10+C6)),3)</f>
        <v>10.198</v>
      </c>
      <c r="E14" s="315" t="s">
        <v>214</v>
      </c>
      <c r="F14" s="363" t="str">
        <f>IF(OR(F8&lt;NUMMINCONT,F12="SI"),"NO ES HÁBIL","ES HÁBIL")</f>
        <v>ES HÁBIL</v>
      </c>
      <c r="H14" s="315" t="s">
        <v>214</v>
      </c>
      <c r="I14" s="363" t="str">
        <f>IF(OR($F$8&lt;NUMMINCONT,$I$12="SI"),"NO ES HÁBIL","ES HÁBIL")</f>
        <v>ES HÁBIL</v>
      </c>
    </row>
    <row r="15" spans="2:12" ht="15.75" thickBot="1"/>
    <row r="16" spans="2:12" ht="45.75" customHeight="1" thickBot="1">
      <c r="E16" s="909" t="s">
        <v>218</v>
      </c>
      <c r="F16" s="910"/>
      <c r="H16" s="909" t="s">
        <v>219</v>
      </c>
      <c r="I16" s="910"/>
    </row>
    <row r="18" spans="2:9" ht="45">
      <c r="B18" s="315" t="s">
        <v>221</v>
      </c>
      <c r="C18" s="406">
        <v>300</v>
      </c>
      <c r="E18" s="360" t="s">
        <v>223</v>
      </c>
      <c r="F18" s="329" t="str">
        <f>IF(F10&lt;$C$14,"MENOR",IF(F10=$C$14,"IGUAL","MAYOR"))</f>
        <v>MENOR</v>
      </c>
      <c r="H18" s="360" t="s">
        <v>224</v>
      </c>
      <c r="I18" s="335" t="str">
        <f>IF(I10&lt;$F$4,"MENOR",IF(I10=$F$4,"IGUAL","MAYOR"))</f>
        <v>MAYOR</v>
      </c>
    </row>
    <row r="19" spans="2:9">
      <c r="B19" s="315" t="s">
        <v>222</v>
      </c>
      <c r="C19" s="405">
        <v>600</v>
      </c>
    </row>
    <row r="20" spans="2:9">
      <c r="E20" s="360" t="s">
        <v>90</v>
      </c>
      <c r="F20" s="362">
        <f>IF(OR(F8="",F10=""),"",IF(F14="ES HÁBIL",IF(F18="MENOR",ROUND(($C$18*($F$10/$C$14)),3),ROUND($C$18*(((3*C14)-F10)/(2*C14)),3)),0))</f>
        <v>294.17500000000001</v>
      </c>
      <c r="H20" s="360" t="s">
        <v>225</v>
      </c>
      <c r="I20" s="362">
        <f>IF(OR($F$8="",I10=""),"",IF(I14="ES HÁBIL",IF(OR(I18="MENOR",I18="IGUAL"),ROUND(($C$19-($C$19/(POWER($F$4,2)))*POWER(I10-$F$4,2)),3),ROUND(($C$19-(1/$C$8)*($C$19/(POWER($F$4,2)))*POWER(I10-$F$4,2)),3)),0))</f>
        <v>599.77</v>
      </c>
    </row>
  </sheetData>
  <mergeCells count="4">
    <mergeCell ref="E6:F6"/>
    <mergeCell ref="H6:I6"/>
    <mergeCell ref="E16:F16"/>
    <mergeCell ref="H16:I16"/>
  </mergeCells>
  <pageMargins left="0.7" right="0.7" top="0.75" bottom="0.75" header="0.3" footer="0.3"/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1"/>
  <dimension ref="A1:Q32"/>
  <sheetViews>
    <sheetView topLeftCell="G1" workbookViewId="0">
      <selection activeCell="G1" sqref="G1"/>
    </sheetView>
  </sheetViews>
  <sheetFormatPr baseColWidth="10" defaultRowHeight="15"/>
  <cols>
    <col min="1" max="1" width="3.7109375" style="258" bestFit="1" customWidth="1"/>
    <col min="2" max="2" width="85.7109375" style="258" customWidth="1"/>
    <col min="3" max="3" width="73.140625" style="258" customWidth="1"/>
    <col min="4" max="4" width="56.28515625" style="258" bestFit="1" customWidth="1"/>
    <col min="5" max="5" width="22.140625" style="258" customWidth="1"/>
    <col min="6" max="6" width="20.28515625" style="258" bestFit="1" customWidth="1"/>
    <col min="7" max="7" width="11.42578125" style="258"/>
    <col min="8" max="8" width="23.7109375" style="258" bestFit="1" customWidth="1"/>
    <col min="9" max="9" width="18.42578125" style="258" bestFit="1" customWidth="1"/>
    <col min="10" max="10" width="15.28515625" style="258" bestFit="1" customWidth="1"/>
    <col min="11" max="11" width="11.42578125" style="258"/>
    <col min="12" max="12" width="15.42578125" style="258" bestFit="1" customWidth="1"/>
    <col min="13" max="13" width="51.5703125" style="258" hidden="1" customWidth="1"/>
    <col min="14" max="14" width="20.28515625" style="258" bestFit="1" customWidth="1"/>
    <col min="15" max="15" width="15.42578125" style="258" bestFit="1" customWidth="1"/>
    <col min="16" max="16" width="18.5703125" style="258" bestFit="1" customWidth="1"/>
    <col min="17" max="17" width="21.28515625" style="258" bestFit="1" customWidth="1"/>
    <col min="18" max="16384" width="11.42578125" style="258"/>
  </cols>
  <sheetData>
    <row r="1" spans="1:17" ht="15.75" thickTop="1">
      <c r="A1" s="268" t="s">
        <v>13</v>
      </c>
      <c r="B1" s="269" t="s">
        <v>14</v>
      </c>
      <c r="C1" s="269" t="s">
        <v>104</v>
      </c>
      <c r="D1" s="270" t="s">
        <v>141</v>
      </c>
      <c r="E1" s="271" t="s">
        <v>31</v>
      </c>
      <c r="F1" s="271" t="s">
        <v>142</v>
      </c>
      <c r="G1" s="271" t="s">
        <v>143</v>
      </c>
      <c r="H1" s="271" t="s">
        <v>33</v>
      </c>
      <c r="I1" s="271" t="s">
        <v>178</v>
      </c>
      <c r="J1" s="271" t="s">
        <v>31</v>
      </c>
      <c r="K1" s="271" t="s">
        <v>248</v>
      </c>
      <c r="L1" s="271" t="s">
        <v>293</v>
      </c>
      <c r="M1" s="271" t="s">
        <v>285</v>
      </c>
      <c r="N1" s="271" t="s">
        <v>291</v>
      </c>
      <c r="O1" s="271" t="s">
        <v>295</v>
      </c>
      <c r="P1" s="271" t="s">
        <v>296</v>
      </c>
      <c r="Q1" s="271" t="s">
        <v>316</v>
      </c>
    </row>
    <row r="2" spans="1:17">
      <c r="A2" s="272">
        <v>1</v>
      </c>
      <c r="B2" s="273" t="s">
        <v>1</v>
      </c>
      <c r="C2" s="10" t="s">
        <v>144</v>
      </c>
      <c r="D2" s="274" t="s">
        <v>145</v>
      </c>
      <c r="E2" s="275" t="s">
        <v>6</v>
      </c>
      <c r="F2" s="275" t="s">
        <v>146</v>
      </c>
      <c r="G2" s="501" t="s">
        <v>147</v>
      </c>
      <c r="H2" s="501" t="s">
        <v>34</v>
      </c>
      <c r="I2" s="502" t="s">
        <v>181</v>
      </c>
      <c r="J2" s="502" t="s">
        <v>6</v>
      </c>
      <c r="K2" s="501" t="s">
        <v>45</v>
      </c>
      <c r="L2" s="501" t="s">
        <v>25</v>
      </c>
      <c r="M2" s="501" t="s">
        <v>286</v>
      </c>
      <c r="N2" s="501" t="s">
        <v>289</v>
      </c>
      <c r="O2" s="501" t="s">
        <v>25</v>
      </c>
      <c r="P2" s="501" t="s">
        <v>25</v>
      </c>
      <c r="Q2" s="501" t="s">
        <v>317</v>
      </c>
    </row>
    <row r="3" spans="1:17">
      <c r="A3" s="276">
        <v>2</v>
      </c>
      <c r="B3" s="277" t="s">
        <v>253</v>
      </c>
      <c r="C3" s="11" t="s">
        <v>148</v>
      </c>
      <c r="D3" s="278" t="s">
        <v>149</v>
      </c>
      <c r="E3" s="279" t="s">
        <v>32</v>
      </c>
      <c r="F3" s="275" t="s">
        <v>150</v>
      </c>
      <c r="G3" s="503"/>
      <c r="H3" s="504" t="s">
        <v>35</v>
      </c>
      <c r="I3" s="501" t="s">
        <v>179</v>
      </c>
      <c r="J3" s="505" t="s">
        <v>32</v>
      </c>
      <c r="K3" s="501" t="s">
        <v>46</v>
      </c>
      <c r="L3" s="501" t="s">
        <v>24</v>
      </c>
      <c r="M3" s="501" t="s">
        <v>287</v>
      </c>
      <c r="N3" s="501" t="s">
        <v>290</v>
      </c>
      <c r="O3" s="501" t="s">
        <v>24</v>
      </c>
      <c r="P3" s="501" t="s">
        <v>24</v>
      </c>
      <c r="Q3" s="501" t="s">
        <v>318</v>
      </c>
    </row>
    <row r="4" spans="1:17">
      <c r="A4" s="276">
        <v>3</v>
      </c>
      <c r="B4" s="277" t="s">
        <v>254</v>
      </c>
      <c r="C4" s="12" t="s">
        <v>151</v>
      </c>
      <c r="D4" s="278" t="s">
        <v>152</v>
      </c>
      <c r="F4" s="275" t="s">
        <v>153</v>
      </c>
      <c r="G4" s="503"/>
      <c r="H4" s="504" t="s">
        <v>36</v>
      </c>
      <c r="I4" s="501" t="s">
        <v>180</v>
      </c>
      <c r="J4" s="505" t="s">
        <v>281</v>
      </c>
      <c r="K4" s="502" t="s">
        <v>249</v>
      </c>
      <c r="L4" s="501" t="s">
        <v>294</v>
      </c>
      <c r="M4" s="501" t="s">
        <v>288</v>
      </c>
      <c r="N4" s="503"/>
      <c r="O4" s="501" t="s">
        <v>294</v>
      </c>
      <c r="P4" s="503"/>
      <c r="Q4" s="506" t="s">
        <v>319</v>
      </c>
    </row>
    <row r="5" spans="1:17">
      <c r="A5" s="276">
        <v>4</v>
      </c>
      <c r="B5" s="277" t="s">
        <v>255</v>
      </c>
      <c r="C5" s="277"/>
      <c r="D5" s="278" t="s">
        <v>154</v>
      </c>
      <c r="G5" s="503"/>
      <c r="H5" s="504" t="s">
        <v>37</v>
      </c>
      <c r="I5" s="502" t="s">
        <v>37</v>
      </c>
      <c r="J5" s="503"/>
      <c r="K5" s="503"/>
      <c r="L5" s="503"/>
      <c r="M5" s="503"/>
      <c r="N5" s="503"/>
      <c r="O5" s="503"/>
      <c r="P5" s="503"/>
      <c r="Q5" s="507" t="s">
        <v>320</v>
      </c>
    </row>
    <row r="6" spans="1:17">
      <c r="A6" s="276">
        <v>5</v>
      </c>
      <c r="B6" s="277" t="s">
        <v>256</v>
      </c>
      <c r="C6" s="277"/>
      <c r="D6" s="278" t="s">
        <v>155</v>
      </c>
      <c r="G6" s="503"/>
      <c r="H6" s="504"/>
      <c r="I6" s="504"/>
      <c r="J6" s="503"/>
      <c r="K6" s="503"/>
      <c r="L6" s="503"/>
      <c r="M6" s="503"/>
      <c r="N6" s="503"/>
      <c r="O6" s="503"/>
      <c r="P6" s="503"/>
      <c r="Q6" s="508" t="s">
        <v>323</v>
      </c>
    </row>
    <row r="7" spans="1:17">
      <c r="A7" s="276">
        <v>6</v>
      </c>
      <c r="B7" s="277" t="s">
        <v>257</v>
      </c>
      <c r="C7" s="277"/>
      <c r="D7" s="278" t="s">
        <v>81</v>
      </c>
      <c r="Q7" s="507" t="s">
        <v>321</v>
      </c>
    </row>
    <row r="8" spans="1:17">
      <c r="A8" s="276">
        <v>7</v>
      </c>
      <c r="B8" s="277" t="s">
        <v>258</v>
      </c>
      <c r="C8" s="277"/>
      <c r="D8" s="278" t="s">
        <v>156</v>
      </c>
    </row>
    <row r="9" spans="1:17">
      <c r="A9" s="276">
        <v>8</v>
      </c>
      <c r="B9" s="277" t="s">
        <v>259</v>
      </c>
      <c r="C9" s="277"/>
      <c r="D9" s="278" t="s">
        <v>157</v>
      </c>
    </row>
    <row r="10" spans="1:17">
      <c r="A10" s="276">
        <v>9</v>
      </c>
      <c r="B10" s="277" t="s">
        <v>260</v>
      </c>
      <c r="C10" s="277"/>
      <c r="D10" s="278" t="s">
        <v>158</v>
      </c>
    </row>
    <row r="11" spans="1:17">
      <c r="A11" s="276">
        <v>10</v>
      </c>
      <c r="B11" s="277" t="s">
        <v>261</v>
      </c>
      <c r="C11" s="280"/>
      <c r="D11" s="278"/>
      <c r="H11" s="281"/>
    </row>
    <row r="12" spans="1:17">
      <c r="A12" s="276">
        <v>11</v>
      </c>
      <c r="B12" s="277" t="s">
        <v>262</v>
      </c>
      <c r="C12" s="280"/>
      <c r="D12" s="278"/>
    </row>
    <row r="13" spans="1:17">
      <c r="A13" s="276">
        <v>12</v>
      </c>
      <c r="B13" s="277" t="s">
        <v>263</v>
      </c>
      <c r="C13" s="280"/>
      <c r="D13" s="278"/>
    </row>
    <row r="14" spans="1:17">
      <c r="A14" s="276">
        <v>13</v>
      </c>
      <c r="B14" s="277" t="s">
        <v>264</v>
      </c>
      <c r="C14" s="280"/>
      <c r="D14" s="278"/>
    </row>
    <row r="15" spans="1:17">
      <c r="A15" s="276">
        <v>14</v>
      </c>
      <c r="B15" s="277" t="s">
        <v>265</v>
      </c>
      <c r="C15" s="280"/>
      <c r="D15" s="278"/>
    </row>
    <row r="16" spans="1:17">
      <c r="A16" s="276">
        <v>15</v>
      </c>
      <c r="B16" s="277" t="s">
        <v>266</v>
      </c>
      <c r="C16" s="280"/>
      <c r="D16" s="278"/>
    </row>
    <row r="17" spans="1:4">
      <c r="A17" s="276">
        <v>16</v>
      </c>
      <c r="B17" s="277"/>
      <c r="C17" s="280"/>
      <c r="D17" s="278"/>
    </row>
    <row r="18" spans="1:4">
      <c r="A18" s="276">
        <v>17</v>
      </c>
      <c r="B18" s="280"/>
      <c r="C18" s="280"/>
      <c r="D18" s="278"/>
    </row>
    <row r="19" spans="1:4">
      <c r="A19" s="276">
        <v>18</v>
      </c>
      <c r="B19" s="280"/>
      <c r="C19" s="280"/>
      <c r="D19" s="278"/>
    </row>
    <row r="20" spans="1:4">
      <c r="A20" s="276">
        <v>19</v>
      </c>
      <c r="B20" s="280"/>
      <c r="C20" s="280"/>
      <c r="D20" s="278"/>
    </row>
    <row r="21" spans="1:4">
      <c r="A21" s="276">
        <v>20</v>
      </c>
      <c r="B21" s="280"/>
      <c r="C21" s="280"/>
      <c r="D21" s="278"/>
    </row>
    <row r="22" spans="1:4">
      <c r="A22" s="276">
        <v>21</v>
      </c>
      <c r="B22" s="280"/>
      <c r="C22" s="280"/>
      <c r="D22" s="278"/>
    </row>
    <row r="23" spans="1:4">
      <c r="A23" s="276">
        <v>22</v>
      </c>
      <c r="B23" s="280"/>
      <c r="C23" s="280"/>
      <c r="D23" s="278"/>
    </row>
    <row r="24" spans="1:4">
      <c r="A24" s="276">
        <v>23</v>
      </c>
      <c r="B24" s="280"/>
      <c r="C24" s="280"/>
      <c r="D24" s="278"/>
    </row>
    <row r="25" spans="1:4">
      <c r="A25" s="276">
        <v>24</v>
      </c>
      <c r="B25" s="280"/>
      <c r="C25" s="280"/>
      <c r="D25" s="278"/>
    </row>
    <row r="26" spans="1:4">
      <c r="A26" s="276">
        <v>25</v>
      </c>
      <c r="B26" s="280"/>
      <c r="C26" s="280"/>
      <c r="D26" s="278"/>
    </row>
    <row r="27" spans="1:4">
      <c r="A27" s="276">
        <v>26</v>
      </c>
      <c r="B27" s="280"/>
      <c r="C27" s="280"/>
      <c r="D27" s="278"/>
    </row>
    <row r="28" spans="1:4">
      <c r="A28" s="276">
        <v>27</v>
      </c>
      <c r="B28" s="280"/>
      <c r="C28" s="280"/>
      <c r="D28" s="278"/>
    </row>
    <row r="29" spans="1:4">
      <c r="A29" s="276">
        <v>28</v>
      </c>
      <c r="B29" s="280"/>
      <c r="C29" s="280"/>
      <c r="D29" s="278"/>
    </row>
    <row r="30" spans="1:4">
      <c r="A30" s="276">
        <v>29</v>
      </c>
      <c r="B30" s="280"/>
      <c r="C30" s="280"/>
      <c r="D30" s="278"/>
    </row>
    <row r="31" spans="1:4" ht="15.75" thickBot="1">
      <c r="A31" s="282">
        <v>30</v>
      </c>
      <c r="B31" s="283"/>
      <c r="C31" s="283"/>
      <c r="D31" s="284"/>
    </row>
    <row r="32" spans="1:4" ht="15.75" thickTop="1"/>
  </sheetData>
  <pageMargins left="0.7" right="0.7" top="0.75" bottom="0.75" header="0.3" footer="0.3"/>
  <pageSetup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49</vt:i4>
      </vt:variant>
    </vt:vector>
  </HeadingPairs>
  <TitlesOfParts>
    <vt:vector size="63" baseType="lpstr">
      <vt:lpstr>PRESUPUESTOS</vt:lpstr>
      <vt:lpstr>PROPONENTES</vt:lpstr>
      <vt:lpstr>INTEGRANTES</vt:lpstr>
      <vt:lpstr>EXP. ESP.</vt:lpstr>
      <vt:lpstr>SUSPENSIONES</vt:lpstr>
      <vt:lpstr>HAB.EXP.ESP.</vt:lpstr>
      <vt:lpstr>PON.EXP.ESP.</vt:lpstr>
      <vt:lpstr>VIN.PERS.DISC.</vt:lpstr>
      <vt:lpstr>APOYO A IND. NAL.</vt:lpstr>
      <vt:lpstr>RESUMEN</vt:lpstr>
      <vt:lpstr>HAB.GEN.</vt:lpstr>
      <vt:lpstr>RESUMENGEN</vt:lpstr>
      <vt:lpstr>ELEGIBILIDAD</vt:lpstr>
      <vt:lpstr>CUADRO INFORME</vt:lpstr>
      <vt:lpstr>APOYONAL</vt:lpstr>
      <vt:lpstr>ELEGIBILIDAD!Área_de_impresión</vt:lpstr>
      <vt:lpstr>'EXP. ESP.'!Área_de_impresión</vt:lpstr>
      <vt:lpstr>HAB.EXP.ESP.!Área_de_impresión</vt:lpstr>
      <vt:lpstr>HAB.GEN.!Área_de_impresión</vt:lpstr>
      <vt:lpstr>INTEGRANTES!Área_de_impresión</vt:lpstr>
      <vt:lpstr>PON.EXP.ESP.!Área_de_impresión</vt:lpstr>
      <vt:lpstr>RESUMEN!Área_de_impresión</vt:lpstr>
      <vt:lpstr>RESUMENGEN!Área_de_impresión</vt:lpstr>
      <vt:lpstr>CONDANCHOC</vt:lpstr>
      <vt:lpstr>CONDCUMEXP</vt:lpstr>
      <vt:lpstr>CONDVIAURBANA</vt:lpstr>
      <vt:lpstr>CONSORCIO</vt:lpstr>
      <vt:lpstr>CUMPCTONACIONAL</vt:lpstr>
      <vt:lpstr>CUMPLIMIENTO</vt:lpstr>
      <vt:lpstr>CUMPLIMIENTOPC</vt:lpstr>
      <vt:lpstr>DEPENDENCIAS</vt:lpstr>
      <vt:lpstr>EJECUCIONCTO</vt:lpstr>
      <vt:lpstr>Estado</vt:lpstr>
      <vt:lpstr>EXPREQVTD</vt:lpstr>
      <vt:lpstr>FechaCierre</vt:lpstr>
      <vt:lpstr>FMINEXP</vt:lpstr>
      <vt:lpstr>HABILIDAD</vt:lpstr>
      <vt:lpstr>NUMMAXCONT</vt:lpstr>
      <vt:lpstr>NUMMINCONT</vt:lpstr>
      <vt:lpstr>NUMMOD</vt:lpstr>
      <vt:lpstr>NUMPROPHAB</vt:lpstr>
      <vt:lpstr>NUMPROPMOD</vt:lpstr>
      <vt:lpstr>PLAZOMOD</vt:lpstr>
      <vt:lpstr>PMFOMOD</vt:lpstr>
      <vt:lpstr>PORCREQUERIDO</vt:lpstr>
      <vt:lpstr>PORCREQUERIDOINT</vt:lpstr>
      <vt:lpstr>PORPMFOMOD</vt:lpstr>
      <vt:lpstr>POSMMLV</vt:lpstr>
      <vt:lpstr>PPHMOD</vt:lpstr>
      <vt:lpstr>PTJEEXPESP1</vt:lpstr>
      <vt:lpstr>PTJEEXPESP2</vt:lpstr>
      <vt:lpstr>PTJETOTAL</vt:lpstr>
      <vt:lpstr>RELACIONPO</vt:lpstr>
      <vt:lpstr>SALACTUAL</vt:lpstr>
      <vt:lpstr>TAMAÑOEMP</vt:lpstr>
      <vt:lpstr>TIPODEVIA</vt:lpstr>
      <vt:lpstr>'APOYO A IND. NAL.'!Títulos_a_imprimir</vt:lpstr>
      <vt:lpstr>ELEGIBILIDAD!Títulos_a_imprimir</vt:lpstr>
      <vt:lpstr>RESUMEN!Títulos_a_imprimir</vt:lpstr>
      <vt:lpstr>RESUMENGEN!Títulos_a_imprimir</vt:lpstr>
      <vt:lpstr>VIN.PERS.DISC.!Títulos_a_imprimir</vt:lpstr>
      <vt:lpstr>TOTALPTJEEXES</vt:lpstr>
      <vt:lpstr>TRMPROCESO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CALIFICACIÓN CM</dc:title>
  <dc:creator>DC 2018</dc:creator>
  <cp:keywords>CONCURSO MERITOS</cp:keywords>
  <dc:description>Version preliminar para calificar concursos de meritos Lista Corta, para tres profesionales</dc:description>
  <cp:lastModifiedBy>Maritza Chila David</cp:lastModifiedBy>
  <cp:lastPrinted>2012-03-23T23:21:21Z</cp:lastPrinted>
  <dcterms:created xsi:type="dcterms:W3CDTF">2008-10-02T17:13:08Z</dcterms:created>
  <dcterms:modified xsi:type="dcterms:W3CDTF">2019-10-31T16:21:34Z</dcterms:modified>
  <cp:contentStatus>Version 0</cp:contentStatus>
</cp:coreProperties>
</file>